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</externalReferences>
  <definedNames>
    <definedName name="_xlnm._FilterDatabase" localSheetId="0" hidden="1">客户表!$A$1:$AN$8185</definedName>
    <definedName name="_xlnm._FilterDatabase" localSheetId="1" hidden="1">媒体表!$A$1:$W$190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6079" i="2" l="1"/>
  <c r="L70" i="3" l="1"/>
  <c r="K97" i="3" l="1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8030" i="2"/>
  <c r="K8027" i="2"/>
  <c r="K8023" i="2"/>
  <c r="K8021" i="2"/>
  <c r="K8017" i="2"/>
  <c r="K8016" i="2"/>
  <c r="K8015" i="2"/>
  <c r="K8014" i="2"/>
  <c r="K8013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1" i="2"/>
  <c r="K6639" i="2"/>
  <c r="K6638" i="2"/>
  <c r="K6637" i="2"/>
  <c r="K6636" i="2"/>
  <c r="K6635" i="2"/>
  <c r="K6634" i="2"/>
  <c r="K6633" i="2"/>
  <c r="K6632" i="2"/>
  <c r="K6631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6" i="2"/>
  <c r="K6605" i="2"/>
  <c r="K6604" i="2"/>
  <c r="K6603" i="2"/>
  <c r="K6602" i="2"/>
  <c r="K6601" i="2"/>
  <c r="K6600" i="2"/>
  <c r="K6599" i="2"/>
  <c r="K6597" i="2"/>
  <c r="K6596" i="2"/>
  <c r="K6595" i="2"/>
  <c r="K6593" i="2"/>
  <c r="K6592" i="2"/>
  <c r="K6591" i="2"/>
  <c r="K6590" i="2"/>
  <c r="K6589" i="2"/>
  <c r="K6588" i="2"/>
  <c r="K6586" i="2"/>
  <c r="K6585" i="2"/>
  <c r="K6584" i="2"/>
  <c r="K6583" i="2"/>
  <c r="K6582" i="2"/>
  <c r="K6581" i="2"/>
  <c r="K6580" i="2"/>
  <c r="K6579" i="2"/>
  <c r="K6578" i="2"/>
  <c r="K6577" i="2"/>
  <c r="K6576" i="2"/>
  <c r="K6574" i="2"/>
  <c r="K6573" i="2"/>
  <c r="K6572" i="2"/>
  <c r="K6571" i="2"/>
  <c r="K6558" i="2"/>
  <c r="K6557" i="2"/>
  <c r="K6554" i="2"/>
  <c r="K6552" i="2"/>
  <c r="K6550" i="2"/>
  <c r="K6549" i="2"/>
  <c r="K6548" i="2"/>
  <c r="K6547" i="2"/>
  <c r="K6545" i="2"/>
  <c r="K6540" i="2"/>
  <c r="K6537" i="2"/>
  <c r="K6533" i="2"/>
  <c r="K6532" i="2"/>
  <c r="K6531" i="2"/>
  <c r="K6530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AB8185" i="2"/>
  <c r="AK8185" i="2" s="1"/>
  <c r="AB8184" i="2"/>
  <c r="AK8184" i="2" s="1"/>
  <c r="AB8183" i="2"/>
  <c r="AK8183" i="2" s="1"/>
  <c r="AB8182" i="2"/>
  <c r="AK8182" i="2" s="1"/>
  <c r="AB8181" i="2"/>
  <c r="AK8181" i="2" s="1"/>
  <c r="AB8180" i="2"/>
  <c r="AK8180" i="2" s="1"/>
  <c r="AB8179" i="2"/>
  <c r="AK8179" i="2" s="1"/>
  <c r="AB8178" i="2"/>
  <c r="AK8178" i="2" s="1"/>
  <c r="AB8177" i="2"/>
  <c r="AK8177" i="2" s="1"/>
  <c r="AB8176" i="2"/>
  <c r="AK8176" i="2" s="1"/>
  <c r="AB8175" i="2"/>
  <c r="AK8175" i="2" s="1"/>
  <c r="AB8174" i="2"/>
  <c r="AK8174" i="2" s="1"/>
  <c r="AB8173" i="2"/>
  <c r="AK8173" i="2" s="1"/>
  <c r="AB8172" i="2"/>
  <c r="AK8172" i="2" s="1"/>
  <c r="AB8171" i="2"/>
  <c r="AK8171" i="2" s="1"/>
  <c r="AB8170" i="2"/>
  <c r="AK8170" i="2" s="1"/>
  <c r="AB8169" i="2"/>
  <c r="AK8169" i="2" s="1"/>
  <c r="AB8168" i="2"/>
  <c r="AK8168" i="2" s="1"/>
  <c r="AB8167" i="2"/>
  <c r="AK8167" i="2" s="1"/>
  <c r="AB8166" i="2"/>
  <c r="AK8166" i="2" s="1"/>
  <c r="AB8165" i="2"/>
  <c r="AK8165" i="2" s="1"/>
  <c r="AB8164" i="2"/>
  <c r="AK8164" i="2" s="1"/>
  <c r="AB8163" i="2"/>
  <c r="AK8163" i="2" s="1"/>
  <c r="AB8162" i="2"/>
  <c r="AK8162" i="2" s="1"/>
  <c r="AB8161" i="2"/>
  <c r="AK8161" i="2" s="1"/>
  <c r="AB8160" i="2"/>
  <c r="AK8160" i="2" s="1"/>
  <c r="AB8159" i="2"/>
  <c r="AK8159" i="2" s="1"/>
  <c r="AB8158" i="2"/>
  <c r="AK8158" i="2" s="1"/>
  <c r="AB8157" i="2"/>
  <c r="AK8157" i="2" s="1"/>
  <c r="AB8156" i="2"/>
  <c r="AK8156" i="2" s="1"/>
  <c r="AB8155" i="2"/>
  <c r="AK8155" i="2" s="1"/>
  <c r="AB8154" i="2"/>
  <c r="AK8154" i="2" s="1"/>
  <c r="AB8153" i="2"/>
  <c r="AK8153" i="2" s="1"/>
  <c r="AB8152" i="2"/>
  <c r="AK8152" i="2" s="1"/>
  <c r="AB8143" i="2"/>
  <c r="AK8143" i="2" s="1"/>
  <c r="AB8142" i="2"/>
  <c r="AK8142" i="2" s="1"/>
  <c r="AB8132" i="2"/>
  <c r="AK8132" i="2" s="1"/>
  <c r="AB8034" i="2"/>
  <c r="AK8034" i="2" s="1"/>
  <c r="AB8033" i="2"/>
  <c r="AK8033" i="2" s="1"/>
  <c r="AB8030" i="2"/>
  <c r="AK8030" i="2" s="1"/>
  <c r="AB8029" i="2"/>
  <c r="AK8029" i="2" s="1"/>
  <c r="AB8028" i="2"/>
  <c r="AK8028" i="2" s="1"/>
  <c r="AB8027" i="2"/>
  <c r="AK8027" i="2" s="1"/>
  <c r="AB8025" i="2"/>
  <c r="AK8025" i="2" s="1"/>
  <c r="AB8024" i="2"/>
  <c r="AK8024" i="2" s="1"/>
  <c r="AB8023" i="2"/>
  <c r="AK8023" i="2" s="1"/>
  <c r="AB8022" i="2"/>
  <c r="AK8022" i="2" s="1"/>
  <c r="AB8021" i="2"/>
  <c r="AK8021" i="2" s="1"/>
  <c r="AB8020" i="2"/>
  <c r="AK8020" i="2" s="1"/>
  <c r="AB8019" i="2"/>
  <c r="AK8019" i="2" s="1"/>
  <c r="AB8018" i="2"/>
  <c r="AK8018" i="2" s="1"/>
  <c r="AB8017" i="2"/>
  <c r="AK8017" i="2" s="1"/>
  <c r="AB8016" i="2"/>
  <c r="AK8016" i="2" s="1"/>
  <c r="AB8015" i="2"/>
  <c r="AK8015" i="2" s="1"/>
  <c r="AB8014" i="2"/>
  <c r="AK8014" i="2" s="1"/>
  <c r="AB7691" i="2"/>
  <c r="AK7691" i="2" s="1"/>
  <c r="AB7670" i="2"/>
  <c r="AK7670" i="2" s="1"/>
  <c r="AB6659" i="2"/>
  <c r="AK6659" i="2" s="1"/>
  <c r="AB6402" i="2"/>
  <c r="AK6402" i="2" s="1"/>
  <c r="AB6401" i="2"/>
  <c r="AK6401" i="2" s="1"/>
  <c r="AB6400" i="2"/>
  <c r="AK6400" i="2" s="1"/>
  <c r="AB6398" i="2"/>
  <c r="AK6398" i="2" s="1"/>
  <c r="AB6383" i="2"/>
  <c r="AK6383" i="2" s="1"/>
  <c r="AB6382" i="2"/>
  <c r="AK6382" i="2" s="1"/>
  <c r="AB6103" i="2"/>
  <c r="AK6103" i="2" s="1"/>
  <c r="AB6080" i="2"/>
  <c r="AK6080" i="2" s="1"/>
  <c r="AB5584" i="2"/>
  <c r="AK5584" i="2" s="1"/>
  <c r="AB5333" i="2"/>
  <c r="AK5333" i="2" s="1"/>
  <c r="AB5332" i="2"/>
  <c r="AK5332" i="2" s="1"/>
  <c r="AB5331" i="2"/>
  <c r="AK5331" i="2" s="1"/>
  <c r="AB5330" i="2"/>
  <c r="AK5330" i="2" s="1"/>
  <c r="AB5329" i="2"/>
  <c r="AK5329" i="2" s="1"/>
  <c r="AB5328" i="2"/>
  <c r="AK5328" i="2" s="1"/>
  <c r="AB5327" i="2"/>
  <c r="AK5327" i="2" s="1"/>
  <c r="AB5326" i="2"/>
  <c r="AK5326" i="2" s="1"/>
  <c r="AB5325" i="2"/>
  <c r="AK5325" i="2" s="1"/>
  <c r="AB5324" i="2"/>
  <c r="AK5324" i="2" s="1"/>
  <c r="AB5323" i="2"/>
  <c r="AK5323" i="2" s="1"/>
  <c r="AB5322" i="2"/>
  <c r="AK5322" i="2" s="1"/>
  <c r="AB5321" i="2"/>
  <c r="AK5321" i="2" s="1"/>
  <c r="AB5320" i="2"/>
  <c r="AK5320" i="2" s="1"/>
  <c r="AB5319" i="2"/>
  <c r="AK5319" i="2" s="1"/>
  <c r="AB5318" i="2"/>
  <c r="AK5318" i="2" s="1"/>
  <c r="AB5317" i="2"/>
  <c r="AK5317" i="2" s="1"/>
  <c r="AB5316" i="2"/>
  <c r="AK5316" i="2" s="1"/>
  <c r="AB5315" i="2"/>
  <c r="AK5315" i="2" s="1"/>
  <c r="AB5314" i="2"/>
  <c r="AK5314" i="2" s="1"/>
  <c r="AB5313" i="2"/>
  <c r="AK5313" i="2" s="1"/>
  <c r="AB5312" i="2"/>
  <c r="AK5312" i="2" s="1"/>
  <c r="AB5311" i="2"/>
  <c r="AK5311" i="2" s="1"/>
  <c r="AB5310" i="2"/>
  <c r="AK5310" i="2" s="1"/>
  <c r="AB5309" i="2"/>
  <c r="AK5309" i="2" s="1"/>
  <c r="AB5308" i="2"/>
  <c r="AK5308" i="2" s="1"/>
  <c r="AB5307" i="2"/>
  <c r="AK5307" i="2" s="1"/>
  <c r="AB5306" i="2"/>
  <c r="AK5306" i="2" s="1"/>
  <c r="AB5305" i="2"/>
  <c r="AK5305" i="2" s="1"/>
  <c r="AB5304" i="2"/>
  <c r="AK5304" i="2" s="1"/>
  <c r="AB5060" i="2"/>
  <c r="AK5060" i="2" s="1"/>
  <c r="AB4933" i="2"/>
  <c r="AK4933" i="2" s="1"/>
  <c r="AB4922" i="2"/>
  <c r="AK4922" i="2" s="1"/>
  <c r="AB4921" i="2"/>
  <c r="AK4921" i="2" s="1"/>
  <c r="AB4920" i="2"/>
  <c r="AK4920" i="2" s="1"/>
  <c r="AB4919" i="2"/>
  <c r="AK4919" i="2" s="1"/>
  <c r="AB4918" i="2"/>
  <c r="AK4918" i="2" s="1"/>
  <c r="AB4917" i="2"/>
  <c r="AK4917" i="2" s="1"/>
  <c r="AB4916" i="2"/>
  <c r="AK4916" i="2" s="1"/>
  <c r="AB4915" i="2"/>
  <c r="AK4915" i="2" s="1"/>
  <c r="AB4914" i="2"/>
  <c r="AK4914" i="2" s="1"/>
  <c r="AB4912" i="2"/>
  <c r="AK4912" i="2" s="1"/>
  <c r="AB4911" i="2"/>
  <c r="AK4911" i="2" s="1"/>
  <c r="AB4910" i="2"/>
  <c r="AK4910" i="2" s="1"/>
  <c r="AB4272" i="2"/>
  <c r="AK4272" i="2" s="1"/>
  <c r="AB4113" i="2"/>
  <c r="AK4113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AB175" i="2"/>
  <c r="AK175" i="2" s="1"/>
  <c r="AB31" i="2"/>
  <c r="AK31" i="2" s="1"/>
  <c r="Y2657" i="2"/>
  <c r="Y2697" i="2"/>
  <c r="Y2700" i="2"/>
  <c r="Y2721" i="2"/>
  <c r="Y2722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5333" i="2"/>
  <c r="Y6080" i="2"/>
  <c r="Y6103" i="2"/>
  <c r="Y638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3" i="2"/>
  <c r="Y8034" i="2"/>
  <c r="Y8132" i="2"/>
  <c r="Y8142" i="2"/>
  <c r="Y8143" i="2"/>
  <c r="V8185" i="2"/>
  <c r="AD8185" i="2" s="1"/>
  <c r="Y8185" i="2" s="1"/>
  <c r="V8184" i="2"/>
  <c r="AD8184" i="2" s="1"/>
  <c r="Y8184" i="2" s="1"/>
  <c r="V8183" i="2"/>
  <c r="AD8183" i="2" s="1"/>
  <c r="Y8183" i="2" s="1"/>
  <c r="V8182" i="2"/>
  <c r="AD8182" i="2" s="1"/>
  <c r="Y8182" i="2" s="1"/>
  <c r="V8181" i="2"/>
  <c r="AD8181" i="2" s="1"/>
  <c r="Y8181" i="2" s="1"/>
  <c r="V8180" i="2"/>
  <c r="AD8180" i="2" s="1"/>
  <c r="Y8180" i="2" s="1"/>
  <c r="V8179" i="2"/>
  <c r="AD8179" i="2" s="1"/>
  <c r="Y8179" i="2" s="1"/>
  <c r="V8178" i="2"/>
  <c r="AD8178" i="2" s="1"/>
  <c r="Y8178" i="2" s="1"/>
  <c r="V8177" i="2"/>
  <c r="AD8177" i="2" s="1"/>
  <c r="Y8177" i="2" s="1"/>
  <c r="V8176" i="2"/>
  <c r="AD8176" i="2" s="1"/>
  <c r="Y8176" i="2" s="1"/>
  <c r="V8175" i="2"/>
  <c r="AD8175" i="2" s="1"/>
  <c r="Y8175" i="2" s="1"/>
  <c r="V8174" i="2"/>
  <c r="AD8174" i="2" s="1"/>
  <c r="Y8174" i="2" s="1"/>
  <c r="V8173" i="2"/>
  <c r="AD8173" i="2" s="1"/>
  <c r="Y8173" i="2" s="1"/>
  <c r="V8172" i="2"/>
  <c r="AD8172" i="2" s="1"/>
  <c r="Y8172" i="2" s="1"/>
  <c r="V8171" i="2"/>
  <c r="AD8171" i="2" s="1"/>
  <c r="Y8171" i="2" s="1"/>
  <c r="V8170" i="2"/>
  <c r="AD8170" i="2" s="1"/>
  <c r="Y8170" i="2" s="1"/>
  <c r="V8169" i="2"/>
  <c r="AD8169" i="2" s="1"/>
  <c r="Y8169" i="2" s="1"/>
  <c r="V8168" i="2"/>
  <c r="AD8168" i="2" s="1"/>
  <c r="Y8168" i="2" s="1"/>
  <c r="V8167" i="2"/>
  <c r="AD8167" i="2" s="1"/>
  <c r="Y8167" i="2" s="1"/>
  <c r="V8166" i="2"/>
  <c r="AD8166" i="2" s="1"/>
  <c r="Y8166" i="2" s="1"/>
  <c r="V8165" i="2"/>
  <c r="AD8165" i="2" s="1"/>
  <c r="Y8165" i="2" s="1"/>
  <c r="V8164" i="2"/>
  <c r="AD8164" i="2" s="1"/>
  <c r="Y8164" i="2" s="1"/>
  <c r="V8163" i="2"/>
  <c r="AD8163" i="2" s="1"/>
  <c r="Y8163" i="2" s="1"/>
  <c r="V8162" i="2"/>
  <c r="AD8162" i="2" s="1"/>
  <c r="Y8162" i="2" s="1"/>
  <c r="V8161" i="2"/>
  <c r="AD8161" i="2" s="1"/>
  <c r="Y8161" i="2" s="1"/>
  <c r="V8160" i="2"/>
  <c r="AD8160" i="2" s="1"/>
  <c r="Y8160" i="2" s="1"/>
  <c r="V8159" i="2"/>
  <c r="AD8159" i="2" s="1"/>
  <c r="Y8159" i="2" s="1"/>
  <c r="V8158" i="2"/>
  <c r="AD8158" i="2" s="1"/>
  <c r="Y8158" i="2" s="1"/>
  <c r="V8157" i="2"/>
  <c r="AD8157" i="2" s="1"/>
  <c r="Y8157" i="2" s="1"/>
  <c r="V8156" i="2"/>
  <c r="AD8156" i="2" s="1"/>
  <c r="Y8156" i="2" s="1"/>
  <c r="V8155" i="2"/>
  <c r="AD8155" i="2" s="1"/>
  <c r="Y8155" i="2" s="1"/>
  <c r="V8154" i="2"/>
  <c r="AD8154" i="2" s="1"/>
  <c r="Y8154" i="2" s="1"/>
  <c r="V8153" i="2"/>
  <c r="AD8153" i="2" s="1"/>
  <c r="Y8153" i="2" s="1"/>
  <c r="V8152" i="2"/>
  <c r="AD8152" i="2" s="1"/>
  <c r="Y8152" i="2" s="1"/>
  <c r="AA8151" i="2"/>
  <c r="AF8150" i="2"/>
  <c r="X8150" i="2"/>
  <c r="AF8149" i="2"/>
  <c r="X8149" i="2"/>
  <c r="AF8148" i="2"/>
  <c r="X8148" i="2"/>
  <c r="AF8147" i="2"/>
  <c r="X8147" i="2"/>
  <c r="AF8146" i="2"/>
  <c r="X8146" i="2"/>
  <c r="AF8145" i="2"/>
  <c r="X8145" i="2"/>
  <c r="AF8144" i="2"/>
  <c r="X8144" i="2"/>
  <c r="AF8143" i="2"/>
  <c r="AC8143" i="2"/>
  <c r="AF8142" i="2"/>
  <c r="AC8142" i="2"/>
  <c r="AF8141" i="2"/>
  <c r="X8141" i="2"/>
  <c r="AF8140" i="2"/>
  <c r="X8140" i="2"/>
  <c r="AF8139" i="2"/>
  <c r="X8139" i="2"/>
  <c r="AF8138" i="2"/>
  <c r="X8138" i="2"/>
  <c r="AF8137" i="2"/>
  <c r="X8137" i="2"/>
  <c r="AF8136" i="2"/>
  <c r="X8136" i="2"/>
  <c r="AF8135" i="2"/>
  <c r="X8135" i="2"/>
  <c r="AF8134" i="2"/>
  <c r="X8134" i="2"/>
  <c r="AF8133" i="2"/>
  <c r="X8133" i="2"/>
  <c r="AF8132" i="2"/>
  <c r="AC8132" i="2"/>
  <c r="AF8131" i="2"/>
  <c r="X8131" i="2"/>
  <c r="AF8130" i="2"/>
  <c r="X8130" i="2"/>
  <c r="AF8129" i="2"/>
  <c r="X8129" i="2"/>
  <c r="AF8128" i="2"/>
  <c r="X8128" i="2"/>
  <c r="AF8127" i="2"/>
  <c r="X8127" i="2"/>
  <c r="AF8126" i="2"/>
  <c r="X8126" i="2"/>
  <c r="AF8125" i="2"/>
  <c r="X8125" i="2"/>
  <c r="AF8124" i="2"/>
  <c r="X8124" i="2"/>
  <c r="AF8123" i="2"/>
  <c r="X8123" i="2"/>
  <c r="AF8122" i="2"/>
  <c r="X8122" i="2"/>
  <c r="AF8121" i="2"/>
  <c r="X8121" i="2"/>
  <c r="AF8120" i="2"/>
  <c r="X8120" i="2"/>
  <c r="AH8119" i="2"/>
  <c r="AD8119" i="2"/>
  <c r="AF8119" i="2" s="1"/>
  <c r="X8119" i="2"/>
  <c r="W8119" i="2"/>
  <c r="AH8118" i="2"/>
  <c r="AD8118" i="2"/>
  <c r="AF8118" i="2" s="1"/>
  <c r="X8118" i="2"/>
  <c r="W8118" i="2"/>
  <c r="AH8117" i="2"/>
  <c r="AD8117" i="2"/>
  <c r="AF8117" i="2" s="1"/>
  <c r="X8117" i="2"/>
  <c r="W8117" i="2"/>
  <c r="AH8116" i="2"/>
  <c r="AD8116" i="2"/>
  <c r="AF8116" i="2" s="1"/>
  <c r="X8116" i="2"/>
  <c r="W8116" i="2"/>
  <c r="AH8115" i="2"/>
  <c r="AD8115" i="2"/>
  <c r="AF8115" i="2" s="1"/>
  <c r="X8115" i="2"/>
  <c r="W8115" i="2"/>
  <c r="AH8114" i="2"/>
  <c r="AD8114" i="2"/>
  <c r="AF8114" i="2" s="1"/>
  <c r="X8114" i="2"/>
  <c r="W8114" i="2"/>
  <c r="AH8113" i="2"/>
  <c r="AD8113" i="2"/>
  <c r="AF8113" i="2" s="1"/>
  <c r="X8113" i="2"/>
  <c r="W8113" i="2"/>
  <c r="AH8112" i="2"/>
  <c r="AD8112" i="2"/>
  <c r="AF8112" i="2" s="1"/>
  <c r="X8112" i="2"/>
  <c r="W8112" i="2"/>
  <c r="AH8111" i="2"/>
  <c r="AD8111" i="2"/>
  <c r="AF8111" i="2" s="1"/>
  <c r="X8111" i="2"/>
  <c r="W8111" i="2"/>
  <c r="AH8110" i="2"/>
  <c r="AD8110" i="2"/>
  <c r="AF8110" i="2" s="1"/>
  <c r="X8110" i="2"/>
  <c r="W8110" i="2"/>
  <c r="AH8109" i="2"/>
  <c r="AD8109" i="2"/>
  <c r="AF8109" i="2" s="1"/>
  <c r="X8109" i="2"/>
  <c r="W8109" i="2"/>
  <c r="AH8108" i="2"/>
  <c r="AD8108" i="2"/>
  <c r="AF8108" i="2" s="1"/>
  <c r="X8108" i="2"/>
  <c r="W8108" i="2"/>
  <c r="AH8107" i="2"/>
  <c r="AD8107" i="2"/>
  <c r="AF8107" i="2" s="1"/>
  <c r="X8107" i="2"/>
  <c r="W8107" i="2"/>
  <c r="AH8106" i="2"/>
  <c r="AD8106" i="2"/>
  <c r="AF8106" i="2" s="1"/>
  <c r="X8106" i="2"/>
  <c r="W8106" i="2"/>
  <c r="AH8105" i="2"/>
  <c r="AD8105" i="2"/>
  <c r="AF8105" i="2" s="1"/>
  <c r="X8105" i="2"/>
  <c r="W8105" i="2"/>
  <c r="AH8104" i="2"/>
  <c r="AD8104" i="2"/>
  <c r="AF8104" i="2" s="1"/>
  <c r="X8104" i="2"/>
  <c r="W8104" i="2"/>
  <c r="AH8103" i="2"/>
  <c r="AD8103" i="2"/>
  <c r="AF8103" i="2" s="1"/>
  <c r="X8103" i="2"/>
  <c r="W8103" i="2"/>
  <c r="AH8102" i="2"/>
  <c r="AD8102" i="2"/>
  <c r="AF8102" i="2" s="1"/>
  <c r="X8102" i="2"/>
  <c r="W8102" i="2"/>
  <c r="AH8101" i="2"/>
  <c r="AD8101" i="2"/>
  <c r="AF8101" i="2" s="1"/>
  <c r="X8101" i="2"/>
  <c r="W8101" i="2"/>
  <c r="AH8100" i="2"/>
  <c r="AD8100" i="2"/>
  <c r="AF8100" i="2" s="1"/>
  <c r="X8100" i="2"/>
  <c r="W8100" i="2"/>
  <c r="AH8099" i="2"/>
  <c r="AD8099" i="2"/>
  <c r="AF8099" i="2" s="1"/>
  <c r="X8099" i="2"/>
  <c r="W8099" i="2"/>
  <c r="AH8098" i="2"/>
  <c r="AD8098" i="2"/>
  <c r="AF8098" i="2" s="1"/>
  <c r="X8098" i="2"/>
  <c r="W8098" i="2"/>
  <c r="AH8097" i="2"/>
  <c r="AD8097" i="2"/>
  <c r="AF8097" i="2" s="1"/>
  <c r="X8097" i="2"/>
  <c r="W8097" i="2"/>
  <c r="AH8096" i="2"/>
  <c r="AD8096" i="2"/>
  <c r="AF8096" i="2"/>
  <c r="X8096" i="2"/>
  <c r="W8096" i="2"/>
  <c r="AH8095" i="2"/>
  <c r="AD8095" i="2"/>
  <c r="AF8095" i="2" s="1"/>
  <c r="X8095" i="2"/>
  <c r="W8095" i="2"/>
  <c r="AH8094" i="2"/>
  <c r="AD8094" i="2"/>
  <c r="AF8094" i="2" s="1"/>
  <c r="X8094" i="2"/>
  <c r="W8094" i="2"/>
  <c r="AH8093" i="2"/>
  <c r="AD8093" i="2"/>
  <c r="AF8093" i="2" s="1"/>
  <c r="X8093" i="2"/>
  <c r="W8093" i="2"/>
  <c r="AH8092" i="2"/>
  <c r="AD8092" i="2"/>
  <c r="AF8092" i="2" s="1"/>
  <c r="X8092" i="2"/>
  <c r="W8092" i="2"/>
  <c r="AH8091" i="2"/>
  <c r="AD8091" i="2"/>
  <c r="AF8091" i="2" s="1"/>
  <c r="X8091" i="2"/>
  <c r="W8091" i="2"/>
  <c r="AH8090" i="2"/>
  <c r="AD8090" i="2"/>
  <c r="AF8090" i="2" s="1"/>
  <c r="X8090" i="2"/>
  <c r="W8090" i="2"/>
  <c r="AH8089" i="2"/>
  <c r="AD8089" i="2"/>
  <c r="AF8089" i="2" s="1"/>
  <c r="X8089" i="2"/>
  <c r="W8089" i="2"/>
  <c r="AH8088" i="2"/>
  <c r="AD8088" i="2"/>
  <c r="AF8088" i="2" s="1"/>
  <c r="X8088" i="2"/>
  <c r="W8088" i="2"/>
  <c r="AH8087" i="2"/>
  <c r="AD8087" i="2"/>
  <c r="AF8087" i="2" s="1"/>
  <c r="X8087" i="2"/>
  <c r="W8087" i="2"/>
  <c r="AH8086" i="2"/>
  <c r="AD8086" i="2"/>
  <c r="AF8086" i="2" s="1"/>
  <c r="X8086" i="2"/>
  <c r="W8086" i="2"/>
  <c r="AH8085" i="2"/>
  <c r="AD8085" i="2"/>
  <c r="AF8085" i="2" s="1"/>
  <c r="X8085" i="2"/>
  <c r="W8085" i="2"/>
  <c r="AH8084" i="2"/>
  <c r="AD8084" i="2"/>
  <c r="AF8084" i="2" s="1"/>
  <c r="X8084" i="2"/>
  <c r="W8084" i="2"/>
  <c r="AH8083" i="2"/>
  <c r="AD8083" i="2"/>
  <c r="AF8083" i="2" s="1"/>
  <c r="X8083" i="2"/>
  <c r="W8083" i="2"/>
  <c r="AH8082" i="2"/>
  <c r="AD8082" i="2"/>
  <c r="AF8082" i="2" s="1"/>
  <c r="X8082" i="2"/>
  <c r="W8082" i="2"/>
  <c r="AH8081" i="2"/>
  <c r="AD8081" i="2"/>
  <c r="AF8081" i="2" s="1"/>
  <c r="X8081" i="2"/>
  <c r="W8081" i="2"/>
  <c r="AH8080" i="2"/>
  <c r="AD8080" i="2"/>
  <c r="AF8080" i="2" s="1"/>
  <c r="X8080" i="2"/>
  <c r="W8080" i="2"/>
  <c r="AH8079" i="2"/>
  <c r="AD8079" i="2"/>
  <c r="AF8079" i="2" s="1"/>
  <c r="X8079" i="2"/>
  <c r="W8079" i="2"/>
  <c r="AH8078" i="2"/>
  <c r="AD8078" i="2"/>
  <c r="AF8078" i="2" s="1"/>
  <c r="X8078" i="2"/>
  <c r="W8078" i="2"/>
  <c r="AH8077" i="2"/>
  <c r="AD8077" i="2"/>
  <c r="AF8077" i="2" s="1"/>
  <c r="X8077" i="2"/>
  <c r="W8077" i="2"/>
  <c r="AH8076" i="2"/>
  <c r="AD8076" i="2"/>
  <c r="AF8076" i="2" s="1"/>
  <c r="X8076" i="2"/>
  <c r="W8076" i="2"/>
  <c r="AF8075" i="2"/>
  <c r="X8075" i="2"/>
  <c r="W8075" i="2"/>
  <c r="AF8074" i="2"/>
  <c r="X8074" i="2"/>
  <c r="AF8073" i="2"/>
  <c r="X8073" i="2"/>
  <c r="AF8072" i="2"/>
  <c r="X8072" i="2"/>
  <c r="AF8071" i="2"/>
  <c r="X8071" i="2"/>
  <c r="W8071" i="2"/>
  <c r="AF8070" i="2"/>
  <c r="X8070" i="2"/>
  <c r="AF8069" i="2"/>
  <c r="X8069" i="2"/>
  <c r="AF8068" i="2"/>
  <c r="X8068" i="2"/>
  <c r="W8068" i="2"/>
  <c r="AF8067" i="2"/>
  <c r="X8067" i="2"/>
  <c r="W8067" i="2"/>
  <c r="AF8066" i="2"/>
  <c r="X8066" i="2"/>
  <c r="W8066" i="2"/>
  <c r="AF8065" i="2"/>
  <c r="X8065" i="2"/>
  <c r="W8065" i="2"/>
  <c r="AF8064" i="2"/>
  <c r="X8064" i="2"/>
  <c r="W8064" i="2"/>
  <c r="AF8063" i="2"/>
  <c r="X8063" i="2"/>
  <c r="W8063" i="2"/>
  <c r="AF8062" i="2"/>
  <c r="X8062" i="2"/>
  <c r="W8062" i="2"/>
  <c r="AF8061" i="2"/>
  <c r="X8061" i="2"/>
  <c r="AF8060" i="2"/>
  <c r="X8060" i="2"/>
  <c r="AF8059" i="2"/>
  <c r="X8059" i="2"/>
  <c r="AF8058" i="2"/>
  <c r="X8058" i="2"/>
  <c r="W8058" i="2"/>
  <c r="AF8057" i="2"/>
  <c r="X8057" i="2"/>
  <c r="W8057" i="2"/>
  <c r="AF8056" i="2"/>
  <c r="X8056" i="2"/>
  <c r="W8056" i="2"/>
  <c r="AF8055" i="2"/>
  <c r="X8055" i="2"/>
  <c r="W8055" i="2"/>
  <c r="AF8054" i="2"/>
  <c r="X8054" i="2"/>
  <c r="W8054" i="2"/>
  <c r="AF8053" i="2"/>
  <c r="X8053" i="2"/>
  <c r="W8053" i="2"/>
  <c r="AF8052" i="2"/>
  <c r="X8052" i="2"/>
  <c r="W8052" i="2"/>
  <c r="AF8051" i="2"/>
  <c r="X8051" i="2"/>
  <c r="W8051" i="2"/>
  <c r="AF8050" i="2"/>
  <c r="X8050" i="2"/>
  <c r="W8050" i="2"/>
  <c r="AF8049" i="2"/>
  <c r="X8049" i="2"/>
  <c r="AF8048" i="2"/>
  <c r="X8048" i="2"/>
  <c r="AF8047" i="2"/>
  <c r="X8047" i="2"/>
  <c r="W8047" i="2"/>
  <c r="AF8046" i="2"/>
  <c r="X8046" i="2"/>
  <c r="W8046" i="2"/>
  <c r="AF8045" i="2"/>
  <c r="X8045" i="2"/>
  <c r="W8045" i="2"/>
  <c r="AF8044" i="2"/>
  <c r="X8044" i="2"/>
  <c r="W8044" i="2"/>
  <c r="AF8043" i="2"/>
  <c r="X8043" i="2"/>
  <c r="W8043" i="2"/>
  <c r="AF8042" i="2"/>
  <c r="X8042" i="2"/>
  <c r="AF8041" i="2"/>
  <c r="X8041" i="2"/>
  <c r="AF8040" i="2"/>
  <c r="X8040" i="2"/>
  <c r="AF8039" i="2"/>
  <c r="X8039" i="2"/>
  <c r="W8039" i="2"/>
  <c r="AF8038" i="2"/>
  <c r="X8038" i="2"/>
  <c r="AF8037" i="2"/>
  <c r="X8037" i="2"/>
  <c r="AF8036" i="2"/>
  <c r="X8036" i="2"/>
  <c r="AF8035" i="2"/>
  <c r="X8035" i="2"/>
  <c r="W8035" i="2"/>
  <c r="AF8034" i="2"/>
  <c r="AC8034" i="2"/>
  <c r="AF8033" i="2"/>
  <c r="AC8033" i="2"/>
  <c r="AH8032" i="2"/>
  <c r="AE8032" i="2"/>
  <c r="AF8032" i="2" s="1"/>
  <c r="X8032" i="2"/>
  <c r="W8032" i="2"/>
  <c r="AH8031" i="2"/>
  <c r="AE8031" i="2"/>
  <c r="AF8031" i="2" s="1"/>
  <c r="X8031" i="2"/>
  <c r="W8031" i="2"/>
  <c r="AH8030" i="2"/>
  <c r="AD8030" i="2"/>
  <c r="Y8030" i="2" s="1"/>
  <c r="W8030" i="2"/>
  <c r="AE8029" i="2"/>
  <c r="AF8029" i="2" s="1"/>
  <c r="AC8029" i="2"/>
  <c r="AE8028" i="2"/>
  <c r="AF8028" i="2" s="1"/>
  <c r="AC8028" i="2"/>
  <c r="AF8027" i="2"/>
  <c r="AC8027" i="2"/>
  <c r="AE8026" i="2"/>
  <c r="AF8026" i="2" s="1"/>
  <c r="AC8026" i="2"/>
  <c r="AA8026" i="2"/>
  <c r="AB8026" i="2"/>
  <c r="AK8026" i="2" s="1"/>
  <c r="AE8025" i="2"/>
  <c r="AF8025" i="2" s="1"/>
  <c r="AC8025" i="2"/>
  <c r="AE8024" i="2"/>
  <c r="AF8024" i="2" s="1"/>
  <c r="AC8024" i="2"/>
  <c r="AF8023" i="2"/>
  <c r="AC8023" i="2"/>
  <c r="AE8022" i="2"/>
  <c r="AF8022" i="2" s="1"/>
  <c r="AC8022" i="2"/>
  <c r="AF8021" i="2"/>
  <c r="AC8021" i="2"/>
  <c r="AE8020" i="2"/>
  <c r="AF8020" i="2" s="1"/>
  <c r="AC8020" i="2"/>
  <c r="AE8019" i="2"/>
  <c r="AF8019" i="2" s="1"/>
  <c r="AC8019" i="2"/>
  <c r="AE8018" i="2"/>
  <c r="AF8018" i="2" s="1"/>
  <c r="AC8018" i="2"/>
  <c r="AF8017" i="2"/>
  <c r="AC8017" i="2"/>
  <c r="AF8016" i="2"/>
  <c r="AC8016" i="2"/>
  <c r="AF8015" i="2"/>
  <c r="AC8015" i="2"/>
  <c r="AF8014" i="2"/>
  <c r="AC8014" i="2"/>
  <c r="AF8013" i="2"/>
  <c r="AC8013" i="2"/>
  <c r="AA8013" i="2"/>
  <c r="AB8013" i="2"/>
  <c r="AK8013" i="2" s="1"/>
  <c r="AD8012" i="2"/>
  <c r="AF8012" i="2" s="1"/>
  <c r="X8012" i="2"/>
  <c r="W8012" i="2"/>
  <c r="AD8011" i="2"/>
  <c r="X8011" i="2"/>
  <c r="W8011" i="2"/>
  <c r="AD8010" i="2"/>
  <c r="X8010" i="2"/>
  <c r="W8010" i="2"/>
  <c r="AD8009" i="2"/>
  <c r="AH8009" i="2" s="1"/>
  <c r="X8009" i="2"/>
  <c r="W8009" i="2"/>
  <c r="AD8008" i="2"/>
  <c r="AF8008" i="2" s="1"/>
  <c r="X8008" i="2"/>
  <c r="W8008" i="2"/>
  <c r="AD8007" i="2"/>
  <c r="X8007" i="2"/>
  <c r="W8007" i="2"/>
  <c r="AD8006" i="2"/>
  <c r="AF8006" i="2" s="1"/>
  <c r="X8006" i="2"/>
  <c r="W8006" i="2"/>
  <c r="AD8005" i="2"/>
  <c r="AH8005" i="2" s="1"/>
  <c r="X8005" i="2"/>
  <c r="W8005" i="2"/>
  <c r="AD8004" i="2"/>
  <c r="AF8004" i="2" s="1"/>
  <c r="X8004" i="2"/>
  <c r="W8004" i="2"/>
  <c r="AD8003" i="2"/>
  <c r="X8003" i="2"/>
  <c r="W8003" i="2"/>
  <c r="AD8002" i="2"/>
  <c r="AH8002" i="2" s="1"/>
  <c r="X8002" i="2"/>
  <c r="W8002" i="2"/>
  <c r="AD8001" i="2"/>
  <c r="X8001" i="2"/>
  <c r="W8001" i="2"/>
  <c r="AD8000" i="2"/>
  <c r="AF8000" i="2" s="1"/>
  <c r="X8000" i="2"/>
  <c r="W8000" i="2"/>
  <c r="AD7999" i="2"/>
  <c r="X7999" i="2"/>
  <c r="W7999" i="2"/>
  <c r="AD7998" i="2"/>
  <c r="AH7998" i="2" s="1"/>
  <c r="X7998" i="2"/>
  <c r="W7998" i="2"/>
  <c r="AD7997" i="2"/>
  <c r="X7997" i="2"/>
  <c r="W7997" i="2"/>
  <c r="AD7996" i="2"/>
  <c r="AF7996" i="2" s="1"/>
  <c r="X7996" i="2"/>
  <c r="W7996" i="2"/>
  <c r="AD7995" i="2"/>
  <c r="X7995" i="2"/>
  <c r="W7995" i="2"/>
  <c r="AD7994" i="2"/>
  <c r="X7994" i="2"/>
  <c r="W7994" i="2"/>
  <c r="AD7993" i="2"/>
  <c r="AH7993" i="2" s="1"/>
  <c r="X7993" i="2"/>
  <c r="W7993" i="2"/>
  <c r="AD7992" i="2"/>
  <c r="AF7992" i="2" s="1"/>
  <c r="X7992" i="2"/>
  <c r="W7992" i="2"/>
  <c r="AD7991" i="2"/>
  <c r="X7991" i="2"/>
  <c r="W7991" i="2"/>
  <c r="AD7990" i="2"/>
  <c r="AF7990" i="2" s="1"/>
  <c r="X7990" i="2"/>
  <c r="W7990" i="2"/>
  <c r="AD7989" i="2"/>
  <c r="AH7989" i="2" s="1"/>
  <c r="X7989" i="2"/>
  <c r="W7989" i="2"/>
  <c r="AD7988" i="2"/>
  <c r="AF7988" i="2" s="1"/>
  <c r="X7988" i="2"/>
  <c r="W7988" i="2"/>
  <c r="AH7987" i="2"/>
  <c r="AE7987" i="2"/>
  <c r="AD7987" i="2"/>
  <c r="X7987" i="2"/>
  <c r="W7987" i="2"/>
  <c r="AH7986" i="2"/>
  <c r="AE7986" i="2"/>
  <c r="AD7986" i="2"/>
  <c r="X7986" i="2"/>
  <c r="W7986" i="2"/>
  <c r="AH7985" i="2"/>
  <c r="AE7985" i="2"/>
  <c r="AD7985" i="2"/>
  <c r="X7985" i="2"/>
  <c r="W7985" i="2"/>
  <c r="AH7984" i="2"/>
  <c r="AE7984" i="2"/>
  <c r="AD7984" i="2"/>
  <c r="X7984" i="2"/>
  <c r="W7984" i="2"/>
  <c r="AH7983" i="2"/>
  <c r="AE7983" i="2"/>
  <c r="AD7983" i="2"/>
  <c r="X7983" i="2"/>
  <c r="W7983" i="2"/>
  <c r="AH7982" i="2"/>
  <c r="AE7982" i="2"/>
  <c r="AD7982" i="2"/>
  <c r="X7982" i="2"/>
  <c r="W7982" i="2"/>
  <c r="AH7981" i="2"/>
  <c r="AE7981" i="2"/>
  <c r="AD7981" i="2"/>
  <c r="X7981" i="2"/>
  <c r="W7981" i="2"/>
  <c r="AH7980" i="2"/>
  <c r="AE7980" i="2"/>
  <c r="AD7980" i="2"/>
  <c r="X7980" i="2"/>
  <c r="W7980" i="2"/>
  <c r="AH7979" i="2"/>
  <c r="AE7979" i="2"/>
  <c r="AD7979" i="2"/>
  <c r="X7979" i="2"/>
  <c r="W7979" i="2"/>
  <c r="AH7978" i="2"/>
  <c r="AE7978" i="2"/>
  <c r="AD7978" i="2"/>
  <c r="X7978" i="2"/>
  <c r="W7978" i="2"/>
  <c r="AH7977" i="2"/>
  <c r="AE7977" i="2"/>
  <c r="AD7977" i="2"/>
  <c r="X7977" i="2"/>
  <c r="W7977" i="2"/>
  <c r="AH7976" i="2"/>
  <c r="AE7976" i="2"/>
  <c r="AD7976" i="2"/>
  <c r="X7976" i="2"/>
  <c r="W7976" i="2"/>
  <c r="AH7975" i="2"/>
  <c r="AE7975" i="2"/>
  <c r="AD7975" i="2"/>
  <c r="X7975" i="2"/>
  <c r="W7975" i="2"/>
  <c r="AH7974" i="2"/>
  <c r="AE7974" i="2"/>
  <c r="AD7974" i="2"/>
  <c r="X7974" i="2"/>
  <c r="W7974" i="2"/>
  <c r="AH7973" i="2"/>
  <c r="AE7973" i="2"/>
  <c r="AD7973" i="2"/>
  <c r="X7973" i="2"/>
  <c r="W7973" i="2"/>
  <c r="AH7972" i="2"/>
  <c r="AE7972" i="2"/>
  <c r="AD7972" i="2"/>
  <c r="X7972" i="2"/>
  <c r="W7972" i="2"/>
  <c r="AH7971" i="2"/>
  <c r="AE7971" i="2"/>
  <c r="AD7971" i="2"/>
  <c r="X7971" i="2"/>
  <c r="W7971" i="2"/>
  <c r="AH7970" i="2"/>
  <c r="AE7970" i="2"/>
  <c r="AD7970" i="2"/>
  <c r="X7970" i="2"/>
  <c r="W7970" i="2"/>
  <c r="AH7969" i="2"/>
  <c r="AE7969" i="2"/>
  <c r="AD7969" i="2"/>
  <c r="X7969" i="2"/>
  <c r="W7969" i="2"/>
  <c r="AH7968" i="2"/>
  <c r="AE7968" i="2"/>
  <c r="AD7968" i="2"/>
  <c r="X7968" i="2"/>
  <c r="W7968" i="2"/>
  <c r="AH7967" i="2"/>
  <c r="AE7967" i="2"/>
  <c r="AD7967" i="2"/>
  <c r="X7967" i="2"/>
  <c r="W7967" i="2"/>
  <c r="AH7966" i="2"/>
  <c r="AE7966" i="2"/>
  <c r="AD7966" i="2"/>
  <c r="X7966" i="2"/>
  <c r="W7966" i="2"/>
  <c r="AH7965" i="2"/>
  <c r="AE7965" i="2"/>
  <c r="AD7965" i="2"/>
  <c r="X7965" i="2"/>
  <c r="W7965" i="2"/>
  <c r="AH7964" i="2"/>
  <c r="AE7964" i="2"/>
  <c r="AD7964" i="2"/>
  <c r="X7964" i="2"/>
  <c r="W7964" i="2"/>
  <c r="AH7963" i="2"/>
  <c r="AE7963" i="2"/>
  <c r="AD7963" i="2"/>
  <c r="X7963" i="2"/>
  <c r="W7963" i="2"/>
  <c r="AH7962" i="2"/>
  <c r="AE7962" i="2"/>
  <c r="AD7962" i="2"/>
  <c r="X7962" i="2"/>
  <c r="W7962" i="2"/>
  <c r="AH7961" i="2"/>
  <c r="AE7961" i="2"/>
  <c r="AD7961" i="2"/>
  <c r="X7961" i="2"/>
  <c r="W7961" i="2"/>
  <c r="AH7960" i="2"/>
  <c r="AE7960" i="2"/>
  <c r="AD7960" i="2"/>
  <c r="X7960" i="2"/>
  <c r="W7960" i="2"/>
  <c r="AH7959" i="2"/>
  <c r="AE7959" i="2"/>
  <c r="AD7959" i="2"/>
  <c r="X7959" i="2"/>
  <c r="W7959" i="2"/>
  <c r="AH7958" i="2"/>
  <c r="AE7958" i="2"/>
  <c r="AD7958" i="2"/>
  <c r="X7958" i="2"/>
  <c r="W7958" i="2"/>
  <c r="AH7957" i="2"/>
  <c r="AE7957" i="2"/>
  <c r="AD7957" i="2"/>
  <c r="X7957" i="2"/>
  <c r="W7957" i="2"/>
  <c r="AH7956" i="2"/>
  <c r="AE7956" i="2"/>
  <c r="AD7956" i="2"/>
  <c r="X7956" i="2"/>
  <c r="W7956" i="2"/>
  <c r="AH7955" i="2"/>
  <c r="AE7955" i="2"/>
  <c r="AD7955" i="2"/>
  <c r="X7955" i="2"/>
  <c r="W7955" i="2"/>
  <c r="AH7954" i="2"/>
  <c r="AE7954" i="2"/>
  <c r="AD7954" i="2"/>
  <c r="X7954" i="2"/>
  <c r="W7954" i="2"/>
  <c r="AH7953" i="2"/>
  <c r="AE7953" i="2"/>
  <c r="AD7953" i="2"/>
  <c r="X7953" i="2"/>
  <c r="AH7952" i="2"/>
  <c r="AE7952" i="2"/>
  <c r="AD7952" i="2"/>
  <c r="X7952" i="2"/>
  <c r="W7952" i="2"/>
  <c r="AH7951" i="2"/>
  <c r="AE7951" i="2"/>
  <c r="AD7951" i="2"/>
  <c r="X7951" i="2"/>
  <c r="W7951" i="2"/>
  <c r="AH7950" i="2"/>
  <c r="AE7950" i="2"/>
  <c r="AD7950" i="2"/>
  <c r="X7950" i="2"/>
  <c r="W7950" i="2"/>
  <c r="AH7949" i="2"/>
  <c r="AE7949" i="2"/>
  <c r="AD7949" i="2"/>
  <c r="X7949" i="2"/>
  <c r="W7949" i="2"/>
  <c r="AH7948" i="2"/>
  <c r="AE7948" i="2"/>
  <c r="AD7948" i="2"/>
  <c r="X7948" i="2"/>
  <c r="W7948" i="2"/>
  <c r="AH7947" i="2"/>
  <c r="AE7947" i="2"/>
  <c r="AD7947" i="2"/>
  <c r="X7947" i="2"/>
  <c r="W7947" i="2"/>
  <c r="AH7946" i="2"/>
  <c r="AE7946" i="2"/>
  <c r="AD7946" i="2"/>
  <c r="X7946" i="2"/>
  <c r="W7946" i="2"/>
  <c r="AH7945" i="2"/>
  <c r="AE7945" i="2"/>
  <c r="AD7945" i="2"/>
  <c r="X7945" i="2"/>
  <c r="W7945" i="2"/>
  <c r="AH7944" i="2"/>
  <c r="AE7944" i="2"/>
  <c r="AD7944" i="2"/>
  <c r="X7944" i="2"/>
  <c r="W7944" i="2"/>
  <c r="AH7943" i="2"/>
  <c r="AE7943" i="2"/>
  <c r="AD7943" i="2"/>
  <c r="X7943" i="2"/>
  <c r="W7943" i="2"/>
  <c r="AH7942" i="2"/>
  <c r="AE7942" i="2"/>
  <c r="AD7942" i="2"/>
  <c r="X7942" i="2"/>
  <c r="W7942" i="2"/>
  <c r="AH7941" i="2"/>
  <c r="AE7941" i="2"/>
  <c r="AD7941" i="2"/>
  <c r="X7941" i="2"/>
  <c r="AH7940" i="2"/>
  <c r="AE7940" i="2"/>
  <c r="AD7940" i="2"/>
  <c r="X7940" i="2"/>
  <c r="W7940" i="2"/>
  <c r="AH7939" i="2"/>
  <c r="AE7939" i="2"/>
  <c r="AD7939" i="2"/>
  <c r="X7939" i="2"/>
  <c r="W7939" i="2"/>
  <c r="AH7938" i="2"/>
  <c r="AE7938" i="2"/>
  <c r="AD7938" i="2"/>
  <c r="X7938" i="2"/>
  <c r="W7938" i="2"/>
  <c r="AH7937" i="2"/>
  <c r="AE7937" i="2"/>
  <c r="AD7937" i="2"/>
  <c r="X7937" i="2"/>
  <c r="W7937" i="2"/>
  <c r="AH7936" i="2"/>
  <c r="AE7936" i="2"/>
  <c r="AD7936" i="2"/>
  <c r="X7936" i="2"/>
  <c r="W7936" i="2"/>
  <c r="AH7935" i="2"/>
  <c r="AE7935" i="2"/>
  <c r="AD7935" i="2"/>
  <c r="X7935" i="2"/>
  <c r="W7935" i="2"/>
  <c r="AH7934" i="2"/>
  <c r="AE7934" i="2"/>
  <c r="AD7934" i="2"/>
  <c r="X7934" i="2"/>
  <c r="W7934" i="2"/>
  <c r="AH7933" i="2"/>
  <c r="AE7933" i="2"/>
  <c r="AD7933" i="2"/>
  <c r="X7933" i="2"/>
  <c r="W7933" i="2"/>
  <c r="AH7932" i="2"/>
  <c r="AE7932" i="2"/>
  <c r="AD7932" i="2"/>
  <c r="X7932" i="2"/>
  <c r="W7932" i="2"/>
  <c r="AH7931" i="2"/>
  <c r="AE7931" i="2"/>
  <c r="AD7931" i="2"/>
  <c r="X7931" i="2"/>
  <c r="W7931" i="2"/>
  <c r="AH7930" i="2"/>
  <c r="AE7930" i="2"/>
  <c r="AD7930" i="2"/>
  <c r="X7930" i="2"/>
  <c r="W7930" i="2"/>
  <c r="AH7929" i="2"/>
  <c r="AE7929" i="2"/>
  <c r="AD7929" i="2"/>
  <c r="X7929" i="2"/>
  <c r="W7929" i="2"/>
  <c r="AH7928" i="2"/>
  <c r="AE7928" i="2"/>
  <c r="AD7928" i="2"/>
  <c r="X7928" i="2"/>
  <c r="W7928" i="2"/>
  <c r="AH7927" i="2"/>
  <c r="AE7927" i="2"/>
  <c r="AD7927" i="2"/>
  <c r="X7927" i="2"/>
  <c r="W7927" i="2"/>
  <c r="AH7926" i="2"/>
  <c r="AE7926" i="2"/>
  <c r="AD7926" i="2"/>
  <c r="X7926" i="2"/>
  <c r="W7926" i="2"/>
  <c r="AH7925" i="2"/>
  <c r="AE7925" i="2"/>
  <c r="AD7925" i="2"/>
  <c r="X7925" i="2"/>
  <c r="W7925" i="2"/>
  <c r="AH7924" i="2"/>
  <c r="AE7924" i="2"/>
  <c r="AD7924" i="2"/>
  <c r="X7924" i="2"/>
  <c r="W7924" i="2"/>
  <c r="AH7923" i="2"/>
  <c r="AE7923" i="2"/>
  <c r="AD7923" i="2"/>
  <c r="X7923" i="2"/>
  <c r="W7923" i="2"/>
  <c r="AH7922" i="2"/>
  <c r="AE7922" i="2"/>
  <c r="AD7922" i="2"/>
  <c r="X7922" i="2"/>
  <c r="W7922" i="2"/>
  <c r="AH7921" i="2"/>
  <c r="AE7921" i="2"/>
  <c r="AD7921" i="2"/>
  <c r="X7921" i="2"/>
  <c r="W7921" i="2"/>
  <c r="AH7920" i="2"/>
  <c r="AE7920" i="2"/>
  <c r="AD7920" i="2"/>
  <c r="X7920" i="2"/>
  <c r="W7920" i="2"/>
  <c r="AH7919" i="2"/>
  <c r="AE7919" i="2"/>
  <c r="AD7919" i="2"/>
  <c r="X7919" i="2"/>
  <c r="W7919" i="2"/>
  <c r="AH7918" i="2"/>
  <c r="AE7918" i="2"/>
  <c r="AD7918" i="2"/>
  <c r="X7918" i="2"/>
  <c r="W7918" i="2"/>
  <c r="AH7917" i="2"/>
  <c r="AE7917" i="2"/>
  <c r="AD7917" i="2"/>
  <c r="X7917" i="2"/>
  <c r="W7917" i="2"/>
  <c r="AH7916" i="2"/>
  <c r="AE7916" i="2"/>
  <c r="AD7916" i="2"/>
  <c r="X7916" i="2"/>
  <c r="W7916" i="2"/>
  <c r="AH7915" i="2"/>
  <c r="AE7915" i="2"/>
  <c r="AD7915" i="2"/>
  <c r="X7915" i="2"/>
  <c r="W7915" i="2"/>
  <c r="AH7914" i="2"/>
  <c r="AE7914" i="2"/>
  <c r="AD7914" i="2"/>
  <c r="X7914" i="2"/>
  <c r="W7914" i="2"/>
  <c r="AH7913" i="2"/>
  <c r="AE7913" i="2"/>
  <c r="AD7913" i="2"/>
  <c r="X7913" i="2"/>
  <c r="W7913" i="2"/>
  <c r="AH7912" i="2"/>
  <c r="AE7912" i="2"/>
  <c r="AD7912" i="2"/>
  <c r="X7912" i="2"/>
  <c r="W7912" i="2"/>
  <c r="AH7911" i="2"/>
  <c r="AE7911" i="2"/>
  <c r="AD7911" i="2"/>
  <c r="X7911" i="2"/>
  <c r="W7911" i="2"/>
  <c r="AH7910" i="2"/>
  <c r="AE7910" i="2"/>
  <c r="AD7910" i="2"/>
  <c r="X7910" i="2"/>
  <c r="W7910" i="2"/>
  <c r="AH7909" i="2"/>
  <c r="AE7909" i="2"/>
  <c r="AD7909" i="2"/>
  <c r="X7909" i="2"/>
  <c r="W7909" i="2"/>
  <c r="AH7908" i="2"/>
  <c r="AE7908" i="2"/>
  <c r="AD7908" i="2"/>
  <c r="X7908" i="2"/>
  <c r="W7908" i="2"/>
  <c r="AH7907" i="2"/>
  <c r="AE7907" i="2"/>
  <c r="AD7907" i="2"/>
  <c r="X7907" i="2"/>
  <c r="W7907" i="2"/>
  <c r="AH7906" i="2"/>
  <c r="AE7906" i="2"/>
  <c r="AD7906" i="2"/>
  <c r="X7906" i="2"/>
  <c r="W7906" i="2"/>
  <c r="AH7905" i="2"/>
  <c r="AE7905" i="2"/>
  <c r="AD7905" i="2"/>
  <c r="X7905" i="2"/>
  <c r="W7905" i="2"/>
  <c r="AH7904" i="2"/>
  <c r="AE7904" i="2"/>
  <c r="AD7904" i="2"/>
  <c r="X7904" i="2"/>
  <c r="W7904" i="2"/>
  <c r="AH7903" i="2"/>
  <c r="AE7903" i="2"/>
  <c r="AD7903" i="2"/>
  <c r="X7903" i="2"/>
  <c r="W7903" i="2"/>
  <c r="AH7902" i="2"/>
  <c r="AE7902" i="2"/>
  <c r="AD7902" i="2"/>
  <c r="X7902" i="2"/>
  <c r="W7902" i="2"/>
  <c r="AH7901" i="2"/>
  <c r="AE7901" i="2"/>
  <c r="AD7901" i="2"/>
  <c r="X7901" i="2"/>
  <c r="W7901" i="2"/>
  <c r="AH7900" i="2"/>
  <c r="AE7900" i="2"/>
  <c r="AD7900" i="2"/>
  <c r="X7900" i="2"/>
  <c r="W7900" i="2"/>
  <c r="AH7899" i="2"/>
  <c r="AE7899" i="2"/>
  <c r="AD7899" i="2"/>
  <c r="X7899" i="2"/>
  <c r="W7899" i="2"/>
  <c r="AH7898" i="2"/>
  <c r="AE7898" i="2"/>
  <c r="AD7898" i="2"/>
  <c r="X7898" i="2"/>
  <c r="W7898" i="2"/>
  <c r="AH7897" i="2"/>
  <c r="AE7897" i="2"/>
  <c r="AD7897" i="2"/>
  <c r="X7897" i="2"/>
  <c r="W7897" i="2"/>
  <c r="AH7896" i="2"/>
  <c r="AE7896" i="2"/>
  <c r="AD7896" i="2"/>
  <c r="X7896" i="2"/>
  <c r="W7896" i="2"/>
  <c r="AH7895" i="2"/>
  <c r="AE7895" i="2"/>
  <c r="AD7895" i="2"/>
  <c r="X7895" i="2"/>
  <c r="AK7895" i="2" s="1"/>
  <c r="W7895" i="2"/>
  <c r="AH7894" i="2"/>
  <c r="AE7894" i="2"/>
  <c r="AD7894" i="2"/>
  <c r="X7894" i="2"/>
  <c r="W7894" i="2"/>
  <c r="AH7893" i="2"/>
  <c r="AE7893" i="2"/>
  <c r="AD7893" i="2"/>
  <c r="X7893" i="2"/>
  <c r="W7893" i="2"/>
  <c r="AH7892" i="2"/>
  <c r="AE7892" i="2"/>
  <c r="AD7892" i="2"/>
  <c r="X7892" i="2"/>
  <c r="W7892" i="2"/>
  <c r="AH7891" i="2"/>
  <c r="AE7891" i="2"/>
  <c r="AD7891" i="2"/>
  <c r="X7891" i="2"/>
  <c r="W7891" i="2"/>
  <c r="AH7890" i="2"/>
  <c r="AE7890" i="2"/>
  <c r="AD7890" i="2"/>
  <c r="X7890" i="2"/>
  <c r="W7890" i="2"/>
  <c r="AH7889" i="2"/>
  <c r="AD7889" i="2"/>
  <c r="X7889" i="2"/>
  <c r="W7889" i="2"/>
  <c r="AH7888" i="2"/>
  <c r="AE7888" i="2"/>
  <c r="AD7888" i="2"/>
  <c r="X7888" i="2"/>
  <c r="W7888" i="2"/>
  <c r="AH7887" i="2"/>
  <c r="AE7887" i="2"/>
  <c r="AD7887" i="2"/>
  <c r="X7887" i="2"/>
  <c r="W7887" i="2"/>
  <c r="AH7886" i="2"/>
  <c r="AE7886" i="2"/>
  <c r="AD7886" i="2"/>
  <c r="X7886" i="2"/>
  <c r="W7886" i="2"/>
  <c r="AH7885" i="2"/>
  <c r="AE7885" i="2"/>
  <c r="AD7885" i="2"/>
  <c r="X7885" i="2"/>
  <c r="W7885" i="2"/>
  <c r="AH7884" i="2"/>
  <c r="AE7884" i="2"/>
  <c r="AD7884" i="2"/>
  <c r="X7884" i="2"/>
  <c r="W7884" i="2"/>
  <c r="AH7883" i="2"/>
  <c r="AE7883" i="2"/>
  <c r="AD7883" i="2"/>
  <c r="X7883" i="2"/>
  <c r="W7883" i="2"/>
  <c r="AH7882" i="2"/>
  <c r="AE7882" i="2"/>
  <c r="AD7882" i="2"/>
  <c r="X7882" i="2"/>
  <c r="W7882" i="2"/>
  <c r="AH7881" i="2"/>
  <c r="AE7881" i="2"/>
  <c r="AD7881" i="2"/>
  <c r="X7881" i="2"/>
  <c r="W7881" i="2"/>
  <c r="AH7880" i="2"/>
  <c r="AE7880" i="2"/>
  <c r="AD7880" i="2"/>
  <c r="X7880" i="2"/>
  <c r="W7880" i="2"/>
  <c r="AH7879" i="2"/>
  <c r="AE7879" i="2"/>
  <c r="AD7879" i="2"/>
  <c r="X7879" i="2"/>
  <c r="W7879" i="2"/>
  <c r="AH7878" i="2"/>
  <c r="AE7878" i="2"/>
  <c r="AD7878" i="2"/>
  <c r="X7878" i="2"/>
  <c r="W7878" i="2"/>
  <c r="AH7877" i="2"/>
  <c r="AE7877" i="2"/>
  <c r="AD7877" i="2"/>
  <c r="X7877" i="2"/>
  <c r="W7877" i="2"/>
  <c r="AH7876" i="2"/>
  <c r="AE7876" i="2"/>
  <c r="AD7876" i="2"/>
  <c r="X7876" i="2"/>
  <c r="W7876" i="2"/>
  <c r="AH7875" i="2"/>
  <c r="AE7875" i="2"/>
  <c r="AD7875" i="2"/>
  <c r="X7875" i="2"/>
  <c r="W7875" i="2"/>
  <c r="AH7874" i="2"/>
  <c r="AE7874" i="2"/>
  <c r="AD7874" i="2"/>
  <c r="X7874" i="2"/>
  <c r="W7874" i="2"/>
  <c r="AH7873" i="2"/>
  <c r="AE7873" i="2"/>
  <c r="AD7873" i="2"/>
  <c r="X7873" i="2"/>
  <c r="W7873" i="2"/>
  <c r="AH7872" i="2"/>
  <c r="AE7872" i="2"/>
  <c r="AD7872" i="2"/>
  <c r="X7872" i="2"/>
  <c r="W7872" i="2"/>
  <c r="AH7871" i="2"/>
  <c r="AE7871" i="2"/>
  <c r="AD7871" i="2"/>
  <c r="X7871" i="2"/>
  <c r="W7871" i="2"/>
  <c r="AH7870" i="2"/>
  <c r="AE7870" i="2"/>
  <c r="AD7870" i="2"/>
  <c r="X7870" i="2"/>
  <c r="W7870" i="2"/>
  <c r="AH7869" i="2"/>
  <c r="AE7869" i="2"/>
  <c r="AD7869" i="2"/>
  <c r="X7869" i="2"/>
  <c r="W7869" i="2"/>
  <c r="AH7868" i="2"/>
  <c r="AE7868" i="2"/>
  <c r="AD7868" i="2"/>
  <c r="X7868" i="2"/>
  <c r="W7868" i="2"/>
  <c r="AH7867" i="2"/>
  <c r="AE7867" i="2"/>
  <c r="AD7867" i="2"/>
  <c r="X7867" i="2"/>
  <c r="W7867" i="2"/>
  <c r="AH7866" i="2"/>
  <c r="AE7866" i="2"/>
  <c r="AD7866" i="2"/>
  <c r="X7866" i="2"/>
  <c r="W7866" i="2"/>
  <c r="AH7865" i="2"/>
  <c r="AE7865" i="2"/>
  <c r="AD7865" i="2"/>
  <c r="X7865" i="2"/>
  <c r="W7865" i="2"/>
  <c r="AH7864" i="2"/>
  <c r="AE7864" i="2"/>
  <c r="AD7864" i="2"/>
  <c r="X7864" i="2"/>
  <c r="W7864" i="2"/>
  <c r="AH7863" i="2"/>
  <c r="AE7863" i="2"/>
  <c r="AD7863" i="2"/>
  <c r="X7863" i="2"/>
  <c r="W7863" i="2"/>
  <c r="AH7862" i="2"/>
  <c r="AE7862" i="2"/>
  <c r="AD7862" i="2"/>
  <c r="X7862" i="2"/>
  <c r="W7862" i="2"/>
  <c r="AH7861" i="2"/>
  <c r="AE7861" i="2"/>
  <c r="AD7861" i="2"/>
  <c r="X7861" i="2"/>
  <c r="W7861" i="2"/>
  <c r="AH7860" i="2"/>
  <c r="AE7860" i="2"/>
  <c r="AD7860" i="2"/>
  <c r="X7860" i="2"/>
  <c r="W7860" i="2"/>
  <c r="AH7859" i="2"/>
  <c r="AE7859" i="2"/>
  <c r="AD7859" i="2"/>
  <c r="X7859" i="2"/>
  <c r="W7859" i="2"/>
  <c r="AH7858" i="2"/>
  <c r="AE7858" i="2"/>
  <c r="AD7858" i="2"/>
  <c r="X7858" i="2"/>
  <c r="AK7858" i="2" s="1"/>
  <c r="W7858" i="2"/>
  <c r="AH7857" i="2"/>
  <c r="AE7857" i="2"/>
  <c r="AD7857" i="2"/>
  <c r="X7857" i="2"/>
  <c r="AK7857" i="2" s="1"/>
  <c r="W7857" i="2"/>
  <c r="AH7856" i="2"/>
  <c r="AE7856" i="2"/>
  <c r="AD7856" i="2"/>
  <c r="X7856" i="2"/>
  <c r="AK7856" i="2" s="1"/>
  <c r="W7856" i="2"/>
  <c r="AH7855" i="2"/>
  <c r="AE7855" i="2"/>
  <c r="AD7855" i="2"/>
  <c r="X7855" i="2"/>
  <c r="W7855" i="2"/>
  <c r="AH7854" i="2"/>
  <c r="AE7854" i="2"/>
  <c r="AD7854" i="2"/>
  <c r="X7854" i="2"/>
  <c r="W7854" i="2"/>
  <c r="AH7853" i="2"/>
  <c r="AE7853" i="2"/>
  <c r="AD7853" i="2"/>
  <c r="X7853" i="2"/>
  <c r="W7853" i="2"/>
  <c r="AH7852" i="2"/>
  <c r="AE7852" i="2"/>
  <c r="AD7852" i="2"/>
  <c r="X7852" i="2"/>
  <c r="W7852" i="2"/>
  <c r="AH7851" i="2"/>
  <c r="AE7851" i="2"/>
  <c r="AD7851" i="2"/>
  <c r="X7851" i="2"/>
  <c r="W7851" i="2"/>
  <c r="AH7850" i="2"/>
  <c r="AE7850" i="2"/>
  <c r="AD7850" i="2"/>
  <c r="X7850" i="2"/>
  <c r="W7850" i="2"/>
  <c r="AH7849" i="2"/>
  <c r="AE7849" i="2"/>
  <c r="AD7849" i="2"/>
  <c r="X7849" i="2"/>
  <c r="W7849" i="2"/>
  <c r="AH7848" i="2"/>
  <c r="AE7848" i="2"/>
  <c r="AD7848" i="2"/>
  <c r="X7848" i="2"/>
  <c r="W7848" i="2"/>
  <c r="AH7847" i="2"/>
  <c r="AE7847" i="2"/>
  <c r="AD7847" i="2"/>
  <c r="X7847" i="2"/>
  <c r="W7847" i="2"/>
  <c r="AH7846" i="2"/>
  <c r="AE7846" i="2"/>
  <c r="AD7846" i="2"/>
  <c r="X7846" i="2"/>
  <c r="W7846" i="2"/>
  <c r="AH7845" i="2"/>
  <c r="AE7845" i="2"/>
  <c r="AD7845" i="2"/>
  <c r="X7845" i="2"/>
  <c r="W7845" i="2"/>
  <c r="AH7844" i="2"/>
  <c r="AE7844" i="2"/>
  <c r="AD7844" i="2"/>
  <c r="X7844" i="2"/>
  <c r="W7844" i="2"/>
  <c r="AH7843" i="2"/>
  <c r="AE7843" i="2"/>
  <c r="AD7843" i="2"/>
  <c r="X7843" i="2"/>
  <c r="W7843" i="2"/>
  <c r="AH7842" i="2"/>
  <c r="AE7842" i="2"/>
  <c r="AD7842" i="2"/>
  <c r="X7842" i="2"/>
  <c r="W7842" i="2"/>
  <c r="AH7841" i="2"/>
  <c r="AE7841" i="2"/>
  <c r="AD7841" i="2"/>
  <c r="X7841" i="2"/>
  <c r="W7841" i="2"/>
  <c r="AH7840" i="2"/>
  <c r="AE7840" i="2"/>
  <c r="AD7840" i="2"/>
  <c r="X7840" i="2"/>
  <c r="W7840" i="2"/>
  <c r="AH7839" i="2"/>
  <c r="AE7839" i="2"/>
  <c r="AD7839" i="2"/>
  <c r="X7839" i="2"/>
  <c r="W7839" i="2"/>
  <c r="AH7838" i="2"/>
  <c r="AE7838" i="2"/>
  <c r="AD7838" i="2"/>
  <c r="X7838" i="2"/>
  <c r="W7838" i="2"/>
  <c r="AH7837" i="2"/>
  <c r="AE7837" i="2"/>
  <c r="AD7837" i="2"/>
  <c r="X7837" i="2"/>
  <c r="W7837" i="2"/>
  <c r="AH7836" i="2"/>
  <c r="AE7836" i="2"/>
  <c r="AD7836" i="2"/>
  <c r="X7836" i="2"/>
  <c r="W7836" i="2"/>
  <c r="AH7835" i="2"/>
  <c r="AE7835" i="2"/>
  <c r="AD7835" i="2"/>
  <c r="X7835" i="2"/>
  <c r="W7835" i="2"/>
  <c r="AH7834" i="2"/>
  <c r="AE7834" i="2"/>
  <c r="AD7834" i="2"/>
  <c r="X7834" i="2"/>
  <c r="W7834" i="2"/>
  <c r="AH7833" i="2"/>
  <c r="AE7833" i="2"/>
  <c r="AD7833" i="2"/>
  <c r="X7833" i="2"/>
  <c r="W7833" i="2"/>
  <c r="AH7832" i="2"/>
  <c r="AE7832" i="2"/>
  <c r="AD7832" i="2"/>
  <c r="X7832" i="2"/>
  <c r="W7832" i="2"/>
  <c r="AH7831" i="2"/>
  <c r="AE7831" i="2"/>
  <c r="AD7831" i="2"/>
  <c r="X7831" i="2"/>
  <c r="W7831" i="2"/>
  <c r="AH7830" i="2"/>
  <c r="AE7830" i="2"/>
  <c r="AD7830" i="2"/>
  <c r="X7830" i="2"/>
  <c r="W7830" i="2"/>
  <c r="AH7829" i="2"/>
  <c r="AE7829" i="2"/>
  <c r="AD7829" i="2"/>
  <c r="X7829" i="2"/>
  <c r="W7829" i="2"/>
  <c r="AH7828" i="2"/>
  <c r="AE7828" i="2"/>
  <c r="AD7828" i="2"/>
  <c r="X7828" i="2"/>
  <c r="W7828" i="2"/>
  <c r="AH7827" i="2"/>
  <c r="AE7827" i="2"/>
  <c r="AD7827" i="2"/>
  <c r="X7827" i="2"/>
  <c r="AK7827" i="2" s="1"/>
  <c r="W7827" i="2"/>
  <c r="AH7826" i="2"/>
  <c r="AE7826" i="2"/>
  <c r="AD7826" i="2"/>
  <c r="X7826" i="2"/>
  <c r="W7826" i="2"/>
  <c r="AH7825" i="2"/>
  <c r="AE7825" i="2"/>
  <c r="AD7825" i="2"/>
  <c r="X7825" i="2"/>
  <c r="W7825" i="2"/>
  <c r="AH7824" i="2"/>
  <c r="AE7824" i="2"/>
  <c r="AD7824" i="2"/>
  <c r="X7824" i="2"/>
  <c r="W7824" i="2"/>
  <c r="AH7823" i="2"/>
  <c r="AE7823" i="2"/>
  <c r="AD7823" i="2"/>
  <c r="X7823" i="2"/>
  <c r="W7823" i="2"/>
  <c r="AH7822" i="2"/>
  <c r="AE7822" i="2"/>
  <c r="AD7822" i="2"/>
  <c r="X7822" i="2"/>
  <c r="W7822" i="2"/>
  <c r="AH7821" i="2"/>
  <c r="AE7821" i="2"/>
  <c r="AD7821" i="2"/>
  <c r="X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W7818" i="2"/>
  <c r="AH7817" i="2"/>
  <c r="AE7817" i="2"/>
  <c r="AD7817" i="2"/>
  <c r="X7817" i="2"/>
  <c r="W7817" i="2"/>
  <c r="AH7816" i="2"/>
  <c r="AE7816" i="2"/>
  <c r="AD7816" i="2"/>
  <c r="X7816" i="2"/>
  <c r="W7816" i="2"/>
  <c r="AH7815" i="2"/>
  <c r="AE7815" i="2"/>
  <c r="AD7815" i="2"/>
  <c r="X7815" i="2"/>
  <c r="W7815" i="2"/>
  <c r="AH7814" i="2"/>
  <c r="AE7814" i="2"/>
  <c r="AD7814" i="2"/>
  <c r="X7814" i="2"/>
  <c r="W7814" i="2"/>
  <c r="AH7813" i="2"/>
  <c r="AE7813" i="2"/>
  <c r="AD7813" i="2"/>
  <c r="X7813" i="2"/>
  <c r="W7813" i="2"/>
  <c r="AH7812" i="2"/>
  <c r="AE7812" i="2"/>
  <c r="AD7812" i="2"/>
  <c r="X7812" i="2"/>
  <c r="W7812" i="2"/>
  <c r="AH7811" i="2"/>
  <c r="AE7811" i="2"/>
  <c r="AD7811" i="2"/>
  <c r="X7811" i="2"/>
  <c r="W7811" i="2"/>
  <c r="AH7810" i="2"/>
  <c r="AE7810" i="2"/>
  <c r="AD7810" i="2"/>
  <c r="X7810" i="2"/>
  <c r="W7810" i="2"/>
  <c r="AH7809" i="2"/>
  <c r="AE7809" i="2"/>
  <c r="AD7809" i="2"/>
  <c r="X7809" i="2"/>
  <c r="W7809" i="2"/>
  <c r="AH7808" i="2"/>
  <c r="AE7808" i="2"/>
  <c r="AD7808" i="2"/>
  <c r="X7808" i="2"/>
  <c r="W7808" i="2"/>
  <c r="AH7807" i="2"/>
  <c r="AE7807" i="2"/>
  <c r="AD7807" i="2"/>
  <c r="X7807" i="2"/>
  <c r="W7807" i="2"/>
  <c r="AH7806" i="2"/>
  <c r="AE7806" i="2"/>
  <c r="AD7806" i="2"/>
  <c r="X7806" i="2"/>
  <c r="W7806" i="2"/>
  <c r="AH7805" i="2"/>
  <c r="AE7805" i="2"/>
  <c r="AD7805" i="2"/>
  <c r="X7805" i="2"/>
  <c r="AK7805" i="2" s="1"/>
  <c r="W7805" i="2"/>
  <c r="AH7804" i="2"/>
  <c r="AE7804" i="2"/>
  <c r="AD7804" i="2"/>
  <c r="X7804" i="2"/>
  <c r="W7804" i="2"/>
  <c r="AH7803" i="2"/>
  <c r="AE7803" i="2"/>
  <c r="AD7803" i="2"/>
  <c r="X7803" i="2"/>
  <c r="W7803" i="2"/>
  <c r="AH7802" i="2"/>
  <c r="AE7802" i="2"/>
  <c r="AD7802" i="2"/>
  <c r="X7802" i="2"/>
  <c r="W7802" i="2"/>
  <c r="AH7801" i="2"/>
  <c r="AE7801" i="2"/>
  <c r="AD7801" i="2"/>
  <c r="X7801" i="2"/>
  <c r="W7801" i="2"/>
  <c r="AH7800" i="2"/>
  <c r="AE7800" i="2"/>
  <c r="AD7800" i="2"/>
  <c r="X7800" i="2"/>
  <c r="W7800" i="2"/>
  <c r="AH7799" i="2"/>
  <c r="AE7799" i="2"/>
  <c r="AD7799" i="2"/>
  <c r="X7799" i="2"/>
  <c r="W7799" i="2"/>
  <c r="AH7798" i="2"/>
  <c r="AE7798" i="2"/>
  <c r="AD7798" i="2"/>
  <c r="X7798" i="2"/>
  <c r="W7798" i="2"/>
  <c r="AH7797" i="2"/>
  <c r="AE7797" i="2"/>
  <c r="AD7797" i="2"/>
  <c r="X7797" i="2"/>
  <c r="AK7797" i="2" s="1"/>
  <c r="W7797" i="2"/>
  <c r="AH7796" i="2"/>
  <c r="AE7796" i="2"/>
  <c r="AD7796" i="2"/>
  <c r="X7796" i="2"/>
  <c r="W7796" i="2"/>
  <c r="AH7795" i="2"/>
  <c r="AE7795" i="2"/>
  <c r="AD7795" i="2"/>
  <c r="X7795" i="2"/>
  <c r="W7795" i="2"/>
  <c r="AH7794" i="2"/>
  <c r="AE7794" i="2"/>
  <c r="AD7794" i="2"/>
  <c r="X7794" i="2"/>
  <c r="W7794" i="2"/>
  <c r="AH7793" i="2"/>
  <c r="AE7793" i="2"/>
  <c r="AD7793" i="2"/>
  <c r="X7793" i="2"/>
  <c r="W7793" i="2"/>
  <c r="AH7792" i="2"/>
  <c r="AE7792" i="2"/>
  <c r="AD7792" i="2"/>
  <c r="X7792" i="2"/>
  <c r="W7792" i="2"/>
  <c r="AH7791" i="2"/>
  <c r="AE7791" i="2"/>
  <c r="AD7791" i="2"/>
  <c r="X7791" i="2"/>
  <c r="W7791" i="2"/>
  <c r="AH7790" i="2"/>
  <c r="AE7790" i="2"/>
  <c r="AD7790" i="2"/>
  <c r="X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W7786" i="2"/>
  <c r="AH7785" i="2"/>
  <c r="AE7785" i="2"/>
  <c r="AD7785" i="2"/>
  <c r="X7785" i="2"/>
  <c r="W7785" i="2"/>
  <c r="AH7784" i="2"/>
  <c r="AE7784" i="2"/>
  <c r="AD7784" i="2"/>
  <c r="X7784" i="2"/>
  <c r="W7784" i="2"/>
  <c r="AH7783" i="2"/>
  <c r="AE7783" i="2"/>
  <c r="AD7783" i="2"/>
  <c r="X7783" i="2"/>
  <c r="W7783" i="2"/>
  <c r="AH7782" i="2"/>
  <c r="AE7782" i="2"/>
  <c r="AD7782" i="2"/>
  <c r="X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W7778" i="2"/>
  <c r="AH7777" i="2"/>
  <c r="AE7777" i="2"/>
  <c r="AD7777" i="2"/>
  <c r="X7777" i="2"/>
  <c r="W7777" i="2"/>
  <c r="AH7776" i="2"/>
  <c r="AE7776" i="2"/>
  <c r="AD7776" i="2"/>
  <c r="X7776" i="2"/>
  <c r="W7776" i="2"/>
  <c r="AH7775" i="2"/>
  <c r="AE7775" i="2"/>
  <c r="AD7775" i="2"/>
  <c r="X7775" i="2"/>
  <c r="AK7775" i="2" s="1"/>
  <c r="W7775" i="2"/>
  <c r="AH7774" i="2"/>
  <c r="AE7774" i="2"/>
  <c r="AD7774" i="2"/>
  <c r="X7774" i="2"/>
  <c r="AK7774" i="2" s="1"/>
  <c r="W7774" i="2"/>
  <c r="AH7773" i="2"/>
  <c r="AE7773" i="2"/>
  <c r="AD7773" i="2"/>
  <c r="X7773" i="2"/>
  <c r="W7773" i="2"/>
  <c r="AH7772" i="2"/>
  <c r="AE7772" i="2"/>
  <c r="AD7772" i="2"/>
  <c r="X7772" i="2"/>
  <c r="W7772" i="2"/>
  <c r="AH7771" i="2"/>
  <c r="AE7771" i="2"/>
  <c r="AD7771" i="2"/>
  <c r="X7771" i="2"/>
  <c r="W7771" i="2"/>
  <c r="AH7770" i="2"/>
  <c r="AE7770" i="2"/>
  <c r="AD7770" i="2"/>
  <c r="X7770" i="2"/>
  <c r="AK7770" i="2" s="1"/>
  <c r="W7770" i="2"/>
  <c r="AH7769" i="2"/>
  <c r="AE7769" i="2"/>
  <c r="AD7769" i="2"/>
  <c r="X7769" i="2"/>
  <c r="W7769" i="2"/>
  <c r="AH7768" i="2"/>
  <c r="AE7768" i="2"/>
  <c r="AD7768" i="2"/>
  <c r="X7768" i="2"/>
  <c r="W7768" i="2"/>
  <c r="AH7767" i="2"/>
  <c r="AE7767" i="2"/>
  <c r="AD7767" i="2"/>
  <c r="X7767" i="2"/>
  <c r="W7767" i="2"/>
  <c r="AH7766" i="2"/>
  <c r="AE7766" i="2"/>
  <c r="AD7766" i="2"/>
  <c r="X7766" i="2"/>
  <c r="W7766" i="2"/>
  <c r="AH7765" i="2"/>
  <c r="AE7765" i="2"/>
  <c r="AD7765" i="2"/>
  <c r="X7765" i="2"/>
  <c r="W7765" i="2"/>
  <c r="AH7764" i="2"/>
  <c r="AE7764" i="2"/>
  <c r="AD7764" i="2"/>
  <c r="X7764" i="2"/>
  <c r="W7764" i="2"/>
  <c r="AH7763" i="2"/>
  <c r="AE7763" i="2"/>
  <c r="AD7763" i="2"/>
  <c r="X7763" i="2"/>
  <c r="W7763" i="2"/>
  <c r="AH7762" i="2"/>
  <c r="AE7762" i="2"/>
  <c r="AD7762" i="2"/>
  <c r="X7762" i="2"/>
  <c r="W7762" i="2"/>
  <c r="AH7761" i="2"/>
  <c r="AE7761" i="2"/>
  <c r="AD7761" i="2"/>
  <c r="X7761" i="2"/>
  <c r="W7761" i="2"/>
  <c r="AH7760" i="2"/>
  <c r="AE7760" i="2"/>
  <c r="AD7760" i="2"/>
  <c r="X7760" i="2"/>
  <c r="W7760" i="2"/>
  <c r="AH7759" i="2"/>
  <c r="AE7759" i="2"/>
  <c r="AD7759" i="2"/>
  <c r="X7759" i="2"/>
  <c r="W7759" i="2"/>
  <c r="AH7758" i="2"/>
  <c r="AE7758" i="2"/>
  <c r="AD7758" i="2"/>
  <c r="X7758" i="2"/>
  <c r="AK7758" i="2" s="1"/>
  <c r="W7758" i="2"/>
  <c r="AH7757" i="2"/>
  <c r="AE7757" i="2"/>
  <c r="AD7757" i="2"/>
  <c r="X7757" i="2"/>
  <c r="W7757" i="2"/>
  <c r="AH7756" i="2"/>
  <c r="AE7756" i="2"/>
  <c r="AD7756" i="2"/>
  <c r="X7756" i="2"/>
  <c r="W7756" i="2"/>
  <c r="AH7755" i="2"/>
  <c r="AE7755" i="2"/>
  <c r="AD7755" i="2"/>
  <c r="X7755" i="2"/>
  <c r="W7755" i="2"/>
  <c r="AH7754" i="2"/>
  <c r="AE7754" i="2"/>
  <c r="AD7754" i="2"/>
  <c r="X7754" i="2"/>
  <c r="W7754" i="2"/>
  <c r="AH7753" i="2"/>
  <c r="AE7753" i="2"/>
  <c r="AD7753" i="2"/>
  <c r="X7753" i="2"/>
  <c r="W7753" i="2"/>
  <c r="AH7752" i="2"/>
  <c r="AE7752" i="2"/>
  <c r="AD7752" i="2"/>
  <c r="X7752" i="2"/>
  <c r="W7752" i="2"/>
  <c r="AH7751" i="2"/>
  <c r="AE7751" i="2"/>
  <c r="AD7751" i="2"/>
  <c r="X7751" i="2"/>
  <c r="W7751" i="2"/>
  <c r="AH7750" i="2"/>
  <c r="AE7750" i="2"/>
  <c r="AD7750" i="2"/>
  <c r="X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W7746" i="2"/>
  <c r="AH7745" i="2"/>
  <c r="AE7745" i="2"/>
  <c r="AD7745" i="2"/>
  <c r="X7745" i="2"/>
  <c r="W7745" i="2"/>
  <c r="AH7744" i="2"/>
  <c r="AE7744" i="2"/>
  <c r="AD7744" i="2"/>
  <c r="X7744" i="2"/>
  <c r="W7744" i="2"/>
  <c r="AH7743" i="2"/>
  <c r="AE7743" i="2"/>
  <c r="AD7743" i="2"/>
  <c r="X7743" i="2"/>
  <c r="W7743" i="2"/>
  <c r="AH7742" i="2"/>
  <c r="AE7742" i="2"/>
  <c r="AD7742" i="2"/>
  <c r="X7742" i="2"/>
  <c r="W7742" i="2"/>
  <c r="AH7741" i="2"/>
  <c r="AE7741" i="2"/>
  <c r="AD7741" i="2"/>
  <c r="X7741" i="2"/>
  <c r="W7741" i="2"/>
  <c r="AH7740" i="2"/>
  <c r="AE7740" i="2"/>
  <c r="AD7740" i="2"/>
  <c r="X7740" i="2"/>
  <c r="AK7740" i="2" s="1"/>
  <c r="W7740" i="2"/>
  <c r="AH7739" i="2"/>
  <c r="AE7739" i="2"/>
  <c r="AD7739" i="2"/>
  <c r="X7739" i="2"/>
  <c r="W7739" i="2"/>
  <c r="AH7738" i="2"/>
  <c r="AE7738" i="2"/>
  <c r="AD7738" i="2"/>
  <c r="X7738" i="2"/>
  <c r="W7738" i="2"/>
  <c r="AH7737" i="2"/>
  <c r="AE7737" i="2"/>
  <c r="AD7737" i="2"/>
  <c r="X7737" i="2"/>
  <c r="W7737" i="2"/>
  <c r="AH7736" i="2"/>
  <c r="AE7736" i="2"/>
  <c r="AD7736" i="2"/>
  <c r="X7736" i="2"/>
  <c r="W7736" i="2"/>
  <c r="AH7735" i="2"/>
  <c r="AE7735" i="2"/>
  <c r="AD7735" i="2"/>
  <c r="X7735" i="2"/>
  <c r="W7735" i="2"/>
  <c r="AH7734" i="2"/>
  <c r="AE7734" i="2"/>
  <c r="AD7734" i="2"/>
  <c r="X7734" i="2"/>
  <c r="W7734" i="2"/>
  <c r="AH7733" i="2"/>
  <c r="AE7733" i="2"/>
  <c r="AD7733" i="2"/>
  <c r="X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W7730" i="2"/>
  <c r="AH7729" i="2"/>
  <c r="AE7729" i="2"/>
  <c r="AD7729" i="2"/>
  <c r="X7729" i="2"/>
  <c r="W7729" i="2"/>
  <c r="AH7728" i="2"/>
  <c r="AD7728" i="2"/>
  <c r="AF7728" i="2" s="1"/>
  <c r="X7728" i="2"/>
  <c r="W7728" i="2"/>
  <c r="AH7727" i="2"/>
  <c r="AD7727" i="2"/>
  <c r="AF7727" i="2" s="1"/>
  <c r="X7727" i="2"/>
  <c r="W7727" i="2"/>
  <c r="AH7726" i="2"/>
  <c r="AE7726" i="2"/>
  <c r="AD7726" i="2"/>
  <c r="X7726" i="2"/>
  <c r="W7726" i="2"/>
  <c r="AH7725" i="2"/>
  <c r="AE7725" i="2"/>
  <c r="AD7725" i="2"/>
  <c r="X7725" i="2"/>
  <c r="W7725" i="2"/>
  <c r="AH7724" i="2"/>
  <c r="AE7724" i="2"/>
  <c r="AD7724" i="2"/>
  <c r="X7724" i="2"/>
  <c r="W7724" i="2"/>
  <c r="AH7723" i="2"/>
  <c r="AE7723" i="2"/>
  <c r="AD7723" i="2"/>
  <c r="X7723" i="2"/>
  <c r="W7723" i="2"/>
  <c r="AH7722" i="2"/>
  <c r="AE7722" i="2"/>
  <c r="AD7722" i="2"/>
  <c r="X7722" i="2"/>
  <c r="W7722" i="2"/>
  <c r="AH7721" i="2"/>
  <c r="AE7721" i="2"/>
  <c r="AD7721" i="2"/>
  <c r="X7721" i="2"/>
  <c r="W7721" i="2"/>
  <c r="AH7720" i="2"/>
  <c r="AE7720" i="2"/>
  <c r="AD7720" i="2"/>
  <c r="X7720" i="2"/>
  <c r="W7720" i="2"/>
  <c r="AH7719" i="2"/>
  <c r="AE7719" i="2"/>
  <c r="AD7719" i="2"/>
  <c r="X7719" i="2"/>
  <c r="W7719" i="2"/>
  <c r="AH7718" i="2"/>
  <c r="AE7718" i="2"/>
  <c r="AD7718" i="2"/>
  <c r="X7718" i="2"/>
  <c r="W7718" i="2"/>
  <c r="AH7717" i="2"/>
  <c r="AE7717" i="2"/>
  <c r="AD7717" i="2"/>
  <c r="X7717" i="2"/>
  <c r="W7717" i="2"/>
  <c r="AH7716" i="2"/>
  <c r="AE7716" i="2"/>
  <c r="AD7716" i="2"/>
  <c r="X7716" i="2"/>
  <c r="W7716" i="2"/>
  <c r="AH7715" i="2"/>
  <c r="AE7715" i="2"/>
  <c r="AD7715" i="2"/>
  <c r="X7715" i="2"/>
  <c r="W7715" i="2"/>
  <c r="AH7714" i="2"/>
  <c r="AE7714" i="2"/>
  <c r="AD7714" i="2"/>
  <c r="X7714" i="2"/>
  <c r="W7714" i="2"/>
  <c r="AH7713" i="2"/>
  <c r="AE7713" i="2"/>
  <c r="AD7713" i="2"/>
  <c r="X7713" i="2"/>
  <c r="W7713" i="2"/>
  <c r="AH7712" i="2"/>
  <c r="AE7712" i="2"/>
  <c r="AD7712" i="2"/>
  <c r="X7712" i="2"/>
  <c r="W7712" i="2"/>
  <c r="AH7711" i="2"/>
  <c r="AE7711" i="2"/>
  <c r="AD7711" i="2"/>
  <c r="X7711" i="2"/>
  <c r="AK7711" i="2" s="1"/>
  <c r="W7711" i="2"/>
  <c r="AH7710" i="2"/>
  <c r="AE7710" i="2"/>
  <c r="AD7710" i="2"/>
  <c r="X7710" i="2"/>
  <c r="W7710" i="2"/>
  <c r="AH7709" i="2"/>
  <c r="AE7709" i="2"/>
  <c r="AD7709" i="2"/>
  <c r="X7709" i="2"/>
  <c r="W7709" i="2"/>
  <c r="AH7708" i="2"/>
  <c r="AE7708" i="2"/>
  <c r="AD7708" i="2"/>
  <c r="X7708" i="2"/>
  <c r="W7708" i="2"/>
  <c r="AH7707" i="2"/>
  <c r="AE7707" i="2"/>
  <c r="AD7707" i="2"/>
  <c r="X7707" i="2"/>
  <c r="W7707" i="2"/>
  <c r="AH7706" i="2"/>
  <c r="AE7706" i="2"/>
  <c r="AD7706" i="2"/>
  <c r="X7706" i="2"/>
  <c r="W7706" i="2"/>
  <c r="AH7705" i="2"/>
  <c r="AE7705" i="2"/>
  <c r="AD7705" i="2"/>
  <c r="X7705" i="2"/>
  <c r="W7705" i="2"/>
  <c r="AH7704" i="2"/>
  <c r="AE7704" i="2"/>
  <c r="AD7704" i="2"/>
  <c r="X7704" i="2"/>
  <c r="W7704" i="2"/>
  <c r="AH7703" i="2"/>
  <c r="AE7703" i="2"/>
  <c r="AD7703" i="2"/>
  <c r="X7703" i="2"/>
  <c r="W7703" i="2"/>
  <c r="AH7702" i="2"/>
  <c r="AE7702" i="2"/>
  <c r="AD7702" i="2"/>
  <c r="X7702" i="2"/>
  <c r="W7702" i="2"/>
  <c r="AH7701" i="2"/>
  <c r="AE7701" i="2"/>
  <c r="AD7701" i="2"/>
  <c r="X7701" i="2"/>
  <c r="W7701" i="2"/>
  <c r="AH7700" i="2"/>
  <c r="AE7700" i="2"/>
  <c r="AD7700" i="2"/>
  <c r="X7700" i="2"/>
  <c r="W7700" i="2"/>
  <c r="AH7699" i="2"/>
  <c r="AE7699" i="2"/>
  <c r="AD7699" i="2"/>
  <c r="X7699" i="2"/>
  <c r="W7699" i="2"/>
  <c r="AH7698" i="2"/>
  <c r="AE7698" i="2"/>
  <c r="AD7698" i="2"/>
  <c r="X7698" i="2"/>
  <c r="W7698" i="2"/>
  <c r="AH7697" i="2"/>
  <c r="AE7697" i="2"/>
  <c r="AD7697" i="2"/>
  <c r="X7697" i="2"/>
  <c r="W7697" i="2"/>
  <c r="AH7696" i="2"/>
  <c r="AE7696" i="2"/>
  <c r="AD7696" i="2"/>
  <c r="X7696" i="2"/>
  <c r="W7696" i="2"/>
  <c r="AH7695" i="2"/>
  <c r="AE7695" i="2"/>
  <c r="AD7695" i="2"/>
  <c r="X7695" i="2"/>
  <c r="W7695" i="2"/>
  <c r="AH7694" i="2"/>
  <c r="AE7694" i="2"/>
  <c r="AD7694" i="2"/>
  <c r="X7694" i="2"/>
  <c r="W7694" i="2"/>
  <c r="AH7693" i="2"/>
  <c r="AE7693" i="2"/>
  <c r="AD7693" i="2"/>
  <c r="X7693" i="2"/>
  <c r="W7693" i="2"/>
  <c r="AH7692" i="2"/>
  <c r="AE7692" i="2"/>
  <c r="AD7692" i="2"/>
  <c r="X7692" i="2"/>
  <c r="W7692" i="2"/>
  <c r="AH7691" i="2"/>
  <c r="AE7691" i="2"/>
  <c r="AD7691" i="2"/>
  <c r="AC7691" i="2"/>
  <c r="W7691" i="2"/>
  <c r="AH7690" i="2"/>
  <c r="AE7690" i="2"/>
  <c r="AD7690" i="2"/>
  <c r="X7690" i="2"/>
  <c r="AK7690" i="2" s="1"/>
  <c r="W7690" i="2"/>
  <c r="AH7689" i="2"/>
  <c r="AE7689" i="2"/>
  <c r="AD7689" i="2"/>
  <c r="X7689" i="2"/>
  <c r="W7689" i="2"/>
  <c r="AH7688" i="2"/>
  <c r="AE7688" i="2"/>
  <c r="AD7688" i="2"/>
  <c r="X7688" i="2"/>
  <c r="AK7688" i="2" s="1"/>
  <c r="W7688" i="2"/>
  <c r="AH7687" i="2"/>
  <c r="AE7687" i="2"/>
  <c r="AD7687" i="2"/>
  <c r="X7687" i="2"/>
  <c r="W7687" i="2"/>
  <c r="AH7686" i="2"/>
  <c r="AE7686" i="2"/>
  <c r="AD7686" i="2"/>
  <c r="X7686" i="2"/>
  <c r="W7686" i="2"/>
  <c r="AH7685" i="2"/>
  <c r="AE7685" i="2"/>
  <c r="AD7685" i="2"/>
  <c r="X7685" i="2"/>
  <c r="W7685" i="2"/>
  <c r="AH7684" i="2"/>
  <c r="AE7684" i="2"/>
  <c r="AD7684" i="2"/>
  <c r="X7684" i="2"/>
  <c r="W7684" i="2"/>
  <c r="AH7683" i="2"/>
  <c r="AE7683" i="2"/>
  <c r="AD7683" i="2"/>
  <c r="X7683" i="2"/>
  <c r="W7683" i="2"/>
  <c r="AH7682" i="2"/>
  <c r="AE7682" i="2"/>
  <c r="AD7682" i="2"/>
  <c r="X7682" i="2"/>
  <c r="AK7682" i="2" s="1"/>
  <c r="W7682" i="2"/>
  <c r="AH7681" i="2"/>
  <c r="AE7681" i="2"/>
  <c r="AD7681" i="2"/>
  <c r="X7681" i="2"/>
  <c r="W7681" i="2"/>
  <c r="AH7680" i="2"/>
  <c r="AE7680" i="2"/>
  <c r="AD7680" i="2"/>
  <c r="X7680" i="2"/>
  <c r="W7680" i="2"/>
  <c r="AH7679" i="2"/>
  <c r="AE7679" i="2"/>
  <c r="AD7679" i="2"/>
  <c r="X7679" i="2"/>
  <c r="W7679" i="2"/>
  <c r="AH7678" i="2"/>
  <c r="AE7678" i="2"/>
  <c r="AD7678" i="2"/>
  <c r="X7678" i="2"/>
  <c r="W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W7675" i="2"/>
  <c r="AH7674" i="2"/>
  <c r="AE7674" i="2"/>
  <c r="AD7674" i="2"/>
  <c r="X7674" i="2"/>
  <c r="W7674" i="2"/>
  <c r="AH7673" i="2"/>
  <c r="AE7673" i="2"/>
  <c r="AD7673" i="2"/>
  <c r="X7673" i="2"/>
  <c r="W7673" i="2"/>
  <c r="AH7672" i="2"/>
  <c r="AE7672" i="2"/>
  <c r="AD7672" i="2"/>
  <c r="X7672" i="2"/>
  <c r="W7672" i="2"/>
  <c r="AH7671" i="2"/>
  <c r="AE7671" i="2"/>
  <c r="AD7671" i="2"/>
  <c r="X7671" i="2"/>
  <c r="W7671" i="2"/>
  <c r="AH7670" i="2"/>
  <c r="AE7670" i="2"/>
  <c r="AD7670" i="2"/>
  <c r="Y7670" i="2" s="1"/>
  <c r="AC7670" i="2"/>
  <c r="W7670" i="2"/>
  <c r="AH7669" i="2"/>
  <c r="AE7669" i="2"/>
  <c r="AD7669" i="2"/>
  <c r="X7669" i="2"/>
  <c r="W7669" i="2"/>
  <c r="AH7668" i="2"/>
  <c r="AE7668" i="2"/>
  <c r="AD7668" i="2"/>
  <c r="X7668" i="2"/>
  <c r="W7668" i="2"/>
  <c r="AH7667" i="2"/>
  <c r="AE7667" i="2"/>
  <c r="AD7667" i="2"/>
  <c r="X7667" i="2"/>
  <c r="W7667" i="2"/>
  <c r="AH7666" i="2"/>
  <c r="AE7666" i="2"/>
  <c r="AD7666" i="2"/>
  <c r="X7666" i="2"/>
  <c r="W7666" i="2"/>
  <c r="AH7665" i="2"/>
  <c r="AE7665" i="2"/>
  <c r="AD7665" i="2"/>
  <c r="X7665" i="2"/>
  <c r="W7665" i="2"/>
  <c r="AH7664" i="2"/>
  <c r="AE7664" i="2"/>
  <c r="AD7664" i="2"/>
  <c r="X7664" i="2"/>
  <c r="W7664" i="2"/>
  <c r="AH7663" i="2"/>
  <c r="AE7663" i="2"/>
  <c r="AD7663" i="2"/>
  <c r="X7663" i="2"/>
  <c r="W7663" i="2"/>
  <c r="AH7662" i="2"/>
  <c r="AE7662" i="2"/>
  <c r="AD7662" i="2"/>
  <c r="X7662" i="2"/>
  <c r="W7662" i="2"/>
  <c r="AH7661" i="2"/>
  <c r="AE7661" i="2"/>
  <c r="AD7661" i="2"/>
  <c r="X7661" i="2"/>
  <c r="W7661" i="2"/>
  <c r="AH7660" i="2"/>
  <c r="AE7660" i="2"/>
  <c r="AD7660" i="2"/>
  <c r="X7660" i="2"/>
  <c r="W7660" i="2"/>
  <c r="AH7659" i="2"/>
  <c r="AE7659" i="2"/>
  <c r="AD7659" i="2"/>
  <c r="X7659" i="2"/>
  <c r="W7659" i="2"/>
  <c r="AH7658" i="2"/>
  <c r="AE7658" i="2"/>
  <c r="AD7658" i="2"/>
  <c r="X7658" i="2"/>
  <c r="W7658" i="2"/>
  <c r="AH7657" i="2"/>
  <c r="AE7657" i="2"/>
  <c r="AD7657" i="2"/>
  <c r="X7657" i="2"/>
  <c r="W7657" i="2"/>
  <c r="AH7656" i="2"/>
  <c r="AE7656" i="2"/>
  <c r="AD7656" i="2"/>
  <c r="X7656" i="2"/>
  <c r="W7656" i="2"/>
  <c r="AH7655" i="2"/>
  <c r="AE7655" i="2"/>
  <c r="AD7655" i="2"/>
  <c r="X7655" i="2"/>
  <c r="W7655" i="2"/>
  <c r="AH7654" i="2"/>
  <c r="AE7654" i="2"/>
  <c r="AD7654" i="2"/>
  <c r="X7654" i="2"/>
  <c r="W7654" i="2"/>
  <c r="AH7653" i="2"/>
  <c r="AE7653" i="2"/>
  <c r="AD7653" i="2"/>
  <c r="X7653" i="2"/>
  <c r="W7653" i="2"/>
  <c r="AH7652" i="2"/>
  <c r="AE7652" i="2"/>
  <c r="AD7652" i="2"/>
  <c r="X7652" i="2"/>
  <c r="W7652" i="2"/>
  <c r="AH7651" i="2"/>
  <c r="AE7651" i="2"/>
  <c r="AD7651" i="2"/>
  <c r="X7651" i="2"/>
  <c r="W7651" i="2"/>
  <c r="AH7650" i="2"/>
  <c r="AE7650" i="2"/>
  <c r="AD7650" i="2"/>
  <c r="X7650" i="2"/>
  <c r="W7650" i="2"/>
  <c r="AH7649" i="2"/>
  <c r="AE7649" i="2"/>
  <c r="AD7649" i="2"/>
  <c r="X7649" i="2"/>
  <c r="W7649" i="2"/>
  <c r="AH7648" i="2"/>
  <c r="AE7648" i="2"/>
  <c r="AD7648" i="2"/>
  <c r="X7648" i="2"/>
  <c r="W7648" i="2"/>
  <c r="AH7647" i="2"/>
  <c r="AE7647" i="2"/>
  <c r="AD7647" i="2"/>
  <c r="X7647" i="2"/>
  <c r="W7647" i="2"/>
  <c r="AH7646" i="2"/>
  <c r="AE7646" i="2"/>
  <c r="AD7646" i="2"/>
  <c r="X7646" i="2"/>
  <c r="W7646" i="2"/>
  <c r="AH7645" i="2"/>
  <c r="AE7645" i="2"/>
  <c r="AD7645" i="2"/>
  <c r="X7645" i="2"/>
  <c r="W7645" i="2"/>
  <c r="AH7644" i="2"/>
  <c r="AE7644" i="2"/>
  <c r="AD7644" i="2"/>
  <c r="X7644" i="2"/>
  <c r="W7644" i="2"/>
  <c r="AH7643" i="2"/>
  <c r="AE7643" i="2"/>
  <c r="AD7643" i="2"/>
  <c r="X7643" i="2"/>
  <c r="W7643" i="2"/>
  <c r="AH7642" i="2"/>
  <c r="AE7642" i="2"/>
  <c r="AD7642" i="2"/>
  <c r="X7642" i="2"/>
  <c r="W7642" i="2"/>
  <c r="AH7641" i="2"/>
  <c r="AE7641" i="2"/>
  <c r="AD7641" i="2"/>
  <c r="X7641" i="2"/>
  <c r="W7641" i="2"/>
  <c r="AH7640" i="2"/>
  <c r="AE7640" i="2"/>
  <c r="AD7640" i="2"/>
  <c r="X7640" i="2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W7637" i="2"/>
  <c r="AH7636" i="2"/>
  <c r="AE7636" i="2"/>
  <c r="AD7636" i="2"/>
  <c r="X7636" i="2"/>
  <c r="W7636" i="2"/>
  <c r="AH7635" i="2"/>
  <c r="AE7635" i="2"/>
  <c r="AD7635" i="2"/>
  <c r="X7635" i="2"/>
  <c r="W7635" i="2"/>
  <c r="AH7634" i="2"/>
  <c r="AE7634" i="2"/>
  <c r="AD7634" i="2"/>
  <c r="X7634" i="2"/>
  <c r="W7634" i="2"/>
  <c r="AH7633" i="2"/>
  <c r="AE7633" i="2"/>
  <c r="AD7633" i="2"/>
  <c r="X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W7629" i="2"/>
  <c r="AH7628" i="2"/>
  <c r="AE7628" i="2"/>
  <c r="AD7628" i="2"/>
  <c r="X7628" i="2"/>
  <c r="W7628" i="2"/>
  <c r="AH7627" i="2"/>
  <c r="AE7627" i="2"/>
  <c r="AD7627" i="2"/>
  <c r="X7627" i="2"/>
  <c r="W7627" i="2"/>
  <c r="AH7626" i="2"/>
  <c r="AE7626" i="2"/>
  <c r="AD7626" i="2"/>
  <c r="X7626" i="2"/>
  <c r="W7626" i="2"/>
  <c r="AH7625" i="2"/>
  <c r="AE7625" i="2"/>
  <c r="AD7625" i="2"/>
  <c r="X7625" i="2"/>
  <c r="W7625" i="2"/>
  <c r="AH7624" i="2"/>
  <c r="AE7624" i="2"/>
  <c r="AD7624" i="2"/>
  <c r="X7624" i="2"/>
  <c r="W7624" i="2"/>
  <c r="AH7623" i="2"/>
  <c r="AE7623" i="2"/>
  <c r="AD7623" i="2"/>
  <c r="X7623" i="2"/>
  <c r="W7623" i="2"/>
  <c r="AH7622" i="2"/>
  <c r="AE7622" i="2"/>
  <c r="AD7622" i="2"/>
  <c r="X7622" i="2"/>
  <c r="W7622" i="2"/>
  <c r="AH7621" i="2"/>
  <c r="AE7621" i="2"/>
  <c r="AD7621" i="2"/>
  <c r="X7621" i="2"/>
  <c r="W7621" i="2"/>
  <c r="AH7620" i="2"/>
  <c r="AE7620" i="2"/>
  <c r="AD7620" i="2"/>
  <c r="X7620" i="2"/>
  <c r="W7620" i="2"/>
  <c r="AH7619" i="2"/>
  <c r="AE7619" i="2"/>
  <c r="AD7619" i="2"/>
  <c r="X7619" i="2"/>
  <c r="W7619" i="2"/>
  <c r="AH7618" i="2"/>
  <c r="AE7618" i="2"/>
  <c r="AD7618" i="2"/>
  <c r="X7618" i="2"/>
  <c r="W7618" i="2"/>
  <c r="AH7617" i="2"/>
  <c r="AE7617" i="2"/>
  <c r="AD7617" i="2"/>
  <c r="X7617" i="2"/>
  <c r="W7617" i="2"/>
  <c r="AH7616" i="2"/>
  <c r="AE7616" i="2"/>
  <c r="AD7616" i="2"/>
  <c r="X7616" i="2"/>
  <c r="W7616" i="2"/>
  <c r="AH7615" i="2"/>
  <c r="AE7615" i="2"/>
  <c r="AD7615" i="2"/>
  <c r="X7615" i="2"/>
  <c r="W7615" i="2"/>
  <c r="AH7614" i="2"/>
  <c r="AE7614" i="2"/>
  <c r="AD7614" i="2"/>
  <c r="X7614" i="2"/>
  <c r="W7614" i="2"/>
  <c r="AH7613" i="2"/>
  <c r="AE7613" i="2"/>
  <c r="AD7613" i="2"/>
  <c r="X7613" i="2"/>
  <c r="W7613" i="2"/>
  <c r="AH7612" i="2"/>
  <c r="AE7612" i="2"/>
  <c r="AD7612" i="2"/>
  <c r="X7612" i="2"/>
  <c r="W7612" i="2"/>
  <c r="AH7611" i="2"/>
  <c r="AE7611" i="2"/>
  <c r="AD7611" i="2"/>
  <c r="X7611" i="2"/>
  <c r="W7611" i="2"/>
  <c r="AH7610" i="2"/>
  <c r="AE7610" i="2"/>
  <c r="AD7610" i="2"/>
  <c r="X7610" i="2"/>
  <c r="W7610" i="2"/>
  <c r="AH7609" i="2"/>
  <c r="AE7609" i="2"/>
  <c r="AD7609" i="2"/>
  <c r="X7609" i="2"/>
  <c r="W7609" i="2"/>
  <c r="AH7608" i="2"/>
  <c r="AE7608" i="2"/>
  <c r="AD7608" i="2"/>
  <c r="Y7608" i="2" s="1"/>
  <c r="AC7608" i="2"/>
  <c r="AA7608" i="2"/>
  <c r="W7608" i="2"/>
  <c r="AH7607" i="2"/>
  <c r="AE7607" i="2"/>
  <c r="AD7607" i="2"/>
  <c r="X7607" i="2"/>
  <c r="W7607" i="2"/>
  <c r="AH7606" i="2"/>
  <c r="AE7606" i="2"/>
  <c r="AD7606" i="2"/>
  <c r="X7606" i="2"/>
  <c r="W7606" i="2"/>
  <c r="AH7605" i="2"/>
  <c r="AE7605" i="2"/>
  <c r="AD7605" i="2"/>
  <c r="X7605" i="2"/>
  <c r="AC7605" i="2" s="1"/>
  <c r="W7605" i="2"/>
  <c r="AH7604" i="2"/>
  <c r="AE7604" i="2"/>
  <c r="AD7604" i="2"/>
  <c r="X7604" i="2"/>
  <c r="W7604" i="2"/>
  <c r="AH7603" i="2"/>
  <c r="AE7603" i="2"/>
  <c r="AD7603" i="2"/>
  <c r="X7603" i="2"/>
  <c r="W7603" i="2"/>
  <c r="AH7602" i="2"/>
  <c r="AE7602" i="2"/>
  <c r="AD7602" i="2"/>
  <c r="X7602" i="2"/>
  <c r="AK7602" i="2" s="1"/>
  <c r="W7602" i="2"/>
  <c r="AH7601" i="2"/>
  <c r="AE7601" i="2"/>
  <c r="AD7601" i="2"/>
  <c r="X7601" i="2"/>
  <c r="W7601" i="2"/>
  <c r="AH7600" i="2"/>
  <c r="AE7600" i="2"/>
  <c r="AD7600" i="2"/>
  <c r="X7600" i="2"/>
  <c r="W7600" i="2"/>
  <c r="AH7599" i="2"/>
  <c r="AE7599" i="2"/>
  <c r="AD7599" i="2"/>
  <c r="X7599" i="2"/>
  <c r="W7599" i="2"/>
  <c r="AH7598" i="2"/>
  <c r="AE7598" i="2"/>
  <c r="AD7598" i="2"/>
  <c r="X7598" i="2"/>
  <c r="W7598" i="2"/>
  <c r="AH7597" i="2"/>
  <c r="AE7597" i="2"/>
  <c r="AD7597" i="2"/>
  <c r="X7597" i="2"/>
  <c r="W7597" i="2"/>
  <c r="AH7596" i="2"/>
  <c r="AE7596" i="2"/>
  <c r="AD7596" i="2"/>
  <c r="X7596" i="2"/>
  <c r="W7596" i="2"/>
  <c r="AH7595" i="2"/>
  <c r="AE7595" i="2"/>
  <c r="AD7595" i="2"/>
  <c r="X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AC7592" i="2" s="1"/>
  <c r="W7592" i="2"/>
  <c r="AH7591" i="2"/>
  <c r="AE7591" i="2"/>
  <c r="AD7591" i="2"/>
  <c r="X7591" i="2"/>
  <c r="W7591" i="2"/>
  <c r="AH7590" i="2"/>
  <c r="AE7590" i="2"/>
  <c r="AD7590" i="2"/>
  <c r="X7590" i="2"/>
  <c r="W7590" i="2"/>
  <c r="AH7589" i="2"/>
  <c r="AE7589" i="2"/>
  <c r="AD7589" i="2"/>
  <c r="X7589" i="2"/>
  <c r="AC7589" i="2" s="1"/>
  <c r="W7589" i="2"/>
  <c r="AH7588" i="2"/>
  <c r="AE7588" i="2"/>
  <c r="AD7588" i="2"/>
  <c r="X7588" i="2"/>
  <c r="W7588" i="2"/>
  <c r="AH7587" i="2"/>
  <c r="AE7587" i="2"/>
  <c r="AD7587" i="2"/>
  <c r="X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W7583" i="2"/>
  <c r="AH7582" i="2"/>
  <c r="AE7582" i="2"/>
  <c r="AD7582" i="2"/>
  <c r="X7582" i="2"/>
  <c r="W7582" i="2"/>
  <c r="AH7581" i="2"/>
  <c r="AE7581" i="2"/>
  <c r="AD7581" i="2"/>
  <c r="X7581" i="2"/>
  <c r="W7581" i="2"/>
  <c r="AH7580" i="2"/>
  <c r="AE7580" i="2"/>
  <c r="AD7580" i="2"/>
  <c r="X7580" i="2"/>
  <c r="W7580" i="2"/>
  <c r="AH7579" i="2"/>
  <c r="AE7579" i="2"/>
  <c r="AD7579" i="2"/>
  <c r="X7579" i="2"/>
  <c r="W7579" i="2"/>
  <c r="AH7578" i="2"/>
  <c r="AE7578" i="2"/>
  <c r="AD7578" i="2"/>
  <c r="X7578" i="2"/>
  <c r="W7578" i="2"/>
  <c r="AH7577" i="2"/>
  <c r="AE7577" i="2"/>
  <c r="AD7577" i="2"/>
  <c r="X7577" i="2"/>
  <c r="W7577" i="2"/>
  <c r="AH7576" i="2"/>
  <c r="AE7576" i="2"/>
  <c r="AD7576" i="2"/>
  <c r="X7576" i="2"/>
  <c r="W7576" i="2"/>
  <c r="AH7575" i="2"/>
  <c r="AE7575" i="2"/>
  <c r="AD7575" i="2"/>
  <c r="X7575" i="2"/>
  <c r="W7575" i="2"/>
  <c r="AH7574" i="2"/>
  <c r="AE7574" i="2"/>
  <c r="AD7574" i="2"/>
  <c r="X7574" i="2"/>
  <c r="W7574" i="2"/>
  <c r="AH7573" i="2"/>
  <c r="AE7573" i="2"/>
  <c r="AD7573" i="2"/>
  <c r="X7573" i="2"/>
  <c r="AC7573" i="2" s="1"/>
  <c r="W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W7570" i="2"/>
  <c r="AH7569" i="2"/>
  <c r="AE7569" i="2"/>
  <c r="AD7569" i="2"/>
  <c r="X7569" i="2"/>
  <c r="W7569" i="2"/>
  <c r="AH7568" i="2"/>
  <c r="AE7568" i="2"/>
  <c r="AD7568" i="2"/>
  <c r="X7568" i="2"/>
  <c r="AC7568" i="2" s="1"/>
  <c r="W7568" i="2"/>
  <c r="AH7567" i="2"/>
  <c r="AE7567" i="2"/>
  <c r="AD7567" i="2"/>
  <c r="X7567" i="2"/>
  <c r="W7567" i="2"/>
  <c r="AH7566" i="2"/>
  <c r="AE7566" i="2"/>
  <c r="AD7566" i="2"/>
  <c r="X7566" i="2"/>
  <c r="W7566" i="2"/>
  <c r="AH7565" i="2"/>
  <c r="AE7565" i="2"/>
  <c r="AD7565" i="2"/>
  <c r="X7565" i="2"/>
  <c r="AC7565" i="2" s="1"/>
  <c r="W7565" i="2"/>
  <c r="AH7564" i="2"/>
  <c r="AE7564" i="2"/>
  <c r="AD7564" i="2"/>
  <c r="X7564" i="2"/>
  <c r="W7564" i="2"/>
  <c r="AH7563" i="2"/>
  <c r="AE7563" i="2"/>
  <c r="AD7563" i="2"/>
  <c r="X7563" i="2"/>
  <c r="W7563" i="2"/>
  <c r="AH7562" i="2"/>
  <c r="AE7562" i="2"/>
  <c r="AD7562" i="2"/>
  <c r="X7562" i="2"/>
  <c r="W7562" i="2"/>
  <c r="AH7561" i="2"/>
  <c r="AE7561" i="2"/>
  <c r="AD7561" i="2"/>
  <c r="X7561" i="2"/>
  <c r="W7561" i="2"/>
  <c r="AH7560" i="2"/>
  <c r="AE7560" i="2"/>
  <c r="AD7560" i="2"/>
  <c r="X7560" i="2"/>
  <c r="W7560" i="2"/>
  <c r="AH7559" i="2"/>
  <c r="AE7559" i="2"/>
  <c r="AD7559" i="2"/>
  <c r="X7559" i="2"/>
  <c r="W7559" i="2"/>
  <c r="AH7558" i="2"/>
  <c r="AE7558" i="2"/>
  <c r="AD7558" i="2"/>
  <c r="X7558" i="2"/>
  <c r="W7558" i="2"/>
  <c r="AH7557" i="2"/>
  <c r="AE7557" i="2"/>
  <c r="AD7557" i="2"/>
  <c r="X7557" i="2"/>
  <c r="W7557" i="2"/>
  <c r="AH7556" i="2"/>
  <c r="AE7556" i="2"/>
  <c r="AD7556" i="2"/>
  <c r="X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553" i="2"/>
  <c r="AE7553" i="2"/>
  <c r="AD7553" i="2"/>
  <c r="X7553" i="2"/>
  <c r="W7553" i="2"/>
  <c r="AH7552" i="2"/>
  <c r="AE7552" i="2"/>
  <c r="AD7552" i="2"/>
  <c r="X7552" i="2"/>
  <c r="W7552" i="2"/>
  <c r="AH7551" i="2"/>
  <c r="AE7551" i="2"/>
  <c r="AD7551" i="2"/>
  <c r="X7551" i="2"/>
  <c r="W7551" i="2"/>
  <c r="AH7550" i="2"/>
  <c r="AE7550" i="2"/>
  <c r="AD7550" i="2"/>
  <c r="X7550" i="2"/>
  <c r="W7550" i="2"/>
  <c r="AH7549" i="2"/>
  <c r="AE7549" i="2"/>
  <c r="AD7549" i="2"/>
  <c r="X7549" i="2"/>
  <c r="AC7549" i="2" s="1"/>
  <c r="W7549" i="2"/>
  <c r="AH7548" i="2"/>
  <c r="AE7548" i="2"/>
  <c r="AD7548" i="2"/>
  <c r="X7548" i="2"/>
  <c r="W7548" i="2"/>
  <c r="AH7547" i="2"/>
  <c r="AE7547" i="2"/>
  <c r="AD7547" i="2"/>
  <c r="X7547" i="2"/>
  <c r="W7547" i="2"/>
  <c r="AH7546" i="2"/>
  <c r="AE7546" i="2"/>
  <c r="AD7546" i="2"/>
  <c r="X7546" i="2"/>
  <c r="W7546" i="2"/>
  <c r="AH7545" i="2"/>
  <c r="AE7545" i="2"/>
  <c r="AD7545" i="2"/>
  <c r="X7545" i="2"/>
  <c r="W7545" i="2"/>
  <c r="AH7544" i="2"/>
  <c r="AE7544" i="2"/>
  <c r="AD7544" i="2"/>
  <c r="X7544" i="2"/>
  <c r="W7544" i="2"/>
  <c r="AH7543" i="2"/>
  <c r="AE7543" i="2"/>
  <c r="AD7543" i="2"/>
  <c r="X7543" i="2"/>
  <c r="W7543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W7539" i="2"/>
  <c r="AH7538" i="2"/>
  <c r="AE7538" i="2"/>
  <c r="AD7538" i="2"/>
  <c r="X7538" i="2"/>
  <c r="W7538" i="2"/>
  <c r="AH7537" i="2"/>
  <c r="AE7537" i="2"/>
  <c r="AD7537" i="2"/>
  <c r="X7537" i="2"/>
  <c r="W7537" i="2"/>
  <c r="AH7536" i="2"/>
  <c r="AE7536" i="2"/>
  <c r="AD7536" i="2"/>
  <c r="X7536" i="2"/>
  <c r="W7536" i="2"/>
  <c r="AH7535" i="2"/>
  <c r="AE7535" i="2"/>
  <c r="AD7535" i="2"/>
  <c r="X7535" i="2"/>
  <c r="W7535" i="2"/>
  <c r="AH7534" i="2"/>
  <c r="AE7534" i="2"/>
  <c r="AD7534" i="2"/>
  <c r="X7534" i="2"/>
  <c r="W7534" i="2"/>
  <c r="AH7533" i="2"/>
  <c r="AE7533" i="2"/>
  <c r="AD7533" i="2"/>
  <c r="X7533" i="2"/>
  <c r="W7533" i="2"/>
  <c r="AH7532" i="2"/>
  <c r="AE7532" i="2"/>
  <c r="AD7532" i="2"/>
  <c r="X7532" i="2"/>
  <c r="W7532" i="2"/>
  <c r="AH7531" i="2"/>
  <c r="AE7531" i="2"/>
  <c r="AD7531" i="2"/>
  <c r="X7531" i="2"/>
  <c r="W7531" i="2"/>
  <c r="AH7530" i="2"/>
  <c r="AE7530" i="2"/>
  <c r="AD7530" i="2"/>
  <c r="X7530" i="2"/>
  <c r="W7530" i="2"/>
  <c r="AH7529" i="2"/>
  <c r="AE7529" i="2"/>
  <c r="AD7529" i="2"/>
  <c r="X7529" i="2"/>
  <c r="W7529" i="2"/>
  <c r="AH7528" i="2"/>
  <c r="AE7528" i="2"/>
  <c r="AD7528" i="2"/>
  <c r="X7528" i="2"/>
  <c r="W7528" i="2"/>
  <c r="AH7527" i="2"/>
  <c r="AE7527" i="2"/>
  <c r="AD7527" i="2"/>
  <c r="X7527" i="2"/>
  <c r="W7527" i="2"/>
  <c r="AH7526" i="2"/>
  <c r="AE7526" i="2"/>
  <c r="AD7526" i="2"/>
  <c r="X7526" i="2"/>
  <c r="W7526" i="2"/>
  <c r="AH7525" i="2"/>
  <c r="AE7525" i="2"/>
  <c r="AD7525" i="2"/>
  <c r="X7525" i="2"/>
  <c r="AC7525" i="2" s="1"/>
  <c r="W7525" i="2"/>
  <c r="AH7524" i="2"/>
  <c r="AE7524" i="2"/>
  <c r="AD7524" i="2"/>
  <c r="X7524" i="2"/>
  <c r="W7524" i="2"/>
  <c r="AH7523" i="2"/>
  <c r="AE7523" i="2"/>
  <c r="AD7523" i="2"/>
  <c r="X7523" i="2"/>
  <c r="AH7522" i="2"/>
  <c r="AE7522" i="2"/>
  <c r="AD7522" i="2"/>
  <c r="X7522" i="2"/>
  <c r="W7522" i="2"/>
  <c r="AH7521" i="2"/>
  <c r="AE7521" i="2"/>
  <c r="AD7521" i="2"/>
  <c r="X7521" i="2"/>
  <c r="W7521" i="2"/>
  <c r="AH7520" i="2"/>
  <c r="AE7520" i="2"/>
  <c r="AD7520" i="2"/>
  <c r="X7520" i="2"/>
  <c r="W7520" i="2"/>
  <c r="AH7519" i="2"/>
  <c r="AE7519" i="2"/>
  <c r="AD7519" i="2"/>
  <c r="X7519" i="2"/>
  <c r="W7519" i="2"/>
  <c r="AH7518" i="2"/>
  <c r="AE7518" i="2"/>
  <c r="AD7518" i="2"/>
  <c r="X7518" i="2"/>
  <c r="W7518" i="2"/>
  <c r="AH7517" i="2"/>
  <c r="AE7517" i="2"/>
  <c r="AD7517" i="2"/>
  <c r="X7517" i="2"/>
  <c r="W7517" i="2"/>
  <c r="AH7516" i="2"/>
  <c r="AE7516" i="2"/>
  <c r="AD7516" i="2"/>
  <c r="X7516" i="2"/>
  <c r="W7516" i="2"/>
  <c r="AH7515" i="2"/>
  <c r="AE7515" i="2"/>
  <c r="AD7515" i="2"/>
  <c r="X7515" i="2"/>
  <c r="W7515" i="2"/>
  <c r="AH7514" i="2"/>
  <c r="AE7514" i="2"/>
  <c r="AD7514" i="2"/>
  <c r="X7514" i="2"/>
  <c r="W7514" i="2"/>
  <c r="AH7513" i="2"/>
  <c r="AE7513" i="2"/>
  <c r="AD7513" i="2"/>
  <c r="X7513" i="2"/>
  <c r="W7513" i="2"/>
  <c r="AH7512" i="2"/>
  <c r="AE7512" i="2"/>
  <c r="AD7512" i="2"/>
  <c r="X7512" i="2"/>
  <c r="W7512" i="2"/>
  <c r="AH7511" i="2"/>
  <c r="AE7511" i="2"/>
  <c r="AD7511" i="2"/>
  <c r="X7511" i="2"/>
  <c r="W7511" i="2"/>
  <c r="AH7510" i="2"/>
  <c r="AE7510" i="2"/>
  <c r="AD7510" i="2"/>
  <c r="X7510" i="2"/>
  <c r="W7510" i="2"/>
  <c r="AH7509" i="2"/>
  <c r="AE7509" i="2"/>
  <c r="AD7509" i="2"/>
  <c r="X7509" i="2"/>
  <c r="W7509" i="2"/>
  <c r="AH7508" i="2"/>
  <c r="AE7508" i="2"/>
  <c r="AD7508" i="2"/>
  <c r="X7508" i="2"/>
  <c r="W7508" i="2"/>
  <c r="AH7507" i="2"/>
  <c r="AE7507" i="2"/>
  <c r="AD7507" i="2"/>
  <c r="X7507" i="2"/>
  <c r="W7507" i="2"/>
  <c r="AH7506" i="2"/>
  <c r="AE7506" i="2"/>
  <c r="AD7506" i="2"/>
  <c r="X7506" i="2"/>
  <c r="W7506" i="2"/>
  <c r="AH7505" i="2"/>
  <c r="AE7505" i="2"/>
  <c r="AD7505" i="2"/>
  <c r="X7505" i="2"/>
  <c r="W7505" i="2"/>
  <c r="AH7504" i="2"/>
  <c r="AE7504" i="2"/>
  <c r="AD7504" i="2"/>
  <c r="X7504" i="2"/>
  <c r="W7504" i="2"/>
  <c r="AH7503" i="2"/>
  <c r="AE7503" i="2"/>
  <c r="AD7503" i="2"/>
  <c r="X7503" i="2"/>
  <c r="W7503" i="2"/>
  <c r="AH7502" i="2"/>
  <c r="AE7502" i="2"/>
  <c r="AD7502" i="2"/>
  <c r="X7502" i="2"/>
  <c r="W7502" i="2"/>
  <c r="AH7501" i="2"/>
  <c r="AE7501" i="2"/>
  <c r="AD7501" i="2"/>
  <c r="X7501" i="2"/>
  <c r="W7501" i="2"/>
  <c r="AH7500" i="2"/>
  <c r="AE7500" i="2"/>
  <c r="AD7500" i="2"/>
  <c r="X7500" i="2"/>
  <c r="W7500" i="2"/>
  <c r="AH7499" i="2"/>
  <c r="AE7499" i="2"/>
  <c r="AD7499" i="2"/>
  <c r="X7499" i="2"/>
  <c r="AC7499" i="2" s="1"/>
  <c r="W7499" i="2"/>
  <c r="AH7498" i="2"/>
  <c r="AE7498" i="2"/>
  <c r="AD7498" i="2"/>
  <c r="X7498" i="2"/>
  <c r="W7498" i="2"/>
  <c r="AH7497" i="2"/>
  <c r="AE7497" i="2"/>
  <c r="AD7497" i="2"/>
  <c r="X7497" i="2"/>
  <c r="W7497" i="2"/>
  <c r="AH7496" i="2"/>
  <c r="AE7496" i="2"/>
  <c r="AD7496" i="2"/>
  <c r="X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W7489" i="2"/>
  <c r="AH7488" i="2"/>
  <c r="AE7488" i="2"/>
  <c r="AD7488" i="2"/>
  <c r="X7488" i="2"/>
  <c r="W7488" i="2"/>
  <c r="AH7487" i="2"/>
  <c r="AE7487" i="2"/>
  <c r="AD7487" i="2"/>
  <c r="X7487" i="2"/>
  <c r="W7487" i="2"/>
  <c r="AH7486" i="2"/>
  <c r="AE7486" i="2"/>
  <c r="AD7486" i="2"/>
  <c r="X7486" i="2"/>
  <c r="W7486" i="2"/>
  <c r="AH7485" i="2"/>
  <c r="AE7485" i="2"/>
  <c r="AD7485" i="2"/>
  <c r="X7485" i="2"/>
  <c r="W7485" i="2"/>
  <c r="AH7484" i="2"/>
  <c r="AE7484" i="2"/>
  <c r="AD7484" i="2"/>
  <c r="X7484" i="2"/>
  <c r="W7484" i="2"/>
  <c r="AH7483" i="2"/>
  <c r="AE7483" i="2"/>
  <c r="AD7483" i="2"/>
  <c r="X7483" i="2"/>
  <c r="W7483" i="2"/>
  <c r="AH7482" i="2"/>
  <c r="AE7482" i="2"/>
  <c r="AD7482" i="2"/>
  <c r="X7482" i="2"/>
  <c r="W7482" i="2"/>
  <c r="AH7481" i="2"/>
  <c r="AE7481" i="2"/>
  <c r="AD7481" i="2"/>
  <c r="X7481" i="2"/>
  <c r="W7481" i="2"/>
  <c r="AH7480" i="2"/>
  <c r="AE7480" i="2"/>
  <c r="AD7480" i="2"/>
  <c r="X7480" i="2"/>
  <c r="AC7480" i="2" s="1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W7477" i="2"/>
  <c r="AH7476" i="2"/>
  <c r="AE7476" i="2"/>
  <c r="AD7476" i="2"/>
  <c r="X7476" i="2"/>
  <c r="W7476" i="2"/>
  <c r="AH7475" i="2"/>
  <c r="AE7475" i="2"/>
  <c r="AD7475" i="2"/>
  <c r="X7475" i="2"/>
  <c r="AC7475" i="2" s="1"/>
  <c r="W7475" i="2"/>
  <c r="AH7474" i="2"/>
  <c r="AE7474" i="2"/>
  <c r="AD7474" i="2"/>
  <c r="X7474" i="2"/>
  <c r="W7474" i="2"/>
  <c r="AH7473" i="2"/>
  <c r="AE7473" i="2"/>
  <c r="AD7473" i="2"/>
  <c r="X7473" i="2"/>
  <c r="W7473" i="2"/>
  <c r="AH7472" i="2"/>
  <c r="AE7472" i="2"/>
  <c r="AD7472" i="2"/>
  <c r="X7472" i="2"/>
  <c r="W7472" i="2"/>
  <c r="AH7471" i="2"/>
  <c r="AE7471" i="2"/>
  <c r="AD7471" i="2"/>
  <c r="X7471" i="2"/>
  <c r="W7471" i="2"/>
  <c r="AH7470" i="2"/>
  <c r="AE7470" i="2"/>
  <c r="AD7470" i="2"/>
  <c r="X7470" i="2"/>
  <c r="W7470" i="2"/>
  <c r="AH7469" i="2"/>
  <c r="AE7469" i="2"/>
  <c r="AD7469" i="2"/>
  <c r="X7469" i="2"/>
  <c r="W7469" i="2"/>
  <c r="AH7468" i="2"/>
  <c r="AE7468" i="2"/>
  <c r="AD7468" i="2"/>
  <c r="X7468" i="2"/>
  <c r="W7468" i="2"/>
  <c r="AH7467" i="2"/>
  <c r="AE7467" i="2"/>
  <c r="AD7467" i="2"/>
  <c r="X7467" i="2"/>
  <c r="AC7467" i="2" s="1"/>
  <c r="W7467" i="2"/>
  <c r="AH7466" i="2"/>
  <c r="AE7466" i="2"/>
  <c r="AD7466" i="2"/>
  <c r="X7466" i="2"/>
  <c r="W7466" i="2"/>
  <c r="AH7465" i="2"/>
  <c r="AE7465" i="2"/>
  <c r="AD7465" i="2"/>
  <c r="X7465" i="2"/>
  <c r="W7465" i="2"/>
  <c r="AH7464" i="2"/>
  <c r="AE7464" i="2"/>
  <c r="AD7464" i="2"/>
  <c r="X7464" i="2"/>
  <c r="AC7464" i="2" s="1"/>
  <c r="W7464" i="2"/>
  <c r="AH7463" i="2"/>
  <c r="AE7463" i="2"/>
  <c r="AD7463" i="2"/>
  <c r="X7463" i="2"/>
  <c r="W7463" i="2"/>
  <c r="AH7462" i="2"/>
  <c r="AE7462" i="2"/>
  <c r="AD7462" i="2"/>
  <c r="X7462" i="2"/>
  <c r="W7462" i="2"/>
  <c r="AH7461" i="2"/>
  <c r="AE7461" i="2"/>
  <c r="AD7461" i="2"/>
  <c r="X7461" i="2"/>
  <c r="W7461" i="2"/>
  <c r="AH7460" i="2"/>
  <c r="AE7460" i="2"/>
  <c r="AD7460" i="2"/>
  <c r="X7460" i="2"/>
  <c r="W7460" i="2"/>
  <c r="AH7459" i="2"/>
  <c r="AE7459" i="2"/>
  <c r="AD7459" i="2"/>
  <c r="X7459" i="2"/>
  <c r="AC7459" i="2" s="1"/>
  <c r="W7459" i="2"/>
  <c r="AH7458" i="2"/>
  <c r="AE7458" i="2"/>
  <c r="AD7458" i="2"/>
  <c r="X7458" i="2"/>
  <c r="W7458" i="2"/>
  <c r="AH7457" i="2"/>
  <c r="AE7457" i="2"/>
  <c r="AD7457" i="2"/>
  <c r="X7457" i="2"/>
  <c r="W7457" i="2"/>
  <c r="AH7456" i="2"/>
  <c r="AE7456" i="2"/>
  <c r="AD7456" i="2"/>
  <c r="X7456" i="2"/>
  <c r="AC7456" i="2" s="1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W7449" i="2"/>
  <c r="AH7448" i="2"/>
  <c r="AE7448" i="2"/>
  <c r="AD7448" i="2"/>
  <c r="X7448" i="2"/>
  <c r="W7448" i="2"/>
  <c r="AH7447" i="2"/>
  <c r="AE7447" i="2"/>
  <c r="AD7447" i="2"/>
  <c r="X7447" i="2"/>
  <c r="W7447" i="2"/>
  <c r="AH7446" i="2"/>
  <c r="AE7446" i="2"/>
  <c r="AD7446" i="2"/>
  <c r="X7446" i="2"/>
  <c r="W7446" i="2"/>
  <c r="AH7445" i="2"/>
  <c r="AE7445" i="2"/>
  <c r="AD7445" i="2"/>
  <c r="X7445" i="2"/>
  <c r="W7445" i="2"/>
  <c r="AH7444" i="2"/>
  <c r="AE7444" i="2"/>
  <c r="AD7444" i="2"/>
  <c r="X7444" i="2"/>
  <c r="W7444" i="2"/>
  <c r="AH7443" i="2"/>
  <c r="AE7443" i="2"/>
  <c r="AD7443" i="2"/>
  <c r="X7443" i="2"/>
  <c r="W7443" i="2"/>
  <c r="AH7442" i="2"/>
  <c r="AE7442" i="2"/>
  <c r="AD7442" i="2"/>
  <c r="X7442" i="2"/>
  <c r="W7442" i="2"/>
  <c r="AH7441" i="2"/>
  <c r="AE7441" i="2"/>
  <c r="AD7441" i="2"/>
  <c r="X7441" i="2"/>
  <c r="W7441" i="2"/>
  <c r="AH7440" i="2"/>
  <c r="AE7440" i="2"/>
  <c r="AD7440" i="2"/>
  <c r="X7440" i="2"/>
  <c r="W7440" i="2"/>
  <c r="AH7439" i="2"/>
  <c r="AE7439" i="2"/>
  <c r="AD7439" i="2"/>
  <c r="X7439" i="2"/>
  <c r="W7439" i="2"/>
  <c r="AH7438" i="2"/>
  <c r="AE7438" i="2"/>
  <c r="AD7438" i="2"/>
  <c r="X7438" i="2"/>
  <c r="W7438" i="2"/>
  <c r="AH7437" i="2"/>
  <c r="AE7437" i="2"/>
  <c r="AD7437" i="2"/>
  <c r="X7437" i="2"/>
  <c r="W7437" i="2"/>
  <c r="AH7436" i="2"/>
  <c r="AE7436" i="2"/>
  <c r="AD7436" i="2"/>
  <c r="X7436" i="2"/>
  <c r="W7436" i="2"/>
  <c r="AH7435" i="2"/>
  <c r="AE7435" i="2"/>
  <c r="AD7435" i="2"/>
  <c r="X7435" i="2"/>
  <c r="W7435" i="2"/>
  <c r="AH7434" i="2"/>
  <c r="AE7434" i="2"/>
  <c r="AD7434" i="2"/>
  <c r="X7434" i="2"/>
  <c r="W7434" i="2"/>
  <c r="AH7433" i="2"/>
  <c r="AE7433" i="2"/>
  <c r="AD7433" i="2"/>
  <c r="X7433" i="2"/>
  <c r="AB7433" i="2" s="1"/>
  <c r="AK7433" i="2" s="1"/>
  <c r="W7433" i="2"/>
  <c r="AH7432" i="2"/>
  <c r="AE7432" i="2"/>
  <c r="AD7432" i="2"/>
  <c r="X7432" i="2"/>
  <c r="W7432" i="2"/>
  <c r="AH7431" i="2"/>
  <c r="AE7431" i="2"/>
  <c r="AD7431" i="2"/>
  <c r="X7431" i="2"/>
  <c r="W7431" i="2"/>
  <c r="AH7430" i="2"/>
  <c r="AE7430" i="2"/>
  <c r="AD7430" i="2"/>
  <c r="X7430" i="2"/>
  <c r="W7430" i="2"/>
  <c r="AH7429" i="2"/>
  <c r="AE7429" i="2"/>
  <c r="AD7429" i="2"/>
  <c r="X7429" i="2"/>
  <c r="W7429" i="2"/>
  <c r="AH7428" i="2"/>
  <c r="AE7428" i="2"/>
  <c r="AD7428" i="2"/>
  <c r="X7428" i="2"/>
  <c r="W7428" i="2"/>
  <c r="AH7427" i="2"/>
  <c r="AE7427" i="2"/>
  <c r="AD7427" i="2"/>
  <c r="X7427" i="2"/>
  <c r="W7427" i="2"/>
  <c r="AH7426" i="2"/>
  <c r="AE7426" i="2"/>
  <c r="AD7426" i="2"/>
  <c r="X7426" i="2"/>
  <c r="W7426" i="2"/>
  <c r="AH7425" i="2"/>
  <c r="AE7425" i="2"/>
  <c r="AD7425" i="2"/>
  <c r="X7425" i="2"/>
  <c r="W7425" i="2"/>
  <c r="AH7424" i="2"/>
  <c r="AE7424" i="2"/>
  <c r="AD7424" i="2"/>
  <c r="X7424" i="2"/>
  <c r="W7424" i="2"/>
  <c r="AH7423" i="2"/>
  <c r="AE7423" i="2"/>
  <c r="AD7423" i="2"/>
  <c r="X7423" i="2"/>
  <c r="W7423" i="2"/>
  <c r="AH7422" i="2"/>
  <c r="AE7422" i="2"/>
  <c r="AD7422" i="2"/>
  <c r="X7422" i="2"/>
  <c r="W7422" i="2"/>
  <c r="AH7421" i="2"/>
  <c r="AE7421" i="2"/>
  <c r="AD7421" i="2"/>
  <c r="X7421" i="2"/>
  <c r="W7421" i="2"/>
  <c r="AH7420" i="2"/>
  <c r="AE7420" i="2"/>
  <c r="AD7420" i="2"/>
  <c r="X7420" i="2"/>
  <c r="W7420" i="2"/>
  <c r="AH7419" i="2"/>
  <c r="AE7419" i="2"/>
  <c r="AD7419" i="2"/>
  <c r="X7419" i="2"/>
  <c r="W7419" i="2"/>
  <c r="AH7418" i="2"/>
  <c r="AE7418" i="2"/>
  <c r="AD7418" i="2"/>
  <c r="X7418" i="2"/>
  <c r="W7418" i="2"/>
  <c r="AH7417" i="2"/>
  <c r="AE7417" i="2"/>
  <c r="AD7417" i="2"/>
  <c r="X7417" i="2"/>
  <c r="W7417" i="2"/>
  <c r="AH7416" i="2"/>
  <c r="AE7416" i="2"/>
  <c r="AD7416" i="2"/>
  <c r="X7416" i="2"/>
  <c r="W7416" i="2"/>
  <c r="AH7415" i="2"/>
  <c r="AE7415" i="2"/>
  <c r="AD7415" i="2"/>
  <c r="X7415" i="2"/>
  <c r="W7415" i="2"/>
  <c r="AH7414" i="2"/>
  <c r="AE7414" i="2"/>
  <c r="AD7414" i="2"/>
  <c r="X7414" i="2"/>
  <c r="W7414" i="2"/>
  <c r="AH7413" i="2"/>
  <c r="AE7413" i="2"/>
  <c r="AD7413" i="2"/>
  <c r="X7413" i="2"/>
  <c r="W7413" i="2"/>
  <c r="AH7412" i="2"/>
  <c r="AE7412" i="2"/>
  <c r="AD7412" i="2"/>
  <c r="X7412" i="2"/>
  <c r="W7412" i="2"/>
  <c r="AH7411" i="2"/>
  <c r="AE7411" i="2"/>
  <c r="AD7411" i="2"/>
  <c r="X7411" i="2"/>
  <c r="W7411" i="2"/>
  <c r="AH7410" i="2"/>
  <c r="AE7410" i="2"/>
  <c r="AD7410" i="2"/>
  <c r="X7410" i="2"/>
  <c r="W7410" i="2"/>
  <c r="AH7409" i="2"/>
  <c r="AE7409" i="2"/>
  <c r="AD7409" i="2"/>
  <c r="X7409" i="2"/>
  <c r="W7409" i="2"/>
  <c r="AH7408" i="2"/>
  <c r="AE7408" i="2"/>
  <c r="AD7408" i="2"/>
  <c r="X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W7405" i="2"/>
  <c r="AH7404" i="2"/>
  <c r="AE7404" i="2"/>
  <c r="AD7404" i="2"/>
  <c r="X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W7401" i="2"/>
  <c r="AH7400" i="2"/>
  <c r="AE7400" i="2"/>
  <c r="AD7400" i="2"/>
  <c r="X7400" i="2"/>
  <c r="W7400" i="2"/>
  <c r="AH7399" i="2"/>
  <c r="AE7399" i="2"/>
  <c r="AD7399" i="2"/>
  <c r="X7399" i="2"/>
  <c r="W7399" i="2"/>
  <c r="AH7398" i="2"/>
  <c r="AE7398" i="2"/>
  <c r="AD7398" i="2"/>
  <c r="X7398" i="2"/>
  <c r="W7398" i="2"/>
  <c r="AH7397" i="2"/>
  <c r="AE7397" i="2"/>
  <c r="AD7397" i="2"/>
  <c r="X7397" i="2"/>
  <c r="W7397" i="2"/>
  <c r="AH7396" i="2"/>
  <c r="AE7396" i="2"/>
  <c r="AD7396" i="2"/>
  <c r="X7396" i="2"/>
  <c r="W7396" i="2"/>
  <c r="AH7395" i="2"/>
  <c r="AE7395" i="2"/>
  <c r="AD7395" i="2"/>
  <c r="X7395" i="2"/>
  <c r="W7395" i="2"/>
  <c r="AH7394" i="2"/>
  <c r="AE7394" i="2"/>
  <c r="AD7394" i="2"/>
  <c r="X7394" i="2"/>
  <c r="W7394" i="2"/>
  <c r="AH7393" i="2"/>
  <c r="AE7393" i="2"/>
  <c r="AD7393" i="2"/>
  <c r="X7393" i="2"/>
  <c r="W7393" i="2"/>
  <c r="AH7392" i="2"/>
  <c r="AE7392" i="2"/>
  <c r="AD7392" i="2"/>
  <c r="X7392" i="2"/>
  <c r="W7392" i="2"/>
  <c r="AH7391" i="2"/>
  <c r="AE7391" i="2"/>
  <c r="AD7391" i="2"/>
  <c r="X7391" i="2"/>
  <c r="W7391" i="2"/>
  <c r="AH7390" i="2"/>
  <c r="AE7390" i="2"/>
  <c r="AD7390" i="2"/>
  <c r="X7390" i="2"/>
  <c r="W7390" i="2"/>
  <c r="AH7389" i="2"/>
  <c r="AE7389" i="2"/>
  <c r="AD7389" i="2"/>
  <c r="X7389" i="2"/>
  <c r="W7389" i="2"/>
  <c r="AH7388" i="2"/>
  <c r="AE7388" i="2"/>
  <c r="AD7388" i="2"/>
  <c r="X7388" i="2"/>
  <c r="W7388" i="2"/>
  <c r="AH7387" i="2"/>
  <c r="AE7387" i="2"/>
  <c r="AD7387" i="2"/>
  <c r="X7387" i="2"/>
  <c r="W7387" i="2"/>
  <c r="AH7386" i="2"/>
  <c r="AE7386" i="2"/>
  <c r="AD7386" i="2"/>
  <c r="X7386" i="2"/>
  <c r="W7386" i="2"/>
  <c r="AH7385" i="2"/>
  <c r="AE7385" i="2"/>
  <c r="AD7385" i="2"/>
  <c r="X7385" i="2"/>
  <c r="W7385" i="2"/>
  <c r="AH7384" i="2"/>
  <c r="AE7384" i="2"/>
  <c r="AD7384" i="2"/>
  <c r="X7384" i="2"/>
  <c r="W7384" i="2"/>
  <c r="AH7383" i="2"/>
  <c r="AE7383" i="2"/>
  <c r="AD7383" i="2"/>
  <c r="X7383" i="2"/>
  <c r="W7383" i="2"/>
  <c r="AH7382" i="2"/>
  <c r="AE7382" i="2"/>
  <c r="AD7382" i="2"/>
  <c r="X7382" i="2"/>
  <c r="W7382" i="2"/>
  <c r="AH7381" i="2"/>
  <c r="AE7381" i="2"/>
  <c r="AD7381" i="2"/>
  <c r="X7381" i="2"/>
  <c r="W7381" i="2"/>
  <c r="AH7380" i="2"/>
  <c r="AE7380" i="2"/>
  <c r="AD7380" i="2"/>
  <c r="X7380" i="2"/>
  <c r="AK7380" i="2" s="1"/>
  <c r="W7380" i="2"/>
  <c r="AH7379" i="2"/>
  <c r="AE7379" i="2"/>
  <c r="AD7379" i="2"/>
  <c r="X7379" i="2"/>
  <c r="W7379" i="2"/>
  <c r="AH7378" i="2"/>
  <c r="AE7378" i="2"/>
  <c r="AD7378" i="2"/>
  <c r="X7378" i="2"/>
  <c r="W7378" i="2"/>
  <c r="AH7377" i="2"/>
  <c r="AE7377" i="2"/>
  <c r="AD7377" i="2"/>
  <c r="X7377" i="2"/>
  <c r="W7377" i="2"/>
  <c r="AH7376" i="2"/>
  <c r="AE7376" i="2"/>
  <c r="AD7376" i="2"/>
  <c r="X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W7373" i="2"/>
  <c r="AH7372" i="2"/>
  <c r="AE7372" i="2"/>
  <c r="AD7372" i="2"/>
  <c r="X7372" i="2"/>
  <c r="W7372" i="2"/>
  <c r="AH7371" i="2"/>
  <c r="AE7371" i="2"/>
  <c r="AD7371" i="2"/>
  <c r="X7371" i="2"/>
  <c r="W7371" i="2"/>
  <c r="AH7370" i="2"/>
  <c r="AE7370" i="2"/>
  <c r="AD7370" i="2"/>
  <c r="X7370" i="2"/>
  <c r="W7370" i="2"/>
  <c r="AH7369" i="2"/>
  <c r="AE7369" i="2"/>
  <c r="AD7369" i="2"/>
  <c r="X7369" i="2"/>
  <c r="W7369" i="2"/>
  <c r="AH7368" i="2"/>
  <c r="AE7368" i="2"/>
  <c r="AD7368" i="2"/>
  <c r="X7368" i="2"/>
  <c r="W7368" i="2"/>
  <c r="AH7367" i="2"/>
  <c r="AE7367" i="2"/>
  <c r="AD7367" i="2"/>
  <c r="X7367" i="2"/>
  <c r="W7367" i="2"/>
  <c r="AH7366" i="2"/>
  <c r="AE7366" i="2"/>
  <c r="AD7366" i="2"/>
  <c r="X7366" i="2"/>
  <c r="W7366" i="2"/>
  <c r="AH7365" i="2"/>
  <c r="AE7365" i="2"/>
  <c r="AD7365" i="2"/>
  <c r="X7365" i="2"/>
  <c r="W7365" i="2"/>
  <c r="AH7364" i="2"/>
  <c r="AE7364" i="2"/>
  <c r="AD7364" i="2"/>
  <c r="X7364" i="2"/>
  <c r="AK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W7361" i="2"/>
  <c r="AH7360" i="2"/>
  <c r="AE7360" i="2"/>
  <c r="AD7360" i="2"/>
  <c r="X7360" i="2"/>
  <c r="W7360" i="2"/>
  <c r="AH7359" i="2"/>
  <c r="AE7359" i="2"/>
  <c r="AD7359" i="2"/>
  <c r="X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W7356" i="2"/>
  <c r="AH7355" i="2"/>
  <c r="AE7355" i="2"/>
  <c r="AD7355" i="2"/>
  <c r="X7355" i="2"/>
  <c r="W7355" i="2"/>
  <c r="AH7354" i="2"/>
  <c r="AE7354" i="2"/>
  <c r="AD7354" i="2"/>
  <c r="X7354" i="2"/>
  <c r="W7354" i="2"/>
  <c r="AH7353" i="2"/>
  <c r="AE7353" i="2"/>
  <c r="AD7353" i="2"/>
  <c r="X7353" i="2"/>
  <c r="W7353" i="2"/>
  <c r="AH7352" i="2"/>
  <c r="AE7352" i="2"/>
  <c r="AD7352" i="2"/>
  <c r="X7352" i="2"/>
  <c r="W7352" i="2"/>
  <c r="AH7351" i="2"/>
  <c r="AE7351" i="2"/>
  <c r="AD7351" i="2"/>
  <c r="X7351" i="2"/>
  <c r="W7351" i="2"/>
  <c r="AH7350" i="2"/>
  <c r="AE7350" i="2"/>
  <c r="AD7350" i="2"/>
  <c r="X7350" i="2"/>
  <c r="W7350" i="2"/>
  <c r="AH7349" i="2"/>
  <c r="AE7349" i="2"/>
  <c r="AD7349" i="2"/>
  <c r="X7349" i="2"/>
  <c r="W7349" i="2"/>
  <c r="AH7348" i="2"/>
  <c r="AE7348" i="2"/>
  <c r="AD7348" i="2"/>
  <c r="X7348" i="2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W7345" i="2"/>
  <c r="AH7344" i="2"/>
  <c r="AE7344" i="2"/>
  <c r="AD7344" i="2"/>
  <c r="X7344" i="2"/>
  <c r="W7344" i="2"/>
  <c r="AH7343" i="2"/>
  <c r="AE7343" i="2"/>
  <c r="AD7343" i="2"/>
  <c r="X7343" i="2"/>
  <c r="AK7343" i="2" s="1"/>
  <c r="W7343" i="2"/>
  <c r="AH7342" i="2"/>
  <c r="AE7342" i="2"/>
  <c r="AD7342" i="2"/>
  <c r="X7342" i="2"/>
  <c r="W7342" i="2"/>
  <c r="AH7341" i="2"/>
  <c r="AE7341" i="2"/>
  <c r="AD7341" i="2"/>
  <c r="X7341" i="2"/>
  <c r="W7341" i="2"/>
  <c r="AH7340" i="2"/>
  <c r="AE7340" i="2"/>
  <c r="AD7340" i="2"/>
  <c r="X7340" i="2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K7337" i="2" s="1"/>
  <c r="W7337" i="2"/>
  <c r="AH7336" i="2"/>
  <c r="AE7336" i="2"/>
  <c r="AD7336" i="2"/>
  <c r="X7336" i="2"/>
  <c r="W7336" i="2"/>
  <c r="AH7335" i="2"/>
  <c r="AE7335" i="2"/>
  <c r="AD7335" i="2"/>
  <c r="X7335" i="2"/>
  <c r="W7335" i="2"/>
  <c r="AH7334" i="2"/>
  <c r="AE7334" i="2"/>
  <c r="AD7334" i="2"/>
  <c r="X7334" i="2"/>
  <c r="W7334" i="2"/>
  <c r="AH7333" i="2"/>
  <c r="AE7333" i="2"/>
  <c r="AD7333" i="2"/>
  <c r="X7333" i="2"/>
  <c r="W7333" i="2"/>
  <c r="AH7332" i="2"/>
  <c r="AE7332" i="2"/>
  <c r="AD7332" i="2"/>
  <c r="X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W7329" i="2"/>
  <c r="AH7328" i="2"/>
  <c r="AE7328" i="2"/>
  <c r="AD7328" i="2"/>
  <c r="X7328" i="2"/>
  <c r="W7328" i="2"/>
  <c r="AH7327" i="2"/>
  <c r="AE7327" i="2"/>
  <c r="AD7327" i="2"/>
  <c r="X7327" i="2"/>
  <c r="W7327" i="2"/>
  <c r="AH7326" i="2"/>
  <c r="AE7326" i="2"/>
  <c r="AD7326" i="2"/>
  <c r="X7326" i="2"/>
  <c r="W7326" i="2"/>
  <c r="AH7325" i="2"/>
  <c r="AE7325" i="2"/>
  <c r="AD7325" i="2"/>
  <c r="X7325" i="2"/>
  <c r="W7325" i="2"/>
  <c r="AH7324" i="2"/>
  <c r="AE7324" i="2"/>
  <c r="AD7324" i="2"/>
  <c r="X7324" i="2"/>
  <c r="W7324" i="2"/>
  <c r="AH7323" i="2"/>
  <c r="AE7323" i="2"/>
  <c r="AD7323" i="2"/>
  <c r="X7323" i="2"/>
  <c r="W7323" i="2"/>
  <c r="AH7322" i="2"/>
  <c r="AE7322" i="2"/>
  <c r="AD7322" i="2"/>
  <c r="X7322" i="2"/>
  <c r="W7322" i="2"/>
  <c r="AH7321" i="2"/>
  <c r="AE7321" i="2"/>
  <c r="AD7321" i="2"/>
  <c r="X7321" i="2"/>
  <c r="W7321" i="2"/>
  <c r="AH7320" i="2"/>
  <c r="AE7320" i="2"/>
  <c r="AD7320" i="2"/>
  <c r="X7320" i="2"/>
  <c r="W7320" i="2"/>
  <c r="AH7319" i="2"/>
  <c r="AE7319" i="2"/>
  <c r="AD7319" i="2"/>
  <c r="X7319" i="2"/>
  <c r="W7319" i="2"/>
  <c r="AH7318" i="2"/>
  <c r="AE7318" i="2"/>
  <c r="AD7318" i="2"/>
  <c r="X7318" i="2"/>
  <c r="W7318" i="2"/>
  <c r="AH7317" i="2"/>
  <c r="AE7317" i="2"/>
  <c r="AD7317" i="2"/>
  <c r="X7317" i="2"/>
  <c r="W7317" i="2"/>
  <c r="AH7316" i="2"/>
  <c r="AE7316" i="2"/>
  <c r="AD7316" i="2"/>
  <c r="X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W7313" i="2"/>
  <c r="AH7312" i="2"/>
  <c r="AE7312" i="2"/>
  <c r="AD7312" i="2"/>
  <c r="X7312" i="2"/>
  <c r="W7312" i="2"/>
  <c r="AH7311" i="2"/>
  <c r="AE7311" i="2"/>
  <c r="AD7311" i="2"/>
  <c r="X7311" i="2"/>
  <c r="W7311" i="2"/>
  <c r="AH7310" i="2"/>
  <c r="AE7310" i="2"/>
  <c r="AD7310" i="2"/>
  <c r="X7310" i="2"/>
  <c r="W7310" i="2"/>
  <c r="AH7309" i="2"/>
  <c r="AE7309" i="2"/>
  <c r="AD7309" i="2"/>
  <c r="X7309" i="2"/>
  <c r="W7309" i="2"/>
  <c r="AH7308" i="2"/>
  <c r="AE7308" i="2"/>
  <c r="AD7308" i="2"/>
  <c r="X7308" i="2"/>
  <c r="W7308" i="2"/>
  <c r="AH7307" i="2"/>
  <c r="AE7307" i="2"/>
  <c r="AD7307" i="2"/>
  <c r="X7307" i="2"/>
  <c r="W7307" i="2"/>
  <c r="AH7306" i="2"/>
  <c r="AE7306" i="2"/>
  <c r="AD7306" i="2"/>
  <c r="X7306" i="2"/>
  <c r="W7306" i="2"/>
  <c r="AH7305" i="2"/>
  <c r="AE7305" i="2"/>
  <c r="AD7305" i="2"/>
  <c r="X7305" i="2"/>
  <c r="W7305" i="2"/>
  <c r="AH7304" i="2"/>
  <c r="AE7304" i="2"/>
  <c r="AD7304" i="2"/>
  <c r="X7304" i="2"/>
  <c r="W7304" i="2"/>
  <c r="AH7303" i="2"/>
  <c r="AE7303" i="2"/>
  <c r="AD7303" i="2"/>
  <c r="X7303" i="2"/>
  <c r="W7303" i="2"/>
  <c r="AH7302" i="2"/>
  <c r="AE7302" i="2"/>
  <c r="AD7302" i="2"/>
  <c r="X7302" i="2"/>
  <c r="W7302" i="2"/>
  <c r="AH7301" i="2"/>
  <c r="AE7301" i="2"/>
  <c r="AD7301" i="2"/>
  <c r="X7301" i="2"/>
  <c r="W7301" i="2"/>
  <c r="AH7300" i="2"/>
  <c r="AE7300" i="2"/>
  <c r="AD7300" i="2"/>
  <c r="X7300" i="2"/>
  <c r="W7300" i="2"/>
  <c r="AH7299" i="2"/>
  <c r="AE7299" i="2"/>
  <c r="AD7299" i="2"/>
  <c r="X7299" i="2"/>
  <c r="W7299" i="2"/>
  <c r="AH7298" i="2"/>
  <c r="AE7298" i="2"/>
  <c r="AD7298" i="2"/>
  <c r="X7298" i="2"/>
  <c r="W7298" i="2"/>
  <c r="AH7297" i="2"/>
  <c r="AE7297" i="2"/>
  <c r="AD7297" i="2"/>
  <c r="X7297" i="2"/>
  <c r="W7297" i="2"/>
  <c r="AH7296" i="2"/>
  <c r="AE7296" i="2"/>
  <c r="AD7296" i="2"/>
  <c r="X7296" i="2"/>
  <c r="W7296" i="2"/>
  <c r="AH7295" i="2"/>
  <c r="AE7295" i="2"/>
  <c r="AD7295" i="2"/>
  <c r="X7295" i="2"/>
  <c r="W7295" i="2"/>
  <c r="AH7294" i="2"/>
  <c r="AE7294" i="2"/>
  <c r="AD7294" i="2"/>
  <c r="X7294" i="2"/>
  <c r="W7294" i="2"/>
  <c r="AH7293" i="2"/>
  <c r="AE7293" i="2"/>
  <c r="AD7293" i="2"/>
  <c r="X7293" i="2"/>
  <c r="W7293" i="2"/>
  <c r="AH7292" i="2"/>
  <c r="AE7292" i="2"/>
  <c r="AD7292" i="2"/>
  <c r="X7292" i="2"/>
  <c r="W7292" i="2"/>
  <c r="AH7291" i="2"/>
  <c r="AE7291" i="2"/>
  <c r="AD7291" i="2"/>
  <c r="X7291" i="2"/>
  <c r="W7291" i="2"/>
  <c r="AH7290" i="2"/>
  <c r="AE7290" i="2"/>
  <c r="AD7290" i="2"/>
  <c r="X7290" i="2"/>
  <c r="W7290" i="2"/>
  <c r="AH7289" i="2"/>
  <c r="AE7289" i="2"/>
  <c r="AD7289" i="2"/>
  <c r="X7289" i="2"/>
  <c r="W7289" i="2"/>
  <c r="AH7288" i="2"/>
  <c r="AE7288" i="2"/>
  <c r="AD7288" i="2"/>
  <c r="X7288" i="2"/>
  <c r="W7288" i="2"/>
  <c r="AH7287" i="2"/>
  <c r="AE7287" i="2"/>
  <c r="AD7287" i="2"/>
  <c r="X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W7284" i="2"/>
  <c r="AH7283" i="2"/>
  <c r="AE7283" i="2"/>
  <c r="AD7283" i="2"/>
  <c r="X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W7279" i="2"/>
  <c r="AH7278" i="2"/>
  <c r="AE7278" i="2"/>
  <c r="AD7278" i="2"/>
  <c r="X7278" i="2"/>
  <c r="W7278" i="2"/>
  <c r="AH7277" i="2"/>
  <c r="AE7277" i="2"/>
  <c r="AD7277" i="2"/>
  <c r="X7277" i="2"/>
  <c r="W7277" i="2"/>
  <c r="AH7276" i="2"/>
  <c r="AE7276" i="2"/>
  <c r="AD7276" i="2"/>
  <c r="X7276" i="2"/>
  <c r="W7276" i="2"/>
  <c r="AH7275" i="2"/>
  <c r="AE7275" i="2"/>
  <c r="AD7275" i="2"/>
  <c r="X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W7271" i="2"/>
  <c r="AH7270" i="2"/>
  <c r="AE7270" i="2"/>
  <c r="AD7270" i="2"/>
  <c r="X7270" i="2"/>
  <c r="W7270" i="2"/>
  <c r="AH7269" i="2"/>
  <c r="AE7269" i="2"/>
  <c r="AD7269" i="2"/>
  <c r="X7269" i="2"/>
  <c r="W7269" i="2"/>
  <c r="AH7268" i="2"/>
  <c r="AE7268" i="2"/>
  <c r="AD7268" i="2"/>
  <c r="X7268" i="2"/>
  <c r="W7268" i="2"/>
  <c r="AH7267" i="2"/>
  <c r="AE7267" i="2"/>
  <c r="AD7267" i="2"/>
  <c r="X7267" i="2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W7264" i="2"/>
  <c r="AH7263" i="2"/>
  <c r="AE7263" i="2"/>
  <c r="AD7263" i="2"/>
  <c r="X7263" i="2"/>
  <c r="W7263" i="2"/>
  <c r="AH7262" i="2"/>
  <c r="AE7262" i="2"/>
  <c r="AD7262" i="2"/>
  <c r="X7262" i="2"/>
  <c r="W7262" i="2"/>
  <c r="AH7261" i="2"/>
  <c r="AE7261" i="2"/>
  <c r="AD7261" i="2"/>
  <c r="X7261" i="2"/>
  <c r="W7261" i="2"/>
  <c r="AH7260" i="2"/>
  <c r="AE7260" i="2"/>
  <c r="AD7260" i="2"/>
  <c r="X7260" i="2"/>
  <c r="W7260" i="2"/>
  <c r="AH7259" i="2"/>
  <c r="AE7259" i="2"/>
  <c r="AD7259" i="2"/>
  <c r="X7259" i="2"/>
  <c r="W7259" i="2"/>
  <c r="AH7258" i="2"/>
  <c r="AE7258" i="2"/>
  <c r="AD7258" i="2"/>
  <c r="X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X7254" i="2"/>
  <c r="W7254" i="2"/>
  <c r="AH7253" i="2"/>
  <c r="AE7253" i="2"/>
  <c r="AD7253" i="2"/>
  <c r="X7253" i="2"/>
  <c r="W7253" i="2"/>
  <c r="AH7252" i="2"/>
  <c r="AE7252" i="2"/>
  <c r="AD7252" i="2"/>
  <c r="X7252" i="2"/>
  <c r="W7252" i="2"/>
  <c r="AH7251" i="2"/>
  <c r="AE7251" i="2"/>
  <c r="AD7251" i="2"/>
  <c r="X7251" i="2"/>
  <c r="W7251" i="2"/>
  <c r="AH7250" i="2"/>
  <c r="AE7250" i="2"/>
  <c r="AD7250" i="2"/>
  <c r="X7250" i="2"/>
  <c r="W7250" i="2"/>
  <c r="AH7249" i="2"/>
  <c r="AE7249" i="2"/>
  <c r="AD7249" i="2"/>
  <c r="X7249" i="2"/>
  <c r="W7249" i="2"/>
  <c r="AH7248" i="2"/>
  <c r="AE7248" i="2"/>
  <c r="AD7248" i="2"/>
  <c r="X7248" i="2"/>
  <c r="W7248" i="2"/>
  <c r="AH7247" i="2"/>
  <c r="AE7247" i="2"/>
  <c r="AD7247" i="2"/>
  <c r="X7247" i="2"/>
  <c r="W7247" i="2"/>
  <c r="AH7246" i="2"/>
  <c r="AE7246" i="2"/>
  <c r="AD7246" i="2"/>
  <c r="X7246" i="2"/>
  <c r="W7246" i="2"/>
  <c r="AH7245" i="2"/>
  <c r="AE7245" i="2"/>
  <c r="AD7245" i="2"/>
  <c r="X7245" i="2"/>
  <c r="W7245" i="2"/>
  <c r="AH7244" i="2"/>
  <c r="AE7244" i="2"/>
  <c r="AD7244" i="2"/>
  <c r="X7244" i="2"/>
  <c r="W7244" i="2"/>
  <c r="AH7243" i="2"/>
  <c r="AE7243" i="2"/>
  <c r="AD7243" i="2"/>
  <c r="X7243" i="2"/>
  <c r="W7243" i="2"/>
  <c r="AH7242" i="2"/>
  <c r="AE7242" i="2"/>
  <c r="AD7242" i="2"/>
  <c r="X7242" i="2"/>
  <c r="W7242" i="2"/>
  <c r="AH7241" i="2"/>
  <c r="AE7241" i="2"/>
  <c r="AD7241" i="2"/>
  <c r="X7241" i="2"/>
  <c r="W7241" i="2"/>
  <c r="AH7240" i="2"/>
  <c r="AE7240" i="2"/>
  <c r="AD7240" i="2"/>
  <c r="X7240" i="2"/>
  <c r="W7240" i="2"/>
  <c r="AH7239" i="2"/>
  <c r="AE7239" i="2"/>
  <c r="AD7239" i="2"/>
  <c r="X7239" i="2"/>
  <c r="W7239" i="2"/>
  <c r="AH7238" i="2"/>
  <c r="AE7238" i="2"/>
  <c r="AD7238" i="2"/>
  <c r="X7238" i="2"/>
  <c r="W7238" i="2"/>
  <c r="AH7237" i="2"/>
  <c r="AE7237" i="2"/>
  <c r="AD7237" i="2"/>
  <c r="X7237" i="2"/>
  <c r="W7237" i="2"/>
  <c r="AH7236" i="2"/>
  <c r="AE7236" i="2"/>
  <c r="AD7236" i="2"/>
  <c r="X7236" i="2"/>
  <c r="W7236" i="2"/>
  <c r="AH7235" i="2"/>
  <c r="AE7235" i="2"/>
  <c r="AD7235" i="2"/>
  <c r="X7235" i="2"/>
  <c r="W7235" i="2"/>
  <c r="AH7234" i="2"/>
  <c r="AE7234" i="2"/>
  <c r="AD7234" i="2"/>
  <c r="X7234" i="2"/>
  <c r="W7234" i="2"/>
  <c r="AH7233" i="2"/>
  <c r="AE7233" i="2"/>
  <c r="AD7233" i="2"/>
  <c r="X7233" i="2"/>
  <c r="W7233" i="2"/>
  <c r="AH7232" i="2"/>
  <c r="AE7232" i="2"/>
  <c r="AD7232" i="2"/>
  <c r="X7232" i="2"/>
  <c r="W7232" i="2"/>
  <c r="AH7231" i="2"/>
  <c r="AE7231" i="2"/>
  <c r="AD7231" i="2"/>
  <c r="X7231" i="2"/>
  <c r="W7231" i="2"/>
  <c r="AH7230" i="2"/>
  <c r="AE7230" i="2"/>
  <c r="AD7230" i="2"/>
  <c r="X7230" i="2"/>
  <c r="W7230" i="2"/>
  <c r="AH7229" i="2"/>
  <c r="AE7229" i="2"/>
  <c r="AD7229" i="2"/>
  <c r="X7229" i="2"/>
  <c r="W7229" i="2"/>
  <c r="AH7228" i="2"/>
  <c r="AE7228" i="2"/>
  <c r="AD7228" i="2"/>
  <c r="X7228" i="2"/>
  <c r="W7228" i="2"/>
  <c r="AH7227" i="2"/>
  <c r="AE7227" i="2"/>
  <c r="AD7227" i="2"/>
  <c r="X7227" i="2"/>
  <c r="W7227" i="2"/>
  <c r="AH7226" i="2"/>
  <c r="AE7226" i="2"/>
  <c r="AD7226" i="2"/>
  <c r="X7226" i="2"/>
  <c r="W7226" i="2"/>
  <c r="AH7225" i="2"/>
  <c r="AE7225" i="2"/>
  <c r="AD7225" i="2"/>
  <c r="X7225" i="2"/>
  <c r="W7225" i="2"/>
  <c r="AH7224" i="2"/>
  <c r="AE7224" i="2"/>
  <c r="AD7224" i="2"/>
  <c r="X7224" i="2"/>
  <c r="W7224" i="2"/>
  <c r="AH7223" i="2"/>
  <c r="AE7223" i="2"/>
  <c r="AD7223" i="2"/>
  <c r="X7223" i="2"/>
  <c r="W7223" i="2"/>
  <c r="AH7222" i="2"/>
  <c r="AE7222" i="2"/>
  <c r="AD7222" i="2"/>
  <c r="X7222" i="2"/>
  <c r="W7222" i="2"/>
  <c r="AH7221" i="2"/>
  <c r="AE7221" i="2"/>
  <c r="AD7221" i="2"/>
  <c r="X7221" i="2"/>
  <c r="W7221" i="2"/>
  <c r="AH7220" i="2"/>
  <c r="AE7220" i="2"/>
  <c r="AD7220" i="2"/>
  <c r="X7220" i="2"/>
  <c r="W7220" i="2"/>
  <c r="AH7219" i="2"/>
  <c r="AE7219" i="2"/>
  <c r="AD7219" i="2"/>
  <c r="X7219" i="2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W7216" i="2"/>
  <c r="AH7215" i="2"/>
  <c r="AE7215" i="2"/>
  <c r="AD7215" i="2"/>
  <c r="X7215" i="2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W7212" i="2"/>
  <c r="AH7211" i="2"/>
  <c r="AE7211" i="2"/>
  <c r="AD7211" i="2"/>
  <c r="X7211" i="2"/>
  <c r="W7211" i="2"/>
  <c r="AH7210" i="2"/>
  <c r="AE7210" i="2"/>
  <c r="AD7210" i="2"/>
  <c r="X7210" i="2"/>
  <c r="W7210" i="2"/>
  <c r="AH7209" i="2"/>
  <c r="AE7209" i="2"/>
  <c r="AD7209" i="2"/>
  <c r="X7209" i="2"/>
  <c r="W7209" i="2"/>
  <c r="AH7208" i="2"/>
  <c r="AE7208" i="2"/>
  <c r="AD7208" i="2"/>
  <c r="X7208" i="2"/>
  <c r="W7208" i="2"/>
  <c r="AH7207" i="2"/>
  <c r="AE7207" i="2"/>
  <c r="AD7207" i="2"/>
  <c r="X7207" i="2"/>
  <c r="W7207" i="2"/>
  <c r="AH7206" i="2"/>
  <c r="AE7206" i="2"/>
  <c r="AD7206" i="2"/>
  <c r="X7206" i="2"/>
  <c r="W7206" i="2"/>
  <c r="AH7205" i="2"/>
  <c r="AE7205" i="2"/>
  <c r="AD7205" i="2"/>
  <c r="X7205" i="2"/>
  <c r="AC7205" i="2" s="1"/>
  <c r="W7205" i="2"/>
  <c r="AH7204" i="2"/>
  <c r="AE7204" i="2"/>
  <c r="AD7204" i="2"/>
  <c r="X7204" i="2"/>
  <c r="W7204" i="2"/>
  <c r="AH7203" i="2"/>
  <c r="AE7203" i="2"/>
  <c r="AD7203" i="2"/>
  <c r="X7203" i="2"/>
  <c r="W7203" i="2"/>
  <c r="AH7202" i="2"/>
  <c r="AE7202" i="2"/>
  <c r="AD7202" i="2"/>
  <c r="X7202" i="2"/>
  <c r="W7202" i="2"/>
  <c r="AH7201" i="2"/>
  <c r="AE7201" i="2"/>
  <c r="AD7201" i="2"/>
  <c r="X7201" i="2"/>
  <c r="W7201" i="2"/>
  <c r="AH7200" i="2"/>
  <c r="AE7200" i="2"/>
  <c r="AD7200" i="2"/>
  <c r="X7200" i="2"/>
  <c r="W7200" i="2"/>
  <c r="AH7199" i="2"/>
  <c r="AE7199" i="2"/>
  <c r="AD7199" i="2"/>
  <c r="X7199" i="2"/>
  <c r="AB7199" i="2" s="1"/>
  <c r="AK7199" i="2" s="1"/>
  <c r="W7199" i="2"/>
  <c r="AH7198" i="2"/>
  <c r="AE7198" i="2"/>
  <c r="AD7198" i="2"/>
  <c r="X7198" i="2"/>
  <c r="W7198" i="2"/>
  <c r="AH7197" i="2"/>
  <c r="AE7197" i="2"/>
  <c r="AD7197" i="2"/>
  <c r="X7197" i="2"/>
  <c r="W7197" i="2"/>
  <c r="AH7196" i="2"/>
  <c r="AE7196" i="2"/>
  <c r="AD7196" i="2"/>
  <c r="X7196" i="2"/>
  <c r="W7196" i="2"/>
  <c r="AH7195" i="2"/>
  <c r="AE7195" i="2"/>
  <c r="AD7195" i="2"/>
  <c r="X7195" i="2"/>
  <c r="W7195" i="2"/>
  <c r="AH7194" i="2"/>
  <c r="AE7194" i="2"/>
  <c r="AD7194" i="2"/>
  <c r="X7194" i="2"/>
  <c r="W7194" i="2"/>
  <c r="AH7193" i="2"/>
  <c r="AE7193" i="2"/>
  <c r="AD7193" i="2"/>
  <c r="X7193" i="2"/>
  <c r="W7193" i="2"/>
  <c r="AH7192" i="2"/>
  <c r="AE7192" i="2"/>
  <c r="AD7192" i="2"/>
  <c r="X7192" i="2"/>
  <c r="W7192" i="2"/>
  <c r="AH7191" i="2"/>
  <c r="AE7191" i="2"/>
  <c r="AD7191" i="2"/>
  <c r="X7191" i="2"/>
  <c r="W7191" i="2"/>
  <c r="AH7190" i="2"/>
  <c r="AE7190" i="2"/>
  <c r="AD7190" i="2"/>
  <c r="X7190" i="2"/>
  <c r="W7190" i="2"/>
  <c r="AH7189" i="2"/>
  <c r="AE7189" i="2"/>
  <c r="AD7189" i="2"/>
  <c r="X7189" i="2"/>
  <c r="W7189" i="2"/>
  <c r="AH7188" i="2"/>
  <c r="AE7188" i="2"/>
  <c r="AD7188" i="2"/>
  <c r="X7188" i="2"/>
  <c r="W7188" i="2"/>
  <c r="AH7187" i="2"/>
  <c r="AE7187" i="2"/>
  <c r="AD7187" i="2"/>
  <c r="X7187" i="2"/>
  <c r="W7187" i="2"/>
  <c r="AH7186" i="2"/>
  <c r="AE7186" i="2"/>
  <c r="AD7186" i="2"/>
  <c r="X7186" i="2"/>
  <c r="W7186" i="2"/>
  <c r="AH7185" i="2"/>
  <c r="AE7185" i="2"/>
  <c r="AD7185" i="2"/>
  <c r="X7185" i="2"/>
  <c r="W7185" i="2"/>
  <c r="AH7184" i="2"/>
  <c r="AE7184" i="2"/>
  <c r="AD7184" i="2"/>
  <c r="X7184" i="2"/>
  <c r="W7184" i="2"/>
  <c r="AH7183" i="2"/>
  <c r="AE7183" i="2"/>
  <c r="AD7183" i="2"/>
  <c r="X7183" i="2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W7180" i="2"/>
  <c r="AH7179" i="2"/>
  <c r="AE7179" i="2"/>
  <c r="AD7179" i="2"/>
  <c r="X7179" i="2"/>
  <c r="W7179" i="2"/>
  <c r="AH7178" i="2"/>
  <c r="AE7178" i="2"/>
  <c r="AD7178" i="2"/>
  <c r="X7178" i="2"/>
  <c r="W7178" i="2"/>
  <c r="AH7177" i="2"/>
  <c r="AE7177" i="2"/>
  <c r="AD7177" i="2"/>
  <c r="X7177" i="2"/>
  <c r="W7177" i="2"/>
  <c r="AH7176" i="2"/>
  <c r="AE7176" i="2"/>
  <c r="AD7176" i="2"/>
  <c r="X7176" i="2"/>
  <c r="W7176" i="2"/>
  <c r="AH7175" i="2"/>
  <c r="AE7175" i="2"/>
  <c r="AD7175" i="2"/>
  <c r="X7175" i="2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W7172" i="2"/>
  <c r="AH7171" i="2"/>
  <c r="AE7171" i="2"/>
  <c r="AD7171" i="2"/>
  <c r="X7171" i="2"/>
  <c r="W7171" i="2"/>
  <c r="AH7170" i="2"/>
  <c r="AE7170" i="2"/>
  <c r="AD7170" i="2"/>
  <c r="X7170" i="2"/>
  <c r="W7170" i="2"/>
  <c r="AH7169" i="2"/>
  <c r="AE7169" i="2"/>
  <c r="AD7169" i="2"/>
  <c r="X7169" i="2"/>
  <c r="W7169" i="2"/>
  <c r="AH7168" i="2"/>
  <c r="AE7168" i="2"/>
  <c r="AD7168" i="2"/>
  <c r="X7168" i="2"/>
  <c r="W7168" i="2"/>
  <c r="AH7167" i="2"/>
  <c r="AE7167" i="2"/>
  <c r="AD7167" i="2"/>
  <c r="X7167" i="2"/>
  <c r="W7167" i="2"/>
  <c r="AH7166" i="2"/>
  <c r="AE7166" i="2"/>
  <c r="AD7166" i="2"/>
  <c r="X7166" i="2"/>
  <c r="W7166" i="2"/>
  <c r="AH7165" i="2"/>
  <c r="AE7165" i="2"/>
  <c r="AD7165" i="2"/>
  <c r="X7165" i="2"/>
  <c r="W7165" i="2"/>
  <c r="AH7164" i="2"/>
  <c r="AE7164" i="2"/>
  <c r="AD7164" i="2"/>
  <c r="X7164" i="2"/>
  <c r="W7164" i="2"/>
  <c r="AH7163" i="2"/>
  <c r="AE7163" i="2"/>
  <c r="AD7163" i="2"/>
  <c r="X7163" i="2"/>
  <c r="W7163" i="2"/>
  <c r="AH7162" i="2"/>
  <c r="AE7162" i="2"/>
  <c r="AD7162" i="2"/>
  <c r="X7162" i="2"/>
  <c r="W7162" i="2"/>
  <c r="AH7161" i="2"/>
  <c r="AE7161" i="2"/>
  <c r="AD7161" i="2"/>
  <c r="X7161" i="2"/>
  <c r="W7161" i="2"/>
  <c r="AH7160" i="2"/>
  <c r="AE7160" i="2"/>
  <c r="AD7160" i="2"/>
  <c r="X7160" i="2"/>
  <c r="W7160" i="2"/>
  <c r="AH7159" i="2"/>
  <c r="AE7159" i="2"/>
  <c r="AD7159" i="2"/>
  <c r="X7159" i="2"/>
  <c r="W7159" i="2"/>
  <c r="AH7158" i="2"/>
  <c r="AE7158" i="2"/>
  <c r="AD7158" i="2"/>
  <c r="X7158" i="2"/>
  <c r="W7158" i="2"/>
  <c r="AH7157" i="2"/>
  <c r="AE7157" i="2"/>
  <c r="AD7157" i="2"/>
  <c r="X7157" i="2"/>
  <c r="W7157" i="2"/>
  <c r="AH7156" i="2"/>
  <c r="AE7156" i="2"/>
  <c r="AD7156" i="2"/>
  <c r="X7156" i="2"/>
  <c r="W7156" i="2"/>
  <c r="AH7155" i="2"/>
  <c r="AE7155" i="2"/>
  <c r="AD7155" i="2"/>
  <c r="X7155" i="2"/>
  <c r="W7155" i="2"/>
  <c r="AH7154" i="2"/>
  <c r="AE7154" i="2"/>
  <c r="AD7154" i="2"/>
  <c r="X7154" i="2"/>
  <c r="W7154" i="2"/>
  <c r="AH7153" i="2"/>
  <c r="AE7153" i="2"/>
  <c r="AD7153" i="2"/>
  <c r="X7153" i="2"/>
  <c r="W7153" i="2"/>
  <c r="AH7152" i="2"/>
  <c r="AE7152" i="2"/>
  <c r="AD7152" i="2"/>
  <c r="X7152" i="2"/>
  <c r="W7152" i="2"/>
  <c r="AH7151" i="2"/>
  <c r="AE7151" i="2"/>
  <c r="AD7151" i="2"/>
  <c r="X7151" i="2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W7148" i="2"/>
  <c r="AH7147" i="2"/>
  <c r="AE7147" i="2"/>
  <c r="AD7147" i="2"/>
  <c r="X7147" i="2"/>
  <c r="W7147" i="2"/>
  <c r="AH7146" i="2"/>
  <c r="AE7146" i="2"/>
  <c r="AD7146" i="2"/>
  <c r="X7146" i="2"/>
  <c r="W7146" i="2"/>
  <c r="AH7145" i="2"/>
  <c r="AE7145" i="2"/>
  <c r="AD7145" i="2"/>
  <c r="X7145" i="2"/>
  <c r="W7145" i="2"/>
  <c r="AH7144" i="2"/>
  <c r="AE7144" i="2"/>
  <c r="AD7144" i="2"/>
  <c r="X7144" i="2"/>
  <c r="W7144" i="2"/>
  <c r="AH7143" i="2"/>
  <c r="AE7143" i="2"/>
  <c r="AD7143" i="2"/>
  <c r="X7143" i="2"/>
  <c r="W7143" i="2"/>
  <c r="AH7142" i="2"/>
  <c r="AE7142" i="2"/>
  <c r="AD7142" i="2"/>
  <c r="X7142" i="2"/>
  <c r="W7142" i="2"/>
  <c r="AH7141" i="2"/>
  <c r="AE7141" i="2"/>
  <c r="AD7141" i="2"/>
  <c r="X7141" i="2"/>
  <c r="W7141" i="2"/>
  <c r="AH7140" i="2"/>
  <c r="AE7140" i="2"/>
  <c r="AD7140" i="2"/>
  <c r="X7140" i="2"/>
  <c r="W7140" i="2"/>
  <c r="AH7139" i="2"/>
  <c r="AE7139" i="2"/>
  <c r="AD7139" i="2"/>
  <c r="X7139" i="2"/>
  <c r="W7139" i="2"/>
  <c r="AH7138" i="2"/>
  <c r="AE7138" i="2"/>
  <c r="AD7138" i="2"/>
  <c r="X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W7135" i="2"/>
  <c r="AH7134" i="2"/>
  <c r="AE7134" i="2"/>
  <c r="AD7134" i="2"/>
  <c r="X7134" i="2"/>
  <c r="W7134" i="2"/>
  <c r="AH7133" i="2"/>
  <c r="AE7133" i="2"/>
  <c r="AD7133" i="2"/>
  <c r="X7133" i="2"/>
  <c r="W7133" i="2"/>
  <c r="AH7132" i="2"/>
  <c r="AE7132" i="2"/>
  <c r="AD7132" i="2"/>
  <c r="X7132" i="2"/>
  <c r="W7132" i="2"/>
  <c r="AH7131" i="2"/>
  <c r="AE7131" i="2"/>
  <c r="AD7131" i="2"/>
  <c r="X7131" i="2"/>
  <c r="AK7131" i="2" s="1"/>
  <c r="W7131" i="2"/>
  <c r="AH7130" i="2"/>
  <c r="AE7130" i="2"/>
  <c r="AD7130" i="2"/>
  <c r="X7130" i="2"/>
  <c r="W7130" i="2"/>
  <c r="AH7129" i="2"/>
  <c r="AE7129" i="2"/>
  <c r="AD7129" i="2"/>
  <c r="X7129" i="2"/>
  <c r="W7129" i="2"/>
  <c r="AH7128" i="2"/>
  <c r="AE7128" i="2"/>
  <c r="AD7128" i="2"/>
  <c r="X7128" i="2"/>
  <c r="W7128" i="2"/>
  <c r="AH7127" i="2"/>
  <c r="AE7127" i="2"/>
  <c r="AD7127" i="2"/>
  <c r="X7127" i="2"/>
  <c r="W7127" i="2"/>
  <c r="AH7126" i="2"/>
  <c r="AE7126" i="2"/>
  <c r="AD7126" i="2"/>
  <c r="X7126" i="2"/>
  <c r="W7126" i="2"/>
  <c r="AH7125" i="2"/>
  <c r="AE7125" i="2"/>
  <c r="AD7125" i="2"/>
  <c r="X7125" i="2"/>
  <c r="AC7125" i="2" s="1"/>
  <c r="W7125" i="2"/>
  <c r="AH7124" i="2"/>
  <c r="AE7124" i="2"/>
  <c r="AD7124" i="2"/>
  <c r="X7124" i="2"/>
  <c r="W7124" i="2"/>
  <c r="AH7123" i="2"/>
  <c r="AE7123" i="2"/>
  <c r="AD7123" i="2"/>
  <c r="X7123" i="2"/>
  <c r="AK7123" i="2" s="1"/>
  <c r="W7123" i="2"/>
  <c r="AH7122" i="2"/>
  <c r="AE7122" i="2"/>
  <c r="AD7122" i="2"/>
  <c r="X7122" i="2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W7118" i="2"/>
  <c r="AH7117" i="2"/>
  <c r="AE7117" i="2"/>
  <c r="AD7117" i="2"/>
  <c r="X7117" i="2"/>
  <c r="W7117" i="2"/>
  <c r="AH7116" i="2"/>
  <c r="AE7116" i="2"/>
  <c r="AD7116" i="2"/>
  <c r="X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W7111" i="2"/>
  <c r="AH7110" i="2"/>
  <c r="AE7110" i="2"/>
  <c r="AD7110" i="2"/>
  <c r="X7110" i="2"/>
  <c r="W7110" i="2"/>
  <c r="AH7109" i="2"/>
  <c r="AE7109" i="2"/>
  <c r="AD7109" i="2"/>
  <c r="X7109" i="2"/>
  <c r="W7109" i="2"/>
  <c r="AH7108" i="2"/>
  <c r="AE7108" i="2"/>
  <c r="AD7108" i="2"/>
  <c r="X7108" i="2"/>
  <c r="W7108" i="2"/>
  <c r="AH7107" i="2"/>
  <c r="AE7107" i="2"/>
  <c r="AD7107" i="2"/>
  <c r="X7107" i="2"/>
  <c r="W7107" i="2"/>
  <c r="AH7106" i="2"/>
  <c r="AE7106" i="2"/>
  <c r="AD7106" i="2"/>
  <c r="X7106" i="2"/>
  <c r="AC7106" i="2" s="1"/>
  <c r="W7106" i="2"/>
  <c r="AH7105" i="2"/>
  <c r="AE7105" i="2"/>
  <c r="AD7105" i="2"/>
  <c r="X7105" i="2"/>
  <c r="AK7105" i="2" s="1"/>
  <c r="W7105" i="2"/>
  <c r="AH7104" i="2"/>
  <c r="AE7104" i="2"/>
  <c r="AD7104" i="2"/>
  <c r="X7104" i="2"/>
  <c r="AC7104" i="2" s="1"/>
  <c r="W7104" i="2"/>
  <c r="AH7103" i="2"/>
  <c r="AE7103" i="2"/>
  <c r="AD7103" i="2"/>
  <c r="X7103" i="2"/>
  <c r="W7103" i="2"/>
  <c r="AH7102" i="2"/>
  <c r="AE7102" i="2"/>
  <c r="AD7102" i="2"/>
  <c r="X7102" i="2"/>
  <c r="W7102" i="2"/>
  <c r="AH7101" i="2"/>
  <c r="AE7101" i="2"/>
  <c r="AD7101" i="2"/>
  <c r="X7101" i="2"/>
  <c r="W7101" i="2"/>
  <c r="AH7100" i="2"/>
  <c r="AE7100" i="2"/>
  <c r="AD7100" i="2"/>
  <c r="X7100" i="2"/>
  <c r="W7100" i="2"/>
  <c r="AH7099" i="2"/>
  <c r="AE7099" i="2"/>
  <c r="AD7099" i="2"/>
  <c r="X7099" i="2"/>
  <c r="AH7098" i="2"/>
  <c r="AE7098" i="2"/>
  <c r="AD7098" i="2"/>
  <c r="X7098" i="2"/>
  <c r="W7098" i="2"/>
  <c r="AH7097" i="2"/>
  <c r="AE7097" i="2"/>
  <c r="AD7097" i="2"/>
  <c r="X7097" i="2"/>
  <c r="W7097" i="2"/>
  <c r="AH7096" i="2"/>
  <c r="AE7096" i="2"/>
  <c r="AD7096" i="2"/>
  <c r="X7096" i="2"/>
  <c r="W7096" i="2"/>
  <c r="AH7095" i="2"/>
  <c r="AE7095" i="2"/>
  <c r="AD7095" i="2"/>
  <c r="X7095" i="2"/>
  <c r="W7095" i="2"/>
  <c r="AH7094" i="2"/>
  <c r="AE7094" i="2"/>
  <c r="AD7094" i="2"/>
  <c r="X7094" i="2"/>
  <c r="AC7094" i="2" s="1"/>
  <c r="W7094" i="2"/>
  <c r="AH7093" i="2"/>
  <c r="AE7093" i="2"/>
  <c r="AD7093" i="2"/>
  <c r="X7093" i="2"/>
  <c r="AH7092" i="2"/>
  <c r="AE7092" i="2"/>
  <c r="AD7092" i="2"/>
  <c r="X7092" i="2"/>
  <c r="W7092" i="2"/>
  <c r="AH7091" i="2"/>
  <c r="AE7091" i="2"/>
  <c r="AD7091" i="2"/>
  <c r="X7091" i="2"/>
  <c r="W7091" i="2"/>
  <c r="AH7090" i="2"/>
  <c r="AE7090" i="2"/>
  <c r="AD7090" i="2"/>
  <c r="X7090" i="2"/>
  <c r="W7090" i="2"/>
  <c r="AH7089" i="2"/>
  <c r="AE7089" i="2"/>
  <c r="AD7089" i="2"/>
  <c r="X7089" i="2"/>
  <c r="W7089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W7080" i="2"/>
  <c r="AH7079" i="2"/>
  <c r="AE7079" i="2"/>
  <c r="AD7079" i="2"/>
  <c r="X7079" i="2"/>
  <c r="W7079" i="2"/>
  <c r="AH7078" i="2"/>
  <c r="AE7078" i="2"/>
  <c r="AD7078" i="2"/>
  <c r="X7078" i="2"/>
  <c r="W7078" i="2"/>
  <c r="AH7077" i="2"/>
  <c r="AE7077" i="2"/>
  <c r="AD7077" i="2"/>
  <c r="X7077" i="2"/>
  <c r="AK7077" i="2" s="1"/>
  <c r="W7077" i="2"/>
  <c r="AH7076" i="2"/>
  <c r="AE7076" i="2"/>
  <c r="AD7076" i="2"/>
  <c r="X7076" i="2"/>
  <c r="AC7076" i="2" s="1"/>
  <c r="W7076" i="2"/>
  <c r="AH7075" i="2"/>
  <c r="AE7075" i="2"/>
  <c r="AD7075" i="2"/>
  <c r="X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W7067" i="2"/>
  <c r="AH7066" i="2"/>
  <c r="AE7066" i="2"/>
  <c r="AD7066" i="2"/>
  <c r="X7066" i="2"/>
  <c r="W7066" i="2"/>
  <c r="AH7065" i="2"/>
  <c r="AE7065" i="2"/>
  <c r="AD7065" i="2"/>
  <c r="X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AC7060" i="2" s="1"/>
  <c r="W7060" i="2"/>
  <c r="AH7059" i="2"/>
  <c r="AE7059" i="2"/>
  <c r="AD7059" i="2"/>
  <c r="X7059" i="2"/>
  <c r="W7059" i="2"/>
  <c r="AH7058" i="2"/>
  <c r="AE7058" i="2"/>
  <c r="AD7058" i="2"/>
  <c r="X7058" i="2"/>
  <c r="W7058" i="2"/>
  <c r="AH7057" i="2"/>
  <c r="AE7057" i="2"/>
  <c r="AD7057" i="2"/>
  <c r="X7057" i="2"/>
  <c r="W7057" i="2"/>
  <c r="AH7056" i="2"/>
  <c r="AE7056" i="2"/>
  <c r="AD7056" i="2"/>
  <c r="X7056" i="2"/>
  <c r="AK7056" i="2" s="1"/>
  <c r="W7056" i="2"/>
  <c r="AH7055" i="2"/>
  <c r="AE7055" i="2"/>
  <c r="AD7055" i="2"/>
  <c r="X7055" i="2"/>
  <c r="W7055" i="2"/>
  <c r="AH7054" i="2"/>
  <c r="AE7054" i="2"/>
  <c r="AD7054" i="2"/>
  <c r="X7054" i="2"/>
  <c r="W7054" i="2"/>
  <c r="AH7053" i="2"/>
  <c r="AE7053" i="2"/>
  <c r="AD7053" i="2"/>
  <c r="X7053" i="2"/>
  <c r="W7053" i="2"/>
  <c r="AH7052" i="2"/>
  <c r="AE7052" i="2"/>
  <c r="AD7052" i="2"/>
  <c r="X7052" i="2"/>
  <c r="AC7052" i="2" s="1"/>
  <c r="W7052" i="2"/>
  <c r="AH7051" i="2"/>
  <c r="AE7051" i="2"/>
  <c r="AD7051" i="2"/>
  <c r="X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W7046" i="2"/>
  <c r="AH7045" i="2"/>
  <c r="AE7045" i="2"/>
  <c r="AD7045" i="2"/>
  <c r="X7045" i="2"/>
  <c r="W7045" i="2"/>
  <c r="AH7044" i="2"/>
  <c r="AE7044" i="2"/>
  <c r="AD7044" i="2"/>
  <c r="X7044" i="2"/>
  <c r="AC7044" i="2" s="1"/>
  <c r="W7044" i="2"/>
  <c r="AH7043" i="2"/>
  <c r="AE7043" i="2"/>
  <c r="AD7043" i="2"/>
  <c r="X7043" i="2"/>
  <c r="W7043" i="2"/>
  <c r="AH7042" i="2"/>
  <c r="AE7042" i="2"/>
  <c r="AD7042" i="2"/>
  <c r="X7042" i="2"/>
  <c r="W7042" i="2"/>
  <c r="AH7041" i="2"/>
  <c r="AE7041" i="2"/>
  <c r="AD7041" i="2"/>
  <c r="X7041" i="2"/>
  <c r="W7041" i="2"/>
  <c r="AH7040" i="2"/>
  <c r="AE7040" i="2"/>
  <c r="AD7040" i="2"/>
  <c r="X7040" i="2"/>
  <c r="W7040" i="2"/>
  <c r="AH7039" i="2"/>
  <c r="AE7039" i="2"/>
  <c r="AD7039" i="2"/>
  <c r="X7039" i="2"/>
  <c r="W7039" i="2"/>
  <c r="AH7038" i="2"/>
  <c r="AE7038" i="2"/>
  <c r="AD7038" i="2"/>
  <c r="X7038" i="2"/>
  <c r="W7038" i="2"/>
  <c r="AH7037" i="2"/>
  <c r="AE7037" i="2"/>
  <c r="AD7037" i="2"/>
  <c r="X7037" i="2"/>
  <c r="W7037" i="2"/>
  <c r="AH7036" i="2"/>
  <c r="AE7036" i="2"/>
  <c r="AD7036" i="2"/>
  <c r="X7036" i="2"/>
  <c r="AK7036" i="2" s="1"/>
  <c r="W7036" i="2"/>
  <c r="AH7035" i="2"/>
  <c r="AE7035" i="2"/>
  <c r="AD7035" i="2"/>
  <c r="X7035" i="2"/>
  <c r="W7035" i="2"/>
  <c r="AH7034" i="2"/>
  <c r="AE7034" i="2"/>
  <c r="AD7034" i="2"/>
  <c r="X7034" i="2"/>
  <c r="W7034" i="2"/>
  <c r="AH7033" i="2"/>
  <c r="AE7033" i="2"/>
  <c r="AD7033" i="2"/>
  <c r="X7033" i="2"/>
  <c r="W7033" i="2"/>
  <c r="AH7032" i="2"/>
  <c r="AE7032" i="2"/>
  <c r="AD7032" i="2"/>
  <c r="X7032" i="2"/>
  <c r="W7032" i="2"/>
  <c r="AH7031" i="2"/>
  <c r="AE7031" i="2"/>
  <c r="AD7031" i="2"/>
  <c r="X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AC7028" i="2" s="1"/>
  <c r="W7028" i="2"/>
  <c r="AH7027" i="2"/>
  <c r="AE7027" i="2"/>
  <c r="AD7027" i="2"/>
  <c r="X7027" i="2"/>
  <c r="W7027" i="2"/>
  <c r="AH7026" i="2"/>
  <c r="AE7026" i="2"/>
  <c r="AD7026" i="2"/>
  <c r="X7026" i="2"/>
  <c r="W7026" i="2"/>
  <c r="AH7025" i="2"/>
  <c r="AE7025" i="2"/>
  <c r="AD7025" i="2"/>
  <c r="X7025" i="2"/>
  <c r="W7025" i="2"/>
  <c r="AH7024" i="2"/>
  <c r="AE7024" i="2"/>
  <c r="AD7024" i="2"/>
  <c r="X7024" i="2"/>
  <c r="W7024" i="2"/>
  <c r="AH7023" i="2"/>
  <c r="AE7023" i="2"/>
  <c r="AD7023" i="2"/>
  <c r="X7023" i="2"/>
  <c r="W7023" i="2"/>
  <c r="AH7022" i="2"/>
  <c r="AE7022" i="2"/>
  <c r="AD7022" i="2"/>
  <c r="X7022" i="2"/>
  <c r="W7022" i="2"/>
  <c r="AH7021" i="2"/>
  <c r="AE7021" i="2"/>
  <c r="AD7021" i="2"/>
  <c r="X7021" i="2"/>
  <c r="W7021" i="2"/>
  <c r="AH7020" i="2"/>
  <c r="AE7020" i="2"/>
  <c r="AD7020" i="2"/>
  <c r="X7020" i="2"/>
  <c r="W7020" i="2"/>
  <c r="AH7019" i="2"/>
  <c r="AE7019" i="2"/>
  <c r="AD7019" i="2"/>
  <c r="X7019" i="2"/>
  <c r="W7019" i="2"/>
  <c r="AH7018" i="2"/>
  <c r="AE7018" i="2"/>
  <c r="AD7018" i="2"/>
  <c r="X7018" i="2"/>
  <c r="W7018" i="2"/>
  <c r="AH7017" i="2"/>
  <c r="AE7017" i="2"/>
  <c r="AD7017" i="2"/>
  <c r="X7017" i="2"/>
  <c r="AK7017" i="2" s="1"/>
  <c r="W7017" i="2"/>
  <c r="AH7016" i="2"/>
  <c r="AE7016" i="2"/>
  <c r="AD7016" i="2"/>
  <c r="X7016" i="2"/>
  <c r="W7016" i="2"/>
  <c r="AH7015" i="2"/>
  <c r="AE7015" i="2"/>
  <c r="AD7015" i="2"/>
  <c r="X7015" i="2"/>
  <c r="W7015" i="2"/>
  <c r="AH7014" i="2"/>
  <c r="AE7014" i="2"/>
  <c r="AD7014" i="2"/>
  <c r="X7014" i="2"/>
  <c r="W7014" i="2"/>
  <c r="AH7013" i="2"/>
  <c r="AE7013" i="2"/>
  <c r="AD7013" i="2"/>
  <c r="X7013" i="2"/>
  <c r="W7013" i="2"/>
  <c r="AH7012" i="2"/>
  <c r="AE7012" i="2"/>
  <c r="AD7012" i="2"/>
  <c r="X7012" i="2"/>
  <c r="AC7012" i="2" s="1"/>
  <c r="W7012" i="2"/>
  <c r="AH7011" i="2"/>
  <c r="AE7011" i="2"/>
  <c r="AD7011" i="2"/>
  <c r="X7011" i="2"/>
  <c r="W7011" i="2"/>
  <c r="AH7010" i="2"/>
  <c r="AE7010" i="2"/>
  <c r="AD7010" i="2"/>
  <c r="X7010" i="2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W7006" i="2"/>
  <c r="AH7005" i="2"/>
  <c r="AE7005" i="2"/>
  <c r="AD7005" i="2"/>
  <c r="X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AH7000" i="2"/>
  <c r="AE7000" i="2"/>
  <c r="AD7000" i="2"/>
  <c r="X7000" i="2"/>
  <c r="W7000" i="2"/>
  <c r="AH6999" i="2"/>
  <c r="AE6999" i="2"/>
  <c r="AD6999" i="2"/>
  <c r="X6999" i="2"/>
  <c r="W6999" i="2"/>
  <c r="AH6998" i="2"/>
  <c r="AE6998" i="2"/>
  <c r="AD6998" i="2"/>
  <c r="X6998" i="2"/>
  <c r="AK6998" i="2" s="1"/>
  <c r="W6998" i="2"/>
  <c r="AH6997" i="2"/>
  <c r="AE6997" i="2"/>
  <c r="AD6997" i="2"/>
  <c r="X6997" i="2"/>
  <c r="W6997" i="2"/>
  <c r="AH6996" i="2"/>
  <c r="AE6996" i="2"/>
  <c r="AD6996" i="2"/>
  <c r="X6996" i="2"/>
  <c r="W6996" i="2"/>
  <c r="AH6995" i="2"/>
  <c r="AE6995" i="2"/>
  <c r="AD6995" i="2"/>
  <c r="X6995" i="2"/>
  <c r="AC6995" i="2" s="1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W6988" i="2"/>
  <c r="AH6987" i="2"/>
  <c r="AE6987" i="2"/>
  <c r="AD6987" i="2"/>
  <c r="X6987" i="2"/>
  <c r="W6987" i="2"/>
  <c r="AH6986" i="2"/>
  <c r="AE6986" i="2"/>
  <c r="AD6986" i="2"/>
  <c r="X6986" i="2"/>
  <c r="W6986" i="2"/>
  <c r="AH6985" i="2"/>
  <c r="AE6985" i="2"/>
  <c r="AD6985" i="2"/>
  <c r="X6985" i="2"/>
  <c r="AB6985" i="2" s="1"/>
  <c r="AK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W6980" i="2"/>
  <c r="AH6979" i="2"/>
  <c r="AE6979" i="2"/>
  <c r="AD6979" i="2"/>
  <c r="X6979" i="2"/>
  <c r="W6979" i="2"/>
  <c r="AH6978" i="2"/>
  <c r="AE6978" i="2"/>
  <c r="AD6978" i="2"/>
  <c r="X6978" i="2"/>
  <c r="W6978" i="2"/>
  <c r="AH6977" i="2"/>
  <c r="AE6977" i="2"/>
  <c r="AD6977" i="2"/>
  <c r="X6977" i="2"/>
  <c r="AC6977" i="2" s="1"/>
  <c r="W6977" i="2"/>
  <c r="AH6976" i="2"/>
  <c r="AE6976" i="2"/>
  <c r="AD6976" i="2"/>
  <c r="X6976" i="2"/>
  <c r="W6976" i="2"/>
  <c r="AH6975" i="2"/>
  <c r="AE6975" i="2"/>
  <c r="AD6975" i="2"/>
  <c r="X6975" i="2"/>
  <c r="R143" i="3" s="1"/>
  <c r="T143" i="3" s="1"/>
  <c r="U143" i="3" s="1"/>
  <c r="V143" i="3" s="1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W6972" i="2"/>
  <c r="AH6971" i="2"/>
  <c r="AE6971" i="2"/>
  <c r="AD6971" i="2"/>
  <c r="X6971" i="2"/>
  <c r="W6971" i="2"/>
  <c r="AH6970" i="2"/>
  <c r="AE6970" i="2"/>
  <c r="AD6970" i="2"/>
  <c r="X6970" i="2"/>
  <c r="W6970" i="2"/>
  <c r="AH6969" i="2"/>
  <c r="AE6969" i="2"/>
  <c r="AD6969" i="2"/>
  <c r="X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W6966" i="2"/>
  <c r="AH6965" i="2"/>
  <c r="AE6965" i="2"/>
  <c r="AD6965" i="2"/>
  <c r="X6965" i="2"/>
  <c r="W6965" i="2"/>
  <c r="AH6964" i="2"/>
  <c r="AE6964" i="2"/>
  <c r="AD6964" i="2"/>
  <c r="X6964" i="2"/>
  <c r="AK6964" i="2" s="1"/>
  <c r="W6964" i="2"/>
  <c r="AH6963" i="2"/>
  <c r="AE6963" i="2"/>
  <c r="AD6963" i="2"/>
  <c r="X6963" i="2"/>
  <c r="AK6963" i="2" s="1"/>
  <c r="W6963" i="2"/>
  <c r="AH6962" i="2"/>
  <c r="AE6962" i="2"/>
  <c r="AD6962" i="2"/>
  <c r="X6962" i="2"/>
  <c r="W6962" i="2"/>
  <c r="AH6961" i="2"/>
  <c r="AE6961" i="2"/>
  <c r="AD6961" i="2"/>
  <c r="X6961" i="2"/>
  <c r="AC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W6956" i="2"/>
  <c r="AH6955" i="2"/>
  <c r="AE6955" i="2"/>
  <c r="AD6955" i="2"/>
  <c r="X6955" i="2"/>
  <c r="AC6955" i="2" s="1"/>
  <c r="W6955" i="2"/>
  <c r="AH6954" i="2"/>
  <c r="AE6954" i="2"/>
  <c r="AD6954" i="2"/>
  <c r="X6954" i="2"/>
  <c r="W6954" i="2"/>
  <c r="AH6953" i="2"/>
  <c r="AE6953" i="2"/>
  <c r="AD6953" i="2"/>
  <c r="X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W6950" i="2"/>
  <c r="AH6949" i="2"/>
  <c r="AE6949" i="2"/>
  <c r="AD6949" i="2"/>
  <c r="X6949" i="2"/>
  <c r="W6949" i="2"/>
  <c r="AH6948" i="2"/>
  <c r="AE6948" i="2"/>
  <c r="AD6948" i="2"/>
  <c r="X6948" i="2"/>
  <c r="W6948" i="2"/>
  <c r="AH6947" i="2"/>
  <c r="AE6947" i="2"/>
  <c r="AD6947" i="2"/>
  <c r="X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W6944" i="2"/>
  <c r="AH6943" i="2"/>
  <c r="AE6943" i="2"/>
  <c r="AD6943" i="2"/>
  <c r="X6943" i="2"/>
  <c r="W6943" i="2"/>
  <c r="AH6942" i="2"/>
  <c r="AE6942" i="2"/>
  <c r="AD6942" i="2"/>
  <c r="X6942" i="2"/>
  <c r="AK6942" i="2" s="1"/>
  <c r="W6942" i="2"/>
  <c r="AH6941" i="2"/>
  <c r="AE6941" i="2"/>
  <c r="AD6941" i="2"/>
  <c r="X6941" i="2"/>
  <c r="AK6941" i="2" s="1"/>
  <c r="W6941" i="2"/>
  <c r="AH6940" i="2"/>
  <c r="AE6940" i="2"/>
  <c r="AD6940" i="2"/>
  <c r="X6940" i="2"/>
  <c r="W6940" i="2"/>
  <c r="AH6939" i="2"/>
  <c r="AE6939" i="2"/>
  <c r="AD6939" i="2"/>
  <c r="X6939" i="2"/>
  <c r="W6939" i="2"/>
  <c r="AH6938" i="2"/>
  <c r="AE6938" i="2"/>
  <c r="AD6938" i="2"/>
  <c r="X6938" i="2"/>
  <c r="W6938" i="2"/>
  <c r="AH6937" i="2"/>
  <c r="AE6937" i="2"/>
  <c r="AD6937" i="2"/>
  <c r="X6937" i="2"/>
  <c r="AC6937" i="2" s="1"/>
  <c r="W6937" i="2"/>
  <c r="AH6936" i="2"/>
  <c r="AE6936" i="2"/>
  <c r="AD6936" i="2"/>
  <c r="X6936" i="2"/>
  <c r="W6936" i="2"/>
  <c r="AH6935" i="2"/>
  <c r="AE6935" i="2"/>
  <c r="AD6935" i="2"/>
  <c r="X6935" i="2"/>
  <c r="W6935" i="2"/>
  <c r="AH6934" i="2"/>
  <c r="AE6934" i="2"/>
  <c r="AD6934" i="2"/>
  <c r="X6934" i="2"/>
  <c r="W6934" i="2"/>
  <c r="AH6933" i="2"/>
  <c r="AE6933" i="2"/>
  <c r="AD6933" i="2"/>
  <c r="X6933" i="2"/>
  <c r="W6933" i="2"/>
  <c r="AH6932" i="2"/>
  <c r="AE6932" i="2"/>
  <c r="AD6932" i="2"/>
  <c r="X6932" i="2"/>
  <c r="W6932" i="2"/>
  <c r="AH6931" i="2"/>
  <c r="AE6931" i="2"/>
  <c r="AD6931" i="2"/>
  <c r="X6931" i="2"/>
  <c r="W6931" i="2"/>
  <c r="AH6930" i="2"/>
  <c r="AE6930" i="2"/>
  <c r="AD6930" i="2"/>
  <c r="X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W6926" i="2"/>
  <c r="AH6925" i="2"/>
  <c r="AE6925" i="2"/>
  <c r="AD6925" i="2"/>
  <c r="X6925" i="2"/>
  <c r="W6925" i="2"/>
  <c r="AH6924" i="2"/>
  <c r="AE6924" i="2"/>
  <c r="AD6924" i="2"/>
  <c r="X6924" i="2"/>
  <c r="W6924" i="2"/>
  <c r="AH6923" i="2"/>
  <c r="AE6923" i="2"/>
  <c r="AD6923" i="2"/>
  <c r="X6923" i="2"/>
  <c r="W6923" i="2"/>
  <c r="AH6922" i="2"/>
  <c r="AE6922" i="2"/>
  <c r="AD6922" i="2"/>
  <c r="X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AH6918" i="2"/>
  <c r="AE6918" i="2"/>
  <c r="AD6918" i="2"/>
  <c r="X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W6915" i="2"/>
  <c r="AH6914" i="2"/>
  <c r="AE6914" i="2"/>
  <c r="AD6914" i="2"/>
  <c r="X6914" i="2"/>
  <c r="W6914" i="2"/>
  <c r="AH6913" i="2"/>
  <c r="AE6913" i="2"/>
  <c r="AD6913" i="2"/>
  <c r="X6913" i="2"/>
  <c r="AC6913" i="2" s="1"/>
  <c r="W6913" i="2"/>
  <c r="AH6912" i="2"/>
  <c r="AE6912" i="2"/>
  <c r="AD6912" i="2"/>
  <c r="X6912" i="2"/>
  <c r="W6912" i="2"/>
  <c r="AH6911" i="2"/>
  <c r="AE6911" i="2"/>
  <c r="AD6911" i="2"/>
  <c r="X6911" i="2"/>
  <c r="W6911" i="2"/>
  <c r="AH6910" i="2"/>
  <c r="AE6910" i="2"/>
  <c r="AD6910" i="2"/>
  <c r="X6910" i="2"/>
  <c r="AC6910" i="2" s="1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W6907" i="2"/>
  <c r="AH6906" i="2"/>
  <c r="AE6906" i="2"/>
  <c r="AD6906" i="2"/>
  <c r="X6906" i="2"/>
  <c r="W6906" i="2"/>
  <c r="AH6905" i="2"/>
  <c r="AE6905" i="2"/>
  <c r="AD6905" i="2"/>
  <c r="X6905" i="2"/>
  <c r="AC6905" i="2" s="1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AC6900" i="2" s="1"/>
  <c r="W6900" i="2"/>
  <c r="AH6899" i="2"/>
  <c r="AE6899" i="2"/>
  <c r="AD6899" i="2"/>
  <c r="X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H6893" i="2"/>
  <c r="AE6893" i="2"/>
  <c r="AD6893" i="2"/>
  <c r="X6893" i="2"/>
  <c r="AC6893" i="2" s="1"/>
  <c r="W6893" i="2"/>
  <c r="AH6892" i="2"/>
  <c r="AE6892" i="2"/>
  <c r="AD6892" i="2"/>
  <c r="X6892" i="2"/>
  <c r="W6892" i="2"/>
  <c r="AH6891" i="2"/>
  <c r="AE6891" i="2"/>
  <c r="AD6891" i="2"/>
  <c r="X6891" i="2"/>
  <c r="W6891" i="2"/>
  <c r="AH6890" i="2"/>
  <c r="AE6890" i="2"/>
  <c r="AD6890" i="2"/>
  <c r="X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W6886" i="2"/>
  <c r="AH6885" i="2"/>
  <c r="AE6885" i="2"/>
  <c r="AD6885" i="2"/>
  <c r="X6885" i="2"/>
  <c r="W6885" i="2"/>
  <c r="AH6884" i="2"/>
  <c r="AE6884" i="2"/>
  <c r="AD6884" i="2"/>
  <c r="X6884" i="2"/>
  <c r="W6884" i="2"/>
  <c r="AH6883" i="2"/>
  <c r="AE6883" i="2"/>
  <c r="AD6883" i="2"/>
  <c r="X6883" i="2"/>
  <c r="W6883" i="2"/>
  <c r="AH6882" i="2"/>
  <c r="AE6882" i="2"/>
  <c r="AD6882" i="2"/>
  <c r="X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F6879" i="2" s="1"/>
  <c r="X6879" i="2"/>
  <c r="W6879" i="2"/>
  <c r="AH6878" i="2"/>
  <c r="AE6878" i="2"/>
  <c r="AF6878" i="2" s="1"/>
  <c r="X6878" i="2"/>
  <c r="W6878" i="2"/>
  <c r="AH6877" i="2"/>
  <c r="AE6877" i="2"/>
  <c r="AF6877" i="2" s="1"/>
  <c r="X6877" i="2"/>
  <c r="W6877" i="2"/>
  <c r="AH6876" i="2"/>
  <c r="AE6876" i="2"/>
  <c r="AF6876" i="2" s="1"/>
  <c r="X6876" i="2"/>
  <c r="W6876" i="2"/>
  <c r="AH6875" i="2"/>
  <c r="AE6875" i="2"/>
  <c r="AF6875" i="2" s="1"/>
  <c r="X6875" i="2"/>
  <c r="W6875" i="2"/>
  <c r="AH6874" i="2"/>
  <c r="AE6874" i="2"/>
  <c r="AF6874" i="2" s="1"/>
  <c r="X6874" i="2"/>
  <c r="W6874" i="2"/>
  <c r="AH6873" i="2"/>
  <c r="AE6873" i="2"/>
  <c r="AF6873" i="2" s="1"/>
  <c r="X6873" i="2"/>
  <c r="AC6873" i="2" s="1"/>
  <c r="W6873" i="2"/>
  <c r="AH6872" i="2"/>
  <c r="AE6872" i="2"/>
  <c r="AF6872" i="2" s="1"/>
  <c r="X6872" i="2"/>
  <c r="W6872" i="2"/>
  <c r="AH6871" i="2"/>
  <c r="AE6871" i="2"/>
  <c r="AF6871" i="2" s="1"/>
  <c r="X6871" i="2"/>
  <c r="W6871" i="2"/>
  <c r="AH6870" i="2"/>
  <c r="AE6870" i="2"/>
  <c r="AF6870" i="2" s="1"/>
  <c r="X6870" i="2"/>
  <c r="AC6870" i="2" s="1"/>
  <c r="W6870" i="2"/>
  <c r="AH6869" i="2"/>
  <c r="AE6869" i="2"/>
  <c r="AF6869" i="2" s="1"/>
  <c r="X6869" i="2"/>
  <c r="W6869" i="2"/>
  <c r="AH6868" i="2"/>
  <c r="AE6868" i="2"/>
  <c r="AF6868" i="2" s="1"/>
  <c r="X6868" i="2"/>
  <c r="W6868" i="2"/>
  <c r="AH6867" i="2"/>
  <c r="AE6867" i="2"/>
  <c r="AF6867" i="2" s="1"/>
  <c r="X6867" i="2"/>
  <c r="AC6867" i="2" s="1"/>
  <c r="W6867" i="2"/>
  <c r="AH6866" i="2"/>
  <c r="AE6866" i="2"/>
  <c r="AF6866" i="2" s="1"/>
  <c r="X6866" i="2"/>
  <c r="W6866" i="2"/>
  <c r="AH6865" i="2"/>
  <c r="AE6865" i="2"/>
  <c r="AF6865" i="2" s="1"/>
  <c r="X6865" i="2"/>
  <c r="W6865" i="2"/>
  <c r="AH6864" i="2"/>
  <c r="AE6864" i="2"/>
  <c r="AF6864" i="2" s="1"/>
  <c r="X6864" i="2"/>
  <c r="W6864" i="2"/>
  <c r="AH6863" i="2"/>
  <c r="AE6863" i="2"/>
  <c r="AF6863" i="2" s="1"/>
  <c r="X6863" i="2"/>
  <c r="W6863" i="2"/>
  <c r="AH6862" i="2"/>
  <c r="AE6862" i="2"/>
  <c r="AF6862" i="2" s="1"/>
  <c r="X6862" i="2"/>
  <c r="W6862" i="2"/>
  <c r="AH6861" i="2"/>
  <c r="AE6861" i="2"/>
  <c r="AF6861" i="2" s="1"/>
  <c r="X6861" i="2"/>
  <c r="W6861" i="2"/>
  <c r="AH6860" i="2"/>
  <c r="AE6860" i="2"/>
  <c r="AF6860" i="2" s="1"/>
  <c r="X6860" i="2"/>
  <c r="W6860" i="2"/>
  <c r="AH6859" i="2"/>
  <c r="AE6859" i="2"/>
  <c r="AF6859" i="2" s="1"/>
  <c r="X6859" i="2"/>
  <c r="W6859" i="2"/>
  <c r="AH6858" i="2"/>
  <c r="AE6858" i="2"/>
  <c r="AF6858" i="2" s="1"/>
  <c r="X6858" i="2"/>
  <c r="W6858" i="2"/>
  <c r="AH6857" i="2"/>
  <c r="AE6857" i="2"/>
  <c r="AF6857" i="2" s="1"/>
  <c r="X6857" i="2"/>
  <c r="W6857" i="2"/>
  <c r="AH6856" i="2"/>
  <c r="AE6856" i="2"/>
  <c r="AD6856" i="2"/>
  <c r="X6856" i="2"/>
  <c r="W6856" i="2"/>
  <c r="AH6855" i="2"/>
  <c r="AE6855" i="2"/>
  <c r="AD6855" i="2"/>
  <c r="X6855" i="2"/>
  <c r="W6855" i="2"/>
  <c r="AH6854" i="2"/>
  <c r="AE6854" i="2"/>
  <c r="AD6854" i="2"/>
  <c r="X6854" i="2"/>
  <c r="W6854" i="2"/>
  <c r="AH6853" i="2"/>
  <c r="AE6853" i="2"/>
  <c r="AD6853" i="2"/>
  <c r="X6853" i="2"/>
  <c r="AC6853" i="2" s="1"/>
  <c r="W6853" i="2"/>
  <c r="AH6852" i="2"/>
  <c r="AE6852" i="2"/>
  <c r="AD6852" i="2"/>
  <c r="X6852" i="2"/>
  <c r="W6852" i="2"/>
  <c r="AH6851" i="2"/>
  <c r="AE6851" i="2"/>
  <c r="AD6851" i="2"/>
  <c r="X6851" i="2"/>
  <c r="W6851" i="2"/>
  <c r="AH6850" i="2"/>
  <c r="AE6850" i="2"/>
  <c r="AD6850" i="2"/>
  <c r="X6850" i="2"/>
  <c r="W6850" i="2"/>
  <c r="AH6849" i="2"/>
  <c r="AE6849" i="2"/>
  <c r="AD6849" i="2"/>
  <c r="X6849" i="2"/>
  <c r="W6849" i="2"/>
  <c r="AH6848" i="2"/>
  <c r="AE6848" i="2"/>
  <c r="AD6848" i="2"/>
  <c r="X6848" i="2"/>
  <c r="W6848" i="2"/>
  <c r="AH6847" i="2"/>
  <c r="AE6847" i="2"/>
  <c r="AD6847" i="2"/>
  <c r="X6847" i="2"/>
  <c r="W6847" i="2"/>
  <c r="AH6846" i="2"/>
  <c r="AE6846" i="2"/>
  <c r="AD6846" i="2"/>
  <c r="X6846" i="2"/>
  <c r="W6846" i="2"/>
  <c r="AH6845" i="2"/>
  <c r="AE6845" i="2"/>
  <c r="AD6845" i="2"/>
  <c r="X6845" i="2"/>
  <c r="AC6845" i="2" s="1"/>
  <c r="W6845" i="2"/>
  <c r="AH6844" i="2"/>
  <c r="AE6844" i="2"/>
  <c r="AD6844" i="2"/>
  <c r="X6844" i="2"/>
  <c r="W6844" i="2"/>
  <c r="AH6843" i="2"/>
  <c r="AE6843" i="2"/>
  <c r="AD6843" i="2"/>
  <c r="X6843" i="2"/>
  <c r="W6843" i="2"/>
  <c r="AH6842" i="2"/>
  <c r="AE6842" i="2"/>
  <c r="AD6842" i="2"/>
  <c r="X6842" i="2"/>
  <c r="W6842" i="2"/>
  <c r="AH6841" i="2"/>
  <c r="AE6841" i="2"/>
  <c r="AD6841" i="2"/>
  <c r="X6841" i="2"/>
  <c r="AC6841" i="2" s="1"/>
  <c r="W6841" i="2"/>
  <c r="AH6840" i="2"/>
  <c r="AE6840" i="2"/>
  <c r="AD6840" i="2"/>
  <c r="X6840" i="2"/>
  <c r="W6840" i="2"/>
  <c r="AH6839" i="2"/>
  <c r="AE6839" i="2"/>
  <c r="AD6839" i="2"/>
  <c r="X6839" i="2"/>
  <c r="W6839" i="2"/>
  <c r="AH6838" i="2"/>
  <c r="AE6838" i="2"/>
  <c r="AD6838" i="2"/>
  <c r="X6838" i="2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W6834" i="2"/>
  <c r="AH6833" i="2"/>
  <c r="AE6833" i="2"/>
  <c r="AD6833" i="2"/>
  <c r="X6833" i="2"/>
  <c r="W6833" i="2"/>
  <c r="AH6832" i="2"/>
  <c r="AE6832" i="2"/>
  <c r="AD6832" i="2"/>
  <c r="X6832" i="2"/>
  <c r="W6832" i="2"/>
  <c r="AH6831" i="2"/>
  <c r="AE6831" i="2"/>
  <c r="AD6831" i="2"/>
  <c r="X6831" i="2"/>
  <c r="W6831" i="2"/>
  <c r="AH6830" i="2"/>
  <c r="AE6830" i="2"/>
  <c r="AD6830" i="2"/>
  <c r="X6830" i="2"/>
  <c r="W6830" i="2"/>
  <c r="AH6829" i="2"/>
  <c r="AE6829" i="2"/>
  <c r="AD6829" i="2"/>
  <c r="X6829" i="2"/>
  <c r="AC6829" i="2" s="1"/>
  <c r="W6829" i="2"/>
  <c r="AH6828" i="2"/>
  <c r="AE6828" i="2"/>
  <c r="AD6828" i="2"/>
  <c r="X6828" i="2"/>
  <c r="W6828" i="2"/>
  <c r="AH6827" i="2"/>
  <c r="AE6827" i="2"/>
  <c r="AD6827" i="2"/>
  <c r="X6827" i="2"/>
  <c r="W6827" i="2"/>
  <c r="AH6826" i="2"/>
  <c r="AE6826" i="2"/>
  <c r="AD6826" i="2"/>
  <c r="X6826" i="2"/>
  <c r="W6826" i="2"/>
  <c r="AH6825" i="2"/>
  <c r="AE6825" i="2"/>
  <c r="AD6825" i="2"/>
  <c r="X6825" i="2"/>
  <c r="W6825" i="2"/>
  <c r="AH6824" i="2"/>
  <c r="AE6824" i="2"/>
  <c r="AD6824" i="2"/>
  <c r="X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W6819" i="2"/>
  <c r="AH6818" i="2"/>
  <c r="AE6818" i="2"/>
  <c r="AD6818" i="2"/>
  <c r="X6818" i="2"/>
  <c r="W6818" i="2"/>
  <c r="AH6817" i="2"/>
  <c r="AE6817" i="2"/>
  <c r="AD6817" i="2"/>
  <c r="X6817" i="2"/>
  <c r="W6817" i="2"/>
  <c r="AH6816" i="2"/>
  <c r="AE6816" i="2"/>
  <c r="AD6816" i="2"/>
  <c r="X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W6813" i="2"/>
  <c r="AH6812" i="2"/>
  <c r="AE6812" i="2"/>
  <c r="AD6812" i="2"/>
  <c r="X6812" i="2"/>
  <c r="W6812" i="2"/>
  <c r="AH6811" i="2"/>
  <c r="AE6811" i="2"/>
  <c r="AD6811" i="2"/>
  <c r="X6811" i="2"/>
  <c r="W6811" i="2"/>
  <c r="AH6810" i="2"/>
  <c r="AE6810" i="2"/>
  <c r="AD6810" i="2"/>
  <c r="X6810" i="2"/>
  <c r="W6810" i="2"/>
  <c r="AH6809" i="2"/>
  <c r="AE6809" i="2"/>
  <c r="AD6809" i="2"/>
  <c r="X6809" i="2"/>
  <c r="W6809" i="2"/>
  <c r="AH6808" i="2"/>
  <c r="AE6808" i="2"/>
  <c r="AD6808" i="2"/>
  <c r="X6808" i="2"/>
  <c r="W6808" i="2"/>
  <c r="AH6807" i="2"/>
  <c r="AE6807" i="2"/>
  <c r="AD6807" i="2"/>
  <c r="X6807" i="2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W6804" i="2"/>
  <c r="AH6803" i="2"/>
  <c r="AE6803" i="2"/>
  <c r="AD6803" i="2"/>
  <c r="X6803" i="2"/>
  <c r="W6803" i="2"/>
  <c r="AH6802" i="2"/>
  <c r="AE6802" i="2"/>
  <c r="AD6802" i="2"/>
  <c r="X6802" i="2"/>
  <c r="W6802" i="2"/>
  <c r="AH6801" i="2"/>
  <c r="AE6801" i="2"/>
  <c r="AD6801" i="2"/>
  <c r="X6801" i="2"/>
  <c r="W6801" i="2"/>
  <c r="AH6800" i="2"/>
  <c r="AE6800" i="2"/>
  <c r="AD6800" i="2"/>
  <c r="X6800" i="2"/>
  <c r="W6800" i="2"/>
  <c r="AH6799" i="2"/>
  <c r="AE6799" i="2"/>
  <c r="AD6799" i="2"/>
  <c r="X6799" i="2"/>
  <c r="W6799" i="2"/>
  <c r="AH6798" i="2"/>
  <c r="AE6798" i="2"/>
  <c r="AD6798" i="2"/>
  <c r="X6798" i="2"/>
  <c r="W6798" i="2"/>
  <c r="AH6797" i="2"/>
  <c r="AE6797" i="2"/>
  <c r="AD6797" i="2"/>
  <c r="X6797" i="2"/>
  <c r="W6797" i="2"/>
  <c r="AH6796" i="2"/>
  <c r="AE6796" i="2"/>
  <c r="AD6796" i="2"/>
  <c r="X6796" i="2"/>
  <c r="W6796" i="2"/>
  <c r="AH6795" i="2"/>
  <c r="AE6795" i="2"/>
  <c r="AD6795" i="2"/>
  <c r="X6795" i="2"/>
  <c r="W6795" i="2"/>
  <c r="AH6794" i="2"/>
  <c r="AE6794" i="2"/>
  <c r="AD6794" i="2"/>
  <c r="X6794" i="2"/>
  <c r="W6794" i="2"/>
  <c r="AH6793" i="2"/>
  <c r="AE6793" i="2"/>
  <c r="AD6793" i="2"/>
  <c r="X6793" i="2"/>
  <c r="AC6793" i="2" s="1"/>
  <c r="W6793" i="2"/>
  <c r="AH6792" i="2"/>
  <c r="AE6792" i="2"/>
  <c r="AD6792" i="2"/>
  <c r="X6792" i="2"/>
  <c r="W6792" i="2"/>
  <c r="AH6791" i="2"/>
  <c r="AE6791" i="2"/>
  <c r="AD6791" i="2"/>
  <c r="X6791" i="2"/>
  <c r="W6791" i="2"/>
  <c r="AH6790" i="2"/>
  <c r="AE6790" i="2"/>
  <c r="AD6790" i="2"/>
  <c r="X6790" i="2"/>
  <c r="W6790" i="2"/>
  <c r="AH6789" i="2"/>
  <c r="AE6789" i="2"/>
  <c r="AD6789" i="2"/>
  <c r="X6789" i="2"/>
  <c r="W6789" i="2"/>
  <c r="AH6788" i="2"/>
  <c r="AE6788" i="2"/>
  <c r="AD6788" i="2"/>
  <c r="X6788" i="2"/>
  <c r="W6788" i="2"/>
  <c r="AH6787" i="2"/>
  <c r="AE6787" i="2"/>
  <c r="AD6787" i="2"/>
  <c r="X6787" i="2"/>
  <c r="W6787" i="2"/>
  <c r="AH6786" i="2"/>
  <c r="AE6786" i="2"/>
  <c r="AD6786" i="2"/>
  <c r="X6786" i="2"/>
  <c r="W6786" i="2"/>
  <c r="AH6785" i="2"/>
  <c r="AE6785" i="2"/>
  <c r="AD6785" i="2"/>
  <c r="X6785" i="2"/>
  <c r="W6785" i="2"/>
  <c r="AH6784" i="2"/>
  <c r="AE6784" i="2"/>
  <c r="AD6784" i="2"/>
  <c r="X6784" i="2"/>
  <c r="W6784" i="2"/>
  <c r="AH6783" i="2"/>
  <c r="AE6783" i="2"/>
  <c r="AD6783" i="2"/>
  <c r="X6783" i="2"/>
  <c r="W6783" i="2"/>
  <c r="AH6782" i="2"/>
  <c r="AE6782" i="2"/>
  <c r="AD6782" i="2"/>
  <c r="X6782" i="2"/>
  <c r="W6782" i="2"/>
  <c r="AH6781" i="2"/>
  <c r="AE6781" i="2"/>
  <c r="AD6781" i="2"/>
  <c r="X6781" i="2"/>
  <c r="W6781" i="2"/>
  <c r="AH6780" i="2"/>
  <c r="AE6780" i="2"/>
  <c r="AD6780" i="2"/>
  <c r="X6780" i="2"/>
  <c r="AC6780" i="2" s="1"/>
  <c r="W6780" i="2"/>
  <c r="AH6779" i="2"/>
  <c r="AE6779" i="2"/>
  <c r="AD6779" i="2"/>
  <c r="X6779" i="2"/>
  <c r="W6779" i="2"/>
  <c r="AH6778" i="2"/>
  <c r="AE6778" i="2"/>
  <c r="AD6778" i="2"/>
  <c r="X6778" i="2"/>
  <c r="W6778" i="2"/>
  <c r="AH6777" i="2"/>
  <c r="AE6777" i="2"/>
  <c r="AD6777" i="2"/>
  <c r="X6777" i="2"/>
  <c r="W6777" i="2"/>
  <c r="AH6776" i="2"/>
  <c r="AE6776" i="2"/>
  <c r="AD6776" i="2"/>
  <c r="X6776" i="2"/>
  <c r="W6776" i="2"/>
  <c r="AH6775" i="2"/>
  <c r="AE6775" i="2"/>
  <c r="AD6775" i="2"/>
  <c r="X6775" i="2"/>
  <c r="W6775" i="2"/>
  <c r="AH6774" i="2"/>
  <c r="AE6774" i="2"/>
  <c r="AD6774" i="2"/>
  <c r="X6774" i="2"/>
  <c r="W6774" i="2"/>
  <c r="AH6773" i="2"/>
  <c r="AE6773" i="2"/>
  <c r="AD6773" i="2"/>
  <c r="X6773" i="2"/>
  <c r="W6773" i="2"/>
  <c r="AH6772" i="2"/>
  <c r="AE6772" i="2"/>
  <c r="AD6772" i="2"/>
  <c r="X6772" i="2"/>
  <c r="W6772" i="2"/>
  <c r="AH6771" i="2"/>
  <c r="AE6771" i="2"/>
  <c r="AD6771" i="2"/>
  <c r="X6771" i="2"/>
  <c r="W6771" i="2"/>
  <c r="AH6770" i="2"/>
  <c r="AE6770" i="2"/>
  <c r="AD6770" i="2"/>
  <c r="X6770" i="2"/>
  <c r="W6770" i="2"/>
  <c r="AH6769" i="2"/>
  <c r="AE6769" i="2"/>
  <c r="AD6769" i="2"/>
  <c r="X6769" i="2"/>
  <c r="W6769" i="2"/>
  <c r="AH6768" i="2"/>
  <c r="AE6768" i="2"/>
  <c r="AD6768" i="2"/>
  <c r="X6768" i="2"/>
  <c r="W6768" i="2"/>
  <c r="AH6767" i="2"/>
  <c r="AE6767" i="2"/>
  <c r="AD6767" i="2"/>
  <c r="X6767" i="2"/>
  <c r="W6767" i="2"/>
  <c r="AH6766" i="2"/>
  <c r="AE6766" i="2"/>
  <c r="AD6766" i="2"/>
  <c r="X6766" i="2"/>
  <c r="W6766" i="2"/>
  <c r="AH6765" i="2"/>
  <c r="AE6765" i="2"/>
  <c r="AD6765" i="2"/>
  <c r="X6765" i="2"/>
  <c r="W6765" i="2"/>
  <c r="AH6764" i="2"/>
  <c r="AE6764" i="2"/>
  <c r="AD6764" i="2"/>
  <c r="X6764" i="2"/>
  <c r="W6764" i="2"/>
  <c r="AH6763" i="2"/>
  <c r="AE6763" i="2"/>
  <c r="AD6763" i="2"/>
  <c r="X6763" i="2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W6760" i="2"/>
  <c r="AH6759" i="2"/>
  <c r="AE6759" i="2"/>
  <c r="AD6759" i="2"/>
  <c r="X6759" i="2"/>
  <c r="AA6759" i="2" s="1"/>
  <c r="W6759" i="2"/>
  <c r="AH6758" i="2"/>
  <c r="AE6758" i="2"/>
  <c r="AD6758" i="2"/>
  <c r="X6758" i="2"/>
  <c r="W6758" i="2"/>
  <c r="AH6757" i="2"/>
  <c r="AE6757" i="2"/>
  <c r="AD6757" i="2"/>
  <c r="X6757" i="2"/>
  <c r="W6757" i="2"/>
  <c r="AH6756" i="2"/>
  <c r="AE6756" i="2"/>
  <c r="AD6756" i="2"/>
  <c r="X6756" i="2"/>
  <c r="W6756" i="2"/>
  <c r="AH6755" i="2"/>
  <c r="AE6755" i="2"/>
  <c r="AD6755" i="2"/>
  <c r="X6755" i="2"/>
  <c r="W6755" i="2"/>
  <c r="AH6754" i="2"/>
  <c r="AE6754" i="2"/>
  <c r="AD6754" i="2"/>
  <c r="X6754" i="2"/>
  <c r="W6754" i="2"/>
  <c r="AH6753" i="2"/>
  <c r="AE6753" i="2"/>
  <c r="AD6753" i="2"/>
  <c r="X6753" i="2"/>
  <c r="W6753" i="2"/>
  <c r="AH6752" i="2"/>
  <c r="AE6752" i="2"/>
  <c r="AD6752" i="2"/>
  <c r="X6752" i="2"/>
  <c r="W6752" i="2"/>
  <c r="AH6751" i="2"/>
  <c r="AE6751" i="2"/>
  <c r="AD6751" i="2"/>
  <c r="X6751" i="2"/>
  <c r="W6751" i="2"/>
  <c r="AH6750" i="2"/>
  <c r="AE6750" i="2"/>
  <c r="AD6750" i="2"/>
  <c r="X6750" i="2"/>
  <c r="W6750" i="2"/>
  <c r="AH6749" i="2"/>
  <c r="AE6749" i="2"/>
  <c r="AD6749" i="2"/>
  <c r="X6749" i="2"/>
  <c r="W6749" i="2"/>
  <c r="AH6748" i="2"/>
  <c r="AE6748" i="2"/>
  <c r="AD6748" i="2"/>
  <c r="X6748" i="2"/>
  <c r="AC6748" i="2" s="1"/>
  <c r="W6748" i="2"/>
  <c r="AH6747" i="2"/>
  <c r="AE6747" i="2"/>
  <c r="AD6747" i="2"/>
  <c r="X6747" i="2"/>
  <c r="W6747" i="2"/>
  <c r="AH6746" i="2"/>
  <c r="AE6746" i="2"/>
  <c r="AD6746" i="2"/>
  <c r="X6746" i="2"/>
  <c r="W6746" i="2"/>
  <c r="AH6745" i="2"/>
  <c r="AE6745" i="2"/>
  <c r="AD6745" i="2"/>
  <c r="X6745" i="2"/>
  <c r="W6745" i="2"/>
  <c r="AH6744" i="2"/>
  <c r="AE6744" i="2"/>
  <c r="AD6744" i="2"/>
  <c r="X6744" i="2"/>
  <c r="W6744" i="2"/>
  <c r="AH6743" i="2"/>
  <c r="AE6743" i="2"/>
  <c r="AD6743" i="2"/>
  <c r="X6743" i="2"/>
  <c r="AC6743" i="2" s="1"/>
  <c r="W6743" i="2"/>
  <c r="AH6742" i="2"/>
  <c r="AE6742" i="2"/>
  <c r="AD6742" i="2"/>
  <c r="X6742" i="2"/>
  <c r="AA6742" i="2" s="1"/>
  <c r="W6742" i="2"/>
  <c r="AH6741" i="2"/>
  <c r="AE6741" i="2"/>
  <c r="AD6741" i="2"/>
  <c r="AF6741" i="2" s="1"/>
  <c r="X6741" i="2"/>
  <c r="W6741" i="2"/>
  <c r="AH6740" i="2"/>
  <c r="AE6740" i="2"/>
  <c r="AD6740" i="2"/>
  <c r="X6740" i="2"/>
  <c r="AA6740" i="2" s="1"/>
  <c r="W6740" i="2"/>
  <c r="AH6739" i="2"/>
  <c r="AE6739" i="2"/>
  <c r="AD6739" i="2"/>
  <c r="X6739" i="2"/>
  <c r="W6739" i="2"/>
  <c r="AH6738" i="2"/>
  <c r="AE6738" i="2"/>
  <c r="AD6738" i="2"/>
  <c r="X6738" i="2"/>
  <c r="W6738" i="2"/>
  <c r="AH6737" i="2"/>
  <c r="AE6737" i="2"/>
  <c r="AD6737" i="2"/>
  <c r="X6737" i="2"/>
  <c r="W6737" i="2"/>
  <c r="AH6736" i="2"/>
  <c r="AE6736" i="2"/>
  <c r="AD6736" i="2"/>
  <c r="X6736" i="2"/>
  <c r="W6736" i="2"/>
  <c r="AH6735" i="2"/>
  <c r="AE6735" i="2"/>
  <c r="AD6735" i="2"/>
  <c r="X6735" i="2"/>
  <c r="AC6735" i="2" s="1"/>
  <c r="W6735" i="2"/>
  <c r="AH6734" i="2"/>
  <c r="AE6734" i="2"/>
  <c r="AD6734" i="2"/>
  <c r="X6734" i="2"/>
  <c r="W6734" i="2"/>
  <c r="AH6733" i="2"/>
  <c r="AD6733" i="2"/>
  <c r="AF6733" i="2" s="1"/>
  <c r="X6733" i="2"/>
  <c r="W6733" i="2"/>
  <c r="AH6732" i="2"/>
  <c r="AD6732" i="2"/>
  <c r="AF6732" i="2" s="1"/>
  <c r="X6732" i="2"/>
  <c r="W6732" i="2"/>
  <c r="AH6731" i="2"/>
  <c r="AD6731" i="2"/>
  <c r="AF6731" i="2" s="1"/>
  <c r="X6731" i="2"/>
  <c r="W6731" i="2"/>
  <c r="AH6730" i="2"/>
  <c r="AD6730" i="2"/>
  <c r="AF6730" i="2" s="1"/>
  <c r="X6730" i="2"/>
  <c r="W6730" i="2"/>
  <c r="AH6729" i="2"/>
  <c r="AD6729" i="2"/>
  <c r="AF6729" i="2" s="1"/>
  <c r="X6729" i="2"/>
  <c r="AC6729" i="2" s="1"/>
  <c r="W6729" i="2"/>
  <c r="AH6728" i="2"/>
  <c r="AD6728" i="2"/>
  <c r="AF6728" i="2" s="1"/>
  <c r="X6728" i="2"/>
  <c r="W6728" i="2"/>
  <c r="AH6727" i="2"/>
  <c r="AD6727" i="2"/>
  <c r="AF6727" i="2" s="1"/>
  <c r="X6727" i="2"/>
  <c r="W6727" i="2"/>
  <c r="AH6726" i="2"/>
  <c r="AD6726" i="2"/>
  <c r="AF6726" i="2" s="1"/>
  <c r="X6726" i="2"/>
  <c r="W6726" i="2"/>
  <c r="AH6725" i="2"/>
  <c r="AD6725" i="2"/>
  <c r="AF6725" i="2" s="1"/>
  <c r="X6725" i="2"/>
  <c r="W6725" i="2"/>
  <c r="AH6724" i="2"/>
  <c r="AD6724" i="2"/>
  <c r="AF6724" i="2" s="1"/>
  <c r="X6724" i="2"/>
  <c r="W6724" i="2"/>
  <c r="AH6723" i="2"/>
  <c r="AD6723" i="2"/>
  <c r="AF6723" i="2" s="1"/>
  <c r="X6723" i="2"/>
  <c r="W6723" i="2"/>
  <c r="AH6722" i="2"/>
  <c r="AD6722" i="2"/>
  <c r="AF6722" i="2" s="1"/>
  <c r="X6722" i="2"/>
  <c r="W6722" i="2"/>
  <c r="AH6721" i="2"/>
  <c r="AD6721" i="2"/>
  <c r="AF6721" i="2" s="1"/>
  <c r="X6721" i="2"/>
  <c r="AC6721" i="2" s="1"/>
  <c r="W6721" i="2"/>
  <c r="AH6720" i="2"/>
  <c r="AD6720" i="2"/>
  <c r="AF6720" i="2" s="1"/>
  <c r="X6720" i="2"/>
  <c r="W6720" i="2"/>
  <c r="AH6719" i="2"/>
  <c r="AD6719" i="2"/>
  <c r="AF6719" i="2" s="1"/>
  <c r="X6719" i="2"/>
  <c r="W6719" i="2"/>
  <c r="AH6718" i="2"/>
  <c r="AD6718" i="2"/>
  <c r="AF6718" i="2" s="1"/>
  <c r="X6718" i="2"/>
  <c r="W6718" i="2"/>
  <c r="AH6717" i="2"/>
  <c r="AD6717" i="2"/>
  <c r="AF6717" i="2" s="1"/>
  <c r="X6717" i="2"/>
  <c r="W6717" i="2"/>
  <c r="AH6716" i="2"/>
  <c r="AD6716" i="2"/>
  <c r="AF6716" i="2" s="1"/>
  <c r="X6716" i="2"/>
  <c r="W6716" i="2"/>
  <c r="AH6715" i="2"/>
  <c r="AD6715" i="2"/>
  <c r="AF6715" i="2" s="1"/>
  <c r="X6715" i="2"/>
  <c r="W6715" i="2"/>
  <c r="AH6714" i="2"/>
  <c r="AD6714" i="2"/>
  <c r="AF6714" i="2" s="1"/>
  <c r="X6714" i="2"/>
  <c r="W6714" i="2"/>
  <c r="AH6713" i="2"/>
  <c r="AD6713" i="2"/>
  <c r="AF6713" i="2" s="1"/>
  <c r="X6713" i="2"/>
  <c r="AC6713" i="2" s="1"/>
  <c r="W6713" i="2"/>
  <c r="AH6712" i="2"/>
  <c r="AD6712" i="2"/>
  <c r="AF6712" i="2" s="1"/>
  <c r="X6712" i="2"/>
  <c r="W6712" i="2"/>
  <c r="AH6711" i="2"/>
  <c r="AD6711" i="2"/>
  <c r="AF6711" i="2" s="1"/>
  <c r="X6711" i="2"/>
  <c r="W6711" i="2"/>
  <c r="AH6710" i="2"/>
  <c r="AD6710" i="2"/>
  <c r="AF6710" i="2" s="1"/>
  <c r="X6710" i="2"/>
  <c r="W6710" i="2"/>
  <c r="AH6709" i="2"/>
  <c r="AD6709" i="2"/>
  <c r="AF6709" i="2" s="1"/>
  <c r="X6709" i="2"/>
  <c r="W6709" i="2"/>
  <c r="AH6708" i="2"/>
  <c r="AD6708" i="2"/>
  <c r="AF6708" i="2" s="1"/>
  <c r="X6708" i="2"/>
  <c r="W6708" i="2"/>
  <c r="AH6707" i="2"/>
  <c r="AD6707" i="2"/>
  <c r="AF6707" i="2" s="1"/>
  <c r="X6707" i="2"/>
  <c r="W6707" i="2"/>
  <c r="AH6706" i="2"/>
  <c r="AD6706" i="2"/>
  <c r="AF6706" i="2" s="1"/>
  <c r="X6706" i="2"/>
  <c r="W6706" i="2"/>
  <c r="AH6705" i="2"/>
  <c r="AD6705" i="2"/>
  <c r="AF6705" i="2" s="1"/>
  <c r="X6705" i="2"/>
  <c r="R129" i="3" s="1"/>
  <c r="T129" i="3" s="1"/>
  <c r="U129" i="3" s="1"/>
  <c r="V129" i="3" s="1"/>
  <c r="W6705" i="2"/>
  <c r="AH6704" i="2"/>
  <c r="AD6704" i="2"/>
  <c r="AF6704" i="2"/>
  <c r="X6704" i="2"/>
  <c r="W6704" i="2"/>
  <c r="AH6703" i="2"/>
  <c r="AD6703" i="2"/>
  <c r="AF6703" i="2" s="1"/>
  <c r="X6703" i="2"/>
  <c r="W6703" i="2"/>
  <c r="AH6702" i="2"/>
  <c r="AD6702" i="2"/>
  <c r="AF6702" i="2" s="1"/>
  <c r="X6702" i="2"/>
  <c r="W6702" i="2"/>
  <c r="AH6701" i="2"/>
  <c r="AD6701" i="2"/>
  <c r="AF6701" i="2" s="1"/>
  <c r="X6701" i="2"/>
  <c r="W6701" i="2"/>
  <c r="AH6700" i="2"/>
  <c r="AD6700" i="2"/>
  <c r="AF6700" i="2" s="1"/>
  <c r="X6700" i="2"/>
  <c r="W6700" i="2"/>
  <c r="AH6699" i="2"/>
  <c r="AD6699" i="2"/>
  <c r="AF6699" i="2" s="1"/>
  <c r="X6699" i="2"/>
  <c r="W6699" i="2"/>
  <c r="AH6698" i="2"/>
  <c r="AD6698" i="2"/>
  <c r="AF6698" i="2" s="1"/>
  <c r="X6698" i="2"/>
  <c r="W6698" i="2"/>
  <c r="AH6697" i="2"/>
  <c r="AD6697" i="2"/>
  <c r="AF6697" i="2" s="1"/>
  <c r="X6697" i="2"/>
  <c r="W6697" i="2"/>
  <c r="AH6696" i="2"/>
  <c r="AD6696" i="2"/>
  <c r="AF6696" i="2" s="1"/>
  <c r="X6696" i="2"/>
  <c r="W6696" i="2"/>
  <c r="AH6695" i="2"/>
  <c r="AD6695" i="2"/>
  <c r="AF6695" i="2" s="1"/>
  <c r="X6695" i="2"/>
  <c r="W6695" i="2"/>
  <c r="AH6694" i="2"/>
  <c r="AD6694" i="2"/>
  <c r="AF6694" i="2" s="1"/>
  <c r="X6694" i="2"/>
  <c r="W6694" i="2"/>
  <c r="AH6693" i="2"/>
  <c r="AD6693" i="2"/>
  <c r="AF6693" i="2" s="1"/>
  <c r="X6693" i="2"/>
  <c r="W6693" i="2"/>
  <c r="AH6692" i="2"/>
  <c r="AD6692" i="2"/>
  <c r="AF6692" i="2" s="1"/>
  <c r="X6692" i="2"/>
  <c r="W6692" i="2"/>
  <c r="AH6691" i="2"/>
  <c r="AD6691" i="2"/>
  <c r="AF6691" i="2" s="1"/>
  <c r="X6691" i="2"/>
  <c r="W6691" i="2"/>
  <c r="AH6690" i="2"/>
  <c r="AD6690" i="2"/>
  <c r="AF6690" i="2" s="1"/>
  <c r="X6690" i="2"/>
  <c r="W6690" i="2"/>
  <c r="AH6689" i="2"/>
  <c r="AD6689" i="2"/>
  <c r="AF6689" i="2" s="1"/>
  <c r="X6689" i="2"/>
  <c r="AC6689" i="2" s="1"/>
  <c r="W6689" i="2"/>
  <c r="AH6688" i="2"/>
  <c r="AD6688" i="2"/>
  <c r="AF6688" i="2" s="1"/>
  <c r="X6688" i="2"/>
  <c r="W6688" i="2"/>
  <c r="AH6687" i="2"/>
  <c r="AD6687" i="2"/>
  <c r="AF6687" i="2" s="1"/>
  <c r="X6687" i="2"/>
  <c r="W6687" i="2"/>
  <c r="AH6686" i="2"/>
  <c r="AD6686" i="2"/>
  <c r="AF6686" i="2" s="1"/>
  <c r="X6686" i="2"/>
  <c r="W6686" i="2"/>
  <c r="AH6685" i="2"/>
  <c r="AD6685" i="2"/>
  <c r="AF6685" i="2" s="1"/>
  <c r="X6685" i="2"/>
  <c r="W6685" i="2"/>
  <c r="AH6684" i="2"/>
  <c r="AD6684" i="2"/>
  <c r="AF6684" i="2" s="1"/>
  <c r="X6684" i="2"/>
  <c r="W6684" i="2"/>
  <c r="AH6683" i="2"/>
  <c r="AD6683" i="2"/>
  <c r="AF6683" i="2" s="1"/>
  <c r="X6683" i="2"/>
  <c r="W6683" i="2"/>
  <c r="AH6682" i="2"/>
  <c r="AD6682" i="2"/>
  <c r="AF6682" i="2" s="1"/>
  <c r="X6682" i="2"/>
  <c r="W6682" i="2"/>
  <c r="AH6681" i="2"/>
  <c r="AD6681" i="2"/>
  <c r="AF6681" i="2" s="1"/>
  <c r="X6681" i="2"/>
  <c r="W6681" i="2"/>
  <c r="AH6680" i="2"/>
  <c r="AD6680" i="2"/>
  <c r="AF6680" i="2" s="1"/>
  <c r="X6680" i="2"/>
  <c r="W6680" i="2"/>
  <c r="AH6679" i="2"/>
  <c r="AD6679" i="2"/>
  <c r="AF6679" i="2" s="1"/>
  <c r="X6679" i="2"/>
  <c r="W6679" i="2"/>
  <c r="AH6678" i="2"/>
  <c r="AD6678" i="2"/>
  <c r="AF6678" i="2" s="1"/>
  <c r="X6678" i="2"/>
  <c r="W6678" i="2"/>
  <c r="V6677" i="2"/>
  <c r="AH6677" i="2"/>
  <c r="AH6676" i="2"/>
  <c r="AD6676" i="2"/>
  <c r="AF6676" i="2" s="1"/>
  <c r="X6676" i="2"/>
  <c r="W6676" i="2"/>
  <c r="AH6675" i="2"/>
  <c r="AD6675" i="2"/>
  <c r="AF6675" i="2" s="1"/>
  <c r="X6675" i="2"/>
  <c r="W6675" i="2"/>
  <c r="AH6674" i="2"/>
  <c r="AD6674" i="2"/>
  <c r="AF6674" i="2" s="1"/>
  <c r="X6674" i="2"/>
  <c r="W6674" i="2"/>
  <c r="AH6673" i="2"/>
  <c r="AD6673" i="2"/>
  <c r="AF6673" i="2" s="1"/>
  <c r="X6673" i="2"/>
  <c r="AC6673" i="2" s="1"/>
  <c r="W6673" i="2"/>
  <c r="AH6672" i="2"/>
  <c r="AD6672" i="2"/>
  <c r="AF6672" i="2" s="1"/>
  <c r="X6672" i="2"/>
  <c r="W6672" i="2"/>
  <c r="AH6671" i="2"/>
  <c r="AD6671" i="2"/>
  <c r="AF6671" i="2" s="1"/>
  <c r="X6671" i="2"/>
  <c r="W6671" i="2"/>
  <c r="AH6670" i="2"/>
  <c r="AD6670" i="2"/>
  <c r="AF6670" i="2" s="1"/>
  <c r="X6670" i="2"/>
  <c r="W6670" i="2"/>
  <c r="AH6669" i="2"/>
  <c r="AD6669" i="2"/>
  <c r="AF6669" i="2" s="1"/>
  <c r="X6669" i="2"/>
  <c r="AC6669" i="2" s="1"/>
  <c r="W6669" i="2"/>
  <c r="AH6668" i="2"/>
  <c r="AD6668" i="2"/>
  <c r="AF6668" i="2" s="1"/>
  <c r="X6668" i="2"/>
  <c r="W6668" i="2"/>
  <c r="AH6667" i="2"/>
  <c r="AD6667" i="2"/>
  <c r="AF6667" i="2" s="1"/>
  <c r="X6667" i="2"/>
  <c r="W6667" i="2"/>
  <c r="AH6666" i="2"/>
  <c r="AD6666" i="2"/>
  <c r="AF6666" i="2" s="1"/>
  <c r="X6666" i="2"/>
  <c r="W6666" i="2"/>
  <c r="AH6665" i="2"/>
  <c r="AD6665" i="2"/>
  <c r="AF6665" i="2" s="1"/>
  <c r="X6665" i="2"/>
  <c r="AC6665" i="2" s="1"/>
  <c r="W6665" i="2"/>
  <c r="AH6664" i="2"/>
  <c r="AD6664" i="2"/>
  <c r="AF6664" i="2" s="1"/>
  <c r="X6664" i="2"/>
  <c r="W6664" i="2"/>
  <c r="AH6663" i="2"/>
  <c r="AD6663" i="2"/>
  <c r="AF6663" i="2" s="1"/>
  <c r="X6663" i="2"/>
  <c r="W6663" i="2"/>
  <c r="AH6662" i="2"/>
  <c r="AD6662" i="2"/>
  <c r="AF6662" i="2" s="1"/>
  <c r="X6662" i="2"/>
  <c r="W6662" i="2"/>
  <c r="AH6661" i="2"/>
  <c r="AD6661" i="2"/>
  <c r="AF6661" i="2" s="1"/>
  <c r="X6661" i="2"/>
  <c r="AC6661" i="2" s="1"/>
  <c r="W6661" i="2"/>
  <c r="AH6660" i="2"/>
  <c r="AD6660" i="2"/>
  <c r="AF6660" i="2" s="1"/>
  <c r="X6660" i="2"/>
  <c r="W6660" i="2"/>
  <c r="AH6659" i="2"/>
  <c r="AD6659" i="2"/>
  <c r="AC6659" i="2"/>
  <c r="W6659" i="2"/>
  <c r="AH6658" i="2"/>
  <c r="AD6658" i="2"/>
  <c r="AF6658" i="2" s="1"/>
  <c r="X6658" i="2"/>
  <c r="W6658" i="2"/>
  <c r="AH6657" i="2"/>
  <c r="AD6657" i="2"/>
  <c r="AF6657" i="2" s="1"/>
  <c r="X6657" i="2"/>
  <c r="AC6657" i="2" s="1"/>
  <c r="W6657" i="2"/>
  <c r="AH6656" i="2"/>
  <c r="AD6656" i="2"/>
  <c r="AF6656" i="2" s="1"/>
  <c r="X6656" i="2"/>
  <c r="W6656" i="2"/>
  <c r="AH6655" i="2"/>
  <c r="AD6655" i="2"/>
  <c r="AF6655" i="2" s="1"/>
  <c r="X6655" i="2"/>
  <c r="AH6654" i="2"/>
  <c r="AD6654" i="2"/>
  <c r="AF6654" i="2" s="1"/>
  <c r="X6654" i="2"/>
  <c r="W6654" i="2"/>
  <c r="AH6653" i="2"/>
  <c r="AD6653" i="2"/>
  <c r="AF6653" i="2" s="1"/>
  <c r="X6653" i="2"/>
  <c r="W6653" i="2"/>
  <c r="AH6652" i="2"/>
  <c r="AD6652" i="2"/>
  <c r="AF6652" i="2" s="1"/>
  <c r="X6652" i="2"/>
  <c r="AC6652" i="2" s="1"/>
  <c r="W6652" i="2"/>
  <c r="AH6651" i="2"/>
  <c r="AD6651" i="2"/>
  <c r="AF6651" i="2" s="1"/>
  <c r="X6651" i="2"/>
  <c r="W6651" i="2"/>
  <c r="AH6650" i="2"/>
  <c r="AD6650" i="2"/>
  <c r="AF6650" i="2" s="1"/>
  <c r="X6650" i="2"/>
  <c r="W6650" i="2"/>
  <c r="AH6649" i="2"/>
  <c r="AD6649" i="2"/>
  <c r="AF6649" i="2" s="1"/>
  <c r="X6649" i="2"/>
  <c r="W6649" i="2"/>
  <c r="AH6648" i="2"/>
  <c r="AD6648" i="2"/>
  <c r="AF6648" i="2" s="1"/>
  <c r="X6648" i="2"/>
  <c r="AH6647" i="2"/>
  <c r="AD6647" i="2"/>
  <c r="AF6647" i="2" s="1"/>
  <c r="X6647" i="2"/>
  <c r="W6647" i="2"/>
  <c r="AH6646" i="2"/>
  <c r="AD6646" i="2"/>
  <c r="AF6646" i="2" s="1"/>
  <c r="X6646" i="2"/>
  <c r="AC6646" i="2" s="1"/>
  <c r="W6646" i="2"/>
  <c r="AH6645" i="2"/>
  <c r="AD6645" i="2"/>
  <c r="AF6645" i="2" s="1"/>
  <c r="X6645" i="2"/>
  <c r="AH6644" i="2"/>
  <c r="AD6644" i="2"/>
  <c r="AF6644" i="2" s="1"/>
  <c r="X6644" i="2"/>
  <c r="AC6644" i="2" s="1"/>
  <c r="W6644" i="2"/>
  <c r="AH6643" i="2"/>
  <c r="AD6643" i="2"/>
  <c r="AF6643" i="2" s="1"/>
  <c r="X6643" i="2"/>
  <c r="AC6643" i="2" s="1"/>
  <c r="W6643" i="2"/>
  <c r="AH6642" i="2"/>
  <c r="AD6642" i="2"/>
  <c r="AF6642" i="2" s="1"/>
  <c r="X6642" i="2"/>
  <c r="W6642" i="2"/>
  <c r="AH6641" i="2"/>
  <c r="AD6641" i="2"/>
  <c r="AF6641" i="2" s="1"/>
  <c r="X6641" i="2"/>
  <c r="W6641" i="2"/>
  <c r="AH6640" i="2"/>
  <c r="AD6640" i="2"/>
  <c r="AF6640" i="2" s="1"/>
  <c r="X6640" i="2"/>
  <c r="AC6640" i="2" s="1"/>
  <c r="W6640" i="2"/>
  <c r="AH6639" i="2"/>
  <c r="AD6639" i="2"/>
  <c r="AF6639" i="2" s="1"/>
  <c r="X6639" i="2"/>
  <c r="W6639" i="2"/>
  <c r="AH6638" i="2"/>
  <c r="AD6638" i="2"/>
  <c r="AF6638" i="2" s="1"/>
  <c r="X6638" i="2"/>
  <c r="R126" i="3" s="1"/>
  <c r="T126" i="3" s="1"/>
  <c r="U126" i="3" s="1"/>
  <c r="V126" i="3" s="1"/>
  <c r="W6638" i="2"/>
  <c r="AH6637" i="2"/>
  <c r="AD6637" i="2"/>
  <c r="AF6637" i="2" s="1"/>
  <c r="X6637" i="2"/>
  <c r="W6637" i="2"/>
  <c r="AH6636" i="2"/>
  <c r="AD6636" i="2"/>
  <c r="AF6636" i="2" s="1"/>
  <c r="X6636" i="2"/>
  <c r="AC6636" i="2" s="1"/>
  <c r="W6636" i="2"/>
  <c r="AH6635" i="2"/>
  <c r="AD6635" i="2"/>
  <c r="AF6635" i="2" s="1"/>
  <c r="X6635" i="2"/>
  <c r="AC6635" i="2" s="1"/>
  <c r="W6635" i="2"/>
  <c r="AH6634" i="2"/>
  <c r="AD6634" i="2"/>
  <c r="AF6634" i="2" s="1"/>
  <c r="X6634" i="2"/>
  <c r="R128" i="3" s="1"/>
  <c r="T128" i="3" s="1"/>
  <c r="U128" i="3" s="1"/>
  <c r="V128" i="3" s="1"/>
  <c r="AH6633" i="2"/>
  <c r="AD6633" i="2"/>
  <c r="AF6633" i="2" s="1"/>
  <c r="X6633" i="2"/>
  <c r="AC6633" i="2" s="1"/>
  <c r="W6633" i="2"/>
  <c r="AH6632" i="2"/>
  <c r="AD6632" i="2"/>
  <c r="AF6632" i="2" s="1"/>
  <c r="X6632" i="2"/>
  <c r="W6632" i="2"/>
  <c r="AH6631" i="2"/>
  <c r="AD6631" i="2"/>
  <c r="AF6631" i="2" s="1"/>
  <c r="X6631" i="2"/>
  <c r="AC6631" i="2" s="1"/>
  <c r="W6631" i="2"/>
  <c r="AH6630" i="2"/>
  <c r="AD6630" i="2"/>
  <c r="AF6630" i="2" s="1"/>
  <c r="X6630" i="2"/>
  <c r="W6630" i="2"/>
  <c r="AH6629" i="2"/>
  <c r="AD6629" i="2"/>
  <c r="AF6629" i="2" s="1"/>
  <c r="X6629" i="2"/>
  <c r="W6629" i="2"/>
  <c r="AH6628" i="2"/>
  <c r="AD6628" i="2"/>
  <c r="AF6628" i="2" s="1"/>
  <c r="X6628" i="2"/>
  <c r="W6628" i="2"/>
  <c r="AH6627" i="2"/>
  <c r="AD6627" i="2"/>
  <c r="AF6627" i="2" s="1"/>
  <c r="X6627" i="2"/>
  <c r="AC6627" i="2" s="1"/>
  <c r="W6627" i="2"/>
  <c r="AH6626" i="2"/>
  <c r="AD6626" i="2"/>
  <c r="AF6626" i="2" s="1"/>
  <c r="X6626" i="2"/>
  <c r="W6626" i="2"/>
  <c r="AH6625" i="2"/>
  <c r="AD6625" i="2"/>
  <c r="AF6625" i="2" s="1"/>
  <c r="X6625" i="2"/>
  <c r="AC6625" i="2" s="1"/>
  <c r="W6625" i="2"/>
  <c r="AH6624" i="2"/>
  <c r="AD6624" i="2"/>
  <c r="AF6624" i="2" s="1"/>
  <c r="X6624" i="2"/>
  <c r="W6624" i="2"/>
  <c r="AH6623" i="2"/>
  <c r="AD6623" i="2"/>
  <c r="AF6623" i="2" s="1"/>
  <c r="X6623" i="2"/>
  <c r="AC6623" i="2" s="1"/>
  <c r="W6623" i="2"/>
  <c r="AH6622" i="2"/>
  <c r="AD6622" i="2"/>
  <c r="AF6622" i="2" s="1"/>
  <c r="X6622" i="2"/>
  <c r="W6622" i="2"/>
  <c r="AH6621" i="2"/>
  <c r="AD6621" i="2"/>
  <c r="AF6621" i="2" s="1"/>
  <c r="X6621" i="2"/>
  <c r="W6621" i="2"/>
  <c r="AH6620" i="2"/>
  <c r="AD6620" i="2"/>
  <c r="AF6620" i="2" s="1"/>
  <c r="X6620" i="2"/>
  <c r="W6620" i="2"/>
  <c r="AH6619" i="2"/>
  <c r="AD6619" i="2"/>
  <c r="AF6619" i="2" s="1"/>
  <c r="X6619" i="2"/>
  <c r="AC6619" i="2" s="1"/>
  <c r="W6619" i="2"/>
  <c r="AH6618" i="2"/>
  <c r="AD6618" i="2"/>
  <c r="AF6618" i="2" s="1"/>
  <c r="X6618" i="2"/>
  <c r="W6618" i="2"/>
  <c r="AH6617" i="2"/>
  <c r="AD6617" i="2"/>
  <c r="AF6617" i="2" s="1"/>
  <c r="X6617" i="2"/>
  <c r="AC6617" i="2" s="1"/>
  <c r="W6617" i="2"/>
  <c r="AH6616" i="2"/>
  <c r="AD6616" i="2"/>
  <c r="AF6616" i="2" s="1"/>
  <c r="X6616" i="2"/>
  <c r="W6616" i="2"/>
  <c r="AH6615" i="2"/>
  <c r="AD6615" i="2"/>
  <c r="AF6615" i="2" s="1"/>
  <c r="X6615" i="2"/>
  <c r="W6615" i="2"/>
  <c r="V6614" i="2"/>
  <c r="AD6614" i="2"/>
  <c r="AF6614" i="2" s="1"/>
  <c r="AH6613" i="2"/>
  <c r="AD6613" i="2"/>
  <c r="AF6613" i="2" s="1"/>
  <c r="X6613" i="2"/>
  <c r="W6613" i="2"/>
  <c r="AH6612" i="2"/>
  <c r="AD6612" i="2"/>
  <c r="AF6612" i="2" s="1"/>
  <c r="X6612" i="2"/>
  <c r="W6612" i="2"/>
  <c r="AH6611" i="2"/>
  <c r="AD6611" i="2"/>
  <c r="AF6611" i="2" s="1"/>
  <c r="X6611" i="2"/>
  <c r="AC6611" i="2" s="1"/>
  <c r="W6611" i="2"/>
  <c r="AH6610" i="2"/>
  <c r="AD6610" i="2"/>
  <c r="AF6610" i="2" s="1"/>
  <c r="X6610" i="2"/>
  <c r="W6610" i="2"/>
  <c r="AH6609" i="2"/>
  <c r="AD6609" i="2"/>
  <c r="AF6609" i="2" s="1"/>
  <c r="X6609" i="2"/>
  <c r="W6609" i="2"/>
  <c r="AH6608" i="2"/>
  <c r="AD6608" i="2"/>
  <c r="AF6608" i="2" s="1"/>
  <c r="X6608" i="2"/>
  <c r="W6608" i="2"/>
  <c r="AH6607" i="2"/>
  <c r="AD6607" i="2"/>
  <c r="AF6607" i="2" s="1"/>
  <c r="X6607" i="2"/>
  <c r="AC6607" i="2" s="1"/>
  <c r="W6607" i="2"/>
  <c r="AH6606" i="2"/>
  <c r="AD6606" i="2"/>
  <c r="AF6606" i="2" s="1"/>
  <c r="X6606" i="2"/>
  <c r="W6606" i="2"/>
  <c r="AH6605" i="2"/>
  <c r="AD6605" i="2"/>
  <c r="AF6605" i="2" s="1"/>
  <c r="X6605" i="2"/>
  <c r="W6605" i="2"/>
  <c r="AH6604" i="2"/>
  <c r="AD6604" i="2"/>
  <c r="AF6604" i="2" s="1"/>
  <c r="X6604" i="2"/>
  <c r="W6604" i="2"/>
  <c r="AH6603" i="2"/>
  <c r="AD6603" i="2"/>
  <c r="AF6603" i="2" s="1"/>
  <c r="X6603" i="2"/>
  <c r="AC6603" i="2" s="1"/>
  <c r="W6603" i="2"/>
  <c r="AH6602" i="2"/>
  <c r="AD6602" i="2"/>
  <c r="AF6602" i="2" s="1"/>
  <c r="X6602" i="2"/>
  <c r="W6602" i="2"/>
  <c r="AH6601" i="2"/>
  <c r="AD6601" i="2"/>
  <c r="AF6601" i="2" s="1"/>
  <c r="X6601" i="2"/>
  <c r="W6601" i="2"/>
  <c r="AH6600" i="2"/>
  <c r="AD6600" i="2"/>
  <c r="AF6600" i="2" s="1"/>
  <c r="X6600" i="2"/>
  <c r="W6600" i="2"/>
  <c r="AH6599" i="2"/>
  <c r="AD6599" i="2"/>
  <c r="AF6599" i="2" s="1"/>
  <c r="X6599" i="2"/>
  <c r="W6599" i="2"/>
  <c r="AH6598" i="2"/>
  <c r="AD6598" i="2"/>
  <c r="AF6598" i="2" s="1"/>
  <c r="X6598" i="2"/>
  <c r="W6598" i="2"/>
  <c r="AH6597" i="2"/>
  <c r="AD6597" i="2"/>
  <c r="AF6597" i="2" s="1"/>
  <c r="X6597" i="2"/>
  <c r="W6597" i="2"/>
  <c r="AH6596" i="2"/>
  <c r="AD6596" i="2"/>
  <c r="AF6596" i="2" s="1"/>
  <c r="X6596" i="2"/>
  <c r="W6596" i="2"/>
  <c r="AH6595" i="2"/>
  <c r="AD6595" i="2"/>
  <c r="AF6595" i="2" s="1"/>
  <c r="X6595" i="2"/>
  <c r="AC6595" i="2" s="1"/>
  <c r="W6595" i="2"/>
  <c r="AH6594" i="2"/>
  <c r="AD6594" i="2"/>
  <c r="AF6594" i="2" s="1"/>
  <c r="X6594" i="2"/>
  <c r="W6594" i="2"/>
  <c r="AH6593" i="2"/>
  <c r="AD6593" i="2"/>
  <c r="AF6593" i="2" s="1"/>
  <c r="X6593" i="2"/>
  <c r="W6593" i="2"/>
  <c r="AH6592" i="2"/>
  <c r="AD6592" i="2"/>
  <c r="AF6592" i="2" s="1"/>
  <c r="X6592" i="2"/>
  <c r="W6592" i="2"/>
  <c r="AH6591" i="2"/>
  <c r="AD6591" i="2"/>
  <c r="AF6591" i="2" s="1"/>
  <c r="X6591" i="2"/>
  <c r="AC6591" i="2" s="1"/>
  <c r="W6591" i="2"/>
  <c r="AH6590" i="2"/>
  <c r="AD6590" i="2"/>
  <c r="AF6590" i="2" s="1"/>
  <c r="X6590" i="2"/>
  <c r="W6590" i="2"/>
  <c r="AH6589" i="2"/>
  <c r="AD6589" i="2"/>
  <c r="AF6589" i="2" s="1"/>
  <c r="X6589" i="2"/>
  <c r="W6589" i="2"/>
  <c r="AH6588" i="2"/>
  <c r="AD6588" i="2"/>
  <c r="AF6588" i="2" s="1"/>
  <c r="X6588" i="2"/>
  <c r="W6588" i="2"/>
  <c r="AH6587" i="2"/>
  <c r="AD6587" i="2"/>
  <c r="AF6587" i="2" s="1"/>
  <c r="X6587" i="2"/>
  <c r="AC6587" i="2" s="1"/>
  <c r="W6587" i="2"/>
  <c r="AH6586" i="2"/>
  <c r="AD6586" i="2"/>
  <c r="AF6586" i="2" s="1"/>
  <c r="X6586" i="2"/>
  <c r="W6586" i="2"/>
  <c r="AH6585" i="2"/>
  <c r="AD6585" i="2"/>
  <c r="AF6585" i="2" s="1"/>
  <c r="X6585" i="2"/>
  <c r="W6585" i="2"/>
  <c r="AH6584" i="2"/>
  <c r="AD6584" i="2"/>
  <c r="AF6584" i="2" s="1"/>
  <c r="X6584" i="2"/>
  <c r="W6584" i="2"/>
  <c r="AH6583" i="2"/>
  <c r="AD6583" i="2"/>
  <c r="AF6583" i="2" s="1"/>
  <c r="X6583" i="2"/>
  <c r="AC6583" i="2" s="1"/>
  <c r="AH6582" i="2"/>
  <c r="AD6582" i="2"/>
  <c r="AF6582" i="2" s="1"/>
  <c r="X6582" i="2"/>
  <c r="W6582" i="2"/>
  <c r="AH6581" i="2"/>
  <c r="AD6581" i="2"/>
  <c r="AF6581" i="2" s="1"/>
  <c r="X6581" i="2"/>
  <c r="AC6581" i="2" s="1"/>
  <c r="W6581" i="2"/>
  <c r="AH6580" i="2"/>
  <c r="AD6580" i="2"/>
  <c r="AF6580" i="2" s="1"/>
  <c r="X6580" i="2"/>
  <c r="W6580" i="2"/>
  <c r="AH6579" i="2"/>
  <c r="AD6579" i="2"/>
  <c r="AF6579" i="2" s="1"/>
  <c r="X6579" i="2"/>
  <c r="Y6579" i="2" s="1"/>
  <c r="W6579" i="2"/>
  <c r="AH6578" i="2"/>
  <c r="AD6578" i="2"/>
  <c r="AF6578" i="2" s="1"/>
  <c r="X6578" i="2"/>
  <c r="W6578" i="2"/>
  <c r="AH6577" i="2"/>
  <c r="AD6577" i="2"/>
  <c r="AF6577" i="2" s="1"/>
  <c r="X6577" i="2"/>
  <c r="AC6577" i="2" s="1"/>
  <c r="W6577" i="2"/>
  <c r="AH6576" i="2"/>
  <c r="AD6576" i="2"/>
  <c r="AF6576" i="2" s="1"/>
  <c r="X6576" i="2"/>
  <c r="W6576" i="2"/>
  <c r="AH6575" i="2"/>
  <c r="AD6575" i="2"/>
  <c r="AF6575" i="2" s="1"/>
  <c r="X6575" i="2"/>
  <c r="Y6575" i="2" s="1"/>
  <c r="W6575" i="2"/>
  <c r="AH6574" i="2"/>
  <c r="AD6574" i="2"/>
  <c r="AF6574" i="2" s="1"/>
  <c r="X6574" i="2"/>
  <c r="W6574" i="2"/>
  <c r="AH6573" i="2"/>
  <c r="AD6573" i="2"/>
  <c r="AF6573" i="2" s="1"/>
  <c r="X6573" i="2"/>
  <c r="Y6573" i="2" s="1"/>
  <c r="W6573" i="2"/>
  <c r="AH6572" i="2"/>
  <c r="AD6572" i="2"/>
  <c r="AF6572" i="2" s="1"/>
  <c r="X6572" i="2"/>
  <c r="W6572" i="2"/>
  <c r="AH6571" i="2"/>
  <c r="AD6571" i="2"/>
  <c r="AF6571" i="2" s="1"/>
  <c r="X6571" i="2"/>
  <c r="W6571" i="2"/>
  <c r="AH6570" i="2"/>
  <c r="AD6570" i="2"/>
  <c r="AF6570" i="2" s="1"/>
  <c r="X6570" i="2"/>
  <c r="W6570" i="2"/>
  <c r="AH6569" i="2"/>
  <c r="AD6569" i="2"/>
  <c r="AF6569" i="2" s="1"/>
  <c r="X6569" i="2"/>
  <c r="AC6569" i="2" s="1"/>
  <c r="W6569" i="2"/>
  <c r="AH6568" i="2"/>
  <c r="AD6568" i="2"/>
  <c r="AF6568" i="2" s="1"/>
  <c r="X6568" i="2"/>
  <c r="AK6568" i="2" s="1"/>
  <c r="W6568" i="2"/>
  <c r="AH6567" i="2"/>
  <c r="AD6567" i="2"/>
  <c r="AF6567" i="2" s="1"/>
  <c r="X6567" i="2"/>
  <c r="AB6567" i="2" s="1"/>
  <c r="AK6567" i="2" s="1"/>
  <c r="W6567" i="2"/>
  <c r="AH6566" i="2"/>
  <c r="AD6566" i="2"/>
  <c r="AF6566" i="2" s="1"/>
  <c r="X6566" i="2"/>
  <c r="W6566" i="2"/>
  <c r="AH6565" i="2"/>
  <c r="AD6565" i="2"/>
  <c r="AF6565" i="2" s="1"/>
  <c r="X6565" i="2"/>
  <c r="AB6565" i="2" s="1"/>
  <c r="AK6565" i="2" s="1"/>
  <c r="W6565" i="2"/>
  <c r="AH6564" i="2"/>
  <c r="AD6564" i="2"/>
  <c r="AF6564" i="2" s="1"/>
  <c r="X6564" i="2"/>
  <c r="W6564" i="2"/>
  <c r="AH6563" i="2"/>
  <c r="AD6563" i="2"/>
  <c r="AF6563" i="2" s="1"/>
  <c r="X6563" i="2"/>
  <c r="W6563" i="2"/>
  <c r="AH6562" i="2"/>
  <c r="AD6562" i="2"/>
  <c r="AF6562" i="2" s="1"/>
  <c r="X6562" i="2"/>
  <c r="W6562" i="2"/>
  <c r="AH6561" i="2"/>
  <c r="AD6561" i="2"/>
  <c r="AF6561" i="2" s="1"/>
  <c r="X6561" i="2"/>
  <c r="AC6561" i="2" s="1"/>
  <c r="W6561" i="2"/>
  <c r="AH6560" i="2"/>
  <c r="AD6560" i="2"/>
  <c r="AF6560" i="2" s="1"/>
  <c r="X6560" i="2"/>
  <c r="W6560" i="2"/>
  <c r="AH6559" i="2"/>
  <c r="AD6559" i="2"/>
  <c r="AF6559" i="2" s="1"/>
  <c r="X6559" i="2"/>
  <c r="W6559" i="2"/>
  <c r="AH6558" i="2"/>
  <c r="AD6558" i="2"/>
  <c r="AF6558" i="2" s="1"/>
  <c r="X6558" i="2"/>
  <c r="W6558" i="2"/>
  <c r="AH6557" i="2"/>
  <c r="AD6557" i="2"/>
  <c r="AF6557" i="2" s="1"/>
  <c r="X6557" i="2"/>
  <c r="R125" i="3" s="1"/>
  <c r="T125" i="3" s="1"/>
  <c r="U125" i="3" s="1"/>
  <c r="V125" i="3" s="1"/>
  <c r="W6557" i="2"/>
  <c r="AH6556" i="2"/>
  <c r="AD6556" i="2"/>
  <c r="AF6556" i="2" s="1"/>
  <c r="X6556" i="2"/>
  <c r="AK6556" i="2" s="1"/>
  <c r="W6556" i="2"/>
  <c r="AH6555" i="2"/>
  <c r="AD6555" i="2"/>
  <c r="AF6555" i="2" s="1"/>
  <c r="X6555" i="2"/>
  <c r="AB6555" i="2" s="1"/>
  <c r="AK6555" i="2" s="1"/>
  <c r="W6555" i="2"/>
  <c r="AH6554" i="2"/>
  <c r="AD6554" i="2"/>
  <c r="AF6554" i="2" s="1"/>
  <c r="X6554" i="2"/>
  <c r="W6554" i="2"/>
  <c r="AH6553" i="2"/>
  <c r="AD6553" i="2"/>
  <c r="AF6553" i="2" s="1"/>
  <c r="X6553" i="2"/>
  <c r="AC6553" i="2" s="1"/>
  <c r="W6553" i="2"/>
  <c r="AH6552" i="2"/>
  <c r="AD6552" i="2"/>
  <c r="AF6552" i="2" s="1"/>
  <c r="X6552" i="2"/>
  <c r="W6552" i="2"/>
  <c r="AH6551" i="2"/>
  <c r="AD6551" i="2"/>
  <c r="AF6551" i="2" s="1"/>
  <c r="X6551" i="2"/>
  <c r="AB6551" i="2" s="1"/>
  <c r="AK6551" i="2" s="1"/>
  <c r="W6551" i="2"/>
  <c r="AH6550" i="2"/>
  <c r="AD6550" i="2"/>
  <c r="AF6550" i="2"/>
  <c r="X6550" i="2"/>
  <c r="W6550" i="2"/>
  <c r="AH6549" i="2"/>
  <c r="AD6549" i="2"/>
  <c r="AF6549" i="2" s="1"/>
  <c r="X6549" i="2"/>
  <c r="W6549" i="2"/>
  <c r="AH6548" i="2"/>
  <c r="AD6548" i="2"/>
  <c r="AF6548" i="2" s="1"/>
  <c r="X6548" i="2"/>
  <c r="W6548" i="2"/>
  <c r="AH6547" i="2"/>
  <c r="AD6547" i="2"/>
  <c r="AF6547" i="2" s="1"/>
  <c r="X6547" i="2"/>
  <c r="W6547" i="2"/>
  <c r="AH6546" i="2"/>
  <c r="AD6546" i="2"/>
  <c r="AF6546" i="2" s="1"/>
  <c r="X6546" i="2"/>
  <c r="AB6546" i="2" s="1"/>
  <c r="AK6546" i="2" s="1"/>
  <c r="W6546" i="2"/>
  <c r="AH6545" i="2"/>
  <c r="AD6545" i="2"/>
  <c r="AF6545" i="2" s="1"/>
  <c r="X6545" i="2"/>
  <c r="W6545" i="2"/>
  <c r="AH6544" i="2"/>
  <c r="AD6544" i="2"/>
  <c r="AF6544" i="2" s="1"/>
  <c r="X6544" i="2"/>
  <c r="W6544" i="2"/>
  <c r="AH6543" i="2"/>
  <c r="AD6543" i="2"/>
  <c r="AF6543" i="2" s="1"/>
  <c r="X6543" i="2"/>
  <c r="W6543" i="2"/>
  <c r="AH6542" i="2"/>
  <c r="AD6542" i="2"/>
  <c r="AF6542" i="2" s="1"/>
  <c r="X6542" i="2"/>
  <c r="W6542" i="2"/>
  <c r="AH6541" i="2"/>
  <c r="AD6541" i="2"/>
  <c r="AF6541" i="2" s="1"/>
  <c r="X6541" i="2"/>
  <c r="W6541" i="2"/>
  <c r="AH6540" i="2"/>
  <c r="AD6540" i="2"/>
  <c r="AF6540" i="2" s="1"/>
  <c r="X6540" i="2"/>
  <c r="W6540" i="2"/>
  <c r="AH6539" i="2"/>
  <c r="AD6539" i="2"/>
  <c r="AF6539" i="2" s="1"/>
  <c r="X6539" i="2"/>
  <c r="W6539" i="2"/>
  <c r="AH6538" i="2"/>
  <c r="AD6538" i="2"/>
  <c r="AF6538" i="2" s="1"/>
  <c r="X6538" i="2"/>
  <c r="W6538" i="2"/>
  <c r="AH6537" i="2"/>
  <c r="AD6537" i="2"/>
  <c r="AF6537" i="2" s="1"/>
  <c r="X6537" i="2"/>
  <c r="W6537" i="2"/>
  <c r="AH6536" i="2"/>
  <c r="AD6536" i="2"/>
  <c r="AF6536" i="2" s="1"/>
  <c r="X6536" i="2"/>
  <c r="W6536" i="2"/>
  <c r="AH6535" i="2"/>
  <c r="AD6535" i="2"/>
  <c r="AF6535" i="2" s="1"/>
  <c r="X6535" i="2"/>
  <c r="W6535" i="2"/>
  <c r="AH6534" i="2"/>
  <c r="AD6534" i="2"/>
  <c r="AF6534" i="2" s="1"/>
  <c r="X6534" i="2"/>
  <c r="W6534" i="2"/>
  <c r="AH6533" i="2"/>
  <c r="AD6533" i="2"/>
  <c r="AF6533" i="2" s="1"/>
  <c r="X6533" i="2"/>
  <c r="W6533" i="2"/>
  <c r="AH6532" i="2"/>
  <c r="AD6532" i="2"/>
  <c r="AF6532" i="2" s="1"/>
  <c r="X6532" i="2"/>
  <c r="W6532" i="2"/>
  <c r="AH6531" i="2"/>
  <c r="AD6531" i="2"/>
  <c r="AF6531" i="2" s="1"/>
  <c r="X6531" i="2"/>
  <c r="W6531" i="2"/>
  <c r="AH6530" i="2"/>
  <c r="AD6530" i="2"/>
  <c r="AF6530" i="2" s="1"/>
  <c r="X6530" i="2"/>
  <c r="W6530" i="2"/>
  <c r="AH6529" i="2"/>
  <c r="AD6529" i="2"/>
  <c r="AF6529" i="2" s="1"/>
  <c r="X6529" i="2"/>
  <c r="W6529" i="2"/>
  <c r="AH6528" i="2"/>
  <c r="AD6528" i="2"/>
  <c r="AF6528" i="2" s="1"/>
  <c r="X6528" i="2"/>
  <c r="W6528" i="2"/>
  <c r="AH6527" i="2"/>
  <c r="AD6527" i="2"/>
  <c r="AF6527" i="2" s="1"/>
  <c r="X6527" i="2"/>
  <c r="W6527" i="2"/>
  <c r="AH6526" i="2"/>
  <c r="AD6526" i="2"/>
  <c r="AF6526" i="2" s="1"/>
  <c r="X6526" i="2"/>
  <c r="W6526" i="2"/>
  <c r="AH6525" i="2"/>
  <c r="AD6525" i="2"/>
  <c r="AF6525" i="2" s="1"/>
  <c r="X6525" i="2"/>
  <c r="W6525" i="2"/>
  <c r="AH6524" i="2"/>
  <c r="AD6524" i="2"/>
  <c r="AF6524" i="2" s="1"/>
  <c r="X6524" i="2"/>
  <c r="W6524" i="2"/>
  <c r="AH6523" i="2"/>
  <c r="AD6523" i="2"/>
  <c r="AF6523" i="2" s="1"/>
  <c r="X6523" i="2"/>
  <c r="W6523" i="2"/>
  <c r="AH6522" i="2"/>
  <c r="AD6522" i="2"/>
  <c r="AF6522" i="2" s="1"/>
  <c r="X6522" i="2"/>
  <c r="W6522" i="2"/>
  <c r="AH6521" i="2"/>
  <c r="AD6521" i="2"/>
  <c r="AF6521" i="2" s="1"/>
  <c r="X6521" i="2"/>
  <c r="AC6521" i="2" s="1"/>
  <c r="W6521" i="2"/>
  <c r="AH6520" i="2"/>
  <c r="AD6520" i="2"/>
  <c r="AF6520" i="2" s="1"/>
  <c r="X6520" i="2"/>
  <c r="W6520" i="2"/>
  <c r="AH6519" i="2"/>
  <c r="AD6519" i="2"/>
  <c r="AF6519" i="2" s="1"/>
  <c r="X6519" i="2"/>
  <c r="W6519" i="2"/>
  <c r="AH6518" i="2"/>
  <c r="AD6518" i="2"/>
  <c r="AF6518" i="2" s="1"/>
  <c r="X6518" i="2"/>
  <c r="W6518" i="2"/>
  <c r="AH6517" i="2"/>
  <c r="AD6517" i="2"/>
  <c r="AF6517" i="2" s="1"/>
  <c r="X6517" i="2"/>
  <c r="W6517" i="2"/>
  <c r="AH6516" i="2"/>
  <c r="AD6516" i="2"/>
  <c r="AF6516" i="2" s="1"/>
  <c r="X6516" i="2"/>
  <c r="W6516" i="2"/>
  <c r="AH6515" i="2"/>
  <c r="AD6515" i="2"/>
  <c r="AF6515" i="2" s="1"/>
  <c r="X6515" i="2"/>
  <c r="W6515" i="2"/>
  <c r="AH6514" i="2"/>
  <c r="AD6514" i="2"/>
  <c r="AF6514" i="2" s="1"/>
  <c r="X6514" i="2"/>
  <c r="W6514" i="2"/>
  <c r="AH6513" i="2"/>
  <c r="AD6513" i="2"/>
  <c r="AF6513" i="2" s="1"/>
  <c r="X6513" i="2"/>
  <c r="W6513" i="2"/>
  <c r="AH6512" i="2"/>
  <c r="AD6512" i="2"/>
  <c r="AF6512" i="2" s="1"/>
  <c r="X6512" i="2"/>
  <c r="W6512" i="2"/>
  <c r="AH6511" i="2"/>
  <c r="AD6511" i="2"/>
  <c r="AF6511" i="2" s="1"/>
  <c r="X6511" i="2"/>
  <c r="AH6510" i="2"/>
  <c r="AD6510" i="2"/>
  <c r="AF6510" i="2" s="1"/>
  <c r="X6510" i="2"/>
  <c r="W6510" i="2"/>
  <c r="AH6509" i="2"/>
  <c r="AD6509" i="2"/>
  <c r="AF6509" i="2" s="1"/>
  <c r="X6509" i="2"/>
  <c r="AC6509" i="2" s="1"/>
  <c r="W6509" i="2"/>
  <c r="AH6508" i="2"/>
  <c r="AD6508" i="2"/>
  <c r="AF6508" i="2" s="1"/>
  <c r="X6508" i="2"/>
  <c r="AC6508" i="2" s="1"/>
  <c r="W6508" i="2"/>
  <c r="AH6507" i="2"/>
  <c r="AD6507" i="2"/>
  <c r="AF6507" i="2" s="1"/>
  <c r="X6507" i="2"/>
  <c r="R123" i="3" s="1"/>
  <c r="T123" i="3" s="1"/>
  <c r="U123" i="3" s="1"/>
  <c r="V123" i="3" s="1"/>
  <c r="W6507" i="2"/>
  <c r="AH6506" i="2"/>
  <c r="AD6506" i="2"/>
  <c r="AF6506" i="2" s="1"/>
  <c r="X6506" i="2"/>
  <c r="W6506" i="2"/>
  <c r="AH6505" i="2"/>
  <c r="AD6505" i="2"/>
  <c r="AF6505" i="2" s="1"/>
  <c r="X6505" i="2"/>
  <c r="AC6505" i="2" s="1"/>
  <c r="W6505" i="2"/>
  <c r="AH6504" i="2"/>
  <c r="AD6504" i="2"/>
  <c r="AF6504" i="2" s="1"/>
  <c r="X6504" i="2"/>
  <c r="AC6504" i="2" s="1"/>
  <c r="W6504" i="2"/>
  <c r="AH6503" i="2"/>
  <c r="AD6503" i="2"/>
  <c r="AF6503" i="2" s="1"/>
  <c r="X6503" i="2"/>
  <c r="AC6503" i="2" s="1"/>
  <c r="W6503" i="2"/>
  <c r="AH6502" i="2"/>
  <c r="AD6502" i="2"/>
  <c r="AF6502" i="2" s="1"/>
  <c r="X6502" i="2"/>
  <c r="W6502" i="2"/>
  <c r="AH6501" i="2"/>
  <c r="AD6501" i="2"/>
  <c r="AF6501" i="2" s="1"/>
  <c r="X6501" i="2"/>
  <c r="AC6501" i="2" s="1"/>
  <c r="W6501" i="2"/>
  <c r="AH6500" i="2"/>
  <c r="AD6500" i="2"/>
  <c r="AF6500" i="2" s="1"/>
  <c r="X6500" i="2"/>
  <c r="AC6500" i="2" s="1"/>
  <c r="W6500" i="2"/>
  <c r="AH6499" i="2"/>
  <c r="AD6499" i="2"/>
  <c r="AF6499" i="2" s="1"/>
  <c r="X6499" i="2"/>
  <c r="AB6499" i="2" s="1"/>
  <c r="AK6499" i="2" s="1"/>
  <c r="W6499" i="2"/>
  <c r="AH6498" i="2"/>
  <c r="AD6498" i="2"/>
  <c r="AF6498" i="2" s="1"/>
  <c r="X6498" i="2"/>
  <c r="W6498" i="2"/>
  <c r="AH6497" i="2"/>
  <c r="AD6497" i="2"/>
  <c r="AF6497" i="2" s="1"/>
  <c r="X6497" i="2"/>
  <c r="AC6497" i="2" s="1"/>
  <c r="W6497" i="2"/>
  <c r="AH6496" i="2"/>
  <c r="AD6496" i="2"/>
  <c r="AF6496" i="2" s="1"/>
  <c r="X6496" i="2"/>
  <c r="AC6496" i="2" s="1"/>
  <c r="W6496" i="2"/>
  <c r="AH6495" i="2"/>
  <c r="AD6495" i="2"/>
  <c r="AF6495" i="2" s="1"/>
  <c r="X6495" i="2"/>
  <c r="Y6495" i="2" s="1"/>
  <c r="W6495" i="2"/>
  <c r="AH6494" i="2"/>
  <c r="AD6494" i="2"/>
  <c r="AF6494" i="2" s="1"/>
  <c r="X6494" i="2"/>
  <c r="W6494" i="2"/>
  <c r="AH6493" i="2"/>
  <c r="AD6493" i="2"/>
  <c r="AF6493" i="2" s="1"/>
  <c r="X6493" i="2"/>
  <c r="AC6493" i="2" s="1"/>
  <c r="W6493" i="2"/>
  <c r="AH6492" i="2"/>
  <c r="AD6492" i="2"/>
  <c r="AF6492" i="2" s="1"/>
  <c r="X6492" i="2"/>
  <c r="AC6492" i="2" s="1"/>
  <c r="W6492" i="2"/>
  <c r="AH6491" i="2"/>
  <c r="AD6491" i="2"/>
  <c r="AF6491" i="2" s="1"/>
  <c r="X6491" i="2"/>
  <c r="AB6491" i="2" s="1"/>
  <c r="AK6491" i="2" s="1"/>
  <c r="W6491" i="2"/>
  <c r="AH6490" i="2"/>
  <c r="AD6490" i="2"/>
  <c r="AF6490" i="2" s="1"/>
  <c r="X6490" i="2"/>
  <c r="W6490" i="2"/>
  <c r="AH6489" i="2"/>
  <c r="AD6489" i="2"/>
  <c r="AF6489" i="2" s="1"/>
  <c r="X6489" i="2"/>
  <c r="AC6489" i="2" s="1"/>
  <c r="AH6488" i="2"/>
  <c r="AD6488" i="2"/>
  <c r="AF6488" i="2" s="1"/>
  <c r="X6488" i="2"/>
  <c r="W6488" i="2"/>
  <c r="AH6487" i="2"/>
  <c r="AD6487" i="2"/>
  <c r="AF6487" i="2" s="1"/>
  <c r="X6487" i="2"/>
  <c r="W6487" i="2"/>
  <c r="AH6486" i="2"/>
  <c r="AD6486" i="2"/>
  <c r="AF6486" i="2" s="1"/>
  <c r="X6486" i="2"/>
  <c r="AC6486" i="2" s="1"/>
  <c r="W6486" i="2"/>
  <c r="AH6485" i="2"/>
  <c r="AD6485" i="2"/>
  <c r="AF6485" i="2" s="1"/>
  <c r="X6485" i="2"/>
  <c r="W6485" i="2"/>
  <c r="AH6484" i="2"/>
  <c r="AD6484" i="2"/>
  <c r="AF6484" i="2" s="1"/>
  <c r="X6484" i="2"/>
  <c r="AC6484" i="2" s="1"/>
  <c r="W6484" i="2"/>
  <c r="AH6483" i="2"/>
  <c r="AD6483" i="2"/>
  <c r="AF6483" i="2" s="1"/>
  <c r="X6483" i="2"/>
  <c r="W6483" i="2"/>
  <c r="AH6482" i="2"/>
  <c r="AD6482" i="2"/>
  <c r="AF6482" i="2" s="1"/>
  <c r="X6482" i="2"/>
  <c r="W6482" i="2"/>
  <c r="AH6481" i="2"/>
  <c r="AD6481" i="2"/>
  <c r="AF6481" i="2" s="1"/>
  <c r="X6481" i="2"/>
  <c r="W6481" i="2"/>
  <c r="AH6480" i="2"/>
  <c r="AD6480" i="2"/>
  <c r="AF6480" i="2" s="1"/>
  <c r="X6480" i="2"/>
  <c r="W6480" i="2"/>
  <c r="AH6479" i="2"/>
  <c r="AD6479" i="2"/>
  <c r="AF6479" i="2" s="1"/>
  <c r="X6479" i="2"/>
  <c r="W6479" i="2"/>
  <c r="AH6478" i="2"/>
  <c r="AD6478" i="2"/>
  <c r="AF6478" i="2" s="1"/>
  <c r="X6478" i="2"/>
  <c r="AC6478" i="2" s="1"/>
  <c r="AH6477" i="2"/>
  <c r="AD6477" i="2"/>
  <c r="AF6477" i="2" s="1"/>
  <c r="X6477" i="2"/>
  <c r="AC6477" i="2" s="1"/>
  <c r="W6477" i="2"/>
  <c r="AH6476" i="2"/>
  <c r="AD6476" i="2"/>
  <c r="AF6476" i="2" s="1"/>
  <c r="X6476" i="2"/>
  <c r="W6476" i="2"/>
  <c r="AH6475" i="2"/>
  <c r="AD6475" i="2"/>
  <c r="AF6475" i="2" s="1"/>
  <c r="X6475" i="2"/>
  <c r="W6475" i="2"/>
  <c r="AH6474" i="2"/>
  <c r="AD6474" i="2"/>
  <c r="AF6474" i="2" s="1"/>
  <c r="X6474" i="2"/>
  <c r="W6474" i="2"/>
  <c r="AH6473" i="2"/>
  <c r="AD6473" i="2"/>
  <c r="AF6473" i="2" s="1"/>
  <c r="X6473" i="2"/>
  <c r="W6473" i="2"/>
  <c r="AH6472" i="2"/>
  <c r="AD6472" i="2"/>
  <c r="AF6472" i="2" s="1"/>
  <c r="X6472" i="2"/>
  <c r="W6472" i="2"/>
  <c r="AH6471" i="2"/>
  <c r="AD6471" i="2"/>
  <c r="AF6471" i="2" s="1"/>
  <c r="X6471" i="2"/>
  <c r="W6471" i="2"/>
  <c r="AH6470" i="2"/>
  <c r="AD6470" i="2"/>
  <c r="AF6470" i="2" s="1"/>
  <c r="X6470" i="2"/>
  <c r="W6470" i="2"/>
  <c r="AH6469" i="2"/>
  <c r="AD6469" i="2"/>
  <c r="AF6469" i="2" s="1"/>
  <c r="X6469" i="2"/>
  <c r="AC6469" i="2" s="1"/>
  <c r="W6469" i="2"/>
  <c r="AH6468" i="2"/>
  <c r="AD6468" i="2"/>
  <c r="AF6468" i="2" s="1"/>
  <c r="X6468" i="2"/>
  <c r="W6468" i="2"/>
  <c r="AH6467" i="2"/>
  <c r="AD6467" i="2"/>
  <c r="AF6467" i="2" s="1"/>
  <c r="X6467" i="2"/>
  <c r="W6467" i="2"/>
  <c r="AH6466" i="2"/>
  <c r="AD6466" i="2"/>
  <c r="AF6466" i="2" s="1"/>
  <c r="X6466" i="2"/>
  <c r="W6466" i="2"/>
  <c r="AH6465" i="2"/>
  <c r="AD6465" i="2"/>
  <c r="AF6465" i="2" s="1"/>
  <c r="X6465" i="2"/>
  <c r="W6465" i="2"/>
  <c r="AH6464" i="2"/>
  <c r="AD6464" i="2"/>
  <c r="AF6464" i="2" s="1"/>
  <c r="X6464" i="2"/>
  <c r="W6464" i="2"/>
  <c r="AH6463" i="2"/>
  <c r="AD6463" i="2"/>
  <c r="AF6463" i="2" s="1"/>
  <c r="X6463" i="2"/>
  <c r="W6463" i="2"/>
  <c r="AH6462" i="2"/>
  <c r="AD6462" i="2"/>
  <c r="AF6462" i="2" s="1"/>
  <c r="X6462" i="2"/>
  <c r="W6462" i="2"/>
  <c r="AH6461" i="2"/>
  <c r="AD6461" i="2"/>
  <c r="AF6461" i="2" s="1"/>
  <c r="X6461" i="2"/>
  <c r="W6461" i="2"/>
  <c r="AH6460" i="2"/>
  <c r="AD6460" i="2"/>
  <c r="AF6460" i="2" s="1"/>
  <c r="X6460" i="2"/>
  <c r="W6460" i="2"/>
  <c r="AH6459" i="2"/>
  <c r="AD6459" i="2"/>
  <c r="AF6459" i="2" s="1"/>
  <c r="X6459" i="2"/>
  <c r="W6459" i="2"/>
  <c r="AH6458" i="2"/>
  <c r="AD6458" i="2"/>
  <c r="AF6458" i="2" s="1"/>
  <c r="X6458" i="2"/>
  <c r="W6458" i="2"/>
  <c r="AH6457" i="2"/>
  <c r="AD6457" i="2"/>
  <c r="AF6457" i="2" s="1"/>
  <c r="X6457" i="2"/>
  <c r="AC6457" i="2" s="1"/>
  <c r="W6457" i="2"/>
  <c r="AH6456" i="2"/>
  <c r="AD6456" i="2"/>
  <c r="AF6456" i="2" s="1"/>
  <c r="X6456" i="2"/>
  <c r="W6456" i="2"/>
  <c r="AH6455" i="2"/>
  <c r="AD6455" i="2"/>
  <c r="AF6455" i="2" s="1"/>
  <c r="X6455" i="2"/>
  <c r="AH6454" i="2"/>
  <c r="AD6454" i="2"/>
  <c r="AF6454" i="2" s="1"/>
  <c r="X6454" i="2"/>
  <c r="W6454" i="2"/>
  <c r="AH6453" i="2"/>
  <c r="AD6453" i="2"/>
  <c r="AF6453" i="2" s="1"/>
  <c r="X6453" i="2"/>
  <c r="W6453" i="2"/>
  <c r="AH6452" i="2"/>
  <c r="AD6452" i="2"/>
  <c r="AF6452" i="2" s="1"/>
  <c r="X6452" i="2"/>
  <c r="W6452" i="2"/>
  <c r="AH6451" i="2"/>
  <c r="AD6451" i="2"/>
  <c r="AF6451" i="2" s="1"/>
  <c r="X6451" i="2"/>
  <c r="W6451" i="2"/>
  <c r="AH6450" i="2"/>
  <c r="AD6450" i="2"/>
  <c r="AF6450" i="2" s="1"/>
  <c r="X6450" i="2"/>
  <c r="W6450" i="2"/>
  <c r="AH6449" i="2"/>
  <c r="AD6449" i="2"/>
  <c r="AF6449" i="2" s="1"/>
  <c r="X6449" i="2"/>
  <c r="W6449" i="2"/>
  <c r="AH6448" i="2"/>
  <c r="AD6448" i="2"/>
  <c r="AF6448" i="2" s="1"/>
  <c r="X6448" i="2"/>
  <c r="W6448" i="2"/>
  <c r="AH6447" i="2"/>
  <c r="AD6447" i="2"/>
  <c r="AF6447" i="2" s="1"/>
  <c r="X6447" i="2"/>
  <c r="W6447" i="2"/>
  <c r="AH6446" i="2"/>
  <c r="AD6446" i="2"/>
  <c r="AF6446" i="2" s="1"/>
  <c r="X6446" i="2"/>
  <c r="W6446" i="2"/>
  <c r="AH6445" i="2"/>
  <c r="AD6445" i="2"/>
  <c r="AF6445" i="2" s="1"/>
  <c r="X6445" i="2"/>
  <c r="W6445" i="2"/>
  <c r="AH6444" i="2"/>
  <c r="AD6444" i="2"/>
  <c r="AF6444" i="2" s="1"/>
  <c r="X6444" i="2"/>
  <c r="W6444" i="2"/>
  <c r="AH6443" i="2"/>
  <c r="AD6443" i="2"/>
  <c r="AF6443" i="2" s="1"/>
  <c r="X6443" i="2"/>
  <c r="W6443" i="2"/>
  <c r="AH6442" i="2"/>
  <c r="AD6442" i="2"/>
  <c r="AF6442" i="2" s="1"/>
  <c r="X6442" i="2"/>
  <c r="W6442" i="2"/>
  <c r="AH6441" i="2"/>
  <c r="AD6441" i="2"/>
  <c r="AF6441" i="2" s="1"/>
  <c r="X6441" i="2"/>
  <c r="W6441" i="2"/>
  <c r="AH6440" i="2"/>
  <c r="AD6440" i="2"/>
  <c r="AF6440" i="2" s="1"/>
  <c r="X6440" i="2"/>
  <c r="W6440" i="2"/>
  <c r="AH6439" i="2"/>
  <c r="AD6439" i="2"/>
  <c r="AF6439" i="2" s="1"/>
  <c r="X6439" i="2"/>
  <c r="W6439" i="2"/>
  <c r="AH6438" i="2"/>
  <c r="AD6438" i="2"/>
  <c r="AF6438" i="2" s="1"/>
  <c r="X6438" i="2"/>
  <c r="W6438" i="2"/>
  <c r="AH6437" i="2"/>
  <c r="AD6437" i="2"/>
  <c r="AF6437" i="2" s="1"/>
  <c r="X6437" i="2"/>
  <c r="W6437" i="2"/>
  <c r="AH6436" i="2"/>
  <c r="AD6436" i="2"/>
  <c r="AF6436" i="2" s="1"/>
  <c r="X6436" i="2"/>
  <c r="W6436" i="2"/>
  <c r="AH6435" i="2"/>
  <c r="AD6435" i="2"/>
  <c r="AF6435" i="2" s="1"/>
  <c r="X6435" i="2"/>
  <c r="W6435" i="2"/>
  <c r="AH6434" i="2"/>
  <c r="AD6434" i="2"/>
  <c r="AF6434" i="2" s="1"/>
  <c r="X6434" i="2"/>
  <c r="W6434" i="2"/>
  <c r="AH6433" i="2"/>
  <c r="AD6433" i="2"/>
  <c r="AF6433" i="2" s="1"/>
  <c r="X6433" i="2"/>
  <c r="W6433" i="2"/>
  <c r="AH6432" i="2"/>
  <c r="AD6432" i="2"/>
  <c r="AF6432" i="2" s="1"/>
  <c r="X6432" i="2"/>
  <c r="W6432" i="2"/>
  <c r="AH6431" i="2"/>
  <c r="AD6431" i="2"/>
  <c r="AF6431" i="2" s="1"/>
  <c r="X6431" i="2"/>
  <c r="AC6431" i="2" s="1"/>
  <c r="W6431" i="2"/>
  <c r="AH6430" i="2"/>
  <c r="AD6430" i="2"/>
  <c r="AF6430" i="2" s="1"/>
  <c r="X6430" i="2"/>
  <c r="W6430" i="2"/>
  <c r="AH6429" i="2"/>
  <c r="AD6429" i="2"/>
  <c r="AF6429" i="2" s="1"/>
  <c r="X6429" i="2"/>
  <c r="AC6429" i="2" s="1"/>
  <c r="W6429" i="2"/>
  <c r="AH6428" i="2"/>
  <c r="AD6428" i="2"/>
  <c r="AF6428" i="2" s="1"/>
  <c r="X6428" i="2"/>
  <c r="W6428" i="2"/>
  <c r="AH6427" i="2"/>
  <c r="AD6427" i="2"/>
  <c r="AF6427" i="2" s="1"/>
  <c r="X6427" i="2"/>
  <c r="W6427" i="2"/>
  <c r="AH6426" i="2"/>
  <c r="AD6426" i="2"/>
  <c r="AF6426" i="2" s="1"/>
  <c r="X6426" i="2"/>
  <c r="W6426" i="2"/>
  <c r="AH6425" i="2"/>
  <c r="AD6425" i="2"/>
  <c r="AF6425" i="2" s="1"/>
  <c r="X6425" i="2"/>
  <c r="W6425" i="2"/>
  <c r="AH6424" i="2"/>
  <c r="AD6424" i="2"/>
  <c r="AF6424" i="2" s="1"/>
  <c r="X6424" i="2"/>
  <c r="W6424" i="2"/>
  <c r="AH6423" i="2"/>
  <c r="AD6423" i="2"/>
  <c r="AF6423" i="2" s="1"/>
  <c r="X6423" i="2"/>
  <c r="AC6423" i="2" s="1"/>
  <c r="W6423" i="2"/>
  <c r="AH6422" i="2"/>
  <c r="AD6422" i="2"/>
  <c r="AF6422" i="2" s="1"/>
  <c r="X6422" i="2"/>
  <c r="W6422" i="2"/>
  <c r="AH6421" i="2"/>
  <c r="AD6421" i="2"/>
  <c r="AF6421" i="2" s="1"/>
  <c r="X6421" i="2"/>
  <c r="AC6421" i="2" s="1"/>
  <c r="W6421" i="2"/>
  <c r="AH6420" i="2"/>
  <c r="AD6420" i="2"/>
  <c r="AF6420" i="2" s="1"/>
  <c r="X6420" i="2"/>
  <c r="W6420" i="2"/>
  <c r="AH6419" i="2"/>
  <c r="AD6419" i="2"/>
  <c r="AF6419" i="2" s="1"/>
  <c r="X6419" i="2"/>
  <c r="W6419" i="2"/>
  <c r="AH6418" i="2"/>
  <c r="AD6418" i="2"/>
  <c r="AF6418" i="2" s="1"/>
  <c r="X6418" i="2"/>
  <c r="AH6417" i="2"/>
  <c r="AD6417" i="2"/>
  <c r="AF6417" i="2" s="1"/>
  <c r="X6417" i="2"/>
  <c r="W6417" i="2"/>
  <c r="AH6416" i="2"/>
  <c r="AD6416" i="2"/>
  <c r="AF6416" i="2" s="1"/>
  <c r="X6416" i="2"/>
  <c r="Y6416" i="2" s="1"/>
  <c r="W6416" i="2"/>
  <c r="AH6415" i="2"/>
  <c r="AD6415" i="2"/>
  <c r="AF6415" i="2" s="1"/>
  <c r="X6415" i="2"/>
  <c r="AH6414" i="2"/>
  <c r="AD6414" i="2"/>
  <c r="AF6414" i="2" s="1"/>
  <c r="X6414" i="2"/>
  <c r="W6414" i="2"/>
  <c r="AH6413" i="2"/>
  <c r="AD6413" i="2"/>
  <c r="AF6413" i="2" s="1"/>
  <c r="X6413" i="2"/>
  <c r="W6413" i="2"/>
  <c r="AH6412" i="2"/>
  <c r="AD6412" i="2"/>
  <c r="AF6412" i="2" s="1"/>
  <c r="X6412" i="2"/>
  <c r="AC6412" i="2" s="1"/>
  <c r="W6412" i="2"/>
  <c r="AH6411" i="2"/>
  <c r="AD6411" i="2"/>
  <c r="AF6411" i="2" s="1"/>
  <c r="X6411" i="2"/>
  <c r="W6411" i="2"/>
  <c r="AH6410" i="2"/>
  <c r="AD6410" i="2"/>
  <c r="AF6410" i="2" s="1"/>
  <c r="X6410" i="2"/>
  <c r="AC6410" i="2" s="1"/>
  <c r="W6410" i="2"/>
  <c r="AH6409" i="2"/>
  <c r="AD6409" i="2"/>
  <c r="AF6409" i="2" s="1"/>
  <c r="X6409" i="2"/>
  <c r="W6409" i="2"/>
  <c r="AH6408" i="2"/>
  <c r="AD6408" i="2"/>
  <c r="AF6408" i="2" s="1"/>
  <c r="X6408" i="2"/>
  <c r="W6408" i="2"/>
  <c r="AH6407" i="2"/>
  <c r="AD6407" i="2"/>
  <c r="AF6407" i="2" s="1"/>
  <c r="X6407" i="2"/>
  <c r="W6407" i="2"/>
  <c r="AH6406" i="2"/>
  <c r="AD6406" i="2"/>
  <c r="AF6406" i="2" s="1"/>
  <c r="X6406" i="2"/>
  <c r="W6406" i="2"/>
  <c r="AH6405" i="2"/>
  <c r="AD6405" i="2"/>
  <c r="AF6405" i="2" s="1"/>
  <c r="X6405" i="2"/>
  <c r="W6405" i="2"/>
  <c r="AH6404" i="2"/>
  <c r="AD6404" i="2"/>
  <c r="AF6404" i="2" s="1"/>
  <c r="X6404" i="2"/>
  <c r="AC6404" i="2" s="1"/>
  <c r="W6404" i="2"/>
  <c r="AH6403" i="2"/>
  <c r="AD6403" i="2"/>
  <c r="AF6403" i="2" s="1"/>
  <c r="X6403" i="2"/>
  <c r="W6403" i="2"/>
  <c r="AH6402" i="2"/>
  <c r="AD6402" i="2"/>
  <c r="AC6402" i="2"/>
  <c r="W6402" i="2"/>
  <c r="AH6401" i="2"/>
  <c r="AD6401" i="2"/>
  <c r="Y6401" i="2" s="1"/>
  <c r="AC6401" i="2"/>
  <c r="W6401" i="2"/>
  <c r="AH6400" i="2"/>
  <c r="AD6400" i="2"/>
  <c r="Y6400" i="2" s="1"/>
  <c r="AC6400" i="2"/>
  <c r="W6400" i="2"/>
  <c r="AH6399" i="2"/>
  <c r="AD6399" i="2"/>
  <c r="AF6399" i="2" s="1"/>
  <c r="X6399" i="2"/>
  <c r="W6399" i="2"/>
  <c r="AH6398" i="2"/>
  <c r="AD6398" i="2"/>
  <c r="Y6398" i="2" s="1"/>
  <c r="AC6398" i="2"/>
  <c r="W6398" i="2"/>
  <c r="AH6397" i="2"/>
  <c r="AD6397" i="2"/>
  <c r="AF6397" i="2" s="1"/>
  <c r="X6397" i="2"/>
  <c r="W6397" i="2"/>
  <c r="AH6396" i="2"/>
  <c r="AD6396" i="2"/>
  <c r="AF6396" i="2" s="1"/>
  <c r="X6396" i="2"/>
  <c r="AC6396" i="2" s="1"/>
  <c r="W6396" i="2"/>
  <c r="AH6395" i="2"/>
  <c r="AD6395" i="2"/>
  <c r="AF6395" i="2" s="1"/>
  <c r="X6395" i="2"/>
  <c r="W6395" i="2"/>
  <c r="AH6394" i="2"/>
  <c r="AD6394" i="2"/>
  <c r="AF6394" i="2" s="1"/>
  <c r="X6394" i="2"/>
  <c r="AC6394" i="2" s="1"/>
  <c r="W6394" i="2"/>
  <c r="AH6393" i="2"/>
  <c r="AD6393" i="2"/>
  <c r="AF6393" i="2" s="1"/>
  <c r="X6393" i="2"/>
  <c r="W6393" i="2"/>
  <c r="AH6392" i="2"/>
  <c r="AD6392" i="2"/>
  <c r="AF6392" i="2" s="1"/>
  <c r="X6392" i="2"/>
  <c r="W6392" i="2"/>
  <c r="AH6391" i="2"/>
  <c r="AD6391" i="2"/>
  <c r="AF6391" i="2" s="1"/>
  <c r="X6391" i="2"/>
  <c r="W6391" i="2"/>
  <c r="AH6390" i="2"/>
  <c r="AD6390" i="2"/>
  <c r="AF6390" i="2" s="1"/>
  <c r="X6390" i="2"/>
  <c r="W6390" i="2"/>
  <c r="AH6389" i="2"/>
  <c r="AD6389" i="2"/>
  <c r="AF6389" i="2" s="1"/>
  <c r="X6389" i="2"/>
  <c r="W6389" i="2"/>
  <c r="AH6388" i="2"/>
  <c r="AD6388" i="2"/>
  <c r="AF6388" i="2" s="1"/>
  <c r="X6388" i="2"/>
  <c r="AC6388" i="2" s="1"/>
  <c r="W6388" i="2"/>
  <c r="AH6387" i="2"/>
  <c r="AD6387" i="2"/>
  <c r="AF6387" i="2" s="1"/>
  <c r="X6387" i="2"/>
  <c r="W6387" i="2"/>
  <c r="AH6386" i="2"/>
  <c r="AD6386" i="2"/>
  <c r="AF6386" i="2" s="1"/>
  <c r="X6386" i="2"/>
  <c r="W6386" i="2"/>
  <c r="AH6385" i="2"/>
  <c r="AD6385" i="2"/>
  <c r="AF6385" i="2" s="1"/>
  <c r="X6385" i="2"/>
  <c r="W6385" i="2"/>
  <c r="AH6384" i="2"/>
  <c r="AD6384" i="2"/>
  <c r="AF6384" i="2" s="1"/>
  <c r="X6384" i="2"/>
  <c r="W6384" i="2"/>
  <c r="AH6383" i="2"/>
  <c r="AD6383" i="2"/>
  <c r="Y6383" i="2" s="1"/>
  <c r="AC6383" i="2"/>
  <c r="W6383" i="2"/>
  <c r="AH6382" i="2"/>
  <c r="AE6382" i="2"/>
  <c r="AF6382" i="2" s="1"/>
  <c r="AC6382" i="2"/>
  <c r="W6382" i="2"/>
  <c r="AH6381" i="2"/>
  <c r="AE6381" i="2"/>
  <c r="AF6381" i="2" s="1"/>
  <c r="X6381" i="2"/>
  <c r="W6381" i="2"/>
  <c r="AH6380" i="2"/>
  <c r="AE6380" i="2"/>
  <c r="AF6380" i="2" s="1"/>
  <c r="X6380" i="2"/>
  <c r="W6380" i="2"/>
  <c r="AH6379" i="2"/>
  <c r="AE6379" i="2"/>
  <c r="AF6379" i="2" s="1"/>
  <c r="X6379" i="2"/>
  <c r="W6379" i="2"/>
  <c r="AH6378" i="2"/>
  <c r="AE6378" i="2"/>
  <c r="AF6378" i="2" s="1"/>
  <c r="X6378" i="2"/>
  <c r="W6378" i="2"/>
  <c r="AH6377" i="2"/>
  <c r="AE6377" i="2"/>
  <c r="AF6377" i="2" s="1"/>
  <c r="X6377" i="2"/>
  <c r="W6377" i="2"/>
  <c r="AH6376" i="2"/>
  <c r="AE6376" i="2"/>
  <c r="AF6376" i="2" s="1"/>
  <c r="X6376" i="2"/>
  <c r="W6376" i="2"/>
  <c r="AH6375" i="2"/>
  <c r="AE6375" i="2"/>
  <c r="AF6375" i="2" s="1"/>
  <c r="X6375" i="2"/>
  <c r="W6375" i="2"/>
  <c r="AH6374" i="2"/>
  <c r="AE6374" i="2"/>
  <c r="AF6374" i="2" s="1"/>
  <c r="X6374" i="2"/>
  <c r="W6374" i="2"/>
  <c r="AH6373" i="2"/>
  <c r="AE6373" i="2"/>
  <c r="AF6373" i="2" s="1"/>
  <c r="X6373" i="2"/>
  <c r="W6373" i="2"/>
  <c r="AH6372" i="2"/>
  <c r="AE6372" i="2"/>
  <c r="AF6372" i="2" s="1"/>
  <c r="X6372" i="2"/>
  <c r="W6372" i="2"/>
  <c r="AH6371" i="2"/>
  <c r="AE6371" i="2"/>
  <c r="AF6371" i="2" s="1"/>
  <c r="X6371" i="2"/>
  <c r="W6371" i="2"/>
  <c r="AH6370" i="2"/>
  <c r="AE6370" i="2"/>
  <c r="AF6370" i="2" s="1"/>
  <c r="X6370" i="2"/>
  <c r="W6370" i="2"/>
  <c r="AH6369" i="2"/>
  <c r="AE6369" i="2"/>
  <c r="AF6369" i="2" s="1"/>
  <c r="X6369" i="2"/>
  <c r="W6369" i="2"/>
  <c r="AH6368" i="2"/>
  <c r="AE6368" i="2"/>
  <c r="AF6368" i="2" s="1"/>
  <c r="X6368" i="2"/>
  <c r="W6368" i="2"/>
  <c r="AH6367" i="2"/>
  <c r="AE6367" i="2"/>
  <c r="AF6367" i="2" s="1"/>
  <c r="X6367" i="2"/>
  <c r="W6367" i="2"/>
  <c r="AH6366" i="2"/>
  <c r="AE6366" i="2"/>
  <c r="AF6366" i="2" s="1"/>
  <c r="X6366" i="2"/>
  <c r="AH6365" i="2"/>
  <c r="AE6365" i="2"/>
  <c r="AF6365" i="2" s="1"/>
  <c r="X6365" i="2"/>
  <c r="W6365" i="2"/>
  <c r="AH6364" i="2"/>
  <c r="AE6364" i="2"/>
  <c r="AF6364" i="2" s="1"/>
  <c r="X6364" i="2"/>
  <c r="W6364" i="2"/>
  <c r="AH6363" i="2"/>
  <c r="AE6363" i="2"/>
  <c r="AF6363" i="2" s="1"/>
  <c r="X6363" i="2"/>
  <c r="AC6363" i="2" s="1"/>
  <c r="W6363" i="2"/>
  <c r="AH6362" i="2"/>
  <c r="AE6362" i="2"/>
  <c r="AF6362" i="2" s="1"/>
  <c r="X6362" i="2"/>
  <c r="W6362" i="2"/>
  <c r="AH6361" i="2"/>
  <c r="AE6361" i="2"/>
  <c r="AF6361" i="2" s="1"/>
  <c r="X6361" i="2"/>
  <c r="W6361" i="2"/>
  <c r="AH6360" i="2"/>
  <c r="AE6360" i="2"/>
  <c r="AF6360" i="2" s="1"/>
  <c r="X6360" i="2"/>
  <c r="W6360" i="2"/>
  <c r="AH6359" i="2"/>
  <c r="AE6359" i="2"/>
  <c r="AF6359" i="2" s="1"/>
  <c r="X6359" i="2"/>
  <c r="AC6359" i="2" s="1"/>
  <c r="W6359" i="2"/>
  <c r="AH6358" i="2"/>
  <c r="AE6358" i="2"/>
  <c r="AF6358" i="2" s="1"/>
  <c r="X6358" i="2"/>
  <c r="W6358" i="2"/>
  <c r="AH6357" i="2"/>
  <c r="AE6357" i="2"/>
  <c r="AF6357" i="2" s="1"/>
  <c r="X6357" i="2"/>
  <c r="W6357" i="2"/>
  <c r="AH6356" i="2"/>
  <c r="AE6356" i="2"/>
  <c r="AF6356" i="2" s="1"/>
  <c r="X6356" i="2"/>
  <c r="W6356" i="2"/>
  <c r="AH6355" i="2"/>
  <c r="AE6355" i="2"/>
  <c r="AF6355" i="2" s="1"/>
  <c r="X6355" i="2"/>
  <c r="W6355" i="2"/>
  <c r="AH6354" i="2"/>
  <c r="AE6354" i="2"/>
  <c r="AF6354" i="2" s="1"/>
  <c r="X6354" i="2"/>
  <c r="W6354" i="2"/>
  <c r="AH6353" i="2"/>
  <c r="AE6353" i="2"/>
  <c r="AF6353" i="2" s="1"/>
  <c r="X6353" i="2"/>
  <c r="W6353" i="2"/>
  <c r="AH6352" i="2"/>
  <c r="AE6352" i="2"/>
  <c r="AF6352" i="2" s="1"/>
  <c r="X6352" i="2"/>
  <c r="W6352" i="2"/>
  <c r="AH6351" i="2"/>
  <c r="AE6351" i="2"/>
  <c r="AF6351" i="2" s="1"/>
  <c r="X6351" i="2"/>
  <c r="W6351" i="2"/>
  <c r="AH6350" i="2"/>
  <c r="AE6350" i="2"/>
  <c r="AF6350" i="2" s="1"/>
  <c r="X6350" i="2"/>
  <c r="W6350" i="2"/>
  <c r="AH6349" i="2"/>
  <c r="AE6349" i="2"/>
  <c r="AF6349" i="2" s="1"/>
  <c r="X6349" i="2"/>
  <c r="W6349" i="2"/>
  <c r="AH6348" i="2"/>
  <c r="AE6348" i="2"/>
  <c r="AF6348" i="2" s="1"/>
  <c r="X6348" i="2"/>
  <c r="W6348" i="2"/>
  <c r="AH6347" i="2"/>
  <c r="AE6347" i="2"/>
  <c r="AF6347" i="2" s="1"/>
  <c r="X6347" i="2"/>
  <c r="W6347" i="2"/>
  <c r="AH6346" i="2"/>
  <c r="AE6346" i="2"/>
  <c r="AF6346" i="2" s="1"/>
  <c r="X6346" i="2"/>
  <c r="W6346" i="2"/>
  <c r="AH6345" i="2"/>
  <c r="AE6345" i="2"/>
  <c r="AF6345" i="2" s="1"/>
  <c r="X6345" i="2"/>
  <c r="W6345" i="2"/>
  <c r="AH6344" i="2"/>
  <c r="AE6344" i="2"/>
  <c r="AF6344" i="2" s="1"/>
  <c r="X6344" i="2"/>
  <c r="W6344" i="2"/>
  <c r="AH6343" i="2"/>
  <c r="AE6343" i="2"/>
  <c r="AF6343" i="2" s="1"/>
  <c r="X6343" i="2"/>
  <c r="W6343" i="2"/>
  <c r="AH6342" i="2"/>
  <c r="AE6342" i="2"/>
  <c r="AF6342" i="2" s="1"/>
  <c r="X6342" i="2"/>
  <c r="W6342" i="2"/>
  <c r="AH6341" i="2"/>
  <c r="AE6341" i="2"/>
  <c r="AF6341" i="2" s="1"/>
  <c r="X6341" i="2"/>
  <c r="W6341" i="2"/>
  <c r="AH6340" i="2"/>
  <c r="AE6340" i="2"/>
  <c r="AF6340" i="2" s="1"/>
  <c r="X6340" i="2"/>
  <c r="W6340" i="2"/>
  <c r="AH6339" i="2"/>
  <c r="AE6339" i="2"/>
  <c r="AF6339" i="2" s="1"/>
  <c r="X6339" i="2"/>
  <c r="W6339" i="2"/>
  <c r="AH6338" i="2"/>
  <c r="AE6338" i="2"/>
  <c r="AF6338" i="2" s="1"/>
  <c r="X6338" i="2"/>
  <c r="W6338" i="2"/>
  <c r="AH6337" i="2"/>
  <c r="AE6337" i="2"/>
  <c r="AF6337" i="2" s="1"/>
  <c r="X6337" i="2"/>
  <c r="AC6337" i="2" s="1"/>
  <c r="W6337" i="2"/>
  <c r="AH6336" i="2"/>
  <c r="AE6336" i="2"/>
  <c r="AF6336" i="2" s="1"/>
  <c r="X6336" i="2"/>
  <c r="W6336" i="2"/>
  <c r="AH6335" i="2"/>
  <c r="AE6335" i="2"/>
  <c r="AF6335" i="2" s="1"/>
  <c r="X6335" i="2"/>
  <c r="W6335" i="2"/>
  <c r="AH6334" i="2"/>
  <c r="AE6334" i="2"/>
  <c r="AF6334" i="2" s="1"/>
  <c r="X6334" i="2"/>
  <c r="W6334" i="2"/>
  <c r="AH6333" i="2"/>
  <c r="AE6333" i="2"/>
  <c r="AF6333" i="2" s="1"/>
  <c r="X6333" i="2"/>
  <c r="W6333" i="2"/>
  <c r="AH6332" i="2"/>
  <c r="AE6332" i="2"/>
  <c r="AF6332" i="2" s="1"/>
  <c r="X6332" i="2"/>
  <c r="W6332" i="2"/>
  <c r="AH6331" i="2"/>
  <c r="AE6331" i="2"/>
  <c r="AF6331" i="2" s="1"/>
  <c r="X6331" i="2"/>
  <c r="W6331" i="2"/>
  <c r="AH6330" i="2"/>
  <c r="AE6330" i="2"/>
  <c r="AF6330" i="2" s="1"/>
  <c r="X6330" i="2"/>
  <c r="W6330" i="2"/>
  <c r="AH6329" i="2"/>
  <c r="AE6329" i="2"/>
  <c r="AF6329" i="2" s="1"/>
  <c r="X6329" i="2"/>
  <c r="W6329" i="2"/>
  <c r="AH6328" i="2"/>
  <c r="AE6328" i="2"/>
  <c r="AF6328" i="2" s="1"/>
  <c r="X6328" i="2"/>
  <c r="W6328" i="2"/>
  <c r="AH6327" i="2"/>
  <c r="AE6327" i="2"/>
  <c r="AF6327" i="2" s="1"/>
  <c r="X6327" i="2"/>
  <c r="W6327" i="2"/>
  <c r="AH6326" i="2"/>
  <c r="AE6326" i="2"/>
  <c r="AF6326" i="2" s="1"/>
  <c r="X6326" i="2"/>
  <c r="W6326" i="2"/>
  <c r="AH6325" i="2"/>
  <c r="AE6325" i="2"/>
  <c r="AF6325" i="2" s="1"/>
  <c r="X6325" i="2"/>
  <c r="W6325" i="2"/>
  <c r="AH6324" i="2"/>
  <c r="AE6324" i="2"/>
  <c r="AF6324" i="2" s="1"/>
  <c r="X6324" i="2"/>
  <c r="W6324" i="2"/>
  <c r="AH6323" i="2"/>
  <c r="AE6323" i="2"/>
  <c r="AF6323" i="2" s="1"/>
  <c r="X6323" i="2"/>
  <c r="W6323" i="2"/>
  <c r="AH6322" i="2"/>
  <c r="AE6322" i="2"/>
  <c r="AF6322" i="2" s="1"/>
  <c r="X6322" i="2"/>
  <c r="W6322" i="2"/>
  <c r="AH6321" i="2"/>
  <c r="AE6321" i="2"/>
  <c r="AF6321" i="2" s="1"/>
  <c r="X6321" i="2"/>
  <c r="W6321" i="2"/>
  <c r="AH6320" i="2"/>
  <c r="AE6320" i="2"/>
  <c r="AF6320" i="2" s="1"/>
  <c r="X6320" i="2"/>
  <c r="W6320" i="2"/>
  <c r="AH6319" i="2"/>
  <c r="AE6319" i="2"/>
  <c r="AF6319" i="2" s="1"/>
  <c r="X6319" i="2"/>
  <c r="W6319" i="2"/>
  <c r="AH6318" i="2"/>
  <c r="AE6318" i="2"/>
  <c r="AF6318" i="2" s="1"/>
  <c r="X6318" i="2"/>
  <c r="W6318" i="2"/>
  <c r="AH6317" i="2"/>
  <c r="AE6317" i="2"/>
  <c r="AF6317" i="2" s="1"/>
  <c r="X6317" i="2"/>
  <c r="AC6317" i="2" s="1"/>
  <c r="W6317" i="2"/>
  <c r="AH6316" i="2"/>
  <c r="AE6316" i="2"/>
  <c r="AF6316" i="2" s="1"/>
  <c r="X6316" i="2"/>
  <c r="W6316" i="2"/>
  <c r="AH6315" i="2"/>
  <c r="AE6315" i="2"/>
  <c r="AF6315" i="2" s="1"/>
  <c r="X6315" i="2"/>
  <c r="W6315" i="2"/>
  <c r="AH6314" i="2"/>
  <c r="AE6314" i="2"/>
  <c r="AF6314" i="2" s="1"/>
  <c r="X6314" i="2"/>
  <c r="W6314" i="2"/>
  <c r="AH6313" i="2"/>
  <c r="AE6313" i="2"/>
  <c r="AF6313" i="2" s="1"/>
  <c r="X6313" i="2"/>
  <c r="W6313" i="2"/>
  <c r="AH6312" i="2"/>
  <c r="AE6312" i="2"/>
  <c r="AF6312" i="2" s="1"/>
  <c r="X6312" i="2"/>
  <c r="W6312" i="2"/>
  <c r="AH6311" i="2"/>
  <c r="AE6311" i="2"/>
  <c r="AF6311" i="2" s="1"/>
  <c r="X6311" i="2"/>
  <c r="AB6311" i="2" s="1"/>
  <c r="AK6311" i="2" s="1"/>
  <c r="W6311" i="2"/>
  <c r="AH6310" i="2"/>
  <c r="AE6310" i="2"/>
  <c r="AF6310" i="2" s="1"/>
  <c r="X6310" i="2"/>
  <c r="W6310" i="2"/>
  <c r="AH6309" i="2"/>
  <c r="AE6309" i="2"/>
  <c r="AF6309" i="2" s="1"/>
  <c r="X6309" i="2"/>
  <c r="W6309" i="2"/>
  <c r="AH6308" i="2"/>
  <c r="AE6308" i="2"/>
  <c r="AF6308" i="2" s="1"/>
  <c r="X6308" i="2"/>
  <c r="W6308" i="2"/>
  <c r="AH6307" i="2"/>
  <c r="AE6307" i="2"/>
  <c r="AF6307" i="2" s="1"/>
  <c r="X6307" i="2"/>
  <c r="W6307" i="2"/>
  <c r="AH6306" i="2"/>
  <c r="AE6306" i="2"/>
  <c r="AF6306" i="2" s="1"/>
  <c r="X6306" i="2"/>
  <c r="W6306" i="2"/>
  <c r="AH6305" i="2"/>
  <c r="AE6305" i="2"/>
  <c r="AF6305" i="2" s="1"/>
  <c r="X6305" i="2"/>
  <c r="Y6305" i="2" s="1"/>
  <c r="W6305" i="2"/>
  <c r="AH6304" i="2"/>
  <c r="AE6304" i="2"/>
  <c r="AF6304" i="2" s="1"/>
  <c r="X6304" i="2"/>
  <c r="W6304" i="2"/>
  <c r="AH6303" i="2"/>
  <c r="AE6303" i="2"/>
  <c r="AF6303" i="2" s="1"/>
  <c r="X6303" i="2"/>
  <c r="W6303" i="2"/>
  <c r="AH6302" i="2"/>
  <c r="AE6302" i="2"/>
  <c r="AF6302" i="2" s="1"/>
  <c r="X6302" i="2"/>
  <c r="W6302" i="2"/>
  <c r="AH6301" i="2"/>
  <c r="AE6301" i="2"/>
  <c r="AF6301" i="2" s="1"/>
  <c r="X6301" i="2"/>
  <c r="AB6301" i="2" s="1"/>
  <c r="W6301" i="2"/>
  <c r="AH6300" i="2"/>
  <c r="AE6300" i="2"/>
  <c r="AF6300" i="2" s="1"/>
  <c r="X6300" i="2"/>
  <c r="W6300" i="2"/>
  <c r="AH6299" i="2"/>
  <c r="AE6299" i="2"/>
  <c r="AF6299" i="2" s="1"/>
  <c r="X6299" i="2"/>
  <c r="W6299" i="2"/>
  <c r="AH6298" i="2"/>
  <c r="AE6298" i="2"/>
  <c r="AF6298" i="2" s="1"/>
  <c r="X6298" i="2"/>
  <c r="W6298" i="2"/>
  <c r="AH6297" i="2"/>
  <c r="AE6297" i="2"/>
  <c r="AF6297" i="2" s="1"/>
  <c r="X6297" i="2"/>
  <c r="W6297" i="2"/>
  <c r="AH6296" i="2"/>
  <c r="AE6296" i="2"/>
  <c r="AF6296" i="2" s="1"/>
  <c r="X6296" i="2"/>
  <c r="W6296" i="2"/>
  <c r="AH6295" i="2"/>
  <c r="AE6295" i="2"/>
  <c r="AF6295" i="2" s="1"/>
  <c r="X6295" i="2"/>
  <c r="Y6295" i="2" s="1"/>
  <c r="W6295" i="2"/>
  <c r="AH6294" i="2"/>
  <c r="AE6294" i="2"/>
  <c r="AF6294" i="2" s="1"/>
  <c r="X6294" i="2"/>
  <c r="W6294" i="2"/>
  <c r="AH6293" i="2"/>
  <c r="AE6293" i="2"/>
  <c r="AF6293" i="2" s="1"/>
  <c r="X6293" i="2"/>
  <c r="W6293" i="2"/>
  <c r="AH6292" i="2"/>
  <c r="AE6292" i="2"/>
  <c r="AF6292" i="2" s="1"/>
  <c r="X6292" i="2"/>
  <c r="W6292" i="2"/>
  <c r="AH6291" i="2"/>
  <c r="AE6291" i="2"/>
  <c r="AF6291" i="2" s="1"/>
  <c r="X6291" i="2"/>
  <c r="AC6291" i="2" s="1"/>
  <c r="W6291" i="2"/>
  <c r="AH6290" i="2"/>
  <c r="AE6290" i="2"/>
  <c r="AF6290" i="2" s="1"/>
  <c r="X6290" i="2"/>
  <c r="W6290" i="2"/>
  <c r="AH6289" i="2"/>
  <c r="AE6289" i="2"/>
  <c r="AF6289" i="2" s="1"/>
  <c r="X6289" i="2"/>
  <c r="W6289" i="2"/>
  <c r="AH6288" i="2"/>
  <c r="AE6288" i="2"/>
  <c r="AF6288" i="2" s="1"/>
  <c r="X6288" i="2"/>
  <c r="W6288" i="2"/>
  <c r="AH6287" i="2"/>
  <c r="AE6287" i="2"/>
  <c r="AF6287" i="2" s="1"/>
  <c r="X6287" i="2"/>
  <c r="W6287" i="2"/>
  <c r="AH6286" i="2"/>
  <c r="AE6286" i="2"/>
  <c r="AF6286" i="2" s="1"/>
  <c r="X6286" i="2"/>
  <c r="W6286" i="2"/>
  <c r="AH6285" i="2"/>
  <c r="AE6285" i="2"/>
  <c r="AF6285" i="2" s="1"/>
  <c r="X6285" i="2"/>
  <c r="AB6285" i="2" s="1"/>
  <c r="AK6285" i="2" s="1"/>
  <c r="W6285" i="2"/>
  <c r="AH6284" i="2"/>
  <c r="AE6284" i="2"/>
  <c r="AF6284" i="2" s="1"/>
  <c r="X6284" i="2"/>
  <c r="W6284" i="2"/>
  <c r="AH6283" i="2"/>
  <c r="AE6283" i="2"/>
  <c r="AF6283" i="2" s="1"/>
  <c r="X6283" i="2"/>
  <c r="W6283" i="2"/>
  <c r="AH6282" i="2"/>
  <c r="AE6282" i="2"/>
  <c r="AF6282" i="2" s="1"/>
  <c r="X6282" i="2"/>
  <c r="W6282" i="2"/>
  <c r="AH6281" i="2"/>
  <c r="AE6281" i="2"/>
  <c r="AF6281" i="2" s="1"/>
  <c r="X6281" i="2"/>
  <c r="W6281" i="2"/>
  <c r="AH6280" i="2"/>
  <c r="AE6280" i="2"/>
  <c r="AF6280" i="2" s="1"/>
  <c r="X6280" i="2"/>
  <c r="W6280" i="2"/>
  <c r="AH6279" i="2"/>
  <c r="AE6279" i="2"/>
  <c r="AF6279" i="2" s="1"/>
  <c r="X6279" i="2"/>
  <c r="Y6279" i="2" s="1"/>
  <c r="W6279" i="2"/>
  <c r="AH6278" i="2"/>
  <c r="AE6278" i="2"/>
  <c r="AF6278" i="2" s="1"/>
  <c r="X6278" i="2"/>
  <c r="W6278" i="2"/>
  <c r="AH6277" i="2"/>
  <c r="AE6277" i="2"/>
  <c r="AF6277" i="2" s="1"/>
  <c r="X6277" i="2"/>
  <c r="W6277" i="2"/>
  <c r="AH6276" i="2"/>
  <c r="AE6276" i="2"/>
  <c r="AF6276" i="2" s="1"/>
  <c r="X6276" i="2"/>
  <c r="W6276" i="2"/>
  <c r="AH6275" i="2"/>
  <c r="AE6275" i="2"/>
  <c r="AF6275" i="2" s="1"/>
  <c r="X6275" i="2"/>
  <c r="AC6275" i="2" s="1"/>
  <c r="W6275" i="2"/>
  <c r="AH6274" i="2"/>
  <c r="AE6274" i="2"/>
  <c r="AF6274" i="2" s="1"/>
  <c r="X6274" i="2"/>
  <c r="W6274" i="2"/>
  <c r="AH6273" i="2"/>
  <c r="AE6273" i="2"/>
  <c r="AF6273" i="2" s="1"/>
  <c r="X6273" i="2"/>
  <c r="W6273" i="2"/>
  <c r="AH6272" i="2"/>
  <c r="AE6272" i="2"/>
  <c r="AF6272" i="2" s="1"/>
  <c r="X6272" i="2"/>
  <c r="W6272" i="2"/>
  <c r="AH6271" i="2"/>
  <c r="AE6271" i="2"/>
  <c r="AF6271" i="2" s="1"/>
  <c r="X6271" i="2"/>
  <c r="W6271" i="2"/>
  <c r="AH6270" i="2"/>
  <c r="AE6270" i="2"/>
  <c r="AF6270" i="2" s="1"/>
  <c r="X6270" i="2"/>
  <c r="W6270" i="2"/>
  <c r="AH6269" i="2"/>
  <c r="AE6269" i="2"/>
  <c r="AF6269" i="2" s="1"/>
  <c r="X6269" i="2"/>
  <c r="Y6269" i="2" s="1"/>
  <c r="W6269" i="2"/>
  <c r="AH6268" i="2"/>
  <c r="AE6268" i="2"/>
  <c r="AF6268" i="2" s="1"/>
  <c r="X6268" i="2"/>
  <c r="W6268" i="2"/>
  <c r="AH6267" i="2"/>
  <c r="AE6267" i="2"/>
  <c r="AF6267" i="2" s="1"/>
  <c r="X6267" i="2"/>
  <c r="W6267" i="2"/>
  <c r="AH6266" i="2"/>
  <c r="AE6266" i="2"/>
  <c r="AF6266" i="2" s="1"/>
  <c r="X6266" i="2"/>
  <c r="W6266" i="2"/>
  <c r="AH6265" i="2"/>
  <c r="AE6265" i="2"/>
  <c r="AF6265" i="2" s="1"/>
  <c r="X6265" i="2"/>
  <c r="AC6265" i="2" s="1"/>
  <c r="W6265" i="2"/>
  <c r="AH6264" i="2"/>
  <c r="AE6264" i="2"/>
  <c r="AF6264" i="2" s="1"/>
  <c r="X6264" i="2"/>
  <c r="W6264" i="2"/>
  <c r="AH6263" i="2"/>
  <c r="AE6263" i="2"/>
  <c r="AF6263" i="2" s="1"/>
  <c r="X6263" i="2"/>
  <c r="W6263" i="2"/>
  <c r="AH6262" i="2"/>
  <c r="AE6262" i="2"/>
  <c r="AF6262" i="2" s="1"/>
  <c r="X6262" i="2"/>
  <c r="W6262" i="2"/>
  <c r="AH6261" i="2"/>
  <c r="AE6261" i="2"/>
  <c r="AF6261" i="2" s="1"/>
  <c r="X6261" i="2"/>
  <c r="W6261" i="2"/>
  <c r="AH6260" i="2"/>
  <c r="AE6260" i="2"/>
  <c r="AF6260" i="2" s="1"/>
  <c r="X6260" i="2"/>
  <c r="W6260" i="2"/>
  <c r="AH6259" i="2"/>
  <c r="AE6259" i="2"/>
  <c r="AF6259" i="2" s="1"/>
  <c r="X6259" i="2"/>
  <c r="AB6259" i="2" s="1"/>
  <c r="AK6259" i="2" s="1"/>
  <c r="W6259" i="2"/>
  <c r="AH6258" i="2"/>
  <c r="AE6258" i="2"/>
  <c r="AF6258" i="2" s="1"/>
  <c r="X6258" i="2"/>
  <c r="W6258" i="2"/>
  <c r="AH6257" i="2"/>
  <c r="AE6257" i="2"/>
  <c r="AF6257" i="2" s="1"/>
  <c r="X6257" i="2"/>
  <c r="W6257" i="2"/>
  <c r="AH6256" i="2"/>
  <c r="AE6256" i="2"/>
  <c r="AF6256" i="2" s="1"/>
  <c r="X6256" i="2"/>
  <c r="W6256" i="2"/>
  <c r="AH6255" i="2"/>
  <c r="AE6255" i="2"/>
  <c r="AF6255" i="2" s="1"/>
  <c r="X6255" i="2"/>
  <c r="W6255" i="2"/>
  <c r="AH6254" i="2"/>
  <c r="AE6254" i="2"/>
  <c r="AF6254" i="2" s="1"/>
  <c r="X6254" i="2"/>
  <c r="W6254" i="2"/>
  <c r="AH6253" i="2"/>
  <c r="AE6253" i="2"/>
  <c r="AF6253" i="2" s="1"/>
  <c r="X6253" i="2"/>
  <c r="Y6253" i="2" s="1"/>
  <c r="W6253" i="2"/>
  <c r="AH6252" i="2"/>
  <c r="AE6252" i="2"/>
  <c r="AF6252" i="2" s="1"/>
  <c r="X6252" i="2"/>
  <c r="W6252" i="2"/>
  <c r="AH6251" i="2"/>
  <c r="AE6251" i="2"/>
  <c r="AF6251" i="2" s="1"/>
  <c r="X6251" i="2"/>
  <c r="W6251" i="2"/>
  <c r="AH6250" i="2"/>
  <c r="AE6250" i="2"/>
  <c r="AF6250" i="2" s="1"/>
  <c r="X6250" i="2"/>
  <c r="W6250" i="2"/>
  <c r="AH6249" i="2"/>
  <c r="AE6249" i="2"/>
  <c r="AF6249" i="2" s="1"/>
  <c r="X6249" i="2"/>
  <c r="AB6249" i="2" s="1"/>
  <c r="W6249" i="2"/>
  <c r="AH6248" i="2"/>
  <c r="AE6248" i="2"/>
  <c r="AF6248" i="2" s="1"/>
  <c r="X6248" i="2"/>
  <c r="W6248" i="2"/>
  <c r="AH6247" i="2"/>
  <c r="AE6247" i="2"/>
  <c r="AF6247" i="2" s="1"/>
  <c r="X6247" i="2"/>
  <c r="W6247" i="2"/>
  <c r="AH6246" i="2"/>
  <c r="AE6246" i="2"/>
  <c r="AF6246" i="2" s="1"/>
  <c r="X6246" i="2"/>
  <c r="W6246" i="2"/>
  <c r="AH6245" i="2"/>
  <c r="AE6245" i="2"/>
  <c r="AF6245" i="2" s="1"/>
  <c r="X6245" i="2"/>
  <c r="W6245" i="2"/>
  <c r="AH6244" i="2"/>
  <c r="AE6244" i="2"/>
  <c r="AF6244" i="2" s="1"/>
  <c r="X6244" i="2"/>
  <c r="W6244" i="2"/>
  <c r="AH6243" i="2"/>
  <c r="AE6243" i="2"/>
  <c r="AF6243" i="2" s="1"/>
  <c r="X6243" i="2"/>
  <c r="Y6243" i="2" s="1"/>
  <c r="W6243" i="2"/>
  <c r="AH6242" i="2"/>
  <c r="AE6242" i="2"/>
  <c r="AF6242" i="2" s="1"/>
  <c r="X6242" i="2"/>
  <c r="W6242" i="2"/>
  <c r="AH6241" i="2"/>
  <c r="AE6241" i="2"/>
  <c r="AF6241" i="2" s="1"/>
  <c r="X6241" i="2"/>
  <c r="W6241" i="2"/>
  <c r="AH6240" i="2"/>
  <c r="AE6240" i="2"/>
  <c r="AF6240" i="2" s="1"/>
  <c r="X6240" i="2"/>
  <c r="W6240" i="2"/>
  <c r="AH6239" i="2"/>
  <c r="AE6239" i="2"/>
  <c r="AF6239" i="2" s="1"/>
  <c r="X6239" i="2"/>
  <c r="AC6239" i="2" s="1"/>
  <c r="W6239" i="2"/>
  <c r="AH6238" i="2"/>
  <c r="AE6238" i="2"/>
  <c r="AF6238" i="2" s="1"/>
  <c r="X6238" i="2"/>
  <c r="W6238" i="2"/>
  <c r="AH6237" i="2"/>
  <c r="AE6237" i="2"/>
  <c r="AF6237" i="2" s="1"/>
  <c r="X6237" i="2"/>
  <c r="W6237" i="2"/>
  <c r="AH6236" i="2"/>
  <c r="AE6236" i="2"/>
  <c r="AF6236" i="2" s="1"/>
  <c r="X6236" i="2"/>
  <c r="W6236" i="2"/>
  <c r="AH6235" i="2"/>
  <c r="AE6235" i="2"/>
  <c r="AF6235" i="2" s="1"/>
  <c r="X6235" i="2"/>
  <c r="W6235" i="2"/>
  <c r="AH6234" i="2"/>
  <c r="AE6234" i="2"/>
  <c r="AF6234" i="2" s="1"/>
  <c r="X6234" i="2"/>
  <c r="W6234" i="2"/>
  <c r="AH6233" i="2"/>
  <c r="AE6233" i="2"/>
  <c r="AF6233" i="2" s="1"/>
  <c r="X6233" i="2"/>
  <c r="AB6233" i="2" s="1"/>
  <c r="AK6233" i="2" s="1"/>
  <c r="W6233" i="2"/>
  <c r="AH6232" i="2"/>
  <c r="AE6232" i="2"/>
  <c r="AF6232" i="2" s="1"/>
  <c r="X6232" i="2"/>
  <c r="W6232" i="2"/>
  <c r="AH6231" i="2"/>
  <c r="AE6231" i="2"/>
  <c r="AF6231" i="2" s="1"/>
  <c r="X6231" i="2"/>
  <c r="W6231" i="2"/>
  <c r="AH6230" i="2"/>
  <c r="AE6230" i="2"/>
  <c r="AF6230" i="2" s="1"/>
  <c r="X6230" i="2"/>
  <c r="W6230" i="2"/>
  <c r="AH6229" i="2"/>
  <c r="AE6229" i="2"/>
  <c r="AF6229" i="2" s="1"/>
  <c r="X6229" i="2"/>
  <c r="W6229" i="2"/>
  <c r="AH6228" i="2"/>
  <c r="AE6228" i="2"/>
  <c r="AF6228" i="2" s="1"/>
  <c r="X6228" i="2"/>
  <c r="W6228" i="2"/>
  <c r="AH6227" i="2"/>
  <c r="AE6227" i="2"/>
  <c r="AF6227" i="2" s="1"/>
  <c r="X6227" i="2"/>
  <c r="W6227" i="2"/>
  <c r="AH6226" i="2"/>
  <c r="AE6226" i="2"/>
  <c r="AF6226" i="2" s="1"/>
  <c r="X6226" i="2"/>
  <c r="W6226" i="2"/>
  <c r="AH6225" i="2"/>
  <c r="AE6225" i="2"/>
  <c r="AF6225" i="2" s="1"/>
  <c r="X6225" i="2"/>
  <c r="W6225" i="2"/>
  <c r="AH6224" i="2"/>
  <c r="AE6224" i="2"/>
  <c r="AF6224" i="2" s="1"/>
  <c r="X6224" i="2"/>
  <c r="W6224" i="2"/>
  <c r="AH6223" i="2"/>
  <c r="AE6223" i="2"/>
  <c r="AF6223" i="2" s="1"/>
  <c r="X6223" i="2"/>
  <c r="W6223" i="2"/>
  <c r="AH6222" i="2"/>
  <c r="AE6222" i="2"/>
  <c r="AF6222" i="2" s="1"/>
  <c r="X6222" i="2"/>
  <c r="W6222" i="2"/>
  <c r="AH6221" i="2"/>
  <c r="AE6221" i="2"/>
  <c r="AF6221" i="2" s="1"/>
  <c r="X6221" i="2"/>
  <c r="W6221" i="2"/>
  <c r="AH6220" i="2"/>
  <c r="AE6220" i="2"/>
  <c r="AF6220" i="2" s="1"/>
  <c r="X6220" i="2"/>
  <c r="W6220" i="2"/>
  <c r="AH6219" i="2"/>
  <c r="AE6219" i="2"/>
  <c r="AF6219" i="2" s="1"/>
  <c r="X6219" i="2"/>
  <c r="AH6218" i="2"/>
  <c r="AE6218" i="2"/>
  <c r="AF6218" i="2" s="1"/>
  <c r="X6218" i="2"/>
  <c r="W6218" i="2"/>
  <c r="AH6217" i="2"/>
  <c r="AE6217" i="2"/>
  <c r="AF6217" i="2" s="1"/>
  <c r="X6217" i="2"/>
  <c r="AC6217" i="2" s="1"/>
  <c r="W6217" i="2"/>
  <c r="AH6216" i="2"/>
  <c r="AE6216" i="2"/>
  <c r="AF6216" i="2" s="1"/>
  <c r="X6216" i="2"/>
  <c r="W6216" i="2"/>
  <c r="AH6215" i="2"/>
  <c r="AE6215" i="2"/>
  <c r="AF6215" i="2" s="1"/>
  <c r="X6215" i="2"/>
  <c r="AB6215" i="2" s="1"/>
  <c r="AK6215" i="2" s="1"/>
  <c r="W6215" i="2"/>
  <c r="AH6214" i="2"/>
  <c r="AE6214" i="2"/>
  <c r="AF6214" i="2" s="1"/>
  <c r="X6214" i="2"/>
  <c r="W6214" i="2"/>
  <c r="AH6213" i="2"/>
  <c r="AE6213" i="2"/>
  <c r="AF6213" i="2" s="1"/>
  <c r="X6213" i="2"/>
  <c r="AC6213" i="2" s="1"/>
  <c r="W6213" i="2"/>
  <c r="AH6212" i="2"/>
  <c r="AE6212" i="2"/>
  <c r="AF6212" i="2" s="1"/>
  <c r="X6212" i="2"/>
  <c r="AC6212" i="2" s="1"/>
  <c r="W6212" i="2"/>
  <c r="AH6211" i="2"/>
  <c r="AE6211" i="2"/>
  <c r="AF6211" i="2" s="1"/>
  <c r="X6211" i="2"/>
  <c r="W6211" i="2"/>
  <c r="AH6210" i="2"/>
  <c r="AE6210" i="2"/>
  <c r="AF6210" i="2" s="1"/>
  <c r="X6210" i="2"/>
  <c r="W6210" i="2"/>
  <c r="AH6209" i="2"/>
  <c r="AE6209" i="2"/>
  <c r="AF6209" i="2" s="1"/>
  <c r="X6209" i="2"/>
  <c r="W6209" i="2"/>
  <c r="AH6208" i="2"/>
  <c r="AE6208" i="2"/>
  <c r="AF6208" i="2" s="1"/>
  <c r="X6208" i="2"/>
  <c r="AC6208" i="2" s="1"/>
  <c r="W6208" i="2"/>
  <c r="AH6207" i="2"/>
  <c r="AE6207" i="2"/>
  <c r="AF6207" i="2" s="1"/>
  <c r="X6207" i="2"/>
  <c r="W6207" i="2"/>
  <c r="AH6206" i="2"/>
  <c r="AE6206" i="2"/>
  <c r="AF6206" i="2" s="1"/>
  <c r="X6206" i="2"/>
  <c r="W6206" i="2"/>
  <c r="AH6205" i="2"/>
  <c r="AE6205" i="2"/>
  <c r="AF6205" i="2" s="1"/>
  <c r="X6205" i="2"/>
  <c r="W6205" i="2"/>
  <c r="AH6204" i="2"/>
  <c r="AE6204" i="2"/>
  <c r="AF6204" i="2" s="1"/>
  <c r="X6204" i="2"/>
  <c r="AC6204" i="2" s="1"/>
  <c r="W6204" i="2"/>
  <c r="AH6203" i="2"/>
  <c r="AE6203" i="2"/>
  <c r="AF6203" i="2" s="1"/>
  <c r="X6203" i="2"/>
  <c r="AC6203" i="2" s="1"/>
  <c r="W6203" i="2"/>
  <c r="AH6202" i="2"/>
  <c r="AE6202" i="2"/>
  <c r="AF6202" i="2" s="1"/>
  <c r="X6202" i="2"/>
  <c r="W6202" i="2"/>
  <c r="AH6201" i="2"/>
  <c r="AE6201" i="2"/>
  <c r="AF6201" i="2" s="1"/>
  <c r="X6201" i="2"/>
  <c r="W6201" i="2"/>
  <c r="AH6200" i="2"/>
  <c r="AE6200" i="2"/>
  <c r="AF6200" i="2" s="1"/>
  <c r="X6200" i="2"/>
  <c r="AC6200" i="2" s="1"/>
  <c r="W6200" i="2"/>
  <c r="AH6199" i="2"/>
  <c r="AE6199" i="2"/>
  <c r="AF6199" i="2" s="1"/>
  <c r="X6199" i="2"/>
  <c r="W6199" i="2"/>
  <c r="AH6198" i="2"/>
  <c r="AE6198" i="2"/>
  <c r="AF6198" i="2" s="1"/>
  <c r="X6198" i="2"/>
  <c r="W6198" i="2"/>
  <c r="AH6197" i="2"/>
  <c r="AE6197" i="2"/>
  <c r="AF6197" i="2" s="1"/>
  <c r="X6197" i="2"/>
  <c r="AB6197" i="2" s="1"/>
  <c r="AK6197" i="2" s="1"/>
  <c r="W6197" i="2"/>
  <c r="AH6196" i="2"/>
  <c r="AE6196" i="2"/>
  <c r="AF6196" i="2" s="1"/>
  <c r="X6196" i="2"/>
  <c r="W6196" i="2"/>
  <c r="AH6195" i="2"/>
  <c r="AE6195" i="2"/>
  <c r="AF6195" i="2" s="1"/>
  <c r="X6195" i="2"/>
  <c r="W6195" i="2"/>
  <c r="AH6194" i="2"/>
  <c r="AE6194" i="2"/>
  <c r="AF6194" i="2" s="1"/>
  <c r="X6194" i="2"/>
  <c r="AC6194" i="2" s="1"/>
  <c r="W6194" i="2"/>
  <c r="AH6193" i="2"/>
  <c r="AE6193" i="2"/>
  <c r="AF6193" i="2" s="1"/>
  <c r="X6193" i="2"/>
  <c r="W6193" i="2"/>
  <c r="AH6192" i="2"/>
  <c r="AE6192" i="2"/>
  <c r="AF6192" i="2" s="1"/>
  <c r="X6192" i="2"/>
  <c r="W6192" i="2"/>
  <c r="AH6191" i="2"/>
  <c r="AE6191" i="2"/>
  <c r="AF6191" i="2" s="1"/>
  <c r="X6191" i="2"/>
  <c r="W6191" i="2"/>
  <c r="AH6190" i="2"/>
  <c r="AE6190" i="2"/>
  <c r="AF6190" i="2" s="1"/>
  <c r="X6190" i="2"/>
  <c r="W6190" i="2"/>
  <c r="AH6189" i="2"/>
  <c r="AE6189" i="2"/>
  <c r="AF6189" i="2" s="1"/>
  <c r="X6189" i="2"/>
  <c r="W6189" i="2"/>
  <c r="AH6188" i="2"/>
  <c r="AE6188" i="2"/>
  <c r="AF6188" i="2" s="1"/>
  <c r="X6188" i="2"/>
  <c r="W6188" i="2"/>
  <c r="AH6187" i="2"/>
  <c r="AE6187" i="2"/>
  <c r="AF6187" i="2" s="1"/>
  <c r="X6187" i="2"/>
  <c r="AC6187" i="2" s="1"/>
  <c r="W6187" i="2"/>
  <c r="AH6186" i="2"/>
  <c r="AE6186" i="2"/>
  <c r="AF6186" i="2" s="1"/>
  <c r="X6186" i="2"/>
  <c r="AC6186" i="2" s="1"/>
  <c r="W6186" i="2"/>
  <c r="AH6185" i="2"/>
  <c r="AE6185" i="2"/>
  <c r="AF6185" i="2" s="1"/>
  <c r="X6185" i="2"/>
  <c r="W6185" i="2"/>
  <c r="AH6184" i="2"/>
  <c r="AE6184" i="2"/>
  <c r="AF6184" i="2" s="1"/>
  <c r="X6184" i="2"/>
  <c r="AC6184" i="2" s="1"/>
  <c r="W6184" i="2"/>
  <c r="AH6183" i="2"/>
  <c r="AE6183" i="2"/>
  <c r="AF6183" i="2" s="1"/>
  <c r="X6183" i="2"/>
  <c r="W6183" i="2"/>
  <c r="AH6182" i="2"/>
  <c r="AE6182" i="2"/>
  <c r="AF6182" i="2" s="1"/>
  <c r="X6182" i="2"/>
  <c r="W6182" i="2"/>
  <c r="AH6181" i="2"/>
  <c r="AE6181" i="2"/>
  <c r="AF6181" i="2" s="1"/>
  <c r="X6181" i="2"/>
  <c r="W6181" i="2"/>
  <c r="AH6180" i="2"/>
  <c r="AE6180" i="2"/>
  <c r="AF6180" i="2" s="1"/>
  <c r="X6180" i="2"/>
  <c r="AC6180" i="2" s="1"/>
  <c r="W6180" i="2"/>
  <c r="AH6179" i="2"/>
  <c r="AE6179" i="2"/>
  <c r="AF6179" i="2" s="1"/>
  <c r="X6179" i="2"/>
  <c r="W6179" i="2"/>
  <c r="AH6178" i="2"/>
  <c r="AE6178" i="2"/>
  <c r="AF6178" i="2" s="1"/>
  <c r="X6178" i="2"/>
  <c r="AC6178" i="2" s="1"/>
  <c r="W6178" i="2"/>
  <c r="AH6177" i="2"/>
  <c r="AE6177" i="2"/>
  <c r="AF6177" i="2" s="1"/>
  <c r="X6177" i="2"/>
  <c r="W6177" i="2"/>
  <c r="AH6176" i="2"/>
  <c r="AE6176" i="2"/>
  <c r="AF6176" i="2" s="1"/>
  <c r="X6176" i="2"/>
  <c r="U6176" i="2"/>
  <c r="W6176" i="2"/>
  <c r="AH6175" i="2"/>
  <c r="AE6175" i="2"/>
  <c r="AF6175" i="2" s="1"/>
  <c r="X6175" i="2"/>
  <c r="W6175" i="2"/>
  <c r="AH6174" i="2"/>
  <c r="AE6174" i="2"/>
  <c r="AF6174" i="2" s="1"/>
  <c r="X6174" i="2"/>
  <c r="W6174" i="2"/>
  <c r="AH6173" i="2"/>
  <c r="AE6173" i="2"/>
  <c r="AF6173" i="2" s="1"/>
  <c r="X6173" i="2"/>
  <c r="W6173" i="2"/>
  <c r="AH6172" i="2"/>
  <c r="AE6172" i="2"/>
  <c r="AF6172" i="2" s="1"/>
  <c r="X6172" i="2"/>
  <c r="U6172" i="2"/>
  <c r="W6172" i="2"/>
  <c r="AH6171" i="2"/>
  <c r="AE6171" i="2"/>
  <c r="AF6171" i="2" s="1"/>
  <c r="X6171" i="2"/>
  <c r="U6171" i="2"/>
  <c r="W6171" i="2"/>
  <c r="AH6170" i="2"/>
  <c r="AE6170" i="2"/>
  <c r="AF6170" i="2" s="1"/>
  <c r="X6170" i="2"/>
  <c r="AC6170" i="2" s="1"/>
  <c r="U6170" i="2"/>
  <c r="W6170" i="2"/>
  <c r="AH6169" i="2"/>
  <c r="AE6169" i="2"/>
  <c r="AF6169" i="2" s="1"/>
  <c r="X6169" i="2"/>
  <c r="W6169" i="2"/>
  <c r="AH6168" i="2"/>
  <c r="AE6168" i="2"/>
  <c r="AF6168" i="2" s="1"/>
  <c r="X6168" i="2"/>
  <c r="Y6168" i="2" s="1"/>
  <c r="U6168" i="2"/>
  <c r="W6168" i="2"/>
  <c r="AH6167" i="2"/>
  <c r="AE6167" i="2"/>
  <c r="AF6167" i="2" s="1"/>
  <c r="X6167" i="2"/>
  <c r="AC6167" i="2" s="1"/>
  <c r="W6167" i="2"/>
  <c r="AH6166" i="2"/>
  <c r="AE6166" i="2"/>
  <c r="AF6166" i="2" s="1"/>
  <c r="X6166" i="2"/>
  <c r="W6166" i="2"/>
  <c r="AH6165" i="2"/>
  <c r="AE6165" i="2"/>
  <c r="AF6165" i="2" s="1"/>
  <c r="X6165" i="2"/>
  <c r="AC6165" i="2" s="1"/>
  <c r="W6165" i="2"/>
  <c r="AH6164" i="2"/>
  <c r="AE6164" i="2"/>
  <c r="AF6164" i="2" s="1"/>
  <c r="X6164" i="2"/>
  <c r="W6164" i="2"/>
  <c r="AH6163" i="2"/>
  <c r="AE6163" i="2"/>
  <c r="AF6163" i="2" s="1"/>
  <c r="X6163" i="2"/>
  <c r="W6163" i="2"/>
  <c r="AH6162" i="2"/>
  <c r="AE6162" i="2"/>
  <c r="AF6162" i="2" s="1"/>
  <c r="X6162" i="2"/>
  <c r="W6162" i="2"/>
  <c r="AH6161" i="2"/>
  <c r="AE6161" i="2"/>
  <c r="AF6161" i="2" s="1"/>
  <c r="X6161" i="2"/>
  <c r="AC6161" i="2" s="1"/>
  <c r="W6161" i="2"/>
  <c r="AH6160" i="2"/>
  <c r="AE6160" i="2"/>
  <c r="AF6160" i="2" s="1"/>
  <c r="X6160" i="2"/>
  <c r="W6160" i="2"/>
  <c r="AH6159" i="2"/>
  <c r="AE6159" i="2"/>
  <c r="AF6159" i="2" s="1"/>
  <c r="X6159" i="2"/>
  <c r="W6159" i="2"/>
  <c r="AH6158" i="2"/>
  <c r="AE6158" i="2"/>
  <c r="AF6158" i="2" s="1"/>
  <c r="X6158" i="2"/>
  <c r="W6158" i="2"/>
  <c r="AH6157" i="2"/>
  <c r="AE6157" i="2"/>
  <c r="AF6157" i="2" s="1"/>
  <c r="X6157" i="2"/>
  <c r="AC6157" i="2" s="1"/>
  <c r="W6157" i="2"/>
  <c r="AH6156" i="2"/>
  <c r="AE6156" i="2"/>
  <c r="AF6156" i="2" s="1"/>
  <c r="X6156" i="2"/>
  <c r="W6156" i="2"/>
  <c r="AH6155" i="2"/>
  <c r="AE6155" i="2"/>
  <c r="AF6155" i="2" s="1"/>
  <c r="X6155" i="2"/>
  <c r="W6155" i="2"/>
  <c r="AH6154" i="2"/>
  <c r="AE6154" i="2"/>
  <c r="AF6154" i="2" s="1"/>
  <c r="X6154" i="2"/>
  <c r="W6154" i="2"/>
  <c r="AH6153" i="2"/>
  <c r="AE6153" i="2"/>
  <c r="AF6153" i="2" s="1"/>
  <c r="X6153" i="2"/>
  <c r="AC6153" i="2" s="1"/>
  <c r="W6153" i="2"/>
  <c r="AH6152" i="2"/>
  <c r="AE6152" i="2"/>
  <c r="AF6152" i="2" s="1"/>
  <c r="X6152" i="2"/>
  <c r="W6152" i="2"/>
  <c r="AH6151" i="2"/>
  <c r="AE6151" i="2"/>
  <c r="AF6151" i="2" s="1"/>
  <c r="X6151" i="2"/>
  <c r="W6151" i="2"/>
  <c r="AH6150" i="2"/>
  <c r="AE6150" i="2"/>
  <c r="AF6150" i="2" s="1"/>
  <c r="X6150" i="2"/>
  <c r="W6150" i="2"/>
  <c r="AH6149" i="2"/>
  <c r="AE6149" i="2"/>
  <c r="AF6149" i="2" s="1"/>
  <c r="X6149" i="2"/>
  <c r="W6149" i="2"/>
  <c r="AH6148" i="2"/>
  <c r="AE6148" i="2"/>
  <c r="AF6148" i="2" s="1"/>
  <c r="X6148" i="2"/>
  <c r="W6148" i="2"/>
  <c r="AH6147" i="2"/>
  <c r="AE6147" i="2"/>
  <c r="AF6147" i="2" s="1"/>
  <c r="X6147" i="2"/>
  <c r="W6147" i="2"/>
  <c r="AH6146" i="2"/>
  <c r="AE6146" i="2"/>
  <c r="AF6146" i="2" s="1"/>
  <c r="X6146" i="2"/>
  <c r="W6146" i="2"/>
  <c r="AH6145" i="2"/>
  <c r="AE6145" i="2"/>
  <c r="AF6145" i="2" s="1"/>
  <c r="X6145" i="2"/>
  <c r="AC6145" i="2" s="1"/>
  <c r="W6145" i="2"/>
  <c r="AH6144" i="2"/>
  <c r="AE6144" i="2"/>
  <c r="AF6144" i="2" s="1"/>
  <c r="X6144" i="2"/>
  <c r="W6144" i="2"/>
  <c r="AH6143" i="2"/>
  <c r="AE6143" i="2"/>
  <c r="AF6143" i="2" s="1"/>
  <c r="X6143" i="2"/>
  <c r="AC6143" i="2" s="1"/>
  <c r="W6143" i="2"/>
  <c r="AH6142" i="2"/>
  <c r="AE6142" i="2"/>
  <c r="AF6142" i="2" s="1"/>
  <c r="X6142" i="2"/>
  <c r="W6142" i="2"/>
  <c r="AH6141" i="2"/>
  <c r="AE6141" i="2"/>
  <c r="AF6141" i="2" s="1"/>
  <c r="X6141" i="2"/>
  <c r="AC6141" i="2" s="1"/>
  <c r="W6141" i="2"/>
  <c r="AH6140" i="2"/>
  <c r="AE6140" i="2"/>
  <c r="AF6140" i="2" s="1"/>
  <c r="X6140" i="2"/>
  <c r="W6140" i="2"/>
  <c r="AH6139" i="2"/>
  <c r="AE6139" i="2"/>
  <c r="AF6139" i="2" s="1"/>
  <c r="X6139" i="2"/>
  <c r="W6139" i="2"/>
  <c r="AH6138" i="2"/>
  <c r="AE6138" i="2"/>
  <c r="AF6138" i="2" s="1"/>
  <c r="X6138" i="2"/>
  <c r="W6138" i="2"/>
  <c r="AH6137" i="2"/>
  <c r="AE6137" i="2"/>
  <c r="AF6137" i="2" s="1"/>
  <c r="X6137" i="2"/>
  <c r="AC6137" i="2" s="1"/>
  <c r="W6137" i="2"/>
  <c r="AH6136" i="2"/>
  <c r="AE6136" i="2"/>
  <c r="AF6136" i="2" s="1"/>
  <c r="X6136" i="2"/>
  <c r="W6136" i="2"/>
  <c r="AH6135" i="2"/>
  <c r="AE6135" i="2"/>
  <c r="AF6135" i="2" s="1"/>
  <c r="X6135" i="2"/>
  <c r="AC6135" i="2" s="1"/>
  <c r="W6135" i="2"/>
  <c r="AH6134" i="2"/>
  <c r="AE6134" i="2"/>
  <c r="AF6134" i="2" s="1"/>
  <c r="X6134" i="2"/>
  <c r="W6134" i="2"/>
  <c r="AH6133" i="2"/>
  <c r="AE6133" i="2"/>
  <c r="AF6133" i="2" s="1"/>
  <c r="X6133" i="2"/>
  <c r="AC6133" i="2" s="1"/>
  <c r="W6133" i="2"/>
  <c r="AH6132" i="2"/>
  <c r="AE6132" i="2"/>
  <c r="AF6132" i="2" s="1"/>
  <c r="X6132" i="2"/>
  <c r="W6132" i="2"/>
  <c r="AH6131" i="2"/>
  <c r="AE6131" i="2"/>
  <c r="AF6131" i="2" s="1"/>
  <c r="X6131" i="2"/>
  <c r="W6131" i="2"/>
  <c r="AH6130" i="2"/>
  <c r="AE6130" i="2"/>
  <c r="AF6130" i="2" s="1"/>
  <c r="X6130" i="2"/>
  <c r="W6130" i="2"/>
  <c r="AH6129" i="2"/>
  <c r="AE6129" i="2"/>
  <c r="AF6129" i="2" s="1"/>
  <c r="X6129" i="2"/>
  <c r="AC6129" i="2" s="1"/>
  <c r="W6129" i="2"/>
  <c r="AH6128" i="2"/>
  <c r="AE6128" i="2"/>
  <c r="AF6128" i="2" s="1"/>
  <c r="X6128" i="2"/>
  <c r="W6128" i="2"/>
  <c r="AH6127" i="2"/>
  <c r="AE6127" i="2"/>
  <c r="AF6127" i="2" s="1"/>
  <c r="X6127" i="2"/>
  <c r="AC6127" i="2" s="1"/>
  <c r="W6127" i="2"/>
  <c r="AH6126" i="2"/>
  <c r="AE6126" i="2"/>
  <c r="AF6126" i="2" s="1"/>
  <c r="X6126" i="2"/>
  <c r="W6126" i="2"/>
  <c r="AH6125" i="2"/>
  <c r="AE6125" i="2"/>
  <c r="AF6125" i="2" s="1"/>
  <c r="X6125" i="2"/>
  <c r="AC6125" i="2" s="1"/>
  <c r="W6125" i="2"/>
  <c r="AH6124" i="2"/>
  <c r="AE6124" i="2"/>
  <c r="AF6124" i="2" s="1"/>
  <c r="X6124" i="2"/>
  <c r="W6124" i="2"/>
  <c r="AH6123" i="2"/>
  <c r="AE6123" i="2"/>
  <c r="AF6123" i="2" s="1"/>
  <c r="X6123" i="2"/>
  <c r="W6123" i="2"/>
  <c r="AH6122" i="2"/>
  <c r="AE6122" i="2"/>
  <c r="AF6122" i="2" s="1"/>
  <c r="X6122" i="2"/>
  <c r="W6122" i="2"/>
  <c r="AH6121" i="2"/>
  <c r="AE6121" i="2"/>
  <c r="AF6121" i="2" s="1"/>
  <c r="X6121" i="2"/>
  <c r="AC6121" i="2" s="1"/>
  <c r="W6121" i="2"/>
  <c r="AH6120" i="2"/>
  <c r="AE6120" i="2"/>
  <c r="AF6120" i="2" s="1"/>
  <c r="X6120" i="2"/>
  <c r="W6120" i="2"/>
  <c r="AH6119" i="2"/>
  <c r="AE6119" i="2"/>
  <c r="AF6119" i="2" s="1"/>
  <c r="X6119" i="2"/>
  <c r="AC6119" i="2" s="1"/>
  <c r="W6119" i="2"/>
  <c r="AH6118" i="2"/>
  <c r="AE6118" i="2"/>
  <c r="AF6118" i="2" s="1"/>
  <c r="X6118" i="2"/>
  <c r="W6118" i="2"/>
  <c r="AH6117" i="2"/>
  <c r="AE6117" i="2"/>
  <c r="AF6117" i="2" s="1"/>
  <c r="X6117" i="2"/>
  <c r="W6117" i="2"/>
  <c r="AH6116" i="2"/>
  <c r="AE6116" i="2"/>
  <c r="AF6116" i="2" s="1"/>
  <c r="X6116" i="2"/>
  <c r="W6116" i="2"/>
  <c r="AH6115" i="2"/>
  <c r="AE6115" i="2"/>
  <c r="AF6115" i="2" s="1"/>
  <c r="X6115" i="2"/>
  <c r="W6115" i="2"/>
  <c r="AH6114" i="2"/>
  <c r="AE6114" i="2"/>
  <c r="AF6114" i="2" s="1"/>
  <c r="X6114" i="2"/>
  <c r="W6114" i="2"/>
  <c r="AH6113" i="2"/>
  <c r="AE6113" i="2"/>
  <c r="AF6113" i="2" s="1"/>
  <c r="X6113" i="2"/>
  <c r="AC6113" i="2" s="1"/>
  <c r="W6113" i="2"/>
  <c r="AH6112" i="2"/>
  <c r="AE6112" i="2"/>
  <c r="AF6112" i="2" s="1"/>
  <c r="X6112" i="2"/>
  <c r="W6112" i="2"/>
  <c r="AH6111" i="2"/>
  <c r="AE6111" i="2"/>
  <c r="AF6111" i="2" s="1"/>
  <c r="X6111" i="2"/>
  <c r="AC6111" i="2" s="1"/>
  <c r="W6111" i="2"/>
  <c r="AH6110" i="2"/>
  <c r="AE6110" i="2"/>
  <c r="AF6110" i="2" s="1"/>
  <c r="X6110" i="2"/>
  <c r="W6110" i="2"/>
  <c r="AH6109" i="2"/>
  <c r="AE6109" i="2"/>
  <c r="AF6109" i="2" s="1"/>
  <c r="X6109" i="2"/>
  <c r="W6109" i="2"/>
  <c r="AH6108" i="2"/>
  <c r="AE6108" i="2"/>
  <c r="AF6108" i="2" s="1"/>
  <c r="X6108" i="2"/>
  <c r="W6108" i="2"/>
  <c r="AH6107" i="2"/>
  <c r="AE6107" i="2"/>
  <c r="AF6107" i="2" s="1"/>
  <c r="X6107" i="2"/>
  <c r="W6107" i="2"/>
  <c r="AH6106" i="2"/>
  <c r="AE6106" i="2"/>
  <c r="AF6106" i="2" s="1"/>
  <c r="X6106" i="2"/>
  <c r="W6106" i="2"/>
  <c r="AH6105" i="2"/>
  <c r="AE6105" i="2"/>
  <c r="AF6105" i="2" s="1"/>
  <c r="X6105" i="2"/>
  <c r="AC6105" i="2" s="1"/>
  <c r="W6105" i="2"/>
  <c r="AH6104" i="2"/>
  <c r="AE6104" i="2"/>
  <c r="AF6104" i="2" s="1"/>
  <c r="X6104" i="2"/>
  <c r="W6104" i="2"/>
  <c r="AH6103" i="2"/>
  <c r="AE6103" i="2"/>
  <c r="AF6103" i="2" s="1"/>
  <c r="AC6103" i="2"/>
  <c r="W6103" i="2"/>
  <c r="AH6102" i="2"/>
  <c r="AE6102" i="2"/>
  <c r="AF6102" i="2" s="1"/>
  <c r="X6102" i="2"/>
  <c r="W6102" i="2"/>
  <c r="AH6101" i="2"/>
  <c r="AE6101" i="2"/>
  <c r="AF6101" i="2" s="1"/>
  <c r="X6101" i="2"/>
  <c r="AC6101" i="2" s="1"/>
  <c r="W6101" i="2"/>
  <c r="AH6100" i="2"/>
  <c r="AE6100" i="2"/>
  <c r="AF6100" i="2" s="1"/>
  <c r="X6100" i="2"/>
  <c r="W6100" i="2"/>
  <c r="AH6099" i="2"/>
  <c r="AE6099" i="2"/>
  <c r="AF6099" i="2" s="1"/>
  <c r="X6099" i="2"/>
  <c r="AC6099" i="2" s="1"/>
  <c r="W6099" i="2"/>
  <c r="AH6098" i="2"/>
  <c r="AE6098" i="2"/>
  <c r="AF6098" i="2" s="1"/>
  <c r="X6098" i="2"/>
  <c r="W6098" i="2"/>
  <c r="AH6097" i="2"/>
  <c r="AE6097" i="2"/>
  <c r="AF6097" i="2" s="1"/>
  <c r="X6097" i="2"/>
  <c r="W6097" i="2"/>
  <c r="AH6096" i="2"/>
  <c r="AE6096" i="2"/>
  <c r="AF6096" i="2" s="1"/>
  <c r="X6096" i="2"/>
  <c r="W6096" i="2"/>
  <c r="AH6095" i="2"/>
  <c r="AE6095" i="2"/>
  <c r="AF6095" i="2" s="1"/>
  <c r="X6095" i="2"/>
  <c r="W6095" i="2"/>
  <c r="AH6094" i="2"/>
  <c r="AE6094" i="2"/>
  <c r="AF6094" i="2" s="1"/>
  <c r="X6094" i="2"/>
  <c r="AC6094" i="2" s="1"/>
  <c r="W6094" i="2"/>
  <c r="AH6093" i="2"/>
  <c r="AE6093" i="2"/>
  <c r="AF6093" i="2" s="1"/>
  <c r="X6093" i="2"/>
  <c r="AC6093" i="2" s="1"/>
  <c r="W6093" i="2"/>
  <c r="AH6092" i="2"/>
  <c r="AE6092" i="2"/>
  <c r="AF6092" i="2" s="1"/>
  <c r="X6092" i="2"/>
  <c r="W6092" i="2"/>
  <c r="AH6091" i="2"/>
  <c r="AE6091" i="2"/>
  <c r="AF6091" i="2" s="1"/>
  <c r="X6091" i="2"/>
  <c r="W6091" i="2"/>
  <c r="AH6090" i="2"/>
  <c r="AE6090" i="2"/>
  <c r="AF6090" i="2" s="1"/>
  <c r="X6090" i="2"/>
  <c r="W6090" i="2"/>
  <c r="AH6089" i="2"/>
  <c r="AE6089" i="2"/>
  <c r="AF6089" i="2" s="1"/>
  <c r="X6089" i="2"/>
  <c r="AC6089" i="2" s="1"/>
  <c r="W6089" i="2"/>
  <c r="AH6088" i="2"/>
  <c r="AE6088" i="2"/>
  <c r="AF6088" i="2" s="1"/>
  <c r="X6088" i="2"/>
  <c r="W6088" i="2"/>
  <c r="AH6087" i="2"/>
  <c r="AE6087" i="2"/>
  <c r="AF6087" i="2" s="1"/>
  <c r="X6087" i="2"/>
  <c r="W6087" i="2"/>
  <c r="AH6086" i="2"/>
  <c r="AE6086" i="2"/>
  <c r="AF6086" i="2" s="1"/>
  <c r="X6086" i="2"/>
  <c r="W6086" i="2"/>
  <c r="AH6085" i="2"/>
  <c r="AE6085" i="2"/>
  <c r="AF6085" i="2" s="1"/>
  <c r="X6085" i="2"/>
  <c r="W6085" i="2"/>
  <c r="AH6084" i="2"/>
  <c r="AE6084" i="2"/>
  <c r="AF6084" i="2" s="1"/>
  <c r="X6084" i="2"/>
  <c r="W6084" i="2"/>
  <c r="AH6083" i="2"/>
  <c r="AE6083" i="2"/>
  <c r="AF6083" i="2" s="1"/>
  <c r="X6083" i="2"/>
  <c r="AC6083" i="2" s="1"/>
  <c r="W6083" i="2"/>
  <c r="AH6082" i="2"/>
  <c r="AE6082" i="2"/>
  <c r="AF6082" i="2" s="1"/>
  <c r="X6082" i="2"/>
  <c r="W6082" i="2"/>
  <c r="AH6081" i="2"/>
  <c r="AE6081" i="2"/>
  <c r="AF6081" i="2" s="1"/>
  <c r="X6081" i="2"/>
  <c r="W6081" i="2"/>
  <c r="AH6080" i="2"/>
  <c r="AE6080" i="2"/>
  <c r="AF6080" i="2" s="1"/>
  <c r="AC6080" i="2"/>
  <c r="W6080" i="2"/>
  <c r="AH6079" i="2"/>
  <c r="AE6079" i="2"/>
  <c r="AF6079" i="2" s="1"/>
  <c r="W6079" i="2"/>
  <c r="AH6078" i="2"/>
  <c r="AE6078" i="2"/>
  <c r="AF6078" i="2" s="1"/>
  <c r="X6078" i="2"/>
  <c r="W6078" i="2"/>
  <c r="AH6077" i="2"/>
  <c r="AE6077" i="2"/>
  <c r="AF6077" i="2" s="1"/>
  <c r="X6077" i="2"/>
  <c r="W6077" i="2"/>
  <c r="AH6076" i="2"/>
  <c r="AE6076" i="2"/>
  <c r="AF6076" i="2" s="1"/>
  <c r="X6076" i="2"/>
  <c r="W6076" i="2"/>
  <c r="AH6075" i="2"/>
  <c r="AE6075" i="2"/>
  <c r="AF6075" i="2" s="1"/>
  <c r="X6075" i="2"/>
  <c r="W6075" i="2"/>
  <c r="AH6074" i="2"/>
  <c r="AE6074" i="2"/>
  <c r="AD6074" i="2"/>
  <c r="X6074" i="2"/>
  <c r="AC6074" i="2" s="1"/>
  <c r="W6074" i="2"/>
  <c r="AH6073" i="2"/>
  <c r="AE6073" i="2"/>
  <c r="AD6073" i="2"/>
  <c r="X6073" i="2"/>
  <c r="AC6073" i="2" s="1"/>
  <c r="W6073" i="2"/>
  <c r="AH6072" i="2"/>
  <c r="AE6072" i="2"/>
  <c r="AD6072" i="2"/>
  <c r="X6072" i="2"/>
  <c r="AC6072" i="2" s="1"/>
  <c r="W6072" i="2"/>
  <c r="AH6071" i="2"/>
  <c r="AE6071" i="2"/>
  <c r="AF6071" i="2" s="1"/>
  <c r="AD6071" i="2"/>
  <c r="X6071" i="2"/>
  <c r="W6071" i="2"/>
  <c r="AH6070" i="2"/>
  <c r="AE6070" i="2"/>
  <c r="AD6070" i="2"/>
  <c r="X6070" i="2"/>
  <c r="W6070" i="2"/>
  <c r="AH6069" i="2"/>
  <c r="AE6069" i="2"/>
  <c r="AD6069" i="2"/>
  <c r="X6069" i="2"/>
  <c r="W6069" i="2"/>
  <c r="AH6068" i="2"/>
  <c r="AE6068" i="2"/>
  <c r="AD6068" i="2"/>
  <c r="AF6068" i="2" s="1"/>
  <c r="X6068" i="2"/>
  <c r="W6068" i="2"/>
  <c r="AH6067" i="2"/>
  <c r="AE6067" i="2"/>
  <c r="AD6067" i="2"/>
  <c r="X6067" i="2"/>
  <c r="W6067" i="2"/>
  <c r="AH6066" i="2"/>
  <c r="AE6066" i="2"/>
  <c r="AD6066" i="2"/>
  <c r="X6066" i="2"/>
  <c r="AC6066" i="2" s="1"/>
  <c r="W6066" i="2"/>
  <c r="AH6065" i="2"/>
  <c r="AE6065" i="2"/>
  <c r="AD6065" i="2"/>
  <c r="X6065" i="2"/>
  <c r="AC6065" i="2" s="1"/>
  <c r="W6065" i="2"/>
  <c r="AH6064" i="2"/>
  <c r="AE6064" i="2"/>
  <c r="AD6064" i="2"/>
  <c r="X6064" i="2"/>
  <c r="AH6063" i="2"/>
  <c r="AE6063" i="2"/>
  <c r="AD6063" i="2"/>
  <c r="Y6063" i="2" s="1"/>
  <c r="X6063" i="2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AC6060" i="2" s="1"/>
  <c r="W6060" i="2"/>
  <c r="AH6059" i="2"/>
  <c r="AE6059" i="2"/>
  <c r="AD6059" i="2"/>
  <c r="X6059" i="2"/>
  <c r="W6059" i="2"/>
  <c r="AH6058" i="2"/>
  <c r="AE6058" i="2"/>
  <c r="AF6058" i="2" s="1"/>
  <c r="AD6058" i="2"/>
  <c r="X6058" i="2"/>
  <c r="W6058" i="2"/>
  <c r="AH6057" i="2"/>
  <c r="AE6057" i="2"/>
  <c r="AD6057" i="2"/>
  <c r="X6057" i="2"/>
  <c r="AC6057" i="2" s="1"/>
  <c r="W6057" i="2"/>
  <c r="AH6056" i="2"/>
  <c r="AE6056" i="2"/>
  <c r="AD6056" i="2"/>
  <c r="X6056" i="2"/>
  <c r="W6056" i="2"/>
  <c r="AH6055" i="2"/>
  <c r="AE6055" i="2"/>
  <c r="AD6055" i="2"/>
  <c r="Y6055" i="2" s="1"/>
  <c r="X6055" i="2"/>
  <c r="W6055" i="2"/>
  <c r="AH6054" i="2"/>
  <c r="AE6054" i="2"/>
  <c r="AD6054" i="2"/>
  <c r="X6054" i="2"/>
  <c r="AC6054" i="2" s="1"/>
  <c r="W6054" i="2"/>
  <c r="AH6053" i="2"/>
  <c r="AE6053" i="2"/>
  <c r="AD6053" i="2"/>
  <c r="X6053" i="2"/>
  <c r="AA6053" i="2" s="1"/>
  <c r="AB6053" i="2" s="1"/>
  <c r="AK6053" i="2" s="1"/>
  <c r="W6053" i="2"/>
  <c r="AH6052" i="2"/>
  <c r="AE6052" i="2"/>
  <c r="AD6052" i="2"/>
  <c r="X6052" i="2"/>
  <c r="AC6052" i="2" s="1"/>
  <c r="W6052" i="2"/>
  <c r="AH6051" i="2"/>
  <c r="AE6051" i="2"/>
  <c r="AD6051" i="2"/>
  <c r="X6051" i="2"/>
  <c r="W6051" i="2"/>
  <c r="AH6050" i="2"/>
  <c r="AE6050" i="2"/>
  <c r="AF6050" i="2" s="1"/>
  <c r="AD6050" i="2"/>
  <c r="X6050" i="2"/>
  <c r="W6050" i="2"/>
  <c r="AH6049" i="2"/>
  <c r="AE6049" i="2"/>
  <c r="AD6049" i="2"/>
  <c r="X6049" i="2"/>
  <c r="AC6049" i="2" s="1"/>
  <c r="AH6048" i="2"/>
  <c r="AE6048" i="2"/>
  <c r="AD6048" i="2"/>
  <c r="X6048" i="2"/>
  <c r="W6048" i="2"/>
  <c r="AH6047" i="2"/>
  <c r="AE6047" i="2"/>
  <c r="AD6047" i="2"/>
  <c r="X6047" i="2"/>
  <c r="AC6047" i="2" s="1"/>
  <c r="W6047" i="2"/>
  <c r="AH6046" i="2"/>
  <c r="AE6046" i="2"/>
  <c r="AD6046" i="2"/>
  <c r="X6046" i="2"/>
  <c r="AC6046" i="2" s="1"/>
  <c r="W6046" i="2"/>
  <c r="AH6045" i="2"/>
  <c r="AE6045" i="2"/>
  <c r="AD6045" i="2"/>
  <c r="X6045" i="2"/>
  <c r="AC6045" i="2" s="1"/>
  <c r="W6045" i="2"/>
  <c r="AH6044" i="2"/>
  <c r="AE6044" i="2"/>
  <c r="AD6044" i="2"/>
  <c r="X6044" i="2"/>
  <c r="W6044" i="2"/>
  <c r="AH6043" i="2"/>
  <c r="AE6043" i="2"/>
  <c r="AD6043" i="2"/>
  <c r="X6043" i="2"/>
  <c r="AC6043" i="2" s="1"/>
  <c r="W6043" i="2"/>
  <c r="AH6042" i="2"/>
  <c r="AE6042" i="2"/>
  <c r="AD6042" i="2"/>
  <c r="AF6042" i="2" s="1"/>
  <c r="X6042" i="2"/>
  <c r="W6042" i="2"/>
  <c r="AH6041" i="2"/>
  <c r="AE6041" i="2"/>
  <c r="AD6041" i="2"/>
  <c r="X6041" i="2"/>
  <c r="AC6041" i="2" s="1"/>
  <c r="W6041" i="2"/>
  <c r="AH6040" i="2"/>
  <c r="AE6040" i="2"/>
  <c r="AD6040" i="2"/>
  <c r="X6040" i="2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F6037" i="2" s="1"/>
  <c r="AD6037" i="2"/>
  <c r="X6037" i="2"/>
  <c r="W6037" i="2"/>
  <c r="AH6036" i="2"/>
  <c r="AE6036" i="2"/>
  <c r="AD6036" i="2"/>
  <c r="X6036" i="2"/>
  <c r="W6036" i="2"/>
  <c r="AH6035" i="2"/>
  <c r="AE6035" i="2"/>
  <c r="AD6035" i="2"/>
  <c r="X6035" i="2"/>
  <c r="W6035" i="2"/>
  <c r="AH6034" i="2"/>
  <c r="AE6034" i="2"/>
  <c r="AD6034" i="2"/>
  <c r="Y6034" i="2" s="1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B6031" i="2" s="1"/>
  <c r="AK6031" i="2" s="1"/>
  <c r="W6031" i="2"/>
  <c r="AH6030" i="2"/>
  <c r="AE6030" i="2"/>
  <c r="AD6030" i="2"/>
  <c r="X6030" i="2"/>
  <c r="W6030" i="2"/>
  <c r="AH6029" i="2"/>
  <c r="AE6029" i="2"/>
  <c r="AF6029" i="2" s="1"/>
  <c r="AD6029" i="2"/>
  <c r="X6029" i="2"/>
  <c r="W6029" i="2"/>
  <c r="AH6028" i="2"/>
  <c r="AE6028" i="2"/>
  <c r="AD6028" i="2"/>
  <c r="X6028" i="2"/>
  <c r="AC6028" i="2" s="1"/>
  <c r="W6028" i="2"/>
  <c r="AH6027" i="2"/>
  <c r="AE6027" i="2"/>
  <c r="AD6027" i="2"/>
  <c r="X6027" i="2"/>
  <c r="W6027" i="2"/>
  <c r="AH6026" i="2"/>
  <c r="AE6026" i="2"/>
  <c r="AD6026" i="2"/>
  <c r="AF6026" i="2" s="1"/>
  <c r="X6026" i="2"/>
  <c r="W6026" i="2"/>
  <c r="AH6025" i="2"/>
  <c r="AE6025" i="2"/>
  <c r="AD6025" i="2"/>
  <c r="X6025" i="2"/>
  <c r="AC6025" i="2" s="1"/>
  <c r="W6025" i="2"/>
  <c r="AH6024" i="2"/>
  <c r="AE6024" i="2"/>
  <c r="AD6024" i="2"/>
  <c r="X6024" i="2"/>
  <c r="AC6024" i="2" s="1"/>
  <c r="W6024" i="2"/>
  <c r="AH6023" i="2"/>
  <c r="AE6023" i="2"/>
  <c r="AD6023" i="2"/>
  <c r="X6023" i="2"/>
  <c r="AB6023" i="2" s="1"/>
  <c r="AK6023" i="2" s="1"/>
  <c r="W6023" i="2"/>
  <c r="AH6022" i="2"/>
  <c r="AE6022" i="2"/>
  <c r="AD6022" i="2"/>
  <c r="X6022" i="2"/>
  <c r="W6022" i="2"/>
  <c r="AH6021" i="2"/>
  <c r="AE6021" i="2"/>
  <c r="AF6021" i="2" s="1"/>
  <c r="AD6021" i="2"/>
  <c r="X6021" i="2"/>
  <c r="W6021" i="2"/>
  <c r="AH6020" i="2"/>
  <c r="AE6020" i="2"/>
  <c r="AD6020" i="2"/>
  <c r="X6020" i="2"/>
  <c r="AC6020" i="2" s="1"/>
  <c r="W6020" i="2"/>
  <c r="AH6019" i="2"/>
  <c r="AE6019" i="2"/>
  <c r="AD6019" i="2"/>
  <c r="X6019" i="2"/>
  <c r="W6019" i="2"/>
  <c r="AH6018" i="2"/>
  <c r="AE6018" i="2"/>
  <c r="AD6018" i="2"/>
  <c r="Y6018" i="2" s="1"/>
  <c r="X6018" i="2"/>
  <c r="W6018" i="2"/>
  <c r="AH6017" i="2"/>
  <c r="AE6017" i="2"/>
  <c r="AD6017" i="2"/>
  <c r="X6017" i="2"/>
  <c r="AK6017" i="2" s="1"/>
  <c r="W6017" i="2"/>
  <c r="AH6016" i="2"/>
  <c r="AE6016" i="2"/>
  <c r="AD6016" i="2"/>
  <c r="X6016" i="2"/>
  <c r="AC6016" i="2" s="1"/>
  <c r="W6016" i="2"/>
  <c r="AH6015" i="2"/>
  <c r="AE6015" i="2"/>
  <c r="AD6015" i="2"/>
  <c r="X6015" i="2"/>
  <c r="AC6015" i="2" s="1"/>
  <c r="W6015" i="2"/>
  <c r="AH6014" i="2"/>
  <c r="AE6014" i="2"/>
  <c r="AD6014" i="2"/>
  <c r="X6014" i="2"/>
  <c r="W6014" i="2"/>
  <c r="AH6013" i="2"/>
  <c r="AE6013" i="2"/>
  <c r="AF6013" i="2" s="1"/>
  <c r="AD6013" i="2"/>
  <c r="X6013" i="2"/>
  <c r="W6013" i="2"/>
  <c r="AH6012" i="2"/>
  <c r="AE6012" i="2"/>
  <c r="AD6012" i="2"/>
  <c r="X6012" i="2"/>
  <c r="AC6012" i="2" s="1"/>
  <c r="W6012" i="2"/>
  <c r="AH6011" i="2"/>
  <c r="AE6011" i="2"/>
  <c r="AD6011" i="2"/>
  <c r="X6011" i="2"/>
  <c r="W6011" i="2"/>
  <c r="AH6010" i="2"/>
  <c r="AE6010" i="2"/>
  <c r="AD6010" i="2"/>
  <c r="AF6010" i="2" s="1"/>
  <c r="X6010" i="2"/>
  <c r="W6010" i="2"/>
  <c r="AH6009" i="2"/>
  <c r="AE6009" i="2"/>
  <c r="AD6009" i="2"/>
  <c r="X6009" i="2"/>
  <c r="W6009" i="2"/>
  <c r="AH6008" i="2"/>
  <c r="AE6008" i="2"/>
  <c r="AD6008" i="2"/>
  <c r="X6008" i="2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F6005" i="2" s="1"/>
  <c r="AD6005" i="2"/>
  <c r="X6005" i="2"/>
  <c r="W6005" i="2"/>
  <c r="AH6004" i="2"/>
  <c r="AE6004" i="2"/>
  <c r="AD6004" i="2"/>
  <c r="X6004" i="2"/>
  <c r="W6004" i="2"/>
  <c r="AH6003" i="2"/>
  <c r="AE6003" i="2"/>
  <c r="AD6003" i="2"/>
  <c r="X6003" i="2"/>
  <c r="W6003" i="2"/>
  <c r="AH6002" i="2"/>
  <c r="AE6002" i="2"/>
  <c r="AD6002" i="2"/>
  <c r="Y6002" i="2" s="1"/>
  <c r="X6002" i="2"/>
  <c r="AC6002" i="2" s="1"/>
  <c r="W6002" i="2"/>
  <c r="AH6001" i="2"/>
  <c r="AE6001" i="2"/>
  <c r="AD6001" i="2"/>
  <c r="X6001" i="2"/>
  <c r="AC6001" i="2" s="1"/>
  <c r="W6001" i="2"/>
  <c r="AH6000" i="2"/>
  <c r="AE6000" i="2"/>
  <c r="AD6000" i="2"/>
  <c r="X6000" i="2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F5997" i="2" s="1"/>
  <c r="AD5997" i="2"/>
  <c r="X5997" i="2"/>
  <c r="W5997" i="2"/>
  <c r="AH5996" i="2"/>
  <c r="AE5996" i="2"/>
  <c r="AD5996" i="2"/>
  <c r="X5996" i="2"/>
  <c r="W5996" i="2"/>
  <c r="AH5995" i="2"/>
  <c r="AE5995" i="2"/>
  <c r="AD5995" i="2"/>
  <c r="X5995" i="2"/>
  <c r="W5995" i="2"/>
  <c r="AH5994" i="2"/>
  <c r="AE5994" i="2"/>
  <c r="AD5994" i="2"/>
  <c r="Y5994" i="2" s="1"/>
  <c r="X5994" i="2"/>
  <c r="AC5994" i="2" s="1"/>
  <c r="W5994" i="2"/>
  <c r="AH5993" i="2"/>
  <c r="AE5993" i="2"/>
  <c r="AD5993" i="2"/>
  <c r="X5993" i="2"/>
  <c r="W5993" i="2"/>
  <c r="AH5992" i="2"/>
  <c r="AE5992" i="2"/>
  <c r="AD5992" i="2"/>
  <c r="X5992" i="2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F5989" i="2" s="1"/>
  <c r="AD5989" i="2"/>
  <c r="X5989" i="2"/>
  <c r="W5989" i="2"/>
  <c r="AH5988" i="2"/>
  <c r="AE5988" i="2"/>
  <c r="AD5988" i="2"/>
  <c r="X5988" i="2"/>
  <c r="W5988" i="2"/>
  <c r="AH5987" i="2"/>
  <c r="AE5987" i="2"/>
  <c r="AD5987" i="2"/>
  <c r="X5987" i="2"/>
  <c r="AH5986" i="2"/>
  <c r="AE5986" i="2"/>
  <c r="AD5986" i="2"/>
  <c r="X5986" i="2"/>
  <c r="Y5986" i="2" s="1"/>
  <c r="W5986" i="2"/>
  <c r="AH5985" i="2"/>
  <c r="AE5985" i="2"/>
  <c r="AD5985" i="2"/>
  <c r="X5985" i="2"/>
  <c r="W5985" i="2"/>
  <c r="AH5984" i="2"/>
  <c r="AE5984" i="2"/>
  <c r="AF5984" i="2" s="1"/>
  <c r="AD5984" i="2"/>
  <c r="X5984" i="2"/>
  <c r="W5984" i="2"/>
  <c r="AH5983" i="2"/>
  <c r="AE5983" i="2"/>
  <c r="AD5983" i="2"/>
  <c r="X5983" i="2"/>
  <c r="W5983" i="2"/>
  <c r="AH5982" i="2"/>
  <c r="AE5982" i="2"/>
  <c r="AD5982" i="2"/>
  <c r="X5982" i="2"/>
  <c r="W5982" i="2"/>
  <c r="AH5981" i="2"/>
  <c r="AE5981" i="2"/>
  <c r="AD5981" i="2"/>
  <c r="AF5981" i="2" s="1"/>
  <c r="X5981" i="2"/>
  <c r="W5981" i="2"/>
  <c r="AH5980" i="2"/>
  <c r="AE5980" i="2"/>
  <c r="AD5980" i="2"/>
  <c r="X5980" i="2"/>
  <c r="W5980" i="2"/>
  <c r="AH5979" i="2"/>
  <c r="AE5979" i="2"/>
  <c r="AD5979" i="2"/>
  <c r="X5979" i="2"/>
  <c r="W5979" i="2"/>
  <c r="AH5978" i="2"/>
  <c r="AE5978" i="2"/>
  <c r="AD5978" i="2"/>
  <c r="X5978" i="2"/>
  <c r="AC5978" i="2" s="1"/>
  <c r="W5978" i="2"/>
  <c r="AH5977" i="2"/>
  <c r="AE5977" i="2"/>
  <c r="AD5977" i="2"/>
  <c r="X5977" i="2"/>
  <c r="AC5977" i="2" s="1"/>
  <c r="W5977" i="2"/>
  <c r="AH5976" i="2"/>
  <c r="AE5976" i="2"/>
  <c r="AD5976" i="2"/>
  <c r="X5976" i="2"/>
  <c r="W5976" i="2"/>
  <c r="AH5975" i="2"/>
  <c r="AE5975" i="2"/>
  <c r="AD5975" i="2"/>
  <c r="X5975" i="2"/>
  <c r="W5975" i="2"/>
  <c r="AH5974" i="2"/>
  <c r="AE5974" i="2"/>
  <c r="AD5974" i="2"/>
  <c r="X5974" i="2"/>
  <c r="W5974" i="2"/>
  <c r="AH5973" i="2"/>
  <c r="AE5973" i="2"/>
  <c r="AD5973" i="2"/>
  <c r="AF5973" i="2" s="1"/>
  <c r="X5973" i="2"/>
  <c r="W5973" i="2"/>
  <c r="AH5972" i="2"/>
  <c r="AE5972" i="2"/>
  <c r="AD5972" i="2"/>
  <c r="X5972" i="2"/>
  <c r="AC5972" i="2" s="1"/>
  <c r="W5972" i="2"/>
  <c r="AH5971" i="2"/>
  <c r="AE5971" i="2"/>
  <c r="AD5971" i="2"/>
  <c r="X5971" i="2"/>
  <c r="W5971" i="2"/>
  <c r="AH5970" i="2"/>
  <c r="AE5970" i="2"/>
  <c r="AD5970" i="2"/>
  <c r="X5970" i="2"/>
  <c r="AC5970" i="2" s="1"/>
  <c r="W5970" i="2"/>
  <c r="AH5969" i="2"/>
  <c r="AE5969" i="2"/>
  <c r="AD5969" i="2"/>
  <c r="X5969" i="2"/>
  <c r="AK5969" i="2" s="1"/>
  <c r="W5969" i="2"/>
  <c r="AH5968" i="2"/>
  <c r="AE5968" i="2"/>
  <c r="AF5968" i="2" s="1"/>
  <c r="AD5968" i="2"/>
  <c r="X5968" i="2"/>
  <c r="AK5968" i="2" s="1"/>
  <c r="W5968" i="2"/>
  <c r="AH5967" i="2"/>
  <c r="AE5967" i="2"/>
  <c r="AD5967" i="2"/>
  <c r="X5967" i="2"/>
  <c r="W5967" i="2"/>
  <c r="AH5966" i="2"/>
  <c r="AE5966" i="2"/>
  <c r="AD5966" i="2"/>
  <c r="X5966" i="2"/>
  <c r="W5966" i="2"/>
  <c r="AH5965" i="2"/>
  <c r="AE5965" i="2"/>
  <c r="AD5965" i="2"/>
  <c r="AF5965" i="2" s="1"/>
  <c r="X5965" i="2"/>
  <c r="AK5965" i="2" s="1"/>
  <c r="W5965" i="2"/>
  <c r="AH5964" i="2"/>
  <c r="AE5964" i="2"/>
  <c r="AD5964" i="2"/>
  <c r="X5964" i="2"/>
  <c r="AC5964" i="2" s="1"/>
  <c r="W5964" i="2"/>
  <c r="AH5963" i="2"/>
  <c r="AE5963" i="2"/>
  <c r="AD5963" i="2"/>
  <c r="X5963" i="2"/>
  <c r="W5963" i="2"/>
  <c r="AH5962" i="2"/>
  <c r="AE5962" i="2"/>
  <c r="AD5962" i="2"/>
  <c r="X5962" i="2"/>
  <c r="AC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W5960" i="2"/>
  <c r="AH5959" i="2"/>
  <c r="AE5959" i="2"/>
  <c r="AD5959" i="2"/>
  <c r="X5959" i="2"/>
  <c r="W5959" i="2"/>
  <c r="AH5958" i="2"/>
  <c r="AE5958" i="2"/>
  <c r="AD5958" i="2"/>
  <c r="X5958" i="2"/>
  <c r="W5958" i="2"/>
  <c r="AH5957" i="2"/>
  <c r="AE5957" i="2"/>
  <c r="AD5957" i="2"/>
  <c r="Y5957" i="2" s="1"/>
  <c r="X5957" i="2"/>
  <c r="W5957" i="2"/>
  <c r="AH5956" i="2"/>
  <c r="AE5956" i="2"/>
  <c r="AD5956" i="2"/>
  <c r="X5956" i="2"/>
  <c r="W5956" i="2"/>
  <c r="AH5955" i="2"/>
  <c r="AE5955" i="2"/>
  <c r="AD5955" i="2"/>
  <c r="X5955" i="2"/>
  <c r="W5955" i="2"/>
  <c r="AH5954" i="2"/>
  <c r="AE5954" i="2"/>
  <c r="AD5954" i="2"/>
  <c r="X5954" i="2"/>
  <c r="AC5954" i="2" s="1"/>
  <c r="W5954" i="2"/>
  <c r="AH5953" i="2"/>
  <c r="AE5953" i="2"/>
  <c r="AD5953" i="2"/>
  <c r="X5953" i="2"/>
  <c r="W5953" i="2"/>
  <c r="AH5952" i="2"/>
  <c r="AE5952" i="2"/>
  <c r="AF5952" i="2" s="1"/>
  <c r="AD5952" i="2"/>
  <c r="X5952" i="2"/>
  <c r="AC5952" i="2" s="1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Y5949" i="2" s="1"/>
  <c r="X5949" i="2"/>
  <c r="W5949" i="2"/>
  <c r="AH5948" i="2"/>
  <c r="AE5948" i="2"/>
  <c r="AD5948" i="2"/>
  <c r="X5948" i="2"/>
  <c r="W5948" i="2"/>
  <c r="AH5947" i="2"/>
  <c r="AE5947" i="2"/>
  <c r="AD5947" i="2"/>
  <c r="X5947" i="2"/>
  <c r="W5947" i="2"/>
  <c r="AH5946" i="2"/>
  <c r="AE5946" i="2"/>
  <c r="AD5946" i="2"/>
  <c r="X5946" i="2"/>
  <c r="AC5946" i="2" s="1"/>
  <c r="W5946" i="2"/>
  <c r="AH5945" i="2"/>
  <c r="AE5945" i="2"/>
  <c r="AD5945" i="2"/>
  <c r="X5945" i="2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W5942" i="2"/>
  <c r="AH5941" i="2"/>
  <c r="AE5941" i="2"/>
  <c r="AD5941" i="2"/>
  <c r="Y5941" i="2" s="1"/>
  <c r="X5941" i="2"/>
  <c r="W5941" i="2"/>
  <c r="AH5940" i="2"/>
  <c r="AE5940" i="2"/>
  <c r="AD5940" i="2"/>
  <c r="X5940" i="2"/>
  <c r="W5940" i="2"/>
  <c r="AH5939" i="2"/>
  <c r="AE5939" i="2"/>
  <c r="AD5939" i="2"/>
  <c r="X5939" i="2"/>
  <c r="W5939" i="2"/>
  <c r="AH5938" i="2"/>
  <c r="AE5938" i="2"/>
  <c r="AD5938" i="2"/>
  <c r="X5938" i="2"/>
  <c r="Y5938" i="2" s="1"/>
  <c r="W5938" i="2"/>
  <c r="AH5937" i="2"/>
  <c r="AE5937" i="2"/>
  <c r="AD5937" i="2"/>
  <c r="X5937" i="2"/>
  <c r="W5937" i="2"/>
  <c r="AH5936" i="2"/>
  <c r="AE5936" i="2"/>
  <c r="AD5936" i="2"/>
  <c r="X5936" i="2"/>
  <c r="W5936" i="2"/>
  <c r="AH5935" i="2"/>
  <c r="AE5935" i="2"/>
  <c r="AD5935" i="2"/>
  <c r="X5935" i="2"/>
  <c r="W5935" i="2"/>
  <c r="AH5934" i="2"/>
  <c r="AE5934" i="2"/>
  <c r="AD5934" i="2"/>
  <c r="X5934" i="2"/>
  <c r="W5934" i="2"/>
  <c r="AH5933" i="2"/>
  <c r="AE5933" i="2"/>
  <c r="AD5933" i="2"/>
  <c r="X5933" i="2"/>
  <c r="W5933" i="2"/>
  <c r="AH5932" i="2"/>
  <c r="AE5932" i="2"/>
  <c r="AD5932" i="2"/>
  <c r="X5932" i="2"/>
  <c r="W5932" i="2"/>
  <c r="AH5931" i="2"/>
  <c r="AE5931" i="2"/>
  <c r="AD5931" i="2"/>
  <c r="X5931" i="2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W5929" i="2"/>
  <c r="AH5928" i="2"/>
  <c r="AE5928" i="2"/>
  <c r="AF5928" i="2" s="1"/>
  <c r="AD5928" i="2"/>
  <c r="X5928" i="2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Y5925" i="2" s="1"/>
  <c r="X5925" i="2"/>
  <c r="W5925" i="2"/>
  <c r="AH5924" i="2"/>
  <c r="AE5924" i="2"/>
  <c r="AD5924" i="2"/>
  <c r="X5924" i="2"/>
  <c r="W5924" i="2"/>
  <c r="AH5923" i="2"/>
  <c r="AE5923" i="2"/>
  <c r="AD5923" i="2"/>
  <c r="X5923" i="2"/>
  <c r="W5923" i="2"/>
  <c r="AH5922" i="2"/>
  <c r="AE5922" i="2"/>
  <c r="AD5922" i="2"/>
  <c r="X5922" i="2"/>
  <c r="AB5922" i="2" s="1"/>
  <c r="AK5922" i="2" s="1"/>
  <c r="W5922" i="2"/>
  <c r="AH5921" i="2"/>
  <c r="AE5921" i="2"/>
  <c r="AD5921" i="2"/>
  <c r="X5921" i="2"/>
  <c r="W5921" i="2"/>
  <c r="AH5920" i="2"/>
  <c r="AE5920" i="2"/>
  <c r="AF5920" i="2" s="1"/>
  <c r="AD5920" i="2"/>
  <c r="X5920" i="2"/>
  <c r="W5920" i="2"/>
  <c r="AH5919" i="2"/>
  <c r="AE5919" i="2"/>
  <c r="AD5919" i="2"/>
  <c r="X5919" i="2"/>
  <c r="W5919" i="2"/>
  <c r="AH5918" i="2"/>
  <c r="AE5918" i="2"/>
  <c r="AD5918" i="2"/>
  <c r="X5918" i="2"/>
  <c r="W5918" i="2"/>
  <c r="AH5917" i="2"/>
  <c r="AE5917" i="2"/>
  <c r="AD5917" i="2"/>
  <c r="Y5917" i="2" s="1"/>
  <c r="X5917" i="2"/>
  <c r="W5917" i="2"/>
  <c r="AH5916" i="2"/>
  <c r="AE5916" i="2"/>
  <c r="AD5916" i="2"/>
  <c r="X5916" i="2"/>
  <c r="W5916" i="2"/>
  <c r="AH5915" i="2"/>
  <c r="AE5915" i="2"/>
  <c r="AD5915" i="2"/>
  <c r="X5915" i="2"/>
  <c r="W5915" i="2"/>
  <c r="AH5914" i="2"/>
  <c r="AE5914" i="2"/>
  <c r="AD5914" i="2"/>
  <c r="X5914" i="2"/>
  <c r="AB5914" i="2" s="1"/>
  <c r="AK5914" i="2" s="1"/>
  <c r="W5914" i="2"/>
  <c r="AH5913" i="2"/>
  <c r="AE5913" i="2"/>
  <c r="AD5913" i="2"/>
  <c r="X5913" i="2"/>
  <c r="W5913" i="2"/>
  <c r="AH5912" i="2"/>
  <c r="AE5912" i="2"/>
  <c r="AD5912" i="2"/>
  <c r="X5912" i="2"/>
  <c r="W5912" i="2"/>
  <c r="AH5911" i="2"/>
  <c r="AE5911" i="2"/>
  <c r="AD5911" i="2"/>
  <c r="X5911" i="2"/>
  <c r="W5911" i="2"/>
  <c r="AH5910" i="2"/>
  <c r="AE5910" i="2"/>
  <c r="AD5910" i="2"/>
  <c r="X5910" i="2"/>
  <c r="AK5910" i="2" s="1"/>
  <c r="W5910" i="2"/>
  <c r="AH5909" i="2"/>
  <c r="AE5909" i="2"/>
  <c r="AD5909" i="2"/>
  <c r="AF5909" i="2" s="1"/>
  <c r="X5909" i="2"/>
  <c r="AC5909" i="2" s="1"/>
  <c r="W5909" i="2"/>
  <c r="AH5908" i="2"/>
  <c r="AE5908" i="2"/>
  <c r="AD5908" i="2"/>
  <c r="X5908" i="2"/>
  <c r="W5908" i="2"/>
  <c r="AH5907" i="2"/>
  <c r="AE5907" i="2"/>
  <c r="AD5907" i="2"/>
  <c r="X5907" i="2"/>
  <c r="W5907" i="2"/>
  <c r="AH5906" i="2"/>
  <c r="AE5906" i="2"/>
  <c r="AD5906" i="2"/>
  <c r="X5906" i="2"/>
  <c r="AC5906" i="2" s="1"/>
  <c r="W5906" i="2"/>
  <c r="AH5905" i="2"/>
  <c r="AE5905" i="2"/>
  <c r="AD5905" i="2"/>
  <c r="X5905" i="2"/>
  <c r="W5905" i="2"/>
  <c r="AH5904" i="2"/>
  <c r="AE5904" i="2"/>
  <c r="AF5904" i="2" s="1"/>
  <c r="AD5904" i="2"/>
  <c r="X5904" i="2"/>
  <c r="W5904" i="2"/>
  <c r="AH5903" i="2"/>
  <c r="AE5903" i="2"/>
  <c r="AD5903" i="2"/>
  <c r="X5903" i="2"/>
  <c r="W5903" i="2"/>
  <c r="AH5902" i="2"/>
  <c r="AE5902" i="2"/>
  <c r="AD5902" i="2"/>
  <c r="X5902" i="2"/>
  <c r="W5902" i="2"/>
  <c r="AH5901" i="2"/>
  <c r="AE5901" i="2"/>
  <c r="AD5901" i="2"/>
  <c r="X5901" i="2"/>
  <c r="W5901" i="2"/>
  <c r="AH5900" i="2"/>
  <c r="AE5900" i="2"/>
  <c r="AD5900" i="2"/>
  <c r="X5900" i="2"/>
  <c r="W5900" i="2"/>
  <c r="AH5899" i="2"/>
  <c r="AE5899" i="2"/>
  <c r="AD5899" i="2"/>
  <c r="X5899" i="2"/>
  <c r="W5899" i="2"/>
  <c r="AH5898" i="2"/>
  <c r="AE5898" i="2"/>
  <c r="AD5898" i="2"/>
  <c r="X5898" i="2"/>
  <c r="AB5898" i="2" s="1"/>
  <c r="AK5898" i="2" s="1"/>
  <c r="W5898" i="2"/>
  <c r="AH5897" i="2"/>
  <c r="AE5897" i="2"/>
  <c r="AD5897" i="2"/>
  <c r="X5897" i="2"/>
  <c r="W5897" i="2"/>
  <c r="AH5896" i="2"/>
  <c r="AE5896" i="2"/>
  <c r="AF5896" i="2" s="1"/>
  <c r="AD5896" i="2"/>
  <c r="X5896" i="2"/>
  <c r="W5896" i="2"/>
  <c r="AH5895" i="2"/>
  <c r="AE5895" i="2"/>
  <c r="AD5895" i="2"/>
  <c r="X5895" i="2"/>
  <c r="W5895" i="2"/>
  <c r="AH5894" i="2"/>
  <c r="AE5894" i="2"/>
  <c r="AD5894" i="2"/>
  <c r="X5894" i="2"/>
  <c r="W5894" i="2"/>
  <c r="AH5893" i="2"/>
  <c r="AE5893" i="2"/>
  <c r="AD5893" i="2"/>
  <c r="AF5893" i="2" s="1"/>
  <c r="X5893" i="2"/>
  <c r="AC5893" i="2" s="1"/>
  <c r="W5893" i="2"/>
  <c r="AH5892" i="2"/>
  <c r="AE5892" i="2"/>
  <c r="AD5892" i="2"/>
  <c r="X5892" i="2"/>
  <c r="AK5892" i="2" s="1"/>
  <c r="W5892" i="2"/>
  <c r="AH5891" i="2"/>
  <c r="AE5891" i="2"/>
  <c r="AD5891" i="2"/>
  <c r="X5891" i="2"/>
  <c r="AK5891" i="2" s="1"/>
  <c r="W5891" i="2"/>
  <c r="AH5890" i="2"/>
  <c r="AE5890" i="2"/>
  <c r="AD5890" i="2"/>
  <c r="X5890" i="2"/>
  <c r="AK5890" i="2" s="1"/>
  <c r="W5890" i="2"/>
  <c r="AH5889" i="2"/>
  <c r="AE5889" i="2"/>
  <c r="AD5889" i="2"/>
  <c r="X5889" i="2"/>
  <c r="W5889" i="2"/>
  <c r="AH5888" i="2"/>
  <c r="AE5888" i="2"/>
  <c r="AF5888" i="2" s="1"/>
  <c r="AD5888" i="2"/>
  <c r="X5888" i="2"/>
  <c r="W5888" i="2"/>
  <c r="AH5887" i="2"/>
  <c r="AE5887" i="2"/>
  <c r="AD5887" i="2"/>
  <c r="X5887" i="2"/>
  <c r="W5887" i="2"/>
  <c r="AH5886" i="2"/>
  <c r="AE5886" i="2"/>
  <c r="AD5886" i="2"/>
  <c r="X5886" i="2"/>
  <c r="W5886" i="2"/>
  <c r="AH5885" i="2"/>
  <c r="AE5885" i="2"/>
  <c r="AD5885" i="2"/>
  <c r="AF5885" i="2" s="1"/>
  <c r="X5885" i="2"/>
  <c r="W5885" i="2"/>
  <c r="AH5884" i="2"/>
  <c r="AE5884" i="2"/>
  <c r="AD5884" i="2"/>
  <c r="X5884" i="2"/>
  <c r="W5884" i="2"/>
  <c r="AH5883" i="2"/>
  <c r="AE5883" i="2"/>
  <c r="AD5883" i="2"/>
  <c r="X5883" i="2"/>
  <c r="W5883" i="2"/>
  <c r="AH5882" i="2"/>
  <c r="AE5882" i="2"/>
  <c r="AD5882" i="2"/>
  <c r="X5882" i="2"/>
  <c r="Y5882" i="2" s="1"/>
  <c r="W5882" i="2"/>
  <c r="AH5881" i="2"/>
  <c r="AE5881" i="2"/>
  <c r="AD5881" i="2"/>
  <c r="X5881" i="2"/>
  <c r="W5881" i="2"/>
  <c r="AH5880" i="2"/>
  <c r="AE5880" i="2"/>
  <c r="AF5880" i="2" s="1"/>
  <c r="AD5880" i="2"/>
  <c r="X5880" i="2"/>
  <c r="W5880" i="2"/>
  <c r="AH5879" i="2"/>
  <c r="AE5879" i="2"/>
  <c r="AD5879" i="2"/>
  <c r="X5879" i="2"/>
  <c r="W5879" i="2"/>
  <c r="AH5878" i="2"/>
  <c r="AE5878" i="2"/>
  <c r="AD5878" i="2"/>
  <c r="X5878" i="2"/>
  <c r="AH5877" i="2"/>
  <c r="AE5877" i="2"/>
  <c r="AD5877" i="2"/>
  <c r="X5877" i="2"/>
  <c r="AC5877" i="2" s="1"/>
  <c r="W5877" i="2"/>
  <c r="AH5876" i="2"/>
  <c r="AE5876" i="2"/>
  <c r="AD5876" i="2"/>
  <c r="X5876" i="2"/>
  <c r="W5876" i="2"/>
  <c r="AH5875" i="2"/>
  <c r="AE5875" i="2"/>
  <c r="AF5875" i="2" s="1"/>
  <c r="AD5875" i="2"/>
  <c r="X5875" i="2"/>
  <c r="W5875" i="2"/>
  <c r="AH5874" i="2"/>
  <c r="AE5874" i="2"/>
  <c r="AD5874" i="2"/>
  <c r="X5874" i="2"/>
  <c r="W5874" i="2"/>
  <c r="AH5873" i="2"/>
  <c r="AE5873" i="2"/>
  <c r="AD5873" i="2"/>
  <c r="X5873" i="2"/>
  <c r="W5873" i="2"/>
  <c r="AH5872" i="2"/>
  <c r="AE5872" i="2"/>
  <c r="AD5872" i="2"/>
  <c r="Y5872" i="2" s="1"/>
  <c r="X5872" i="2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AC5869" i="2" s="1"/>
  <c r="W5869" i="2"/>
  <c r="AH5868" i="2"/>
  <c r="AE5868" i="2"/>
  <c r="AD5868" i="2"/>
  <c r="X5868" i="2"/>
  <c r="W5868" i="2"/>
  <c r="AH5867" i="2"/>
  <c r="AE5867" i="2"/>
  <c r="AF5867" i="2" s="1"/>
  <c r="AD5867" i="2"/>
  <c r="X5867" i="2"/>
  <c r="W5867" i="2"/>
  <c r="AH5866" i="2"/>
  <c r="AE5866" i="2"/>
  <c r="AD5866" i="2"/>
  <c r="X5866" i="2"/>
  <c r="W5866" i="2"/>
  <c r="AH5865" i="2"/>
  <c r="AE5865" i="2"/>
  <c r="AD5865" i="2"/>
  <c r="X5865" i="2"/>
  <c r="W5865" i="2"/>
  <c r="AH5864" i="2"/>
  <c r="AE5864" i="2"/>
  <c r="AD5864" i="2"/>
  <c r="AF5864" i="2" s="1"/>
  <c r="X5864" i="2"/>
  <c r="W5864" i="2"/>
  <c r="AH5863" i="2"/>
  <c r="AE5863" i="2"/>
  <c r="AD5863" i="2"/>
  <c r="X5863" i="2"/>
  <c r="W5863" i="2"/>
  <c r="AH5862" i="2"/>
  <c r="AE5862" i="2"/>
  <c r="AD5862" i="2"/>
  <c r="X5862" i="2"/>
  <c r="W5862" i="2"/>
  <c r="AH5861" i="2"/>
  <c r="AE5861" i="2"/>
  <c r="AD5861" i="2"/>
  <c r="X5861" i="2"/>
  <c r="AC5861" i="2" s="1"/>
  <c r="W5861" i="2"/>
  <c r="AH5860" i="2"/>
  <c r="AE5860" i="2"/>
  <c r="AD5860" i="2"/>
  <c r="X5860" i="2"/>
  <c r="W5860" i="2"/>
  <c r="AH5859" i="2"/>
  <c r="AE5859" i="2"/>
  <c r="AF5859" i="2" s="1"/>
  <c r="AD5859" i="2"/>
  <c r="X5859" i="2"/>
  <c r="W5859" i="2"/>
  <c r="AH5858" i="2"/>
  <c r="AE5858" i="2"/>
  <c r="AD5858" i="2"/>
  <c r="X5858" i="2"/>
  <c r="W5858" i="2"/>
  <c r="AH5857" i="2"/>
  <c r="AE5857" i="2"/>
  <c r="AD5857" i="2"/>
  <c r="X5857" i="2"/>
  <c r="W5857" i="2"/>
  <c r="AH5856" i="2"/>
  <c r="AE5856" i="2"/>
  <c r="AD5856" i="2"/>
  <c r="AF5856" i="2" s="1"/>
  <c r="X5856" i="2"/>
  <c r="W5856" i="2"/>
  <c r="AH5855" i="2"/>
  <c r="AE5855" i="2"/>
  <c r="AD5855" i="2"/>
  <c r="X5855" i="2"/>
  <c r="AC5855" i="2" s="1"/>
  <c r="W5855" i="2"/>
  <c r="AH5854" i="2"/>
  <c r="AE5854" i="2"/>
  <c r="AD5854" i="2"/>
  <c r="X5854" i="2"/>
  <c r="W5854" i="2"/>
  <c r="AH5853" i="2"/>
  <c r="AE5853" i="2"/>
  <c r="AD5853" i="2"/>
  <c r="X5853" i="2"/>
  <c r="AC5853" i="2" s="1"/>
  <c r="W5853" i="2"/>
  <c r="AH5852" i="2"/>
  <c r="AE5852" i="2"/>
  <c r="AD5852" i="2"/>
  <c r="X5852" i="2"/>
  <c r="AC5852" i="2" s="1"/>
  <c r="W5852" i="2"/>
  <c r="AH5851" i="2"/>
  <c r="AE5851" i="2"/>
  <c r="AF5851" i="2" s="1"/>
  <c r="AD5851" i="2"/>
  <c r="X5851" i="2"/>
  <c r="W5851" i="2"/>
  <c r="AH5850" i="2"/>
  <c r="AE5850" i="2"/>
  <c r="AD5850" i="2"/>
  <c r="X5850" i="2"/>
  <c r="AC5850" i="2" s="1"/>
  <c r="W5850" i="2"/>
  <c r="AH5849" i="2"/>
  <c r="AE5849" i="2"/>
  <c r="AD5849" i="2"/>
  <c r="X5849" i="2"/>
  <c r="W5849" i="2"/>
  <c r="AH5848" i="2"/>
  <c r="AE5848" i="2"/>
  <c r="AD5848" i="2"/>
  <c r="Y5848" i="2" s="1"/>
  <c r="X5848" i="2"/>
  <c r="W5848" i="2"/>
  <c r="AH5847" i="2"/>
  <c r="AE5847" i="2"/>
  <c r="AD5847" i="2"/>
  <c r="X5847" i="2"/>
  <c r="AC5847" i="2" s="1"/>
  <c r="W5847" i="2"/>
  <c r="AH5846" i="2"/>
  <c r="AE5846" i="2"/>
  <c r="AD5846" i="2"/>
  <c r="X5846" i="2"/>
  <c r="W5846" i="2"/>
  <c r="AH5845" i="2"/>
  <c r="AE5845" i="2"/>
  <c r="AD5845" i="2"/>
  <c r="X5845" i="2"/>
  <c r="AC5845" i="2" s="1"/>
  <c r="W5845" i="2"/>
  <c r="AH5844" i="2"/>
  <c r="AE5844" i="2"/>
  <c r="AD5844" i="2"/>
  <c r="X5844" i="2"/>
  <c r="AC5844" i="2" s="1"/>
  <c r="W5844" i="2"/>
  <c r="AH5843" i="2"/>
  <c r="AE5843" i="2"/>
  <c r="AF5843" i="2" s="1"/>
  <c r="AD5843" i="2"/>
  <c r="X5843" i="2"/>
  <c r="W5843" i="2"/>
  <c r="AH5842" i="2"/>
  <c r="AE5842" i="2"/>
  <c r="AD5842" i="2"/>
  <c r="X5842" i="2"/>
  <c r="AC5842" i="2" s="1"/>
  <c r="W5842" i="2"/>
  <c r="AH5841" i="2"/>
  <c r="AE5841" i="2"/>
  <c r="AD5841" i="2"/>
  <c r="X5841" i="2"/>
  <c r="W5841" i="2"/>
  <c r="AH5840" i="2"/>
  <c r="AE5840" i="2"/>
  <c r="AD5840" i="2"/>
  <c r="AF5840" i="2" s="1"/>
  <c r="X5840" i="2"/>
  <c r="W5840" i="2"/>
  <c r="AH5839" i="2"/>
  <c r="AE5839" i="2"/>
  <c r="AD5839" i="2"/>
  <c r="X5839" i="2"/>
  <c r="AC5839" i="2" s="1"/>
  <c r="W5839" i="2"/>
  <c r="AH5838" i="2"/>
  <c r="AE5838" i="2"/>
  <c r="AD5838" i="2"/>
  <c r="X5838" i="2"/>
  <c r="W5838" i="2"/>
  <c r="AH5837" i="2"/>
  <c r="AE5837" i="2"/>
  <c r="AD5837" i="2"/>
  <c r="X5837" i="2"/>
  <c r="AB5837" i="2" s="1"/>
  <c r="AK5837" i="2" s="1"/>
  <c r="W5837" i="2"/>
  <c r="AH5836" i="2"/>
  <c r="AE5836" i="2"/>
  <c r="AD5836" i="2"/>
  <c r="X5836" i="2"/>
  <c r="W5836" i="2"/>
  <c r="AH5835" i="2"/>
  <c r="AE5835" i="2"/>
  <c r="AF5835" i="2" s="1"/>
  <c r="AD5835" i="2"/>
  <c r="X5835" i="2"/>
  <c r="W5835" i="2"/>
  <c r="AH5834" i="2"/>
  <c r="AE5834" i="2"/>
  <c r="AD5834" i="2"/>
  <c r="X5834" i="2"/>
  <c r="AC5834" i="2" s="1"/>
  <c r="W5834" i="2"/>
  <c r="AH5833" i="2"/>
  <c r="AE5833" i="2"/>
  <c r="AD5833" i="2"/>
  <c r="X5833" i="2"/>
  <c r="W5833" i="2"/>
  <c r="AH5832" i="2"/>
  <c r="AE5832" i="2"/>
  <c r="AD5832" i="2"/>
  <c r="Y5832" i="2" s="1"/>
  <c r="X5832" i="2"/>
  <c r="W5832" i="2"/>
  <c r="AH5831" i="2"/>
  <c r="AE5831" i="2"/>
  <c r="AD5831" i="2"/>
  <c r="X5831" i="2"/>
  <c r="W5831" i="2"/>
  <c r="AH5830" i="2"/>
  <c r="AE5830" i="2"/>
  <c r="AD5830" i="2"/>
  <c r="X5830" i="2"/>
  <c r="W5830" i="2"/>
  <c r="AH5829" i="2"/>
  <c r="AE5829" i="2"/>
  <c r="AD5829" i="2"/>
  <c r="X5829" i="2"/>
  <c r="AC5829" i="2" s="1"/>
  <c r="W5829" i="2"/>
  <c r="AH5828" i="2"/>
  <c r="AE5828" i="2"/>
  <c r="AD5828" i="2"/>
  <c r="X5828" i="2"/>
  <c r="W5828" i="2"/>
  <c r="AH5827" i="2"/>
  <c r="AE5827" i="2"/>
  <c r="AF5827" i="2" s="1"/>
  <c r="AD5827" i="2"/>
  <c r="X5827" i="2"/>
  <c r="W5827" i="2"/>
  <c r="AH5826" i="2"/>
  <c r="AE5826" i="2"/>
  <c r="AD5826" i="2"/>
  <c r="X5826" i="2"/>
  <c r="W5826" i="2"/>
  <c r="AH5825" i="2"/>
  <c r="AE5825" i="2"/>
  <c r="AD5825" i="2"/>
  <c r="X5825" i="2"/>
  <c r="W5825" i="2"/>
  <c r="AH5824" i="2"/>
  <c r="AE5824" i="2"/>
  <c r="AD5824" i="2"/>
  <c r="Y5824" i="2" s="1"/>
  <c r="X5824" i="2"/>
  <c r="W5824" i="2"/>
  <c r="AH5823" i="2"/>
  <c r="AE5823" i="2"/>
  <c r="AD5823" i="2"/>
  <c r="X5823" i="2"/>
  <c r="AC5823" i="2" s="1"/>
  <c r="W5823" i="2"/>
  <c r="AH5822" i="2"/>
  <c r="AE5822" i="2"/>
  <c r="AD5822" i="2"/>
  <c r="X5822" i="2"/>
  <c r="W5822" i="2"/>
  <c r="AH5821" i="2"/>
  <c r="AE5821" i="2"/>
  <c r="AD5821" i="2"/>
  <c r="X5821" i="2"/>
  <c r="AC5821" i="2" s="1"/>
  <c r="W5821" i="2"/>
  <c r="AH5820" i="2"/>
  <c r="AE5820" i="2"/>
  <c r="AD5820" i="2"/>
  <c r="X5820" i="2"/>
  <c r="AC5820" i="2" s="1"/>
  <c r="W5820" i="2"/>
  <c r="AH5819" i="2"/>
  <c r="AE5819" i="2"/>
  <c r="AD5819" i="2"/>
  <c r="X5819" i="2"/>
  <c r="W5819" i="2"/>
  <c r="AH5818" i="2"/>
  <c r="AE5818" i="2"/>
  <c r="AD5818" i="2"/>
  <c r="X5818" i="2"/>
  <c r="AC5818" i="2" s="1"/>
  <c r="W5818" i="2"/>
  <c r="AH5817" i="2"/>
  <c r="AE5817" i="2"/>
  <c r="AD5817" i="2"/>
  <c r="X5817" i="2"/>
  <c r="W5817" i="2"/>
  <c r="AH5816" i="2"/>
  <c r="AE5816" i="2"/>
  <c r="AD5816" i="2"/>
  <c r="AF5816" i="2" s="1"/>
  <c r="X5816" i="2"/>
  <c r="W5816" i="2"/>
  <c r="AH5815" i="2"/>
  <c r="AE5815" i="2"/>
  <c r="AD5815" i="2"/>
  <c r="X5815" i="2"/>
  <c r="AC5815" i="2" s="1"/>
  <c r="W5815" i="2"/>
  <c r="AH5814" i="2"/>
  <c r="AE5814" i="2"/>
  <c r="AD5814" i="2"/>
  <c r="X5814" i="2"/>
  <c r="W5814" i="2"/>
  <c r="AH5813" i="2"/>
  <c r="AE5813" i="2"/>
  <c r="AD5813" i="2"/>
  <c r="X5813" i="2"/>
  <c r="Y5813" i="2" s="1"/>
  <c r="W5813" i="2"/>
  <c r="AH5812" i="2"/>
  <c r="AE5812" i="2"/>
  <c r="AD5812" i="2"/>
  <c r="X5812" i="2"/>
  <c r="AC5812" i="2" s="1"/>
  <c r="W5812" i="2"/>
  <c r="AH5811" i="2"/>
  <c r="AE5811" i="2"/>
  <c r="AD5811" i="2"/>
  <c r="X5811" i="2"/>
  <c r="W5811" i="2"/>
  <c r="AH5810" i="2"/>
  <c r="AE5810" i="2"/>
  <c r="AD5810" i="2"/>
  <c r="X5810" i="2"/>
  <c r="AC5810" i="2" s="1"/>
  <c r="W5810" i="2"/>
  <c r="AH5809" i="2"/>
  <c r="AE5809" i="2"/>
  <c r="AD5809" i="2"/>
  <c r="X5809" i="2"/>
  <c r="W5809" i="2"/>
  <c r="AH5808" i="2"/>
  <c r="AE5808" i="2"/>
  <c r="AD5808" i="2"/>
  <c r="Y5808" i="2" s="1"/>
  <c r="X5808" i="2"/>
  <c r="W5808" i="2"/>
  <c r="AH5807" i="2"/>
  <c r="AE5807" i="2"/>
  <c r="AD5807" i="2"/>
  <c r="X5807" i="2"/>
  <c r="AC5807" i="2" s="1"/>
  <c r="W5807" i="2"/>
  <c r="AH5806" i="2"/>
  <c r="AE5806" i="2"/>
  <c r="AD5806" i="2"/>
  <c r="X5806" i="2"/>
  <c r="W5806" i="2"/>
  <c r="AH5805" i="2"/>
  <c r="AE5805" i="2"/>
  <c r="AD5805" i="2"/>
  <c r="X5805" i="2"/>
  <c r="AC5805" i="2" s="1"/>
  <c r="W5805" i="2"/>
  <c r="AH5804" i="2"/>
  <c r="AE5804" i="2"/>
  <c r="AD5804" i="2"/>
  <c r="X5804" i="2"/>
  <c r="W5804" i="2"/>
  <c r="AH5803" i="2"/>
  <c r="AE5803" i="2"/>
  <c r="AD5803" i="2"/>
  <c r="X5803" i="2"/>
  <c r="W5803" i="2"/>
  <c r="AH5802" i="2"/>
  <c r="AE5802" i="2"/>
  <c r="AD5802" i="2"/>
  <c r="X5802" i="2"/>
  <c r="AC5802" i="2" s="1"/>
  <c r="W5802" i="2"/>
  <c r="AH5801" i="2"/>
  <c r="AE5801" i="2"/>
  <c r="AD5801" i="2"/>
  <c r="X5801" i="2"/>
  <c r="W5801" i="2"/>
  <c r="AH5800" i="2"/>
  <c r="AE5800" i="2"/>
  <c r="AD5800" i="2"/>
  <c r="AF5800" i="2" s="1"/>
  <c r="X5800" i="2"/>
  <c r="W5800" i="2"/>
  <c r="AH5799" i="2"/>
  <c r="AD5799" i="2"/>
  <c r="AF5799" i="2" s="1"/>
  <c r="X5799" i="2"/>
  <c r="W5799" i="2"/>
  <c r="AH5798" i="2"/>
  <c r="AE5798" i="2"/>
  <c r="AF5798" i="2" s="1"/>
  <c r="AD5798" i="2"/>
  <c r="X5798" i="2"/>
  <c r="W5798" i="2"/>
  <c r="AH5797" i="2"/>
  <c r="AE5797" i="2"/>
  <c r="AD5797" i="2"/>
  <c r="X5797" i="2"/>
  <c r="AC5797" i="2" s="1"/>
  <c r="W5797" i="2"/>
  <c r="AH5796" i="2"/>
  <c r="AE5796" i="2"/>
  <c r="AD5796" i="2"/>
  <c r="X5796" i="2"/>
  <c r="W5796" i="2"/>
  <c r="AH5795" i="2"/>
  <c r="AE5795" i="2"/>
  <c r="AD5795" i="2"/>
  <c r="X5795" i="2"/>
  <c r="W5795" i="2"/>
  <c r="AH5794" i="2"/>
  <c r="AE5794" i="2"/>
  <c r="AD5794" i="2"/>
  <c r="X5794" i="2"/>
  <c r="W5794" i="2"/>
  <c r="AH5793" i="2"/>
  <c r="AD5793" i="2"/>
  <c r="AF5793" i="2" s="1"/>
  <c r="X5793" i="2"/>
  <c r="W5793" i="2"/>
  <c r="AH5792" i="2"/>
  <c r="AD5792" i="2"/>
  <c r="AF5792" i="2" s="1"/>
  <c r="X5792" i="2"/>
  <c r="W5792" i="2"/>
  <c r="AH5791" i="2"/>
  <c r="AD5791" i="2"/>
  <c r="AF5791" i="2" s="1"/>
  <c r="X5791" i="2"/>
  <c r="W5791" i="2"/>
  <c r="AH5790" i="2"/>
  <c r="AE5790" i="2"/>
  <c r="AD5790" i="2"/>
  <c r="X5790" i="2"/>
  <c r="AC5790" i="2" s="1"/>
  <c r="W5790" i="2"/>
  <c r="AH5789" i="2"/>
  <c r="AE5789" i="2"/>
  <c r="AD5789" i="2"/>
  <c r="X5789" i="2"/>
  <c r="W5789" i="2"/>
  <c r="AH5788" i="2"/>
  <c r="AE5788" i="2"/>
  <c r="AD5788" i="2"/>
  <c r="Y5788" i="2" s="1"/>
  <c r="X5788" i="2"/>
  <c r="W5788" i="2"/>
  <c r="AH5787" i="2"/>
  <c r="AE5787" i="2"/>
  <c r="AD5787" i="2"/>
  <c r="X5787" i="2"/>
  <c r="AC5787" i="2" s="1"/>
  <c r="W5787" i="2"/>
  <c r="AH5786" i="2"/>
  <c r="AE5786" i="2"/>
  <c r="AD5786" i="2"/>
  <c r="X5786" i="2"/>
  <c r="W5786" i="2"/>
  <c r="AH5785" i="2"/>
  <c r="AE5785" i="2"/>
  <c r="AD5785" i="2"/>
  <c r="X5785" i="2"/>
  <c r="AB5785" i="2" s="1"/>
  <c r="AK5785" i="2" s="1"/>
  <c r="W5785" i="2"/>
  <c r="AH5784" i="2"/>
  <c r="AE5784" i="2"/>
  <c r="AD5784" i="2"/>
  <c r="X5784" i="2"/>
  <c r="W5784" i="2"/>
  <c r="AH5783" i="2"/>
  <c r="AE5783" i="2"/>
  <c r="AF5783" i="2" s="1"/>
  <c r="AD5783" i="2"/>
  <c r="X5783" i="2"/>
  <c r="AC5783" i="2" s="1"/>
  <c r="W5783" i="2"/>
  <c r="AH5782" i="2"/>
  <c r="AE5782" i="2"/>
  <c r="AD5782" i="2"/>
  <c r="X5782" i="2"/>
  <c r="AC5782" i="2" s="1"/>
  <c r="W5782" i="2"/>
  <c r="AH5781" i="2"/>
  <c r="AE5781" i="2"/>
  <c r="AD5781" i="2"/>
  <c r="X5781" i="2"/>
  <c r="W5781" i="2"/>
  <c r="AH5780" i="2"/>
  <c r="AE5780" i="2"/>
  <c r="AD5780" i="2"/>
  <c r="AF5780" i="2" s="1"/>
  <c r="X5780" i="2"/>
  <c r="W5780" i="2"/>
  <c r="AH5779" i="2"/>
  <c r="AE5779" i="2"/>
  <c r="AD5779" i="2"/>
  <c r="X5779" i="2"/>
  <c r="AC5779" i="2" s="1"/>
  <c r="W5779" i="2"/>
  <c r="AH5778" i="2"/>
  <c r="AE5778" i="2"/>
  <c r="AD5778" i="2"/>
  <c r="X5778" i="2"/>
  <c r="W5778" i="2"/>
  <c r="AH5777" i="2"/>
  <c r="AE5777" i="2"/>
  <c r="AD5777" i="2"/>
  <c r="X5777" i="2"/>
  <c r="AC5777" i="2" s="1"/>
  <c r="W5777" i="2"/>
  <c r="AH5776" i="2"/>
  <c r="AE5776" i="2"/>
  <c r="AD5776" i="2"/>
  <c r="X5776" i="2"/>
  <c r="AC5776" i="2" s="1"/>
  <c r="W5776" i="2"/>
  <c r="AH5775" i="2"/>
  <c r="AE5775" i="2"/>
  <c r="AF5775" i="2" s="1"/>
  <c r="AD5775" i="2"/>
  <c r="X5775" i="2"/>
  <c r="W5775" i="2"/>
  <c r="AH5774" i="2"/>
  <c r="AE5774" i="2"/>
  <c r="AD5774" i="2"/>
  <c r="X5774" i="2"/>
  <c r="AC5774" i="2" s="1"/>
  <c r="W5774" i="2"/>
  <c r="AH5773" i="2"/>
  <c r="AE5773" i="2"/>
  <c r="AD5773" i="2"/>
  <c r="X5773" i="2"/>
  <c r="AH5772" i="2"/>
  <c r="AE5772" i="2"/>
  <c r="AD5772" i="2"/>
  <c r="X5772" i="2"/>
  <c r="AK5772" i="2" s="1"/>
  <c r="AH5771" i="2"/>
  <c r="AE5771" i="2"/>
  <c r="AD5771" i="2"/>
  <c r="X5771" i="2"/>
  <c r="AC5771" i="2" s="1"/>
  <c r="AH5770" i="2"/>
  <c r="AE5770" i="2"/>
  <c r="AD5770" i="2"/>
  <c r="X5770" i="2"/>
  <c r="AC5770" i="2" s="1"/>
  <c r="W5770" i="2"/>
  <c r="AH5769" i="2"/>
  <c r="AE5769" i="2"/>
  <c r="AD5769" i="2"/>
  <c r="X5769" i="2"/>
  <c r="W5769" i="2"/>
  <c r="AH5768" i="2"/>
  <c r="AE5768" i="2"/>
  <c r="AF5768" i="2" s="1"/>
  <c r="AD5768" i="2"/>
  <c r="X5768" i="2"/>
  <c r="W5768" i="2"/>
  <c r="AH5767" i="2"/>
  <c r="AE5767" i="2"/>
  <c r="AD5767" i="2"/>
  <c r="X5767" i="2"/>
  <c r="W5767" i="2"/>
  <c r="AH5766" i="2"/>
  <c r="AE5766" i="2"/>
  <c r="AD5766" i="2"/>
  <c r="X5766" i="2"/>
  <c r="AC5766" i="2" s="1"/>
  <c r="W5766" i="2"/>
  <c r="AH5765" i="2"/>
  <c r="AE5765" i="2"/>
  <c r="AD5765" i="2"/>
  <c r="AF5765" i="2" s="1"/>
  <c r="X5765" i="2"/>
  <c r="W5765" i="2"/>
  <c r="AH5764" i="2"/>
  <c r="AE5764" i="2"/>
  <c r="AD5764" i="2"/>
  <c r="X5764" i="2"/>
  <c r="W5764" i="2"/>
  <c r="AH5763" i="2"/>
  <c r="AE5763" i="2"/>
  <c r="AD5763" i="2"/>
  <c r="X5763" i="2"/>
  <c r="W5763" i="2"/>
  <c r="AH5762" i="2"/>
  <c r="AE5762" i="2"/>
  <c r="AD5762" i="2"/>
  <c r="X5762" i="2"/>
  <c r="AB5762" i="2" s="1"/>
  <c r="AK5762" i="2" s="1"/>
  <c r="W5762" i="2"/>
  <c r="AH5761" i="2"/>
  <c r="AE5761" i="2"/>
  <c r="AD5761" i="2"/>
  <c r="X5761" i="2"/>
  <c r="W5761" i="2"/>
  <c r="AH5760" i="2"/>
  <c r="AE5760" i="2"/>
  <c r="AF5760" i="2" s="1"/>
  <c r="AD5760" i="2"/>
  <c r="X5760" i="2"/>
  <c r="W5760" i="2"/>
  <c r="AH5759" i="2"/>
  <c r="AE5759" i="2"/>
  <c r="AD5759" i="2"/>
  <c r="X5759" i="2"/>
  <c r="W5759" i="2"/>
  <c r="AH5758" i="2"/>
  <c r="AE5758" i="2"/>
  <c r="AD5758" i="2"/>
  <c r="X5758" i="2"/>
  <c r="AC5758" i="2" s="1"/>
  <c r="W5758" i="2"/>
  <c r="AH5757" i="2"/>
  <c r="AE5757" i="2"/>
  <c r="AD5757" i="2"/>
  <c r="AF5757" i="2" s="1"/>
  <c r="X5757" i="2"/>
  <c r="W5757" i="2"/>
  <c r="AH5756" i="2"/>
  <c r="AE5756" i="2"/>
  <c r="AD5756" i="2"/>
  <c r="X5756" i="2"/>
  <c r="W5756" i="2"/>
  <c r="AH5755" i="2"/>
  <c r="AE5755" i="2"/>
  <c r="AD5755" i="2"/>
  <c r="X5755" i="2"/>
  <c r="W5755" i="2"/>
  <c r="AH5754" i="2"/>
  <c r="AE5754" i="2"/>
  <c r="AD5754" i="2"/>
  <c r="X5754" i="2"/>
  <c r="AC5754" i="2" s="1"/>
  <c r="W5754" i="2"/>
  <c r="AH5753" i="2"/>
  <c r="AE5753" i="2"/>
  <c r="AD5753" i="2"/>
  <c r="X5753" i="2"/>
  <c r="W5753" i="2"/>
  <c r="AH5752" i="2"/>
  <c r="AE5752" i="2"/>
  <c r="AF5752" i="2" s="1"/>
  <c r="AD5752" i="2"/>
  <c r="X5752" i="2"/>
  <c r="W5752" i="2"/>
  <c r="AH5751" i="2"/>
  <c r="AE5751" i="2"/>
  <c r="AD5751" i="2"/>
  <c r="X5751" i="2"/>
  <c r="AB5751" i="2" s="1"/>
  <c r="AK5751" i="2" s="1"/>
  <c r="W5751" i="2"/>
  <c r="AH5750" i="2"/>
  <c r="AE5750" i="2"/>
  <c r="AD5750" i="2"/>
  <c r="X5750" i="2"/>
  <c r="AC5750" i="2" s="1"/>
  <c r="W5750" i="2"/>
  <c r="AH5749" i="2"/>
  <c r="AE5749" i="2"/>
  <c r="AD5749" i="2"/>
  <c r="Y5749" i="2" s="1"/>
  <c r="X5749" i="2"/>
  <c r="W5749" i="2"/>
  <c r="AH5748" i="2"/>
  <c r="AE5748" i="2"/>
  <c r="AD5748" i="2"/>
  <c r="X5748" i="2"/>
  <c r="W5748" i="2"/>
  <c r="AH5747" i="2"/>
  <c r="AE5747" i="2"/>
  <c r="AD5747" i="2"/>
  <c r="X5747" i="2"/>
  <c r="W5747" i="2"/>
  <c r="AH5746" i="2"/>
  <c r="AE5746" i="2"/>
  <c r="AD5746" i="2"/>
  <c r="X5746" i="2"/>
  <c r="AC5746" i="2" s="1"/>
  <c r="W5746" i="2"/>
  <c r="AH5745" i="2"/>
  <c r="AE5745" i="2"/>
  <c r="AD5745" i="2"/>
  <c r="X5745" i="2"/>
  <c r="W5745" i="2"/>
  <c r="AH5744" i="2"/>
  <c r="AE5744" i="2"/>
  <c r="AF5744" i="2" s="1"/>
  <c r="AD5744" i="2"/>
  <c r="X5744" i="2"/>
  <c r="W5744" i="2"/>
  <c r="AH5743" i="2"/>
  <c r="AE5743" i="2"/>
  <c r="AD5743" i="2"/>
  <c r="X5743" i="2"/>
  <c r="W5743" i="2"/>
  <c r="AH5742" i="2"/>
  <c r="AE5742" i="2"/>
  <c r="AD5742" i="2"/>
  <c r="X5742" i="2"/>
  <c r="AC5742" i="2" s="1"/>
  <c r="W5742" i="2"/>
  <c r="AH5741" i="2"/>
  <c r="AE5741" i="2"/>
  <c r="AD5741" i="2"/>
  <c r="X5741" i="2"/>
  <c r="W5741" i="2"/>
  <c r="AH5740" i="2"/>
  <c r="AE5740" i="2"/>
  <c r="AD5740" i="2"/>
  <c r="X5740" i="2"/>
  <c r="W5740" i="2"/>
  <c r="AH5739" i="2"/>
  <c r="AE5739" i="2"/>
  <c r="AD5739" i="2"/>
  <c r="X5739" i="2"/>
  <c r="W5739" i="2"/>
  <c r="AH5738" i="2"/>
  <c r="AE5738" i="2"/>
  <c r="AD5738" i="2"/>
  <c r="X5738" i="2"/>
  <c r="AB5738" i="2" s="1"/>
  <c r="AK5738" i="2" s="1"/>
  <c r="W5738" i="2"/>
  <c r="AH5737" i="2"/>
  <c r="AE5737" i="2"/>
  <c r="AD5737" i="2"/>
  <c r="X5737" i="2"/>
  <c r="W5737" i="2"/>
  <c r="AH5736" i="2"/>
  <c r="AE5736" i="2"/>
  <c r="AF5736" i="2" s="1"/>
  <c r="AD5736" i="2"/>
  <c r="X5736" i="2"/>
  <c r="W5736" i="2"/>
  <c r="AH5735" i="2"/>
  <c r="AE5735" i="2"/>
  <c r="AD5735" i="2"/>
  <c r="X5735" i="2"/>
  <c r="W5735" i="2"/>
  <c r="AH5734" i="2"/>
  <c r="AE5734" i="2"/>
  <c r="AD5734" i="2"/>
  <c r="X5734" i="2"/>
  <c r="AC5734" i="2" s="1"/>
  <c r="W5734" i="2"/>
  <c r="AH5733" i="2"/>
  <c r="AE5733" i="2"/>
  <c r="AD5733" i="2"/>
  <c r="Y5733" i="2" s="1"/>
  <c r="X5733" i="2"/>
  <c r="W5733" i="2"/>
  <c r="AH5732" i="2"/>
  <c r="AE5732" i="2"/>
  <c r="AD5732" i="2"/>
  <c r="X5732" i="2"/>
  <c r="W5732" i="2"/>
  <c r="AH5731" i="2"/>
  <c r="AE5731" i="2"/>
  <c r="AD5731" i="2"/>
  <c r="X5731" i="2"/>
  <c r="W5731" i="2"/>
  <c r="AH5730" i="2"/>
  <c r="AE5730" i="2"/>
  <c r="AD5730" i="2"/>
  <c r="X5730" i="2"/>
  <c r="Y5730" i="2" s="1"/>
  <c r="W5730" i="2"/>
  <c r="AH5729" i="2"/>
  <c r="AE5729" i="2"/>
  <c r="AD5729" i="2"/>
  <c r="X5729" i="2"/>
  <c r="W5729" i="2"/>
  <c r="AH5728" i="2"/>
  <c r="AE5728" i="2"/>
  <c r="AF5728" i="2" s="1"/>
  <c r="AD5728" i="2"/>
  <c r="X5728" i="2"/>
  <c r="W5728" i="2"/>
  <c r="AH5727" i="2"/>
  <c r="AE5727" i="2"/>
  <c r="AD5727" i="2"/>
  <c r="X5727" i="2"/>
  <c r="W5727" i="2"/>
  <c r="AH5726" i="2"/>
  <c r="AE5726" i="2"/>
  <c r="AD5726" i="2"/>
  <c r="X5726" i="2"/>
  <c r="AK5726" i="2" s="1"/>
  <c r="W5726" i="2"/>
  <c r="AH5725" i="2"/>
  <c r="AE5725" i="2"/>
  <c r="AD5725" i="2"/>
  <c r="Y5725" i="2" s="1"/>
  <c r="X5725" i="2"/>
  <c r="AK5725" i="2" s="1"/>
  <c r="W5725" i="2"/>
  <c r="AH5724" i="2"/>
  <c r="AE5724" i="2"/>
  <c r="AD5724" i="2"/>
  <c r="X5724" i="2"/>
  <c r="W5724" i="2"/>
  <c r="AH5723" i="2"/>
  <c r="AE5723" i="2"/>
  <c r="AD5723" i="2"/>
  <c r="X5723" i="2"/>
  <c r="W5723" i="2"/>
  <c r="AH5722" i="2"/>
  <c r="AE5722" i="2"/>
  <c r="AD5722" i="2"/>
  <c r="X5722" i="2"/>
  <c r="Y5722" i="2" s="1"/>
  <c r="W5722" i="2"/>
  <c r="AH5721" i="2"/>
  <c r="AE5721" i="2"/>
  <c r="AD5721" i="2"/>
  <c r="X5721" i="2"/>
  <c r="W5721" i="2"/>
  <c r="AH5720" i="2"/>
  <c r="AE5720" i="2"/>
  <c r="AF5720" i="2" s="1"/>
  <c r="AD5720" i="2"/>
  <c r="X5720" i="2"/>
  <c r="W5720" i="2"/>
  <c r="AH5719" i="2"/>
  <c r="AE5719" i="2"/>
  <c r="AD5719" i="2"/>
  <c r="X5719" i="2"/>
  <c r="W5719" i="2"/>
  <c r="AH5718" i="2"/>
  <c r="AE5718" i="2"/>
  <c r="AD5718" i="2"/>
  <c r="X5718" i="2"/>
  <c r="AC5718" i="2" s="1"/>
  <c r="W5718" i="2"/>
  <c r="AH5717" i="2"/>
  <c r="AE5717" i="2"/>
  <c r="AD5717" i="2"/>
  <c r="Y5717" i="2" s="1"/>
  <c r="X5717" i="2"/>
  <c r="AK5717" i="2" s="1"/>
  <c r="W5717" i="2"/>
  <c r="AH5716" i="2"/>
  <c r="AE5716" i="2"/>
  <c r="AD5716" i="2"/>
  <c r="X5716" i="2"/>
  <c r="AK5716" i="2" s="1"/>
  <c r="W5716" i="2"/>
  <c r="AH5715" i="2"/>
  <c r="AE5715" i="2"/>
  <c r="AD5715" i="2"/>
  <c r="X5715" i="2"/>
  <c r="AK5715" i="2" s="1"/>
  <c r="W5715" i="2"/>
  <c r="AH5714" i="2"/>
  <c r="AE5714" i="2"/>
  <c r="AD5714" i="2"/>
  <c r="X5714" i="2"/>
  <c r="W5714" i="2"/>
  <c r="AH5713" i="2"/>
  <c r="AE5713" i="2"/>
  <c r="AD5713" i="2"/>
  <c r="X5713" i="2"/>
  <c r="AK5713" i="2" s="1"/>
  <c r="W5713" i="2"/>
  <c r="AH5712" i="2"/>
  <c r="AE5712" i="2"/>
  <c r="AD5712" i="2"/>
  <c r="X5712" i="2"/>
  <c r="W5712" i="2"/>
  <c r="AH5711" i="2"/>
  <c r="AE5711" i="2"/>
  <c r="AD5711" i="2"/>
  <c r="X5711" i="2"/>
  <c r="AB5711" i="2" s="1"/>
  <c r="AK5711" i="2" s="1"/>
  <c r="W5711" i="2"/>
  <c r="AH5710" i="2"/>
  <c r="AE5710" i="2"/>
  <c r="AD5710" i="2"/>
  <c r="X5710" i="2"/>
  <c r="AC5710" i="2" s="1"/>
  <c r="W5710" i="2"/>
  <c r="AH5709" i="2"/>
  <c r="AE5709" i="2"/>
  <c r="AD5709" i="2"/>
  <c r="Y5709" i="2" s="1"/>
  <c r="X5709" i="2"/>
  <c r="AK5709" i="2" s="1"/>
  <c r="W5709" i="2"/>
  <c r="AH5708" i="2"/>
  <c r="AE5708" i="2"/>
  <c r="AD5708" i="2"/>
  <c r="X5708" i="2"/>
  <c r="W5708" i="2"/>
  <c r="AH5707" i="2"/>
  <c r="AE5707" i="2"/>
  <c r="AD5707" i="2"/>
  <c r="X5707" i="2"/>
  <c r="W5707" i="2"/>
  <c r="AH5706" i="2"/>
  <c r="AE5706" i="2"/>
  <c r="AD5706" i="2"/>
  <c r="X5706" i="2"/>
  <c r="AC5706" i="2" s="1"/>
  <c r="W5706" i="2"/>
  <c r="AH5705" i="2"/>
  <c r="AE5705" i="2"/>
  <c r="AD5705" i="2"/>
  <c r="X5705" i="2"/>
  <c r="W5705" i="2"/>
  <c r="AH5704" i="2"/>
  <c r="AE5704" i="2"/>
  <c r="AD5704" i="2"/>
  <c r="X5704" i="2"/>
  <c r="W5704" i="2"/>
  <c r="AH5703" i="2"/>
  <c r="AE5703" i="2"/>
  <c r="AD5703" i="2"/>
  <c r="X5703" i="2"/>
  <c r="W5703" i="2"/>
  <c r="AH5702" i="2"/>
  <c r="AE5702" i="2"/>
  <c r="AD5702" i="2"/>
  <c r="X5702" i="2"/>
  <c r="AC5702" i="2" s="1"/>
  <c r="W5702" i="2"/>
  <c r="AH5701" i="2"/>
  <c r="AE5701" i="2"/>
  <c r="AD5701" i="2"/>
  <c r="AF5701" i="2" s="1"/>
  <c r="X5701" i="2"/>
  <c r="W5701" i="2"/>
  <c r="AH5700" i="2"/>
  <c r="AE5700" i="2"/>
  <c r="AD5700" i="2"/>
  <c r="X5700" i="2"/>
  <c r="W5700" i="2"/>
  <c r="AH5699" i="2"/>
  <c r="AE5699" i="2"/>
  <c r="AD5699" i="2"/>
  <c r="X5699" i="2"/>
  <c r="W5699" i="2"/>
  <c r="AH5698" i="2"/>
  <c r="AE5698" i="2"/>
  <c r="AD5698" i="2"/>
  <c r="X5698" i="2"/>
  <c r="AC5698" i="2" s="1"/>
  <c r="W5698" i="2"/>
  <c r="AH5697" i="2"/>
  <c r="AE5697" i="2"/>
  <c r="AD5697" i="2"/>
  <c r="X5697" i="2"/>
  <c r="W5697" i="2"/>
  <c r="AH5696" i="2"/>
  <c r="AE5696" i="2"/>
  <c r="AD5696" i="2"/>
  <c r="X5696" i="2"/>
  <c r="W5696" i="2"/>
  <c r="AH5695" i="2"/>
  <c r="AE5695" i="2"/>
  <c r="AD5695" i="2"/>
  <c r="X5695" i="2"/>
  <c r="W5695" i="2"/>
  <c r="AH5694" i="2"/>
  <c r="AE5694" i="2"/>
  <c r="AD5694" i="2"/>
  <c r="X5694" i="2"/>
  <c r="AC5694" i="2" s="1"/>
  <c r="W5694" i="2"/>
  <c r="AH5693" i="2"/>
  <c r="AE5693" i="2"/>
  <c r="AD5693" i="2"/>
  <c r="Y5693" i="2" s="1"/>
  <c r="X5693" i="2"/>
  <c r="W5693" i="2"/>
  <c r="AH5692" i="2"/>
  <c r="AE5692" i="2"/>
  <c r="AD5692" i="2"/>
  <c r="X5692" i="2"/>
  <c r="W5692" i="2"/>
  <c r="AH5691" i="2"/>
  <c r="AE5691" i="2"/>
  <c r="AD5691" i="2"/>
  <c r="X5691" i="2"/>
  <c r="W5691" i="2"/>
  <c r="AH5690" i="2"/>
  <c r="AE5690" i="2"/>
  <c r="AD5690" i="2"/>
  <c r="X5690" i="2"/>
  <c r="AB5690" i="2" s="1"/>
  <c r="AK5690" i="2" s="1"/>
  <c r="W5690" i="2"/>
  <c r="AH5689" i="2"/>
  <c r="AE5689" i="2"/>
  <c r="AD5689" i="2"/>
  <c r="X5689" i="2"/>
  <c r="W5689" i="2"/>
  <c r="AH5688" i="2"/>
  <c r="AE5688" i="2"/>
  <c r="AD5688" i="2"/>
  <c r="X5688" i="2"/>
  <c r="W5688" i="2"/>
  <c r="AH5687" i="2"/>
  <c r="AE5687" i="2"/>
  <c r="AD5687" i="2"/>
  <c r="X5687" i="2"/>
  <c r="W5687" i="2"/>
  <c r="AH5686" i="2"/>
  <c r="AE5686" i="2"/>
  <c r="AD5686" i="2"/>
  <c r="X5686" i="2"/>
  <c r="AC5686" i="2" s="1"/>
  <c r="W5686" i="2"/>
  <c r="AH5685" i="2"/>
  <c r="AE5685" i="2"/>
  <c r="AD5685" i="2"/>
  <c r="Y5685" i="2" s="1"/>
  <c r="X5685" i="2"/>
  <c r="W5685" i="2"/>
  <c r="AH5684" i="2"/>
  <c r="AE5684" i="2"/>
  <c r="AD5684" i="2"/>
  <c r="X5684" i="2"/>
  <c r="W5684" i="2"/>
  <c r="AH5683" i="2"/>
  <c r="AE5683" i="2"/>
  <c r="AD5683" i="2"/>
  <c r="X5683" i="2"/>
  <c r="W5683" i="2"/>
  <c r="AH5682" i="2"/>
  <c r="AE5682" i="2"/>
  <c r="AD5682" i="2"/>
  <c r="X5682" i="2"/>
  <c r="AC5682" i="2" s="1"/>
  <c r="W5682" i="2"/>
  <c r="AH5681" i="2"/>
  <c r="AE5681" i="2"/>
  <c r="AD5681" i="2"/>
  <c r="X5681" i="2"/>
  <c r="W5681" i="2"/>
  <c r="AH5680" i="2"/>
  <c r="AE5680" i="2"/>
  <c r="AD5680" i="2"/>
  <c r="X5680" i="2"/>
  <c r="W5680" i="2"/>
  <c r="AH5679" i="2"/>
  <c r="AE5679" i="2"/>
  <c r="AD5679" i="2"/>
  <c r="X5679" i="2"/>
  <c r="W5679" i="2"/>
  <c r="AH5678" i="2"/>
  <c r="AE5678" i="2"/>
  <c r="AD5678" i="2"/>
  <c r="X5678" i="2"/>
  <c r="AC5678" i="2" s="1"/>
  <c r="W5678" i="2"/>
  <c r="AH5677" i="2"/>
  <c r="AE5677" i="2"/>
  <c r="AD5677" i="2"/>
  <c r="Y5677" i="2" s="1"/>
  <c r="X5677" i="2"/>
  <c r="W5677" i="2"/>
  <c r="AH5676" i="2"/>
  <c r="AE5676" i="2"/>
  <c r="AD5676" i="2"/>
  <c r="X5676" i="2"/>
  <c r="W5676" i="2"/>
  <c r="AH5675" i="2"/>
  <c r="AE5675" i="2"/>
  <c r="AD5675" i="2"/>
  <c r="X5675" i="2"/>
  <c r="W5675" i="2"/>
  <c r="AH5674" i="2"/>
  <c r="AE5674" i="2"/>
  <c r="AD5674" i="2"/>
  <c r="X5674" i="2"/>
  <c r="Y5674" i="2" s="1"/>
  <c r="W5674" i="2"/>
  <c r="AH5673" i="2"/>
  <c r="AE5673" i="2"/>
  <c r="AD5673" i="2"/>
  <c r="X5673" i="2"/>
  <c r="W5673" i="2"/>
  <c r="AH5672" i="2"/>
  <c r="AE5672" i="2"/>
  <c r="AF5672" i="2" s="1"/>
  <c r="AD5672" i="2"/>
  <c r="X5672" i="2"/>
  <c r="W5672" i="2"/>
  <c r="AH5671" i="2"/>
  <c r="AE5671" i="2"/>
  <c r="AD5671" i="2"/>
  <c r="X5671" i="2"/>
  <c r="W5671" i="2"/>
  <c r="AH5670" i="2"/>
  <c r="AE5670" i="2"/>
  <c r="AD5670" i="2"/>
  <c r="X5670" i="2"/>
  <c r="AC5670" i="2" s="1"/>
  <c r="W5670" i="2"/>
  <c r="AH5669" i="2"/>
  <c r="AE5669" i="2"/>
  <c r="AD5669" i="2"/>
  <c r="AF5669" i="2" s="1"/>
  <c r="X5669" i="2"/>
  <c r="W5669" i="2"/>
  <c r="AH5668" i="2"/>
  <c r="AE5668" i="2"/>
  <c r="AD5668" i="2"/>
  <c r="X5668" i="2"/>
  <c r="W5668" i="2"/>
  <c r="AH5667" i="2"/>
  <c r="AE5667" i="2"/>
  <c r="AD5667" i="2"/>
  <c r="X5667" i="2"/>
  <c r="W5667" i="2"/>
  <c r="AH5666" i="2"/>
  <c r="AE5666" i="2"/>
  <c r="AD5666" i="2"/>
  <c r="X5666" i="2"/>
  <c r="AC5666" i="2" s="1"/>
  <c r="W5666" i="2"/>
  <c r="AH5665" i="2"/>
  <c r="AE5665" i="2"/>
  <c r="AD5665" i="2"/>
  <c r="X5665" i="2"/>
  <c r="W5665" i="2"/>
  <c r="AH5664" i="2"/>
  <c r="AE5664" i="2"/>
  <c r="AF5664" i="2" s="1"/>
  <c r="AD5664" i="2"/>
  <c r="X5664" i="2"/>
  <c r="AK5664" i="2" s="1"/>
  <c r="W5664" i="2"/>
  <c r="AH5663" i="2"/>
  <c r="AE5663" i="2"/>
  <c r="AD5663" i="2"/>
  <c r="X5663" i="2"/>
  <c r="AK5663" i="2" s="1"/>
  <c r="W5663" i="2"/>
  <c r="AH5662" i="2"/>
  <c r="AE5662" i="2"/>
  <c r="AD5662" i="2"/>
  <c r="X5662" i="2"/>
  <c r="AC5662" i="2" s="1"/>
  <c r="W5662" i="2"/>
  <c r="AH5661" i="2"/>
  <c r="AE5661" i="2"/>
  <c r="AD5661" i="2"/>
  <c r="Y5661" i="2" s="1"/>
  <c r="X5661" i="2"/>
  <c r="AK5661" i="2" s="1"/>
  <c r="W5661" i="2"/>
  <c r="AH5660" i="2"/>
  <c r="AE5660" i="2"/>
  <c r="AD5660" i="2"/>
  <c r="X5660" i="2"/>
  <c r="AK5660" i="2" s="1"/>
  <c r="W5660" i="2"/>
  <c r="AH5659" i="2"/>
  <c r="AE5659" i="2"/>
  <c r="AD5659" i="2"/>
  <c r="X5659" i="2"/>
  <c r="AK5659" i="2" s="1"/>
  <c r="W5659" i="2"/>
  <c r="AH5658" i="2"/>
  <c r="AE5658" i="2"/>
  <c r="AD5658" i="2"/>
  <c r="X5658" i="2"/>
  <c r="W5658" i="2"/>
  <c r="AH5657" i="2"/>
  <c r="AE5657" i="2"/>
  <c r="AD5657" i="2"/>
  <c r="X5657" i="2"/>
  <c r="AK5657" i="2" s="1"/>
  <c r="W5657" i="2"/>
  <c r="AH5656" i="2"/>
  <c r="AE5656" i="2"/>
  <c r="AF5656" i="2" s="1"/>
  <c r="AD5656" i="2"/>
  <c r="X5656" i="2"/>
  <c r="AK5656" i="2" s="1"/>
  <c r="W5656" i="2"/>
  <c r="AH5655" i="2"/>
  <c r="AE5655" i="2"/>
  <c r="AD5655" i="2"/>
  <c r="X5655" i="2"/>
  <c r="AK5655" i="2" s="1"/>
  <c r="W5655" i="2"/>
  <c r="AH5654" i="2"/>
  <c r="AE5654" i="2"/>
  <c r="AD5654" i="2"/>
  <c r="X5654" i="2"/>
  <c r="AC5654" i="2" s="1"/>
  <c r="W5654" i="2"/>
  <c r="AH5653" i="2"/>
  <c r="AE5653" i="2"/>
  <c r="AD5653" i="2"/>
  <c r="Y5653" i="2" s="1"/>
  <c r="X5653" i="2"/>
  <c r="W5653" i="2"/>
  <c r="AH5652" i="2"/>
  <c r="AE5652" i="2"/>
  <c r="AD5652" i="2"/>
  <c r="X5652" i="2"/>
  <c r="W5652" i="2"/>
  <c r="AH5651" i="2"/>
  <c r="AE5651" i="2"/>
  <c r="AD5651" i="2"/>
  <c r="X5651" i="2"/>
  <c r="W5651" i="2"/>
  <c r="AH5650" i="2"/>
  <c r="AE5650" i="2"/>
  <c r="AD5650" i="2"/>
  <c r="X5650" i="2"/>
  <c r="AC5650" i="2" s="1"/>
  <c r="W5650" i="2"/>
  <c r="AH5649" i="2"/>
  <c r="AE5649" i="2"/>
  <c r="AD5649" i="2"/>
  <c r="X5649" i="2"/>
  <c r="AK5649" i="2" s="1"/>
  <c r="W5649" i="2"/>
  <c r="AH5648" i="2"/>
  <c r="AE5648" i="2"/>
  <c r="AF5648" i="2" s="1"/>
  <c r="AD5648" i="2"/>
  <c r="X5648" i="2"/>
  <c r="W5648" i="2"/>
  <c r="AH5647" i="2"/>
  <c r="AE5647" i="2"/>
  <c r="AD5647" i="2"/>
  <c r="X5647" i="2"/>
  <c r="AK5647" i="2" s="1"/>
  <c r="W5647" i="2"/>
  <c r="AH5646" i="2"/>
  <c r="AE5646" i="2"/>
  <c r="AD5646" i="2"/>
  <c r="X5646" i="2"/>
  <c r="AC5646" i="2" s="1"/>
  <c r="W5646" i="2"/>
  <c r="AH5645" i="2"/>
  <c r="AE5645" i="2"/>
  <c r="AD5645" i="2"/>
  <c r="AF5645" i="2" s="1"/>
  <c r="X5645" i="2"/>
  <c r="AK5645" i="2" s="1"/>
  <c r="W5645" i="2"/>
  <c r="AH5644" i="2"/>
  <c r="AE5644" i="2"/>
  <c r="AD5644" i="2"/>
  <c r="X5644" i="2"/>
  <c r="AK5644" i="2" s="1"/>
  <c r="W5644" i="2"/>
  <c r="AH5643" i="2"/>
  <c r="AE5643" i="2"/>
  <c r="AD5643" i="2"/>
  <c r="X5643" i="2"/>
  <c r="W5643" i="2"/>
  <c r="AH5642" i="2"/>
  <c r="AE5642" i="2"/>
  <c r="AD5642" i="2"/>
  <c r="X5642" i="2"/>
  <c r="AB5642" i="2" s="1"/>
  <c r="AK5642" i="2" s="1"/>
  <c r="W5642" i="2"/>
  <c r="AH5641" i="2"/>
  <c r="AE5641" i="2"/>
  <c r="AD5641" i="2"/>
  <c r="X5641" i="2"/>
  <c r="W5641" i="2"/>
  <c r="AH5640" i="2"/>
  <c r="AE5640" i="2"/>
  <c r="AF5640" i="2" s="1"/>
  <c r="AD5640" i="2"/>
  <c r="X5640" i="2"/>
  <c r="W5640" i="2"/>
  <c r="AH5639" i="2"/>
  <c r="AE5639" i="2"/>
  <c r="AD5639" i="2"/>
  <c r="X5639" i="2"/>
  <c r="W5639" i="2"/>
  <c r="AH5638" i="2"/>
  <c r="AE5638" i="2"/>
  <c r="AD5638" i="2"/>
  <c r="X5638" i="2"/>
  <c r="AC5638" i="2" s="1"/>
  <c r="W5638" i="2"/>
  <c r="AH5637" i="2"/>
  <c r="AE5637" i="2"/>
  <c r="AD5637" i="2"/>
  <c r="Y5637" i="2" s="1"/>
  <c r="X5637" i="2"/>
  <c r="W5637" i="2"/>
  <c r="AH5636" i="2"/>
  <c r="AE5636" i="2"/>
  <c r="AD5636" i="2"/>
  <c r="X5636" i="2"/>
  <c r="W5636" i="2"/>
  <c r="AH5635" i="2"/>
  <c r="AE5635" i="2"/>
  <c r="AD5635" i="2"/>
  <c r="X5635" i="2"/>
  <c r="W5635" i="2"/>
  <c r="AH5634" i="2"/>
  <c r="AE5634" i="2"/>
  <c r="AD5634" i="2"/>
  <c r="X5634" i="2"/>
  <c r="AC5634" i="2" s="1"/>
  <c r="W5634" i="2"/>
  <c r="AH5633" i="2"/>
  <c r="AE5633" i="2"/>
  <c r="AD5633" i="2"/>
  <c r="X5633" i="2"/>
  <c r="W5633" i="2"/>
  <c r="AH5632" i="2"/>
  <c r="AE5632" i="2"/>
  <c r="AF5632" i="2" s="1"/>
  <c r="AD5632" i="2"/>
  <c r="X5632" i="2"/>
  <c r="W5632" i="2"/>
  <c r="AH5631" i="2"/>
  <c r="AE5631" i="2"/>
  <c r="AD5631" i="2"/>
  <c r="X5631" i="2"/>
  <c r="W5631" i="2"/>
  <c r="AH5630" i="2"/>
  <c r="AE5630" i="2"/>
  <c r="AD5630" i="2"/>
  <c r="X5630" i="2"/>
  <c r="AC5630" i="2" s="1"/>
  <c r="W5630" i="2"/>
  <c r="AH5629" i="2"/>
  <c r="AE5629" i="2"/>
  <c r="AD5629" i="2"/>
  <c r="Y5629" i="2" s="1"/>
  <c r="X5629" i="2"/>
  <c r="W5629" i="2"/>
  <c r="AH5628" i="2"/>
  <c r="AE5628" i="2"/>
  <c r="AD5628" i="2"/>
  <c r="X5628" i="2"/>
  <c r="W5628" i="2"/>
  <c r="AH5627" i="2"/>
  <c r="AE5627" i="2"/>
  <c r="AD5627" i="2"/>
  <c r="X5627" i="2"/>
  <c r="W5627" i="2"/>
  <c r="AH5626" i="2"/>
  <c r="AE5626" i="2"/>
  <c r="AD5626" i="2"/>
  <c r="X5626" i="2"/>
  <c r="AC5626" i="2" s="1"/>
  <c r="W5626" i="2"/>
  <c r="AH5625" i="2"/>
  <c r="AE5625" i="2"/>
  <c r="AD5625" i="2"/>
  <c r="X5625" i="2"/>
  <c r="W5625" i="2"/>
  <c r="AH5624" i="2"/>
  <c r="AE5624" i="2"/>
  <c r="AF5624" i="2" s="1"/>
  <c r="AD5624" i="2"/>
  <c r="X5624" i="2"/>
  <c r="W5624" i="2"/>
  <c r="AH5623" i="2"/>
  <c r="AE5623" i="2"/>
  <c r="AD5623" i="2"/>
  <c r="X5623" i="2"/>
  <c r="W5623" i="2"/>
  <c r="AH5622" i="2"/>
  <c r="AE5622" i="2"/>
  <c r="AD5622" i="2"/>
  <c r="X5622" i="2"/>
  <c r="AC5622" i="2" s="1"/>
  <c r="W5622" i="2"/>
  <c r="AH5621" i="2"/>
  <c r="AE5621" i="2"/>
  <c r="AD5621" i="2"/>
  <c r="Y5621" i="2" s="1"/>
  <c r="X5621" i="2"/>
  <c r="W5621" i="2"/>
  <c r="AH5620" i="2"/>
  <c r="AE5620" i="2"/>
  <c r="AD5620" i="2"/>
  <c r="X5620" i="2"/>
  <c r="W5620" i="2"/>
  <c r="AH5619" i="2"/>
  <c r="AE5619" i="2"/>
  <c r="AD5619" i="2"/>
  <c r="X5619" i="2"/>
  <c r="W5619" i="2"/>
  <c r="AH5618" i="2"/>
  <c r="AE5618" i="2"/>
  <c r="AD5618" i="2"/>
  <c r="X5618" i="2"/>
  <c r="W5618" i="2"/>
  <c r="AH5617" i="2"/>
  <c r="AE5617" i="2"/>
  <c r="AD5617" i="2"/>
  <c r="X5617" i="2"/>
  <c r="W5617" i="2"/>
  <c r="AH5616" i="2"/>
  <c r="AE5616" i="2"/>
  <c r="AD5616" i="2"/>
  <c r="X5616" i="2"/>
  <c r="W5616" i="2"/>
  <c r="AH5615" i="2"/>
  <c r="AE5615" i="2"/>
  <c r="AD5615" i="2"/>
  <c r="X5615" i="2"/>
  <c r="AB5615" i="2" s="1"/>
  <c r="AK5615" i="2" s="1"/>
  <c r="W5615" i="2"/>
  <c r="AH5614" i="2"/>
  <c r="AE5614" i="2"/>
  <c r="AD5614" i="2"/>
  <c r="X5614" i="2"/>
  <c r="AC5614" i="2" s="1"/>
  <c r="W5614" i="2"/>
  <c r="AH5613" i="2"/>
  <c r="AE5613" i="2"/>
  <c r="AD5613" i="2"/>
  <c r="AF5613" i="2" s="1"/>
  <c r="X5613" i="2"/>
  <c r="W5613" i="2"/>
  <c r="AH5612" i="2"/>
  <c r="AE5612" i="2"/>
  <c r="AD5612" i="2"/>
  <c r="X5612" i="2"/>
  <c r="W5612" i="2"/>
  <c r="AH5611" i="2"/>
  <c r="AE5611" i="2"/>
  <c r="AD5611" i="2"/>
  <c r="X5611" i="2"/>
  <c r="AC5611" i="2" s="1"/>
  <c r="W5611" i="2"/>
  <c r="AH5610" i="2"/>
  <c r="AE5610" i="2"/>
  <c r="AD5610" i="2"/>
  <c r="X5610" i="2"/>
  <c r="AC5610" i="2" s="1"/>
  <c r="W5610" i="2"/>
  <c r="AH5609" i="2"/>
  <c r="AE5609" i="2"/>
  <c r="AD5609" i="2"/>
  <c r="X5609" i="2"/>
  <c r="AC5609" i="2" s="1"/>
  <c r="W5609" i="2"/>
  <c r="AH5608" i="2"/>
  <c r="AE5608" i="2"/>
  <c r="AD5608" i="2"/>
  <c r="X5608" i="2"/>
  <c r="W5608" i="2"/>
  <c r="AH5607" i="2"/>
  <c r="AE5607" i="2"/>
  <c r="AD5607" i="2"/>
  <c r="X5607" i="2"/>
  <c r="AC5607" i="2" s="1"/>
  <c r="W5607" i="2"/>
  <c r="AH5606" i="2"/>
  <c r="AE5606" i="2"/>
  <c r="AD5606" i="2"/>
  <c r="X5606" i="2"/>
  <c r="AC5606" i="2" s="1"/>
  <c r="W5606" i="2"/>
  <c r="AH5605" i="2"/>
  <c r="AE5605" i="2"/>
  <c r="AD5605" i="2"/>
  <c r="X5605" i="2"/>
  <c r="W5605" i="2"/>
  <c r="AH5604" i="2"/>
  <c r="AE5604" i="2"/>
  <c r="AD5604" i="2"/>
  <c r="X5604" i="2"/>
  <c r="AC5604" i="2" s="1"/>
  <c r="W5604" i="2"/>
  <c r="AH5603" i="2"/>
  <c r="AE5603" i="2"/>
  <c r="AD5603" i="2"/>
  <c r="X5603" i="2"/>
  <c r="W5603" i="2"/>
  <c r="AH5602" i="2"/>
  <c r="AE5602" i="2"/>
  <c r="AD5602" i="2"/>
  <c r="X5602" i="2"/>
  <c r="AC5602" i="2" s="1"/>
  <c r="W5602" i="2"/>
  <c r="AH5601" i="2"/>
  <c r="AE5601" i="2"/>
  <c r="AD5601" i="2"/>
  <c r="X5601" i="2"/>
  <c r="AC5601" i="2" s="1"/>
  <c r="W5601" i="2"/>
  <c r="AH5600" i="2"/>
  <c r="AE5600" i="2"/>
  <c r="AD5600" i="2"/>
  <c r="X5600" i="2"/>
  <c r="AK5600" i="2" s="1"/>
  <c r="W5600" i="2"/>
  <c r="AH5599" i="2"/>
  <c r="AE5599" i="2"/>
  <c r="AD5599" i="2"/>
  <c r="X5599" i="2"/>
  <c r="AC5599" i="2" s="1"/>
  <c r="W5599" i="2"/>
  <c r="AH5598" i="2"/>
  <c r="AE5598" i="2"/>
  <c r="AD5598" i="2"/>
  <c r="X5598" i="2"/>
  <c r="AC5598" i="2" s="1"/>
  <c r="W5598" i="2"/>
  <c r="AH5597" i="2"/>
  <c r="AE5597" i="2"/>
  <c r="AD5597" i="2"/>
  <c r="Y5597" i="2" s="1"/>
  <c r="X5597" i="2"/>
  <c r="AK5597" i="2" s="1"/>
  <c r="W5597" i="2"/>
  <c r="AH5596" i="2"/>
  <c r="AE5596" i="2"/>
  <c r="AD5596" i="2"/>
  <c r="X5596" i="2"/>
  <c r="AC5596" i="2" s="1"/>
  <c r="W5596" i="2"/>
  <c r="AH5595" i="2"/>
  <c r="AE5595" i="2"/>
  <c r="AD5595" i="2"/>
  <c r="X5595" i="2"/>
  <c r="AK5595" i="2" s="1"/>
  <c r="W5595" i="2"/>
  <c r="AH5594" i="2"/>
  <c r="AE5594" i="2"/>
  <c r="AD5594" i="2"/>
  <c r="X5594" i="2"/>
  <c r="AK5594" i="2" s="1"/>
  <c r="W5594" i="2"/>
  <c r="AH5593" i="2"/>
  <c r="AE5593" i="2"/>
  <c r="AD5593" i="2"/>
  <c r="X5593" i="2"/>
  <c r="AC5593" i="2" s="1"/>
  <c r="W5593" i="2"/>
  <c r="AH5592" i="2"/>
  <c r="AE5592" i="2"/>
  <c r="AF5592" i="2" s="1"/>
  <c r="AD5592" i="2"/>
  <c r="X5592" i="2"/>
  <c r="W5592" i="2"/>
  <c r="AH5591" i="2"/>
  <c r="AE5591" i="2"/>
  <c r="AD5591" i="2"/>
  <c r="X5591" i="2"/>
  <c r="AC5591" i="2" s="1"/>
  <c r="W5591" i="2"/>
  <c r="AH5590" i="2"/>
  <c r="AE5590" i="2"/>
  <c r="AD5590" i="2"/>
  <c r="X5590" i="2"/>
  <c r="AC5590" i="2" s="1"/>
  <c r="W5590" i="2"/>
  <c r="AH5589" i="2"/>
  <c r="AE5589" i="2"/>
  <c r="AD5589" i="2"/>
  <c r="AF5589" i="2" s="1"/>
  <c r="X5589" i="2"/>
  <c r="W5589" i="2"/>
  <c r="AH5588" i="2"/>
  <c r="AE5588" i="2"/>
  <c r="AD5588" i="2"/>
  <c r="X5588" i="2"/>
  <c r="AC5588" i="2" s="1"/>
  <c r="W5588" i="2"/>
  <c r="AH5587" i="2"/>
  <c r="AE5587" i="2"/>
  <c r="AD5587" i="2"/>
  <c r="X5587" i="2"/>
  <c r="AK5587" i="2" s="1"/>
  <c r="AH5586" i="2"/>
  <c r="AE5586" i="2"/>
  <c r="AD5586" i="2"/>
  <c r="X5586" i="2"/>
  <c r="AC5586" i="2" s="1"/>
  <c r="W5586" i="2"/>
  <c r="AH5585" i="2"/>
  <c r="AE5585" i="2"/>
  <c r="AD5585" i="2"/>
  <c r="X5585" i="2"/>
  <c r="W5585" i="2"/>
  <c r="AH5584" i="2"/>
  <c r="AE5584" i="2"/>
  <c r="AD5584" i="2"/>
  <c r="Y5584" i="2" s="1"/>
  <c r="AC5584" i="2"/>
  <c r="W5584" i="2"/>
  <c r="AH5583" i="2"/>
  <c r="AE5583" i="2"/>
  <c r="AD5583" i="2"/>
  <c r="X5583" i="2"/>
  <c r="W5583" i="2"/>
  <c r="AH5582" i="2"/>
  <c r="AE5582" i="2"/>
  <c r="AD5582" i="2"/>
  <c r="X5582" i="2"/>
  <c r="AC5582" i="2" s="1"/>
  <c r="W5582" i="2"/>
  <c r="AH5581" i="2"/>
  <c r="AE5581" i="2"/>
  <c r="AD5581" i="2"/>
  <c r="X5581" i="2"/>
  <c r="AC5581" i="2" s="1"/>
  <c r="W5581" i="2"/>
  <c r="AH5580" i="2"/>
  <c r="AE5580" i="2"/>
  <c r="AD5580" i="2"/>
  <c r="X5580" i="2"/>
  <c r="W5580" i="2"/>
  <c r="AH5579" i="2"/>
  <c r="AE5579" i="2"/>
  <c r="AD5579" i="2"/>
  <c r="X5579" i="2"/>
  <c r="AC5579" i="2" s="1"/>
  <c r="W5579" i="2"/>
  <c r="AH5578" i="2"/>
  <c r="AE5578" i="2"/>
  <c r="AD5578" i="2"/>
  <c r="X5578" i="2"/>
  <c r="AB5578" i="2" s="1"/>
  <c r="AK5578" i="2" s="1"/>
  <c r="W5578" i="2"/>
  <c r="AH5577" i="2"/>
  <c r="AE5577" i="2"/>
  <c r="AD5577" i="2"/>
  <c r="X5577" i="2"/>
  <c r="AC5577" i="2" s="1"/>
  <c r="W5577" i="2"/>
  <c r="AH5576" i="2"/>
  <c r="AE5576" i="2"/>
  <c r="AD5576" i="2"/>
  <c r="AF5576" i="2" s="1"/>
  <c r="X5576" i="2"/>
  <c r="W5576" i="2"/>
  <c r="AH5575" i="2"/>
  <c r="AE5575" i="2"/>
  <c r="AD5575" i="2"/>
  <c r="X5575" i="2"/>
  <c r="W5575" i="2"/>
  <c r="AH5574" i="2"/>
  <c r="AE5574" i="2"/>
  <c r="AD5574" i="2"/>
  <c r="X5574" i="2"/>
  <c r="AC5574" i="2" s="1"/>
  <c r="W5574" i="2"/>
  <c r="AH5573" i="2"/>
  <c r="AE5573" i="2"/>
  <c r="AD5573" i="2"/>
  <c r="X5573" i="2"/>
  <c r="AB5573" i="2" s="1"/>
  <c r="AK5573" i="2" s="1"/>
  <c r="W5573" i="2"/>
  <c r="AH5572" i="2"/>
  <c r="AE5572" i="2"/>
  <c r="AD5572" i="2"/>
  <c r="X5572" i="2"/>
  <c r="W5572" i="2"/>
  <c r="AH5571" i="2"/>
  <c r="AE5571" i="2"/>
  <c r="AD5571" i="2"/>
  <c r="X5571" i="2"/>
  <c r="W5571" i="2"/>
  <c r="AH5570" i="2"/>
  <c r="AE5570" i="2"/>
  <c r="AD5570" i="2"/>
  <c r="X5570" i="2"/>
  <c r="W5570" i="2"/>
  <c r="AH5569" i="2"/>
  <c r="AE5569" i="2"/>
  <c r="AD5569" i="2"/>
  <c r="X5569" i="2"/>
  <c r="W5569" i="2"/>
  <c r="AH5568" i="2"/>
  <c r="AE5568" i="2"/>
  <c r="AD5568" i="2"/>
  <c r="Y5568" i="2" s="1"/>
  <c r="X5568" i="2"/>
  <c r="AC5568" i="2" s="1"/>
  <c r="W5568" i="2"/>
  <c r="AH5567" i="2"/>
  <c r="AE5567" i="2"/>
  <c r="AD5567" i="2"/>
  <c r="X5567" i="2"/>
  <c r="W5567" i="2"/>
  <c r="AH5566" i="2"/>
  <c r="AE5566" i="2"/>
  <c r="AD5566" i="2"/>
  <c r="X5566" i="2"/>
  <c r="W5566" i="2"/>
  <c r="AH5565" i="2"/>
  <c r="AE5565" i="2"/>
  <c r="AD5565" i="2"/>
  <c r="X5565" i="2"/>
  <c r="AB5565" i="2" s="1"/>
  <c r="AK5565" i="2" s="1"/>
  <c r="W5565" i="2"/>
  <c r="AH5564" i="2"/>
  <c r="AE5564" i="2"/>
  <c r="AD5564" i="2"/>
  <c r="X5564" i="2"/>
  <c r="AC5564" i="2" s="1"/>
  <c r="W5564" i="2"/>
  <c r="AH5563" i="2"/>
  <c r="AE5563" i="2"/>
  <c r="AD5563" i="2"/>
  <c r="X5563" i="2"/>
  <c r="AC5563" i="2" s="1"/>
  <c r="W5563" i="2"/>
  <c r="AH5562" i="2"/>
  <c r="AE5562" i="2"/>
  <c r="AD5562" i="2"/>
  <c r="X5562" i="2"/>
  <c r="AK5562" i="2" s="1"/>
  <c r="W5562" i="2"/>
  <c r="AH5561" i="2"/>
  <c r="AE5561" i="2"/>
  <c r="AD5561" i="2"/>
  <c r="X5561" i="2"/>
  <c r="W5561" i="2"/>
  <c r="AH5560" i="2"/>
  <c r="AE5560" i="2"/>
  <c r="AD5560" i="2"/>
  <c r="Y5560" i="2" s="1"/>
  <c r="X5560" i="2"/>
  <c r="AC5560" i="2" s="1"/>
  <c r="W5560" i="2"/>
  <c r="AH5559" i="2"/>
  <c r="AE5559" i="2"/>
  <c r="AD5559" i="2"/>
  <c r="X5559" i="2"/>
  <c r="AK5559" i="2" s="1"/>
  <c r="W5559" i="2"/>
  <c r="AH5558" i="2"/>
  <c r="AE5558" i="2"/>
  <c r="AD5558" i="2"/>
  <c r="X5558" i="2"/>
  <c r="AC5558" i="2" s="1"/>
  <c r="W5558" i="2"/>
  <c r="AH5557" i="2"/>
  <c r="AE5557" i="2"/>
  <c r="AD5557" i="2"/>
  <c r="X5557" i="2"/>
  <c r="AC5557" i="2" s="1"/>
  <c r="W5557" i="2"/>
  <c r="AH5556" i="2"/>
  <c r="AE5556" i="2"/>
  <c r="AD5556" i="2"/>
  <c r="X5556" i="2"/>
  <c r="W5556" i="2"/>
  <c r="AH5555" i="2"/>
  <c r="AE5555" i="2"/>
  <c r="AD5555" i="2"/>
  <c r="X5555" i="2"/>
  <c r="AC5555" i="2" s="1"/>
  <c r="W5555" i="2"/>
  <c r="AH5554" i="2"/>
  <c r="AE5554" i="2"/>
  <c r="AD5554" i="2"/>
  <c r="X5554" i="2"/>
  <c r="W5554" i="2"/>
  <c r="AH5553" i="2"/>
  <c r="AE5553" i="2"/>
  <c r="AD5553" i="2"/>
  <c r="X5553" i="2"/>
  <c r="AC5553" i="2" s="1"/>
  <c r="W5553" i="2"/>
  <c r="AH5552" i="2"/>
  <c r="AE5552" i="2"/>
  <c r="AD5552" i="2"/>
  <c r="AF5552" i="2" s="1"/>
  <c r="X5552" i="2"/>
  <c r="W5552" i="2"/>
  <c r="AH5551" i="2"/>
  <c r="AE5551" i="2"/>
  <c r="AD5551" i="2"/>
  <c r="X5551" i="2"/>
  <c r="W5551" i="2"/>
  <c r="AH5550" i="2"/>
  <c r="AE5550" i="2"/>
  <c r="AD5550" i="2"/>
  <c r="X5550" i="2"/>
  <c r="W5550" i="2"/>
  <c r="AH5549" i="2"/>
  <c r="AE5549" i="2"/>
  <c r="AD5549" i="2"/>
  <c r="X5549" i="2"/>
  <c r="AB5549" i="2" s="1"/>
  <c r="W5549" i="2"/>
  <c r="AH5548" i="2"/>
  <c r="AE5548" i="2"/>
  <c r="AD5548" i="2"/>
  <c r="X5548" i="2"/>
  <c r="W5548" i="2"/>
  <c r="AH5547" i="2"/>
  <c r="AE5547" i="2"/>
  <c r="AD5547" i="2"/>
  <c r="X5547" i="2"/>
  <c r="W5547" i="2"/>
  <c r="AH5546" i="2"/>
  <c r="AE5546" i="2"/>
  <c r="AD5546" i="2"/>
  <c r="X5546" i="2"/>
  <c r="W5546" i="2"/>
  <c r="AH5545" i="2"/>
  <c r="AE5545" i="2"/>
  <c r="AD5545" i="2"/>
  <c r="X5545" i="2"/>
  <c r="W5545" i="2"/>
  <c r="AH5544" i="2"/>
  <c r="AE5544" i="2"/>
  <c r="AD5544" i="2"/>
  <c r="AF5544" i="2" s="1"/>
  <c r="X5544" i="2"/>
  <c r="AC5544" i="2" s="1"/>
  <c r="W5544" i="2"/>
  <c r="AH5543" i="2"/>
  <c r="AE5543" i="2"/>
  <c r="AD5543" i="2"/>
  <c r="X5543" i="2"/>
  <c r="W5543" i="2"/>
  <c r="AH5542" i="2"/>
  <c r="AE5542" i="2"/>
  <c r="AD5542" i="2"/>
  <c r="X5542" i="2"/>
  <c r="AC5542" i="2" s="1"/>
  <c r="W5542" i="2"/>
  <c r="AH5541" i="2"/>
  <c r="AE5541" i="2"/>
  <c r="AD5541" i="2"/>
  <c r="X5541" i="2"/>
  <c r="AC5541" i="2" s="1"/>
  <c r="W5541" i="2"/>
  <c r="AH5540" i="2"/>
  <c r="AE5540" i="2"/>
  <c r="AD5540" i="2"/>
  <c r="X5540" i="2"/>
  <c r="AC5540" i="2" s="1"/>
  <c r="W5540" i="2"/>
  <c r="AH5539" i="2"/>
  <c r="AE5539" i="2"/>
  <c r="AF5539" i="2" s="1"/>
  <c r="AD5539" i="2"/>
  <c r="X5539" i="2"/>
  <c r="W5539" i="2"/>
  <c r="AH5538" i="2"/>
  <c r="AE5538" i="2"/>
  <c r="AD5538" i="2"/>
  <c r="X5538" i="2"/>
  <c r="W5538" i="2"/>
  <c r="AH5537" i="2"/>
  <c r="AE5537" i="2"/>
  <c r="AD5537" i="2"/>
  <c r="X5537" i="2"/>
  <c r="AC5537" i="2" s="1"/>
  <c r="W5537" i="2"/>
  <c r="AH5536" i="2"/>
  <c r="AE5536" i="2"/>
  <c r="AD5536" i="2"/>
  <c r="Y5536" i="2" s="1"/>
  <c r="X5536" i="2"/>
  <c r="AC5536" i="2" s="1"/>
  <c r="W5536" i="2"/>
  <c r="AH5535" i="2"/>
  <c r="AE5535" i="2"/>
  <c r="AD5535" i="2"/>
  <c r="X5535" i="2"/>
  <c r="W5535" i="2"/>
  <c r="AH5534" i="2"/>
  <c r="AE5534" i="2"/>
  <c r="AD5534" i="2"/>
  <c r="X5534" i="2"/>
  <c r="AC5534" i="2" s="1"/>
  <c r="W5534" i="2"/>
  <c r="AH5533" i="2"/>
  <c r="AE5533" i="2"/>
  <c r="AD5533" i="2"/>
  <c r="X5533" i="2"/>
  <c r="AB5533" i="2" s="1"/>
  <c r="AK5533" i="2" s="1"/>
  <c r="W5533" i="2"/>
  <c r="AH5532" i="2"/>
  <c r="AE5532" i="2"/>
  <c r="AD5532" i="2"/>
  <c r="X5532" i="2"/>
  <c r="W5532" i="2"/>
  <c r="AH5531" i="2"/>
  <c r="AE5531" i="2"/>
  <c r="AD5531" i="2"/>
  <c r="X5531" i="2"/>
  <c r="AC5531" i="2" s="1"/>
  <c r="W5531" i="2"/>
  <c r="AH5530" i="2"/>
  <c r="AE5530" i="2"/>
  <c r="AD5530" i="2"/>
  <c r="X5530" i="2"/>
  <c r="W5530" i="2"/>
  <c r="AH5529" i="2"/>
  <c r="AE5529" i="2"/>
  <c r="AD5529" i="2"/>
  <c r="X5529" i="2"/>
  <c r="AK5529" i="2" s="1"/>
  <c r="W5529" i="2"/>
  <c r="AH5528" i="2"/>
  <c r="AE5528" i="2"/>
  <c r="AD5528" i="2"/>
  <c r="AF5528" i="2" s="1"/>
  <c r="X5528" i="2"/>
  <c r="W5528" i="2"/>
  <c r="AH5527" i="2"/>
  <c r="AE5527" i="2"/>
  <c r="AD5527" i="2"/>
  <c r="X5527" i="2"/>
  <c r="W5527" i="2"/>
  <c r="AH5526" i="2"/>
  <c r="AE5526" i="2"/>
  <c r="AD5526" i="2"/>
  <c r="X5526" i="2"/>
  <c r="W5526" i="2"/>
  <c r="AH5525" i="2"/>
  <c r="AE5525" i="2"/>
  <c r="AD5525" i="2"/>
  <c r="X5525" i="2"/>
  <c r="AB5525" i="2" s="1"/>
  <c r="AK5525" i="2" s="1"/>
  <c r="W5525" i="2"/>
  <c r="AH5524" i="2"/>
  <c r="AE5524" i="2"/>
  <c r="AD5524" i="2"/>
  <c r="X5524" i="2"/>
  <c r="AC5524" i="2" s="1"/>
  <c r="W5524" i="2"/>
  <c r="AH5523" i="2"/>
  <c r="AE5523" i="2"/>
  <c r="AD5523" i="2"/>
  <c r="X5523" i="2"/>
  <c r="W5523" i="2"/>
  <c r="AH5522" i="2"/>
  <c r="AE5522" i="2"/>
  <c r="AD5522" i="2"/>
  <c r="X5522" i="2"/>
  <c r="W5522" i="2"/>
  <c r="AH5521" i="2"/>
  <c r="AE5521" i="2"/>
  <c r="AD5521" i="2"/>
  <c r="X5521" i="2"/>
  <c r="W5521" i="2"/>
  <c r="AH5520" i="2"/>
  <c r="AE5520" i="2"/>
  <c r="AD5520" i="2"/>
  <c r="Y5520" i="2" s="1"/>
  <c r="X5520" i="2"/>
  <c r="AC5520" i="2" s="1"/>
  <c r="W5520" i="2"/>
  <c r="AH5519" i="2"/>
  <c r="AE5519" i="2"/>
  <c r="AD5519" i="2"/>
  <c r="X5519" i="2"/>
  <c r="W5519" i="2"/>
  <c r="AH5518" i="2"/>
  <c r="AE5518" i="2"/>
  <c r="AD5518" i="2"/>
  <c r="X5518" i="2"/>
  <c r="AC5518" i="2" s="1"/>
  <c r="W5518" i="2"/>
  <c r="AH5517" i="2"/>
  <c r="AE5517" i="2"/>
  <c r="AD5517" i="2"/>
  <c r="X5517" i="2"/>
  <c r="AC5517" i="2" s="1"/>
  <c r="W5517" i="2"/>
  <c r="AH5516" i="2"/>
  <c r="AE5516" i="2"/>
  <c r="AD5516" i="2"/>
  <c r="X5516" i="2"/>
  <c r="W5516" i="2"/>
  <c r="AH5515" i="2"/>
  <c r="AE5515" i="2"/>
  <c r="AF5515" i="2" s="1"/>
  <c r="AD5515" i="2"/>
  <c r="X5515" i="2"/>
  <c r="AC5515" i="2" s="1"/>
  <c r="W5515" i="2"/>
  <c r="AH5514" i="2"/>
  <c r="AE5514" i="2"/>
  <c r="AD5514" i="2"/>
  <c r="X5514" i="2"/>
  <c r="AB5514" i="2" s="1"/>
  <c r="AK5514" i="2" s="1"/>
  <c r="W5514" i="2"/>
  <c r="AH5513" i="2"/>
  <c r="AE5513" i="2"/>
  <c r="AD5513" i="2"/>
  <c r="X5513" i="2"/>
  <c r="AC5513" i="2" s="1"/>
  <c r="W5513" i="2"/>
  <c r="AH5512" i="2"/>
  <c r="AE5512" i="2"/>
  <c r="AD5512" i="2"/>
  <c r="AF5512" i="2" s="1"/>
  <c r="X5512" i="2"/>
  <c r="W5512" i="2"/>
  <c r="AH5511" i="2"/>
  <c r="AE5511" i="2"/>
  <c r="AD5511" i="2"/>
  <c r="X5511" i="2"/>
  <c r="W5511" i="2"/>
  <c r="AH5510" i="2"/>
  <c r="AE5510" i="2"/>
  <c r="AD5510" i="2"/>
  <c r="X5510" i="2"/>
  <c r="AC5510" i="2" s="1"/>
  <c r="W5510" i="2"/>
  <c r="AH5509" i="2"/>
  <c r="AE5509" i="2"/>
  <c r="AD5509" i="2"/>
  <c r="X5509" i="2"/>
  <c r="AC5509" i="2" s="1"/>
  <c r="W5509" i="2"/>
  <c r="AH5508" i="2"/>
  <c r="AE5508" i="2"/>
  <c r="AD5508" i="2"/>
  <c r="X5508" i="2"/>
  <c r="W5508" i="2"/>
  <c r="AH5507" i="2"/>
  <c r="AE5507" i="2"/>
  <c r="AD5507" i="2"/>
  <c r="X5507" i="2"/>
  <c r="AC5507" i="2" s="1"/>
  <c r="W5507" i="2"/>
  <c r="AH5506" i="2"/>
  <c r="AE5506" i="2"/>
  <c r="AD5506" i="2"/>
  <c r="X5506" i="2"/>
  <c r="W5506" i="2"/>
  <c r="AH5505" i="2"/>
  <c r="AE5505" i="2"/>
  <c r="AD5505" i="2"/>
  <c r="X5505" i="2"/>
  <c r="AC5505" i="2" s="1"/>
  <c r="W5505" i="2"/>
  <c r="AH5504" i="2"/>
  <c r="AE5504" i="2"/>
  <c r="AD5504" i="2"/>
  <c r="AF5504" i="2" s="1"/>
  <c r="X5504" i="2"/>
  <c r="W5504" i="2"/>
  <c r="AH5503" i="2"/>
  <c r="AE5503" i="2"/>
  <c r="AD5503" i="2"/>
  <c r="X5503" i="2"/>
  <c r="AB5503" i="2" s="1"/>
  <c r="AK5503" i="2" s="1"/>
  <c r="W5503" i="2"/>
  <c r="AH5502" i="2"/>
  <c r="AE5502" i="2"/>
  <c r="AD5502" i="2"/>
  <c r="X5502" i="2"/>
  <c r="AC5502" i="2" s="1"/>
  <c r="W5502" i="2"/>
  <c r="AH5501" i="2"/>
  <c r="AE5501" i="2"/>
  <c r="AD5501" i="2"/>
  <c r="X5501" i="2"/>
  <c r="AB5501" i="2" s="1"/>
  <c r="AK5501" i="2" s="1"/>
  <c r="W5501" i="2"/>
  <c r="AH5500" i="2"/>
  <c r="AE5500" i="2"/>
  <c r="AD5500" i="2"/>
  <c r="X5500" i="2"/>
  <c r="W5500" i="2"/>
  <c r="AH5499" i="2"/>
  <c r="AE5499" i="2"/>
  <c r="AD5499" i="2"/>
  <c r="X5499" i="2"/>
  <c r="AC5499" i="2" s="1"/>
  <c r="W5499" i="2"/>
  <c r="AH5498" i="2"/>
  <c r="AE5498" i="2"/>
  <c r="AD5498" i="2"/>
  <c r="X5498" i="2"/>
  <c r="W5498" i="2"/>
  <c r="AH5497" i="2"/>
  <c r="AE5497" i="2"/>
  <c r="AD5497" i="2"/>
  <c r="X5497" i="2"/>
  <c r="AC5497" i="2" s="1"/>
  <c r="W5497" i="2"/>
  <c r="AH5496" i="2"/>
  <c r="AE5496" i="2"/>
  <c r="AD5496" i="2"/>
  <c r="Y5496" i="2" s="1"/>
  <c r="X5496" i="2"/>
  <c r="W5496" i="2"/>
  <c r="AH5495" i="2"/>
  <c r="AE5495" i="2"/>
  <c r="AD5495" i="2"/>
  <c r="X5495" i="2"/>
  <c r="W5495" i="2"/>
  <c r="AH5494" i="2"/>
  <c r="AE5494" i="2"/>
  <c r="AD5494" i="2"/>
  <c r="X5494" i="2"/>
  <c r="AC5494" i="2" s="1"/>
  <c r="W5494" i="2"/>
  <c r="AH5493" i="2"/>
  <c r="AE5493" i="2"/>
  <c r="AD5493" i="2"/>
  <c r="X5493" i="2"/>
  <c r="AC5493" i="2" s="1"/>
  <c r="W5493" i="2"/>
  <c r="AH5492" i="2"/>
  <c r="AE5492" i="2"/>
  <c r="AD5492" i="2"/>
  <c r="X5492" i="2"/>
  <c r="W5492" i="2"/>
  <c r="AH5491" i="2"/>
  <c r="AE5491" i="2"/>
  <c r="AD5491" i="2"/>
  <c r="X5491" i="2"/>
  <c r="AC5491" i="2" s="1"/>
  <c r="W5491" i="2"/>
  <c r="AH5490" i="2"/>
  <c r="AE5490" i="2"/>
  <c r="AD5490" i="2"/>
  <c r="X5490" i="2"/>
  <c r="AB5490" i="2" s="1"/>
  <c r="AK5490" i="2" s="1"/>
  <c r="W5490" i="2"/>
  <c r="AH5489" i="2"/>
  <c r="AE5489" i="2"/>
  <c r="AD5489" i="2"/>
  <c r="X5489" i="2"/>
  <c r="AC5489" i="2" s="1"/>
  <c r="W5489" i="2"/>
  <c r="AH5488" i="2"/>
  <c r="AE5488" i="2"/>
  <c r="AD5488" i="2"/>
  <c r="AF5488" i="2" s="1"/>
  <c r="X5488" i="2"/>
  <c r="W5488" i="2"/>
  <c r="AH5487" i="2"/>
  <c r="AE5487" i="2"/>
  <c r="AD5487" i="2"/>
  <c r="X5487" i="2"/>
  <c r="W5487" i="2"/>
  <c r="AH5486" i="2"/>
  <c r="AE5486" i="2"/>
  <c r="AD5486" i="2"/>
  <c r="X5486" i="2"/>
  <c r="W5486" i="2"/>
  <c r="AH5485" i="2"/>
  <c r="AE5485" i="2"/>
  <c r="AD5485" i="2"/>
  <c r="X5485" i="2"/>
  <c r="Y5485" i="2" s="1"/>
  <c r="W5485" i="2"/>
  <c r="AH5484" i="2"/>
  <c r="AE5484" i="2"/>
  <c r="AD5484" i="2"/>
  <c r="X5484" i="2"/>
  <c r="W5484" i="2"/>
  <c r="AH5483" i="2"/>
  <c r="AE5483" i="2"/>
  <c r="AF5483" i="2" s="1"/>
  <c r="AD5483" i="2"/>
  <c r="X5483" i="2"/>
  <c r="AC5483" i="2" s="1"/>
  <c r="W5483" i="2"/>
  <c r="AH5482" i="2"/>
  <c r="AE5482" i="2"/>
  <c r="AD5482" i="2"/>
  <c r="X5482" i="2"/>
  <c r="W5482" i="2"/>
  <c r="AH5481" i="2"/>
  <c r="AE5481" i="2"/>
  <c r="AD5481" i="2"/>
  <c r="X5481" i="2"/>
  <c r="AC5481" i="2" s="1"/>
  <c r="W5481" i="2"/>
  <c r="AH5480" i="2"/>
  <c r="AE5480" i="2"/>
  <c r="AD5480" i="2"/>
  <c r="AF5480" i="2" s="1"/>
  <c r="X5480" i="2"/>
  <c r="W5480" i="2"/>
  <c r="AH5479" i="2"/>
  <c r="AE5479" i="2"/>
  <c r="AD5479" i="2"/>
  <c r="X5479" i="2"/>
  <c r="W5479" i="2"/>
  <c r="AH5478" i="2"/>
  <c r="AE5478" i="2"/>
  <c r="AD5478" i="2"/>
  <c r="X5478" i="2"/>
  <c r="W5478" i="2"/>
  <c r="AH5477" i="2"/>
  <c r="AE5477" i="2"/>
  <c r="AD5477" i="2"/>
  <c r="X5477" i="2"/>
  <c r="AK5477" i="2" s="1"/>
  <c r="W5477" i="2"/>
  <c r="AH5476" i="2"/>
  <c r="AE5476" i="2"/>
  <c r="AD5476" i="2"/>
  <c r="X5476" i="2"/>
  <c r="AK5476" i="2" s="1"/>
  <c r="W5476" i="2"/>
  <c r="AH5475" i="2"/>
  <c r="AE5475" i="2"/>
  <c r="AF5475" i="2" s="1"/>
  <c r="AD5475" i="2"/>
  <c r="X5475" i="2"/>
  <c r="AC5475" i="2" s="1"/>
  <c r="W5475" i="2"/>
  <c r="AH5474" i="2"/>
  <c r="AE5474" i="2"/>
  <c r="AD5474" i="2"/>
  <c r="X5474" i="2"/>
  <c r="W5474" i="2"/>
  <c r="AH5473" i="2"/>
  <c r="AE5473" i="2"/>
  <c r="AD5473" i="2"/>
  <c r="X5473" i="2"/>
  <c r="AC5473" i="2" s="1"/>
  <c r="W5473" i="2"/>
  <c r="AH5472" i="2"/>
  <c r="AE5472" i="2"/>
  <c r="AD5472" i="2"/>
  <c r="AF5472" i="2" s="1"/>
  <c r="X5472" i="2"/>
  <c r="W5472" i="2"/>
  <c r="AH5471" i="2"/>
  <c r="AE5471" i="2"/>
  <c r="AD5471" i="2"/>
  <c r="X5471" i="2"/>
  <c r="W5471" i="2"/>
  <c r="AH5470" i="2"/>
  <c r="AE5470" i="2"/>
  <c r="AD5470" i="2"/>
  <c r="X5470" i="2"/>
  <c r="AC5470" i="2" s="1"/>
  <c r="W5470" i="2"/>
  <c r="AH5469" i="2"/>
  <c r="AE5469" i="2"/>
  <c r="AD5469" i="2"/>
  <c r="X5469" i="2"/>
  <c r="AC5469" i="2" s="1"/>
  <c r="W5469" i="2"/>
  <c r="AH5468" i="2"/>
  <c r="AE5468" i="2"/>
  <c r="AD5468" i="2"/>
  <c r="X5468" i="2"/>
  <c r="W5468" i="2"/>
  <c r="AH5467" i="2"/>
  <c r="AE5467" i="2"/>
  <c r="AF5467" i="2" s="1"/>
  <c r="AD5467" i="2"/>
  <c r="X5467" i="2"/>
  <c r="AC5467" i="2" s="1"/>
  <c r="W5467" i="2"/>
  <c r="AH5466" i="2"/>
  <c r="AE5466" i="2"/>
  <c r="AD5466" i="2"/>
  <c r="X5466" i="2"/>
  <c r="W5466" i="2"/>
  <c r="AH5465" i="2"/>
  <c r="AE5465" i="2"/>
  <c r="AD5465" i="2"/>
  <c r="X5465" i="2"/>
  <c r="AC5465" i="2" s="1"/>
  <c r="W5465" i="2"/>
  <c r="AH5464" i="2"/>
  <c r="AE5464" i="2"/>
  <c r="AD5464" i="2"/>
  <c r="Y5464" i="2" s="1"/>
  <c r="X5464" i="2"/>
  <c r="W5464" i="2"/>
  <c r="AH5463" i="2"/>
  <c r="AE5463" i="2"/>
  <c r="AD5463" i="2"/>
  <c r="X5463" i="2"/>
  <c r="W5463" i="2"/>
  <c r="AH5462" i="2"/>
  <c r="AE5462" i="2"/>
  <c r="AD5462" i="2"/>
  <c r="X5462" i="2"/>
  <c r="W5462" i="2"/>
  <c r="AH5461" i="2"/>
  <c r="AE5461" i="2"/>
  <c r="AD5461" i="2"/>
  <c r="X5461" i="2"/>
  <c r="AC5461" i="2" s="1"/>
  <c r="W5461" i="2"/>
  <c r="AH5460" i="2"/>
  <c r="AE5460" i="2"/>
  <c r="AD5460" i="2"/>
  <c r="X5460" i="2"/>
  <c r="W5460" i="2"/>
  <c r="AH5459" i="2"/>
  <c r="AE5459" i="2"/>
  <c r="AF5459" i="2" s="1"/>
  <c r="AD5459" i="2"/>
  <c r="X5459" i="2"/>
  <c r="AC5459" i="2" s="1"/>
  <c r="W5459" i="2"/>
  <c r="AH5458" i="2"/>
  <c r="AE5458" i="2"/>
  <c r="AD5458" i="2"/>
  <c r="X5458" i="2"/>
  <c r="W5458" i="2"/>
  <c r="AH5457" i="2"/>
  <c r="AE5457" i="2"/>
  <c r="AD5457" i="2"/>
  <c r="X5457" i="2"/>
  <c r="AC5457" i="2" s="1"/>
  <c r="W5457" i="2"/>
  <c r="AH5456" i="2"/>
  <c r="AE5456" i="2"/>
  <c r="AD5456" i="2"/>
  <c r="Y5456" i="2" s="1"/>
  <c r="X5456" i="2"/>
  <c r="W5456" i="2"/>
  <c r="AH5455" i="2"/>
  <c r="AE5455" i="2"/>
  <c r="AD5455" i="2"/>
  <c r="X5455" i="2"/>
  <c r="W5455" i="2"/>
  <c r="AH5454" i="2"/>
  <c r="AE5454" i="2"/>
  <c r="AD5454" i="2"/>
  <c r="X5454" i="2"/>
  <c r="AC5454" i="2" s="1"/>
  <c r="W5454" i="2"/>
  <c r="AH5453" i="2"/>
  <c r="AE5453" i="2"/>
  <c r="AD5453" i="2"/>
  <c r="X5453" i="2"/>
  <c r="AC5453" i="2" s="1"/>
  <c r="W5453" i="2"/>
  <c r="AH5452" i="2"/>
  <c r="AE5452" i="2"/>
  <c r="AD5452" i="2"/>
  <c r="X5452" i="2"/>
  <c r="W5452" i="2"/>
  <c r="AH5451" i="2"/>
  <c r="AE5451" i="2"/>
  <c r="AD5451" i="2"/>
  <c r="X5451" i="2"/>
  <c r="AC5451" i="2" s="1"/>
  <c r="W5451" i="2"/>
  <c r="AH5450" i="2"/>
  <c r="AE5450" i="2"/>
  <c r="AD5450" i="2"/>
  <c r="X5450" i="2"/>
  <c r="AB5450" i="2" s="1"/>
  <c r="AK5450" i="2" s="1"/>
  <c r="W5450" i="2"/>
  <c r="AH5449" i="2"/>
  <c r="AE5449" i="2"/>
  <c r="AD5449" i="2"/>
  <c r="X5449" i="2"/>
  <c r="AC5449" i="2" s="1"/>
  <c r="W5449" i="2"/>
  <c r="AH5448" i="2"/>
  <c r="AE5448" i="2"/>
  <c r="AD5448" i="2"/>
  <c r="Y5448" i="2" s="1"/>
  <c r="X5448" i="2"/>
  <c r="W5448" i="2"/>
  <c r="AH5447" i="2"/>
  <c r="AE5447" i="2"/>
  <c r="AD5447" i="2"/>
  <c r="X5447" i="2"/>
  <c r="W5447" i="2"/>
  <c r="AH5446" i="2"/>
  <c r="AE5446" i="2"/>
  <c r="AD5446" i="2"/>
  <c r="X5446" i="2"/>
  <c r="W5446" i="2"/>
  <c r="AH5445" i="2"/>
  <c r="AE5445" i="2"/>
  <c r="AD5445" i="2"/>
  <c r="X5445" i="2"/>
  <c r="AC5445" i="2" s="1"/>
  <c r="W5445" i="2"/>
  <c r="AH5444" i="2"/>
  <c r="AE5444" i="2"/>
  <c r="AD5444" i="2"/>
  <c r="X5444" i="2"/>
  <c r="W5444" i="2"/>
  <c r="AH5443" i="2"/>
  <c r="AE5443" i="2"/>
  <c r="AF5443" i="2" s="1"/>
  <c r="AD5443" i="2"/>
  <c r="X5443" i="2"/>
  <c r="AC5443" i="2" s="1"/>
  <c r="W5443" i="2"/>
  <c r="AH5442" i="2"/>
  <c r="AE5442" i="2"/>
  <c r="AD5442" i="2"/>
  <c r="X5442" i="2"/>
  <c r="W5442" i="2"/>
  <c r="AH5441" i="2"/>
  <c r="AE5441" i="2"/>
  <c r="AD5441" i="2"/>
  <c r="X5441" i="2"/>
  <c r="AC5441" i="2" s="1"/>
  <c r="W5441" i="2"/>
  <c r="AH5440" i="2"/>
  <c r="AE5440" i="2"/>
  <c r="AD5440" i="2"/>
  <c r="X5440" i="2"/>
  <c r="W5440" i="2"/>
  <c r="AH5439" i="2"/>
  <c r="AE5439" i="2"/>
  <c r="AD5439" i="2"/>
  <c r="X5439" i="2"/>
  <c r="W5439" i="2"/>
  <c r="AH5438" i="2"/>
  <c r="AE5438" i="2"/>
  <c r="AD5438" i="2"/>
  <c r="X5438" i="2"/>
  <c r="W5438" i="2"/>
  <c r="AH5437" i="2"/>
  <c r="AE5437" i="2"/>
  <c r="AD5437" i="2"/>
  <c r="X5437" i="2"/>
  <c r="AC5437" i="2" s="1"/>
  <c r="AH5436" i="2"/>
  <c r="AE5436" i="2"/>
  <c r="AD5436" i="2"/>
  <c r="X5436" i="2"/>
  <c r="AC5436" i="2" s="1"/>
  <c r="W5436" i="2"/>
  <c r="AH5435" i="2"/>
  <c r="AE5435" i="2"/>
  <c r="AD5435" i="2"/>
  <c r="Y5435" i="2" s="1"/>
  <c r="X5435" i="2"/>
  <c r="W5435" i="2"/>
  <c r="AH5434" i="2"/>
  <c r="AE5434" i="2"/>
  <c r="AD5434" i="2"/>
  <c r="X5434" i="2"/>
  <c r="AC5434" i="2" s="1"/>
  <c r="W5434" i="2"/>
  <c r="AH5433" i="2"/>
  <c r="AE5433" i="2"/>
  <c r="AD5433" i="2"/>
  <c r="X5433" i="2"/>
  <c r="W5433" i="2"/>
  <c r="AH5432" i="2"/>
  <c r="AE5432" i="2"/>
  <c r="AD5432" i="2"/>
  <c r="X5432" i="2"/>
  <c r="AK5432" i="2" s="1"/>
  <c r="W5432" i="2"/>
  <c r="AH5431" i="2"/>
  <c r="AE5431" i="2"/>
  <c r="AD5431" i="2"/>
  <c r="X5431" i="2"/>
  <c r="AC5431" i="2" s="1"/>
  <c r="W5431" i="2"/>
  <c r="AH5430" i="2"/>
  <c r="AE5430" i="2"/>
  <c r="AF5430" i="2" s="1"/>
  <c r="AD5430" i="2"/>
  <c r="X5430" i="2"/>
  <c r="W5430" i="2"/>
  <c r="AH5429" i="2"/>
  <c r="AE5429" i="2"/>
  <c r="AD5429" i="2"/>
  <c r="X5429" i="2"/>
  <c r="AC5429" i="2" s="1"/>
  <c r="W5429" i="2"/>
  <c r="AH5428" i="2"/>
  <c r="AE5428" i="2"/>
  <c r="AD5428" i="2"/>
  <c r="X5428" i="2"/>
  <c r="W5428" i="2"/>
  <c r="AH5427" i="2"/>
  <c r="AE5427" i="2"/>
  <c r="AD5427" i="2"/>
  <c r="AF5427" i="2" s="1"/>
  <c r="X5427" i="2"/>
  <c r="W5427" i="2"/>
  <c r="AH5426" i="2"/>
  <c r="AE5426" i="2"/>
  <c r="AD5426" i="2"/>
  <c r="X5426" i="2"/>
  <c r="W5426" i="2"/>
  <c r="AH5425" i="2"/>
  <c r="AE5425" i="2"/>
  <c r="AD5425" i="2"/>
  <c r="X5425" i="2"/>
  <c r="W5425" i="2"/>
  <c r="AH5424" i="2"/>
  <c r="AE5424" i="2"/>
  <c r="AD5424" i="2"/>
  <c r="X5424" i="2"/>
  <c r="Y5424" i="2" s="1"/>
  <c r="W5424" i="2"/>
  <c r="AH5423" i="2"/>
  <c r="AE5423" i="2"/>
  <c r="AD5423" i="2"/>
  <c r="X5423" i="2"/>
  <c r="AC5423" i="2" s="1"/>
  <c r="W5423" i="2"/>
  <c r="AH5422" i="2"/>
  <c r="AE5422" i="2"/>
  <c r="AF5422" i="2" s="1"/>
  <c r="AD5422" i="2"/>
  <c r="X5422" i="2"/>
  <c r="W5422" i="2"/>
  <c r="AH5421" i="2"/>
  <c r="AE5421" i="2"/>
  <c r="AD5421" i="2"/>
  <c r="X5421" i="2"/>
  <c r="AC5421" i="2" s="1"/>
  <c r="W5421" i="2"/>
  <c r="AH5420" i="2"/>
  <c r="AE5420" i="2"/>
  <c r="AD5420" i="2"/>
  <c r="X5420" i="2"/>
  <c r="AC5420" i="2" s="1"/>
  <c r="W5420" i="2"/>
  <c r="AH5419" i="2"/>
  <c r="AE5419" i="2"/>
  <c r="AD5419" i="2"/>
  <c r="X5419" i="2"/>
  <c r="W5419" i="2"/>
  <c r="AH5418" i="2"/>
  <c r="AE5418" i="2"/>
  <c r="AD5418" i="2"/>
  <c r="X5418" i="2"/>
  <c r="AC5418" i="2" s="1"/>
  <c r="W5418" i="2"/>
  <c r="AH5417" i="2"/>
  <c r="AE5417" i="2"/>
  <c r="AD5417" i="2"/>
  <c r="X5417" i="2"/>
  <c r="AC5417" i="2" s="1"/>
  <c r="W5417" i="2"/>
  <c r="AH5416" i="2"/>
  <c r="AE5416" i="2"/>
  <c r="AD5416" i="2"/>
  <c r="X5416" i="2"/>
  <c r="AC5416" i="2" s="1"/>
  <c r="W5416" i="2"/>
  <c r="AH5415" i="2"/>
  <c r="AE5415" i="2"/>
  <c r="AD5415" i="2"/>
  <c r="X5415" i="2"/>
  <c r="W5415" i="2"/>
  <c r="AH5414" i="2"/>
  <c r="AE5414" i="2"/>
  <c r="AF5414" i="2" s="1"/>
  <c r="AD5414" i="2"/>
  <c r="X5414" i="2"/>
  <c r="W5414" i="2"/>
  <c r="AH5413" i="2"/>
  <c r="AE5413" i="2"/>
  <c r="AD5413" i="2"/>
  <c r="X5413" i="2"/>
  <c r="AK5413" i="2" s="1"/>
  <c r="W5413" i="2"/>
  <c r="AH5412" i="2"/>
  <c r="AE5412" i="2"/>
  <c r="AD5412" i="2"/>
  <c r="X5412" i="2"/>
  <c r="W5412" i="2"/>
  <c r="AH5411" i="2"/>
  <c r="AE5411" i="2"/>
  <c r="AD5411" i="2"/>
  <c r="Y5411" i="2" s="1"/>
  <c r="X5411" i="2"/>
  <c r="W5411" i="2"/>
  <c r="AH5410" i="2"/>
  <c r="AE5410" i="2"/>
  <c r="AD5410" i="2"/>
  <c r="X5410" i="2"/>
  <c r="W5410" i="2"/>
  <c r="AH5409" i="2"/>
  <c r="AE5409" i="2"/>
  <c r="AD5409" i="2"/>
  <c r="X5409" i="2"/>
  <c r="W5409" i="2"/>
  <c r="AH5408" i="2"/>
  <c r="AE5408" i="2"/>
  <c r="AD5408" i="2"/>
  <c r="X5408" i="2"/>
  <c r="AC5408" i="2" s="1"/>
  <c r="W5408" i="2"/>
  <c r="AH5407" i="2"/>
  <c r="AE5407" i="2"/>
  <c r="AD5407" i="2"/>
  <c r="X5407" i="2"/>
  <c r="W5407" i="2"/>
  <c r="AH5406" i="2"/>
  <c r="AE5406" i="2"/>
  <c r="AF5406" i="2" s="1"/>
  <c r="AD5406" i="2"/>
  <c r="X5406" i="2"/>
  <c r="W5406" i="2"/>
  <c r="AH5405" i="2"/>
  <c r="AE5405" i="2"/>
  <c r="AD5405" i="2"/>
  <c r="X5405" i="2"/>
  <c r="W5405" i="2"/>
  <c r="AH5404" i="2"/>
  <c r="AE5404" i="2"/>
  <c r="AD5404" i="2"/>
  <c r="X5404" i="2"/>
  <c r="AC5404" i="2" s="1"/>
  <c r="W5404" i="2"/>
  <c r="AH5403" i="2"/>
  <c r="AE5403" i="2"/>
  <c r="AD5403" i="2"/>
  <c r="Y5403" i="2" s="1"/>
  <c r="X5403" i="2"/>
  <c r="W5403" i="2"/>
  <c r="AH5402" i="2"/>
  <c r="AE5402" i="2"/>
  <c r="AD5402" i="2"/>
  <c r="X5402" i="2"/>
  <c r="AC5402" i="2" s="1"/>
  <c r="W5402" i="2"/>
  <c r="AH5401" i="2"/>
  <c r="AE5401" i="2"/>
  <c r="AD5401" i="2"/>
  <c r="X5401" i="2"/>
  <c r="AC5401" i="2" s="1"/>
  <c r="W5401" i="2"/>
  <c r="AH5400" i="2"/>
  <c r="AE5400" i="2"/>
  <c r="AD5400" i="2"/>
  <c r="X5400" i="2"/>
  <c r="AB5400" i="2" s="1"/>
  <c r="AK5400" i="2" s="1"/>
  <c r="W5400" i="2"/>
  <c r="AH5399" i="2"/>
  <c r="AE5399" i="2"/>
  <c r="AD5399" i="2"/>
  <c r="X5399" i="2"/>
  <c r="AC5399" i="2" s="1"/>
  <c r="W5399" i="2"/>
  <c r="AH5398" i="2"/>
  <c r="AE5398" i="2"/>
  <c r="AD5398" i="2"/>
  <c r="X5398" i="2"/>
  <c r="W5398" i="2"/>
  <c r="AH5397" i="2"/>
  <c r="AE5397" i="2"/>
  <c r="AD5397" i="2"/>
  <c r="X5397" i="2"/>
  <c r="AC5397" i="2" s="1"/>
  <c r="W5397" i="2"/>
  <c r="AH5396" i="2"/>
  <c r="AE5396" i="2"/>
  <c r="AD5396" i="2"/>
  <c r="X5396" i="2"/>
  <c r="W5396" i="2"/>
  <c r="AH5395" i="2"/>
  <c r="AE5395" i="2"/>
  <c r="AD5395" i="2"/>
  <c r="Y5395" i="2" s="1"/>
  <c r="X5395" i="2"/>
  <c r="W5395" i="2"/>
  <c r="AH5394" i="2"/>
  <c r="AE5394" i="2"/>
  <c r="AD5394" i="2"/>
  <c r="X5394" i="2"/>
  <c r="W5394" i="2"/>
  <c r="AH5393" i="2"/>
  <c r="AE5393" i="2"/>
  <c r="AD5393" i="2"/>
  <c r="X5393" i="2"/>
  <c r="AC5393" i="2" s="1"/>
  <c r="W5393" i="2"/>
  <c r="AH5392" i="2"/>
  <c r="AE5392" i="2"/>
  <c r="AD5392" i="2"/>
  <c r="X5392" i="2"/>
  <c r="AB5392" i="2" s="1"/>
  <c r="AK5392" i="2" s="1"/>
  <c r="W5392" i="2"/>
  <c r="AH5391" i="2"/>
  <c r="AE5391" i="2"/>
  <c r="AD5391" i="2"/>
  <c r="X5391" i="2"/>
  <c r="AC5391" i="2" s="1"/>
  <c r="W5391" i="2"/>
  <c r="AH5390" i="2"/>
  <c r="AE5390" i="2"/>
  <c r="AD5390" i="2"/>
  <c r="X5390" i="2"/>
  <c r="W5390" i="2"/>
  <c r="AH5389" i="2"/>
  <c r="AE5389" i="2"/>
  <c r="AD5389" i="2"/>
  <c r="X5389" i="2"/>
  <c r="AB5389" i="2" s="1"/>
  <c r="AK5389" i="2" s="1"/>
  <c r="W5389" i="2"/>
  <c r="AH5388" i="2"/>
  <c r="AE5388" i="2"/>
  <c r="AD5388" i="2"/>
  <c r="X5388" i="2"/>
  <c r="W5388" i="2"/>
  <c r="AH5387" i="2"/>
  <c r="AE5387" i="2"/>
  <c r="AD5387" i="2"/>
  <c r="Y5387" i="2" s="1"/>
  <c r="X5387" i="2"/>
  <c r="W5387" i="2"/>
  <c r="AH5386" i="2"/>
  <c r="AE5386" i="2"/>
  <c r="AD5386" i="2"/>
  <c r="X5386" i="2"/>
  <c r="W5386" i="2"/>
  <c r="AH5385" i="2"/>
  <c r="AE5385" i="2"/>
  <c r="AD5385" i="2"/>
  <c r="X5385" i="2"/>
  <c r="W5385" i="2"/>
  <c r="AH5384" i="2"/>
  <c r="AE5384" i="2"/>
  <c r="AD5384" i="2"/>
  <c r="X5384" i="2"/>
  <c r="AB5384" i="2" s="1"/>
  <c r="AK5384" i="2" s="1"/>
  <c r="W5384" i="2"/>
  <c r="AH5383" i="2"/>
  <c r="AE5383" i="2"/>
  <c r="AD5383" i="2"/>
  <c r="X5383" i="2"/>
  <c r="W5383" i="2"/>
  <c r="AH5382" i="2"/>
  <c r="AE5382" i="2"/>
  <c r="AD5382" i="2"/>
  <c r="X5382" i="2"/>
  <c r="W5382" i="2"/>
  <c r="AH5381" i="2"/>
  <c r="AE5381" i="2"/>
  <c r="AD5381" i="2"/>
  <c r="X5381" i="2"/>
  <c r="AC5381" i="2" s="1"/>
  <c r="W5381" i="2"/>
  <c r="AH5380" i="2"/>
  <c r="AE5380" i="2"/>
  <c r="AD5380" i="2"/>
  <c r="X5380" i="2"/>
  <c r="AC5380" i="2" s="1"/>
  <c r="W5380" i="2"/>
  <c r="AH5379" i="2"/>
  <c r="AE5379" i="2"/>
  <c r="AD5379" i="2"/>
  <c r="Y5379" i="2" s="1"/>
  <c r="X5379" i="2"/>
  <c r="W5379" i="2"/>
  <c r="AH5378" i="2"/>
  <c r="AE5378" i="2"/>
  <c r="AD5378" i="2"/>
  <c r="X5378" i="2"/>
  <c r="AC5378" i="2" s="1"/>
  <c r="W5378" i="2"/>
  <c r="AH5377" i="2"/>
  <c r="AE5377" i="2"/>
  <c r="AD5377" i="2"/>
  <c r="X5377" i="2"/>
  <c r="W5377" i="2"/>
  <c r="AH5376" i="2"/>
  <c r="AE5376" i="2"/>
  <c r="AD5376" i="2"/>
  <c r="X5376" i="2"/>
  <c r="AC5376" i="2" s="1"/>
  <c r="W5376" i="2"/>
  <c r="AH5375" i="2"/>
  <c r="AE5375" i="2"/>
  <c r="AD5375" i="2"/>
  <c r="X5375" i="2"/>
  <c r="W5375" i="2"/>
  <c r="AH5374" i="2"/>
  <c r="AE5374" i="2"/>
  <c r="AD5374" i="2"/>
  <c r="X5374" i="2"/>
  <c r="W5374" i="2"/>
  <c r="AH5373" i="2"/>
  <c r="AE5373" i="2"/>
  <c r="AD5373" i="2"/>
  <c r="X5373" i="2"/>
  <c r="AC5373" i="2" s="1"/>
  <c r="W5373" i="2"/>
  <c r="J180" i="3"/>
  <c r="L180" i="3"/>
  <c r="O180" i="3"/>
  <c r="J179" i="3"/>
  <c r="L179" i="3"/>
  <c r="O179" i="3" s="1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 s="1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5798" i="2"/>
  <c r="AC5803" i="2"/>
  <c r="AC5811" i="2"/>
  <c r="AC5835" i="2"/>
  <c r="AC5843" i="2"/>
  <c r="AC5904" i="2"/>
  <c r="AC5912" i="2"/>
  <c r="AC5920" i="2"/>
  <c r="AK5920" i="2"/>
  <c r="AC5928" i="2"/>
  <c r="AC5936" i="2"/>
  <c r="AC5944" i="2"/>
  <c r="AC5960" i="2"/>
  <c r="AC5989" i="2"/>
  <c r="AC5997" i="2"/>
  <c r="AC6021" i="2"/>
  <c r="AC6029" i="2"/>
  <c r="AC6037" i="2"/>
  <c r="AK6037" i="2"/>
  <c r="AC6058" i="2"/>
  <c r="AC6076" i="2"/>
  <c r="AC6082" i="2"/>
  <c r="AC6086" i="2"/>
  <c r="AC6098" i="2"/>
  <c r="AC5808" i="2"/>
  <c r="AC5816" i="2"/>
  <c r="AC5840" i="2"/>
  <c r="AC5848" i="2"/>
  <c r="AC5885" i="2"/>
  <c r="AC5901" i="2"/>
  <c r="AC5917" i="2"/>
  <c r="AC5925" i="2"/>
  <c r="AC5933" i="2"/>
  <c r="AC5941" i="2"/>
  <c r="AC5949" i="2"/>
  <c r="AC5957" i="2"/>
  <c r="AC5981" i="2"/>
  <c r="AC6018" i="2"/>
  <c r="AC6068" i="2"/>
  <c r="AC6033" i="2"/>
  <c r="AC6091" i="2"/>
  <c r="AC6095" i="2"/>
  <c r="AC6149" i="2"/>
  <c r="AC6151" i="2"/>
  <c r="AC6159" i="2"/>
  <c r="AC6169" i="2"/>
  <c r="R185" i="3"/>
  <c r="T185" i="3" s="1"/>
  <c r="U185" i="3" s="1"/>
  <c r="V185" i="3" s="1"/>
  <c r="AC6461" i="2"/>
  <c r="AC6465" i="2"/>
  <c r="AC6473" i="2"/>
  <c r="AC6584" i="2"/>
  <c r="AC6592" i="2"/>
  <c r="AC6596" i="2"/>
  <c r="AC6600" i="2"/>
  <c r="AC6604" i="2"/>
  <c r="AC6608" i="2"/>
  <c r="AC6610" i="2"/>
  <c r="AC6612" i="2"/>
  <c r="AC6637" i="2"/>
  <c r="AC6639" i="2"/>
  <c r="AC6641" i="2"/>
  <c r="AA6744" i="2"/>
  <c r="AA6760" i="2"/>
  <c r="AC6768" i="2"/>
  <c r="AC6832" i="2"/>
  <c r="AK6832" i="2"/>
  <c r="AC6840" i="2"/>
  <c r="AC6856" i="2"/>
  <c r="AC6957" i="2"/>
  <c r="AC6973" i="2"/>
  <c r="AC6981" i="2"/>
  <c r="AC6989" i="2"/>
  <c r="AC7010" i="2"/>
  <c r="AC7018" i="2"/>
  <c r="AK7018" i="2"/>
  <c r="AC7026" i="2"/>
  <c r="AC7034" i="2"/>
  <c r="AC7042" i="2"/>
  <c r="AC7058" i="2"/>
  <c r="AC7074" i="2"/>
  <c r="AC7082" i="2"/>
  <c r="AC7090" i="2"/>
  <c r="AC7121" i="2"/>
  <c r="AC7137" i="2"/>
  <c r="AC7169" i="2"/>
  <c r="AC7177" i="2"/>
  <c r="AC7193" i="2"/>
  <c r="AC7201" i="2"/>
  <c r="AC7209" i="2"/>
  <c r="AC7225" i="2"/>
  <c r="AC7233" i="2"/>
  <c r="AC7241" i="2"/>
  <c r="AC7249" i="2"/>
  <c r="AC7257" i="2"/>
  <c r="AB7265" i="2"/>
  <c r="AK7265" i="2" s="1"/>
  <c r="AC6102" i="2"/>
  <c r="AC6176" i="2"/>
  <c r="AC6188" i="2"/>
  <c r="AC6192" i="2"/>
  <c r="AC6196" i="2"/>
  <c r="AC6202" i="2"/>
  <c r="AC6216" i="2"/>
  <c r="AC6437" i="2"/>
  <c r="AC6439" i="2"/>
  <c r="AC6445" i="2"/>
  <c r="AC6447" i="2"/>
  <c r="AC6453" i="2"/>
  <c r="AC6615" i="2"/>
  <c r="AC6773" i="2"/>
  <c r="AC6821" i="2"/>
  <c r="AC6866" i="2"/>
  <c r="AC6878" i="2"/>
  <c r="AB7015" i="2"/>
  <c r="AK7015" i="2" s="1"/>
  <c r="AC7031" i="2"/>
  <c r="AC7047" i="2"/>
  <c r="AB7055" i="2"/>
  <c r="AK7055" i="2" s="1"/>
  <c r="AB7063" i="2"/>
  <c r="AK7063" i="2" s="1"/>
  <c r="AB7079" i="2"/>
  <c r="AK7079" i="2" s="1"/>
  <c r="AC7206" i="2"/>
  <c r="AC6415" i="2"/>
  <c r="AC6648" i="2"/>
  <c r="AC6681" i="2"/>
  <c r="AC6697" i="2"/>
  <c r="AC7102" i="2"/>
  <c r="AC6371" i="2"/>
  <c r="AC6379" i="2"/>
  <c r="AC6339" i="2"/>
  <c r="AC6341" i="2"/>
  <c r="AC6345" i="2"/>
  <c r="AC6347" i="2"/>
  <c r="AC6351" i="2"/>
  <c r="AC6355" i="2"/>
  <c r="AC6599" i="2"/>
  <c r="AC6921" i="2"/>
  <c r="AC6929" i="2"/>
  <c r="AC7141" i="2"/>
  <c r="AC7157" i="2"/>
  <c r="AC7165" i="2"/>
  <c r="AC6513" i="2"/>
  <c r="AC6529" i="2"/>
  <c r="AC6537" i="2"/>
  <c r="AC6545" i="2"/>
  <c r="AC6875" i="2"/>
  <c r="AC6877" i="2"/>
  <c r="AC6879" i="2"/>
  <c r="AC7109" i="2"/>
  <c r="AC7282" i="2"/>
  <c r="AC6790" i="2"/>
  <c r="AC6881" i="2"/>
  <c r="AC6889" i="2"/>
  <c r="AC6918" i="2"/>
  <c r="AC6923" i="2"/>
  <c r="AC6931" i="2"/>
  <c r="AC6939" i="2"/>
  <c r="AK6939" i="2"/>
  <c r="AC6947" i="2"/>
  <c r="AC7016" i="2"/>
  <c r="AC7032" i="2"/>
  <c r="AC7064" i="2"/>
  <c r="AC7072" i="2"/>
  <c r="AK7072" i="2"/>
  <c r="AC7080" i="2"/>
  <c r="AB7127" i="2"/>
  <c r="AK7127" i="2" s="1"/>
  <c r="AB7143" i="2"/>
  <c r="AK7143" i="2" s="1"/>
  <c r="AB7151" i="2"/>
  <c r="AK7151" i="2" s="1"/>
  <c r="AB7159" i="2"/>
  <c r="AK7159" i="2" s="1"/>
  <c r="AB7183" i="2"/>
  <c r="AK7183" i="2" s="1"/>
  <c r="AB7191" i="2"/>
  <c r="AK7191" i="2" s="1"/>
  <c r="AB7207" i="2"/>
  <c r="AK7207" i="2" s="1"/>
  <c r="AB7215" i="2"/>
  <c r="AK7215" i="2" s="1"/>
  <c r="AB7287" i="2"/>
  <c r="AK7287" i="2" s="1"/>
  <c r="AB7303" i="2"/>
  <c r="AK7303" i="2" s="1"/>
  <c r="AB7311" i="2"/>
  <c r="AK7311" i="2" s="1"/>
  <c r="AC5982" i="2"/>
  <c r="AA6739" i="2"/>
  <c r="AC6747" i="2"/>
  <c r="AC6763" i="2"/>
  <c r="AA6779" i="2"/>
  <c r="AB6779" i="2" s="1"/>
  <c r="AK6779" i="2" s="1"/>
  <c r="AC6803" i="2"/>
  <c r="AC6811" i="2"/>
  <c r="AC6819" i="2"/>
  <c r="AC6827" i="2"/>
  <c r="AC6886" i="2"/>
  <c r="AC6920" i="2"/>
  <c r="AC6960" i="2"/>
  <c r="AC6976" i="2"/>
  <c r="AC6984" i="2"/>
  <c r="AC6992" i="2"/>
  <c r="AC7116" i="2"/>
  <c r="AC7124" i="2"/>
  <c r="AC7132" i="2"/>
  <c r="AC7148" i="2"/>
  <c r="AC7156" i="2"/>
  <c r="AC7180" i="2"/>
  <c r="AC7188" i="2"/>
  <c r="AC7204" i="2"/>
  <c r="AC7212" i="2"/>
  <c r="AC7220" i="2"/>
  <c r="AC7228" i="2"/>
  <c r="AC7236" i="2"/>
  <c r="AC7244" i="2"/>
  <c r="AC7252" i="2"/>
  <c r="AC7260" i="2"/>
  <c r="AC7268" i="2"/>
  <c r="AC7292" i="2"/>
  <c r="AC7300" i="2"/>
  <c r="AC7308" i="2"/>
  <c r="AB7273" i="2"/>
  <c r="AK7273" i="2" s="1"/>
  <c r="AB7281" i="2"/>
  <c r="AK7281" i="2" s="1"/>
  <c r="AB7289" i="2"/>
  <c r="AK7289" i="2" s="1"/>
  <c r="AB7297" i="2"/>
  <c r="AK7297" i="2" s="1"/>
  <c r="AB7305" i="2"/>
  <c r="AK7305" i="2" s="1"/>
  <c r="AB7313" i="2"/>
  <c r="AK7313" i="2" s="1"/>
  <c r="AB7329" i="2"/>
  <c r="AK7329" i="2" s="1"/>
  <c r="AB7345" i="2"/>
  <c r="AK7345" i="2" s="1"/>
  <c r="AB7353" i="2"/>
  <c r="AK7353" i="2" s="1"/>
  <c r="AB7361" i="2"/>
  <c r="AK7361" i="2" s="1"/>
  <c r="AB7377" i="2"/>
  <c r="AK7377" i="2" s="1"/>
  <c r="AB7385" i="2"/>
  <c r="AK7385" i="2" s="1"/>
  <c r="AB7393" i="2"/>
  <c r="AK7393" i="2" s="1"/>
  <c r="AB7401" i="2"/>
  <c r="AK7401" i="2" s="1"/>
  <c r="AB7409" i="2"/>
  <c r="AK7409" i="2" s="1"/>
  <c r="AB7417" i="2"/>
  <c r="AK7417" i="2" s="1"/>
  <c r="AB7449" i="2"/>
  <c r="AK7449" i="2" s="1"/>
  <c r="AC7494" i="2"/>
  <c r="AC7502" i="2"/>
  <c r="AC7531" i="2"/>
  <c r="AC7539" i="2"/>
  <c r="AC7555" i="2"/>
  <c r="AC7571" i="2"/>
  <c r="AC7595" i="2"/>
  <c r="AC7603" i="2"/>
  <c r="AC7622" i="2"/>
  <c r="AC7630" i="2"/>
  <c r="AC7646" i="2"/>
  <c r="AC7662" i="2"/>
  <c r="R139" i="3"/>
  <c r="T139" i="3" s="1"/>
  <c r="U139" i="3" s="1"/>
  <c r="V139" i="3" s="1"/>
  <c r="AB7946" i="2"/>
  <c r="AK7946" i="2" s="1"/>
  <c r="AB7959" i="2"/>
  <c r="AK7959" i="2" s="1"/>
  <c r="AB7967" i="2"/>
  <c r="AK7967" i="2" s="1"/>
  <c r="AB7975" i="2"/>
  <c r="AK7975" i="2" s="1"/>
  <c r="AB7983" i="2"/>
  <c r="AK7983" i="2" s="1"/>
  <c r="AB7993" i="2"/>
  <c r="AK7993" i="2" s="1"/>
  <c r="AB8009" i="2"/>
  <c r="AK8009" i="2" s="1"/>
  <c r="Y8039" i="2"/>
  <c r="AB8054" i="2"/>
  <c r="AK8054" i="2" s="1"/>
  <c r="AC7528" i="2"/>
  <c r="AC7536" i="2"/>
  <c r="AC7552" i="2"/>
  <c r="AC7600" i="2"/>
  <c r="AB7608" i="2"/>
  <c r="AK7608" i="2" s="1"/>
  <c r="AC7675" i="2"/>
  <c r="AC7683" i="2"/>
  <c r="AC7699" i="2"/>
  <c r="AC7707" i="2"/>
  <c r="AC7715" i="2"/>
  <c r="AC7723" i="2"/>
  <c r="AB7956" i="2"/>
  <c r="AK7956" i="2" s="1"/>
  <c r="AB7964" i="2"/>
  <c r="AK7964" i="2" s="1"/>
  <c r="AB7972" i="2"/>
  <c r="AK7972" i="2" s="1"/>
  <c r="AB7980" i="2"/>
  <c r="AK7980" i="2" s="1"/>
  <c r="AB7996" i="2"/>
  <c r="AK7996" i="2" s="1"/>
  <c r="AB8004" i="2"/>
  <c r="AK8004" i="2" s="1"/>
  <c r="AB8012" i="2"/>
  <c r="AK8012" i="2" s="1"/>
  <c r="Y8049" i="2"/>
  <c r="Y8057" i="2"/>
  <c r="Y8128" i="2"/>
  <c r="AB8148" i="2"/>
  <c r="AK8148" i="2" s="1"/>
  <c r="AC7472" i="2"/>
  <c r="AC7730" i="2"/>
  <c r="AC7746" i="2"/>
  <c r="AC7786" i="2"/>
  <c r="AC7794" i="2"/>
  <c r="AC7802" i="2"/>
  <c r="AC7810" i="2"/>
  <c r="AB7842" i="2"/>
  <c r="AK7842" i="2" s="1"/>
  <c r="AB7850" i="2"/>
  <c r="AK7850" i="2" s="1"/>
  <c r="AB7874" i="2"/>
  <c r="AK7874" i="2" s="1"/>
  <c r="AB7882" i="2"/>
  <c r="AK7882" i="2" s="1"/>
  <c r="AB7953" i="2"/>
  <c r="AK7953" i="2" s="1"/>
  <c r="AB7977" i="2"/>
  <c r="AK7977" i="2" s="1"/>
  <c r="AB7985" i="2"/>
  <c r="AK7985" i="2" s="1"/>
  <c r="Y8040" i="2"/>
  <c r="AB8046" i="2"/>
  <c r="AK8046" i="2" s="1"/>
  <c r="AB8052" i="2"/>
  <c r="AK8052" i="2" s="1"/>
  <c r="AB8073" i="2"/>
  <c r="AK8073" i="2" s="1"/>
  <c r="R176" i="3"/>
  <c r="T176" i="3" s="1"/>
  <c r="U176" i="3" s="1"/>
  <c r="V176" i="3" s="1"/>
  <c r="AB8080" i="2"/>
  <c r="AK8080" i="2" s="1"/>
  <c r="AB8084" i="2"/>
  <c r="AK8084" i="2" s="1"/>
  <c r="AB8088" i="2"/>
  <c r="AK8088" i="2" s="1"/>
  <c r="AB8092" i="2"/>
  <c r="AK8092" i="2" s="1"/>
  <c r="AB8096" i="2"/>
  <c r="AK8096" i="2" s="1"/>
  <c r="AB8100" i="2"/>
  <c r="AK8100" i="2" s="1"/>
  <c r="AB8104" i="2"/>
  <c r="AK8104" i="2" s="1"/>
  <c r="AB8108" i="2"/>
  <c r="AK8108" i="2" s="1"/>
  <c r="AB8112" i="2"/>
  <c r="AK8112" i="2" s="1"/>
  <c r="AB8116" i="2"/>
  <c r="AK8116" i="2" s="1"/>
  <c r="AC7509" i="2"/>
  <c r="AC7613" i="2"/>
  <c r="AC7637" i="2"/>
  <c r="AC7645" i="2"/>
  <c r="AC7661" i="2"/>
  <c r="AC7677" i="2"/>
  <c r="AC7685" i="2"/>
  <c r="AC7693" i="2"/>
  <c r="AC7701" i="2"/>
  <c r="AC7717" i="2"/>
  <c r="AC7725" i="2"/>
  <c r="AB7807" i="2"/>
  <c r="AK7807" i="2" s="1"/>
  <c r="AB7815" i="2"/>
  <c r="AK7815" i="2" s="1"/>
  <c r="AB7823" i="2"/>
  <c r="AK7823" i="2" s="1"/>
  <c r="AB7831" i="2"/>
  <c r="AK7831" i="2" s="1"/>
  <c r="AB7847" i="2"/>
  <c r="AK7847" i="2" s="1"/>
  <c r="AB7855" i="2"/>
  <c r="AK7855" i="2" s="1"/>
  <c r="AB7863" i="2"/>
  <c r="AK7863" i="2" s="1"/>
  <c r="AB7871" i="2"/>
  <c r="AK7871" i="2" s="1"/>
  <c r="AB7879" i="2"/>
  <c r="AK7879" i="2" s="1"/>
  <c r="AB7887" i="2"/>
  <c r="AK7887" i="2" s="1"/>
  <c r="AB7958" i="2"/>
  <c r="AK7958" i="2" s="1"/>
  <c r="AB7966" i="2"/>
  <c r="AK7966" i="2" s="1"/>
  <c r="AB7974" i="2"/>
  <c r="AK7974" i="2" s="1"/>
  <c r="AB7982" i="2"/>
  <c r="AK7982" i="2" s="1"/>
  <c r="Y8031" i="2"/>
  <c r="Y8121" i="2"/>
  <c r="Y8125" i="2"/>
  <c r="AB8129" i="2"/>
  <c r="AK8129" i="2" s="1"/>
  <c r="Y8137" i="2"/>
  <c r="AB8141" i="2"/>
  <c r="AK8141" i="2" s="1"/>
  <c r="Y8145" i="2"/>
  <c r="AC7397" i="2"/>
  <c r="AC7421" i="2"/>
  <c r="AC7756" i="2"/>
  <c r="AC7764" i="2"/>
  <c r="AC7780" i="2"/>
  <c r="AC7812" i="2"/>
  <c r="AC7844" i="2"/>
  <c r="AC7876" i="2"/>
  <c r="AB7884" i="2"/>
  <c r="AK7884" i="2" s="1"/>
  <c r="AB7905" i="2"/>
  <c r="AK7905" i="2" s="1"/>
  <c r="AB7913" i="2"/>
  <c r="AK7913" i="2" s="1"/>
  <c r="AB7921" i="2"/>
  <c r="AK7921" i="2" s="1"/>
  <c r="AB7997" i="2"/>
  <c r="AK7997" i="2" s="1"/>
  <c r="Y8041" i="2"/>
  <c r="AB8044" i="2"/>
  <c r="AK8044" i="2" s="1"/>
  <c r="R165" i="3"/>
  <c r="T165" i="3" s="1"/>
  <c r="U165" i="3" s="1"/>
  <c r="V165" i="3" s="1"/>
  <c r="AB8074" i="2"/>
  <c r="AK8074" i="2" s="1"/>
  <c r="AC7306" i="2"/>
  <c r="AC7314" i="2"/>
  <c r="AC7330" i="2"/>
  <c r="AC7346" i="2"/>
  <c r="AC7362" i="2"/>
  <c r="AC7378" i="2"/>
  <c r="AC7402" i="2"/>
  <c r="AC7418" i="2"/>
  <c r="AB7487" i="2"/>
  <c r="AK7487" i="2" s="1"/>
  <c r="AB7495" i="2"/>
  <c r="AK7495" i="2" s="1"/>
  <c r="AB7503" i="2"/>
  <c r="AK7503" i="2" s="1"/>
  <c r="AB7511" i="2"/>
  <c r="AK7511" i="2" s="1"/>
  <c r="AC7524" i="2"/>
  <c r="AC7540" i="2"/>
  <c r="AC7556" i="2"/>
  <c r="AC7580" i="2"/>
  <c r="AC7588" i="2"/>
  <c r="AC7604" i="2"/>
  <c r="AB7615" i="2"/>
  <c r="AK7615" i="2" s="1"/>
  <c r="AB7623" i="2"/>
  <c r="AK7623" i="2" s="1"/>
  <c r="AB7631" i="2"/>
  <c r="AK7631" i="2" s="1"/>
  <c r="AB7639" i="2"/>
  <c r="AK7639" i="2" s="1"/>
  <c r="AB7647" i="2"/>
  <c r="AK7647" i="2" s="1"/>
  <c r="AB7655" i="2"/>
  <c r="AK7655" i="2" s="1"/>
  <c r="AB7737" i="2"/>
  <c r="AK7737" i="2" s="1"/>
  <c r="AB7745" i="2"/>
  <c r="AK7745" i="2" s="1"/>
  <c r="AB7761" i="2"/>
  <c r="AK7761" i="2" s="1"/>
  <c r="AB7769" i="2"/>
  <c r="AK7769" i="2" s="1"/>
  <c r="AB7777" i="2"/>
  <c r="AK7777" i="2" s="1"/>
  <c r="AB7785" i="2"/>
  <c r="AK7785" i="2" s="1"/>
  <c r="AB7793" i="2"/>
  <c r="AK7793" i="2" s="1"/>
  <c r="AB7801" i="2"/>
  <c r="AK7801" i="2" s="1"/>
  <c r="AB7809" i="2"/>
  <c r="AK7809" i="2" s="1"/>
  <c r="AB7825" i="2"/>
  <c r="AK7825" i="2" s="1"/>
  <c r="AB7841" i="2"/>
  <c r="AK7841" i="2" s="1"/>
  <c r="AB7849" i="2"/>
  <c r="AK7849" i="2" s="1"/>
  <c r="AB7873" i="2"/>
  <c r="AK7873" i="2" s="1"/>
  <c r="AB7881" i="2"/>
  <c r="AK7881" i="2" s="1"/>
  <c r="AB7889" i="2"/>
  <c r="AK7889" i="2" s="1"/>
  <c r="AB7902" i="2"/>
  <c r="AK7902" i="2" s="1"/>
  <c r="AB7910" i="2"/>
  <c r="AK7910" i="2" s="1"/>
  <c r="AB7934" i="2"/>
  <c r="AK7934" i="2" s="1"/>
  <c r="AB7992" i="2"/>
  <c r="AK7992" i="2" s="1"/>
  <c r="AB8000" i="2"/>
  <c r="AK8000" i="2" s="1"/>
  <c r="AB8008" i="2"/>
  <c r="AK8008" i="2" s="1"/>
  <c r="AB8038" i="2"/>
  <c r="AK8038" i="2" s="1"/>
  <c r="Y8047" i="2"/>
  <c r="AB8122" i="2"/>
  <c r="AK8122" i="2" s="1"/>
  <c r="Y8126" i="2"/>
  <c r="AB8134" i="2"/>
  <c r="AK8134" i="2" s="1"/>
  <c r="Y8138" i="2"/>
  <c r="AB8146" i="2"/>
  <c r="AK8146" i="2" s="1"/>
  <c r="AB7319" i="2"/>
  <c r="AK7319" i="2" s="1"/>
  <c r="AB7327" i="2"/>
  <c r="AK7327" i="2" s="1"/>
  <c r="AB7335" i="2"/>
  <c r="AK7335" i="2" s="1"/>
  <c r="AB7351" i="2"/>
  <c r="AK7351" i="2" s="1"/>
  <c r="AB7359" i="2"/>
  <c r="AK7359" i="2" s="1"/>
  <c r="AB7367" i="2"/>
  <c r="AK7367" i="2" s="1"/>
  <c r="AB7375" i="2"/>
  <c r="AK7375" i="2" s="1"/>
  <c r="AB7383" i="2"/>
  <c r="AK7383" i="2" s="1"/>
  <c r="AB7399" i="2"/>
  <c r="AK7399" i="2" s="1"/>
  <c r="AB7407" i="2"/>
  <c r="AK7407" i="2" s="1"/>
  <c r="AB7415" i="2"/>
  <c r="AK7415" i="2" s="1"/>
  <c r="AB7423" i="2"/>
  <c r="AK7423" i="2" s="1"/>
  <c r="AB7431" i="2"/>
  <c r="AK7431" i="2" s="1"/>
  <c r="AB7439" i="2"/>
  <c r="AK7439" i="2" s="1"/>
  <c r="AB7447" i="2"/>
  <c r="AK7447" i="2" s="1"/>
  <c r="AC7508" i="2"/>
  <c r="AC7516" i="2"/>
  <c r="AC7612" i="2"/>
  <c r="AC7628" i="2"/>
  <c r="AC7652" i="2"/>
  <c r="AC7660" i="2"/>
  <c r="AC7676" i="2"/>
  <c r="AC7684" i="2"/>
  <c r="AC7700" i="2"/>
  <c r="AC7708" i="2"/>
  <c r="AC7716" i="2"/>
  <c r="AC7724" i="2"/>
  <c r="AC7734" i="2"/>
  <c r="AC7750" i="2"/>
  <c r="AB7899" i="2"/>
  <c r="AK7899" i="2" s="1"/>
  <c r="AB7915" i="2"/>
  <c r="AK7915" i="2" s="1"/>
  <c r="R140" i="3"/>
  <c r="T140" i="3" s="1"/>
  <c r="U140" i="3" s="1"/>
  <c r="V140" i="3" s="1"/>
  <c r="AB7931" i="2"/>
  <c r="AK7931" i="2" s="1"/>
  <c r="AB7939" i="2"/>
  <c r="AK7939" i="2" s="1"/>
  <c r="AB7952" i="2"/>
  <c r="AK7952" i="2" s="1"/>
  <c r="AB8042" i="2"/>
  <c r="AK8042" i="2" s="1"/>
  <c r="AB8056" i="2"/>
  <c r="AK8056" i="2" s="1"/>
  <c r="Y8071" i="2"/>
  <c r="AB8079" i="2"/>
  <c r="AK8079" i="2" s="1"/>
  <c r="AB8087" i="2"/>
  <c r="AK8087" i="2" s="1"/>
  <c r="AB8095" i="2"/>
  <c r="AK8095" i="2" s="1"/>
  <c r="AB8103" i="2"/>
  <c r="AK8103" i="2" s="1"/>
  <c r="AB8111" i="2"/>
  <c r="AK8111" i="2" s="1"/>
  <c r="AB8119" i="2"/>
  <c r="AK8119" i="2" s="1"/>
  <c r="AC7356" i="2"/>
  <c r="AC7372" i="2"/>
  <c r="AC7388" i="2"/>
  <c r="AC7396" i="2"/>
  <c r="AC7404" i="2"/>
  <c r="AC7428" i="2"/>
  <c r="AC7436" i="2"/>
  <c r="AC7444" i="2"/>
  <c r="AB7457" i="2"/>
  <c r="AK7457" i="2" s="1"/>
  <c r="AB7465" i="2"/>
  <c r="AK7465" i="2" s="1"/>
  <c r="AB7473" i="2"/>
  <c r="AK7473" i="2" s="1"/>
  <c r="AB7481" i="2"/>
  <c r="AK7481" i="2" s="1"/>
  <c r="AB7489" i="2"/>
  <c r="AK7489" i="2" s="1"/>
  <c r="AB7497" i="2"/>
  <c r="AK7497" i="2" s="1"/>
  <c r="AC7534" i="2"/>
  <c r="AC7550" i="2"/>
  <c r="AC7558" i="2"/>
  <c r="AC7574" i="2"/>
  <c r="AC7590" i="2"/>
  <c r="AB7609" i="2"/>
  <c r="AK7609" i="2" s="1"/>
  <c r="AB7617" i="2"/>
  <c r="AK7617" i="2" s="1"/>
  <c r="AB7625" i="2"/>
  <c r="AK7625" i="2" s="1"/>
  <c r="AB7633" i="2"/>
  <c r="AK7633" i="2" s="1"/>
  <c r="AB7649" i="2"/>
  <c r="AK7649" i="2" s="1"/>
  <c r="AB7657" i="2"/>
  <c r="AK7657" i="2" s="1"/>
  <c r="AB7665" i="2"/>
  <c r="AK7665" i="2" s="1"/>
  <c r="AC7731" i="2"/>
  <c r="AC7771" i="2"/>
  <c r="AC7779" i="2"/>
  <c r="AC7795" i="2"/>
  <c r="AB7920" i="2"/>
  <c r="AK7920" i="2" s="1"/>
  <c r="AB7928" i="2"/>
  <c r="AK7928" i="2" s="1"/>
  <c r="AB7941" i="2"/>
  <c r="AK7941" i="2" s="1"/>
  <c r="AB7949" i="2"/>
  <c r="AK7949" i="2" s="1"/>
  <c r="AB8032" i="2"/>
  <c r="AK8032" i="2" s="1"/>
  <c r="AB8068" i="2"/>
  <c r="AK8068" i="2" s="1"/>
  <c r="Y8127" i="2"/>
  <c r="AB8131" i="2"/>
  <c r="AK8131" i="2" s="1"/>
  <c r="AB8147" i="2"/>
  <c r="AK8147" i="2" s="1"/>
  <c r="R146" i="3"/>
  <c r="T146" i="3" s="1"/>
  <c r="U146" i="3" s="1"/>
  <c r="V146" i="3" s="1"/>
  <c r="W6614" i="2"/>
  <c r="X6614" i="2"/>
  <c r="AH6614" i="2"/>
  <c r="O163" i="3"/>
  <c r="T163" i="3"/>
  <c r="U163" i="3"/>
  <c r="V163" i="3" s="1"/>
  <c r="AB8062" i="2"/>
  <c r="AK8062" i="2" s="1"/>
  <c r="R172" i="3"/>
  <c r="T172" i="3" s="1"/>
  <c r="U172" i="3" s="1"/>
  <c r="V172" i="3" s="1"/>
  <c r="Y8063" i="2"/>
  <c r="R173" i="3"/>
  <c r="T173" i="3" s="1"/>
  <c r="U173" i="3" s="1"/>
  <c r="V173" i="3" s="1"/>
  <c r="AB8058" i="2"/>
  <c r="AK8058" i="2" s="1"/>
  <c r="R166" i="3"/>
  <c r="T166" i="3" s="1"/>
  <c r="U166" i="3" s="1"/>
  <c r="V166" i="3" s="1"/>
  <c r="AB8066" i="2"/>
  <c r="AK8066" i="2" s="1"/>
  <c r="R171" i="3"/>
  <c r="T171" i="3" s="1"/>
  <c r="U171" i="3" s="1"/>
  <c r="V171" i="3" s="1"/>
  <c r="AC7276" i="2"/>
  <c r="R144" i="3"/>
  <c r="T144" i="3" s="1"/>
  <c r="U144" i="3" s="1"/>
  <c r="V144" i="3" s="1"/>
  <c r="R160" i="3"/>
  <c r="T160" i="3" s="1"/>
  <c r="U160" i="3" s="1"/>
  <c r="V160" i="3" s="1"/>
  <c r="Y8065" i="2"/>
  <c r="R170" i="3"/>
  <c r="T170" i="3" s="1"/>
  <c r="U170" i="3" s="1"/>
  <c r="V170" i="3" s="1"/>
  <c r="R136" i="3"/>
  <c r="T136" i="3" s="1"/>
  <c r="U136" i="3" s="1"/>
  <c r="V136" i="3" s="1"/>
  <c r="AB8076" i="2"/>
  <c r="AK8076" i="2" s="1"/>
  <c r="AB8064" i="2"/>
  <c r="AK8064" i="2" s="1"/>
  <c r="R169" i="3"/>
  <c r="T169" i="3" s="1"/>
  <c r="U169" i="3" s="1"/>
  <c r="V169" i="3" s="1"/>
  <c r="AB8069" i="2"/>
  <c r="AK8069" i="2" s="1"/>
  <c r="R168" i="3"/>
  <c r="T168" i="3" s="1"/>
  <c r="U168" i="3" s="1"/>
  <c r="V168" i="3" s="1"/>
  <c r="AB8059" i="2"/>
  <c r="AK8059" i="2" s="1"/>
  <c r="R167" i="3"/>
  <c r="T167" i="3" s="1"/>
  <c r="U167" i="3" s="1"/>
  <c r="V167" i="3" s="1"/>
  <c r="R130" i="3"/>
  <c r="T130" i="3" s="1"/>
  <c r="U130" i="3" s="1"/>
  <c r="V130" i="3" s="1"/>
  <c r="AB7753" i="2"/>
  <c r="AK7753" i="2" s="1"/>
  <c r="R147" i="3"/>
  <c r="T147" i="3" s="1"/>
  <c r="U147" i="3" s="1"/>
  <c r="V147" i="3" s="1"/>
  <c r="AB7279" i="2"/>
  <c r="AK7279" i="2" s="1"/>
  <c r="R145" i="3"/>
  <c r="T145" i="3" s="1"/>
  <c r="U145" i="3" s="1"/>
  <c r="V145" i="3" s="1"/>
  <c r="AB7839" i="2"/>
  <c r="AK7839" i="2" s="1"/>
  <c r="R137" i="3"/>
  <c r="T137" i="3" s="1"/>
  <c r="U137" i="3" s="1"/>
  <c r="V137" i="3" s="1"/>
  <c r="AB8151" i="2"/>
  <c r="AK8151" i="2" s="1"/>
  <c r="R183" i="3"/>
  <c r="T183" i="3" s="1"/>
  <c r="U183" i="3" s="1"/>
  <c r="V183" i="3" s="1"/>
  <c r="AB7988" i="2"/>
  <c r="AK7988" i="2" s="1"/>
  <c r="R135" i="3"/>
  <c r="T135" i="3" s="1"/>
  <c r="U135" i="3" s="1"/>
  <c r="V135" i="3" s="1"/>
  <c r="AC6386" i="2"/>
  <c r="AC6588" i="2"/>
  <c r="R155" i="3"/>
  <c r="T155" i="3" s="1"/>
  <c r="U155" i="3" s="1"/>
  <c r="V155" i="3" s="1"/>
  <c r="R133" i="3"/>
  <c r="Y8135" i="2"/>
  <c r="R175" i="3"/>
  <c r="T175" i="3" s="1"/>
  <c r="U175" i="3" s="1"/>
  <c r="V175" i="3" s="1"/>
  <c r="R174" i="3"/>
  <c r="T174" i="3" s="1"/>
  <c r="U174" i="3" s="1"/>
  <c r="V174" i="3" s="1"/>
  <c r="R162" i="3"/>
  <c r="T162" i="3" s="1"/>
  <c r="U162" i="3" s="1"/>
  <c r="V162" i="3" s="1"/>
  <c r="AC7709" i="2"/>
  <c r="R156" i="3"/>
  <c r="T156" i="3" s="1"/>
  <c r="U156" i="3" s="1"/>
  <c r="V156" i="3" s="1"/>
  <c r="R153" i="3"/>
  <c r="T153" i="3" s="1"/>
  <c r="U153" i="3" s="1"/>
  <c r="V153" i="3" s="1"/>
  <c r="AF7934" i="2"/>
  <c r="AF7830" i="2"/>
  <c r="AF7862" i="2"/>
  <c r="AF7870" i="2"/>
  <c r="Y8149" i="2"/>
  <c r="R177" i="3"/>
  <c r="T177" i="3" s="1"/>
  <c r="U177" i="3" s="1"/>
  <c r="V177" i="3" s="1"/>
  <c r="Y7942" i="2"/>
  <c r="AF7945" i="2"/>
  <c r="Y8048" i="2"/>
  <c r="R164" i="3"/>
  <c r="T164" i="3" s="1"/>
  <c r="U164" i="3" s="1"/>
  <c r="V164" i="3" s="1"/>
  <c r="AC5791" i="2"/>
  <c r="R151" i="3"/>
  <c r="T151" i="3" s="1"/>
  <c r="U151" i="3" s="1"/>
  <c r="V151" i="3" s="1"/>
  <c r="AF6012" i="2"/>
  <c r="AF6734" i="2"/>
  <c r="AF7135" i="2"/>
  <c r="AF5588" i="2"/>
  <c r="AF7103" i="2"/>
  <c r="AF7311" i="2"/>
  <c r="AF5641" i="2"/>
  <c r="AF7350" i="2"/>
  <c r="AF7374" i="2"/>
  <c r="AF7233" i="2"/>
  <c r="AC7625" i="2"/>
  <c r="AC7631" i="2"/>
  <c r="AF7467" i="2"/>
  <c r="AF5951" i="2"/>
  <c r="AF6007" i="2"/>
  <c r="AF6853" i="2"/>
  <c r="AF6941" i="2"/>
  <c r="AF7066" i="2"/>
  <c r="AF7315" i="2"/>
  <c r="AF7285" i="2"/>
  <c r="AF5454" i="2"/>
  <c r="AF5574" i="2"/>
  <c r="AC7956" i="2"/>
  <c r="AF5771" i="2"/>
  <c r="AF5773" i="2"/>
  <c r="AF5826" i="2"/>
  <c r="AF5829" i="2"/>
  <c r="AF5854" i="2"/>
  <c r="AF5910" i="2"/>
  <c r="AF5913" i="2"/>
  <c r="AF7002" i="2"/>
  <c r="AF7647" i="2"/>
  <c r="AF7963" i="2"/>
  <c r="AF7971" i="2"/>
  <c r="AF7987" i="2"/>
  <c r="AF5527" i="2"/>
  <c r="AF5535" i="2"/>
  <c r="AF7092" i="2"/>
  <c r="AF7279" i="2"/>
  <c r="AF7290" i="2"/>
  <c r="AF7303" i="2"/>
  <c r="AC7311" i="2"/>
  <c r="AF7588" i="2"/>
  <c r="Y7593" i="2"/>
  <c r="Y7909" i="2"/>
  <c r="AF7920" i="2"/>
  <c r="AF7011" i="2"/>
  <c r="AF7715" i="2"/>
  <c r="AF7380" i="2"/>
  <c r="AF7489" i="2"/>
  <c r="AF7672" i="2"/>
  <c r="AF5502" i="2"/>
  <c r="Y7961" i="2"/>
  <c r="Y7991" i="2"/>
  <c r="Y8007" i="2"/>
  <c r="Y8082" i="2"/>
  <c r="Y8090" i="2"/>
  <c r="AF5432" i="2"/>
  <c r="AF5534" i="2"/>
  <c r="AF5601" i="2"/>
  <c r="AF5766" i="2"/>
  <c r="AF5871" i="2"/>
  <c r="AF6032" i="2"/>
  <c r="AC7417" i="2"/>
  <c r="AF7428" i="2"/>
  <c r="AC7497" i="2"/>
  <c r="AF7503" i="2"/>
  <c r="AF7537" i="2"/>
  <c r="Y7719" i="2"/>
  <c r="AH8008" i="2"/>
  <c r="AC8038" i="2"/>
  <c r="AF7877" i="2"/>
  <c r="Y7935" i="2"/>
  <c r="AF5999" i="2"/>
  <c r="AF6816" i="2"/>
  <c r="AC6985" i="2"/>
  <c r="AF7055" i="2"/>
  <c r="AF7283" i="2"/>
  <c r="AF7326" i="2"/>
  <c r="AF7363" i="2"/>
  <c r="AC7737" i="2"/>
  <c r="AF7879" i="2"/>
  <c r="AF5468" i="2"/>
  <c r="AF5492" i="2"/>
  <c r="AF5622" i="2"/>
  <c r="AF5630" i="2"/>
  <c r="AF5850" i="2"/>
  <c r="AF7025" i="2"/>
  <c r="AF7060" i="2"/>
  <c r="AF7226" i="2"/>
  <c r="AF5446" i="2"/>
  <c r="AF5686" i="2"/>
  <c r="AF5694" i="2"/>
  <c r="AF5777" i="2"/>
  <c r="AF5858" i="2"/>
  <c r="AF5861" i="2"/>
  <c r="AF5882" i="2"/>
  <c r="AF6788" i="2"/>
  <c r="AF7308" i="2"/>
  <c r="AF7383" i="2"/>
  <c r="AF7455" i="2"/>
  <c r="AF7546" i="2"/>
  <c r="AC7649" i="2"/>
  <c r="AC7992" i="2"/>
  <c r="AC8100" i="2"/>
  <c r="AF5718" i="2"/>
  <c r="AF5732" i="2"/>
  <c r="AF5818" i="2"/>
  <c r="AF5950" i="2"/>
  <c r="AF5953" i="2"/>
  <c r="AF5980" i="2"/>
  <c r="AF6742" i="2"/>
  <c r="AF6893" i="2"/>
  <c r="AF6933" i="2"/>
  <c r="AF7255" i="2"/>
  <c r="AF7298" i="2"/>
  <c r="AF7306" i="2"/>
  <c r="AF7348" i="2"/>
  <c r="AF7367" i="2"/>
  <c r="AC7383" i="2"/>
  <c r="AF7386" i="2"/>
  <c r="AF7410" i="2"/>
  <c r="AF7632" i="2"/>
  <c r="AF7660" i="2"/>
  <c r="AF7734" i="2"/>
  <c r="AF7737" i="2"/>
  <c r="AF7772" i="2"/>
  <c r="AC7884" i="2"/>
  <c r="AC8080" i="2"/>
  <c r="AC7996" i="2"/>
  <c r="AC8059" i="2"/>
  <c r="AC8062" i="2"/>
  <c r="AC8092" i="2"/>
  <c r="Y8098" i="2"/>
  <c r="AF5668" i="2"/>
  <c r="AF5673" i="2"/>
  <c r="AF5739" i="2"/>
  <c r="AF5895" i="2"/>
  <c r="AF5911" i="2"/>
  <c r="AF5922" i="2"/>
  <c r="AF5930" i="2"/>
  <c r="AF5963" i="2"/>
  <c r="AF6000" i="2"/>
  <c r="AF6041" i="2"/>
  <c r="AF7008" i="2"/>
  <c r="AF7041" i="2"/>
  <c r="AC7079" i="2"/>
  <c r="AF7300" i="2"/>
  <c r="AF7328" i="2"/>
  <c r="AF7442" i="2"/>
  <c r="Y7567" i="2"/>
  <c r="AF7631" i="2"/>
  <c r="AF7648" i="2"/>
  <c r="AF7651" i="2"/>
  <c r="AF7654" i="2"/>
  <c r="AF7750" i="2"/>
  <c r="AF7780" i="2"/>
  <c r="AF7799" i="2"/>
  <c r="AC7823" i="2"/>
  <c r="AC7842" i="2"/>
  <c r="AC7889" i="2"/>
  <c r="AF7937" i="2"/>
  <c r="AF7950" i="2"/>
  <c r="AF5375" i="2"/>
  <c r="AC8108" i="2"/>
  <c r="Y8114" i="2"/>
  <c r="AF5462" i="2"/>
  <c r="AF5684" i="2"/>
  <c r="AF5692" i="2"/>
  <c r="AF5758" i="2"/>
  <c r="AF5769" i="2"/>
  <c r="AF5772" i="2"/>
  <c r="AF5845" i="2"/>
  <c r="AF5935" i="2"/>
  <c r="AC6053" i="2"/>
  <c r="AC6779" i="2"/>
  <c r="AF7151" i="2"/>
  <c r="AF7170" i="2"/>
  <c r="AF7178" i="2"/>
  <c r="AF7186" i="2"/>
  <c r="AF7205" i="2"/>
  <c r="AC7319" i="2"/>
  <c r="AF7333" i="2"/>
  <c r="AF7454" i="2"/>
  <c r="AF7460" i="2"/>
  <c r="Y7545" i="2"/>
  <c r="AF7610" i="2"/>
  <c r="AC7647" i="2"/>
  <c r="AF7836" i="2"/>
  <c r="AC7850" i="2"/>
  <c r="AF5675" i="2"/>
  <c r="AF5822" i="2"/>
  <c r="AF6053" i="2"/>
  <c r="AF6844" i="2"/>
  <c r="AF6920" i="2"/>
  <c r="AF7327" i="2"/>
  <c r="AF7757" i="2"/>
  <c r="AF7778" i="2"/>
  <c r="AF5967" i="2"/>
  <c r="AF6759" i="2"/>
  <c r="AF6888" i="2"/>
  <c r="AF7023" i="2"/>
  <c r="AF7204" i="2"/>
  <c r="AF7231" i="2"/>
  <c r="AF7343" i="2"/>
  <c r="AC7367" i="2"/>
  <c r="AF7395" i="2"/>
  <c r="AF7767" i="2"/>
  <c r="AF7814" i="2"/>
  <c r="AC7849" i="2"/>
  <c r="AC7855" i="2"/>
  <c r="AF7882" i="2"/>
  <c r="AF7949" i="2"/>
  <c r="Y7951" i="2"/>
  <c r="AF5377" i="2"/>
  <c r="AF5652" i="2"/>
  <c r="AF5660" i="2"/>
  <c r="AF5814" i="2"/>
  <c r="AF5985" i="2"/>
  <c r="AF5551" i="2"/>
  <c r="AF5566" i="2"/>
  <c r="AF5583" i="2"/>
  <c r="AF5982" i="2"/>
  <c r="AF5409" i="2"/>
  <c r="AF5420" i="2"/>
  <c r="AF5726" i="2"/>
  <c r="AF5737" i="2"/>
  <c r="AF5862" i="2"/>
  <c r="AF5873" i="2"/>
  <c r="AF5878" i="2"/>
  <c r="AF6028" i="2"/>
  <c r="AF6036" i="2"/>
  <c r="AF5494" i="2"/>
  <c r="AF5516" i="2"/>
  <c r="AF5582" i="2"/>
  <c r="AF5596" i="2"/>
  <c r="AF5700" i="2"/>
  <c r="AF5734" i="2"/>
  <c r="AF5748" i="2"/>
  <c r="AF5756" i="2"/>
  <c r="AF5830" i="2"/>
  <c r="AF5842" i="2"/>
  <c r="AF5391" i="2"/>
  <c r="AF5474" i="2"/>
  <c r="AF5705" i="2"/>
  <c r="AF7483" i="2"/>
  <c r="AF7491" i="2"/>
  <c r="Y7513" i="2"/>
  <c r="AF7551" i="2"/>
  <c r="AF7562" i="2"/>
  <c r="AF7590" i="2"/>
  <c r="AC7657" i="2"/>
  <c r="AF7680" i="2"/>
  <c r="AF7712" i="2"/>
  <c r="AC7745" i="2"/>
  <c r="AF7765" i="2"/>
  <c r="AC7809" i="2"/>
  <c r="AC7857" i="2"/>
  <c r="AF7910" i="2"/>
  <c r="AC7915" i="2"/>
  <c r="Y7929" i="2"/>
  <c r="AC7980" i="2"/>
  <c r="Y8106" i="2"/>
  <c r="AF5782" i="2"/>
  <c r="AF5790" i="2"/>
  <c r="AF5806" i="2"/>
  <c r="AF5954" i="2"/>
  <c r="AF6778" i="2"/>
  <c r="AF6803" i="2"/>
  <c r="AF6916" i="2"/>
  <c r="AF6962" i="2"/>
  <c r="AF6970" i="2"/>
  <c r="AF6973" i="2"/>
  <c r="AF7009" i="2"/>
  <c r="AF7061" i="2"/>
  <c r="AF7138" i="2"/>
  <c r="AF7176" i="2"/>
  <c r="AF7184" i="2"/>
  <c r="AF7195" i="2"/>
  <c r="AF7241" i="2"/>
  <c r="AF7252" i="2"/>
  <c r="AF7260" i="2"/>
  <c r="AF7268" i="2"/>
  <c r="AF7282" i="2"/>
  <c r="AF7331" i="2"/>
  <c r="AC7361" i="2"/>
  <c r="AF7420" i="2"/>
  <c r="AC7449" i="2"/>
  <c r="AF7463" i="2"/>
  <c r="AF7523" i="2"/>
  <c r="AF7526" i="2"/>
  <c r="AC7609" i="2"/>
  <c r="AF7616" i="2"/>
  <c r="AC7761" i="2"/>
  <c r="AF7820" i="2"/>
  <c r="AC7873" i="2"/>
  <c r="AC7879" i="2"/>
  <c r="AC7882" i="2"/>
  <c r="AF7953" i="2"/>
  <c r="AF7964" i="2"/>
  <c r="AF7972" i="2"/>
  <c r="AH7992" i="2"/>
  <c r="AC8009" i="2"/>
  <c r="AC8066" i="2"/>
  <c r="Y8089" i="2"/>
  <c r="AC8116" i="2"/>
  <c r="AC8147" i="2"/>
  <c r="AF6854" i="2"/>
  <c r="AF7003" i="2"/>
  <c r="AF7014" i="2"/>
  <c r="AF7058" i="2"/>
  <c r="AF7097" i="2"/>
  <c r="AC7615" i="2"/>
  <c r="AF7636" i="2"/>
  <c r="AF7639" i="2"/>
  <c r="Y7673" i="2"/>
  <c r="AF7688" i="2"/>
  <c r="AF7720" i="2"/>
  <c r="AF7742" i="2"/>
  <c r="AF7806" i="2"/>
  <c r="AC7847" i="2"/>
  <c r="AF7873" i="2"/>
  <c r="AF7876" i="2"/>
  <c r="AC7920" i="2"/>
  <c r="AC7931" i="2"/>
  <c r="AC7934" i="2"/>
  <c r="AF8002" i="2"/>
  <c r="Y8009" i="2"/>
  <c r="AF7159" i="2"/>
  <c r="AC7183" i="2"/>
  <c r="AC7313" i="2"/>
  <c r="AF7375" i="2"/>
  <c r="AC7399" i="2"/>
  <c r="Y7791" i="2"/>
  <c r="AF7819" i="2"/>
  <c r="Y7895" i="2"/>
  <c r="Y7903" i="2"/>
  <c r="AF7914" i="2"/>
  <c r="AC7982" i="2"/>
  <c r="AH7988" i="2"/>
  <c r="AF8009" i="2"/>
  <c r="AC8076" i="2"/>
  <c r="Y8105" i="2"/>
  <c r="AF5654" i="2"/>
  <c r="AF5662" i="2"/>
  <c r="AF5702" i="2"/>
  <c r="AF5855" i="2"/>
  <c r="AF5879" i="2"/>
  <c r="Y6659" i="2"/>
  <c r="AF6805" i="2"/>
  <c r="AF6818" i="2"/>
  <c r="AF6843" i="2"/>
  <c r="AF6928" i="2"/>
  <c r="AF6947" i="2"/>
  <c r="AF6995" i="2"/>
  <c r="AF7074" i="2"/>
  <c r="AF7077" i="2"/>
  <c r="AF7099" i="2"/>
  <c r="AF7104" i="2"/>
  <c r="AF7107" i="2"/>
  <c r="AF7118" i="2"/>
  <c r="AF7145" i="2"/>
  <c r="AF7172" i="2"/>
  <c r="AF7180" i="2"/>
  <c r="AF7194" i="2"/>
  <c r="AC7297" i="2"/>
  <c r="AC7303" i="2"/>
  <c r="AF7310" i="2"/>
  <c r="AF7346" i="2"/>
  <c r="AF7377" i="2"/>
  <c r="AF7388" i="2"/>
  <c r="AF7462" i="2"/>
  <c r="AF7468" i="2"/>
  <c r="AF7504" i="2"/>
  <c r="AF7544" i="2"/>
  <c r="AF7566" i="2"/>
  <c r="AF7665" i="2"/>
  <c r="AF7713" i="2"/>
  <c r="Y7727" i="2"/>
  <c r="AF7760" i="2"/>
  <c r="AF7763" i="2"/>
  <c r="Y7919" i="2"/>
  <c r="AF7968" i="2"/>
  <c r="AF7985" i="2"/>
  <c r="AC7993" i="2"/>
  <c r="AF8005" i="2"/>
  <c r="AF5707" i="2"/>
  <c r="AF5724" i="2"/>
  <c r="AF5764" i="2"/>
  <c r="AF5778" i="2"/>
  <c r="AF5786" i="2"/>
  <c r="AF5972" i="2"/>
  <c r="AF5988" i="2"/>
  <c r="AF6019" i="2"/>
  <c r="AF6044" i="2"/>
  <c r="AF6052" i="2"/>
  <c r="AF6749" i="2"/>
  <c r="AF6974" i="2"/>
  <c r="AF7013" i="2"/>
  <c r="AF7196" i="2"/>
  <c r="AF7707" i="2"/>
  <c r="AF7788" i="2"/>
  <c r="Y7897" i="2"/>
  <c r="Y7984" i="2"/>
  <c r="AC8054" i="2"/>
  <c r="AF6804" i="2"/>
  <c r="AF6820" i="2"/>
  <c r="AF7193" i="2"/>
  <c r="AF7207" i="2"/>
  <c r="AF7242" i="2"/>
  <c r="AF7280" i="2"/>
  <c r="AF7286" i="2"/>
  <c r="AC7337" i="2"/>
  <c r="AC7359" i="2"/>
  <c r="AF7365" i="2"/>
  <c r="AF7398" i="2"/>
  <c r="AF7481" i="2"/>
  <c r="Y7529" i="2"/>
  <c r="AF7568" i="2"/>
  <c r="Y7601" i="2"/>
  <c r="AF7721" i="2"/>
  <c r="Y7924" i="2"/>
  <c r="AC8046" i="2"/>
  <c r="AC8122" i="2"/>
  <c r="AF6073" i="2"/>
  <c r="AF6740" i="2"/>
  <c r="AF6790" i="2"/>
  <c r="AF6801" i="2"/>
  <c r="AF6847" i="2"/>
  <c r="AF6979" i="2"/>
  <c r="Y6996" i="2"/>
  <c r="AF7070" i="2"/>
  <c r="AF7098" i="2"/>
  <c r="AF7109" i="2"/>
  <c r="AF7404" i="2"/>
  <c r="AF5383" i="2"/>
  <c r="AF5410" i="2"/>
  <c r="AF5421" i="2"/>
  <c r="AF5497" i="2"/>
  <c r="AF5500" i="2"/>
  <c r="AF5503" i="2"/>
  <c r="AF5509" i="2"/>
  <c r="AF5542" i="2"/>
  <c r="AF5595" i="2"/>
  <c r="AF5617" i="2"/>
  <c r="AF5638" i="2"/>
  <c r="AF5649" i="2"/>
  <c r="AF5670" i="2"/>
  <c r="AF5681" i="2"/>
  <c r="AF5713" i="2"/>
  <c r="AF5745" i="2"/>
  <c r="AF5789" i="2"/>
  <c r="AF5797" i="2"/>
  <c r="AF5809" i="2"/>
  <c r="AF5902" i="2"/>
  <c r="AF5905" i="2"/>
  <c r="AF5914" i="2"/>
  <c r="AF5926" i="2"/>
  <c r="AF5929" i="2"/>
  <c r="AF5962" i="2"/>
  <c r="AF5996" i="2"/>
  <c r="AF6008" i="2"/>
  <c r="AF6056" i="2"/>
  <c r="AF5386" i="2"/>
  <c r="AF5429" i="2"/>
  <c r="AF5452" i="2"/>
  <c r="AF5461" i="2"/>
  <c r="AF5518" i="2"/>
  <c r="AF5529" i="2"/>
  <c r="AF5532" i="2"/>
  <c r="AF5538" i="2"/>
  <c r="AF5573" i="2"/>
  <c r="AF5614" i="2"/>
  <c r="AF5625" i="2"/>
  <c r="AF5646" i="2"/>
  <c r="AF5678" i="2"/>
  <c r="AF5689" i="2"/>
  <c r="AF5710" i="2"/>
  <c r="AF5721" i="2"/>
  <c r="AF5742" i="2"/>
  <c r="AF5753" i="2"/>
  <c r="AF5776" i="2"/>
  <c r="AF5815" i="2"/>
  <c r="AF5943" i="2"/>
  <c r="AF6016" i="2"/>
  <c r="AF6048" i="2"/>
  <c r="AF6064" i="2"/>
  <c r="AF6067" i="2"/>
  <c r="AF5487" i="2"/>
  <c r="AF5517" i="2"/>
  <c r="AF5526" i="2"/>
  <c r="AF5549" i="2"/>
  <c r="AF5585" i="2"/>
  <c r="AF5481" i="2"/>
  <c r="AF5633" i="2"/>
  <c r="AF5665" i="2"/>
  <c r="AF5697" i="2"/>
  <c r="AF5729" i="2"/>
  <c r="AF5750" i="2"/>
  <c r="AF5761" i="2"/>
  <c r="AF5838" i="2"/>
  <c r="AF5841" i="2"/>
  <c r="AF5887" i="2"/>
  <c r="AF5919" i="2"/>
  <c r="AF5979" i="2"/>
  <c r="AF6001" i="2"/>
  <c r="AF6004" i="2"/>
  <c r="AF6031" i="2"/>
  <c r="AF6061" i="2"/>
  <c r="AF5495" i="2"/>
  <c r="AF5498" i="2"/>
  <c r="AF5537" i="2"/>
  <c r="AF5554" i="2"/>
  <c r="AF5575" i="2"/>
  <c r="AF5578" i="2"/>
  <c r="AF5847" i="2"/>
  <c r="AF5903" i="2"/>
  <c r="AF5927" i="2"/>
  <c r="AA5981" i="2"/>
  <c r="AB5981" i="2" s="1"/>
  <c r="AF6027" i="2"/>
  <c r="AF6057" i="2"/>
  <c r="AF5402" i="2"/>
  <c r="AF5486" i="2"/>
  <c r="AF5593" i="2"/>
  <c r="AF5609" i="2"/>
  <c r="AF5644" i="2"/>
  <c r="AF5676" i="2"/>
  <c r="AF5708" i="2"/>
  <c r="AF5740" i="2"/>
  <c r="AF5787" i="2"/>
  <c r="AF5810" i="2"/>
  <c r="AF5813" i="2"/>
  <c r="AF5823" i="2"/>
  <c r="AF5846" i="2"/>
  <c r="AF5870" i="2"/>
  <c r="AF5894" i="2"/>
  <c r="AF5938" i="2"/>
  <c r="AF5975" i="2"/>
  <c r="AF6383" i="2"/>
  <c r="AF6401" i="2"/>
  <c r="AF6739" i="2"/>
  <c r="AF6757" i="2"/>
  <c r="AF6856" i="2"/>
  <c r="AF6884" i="2"/>
  <c r="AF6957" i="2"/>
  <c r="AF6963" i="2"/>
  <c r="AF7001" i="2"/>
  <c r="AC7015" i="2"/>
  <c r="AF7042" i="2"/>
  <c r="AF7057" i="2"/>
  <c r="AF7082" i="2"/>
  <c r="AF7187" i="2"/>
  <c r="AF7225" i="2"/>
  <c r="AF7234" i="2"/>
  <c r="AF7266" i="2"/>
  <c r="AF7275" i="2"/>
  <c r="AF7278" i="2"/>
  <c r="AC7287" i="2"/>
  <c r="AF7296" i="2"/>
  <c r="AF7324" i="2"/>
  <c r="AC7329" i="2"/>
  <c r="AC7335" i="2"/>
  <c r="AF7341" i="2"/>
  <c r="AF7356" i="2"/>
  <c r="AC7385" i="2"/>
  <c r="AF7415" i="2"/>
  <c r="AF7427" i="2"/>
  <c r="AF7457" i="2"/>
  <c r="Y7705" i="2"/>
  <c r="AB7833" i="2"/>
  <c r="AK7833" i="2" s="1"/>
  <c r="Y7833" i="2"/>
  <c r="AC7833" i="2"/>
  <c r="AF7090" i="2"/>
  <c r="Y7103" i="2"/>
  <c r="AF7130" i="2"/>
  <c r="AF7136" i="2"/>
  <c r="AF7148" i="2"/>
  <c r="AC7151" i="2"/>
  <c r="AF7160" i="2"/>
  <c r="AC7265" i="2"/>
  <c r="AF7271" i="2"/>
  <c r="AF7284" i="2"/>
  <c r="AF7287" i="2"/>
  <c r="AF7347" i="2"/>
  <c r="AF6060" i="2"/>
  <c r="AF6398" i="2"/>
  <c r="AF6738" i="2"/>
  <c r="AF6817" i="2"/>
  <c r="AF6823" i="2"/>
  <c r="AF6832" i="2"/>
  <c r="AF6907" i="2"/>
  <c r="AF6965" i="2"/>
  <c r="AF6986" i="2"/>
  <c r="AF7012" i="2"/>
  <c r="AF7036" i="2"/>
  <c r="AF7050" i="2"/>
  <c r="AF7062" i="2"/>
  <c r="AF7071" i="2"/>
  <c r="AC7343" i="2"/>
  <c r="AF7364" i="2"/>
  <c r="AF7379" i="2"/>
  <c r="AC7393" i="2"/>
  <c r="AC7423" i="2"/>
  <c r="AF7426" i="2"/>
  <c r="AF7437" i="2"/>
  <c r="AF7528" i="2"/>
  <c r="AF6400" i="2"/>
  <c r="AF6765" i="2"/>
  <c r="AF6791" i="2"/>
  <c r="AF6794" i="2"/>
  <c r="AF6808" i="2"/>
  <c r="AF6814" i="2"/>
  <c r="AF6831" i="2"/>
  <c r="AF6837" i="2"/>
  <c r="AF7127" i="2"/>
  <c r="AF7177" i="2"/>
  <c r="AF7265" i="2"/>
  <c r="AC7273" i="2"/>
  <c r="AF7274" i="2"/>
  <c r="AC7289" i="2"/>
  <c r="AF7494" i="2"/>
  <c r="AC7503" i="2"/>
  <c r="AB7519" i="2"/>
  <c r="AK7519" i="2" s="1"/>
  <c r="AC7519" i="2"/>
  <c r="AB7799" i="2"/>
  <c r="AK7799" i="2" s="1"/>
  <c r="AC7799" i="2"/>
  <c r="AF6744" i="2"/>
  <c r="AF6747" i="2"/>
  <c r="AF6750" i="2"/>
  <c r="AF6758" i="2"/>
  <c r="AF6776" i="2"/>
  <c r="AF6799" i="2"/>
  <c r="AF6819" i="2"/>
  <c r="AF6822" i="2"/>
  <c r="AF6883" i="2"/>
  <c r="AF6886" i="2"/>
  <c r="AF6915" i="2"/>
  <c r="AF6918" i="2"/>
  <c r="AF6964" i="2"/>
  <c r="AF7044" i="2"/>
  <c r="AC7055" i="2"/>
  <c r="AF7065" i="2"/>
  <c r="AF7209" i="2"/>
  <c r="AF7212" i="2"/>
  <c r="AF7223" i="2"/>
  <c r="AF7244" i="2"/>
  <c r="AF7250" i="2"/>
  <c r="AC7351" i="2"/>
  <c r="AF7366" i="2"/>
  <c r="AF7396" i="2"/>
  <c r="AF7402" i="2"/>
  <c r="AF7408" i="2"/>
  <c r="AF7411" i="2"/>
  <c r="AF7416" i="2"/>
  <c r="AF7423" i="2"/>
  <c r="AF7431" i="2"/>
  <c r="AF7434" i="2"/>
  <c r="AF7475" i="2"/>
  <c r="AF7552" i="2"/>
  <c r="AF6885" i="2"/>
  <c r="AF6917" i="2"/>
  <c r="AF7040" i="2"/>
  <c r="AF7342" i="2"/>
  <c r="AF7369" i="2"/>
  <c r="AF7372" i="2"/>
  <c r="AF7392" i="2"/>
  <c r="AF7422" i="2"/>
  <c r="AC7433" i="2"/>
  <c r="AB7441" i="2"/>
  <c r="AK7441" i="2" s="1"/>
  <c r="AC7441" i="2"/>
  <c r="AF7480" i="2"/>
  <c r="AF7488" i="2"/>
  <c r="AB7505" i="2"/>
  <c r="AK7505" i="2" s="1"/>
  <c r="AC7505" i="2"/>
  <c r="AB7513" i="2"/>
  <c r="AK7513" i="2" s="1"/>
  <c r="AC7513" i="2"/>
  <c r="AB7521" i="2"/>
  <c r="AK7521" i="2" s="1"/>
  <c r="AC7521" i="2"/>
  <c r="AF7543" i="2"/>
  <c r="AB7894" i="2"/>
  <c r="AK7894" i="2" s="1"/>
  <c r="AC7894" i="2"/>
  <c r="AF6891" i="2"/>
  <c r="AF6946" i="2"/>
  <c r="AF7049" i="2"/>
  <c r="AF7073" i="2"/>
  <c r="AF7111" i="2"/>
  <c r="AF7188" i="2"/>
  <c r="AF7217" i="2"/>
  <c r="AF7258" i="2"/>
  <c r="AF7889" i="2"/>
  <c r="Y7889" i="2"/>
  <c r="AB7891" i="2"/>
  <c r="AK7891" i="2" s="1"/>
  <c r="AC7891" i="2"/>
  <c r="AF6764" i="2"/>
  <c r="AF6787" i="2"/>
  <c r="AF6807" i="2"/>
  <c r="AF6848" i="2"/>
  <c r="AF6899" i="2"/>
  <c r="AF6954" i="2"/>
  <c r="AF6987" i="2"/>
  <c r="AF7010" i="2"/>
  <c r="AF7028" i="2"/>
  <c r="AC7063" i="2"/>
  <c r="AF7076" i="2"/>
  <c r="AF7146" i="2"/>
  <c r="AF7249" i="2"/>
  <c r="AC7281" i="2"/>
  <c r="AF7294" i="2"/>
  <c r="AF7319" i="2"/>
  <c r="AF7513" i="2"/>
  <c r="AB7817" i="2"/>
  <c r="AK7817" i="2" s="1"/>
  <c r="AC7817" i="2"/>
  <c r="AB7865" i="2"/>
  <c r="AK7865" i="2" s="1"/>
  <c r="Y7865" i="2"/>
  <c r="Y7737" i="2"/>
  <c r="AF7486" i="2"/>
  <c r="AF7495" i="2"/>
  <c r="Y7537" i="2"/>
  <c r="Y7543" i="2"/>
  <c r="AF7559" i="2"/>
  <c r="AF7564" i="2"/>
  <c r="AF7567" i="2"/>
  <c r="AF7574" i="2"/>
  <c r="AF7625" i="2"/>
  <c r="AF7634" i="2"/>
  <c r="AF7637" i="2"/>
  <c r="AF7652" i="2"/>
  <c r="AF7664" i="2"/>
  <c r="AF7675" i="2"/>
  <c r="AF7681" i="2"/>
  <c r="Y7687" i="2"/>
  <c r="AF7696" i="2"/>
  <c r="AF7702" i="2"/>
  <c r="AF7711" i="2"/>
  <c r="AF7723" i="2"/>
  <c r="AF7743" i="2"/>
  <c r="AF7758" i="2"/>
  <c r="AF7764" i="2"/>
  <c r="AF7781" i="2"/>
  <c r="AF7816" i="2"/>
  <c r="AF7839" i="2"/>
  <c r="AF7851" i="2"/>
  <c r="AF7854" i="2"/>
  <c r="AF7860" i="2"/>
  <c r="AF7871" i="2"/>
  <c r="AF7886" i="2"/>
  <c r="Y7888" i="2"/>
  <c r="AC7905" i="2"/>
  <c r="AF7908" i="2"/>
  <c r="AF7917" i="2"/>
  <c r="AF7956" i="2"/>
  <c r="AC7959" i="2"/>
  <c r="AF7962" i="2"/>
  <c r="Y7968" i="2"/>
  <c r="AC7974" i="2"/>
  <c r="AC7977" i="2"/>
  <c r="AC7997" i="2"/>
  <c r="AC8056" i="2"/>
  <c r="AC8064" i="2"/>
  <c r="AC8069" i="2"/>
  <c r="AC8084" i="2"/>
  <c r="AC8104" i="2"/>
  <c r="AC8129" i="2"/>
  <c r="Y8122" i="2"/>
  <c r="Y8095" i="2"/>
  <c r="Y8066" i="2"/>
  <c r="Y7985" i="2"/>
  <c r="Y7879" i="2"/>
  <c r="AF7606" i="2"/>
  <c r="Y7695" i="2"/>
  <c r="AF7769" i="2"/>
  <c r="Y7783" i="2"/>
  <c r="AF7789" i="2"/>
  <c r="AF7833" i="2"/>
  <c r="Y7853" i="2"/>
  <c r="Y7885" i="2"/>
  <c r="Y7905" i="2"/>
  <c r="Y7977" i="2"/>
  <c r="Y8119" i="2"/>
  <c r="Y7983" i="2"/>
  <c r="Y7871" i="2"/>
  <c r="AF7902" i="2"/>
  <c r="AC7910" i="2"/>
  <c r="AF7939" i="2"/>
  <c r="AC7941" i="2"/>
  <c r="AC7958" i="2"/>
  <c r="AC7964" i="2"/>
  <c r="AC7983" i="2"/>
  <c r="AC8008" i="2"/>
  <c r="AC8012" i="2"/>
  <c r="AF8030" i="2"/>
  <c r="AC8032" i="2"/>
  <c r="AC8044" i="2"/>
  <c r="AC8052" i="2"/>
  <c r="AC8073" i="2"/>
  <c r="AC8088" i="2"/>
  <c r="Y7975" i="2"/>
  <c r="Y7921" i="2"/>
  <c r="Y7609" i="2"/>
  <c r="AF7465" i="2"/>
  <c r="AF7506" i="2"/>
  <c r="AF7512" i="2"/>
  <c r="AF7518" i="2"/>
  <c r="AF7524" i="2"/>
  <c r="AF7527" i="2"/>
  <c r="AF7533" i="2"/>
  <c r="Y7575" i="2"/>
  <c r="AF7584" i="2"/>
  <c r="AF7602" i="2"/>
  <c r="AF7609" i="2"/>
  <c r="AF7615" i="2"/>
  <c r="AF7663" i="2"/>
  <c r="AF7671" i="2"/>
  <c r="AF7683" i="2"/>
  <c r="AF7689" i="2"/>
  <c r="Y7697" i="2"/>
  <c r="AF7704" i="2"/>
  <c r="AF7710" i="2"/>
  <c r="AF7719" i="2"/>
  <c r="AF7745" i="2"/>
  <c r="AF7748" i="2"/>
  <c r="AF7754" i="2"/>
  <c r="AF7797" i="2"/>
  <c r="AF7809" i="2"/>
  <c r="AF7829" i="2"/>
  <c r="AF7835" i="2"/>
  <c r="AF7864" i="2"/>
  <c r="Y7878" i="2"/>
  <c r="AF7899" i="2"/>
  <c r="AF7924" i="2"/>
  <c r="AF7941" i="2"/>
  <c r="AC7952" i="2"/>
  <c r="AF7955" i="2"/>
  <c r="AC7967" i="2"/>
  <c r="AF7970" i="2"/>
  <c r="AF7976" i="2"/>
  <c r="AF7977" i="2"/>
  <c r="AF7989" i="2"/>
  <c r="AF7993" i="2"/>
  <c r="AC8004" i="2"/>
  <c r="Y8006" i="2"/>
  <c r="AC8042" i="2"/>
  <c r="AC8112" i="2"/>
  <c r="AC8146" i="2"/>
  <c r="Y8111" i="2"/>
  <c r="Y8087" i="2"/>
  <c r="Y7967" i="2"/>
  <c r="Y7857" i="2"/>
  <c r="AF7447" i="2"/>
  <c r="AF7473" i="2"/>
  <c r="AF7487" i="2"/>
  <c r="AF7496" i="2"/>
  <c r="AF7575" i="2"/>
  <c r="AF7608" i="2"/>
  <c r="AF7623" i="2"/>
  <c r="AF7641" i="2"/>
  <c r="AF7703" i="2"/>
  <c r="AC7831" i="2"/>
  <c r="AF7846" i="2"/>
  <c r="AF7884" i="2"/>
  <c r="AF7898" i="2"/>
  <c r="AF7915" i="2"/>
  <c r="AF7921" i="2"/>
  <c r="AF7926" i="2"/>
  <c r="AF7943" i="2"/>
  <c r="AF7946" i="2"/>
  <c r="Y7948" i="2"/>
  <c r="Y7960" i="2"/>
  <c r="AC7966" i="2"/>
  <c r="AC7972" i="2"/>
  <c r="AF7979" i="2"/>
  <c r="AC7985" i="2"/>
  <c r="AC7988" i="2"/>
  <c r="Y7990" i="2"/>
  <c r="AF7998" i="2"/>
  <c r="AH8000" i="2"/>
  <c r="AH8004" i="2"/>
  <c r="AC8074" i="2"/>
  <c r="AC8096" i="2"/>
  <c r="Y8147" i="2"/>
  <c r="Y8131" i="2"/>
  <c r="Y8079" i="2"/>
  <c r="Y7959" i="2"/>
  <c r="Y7831" i="2"/>
  <c r="AF7450" i="2"/>
  <c r="AC7489" i="2"/>
  <c r="AC7495" i="2"/>
  <c r="AF7499" i="2"/>
  <c r="AF7508" i="2"/>
  <c r="AF7520" i="2"/>
  <c r="AF7535" i="2"/>
  <c r="AF7550" i="2"/>
  <c r="AF7553" i="2"/>
  <c r="AF7580" i="2"/>
  <c r="AF7595" i="2"/>
  <c r="Y7735" i="2"/>
  <c r="AF7756" i="2"/>
  <c r="AF7796" i="2"/>
  <c r="AF7805" i="2"/>
  <c r="AF7811" i="2"/>
  <c r="AF7828" i="2"/>
  <c r="AF7831" i="2"/>
  <c r="AF7863" i="2"/>
  <c r="AC7871" i="2"/>
  <c r="AF7903" i="2"/>
  <c r="Y7917" i="2"/>
  <c r="Y7981" i="2"/>
  <c r="V8151" i="2"/>
  <c r="AD8151" i="2" s="1"/>
  <c r="Y8151" i="2" s="1"/>
  <c r="Y8146" i="2"/>
  <c r="Y8129" i="2"/>
  <c r="Y8103" i="2"/>
  <c r="Y8073" i="2"/>
  <c r="Y7993" i="2"/>
  <c r="Y7953" i="2"/>
  <c r="Y7769" i="2"/>
  <c r="AF5392" i="2"/>
  <c r="AF5407" i="2"/>
  <c r="AF5418" i="2"/>
  <c r="AF5444" i="2"/>
  <c r="AF5450" i="2"/>
  <c r="AF5453" i="2"/>
  <c r="AF5505" i="2"/>
  <c r="AF5508" i="2"/>
  <c r="AF5511" i="2"/>
  <c r="AF5550" i="2"/>
  <c r="AF5553" i="2"/>
  <c r="AF5577" i="2"/>
  <c r="AF5580" i="2"/>
  <c r="AF5599" i="2"/>
  <c r="AF5602" i="2"/>
  <c r="AF5667" i="2"/>
  <c r="AF5699" i="2"/>
  <c r="AF5731" i="2"/>
  <c r="AF5763" i="2"/>
  <c r="AF5774" i="2"/>
  <c r="AF5807" i="2"/>
  <c r="AF5820" i="2"/>
  <c r="AF5839" i="2"/>
  <c r="AF5852" i="2"/>
  <c r="AF5886" i="2"/>
  <c r="AF6020" i="2"/>
  <c r="AF6069" i="2"/>
  <c r="AF5428" i="2"/>
  <c r="AF5482" i="2"/>
  <c r="AF5485" i="2"/>
  <c r="AF5519" i="2"/>
  <c r="AF5543" i="2"/>
  <c r="AF5558" i="2"/>
  <c r="AF5564" i="2"/>
  <c r="AF5567" i="2"/>
  <c r="AF5591" i="2"/>
  <c r="AF5607" i="2"/>
  <c r="AF5610" i="2"/>
  <c r="AF5651" i="2"/>
  <c r="AF5683" i="2"/>
  <c r="AF5715" i="2"/>
  <c r="AF5747" i="2"/>
  <c r="AF5785" i="2"/>
  <c r="AF5802" i="2"/>
  <c r="AF5805" i="2"/>
  <c r="AF5812" i="2"/>
  <c r="AF5828" i="2"/>
  <c r="AF5831" i="2"/>
  <c r="AF5834" i="2"/>
  <c r="AF5837" i="2"/>
  <c r="AF5863" i="2"/>
  <c r="AF5890" i="2"/>
  <c r="AF5934" i="2"/>
  <c r="AF5937" i="2"/>
  <c r="AF5946" i="2"/>
  <c r="AF5961" i="2"/>
  <c r="AF5977" i="2"/>
  <c r="AF5990" i="2"/>
  <c r="AF5993" i="2"/>
  <c r="AF5399" i="2"/>
  <c r="AF5460" i="2"/>
  <c r="AF5463" i="2"/>
  <c r="AF5466" i="2"/>
  <c r="AF5533" i="2"/>
  <c r="AF5569" i="2"/>
  <c r="AF5581" i="2"/>
  <c r="AF5691" i="2"/>
  <c r="AF5723" i="2"/>
  <c r="AF5755" i="2"/>
  <c r="AF5821" i="2"/>
  <c r="AF5853" i="2"/>
  <c r="AF5865" i="2"/>
  <c r="AF5942" i="2"/>
  <c r="AF5945" i="2"/>
  <c r="AF5964" i="2"/>
  <c r="AF6024" i="2"/>
  <c r="AF6753" i="2"/>
  <c r="AF6762" i="2"/>
  <c r="AF6774" i="2"/>
  <c r="AF6783" i="2"/>
  <c r="AF6797" i="2"/>
  <c r="AF6852" i="2"/>
  <c r="AF6908" i="2"/>
  <c r="AF6929" i="2"/>
  <c r="AF6955" i="2"/>
  <c r="AF6958" i="2"/>
  <c r="AF7000" i="2"/>
  <c r="AF7087" i="2"/>
  <c r="AF7116" i="2"/>
  <c r="AF7122" i="2"/>
  <c r="AF7128" i="2"/>
  <c r="AF7143" i="2"/>
  <c r="AF7155" i="2"/>
  <c r="AF7199" i="2"/>
  <c r="AF7220" i="2"/>
  <c r="AF7247" i="2"/>
  <c r="AF7316" i="2"/>
  <c r="AF7322" i="2"/>
  <c r="AF7325" i="2"/>
  <c r="AF7354" i="2"/>
  <c r="AF7406" i="2"/>
  <c r="AF7432" i="2"/>
  <c r="AF7444" i="2"/>
  <c r="AF7452" i="2"/>
  <c r="AF7502" i="2"/>
  <c r="AF7539" i="2"/>
  <c r="AF7542" i="2"/>
  <c r="AF7563" i="2"/>
  <c r="AF7569" i="2"/>
  <c r="AF7599" i="2"/>
  <c r="AF7621" i="2"/>
  <c r="AF7624" i="2"/>
  <c r="AF7645" i="2"/>
  <c r="AF7669" i="2"/>
  <c r="AF7678" i="2"/>
  <c r="AF7687" i="2"/>
  <c r="AF7726" i="2"/>
  <c r="AF7740" i="2"/>
  <c r="AF7752" i="2"/>
  <c r="AF7775" i="2"/>
  <c r="AF7784" i="2"/>
  <c r="AF7802" i="2"/>
  <c r="AF7842" i="2"/>
  <c r="AF7868" i="2"/>
  <c r="AF7892" i="2"/>
  <c r="AF7918" i="2"/>
  <c r="AF7929" i="2"/>
  <c r="AF7932" i="2"/>
  <c r="AF7938" i="2"/>
  <c r="AF7952" i="2"/>
  <c r="AF7961" i="2"/>
  <c r="AF7980" i="2"/>
  <c r="AF7399" i="2"/>
  <c r="AF7440" i="2"/>
  <c r="AF7498" i="2"/>
  <c r="AF7897" i="2"/>
  <c r="AF7951" i="2"/>
  <c r="AF7954" i="2"/>
  <c r="AF5918" i="2"/>
  <c r="AF5921" i="2"/>
  <c r="AF5966" i="2"/>
  <c r="AF5969" i="2"/>
  <c r="AF5986" i="2"/>
  <c r="AF5992" i="2"/>
  <c r="AF6040" i="2"/>
  <c r="AF6062" i="2"/>
  <c r="AF6743" i="2"/>
  <c r="AF6752" i="2"/>
  <c r="AF6767" i="2"/>
  <c r="AF6779" i="2"/>
  <c r="AF6810" i="2"/>
  <c r="AF6813" i="2"/>
  <c r="AF6839" i="2"/>
  <c r="AF6851" i="2"/>
  <c r="AF6898" i="2"/>
  <c r="AF6937" i="2"/>
  <c r="AF6951" i="2"/>
  <c r="AF6984" i="2"/>
  <c r="AF6990" i="2"/>
  <c r="AF7100" i="2"/>
  <c r="AF7115" i="2"/>
  <c r="AF7198" i="2"/>
  <c r="AF7201" i="2"/>
  <c r="AF7228" i="2"/>
  <c r="AF7471" i="2"/>
  <c r="AF7583" i="2"/>
  <c r="AF7598" i="2"/>
  <c r="AF7601" i="2"/>
  <c r="AF7620" i="2"/>
  <c r="AF7626" i="2"/>
  <c r="AF7656" i="2"/>
  <c r="AF7686" i="2"/>
  <c r="AF7697" i="2"/>
  <c r="AF7736" i="2"/>
  <c r="AF7783" i="2"/>
  <c r="AF7786" i="2"/>
  <c r="AF7821" i="2"/>
  <c r="AF7844" i="2"/>
  <c r="AF7847" i="2"/>
  <c r="AF7853" i="2"/>
  <c r="AF7856" i="2"/>
  <c r="AF7888" i="2"/>
  <c r="AF7894" i="2"/>
  <c r="AF7607" i="2"/>
  <c r="AF7635" i="2"/>
  <c r="AF7673" i="2"/>
  <c r="AF7694" i="2"/>
  <c r="AF7744" i="2"/>
  <c r="AF7759" i="2"/>
  <c r="AF7794" i="2"/>
  <c r="AF7969" i="2"/>
  <c r="AF6760" i="2"/>
  <c r="AF6772" i="2"/>
  <c r="AF6775" i="2"/>
  <c r="AF6909" i="2"/>
  <c r="AF6912" i="2"/>
  <c r="AF6980" i="2"/>
  <c r="AF7031" i="2"/>
  <c r="AF7067" i="2"/>
  <c r="AF7079" i="2"/>
  <c r="AF7088" i="2"/>
  <c r="AF7144" i="2"/>
  <c r="AF7162" i="2"/>
  <c r="AF7165" i="2"/>
  <c r="AF7200" i="2"/>
  <c r="AF7218" i="2"/>
  <c r="AF7239" i="2"/>
  <c r="AF7295" i="2"/>
  <c r="AF7317" i="2"/>
  <c r="AF7332" i="2"/>
  <c r="AF7335" i="2"/>
  <c r="AF7362" i="2"/>
  <c r="AF7407" i="2"/>
  <c r="AF7439" i="2"/>
  <c r="AF7445" i="2"/>
  <c r="AF7459" i="2"/>
  <c r="AF7519" i="2"/>
  <c r="AF7522" i="2"/>
  <c r="AF7534" i="2"/>
  <c r="AF7679" i="2"/>
  <c r="AF7718" i="2"/>
  <c r="AF7729" i="2"/>
  <c r="AF7779" i="2"/>
  <c r="AF7812" i="2"/>
  <c r="AF7826" i="2"/>
  <c r="AF7840" i="2"/>
  <c r="AF7843" i="2"/>
  <c r="AF7861" i="2"/>
  <c r="AF7869" i="2"/>
  <c r="AF7890" i="2"/>
  <c r="AF7896" i="2"/>
  <c r="AF7919" i="2"/>
  <c r="AF7922" i="2"/>
  <c r="AF7930" i="2"/>
  <c r="AF6023" i="2"/>
  <c r="AF6735" i="2"/>
  <c r="AF6745" i="2"/>
  <c r="AF6751" i="2"/>
  <c r="AF6763" i="2"/>
  <c r="AF6766" i="2"/>
  <c r="AF6792" i="2"/>
  <c r="AF6809" i="2"/>
  <c r="AF6812" i="2"/>
  <c r="AF6826" i="2"/>
  <c r="AF6835" i="2"/>
  <c r="AF6850" i="2"/>
  <c r="AF6900" i="2"/>
  <c r="AF6992" i="2"/>
  <c r="AF7006" i="2"/>
  <c r="AF7024" i="2"/>
  <c r="AF7051" i="2"/>
  <c r="AF7054" i="2"/>
  <c r="AF7102" i="2"/>
  <c r="AF7108" i="2"/>
  <c r="AF7141" i="2"/>
  <c r="AF7191" i="2"/>
  <c r="AF7197" i="2"/>
  <c r="AF7215" i="2"/>
  <c r="AF7236" i="2"/>
  <c r="AF7263" i="2"/>
  <c r="AF7276" i="2"/>
  <c r="AF7292" i="2"/>
  <c r="AF7314" i="2"/>
  <c r="AF7349" i="2"/>
  <c r="AF7376" i="2"/>
  <c r="AF7391" i="2"/>
  <c r="AF7412" i="2"/>
  <c r="AF7436" i="2"/>
  <c r="AF7470" i="2"/>
  <c r="AF7476" i="2"/>
  <c r="AF7548" i="2"/>
  <c r="AF7558" i="2"/>
  <c r="AF7579" i="2"/>
  <c r="AF7582" i="2"/>
  <c r="AF7591" i="2"/>
  <c r="AF7597" i="2"/>
  <c r="AF7603" i="2"/>
  <c r="AF7640" i="2"/>
  <c r="AF7655" i="2"/>
  <c r="AF7658" i="2"/>
  <c r="AF7699" i="2"/>
  <c r="AF7705" i="2"/>
  <c r="AF7732" i="2"/>
  <c r="AF7770" i="2"/>
  <c r="AF7773" i="2"/>
  <c r="AF7793" i="2"/>
  <c r="AF7808" i="2"/>
  <c r="AF7837" i="2"/>
  <c r="AF7852" i="2"/>
  <c r="AF7866" i="2"/>
  <c r="AF7881" i="2"/>
  <c r="AF7887" i="2"/>
  <c r="AF7904" i="2"/>
  <c r="AF7907" i="2"/>
  <c r="AF7913" i="2"/>
  <c r="AF7927" i="2"/>
  <c r="AF7936" i="2"/>
  <c r="AF7984" i="2"/>
  <c r="AB5523" i="2"/>
  <c r="AK5523" i="2" s="1"/>
  <c r="Y5523" i="2"/>
  <c r="AB5528" i="2"/>
  <c r="AK5528" i="2" s="1"/>
  <c r="Y5615" i="2"/>
  <c r="Y5655" i="2"/>
  <c r="AB5383" i="2"/>
  <c r="AK5383" i="2" s="1"/>
  <c r="Y5383" i="2"/>
  <c r="AF5433" i="2"/>
  <c r="AB5478" i="2"/>
  <c r="AK5478" i="2" s="1"/>
  <c r="Y5478" i="2"/>
  <c r="AB5486" i="2"/>
  <c r="AK5486" i="2" s="1"/>
  <c r="Y5486" i="2"/>
  <c r="AB5375" i="2"/>
  <c r="AK5375" i="2" s="1"/>
  <c r="Y5375" i="2"/>
  <c r="AC5379" i="2"/>
  <c r="AB5379" i="2"/>
  <c r="AK5379" i="2" s="1"/>
  <c r="AC5398" i="2"/>
  <c r="AB5398" i="2"/>
  <c r="AK5398" i="2" s="1"/>
  <c r="AB5409" i="2"/>
  <c r="AK5409" i="2" s="1"/>
  <c r="Y5409" i="2"/>
  <c r="Y5413" i="2"/>
  <c r="AC5435" i="2"/>
  <c r="AB5435" i="2"/>
  <c r="AK5435" i="2" s="1"/>
  <c r="AC5450" i="2"/>
  <c r="Y5450" i="2"/>
  <c r="AC5478" i="2"/>
  <c r="AC5482" i="2"/>
  <c r="AB5482" i="2"/>
  <c r="AK5482" i="2" s="1"/>
  <c r="AC5486" i="2"/>
  <c r="AC5490" i="2"/>
  <c r="AC5498" i="2"/>
  <c r="AB5498" i="2"/>
  <c r="AK5498" i="2" s="1"/>
  <c r="Y5498" i="2"/>
  <c r="AC5506" i="2"/>
  <c r="AB5506" i="2"/>
  <c r="AK5506" i="2" s="1"/>
  <c r="Y5506" i="2"/>
  <c r="AC5514" i="2"/>
  <c r="Y5514" i="2"/>
  <c r="AB5518" i="2"/>
  <c r="AK5518" i="2" s="1"/>
  <c r="Y5518" i="2"/>
  <c r="AC5527" i="2"/>
  <c r="AB5527" i="2"/>
  <c r="AK5527" i="2" s="1"/>
  <c r="Y5527" i="2"/>
  <c r="AB5539" i="2"/>
  <c r="AK5539" i="2" s="1"/>
  <c r="Y5539" i="2"/>
  <c r="AB5544" i="2"/>
  <c r="AK5544" i="2" s="1"/>
  <c r="AF5545" i="2"/>
  <c r="AB5548" i="2"/>
  <c r="AK5548" i="2" s="1"/>
  <c r="Y5548" i="2"/>
  <c r="AB5561" i="2"/>
  <c r="AK5561" i="2" s="1"/>
  <c r="Y5561" i="2"/>
  <c r="AC5578" i="2"/>
  <c r="Y5578" i="2"/>
  <c r="AB5582" i="2"/>
  <c r="AK5582" i="2" s="1"/>
  <c r="Y5582" i="2"/>
  <c r="AB5593" i="2"/>
  <c r="AK5593" i="2" s="1"/>
  <c r="Y5593" i="2"/>
  <c r="AB5601" i="2"/>
  <c r="AK5601" i="2" s="1"/>
  <c r="Y5601" i="2"/>
  <c r="AB5609" i="2"/>
  <c r="AK5609" i="2" s="1"/>
  <c r="Y5609" i="2"/>
  <c r="AB5614" i="2"/>
  <c r="AK5614" i="2" s="1"/>
  <c r="Y5614" i="2"/>
  <c r="AF5615" i="2"/>
  <c r="AB5622" i="2"/>
  <c r="AK5622" i="2" s="1"/>
  <c r="Y5622" i="2"/>
  <c r="AF5623" i="2"/>
  <c r="AB5630" i="2"/>
  <c r="AK5630" i="2" s="1"/>
  <c r="Y5630" i="2"/>
  <c r="AF5631" i="2"/>
  <c r="AB5638" i="2"/>
  <c r="AK5638" i="2" s="1"/>
  <c r="Y5638" i="2"/>
  <c r="AF5639" i="2"/>
  <c r="AB5646" i="2"/>
  <c r="AK5646" i="2" s="1"/>
  <c r="Y5646" i="2"/>
  <c r="AF5647" i="2"/>
  <c r="Y5654" i="2"/>
  <c r="AF5655" i="2"/>
  <c r="Y5662" i="2"/>
  <c r="AF5663" i="2"/>
  <c r="AB5670" i="2"/>
  <c r="AK5670" i="2" s="1"/>
  <c r="Y5670" i="2"/>
  <c r="AF5671" i="2"/>
  <c r="AB5678" i="2"/>
  <c r="AK5678" i="2" s="1"/>
  <c r="Y5678" i="2"/>
  <c r="AB5686" i="2"/>
  <c r="AK5686" i="2" s="1"/>
  <c r="Y5686" i="2"/>
  <c r="AB5694" i="2"/>
  <c r="AK5694" i="2" s="1"/>
  <c r="Y5694" i="2"/>
  <c r="AB5702" i="2"/>
  <c r="AK5702" i="2" s="1"/>
  <c r="Y5702" i="2"/>
  <c r="AF5703" i="2"/>
  <c r="AB5710" i="2"/>
  <c r="AK5710" i="2" s="1"/>
  <c r="Y5710" i="2"/>
  <c r="AF5711" i="2"/>
  <c r="Y5718" i="2"/>
  <c r="Y5726" i="2"/>
  <c r="AF5727" i="2"/>
  <c r="AB5734" i="2"/>
  <c r="AK5734" i="2" s="1"/>
  <c r="Y5734" i="2"/>
  <c r="AF5735" i="2"/>
  <c r="AB5742" i="2"/>
  <c r="AK5742" i="2" s="1"/>
  <c r="Y5742" i="2"/>
  <c r="AF5743" i="2"/>
  <c r="AB5750" i="2"/>
  <c r="AK5750" i="2" s="1"/>
  <c r="Y5750" i="2"/>
  <c r="AF5751" i="2"/>
  <c r="AB5758" i="2"/>
  <c r="AK5758" i="2" s="1"/>
  <c r="Y5758" i="2"/>
  <c r="AF5759" i="2"/>
  <c r="AB5766" i="2"/>
  <c r="AK5766" i="2" s="1"/>
  <c r="Y5766" i="2"/>
  <c r="AF5767" i="2"/>
  <c r="AC5773" i="2"/>
  <c r="AB5773" i="2"/>
  <c r="AK5773" i="2" s="1"/>
  <c r="Y5773" i="2"/>
  <c r="AF5779" i="2"/>
  <c r="AC5786" i="2"/>
  <c r="AB5786" i="2"/>
  <c r="AK5786" i="2" s="1"/>
  <c r="Y5786" i="2"/>
  <c r="AF5794" i="2"/>
  <c r="AC5806" i="2"/>
  <c r="AB5806" i="2"/>
  <c r="AK5806" i="2" s="1"/>
  <c r="Y5806" i="2"/>
  <c r="AB5810" i="2"/>
  <c r="AK5810" i="2" s="1"/>
  <c r="Y5810" i="2"/>
  <c r="AB5815" i="2"/>
  <c r="AK5815" i="2" s="1"/>
  <c r="Y5815" i="2"/>
  <c r="AF5825" i="2"/>
  <c r="AC5838" i="2"/>
  <c r="AB5838" i="2"/>
  <c r="AK5838" i="2" s="1"/>
  <c r="Y5838" i="2"/>
  <c r="AB5842" i="2"/>
  <c r="AK5842" i="2" s="1"/>
  <c r="Y5842" i="2"/>
  <c r="AB5847" i="2"/>
  <c r="AK5847" i="2" s="1"/>
  <c r="Y5847" i="2"/>
  <c r="AF5857" i="2"/>
  <c r="AF5866" i="2"/>
  <c r="AF5874" i="2"/>
  <c r="AF5897" i="2"/>
  <c r="Y5969" i="2"/>
  <c r="AB5973" i="2"/>
  <c r="AK5973" i="2" s="1"/>
  <c r="AB5993" i="2"/>
  <c r="AK5993" i="2" s="1"/>
  <c r="Y5993" i="2"/>
  <c r="AC6006" i="2"/>
  <c r="AB6006" i="2"/>
  <c r="AK6006" i="2" s="1"/>
  <c r="Y6006" i="2"/>
  <c r="AB6010" i="2"/>
  <c r="AK6010" i="2" s="1"/>
  <c r="AC6027" i="2"/>
  <c r="AB6027" i="2"/>
  <c r="AK6027" i="2" s="1"/>
  <c r="Y6027" i="2"/>
  <c r="AC6051" i="2"/>
  <c r="AB6051" i="2"/>
  <c r="AK6051" i="2" s="1"/>
  <c r="Y6051" i="2"/>
  <c r="AC6056" i="2"/>
  <c r="AB6056" i="2"/>
  <c r="AK6056" i="2" s="1"/>
  <c r="Y6056" i="2"/>
  <c r="AB6064" i="2"/>
  <c r="AK6064" i="2" s="1"/>
  <c r="Y6064" i="2"/>
  <c r="AB6069" i="2"/>
  <c r="AK6069" i="2" s="1"/>
  <c r="Y6069" i="2"/>
  <c r="AC6079" i="2"/>
  <c r="AB6079" i="2"/>
  <c r="AK6079" i="2" s="1"/>
  <c r="Y6079" i="2"/>
  <c r="AB6085" i="2"/>
  <c r="AK6085" i="2" s="1"/>
  <c r="Y6085" i="2"/>
  <c r="AB6107" i="2"/>
  <c r="AK6107" i="2" s="1"/>
  <c r="Y6107" i="2"/>
  <c r="AB6115" i="2"/>
  <c r="AK6115" i="2" s="1"/>
  <c r="Y6115" i="2"/>
  <c r="AB6123" i="2"/>
  <c r="AK6123" i="2" s="1"/>
  <c r="Y6123" i="2"/>
  <c r="AB6131" i="2"/>
  <c r="AK6131" i="2" s="1"/>
  <c r="Y6131" i="2"/>
  <c r="AB6139" i="2"/>
  <c r="AK6139" i="2" s="1"/>
  <c r="Y6139" i="2"/>
  <c r="AB6147" i="2"/>
  <c r="AK6147" i="2" s="1"/>
  <c r="Y6147" i="2"/>
  <c r="AB6155" i="2"/>
  <c r="AK6155" i="2" s="1"/>
  <c r="Y6155" i="2"/>
  <c r="AB6163" i="2"/>
  <c r="AK6163" i="2" s="1"/>
  <c r="Y6163" i="2"/>
  <c r="AC6172" i="2"/>
  <c r="AB6172" i="2"/>
  <c r="AK6172" i="2" s="1"/>
  <c r="Y6172" i="2"/>
  <c r="AB6182" i="2"/>
  <c r="AK6182" i="2" s="1"/>
  <c r="Y6182" i="2"/>
  <c r="AB6190" i="2"/>
  <c r="AK6190" i="2" s="1"/>
  <c r="Y6190" i="2"/>
  <c r="AB6198" i="2"/>
  <c r="AK6198" i="2" s="1"/>
  <c r="Y6198" i="2"/>
  <c r="AB6206" i="2"/>
  <c r="AK6206" i="2" s="1"/>
  <c r="Y6206" i="2"/>
  <c r="AC6209" i="2"/>
  <c r="AB6209" i="2"/>
  <c r="AK6209" i="2" s="1"/>
  <c r="Y6209" i="2"/>
  <c r="AC6332" i="2"/>
  <c r="AB6332" i="2"/>
  <c r="AK6332" i="2" s="1"/>
  <c r="Y6332" i="2"/>
  <c r="AB6342" i="2"/>
  <c r="AK6342" i="2" s="1"/>
  <c r="Y6342" i="2"/>
  <c r="AB6349" i="2"/>
  <c r="AK6349" i="2" s="1"/>
  <c r="Y6349" i="2"/>
  <c r="AB6353" i="2"/>
  <c r="AK6353" i="2" s="1"/>
  <c r="Y6353" i="2"/>
  <c r="AB6357" i="2"/>
  <c r="AK6357" i="2" s="1"/>
  <c r="Y6357" i="2"/>
  <c r="AB6361" i="2"/>
  <c r="AK6361" i="2" s="1"/>
  <c r="Y6361" i="2"/>
  <c r="AB6365" i="2"/>
  <c r="AK6365" i="2" s="1"/>
  <c r="Y6365" i="2"/>
  <c r="AB6375" i="2"/>
  <c r="AK6375" i="2" s="1"/>
  <c r="Y6375" i="2"/>
  <c r="AC6391" i="2"/>
  <c r="AB6391" i="2"/>
  <c r="AK6391" i="2" s="1"/>
  <c r="Y6391" i="2"/>
  <c r="AB6399" i="2"/>
  <c r="AK6399" i="2" s="1"/>
  <c r="Y6399" i="2"/>
  <c r="AC6407" i="2"/>
  <c r="AB6407" i="2"/>
  <c r="AK6407" i="2" s="1"/>
  <c r="Y6407" i="2"/>
  <c r="AC6418" i="2"/>
  <c r="AB6418" i="2"/>
  <c r="AK6418" i="2" s="1"/>
  <c r="AC6426" i="2"/>
  <c r="AB6426" i="2"/>
  <c r="AK6426" i="2" s="1"/>
  <c r="AC6434" i="2"/>
  <c r="AB6434" i="2"/>
  <c r="AK6434" i="2" s="1"/>
  <c r="AC6442" i="2"/>
  <c r="AB6442" i="2"/>
  <c r="AK6442" i="2" s="1"/>
  <c r="Y6442" i="2"/>
  <c r="AC6450" i="2"/>
  <c r="AB6450" i="2"/>
  <c r="AK6450" i="2" s="1"/>
  <c r="AB6455" i="2"/>
  <c r="AK6455" i="2" s="1"/>
  <c r="Y6455" i="2"/>
  <c r="AB6459" i="2"/>
  <c r="AK6459" i="2" s="1"/>
  <c r="Y6459" i="2"/>
  <c r="AB6463" i="2"/>
  <c r="AK6463" i="2" s="1"/>
  <c r="Y6463" i="2"/>
  <c r="AB6467" i="2"/>
  <c r="AK6467" i="2" s="1"/>
  <c r="Y6467" i="2"/>
  <c r="AB6471" i="2"/>
  <c r="AK6471" i="2" s="1"/>
  <c r="Y6471" i="2"/>
  <c r="AB6475" i="2"/>
  <c r="AK6475" i="2" s="1"/>
  <c r="Y6475" i="2"/>
  <c r="AC6481" i="2"/>
  <c r="AB6481" i="2"/>
  <c r="AK6481" i="2" s="1"/>
  <c r="Y6481" i="2"/>
  <c r="AB6517" i="2"/>
  <c r="AK6517" i="2" s="1"/>
  <c r="AB6525" i="2"/>
  <c r="AK6525" i="2" s="1"/>
  <c r="AB6533" i="2"/>
  <c r="AK6533" i="2" s="1"/>
  <c r="AB6541" i="2"/>
  <c r="AK6541" i="2" s="1"/>
  <c r="AB6549" i="2"/>
  <c r="AK6549" i="2" s="1"/>
  <c r="AB6557" i="2"/>
  <c r="AK6557" i="2" s="1"/>
  <c r="AB6581" i="2"/>
  <c r="AK6581" i="2" s="1"/>
  <c r="Y6581" i="2"/>
  <c r="AC6620" i="2"/>
  <c r="AB6620" i="2"/>
  <c r="AK6620" i="2" s="1"/>
  <c r="Y6620" i="2"/>
  <c r="AC6628" i="2"/>
  <c r="AB6628" i="2"/>
  <c r="AK6628" i="2" s="1"/>
  <c r="Y6628" i="2"/>
  <c r="AC6647" i="2"/>
  <c r="AB6647" i="2"/>
  <c r="AK6647" i="2" s="1"/>
  <c r="Y6647" i="2"/>
  <c r="AB6650" i="2"/>
  <c r="AK6650" i="2" s="1"/>
  <c r="Y6650" i="2"/>
  <c r="AB6654" i="2"/>
  <c r="AK6654" i="2" s="1"/>
  <c r="Y6654" i="2"/>
  <c r="AB6663" i="2"/>
  <c r="AK6663" i="2" s="1"/>
  <c r="Y6663" i="2"/>
  <c r="AB6667" i="2"/>
  <c r="AK6667" i="2" s="1"/>
  <c r="Y6667" i="2"/>
  <c r="AB6671" i="2"/>
  <c r="AK6671" i="2" s="1"/>
  <c r="Y6671" i="2"/>
  <c r="AB6675" i="2"/>
  <c r="AK6675" i="2" s="1"/>
  <c r="Y6675" i="2"/>
  <c r="AB6685" i="2"/>
  <c r="AK6685" i="2" s="1"/>
  <c r="Y6685" i="2"/>
  <c r="AB6693" i="2"/>
  <c r="AK6693" i="2" s="1"/>
  <c r="Y6693" i="2"/>
  <c r="AB6701" i="2"/>
  <c r="AK6701" i="2" s="1"/>
  <c r="Y6701" i="2"/>
  <c r="AB6709" i="2"/>
  <c r="AK6709" i="2" s="1"/>
  <c r="Y6709" i="2"/>
  <c r="AB6717" i="2"/>
  <c r="AK6717" i="2" s="1"/>
  <c r="Y6717" i="2"/>
  <c r="AB6725" i="2"/>
  <c r="AK6725" i="2" s="1"/>
  <c r="Y6725" i="2"/>
  <c r="AB6733" i="2"/>
  <c r="AK6733" i="2" s="1"/>
  <c r="Y6733" i="2"/>
  <c r="AB6737" i="2"/>
  <c r="AK6737" i="2" s="1"/>
  <c r="Y6737" i="2"/>
  <c r="Y6743" i="2"/>
  <c r="AB6756" i="2"/>
  <c r="AK6756" i="2" s="1"/>
  <c r="Y6756" i="2"/>
  <c r="AB6765" i="2"/>
  <c r="AK6765" i="2" s="1"/>
  <c r="Y6765" i="2"/>
  <c r="Y6772" i="2"/>
  <c r="AC6783" i="2"/>
  <c r="Y6783" i="2"/>
  <c r="AC6789" i="2"/>
  <c r="AB6789" i="2"/>
  <c r="AK6789" i="2" s="1"/>
  <c r="Y6789" i="2"/>
  <c r="AC6797" i="2"/>
  <c r="Y6797" i="2"/>
  <c r="AA6801" i="2"/>
  <c r="AB6801" i="2" s="1"/>
  <c r="AK6801" i="2" s="1"/>
  <c r="Y6801" i="2"/>
  <c r="AC6808" i="2"/>
  <c r="AB6808" i="2"/>
  <c r="AK6808" i="2" s="1"/>
  <c r="Y6808" i="2"/>
  <c r="AC6815" i="2"/>
  <c r="AB6815" i="2"/>
  <c r="AK6815" i="2" s="1"/>
  <c r="Y6815" i="2"/>
  <c r="AC6818" i="2"/>
  <c r="AB6818" i="2"/>
  <c r="AK6818" i="2" s="1"/>
  <c r="Y6818" i="2"/>
  <c r="AB6825" i="2"/>
  <c r="AK6825" i="2" s="1"/>
  <c r="Y6825" i="2"/>
  <c r="AC6835" i="2"/>
  <c r="Y6835" i="2"/>
  <c r="AB6839" i="2"/>
  <c r="AK6839" i="2" s="1"/>
  <c r="Y6839" i="2"/>
  <c r="AC6843" i="2"/>
  <c r="AB6843" i="2"/>
  <c r="AK6843" i="2" s="1"/>
  <c r="Y6843" i="2"/>
  <c r="AA6847" i="2"/>
  <c r="AB6847" i="2" s="1"/>
  <c r="AK6847" i="2" s="1"/>
  <c r="Y6847" i="2"/>
  <c r="AB6854" i="2"/>
  <c r="AK6854" i="2" s="1"/>
  <c r="Y6854" i="2"/>
  <c r="AB6871" i="2"/>
  <c r="AK6871" i="2" s="1"/>
  <c r="Y6871" i="2"/>
  <c r="AB6874" i="2"/>
  <c r="AK6874" i="2" s="1"/>
  <c r="Y6874" i="2"/>
  <c r="AB6884" i="2"/>
  <c r="AK6884" i="2" s="1"/>
  <c r="Y6884" i="2"/>
  <c r="AC6891" i="2"/>
  <c r="AB6891" i="2"/>
  <c r="AK6891" i="2" s="1"/>
  <c r="Y6891" i="2"/>
  <c r="AC6895" i="2"/>
  <c r="AB6895" i="2"/>
  <c r="AK6895" i="2" s="1"/>
  <c r="Y6895" i="2"/>
  <c r="AB6898" i="2"/>
  <c r="AK6898" i="2" s="1"/>
  <c r="Y6898" i="2"/>
  <c r="AB6908" i="2"/>
  <c r="AK6908" i="2" s="1"/>
  <c r="Y6908" i="2"/>
  <c r="AC6915" i="2"/>
  <c r="AB6915" i="2"/>
  <c r="AK6915" i="2" s="1"/>
  <c r="Y6915" i="2"/>
  <c r="AB6925" i="2"/>
  <c r="AK6925" i="2" s="1"/>
  <c r="Y6925" i="2"/>
  <c r="AB6928" i="2"/>
  <c r="AK6928" i="2" s="1"/>
  <c r="Y6928" i="2"/>
  <c r="AC6932" i="2"/>
  <c r="AB6932" i="2"/>
  <c r="AK6932" i="2" s="1"/>
  <c r="Y6932" i="2"/>
  <c r="AC6935" i="2"/>
  <c r="AB6935" i="2"/>
  <c r="AK6935" i="2" s="1"/>
  <c r="Y6935" i="2"/>
  <c r="AC6942" i="2"/>
  <c r="Y6942" i="2"/>
  <c r="AB6945" i="2"/>
  <c r="AK6945" i="2" s="1"/>
  <c r="Y6945" i="2"/>
  <c r="AC6954" i="2"/>
  <c r="AB6954" i="2"/>
  <c r="AK6954" i="2" s="1"/>
  <c r="Y6954" i="2"/>
  <c r="AC6964" i="2"/>
  <c r="Y6964" i="2"/>
  <c r="AC6967" i="2"/>
  <c r="AB6967" i="2"/>
  <c r="AK6967" i="2" s="1"/>
  <c r="Y6967" i="2"/>
  <c r="AC6970" i="2"/>
  <c r="AB6970" i="2"/>
  <c r="AK6970" i="2" s="1"/>
  <c r="Y6970" i="2"/>
  <c r="AC6986" i="2"/>
  <c r="AB6986" i="2"/>
  <c r="AK6986" i="2" s="1"/>
  <c r="Y6986" i="2"/>
  <c r="AC7001" i="2"/>
  <c r="AB7001" i="2"/>
  <c r="AK7001" i="2" s="1"/>
  <c r="Y7001" i="2"/>
  <c r="AB7004" i="2"/>
  <c r="AK7004" i="2" s="1"/>
  <c r="Y7004" i="2"/>
  <c r="AB7007" i="2"/>
  <c r="AK7007" i="2" s="1"/>
  <c r="Y7007" i="2"/>
  <c r="AC7017" i="2"/>
  <c r="Y7017" i="2"/>
  <c r="AB7023" i="2"/>
  <c r="AK7023" i="2" s="1"/>
  <c r="Y7023" i="2"/>
  <c r="AC7023" i="2"/>
  <c r="AB7039" i="2"/>
  <c r="AK7039" i="2" s="1"/>
  <c r="AC7039" i="2"/>
  <c r="Y7039" i="2"/>
  <c r="AB7092" i="2"/>
  <c r="AK7092" i="2" s="1"/>
  <c r="Y7092" i="2"/>
  <c r="AB7095" i="2"/>
  <c r="AK7095" i="2" s="1"/>
  <c r="Y7095" i="2"/>
  <c r="AC7146" i="2"/>
  <c r="AB7146" i="2"/>
  <c r="AK7146" i="2" s="1"/>
  <c r="Y7146" i="2"/>
  <c r="AC7167" i="2"/>
  <c r="AB7167" i="2"/>
  <c r="AK7167" i="2" s="1"/>
  <c r="Y7167" i="2"/>
  <c r="AB7182" i="2"/>
  <c r="AK7182" i="2" s="1"/>
  <c r="Y7182" i="2"/>
  <c r="AC7182" i="2"/>
  <c r="AB7223" i="2"/>
  <c r="AK7223" i="2" s="1"/>
  <c r="Y7223" i="2"/>
  <c r="AC7223" i="2"/>
  <c r="AC7288" i="2"/>
  <c r="AB7288" i="2"/>
  <c r="AK7288" i="2" s="1"/>
  <c r="Y7288" i="2"/>
  <c r="AC7310" i="2"/>
  <c r="AB7310" i="2"/>
  <c r="AK7310" i="2" s="1"/>
  <c r="Y7310" i="2"/>
  <c r="AC7373" i="2"/>
  <c r="AB7373" i="2"/>
  <c r="AK7373" i="2" s="1"/>
  <c r="Y7373" i="2"/>
  <c r="AB7587" i="2"/>
  <c r="AK7587" i="2" s="1"/>
  <c r="Y7587" i="2"/>
  <c r="AC7587" i="2"/>
  <c r="AB7606" i="2"/>
  <c r="AK7606" i="2" s="1"/>
  <c r="Y7606" i="2"/>
  <c r="AC7606" i="2"/>
  <c r="AB7702" i="2"/>
  <c r="AK7702" i="2" s="1"/>
  <c r="Y7702" i="2"/>
  <c r="AC7702" i="2"/>
  <c r="AC5414" i="2"/>
  <c r="AB5414" i="2"/>
  <c r="AK5414" i="2" s="1"/>
  <c r="Y5414" i="2"/>
  <c r="AB5428" i="2"/>
  <c r="AK5428" i="2" s="1"/>
  <c r="AC5487" i="2"/>
  <c r="AB5487" i="2"/>
  <c r="AK5487" i="2" s="1"/>
  <c r="Y5487" i="2"/>
  <c r="AC5562" i="2"/>
  <c r="Y5562" i="2"/>
  <c r="AC5575" i="2"/>
  <c r="AB5575" i="2"/>
  <c r="AK5575" i="2" s="1"/>
  <c r="Y5575" i="2"/>
  <c r="AB5639" i="2"/>
  <c r="AK5639" i="2" s="1"/>
  <c r="Y5639" i="2"/>
  <c r="AC5643" i="2"/>
  <c r="AB5643" i="2"/>
  <c r="AK5643" i="2" s="1"/>
  <c r="Y5643" i="2"/>
  <c r="Y5647" i="2"/>
  <c r="AB5462" i="2"/>
  <c r="AK5462" i="2" s="1"/>
  <c r="Y5462" i="2"/>
  <c r="AB5394" i="2"/>
  <c r="AK5394" i="2" s="1"/>
  <c r="Y5394" i="2"/>
  <c r="AB5438" i="2"/>
  <c r="AK5438" i="2" s="1"/>
  <c r="Y5438" i="2"/>
  <c r="AC5442" i="2"/>
  <c r="AC5466" i="2"/>
  <c r="AB5466" i="2"/>
  <c r="AK5466" i="2" s="1"/>
  <c r="AB5386" i="2"/>
  <c r="AK5386" i="2" s="1"/>
  <c r="Y5386" i="2"/>
  <c r="AC5390" i="2"/>
  <c r="AB5390" i="2"/>
  <c r="AK5390" i="2" s="1"/>
  <c r="Y5390" i="2"/>
  <c r="AC5394" i="2"/>
  <c r="AB5401" i="2"/>
  <c r="AK5401" i="2" s="1"/>
  <c r="Y5401" i="2"/>
  <c r="AB5405" i="2"/>
  <c r="AK5405" i="2" s="1"/>
  <c r="Y5405" i="2"/>
  <c r="AC5409" i="2"/>
  <c r="AB5412" i="2"/>
  <c r="AK5412" i="2" s="1"/>
  <c r="Y5412" i="2"/>
  <c r="AC5413" i="2"/>
  <c r="AC5427" i="2"/>
  <c r="AB5427" i="2"/>
  <c r="AK5427" i="2" s="1"/>
  <c r="AC5438" i="2"/>
  <c r="AF5442" i="2"/>
  <c r="AC5522" i="2"/>
  <c r="AB5522" i="2"/>
  <c r="AK5522" i="2" s="1"/>
  <c r="AB5526" i="2"/>
  <c r="AK5526" i="2" s="1"/>
  <c r="Y5526" i="2"/>
  <c r="AC5535" i="2"/>
  <c r="AB5535" i="2"/>
  <c r="AK5535" i="2" s="1"/>
  <c r="Y5535" i="2"/>
  <c r="AC5539" i="2"/>
  <c r="AB5547" i="2"/>
  <c r="AK5547" i="2" s="1"/>
  <c r="Y5547" i="2"/>
  <c r="AC5548" i="2"/>
  <c r="AB5552" i="2"/>
  <c r="AK5552" i="2" s="1"/>
  <c r="AB5556" i="2"/>
  <c r="AK5556" i="2" s="1"/>
  <c r="Y5556" i="2"/>
  <c r="AC5561" i="2"/>
  <c r="AB5569" i="2"/>
  <c r="AK5569" i="2" s="1"/>
  <c r="Y5569" i="2"/>
  <c r="AC5589" i="2"/>
  <c r="AB5589" i="2"/>
  <c r="AK5589" i="2" s="1"/>
  <c r="AC5597" i="2"/>
  <c r="AC5605" i="2"/>
  <c r="AB5605" i="2"/>
  <c r="AK5605" i="2" s="1"/>
  <c r="AB5617" i="2"/>
  <c r="AK5617" i="2" s="1"/>
  <c r="Y5617" i="2"/>
  <c r="AB5625" i="2"/>
  <c r="AK5625" i="2" s="1"/>
  <c r="Y5625" i="2"/>
  <c r="AB5633" i="2"/>
  <c r="AK5633" i="2" s="1"/>
  <c r="Y5633" i="2"/>
  <c r="AB5641" i="2"/>
  <c r="AK5641" i="2" s="1"/>
  <c r="Y5641" i="2"/>
  <c r="Y5649" i="2"/>
  <c r="Y5657" i="2"/>
  <c r="AB5665" i="2"/>
  <c r="AK5665" i="2" s="1"/>
  <c r="Y5665" i="2"/>
  <c r="AB5673" i="2"/>
  <c r="AK5673" i="2" s="1"/>
  <c r="Y5673" i="2"/>
  <c r="AB5681" i="2"/>
  <c r="AK5681" i="2" s="1"/>
  <c r="Y5681" i="2"/>
  <c r="AB5689" i="2"/>
  <c r="AK5689" i="2" s="1"/>
  <c r="Y5689" i="2"/>
  <c r="AB5697" i="2"/>
  <c r="AK5697" i="2" s="1"/>
  <c r="Y5697" i="2"/>
  <c r="AB5705" i="2"/>
  <c r="AK5705" i="2" s="1"/>
  <c r="Y5705" i="2"/>
  <c r="Y5713" i="2"/>
  <c r="AB5721" i="2"/>
  <c r="AK5721" i="2" s="1"/>
  <c r="Y5721" i="2"/>
  <c r="AB5729" i="2"/>
  <c r="AK5729" i="2" s="1"/>
  <c r="Y5729" i="2"/>
  <c r="AB5737" i="2"/>
  <c r="AK5737" i="2" s="1"/>
  <c r="Y5737" i="2"/>
  <c r="AB5745" i="2"/>
  <c r="AK5745" i="2" s="1"/>
  <c r="Y5745" i="2"/>
  <c r="AB5753" i="2"/>
  <c r="AK5753" i="2" s="1"/>
  <c r="Y5753" i="2"/>
  <c r="AB5761" i="2"/>
  <c r="AK5761" i="2" s="1"/>
  <c r="Y5761" i="2"/>
  <c r="AB5769" i="2"/>
  <c r="AK5769" i="2" s="1"/>
  <c r="Y5769" i="2"/>
  <c r="AC5781" i="2"/>
  <c r="AB5781" i="2"/>
  <c r="AK5781" i="2" s="1"/>
  <c r="Y5781" i="2"/>
  <c r="AB5793" i="2"/>
  <c r="AK5793" i="2" s="1"/>
  <c r="Y5793" i="2"/>
  <c r="AB5797" i="2"/>
  <c r="AK5797" i="2" s="1"/>
  <c r="Y5797" i="2"/>
  <c r="AC5801" i="2"/>
  <c r="AB5801" i="2"/>
  <c r="AK5801" i="2" s="1"/>
  <c r="Y5801" i="2"/>
  <c r="AB5819" i="2"/>
  <c r="AK5819" i="2" s="1"/>
  <c r="Y5819" i="2"/>
  <c r="AB5824" i="2"/>
  <c r="AK5824" i="2" s="1"/>
  <c r="AB5828" i="2"/>
  <c r="AK5828" i="2" s="1"/>
  <c r="Y5828" i="2"/>
  <c r="AC5833" i="2"/>
  <c r="AB5833" i="2"/>
  <c r="AK5833" i="2" s="1"/>
  <c r="Y5833" i="2"/>
  <c r="AB5851" i="2"/>
  <c r="AK5851" i="2" s="1"/>
  <c r="Y5851" i="2"/>
  <c r="AB5856" i="2"/>
  <c r="AK5856" i="2" s="1"/>
  <c r="AB5860" i="2"/>
  <c r="AK5860" i="2" s="1"/>
  <c r="Y5860" i="2"/>
  <c r="AB5865" i="2"/>
  <c r="AK5865" i="2" s="1"/>
  <c r="Y5865" i="2"/>
  <c r="AB5873" i="2"/>
  <c r="AK5873" i="2" s="1"/>
  <c r="Y5873" i="2"/>
  <c r="AB5880" i="2"/>
  <c r="AK5880" i="2" s="1"/>
  <c r="Y5880" i="2"/>
  <c r="AC5884" i="2"/>
  <c r="AB5884" i="2"/>
  <c r="AK5884" i="2" s="1"/>
  <c r="Y5884" i="2"/>
  <c r="AB5888" i="2"/>
  <c r="AK5888" i="2" s="1"/>
  <c r="Y5888" i="2"/>
  <c r="AC5892" i="2"/>
  <c r="Y5892" i="2"/>
  <c r="AB5896" i="2"/>
  <c r="AK5896" i="2" s="1"/>
  <c r="Y5896" i="2"/>
  <c r="AC5900" i="2"/>
  <c r="AB5900" i="2"/>
  <c r="AK5900" i="2" s="1"/>
  <c r="Y5900" i="2"/>
  <c r="AB5904" i="2"/>
  <c r="AK5904" i="2" s="1"/>
  <c r="Y5904" i="2"/>
  <c r="AC5908" i="2"/>
  <c r="AB5908" i="2"/>
  <c r="AK5908" i="2" s="1"/>
  <c r="Y5908" i="2"/>
  <c r="AB5912" i="2"/>
  <c r="AK5912" i="2" s="1"/>
  <c r="Y5912" i="2"/>
  <c r="AC5916" i="2"/>
  <c r="AB5916" i="2"/>
  <c r="AK5916" i="2" s="1"/>
  <c r="Y5916" i="2"/>
  <c r="Y5920" i="2"/>
  <c r="AC5924" i="2"/>
  <c r="AB5924" i="2"/>
  <c r="AK5924" i="2" s="1"/>
  <c r="Y5924" i="2"/>
  <c r="AB5928" i="2"/>
  <c r="AK5928" i="2" s="1"/>
  <c r="Y5928" i="2"/>
  <c r="AC5932" i="2"/>
  <c r="AB5932" i="2"/>
  <c r="AK5932" i="2" s="1"/>
  <c r="Y5932" i="2"/>
  <c r="AB5936" i="2"/>
  <c r="AK5936" i="2" s="1"/>
  <c r="Y5936" i="2"/>
  <c r="AC5940" i="2"/>
  <c r="AB5940" i="2"/>
  <c r="AK5940" i="2" s="1"/>
  <c r="Y5940" i="2"/>
  <c r="AB5944" i="2"/>
  <c r="AK5944" i="2" s="1"/>
  <c r="Y5944" i="2"/>
  <c r="AC5948" i="2"/>
  <c r="AB5948" i="2"/>
  <c r="AK5948" i="2" s="1"/>
  <c r="Y5948" i="2"/>
  <c r="AB5952" i="2"/>
  <c r="AK5952" i="2" s="1"/>
  <c r="Y5952" i="2"/>
  <c r="AC5956" i="2"/>
  <c r="AB5956" i="2"/>
  <c r="AK5956" i="2" s="1"/>
  <c r="Y5956" i="2"/>
  <c r="Y5964" i="2"/>
  <c r="AC5965" i="2"/>
  <c r="AC5969" i="2"/>
  <c r="Y5972" i="2"/>
  <c r="AC5973" i="2"/>
  <c r="Y5977" i="2"/>
  <c r="AB5982" i="2"/>
  <c r="AK5982" i="2" s="1"/>
  <c r="Y5982" i="2"/>
  <c r="AB5989" i="2"/>
  <c r="AK5989" i="2" s="1"/>
  <c r="Y5989" i="2"/>
  <c r="AC5993" i="2"/>
  <c r="AB5997" i="2"/>
  <c r="AK5997" i="2" s="1"/>
  <c r="Y5997" i="2"/>
  <c r="AB6001" i="2"/>
  <c r="AK6001" i="2" s="1"/>
  <c r="Y6001" i="2"/>
  <c r="AF6006" i="2"/>
  <c r="AC6010" i="2"/>
  <c r="AC6014" i="2"/>
  <c r="AB6014" i="2"/>
  <c r="AK6014" i="2" s="1"/>
  <c r="Y6014" i="2"/>
  <c r="AB6018" i="2"/>
  <c r="AK6018" i="2" s="1"/>
  <c r="Y6035" i="2"/>
  <c r="AB6043" i="2"/>
  <c r="AK6043" i="2" s="1"/>
  <c r="Y6043" i="2"/>
  <c r="AC6064" i="2"/>
  <c r="AF6065" i="2"/>
  <c r="AB6068" i="2"/>
  <c r="AK6068" i="2" s="1"/>
  <c r="AC6069" i="2"/>
  <c r="AB6072" i="2"/>
  <c r="AK6072" i="2" s="1"/>
  <c r="Y6072" i="2"/>
  <c r="AB6076" i="2"/>
  <c r="AK6076" i="2" s="1"/>
  <c r="Y6076" i="2"/>
  <c r="AC6085" i="2"/>
  <c r="AC6088" i="2"/>
  <c r="AB6088" i="2"/>
  <c r="AK6088" i="2" s="1"/>
  <c r="Y6088" i="2"/>
  <c r="AB6091" i="2"/>
  <c r="AK6091" i="2" s="1"/>
  <c r="Y6091" i="2"/>
  <c r="AB6094" i="2"/>
  <c r="AK6094" i="2" s="1"/>
  <c r="Y6094" i="2"/>
  <c r="AB6101" i="2"/>
  <c r="AK6101" i="2" s="1"/>
  <c r="Y6101" i="2"/>
  <c r="AC6104" i="2"/>
  <c r="AB6104" i="2"/>
  <c r="AK6104" i="2" s="1"/>
  <c r="Y6104" i="2"/>
  <c r="AC6107" i="2"/>
  <c r="AC6112" i="2"/>
  <c r="AB6112" i="2"/>
  <c r="AK6112" i="2" s="1"/>
  <c r="Y6112" i="2"/>
  <c r="AC6115" i="2"/>
  <c r="AC6120" i="2"/>
  <c r="AB6120" i="2"/>
  <c r="AK6120" i="2" s="1"/>
  <c r="Y6120" i="2"/>
  <c r="AC6123" i="2"/>
  <c r="AC6128" i="2"/>
  <c r="AB6128" i="2"/>
  <c r="AK6128" i="2" s="1"/>
  <c r="Y6128" i="2"/>
  <c r="AC6131" i="2"/>
  <c r="AC6136" i="2"/>
  <c r="AB6136" i="2"/>
  <c r="AK6136" i="2" s="1"/>
  <c r="Y6136" i="2"/>
  <c r="AC6139" i="2"/>
  <c r="AC6144" i="2"/>
  <c r="AB6144" i="2"/>
  <c r="AK6144" i="2" s="1"/>
  <c r="Y6144" i="2"/>
  <c r="AC6147" i="2"/>
  <c r="AC6152" i="2"/>
  <c r="AB6152" i="2"/>
  <c r="AK6152" i="2" s="1"/>
  <c r="Y6152" i="2"/>
  <c r="AC6155" i="2"/>
  <c r="AC6160" i="2"/>
  <c r="AB6160" i="2"/>
  <c r="AK6160" i="2" s="1"/>
  <c r="Y6160" i="2"/>
  <c r="AC6163" i="2"/>
  <c r="AC6179" i="2"/>
  <c r="AB6179" i="2"/>
  <c r="AK6179" i="2" s="1"/>
  <c r="Y6179" i="2"/>
  <c r="AC6182" i="2"/>
  <c r="AB6187" i="2"/>
  <c r="AK6187" i="2" s="1"/>
  <c r="Y6187" i="2"/>
  <c r="AC6190" i="2"/>
  <c r="AC6195" i="2"/>
  <c r="AB6195" i="2"/>
  <c r="AK6195" i="2" s="1"/>
  <c r="Y6195" i="2"/>
  <c r="AC6198" i="2"/>
  <c r="AB6203" i="2"/>
  <c r="AK6203" i="2" s="1"/>
  <c r="Y6203" i="2"/>
  <c r="AC6206" i="2"/>
  <c r="AB6212" i="2"/>
  <c r="AK6212" i="2" s="1"/>
  <c r="Y6212" i="2"/>
  <c r="AB6216" i="2"/>
  <c r="AK6216" i="2" s="1"/>
  <c r="Y6216" i="2"/>
  <c r="AC6334" i="2"/>
  <c r="AB6334" i="2"/>
  <c r="AK6334" i="2" s="1"/>
  <c r="Y6334" i="2"/>
  <c r="AB6339" i="2"/>
  <c r="AK6339" i="2" s="1"/>
  <c r="Y6339" i="2"/>
  <c r="AC6342" i="2"/>
  <c r="AB6345" i="2"/>
  <c r="AK6345" i="2" s="1"/>
  <c r="Y6345" i="2"/>
  <c r="AC6349" i="2"/>
  <c r="AC6353" i="2"/>
  <c r="AC6357" i="2"/>
  <c r="AC6361" i="2"/>
  <c r="AC6365" i="2"/>
  <c r="AC6372" i="2"/>
  <c r="AB6372" i="2"/>
  <c r="AK6372" i="2" s="1"/>
  <c r="Y6372" i="2"/>
  <c r="AC6375" i="2"/>
  <c r="AC6380" i="2"/>
  <c r="AB6380" i="2"/>
  <c r="AK6380" i="2" s="1"/>
  <c r="Y6380" i="2"/>
  <c r="AB6388" i="2"/>
  <c r="AK6388" i="2" s="1"/>
  <c r="Y6388" i="2"/>
  <c r="AB6396" i="2"/>
  <c r="AK6396" i="2" s="1"/>
  <c r="Y6396" i="2"/>
  <c r="AC6399" i="2"/>
  <c r="AF6402" i="2"/>
  <c r="Y6402" i="2"/>
  <c r="AB6404" i="2"/>
  <c r="AK6404" i="2" s="1"/>
  <c r="Y6404" i="2"/>
  <c r="AB6412" i="2"/>
  <c r="AK6412" i="2" s="1"/>
  <c r="Y6412" i="2"/>
  <c r="Y6423" i="2"/>
  <c r="AB6431" i="2"/>
  <c r="AK6431" i="2" s="1"/>
  <c r="Y6431" i="2"/>
  <c r="AB6439" i="2"/>
  <c r="AK6439" i="2" s="1"/>
  <c r="Y6439" i="2"/>
  <c r="AB6447" i="2"/>
  <c r="AK6447" i="2" s="1"/>
  <c r="Y6447" i="2"/>
  <c r="AC6455" i="2"/>
  <c r="AC6459" i="2"/>
  <c r="AC6463" i="2"/>
  <c r="AC6467" i="2"/>
  <c r="AC6471" i="2"/>
  <c r="AC6475" i="2"/>
  <c r="AB6478" i="2"/>
  <c r="AK6478" i="2" s="1"/>
  <c r="Y6478" i="2"/>
  <c r="AB6486" i="2"/>
  <c r="AK6486" i="2" s="1"/>
  <c r="Y6486" i="2"/>
  <c r="AB6492" i="2"/>
  <c r="AK6492" i="2" s="1"/>
  <c r="Y6492" i="2"/>
  <c r="AB6496" i="2"/>
  <c r="AK6496" i="2" s="1"/>
  <c r="Y6496" i="2"/>
  <c r="AB6500" i="2"/>
  <c r="AK6500" i="2" s="1"/>
  <c r="Y6500" i="2"/>
  <c r="AB6504" i="2"/>
  <c r="AK6504" i="2" s="1"/>
  <c r="Y6504" i="2"/>
  <c r="AB6508" i="2"/>
  <c r="AK6508" i="2" s="1"/>
  <c r="Y6508" i="2"/>
  <c r="AC6514" i="2"/>
  <c r="AB6514" i="2"/>
  <c r="AK6514" i="2" s="1"/>
  <c r="Y6514" i="2"/>
  <c r="AC6517" i="2"/>
  <c r="AC6522" i="2"/>
  <c r="AB6522" i="2"/>
  <c r="AK6522" i="2" s="1"/>
  <c r="Y6522" i="2"/>
  <c r="AC6525" i="2"/>
  <c r="AC6530" i="2"/>
  <c r="AB6530" i="2"/>
  <c r="AK6530" i="2" s="1"/>
  <c r="Y6530" i="2"/>
  <c r="AC6533" i="2"/>
  <c r="AC6538" i="2"/>
  <c r="AB6538" i="2"/>
  <c r="AK6538" i="2" s="1"/>
  <c r="Y6538" i="2"/>
  <c r="AC6541" i="2"/>
  <c r="AC6546" i="2"/>
  <c r="Y6546" i="2"/>
  <c r="AC6549" i="2"/>
  <c r="AC6554" i="2"/>
  <c r="AB6554" i="2"/>
  <c r="AK6554" i="2" s="1"/>
  <c r="Y6554" i="2"/>
  <c r="AC6562" i="2"/>
  <c r="AB6562" i="2"/>
  <c r="AK6562" i="2" s="1"/>
  <c r="Y6562" i="2"/>
  <c r="AC6570" i="2"/>
  <c r="AB6570" i="2"/>
  <c r="AK6570" i="2" s="1"/>
  <c r="Y6570" i="2"/>
  <c r="AC6578" i="2"/>
  <c r="AB6578" i="2"/>
  <c r="AK6578" i="2" s="1"/>
  <c r="Y6578" i="2"/>
  <c r="AB6583" i="2"/>
  <c r="AK6583" i="2" s="1"/>
  <c r="Y6583" i="2"/>
  <c r="AB6587" i="2"/>
  <c r="AK6587" i="2" s="1"/>
  <c r="AB6591" i="2"/>
  <c r="AK6591" i="2" s="1"/>
  <c r="Y6591" i="2"/>
  <c r="AB6595" i="2"/>
  <c r="AK6595" i="2" s="1"/>
  <c r="AB6599" i="2"/>
  <c r="AK6599" i="2" s="1"/>
  <c r="Y6599" i="2"/>
  <c r="AB6603" i="2"/>
  <c r="AK6603" i="2" s="1"/>
  <c r="AB6607" i="2"/>
  <c r="AK6607" i="2" s="1"/>
  <c r="AB6611" i="2"/>
  <c r="AK6611" i="2" s="1"/>
  <c r="AB6617" i="2"/>
  <c r="AK6617" i="2" s="1"/>
  <c r="Y6617" i="2"/>
  <c r="AB6625" i="2"/>
  <c r="AK6625" i="2" s="1"/>
  <c r="Y6625" i="2"/>
  <c r="AB6633" i="2"/>
  <c r="AK6633" i="2" s="1"/>
  <c r="Y6633" i="2"/>
  <c r="AB6636" i="2"/>
  <c r="AK6636" i="2" s="1"/>
  <c r="Y6636" i="2"/>
  <c r="AB6640" i="2"/>
  <c r="AK6640" i="2" s="1"/>
  <c r="Y6640" i="2"/>
  <c r="AB6644" i="2"/>
  <c r="AK6644" i="2" s="1"/>
  <c r="Y6644" i="2"/>
  <c r="AC6650" i="2"/>
  <c r="AC6654" i="2"/>
  <c r="AC6663" i="2"/>
  <c r="AC6667" i="2"/>
  <c r="AC6671" i="2"/>
  <c r="AC6675" i="2"/>
  <c r="AC6682" i="2"/>
  <c r="AB6682" i="2"/>
  <c r="AK6682" i="2" s="1"/>
  <c r="Y6682" i="2"/>
  <c r="AC6685" i="2"/>
  <c r="AC6690" i="2"/>
  <c r="AB6690" i="2"/>
  <c r="AK6690" i="2" s="1"/>
  <c r="Y6690" i="2"/>
  <c r="AC6693" i="2"/>
  <c r="AC6698" i="2"/>
  <c r="AB6698" i="2"/>
  <c r="AK6698" i="2" s="1"/>
  <c r="Y6698" i="2"/>
  <c r="AC6701" i="2"/>
  <c r="AC6706" i="2"/>
  <c r="AB6706" i="2"/>
  <c r="AK6706" i="2" s="1"/>
  <c r="Y6706" i="2"/>
  <c r="AC6709" i="2"/>
  <c r="AC6714" i="2"/>
  <c r="AB6714" i="2"/>
  <c r="AK6714" i="2" s="1"/>
  <c r="Y6714" i="2"/>
  <c r="AC6717" i="2"/>
  <c r="AC6722" i="2"/>
  <c r="AB6722" i="2"/>
  <c r="AK6722" i="2" s="1"/>
  <c r="Y6722" i="2"/>
  <c r="AC6725" i="2"/>
  <c r="AC6730" i="2"/>
  <c r="AB6730" i="2"/>
  <c r="AK6730" i="2" s="1"/>
  <c r="Y6730" i="2"/>
  <c r="AC6733" i="2"/>
  <c r="AC6737" i="2"/>
  <c r="AC6742" i="2"/>
  <c r="Y6742" i="2"/>
  <c r="AA6743" i="2"/>
  <c r="AB6743" i="2" s="1"/>
  <c r="AB6748" i="2"/>
  <c r="AK6748" i="2" s="1"/>
  <c r="Y6748" i="2"/>
  <c r="AC6756" i="2"/>
  <c r="AB6759" i="2"/>
  <c r="AK6759" i="2" s="1"/>
  <c r="Y6759" i="2"/>
  <c r="AB6760" i="2"/>
  <c r="AK6760" i="2" s="1"/>
  <c r="Y6760" i="2"/>
  <c r="AB6761" i="2"/>
  <c r="AK6761" i="2" s="1"/>
  <c r="Y6761" i="2"/>
  <c r="AC6765" i="2"/>
  <c r="AB6768" i="2"/>
  <c r="AK6768" i="2" s="1"/>
  <c r="Y6768" i="2"/>
  <c r="AA6772" i="2"/>
  <c r="AB6772" i="2" s="1"/>
  <c r="AF6773" i="2"/>
  <c r="AC6778" i="2"/>
  <c r="AB6778" i="2"/>
  <c r="AK6778" i="2" s="1"/>
  <c r="Y6778" i="2"/>
  <c r="AF6780" i="2"/>
  <c r="AA6783" i="2"/>
  <c r="AB6783" i="2" s="1"/>
  <c r="AK6783" i="2" s="1"/>
  <c r="AF6784" i="2"/>
  <c r="AC6786" i="2"/>
  <c r="Y6786" i="2"/>
  <c r="AB6793" i="2"/>
  <c r="AK6793" i="2" s="1"/>
  <c r="Y6793" i="2"/>
  <c r="AA6797" i="2"/>
  <c r="AB6797" i="2" s="1"/>
  <c r="AK6797" i="2" s="1"/>
  <c r="AF6798" i="2"/>
  <c r="AC6801" i="2"/>
  <c r="AC6804" i="2"/>
  <c r="AB6804" i="2"/>
  <c r="AK6804" i="2" s="1"/>
  <c r="Y6804" i="2"/>
  <c r="AB6811" i="2"/>
  <c r="AK6811" i="2" s="1"/>
  <c r="Y6811" i="2"/>
  <c r="AF6815" i="2"/>
  <c r="AB6821" i="2"/>
  <c r="AK6821" i="2" s="1"/>
  <c r="Y6821" i="2"/>
  <c r="AC6825" i="2"/>
  <c r="AF6829" i="2"/>
  <c r="AA6835" i="2"/>
  <c r="AB6835" i="2" s="1"/>
  <c r="AF6836" i="2"/>
  <c r="AC6839" i="2"/>
  <c r="AC6847" i="2"/>
  <c r="AC6850" i="2"/>
  <c r="AB6850" i="2"/>
  <c r="AK6850" i="2" s="1"/>
  <c r="Y6850" i="2"/>
  <c r="AB6853" i="2"/>
  <c r="AK6853" i="2" s="1"/>
  <c r="Y6853" i="2"/>
  <c r="AC6854" i="2"/>
  <c r="AC6857" i="2"/>
  <c r="AB6857" i="2"/>
  <c r="AK6857" i="2" s="1"/>
  <c r="Y6857" i="2"/>
  <c r="AC6859" i="2"/>
  <c r="AB6859" i="2"/>
  <c r="AK6859" i="2" s="1"/>
  <c r="Y6859" i="2"/>
  <c r="AC6861" i="2"/>
  <c r="AB6861" i="2"/>
  <c r="AK6861" i="2" s="1"/>
  <c r="Y6861" i="2"/>
  <c r="AC6871" i="2"/>
  <c r="AC6874" i="2"/>
  <c r="AB6877" i="2"/>
  <c r="AK6877" i="2" s="1"/>
  <c r="Y6877" i="2"/>
  <c r="AC6884" i="2"/>
  <c r="AF6892" i="2"/>
  <c r="AF6895" i="2"/>
  <c r="AC6898" i="2"/>
  <c r="AF6905" i="2"/>
  <c r="AC6908" i="2"/>
  <c r="AB6918" i="2"/>
  <c r="AK6918" i="2" s="1"/>
  <c r="Y6918" i="2"/>
  <c r="AB6921" i="2"/>
  <c r="AK6921" i="2" s="1"/>
  <c r="Y6921" i="2"/>
  <c r="AF6922" i="2"/>
  <c r="AC6925" i="2"/>
  <c r="AC6928" i="2"/>
  <c r="AB6931" i="2"/>
  <c r="AK6931" i="2" s="1"/>
  <c r="Y6931" i="2"/>
  <c r="AF6932" i="2"/>
  <c r="AF6935" i="2"/>
  <c r="AC6938" i="2"/>
  <c r="AB6938" i="2"/>
  <c r="AK6938" i="2" s="1"/>
  <c r="Y6938" i="2"/>
  <c r="AF6942" i="2"/>
  <c r="AC6945" i="2"/>
  <c r="AF6949" i="2"/>
  <c r="AC6951" i="2"/>
  <c r="AB6951" i="2"/>
  <c r="AK6951" i="2" s="1"/>
  <c r="Y6951" i="2"/>
  <c r="AB6957" i="2"/>
  <c r="AK6957" i="2" s="1"/>
  <c r="Y6957" i="2"/>
  <c r="AB6960" i="2"/>
  <c r="AK6960" i="2" s="1"/>
  <c r="Y6960" i="2"/>
  <c r="AB6979" i="2"/>
  <c r="AK6979" i="2" s="1"/>
  <c r="Y6979" i="2"/>
  <c r="AC6979" i="2"/>
  <c r="AC7004" i="2"/>
  <c r="AC7007" i="2"/>
  <c r="AB7010" i="2"/>
  <c r="AK7010" i="2" s="1"/>
  <c r="Y7010" i="2"/>
  <c r="AB7020" i="2"/>
  <c r="AK7020" i="2" s="1"/>
  <c r="Y7020" i="2"/>
  <c r="AC7020" i="2"/>
  <c r="Y7036" i="2"/>
  <c r="AC7036" i="2"/>
  <c r="AC7045" i="2"/>
  <c r="AB7045" i="2"/>
  <c r="AK7045" i="2" s="1"/>
  <c r="Y7045" i="2"/>
  <c r="AB7048" i="2"/>
  <c r="AK7048" i="2" s="1"/>
  <c r="Y7048" i="2"/>
  <c r="AC7051" i="2"/>
  <c r="AB7051" i="2"/>
  <c r="AK7051" i="2" s="1"/>
  <c r="Y7051" i="2"/>
  <c r="AF7052" i="2"/>
  <c r="AC7054" i="2"/>
  <c r="AB7054" i="2"/>
  <c r="AK7054" i="2" s="1"/>
  <c r="Y7054" i="2"/>
  <c r="AC7057" i="2"/>
  <c r="AB7057" i="2"/>
  <c r="AK7057" i="2" s="1"/>
  <c r="Y7057" i="2"/>
  <c r="AF7089" i="2"/>
  <c r="AC7092" i="2"/>
  <c r="AC7095" i="2"/>
  <c r="AF7113" i="2"/>
  <c r="AF7119" i="2"/>
  <c r="AB7140" i="2"/>
  <c r="AK7140" i="2" s="1"/>
  <c r="Y7140" i="2"/>
  <c r="AC7140" i="2"/>
  <c r="AF7164" i="2"/>
  <c r="AB7247" i="2"/>
  <c r="AK7247" i="2" s="1"/>
  <c r="Y7247" i="2"/>
  <c r="AC7247" i="2"/>
  <c r="AB7354" i="2"/>
  <c r="AK7354" i="2" s="1"/>
  <c r="Y7354" i="2"/>
  <c r="AC7354" i="2"/>
  <c r="AC7414" i="2"/>
  <c r="AB7414" i="2"/>
  <c r="AK7414" i="2" s="1"/>
  <c r="Y7414" i="2"/>
  <c r="AB7452" i="2"/>
  <c r="AK7452" i="2" s="1"/>
  <c r="Y7452" i="2"/>
  <c r="AC7452" i="2"/>
  <c r="AB7542" i="2"/>
  <c r="AK7542" i="2" s="1"/>
  <c r="Y7542" i="2"/>
  <c r="AC7542" i="2"/>
  <c r="AB7557" i="2"/>
  <c r="AK7557" i="2" s="1"/>
  <c r="Y7557" i="2"/>
  <c r="AC7557" i="2"/>
  <c r="AC7569" i="2"/>
  <c r="AB7569" i="2"/>
  <c r="AK7569" i="2" s="1"/>
  <c r="Y7569" i="2"/>
  <c r="AB7572" i="2"/>
  <c r="AK7572" i="2" s="1"/>
  <c r="Y7572" i="2"/>
  <c r="AC7572" i="2"/>
  <c r="AB7584" i="2"/>
  <c r="AK7584" i="2" s="1"/>
  <c r="Y7584" i="2"/>
  <c r="AC7584" i="2"/>
  <c r="AC7599" i="2"/>
  <c r="AB7599" i="2"/>
  <c r="AK7599" i="2" s="1"/>
  <c r="Y7599" i="2"/>
  <c r="AB7678" i="2"/>
  <c r="AK7678" i="2" s="1"/>
  <c r="Y7678" i="2"/>
  <c r="AC7678" i="2"/>
  <c r="AB7726" i="2"/>
  <c r="AK7726" i="2" s="1"/>
  <c r="Y7726" i="2"/>
  <c r="AC7726" i="2"/>
  <c r="AC5479" i="2"/>
  <c r="AB5479" i="2"/>
  <c r="AK5479" i="2" s="1"/>
  <c r="Y5479" i="2"/>
  <c r="AC5503" i="2"/>
  <c r="Y5503" i="2"/>
  <c r="AB5566" i="2"/>
  <c r="AK5566" i="2" s="1"/>
  <c r="Y5566" i="2"/>
  <c r="AC5651" i="2"/>
  <c r="AB5651" i="2"/>
  <c r="AK5651" i="2" s="1"/>
  <c r="Y5651" i="2"/>
  <c r="AC5387" i="2"/>
  <c r="AB5387" i="2"/>
  <c r="AK5387" i="2" s="1"/>
  <c r="AB5446" i="2"/>
  <c r="AK5446" i="2" s="1"/>
  <c r="AC5383" i="2"/>
  <c r="AB5420" i="2"/>
  <c r="AK5420" i="2" s="1"/>
  <c r="Y5420" i="2"/>
  <c r="AC5446" i="2"/>
  <c r="AC5458" i="2"/>
  <c r="AB5458" i="2"/>
  <c r="AK5458" i="2" s="1"/>
  <c r="Y5458" i="2"/>
  <c r="AC5462" i="2"/>
  <c r="AC5474" i="2"/>
  <c r="AB5474" i="2"/>
  <c r="AK5474" i="2" s="1"/>
  <c r="Y5474" i="2"/>
  <c r="AC5375" i="2"/>
  <c r="AB5378" i="2"/>
  <c r="AK5378" i="2" s="1"/>
  <c r="Y5378" i="2"/>
  <c r="AC5382" i="2"/>
  <c r="AB5382" i="2"/>
  <c r="AK5382" i="2" s="1"/>
  <c r="Y5382" i="2"/>
  <c r="AC5386" i="2"/>
  <c r="AB5393" i="2"/>
  <c r="AK5393" i="2" s="1"/>
  <c r="Y5393" i="2"/>
  <c r="AF5394" i="2"/>
  <c r="AB5397" i="2"/>
  <c r="AK5397" i="2" s="1"/>
  <c r="Y5397" i="2"/>
  <c r="AB5404" i="2"/>
  <c r="AK5404" i="2" s="1"/>
  <c r="Y5404" i="2"/>
  <c r="AC5405" i="2"/>
  <c r="AC5412" i="2"/>
  <c r="AF5413" i="2"/>
  <c r="AB5423" i="2"/>
  <c r="AK5423" i="2" s="1"/>
  <c r="Y5423" i="2"/>
  <c r="AF5424" i="2"/>
  <c r="AB5434" i="2"/>
  <c r="AK5434" i="2" s="1"/>
  <c r="Y5434" i="2"/>
  <c r="AB5441" i="2"/>
  <c r="AK5441" i="2" s="1"/>
  <c r="Y5441" i="2"/>
  <c r="AB5449" i="2"/>
  <c r="AK5449" i="2" s="1"/>
  <c r="Y5449" i="2"/>
  <c r="AB5457" i="2"/>
  <c r="AK5457" i="2" s="1"/>
  <c r="Y5457" i="2"/>
  <c r="AB5465" i="2"/>
  <c r="AK5465" i="2" s="1"/>
  <c r="Y5465" i="2"/>
  <c r="AB5473" i="2"/>
  <c r="AK5473" i="2" s="1"/>
  <c r="Y5473" i="2"/>
  <c r="AB5481" i="2"/>
  <c r="AK5481" i="2" s="1"/>
  <c r="Y5481" i="2"/>
  <c r="AB5489" i="2"/>
  <c r="AK5489" i="2" s="1"/>
  <c r="Y5489" i="2"/>
  <c r="AB5497" i="2"/>
  <c r="AK5497" i="2" s="1"/>
  <c r="Y5497" i="2"/>
  <c r="AB5505" i="2"/>
  <c r="AK5505" i="2" s="1"/>
  <c r="Y5505" i="2"/>
  <c r="AB5513" i="2"/>
  <c r="AK5513" i="2" s="1"/>
  <c r="Y5513" i="2"/>
  <c r="AC5526" i="2"/>
  <c r="AC5530" i="2"/>
  <c r="AB5530" i="2"/>
  <c r="AK5530" i="2" s="1"/>
  <c r="Y5530" i="2"/>
  <c r="AB5534" i="2"/>
  <c r="AK5534" i="2" s="1"/>
  <c r="Y5534" i="2"/>
  <c r="AC5543" i="2"/>
  <c r="AB5543" i="2"/>
  <c r="AK5543" i="2" s="1"/>
  <c r="Y5543" i="2"/>
  <c r="AC5547" i="2"/>
  <c r="AC5552" i="2"/>
  <c r="AB5555" i="2"/>
  <c r="AK5555" i="2" s="1"/>
  <c r="Y5555" i="2"/>
  <c r="AC5556" i="2"/>
  <c r="AB5560" i="2"/>
  <c r="AK5560" i="2" s="1"/>
  <c r="AF5561" i="2"/>
  <c r="AB5564" i="2"/>
  <c r="AK5564" i="2" s="1"/>
  <c r="Y5564" i="2"/>
  <c r="AF5565" i="2"/>
  <c r="AC5569" i="2"/>
  <c r="AB5577" i="2"/>
  <c r="AK5577" i="2" s="1"/>
  <c r="Y5577" i="2"/>
  <c r="AC5585" i="2"/>
  <c r="AB5585" i="2"/>
  <c r="AK5585" i="2" s="1"/>
  <c r="Y5585" i="2"/>
  <c r="AB5588" i="2"/>
  <c r="AK5588" i="2" s="1"/>
  <c r="Y5588" i="2"/>
  <c r="AF5590" i="2"/>
  <c r="Y5596" i="2"/>
  <c r="AF5598" i="2"/>
  <c r="AB5604" i="2"/>
  <c r="AK5604" i="2" s="1"/>
  <c r="Y5604" i="2"/>
  <c r="AF5606" i="2"/>
  <c r="AC5613" i="2"/>
  <c r="AB5613" i="2"/>
  <c r="AK5613" i="2" s="1"/>
  <c r="AC5617" i="2"/>
  <c r="AF5618" i="2"/>
  <c r="AC5621" i="2"/>
  <c r="AB5621" i="2"/>
  <c r="AK5621" i="2" s="1"/>
  <c r="AC5625" i="2"/>
  <c r="AC5629" i="2"/>
  <c r="AB5629" i="2"/>
  <c r="AK5629" i="2" s="1"/>
  <c r="AC5633" i="2"/>
  <c r="AF5634" i="2"/>
  <c r="AC5637" i="2"/>
  <c r="AB5637" i="2"/>
  <c r="AK5637" i="2" s="1"/>
  <c r="AC5641" i="2"/>
  <c r="AF5642" i="2"/>
  <c r="AC5645" i="2"/>
  <c r="AC5649" i="2"/>
  <c r="AF5650" i="2"/>
  <c r="AC5653" i="2"/>
  <c r="AB5653" i="2"/>
  <c r="AK5653" i="2" s="1"/>
  <c r="AC5657" i="2"/>
  <c r="AF5658" i="2"/>
  <c r="AC5661" i="2"/>
  <c r="AC5665" i="2"/>
  <c r="AF5666" i="2"/>
  <c r="AC5669" i="2"/>
  <c r="AB5669" i="2"/>
  <c r="AK5669" i="2" s="1"/>
  <c r="AC5673" i="2"/>
  <c r="AF5674" i="2"/>
  <c r="AC5677" i="2"/>
  <c r="AB5677" i="2"/>
  <c r="AK5677" i="2" s="1"/>
  <c r="AC5681" i="2"/>
  <c r="AC5685" i="2"/>
  <c r="AB5685" i="2"/>
  <c r="AK5685" i="2" s="1"/>
  <c r="AC5689" i="2"/>
  <c r="AF5690" i="2"/>
  <c r="AC5693" i="2"/>
  <c r="AB5693" i="2"/>
  <c r="AK5693" i="2" s="1"/>
  <c r="AC5697" i="2"/>
  <c r="AF5698" i="2"/>
  <c r="AC5701" i="2"/>
  <c r="AB5701" i="2"/>
  <c r="AK5701" i="2" s="1"/>
  <c r="AC5705" i="2"/>
  <c r="AF5706" i="2"/>
  <c r="AC5709" i="2"/>
  <c r="AC5713" i="2"/>
  <c r="AF5714" i="2"/>
  <c r="AC5717" i="2"/>
  <c r="AC5721" i="2"/>
  <c r="AF5722" i="2"/>
  <c r="AC5725" i="2"/>
  <c r="AC5729" i="2"/>
  <c r="AF5730" i="2"/>
  <c r="AC5733" i="2"/>
  <c r="AB5733" i="2"/>
  <c r="AK5733" i="2" s="1"/>
  <c r="AC5737" i="2"/>
  <c r="AC5741" i="2"/>
  <c r="AB5741" i="2"/>
  <c r="AK5741" i="2" s="1"/>
  <c r="AC5745" i="2"/>
  <c r="AC5749" i="2"/>
  <c r="AB5749" i="2"/>
  <c r="AK5749" i="2" s="1"/>
  <c r="AC5753" i="2"/>
  <c r="AF5754" i="2"/>
  <c r="AC5757" i="2"/>
  <c r="AB5757" i="2"/>
  <c r="AK5757" i="2" s="1"/>
  <c r="AC5761" i="2"/>
  <c r="AC5765" i="2"/>
  <c r="AB5765" i="2"/>
  <c r="AK5765" i="2" s="1"/>
  <c r="AC5769" i="2"/>
  <c r="AB5776" i="2"/>
  <c r="AK5776" i="2" s="1"/>
  <c r="Y5776" i="2"/>
  <c r="AF5781" i="2"/>
  <c r="AC5789" i="2"/>
  <c r="AB5789" i="2"/>
  <c r="AK5789" i="2" s="1"/>
  <c r="Y5789" i="2"/>
  <c r="AC5793" i="2"/>
  <c r="AF5801" i="2"/>
  <c r="AC5814" i="2"/>
  <c r="AB5814" i="2"/>
  <c r="AK5814" i="2" s="1"/>
  <c r="Y5814" i="2"/>
  <c r="AB5818" i="2"/>
  <c r="AK5818" i="2" s="1"/>
  <c r="Y5818" i="2"/>
  <c r="AC5819" i="2"/>
  <c r="AB5823" i="2"/>
  <c r="AK5823" i="2" s="1"/>
  <c r="Y5823" i="2"/>
  <c r="AC5824" i="2"/>
  <c r="AC5828" i="2"/>
  <c r="AF5833" i="2"/>
  <c r="AC5846" i="2"/>
  <c r="AB5846" i="2"/>
  <c r="AK5846" i="2" s="1"/>
  <c r="Y5846" i="2"/>
  <c r="AB5850" i="2"/>
  <c r="AK5850" i="2" s="1"/>
  <c r="Y5850" i="2"/>
  <c r="AC5851" i="2"/>
  <c r="AB5855" i="2"/>
  <c r="AK5855" i="2" s="1"/>
  <c r="Y5855" i="2"/>
  <c r="AC5856" i="2"/>
  <c r="AC5860" i="2"/>
  <c r="AC5865" i="2"/>
  <c r="AF5869" i="2"/>
  <c r="AC5873" i="2"/>
  <c r="AF5877" i="2"/>
  <c r="AC5880" i="2"/>
  <c r="AF5884" i="2"/>
  <c r="AC5888" i="2"/>
  <c r="AF5892" i="2"/>
  <c r="AC5896" i="2"/>
  <c r="AF5900" i="2"/>
  <c r="AF5908" i="2"/>
  <c r="AF5916" i="2"/>
  <c r="AF5924" i="2"/>
  <c r="AF5932" i="2"/>
  <c r="AF5940" i="2"/>
  <c r="AF5948" i="2"/>
  <c r="AF5956" i="2"/>
  <c r="AC5959" i="2"/>
  <c r="AB5959" i="2"/>
  <c r="AK5959" i="2" s="1"/>
  <c r="Y5959" i="2"/>
  <c r="AC5968" i="2"/>
  <c r="Y5968" i="2"/>
  <c r="AB5976" i="2"/>
  <c r="AK5976" i="2" s="1"/>
  <c r="Y5976" i="2"/>
  <c r="AC5985" i="2"/>
  <c r="AB5985" i="2"/>
  <c r="AK5985" i="2" s="1"/>
  <c r="Y5985" i="2"/>
  <c r="AC5992" i="2"/>
  <c r="AB5992" i="2"/>
  <c r="AK5992" i="2" s="1"/>
  <c r="Y5992" i="2"/>
  <c r="AB5996" i="2"/>
  <c r="AK5996" i="2" s="1"/>
  <c r="Y5996" i="2"/>
  <c r="AB6000" i="2"/>
  <c r="AK6000" i="2" s="1"/>
  <c r="Y6000" i="2"/>
  <c r="AB6005" i="2"/>
  <c r="AK6005" i="2" s="1"/>
  <c r="Y6005" i="2"/>
  <c r="AB6009" i="2"/>
  <c r="AK6009" i="2" s="1"/>
  <c r="Y6009" i="2"/>
  <c r="AC6022" i="2"/>
  <c r="AB6022" i="2"/>
  <c r="AK6022" i="2" s="1"/>
  <c r="Y6022" i="2"/>
  <c r="AB6026" i="2"/>
  <c r="AK6026" i="2" s="1"/>
  <c r="AB6050" i="2"/>
  <c r="AK6050" i="2" s="1"/>
  <c r="Y6050" i="2"/>
  <c r="AB6081" i="2"/>
  <c r="AK6081" i="2" s="1"/>
  <c r="Y6081" i="2"/>
  <c r="AB6097" i="2"/>
  <c r="AK6097" i="2" s="1"/>
  <c r="Y6097" i="2"/>
  <c r="AB6109" i="2"/>
  <c r="AK6109" i="2" s="1"/>
  <c r="Y6109" i="2"/>
  <c r="AB6117" i="2"/>
  <c r="AK6117" i="2" s="1"/>
  <c r="Y6117" i="2"/>
  <c r="AB6125" i="2"/>
  <c r="AK6125" i="2" s="1"/>
  <c r="Y6125" i="2"/>
  <c r="AB6133" i="2"/>
  <c r="AK6133" i="2" s="1"/>
  <c r="Y6133" i="2"/>
  <c r="AB6141" i="2"/>
  <c r="AK6141" i="2" s="1"/>
  <c r="Y6141" i="2"/>
  <c r="AB6149" i="2"/>
  <c r="AK6149" i="2" s="1"/>
  <c r="Y6149" i="2"/>
  <c r="AB6157" i="2"/>
  <c r="AK6157" i="2" s="1"/>
  <c r="Y6157" i="2"/>
  <c r="AB6165" i="2"/>
  <c r="AK6165" i="2" s="1"/>
  <c r="Y6165" i="2"/>
  <c r="AC6168" i="2"/>
  <c r="AB6168" i="2"/>
  <c r="AK6168" i="2" s="1"/>
  <c r="AC6171" i="2"/>
  <c r="AB6171" i="2"/>
  <c r="AK6171" i="2" s="1"/>
  <c r="Y6171" i="2"/>
  <c r="AC6174" i="2"/>
  <c r="AB6174" i="2"/>
  <c r="AK6174" i="2" s="1"/>
  <c r="Y6174" i="2"/>
  <c r="AB6176" i="2"/>
  <c r="AK6176" i="2" s="1"/>
  <c r="Y6176" i="2"/>
  <c r="AB6184" i="2"/>
  <c r="AK6184" i="2" s="1"/>
  <c r="Y6184" i="2"/>
  <c r="AB6192" i="2"/>
  <c r="AK6192" i="2" s="1"/>
  <c r="Y6192" i="2"/>
  <c r="AB6200" i="2"/>
  <c r="AK6200" i="2" s="1"/>
  <c r="Y6200" i="2"/>
  <c r="AB6208" i="2"/>
  <c r="AK6208" i="2" s="1"/>
  <c r="Y6208" i="2"/>
  <c r="AC6219" i="2"/>
  <c r="AB6219" i="2"/>
  <c r="AK6219" i="2" s="1"/>
  <c r="Y6219" i="2"/>
  <c r="AC6221" i="2"/>
  <c r="AB6221" i="2"/>
  <c r="AK6221" i="2" s="1"/>
  <c r="Y6221" i="2"/>
  <c r="AC6223" i="2"/>
  <c r="AB6223" i="2"/>
  <c r="AK6223" i="2" s="1"/>
  <c r="Y6223" i="2"/>
  <c r="AC6225" i="2"/>
  <c r="AB6225" i="2"/>
  <c r="AK6225" i="2" s="1"/>
  <c r="Y6225" i="2"/>
  <c r="AC6227" i="2"/>
  <c r="AB6227" i="2"/>
  <c r="AK6227" i="2" s="1"/>
  <c r="Y6227" i="2"/>
  <c r="AC6229" i="2"/>
  <c r="AB6229" i="2"/>
  <c r="AK6229" i="2" s="1"/>
  <c r="Y6229" i="2"/>
  <c r="AC6231" i="2"/>
  <c r="AB6231" i="2"/>
  <c r="AK6231" i="2" s="1"/>
  <c r="Y6231" i="2"/>
  <c r="AC6233" i="2"/>
  <c r="Y6233" i="2"/>
  <c r="AC6235" i="2"/>
  <c r="AB6235" i="2"/>
  <c r="AK6235" i="2" s="1"/>
  <c r="Y6235" i="2"/>
  <c r="AC6237" i="2"/>
  <c r="AB6237" i="2"/>
  <c r="AK6237" i="2" s="1"/>
  <c r="Y6237" i="2"/>
  <c r="AB6239" i="2"/>
  <c r="AK6239" i="2" s="1"/>
  <c r="Y6239" i="2"/>
  <c r="AC6241" i="2"/>
  <c r="AB6241" i="2"/>
  <c r="AK6241" i="2" s="1"/>
  <c r="Y6241" i="2"/>
  <c r="AC6243" i="2"/>
  <c r="AB6243" i="2"/>
  <c r="AK6243" i="2" s="1"/>
  <c r="AC6245" i="2"/>
  <c r="AB6245" i="2"/>
  <c r="AK6245" i="2" s="1"/>
  <c r="Y6245" i="2"/>
  <c r="AC6247" i="2"/>
  <c r="AB6247" i="2"/>
  <c r="AK6247" i="2" s="1"/>
  <c r="Y6247" i="2"/>
  <c r="AC6249" i="2"/>
  <c r="AK6249" i="2"/>
  <c r="Y6249" i="2"/>
  <c r="AC6251" i="2"/>
  <c r="AB6251" i="2"/>
  <c r="AK6251" i="2" s="1"/>
  <c r="Y6251" i="2"/>
  <c r="AC6253" i="2"/>
  <c r="AB6253" i="2"/>
  <c r="AK6253" i="2" s="1"/>
  <c r="AC6255" i="2"/>
  <c r="AB6255" i="2"/>
  <c r="AK6255" i="2" s="1"/>
  <c r="Y6255" i="2"/>
  <c r="AC6257" i="2"/>
  <c r="AB6257" i="2"/>
  <c r="AK6257" i="2" s="1"/>
  <c r="Y6257" i="2"/>
  <c r="AC6259" i="2"/>
  <c r="Y6259" i="2"/>
  <c r="AC6261" i="2"/>
  <c r="AB6261" i="2"/>
  <c r="AK6261" i="2" s="1"/>
  <c r="Y6261" i="2"/>
  <c r="AC6263" i="2"/>
  <c r="AB6263" i="2"/>
  <c r="AK6263" i="2" s="1"/>
  <c r="Y6263" i="2"/>
  <c r="AB6265" i="2"/>
  <c r="AK6265" i="2" s="1"/>
  <c r="Y6265" i="2"/>
  <c r="AC6267" i="2"/>
  <c r="AB6267" i="2"/>
  <c r="AK6267" i="2" s="1"/>
  <c r="Y6267" i="2"/>
  <c r="AC6269" i="2"/>
  <c r="AB6269" i="2"/>
  <c r="AK6269" i="2" s="1"/>
  <c r="AC6271" i="2"/>
  <c r="AB6271" i="2"/>
  <c r="AK6271" i="2" s="1"/>
  <c r="Y6271" i="2"/>
  <c r="AC6273" i="2"/>
  <c r="AB6273" i="2"/>
  <c r="AK6273" i="2" s="1"/>
  <c r="Y6273" i="2"/>
  <c r="AB6275" i="2"/>
  <c r="AK6275" i="2" s="1"/>
  <c r="Y6275" i="2"/>
  <c r="AC6277" i="2"/>
  <c r="AB6277" i="2"/>
  <c r="AK6277" i="2" s="1"/>
  <c r="Y6277" i="2"/>
  <c r="AC6279" i="2"/>
  <c r="AB6279" i="2"/>
  <c r="AK6279" i="2" s="1"/>
  <c r="AC6281" i="2"/>
  <c r="AB6281" i="2"/>
  <c r="AK6281" i="2" s="1"/>
  <c r="Y6281" i="2"/>
  <c r="AC6283" i="2"/>
  <c r="AB6283" i="2"/>
  <c r="AK6283" i="2" s="1"/>
  <c r="Y6283" i="2"/>
  <c r="AC6285" i="2"/>
  <c r="Y6285" i="2"/>
  <c r="AC6287" i="2"/>
  <c r="AB6287" i="2"/>
  <c r="AK6287" i="2" s="1"/>
  <c r="Y6287" i="2"/>
  <c r="AC6289" i="2"/>
  <c r="AB6289" i="2"/>
  <c r="AK6289" i="2" s="1"/>
  <c r="Y6289" i="2"/>
  <c r="AB6291" i="2"/>
  <c r="AK6291" i="2" s="1"/>
  <c r="Y6291" i="2"/>
  <c r="AC6293" i="2"/>
  <c r="AB6293" i="2"/>
  <c r="AK6293" i="2" s="1"/>
  <c r="Y6293" i="2"/>
  <c r="AC6295" i="2"/>
  <c r="AB6295" i="2"/>
  <c r="AK6295" i="2" s="1"/>
  <c r="AC6297" i="2"/>
  <c r="AB6297" i="2"/>
  <c r="AK6297" i="2" s="1"/>
  <c r="Y6297" i="2"/>
  <c r="AC6299" i="2"/>
  <c r="AB6299" i="2"/>
  <c r="AK6299" i="2" s="1"/>
  <c r="Y6299" i="2"/>
  <c r="AC6301" i="2"/>
  <c r="AK6301" i="2"/>
  <c r="Y6301" i="2"/>
  <c r="AC6303" i="2"/>
  <c r="AB6303" i="2"/>
  <c r="AK6303" i="2" s="1"/>
  <c r="Y6303" i="2"/>
  <c r="AC6305" i="2"/>
  <c r="AB6305" i="2"/>
  <c r="AK6305" i="2" s="1"/>
  <c r="AC6307" i="2"/>
  <c r="AB6307" i="2"/>
  <c r="AK6307" i="2" s="1"/>
  <c r="Y6307" i="2"/>
  <c r="AC6309" i="2"/>
  <c r="AB6309" i="2"/>
  <c r="AK6309" i="2" s="1"/>
  <c r="Y6309" i="2"/>
  <c r="AC6311" i="2"/>
  <c r="Y6311" i="2"/>
  <c r="AC6313" i="2"/>
  <c r="AB6313" i="2"/>
  <c r="AK6313" i="2" s="1"/>
  <c r="Y6313" i="2"/>
  <c r="AC6315" i="2"/>
  <c r="AB6315" i="2"/>
  <c r="AK6315" i="2" s="1"/>
  <c r="Y6315" i="2"/>
  <c r="AB6317" i="2"/>
  <c r="AK6317" i="2" s="1"/>
  <c r="Y6317" i="2"/>
  <c r="AC6319" i="2"/>
  <c r="AB6319" i="2"/>
  <c r="AK6319" i="2" s="1"/>
  <c r="Y6319" i="2"/>
  <c r="AC6321" i="2"/>
  <c r="AB6321" i="2"/>
  <c r="AK6321" i="2" s="1"/>
  <c r="Y6321" i="2"/>
  <c r="AC6323" i="2"/>
  <c r="AB6323" i="2"/>
  <c r="AK6323" i="2" s="1"/>
  <c r="Y6323" i="2"/>
  <c r="AC6325" i="2"/>
  <c r="AB6325" i="2"/>
  <c r="AK6325" i="2" s="1"/>
  <c r="Y6325" i="2"/>
  <c r="AC6327" i="2"/>
  <c r="AB6327" i="2"/>
  <c r="AK6327" i="2" s="1"/>
  <c r="Y6327" i="2"/>
  <c r="AC6336" i="2"/>
  <c r="AB6336" i="2"/>
  <c r="AK6336" i="2" s="1"/>
  <c r="Y6336" i="2"/>
  <c r="AB6348" i="2"/>
  <c r="AK6348" i="2" s="1"/>
  <c r="Y6348" i="2"/>
  <c r="AB6352" i="2"/>
  <c r="AK6352" i="2" s="1"/>
  <c r="Y6352" i="2"/>
  <c r="AB6356" i="2"/>
  <c r="AK6356" i="2" s="1"/>
  <c r="Y6356" i="2"/>
  <c r="AB6360" i="2"/>
  <c r="AK6360" i="2" s="1"/>
  <c r="Y6360" i="2"/>
  <c r="AB6364" i="2"/>
  <c r="AK6364" i="2" s="1"/>
  <c r="Y6364" i="2"/>
  <c r="AC6367" i="2"/>
  <c r="AB6367" i="2"/>
  <c r="AK6367" i="2" s="1"/>
  <c r="Y6367" i="2"/>
  <c r="AB6369" i="2"/>
  <c r="AK6369" i="2" s="1"/>
  <c r="Y6369" i="2"/>
  <c r="AB6377" i="2"/>
  <c r="AK6377" i="2" s="1"/>
  <c r="Y6377" i="2"/>
  <c r="AC6385" i="2"/>
  <c r="AB6385" i="2"/>
  <c r="AK6385" i="2" s="1"/>
  <c r="Y6385" i="2"/>
  <c r="AC6393" i="2"/>
  <c r="AB6393" i="2"/>
  <c r="AK6393" i="2" s="1"/>
  <c r="Y6393" i="2"/>
  <c r="AC6409" i="2"/>
  <c r="AB6409" i="2"/>
  <c r="AK6409" i="2" s="1"/>
  <c r="Y6409" i="2"/>
  <c r="AC6420" i="2"/>
  <c r="AB6420" i="2"/>
  <c r="AK6420" i="2" s="1"/>
  <c r="AC6428" i="2"/>
  <c r="AB6428" i="2"/>
  <c r="AK6428" i="2" s="1"/>
  <c r="AC6436" i="2"/>
  <c r="AB6436" i="2"/>
  <c r="AK6436" i="2" s="1"/>
  <c r="AC6444" i="2"/>
  <c r="AB6444" i="2"/>
  <c r="AK6444" i="2" s="1"/>
  <c r="AC6452" i="2"/>
  <c r="AB6452" i="2"/>
  <c r="AK6452" i="2" s="1"/>
  <c r="Y6452" i="2"/>
  <c r="AB6458" i="2"/>
  <c r="AK6458" i="2" s="1"/>
  <c r="Y6458" i="2"/>
  <c r="AB6462" i="2"/>
  <c r="AK6462" i="2" s="1"/>
  <c r="Y6462" i="2"/>
  <c r="AB6466" i="2"/>
  <c r="AK6466" i="2" s="1"/>
  <c r="Y6466" i="2"/>
  <c r="AB6470" i="2"/>
  <c r="AK6470" i="2" s="1"/>
  <c r="Y6470" i="2"/>
  <c r="AB6474" i="2"/>
  <c r="AK6474" i="2" s="1"/>
  <c r="AC6483" i="2"/>
  <c r="AB6483" i="2"/>
  <c r="AK6483" i="2" s="1"/>
  <c r="Y6483" i="2"/>
  <c r="AB6511" i="2"/>
  <c r="AK6511" i="2" s="1"/>
  <c r="AB6519" i="2"/>
  <c r="AK6519" i="2" s="1"/>
  <c r="AB6527" i="2"/>
  <c r="AK6527" i="2" s="1"/>
  <c r="Y6527" i="2"/>
  <c r="AB6535" i="2"/>
  <c r="AK6535" i="2" s="1"/>
  <c r="AB6543" i="2"/>
  <c r="AK6543" i="2" s="1"/>
  <c r="AB6559" i="2"/>
  <c r="AK6559" i="2" s="1"/>
  <c r="Y6559" i="2"/>
  <c r="Y6567" i="2"/>
  <c r="AB6575" i="2"/>
  <c r="AK6575" i="2" s="1"/>
  <c r="AC6622" i="2"/>
  <c r="AB6622" i="2"/>
  <c r="AK6622" i="2" s="1"/>
  <c r="Y6622" i="2"/>
  <c r="AC6630" i="2"/>
  <c r="AB6630" i="2"/>
  <c r="AK6630" i="2" s="1"/>
  <c r="Y6630" i="2"/>
  <c r="AB6649" i="2"/>
  <c r="AK6649" i="2" s="1"/>
  <c r="Y6649" i="2"/>
  <c r="AB6653" i="2"/>
  <c r="AK6653" i="2" s="1"/>
  <c r="Y6653" i="2"/>
  <c r="AC6656" i="2"/>
  <c r="AB6656" i="2"/>
  <c r="AK6656" i="2" s="1"/>
  <c r="Y6656" i="2"/>
  <c r="AB6662" i="2"/>
  <c r="AK6662" i="2" s="1"/>
  <c r="Y6662" i="2"/>
  <c r="AB6666" i="2"/>
  <c r="AK6666" i="2" s="1"/>
  <c r="Y6666" i="2"/>
  <c r="AB6670" i="2"/>
  <c r="AK6670" i="2" s="1"/>
  <c r="Y6670" i="2"/>
  <c r="AB6674" i="2"/>
  <c r="AK6674" i="2" s="1"/>
  <c r="Y6674" i="2"/>
  <c r="AB6679" i="2"/>
  <c r="AK6679" i="2" s="1"/>
  <c r="Y6679" i="2"/>
  <c r="AB6687" i="2"/>
  <c r="AK6687" i="2" s="1"/>
  <c r="Y6687" i="2"/>
  <c r="AB6695" i="2"/>
  <c r="AK6695" i="2" s="1"/>
  <c r="Y6695" i="2"/>
  <c r="AB6703" i="2"/>
  <c r="AK6703" i="2" s="1"/>
  <c r="Y6703" i="2"/>
  <c r="AB6711" i="2"/>
  <c r="AK6711" i="2" s="1"/>
  <c r="Y6711" i="2"/>
  <c r="AB6719" i="2"/>
  <c r="AK6719" i="2" s="1"/>
  <c r="Y6719" i="2"/>
  <c r="AB6727" i="2"/>
  <c r="AK6727" i="2" s="1"/>
  <c r="Y6727" i="2"/>
  <c r="AB6736" i="2"/>
  <c r="AK6736" i="2" s="1"/>
  <c r="Y6736" i="2"/>
  <c r="AC6741" i="2"/>
  <c r="Y6741" i="2"/>
  <c r="AC6764" i="2"/>
  <c r="AB6764" i="2"/>
  <c r="AK6764" i="2" s="1"/>
  <c r="Y6764" i="2"/>
  <c r="AC6772" i="2"/>
  <c r="AC6775" i="2"/>
  <c r="Y6775" i="2"/>
  <c r="AB6800" i="2"/>
  <c r="AK6800" i="2" s="1"/>
  <c r="Y6800" i="2"/>
  <c r="AB6807" i="2"/>
  <c r="AK6807" i="2" s="1"/>
  <c r="Y6807" i="2"/>
  <c r="AB6814" i="2"/>
  <c r="AK6814" i="2" s="1"/>
  <c r="Y6814" i="2"/>
  <c r="AC6828" i="2"/>
  <c r="AB6828" i="2"/>
  <c r="AK6828" i="2" s="1"/>
  <c r="Y6828" i="2"/>
  <c r="AC6831" i="2"/>
  <c r="AB6831" i="2"/>
  <c r="AK6831" i="2" s="1"/>
  <c r="Y6831" i="2"/>
  <c r="AC6834" i="2"/>
  <c r="Y6834" i="2"/>
  <c r="AB6838" i="2"/>
  <c r="AK6838" i="2" s="1"/>
  <c r="Y6838" i="2"/>
  <c r="AA6846" i="2"/>
  <c r="Y6846" i="2"/>
  <c r="AC6863" i="2"/>
  <c r="AB6863" i="2"/>
  <c r="AK6863" i="2" s="1"/>
  <c r="Y6863" i="2"/>
  <c r="AC6868" i="2"/>
  <c r="AB6868" i="2"/>
  <c r="AK6868" i="2" s="1"/>
  <c r="Y6868" i="2"/>
  <c r="AC6880" i="2"/>
  <c r="AB6880" i="2"/>
  <c r="AK6880" i="2" s="1"/>
  <c r="Y6880" i="2"/>
  <c r="AC6887" i="2"/>
  <c r="AB6887" i="2"/>
  <c r="AK6887" i="2" s="1"/>
  <c r="Y6887" i="2"/>
  <c r="AB6890" i="2"/>
  <c r="AK6890" i="2" s="1"/>
  <c r="Y6890" i="2"/>
  <c r="AB6894" i="2"/>
  <c r="AK6894" i="2" s="1"/>
  <c r="Y6894" i="2"/>
  <c r="AB6897" i="2"/>
  <c r="AK6897" i="2" s="1"/>
  <c r="Y6897" i="2"/>
  <c r="AC6901" i="2"/>
  <c r="AB6901" i="2"/>
  <c r="AK6901" i="2" s="1"/>
  <c r="Y6901" i="2"/>
  <c r="AC6904" i="2"/>
  <c r="AB6904" i="2"/>
  <c r="AK6904" i="2" s="1"/>
  <c r="Y6904" i="2"/>
  <c r="AC6911" i="2"/>
  <c r="AB6911" i="2"/>
  <c r="AK6911" i="2" s="1"/>
  <c r="Y6911" i="2"/>
  <c r="AB6914" i="2"/>
  <c r="AK6914" i="2" s="1"/>
  <c r="Y6914" i="2"/>
  <c r="Y6941" i="2"/>
  <c r="AB6944" i="2"/>
  <c r="AK6944" i="2" s="1"/>
  <c r="Y6944" i="2"/>
  <c r="AC6948" i="2"/>
  <c r="AB6948" i="2"/>
  <c r="AK6948" i="2" s="1"/>
  <c r="Y6948" i="2"/>
  <c r="Y6963" i="2"/>
  <c r="AC6963" i="2"/>
  <c r="AC6998" i="2"/>
  <c r="Y6998" i="2"/>
  <c r="AC7041" i="2"/>
  <c r="AB7041" i="2"/>
  <c r="AK7041" i="2" s="1"/>
  <c r="Y7041" i="2"/>
  <c r="AC7048" i="2"/>
  <c r="AB7088" i="2"/>
  <c r="AK7088" i="2" s="1"/>
  <c r="Y7088" i="2"/>
  <c r="AC7088" i="2"/>
  <c r="AB7112" i="2"/>
  <c r="AK7112" i="2" s="1"/>
  <c r="Y7112" i="2"/>
  <c r="AC7118" i="2"/>
  <c r="AB7118" i="2"/>
  <c r="AK7118" i="2" s="1"/>
  <c r="Y7118" i="2"/>
  <c r="AC7158" i="2"/>
  <c r="AB7158" i="2"/>
  <c r="AK7158" i="2" s="1"/>
  <c r="Y7158" i="2"/>
  <c r="AB7175" i="2"/>
  <c r="AK7175" i="2" s="1"/>
  <c r="Y7175" i="2"/>
  <c r="AC7175" i="2"/>
  <c r="AB7196" i="2"/>
  <c r="AK7196" i="2" s="1"/>
  <c r="Y7196" i="2"/>
  <c r="AC7196" i="2"/>
  <c r="AB7271" i="2"/>
  <c r="AK7271" i="2" s="1"/>
  <c r="Y7271" i="2"/>
  <c r="AC7271" i="2"/>
  <c r="AC7384" i="2"/>
  <c r="AB7384" i="2"/>
  <c r="AK7384" i="2" s="1"/>
  <c r="Y7384" i="2"/>
  <c r="AB7429" i="2"/>
  <c r="AK7429" i="2" s="1"/>
  <c r="Y7429" i="2"/>
  <c r="AC7429" i="2"/>
  <c r="AC7486" i="2"/>
  <c r="AB7486" i="2"/>
  <c r="AK7486" i="2" s="1"/>
  <c r="Y7486" i="2"/>
  <c r="AB7523" i="2"/>
  <c r="AK7523" i="2" s="1"/>
  <c r="Y7523" i="2"/>
  <c r="AC7523" i="2"/>
  <c r="AC5455" i="2"/>
  <c r="AB5455" i="2"/>
  <c r="AK5455" i="2" s="1"/>
  <c r="Y5455" i="2"/>
  <c r="AC5495" i="2"/>
  <c r="AB5495" i="2"/>
  <c r="AK5495" i="2" s="1"/>
  <c r="Y5495" i="2"/>
  <c r="AC5627" i="2"/>
  <c r="AB5627" i="2"/>
  <c r="AK5627" i="2" s="1"/>
  <c r="Y5627" i="2"/>
  <c r="AC5659" i="2"/>
  <c r="Y5659" i="2"/>
  <c r="AB5385" i="2"/>
  <c r="AK5385" i="2" s="1"/>
  <c r="Y5385" i="2"/>
  <c r="Y5389" i="2"/>
  <c r="AB5396" i="2"/>
  <c r="AK5396" i="2" s="1"/>
  <c r="Y5396" i="2"/>
  <c r="AB5415" i="2"/>
  <c r="AK5415" i="2" s="1"/>
  <c r="Y5415" i="2"/>
  <c r="AC5419" i="2"/>
  <c r="AB5419" i="2"/>
  <c r="AK5419" i="2" s="1"/>
  <c r="AB5521" i="2"/>
  <c r="AK5521" i="2" s="1"/>
  <c r="Y5521" i="2"/>
  <c r="AC5538" i="2"/>
  <c r="AB5538" i="2"/>
  <c r="AK5538" i="2" s="1"/>
  <c r="Y5538" i="2"/>
  <c r="AB5572" i="2"/>
  <c r="AK5572" i="2" s="1"/>
  <c r="Y5572" i="2"/>
  <c r="AC5592" i="2"/>
  <c r="AB5592" i="2"/>
  <c r="AK5592" i="2" s="1"/>
  <c r="Y5592" i="2"/>
  <c r="AC5600" i="2"/>
  <c r="Y5600" i="2"/>
  <c r="AC5608" i="2"/>
  <c r="AB5608" i="2"/>
  <c r="AK5608" i="2" s="1"/>
  <c r="Y5608" i="2"/>
  <c r="AB5612" i="2"/>
  <c r="AK5612" i="2" s="1"/>
  <c r="Y5612" i="2"/>
  <c r="AB5620" i="2"/>
  <c r="AK5620" i="2" s="1"/>
  <c r="Y5620" i="2"/>
  <c r="AB5628" i="2"/>
  <c r="AK5628" i="2" s="1"/>
  <c r="Y5628" i="2"/>
  <c r="AB5636" i="2"/>
  <c r="AK5636" i="2" s="1"/>
  <c r="Y5636" i="2"/>
  <c r="Y5644" i="2"/>
  <c r="AB5652" i="2"/>
  <c r="AK5652" i="2" s="1"/>
  <c r="Y5652" i="2"/>
  <c r="Y5660" i="2"/>
  <c r="AB5668" i="2"/>
  <c r="AK5668" i="2" s="1"/>
  <c r="Y5668" i="2"/>
  <c r="AB5676" i="2"/>
  <c r="AK5676" i="2" s="1"/>
  <c r="Y5676" i="2"/>
  <c r="AB5684" i="2"/>
  <c r="AK5684" i="2" s="1"/>
  <c r="Y5684" i="2"/>
  <c r="AB5692" i="2"/>
  <c r="AK5692" i="2" s="1"/>
  <c r="Y5692" i="2"/>
  <c r="AB5700" i="2"/>
  <c r="AK5700" i="2" s="1"/>
  <c r="Y5700" i="2"/>
  <c r="AB5708" i="2"/>
  <c r="AK5708" i="2" s="1"/>
  <c r="Y5708" i="2"/>
  <c r="Y5716" i="2"/>
  <c r="AB5724" i="2"/>
  <c r="AK5724" i="2" s="1"/>
  <c r="Y5724" i="2"/>
  <c r="AB5732" i="2"/>
  <c r="AK5732" i="2" s="1"/>
  <c r="Y5732" i="2"/>
  <c r="AB5740" i="2"/>
  <c r="AK5740" i="2" s="1"/>
  <c r="Y5740" i="2"/>
  <c r="AB5748" i="2"/>
  <c r="AK5748" i="2" s="1"/>
  <c r="Y5748" i="2"/>
  <c r="AB5756" i="2"/>
  <c r="AK5756" i="2" s="1"/>
  <c r="Y5756" i="2"/>
  <c r="AB5764" i="2"/>
  <c r="AK5764" i="2" s="1"/>
  <c r="Y5764" i="2"/>
  <c r="AB5780" i="2"/>
  <c r="AK5780" i="2" s="1"/>
  <c r="AB5784" i="2"/>
  <c r="AK5784" i="2" s="1"/>
  <c r="Y5784" i="2"/>
  <c r="AB5792" i="2"/>
  <c r="AK5792" i="2" s="1"/>
  <c r="Y5792" i="2"/>
  <c r="AB5796" i="2"/>
  <c r="AK5796" i="2" s="1"/>
  <c r="Y5796" i="2"/>
  <c r="AB5800" i="2"/>
  <c r="AK5800" i="2" s="1"/>
  <c r="AB5804" i="2"/>
  <c r="AK5804" i="2" s="1"/>
  <c r="Y5804" i="2"/>
  <c r="AC5809" i="2"/>
  <c r="AB5809" i="2"/>
  <c r="AK5809" i="2" s="1"/>
  <c r="Y5809" i="2"/>
  <c r="AB5827" i="2"/>
  <c r="AK5827" i="2" s="1"/>
  <c r="Y5827" i="2"/>
  <c r="AB5832" i="2"/>
  <c r="AK5832" i="2" s="1"/>
  <c r="AB5836" i="2"/>
  <c r="AK5836" i="2" s="1"/>
  <c r="Y5836" i="2"/>
  <c r="AC5841" i="2"/>
  <c r="AB5841" i="2"/>
  <c r="AK5841" i="2" s="1"/>
  <c r="Y5841" i="2"/>
  <c r="AB5859" i="2"/>
  <c r="AK5859" i="2" s="1"/>
  <c r="Y5859" i="2"/>
  <c r="AB5864" i="2"/>
  <c r="AK5864" i="2" s="1"/>
  <c r="AB5868" i="2"/>
  <c r="AK5868" i="2" s="1"/>
  <c r="Y5868" i="2"/>
  <c r="AB5872" i="2"/>
  <c r="AK5872" i="2" s="1"/>
  <c r="AB5876" i="2"/>
  <c r="AK5876" i="2" s="1"/>
  <c r="Y5876" i="2"/>
  <c r="AB5879" i="2"/>
  <c r="AK5879" i="2" s="1"/>
  <c r="Y5879" i="2"/>
  <c r="AB5883" i="2"/>
  <c r="AK5883" i="2" s="1"/>
  <c r="Y5883" i="2"/>
  <c r="AB5887" i="2"/>
  <c r="AK5887" i="2" s="1"/>
  <c r="Y5887" i="2"/>
  <c r="Y5891" i="2"/>
  <c r="AB5895" i="2"/>
  <c r="AK5895" i="2" s="1"/>
  <c r="Y5895" i="2"/>
  <c r="AB5899" i="2"/>
  <c r="AK5899" i="2" s="1"/>
  <c r="Y5899" i="2"/>
  <c r="AB5903" i="2"/>
  <c r="AK5903" i="2" s="1"/>
  <c r="Y5903" i="2"/>
  <c r="AB5907" i="2"/>
  <c r="AK5907" i="2" s="1"/>
  <c r="Y5907" i="2"/>
  <c r="AB5911" i="2"/>
  <c r="AK5911" i="2" s="1"/>
  <c r="Y5911" i="2"/>
  <c r="AB5915" i="2"/>
  <c r="AK5915" i="2" s="1"/>
  <c r="Y5915" i="2"/>
  <c r="AB5919" i="2"/>
  <c r="AK5919" i="2" s="1"/>
  <c r="Y5919" i="2"/>
  <c r="AB5923" i="2"/>
  <c r="AK5923" i="2" s="1"/>
  <c r="Y5923" i="2"/>
  <c r="AB5927" i="2"/>
  <c r="AK5927" i="2" s="1"/>
  <c r="Y5927" i="2"/>
  <c r="AB5931" i="2"/>
  <c r="AK5931" i="2" s="1"/>
  <c r="Y5931" i="2"/>
  <c r="AB5935" i="2"/>
  <c r="AK5935" i="2" s="1"/>
  <c r="Y5935" i="2"/>
  <c r="AB5939" i="2"/>
  <c r="AK5939" i="2" s="1"/>
  <c r="Y5939" i="2"/>
  <c r="AB5943" i="2"/>
  <c r="AK5943" i="2" s="1"/>
  <c r="Y5943" i="2"/>
  <c r="AB5947" i="2"/>
  <c r="AK5947" i="2" s="1"/>
  <c r="Y5947" i="2"/>
  <c r="AB5951" i="2"/>
  <c r="AK5951" i="2" s="1"/>
  <c r="Y5951" i="2"/>
  <c r="AB5955" i="2"/>
  <c r="AK5955" i="2" s="1"/>
  <c r="Y5955" i="2"/>
  <c r="AC5963" i="2"/>
  <c r="AB5963" i="2"/>
  <c r="AK5963" i="2" s="1"/>
  <c r="Y5963" i="2"/>
  <c r="AB5967" i="2"/>
  <c r="AK5967" i="2" s="1"/>
  <c r="Y5967" i="2"/>
  <c r="AC5976" i="2"/>
  <c r="AC5980" i="2"/>
  <c r="AB5980" i="2"/>
  <c r="AK5980" i="2" s="1"/>
  <c r="Y5980" i="2"/>
  <c r="AC5988" i="2"/>
  <c r="AB5988" i="2"/>
  <c r="AK5988" i="2" s="1"/>
  <c r="Y5988" i="2"/>
  <c r="AC5996" i="2"/>
  <c r="AC6000" i="2"/>
  <c r="AB6004" i="2"/>
  <c r="AK6004" i="2" s="1"/>
  <c r="Y6004" i="2"/>
  <c r="AC6005" i="2"/>
  <c r="AB6008" i="2"/>
  <c r="AK6008" i="2" s="1"/>
  <c r="Y6008" i="2"/>
  <c r="AC6009" i="2"/>
  <c r="AB6013" i="2"/>
  <c r="AK6013" i="2" s="1"/>
  <c r="Y6013" i="2"/>
  <c r="Y6017" i="2"/>
  <c r="AC6026" i="2"/>
  <c r="AC6030" i="2"/>
  <c r="AB6030" i="2"/>
  <c r="AK6030" i="2" s="1"/>
  <c r="Y6030" i="2"/>
  <c r="AB6034" i="2"/>
  <c r="AK6034" i="2" s="1"/>
  <c r="AB6038" i="2"/>
  <c r="AK6038" i="2" s="1"/>
  <c r="Y6038" i="2"/>
  <c r="AB6042" i="2"/>
  <c r="AK6042" i="2" s="1"/>
  <c r="AC6050" i="2"/>
  <c r="AC6055" i="2"/>
  <c r="AB6055" i="2"/>
  <c r="AK6055" i="2" s="1"/>
  <c r="AB6059" i="2"/>
  <c r="AK6059" i="2" s="1"/>
  <c r="Y6059" i="2"/>
  <c r="AC6067" i="2"/>
  <c r="AB6067" i="2"/>
  <c r="AK6067" i="2" s="1"/>
  <c r="Y6067" i="2"/>
  <c r="AC6071" i="2"/>
  <c r="AB6071" i="2"/>
  <c r="AK6071" i="2" s="1"/>
  <c r="Y6071" i="2"/>
  <c r="AB6078" i="2"/>
  <c r="AK6078" i="2" s="1"/>
  <c r="Y6078" i="2"/>
  <c r="AC6081" i="2"/>
  <c r="AC6084" i="2"/>
  <c r="AB6084" i="2"/>
  <c r="AK6084" i="2" s="1"/>
  <c r="Y6084" i="2"/>
  <c r="AB6087" i="2"/>
  <c r="AK6087" i="2" s="1"/>
  <c r="Y6087" i="2"/>
  <c r="AB6090" i="2"/>
  <c r="AK6090" i="2" s="1"/>
  <c r="Y6090" i="2"/>
  <c r="AC6097" i="2"/>
  <c r="AB6100" i="2"/>
  <c r="AK6100" i="2" s="1"/>
  <c r="Y6100" i="2"/>
  <c r="AC6106" i="2"/>
  <c r="AB6106" i="2"/>
  <c r="AK6106" i="2" s="1"/>
  <c r="Y6106" i="2"/>
  <c r="AC6109" i="2"/>
  <c r="AC6114" i="2"/>
  <c r="AB6114" i="2"/>
  <c r="AK6114" i="2" s="1"/>
  <c r="Y6114" i="2"/>
  <c r="AC6117" i="2"/>
  <c r="AC6122" i="2"/>
  <c r="AB6122" i="2"/>
  <c r="AK6122" i="2" s="1"/>
  <c r="Y6122" i="2"/>
  <c r="AC6130" i="2"/>
  <c r="AB6130" i="2"/>
  <c r="AK6130" i="2" s="1"/>
  <c r="Y6130" i="2"/>
  <c r="AC6138" i="2"/>
  <c r="AB6138" i="2"/>
  <c r="AK6138" i="2" s="1"/>
  <c r="Y6138" i="2"/>
  <c r="AC6146" i="2"/>
  <c r="AB6146" i="2"/>
  <c r="AK6146" i="2" s="1"/>
  <c r="Y6146" i="2"/>
  <c r="AC6154" i="2"/>
  <c r="AB6154" i="2"/>
  <c r="AK6154" i="2" s="1"/>
  <c r="Y6154" i="2"/>
  <c r="AC6162" i="2"/>
  <c r="AB6162" i="2"/>
  <c r="AK6162" i="2" s="1"/>
  <c r="Y6162" i="2"/>
  <c r="AC6181" i="2"/>
  <c r="AB6181" i="2"/>
  <c r="AK6181" i="2" s="1"/>
  <c r="Y6181" i="2"/>
  <c r="AC6189" i="2"/>
  <c r="AB6189" i="2"/>
  <c r="AK6189" i="2" s="1"/>
  <c r="Y6189" i="2"/>
  <c r="AC6197" i="2"/>
  <c r="Y6197" i="2"/>
  <c r="AC6205" i="2"/>
  <c r="AB6205" i="2"/>
  <c r="AK6205" i="2" s="1"/>
  <c r="Y6205" i="2"/>
  <c r="AB6211" i="2"/>
  <c r="AK6211" i="2" s="1"/>
  <c r="Y6211" i="2"/>
  <c r="Y6215" i="2"/>
  <c r="AC6329" i="2"/>
  <c r="AB6329" i="2"/>
  <c r="AK6329" i="2" s="1"/>
  <c r="Y6329" i="2"/>
  <c r="AB6331" i="2"/>
  <c r="AK6331" i="2" s="1"/>
  <c r="Y6331" i="2"/>
  <c r="AB6341" i="2"/>
  <c r="AK6341" i="2" s="1"/>
  <c r="Y6341" i="2"/>
  <c r="AC6348" i="2"/>
  <c r="AC6352" i="2"/>
  <c r="AC6356" i="2"/>
  <c r="AC6360" i="2"/>
  <c r="AC6364" i="2"/>
  <c r="AC6369" i="2"/>
  <c r="AC6374" i="2"/>
  <c r="AB6374" i="2"/>
  <c r="AK6374" i="2" s="1"/>
  <c r="Y6374" i="2"/>
  <c r="AC6377" i="2"/>
  <c r="AB6390" i="2"/>
  <c r="AK6390" i="2" s="1"/>
  <c r="Y6390" i="2"/>
  <c r="AB6406" i="2"/>
  <c r="AK6406" i="2" s="1"/>
  <c r="Y6406" i="2"/>
  <c r="AB6414" i="2"/>
  <c r="AK6414" i="2" s="1"/>
  <c r="Y6414" i="2"/>
  <c r="AB6417" i="2"/>
  <c r="AK6417" i="2" s="1"/>
  <c r="Y6417" i="2"/>
  <c r="AB6425" i="2"/>
  <c r="AK6425" i="2" s="1"/>
  <c r="Y6425" i="2"/>
  <c r="AB6433" i="2"/>
  <c r="AK6433" i="2" s="1"/>
  <c r="Y6433" i="2"/>
  <c r="AB6441" i="2"/>
  <c r="AK6441" i="2" s="1"/>
  <c r="Y6441" i="2"/>
  <c r="AB6449" i="2"/>
  <c r="AK6449" i="2" s="1"/>
  <c r="Y6449" i="2"/>
  <c r="AC6458" i="2"/>
  <c r="AC6462" i="2"/>
  <c r="AC6466" i="2"/>
  <c r="AC6470" i="2"/>
  <c r="AC6474" i="2"/>
  <c r="AB6480" i="2"/>
  <c r="AK6480" i="2" s="1"/>
  <c r="Y6480" i="2"/>
  <c r="AB6488" i="2"/>
  <c r="AK6488" i="2" s="1"/>
  <c r="Y6488" i="2"/>
  <c r="Y6491" i="2"/>
  <c r="Y6499" i="2"/>
  <c r="AB6503" i="2"/>
  <c r="AK6503" i="2" s="1"/>
  <c r="AC6511" i="2"/>
  <c r="AC6516" i="2"/>
  <c r="AB6516" i="2"/>
  <c r="AK6516" i="2" s="1"/>
  <c r="Y6516" i="2"/>
  <c r="AC6519" i="2"/>
  <c r="AC6524" i="2"/>
  <c r="AB6524" i="2"/>
  <c r="AK6524" i="2" s="1"/>
  <c r="Y6524" i="2"/>
  <c r="AC6527" i="2"/>
  <c r="AC6532" i="2"/>
  <c r="AB6532" i="2"/>
  <c r="AK6532" i="2" s="1"/>
  <c r="Y6532" i="2"/>
  <c r="AC6535" i="2"/>
  <c r="AC6540" i="2"/>
  <c r="AB6540" i="2"/>
  <c r="AK6540" i="2" s="1"/>
  <c r="Y6540" i="2"/>
  <c r="AC6543" i="2"/>
  <c r="AC6548" i="2"/>
  <c r="AB6548" i="2"/>
  <c r="AK6548" i="2" s="1"/>
  <c r="Y6548" i="2"/>
  <c r="AC6551" i="2"/>
  <c r="AC6556" i="2"/>
  <c r="Y6556" i="2"/>
  <c r="AC6559" i="2"/>
  <c r="AC6564" i="2"/>
  <c r="AB6564" i="2"/>
  <c r="AK6564" i="2" s="1"/>
  <c r="Y6564" i="2"/>
  <c r="AC6567" i="2"/>
  <c r="AC6572" i="2"/>
  <c r="AB6572" i="2"/>
  <c r="AK6572" i="2" s="1"/>
  <c r="Y6572" i="2"/>
  <c r="AC6575" i="2"/>
  <c r="AC6580" i="2"/>
  <c r="AB6580" i="2"/>
  <c r="AK6580" i="2" s="1"/>
  <c r="Y6580" i="2"/>
  <c r="AB6586" i="2"/>
  <c r="AK6586" i="2" s="1"/>
  <c r="Y6586" i="2"/>
  <c r="AB6590" i="2"/>
  <c r="AK6590" i="2" s="1"/>
  <c r="Y6590" i="2"/>
  <c r="AB6594" i="2"/>
  <c r="AK6594" i="2" s="1"/>
  <c r="Y6594" i="2"/>
  <c r="AB6598" i="2"/>
  <c r="AK6598" i="2" s="1"/>
  <c r="Y6598" i="2"/>
  <c r="AB6602" i="2"/>
  <c r="AK6602" i="2" s="1"/>
  <c r="Y6602" i="2"/>
  <c r="AB6606" i="2"/>
  <c r="AK6606" i="2" s="1"/>
  <c r="Y6606" i="2"/>
  <c r="AB6610" i="2"/>
  <c r="AK6610" i="2" s="1"/>
  <c r="Y6610" i="2"/>
  <c r="AB6619" i="2"/>
  <c r="AK6619" i="2" s="1"/>
  <c r="Y6619" i="2"/>
  <c r="AB6627" i="2"/>
  <c r="AK6627" i="2" s="1"/>
  <c r="Y6627" i="2"/>
  <c r="AB6635" i="2"/>
  <c r="AK6635" i="2" s="1"/>
  <c r="Y6635" i="2"/>
  <c r="AB6639" i="2"/>
  <c r="AK6639" i="2" s="1"/>
  <c r="Y6639" i="2"/>
  <c r="AB6643" i="2"/>
  <c r="AK6643" i="2" s="1"/>
  <c r="Y6643" i="2"/>
  <c r="AB6646" i="2"/>
  <c r="AK6646" i="2" s="1"/>
  <c r="Y6646" i="2"/>
  <c r="AC6649" i="2"/>
  <c r="AC6653" i="2"/>
  <c r="AF6659" i="2"/>
  <c r="AC6662" i="2"/>
  <c r="AC6666" i="2"/>
  <c r="AC6670" i="2"/>
  <c r="AC6674" i="2"/>
  <c r="AC6679" i="2"/>
  <c r="AC6684" i="2"/>
  <c r="AB6684" i="2"/>
  <c r="AK6684" i="2" s="1"/>
  <c r="Y6684" i="2"/>
  <c r="AC6687" i="2"/>
  <c r="AC6692" i="2"/>
  <c r="AB6692" i="2"/>
  <c r="AK6692" i="2" s="1"/>
  <c r="Y6692" i="2"/>
  <c r="AC6695" i="2"/>
  <c r="AC6700" i="2"/>
  <c r="AB6700" i="2"/>
  <c r="AK6700" i="2" s="1"/>
  <c r="Y6700" i="2"/>
  <c r="AC6703" i="2"/>
  <c r="AC6708" i="2"/>
  <c r="AB6708" i="2"/>
  <c r="AK6708" i="2" s="1"/>
  <c r="Y6708" i="2"/>
  <c r="AC6711" i="2"/>
  <c r="AC6716" i="2"/>
  <c r="AB6716" i="2"/>
  <c r="AK6716" i="2" s="1"/>
  <c r="Y6716" i="2"/>
  <c r="AC6719" i="2"/>
  <c r="AC6724" i="2"/>
  <c r="AB6724" i="2"/>
  <c r="AK6724" i="2" s="1"/>
  <c r="Y6724" i="2"/>
  <c r="AC6727" i="2"/>
  <c r="AC6732" i="2"/>
  <c r="AB6732" i="2"/>
  <c r="AK6732" i="2" s="1"/>
  <c r="Y6732" i="2"/>
  <c r="AB6735" i="2"/>
  <c r="AK6735" i="2" s="1"/>
  <c r="Y6735" i="2"/>
  <c r="AC6736" i="2"/>
  <c r="AC6740" i="2"/>
  <c r="Y6740" i="2"/>
  <c r="AA6741" i="2"/>
  <c r="AB6741" i="2" s="1"/>
  <c r="AK6741" i="2" s="1"/>
  <c r="AB6747" i="2"/>
  <c r="AK6747" i="2" s="1"/>
  <c r="Y6747" i="2"/>
  <c r="AF6748" i="2"/>
  <c r="AC6755" i="2"/>
  <c r="AB6755" i="2"/>
  <c r="AK6755" i="2" s="1"/>
  <c r="Y6755" i="2"/>
  <c r="AF6756" i="2"/>
  <c r="AC6758" i="2"/>
  <c r="AB6758" i="2"/>
  <c r="AK6758" i="2" s="1"/>
  <c r="Y6758" i="2"/>
  <c r="AC6759" i="2"/>
  <c r="AC6760" i="2"/>
  <c r="AF6761" i="2"/>
  <c r="AC6771" i="2"/>
  <c r="AB6771" i="2"/>
  <c r="AK6771" i="2" s="1"/>
  <c r="Y6771" i="2"/>
  <c r="AC6782" i="2"/>
  <c r="AB6782" i="2"/>
  <c r="AK6782" i="2" s="1"/>
  <c r="Y6782" i="2"/>
  <c r="AF6786" i="2"/>
  <c r="AC6788" i="2"/>
  <c r="Y6788" i="2"/>
  <c r="AC6796" i="2"/>
  <c r="AB6796" i="2"/>
  <c r="AK6796" i="2" s="1"/>
  <c r="Y6796" i="2"/>
  <c r="AC6800" i="2"/>
  <c r="AB6803" i="2"/>
  <c r="AK6803" i="2" s="1"/>
  <c r="Y6803" i="2"/>
  <c r="AC6807" i="2"/>
  <c r="AF6811" i="2"/>
  <c r="AC6814" i="2"/>
  <c r="AC6817" i="2"/>
  <c r="Y6817" i="2"/>
  <c r="AF6821" i="2"/>
  <c r="AC6824" i="2"/>
  <c r="AB6824" i="2"/>
  <c r="AK6824" i="2" s="1"/>
  <c r="Y6824" i="2"/>
  <c r="AF6825" i="2"/>
  <c r="AF6828" i="2"/>
  <c r="AA6834" i="2"/>
  <c r="AB6834" i="2" s="1"/>
  <c r="AK6834" i="2" s="1"/>
  <c r="AC6838" i="2"/>
  <c r="AC6842" i="2"/>
  <c r="AB6842" i="2"/>
  <c r="AK6842" i="2" s="1"/>
  <c r="Y6842" i="2"/>
  <c r="AC6846" i="2"/>
  <c r="AB6856" i="2"/>
  <c r="AK6856" i="2" s="1"/>
  <c r="Y6856" i="2"/>
  <c r="AC6865" i="2"/>
  <c r="AB6865" i="2"/>
  <c r="AK6865" i="2" s="1"/>
  <c r="Y6865" i="2"/>
  <c r="AB6870" i="2"/>
  <c r="AK6870" i="2" s="1"/>
  <c r="Y6870" i="2"/>
  <c r="AB6873" i="2"/>
  <c r="AK6873" i="2" s="1"/>
  <c r="Y6873" i="2"/>
  <c r="AF6880" i="2"/>
  <c r="AC6883" i="2"/>
  <c r="AB6883" i="2"/>
  <c r="AK6883" i="2" s="1"/>
  <c r="Y6883" i="2"/>
  <c r="AF6887" i="2"/>
  <c r="AC6890" i="2"/>
  <c r="AC6894" i="2"/>
  <c r="AC6897" i="2"/>
  <c r="AB6900" i="2"/>
  <c r="AK6900" i="2" s="1"/>
  <c r="Y6900" i="2"/>
  <c r="AF6901" i="2"/>
  <c r="AF6904" i="2"/>
  <c r="AC6907" i="2"/>
  <c r="AB6907" i="2"/>
  <c r="AK6907" i="2" s="1"/>
  <c r="Y6907" i="2"/>
  <c r="AF6911" i="2"/>
  <c r="AC6914" i="2"/>
  <c r="AB6920" i="2"/>
  <c r="AK6920" i="2" s="1"/>
  <c r="Y6920" i="2"/>
  <c r="AF6921" i="2"/>
  <c r="AC6924" i="2"/>
  <c r="AB6924" i="2"/>
  <c r="AK6924" i="2" s="1"/>
  <c r="Y6924" i="2"/>
  <c r="AF6925" i="2"/>
  <c r="AC6927" i="2"/>
  <c r="AB6927" i="2"/>
  <c r="AK6927" i="2" s="1"/>
  <c r="Y6927" i="2"/>
  <c r="AC6934" i="2"/>
  <c r="AB6934" i="2"/>
  <c r="AK6934" i="2" s="1"/>
  <c r="Y6934" i="2"/>
  <c r="AB6937" i="2"/>
  <c r="AK6937" i="2" s="1"/>
  <c r="Y6937" i="2"/>
  <c r="AF6938" i="2"/>
  <c r="AC6941" i="2"/>
  <c r="AC6944" i="2"/>
  <c r="AB6947" i="2"/>
  <c r="AK6947" i="2" s="1"/>
  <c r="Y6947" i="2"/>
  <c r="AF6948" i="2"/>
  <c r="AB6953" i="2"/>
  <c r="AK6953" i="2" s="1"/>
  <c r="Y6953" i="2"/>
  <c r="AC6953" i="2"/>
  <c r="AC6966" i="2"/>
  <c r="AB6966" i="2"/>
  <c r="AK6966" i="2" s="1"/>
  <c r="Y6966" i="2"/>
  <c r="AB6969" i="2"/>
  <c r="AK6969" i="2" s="1"/>
  <c r="Y6969" i="2"/>
  <c r="AC6969" i="2"/>
  <c r="AC6972" i="2"/>
  <c r="AB6972" i="2"/>
  <c r="AK6972" i="2" s="1"/>
  <c r="Y6972" i="2"/>
  <c r="AC6975" i="2"/>
  <c r="AB6975" i="2"/>
  <c r="AK6975" i="2" s="1"/>
  <c r="Y6975" i="2"/>
  <c r="AF6982" i="2"/>
  <c r="AC6988" i="2"/>
  <c r="AB6988" i="2"/>
  <c r="AK6988" i="2" s="1"/>
  <c r="Y6988" i="2"/>
  <c r="AF6989" i="2"/>
  <c r="AC6991" i="2"/>
  <c r="AB6991" i="2"/>
  <c r="AK6991" i="2" s="1"/>
  <c r="Y6991" i="2"/>
  <c r="AF6998" i="2"/>
  <c r="AC7038" i="2"/>
  <c r="AB7038" i="2"/>
  <c r="AK7038" i="2" s="1"/>
  <c r="Y7038" i="2"/>
  <c r="AB7044" i="2"/>
  <c r="AK7044" i="2" s="1"/>
  <c r="Y7044" i="2"/>
  <c r="AB7047" i="2"/>
  <c r="AK7047" i="2" s="1"/>
  <c r="Y7047" i="2"/>
  <c r="AF7048" i="2"/>
  <c r="AC7085" i="2"/>
  <c r="AB7085" i="2"/>
  <c r="AK7085" i="2" s="1"/>
  <c r="Y7085" i="2"/>
  <c r="AC7091" i="2"/>
  <c r="AB7091" i="2"/>
  <c r="AK7091" i="2" s="1"/>
  <c r="Y7091" i="2"/>
  <c r="AB7097" i="2"/>
  <c r="AK7097" i="2" s="1"/>
  <c r="Y7097" i="2"/>
  <c r="AC7097" i="2"/>
  <c r="AC7112" i="2"/>
  <c r="AB7133" i="2"/>
  <c r="AK7133" i="2" s="1"/>
  <c r="Y7133" i="2"/>
  <c r="AC7133" i="2"/>
  <c r="AC7181" i="2"/>
  <c r="AB7181" i="2"/>
  <c r="AK7181" i="2" s="1"/>
  <c r="Y7181" i="2"/>
  <c r="AB7231" i="2"/>
  <c r="AK7231" i="2" s="1"/>
  <c r="Y7231" i="2"/>
  <c r="AC7231" i="2"/>
  <c r="AB7284" i="2"/>
  <c r="AK7284" i="2" s="1"/>
  <c r="Y7284" i="2"/>
  <c r="AC7284" i="2"/>
  <c r="AC7336" i="2"/>
  <c r="AB7336" i="2"/>
  <c r="AK7336" i="2" s="1"/>
  <c r="Y7336" i="2"/>
  <c r="AB7369" i="2"/>
  <c r="AK7369" i="2" s="1"/>
  <c r="Y7369" i="2"/>
  <c r="AC7369" i="2"/>
  <c r="AB7460" i="2"/>
  <c r="AK7460" i="2" s="1"/>
  <c r="Y7460" i="2"/>
  <c r="AC7460" i="2"/>
  <c r="AC7483" i="2"/>
  <c r="AB7483" i="2"/>
  <c r="AK7483" i="2" s="1"/>
  <c r="Y7483" i="2"/>
  <c r="AB7501" i="2"/>
  <c r="AK7501" i="2" s="1"/>
  <c r="Y7501" i="2"/>
  <c r="AC7501" i="2"/>
  <c r="AC7520" i="2"/>
  <c r="AB7520" i="2"/>
  <c r="AK7520" i="2" s="1"/>
  <c r="Y7520" i="2"/>
  <c r="AC7535" i="2"/>
  <c r="AB7535" i="2"/>
  <c r="AK7535" i="2" s="1"/>
  <c r="Y7535" i="2"/>
  <c r="AB7644" i="2"/>
  <c r="AK7644" i="2" s="1"/>
  <c r="Y7644" i="2"/>
  <c r="AC7644" i="2"/>
  <c r="AB7663" i="2"/>
  <c r="AK7663" i="2" s="1"/>
  <c r="Y7663" i="2"/>
  <c r="AC7663" i="2"/>
  <c r="Y7671" i="2"/>
  <c r="AB7710" i="2"/>
  <c r="AK7710" i="2" s="1"/>
  <c r="Y7710" i="2"/>
  <c r="AC7710" i="2"/>
  <c r="AB7748" i="2"/>
  <c r="AK7748" i="2" s="1"/>
  <c r="Y7748" i="2"/>
  <c r="AC7748" i="2"/>
  <c r="AB5410" i="2"/>
  <c r="AK5410" i="2" s="1"/>
  <c r="Y5410" i="2"/>
  <c r="AC5471" i="2"/>
  <c r="AB5471" i="2"/>
  <c r="AK5471" i="2" s="1"/>
  <c r="Y5471" i="2"/>
  <c r="AB5631" i="2"/>
  <c r="AK5631" i="2" s="1"/>
  <c r="Y5631" i="2"/>
  <c r="AC5410" i="2"/>
  <c r="Y5421" i="2"/>
  <c r="AC5430" i="2"/>
  <c r="AB5430" i="2"/>
  <c r="AK5430" i="2" s="1"/>
  <c r="Y5430" i="2"/>
  <c r="AC5551" i="2"/>
  <c r="AB5551" i="2"/>
  <c r="AK5551" i="2" s="1"/>
  <c r="Y5551" i="2"/>
  <c r="AB5377" i="2"/>
  <c r="AK5377" i="2" s="1"/>
  <c r="Y5377" i="2"/>
  <c r="AC5385" i="2"/>
  <c r="AB5388" i="2"/>
  <c r="AK5388" i="2" s="1"/>
  <c r="Y5388" i="2"/>
  <c r="AC5396" i="2"/>
  <c r="AC5415" i="2"/>
  <c r="AB5448" i="2"/>
  <c r="AK5448" i="2" s="1"/>
  <c r="AB5452" i="2"/>
  <c r="AK5452" i="2" s="1"/>
  <c r="Y5452" i="2"/>
  <c r="AB5464" i="2"/>
  <c r="AK5464" i="2" s="1"/>
  <c r="AB5468" i="2"/>
  <c r="AK5468" i="2" s="1"/>
  <c r="Y5468" i="2"/>
  <c r="AB5488" i="2"/>
  <c r="AK5488" i="2" s="1"/>
  <c r="AB5492" i="2"/>
  <c r="AK5492" i="2" s="1"/>
  <c r="Y5492" i="2"/>
  <c r="AB5504" i="2"/>
  <c r="AK5504" i="2" s="1"/>
  <c r="AB5508" i="2"/>
  <c r="AK5508" i="2" s="1"/>
  <c r="Y5508" i="2"/>
  <c r="AB5512" i="2"/>
  <c r="AK5512" i="2" s="1"/>
  <c r="AB5516" i="2"/>
  <c r="AK5516" i="2" s="1"/>
  <c r="Y5516" i="2"/>
  <c r="AC5521" i="2"/>
  <c r="AC5559" i="2"/>
  <c r="Y5559" i="2"/>
  <c r="AB5576" i="2"/>
  <c r="AK5576" i="2" s="1"/>
  <c r="AB5580" i="2"/>
  <c r="AK5580" i="2" s="1"/>
  <c r="Y5580" i="2"/>
  <c r="AC5616" i="2"/>
  <c r="AB5616" i="2"/>
  <c r="AK5616" i="2" s="1"/>
  <c r="Y5616" i="2"/>
  <c r="AC5624" i="2"/>
  <c r="AB5624" i="2"/>
  <c r="AK5624" i="2" s="1"/>
  <c r="Y5624" i="2"/>
  <c r="AC5632" i="2"/>
  <c r="AB5632" i="2"/>
  <c r="AK5632" i="2" s="1"/>
  <c r="Y5632" i="2"/>
  <c r="AC5640" i="2"/>
  <c r="AB5640" i="2"/>
  <c r="AK5640" i="2" s="1"/>
  <c r="Y5640" i="2"/>
  <c r="AC5652" i="2"/>
  <c r="AC5656" i="2"/>
  <c r="Y5656" i="2"/>
  <c r="AC5660" i="2"/>
  <c r="AC5664" i="2"/>
  <c r="Y5664" i="2"/>
  <c r="AC5668" i="2"/>
  <c r="AC5672" i="2"/>
  <c r="AB5672" i="2"/>
  <c r="AK5672" i="2" s="1"/>
  <c r="Y5672" i="2"/>
  <c r="AC5676" i="2"/>
  <c r="AC5680" i="2"/>
  <c r="AB5680" i="2"/>
  <c r="AK5680" i="2" s="1"/>
  <c r="Y5680" i="2"/>
  <c r="AC5684" i="2"/>
  <c r="AC5688" i="2"/>
  <c r="AB5688" i="2"/>
  <c r="AK5688" i="2" s="1"/>
  <c r="Y5688" i="2"/>
  <c r="AC5692" i="2"/>
  <c r="AC5696" i="2"/>
  <c r="AB5696" i="2"/>
  <c r="AK5696" i="2" s="1"/>
  <c r="Y5696" i="2"/>
  <c r="AC5700" i="2"/>
  <c r="AC5704" i="2"/>
  <c r="AB5704" i="2"/>
  <c r="AK5704" i="2" s="1"/>
  <c r="Y5704" i="2"/>
  <c r="AC5708" i="2"/>
  <c r="AC5712" i="2"/>
  <c r="AB5712" i="2"/>
  <c r="AK5712" i="2" s="1"/>
  <c r="Y5712" i="2"/>
  <c r="AC5716" i="2"/>
  <c r="AC5720" i="2"/>
  <c r="AB5720" i="2"/>
  <c r="AK5720" i="2" s="1"/>
  <c r="Y5720" i="2"/>
  <c r="AC5724" i="2"/>
  <c r="AC5728" i="2"/>
  <c r="AB5728" i="2"/>
  <c r="AK5728" i="2" s="1"/>
  <c r="Y5728" i="2"/>
  <c r="AC5732" i="2"/>
  <c r="AC5736" i="2"/>
  <c r="AB5736" i="2"/>
  <c r="AK5736" i="2" s="1"/>
  <c r="Y5736" i="2"/>
  <c r="AC5740" i="2"/>
  <c r="AC5744" i="2"/>
  <c r="AB5744" i="2"/>
  <c r="AK5744" i="2" s="1"/>
  <c r="Y5744" i="2"/>
  <c r="AC5748" i="2"/>
  <c r="AC5752" i="2"/>
  <c r="AB5752" i="2"/>
  <c r="AK5752" i="2" s="1"/>
  <c r="Y5752" i="2"/>
  <c r="AC5756" i="2"/>
  <c r="AC5760" i="2"/>
  <c r="AB5760" i="2"/>
  <c r="AK5760" i="2" s="1"/>
  <c r="Y5760" i="2"/>
  <c r="AC5764" i="2"/>
  <c r="AC5768" i="2"/>
  <c r="AB5768" i="2"/>
  <c r="AK5768" i="2" s="1"/>
  <c r="Y5768" i="2"/>
  <c r="AB5775" i="2"/>
  <c r="AK5775" i="2" s="1"/>
  <c r="Y5775" i="2"/>
  <c r="AC5780" i="2"/>
  <c r="AC5784" i="2"/>
  <c r="AB5788" i="2"/>
  <c r="AK5788" i="2" s="1"/>
  <c r="AC5792" i="2"/>
  <c r="AB5795" i="2"/>
  <c r="AK5795" i="2" s="1"/>
  <c r="AC5796" i="2"/>
  <c r="AC5800" i="2"/>
  <c r="AC5804" i="2"/>
  <c r="AC5822" i="2"/>
  <c r="AB5822" i="2"/>
  <c r="AK5822" i="2" s="1"/>
  <c r="Y5822" i="2"/>
  <c r="AB5826" i="2"/>
  <c r="AK5826" i="2" s="1"/>
  <c r="Y5826" i="2"/>
  <c r="AC5827" i="2"/>
  <c r="AB5831" i="2"/>
  <c r="AK5831" i="2" s="1"/>
  <c r="Y5831" i="2"/>
  <c r="AC5832" i="2"/>
  <c r="AC5836" i="2"/>
  <c r="AC5854" i="2"/>
  <c r="AB5854" i="2"/>
  <c r="AK5854" i="2" s="1"/>
  <c r="Y5854" i="2"/>
  <c r="AB5858" i="2"/>
  <c r="AK5858" i="2" s="1"/>
  <c r="Y5858" i="2"/>
  <c r="AC5859" i="2"/>
  <c r="AC5863" i="2"/>
  <c r="Y5863" i="2"/>
  <c r="AC5864" i="2"/>
  <c r="AB5867" i="2"/>
  <c r="AK5867" i="2" s="1"/>
  <c r="Y5867" i="2"/>
  <c r="AC5868" i="2"/>
  <c r="AC5872" i="2"/>
  <c r="AB5875" i="2"/>
  <c r="AK5875" i="2" s="1"/>
  <c r="Y5875" i="2"/>
  <c r="AC5876" i="2"/>
  <c r="AC5879" i="2"/>
  <c r="AC5883" i="2"/>
  <c r="AC5887" i="2"/>
  <c r="AC5891" i="2"/>
  <c r="AC5895" i="2"/>
  <c r="AC5899" i="2"/>
  <c r="AC5903" i="2"/>
  <c r="AC5907" i="2"/>
  <c r="AC5911" i="2"/>
  <c r="AC5915" i="2"/>
  <c r="AC5919" i="2"/>
  <c r="AC5923" i="2"/>
  <c r="AC5927" i="2"/>
  <c r="AC5931" i="2"/>
  <c r="AC5935" i="2"/>
  <c r="AC5939" i="2"/>
  <c r="AC5943" i="2"/>
  <c r="AC5947" i="2"/>
  <c r="AC5951" i="2"/>
  <c r="AC5955" i="2"/>
  <c r="AF5959" i="2"/>
  <c r="AC5967" i="2"/>
  <c r="AC5971" i="2"/>
  <c r="AB5971" i="2"/>
  <c r="AK5971" i="2" s="1"/>
  <c r="Y5971" i="2"/>
  <c r="AC5975" i="2"/>
  <c r="AB5975" i="2"/>
  <c r="AK5975" i="2" s="1"/>
  <c r="Y5975" i="2"/>
  <c r="AC5984" i="2"/>
  <c r="AB5984" i="2"/>
  <c r="AK5984" i="2" s="1"/>
  <c r="Y5984" i="2"/>
  <c r="AC5995" i="2"/>
  <c r="AB5995" i="2"/>
  <c r="AK5995" i="2" s="1"/>
  <c r="Y5995" i="2"/>
  <c r="AC6004" i="2"/>
  <c r="AC6008" i="2"/>
  <c r="AF6009" i="2"/>
  <c r="AB6012" i="2"/>
  <c r="AK6012" i="2" s="1"/>
  <c r="Y6012" i="2"/>
  <c r="AC6013" i="2"/>
  <c r="AB6016" i="2"/>
  <c r="AK6016" i="2" s="1"/>
  <c r="Y6016" i="2"/>
  <c r="AC6017" i="2"/>
  <c r="AB6021" i="2"/>
  <c r="AK6021" i="2" s="1"/>
  <c r="Y6021" i="2"/>
  <c r="AB6025" i="2"/>
  <c r="AK6025" i="2" s="1"/>
  <c r="Y6025" i="2"/>
  <c r="AC6034" i="2"/>
  <c r="Y6037" i="2"/>
  <c r="AC6038" i="2"/>
  <c r="AB6041" i="2"/>
  <c r="AK6041" i="2" s="1"/>
  <c r="Y6041" i="2"/>
  <c r="AC6042" i="2"/>
  <c r="AB6046" i="2"/>
  <c r="AK6046" i="2" s="1"/>
  <c r="Y6046" i="2"/>
  <c r="AB6049" i="2"/>
  <c r="AK6049" i="2" s="1"/>
  <c r="Y6049" i="2"/>
  <c r="AC6059" i="2"/>
  <c r="AC6063" i="2"/>
  <c r="AB6063" i="2"/>
  <c r="AK6063" i="2" s="1"/>
  <c r="AC6075" i="2"/>
  <c r="AB6075" i="2"/>
  <c r="AK6075" i="2" s="1"/>
  <c r="Y6075" i="2"/>
  <c r="AC6078" i="2"/>
  <c r="AC6087" i="2"/>
  <c r="AC6090" i="2"/>
  <c r="AB6093" i="2"/>
  <c r="AK6093" i="2" s="1"/>
  <c r="Y6093" i="2"/>
  <c r="AC6100" i="2"/>
  <c r="AB6111" i="2"/>
  <c r="AK6111" i="2" s="1"/>
  <c r="Y6111" i="2"/>
  <c r="AB6119" i="2"/>
  <c r="AK6119" i="2" s="1"/>
  <c r="Y6119" i="2"/>
  <c r="AB6127" i="2"/>
  <c r="AK6127" i="2" s="1"/>
  <c r="Y6127" i="2"/>
  <c r="AB6135" i="2"/>
  <c r="AK6135" i="2" s="1"/>
  <c r="Y6135" i="2"/>
  <c r="AB6143" i="2"/>
  <c r="AK6143" i="2" s="1"/>
  <c r="Y6143" i="2"/>
  <c r="AB6151" i="2"/>
  <c r="AK6151" i="2" s="1"/>
  <c r="Y6151" i="2"/>
  <c r="AB6159" i="2"/>
  <c r="AK6159" i="2" s="1"/>
  <c r="Y6159" i="2"/>
  <c r="AB6167" i="2"/>
  <c r="AK6167" i="2" s="1"/>
  <c r="Y6167" i="2"/>
  <c r="AB6178" i="2"/>
  <c r="AK6178" i="2" s="1"/>
  <c r="Y6178" i="2"/>
  <c r="AB6186" i="2"/>
  <c r="AK6186" i="2" s="1"/>
  <c r="Y6186" i="2"/>
  <c r="AB6194" i="2"/>
  <c r="AK6194" i="2" s="1"/>
  <c r="Y6194" i="2"/>
  <c r="AB6202" i="2"/>
  <c r="AK6202" i="2" s="1"/>
  <c r="Y6202" i="2"/>
  <c r="AC6211" i="2"/>
  <c r="AC6215" i="2"/>
  <c r="AC6331" i="2"/>
  <c r="AC6338" i="2"/>
  <c r="AB6338" i="2"/>
  <c r="AK6338" i="2" s="1"/>
  <c r="Y6338" i="2"/>
  <c r="AC6344" i="2"/>
  <c r="AB6344" i="2"/>
  <c r="AK6344" i="2" s="1"/>
  <c r="Y6344" i="2"/>
  <c r="AB6347" i="2"/>
  <c r="AK6347" i="2" s="1"/>
  <c r="Y6347" i="2"/>
  <c r="AB6351" i="2"/>
  <c r="AK6351" i="2" s="1"/>
  <c r="Y6351" i="2"/>
  <c r="AB6355" i="2"/>
  <c r="AK6355" i="2" s="1"/>
  <c r="Y6355" i="2"/>
  <c r="AB6359" i="2"/>
  <c r="AK6359" i="2" s="1"/>
  <c r="Y6359" i="2"/>
  <c r="AB6363" i="2"/>
  <c r="AK6363" i="2" s="1"/>
  <c r="Y6363" i="2"/>
  <c r="AB6371" i="2"/>
  <c r="AK6371" i="2" s="1"/>
  <c r="Y6371" i="2"/>
  <c r="AB6379" i="2"/>
  <c r="AK6379" i="2" s="1"/>
  <c r="Y6379" i="2"/>
  <c r="AC6387" i="2"/>
  <c r="AB6387" i="2"/>
  <c r="AK6387" i="2" s="1"/>
  <c r="Y6387" i="2"/>
  <c r="AC6390" i="2"/>
  <c r="AC6395" i="2"/>
  <c r="AB6395" i="2"/>
  <c r="AK6395" i="2" s="1"/>
  <c r="Y6395" i="2"/>
  <c r="AC6403" i="2"/>
  <c r="AB6403" i="2"/>
  <c r="AK6403" i="2" s="1"/>
  <c r="Y6403" i="2"/>
  <c r="AC6406" i="2"/>
  <c r="AC6411" i="2"/>
  <c r="AB6411" i="2"/>
  <c r="AK6411" i="2" s="1"/>
  <c r="Y6411" i="2"/>
  <c r="AC6414" i="2"/>
  <c r="AC6417" i="2"/>
  <c r="AC6422" i="2"/>
  <c r="AB6422" i="2"/>
  <c r="AK6422" i="2" s="1"/>
  <c r="AC6425" i="2"/>
  <c r="AC6430" i="2"/>
  <c r="AB6430" i="2"/>
  <c r="AK6430" i="2" s="1"/>
  <c r="Y6430" i="2"/>
  <c r="AC6433" i="2"/>
  <c r="AC6438" i="2"/>
  <c r="AB6438" i="2"/>
  <c r="AK6438" i="2" s="1"/>
  <c r="AC6441" i="2"/>
  <c r="AC6446" i="2"/>
  <c r="AB6446" i="2"/>
  <c r="AK6446" i="2" s="1"/>
  <c r="Y6446" i="2"/>
  <c r="AC6449" i="2"/>
  <c r="AC6454" i="2"/>
  <c r="AB6454" i="2"/>
  <c r="AK6454" i="2" s="1"/>
  <c r="AB6457" i="2"/>
  <c r="AK6457" i="2" s="1"/>
  <c r="Y6457" i="2"/>
  <c r="AB6461" i="2"/>
  <c r="AK6461" i="2" s="1"/>
  <c r="Y6461" i="2"/>
  <c r="AB6465" i="2"/>
  <c r="AK6465" i="2" s="1"/>
  <c r="Y6465" i="2"/>
  <c r="AB6469" i="2"/>
  <c r="AK6469" i="2" s="1"/>
  <c r="Y6469" i="2"/>
  <c r="AB6473" i="2"/>
  <c r="AK6473" i="2" s="1"/>
  <c r="Y6473" i="2"/>
  <c r="AB6477" i="2"/>
  <c r="AK6477" i="2" s="1"/>
  <c r="Y6477" i="2"/>
  <c r="AC6480" i="2"/>
  <c r="AC6485" i="2"/>
  <c r="AB6485" i="2"/>
  <c r="AK6485" i="2" s="1"/>
  <c r="Y6485" i="2"/>
  <c r="AC6488" i="2"/>
  <c r="AC6495" i="2"/>
  <c r="AB6513" i="2"/>
  <c r="AK6513" i="2" s="1"/>
  <c r="Y6513" i="2"/>
  <c r="AB6521" i="2"/>
  <c r="AK6521" i="2" s="1"/>
  <c r="AB6529" i="2"/>
  <c r="AK6529" i="2" s="1"/>
  <c r="AB6537" i="2"/>
  <c r="AK6537" i="2" s="1"/>
  <c r="AB6545" i="2"/>
  <c r="AK6545" i="2" s="1"/>
  <c r="Y6545" i="2"/>
  <c r="AB6553" i="2"/>
  <c r="AK6553" i="2" s="1"/>
  <c r="AB6561" i="2"/>
  <c r="AK6561" i="2" s="1"/>
  <c r="Y6561" i="2"/>
  <c r="AB6577" i="2"/>
  <c r="AK6577" i="2" s="1"/>
  <c r="Y6577" i="2"/>
  <c r="AC6586" i="2"/>
  <c r="AC6590" i="2"/>
  <c r="AC6594" i="2"/>
  <c r="AC6598" i="2"/>
  <c r="AC6602" i="2"/>
  <c r="AC6606" i="2"/>
  <c r="AC6614" i="2"/>
  <c r="AB6614" i="2"/>
  <c r="AK6614" i="2" s="1"/>
  <c r="Y6614" i="2"/>
  <c r="AC6616" i="2"/>
  <c r="AB6616" i="2"/>
  <c r="AK6616" i="2" s="1"/>
  <c r="Y6616" i="2"/>
  <c r="AC6624" i="2"/>
  <c r="AB6624" i="2"/>
  <c r="AK6624" i="2" s="1"/>
  <c r="Y6624" i="2"/>
  <c r="AC6632" i="2"/>
  <c r="AB6632" i="2"/>
  <c r="AK6632" i="2" s="1"/>
  <c r="Y6632" i="2"/>
  <c r="AB6648" i="2"/>
  <c r="AK6648" i="2" s="1"/>
  <c r="Y6648" i="2"/>
  <c r="AB6652" i="2"/>
  <c r="AK6652" i="2" s="1"/>
  <c r="Y6652" i="2"/>
  <c r="AC6658" i="2"/>
  <c r="AB6658" i="2"/>
  <c r="AK6658" i="2" s="1"/>
  <c r="Y6658" i="2"/>
  <c r="AB6661" i="2"/>
  <c r="AK6661" i="2" s="1"/>
  <c r="Y6661" i="2"/>
  <c r="AB6665" i="2"/>
  <c r="AK6665" i="2" s="1"/>
  <c r="Y6665" i="2"/>
  <c r="AB6669" i="2"/>
  <c r="AK6669" i="2" s="1"/>
  <c r="Y6669" i="2"/>
  <c r="AB6673" i="2"/>
  <c r="AK6673" i="2" s="1"/>
  <c r="Y6673" i="2"/>
  <c r="AB6681" i="2"/>
  <c r="AK6681" i="2" s="1"/>
  <c r="Y6681" i="2"/>
  <c r="AB6689" i="2"/>
  <c r="AK6689" i="2" s="1"/>
  <c r="Y6689" i="2"/>
  <c r="AB6697" i="2"/>
  <c r="AK6697" i="2" s="1"/>
  <c r="Y6697" i="2"/>
  <c r="AB6705" i="2"/>
  <c r="AK6705" i="2" s="1"/>
  <c r="Y6705" i="2"/>
  <c r="AB6713" i="2"/>
  <c r="AK6713" i="2" s="1"/>
  <c r="Y6713" i="2"/>
  <c r="AB6721" i="2"/>
  <c r="AK6721" i="2" s="1"/>
  <c r="Y6721" i="2"/>
  <c r="AB6729" i="2"/>
  <c r="AK6729" i="2" s="1"/>
  <c r="Y6729" i="2"/>
  <c r="AF6736" i="2"/>
  <c r="AC6739" i="2"/>
  <c r="AB6739" i="2"/>
  <c r="AK6739" i="2" s="1"/>
  <c r="Y6739" i="2"/>
  <c r="AF6755" i="2"/>
  <c r="AB6763" i="2"/>
  <c r="AK6763" i="2" s="1"/>
  <c r="Y6763" i="2"/>
  <c r="AC6767" i="2"/>
  <c r="AB6767" i="2"/>
  <c r="AK6767" i="2" s="1"/>
  <c r="Y6767" i="2"/>
  <c r="AF6768" i="2"/>
  <c r="AF6771" i="2"/>
  <c r="AC6777" i="2"/>
  <c r="Y6777" i="2"/>
  <c r="AF6782" i="2"/>
  <c r="AC6785" i="2"/>
  <c r="Y6785" i="2"/>
  <c r="AC6792" i="2"/>
  <c r="AB6792" i="2"/>
  <c r="AK6792" i="2" s="1"/>
  <c r="Y6792" i="2"/>
  <c r="AF6796" i="2"/>
  <c r="AC6799" i="2"/>
  <c r="AB6799" i="2"/>
  <c r="AK6799" i="2" s="1"/>
  <c r="Y6799" i="2"/>
  <c r="AF6800" i="2"/>
  <c r="AC6810" i="2"/>
  <c r="AB6810" i="2"/>
  <c r="AK6810" i="2" s="1"/>
  <c r="Y6810" i="2"/>
  <c r="AC6813" i="2"/>
  <c r="AB6813" i="2"/>
  <c r="AK6813" i="2" s="1"/>
  <c r="Y6813" i="2"/>
  <c r="AC6820" i="2"/>
  <c r="AB6820" i="2"/>
  <c r="AK6820" i="2" s="1"/>
  <c r="Y6820" i="2"/>
  <c r="AF6824" i="2"/>
  <c r="AB6827" i="2"/>
  <c r="AK6827" i="2" s="1"/>
  <c r="Y6827" i="2"/>
  <c r="AF6834" i="2"/>
  <c r="AC6837" i="2"/>
  <c r="AB6837" i="2"/>
  <c r="AK6837" i="2" s="1"/>
  <c r="Y6837" i="2"/>
  <c r="AF6838" i="2"/>
  <c r="AB6841" i="2"/>
  <c r="AK6841" i="2" s="1"/>
  <c r="Y6841" i="2"/>
  <c r="AF6842" i="2"/>
  <c r="AA6845" i="2"/>
  <c r="AB6845" i="2" s="1"/>
  <c r="AK6845" i="2" s="1"/>
  <c r="Y6845" i="2"/>
  <c r="AF6846" i="2"/>
  <c r="AC6849" i="2"/>
  <c r="AB6849" i="2"/>
  <c r="AK6849" i="2" s="1"/>
  <c r="Y6849" i="2"/>
  <c r="AC6852" i="2"/>
  <c r="AB6852" i="2"/>
  <c r="AK6852" i="2" s="1"/>
  <c r="Y6852" i="2"/>
  <c r="AB6867" i="2"/>
  <c r="AK6867" i="2" s="1"/>
  <c r="Y6867" i="2"/>
  <c r="AC6876" i="2"/>
  <c r="AB6876" i="2"/>
  <c r="AK6876" i="2" s="1"/>
  <c r="Y6876" i="2"/>
  <c r="AB6879" i="2"/>
  <c r="AK6879" i="2" s="1"/>
  <c r="Y6879" i="2"/>
  <c r="AB6886" i="2"/>
  <c r="AK6886" i="2" s="1"/>
  <c r="Y6886" i="2"/>
  <c r="AB6889" i="2"/>
  <c r="AK6889" i="2" s="1"/>
  <c r="Y6889" i="2"/>
  <c r="AF6890" i="2"/>
  <c r="AB6893" i="2"/>
  <c r="AK6893" i="2" s="1"/>
  <c r="Y6893" i="2"/>
  <c r="AF6897" i="2"/>
  <c r="AB6910" i="2"/>
  <c r="AK6910" i="2" s="1"/>
  <c r="Y6910" i="2"/>
  <c r="AB6913" i="2"/>
  <c r="AK6913" i="2" s="1"/>
  <c r="Y6913" i="2"/>
  <c r="AF6914" i="2"/>
  <c r="AC6917" i="2"/>
  <c r="AB6917" i="2"/>
  <c r="AK6917" i="2" s="1"/>
  <c r="Y6917" i="2"/>
  <c r="AB6923" i="2"/>
  <c r="AK6923" i="2" s="1"/>
  <c r="Y6923" i="2"/>
  <c r="AF6924" i="2"/>
  <c r="AF6927" i="2"/>
  <c r="AC6930" i="2"/>
  <c r="AB6930" i="2"/>
  <c r="AK6930" i="2" s="1"/>
  <c r="Y6930" i="2"/>
  <c r="AF6934" i="2"/>
  <c r="AF6944" i="2"/>
  <c r="AC6950" i="2"/>
  <c r="AB6950" i="2"/>
  <c r="AK6950" i="2" s="1"/>
  <c r="Y6950" i="2"/>
  <c r="AC6956" i="2"/>
  <c r="AB6956" i="2"/>
  <c r="AK6956" i="2" s="1"/>
  <c r="Y6956" i="2"/>
  <c r="AC6959" i="2"/>
  <c r="AB6959" i="2"/>
  <c r="AK6959" i="2" s="1"/>
  <c r="Y6959" i="2"/>
  <c r="AF6969" i="2"/>
  <c r="AF6972" i="2"/>
  <c r="AF6975" i="2"/>
  <c r="AC6978" i="2"/>
  <c r="AB6978" i="2"/>
  <c r="AK6978" i="2" s="1"/>
  <c r="Y6978" i="2"/>
  <c r="AB6981" i="2"/>
  <c r="AK6981" i="2" s="1"/>
  <c r="Y6981" i="2"/>
  <c r="AB6984" i="2"/>
  <c r="AK6984" i="2" s="1"/>
  <c r="Y6984" i="2"/>
  <c r="AF6985" i="2"/>
  <c r="AF6988" i="2"/>
  <c r="AC6994" i="2"/>
  <c r="AB6994" i="2"/>
  <c r="AK6994" i="2" s="1"/>
  <c r="Y6994" i="2"/>
  <c r="AB7000" i="2"/>
  <c r="AK7000" i="2" s="1"/>
  <c r="Y7000" i="2"/>
  <c r="AC7000" i="2"/>
  <c r="AC7009" i="2"/>
  <c r="AB7009" i="2"/>
  <c r="AK7009" i="2" s="1"/>
  <c r="Y7009" i="2"/>
  <c r="AB7028" i="2"/>
  <c r="AK7028" i="2" s="1"/>
  <c r="Y7028" i="2"/>
  <c r="AB7031" i="2"/>
  <c r="AK7031" i="2" s="1"/>
  <c r="Y7031" i="2"/>
  <c r="AF7032" i="2"/>
  <c r="AC7035" i="2"/>
  <c r="AB7035" i="2"/>
  <c r="AK7035" i="2" s="1"/>
  <c r="Y7035" i="2"/>
  <c r="AF7038" i="2"/>
  <c r="AB7050" i="2"/>
  <c r="AK7050" i="2" s="1"/>
  <c r="Y7050" i="2"/>
  <c r="AC7050" i="2"/>
  <c r="AF7069" i="2"/>
  <c r="AC7075" i="2"/>
  <c r="AB7075" i="2"/>
  <c r="AK7075" i="2" s="1"/>
  <c r="Y7075" i="2"/>
  <c r="AC7078" i="2"/>
  <c r="AB7078" i="2"/>
  <c r="AK7078" i="2" s="1"/>
  <c r="Y7078" i="2"/>
  <c r="AF7106" i="2"/>
  <c r="AC7139" i="2"/>
  <c r="AB7139" i="2"/>
  <c r="AK7139" i="2" s="1"/>
  <c r="Y7139" i="2"/>
  <c r="AC7216" i="2"/>
  <c r="AB7216" i="2"/>
  <c r="AK7216" i="2" s="1"/>
  <c r="Y7216" i="2"/>
  <c r="AC7255" i="2"/>
  <c r="Y7255" i="2"/>
  <c r="AC7277" i="2"/>
  <c r="AB7277" i="2"/>
  <c r="AK7277" i="2" s="1"/>
  <c r="Y7277" i="2"/>
  <c r="AB7321" i="2"/>
  <c r="AK7321" i="2" s="1"/>
  <c r="AC7321" i="2"/>
  <c r="Y7321" i="2"/>
  <c r="AC7395" i="2"/>
  <c r="AB7395" i="2"/>
  <c r="AK7395" i="2" s="1"/>
  <c r="Y7395" i="2"/>
  <c r="AB7437" i="2"/>
  <c r="AK7437" i="2" s="1"/>
  <c r="Y7437" i="2"/>
  <c r="AC7437" i="2"/>
  <c r="AB7614" i="2"/>
  <c r="AK7614" i="2" s="1"/>
  <c r="Y7614" i="2"/>
  <c r="AC7614" i="2"/>
  <c r="AC7626" i="2"/>
  <c r="AB7626" i="2"/>
  <c r="AK7626" i="2" s="1"/>
  <c r="Y7626" i="2"/>
  <c r="AB7629" i="2"/>
  <c r="AK7629" i="2" s="1"/>
  <c r="Y7629" i="2"/>
  <c r="AC7629" i="2"/>
  <c r="AB7641" i="2"/>
  <c r="AK7641" i="2" s="1"/>
  <c r="AC7641" i="2"/>
  <c r="Y7641" i="2"/>
  <c r="AC7656" i="2"/>
  <c r="AB7656" i="2"/>
  <c r="AK7656" i="2" s="1"/>
  <c r="Y7656" i="2"/>
  <c r="AB7686" i="2"/>
  <c r="AK7686" i="2" s="1"/>
  <c r="Y7686" i="2"/>
  <c r="AC7686" i="2"/>
  <c r="AB5425" i="2"/>
  <c r="AK5425" i="2" s="1"/>
  <c r="Y5425" i="2"/>
  <c r="AC5447" i="2"/>
  <c r="AB5447" i="2"/>
  <c r="AK5447" i="2" s="1"/>
  <c r="Y5447" i="2"/>
  <c r="AC5667" i="2"/>
  <c r="AB5667" i="2"/>
  <c r="AK5667" i="2" s="1"/>
  <c r="Y5667" i="2"/>
  <c r="AC5374" i="2"/>
  <c r="AB5374" i="2"/>
  <c r="AK5374" i="2" s="1"/>
  <c r="Y5374" i="2"/>
  <c r="AB5542" i="2"/>
  <c r="AK5542" i="2" s="1"/>
  <c r="Y5542" i="2"/>
  <c r="Y5563" i="2"/>
  <c r="AB5568" i="2"/>
  <c r="AK5568" i="2" s="1"/>
  <c r="AB5381" i="2"/>
  <c r="AK5381" i="2" s="1"/>
  <c r="Y5381" i="2"/>
  <c r="AC5389" i="2"/>
  <c r="AF5401" i="2"/>
  <c r="AB5407" i="2"/>
  <c r="AK5407" i="2" s="1"/>
  <c r="Y5407" i="2"/>
  <c r="AC5411" i="2"/>
  <c r="AB5411" i="2"/>
  <c r="AK5411" i="2" s="1"/>
  <c r="AC5426" i="2"/>
  <c r="AB5426" i="2"/>
  <c r="AK5426" i="2" s="1"/>
  <c r="Y5426" i="2"/>
  <c r="AB5433" i="2"/>
  <c r="AK5433" i="2" s="1"/>
  <c r="Y5433" i="2"/>
  <c r="AB5440" i="2"/>
  <c r="AK5440" i="2" s="1"/>
  <c r="AB5444" i="2"/>
  <c r="AK5444" i="2" s="1"/>
  <c r="Y5444" i="2"/>
  <c r="AB5456" i="2"/>
  <c r="AK5456" i="2" s="1"/>
  <c r="AB5460" i="2"/>
  <c r="AK5460" i="2" s="1"/>
  <c r="Y5460" i="2"/>
  <c r="AB5472" i="2"/>
  <c r="AK5472" i="2" s="1"/>
  <c r="Y5476" i="2"/>
  <c r="AB5480" i="2"/>
  <c r="AK5480" i="2" s="1"/>
  <c r="AB5484" i="2"/>
  <c r="AK5484" i="2" s="1"/>
  <c r="Y5484" i="2"/>
  <c r="AB5496" i="2"/>
  <c r="AK5496" i="2" s="1"/>
  <c r="AB5500" i="2"/>
  <c r="AK5500" i="2" s="1"/>
  <c r="Y5500" i="2"/>
  <c r="Y5529" i="2"/>
  <c r="AC5546" i="2"/>
  <c r="AB5546" i="2"/>
  <c r="AK5546" i="2" s="1"/>
  <c r="Y5546" i="2"/>
  <c r="AB5550" i="2"/>
  <c r="AK5550" i="2" s="1"/>
  <c r="Y5550" i="2"/>
  <c r="AB5571" i="2"/>
  <c r="AK5571" i="2" s="1"/>
  <c r="Y5571" i="2"/>
  <c r="AC5572" i="2"/>
  <c r="AC5612" i="2"/>
  <c r="AC5620" i="2"/>
  <c r="AC5628" i="2"/>
  <c r="AC5636" i="2"/>
  <c r="AC5644" i="2"/>
  <c r="AC5648" i="2"/>
  <c r="AB5648" i="2"/>
  <c r="AK5648" i="2" s="1"/>
  <c r="Y5648" i="2"/>
  <c r="AB5373" i="2"/>
  <c r="AK5373" i="2" s="1"/>
  <c r="Y5373" i="2"/>
  <c r="AC5377" i="2"/>
  <c r="AB5380" i="2"/>
  <c r="AK5380" i="2" s="1"/>
  <c r="Y5380" i="2"/>
  <c r="AF5385" i="2"/>
  <c r="AC5388" i="2"/>
  <c r="AF5393" i="2"/>
  <c r="AB5399" i="2"/>
  <c r="AK5399" i="2" s="1"/>
  <c r="Y5399" i="2"/>
  <c r="AF5400" i="2"/>
  <c r="AC5403" i="2"/>
  <c r="AB5403" i="2"/>
  <c r="AK5403" i="2" s="1"/>
  <c r="AC5407" i="2"/>
  <c r="AB5418" i="2"/>
  <c r="AK5418" i="2" s="1"/>
  <c r="Y5418" i="2"/>
  <c r="AC5422" i="2"/>
  <c r="AB5422" i="2"/>
  <c r="AK5422" i="2" s="1"/>
  <c r="Y5422" i="2"/>
  <c r="AF5426" i="2"/>
  <c r="AB5429" i="2"/>
  <c r="AK5429" i="2" s="1"/>
  <c r="Y5429" i="2"/>
  <c r="AC5433" i="2"/>
  <c r="AB5436" i="2"/>
  <c r="AK5436" i="2" s="1"/>
  <c r="Y5436" i="2"/>
  <c r="AC5440" i="2"/>
  <c r="AB5443" i="2"/>
  <c r="AK5443" i="2" s="1"/>
  <c r="Y5443" i="2"/>
  <c r="AC5444" i="2"/>
  <c r="AC5448" i="2"/>
  <c r="AB5451" i="2"/>
  <c r="AK5451" i="2" s="1"/>
  <c r="Y5451" i="2"/>
  <c r="AC5452" i="2"/>
  <c r="AC5456" i="2"/>
  <c r="AB5459" i="2"/>
  <c r="AK5459" i="2" s="1"/>
  <c r="Y5459" i="2"/>
  <c r="AC5460" i="2"/>
  <c r="AC5464" i="2"/>
  <c r="AB5467" i="2"/>
  <c r="AK5467" i="2" s="1"/>
  <c r="Y5467" i="2"/>
  <c r="AC5468" i="2"/>
  <c r="AC5472" i="2"/>
  <c r="AB5475" i="2"/>
  <c r="AK5475" i="2" s="1"/>
  <c r="Y5475" i="2"/>
  <c r="AC5476" i="2"/>
  <c r="AC5480" i="2"/>
  <c r="AB5483" i="2"/>
  <c r="AK5483" i="2" s="1"/>
  <c r="Y5483" i="2"/>
  <c r="AC5484" i="2"/>
  <c r="AC5488" i="2"/>
  <c r="AB5491" i="2"/>
  <c r="AK5491" i="2" s="1"/>
  <c r="Y5491" i="2"/>
  <c r="AC5492" i="2"/>
  <c r="AC5496" i="2"/>
  <c r="AB5499" i="2"/>
  <c r="AK5499" i="2" s="1"/>
  <c r="Y5499" i="2"/>
  <c r="AC5500" i="2"/>
  <c r="AC5504" i="2"/>
  <c r="AB5507" i="2"/>
  <c r="AK5507" i="2" s="1"/>
  <c r="Y5507" i="2"/>
  <c r="AC5508" i="2"/>
  <c r="AC5512" i="2"/>
  <c r="AB5515" i="2"/>
  <c r="AK5515" i="2" s="1"/>
  <c r="Y5515" i="2"/>
  <c r="AC5516" i="2"/>
  <c r="AB5520" i="2"/>
  <c r="AK5520" i="2" s="1"/>
  <c r="AF5521" i="2"/>
  <c r="AB5524" i="2"/>
  <c r="AK5524" i="2" s="1"/>
  <c r="Y5524" i="2"/>
  <c r="AF5525" i="2"/>
  <c r="AC5529" i="2"/>
  <c r="AB5537" i="2"/>
  <c r="AK5537" i="2" s="1"/>
  <c r="Y5537" i="2"/>
  <c r="AF5546" i="2"/>
  <c r="AC5550" i="2"/>
  <c r="AC5554" i="2"/>
  <c r="AB5554" i="2"/>
  <c r="AK5554" i="2" s="1"/>
  <c r="AB5558" i="2"/>
  <c r="AK5558" i="2" s="1"/>
  <c r="Y5558" i="2"/>
  <c r="AC5567" i="2"/>
  <c r="AB5567" i="2"/>
  <c r="AK5567" i="2" s="1"/>
  <c r="Y5567" i="2"/>
  <c r="AC5571" i="2"/>
  <c r="AF5572" i="2"/>
  <c r="AC5576" i="2"/>
  <c r="AB5579" i="2"/>
  <c r="AK5579" i="2" s="1"/>
  <c r="Y5579" i="2"/>
  <c r="AC5580" i="2"/>
  <c r="AC5587" i="2"/>
  <c r="Y5587" i="2"/>
  <c r="AB5591" i="2"/>
  <c r="AK5591" i="2" s="1"/>
  <c r="Y5591" i="2"/>
  <c r="AC5595" i="2"/>
  <c r="Y5595" i="2"/>
  <c r="Y5599" i="2"/>
  <c r="AC5603" i="2"/>
  <c r="AB5603" i="2"/>
  <c r="AK5603" i="2" s="1"/>
  <c r="Y5603" i="2"/>
  <c r="AB5607" i="2"/>
  <c r="AK5607" i="2" s="1"/>
  <c r="Y5607" i="2"/>
  <c r="AB5611" i="2"/>
  <c r="AK5611" i="2" s="1"/>
  <c r="Y5611" i="2"/>
  <c r="Y5771" i="2"/>
  <c r="AB5774" i="2"/>
  <c r="AK5774" i="2" s="1"/>
  <c r="Y5774" i="2"/>
  <c r="AC5775" i="2"/>
  <c r="AB5779" i="2"/>
  <c r="AK5779" i="2" s="1"/>
  <c r="Y5779" i="2"/>
  <c r="AB5783" i="2"/>
  <c r="AK5783" i="2" s="1"/>
  <c r="Y5783" i="2"/>
  <c r="AF5784" i="2"/>
  <c r="AC5788" i="2"/>
  <c r="AC5795" i="2"/>
  <c r="AB5803" i="2"/>
  <c r="AK5803" i="2" s="1"/>
  <c r="Y5803" i="2"/>
  <c r="AB5808" i="2"/>
  <c r="AK5808" i="2" s="1"/>
  <c r="AB5812" i="2"/>
  <c r="AK5812" i="2" s="1"/>
  <c r="Y5812" i="2"/>
  <c r="AC5817" i="2"/>
  <c r="AB5817" i="2"/>
  <c r="AK5817" i="2" s="1"/>
  <c r="Y5817" i="2"/>
  <c r="AC5826" i="2"/>
  <c r="AC5831" i="2"/>
  <c r="AB5835" i="2"/>
  <c r="AK5835" i="2" s="1"/>
  <c r="Y5835" i="2"/>
  <c r="AF5836" i="2"/>
  <c r="AB5840" i="2"/>
  <c r="AK5840" i="2" s="1"/>
  <c r="AB5844" i="2"/>
  <c r="AK5844" i="2" s="1"/>
  <c r="Y5844" i="2"/>
  <c r="AC5849" i="2"/>
  <c r="AB5849" i="2"/>
  <c r="AK5849" i="2" s="1"/>
  <c r="Y5849" i="2"/>
  <c r="AC5858" i="2"/>
  <c r="AA5863" i="2"/>
  <c r="AB5863" i="2" s="1"/>
  <c r="AK5863" i="2" s="1"/>
  <c r="AC5867" i="2"/>
  <c r="AF5868" i="2"/>
  <c r="AC5871" i="2"/>
  <c r="AB5871" i="2"/>
  <c r="AK5871" i="2" s="1"/>
  <c r="Y5871" i="2"/>
  <c r="AC5875" i="2"/>
  <c r="AF5876" i="2"/>
  <c r="AC5878" i="2"/>
  <c r="AB5878" i="2"/>
  <c r="AK5878" i="2" s="1"/>
  <c r="Y5878" i="2"/>
  <c r="AF5883" i="2"/>
  <c r="AC5886" i="2"/>
  <c r="AB5886" i="2"/>
  <c r="AK5886" i="2" s="1"/>
  <c r="Y5886" i="2"/>
  <c r="AF5891" i="2"/>
  <c r="AC5894" i="2"/>
  <c r="AB5894" i="2"/>
  <c r="AK5894" i="2" s="1"/>
  <c r="Y5894" i="2"/>
  <c r="AF5899" i="2"/>
  <c r="AC5902" i="2"/>
  <c r="AB5902" i="2"/>
  <c r="AK5902" i="2" s="1"/>
  <c r="Y5902" i="2"/>
  <c r="AF5907" i="2"/>
  <c r="AC5910" i="2"/>
  <c r="Y5910" i="2"/>
  <c r="AF5915" i="2"/>
  <c r="AC5918" i="2"/>
  <c r="AB5918" i="2"/>
  <c r="AK5918" i="2" s="1"/>
  <c r="Y5918" i="2"/>
  <c r="AF5923" i="2"/>
  <c r="AC5926" i="2"/>
  <c r="AB5926" i="2"/>
  <c r="AK5926" i="2" s="1"/>
  <c r="Y5926" i="2"/>
  <c r="AF5931" i="2"/>
  <c r="AC5934" i="2"/>
  <c r="AB5934" i="2"/>
  <c r="AK5934" i="2" s="1"/>
  <c r="Y5934" i="2"/>
  <c r="AF5939" i="2"/>
  <c r="AC5942" i="2"/>
  <c r="AB5942" i="2"/>
  <c r="AK5942" i="2" s="1"/>
  <c r="Y5942" i="2"/>
  <c r="AF5947" i="2"/>
  <c r="AC5950" i="2"/>
  <c r="AB5950" i="2"/>
  <c r="AK5950" i="2" s="1"/>
  <c r="Y5950" i="2"/>
  <c r="AF5955" i="2"/>
  <c r="AC5958" i="2"/>
  <c r="AB5958" i="2"/>
  <c r="AK5958" i="2" s="1"/>
  <c r="Y5958" i="2"/>
  <c r="AF5971" i="2"/>
  <c r="AC5979" i="2"/>
  <c r="AB5979" i="2"/>
  <c r="AK5979" i="2" s="1"/>
  <c r="Y5979" i="2"/>
  <c r="AC5987" i="2"/>
  <c r="AB5987" i="2"/>
  <c r="AK5987" i="2" s="1"/>
  <c r="Y5987" i="2"/>
  <c r="AC6003" i="2"/>
  <c r="AB6003" i="2"/>
  <c r="AK6003" i="2" s="1"/>
  <c r="Y6003" i="2"/>
  <c r="Y6007" i="2"/>
  <c r="AF6017" i="2"/>
  <c r="AB6020" i="2"/>
  <c r="AK6020" i="2" s="1"/>
  <c r="Y6020" i="2"/>
  <c r="AB6024" i="2"/>
  <c r="AK6024" i="2" s="1"/>
  <c r="Y6024" i="2"/>
  <c r="AB6029" i="2"/>
  <c r="AK6029" i="2" s="1"/>
  <c r="Y6029" i="2"/>
  <c r="AB6033" i="2"/>
  <c r="AK6033" i="2" s="1"/>
  <c r="Y6033" i="2"/>
  <c r="AF6038" i="2"/>
  <c r="AB6045" i="2"/>
  <c r="AK6045" i="2" s="1"/>
  <c r="Y6045" i="2"/>
  <c r="Y6053" i="2"/>
  <c r="AB6054" i="2"/>
  <c r="AK6054" i="2" s="1"/>
  <c r="Y6054" i="2"/>
  <c r="AB6058" i="2"/>
  <c r="AK6058" i="2" s="1"/>
  <c r="Y6058" i="2"/>
  <c r="AB6066" i="2"/>
  <c r="AK6066" i="2" s="1"/>
  <c r="Y6066" i="2"/>
  <c r="AB6083" i="2"/>
  <c r="AK6083" i="2" s="1"/>
  <c r="Y6083" i="2"/>
  <c r="AB6086" i="2"/>
  <c r="AK6086" i="2" s="1"/>
  <c r="Y6086" i="2"/>
  <c r="AC6096" i="2"/>
  <c r="AB6096" i="2"/>
  <c r="AK6096" i="2" s="1"/>
  <c r="Y6096" i="2"/>
  <c r="AB6099" i="2"/>
  <c r="AK6099" i="2" s="1"/>
  <c r="Y6099" i="2"/>
  <c r="AC6108" i="2"/>
  <c r="AB6108" i="2"/>
  <c r="AK6108" i="2" s="1"/>
  <c r="Y6108" i="2"/>
  <c r="AC6116" i="2"/>
  <c r="AB6116" i="2"/>
  <c r="AK6116" i="2" s="1"/>
  <c r="Y6116" i="2"/>
  <c r="AC6124" i="2"/>
  <c r="AB6124" i="2"/>
  <c r="AK6124" i="2" s="1"/>
  <c r="Y6124" i="2"/>
  <c r="AC6132" i="2"/>
  <c r="AB6132" i="2"/>
  <c r="AK6132" i="2" s="1"/>
  <c r="Y6132" i="2"/>
  <c r="AC6140" i="2"/>
  <c r="AB6140" i="2"/>
  <c r="AK6140" i="2" s="1"/>
  <c r="Y6140" i="2"/>
  <c r="AC6148" i="2"/>
  <c r="AB6148" i="2"/>
  <c r="AK6148" i="2" s="1"/>
  <c r="Y6148" i="2"/>
  <c r="AC6156" i="2"/>
  <c r="AB6156" i="2"/>
  <c r="AK6156" i="2" s="1"/>
  <c r="Y6156" i="2"/>
  <c r="AC6164" i="2"/>
  <c r="AB6164" i="2"/>
  <c r="AK6164" i="2" s="1"/>
  <c r="Y6164" i="2"/>
  <c r="AB6173" i="2"/>
  <c r="AK6173" i="2" s="1"/>
  <c r="Y6173" i="2"/>
  <c r="AC6183" i="2"/>
  <c r="AB6183" i="2"/>
  <c r="AK6183" i="2" s="1"/>
  <c r="Y6183" i="2"/>
  <c r="AC6191" i="2"/>
  <c r="AB6191" i="2"/>
  <c r="AK6191" i="2" s="1"/>
  <c r="Y6191" i="2"/>
  <c r="AC6199" i="2"/>
  <c r="AB6199" i="2"/>
  <c r="AK6199" i="2" s="1"/>
  <c r="Y6199" i="2"/>
  <c r="AC6207" i="2"/>
  <c r="AB6207" i="2"/>
  <c r="AK6207" i="2" s="1"/>
  <c r="Y6207" i="2"/>
  <c r="AB6210" i="2"/>
  <c r="AK6210" i="2" s="1"/>
  <c r="Y6210" i="2"/>
  <c r="AB6214" i="2"/>
  <c r="AK6214" i="2" s="1"/>
  <c r="Y6214" i="2"/>
  <c r="AB6218" i="2"/>
  <c r="AK6218" i="2" s="1"/>
  <c r="Y6218" i="2"/>
  <c r="AC6333" i="2"/>
  <c r="AB6333" i="2"/>
  <c r="AK6333" i="2" s="1"/>
  <c r="Y6333" i="2"/>
  <c r="AB6335" i="2"/>
  <c r="AK6335" i="2" s="1"/>
  <c r="Y6335" i="2"/>
  <c r="AC6366" i="2"/>
  <c r="AB6366" i="2"/>
  <c r="AK6366" i="2" s="1"/>
  <c r="Y6366" i="2"/>
  <c r="AC6376" i="2"/>
  <c r="AB6376" i="2"/>
  <c r="AK6376" i="2" s="1"/>
  <c r="Y6376" i="2"/>
  <c r="AB6384" i="2"/>
  <c r="AK6384" i="2" s="1"/>
  <c r="Y6384" i="2"/>
  <c r="AB6392" i="2"/>
  <c r="AK6392" i="2" s="1"/>
  <c r="Y6392" i="2"/>
  <c r="AB6408" i="2"/>
  <c r="AK6408" i="2" s="1"/>
  <c r="Y6408" i="2"/>
  <c r="AB6416" i="2"/>
  <c r="AK6416" i="2" s="1"/>
  <c r="AB6419" i="2"/>
  <c r="AK6419" i="2" s="1"/>
  <c r="Y6419" i="2"/>
  <c r="AB6427" i="2"/>
  <c r="AK6427" i="2" s="1"/>
  <c r="Y6427" i="2"/>
  <c r="AB6435" i="2"/>
  <c r="AK6435" i="2" s="1"/>
  <c r="Y6435" i="2"/>
  <c r="AB6443" i="2"/>
  <c r="AK6443" i="2" s="1"/>
  <c r="Y6443" i="2"/>
  <c r="AB6451" i="2"/>
  <c r="AK6451" i="2" s="1"/>
  <c r="Y6451" i="2"/>
  <c r="AB6482" i="2"/>
  <c r="AK6482" i="2" s="1"/>
  <c r="Y6482" i="2"/>
  <c r="AB6490" i="2"/>
  <c r="AK6490" i="2" s="1"/>
  <c r="Y6490" i="2"/>
  <c r="AB6494" i="2"/>
  <c r="AK6494" i="2" s="1"/>
  <c r="Y6494" i="2"/>
  <c r="AB6498" i="2"/>
  <c r="AK6498" i="2" s="1"/>
  <c r="Y6498" i="2"/>
  <c r="AB6502" i="2"/>
  <c r="AK6502" i="2" s="1"/>
  <c r="Y6502" i="2"/>
  <c r="AB6506" i="2"/>
  <c r="AK6506" i="2" s="1"/>
  <c r="Y6506" i="2"/>
  <c r="AB6510" i="2"/>
  <c r="AK6510" i="2" s="1"/>
  <c r="Y6510" i="2"/>
  <c r="AC6518" i="2"/>
  <c r="AB6518" i="2"/>
  <c r="AK6518" i="2" s="1"/>
  <c r="Y6518" i="2"/>
  <c r="AC6526" i="2"/>
  <c r="AB6526" i="2"/>
  <c r="AK6526" i="2" s="1"/>
  <c r="Y6526" i="2"/>
  <c r="AC6534" i="2"/>
  <c r="AB6534" i="2"/>
  <c r="AK6534" i="2" s="1"/>
  <c r="Y6534" i="2"/>
  <c r="AC6542" i="2"/>
  <c r="AB6542" i="2"/>
  <c r="AK6542" i="2" s="1"/>
  <c r="Y6542" i="2"/>
  <c r="AC6550" i="2"/>
  <c r="AB6550" i="2"/>
  <c r="AK6550" i="2" s="1"/>
  <c r="Y6550" i="2"/>
  <c r="AC6558" i="2"/>
  <c r="AB6558" i="2"/>
  <c r="AK6558" i="2" s="1"/>
  <c r="Y6558" i="2"/>
  <c r="AC6566" i="2"/>
  <c r="AB6566" i="2"/>
  <c r="AK6566" i="2" s="1"/>
  <c r="Y6566" i="2"/>
  <c r="AC6574" i="2"/>
  <c r="AB6574" i="2"/>
  <c r="AK6574" i="2" s="1"/>
  <c r="Y6574" i="2"/>
  <c r="AC6582" i="2"/>
  <c r="AB6582" i="2"/>
  <c r="AK6582" i="2" s="1"/>
  <c r="Y6582" i="2"/>
  <c r="AB6585" i="2"/>
  <c r="AK6585" i="2" s="1"/>
  <c r="Y6585" i="2"/>
  <c r="AB6589" i="2"/>
  <c r="AK6589" i="2" s="1"/>
  <c r="Y6589" i="2"/>
  <c r="AB6593" i="2"/>
  <c r="AK6593" i="2" s="1"/>
  <c r="AB6597" i="2"/>
  <c r="AK6597" i="2" s="1"/>
  <c r="Y6597" i="2"/>
  <c r="AB6601" i="2"/>
  <c r="AK6601" i="2" s="1"/>
  <c r="Y6601" i="2"/>
  <c r="AB6605" i="2"/>
  <c r="AK6605" i="2" s="1"/>
  <c r="Y6605" i="2"/>
  <c r="AB6609" i="2"/>
  <c r="AK6609" i="2" s="1"/>
  <c r="AB6613" i="2"/>
  <c r="AK6613" i="2" s="1"/>
  <c r="Y6613" i="2"/>
  <c r="AB6621" i="2"/>
  <c r="AK6621" i="2" s="1"/>
  <c r="Y6621" i="2"/>
  <c r="AB6629" i="2"/>
  <c r="AK6629" i="2" s="1"/>
  <c r="Y6629" i="2"/>
  <c r="AB6634" i="2"/>
  <c r="AK6634" i="2" s="1"/>
  <c r="Y6634" i="2"/>
  <c r="AB6638" i="2"/>
  <c r="AK6638" i="2" s="1"/>
  <c r="Y6638" i="2"/>
  <c r="AB6642" i="2"/>
  <c r="AK6642" i="2" s="1"/>
  <c r="Y6642" i="2"/>
  <c r="AB6655" i="2"/>
  <c r="AK6655" i="2" s="1"/>
  <c r="Y6655" i="2"/>
  <c r="AC6678" i="2"/>
  <c r="AB6678" i="2"/>
  <c r="AK6678" i="2" s="1"/>
  <c r="Y6678" i="2"/>
  <c r="AC6686" i="2"/>
  <c r="AB6686" i="2"/>
  <c r="AK6686" i="2" s="1"/>
  <c r="Y6686" i="2"/>
  <c r="AC6694" i="2"/>
  <c r="AB6694" i="2"/>
  <c r="AK6694" i="2" s="1"/>
  <c r="Y6694" i="2"/>
  <c r="AC6702" i="2"/>
  <c r="AB6702" i="2"/>
  <c r="AK6702" i="2" s="1"/>
  <c r="Y6702" i="2"/>
  <c r="AC6710" i="2"/>
  <c r="AB6710" i="2"/>
  <c r="AK6710" i="2" s="1"/>
  <c r="Y6710" i="2"/>
  <c r="AC6718" i="2"/>
  <c r="AB6718" i="2"/>
  <c r="AK6718" i="2" s="1"/>
  <c r="Y6718" i="2"/>
  <c r="AC6726" i="2"/>
  <c r="AB6726" i="2"/>
  <c r="AK6726" i="2" s="1"/>
  <c r="Y6726" i="2"/>
  <c r="AC6734" i="2"/>
  <c r="AB6734" i="2"/>
  <c r="AK6734" i="2" s="1"/>
  <c r="Y6734" i="2"/>
  <c r="AB6746" i="2"/>
  <c r="AK6746" i="2" s="1"/>
  <c r="Y6746" i="2"/>
  <c r="Y6750" i="2"/>
  <c r="Y6751" i="2"/>
  <c r="Y6752" i="2"/>
  <c r="Y6753" i="2"/>
  <c r="AB6754" i="2"/>
  <c r="AK6754" i="2" s="1"/>
  <c r="Y6754" i="2"/>
  <c r="AB6770" i="2"/>
  <c r="AK6770" i="2" s="1"/>
  <c r="Y6770" i="2"/>
  <c r="AC6774" i="2"/>
  <c r="Y6774" i="2"/>
  <c r="AA6781" i="2"/>
  <c r="AB6781" i="2" s="1"/>
  <c r="AK6781" i="2" s="1"/>
  <c r="Y6781" i="2"/>
  <c r="AB6795" i="2"/>
  <c r="AK6795" i="2" s="1"/>
  <c r="Y6795" i="2"/>
  <c r="AC6806" i="2"/>
  <c r="AB6806" i="2"/>
  <c r="AK6806" i="2" s="1"/>
  <c r="Y6806" i="2"/>
  <c r="AB6816" i="2"/>
  <c r="AK6816" i="2" s="1"/>
  <c r="Y6816" i="2"/>
  <c r="AB6823" i="2"/>
  <c r="AK6823" i="2" s="1"/>
  <c r="Y6823" i="2"/>
  <c r="AC6830" i="2"/>
  <c r="Y6830" i="2"/>
  <c r="AC6833" i="2"/>
  <c r="AB6833" i="2"/>
  <c r="AK6833" i="2" s="1"/>
  <c r="Y6833" i="2"/>
  <c r="AB6844" i="2"/>
  <c r="AK6844" i="2" s="1"/>
  <c r="Y6844" i="2"/>
  <c r="AC6858" i="2"/>
  <c r="AB6858" i="2"/>
  <c r="AK6858" i="2" s="1"/>
  <c r="Y6858" i="2"/>
  <c r="AC6860" i="2"/>
  <c r="AB6860" i="2"/>
  <c r="AK6860" i="2" s="1"/>
  <c r="Y6860" i="2"/>
  <c r="AB6862" i="2"/>
  <c r="AK6862" i="2" s="1"/>
  <c r="Y6862" i="2"/>
  <c r="AB6882" i="2"/>
  <c r="AK6882" i="2" s="1"/>
  <c r="Y6882" i="2"/>
  <c r="Y6892" i="2"/>
  <c r="AC6896" i="2"/>
  <c r="AB6896" i="2"/>
  <c r="AK6896" i="2" s="1"/>
  <c r="Y6896" i="2"/>
  <c r="AC6903" i="2"/>
  <c r="AB6903" i="2"/>
  <c r="AK6903" i="2" s="1"/>
  <c r="Y6903" i="2"/>
  <c r="AB6906" i="2"/>
  <c r="AK6906" i="2" s="1"/>
  <c r="Y6906" i="2"/>
  <c r="AB6916" i="2"/>
  <c r="AK6916" i="2" s="1"/>
  <c r="Y6916" i="2"/>
  <c r="AB6933" i="2"/>
  <c r="AK6933" i="2" s="1"/>
  <c r="Y6933" i="2"/>
  <c r="AB6936" i="2"/>
  <c r="AK6936" i="2" s="1"/>
  <c r="Y6936" i="2"/>
  <c r="AC6940" i="2"/>
  <c r="AB6940" i="2"/>
  <c r="AK6940" i="2" s="1"/>
  <c r="Y6940" i="2"/>
  <c r="AC6943" i="2"/>
  <c r="AB6943" i="2"/>
  <c r="AK6943" i="2" s="1"/>
  <c r="Y6943" i="2"/>
  <c r="AB6965" i="2"/>
  <c r="AK6965" i="2" s="1"/>
  <c r="Y6965" i="2"/>
  <c r="AB6968" i="2"/>
  <c r="AK6968" i="2" s="1"/>
  <c r="Y6968" i="2"/>
  <c r="AB6971" i="2"/>
  <c r="AK6971" i="2" s="1"/>
  <c r="Y6971" i="2"/>
  <c r="AB6987" i="2"/>
  <c r="AK6987" i="2" s="1"/>
  <c r="Y6987" i="2"/>
  <c r="AB6997" i="2"/>
  <c r="AK6997" i="2" s="1"/>
  <c r="Y6997" i="2"/>
  <c r="AC6997" i="2"/>
  <c r="AB7002" i="2"/>
  <c r="AK7002" i="2" s="1"/>
  <c r="Y7002" i="2"/>
  <c r="AC7002" i="2"/>
  <c r="AB7024" i="2"/>
  <c r="AK7024" i="2" s="1"/>
  <c r="Y7024" i="2"/>
  <c r="AB7034" i="2"/>
  <c r="AK7034" i="2" s="1"/>
  <c r="Y7034" i="2"/>
  <c r="AF7035" i="2"/>
  <c r="AB7040" i="2"/>
  <c r="AK7040" i="2" s="1"/>
  <c r="Y7040" i="2"/>
  <c r="AC7040" i="2"/>
  <c r="AF7059" i="2"/>
  <c r="AC7065" i="2"/>
  <c r="AB7065" i="2"/>
  <c r="AK7065" i="2" s="1"/>
  <c r="Y7065" i="2"/>
  <c r="AB7068" i="2"/>
  <c r="AK7068" i="2" s="1"/>
  <c r="Y7068" i="2"/>
  <c r="AB7071" i="2"/>
  <c r="AK7071" i="2" s="1"/>
  <c r="Y7071" i="2"/>
  <c r="AB7087" i="2"/>
  <c r="AK7087" i="2" s="1"/>
  <c r="Y7087" i="2"/>
  <c r="AC7087" i="2"/>
  <c r="AC7105" i="2"/>
  <c r="Y7105" i="2"/>
  <c r="AC7111" i="2"/>
  <c r="AB7111" i="2"/>
  <c r="AK7111" i="2" s="1"/>
  <c r="Y7111" i="2"/>
  <c r="AB7135" i="2"/>
  <c r="AK7135" i="2" s="1"/>
  <c r="Y7135" i="2"/>
  <c r="AC7135" i="2"/>
  <c r="AF7154" i="2"/>
  <c r="AB7168" i="2"/>
  <c r="AK7168" i="2" s="1"/>
  <c r="Y7168" i="2"/>
  <c r="AC7168" i="2"/>
  <c r="AC7174" i="2"/>
  <c r="AB7174" i="2"/>
  <c r="AK7174" i="2" s="1"/>
  <c r="Y7174" i="2"/>
  <c r="AC7347" i="2"/>
  <c r="AB7347" i="2"/>
  <c r="AK7347" i="2" s="1"/>
  <c r="Y7347" i="2"/>
  <c r="Y7380" i="2"/>
  <c r="AC7380" i="2"/>
  <c r="AB7410" i="2"/>
  <c r="AK7410" i="2" s="1"/>
  <c r="Y7410" i="2"/>
  <c r="AC7410" i="2"/>
  <c r="AB7425" i="2"/>
  <c r="AK7425" i="2" s="1"/>
  <c r="Y7425" i="2"/>
  <c r="AC7425" i="2"/>
  <c r="AB7468" i="2"/>
  <c r="AK7468" i="2" s="1"/>
  <c r="Y7468" i="2"/>
  <c r="AC7468" i="2"/>
  <c r="AC7546" i="2"/>
  <c r="AB7546" i="2"/>
  <c r="AK7546" i="2" s="1"/>
  <c r="Y7546" i="2"/>
  <c r="Y7607" i="2"/>
  <c r="AB7694" i="2"/>
  <c r="AK7694" i="2" s="1"/>
  <c r="Y7694" i="2"/>
  <c r="AC7694" i="2"/>
  <c r="Y7703" i="2"/>
  <c r="AC5463" i="2"/>
  <c r="AB5463" i="2"/>
  <c r="AK5463" i="2" s="1"/>
  <c r="Y5463" i="2"/>
  <c r="AC5511" i="2"/>
  <c r="AB5511" i="2"/>
  <c r="AK5511" i="2" s="1"/>
  <c r="Y5511" i="2"/>
  <c r="AC5635" i="2"/>
  <c r="AB5635" i="2"/>
  <c r="AK5635" i="2" s="1"/>
  <c r="Y5635" i="2"/>
  <c r="AB5671" i="2"/>
  <c r="AK5671" i="2" s="1"/>
  <c r="AC5675" i="2"/>
  <c r="AB5675" i="2"/>
  <c r="AK5675" i="2" s="1"/>
  <c r="Y5675" i="2"/>
  <c r="AB5679" i="2"/>
  <c r="AK5679" i="2" s="1"/>
  <c r="Y5679" i="2"/>
  <c r="AC5683" i="2"/>
  <c r="AB5683" i="2"/>
  <c r="AK5683" i="2" s="1"/>
  <c r="Y5683" i="2"/>
  <c r="AB5687" i="2"/>
  <c r="AK5687" i="2" s="1"/>
  <c r="Y5687" i="2"/>
  <c r="AC5691" i="2"/>
  <c r="AB5691" i="2"/>
  <c r="AK5691" i="2" s="1"/>
  <c r="Y5691" i="2"/>
  <c r="AB5695" i="2"/>
  <c r="AK5695" i="2" s="1"/>
  <c r="Y5695" i="2"/>
  <c r="AC5699" i="2"/>
  <c r="AB5699" i="2"/>
  <c r="AK5699" i="2" s="1"/>
  <c r="Y5699" i="2"/>
  <c r="AB5703" i="2"/>
  <c r="AK5703" i="2" s="1"/>
  <c r="Y5703" i="2"/>
  <c r="AC5707" i="2"/>
  <c r="AB5707" i="2"/>
  <c r="AK5707" i="2" s="1"/>
  <c r="Y5707" i="2"/>
  <c r="Y5711" i="2"/>
  <c r="AC5715" i="2"/>
  <c r="Y5715" i="2"/>
  <c r="AB5719" i="2"/>
  <c r="AK5719" i="2" s="1"/>
  <c r="Y5719" i="2"/>
  <c r="AC5723" i="2"/>
  <c r="AB5723" i="2"/>
  <c r="AK5723" i="2" s="1"/>
  <c r="Y5723" i="2"/>
  <c r="AB5727" i="2"/>
  <c r="AK5727" i="2" s="1"/>
  <c r="Y5727" i="2"/>
  <c r="AC5731" i="2"/>
  <c r="AB5731" i="2"/>
  <c r="AK5731" i="2" s="1"/>
  <c r="Y5731" i="2"/>
  <c r="AB5735" i="2"/>
  <c r="AK5735" i="2" s="1"/>
  <c r="Y5735" i="2"/>
  <c r="AC5739" i="2"/>
  <c r="AB5739" i="2"/>
  <c r="AK5739" i="2" s="1"/>
  <c r="Y5739" i="2"/>
  <c r="AB5743" i="2"/>
  <c r="AK5743" i="2" s="1"/>
  <c r="Y5743" i="2"/>
  <c r="AC5747" i="2"/>
  <c r="AB5747" i="2"/>
  <c r="AK5747" i="2" s="1"/>
  <c r="Y5747" i="2"/>
  <c r="Y5751" i="2"/>
  <c r="AC5755" i="2"/>
  <c r="AB5755" i="2"/>
  <c r="AK5755" i="2" s="1"/>
  <c r="Y5755" i="2"/>
  <c r="AB5759" i="2"/>
  <c r="AK5759" i="2" s="1"/>
  <c r="Y5759" i="2"/>
  <c r="AC5763" i="2"/>
  <c r="AB5763" i="2"/>
  <c r="AK5763" i="2" s="1"/>
  <c r="Y5763" i="2"/>
  <c r="AB5767" i="2"/>
  <c r="AK5767" i="2" s="1"/>
  <c r="Y5767" i="2"/>
  <c r="AB5782" i="2"/>
  <c r="AK5782" i="2" s="1"/>
  <c r="Y5782" i="2"/>
  <c r="AB5787" i="2"/>
  <c r="AK5787" i="2" s="1"/>
  <c r="Y5787" i="2"/>
  <c r="AB5791" i="2"/>
  <c r="AK5791" i="2" s="1"/>
  <c r="Y5791" i="2"/>
  <c r="AC5799" i="2"/>
  <c r="AB5799" i="2"/>
  <c r="AK5799" i="2" s="1"/>
  <c r="Y5799" i="2"/>
  <c r="AB5802" i="2"/>
  <c r="AK5802" i="2" s="1"/>
  <c r="Y5802" i="2"/>
  <c r="AB5807" i="2"/>
  <c r="AK5807" i="2" s="1"/>
  <c r="Y5807" i="2"/>
  <c r="AF5817" i="2"/>
  <c r="AC5830" i="2"/>
  <c r="AB5830" i="2"/>
  <c r="AK5830" i="2" s="1"/>
  <c r="Y5830" i="2"/>
  <c r="AB5834" i="2"/>
  <c r="AK5834" i="2" s="1"/>
  <c r="Y5834" i="2"/>
  <c r="AB5839" i="2"/>
  <c r="AK5839" i="2" s="1"/>
  <c r="Y5839" i="2"/>
  <c r="AF5849" i="2"/>
  <c r="AC5862" i="2"/>
  <c r="AB5862" i="2"/>
  <c r="AK5862" i="2" s="1"/>
  <c r="Y5862" i="2"/>
  <c r="AB5870" i="2"/>
  <c r="AK5870" i="2" s="1"/>
  <c r="Y5870" i="2"/>
  <c r="AB5885" i="2"/>
  <c r="AK5885" i="2" s="1"/>
  <c r="AB5893" i="2"/>
  <c r="AK5893" i="2" s="1"/>
  <c r="AB5901" i="2"/>
  <c r="AK5901" i="2" s="1"/>
  <c r="AB5909" i="2"/>
  <c r="AK5909" i="2" s="1"/>
  <c r="AB5917" i="2"/>
  <c r="AK5917" i="2" s="1"/>
  <c r="AB5925" i="2"/>
  <c r="AK5925" i="2" s="1"/>
  <c r="AB5933" i="2"/>
  <c r="AK5933" i="2" s="1"/>
  <c r="AB5941" i="2"/>
  <c r="AK5941" i="2" s="1"/>
  <c r="AB5949" i="2"/>
  <c r="AK5949" i="2" s="1"/>
  <c r="AB5957" i="2"/>
  <c r="AK5957" i="2" s="1"/>
  <c r="AB5961" i="2"/>
  <c r="AK5961" i="2" s="1"/>
  <c r="Y5961" i="2"/>
  <c r="AC5966" i="2"/>
  <c r="AB5966" i="2"/>
  <c r="AK5966" i="2" s="1"/>
  <c r="Y5966" i="2"/>
  <c r="AB5994" i="2"/>
  <c r="AK5994" i="2" s="1"/>
  <c r="AC6011" i="2"/>
  <c r="AB6011" i="2"/>
  <c r="AK6011" i="2" s="1"/>
  <c r="Y6011" i="2"/>
  <c r="AF6025" i="2"/>
  <c r="AB6028" i="2"/>
  <c r="AK6028" i="2" s="1"/>
  <c r="Y6028" i="2"/>
  <c r="AB6032" i="2"/>
  <c r="AK6032" i="2" s="1"/>
  <c r="Y6032" i="2"/>
  <c r="AC6036" i="2"/>
  <c r="AB6036" i="2"/>
  <c r="AK6036" i="2" s="1"/>
  <c r="Y6036" i="2"/>
  <c r="AC6040" i="2"/>
  <c r="AB6040" i="2"/>
  <c r="AK6040" i="2" s="1"/>
  <c r="Y6040" i="2"/>
  <c r="AF6049" i="2"/>
  <c r="AB6052" i="2"/>
  <c r="AK6052" i="2" s="1"/>
  <c r="AB6057" i="2"/>
  <c r="AK6057" i="2" s="1"/>
  <c r="Y6057" i="2"/>
  <c r="AB6062" i="2"/>
  <c r="AK6062" i="2" s="1"/>
  <c r="Y6062" i="2"/>
  <c r="AC6070" i="2"/>
  <c r="AB6070" i="2"/>
  <c r="AK6070" i="2" s="1"/>
  <c r="Y6070" i="2"/>
  <c r="AB6074" i="2"/>
  <c r="AK6074" i="2" s="1"/>
  <c r="Y6074" i="2"/>
  <c r="AC6077" i="2"/>
  <c r="AB6077" i="2"/>
  <c r="AK6077" i="2" s="1"/>
  <c r="Y6077" i="2"/>
  <c r="AB6089" i="2"/>
  <c r="AK6089" i="2" s="1"/>
  <c r="Y6089" i="2"/>
  <c r="AB6105" i="2"/>
  <c r="AK6105" i="2" s="1"/>
  <c r="Y6105" i="2"/>
  <c r="AB6113" i="2"/>
  <c r="AK6113" i="2" s="1"/>
  <c r="Y6113" i="2"/>
  <c r="AB6121" i="2"/>
  <c r="AK6121" i="2" s="1"/>
  <c r="Y6121" i="2"/>
  <c r="AB6129" i="2"/>
  <c r="AK6129" i="2" s="1"/>
  <c r="Y6129" i="2"/>
  <c r="AB6137" i="2"/>
  <c r="AK6137" i="2" s="1"/>
  <c r="Y6137" i="2"/>
  <c r="AB6145" i="2"/>
  <c r="AK6145" i="2" s="1"/>
  <c r="Y6145" i="2"/>
  <c r="AB6153" i="2"/>
  <c r="AK6153" i="2" s="1"/>
  <c r="Y6153" i="2"/>
  <c r="AB6161" i="2"/>
  <c r="AK6161" i="2" s="1"/>
  <c r="Y6161" i="2"/>
  <c r="AC6173" i="2"/>
  <c r="AC6175" i="2"/>
  <c r="AB6175" i="2"/>
  <c r="AK6175" i="2" s="1"/>
  <c r="Y6175" i="2"/>
  <c r="AB6180" i="2"/>
  <c r="AK6180" i="2" s="1"/>
  <c r="Y6180" i="2"/>
  <c r="AB6188" i="2"/>
  <c r="AK6188" i="2" s="1"/>
  <c r="Y6188" i="2"/>
  <c r="AB6196" i="2"/>
  <c r="AK6196" i="2" s="1"/>
  <c r="Y6196" i="2"/>
  <c r="AB6204" i="2"/>
  <c r="AK6204" i="2" s="1"/>
  <c r="Y6204" i="2"/>
  <c r="AC6210" i="2"/>
  <c r="AC6214" i="2"/>
  <c r="AC6218" i="2"/>
  <c r="AC6220" i="2"/>
  <c r="AB6220" i="2"/>
  <c r="AK6220" i="2" s="1"/>
  <c r="Y6220" i="2"/>
  <c r="AC6222" i="2"/>
  <c r="AB6222" i="2"/>
  <c r="AK6222" i="2" s="1"/>
  <c r="Y6222" i="2"/>
  <c r="AC6224" i="2"/>
  <c r="AB6224" i="2"/>
  <c r="AK6224" i="2" s="1"/>
  <c r="Y6224" i="2"/>
  <c r="AC6226" i="2"/>
  <c r="AB6226" i="2"/>
  <c r="AK6226" i="2" s="1"/>
  <c r="Y6226" i="2"/>
  <c r="AC6228" i="2"/>
  <c r="AB6228" i="2"/>
  <c r="AK6228" i="2" s="1"/>
  <c r="Y6228" i="2"/>
  <c r="AC6230" i="2"/>
  <c r="AB6230" i="2"/>
  <c r="AK6230" i="2" s="1"/>
  <c r="Y6230" i="2"/>
  <c r="AC6232" i="2"/>
  <c r="AB6232" i="2"/>
  <c r="AK6232" i="2" s="1"/>
  <c r="Y6232" i="2"/>
  <c r="AC6234" i="2"/>
  <c r="AB6234" i="2"/>
  <c r="AK6234" i="2" s="1"/>
  <c r="Y6234" i="2"/>
  <c r="AC6236" i="2"/>
  <c r="AB6236" i="2"/>
  <c r="AK6236" i="2" s="1"/>
  <c r="Y6236" i="2"/>
  <c r="AC6238" i="2"/>
  <c r="AB6238" i="2"/>
  <c r="AK6238" i="2" s="1"/>
  <c r="Y6238" i="2"/>
  <c r="AC6240" i="2"/>
  <c r="AB6240" i="2"/>
  <c r="AK6240" i="2" s="1"/>
  <c r="Y6240" i="2"/>
  <c r="AC6242" i="2"/>
  <c r="AB6242" i="2"/>
  <c r="AK6242" i="2" s="1"/>
  <c r="Y6242" i="2"/>
  <c r="AC6244" i="2"/>
  <c r="AB6244" i="2"/>
  <c r="AK6244" i="2" s="1"/>
  <c r="Y6244" i="2"/>
  <c r="AC6246" i="2"/>
  <c r="AB6246" i="2"/>
  <c r="AK6246" i="2" s="1"/>
  <c r="Y6246" i="2"/>
  <c r="AC6248" i="2"/>
  <c r="AB6248" i="2"/>
  <c r="AK6248" i="2" s="1"/>
  <c r="Y6248" i="2"/>
  <c r="AC6250" i="2"/>
  <c r="AB6250" i="2"/>
  <c r="AK6250" i="2" s="1"/>
  <c r="Y6250" i="2"/>
  <c r="AC6252" i="2"/>
  <c r="AB6252" i="2"/>
  <c r="AK6252" i="2" s="1"/>
  <c r="Y6252" i="2"/>
  <c r="AC6254" i="2"/>
  <c r="AB6254" i="2"/>
  <c r="AK6254" i="2" s="1"/>
  <c r="Y6254" i="2"/>
  <c r="AC6256" i="2"/>
  <c r="AB6256" i="2"/>
  <c r="AK6256" i="2" s="1"/>
  <c r="Y6256" i="2"/>
  <c r="AC6258" i="2"/>
  <c r="AB6258" i="2"/>
  <c r="AK6258" i="2" s="1"/>
  <c r="Y6258" i="2"/>
  <c r="AC6260" i="2"/>
  <c r="AB6260" i="2"/>
  <c r="AK6260" i="2" s="1"/>
  <c r="Y6260" i="2"/>
  <c r="AC6262" i="2"/>
  <c r="AB6262" i="2"/>
  <c r="AK6262" i="2" s="1"/>
  <c r="Y6262" i="2"/>
  <c r="AC6264" i="2"/>
  <c r="AB6264" i="2"/>
  <c r="AK6264" i="2" s="1"/>
  <c r="Y6264" i="2"/>
  <c r="AC6266" i="2"/>
  <c r="AB6266" i="2"/>
  <c r="AK6266" i="2" s="1"/>
  <c r="Y6266" i="2"/>
  <c r="AC6268" i="2"/>
  <c r="AB6268" i="2"/>
  <c r="AK6268" i="2" s="1"/>
  <c r="Y6268" i="2"/>
  <c r="AC6270" i="2"/>
  <c r="AB6270" i="2"/>
  <c r="AK6270" i="2" s="1"/>
  <c r="Y6270" i="2"/>
  <c r="AC6272" i="2"/>
  <c r="AB6272" i="2"/>
  <c r="AK6272" i="2" s="1"/>
  <c r="Y6272" i="2"/>
  <c r="AC6274" i="2"/>
  <c r="AB6274" i="2"/>
  <c r="AK6274" i="2" s="1"/>
  <c r="Y6274" i="2"/>
  <c r="AC6276" i="2"/>
  <c r="AB6276" i="2"/>
  <c r="AK6276" i="2" s="1"/>
  <c r="Y6276" i="2"/>
  <c r="AC6278" i="2"/>
  <c r="AB6278" i="2"/>
  <c r="AK6278" i="2" s="1"/>
  <c r="Y6278" i="2"/>
  <c r="AC6280" i="2"/>
  <c r="AB6280" i="2"/>
  <c r="AK6280" i="2" s="1"/>
  <c r="Y6280" i="2"/>
  <c r="AC6282" i="2"/>
  <c r="AB6282" i="2"/>
  <c r="AK6282" i="2" s="1"/>
  <c r="Y6282" i="2"/>
  <c r="AC6284" i="2"/>
  <c r="AB6284" i="2"/>
  <c r="AK6284" i="2" s="1"/>
  <c r="Y6284" i="2"/>
  <c r="AC6286" i="2"/>
  <c r="AB6286" i="2"/>
  <c r="AK6286" i="2" s="1"/>
  <c r="Y6286" i="2"/>
  <c r="AC6288" i="2"/>
  <c r="AB6288" i="2"/>
  <c r="AK6288" i="2" s="1"/>
  <c r="Y6288" i="2"/>
  <c r="AC6290" i="2"/>
  <c r="AB6290" i="2"/>
  <c r="AK6290" i="2" s="1"/>
  <c r="Y6290" i="2"/>
  <c r="AC6292" i="2"/>
  <c r="AB6292" i="2"/>
  <c r="AK6292" i="2" s="1"/>
  <c r="Y6292" i="2"/>
  <c r="AC6294" i="2"/>
  <c r="AB6294" i="2"/>
  <c r="AK6294" i="2" s="1"/>
  <c r="Y6294" i="2"/>
  <c r="AC6296" i="2"/>
  <c r="AB6296" i="2"/>
  <c r="AK6296" i="2" s="1"/>
  <c r="Y6296" i="2"/>
  <c r="AC6298" i="2"/>
  <c r="AB6298" i="2"/>
  <c r="AK6298" i="2" s="1"/>
  <c r="Y6298" i="2"/>
  <c r="AC6300" i="2"/>
  <c r="AB6300" i="2"/>
  <c r="AK6300" i="2" s="1"/>
  <c r="Y6300" i="2"/>
  <c r="AC6302" i="2"/>
  <c r="AB6302" i="2"/>
  <c r="AK6302" i="2" s="1"/>
  <c r="Y6302" i="2"/>
  <c r="AC6304" i="2"/>
  <c r="AB6304" i="2"/>
  <c r="AK6304" i="2" s="1"/>
  <c r="Y6304" i="2"/>
  <c r="AC6306" i="2"/>
  <c r="AB6306" i="2"/>
  <c r="AK6306" i="2" s="1"/>
  <c r="Y6306" i="2"/>
  <c r="AC6308" i="2"/>
  <c r="AB6308" i="2"/>
  <c r="AK6308" i="2" s="1"/>
  <c r="Y6308" i="2"/>
  <c r="AC6310" i="2"/>
  <c r="AB6310" i="2"/>
  <c r="AK6310" i="2" s="1"/>
  <c r="Y6310" i="2"/>
  <c r="AC6312" i="2"/>
  <c r="AB6312" i="2"/>
  <c r="AK6312" i="2" s="1"/>
  <c r="Y6312" i="2"/>
  <c r="AC6314" i="2"/>
  <c r="AB6314" i="2"/>
  <c r="AK6314" i="2" s="1"/>
  <c r="Y6314" i="2"/>
  <c r="AC6316" i="2"/>
  <c r="AB6316" i="2"/>
  <c r="AK6316" i="2" s="1"/>
  <c r="Y6316" i="2"/>
  <c r="AC6318" i="2"/>
  <c r="AB6318" i="2"/>
  <c r="AK6318" i="2" s="1"/>
  <c r="Y6318" i="2"/>
  <c r="AC6320" i="2"/>
  <c r="AB6320" i="2"/>
  <c r="AK6320" i="2" s="1"/>
  <c r="Y6320" i="2"/>
  <c r="AC6322" i="2"/>
  <c r="AB6322" i="2"/>
  <c r="AK6322" i="2" s="1"/>
  <c r="Y6322" i="2"/>
  <c r="AC6324" i="2"/>
  <c r="AB6324" i="2"/>
  <c r="AK6324" i="2" s="1"/>
  <c r="Y6324" i="2"/>
  <c r="AC6326" i="2"/>
  <c r="AB6326" i="2"/>
  <c r="AK6326" i="2" s="1"/>
  <c r="Y6326" i="2"/>
  <c r="AC6328" i="2"/>
  <c r="AB6328" i="2"/>
  <c r="AK6328" i="2" s="1"/>
  <c r="Y6328" i="2"/>
  <c r="AC6335" i="2"/>
  <c r="AC6340" i="2"/>
  <c r="AB6340" i="2"/>
  <c r="AK6340" i="2" s="1"/>
  <c r="Y6340" i="2"/>
  <c r="AB6343" i="2"/>
  <c r="AK6343" i="2" s="1"/>
  <c r="Y6343" i="2"/>
  <c r="AB6346" i="2"/>
  <c r="AK6346" i="2" s="1"/>
  <c r="Y6346" i="2"/>
  <c r="AB6350" i="2"/>
  <c r="AK6350" i="2" s="1"/>
  <c r="Y6350" i="2"/>
  <c r="AB6354" i="2"/>
  <c r="AK6354" i="2" s="1"/>
  <c r="Y6354" i="2"/>
  <c r="AB6358" i="2"/>
  <c r="AK6358" i="2" s="1"/>
  <c r="Y6358" i="2"/>
  <c r="AB6362" i="2"/>
  <c r="AK6362" i="2" s="1"/>
  <c r="Y6362" i="2"/>
  <c r="AC6368" i="2"/>
  <c r="AB6368" i="2"/>
  <c r="AK6368" i="2" s="1"/>
  <c r="Y6368" i="2"/>
  <c r="AB6373" i="2"/>
  <c r="AK6373" i="2" s="1"/>
  <c r="Y6373" i="2"/>
  <c r="AB6381" i="2"/>
  <c r="AK6381" i="2" s="1"/>
  <c r="Y6381" i="2"/>
  <c r="AC6384" i="2"/>
  <c r="AC6389" i="2"/>
  <c r="AB6389" i="2"/>
  <c r="AK6389" i="2" s="1"/>
  <c r="Y6389" i="2"/>
  <c r="AC6392" i="2"/>
  <c r="AC6397" i="2"/>
  <c r="AB6397" i="2"/>
  <c r="AK6397" i="2" s="1"/>
  <c r="Y6397" i="2"/>
  <c r="AC6405" i="2"/>
  <c r="AB6405" i="2"/>
  <c r="AK6405" i="2" s="1"/>
  <c r="Y6405" i="2"/>
  <c r="AC6408" i="2"/>
  <c r="AC6413" i="2"/>
  <c r="AB6413" i="2"/>
  <c r="AK6413" i="2" s="1"/>
  <c r="Y6413" i="2"/>
  <c r="AC6416" i="2"/>
  <c r="AC6419" i="2"/>
  <c r="AC6424" i="2"/>
  <c r="AB6424" i="2"/>
  <c r="AK6424" i="2" s="1"/>
  <c r="AC6427" i="2"/>
  <c r="AC6432" i="2"/>
  <c r="AB6432" i="2"/>
  <c r="AK6432" i="2" s="1"/>
  <c r="Y6432" i="2"/>
  <c r="AC6435" i="2"/>
  <c r="AC6440" i="2"/>
  <c r="AB6440" i="2"/>
  <c r="AK6440" i="2" s="1"/>
  <c r="AC6443" i="2"/>
  <c r="AC6448" i="2"/>
  <c r="AB6448" i="2"/>
  <c r="AK6448" i="2" s="1"/>
  <c r="AC6451" i="2"/>
  <c r="AB6456" i="2"/>
  <c r="AK6456" i="2" s="1"/>
  <c r="Y6456" i="2"/>
  <c r="AB6460" i="2"/>
  <c r="AK6460" i="2" s="1"/>
  <c r="Y6460" i="2"/>
  <c r="AB6464" i="2"/>
  <c r="AK6464" i="2" s="1"/>
  <c r="Y6464" i="2"/>
  <c r="AB6468" i="2"/>
  <c r="AK6468" i="2" s="1"/>
  <c r="Y6468" i="2"/>
  <c r="AB6472" i="2"/>
  <c r="AK6472" i="2" s="1"/>
  <c r="Y6472" i="2"/>
  <c r="AB6476" i="2"/>
  <c r="AK6476" i="2" s="1"/>
  <c r="Y6476" i="2"/>
  <c r="AC6479" i="2"/>
  <c r="AB6479" i="2"/>
  <c r="AK6479" i="2" s="1"/>
  <c r="Y6479" i="2"/>
  <c r="AC6482" i="2"/>
  <c r="AC6487" i="2"/>
  <c r="AB6487" i="2"/>
  <c r="AK6487" i="2" s="1"/>
  <c r="Y6487" i="2"/>
  <c r="AC6490" i="2"/>
  <c r="AC6494" i="2"/>
  <c r="AC6498" i="2"/>
  <c r="AC6502" i="2"/>
  <c r="AC6506" i="2"/>
  <c r="AC6510" i="2"/>
  <c r="AB6515" i="2"/>
  <c r="AK6515" i="2" s="1"/>
  <c r="AB6523" i="2"/>
  <c r="AK6523" i="2" s="1"/>
  <c r="AB6531" i="2"/>
  <c r="AK6531" i="2" s="1"/>
  <c r="Y6531" i="2"/>
  <c r="AB6539" i="2"/>
  <c r="AK6539" i="2" s="1"/>
  <c r="Y6539" i="2"/>
  <c r="AB6547" i="2"/>
  <c r="AK6547" i="2" s="1"/>
  <c r="Y6555" i="2"/>
  <c r="AB6563" i="2"/>
  <c r="AK6563" i="2" s="1"/>
  <c r="Y6563" i="2"/>
  <c r="AB6571" i="2"/>
  <c r="AK6571" i="2" s="1"/>
  <c r="Y6571" i="2"/>
  <c r="AB6579" i="2"/>
  <c r="AK6579" i="2" s="1"/>
  <c r="AC6585" i="2"/>
  <c r="AC6589" i="2"/>
  <c r="AC6593" i="2"/>
  <c r="AC6597" i="2"/>
  <c r="AC6601" i="2"/>
  <c r="AC6605" i="2"/>
  <c r="AC6609" i="2"/>
  <c r="AC6613" i="2"/>
  <c r="AC6618" i="2"/>
  <c r="AB6618" i="2"/>
  <c r="AK6618" i="2" s="1"/>
  <c r="Y6618" i="2"/>
  <c r="AC6621" i="2"/>
  <c r="AC6626" i="2"/>
  <c r="AB6626" i="2"/>
  <c r="AK6626" i="2" s="1"/>
  <c r="Y6626" i="2"/>
  <c r="AC6629" i="2"/>
  <c r="AC6634" i="2"/>
  <c r="AC6638" i="2"/>
  <c r="AC6642" i="2"/>
  <c r="AC6645" i="2"/>
  <c r="AB6645" i="2"/>
  <c r="AK6645" i="2" s="1"/>
  <c r="Y6645" i="2"/>
  <c r="AB6651" i="2"/>
  <c r="AK6651" i="2" s="1"/>
  <c r="Y6651" i="2"/>
  <c r="AC6655" i="2"/>
  <c r="AB6660" i="2"/>
  <c r="AK6660" i="2" s="1"/>
  <c r="Y6660" i="2"/>
  <c r="AB6664" i="2"/>
  <c r="AK6664" i="2" s="1"/>
  <c r="Y6664" i="2"/>
  <c r="AB6668" i="2"/>
  <c r="AK6668" i="2" s="1"/>
  <c r="Y6668" i="2"/>
  <c r="AB6672" i="2"/>
  <c r="AK6672" i="2" s="1"/>
  <c r="Y6672" i="2"/>
  <c r="AB6676" i="2"/>
  <c r="AK6676" i="2" s="1"/>
  <c r="Y6676" i="2"/>
  <c r="AB6683" i="2"/>
  <c r="AK6683" i="2" s="1"/>
  <c r="Y6683" i="2"/>
  <c r="AB6691" i="2"/>
  <c r="AK6691" i="2" s="1"/>
  <c r="Y6691" i="2"/>
  <c r="AB6699" i="2"/>
  <c r="AK6699" i="2" s="1"/>
  <c r="Y6699" i="2"/>
  <c r="AB6707" i="2"/>
  <c r="AK6707" i="2" s="1"/>
  <c r="Y6707" i="2"/>
  <c r="AB6715" i="2"/>
  <c r="AK6715" i="2" s="1"/>
  <c r="Y6715" i="2"/>
  <c r="AB6723" i="2"/>
  <c r="AK6723" i="2" s="1"/>
  <c r="Y6723" i="2"/>
  <c r="AB6731" i="2"/>
  <c r="AK6731" i="2" s="1"/>
  <c r="Y6731" i="2"/>
  <c r="AC6738" i="2"/>
  <c r="AB6738" i="2"/>
  <c r="AK6738" i="2" s="1"/>
  <c r="Y6738" i="2"/>
  <c r="AC6745" i="2"/>
  <c r="Y6745" i="2"/>
  <c r="AC6746" i="2"/>
  <c r="AA6750" i="2"/>
  <c r="AB6750" i="2" s="1"/>
  <c r="AA6751" i="2"/>
  <c r="AB6751" i="2" s="1"/>
  <c r="AK6751" i="2" s="1"/>
  <c r="AA6752" i="2"/>
  <c r="AB6752" i="2" s="1"/>
  <c r="AK6752" i="2" s="1"/>
  <c r="AA6753" i="2"/>
  <c r="AB6753" i="2" s="1"/>
  <c r="AC6754" i="2"/>
  <c r="AC6757" i="2"/>
  <c r="Y6757" i="2"/>
  <c r="AA6766" i="2"/>
  <c r="AB6766" i="2" s="1"/>
  <c r="Y6766" i="2"/>
  <c r="AC6770" i="2"/>
  <c r="AC6781" i="2"/>
  <c r="AB6784" i="2"/>
  <c r="AK6784" i="2" s="1"/>
  <c r="Y6784" i="2"/>
  <c r="AF6785" i="2"/>
  <c r="AC6787" i="2"/>
  <c r="Y6787" i="2"/>
  <c r="Y6790" i="2"/>
  <c r="AB6791" i="2"/>
  <c r="AK6791" i="2" s="1"/>
  <c r="Y6791" i="2"/>
  <c r="AC6795" i="2"/>
  <c r="AB6798" i="2"/>
  <c r="AK6798" i="2" s="1"/>
  <c r="Y6798" i="2"/>
  <c r="AC6802" i="2"/>
  <c r="AB6802" i="2"/>
  <c r="AK6802" i="2" s="1"/>
  <c r="Y6802" i="2"/>
  <c r="AF6806" i="2"/>
  <c r="AB6809" i="2"/>
  <c r="AK6809" i="2" s="1"/>
  <c r="Y6809" i="2"/>
  <c r="AC6816" i="2"/>
  <c r="AB6819" i="2"/>
  <c r="AK6819" i="2" s="1"/>
  <c r="Y6819" i="2"/>
  <c r="AC6823" i="2"/>
  <c r="AC6826" i="2"/>
  <c r="AB6826" i="2"/>
  <c r="AK6826" i="2" s="1"/>
  <c r="Y6826" i="2"/>
  <c r="AF6827" i="2"/>
  <c r="AF6830" i="2"/>
  <c r="AF6833" i="2"/>
  <c r="AB6836" i="2"/>
  <c r="AK6836" i="2" s="1"/>
  <c r="Y6836" i="2"/>
  <c r="AB6840" i="2"/>
  <c r="AK6840" i="2" s="1"/>
  <c r="Y6840" i="2"/>
  <c r="AC6844" i="2"/>
  <c r="AF6845" i="2"/>
  <c r="AC6848" i="2"/>
  <c r="AB6848" i="2"/>
  <c r="AK6848" i="2" s="1"/>
  <c r="Y6848" i="2"/>
  <c r="AF6849" i="2"/>
  <c r="AC6855" i="2"/>
  <c r="AB6855" i="2"/>
  <c r="AK6855" i="2" s="1"/>
  <c r="Y6855" i="2"/>
  <c r="AC6862" i="2"/>
  <c r="AC6872" i="2"/>
  <c r="AB6872" i="2"/>
  <c r="AK6872" i="2" s="1"/>
  <c r="Y6872" i="2"/>
  <c r="AB6875" i="2"/>
  <c r="AK6875" i="2" s="1"/>
  <c r="Y6875" i="2"/>
  <c r="AB6878" i="2"/>
  <c r="AK6878" i="2" s="1"/>
  <c r="Y6878" i="2"/>
  <c r="AC6882" i="2"/>
  <c r="AF6889" i="2"/>
  <c r="AA6892" i="2"/>
  <c r="R141" i="3" s="1"/>
  <c r="T141" i="3" s="1"/>
  <c r="U141" i="3" s="1"/>
  <c r="V141" i="3" s="1"/>
  <c r="AF6896" i="2"/>
  <c r="AC6899" i="2"/>
  <c r="AB6899" i="2"/>
  <c r="AK6899" i="2" s="1"/>
  <c r="Y6899" i="2"/>
  <c r="AF6903" i="2"/>
  <c r="AC6906" i="2"/>
  <c r="AF6913" i="2"/>
  <c r="AC6916" i="2"/>
  <c r="AC6919" i="2"/>
  <c r="AB6919" i="2"/>
  <c r="AK6919" i="2" s="1"/>
  <c r="Y6919" i="2"/>
  <c r="AC6926" i="2"/>
  <c r="AB6926" i="2"/>
  <c r="AK6926" i="2" s="1"/>
  <c r="Y6926" i="2"/>
  <c r="AB6929" i="2"/>
  <c r="AK6929" i="2" s="1"/>
  <c r="Y6929" i="2"/>
  <c r="AF6930" i="2"/>
  <c r="AC6933" i="2"/>
  <c r="AC6936" i="2"/>
  <c r="AB6952" i="2"/>
  <c r="AK6952" i="2" s="1"/>
  <c r="Y6952" i="2"/>
  <c r="AC6952" i="2"/>
  <c r="AC6965" i="2"/>
  <c r="AC6968" i="2"/>
  <c r="AC6971" i="2"/>
  <c r="AC6974" i="2"/>
  <c r="AB6974" i="2"/>
  <c r="AK6974" i="2" s="1"/>
  <c r="Y6974" i="2"/>
  <c r="AB6977" i="2"/>
  <c r="AK6977" i="2" s="1"/>
  <c r="Y6977" i="2"/>
  <c r="AF6978" i="2"/>
  <c r="AC6987" i="2"/>
  <c r="AF7015" i="2"/>
  <c r="AC7021" i="2"/>
  <c r="AB7021" i="2"/>
  <c r="AK7021" i="2" s="1"/>
  <c r="Y7021" i="2"/>
  <c r="AC7024" i="2"/>
  <c r="AC7037" i="2"/>
  <c r="AB7037" i="2"/>
  <c r="AK7037" i="2" s="1"/>
  <c r="Y7037" i="2"/>
  <c r="AC7043" i="2"/>
  <c r="AB7043" i="2"/>
  <c r="AK7043" i="2" s="1"/>
  <c r="Y7043" i="2"/>
  <c r="AB7058" i="2"/>
  <c r="AK7058" i="2" s="1"/>
  <c r="Y7058" i="2"/>
  <c r="AC7068" i="2"/>
  <c r="AC7071" i="2"/>
  <c r="AB7084" i="2"/>
  <c r="AK7084" i="2" s="1"/>
  <c r="Y7084" i="2"/>
  <c r="AC7084" i="2"/>
  <c r="AF7120" i="2"/>
  <c r="AF7123" i="2"/>
  <c r="AC7126" i="2"/>
  <c r="AB7126" i="2"/>
  <c r="AK7126" i="2" s="1"/>
  <c r="Y7126" i="2"/>
  <c r="AB7129" i="2"/>
  <c r="AK7129" i="2" s="1"/>
  <c r="Y7129" i="2"/>
  <c r="AC7129" i="2"/>
  <c r="AC7144" i="2"/>
  <c r="AB7144" i="2"/>
  <c r="AK7144" i="2" s="1"/>
  <c r="Y7144" i="2"/>
  <c r="AC7200" i="2"/>
  <c r="AB7200" i="2"/>
  <c r="AK7200" i="2" s="1"/>
  <c r="Y7200" i="2"/>
  <c r="AB7239" i="2"/>
  <c r="AK7239" i="2" s="1"/>
  <c r="Y7239" i="2"/>
  <c r="AC7239" i="2"/>
  <c r="AB7295" i="2"/>
  <c r="AK7295" i="2" s="1"/>
  <c r="Y7295" i="2"/>
  <c r="AC7295" i="2"/>
  <c r="AB7332" i="2"/>
  <c r="AK7332" i="2" s="1"/>
  <c r="Y7332" i="2"/>
  <c r="AC7332" i="2"/>
  <c r="AB7445" i="2"/>
  <c r="AK7445" i="2" s="1"/>
  <c r="Y7445" i="2"/>
  <c r="AC7445" i="2"/>
  <c r="AB7479" i="2"/>
  <c r="AK7479" i="2" s="1"/>
  <c r="Y7479" i="2"/>
  <c r="AC7479" i="2"/>
  <c r="AB7493" i="2"/>
  <c r="AK7493" i="2" s="1"/>
  <c r="Y7493" i="2"/>
  <c r="AC7493" i="2"/>
  <c r="AF7577" i="2"/>
  <c r="Y7577" i="2"/>
  <c r="AB7718" i="2"/>
  <c r="AK7718" i="2" s="1"/>
  <c r="Y7718" i="2"/>
  <c r="AC7718" i="2"/>
  <c r="AB7729" i="2"/>
  <c r="AK7729" i="2" s="1"/>
  <c r="Y7729" i="2"/>
  <c r="AC7729" i="2"/>
  <c r="AC7741" i="2"/>
  <c r="AB7741" i="2"/>
  <c r="AK7741" i="2" s="1"/>
  <c r="Y7741" i="2"/>
  <c r="AB5391" i="2"/>
  <c r="AK5391" i="2" s="1"/>
  <c r="Y5391" i="2"/>
  <c r="AC5395" i="2"/>
  <c r="AB5395" i="2"/>
  <c r="AK5395" i="2" s="1"/>
  <c r="AB5532" i="2"/>
  <c r="AK5532" i="2" s="1"/>
  <c r="Y5532" i="2"/>
  <c r="AB5545" i="2"/>
  <c r="AK5545" i="2" s="1"/>
  <c r="Y5545" i="2"/>
  <c r="AC5619" i="2"/>
  <c r="AB5619" i="2"/>
  <c r="AK5619" i="2" s="1"/>
  <c r="Y5619" i="2"/>
  <c r="AB5623" i="2"/>
  <c r="AK5623" i="2" s="1"/>
  <c r="Y5623" i="2"/>
  <c r="Y5663" i="2"/>
  <c r="AB5402" i="2"/>
  <c r="AK5402" i="2" s="1"/>
  <c r="Y5402" i="2"/>
  <c r="AC5406" i="2"/>
  <c r="AB5406" i="2"/>
  <c r="AK5406" i="2" s="1"/>
  <c r="Y5406" i="2"/>
  <c r="AB5417" i="2"/>
  <c r="AK5417" i="2" s="1"/>
  <c r="Y5417" i="2"/>
  <c r="AC5425" i="2"/>
  <c r="AC5428" i="2"/>
  <c r="AC5439" i="2"/>
  <c r="AB5439" i="2"/>
  <c r="AK5439" i="2" s="1"/>
  <c r="Y5439" i="2"/>
  <c r="AB5454" i="2"/>
  <c r="AK5454" i="2" s="1"/>
  <c r="Y5454" i="2"/>
  <c r="AB5470" i="2"/>
  <c r="AK5470" i="2" s="1"/>
  <c r="Y5470" i="2"/>
  <c r="AB5494" i="2"/>
  <c r="AK5494" i="2" s="1"/>
  <c r="Y5494" i="2"/>
  <c r="AB5502" i="2"/>
  <c r="AK5502" i="2" s="1"/>
  <c r="Y5502" i="2"/>
  <c r="AB5510" i="2"/>
  <c r="AK5510" i="2" s="1"/>
  <c r="Y5510" i="2"/>
  <c r="AC5519" i="2"/>
  <c r="AB5519" i="2"/>
  <c r="AK5519" i="2" s="1"/>
  <c r="Y5519" i="2"/>
  <c r="AC5523" i="2"/>
  <c r="AC5528" i="2"/>
  <c r="AB5531" i="2"/>
  <c r="AK5531" i="2" s="1"/>
  <c r="Y5531" i="2"/>
  <c r="AC5532" i="2"/>
  <c r="AB5536" i="2"/>
  <c r="AK5536" i="2" s="1"/>
  <c r="AB5540" i="2"/>
  <c r="AK5540" i="2" s="1"/>
  <c r="Y5540" i="2"/>
  <c r="AC5545" i="2"/>
  <c r="AB5553" i="2"/>
  <c r="AK5553" i="2" s="1"/>
  <c r="Y5553" i="2"/>
  <c r="AC5566" i="2"/>
  <c r="AC5570" i="2"/>
  <c r="AB5570" i="2"/>
  <c r="AK5570" i="2" s="1"/>
  <c r="AB5574" i="2"/>
  <c r="AK5574" i="2" s="1"/>
  <c r="Y5574" i="2"/>
  <c r="AC5583" i="2"/>
  <c r="AB5583" i="2"/>
  <c r="AK5583" i="2" s="1"/>
  <c r="Y5583" i="2"/>
  <c r="AB5586" i="2"/>
  <c r="AK5586" i="2" s="1"/>
  <c r="AB5590" i="2"/>
  <c r="AK5590" i="2" s="1"/>
  <c r="Y5590" i="2"/>
  <c r="Y5598" i="2"/>
  <c r="AB5606" i="2"/>
  <c r="AK5606" i="2" s="1"/>
  <c r="Y5606" i="2"/>
  <c r="AC5615" i="2"/>
  <c r="AC5623" i="2"/>
  <c r="AC5631" i="2"/>
  <c r="AC5639" i="2"/>
  <c r="AC5647" i="2"/>
  <c r="AC5655" i="2"/>
  <c r="AC5671" i="2"/>
  <c r="AC5679" i="2"/>
  <c r="AC5687" i="2"/>
  <c r="AC5695" i="2"/>
  <c r="AC5703" i="2"/>
  <c r="AC5711" i="2"/>
  <c r="AC5719" i="2"/>
  <c r="AC5727" i="2"/>
  <c r="AC5735" i="2"/>
  <c r="AC5743" i="2"/>
  <c r="AC5751" i="2"/>
  <c r="AC5759" i="2"/>
  <c r="AC5767" i="2"/>
  <c r="AC5778" i="2"/>
  <c r="AB5778" i="2"/>
  <c r="AK5778" i="2" s="1"/>
  <c r="Y5778" i="2"/>
  <c r="AB5790" i="2"/>
  <c r="AK5790" i="2" s="1"/>
  <c r="Y5790" i="2"/>
  <c r="AC5794" i="2"/>
  <c r="AB5794" i="2"/>
  <c r="AK5794" i="2" s="1"/>
  <c r="Y5794" i="2"/>
  <c r="AB5798" i="2"/>
  <c r="AK5798" i="2" s="1"/>
  <c r="Y5798" i="2"/>
  <c r="AB5811" i="2"/>
  <c r="AK5811" i="2" s="1"/>
  <c r="Y5811" i="2"/>
  <c r="AB5816" i="2"/>
  <c r="AK5816" i="2" s="1"/>
  <c r="AB5820" i="2"/>
  <c r="AK5820" i="2" s="1"/>
  <c r="Y5820" i="2"/>
  <c r="AC5825" i="2"/>
  <c r="AB5825" i="2"/>
  <c r="AK5825" i="2" s="1"/>
  <c r="Y5825" i="2"/>
  <c r="AB5843" i="2"/>
  <c r="AK5843" i="2" s="1"/>
  <c r="Y5843" i="2"/>
  <c r="AB5848" i="2"/>
  <c r="AK5848" i="2" s="1"/>
  <c r="AB5852" i="2"/>
  <c r="AK5852" i="2" s="1"/>
  <c r="Y5852" i="2"/>
  <c r="AC5857" i="2"/>
  <c r="AB5857" i="2"/>
  <c r="AK5857" i="2" s="1"/>
  <c r="Y5857" i="2"/>
  <c r="AC5866" i="2"/>
  <c r="AB5866" i="2"/>
  <c r="AK5866" i="2" s="1"/>
  <c r="Y5866" i="2"/>
  <c r="AC5874" i="2"/>
  <c r="AB5874" i="2"/>
  <c r="AK5874" i="2" s="1"/>
  <c r="Y5874" i="2"/>
  <c r="AC5881" i="2"/>
  <c r="AB5881" i="2"/>
  <c r="AK5881" i="2" s="1"/>
  <c r="Y5881" i="2"/>
  <c r="AC5889" i="2"/>
  <c r="AB5889" i="2"/>
  <c r="AK5889" i="2" s="1"/>
  <c r="Y5889" i="2"/>
  <c r="AC5897" i="2"/>
  <c r="AB5897" i="2"/>
  <c r="AK5897" i="2" s="1"/>
  <c r="Y5897" i="2"/>
  <c r="AC5905" i="2"/>
  <c r="AB5905" i="2"/>
  <c r="AK5905" i="2" s="1"/>
  <c r="Y5905" i="2"/>
  <c r="AC5913" i="2"/>
  <c r="AB5913" i="2"/>
  <c r="AK5913" i="2" s="1"/>
  <c r="Y5913" i="2"/>
  <c r="AC5921" i="2"/>
  <c r="AB5921" i="2"/>
  <c r="AK5921" i="2" s="1"/>
  <c r="Y5921" i="2"/>
  <c r="AC5929" i="2"/>
  <c r="AB5929" i="2"/>
  <c r="AK5929" i="2" s="1"/>
  <c r="Y5929" i="2"/>
  <c r="AC5937" i="2"/>
  <c r="AB5937" i="2"/>
  <c r="AK5937" i="2" s="1"/>
  <c r="Y5937" i="2"/>
  <c r="AC5945" i="2"/>
  <c r="AB5945" i="2"/>
  <c r="AK5945" i="2" s="1"/>
  <c r="Y5945" i="2"/>
  <c r="AC5953" i="2"/>
  <c r="AB5953" i="2"/>
  <c r="AK5953" i="2" s="1"/>
  <c r="Y5953" i="2"/>
  <c r="AB5960" i="2"/>
  <c r="AK5960" i="2" s="1"/>
  <c r="Y5960" i="2"/>
  <c r="AC5974" i="2"/>
  <c r="AB5974" i="2"/>
  <c r="AK5974" i="2" s="1"/>
  <c r="Y5974" i="2"/>
  <c r="AC5983" i="2"/>
  <c r="AB5983" i="2"/>
  <c r="AK5983" i="2" s="1"/>
  <c r="Y5983" i="2"/>
  <c r="AC5990" i="2"/>
  <c r="AB5990" i="2"/>
  <c r="AK5990" i="2" s="1"/>
  <c r="Y5990" i="2"/>
  <c r="AC5998" i="2"/>
  <c r="AB5998" i="2"/>
  <c r="AK5998" i="2" s="1"/>
  <c r="Y5998" i="2"/>
  <c r="AB6002" i="2"/>
  <c r="AK6002" i="2" s="1"/>
  <c r="AC6019" i="2"/>
  <c r="AB6019" i="2"/>
  <c r="AK6019" i="2" s="1"/>
  <c r="Y6019" i="2"/>
  <c r="AF6033" i="2"/>
  <c r="AC6044" i="2"/>
  <c r="AB6044" i="2"/>
  <c r="AK6044" i="2" s="1"/>
  <c r="Y6044" i="2"/>
  <c r="AC6048" i="2"/>
  <c r="AB6048" i="2"/>
  <c r="AK6048" i="2" s="1"/>
  <c r="Y6048" i="2"/>
  <c r="AF6054" i="2"/>
  <c r="AB6061" i="2"/>
  <c r="AK6061" i="2" s="1"/>
  <c r="Y6061" i="2"/>
  <c r="AB6065" i="2"/>
  <c r="AK6065" i="2" s="1"/>
  <c r="Y6065" i="2"/>
  <c r="AB6082" i="2"/>
  <c r="AK6082" i="2" s="1"/>
  <c r="Y6082" i="2"/>
  <c r="AC6092" i="2"/>
  <c r="AB6092" i="2"/>
  <c r="AK6092" i="2" s="1"/>
  <c r="Y6092" i="2"/>
  <c r="AB6095" i="2"/>
  <c r="AK6095" i="2" s="1"/>
  <c r="Y6095" i="2"/>
  <c r="AB6098" i="2"/>
  <c r="AK6098" i="2" s="1"/>
  <c r="Y6098" i="2"/>
  <c r="AB6102" i="2"/>
  <c r="AK6102" i="2" s="1"/>
  <c r="Y6102" i="2"/>
  <c r="AC6110" i="2"/>
  <c r="AB6110" i="2"/>
  <c r="AK6110" i="2" s="1"/>
  <c r="Y6110" i="2"/>
  <c r="AC6118" i="2"/>
  <c r="AB6118" i="2"/>
  <c r="AK6118" i="2" s="1"/>
  <c r="Y6118" i="2"/>
  <c r="AC6126" i="2"/>
  <c r="AB6126" i="2"/>
  <c r="AK6126" i="2" s="1"/>
  <c r="Y6126" i="2"/>
  <c r="AC6134" i="2"/>
  <c r="AB6134" i="2"/>
  <c r="AK6134" i="2" s="1"/>
  <c r="Y6134" i="2"/>
  <c r="AC6142" i="2"/>
  <c r="AB6142" i="2"/>
  <c r="AK6142" i="2" s="1"/>
  <c r="Y6142" i="2"/>
  <c r="AC6150" i="2"/>
  <c r="AB6150" i="2"/>
  <c r="AK6150" i="2" s="1"/>
  <c r="Y6150" i="2"/>
  <c r="AC6158" i="2"/>
  <c r="AB6158" i="2"/>
  <c r="AK6158" i="2" s="1"/>
  <c r="Y6158" i="2"/>
  <c r="AC6166" i="2"/>
  <c r="AB6166" i="2"/>
  <c r="AK6166" i="2" s="1"/>
  <c r="Y6166" i="2"/>
  <c r="AB6169" i="2"/>
  <c r="AK6169" i="2" s="1"/>
  <c r="Y6169" i="2"/>
  <c r="AC6177" i="2"/>
  <c r="AB6177" i="2"/>
  <c r="AK6177" i="2" s="1"/>
  <c r="Y6177" i="2"/>
  <c r="AC6185" i="2"/>
  <c r="AB6185" i="2"/>
  <c r="AK6185" i="2" s="1"/>
  <c r="Y6185" i="2"/>
  <c r="AC6193" i="2"/>
  <c r="AB6193" i="2"/>
  <c r="AK6193" i="2" s="1"/>
  <c r="Y6193" i="2"/>
  <c r="AC6201" i="2"/>
  <c r="AB6201" i="2"/>
  <c r="AK6201" i="2" s="1"/>
  <c r="Y6201" i="2"/>
  <c r="AB6213" i="2"/>
  <c r="AK6213" i="2" s="1"/>
  <c r="Y6213" i="2"/>
  <c r="AB6217" i="2"/>
  <c r="AK6217" i="2" s="1"/>
  <c r="Y6217" i="2"/>
  <c r="AC6330" i="2"/>
  <c r="AB6330" i="2"/>
  <c r="AK6330" i="2" s="1"/>
  <c r="Y6330" i="2"/>
  <c r="AB6337" i="2"/>
  <c r="AK6337" i="2" s="1"/>
  <c r="Y6337" i="2"/>
  <c r="AC6343" i="2"/>
  <c r="AC6346" i="2"/>
  <c r="AC6350" i="2"/>
  <c r="AC6354" i="2"/>
  <c r="AC6358" i="2"/>
  <c r="AC6362" i="2"/>
  <c r="AC6370" i="2"/>
  <c r="AB6370" i="2"/>
  <c r="AK6370" i="2" s="1"/>
  <c r="Y6370" i="2"/>
  <c r="AC6373" i="2"/>
  <c r="AC6378" i="2"/>
  <c r="AB6378" i="2"/>
  <c r="AK6378" i="2" s="1"/>
  <c r="Y6378" i="2"/>
  <c r="AC6381" i="2"/>
  <c r="AB6386" i="2"/>
  <c r="AK6386" i="2" s="1"/>
  <c r="Y6386" i="2"/>
  <c r="AB6394" i="2"/>
  <c r="AK6394" i="2" s="1"/>
  <c r="Y6394" i="2"/>
  <c r="AB6410" i="2"/>
  <c r="AK6410" i="2" s="1"/>
  <c r="Y6410" i="2"/>
  <c r="AB6415" i="2"/>
  <c r="AK6415" i="2" s="1"/>
  <c r="Y6415" i="2"/>
  <c r="AB6421" i="2"/>
  <c r="AK6421" i="2" s="1"/>
  <c r="Y6421" i="2"/>
  <c r="AB6429" i="2"/>
  <c r="AK6429" i="2" s="1"/>
  <c r="Y6429" i="2"/>
  <c r="AB6437" i="2"/>
  <c r="AK6437" i="2" s="1"/>
  <c r="Y6437" i="2"/>
  <c r="AB6445" i="2"/>
  <c r="AK6445" i="2" s="1"/>
  <c r="Y6445" i="2"/>
  <c r="AB6453" i="2"/>
  <c r="AK6453" i="2" s="1"/>
  <c r="Y6453" i="2"/>
  <c r="AC6456" i="2"/>
  <c r="AC6460" i="2"/>
  <c r="AC6464" i="2"/>
  <c r="AC6468" i="2"/>
  <c r="AC6472" i="2"/>
  <c r="AC6476" i="2"/>
  <c r="AB6484" i="2"/>
  <c r="AK6484" i="2" s="1"/>
  <c r="Y6484" i="2"/>
  <c r="AB6489" i="2"/>
  <c r="AK6489" i="2" s="1"/>
  <c r="Y6493" i="2"/>
  <c r="Y6497" i="2"/>
  <c r="AB6501" i="2"/>
  <c r="AK6501" i="2" s="1"/>
  <c r="Y6501" i="2"/>
  <c r="Y6509" i="2"/>
  <c r="AC6512" i="2"/>
  <c r="AB6512" i="2"/>
  <c r="AK6512" i="2" s="1"/>
  <c r="Y6512" i="2"/>
  <c r="AC6515" i="2"/>
  <c r="AC6520" i="2"/>
  <c r="AB6520" i="2"/>
  <c r="AK6520" i="2" s="1"/>
  <c r="Y6520" i="2"/>
  <c r="AC6523" i="2"/>
  <c r="AC6528" i="2"/>
  <c r="AB6528" i="2"/>
  <c r="AK6528" i="2" s="1"/>
  <c r="Y6528" i="2"/>
  <c r="AC6531" i="2"/>
  <c r="AC6536" i="2"/>
  <c r="AB6536" i="2"/>
  <c r="AK6536" i="2" s="1"/>
  <c r="Y6536" i="2"/>
  <c r="AC6539" i="2"/>
  <c r="AC6544" i="2"/>
  <c r="AB6544" i="2"/>
  <c r="AK6544" i="2" s="1"/>
  <c r="Y6544" i="2"/>
  <c r="AC6547" i="2"/>
  <c r="AC6552" i="2"/>
  <c r="AB6552" i="2"/>
  <c r="AK6552" i="2" s="1"/>
  <c r="Y6552" i="2"/>
  <c r="AC6555" i="2"/>
  <c r="AC6560" i="2"/>
  <c r="AB6560" i="2"/>
  <c r="AK6560" i="2" s="1"/>
  <c r="Y6560" i="2"/>
  <c r="AC6563" i="2"/>
  <c r="AC6568" i="2"/>
  <c r="Y6568" i="2"/>
  <c r="AC6571" i="2"/>
  <c r="AC6576" i="2"/>
  <c r="AB6576" i="2"/>
  <c r="AK6576" i="2" s="1"/>
  <c r="Y6576" i="2"/>
  <c r="AC6579" i="2"/>
  <c r="AB6584" i="2"/>
  <c r="AK6584" i="2" s="1"/>
  <c r="Y6584" i="2"/>
  <c r="AB6588" i="2"/>
  <c r="AK6588" i="2" s="1"/>
  <c r="Y6588" i="2"/>
  <c r="AB6592" i="2"/>
  <c r="AK6592" i="2" s="1"/>
  <c r="Y6592" i="2"/>
  <c r="AB6596" i="2"/>
  <c r="AK6596" i="2" s="1"/>
  <c r="Y6596" i="2"/>
  <c r="AB6600" i="2"/>
  <c r="AK6600" i="2" s="1"/>
  <c r="Y6600" i="2"/>
  <c r="AB6604" i="2"/>
  <c r="AK6604" i="2" s="1"/>
  <c r="Y6604" i="2"/>
  <c r="AB6608" i="2"/>
  <c r="AK6608" i="2" s="1"/>
  <c r="Y6608" i="2"/>
  <c r="AB6612" i="2"/>
  <c r="AK6612" i="2" s="1"/>
  <c r="Y6612" i="2"/>
  <c r="AB6615" i="2"/>
  <c r="AK6615" i="2" s="1"/>
  <c r="Y6615" i="2"/>
  <c r="AB6623" i="2"/>
  <c r="AK6623" i="2" s="1"/>
  <c r="Y6623" i="2"/>
  <c r="AB6631" i="2"/>
  <c r="AK6631" i="2" s="1"/>
  <c r="Y6631" i="2"/>
  <c r="AB6637" i="2"/>
  <c r="AK6637" i="2" s="1"/>
  <c r="Y6637" i="2"/>
  <c r="AB6641" i="2"/>
  <c r="AK6641" i="2" s="1"/>
  <c r="Y6641" i="2"/>
  <c r="AC6651" i="2"/>
  <c r="AB6657" i="2"/>
  <c r="AK6657" i="2" s="1"/>
  <c r="Y6657" i="2"/>
  <c r="AC6660" i="2"/>
  <c r="AC6664" i="2"/>
  <c r="AC6668" i="2"/>
  <c r="AC6672" i="2"/>
  <c r="AC6676" i="2"/>
  <c r="AC6680" i="2"/>
  <c r="AB6680" i="2"/>
  <c r="AK6680" i="2" s="1"/>
  <c r="Y6680" i="2"/>
  <c r="AC6683" i="2"/>
  <c r="AC6688" i="2"/>
  <c r="Y6688" i="2" s="1"/>
  <c r="AB6688" i="2"/>
  <c r="AK6688" i="2" s="1"/>
  <c r="AC6691" i="2"/>
  <c r="AC6696" i="2"/>
  <c r="AB6696" i="2"/>
  <c r="AK6696" i="2" s="1"/>
  <c r="Y6696" i="2"/>
  <c r="AC6699" i="2"/>
  <c r="AC6704" i="2"/>
  <c r="AB6704" i="2"/>
  <c r="AK6704" i="2" s="1"/>
  <c r="Y6704" i="2"/>
  <c r="AC6707" i="2"/>
  <c r="AC6712" i="2"/>
  <c r="AB6712" i="2"/>
  <c r="AK6712" i="2" s="1"/>
  <c r="Y6712" i="2"/>
  <c r="AC6715" i="2"/>
  <c r="AC6720" i="2"/>
  <c r="AB6720" i="2"/>
  <c r="AK6720" i="2" s="1"/>
  <c r="Y6720" i="2"/>
  <c r="AC6723" i="2"/>
  <c r="AC6728" i="2"/>
  <c r="AB6728" i="2"/>
  <c r="AK6728" i="2" s="1"/>
  <c r="Y6728" i="2"/>
  <c r="AC6731" i="2"/>
  <c r="AC6744" i="2"/>
  <c r="AB6744" i="2"/>
  <c r="AK6744" i="2" s="1"/>
  <c r="Y6744" i="2"/>
  <c r="AA6745" i="2"/>
  <c r="AB6745" i="2" s="1"/>
  <c r="AK6745" i="2" s="1"/>
  <c r="AF6746" i="2"/>
  <c r="AC6749" i="2"/>
  <c r="AB6749" i="2"/>
  <c r="AK6749" i="2" s="1"/>
  <c r="Y6749" i="2"/>
  <c r="AC6750" i="2"/>
  <c r="AC6751" i="2"/>
  <c r="AC6752" i="2"/>
  <c r="AC6753" i="2"/>
  <c r="AF6754" i="2"/>
  <c r="AC6762" i="2"/>
  <c r="AB6762" i="2"/>
  <c r="AK6762" i="2" s="1"/>
  <c r="Y6762" i="2"/>
  <c r="AC6766" i="2"/>
  <c r="AC6769" i="2"/>
  <c r="AB6769" i="2"/>
  <c r="AK6769" i="2" s="1"/>
  <c r="Y6769" i="2"/>
  <c r="AF6770" i="2"/>
  <c r="AB6773" i="2"/>
  <c r="AK6773" i="2" s="1"/>
  <c r="Y6773" i="2"/>
  <c r="AC6776" i="2"/>
  <c r="Y6776" i="2"/>
  <c r="Y6779" i="2"/>
  <c r="AB6780" i="2"/>
  <c r="AK6780" i="2" s="1"/>
  <c r="Y6780" i="2"/>
  <c r="AF6781" i="2"/>
  <c r="AC6784" i="2"/>
  <c r="AA6790" i="2"/>
  <c r="AC6791" i="2"/>
  <c r="AC6794" i="2"/>
  <c r="AB6794" i="2"/>
  <c r="AK6794" i="2" s="1"/>
  <c r="Y6794" i="2"/>
  <c r="AF6795" i="2"/>
  <c r="AC6798" i="2"/>
  <c r="AF6802" i="2"/>
  <c r="AB6805" i="2"/>
  <c r="AK6805" i="2" s="1"/>
  <c r="Y6805" i="2"/>
  <c r="AC6809" i="2"/>
  <c r="AC6812" i="2"/>
  <c r="Y6812" i="2"/>
  <c r="AC6822" i="2"/>
  <c r="AB6822" i="2"/>
  <c r="AK6822" i="2" s="1"/>
  <c r="Y6822" i="2"/>
  <c r="AB6829" i="2"/>
  <c r="AK6829" i="2" s="1"/>
  <c r="Y6829" i="2"/>
  <c r="Y6832" i="2"/>
  <c r="AC6851" i="2"/>
  <c r="Y6851" i="2"/>
  <c r="AF6855" i="2"/>
  <c r="AC6864" i="2"/>
  <c r="AB6864" i="2"/>
  <c r="AK6864" i="2" s="1"/>
  <c r="Y6864" i="2"/>
  <c r="AB6866" i="2"/>
  <c r="AK6866" i="2" s="1"/>
  <c r="Y6866" i="2"/>
  <c r="AC6869" i="2"/>
  <c r="AB6869" i="2"/>
  <c r="AK6869" i="2" s="1"/>
  <c r="Y6869" i="2"/>
  <c r="AB6881" i="2"/>
  <c r="AK6881" i="2" s="1"/>
  <c r="Y6881" i="2"/>
  <c r="AF6882" i="2"/>
  <c r="AC6885" i="2"/>
  <c r="AB6885" i="2"/>
  <c r="AK6885" i="2" s="1"/>
  <c r="Y6885" i="2"/>
  <c r="AC6888" i="2"/>
  <c r="AB6888" i="2"/>
  <c r="AK6888" i="2" s="1"/>
  <c r="Y6888" i="2"/>
  <c r="AC6892" i="2"/>
  <c r="AB6902" i="2"/>
  <c r="AK6902" i="2" s="1"/>
  <c r="Y6902" i="2"/>
  <c r="AB6905" i="2"/>
  <c r="AK6905" i="2" s="1"/>
  <c r="Y6905" i="2"/>
  <c r="AF6906" i="2"/>
  <c r="AC6909" i="2"/>
  <c r="AB6909" i="2"/>
  <c r="AK6909" i="2" s="1"/>
  <c r="Y6909" i="2"/>
  <c r="AC6912" i="2"/>
  <c r="AB6912" i="2"/>
  <c r="AK6912" i="2" s="1"/>
  <c r="Y6912" i="2"/>
  <c r="AF6919" i="2"/>
  <c r="AC6922" i="2"/>
  <c r="AB6922" i="2"/>
  <c r="AK6922" i="2" s="1"/>
  <c r="Y6922" i="2"/>
  <c r="AF6926" i="2"/>
  <c r="AF6936" i="2"/>
  <c r="AB6949" i="2"/>
  <c r="AK6949" i="2" s="1"/>
  <c r="Y6949" i="2"/>
  <c r="AC6949" i="2"/>
  <c r="AF6952" i="2"/>
  <c r="AC6958" i="2"/>
  <c r="AB6958" i="2"/>
  <c r="AK6958" i="2" s="1"/>
  <c r="Y6958" i="2"/>
  <c r="AB6961" i="2"/>
  <c r="AK6961" i="2" s="1"/>
  <c r="Y6961" i="2"/>
  <c r="AF6968" i="2"/>
  <c r="AF6971" i="2"/>
  <c r="AF7005" i="2"/>
  <c r="AC7011" i="2"/>
  <c r="AB7011" i="2"/>
  <c r="AK7011" i="2" s="1"/>
  <c r="Y7011" i="2"/>
  <c r="AC7014" i="2"/>
  <c r="AB7014" i="2"/>
  <c r="AK7014" i="2" s="1"/>
  <c r="Y7014" i="2"/>
  <c r="AF7021" i="2"/>
  <c r="AC7027" i="2"/>
  <c r="AB7027" i="2"/>
  <c r="AK7027" i="2" s="1"/>
  <c r="Y7027" i="2"/>
  <c r="AC7030" i="2"/>
  <c r="AB7030" i="2"/>
  <c r="AK7030" i="2" s="1"/>
  <c r="Y7030" i="2"/>
  <c r="AC7061" i="2"/>
  <c r="AB7061" i="2"/>
  <c r="AK7061" i="2" s="1"/>
  <c r="Y7061" i="2"/>
  <c r="AB7064" i="2"/>
  <c r="AK7064" i="2" s="1"/>
  <c r="Y7064" i="2"/>
  <c r="AB7101" i="2"/>
  <c r="AK7101" i="2" s="1"/>
  <c r="Y7101" i="2"/>
  <c r="AC7101" i="2"/>
  <c r="AB7119" i="2"/>
  <c r="AK7119" i="2" s="1"/>
  <c r="Y7119" i="2"/>
  <c r="AB7153" i="2"/>
  <c r="AK7153" i="2" s="1"/>
  <c r="Y7153" i="2"/>
  <c r="AC7153" i="2"/>
  <c r="AB7263" i="2"/>
  <c r="AK7263" i="2" s="1"/>
  <c r="Y7263" i="2"/>
  <c r="AC7263" i="2"/>
  <c r="AC7358" i="2"/>
  <c r="AB7358" i="2"/>
  <c r="AK7358" i="2" s="1"/>
  <c r="Y7358" i="2"/>
  <c r="AB7391" i="2"/>
  <c r="AK7391" i="2" s="1"/>
  <c r="Y7391" i="2"/>
  <c r="AC7391" i="2"/>
  <c r="AB7476" i="2"/>
  <c r="AK7476" i="2" s="1"/>
  <c r="Y7476" i="2"/>
  <c r="AC7476" i="2"/>
  <c r="AC7490" i="2"/>
  <c r="AB7490" i="2"/>
  <c r="AK7490" i="2" s="1"/>
  <c r="Y7490" i="2"/>
  <c r="AC7667" i="2"/>
  <c r="AB7667" i="2"/>
  <c r="AK7667" i="2" s="1"/>
  <c r="Y7667" i="2"/>
  <c r="AC7752" i="2"/>
  <c r="AB7752" i="2"/>
  <c r="AK7752" i="2" s="1"/>
  <c r="Y7752" i="2"/>
  <c r="AB7763" i="2"/>
  <c r="AK7763" i="2" s="1"/>
  <c r="Y7763" i="2"/>
  <c r="AC7775" i="2"/>
  <c r="AB7778" i="2"/>
  <c r="AK7778" i="2" s="1"/>
  <c r="Y7778" i="2"/>
  <c r="AB7790" i="2"/>
  <c r="AK7790" i="2" s="1"/>
  <c r="Y7790" i="2"/>
  <c r="AC7805" i="2"/>
  <c r="Y7805" i="2"/>
  <c r="AC7819" i="2"/>
  <c r="AB7819" i="2"/>
  <c r="AK7819" i="2" s="1"/>
  <c r="Y7819" i="2"/>
  <c r="AB7826" i="2"/>
  <c r="AK7826" i="2" s="1"/>
  <c r="Y7826" i="2"/>
  <c r="AB7836" i="2"/>
  <c r="AK7836" i="2" s="1"/>
  <c r="Y7836" i="2"/>
  <c r="AC7840" i="2"/>
  <c r="AB7840" i="2"/>
  <c r="AK7840" i="2" s="1"/>
  <c r="Y7840" i="2"/>
  <c r="AB7860" i="2"/>
  <c r="AK7860" i="2" s="1"/>
  <c r="Y7860" i="2"/>
  <c r="AC7860" i="2"/>
  <c r="AC7900" i="2"/>
  <c r="AB7900" i="2"/>
  <c r="AK7900" i="2" s="1"/>
  <c r="Y7900" i="2"/>
  <c r="AC7927" i="2"/>
  <c r="AB7927" i="2"/>
  <c r="AK7927" i="2" s="1"/>
  <c r="AB7936" i="2"/>
  <c r="AK7936" i="2" s="1"/>
  <c r="AC7936" i="2"/>
  <c r="Y7936" i="2"/>
  <c r="AC7947" i="2"/>
  <c r="AB7947" i="2"/>
  <c r="AK7947" i="2" s="1"/>
  <c r="Y7947" i="2"/>
  <c r="AB7969" i="2"/>
  <c r="AK7969" i="2" s="1"/>
  <c r="AC7969" i="2"/>
  <c r="AC8086" i="2"/>
  <c r="AB8086" i="2"/>
  <c r="AK8086" i="2" s="1"/>
  <c r="Y8086" i="2"/>
  <c r="AB8099" i="2"/>
  <c r="AK8099" i="2" s="1"/>
  <c r="Y8099" i="2"/>
  <c r="AC8099" i="2"/>
  <c r="Y7801" i="2"/>
  <c r="Y7481" i="2"/>
  <c r="Y7449" i="2"/>
  <c r="Y7417" i="2"/>
  <c r="Y7385" i="2"/>
  <c r="Y7353" i="2"/>
  <c r="Y7289" i="2"/>
  <c r="Y7191" i="2"/>
  <c r="Y7127" i="2"/>
  <c r="Y7063" i="2"/>
  <c r="AC7147" i="2"/>
  <c r="AB7147" i="2"/>
  <c r="AK7147" i="2" s="1"/>
  <c r="Y7147" i="2"/>
  <c r="AC7154" i="2"/>
  <c r="AB7154" i="2"/>
  <c r="AK7154" i="2" s="1"/>
  <c r="Y7154" i="2"/>
  <c r="AB7161" i="2"/>
  <c r="AK7161" i="2" s="1"/>
  <c r="Y7161" i="2"/>
  <c r="AC7164" i="2"/>
  <c r="AB7164" i="2"/>
  <c r="AK7164" i="2" s="1"/>
  <c r="Y7164" i="2"/>
  <c r="AF7169" i="2"/>
  <c r="AF7179" i="2"/>
  <c r="AF7183" i="2"/>
  <c r="AB7185" i="2"/>
  <c r="AK7185" i="2" s="1"/>
  <c r="Y7185" i="2"/>
  <c r="AC7189" i="2"/>
  <c r="AB7189" i="2"/>
  <c r="AK7189" i="2" s="1"/>
  <c r="Y7189" i="2"/>
  <c r="AC7192" i="2"/>
  <c r="AB7192" i="2"/>
  <c r="AK7192" i="2" s="1"/>
  <c r="Y7192" i="2"/>
  <c r="AC7208" i="2"/>
  <c r="AB7208" i="2"/>
  <c r="AK7208" i="2" s="1"/>
  <c r="Y7208" i="2"/>
  <c r="AC7219" i="2"/>
  <c r="AB7219" i="2"/>
  <c r="AK7219" i="2" s="1"/>
  <c r="Y7219" i="2"/>
  <c r="AF7224" i="2"/>
  <c r="AC7227" i="2"/>
  <c r="AB7227" i="2"/>
  <c r="AK7227" i="2" s="1"/>
  <c r="Y7227" i="2"/>
  <c r="AF7232" i="2"/>
  <c r="AC7235" i="2"/>
  <c r="AB7235" i="2"/>
  <c r="AK7235" i="2" s="1"/>
  <c r="Y7235" i="2"/>
  <c r="AF7240" i="2"/>
  <c r="AC7243" i="2"/>
  <c r="AB7243" i="2"/>
  <c r="AK7243" i="2" s="1"/>
  <c r="Y7243" i="2"/>
  <c r="AF7248" i="2"/>
  <c r="AC7251" i="2"/>
  <c r="AB7251" i="2"/>
  <c r="AK7251" i="2" s="1"/>
  <c r="Y7251" i="2"/>
  <c r="AF7256" i="2"/>
  <c r="AC7259" i="2"/>
  <c r="AB7259" i="2"/>
  <c r="AK7259" i="2" s="1"/>
  <c r="Y7259" i="2"/>
  <c r="AF7264" i="2"/>
  <c r="AC7267" i="2"/>
  <c r="AB7267" i="2"/>
  <c r="AK7267" i="2" s="1"/>
  <c r="Y7267" i="2"/>
  <c r="AF7272" i="2"/>
  <c r="AA7276" i="2"/>
  <c r="Y7276" i="2"/>
  <c r="AF7277" i="2"/>
  <c r="AC7280" i="2"/>
  <c r="AB7280" i="2"/>
  <c r="AK7280" i="2" s="1"/>
  <c r="Y7280" i="2"/>
  <c r="AF7288" i="2"/>
  <c r="AC7299" i="2"/>
  <c r="AB7299" i="2"/>
  <c r="AK7299" i="2" s="1"/>
  <c r="Y7299" i="2"/>
  <c r="AB7306" i="2"/>
  <c r="AK7306" i="2" s="1"/>
  <c r="Y7306" i="2"/>
  <c r="AF7307" i="2"/>
  <c r="AF7318" i="2"/>
  <c r="AC7325" i="2"/>
  <c r="AB7325" i="2"/>
  <c r="AK7325" i="2" s="1"/>
  <c r="Y7325" i="2"/>
  <c r="AF7336" i="2"/>
  <c r="AC7339" i="2"/>
  <c r="AB7339" i="2"/>
  <c r="AK7339" i="2" s="1"/>
  <c r="Y7339" i="2"/>
  <c r="AB7346" i="2"/>
  <c r="AK7346" i="2" s="1"/>
  <c r="Y7346" i="2"/>
  <c r="AC7350" i="2"/>
  <c r="AB7350" i="2"/>
  <c r="AK7350" i="2" s="1"/>
  <c r="Y7350" i="2"/>
  <c r="AF7355" i="2"/>
  <c r="AF7358" i="2"/>
  <c r="AB7372" i="2"/>
  <c r="AK7372" i="2" s="1"/>
  <c r="Y7372" i="2"/>
  <c r="AF7373" i="2"/>
  <c r="AC7376" i="2"/>
  <c r="AB7376" i="2"/>
  <c r="AK7376" i="2" s="1"/>
  <c r="Y7376" i="2"/>
  <c r="AF7384" i="2"/>
  <c r="AB7402" i="2"/>
  <c r="AK7402" i="2" s="1"/>
  <c r="Y7402" i="2"/>
  <c r="AF7403" i="2"/>
  <c r="AC7406" i="2"/>
  <c r="AB7406" i="2"/>
  <c r="AK7406" i="2" s="1"/>
  <c r="Y7406" i="2"/>
  <c r="AF7414" i="2"/>
  <c r="AF7418" i="2"/>
  <c r="AB7421" i="2"/>
  <c r="AK7421" i="2" s="1"/>
  <c r="Y7421" i="2"/>
  <c r="AB7428" i="2"/>
  <c r="AK7428" i="2" s="1"/>
  <c r="Y7428" i="2"/>
  <c r="AB7436" i="2"/>
  <c r="AK7436" i="2" s="1"/>
  <c r="Y7436" i="2"/>
  <c r="AB7444" i="2"/>
  <c r="AK7444" i="2" s="1"/>
  <c r="Y7444" i="2"/>
  <c r="AF7449" i="2"/>
  <c r="AF7456" i="2"/>
  <c r="AB7459" i="2"/>
  <c r="AK7459" i="2" s="1"/>
  <c r="Y7459" i="2"/>
  <c r="AF7464" i="2"/>
  <c r="AB7467" i="2"/>
  <c r="AK7467" i="2" s="1"/>
  <c r="Y7467" i="2"/>
  <c r="AF7472" i="2"/>
  <c r="AB7475" i="2"/>
  <c r="AK7475" i="2" s="1"/>
  <c r="Y7475" i="2"/>
  <c r="AF7490" i="2"/>
  <c r="AB7508" i="2"/>
  <c r="AK7508" i="2" s="1"/>
  <c r="Y7508" i="2"/>
  <c r="AF7509" i="2"/>
  <c r="AC7512" i="2"/>
  <c r="AB7512" i="2"/>
  <c r="AK7512" i="2" s="1"/>
  <c r="Y7512" i="2"/>
  <c r="AF7516" i="2"/>
  <c r="AF7521" i="2"/>
  <c r="AC7527" i="2"/>
  <c r="AB7527" i="2"/>
  <c r="AK7527" i="2" s="1"/>
  <c r="AF7531" i="2"/>
  <c r="AB7534" i="2"/>
  <c r="AK7534" i="2" s="1"/>
  <c r="Y7534" i="2"/>
  <c r="AF7536" i="2"/>
  <c r="AC7538" i="2"/>
  <c r="AB7538" i="2"/>
  <c r="AK7538" i="2" s="1"/>
  <c r="Y7538" i="2"/>
  <c r="AB7549" i="2"/>
  <c r="AK7549" i="2" s="1"/>
  <c r="Y7549" i="2"/>
  <c r="AC7561" i="2"/>
  <c r="AB7561" i="2"/>
  <c r="AK7561" i="2" s="1"/>
  <c r="AB7564" i="2"/>
  <c r="AK7564" i="2" s="1"/>
  <c r="Y7564" i="2"/>
  <c r="AB7576" i="2"/>
  <c r="AK7576" i="2" s="1"/>
  <c r="Y7576" i="2"/>
  <c r="AB7579" i="2"/>
  <c r="AK7579" i="2" s="1"/>
  <c r="Y7579" i="2"/>
  <c r="AC7591" i="2"/>
  <c r="AB7591" i="2"/>
  <c r="AK7591" i="2" s="1"/>
  <c r="AB7598" i="2"/>
  <c r="AK7598" i="2" s="1"/>
  <c r="Y7598" i="2"/>
  <c r="AF7600" i="2"/>
  <c r="AC7602" i="2"/>
  <c r="Y7602" i="2"/>
  <c r="AF7611" i="2"/>
  <c r="AC7618" i="2"/>
  <c r="AB7618" i="2"/>
  <c r="AK7618" i="2" s="1"/>
  <c r="Y7618" i="2"/>
  <c r="AB7621" i="2"/>
  <c r="AK7621" i="2" s="1"/>
  <c r="Y7621" i="2"/>
  <c r="AB7636" i="2"/>
  <c r="AK7636" i="2" s="1"/>
  <c r="Y7636" i="2"/>
  <c r="AC7648" i="2"/>
  <c r="AB7648" i="2"/>
  <c r="AK7648" i="2" s="1"/>
  <c r="Y7648" i="2"/>
  <c r="AF7657" i="2"/>
  <c r="AC7659" i="2"/>
  <c r="AB7659" i="2"/>
  <c r="AK7659" i="2" s="1"/>
  <c r="Y7659" i="2"/>
  <c r="AC7674" i="2"/>
  <c r="AB7674" i="2"/>
  <c r="AK7674" i="2" s="1"/>
  <c r="Y7674" i="2"/>
  <c r="AC7682" i="2"/>
  <c r="Y7682" i="2"/>
  <c r="AC7690" i="2"/>
  <c r="Y7690" i="2"/>
  <c r="AC7698" i="2"/>
  <c r="AB7698" i="2"/>
  <c r="AK7698" i="2" s="1"/>
  <c r="Y7698" i="2"/>
  <c r="AC7706" i="2"/>
  <c r="AB7706" i="2"/>
  <c r="AK7706" i="2" s="1"/>
  <c r="Y7706" i="2"/>
  <c r="AC7714" i="2"/>
  <c r="AB7714" i="2"/>
  <c r="AK7714" i="2" s="1"/>
  <c r="Y7714" i="2"/>
  <c r="AC7722" i="2"/>
  <c r="AB7722" i="2"/>
  <c r="AK7722" i="2" s="1"/>
  <c r="Y7722" i="2"/>
  <c r="AC7733" i="2"/>
  <c r="AB7733" i="2"/>
  <c r="AK7733" i="2" s="1"/>
  <c r="Y7733" i="2"/>
  <c r="Y7740" i="2"/>
  <c r="AC7744" i="2"/>
  <c r="AB7744" i="2"/>
  <c r="AK7744" i="2" s="1"/>
  <c r="Y7744" i="2"/>
  <c r="AF7749" i="2"/>
  <c r="AB7755" i="2"/>
  <c r="AK7755" i="2" s="1"/>
  <c r="Y7755" i="2"/>
  <c r="AC7763" i="2"/>
  <c r="AC7767" i="2"/>
  <c r="AB7767" i="2"/>
  <c r="AK7767" i="2" s="1"/>
  <c r="Y7770" i="2"/>
  <c r="AC7778" i="2"/>
  <c r="AB7782" i="2"/>
  <c r="AK7782" i="2" s="1"/>
  <c r="Y7782" i="2"/>
  <c r="AC7790" i="2"/>
  <c r="AC7793" i="2"/>
  <c r="AC7797" i="2"/>
  <c r="Y7797" i="2"/>
  <c r="AF7798" i="2"/>
  <c r="AC7801" i="2"/>
  <c r="AB7804" i="2"/>
  <c r="AK7804" i="2" s="1"/>
  <c r="Y7804" i="2"/>
  <c r="AC7808" i="2"/>
  <c r="AB7808" i="2"/>
  <c r="AK7808" i="2" s="1"/>
  <c r="Y7808" i="2"/>
  <c r="AC7815" i="2"/>
  <c r="AC7822" i="2"/>
  <c r="AB7822" i="2"/>
  <c r="AK7822" i="2" s="1"/>
  <c r="Y7822" i="2"/>
  <c r="AC7826" i="2"/>
  <c r="AC7829" i="2"/>
  <c r="AB7829" i="2"/>
  <c r="AK7829" i="2" s="1"/>
  <c r="Y7829" i="2"/>
  <c r="AC7836" i="2"/>
  <c r="AC7843" i="2"/>
  <c r="AB7843" i="2"/>
  <c r="AK7843" i="2" s="1"/>
  <c r="Y7843" i="2"/>
  <c r="AB7866" i="2"/>
  <c r="AK7866" i="2" s="1"/>
  <c r="Y7866" i="2"/>
  <c r="AC7869" i="2"/>
  <c r="AB7869" i="2"/>
  <c r="AK7869" i="2" s="1"/>
  <c r="Y7869" i="2"/>
  <c r="AB7897" i="2"/>
  <c r="AK7897" i="2" s="1"/>
  <c r="AC7897" i="2"/>
  <c r="AB7912" i="2"/>
  <c r="AK7912" i="2" s="1"/>
  <c r="Y7912" i="2"/>
  <c r="AB7918" i="2"/>
  <c r="AK7918" i="2" s="1"/>
  <c r="Y7918" i="2"/>
  <c r="AC7918" i="2"/>
  <c r="AB7944" i="2"/>
  <c r="AK7944" i="2" s="1"/>
  <c r="Y7944" i="2"/>
  <c r="AC7944" i="2"/>
  <c r="AB8070" i="2"/>
  <c r="AK8070" i="2" s="1"/>
  <c r="Y8070" i="2"/>
  <c r="AC8070" i="2"/>
  <c r="AC8110" i="2"/>
  <c r="AB8110" i="2"/>
  <c r="AK8110" i="2" s="1"/>
  <c r="Y8110" i="2"/>
  <c r="AB8130" i="2"/>
  <c r="AK8130" i="2" s="1"/>
  <c r="Y8130" i="2"/>
  <c r="AC8130" i="2"/>
  <c r="Y7927" i="2"/>
  <c r="Y7863" i="2"/>
  <c r="Y7799" i="2"/>
  <c r="Y7767" i="2"/>
  <c r="Y7639" i="2"/>
  <c r="Y7511" i="2"/>
  <c r="Y7447" i="2"/>
  <c r="Y7415" i="2"/>
  <c r="Y7383" i="2"/>
  <c r="Y7351" i="2"/>
  <c r="Y7319" i="2"/>
  <c r="Y7287" i="2"/>
  <c r="Y7183" i="2"/>
  <c r="Y7055" i="2"/>
  <c r="Y6985" i="2"/>
  <c r="AB7074" i="2"/>
  <c r="AK7074" i="2" s="1"/>
  <c r="Y7074" i="2"/>
  <c r="AF7075" i="2"/>
  <c r="AF7078" i="2"/>
  <c r="AC7081" i="2"/>
  <c r="AB7081" i="2"/>
  <c r="AK7081" i="2" s="1"/>
  <c r="Y7081" i="2"/>
  <c r="AF7085" i="2"/>
  <c r="AB7094" i="2"/>
  <c r="AK7094" i="2" s="1"/>
  <c r="Y7094" i="2"/>
  <c r="AF7095" i="2"/>
  <c r="AC7098" i="2"/>
  <c r="AB7098" i="2"/>
  <c r="AK7098" i="2" s="1"/>
  <c r="Y7098" i="2"/>
  <c r="AB7104" i="2"/>
  <c r="AK7104" i="2" s="1"/>
  <c r="Y7104" i="2"/>
  <c r="AF7105" i="2"/>
  <c r="AC7108" i="2"/>
  <c r="AB7108" i="2"/>
  <c r="AK7108" i="2" s="1"/>
  <c r="Y7108" i="2"/>
  <c r="AC7115" i="2"/>
  <c r="AB7115" i="2"/>
  <c r="AK7115" i="2" s="1"/>
  <c r="Y7115" i="2"/>
  <c r="AC7122" i="2"/>
  <c r="Y7122" i="2"/>
  <c r="AB7125" i="2"/>
  <c r="AK7125" i="2" s="1"/>
  <c r="Y7125" i="2"/>
  <c r="AF7126" i="2"/>
  <c r="AB7132" i="2"/>
  <c r="AK7132" i="2" s="1"/>
  <c r="Y7132" i="2"/>
  <c r="AF7133" i="2"/>
  <c r="AC7136" i="2"/>
  <c r="AB7136" i="2"/>
  <c r="AK7136" i="2" s="1"/>
  <c r="Y7136" i="2"/>
  <c r="AF7137" i="2"/>
  <c r="AF7140" i="2"/>
  <c r="AC7143" i="2"/>
  <c r="AF7147" i="2"/>
  <c r="AC7150" i="2"/>
  <c r="AB7150" i="2"/>
  <c r="AK7150" i="2" s="1"/>
  <c r="Y7150" i="2"/>
  <c r="AB7157" i="2"/>
  <c r="AK7157" i="2" s="1"/>
  <c r="Y7157" i="2"/>
  <c r="AF7158" i="2"/>
  <c r="AC7161" i="2"/>
  <c r="AF7168" i="2"/>
  <c r="AC7171" i="2"/>
  <c r="AB7171" i="2"/>
  <c r="AK7171" i="2" s="1"/>
  <c r="Y7171" i="2"/>
  <c r="AF7175" i="2"/>
  <c r="AC7178" i="2"/>
  <c r="AB7178" i="2"/>
  <c r="AK7178" i="2" s="1"/>
  <c r="Y7178" i="2"/>
  <c r="AC7185" i="2"/>
  <c r="AB7188" i="2"/>
  <c r="AK7188" i="2" s="1"/>
  <c r="Y7188" i="2"/>
  <c r="AF7189" i="2"/>
  <c r="AC7199" i="2"/>
  <c r="AC7203" i="2"/>
  <c r="AB7203" i="2"/>
  <c r="AK7203" i="2" s="1"/>
  <c r="Y7203" i="2"/>
  <c r="AC7211" i="2"/>
  <c r="AB7211" i="2"/>
  <c r="AK7211" i="2" s="1"/>
  <c r="Y7211" i="2"/>
  <c r="AC7215" i="2"/>
  <c r="AF7216" i="2"/>
  <c r="AB7222" i="2"/>
  <c r="AK7222" i="2" s="1"/>
  <c r="Y7222" i="2"/>
  <c r="AB7230" i="2"/>
  <c r="AK7230" i="2" s="1"/>
  <c r="Y7230" i="2"/>
  <c r="AB7238" i="2"/>
  <c r="AK7238" i="2" s="1"/>
  <c r="Y7238" i="2"/>
  <c r="AB7246" i="2"/>
  <c r="AK7246" i="2" s="1"/>
  <c r="Y7246" i="2"/>
  <c r="AB7254" i="2"/>
  <c r="AK7254" i="2" s="1"/>
  <c r="Y7254" i="2"/>
  <c r="AB7262" i="2"/>
  <c r="AK7262" i="2" s="1"/>
  <c r="Y7262" i="2"/>
  <c r="AB7270" i="2"/>
  <c r="AK7270" i="2" s="1"/>
  <c r="Y7270" i="2"/>
  <c r="AA7275" i="2"/>
  <c r="AB7275" i="2" s="1"/>
  <c r="AK7275" i="2" s="1"/>
  <c r="Y7275" i="2"/>
  <c r="AC7291" i="2"/>
  <c r="AB7291" i="2"/>
  <c r="AK7291" i="2" s="1"/>
  <c r="Y7291" i="2"/>
  <c r="AB7298" i="2"/>
  <c r="AK7298" i="2" s="1"/>
  <c r="Y7298" i="2"/>
  <c r="AC7302" i="2"/>
  <c r="AB7302" i="2"/>
  <c r="AK7302" i="2" s="1"/>
  <c r="Y7302" i="2"/>
  <c r="AC7317" i="2"/>
  <c r="AB7317" i="2"/>
  <c r="AK7317" i="2" s="1"/>
  <c r="Y7317" i="2"/>
  <c r="AB7324" i="2"/>
  <c r="AK7324" i="2" s="1"/>
  <c r="Y7324" i="2"/>
  <c r="AC7328" i="2"/>
  <c r="AB7328" i="2"/>
  <c r="AK7328" i="2" s="1"/>
  <c r="Y7328" i="2"/>
  <c r="AC7342" i="2"/>
  <c r="AB7342" i="2"/>
  <c r="AK7342" i="2" s="1"/>
  <c r="Y7342" i="2"/>
  <c r="AC7365" i="2"/>
  <c r="AB7365" i="2"/>
  <c r="AK7365" i="2" s="1"/>
  <c r="Y7365" i="2"/>
  <c r="AC7387" i="2"/>
  <c r="AB7387" i="2"/>
  <c r="AK7387" i="2" s="1"/>
  <c r="Y7387" i="2"/>
  <c r="AB7394" i="2"/>
  <c r="AK7394" i="2" s="1"/>
  <c r="Y7394" i="2"/>
  <c r="AC7398" i="2"/>
  <c r="AB7398" i="2"/>
  <c r="AK7398" i="2" s="1"/>
  <c r="Y7398" i="2"/>
  <c r="AB7413" i="2"/>
  <c r="AK7413" i="2" s="1"/>
  <c r="Y7413" i="2"/>
  <c r="AB7420" i="2"/>
  <c r="AK7420" i="2" s="1"/>
  <c r="Y7420" i="2"/>
  <c r="AC7432" i="2"/>
  <c r="AB7432" i="2"/>
  <c r="AK7432" i="2" s="1"/>
  <c r="Y7432" i="2"/>
  <c r="AC7440" i="2"/>
  <c r="AB7440" i="2"/>
  <c r="AK7440" i="2" s="1"/>
  <c r="Y7440" i="2"/>
  <c r="AC7448" i="2"/>
  <c r="AB7448" i="2"/>
  <c r="AK7448" i="2" s="1"/>
  <c r="Y7448" i="2"/>
  <c r="AC7455" i="2"/>
  <c r="AB7455" i="2"/>
  <c r="AK7455" i="2" s="1"/>
  <c r="AC7463" i="2"/>
  <c r="AB7463" i="2"/>
  <c r="AK7463" i="2" s="1"/>
  <c r="AC7471" i="2"/>
  <c r="AB7471" i="2"/>
  <c r="AK7471" i="2" s="1"/>
  <c r="AB7485" i="2"/>
  <c r="AK7485" i="2" s="1"/>
  <c r="Y7485" i="2"/>
  <c r="AB7492" i="2"/>
  <c r="AK7492" i="2" s="1"/>
  <c r="Y7492" i="2"/>
  <c r="AB7500" i="2"/>
  <c r="AK7500" i="2" s="1"/>
  <c r="Y7500" i="2"/>
  <c r="AC7515" i="2"/>
  <c r="AB7515" i="2"/>
  <c r="AK7515" i="2" s="1"/>
  <c r="Y7515" i="2"/>
  <c r="AB7526" i="2"/>
  <c r="AK7526" i="2" s="1"/>
  <c r="Y7526" i="2"/>
  <c r="AC7530" i="2"/>
  <c r="AB7530" i="2"/>
  <c r="AK7530" i="2" s="1"/>
  <c r="Y7530" i="2"/>
  <c r="AB7541" i="2"/>
  <c r="AK7541" i="2" s="1"/>
  <c r="Y7541" i="2"/>
  <c r="AC7553" i="2"/>
  <c r="AB7553" i="2"/>
  <c r="AK7553" i="2" s="1"/>
  <c r="AB7556" i="2"/>
  <c r="AK7556" i="2" s="1"/>
  <c r="Y7556" i="2"/>
  <c r="AF7557" i="2"/>
  <c r="AF7561" i="2"/>
  <c r="AC7564" i="2"/>
  <c r="AB7568" i="2"/>
  <c r="AK7568" i="2" s="1"/>
  <c r="Y7568" i="2"/>
  <c r="AB7571" i="2"/>
  <c r="AK7571" i="2" s="1"/>
  <c r="Y7571" i="2"/>
  <c r="AF7572" i="2"/>
  <c r="AC7576" i="2"/>
  <c r="AC7579" i="2"/>
  <c r="AC7583" i="2"/>
  <c r="AB7583" i="2"/>
  <c r="AK7583" i="2" s="1"/>
  <c r="AF7587" i="2"/>
  <c r="AB7590" i="2"/>
  <c r="AK7590" i="2" s="1"/>
  <c r="Y7590" i="2"/>
  <c r="AF7592" i="2"/>
  <c r="AC7594" i="2"/>
  <c r="AB7594" i="2"/>
  <c r="AK7594" i="2" s="1"/>
  <c r="Y7594" i="2"/>
  <c r="AC7598" i="2"/>
  <c r="AB7605" i="2"/>
  <c r="AK7605" i="2" s="1"/>
  <c r="Y7605" i="2"/>
  <c r="AC7610" i="2"/>
  <c r="AB7610" i="2"/>
  <c r="AK7610" i="2" s="1"/>
  <c r="Y7610" i="2"/>
  <c r="AB7613" i="2"/>
  <c r="AK7613" i="2" s="1"/>
  <c r="Y7613" i="2"/>
  <c r="AF7614" i="2"/>
  <c r="AF7618" i="2"/>
  <c r="AC7621" i="2"/>
  <c r="AB7628" i="2"/>
  <c r="AK7628" i="2" s="1"/>
  <c r="Y7628" i="2"/>
  <c r="AF7629" i="2"/>
  <c r="AC7633" i="2"/>
  <c r="AC7636" i="2"/>
  <c r="AC7640" i="2"/>
  <c r="AB7640" i="2"/>
  <c r="AK7640" i="2" s="1"/>
  <c r="Y7640" i="2"/>
  <c r="AF7644" i="2"/>
  <c r="AF7649" i="2"/>
  <c r="AC7651" i="2"/>
  <c r="AB7651" i="2"/>
  <c r="AK7651" i="2" s="1"/>
  <c r="Y7651" i="2"/>
  <c r="AC7655" i="2"/>
  <c r="AB7662" i="2"/>
  <c r="AK7662" i="2" s="1"/>
  <c r="Y7662" i="2"/>
  <c r="AF7674" i="2"/>
  <c r="AB7677" i="2"/>
  <c r="AK7677" i="2" s="1"/>
  <c r="Y7677" i="2"/>
  <c r="AF7682" i="2"/>
  <c r="AB7685" i="2"/>
  <c r="AK7685" i="2" s="1"/>
  <c r="Y7685" i="2"/>
  <c r="AF7690" i="2"/>
  <c r="AB7693" i="2"/>
  <c r="AK7693" i="2" s="1"/>
  <c r="Y7693" i="2"/>
  <c r="AF7698" i="2"/>
  <c r="AB7701" i="2"/>
  <c r="AK7701" i="2" s="1"/>
  <c r="Y7701" i="2"/>
  <c r="AF7706" i="2"/>
  <c r="AB7709" i="2"/>
  <c r="AK7709" i="2" s="1"/>
  <c r="Y7709" i="2"/>
  <c r="AB7717" i="2"/>
  <c r="AK7717" i="2" s="1"/>
  <c r="Y7717" i="2"/>
  <c r="AF7722" i="2"/>
  <c r="AB7725" i="2"/>
  <c r="AK7725" i="2" s="1"/>
  <c r="Y7725" i="2"/>
  <c r="AB7732" i="2"/>
  <c r="AK7732" i="2" s="1"/>
  <c r="Y7732" i="2"/>
  <c r="AC7736" i="2"/>
  <c r="AB7736" i="2"/>
  <c r="AK7736" i="2" s="1"/>
  <c r="Y7736" i="2"/>
  <c r="AC7740" i="2"/>
  <c r="AB7747" i="2"/>
  <c r="AK7747" i="2" s="1"/>
  <c r="Y7747" i="2"/>
  <c r="AC7755" i="2"/>
  <c r="AC7759" i="2"/>
  <c r="AB7759" i="2"/>
  <c r="AK7759" i="2" s="1"/>
  <c r="AB7762" i="2"/>
  <c r="AK7762" i="2" s="1"/>
  <c r="Y7762" i="2"/>
  <c r="AC7770" i="2"/>
  <c r="Y7774" i="2"/>
  <c r="AC7782" i="2"/>
  <c r="AC7785" i="2"/>
  <c r="AC7789" i="2"/>
  <c r="AB7789" i="2"/>
  <c r="AK7789" i="2" s="1"/>
  <c r="Y7789" i="2"/>
  <c r="AB7796" i="2"/>
  <c r="AK7796" i="2" s="1"/>
  <c r="Y7796" i="2"/>
  <c r="AC7804" i="2"/>
  <c r="AC7811" i="2"/>
  <c r="AB7811" i="2"/>
  <c r="AK7811" i="2" s="1"/>
  <c r="Y7811" i="2"/>
  <c r="AB7818" i="2"/>
  <c r="AK7818" i="2" s="1"/>
  <c r="Y7818" i="2"/>
  <c r="AC7832" i="2"/>
  <c r="AB7832" i="2"/>
  <c r="AK7832" i="2" s="1"/>
  <c r="Y7832" i="2"/>
  <c r="AC7839" i="2"/>
  <c r="AC7846" i="2"/>
  <c r="AB7846" i="2"/>
  <c r="AK7846" i="2" s="1"/>
  <c r="Y7846" i="2"/>
  <c r="AC7856" i="2"/>
  <c r="Y7856" i="2"/>
  <c r="AC7866" i="2"/>
  <c r="AC7872" i="2"/>
  <c r="AB7872" i="2"/>
  <c r="AK7872" i="2" s="1"/>
  <c r="Y7872" i="2"/>
  <c r="AF7909" i="2"/>
  <c r="AC7912" i="2"/>
  <c r="AB7929" i="2"/>
  <c r="AK7929" i="2" s="1"/>
  <c r="AC7929" i="2"/>
  <c r="AC7938" i="2"/>
  <c r="AB7938" i="2"/>
  <c r="AK7938" i="2" s="1"/>
  <c r="Y7938" i="2"/>
  <c r="AC7965" i="2"/>
  <c r="AB7965" i="2"/>
  <c r="AK7965" i="2" s="1"/>
  <c r="Y7965" i="2"/>
  <c r="AH8006" i="2"/>
  <c r="AH8010" i="2"/>
  <c r="AF8010" i="2"/>
  <c r="AB8050" i="2"/>
  <c r="AK8050" i="2" s="1"/>
  <c r="Y8050" i="2"/>
  <c r="AC8050" i="2"/>
  <c r="AC8060" i="2"/>
  <c r="AB8060" i="2"/>
  <c r="AK8060" i="2" s="1"/>
  <c r="Y8060" i="2"/>
  <c r="AC8065" i="2"/>
  <c r="AB8065" i="2"/>
  <c r="AK8065" i="2" s="1"/>
  <c r="AB8083" i="2"/>
  <c r="AK8083" i="2" s="1"/>
  <c r="Y8083" i="2"/>
  <c r="AC8083" i="2"/>
  <c r="AB8123" i="2"/>
  <c r="AK8123" i="2" s="1"/>
  <c r="Y8123" i="2"/>
  <c r="AC8123" i="2"/>
  <c r="Y7825" i="2"/>
  <c r="Y7793" i="2"/>
  <c r="Y7761" i="2"/>
  <c r="Y7665" i="2"/>
  <c r="Y7633" i="2"/>
  <c r="Y7505" i="2"/>
  <c r="Y7473" i="2"/>
  <c r="Y7441" i="2"/>
  <c r="Y7409" i="2"/>
  <c r="Y7377" i="2"/>
  <c r="Y7345" i="2"/>
  <c r="Y7313" i="2"/>
  <c r="Y7281" i="2"/>
  <c r="AF7192" i="2"/>
  <c r="AC7195" i="2"/>
  <c r="AB7195" i="2"/>
  <c r="AK7195" i="2" s="1"/>
  <c r="Y7195" i="2"/>
  <c r="AC7207" i="2"/>
  <c r="AF7208" i="2"/>
  <c r="AB7214" i="2"/>
  <c r="AK7214" i="2" s="1"/>
  <c r="Y7214" i="2"/>
  <c r="AF7219" i="2"/>
  <c r="AC7222" i="2"/>
  <c r="AC7226" i="2"/>
  <c r="AB7226" i="2"/>
  <c r="AK7226" i="2" s="1"/>
  <c r="Y7226" i="2"/>
  <c r="AF7227" i="2"/>
  <c r="AC7230" i="2"/>
  <c r="AC7234" i="2"/>
  <c r="AB7234" i="2"/>
  <c r="AK7234" i="2" s="1"/>
  <c r="Y7234" i="2"/>
  <c r="AF7235" i="2"/>
  <c r="AC7238" i="2"/>
  <c r="AC7242" i="2"/>
  <c r="AB7242" i="2"/>
  <c r="AK7242" i="2" s="1"/>
  <c r="Y7242" i="2"/>
  <c r="AF7243" i="2"/>
  <c r="AC7246" i="2"/>
  <c r="AC7250" i="2"/>
  <c r="AB7250" i="2"/>
  <c r="AK7250" i="2" s="1"/>
  <c r="Y7250" i="2"/>
  <c r="AF7251" i="2"/>
  <c r="AC7254" i="2"/>
  <c r="AC7258" i="2"/>
  <c r="AB7258" i="2"/>
  <c r="AK7258" i="2" s="1"/>
  <c r="Y7258" i="2"/>
  <c r="AF7259" i="2"/>
  <c r="AC7262" i="2"/>
  <c r="AC7266" i="2"/>
  <c r="AB7266" i="2"/>
  <c r="AK7266" i="2" s="1"/>
  <c r="Y7266" i="2"/>
  <c r="AF7267" i="2"/>
  <c r="AC7270" i="2"/>
  <c r="AA7274" i="2"/>
  <c r="Y7274" i="2"/>
  <c r="AC7275" i="2"/>
  <c r="AC7279" i="2"/>
  <c r="AC7283" i="2"/>
  <c r="AB7283" i="2"/>
  <c r="AK7283" i="2" s="1"/>
  <c r="Y7283" i="2"/>
  <c r="AB7290" i="2"/>
  <c r="AK7290" i="2" s="1"/>
  <c r="Y7290" i="2"/>
  <c r="AC7294" i="2"/>
  <c r="AB7294" i="2"/>
  <c r="AK7294" i="2" s="1"/>
  <c r="Y7294" i="2"/>
  <c r="AC7298" i="2"/>
  <c r="AF7299" i="2"/>
  <c r="AC7309" i="2"/>
  <c r="AB7309" i="2"/>
  <c r="AK7309" i="2" s="1"/>
  <c r="Y7309" i="2"/>
  <c r="AB7316" i="2"/>
  <c r="AK7316" i="2" s="1"/>
  <c r="Y7316" i="2"/>
  <c r="AC7320" i="2"/>
  <c r="AB7320" i="2"/>
  <c r="AK7320" i="2" s="1"/>
  <c r="Y7320" i="2"/>
  <c r="AC7324" i="2"/>
  <c r="AC7331" i="2"/>
  <c r="AB7331" i="2"/>
  <c r="AK7331" i="2" s="1"/>
  <c r="Y7331" i="2"/>
  <c r="AB7338" i="2"/>
  <c r="AK7338" i="2" s="1"/>
  <c r="Y7338" i="2"/>
  <c r="AF7339" i="2"/>
  <c r="AC7353" i="2"/>
  <c r="AC7357" i="2"/>
  <c r="AB7357" i="2"/>
  <c r="AK7357" i="2" s="1"/>
  <c r="Y7357" i="2"/>
  <c r="Y7364" i="2"/>
  <c r="AC7368" i="2"/>
  <c r="AB7368" i="2"/>
  <c r="AK7368" i="2" s="1"/>
  <c r="Y7368" i="2"/>
  <c r="AC7375" i="2"/>
  <c r="AC7379" i="2"/>
  <c r="AB7379" i="2"/>
  <c r="AK7379" i="2" s="1"/>
  <c r="Y7379" i="2"/>
  <c r="AB7386" i="2"/>
  <c r="AK7386" i="2" s="1"/>
  <c r="Y7386" i="2"/>
  <c r="AC7390" i="2"/>
  <c r="AB7390" i="2"/>
  <c r="AK7390" i="2" s="1"/>
  <c r="Y7390" i="2"/>
  <c r="AC7394" i="2"/>
  <c r="AB7405" i="2"/>
  <c r="AK7405" i="2" s="1"/>
  <c r="Y7405" i="2"/>
  <c r="AC7409" i="2"/>
  <c r="AB7412" i="2"/>
  <c r="AK7412" i="2" s="1"/>
  <c r="Y7412" i="2"/>
  <c r="AC7413" i="2"/>
  <c r="AC7420" i="2"/>
  <c r="AC7424" i="2"/>
  <c r="AB7424" i="2"/>
  <c r="AK7424" i="2" s="1"/>
  <c r="Y7424" i="2"/>
  <c r="AB7454" i="2"/>
  <c r="AK7454" i="2" s="1"/>
  <c r="Y7454" i="2"/>
  <c r="AB7462" i="2"/>
  <c r="AK7462" i="2" s="1"/>
  <c r="Y7462" i="2"/>
  <c r="AB7470" i="2"/>
  <c r="AK7470" i="2" s="1"/>
  <c r="Y7470" i="2"/>
  <c r="AC7478" i="2"/>
  <c r="AB7478" i="2"/>
  <c r="AK7478" i="2" s="1"/>
  <c r="Y7478" i="2"/>
  <c r="AC7482" i="2"/>
  <c r="AB7482" i="2"/>
  <c r="AK7482" i="2" s="1"/>
  <c r="Y7482" i="2"/>
  <c r="AC7485" i="2"/>
  <c r="AC7492" i="2"/>
  <c r="AC7496" i="2"/>
  <c r="AB7496" i="2"/>
  <c r="AK7496" i="2" s="1"/>
  <c r="Y7496" i="2"/>
  <c r="AC7500" i="2"/>
  <c r="AC7504" i="2"/>
  <c r="AB7504" i="2"/>
  <c r="AK7504" i="2" s="1"/>
  <c r="Y7504" i="2"/>
  <c r="AB7518" i="2"/>
  <c r="AK7518" i="2" s="1"/>
  <c r="Y7518" i="2"/>
  <c r="AC7526" i="2"/>
  <c r="AB7533" i="2"/>
  <c r="AK7533" i="2" s="1"/>
  <c r="Y7533" i="2"/>
  <c r="AF7538" i="2"/>
  <c r="AC7541" i="2"/>
  <c r="AC7545" i="2"/>
  <c r="AB7545" i="2"/>
  <c r="AK7545" i="2" s="1"/>
  <c r="AB7548" i="2"/>
  <c r="AK7548" i="2" s="1"/>
  <c r="Y7548" i="2"/>
  <c r="AB7560" i="2"/>
  <c r="AK7560" i="2" s="1"/>
  <c r="Y7560" i="2"/>
  <c r="AB7563" i="2"/>
  <c r="AK7563" i="2" s="1"/>
  <c r="Y7563" i="2"/>
  <c r="AC7575" i="2"/>
  <c r="AB7575" i="2"/>
  <c r="AK7575" i="2" s="1"/>
  <c r="AB7582" i="2"/>
  <c r="AK7582" i="2" s="1"/>
  <c r="Y7582" i="2"/>
  <c r="AC7586" i="2"/>
  <c r="AB7586" i="2"/>
  <c r="AK7586" i="2" s="1"/>
  <c r="Y7586" i="2"/>
  <c r="AB7597" i="2"/>
  <c r="AK7597" i="2" s="1"/>
  <c r="Y7597" i="2"/>
  <c r="AB7620" i="2"/>
  <c r="AK7620" i="2" s="1"/>
  <c r="Y7620" i="2"/>
  <c r="AC7632" i="2"/>
  <c r="AB7632" i="2"/>
  <c r="AK7632" i="2" s="1"/>
  <c r="Y7632" i="2"/>
  <c r="AC7643" i="2"/>
  <c r="AB7643" i="2"/>
  <c r="AK7643" i="2" s="1"/>
  <c r="Y7643" i="2"/>
  <c r="AB7654" i="2"/>
  <c r="AK7654" i="2" s="1"/>
  <c r="Y7654" i="2"/>
  <c r="AC7666" i="2"/>
  <c r="AB7666" i="2"/>
  <c r="AK7666" i="2" s="1"/>
  <c r="Y7666" i="2"/>
  <c r="AB7669" i="2"/>
  <c r="AK7669" i="2" s="1"/>
  <c r="Y7669" i="2"/>
  <c r="Y7692" i="2"/>
  <c r="AC7732" i="2"/>
  <c r="AF7733" i="2"/>
  <c r="AB7739" i="2"/>
  <c r="AK7739" i="2" s="1"/>
  <c r="Y7739" i="2"/>
  <c r="AC7747" i="2"/>
  <c r="AC7751" i="2"/>
  <c r="AB7751" i="2"/>
  <c r="AK7751" i="2" s="1"/>
  <c r="AB7754" i="2"/>
  <c r="AK7754" i="2" s="1"/>
  <c r="Y7754" i="2"/>
  <c r="Y7758" i="2"/>
  <c r="AC7762" i="2"/>
  <c r="AB7766" i="2"/>
  <c r="AK7766" i="2" s="1"/>
  <c r="Y7766" i="2"/>
  <c r="AC7774" i="2"/>
  <c r="AC7777" i="2"/>
  <c r="AC7781" i="2"/>
  <c r="AB7781" i="2"/>
  <c r="AK7781" i="2" s="1"/>
  <c r="Y7781" i="2"/>
  <c r="AB7788" i="2"/>
  <c r="AK7788" i="2" s="1"/>
  <c r="Y7788" i="2"/>
  <c r="AF7790" i="2"/>
  <c r="AC7792" i="2"/>
  <c r="AB7792" i="2"/>
  <c r="AK7792" i="2" s="1"/>
  <c r="Y7792" i="2"/>
  <c r="AC7796" i="2"/>
  <c r="AC7800" i="2"/>
  <c r="AB7800" i="2"/>
  <c r="AK7800" i="2" s="1"/>
  <c r="Y7800" i="2"/>
  <c r="AC7807" i="2"/>
  <c r="AC7814" i="2"/>
  <c r="AB7814" i="2"/>
  <c r="AK7814" i="2" s="1"/>
  <c r="Y7814" i="2"/>
  <c r="AC7818" i="2"/>
  <c r="AF7822" i="2"/>
  <c r="AC7825" i="2"/>
  <c r="AB7828" i="2"/>
  <c r="AK7828" i="2" s="1"/>
  <c r="Y7828" i="2"/>
  <c r="AC7828" i="2"/>
  <c r="AB7852" i="2"/>
  <c r="AK7852" i="2" s="1"/>
  <c r="Y7852" i="2"/>
  <c r="AC7859" i="2"/>
  <c r="AB7859" i="2"/>
  <c r="AK7859" i="2" s="1"/>
  <c r="Y7859" i="2"/>
  <c r="AC7862" i="2"/>
  <c r="AB7862" i="2"/>
  <c r="AK7862" i="2" s="1"/>
  <c r="Y7862" i="2"/>
  <c r="AB7926" i="2"/>
  <c r="AK7926" i="2" s="1"/>
  <c r="Y7926" i="2"/>
  <c r="AC7926" i="2"/>
  <c r="AC7955" i="2"/>
  <c r="AB7955" i="2"/>
  <c r="AK7955" i="2" s="1"/>
  <c r="Y7955" i="2"/>
  <c r="AC7987" i="2"/>
  <c r="AB7987" i="2"/>
  <c r="AK7987" i="2" s="1"/>
  <c r="Y7987" i="2"/>
  <c r="AH7990" i="2"/>
  <c r="AH7994" i="2"/>
  <c r="AF7994" i="2"/>
  <c r="AC8036" i="2"/>
  <c r="AB8036" i="2"/>
  <c r="AK8036" i="2" s="1"/>
  <c r="Y8036" i="2"/>
  <c r="AC8055" i="2"/>
  <c r="AB8055" i="2"/>
  <c r="AK8055" i="2" s="1"/>
  <c r="AC8094" i="2"/>
  <c r="AB8094" i="2"/>
  <c r="AK8094" i="2" s="1"/>
  <c r="Y8094" i="2"/>
  <c r="AB8107" i="2"/>
  <c r="AK8107" i="2" s="1"/>
  <c r="Y8107" i="2"/>
  <c r="AC8107" i="2"/>
  <c r="AC8120" i="2"/>
  <c r="AB8120" i="2"/>
  <c r="AK8120" i="2" s="1"/>
  <c r="Y8120" i="2"/>
  <c r="Y8081" i="2"/>
  <c r="Y8055" i="2"/>
  <c r="Y7887" i="2"/>
  <c r="Y7855" i="2"/>
  <c r="Y7823" i="2"/>
  <c r="Y7759" i="2"/>
  <c r="Y7631" i="2"/>
  <c r="Y7503" i="2"/>
  <c r="Y7471" i="2"/>
  <c r="Y7439" i="2"/>
  <c r="Y7407" i="2"/>
  <c r="Y7375" i="2"/>
  <c r="Y7343" i="2"/>
  <c r="Y7311" i="2"/>
  <c r="Y7279" i="2"/>
  <c r="Y6939" i="2"/>
  <c r="AF6940" i="2"/>
  <c r="AF6943" i="2"/>
  <c r="AC6946" i="2"/>
  <c r="AB6946" i="2"/>
  <c r="AK6946" i="2" s="1"/>
  <c r="Y6946" i="2"/>
  <c r="AF6950" i="2"/>
  <c r="AF6960" i="2"/>
  <c r="AB6973" i="2"/>
  <c r="AK6973" i="2" s="1"/>
  <c r="Y6973" i="2"/>
  <c r="AB6976" i="2"/>
  <c r="AK6976" i="2" s="1"/>
  <c r="Y6976" i="2"/>
  <c r="AF6977" i="2"/>
  <c r="AC6980" i="2"/>
  <c r="AB6980" i="2"/>
  <c r="AK6980" i="2" s="1"/>
  <c r="Y6980" i="2"/>
  <c r="AF6981" i="2"/>
  <c r="AC6983" i="2"/>
  <c r="AB6983" i="2"/>
  <c r="AK6983" i="2" s="1"/>
  <c r="Y6983" i="2"/>
  <c r="AC6990" i="2"/>
  <c r="AB6990" i="2"/>
  <c r="AK6990" i="2" s="1"/>
  <c r="Y6990" i="2"/>
  <c r="AB6993" i="2"/>
  <c r="AK6993" i="2" s="1"/>
  <c r="Y6993" i="2"/>
  <c r="AF6994" i="2"/>
  <c r="AC7003" i="2"/>
  <c r="AB7003" i="2"/>
  <c r="AK7003" i="2" s="1"/>
  <c r="Y7003" i="2"/>
  <c r="AF7004" i="2"/>
  <c r="AC7006" i="2"/>
  <c r="AB7006" i="2"/>
  <c r="AK7006" i="2" s="1"/>
  <c r="AC7013" i="2"/>
  <c r="AB7013" i="2"/>
  <c r="AK7013" i="2" s="1"/>
  <c r="Y7013" i="2"/>
  <c r="AB7016" i="2"/>
  <c r="AK7016" i="2" s="1"/>
  <c r="Y7016" i="2"/>
  <c r="AF7017" i="2"/>
  <c r="AB7026" i="2"/>
  <c r="AK7026" i="2" s="1"/>
  <c r="Y7026" i="2"/>
  <c r="AF7027" i="2"/>
  <c r="AF7030" i="2"/>
  <c r="AC7033" i="2"/>
  <c r="AB7033" i="2"/>
  <c r="AK7033" i="2" s="1"/>
  <c r="Y7033" i="2"/>
  <c r="AF7047" i="2"/>
  <c r="AB7060" i="2"/>
  <c r="AK7060" i="2" s="1"/>
  <c r="Y7060" i="2"/>
  <c r="AC7067" i="2"/>
  <c r="AB7067" i="2"/>
  <c r="AK7067" i="2" s="1"/>
  <c r="Y7067" i="2"/>
  <c r="AF7068" i="2"/>
  <c r="AC7070" i="2"/>
  <c r="AB7070" i="2"/>
  <c r="AK7070" i="2" s="1"/>
  <c r="Y7070" i="2"/>
  <c r="AC7077" i="2"/>
  <c r="Y7077" i="2"/>
  <c r="AB7080" i="2"/>
  <c r="AK7080" i="2" s="1"/>
  <c r="Y7080" i="2"/>
  <c r="AF7081" i="2"/>
  <c r="AB7090" i="2"/>
  <c r="AK7090" i="2" s="1"/>
  <c r="Y7090" i="2"/>
  <c r="AF7094" i="2"/>
  <c r="AC7100" i="2"/>
  <c r="AB7100" i="2"/>
  <c r="AK7100" i="2" s="1"/>
  <c r="Y7100" i="2"/>
  <c r="AC7107" i="2"/>
  <c r="AB7107" i="2"/>
  <c r="AK7107" i="2" s="1"/>
  <c r="Y7107" i="2"/>
  <c r="AB7114" i="2"/>
  <c r="AK7114" i="2" s="1"/>
  <c r="Y7114" i="2"/>
  <c r="AB7121" i="2"/>
  <c r="AK7121" i="2" s="1"/>
  <c r="Y7121" i="2"/>
  <c r="AB7124" i="2"/>
  <c r="AK7124" i="2" s="1"/>
  <c r="Y7124" i="2"/>
  <c r="AF7125" i="2"/>
  <c r="AC7128" i="2"/>
  <c r="AB7128" i="2"/>
  <c r="AK7128" i="2" s="1"/>
  <c r="Y7128" i="2"/>
  <c r="AF7129" i="2"/>
  <c r="AF7132" i="2"/>
  <c r="AF7139" i="2"/>
  <c r="AC7142" i="2"/>
  <c r="AB7142" i="2"/>
  <c r="AK7142" i="2" s="1"/>
  <c r="Y7142" i="2"/>
  <c r="AB7149" i="2"/>
  <c r="AK7149" i="2" s="1"/>
  <c r="Y7149" i="2"/>
  <c r="AF7150" i="2"/>
  <c r="AB7156" i="2"/>
  <c r="AK7156" i="2" s="1"/>
  <c r="Y7156" i="2"/>
  <c r="AF7157" i="2"/>
  <c r="AC7160" i="2"/>
  <c r="AB7160" i="2"/>
  <c r="AK7160" i="2" s="1"/>
  <c r="Y7160" i="2"/>
  <c r="AF7161" i="2"/>
  <c r="AC7163" i="2"/>
  <c r="AB7163" i="2"/>
  <c r="AK7163" i="2" s="1"/>
  <c r="Y7163" i="2"/>
  <c r="AF7167" i="2"/>
  <c r="AC7170" i="2"/>
  <c r="AB7170" i="2"/>
  <c r="AK7170" i="2" s="1"/>
  <c r="Y7170" i="2"/>
  <c r="AF7171" i="2"/>
  <c r="AB7177" i="2"/>
  <c r="AK7177" i="2" s="1"/>
  <c r="Y7177" i="2"/>
  <c r="AB7180" i="2"/>
  <c r="AK7180" i="2" s="1"/>
  <c r="Y7180" i="2"/>
  <c r="AF7181" i="2"/>
  <c r="AC7184" i="2"/>
  <c r="AB7184" i="2"/>
  <c r="AK7184" i="2" s="1"/>
  <c r="Y7184" i="2"/>
  <c r="AF7185" i="2"/>
  <c r="AC7191" i="2"/>
  <c r="AC7198" i="2"/>
  <c r="AB7198" i="2"/>
  <c r="AK7198" i="2" s="1"/>
  <c r="Y7198" i="2"/>
  <c r="AF7203" i="2"/>
  <c r="AB7206" i="2"/>
  <c r="AK7206" i="2" s="1"/>
  <c r="Y7206" i="2"/>
  <c r="AF7211" i="2"/>
  <c r="AC7214" i="2"/>
  <c r="AC7218" i="2"/>
  <c r="AB7218" i="2"/>
  <c r="AK7218" i="2" s="1"/>
  <c r="Y7218" i="2"/>
  <c r="AB7225" i="2"/>
  <c r="AK7225" i="2" s="1"/>
  <c r="Y7225" i="2"/>
  <c r="AB7233" i="2"/>
  <c r="AK7233" i="2" s="1"/>
  <c r="Y7233" i="2"/>
  <c r="AB7241" i="2"/>
  <c r="AK7241" i="2" s="1"/>
  <c r="Y7241" i="2"/>
  <c r="AB7249" i="2"/>
  <c r="AK7249" i="2" s="1"/>
  <c r="Y7249" i="2"/>
  <c r="AB7257" i="2"/>
  <c r="AK7257" i="2" s="1"/>
  <c r="Y7257" i="2"/>
  <c r="AC7274" i="2"/>
  <c r="AB7282" i="2"/>
  <c r="AK7282" i="2" s="1"/>
  <c r="Y7282" i="2"/>
  <c r="AC7286" i="2"/>
  <c r="AB7286" i="2"/>
  <c r="AK7286" i="2" s="1"/>
  <c r="Y7286" i="2"/>
  <c r="AC7290" i="2"/>
  <c r="AF7291" i="2"/>
  <c r="AF7302" i="2"/>
  <c r="AC7305" i="2"/>
  <c r="AB7308" i="2"/>
  <c r="AK7308" i="2" s="1"/>
  <c r="Y7308" i="2"/>
  <c r="AF7309" i="2"/>
  <c r="AC7312" i="2"/>
  <c r="AB7312" i="2"/>
  <c r="AK7312" i="2" s="1"/>
  <c r="Y7312" i="2"/>
  <c r="AC7316" i="2"/>
  <c r="AF7320" i="2"/>
  <c r="AC7327" i="2"/>
  <c r="AC7334" i="2"/>
  <c r="AB7334" i="2"/>
  <c r="AK7334" i="2" s="1"/>
  <c r="Y7334" i="2"/>
  <c r="AC7338" i="2"/>
  <c r="AC7345" i="2"/>
  <c r="AC7349" i="2"/>
  <c r="AB7349" i="2"/>
  <c r="AK7349" i="2" s="1"/>
  <c r="Y7349" i="2"/>
  <c r="AB7356" i="2"/>
  <c r="AK7356" i="2" s="1"/>
  <c r="Y7356" i="2"/>
  <c r="AF7357" i="2"/>
  <c r="AC7360" i="2"/>
  <c r="AB7360" i="2"/>
  <c r="AK7360" i="2" s="1"/>
  <c r="Y7360" i="2"/>
  <c r="AC7364" i="2"/>
  <c r="AF7368" i="2"/>
  <c r="AC7371" i="2"/>
  <c r="AB7371" i="2"/>
  <c r="AK7371" i="2" s="1"/>
  <c r="Y7371" i="2"/>
  <c r="AB7378" i="2"/>
  <c r="AK7378" i="2" s="1"/>
  <c r="Y7378" i="2"/>
  <c r="AC7382" i="2"/>
  <c r="AB7382" i="2"/>
  <c r="AK7382" i="2" s="1"/>
  <c r="Y7382" i="2"/>
  <c r="AC7386" i="2"/>
  <c r="AF7387" i="2"/>
  <c r="AF7390" i="2"/>
  <c r="AF7394" i="2"/>
  <c r="AB7397" i="2"/>
  <c r="AK7397" i="2" s="1"/>
  <c r="Y7397" i="2"/>
  <c r="AC7401" i="2"/>
  <c r="AB7404" i="2"/>
  <c r="AK7404" i="2" s="1"/>
  <c r="Y7404" i="2"/>
  <c r="AC7405" i="2"/>
  <c r="AC7412" i="2"/>
  <c r="AF7413" i="2"/>
  <c r="AC7416" i="2"/>
  <c r="AB7416" i="2"/>
  <c r="AK7416" i="2" s="1"/>
  <c r="Y7416" i="2"/>
  <c r="AF7424" i="2"/>
  <c r="AC7427" i="2"/>
  <c r="AB7427" i="2"/>
  <c r="AK7427" i="2" s="1"/>
  <c r="Y7427" i="2"/>
  <c r="AC7431" i="2"/>
  <c r="AC7435" i="2"/>
  <c r="AB7435" i="2"/>
  <c r="AK7435" i="2" s="1"/>
  <c r="Y7435" i="2"/>
  <c r="AC7439" i="2"/>
  <c r="AC7443" i="2"/>
  <c r="AB7443" i="2"/>
  <c r="AK7443" i="2" s="1"/>
  <c r="Y7443" i="2"/>
  <c r="AC7447" i="2"/>
  <c r="AC7451" i="2"/>
  <c r="AB7451" i="2"/>
  <c r="AK7451" i="2" s="1"/>
  <c r="Y7451" i="2"/>
  <c r="AC7454" i="2"/>
  <c r="AC7458" i="2"/>
  <c r="AB7458" i="2"/>
  <c r="AK7458" i="2" s="1"/>
  <c r="Y7458" i="2"/>
  <c r="AC7462" i="2"/>
  <c r="AC7466" i="2"/>
  <c r="AB7466" i="2"/>
  <c r="AK7466" i="2" s="1"/>
  <c r="Y7466" i="2"/>
  <c r="AC7470" i="2"/>
  <c r="AC7474" i="2"/>
  <c r="AB7474" i="2"/>
  <c r="AK7474" i="2" s="1"/>
  <c r="Y7474" i="2"/>
  <c r="AF7478" i="2"/>
  <c r="AF7482" i="2"/>
  <c r="AC7488" i="2"/>
  <c r="AB7488" i="2"/>
  <c r="AK7488" i="2" s="1"/>
  <c r="Y7488" i="2"/>
  <c r="AF7492" i="2"/>
  <c r="AF7497" i="2"/>
  <c r="AB7499" i="2"/>
  <c r="AK7499" i="2" s="1"/>
  <c r="Y7499" i="2"/>
  <c r="AF7500" i="2"/>
  <c r="AF7505" i="2"/>
  <c r="AC7507" i="2"/>
  <c r="AB7507" i="2"/>
  <c r="AK7507" i="2" s="1"/>
  <c r="Y7507" i="2"/>
  <c r="AC7511" i="2"/>
  <c r="AF7515" i="2"/>
  <c r="AC7518" i="2"/>
  <c r="AC7522" i="2"/>
  <c r="AB7522" i="2"/>
  <c r="AK7522" i="2" s="1"/>
  <c r="Y7522" i="2"/>
  <c r="AB7525" i="2"/>
  <c r="AK7525" i="2" s="1"/>
  <c r="Y7525" i="2"/>
  <c r="AC7533" i="2"/>
  <c r="AC7537" i="2"/>
  <c r="AB7537" i="2"/>
  <c r="AK7537" i="2" s="1"/>
  <c r="AB7540" i="2"/>
  <c r="AK7540" i="2" s="1"/>
  <c r="Y7540" i="2"/>
  <c r="AF7545" i="2"/>
  <c r="AC7548" i="2"/>
  <c r="AB7552" i="2"/>
  <c r="AK7552" i="2" s="1"/>
  <c r="Y7552" i="2"/>
  <c r="AB7555" i="2"/>
  <c r="AK7555" i="2" s="1"/>
  <c r="Y7555" i="2"/>
  <c r="AF7556" i="2"/>
  <c r="AC7560" i="2"/>
  <c r="AC7563" i="2"/>
  <c r="AC7567" i="2"/>
  <c r="AB7567" i="2"/>
  <c r="AK7567" i="2" s="1"/>
  <c r="AF7571" i="2"/>
  <c r="AB7574" i="2"/>
  <c r="AK7574" i="2" s="1"/>
  <c r="Y7574" i="2"/>
  <c r="AF7576" i="2"/>
  <c r="AC7578" i="2"/>
  <c r="AB7578" i="2"/>
  <c r="AK7578" i="2" s="1"/>
  <c r="Y7578" i="2"/>
  <c r="AC7582" i="2"/>
  <c r="AB7589" i="2"/>
  <c r="AK7589" i="2" s="1"/>
  <c r="Y7589" i="2"/>
  <c r="AF7594" i="2"/>
  <c r="AC7597" i="2"/>
  <c r="AC7601" i="2"/>
  <c r="AB7601" i="2"/>
  <c r="AK7601" i="2" s="1"/>
  <c r="AB7604" i="2"/>
  <c r="AK7604" i="2" s="1"/>
  <c r="Y7604" i="2"/>
  <c r="AB7612" i="2"/>
  <c r="AK7612" i="2" s="1"/>
  <c r="Y7612" i="2"/>
  <c r="AF7613" i="2"/>
  <c r="AC7617" i="2"/>
  <c r="AC7620" i="2"/>
  <c r="AC7624" i="2"/>
  <c r="AB7624" i="2"/>
  <c r="AK7624" i="2" s="1"/>
  <c r="Y7624" i="2"/>
  <c r="AF7628" i="2"/>
  <c r="AF7633" i="2"/>
  <c r="AC7635" i="2"/>
  <c r="AB7635" i="2"/>
  <c r="AK7635" i="2" s="1"/>
  <c r="Y7635" i="2"/>
  <c r="AC7639" i="2"/>
  <c r="AF7643" i="2"/>
  <c r="AB7646" i="2"/>
  <c r="AK7646" i="2" s="1"/>
  <c r="Y7646" i="2"/>
  <c r="AC7654" i="2"/>
  <c r="AC7658" i="2"/>
  <c r="AB7658" i="2"/>
  <c r="AK7658" i="2" s="1"/>
  <c r="Y7658" i="2"/>
  <c r="AB7661" i="2"/>
  <c r="AK7661" i="2" s="1"/>
  <c r="Y7661" i="2"/>
  <c r="AF7666" i="2"/>
  <c r="AC7669" i="2"/>
  <c r="AF7670" i="2"/>
  <c r="AC7673" i="2"/>
  <c r="AB7673" i="2"/>
  <c r="AK7673" i="2" s="1"/>
  <c r="AB7676" i="2"/>
  <c r="AK7676" i="2" s="1"/>
  <c r="Y7676" i="2"/>
  <c r="AC7681" i="2"/>
  <c r="AB7681" i="2"/>
  <c r="AK7681" i="2" s="1"/>
  <c r="AB7684" i="2"/>
  <c r="AK7684" i="2" s="1"/>
  <c r="Y7684" i="2"/>
  <c r="AC7689" i="2"/>
  <c r="AB7689" i="2"/>
  <c r="AK7689" i="2" s="1"/>
  <c r="AA7692" i="2"/>
  <c r="AB7692" i="2" s="1"/>
  <c r="AK7692" i="2" s="1"/>
  <c r="AC7697" i="2"/>
  <c r="AB7697" i="2"/>
  <c r="AK7697" i="2" s="1"/>
  <c r="AB7700" i="2"/>
  <c r="AK7700" i="2" s="1"/>
  <c r="Y7700" i="2"/>
  <c r="AC7705" i="2"/>
  <c r="AB7705" i="2"/>
  <c r="AK7705" i="2" s="1"/>
  <c r="AB7708" i="2"/>
  <c r="AK7708" i="2" s="1"/>
  <c r="Y7708" i="2"/>
  <c r="AC7713" i="2"/>
  <c r="AB7713" i="2"/>
  <c r="AK7713" i="2" s="1"/>
  <c r="AB7716" i="2"/>
  <c r="AK7716" i="2" s="1"/>
  <c r="Y7716" i="2"/>
  <c r="AC7721" i="2"/>
  <c r="AB7721" i="2"/>
  <c r="AK7721" i="2" s="1"/>
  <c r="AB7724" i="2"/>
  <c r="AK7724" i="2" s="1"/>
  <c r="Y7724" i="2"/>
  <c r="AC7728" i="2"/>
  <c r="AB7728" i="2"/>
  <c r="AK7728" i="2" s="1"/>
  <c r="Y7728" i="2"/>
  <c r="AB7731" i="2"/>
  <c r="AK7731" i="2" s="1"/>
  <c r="Y7731" i="2"/>
  <c r="AC7739" i="2"/>
  <c r="AC7743" i="2"/>
  <c r="AB7743" i="2"/>
  <c r="AK7743" i="2" s="1"/>
  <c r="AB7746" i="2"/>
  <c r="AK7746" i="2" s="1"/>
  <c r="Y7746" i="2"/>
  <c r="AF7747" i="2"/>
  <c r="AB7750" i="2"/>
  <c r="AK7750" i="2" s="1"/>
  <c r="Y7750" i="2"/>
  <c r="AF7751" i="2"/>
  <c r="AC7754" i="2"/>
  <c r="AC7758" i="2"/>
  <c r="AF7762" i="2"/>
  <c r="AC7766" i="2"/>
  <c r="AC7769" i="2"/>
  <c r="AC7773" i="2"/>
  <c r="AB7773" i="2"/>
  <c r="AK7773" i="2" s="1"/>
  <c r="Y7773" i="2"/>
  <c r="AF7777" i="2"/>
  <c r="AB7780" i="2"/>
  <c r="AK7780" i="2" s="1"/>
  <c r="Y7780" i="2"/>
  <c r="AF7782" i="2"/>
  <c r="AC7784" i="2"/>
  <c r="AB7784" i="2"/>
  <c r="AK7784" i="2" s="1"/>
  <c r="Y7784" i="2"/>
  <c r="AC7788" i="2"/>
  <c r="AB7795" i="2"/>
  <c r="AK7795" i="2" s="1"/>
  <c r="Y7795" i="2"/>
  <c r="AF7800" i="2"/>
  <c r="AC7803" i="2"/>
  <c r="AB7803" i="2"/>
  <c r="AK7803" i="2" s="1"/>
  <c r="Y7803" i="2"/>
  <c r="AB7810" i="2"/>
  <c r="AK7810" i="2" s="1"/>
  <c r="Y7810" i="2"/>
  <c r="AF7818" i="2"/>
  <c r="AC7821" i="2"/>
  <c r="AB7821" i="2"/>
  <c r="AK7821" i="2" s="1"/>
  <c r="Y7821" i="2"/>
  <c r="AF7825" i="2"/>
  <c r="AC7838" i="2"/>
  <c r="AB7838" i="2"/>
  <c r="AK7838" i="2" s="1"/>
  <c r="Y7838" i="2"/>
  <c r="AF7849" i="2"/>
  <c r="AC7852" i="2"/>
  <c r="AF7859" i="2"/>
  <c r="AC7865" i="2"/>
  <c r="AB7868" i="2"/>
  <c r="AK7868" i="2" s="1"/>
  <c r="Y7868" i="2"/>
  <c r="AC7868" i="2"/>
  <c r="AC7887" i="2"/>
  <c r="AB7896" i="2"/>
  <c r="AK7896" i="2" s="1"/>
  <c r="AC7896" i="2"/>
  <c r="Y7896" i="2"/>
  <c r="AC7911" i="2"/>
  <c r="AB7911" i="2"/>
  <c r="AK7911" i="2" s="1"/>
  <c r="AB7923" i="2"/>
  <c r="AK7923" i="2" s="1"/>
  <c r="Y7923" i="2"/>
  <c r="AC7923" i="2"/>
  <c r="AC7940" i="2"/>
  <c r="AB7940" i="2"/>
  <c r="AK7940" i="2" s="1"/>
  <c r="Y7940" i="2"/>
  <c r="AB7943" i="2"/>
  <c r="AK7943" i="2" s="1"/>
  <c r="AC7943" i="2"/>
  <c r="AB7961" i="2"/>
  <c r="AK7961" i="2" s="1"/>
  <c r="AC7961" i="2"/>
  <c r="AB8001" i="2"/>
  <c r="AK8001" i="2" s="1"/>
  <c r="AC8001" i="2"/>
  <c r="AC8003" i="2"/>
  <c r="AB8003" i="2"/>
  <c r="AK8003" i="2" s="1"/>
  <c r="Y8003" i="2"/>
  <c r="AB8005" i="2"/>
  <c r="AK8005" i="2" s="1"/>
  <c r="Y8005" i="2"/>
  <c r="AC8005" i="2"/>
  <c r="AC8045" i="2"/>
  <c r="AB8045" i="2"/>
  <c r="AK8045" i="2" s="1"/>
  <c r="Y8045" i="2"/>
  <c r="AC8078" i="2"/>
  <c r="AB8078" i="2"/>
  <c r="AK8078" i="2" s="1"/>
  <c r="Y8078" i="2"/>
  <c r="AC8118" i="2"/>
  <c r="AB8118" i="2"/>
  <c r="AK8118" i="2" s="1"/>
  <c r="Y8118" i="2"/>
  <c r="Y7945" i="2"/>
  <c r="Y7913" i="2"/>
  <c r="Y7881" i="2"/>
  <c r="Y7849" i="2"/>
  <c r="Y7817" i="2"/>
  <c r="Y7785" i="2"/>
  <c r="Y7753" i="2"/>
  <c r="Y7721" i="2"/>
  <c r="Y7689" i="2"/>
  <c r="Y7657" i="2"/>
  <c r="Y7625" i="2"/>
  <c r="Y7561" i="2"/>
  <c r="Y7497" i="2"/>
  <c r="Y7465" i="2"/>
  <c r="Y7433" i="2"/>
  <c r="Y7401" i="2"/>
  <c r="Y7337" i="2"/>
  <c r="Y7305" i="2"/>
  <c r="Y7273" i="2"/>
  <c r="Y7159" i="2"/>
  <c r="AC7046" i="2"/>
  <c r="AB7046" i="2"/>
  <c r="AK7046" i="2" s="1"/>
  <c r="Y7046" i="2"/>
  <c r="AC7053" i="2"/>
  <c r="AB7053" i="2"/>
  <c r="AK7053" i="2" s="1"/>
  <c r="Y7053" i="2"/>
  <c r="Y7056" i="2"/>
  <c r="AB7066" i="2"/>
  <c r="AK7066" i="2" s="1"/>
  <c r="Y7066" i="2"/>
  <c r="AC7073" i="2"/>
  <c r="AB7073" i="2"/>
  <c r="AK7073" i="2" s="1"/>
  <c r="Y7073" i="2"/>
  <c r="AC7093" i="2"/>
  <c r="AB7093" i="2"/>
  <c r="AK7093" i="2" s="1"/>
  <c r="Y7093" i="2"/>
  <c r="AC7103" i="2"/>
  <c r="AB7103" i="2"/>
  <c r="AK7103" i="2" s="1"/>
  <c r="AB7110" i="2"/>
  <c r="AK7110" i="2" s="1"/>
  <c r="Y7110" i="2"/>
  <c r="AB7117" i="2"/>
  <c r="AK7117" i="2" s="1"/>
  <c r="Y7117" i="2"/>
  <c r="AC7131" i="2"/>
  <c r="Y7131" i="2"/>
  <c r="AC7138" i="2"/>
  <c r="AB7138" i="2"/>
  <c r="AK7138" i="2" s="1"/>
  <c r="Y7138" i="2"/>
  <c r="AB7145" i="2"/>
  <c r="AK7145" i="2" s="1"/>
  <c r="Y7145" i="2"/>
  <c r="AB7166" i="2"/>
  <c r="AK7166" i="2" s="1"/>
  <c r="Y7166" i="2"/>
  <c r="AB7173" i="2"/>
  <c r="AK7173" i="2" s="1"/>
  <c r="Y7173" i="2"/>
  <c r="AC7187" i="2"/>
  <c r="AB7187" i="2"/>
  <c r="AK7187" i="2" s="1"/>
  <c r="Y7187" i="2"/>
  <c r="AC7194" i="2"/>
  <c r="AB7194" i="2"/>
  <c r="AK7194" i="2" s="1"/>
  <c r="Y7194" i="2"/>
  <c r="AC7202" i="2"/>
  <c r="AB7202" i="2"/>
  <c r="AK7202" i="2" s="1"/>
  <c r="Y7202" i="2"/>
  <c r="AC7210" i="2"/>
  <c r="AB7210" i="2"/>
  <c r="AK7210" i="2" s="1"/>
  <c r="Y7210" i="2"/>
  <c r="AB7217" i="2"/>
  <c r="AK7217" i="2" s="1"/>
  <c r="Y7217" i="2"/>
  <c r="AC7221" i="2"/>
  <c r="AB7221" i="2"/>
  <c r="AK7221" i="2" s="1"/>
  <c r="Y7221" i="2"/>
  <c r="AC7229" i="2"/>
  <c r="AB7229" i="2"/>
  <c r="AK7229" i="2" s="1"/>
  <c r="Y7229" i="2"/>
  <c r="AC7237" i="2"/>
  <c r="AB7237" i="2"/>
  <c r="AK7237" i="2" s="1"/>
  <c r="Y7237" i="2"/>
  <c r="AC7245" i="2"/>
  <c r="AB7245" i="2"/>
  <c r="AK7245" i="2" s="1"/>
  <c r="Y7245" i="2"/>
  <c r="AC7253" i="2"/>
  <c r="AB7253" i="2"/>
  <c r="AK7253" i="2" s="1"/>
  <c r="Y7253" i="2"/>
  <c r="AC7261" i="2"/>
  <c r="AB7261" i="2"/>
  <c r="AK7261" i="2" s="1"/>
  <c r="Y7261" i="2"/>
  <c r="AC7269" i="2"/>
  <c r="AB7269" i="2"/>
  <c r="AK7269" i="2" s="1"/>
  <c r="Y7269" i="2"/>
  <c r="AC7278" i="2"/>
  <c r="AB7278" i="2"/>
  <c r="AK7278" i="2" s="1"/>
  <c r="Y7278" i="2"/>
  <c r="AC7301" i="2"/>
  <c r="AB7301" i="2"/>
  <c r="AK7301" i="2" s="1"/>
  <c r="Y7301" i="2"/>
  <c r="AF7305" i="2"/>
  <c r="AF7312" i="2"/>
  <c r="AC7323" i="2"/>
  <c r="AB7323" i="2"/>
  <c r="AK7323" i="2" s="1"/>
  <c r="Y7323" i="2"/>
  <c r="AB7330" i="2"/>
  <c r="AK7330" i="2" s="1"/>
  <c r="Y7330" i="2"/>
  <c r="AF7334" i="2"/>
  <c r="AF7338" i="2"/>
  <c r="AC7341" i="2"/>
  <c r="AB7341" i="2"/>
  <c r="AK7341" i="2" s="1"/>
  <c r="Y7341" i="2"/>
  <c r="AF7345" i="2"/>
  <c r="AB7348" i="2"/>
  <c r="AK7348" i="2" s="1"/>
  <c r="Y7348" i="2"/>
  <c r="AC7352" i="2"/>
  <c r="AB7352" i="2"/>
  <c r="AK7352" i="2" s="1"/>
  <c r="Y7352" i="2"/>
  <c r="AF7360" i="2"/>
  <c r="AC7374" i="2"/>
  <c r="AB7374" i="2"/>
  <c r="AK7374" i="2" s="1"/>
  <c r="Y7374" i="2"/>
  <c r="AF7382" i="2"/>
  <c r="AB7396" i="2"/>
  <c r="AK7396" i="2" s="1"/>
  <c r="Y7396" i="2"/>
  <c r="AC7408" i="2"/>
  <c r="AB7408" i="2"/>
  <c r="AK7408" i="2" s="1"/>
  <c r="Y7408" i="2"/>
  <c r="AC7419" i="2"/>
  <c r="AB7419" i="2"/>
  <c r="AK7419" i="2" s="1"/>
  <c r="Y7419" i="2"/>
  <c r="AB7434" i="2"/>
  <c r="AK7434" i="2" s="1"/>
  <c r="Y7434" i="2"/>
  <c r="AB7442" i="2"/>
  <c r="AK7442" i="2" s="1"/>
  <c r="Y7442" i="2"/>
  <c r="AB7450" i="2"/>
  <c r="AK7450" i="2" s="1"/>
  <c r="Y7450" i="2"/>
  <c r="AC7484" i="2"/>
  <c r="AB7484" i="2"/>
  <c r="AK7484" i="2" s="1"/>
  <c r="Y7484" i="2"/>
  <c r="AC7491" i="2"/>
  <c r="AB7491" i="2"/>
  <c r="AK7491" i="2" s="1"/>
  <c r="Y7491" i="2"/>
  <c r="AB7510" i="2"/>
  <c r="AK7510" i="2" s="1"/>
  <c r="Y7510" i="2"/>
  <c r="AC7514" i="2"/>
  <c r="AB7514" i="2"/>
  <c r="AK7514" i="2" s="1"/>
  <c r="Y7514" i="2"/>
  <c r="AB7517" i="2"/>
  <c r="AK7517" i="2" s="1"/>
  <c r="Y7517" i="2"/>
  <c r="AC7529" i="2"/>
  <c r="AB7529" i="2"/>
  <c r="AK7529" i="2" s="1"/>
  <c r="AB7532" i="2"/>
  <c r="AK7532" i="2" s="1"/>
  <c r="Y7532" i="2"/>
  <c r="AB7544" i="2"/>
  <c r="AK7544" i="2" s="1"/>
  <c r="Y7544" i="2"/>
  <c r="AB7547" i="2"/>
  <c r="AK7547" i="2" s="1"/>
  <c r="Y7547" i="2"/>
  <c r="AC7559" i="2"/>
  <c r="AB7559" i="2"/>
  <c r="AK7559" i="2" s="1"/>
  <c r="AB7566" i="2"/>
  <c r="AK7566" i="2" s="1"/>
  <c r="Y7566" i="2"/>
  <c r="AC7570" i="2"/>
  <c r="AB7570" i="2"/>
  <c r="AK7570" i="2" s="1"/>
  <c r="Y7570" i="2"/>
  <c r="AB7581" i="2"/>
  <c r="AK7581" i="2" s="1"/>
  <c r="Y7581" i="2"/>
  <c r="AC7593" i="2"/>
  <c r="AB7593" i="2"/>
  <c r="AK7593" i="2" s="1"/>
  <c r="AB7596" i="2"/>
  <c r="AK7596" i="2" s="1"/>
  <c r="Y7596" i="2"/>
  <c r="AC7616" i="2"/>
  <c r="AB7616" i="2"/>
  <c r="AK7616" i="2" s="1"/>
  <c r="Y7616" i="2"/>
  <c r="AC7627" i="2"/>
  <c r="AB7627" i="2"/>
  <c r="AK7627" i="2" s="1"/>
  <c r="Y7627" i="2"/>
  <c r="AB7638" i="2"/>
  <c r="AK7638" i="2" s="1"/>
  <c r="Y7638" i="2"/>
  <c r="AC7650" i="2"/>
  <c r="AB7650" i="2"/>
  <c r="AK7650" i="2" s="1"/>
  <c r="Y7650" i="2"/>
  <c r="AB7653" i="2"/>
  <c r="AK7653" i="2" s="1"/>
  <c r="Y7653" i="2"/>
  <c r="AB7668" i="2"/>
  <c r="AK7668" i="2" s="1"/>
  <c r="Y7668" i="2"/>
  <c r="AB7672" i="2"/>
  <c r="AK7672" i="2" s="1"/>
  <c r="Y7672" i="2"/>
  <c r="AB7680" i="2"/>
  <c r="AK7680" i="2" s="1"/>
  <c r="Y7680" i="2"/>
  <c r="Y7688" i="2"/>
  <c r="AC7692" i="2"/>
  <c r="AB7696" i="2"/>
  <c r="AK7696" i="2" s="1"/>
  <c r="Y7696" i="2"/>
  <c r="AB7704" i="2"/>
  <c r="AK7704" i="2" s="1"/>
  <c r="Y7704" i="2"/>
  <c r="AB7712" i="2"/>
  <c r="AK7712" i="2" s="1"/>
  <c r="Y7712" i="2"/>
  <c r="AB7720" i="2"/>
  <c r="AK7720" i="2" s="1"/>
  <c r="Y7720" i="2"/>
  <c r="AC7735" i="2"/>
  <c r="AB7735" i="2"/>
  <c r="AK7735" i="2" s="1"/>
  <c r="AB7738" i="2"/>
  <c r="AK7738" i="2" s="1"/>
  <c r="Y7738" i="2"/>
  <c r="AB7742" i="2"/>
  <c r="AK7742" i="2" s="1"/>
  <c r="Y7742" i="2"/>
  <c r="AC7765" i="2"/>
  <c r="AB7765" i="2"/>
  <c r="AK7765" i="2" s="1"/>
  <c r="Y7765" i="2"/>
  <c r="AB7772" i="2"/>
  <c r="AK7772" i="2" s="1"/>
  <c r="Y7772" i="2"/>
  <c r="AC7776" i="2"/>
  <c r="AB7776" i="2"/>
  <c r="AK7776" i="2" s="1"/>
  <c r="Y7776" i="2"/>
  <c r="AB7787" i="2"/>
  <c r="AK7787" i="2" s="1"/>
  <c r="Y7787" i="2"/>
  <c r="AC7806" i="2"/>
  <c r="AB7806" i="2"/>
  <c r="AK7806" i="2" s="1"/>
  <c r="Y7806" i="2"/>
  <c r="AB7820" i="2"/>
  <c r="AK7820" i="2" s="1"/>
  <c r="Y7820" i="2"/>
  <c r="AC7824" i="2"/>
  <c r="AB7824" i="2"/>
  <c r="AK7824" i="2" s="1"/>
  <c r="Y7824" i="2"/>
  <c r="AB7834" i="2"/>
  <c r="AK7834" i="2" s="1"/>
  <c r="Y7834" i="2"/>
  <c r="AC7845" i="2"/>
  <c r="AB7845" i="2"/>
  <c r="AK7845" i="2" s="1"/>
  <c r="Y7845" i="2"/>
  <c r="AC7848" i="2"/>
  <c r="AB7848" i="2"/>
  <c r="AK7848" i="2" s="1"/>
  <c r="Y7848" i="2"/>
  <c r="Y7858" i="2"/>
  <c r="AC7877" i="2"/>
  <c r="AB7877" i="2"/>
  <c r="AK7877" i="2" s="1"/>
  <c r="Y7877" i="2"/>
  <c r="AC7880" i="2"/>
  <c r="AB7880" i="2"/>
  <c r="AK7880" i="2" s="1"/>
  <c r="Y7880" i="2"/>
  <c r="AC7901" i="2"/>
  <c r="AB7901" i="2"/>
  <c r="AK7901" i="2" s="1"/>
  <c r="Y7901" i="2"/>
  <c r="AB7904" i="2"/>
  <c r="AK7904" i="2" s="1"/>
  <c r="Y7904" i="2"/>
  <c r="AC7904" i="2"/>
  <c r="AB7937" i="2"/>
  <c r="AK7937" i="2" s="1"/>
  <c r="AC7937" i="2"/>
  <c r="AB7951" i="2"/>
  <c r="AK7951" i="2" s="1"/>
  <c r="AC7951" i="2"/>
  <c r="AC7973" i="2"/>
  <c r="AB7973" i="2"/>
  <c r="AK7973" i="2" s="1"/>
  <c r="Y7973" i="2"/>
  <c r="AB7989" i="2"/>
  <c r="AK7989" i="2" s="1"/>
  <c r="Y7989" i="2"/>
  <c r="AC7989" i="2"/>
  <c r="AC7999" i="2"/>
  <c r="AB7999" i="2"/>
  <c r="AK7999" i="2" s="1"/>
  <c r="AH8001" i="2"/>
  <c r="AF8001" i="2"/>
  <c r="AB8037" i="2"/>
  <c r="AK8037" i="2" s="1"/>
  <c r="Y8037" i="2"/>
  <c r="AC8037" i="2"/>
  <c r="AB8091" i="2"/>
  <c r="AK8091" i="2" s="1"/>
  <c r="Y8091" i="2"/>
  <c r="AC8091" i="2"/>
  <c r="AB8121" i="2"/>
  <c r="AK8121" i="2" s="1"/>
  <c r="AC8121" i="2"/>
  <c r="AC8136" i="2"/>
  <c r="AB8136" i="2"/>
  <c r="AK8136" i="2" s="1"/>
  <c r="Y8136" i="2"/>
  <c r="AB8140" i="2"/>
  <c r="AK8140" i="2" s="1"/>
  <c r="Y8140" i="2"/>
  <c r="AC8140" i="2"/>
  <c r="AC8144" i="2"/>
  <c r="AB8144" i="2"/>
  <c r="AK8144" i="2" s="1"/>
  <c r="Y8144" i="2"/>
  <c r="Y8097" i="2"/>
  <c r="Y7943" i="2"/>
  <c r="Y7911" i="2"/>
  <c r="Y7847" i="2"/>
  <c r="Y7815" i="2"/>
  <c r="Y7751" i="2"/>
  <c r="Y7655" i="2"/>
  <c r="Y7623" i="2"/>
  <c r="Y7591" i="2"/>
  <c r="Y7559" i="2"/>
  <c r="Y7527" i="2"/>
  <c r="Y7495" i="2"/>
  <c r="Y7463" i="2"/>
  <c r="Y7431" i="2"/>
  <c r="Y7399" i="2"/>
  <c r="Y7367" i="2"/>
  <c r="Y7335" i="2"/>
  <c r="Y7303" i="2"/>
  <c r="Y7215" i="2"/>
  <c r="Y7151" i="2"/>
  <c r="AB6955" i="2"/>
  <c r="AK6955" i="2" s="1"/>
  <c r="Y6955" i="2"/>
  <c r="AF6956" i="2"/>
  <c r="AF6959" i="2"/>
  <c r="AC6962" i="2"/>
  <c r="AB6962" i="2"/>
  <c r="AK6962" i="2" s="1"/>
  <c r="Y6962" i="2"/>
  <c r="AF6966" i="2"/>
  <c r="AF6976" i="2"/>
  <c r="AB6989" i="2"/>
  <c r="AK6989" i="2" s="1"/>
  <c r="Y6989" i="2"/>
  <c r="AB6992" i="2"/>
  <c r="AK6992" i="2" s="1"/>
  <c r="Y6992" i="2"/>
  <c r="AF6993" i="2"/>
  <c r="AC6996" i="2"/>
  <c r="AB6996" i="2"/>
  <c r="AK6996" i="2" s="1"/>
  <c r="AF6997" i="2"/>
  <c r="AC6999" i="2"/>
  <c r="AB6999" i="2"/>
  <c r="AK6999" i="2" s="1"/>
  <c r="Y6999" i="2"/>
  <c r="AB7012" i="2"/>
  <c r="AK7012" i="2" s="1"/>
  <c r="Y7012" i="2"/>
  <c r="AF7016" i="2"/>
  <c r="AC7019" i="2"/>
  <c r="AB7019" i="2"/>
  <c r="AK7019" i="2" s="1"/>
  <c r="Y7019" i="2"/>
  <c r="AF7020" i="2"/>
  <c r="AC7022" i="2"/>
  <c r="AB7022" i="2"/>
  <c r="AK7022" i="2" s="1"/>
  <c r="Y7022" i="2"/>
  <c r="AC7029" i="2"/>
  <c r="AB7029" i="2"/>
  <c r="AK7029" i="2" s="1"/>
  <c r="Y7029" i="2"/>
  <c r="AB7032" i="2"/>
  <c r="AK7032" i="2" s="1"/>
  <c r="Y7032" i="2"/>
  <c r="AF7033" i="2"/>
  <c r="AB7042" i="2"/>
  <c r="AK7042" i="2" s="1"/>
  <c r="Y7042" i="2"/>
  <c r="AF7043" i="2"/>
  <c r="AF7046" i="2"/>
  <c r="AC7049" i="2"/>
  <c r="AB7049" i="2"/>
  <c r="AK7049" i="2" s="1"/>
  <c r="Y7049" i="2"/>
  <c r="AC7056" i="2"/>
  <c r="AF7063" i="2"/>
  <c r="AC7066" i="2"/>
  <c r="AB7076" i="2"/>
  <c r="AK7076" i="2" s="1"/>
  <c r="Y7076" i="2"/>
  <c r="AF7080" i="2"/>
  <c r="AC7083" i="2"/>
  <c r="AB7083" i="2"/>
  <c r="AK7083" i="2" s="1"/>
  <c r="Y7083" i="2"/>
  <c r="AF7084" i="2"/>
  <c r="AC7086" i="2"/>
  <c r="AB7086" i="2"/>
  <c r="AK7086" i="2" s="1"/>
  <c r="Y7086" i="2"/>
  <c r="AF7093" i="2"/>
  <c r="AC7096" i="2"/>
  <c r="AB7096" i="2"/>
  <c r="AK7096" i="2" s="1"/>
  <c r="Y7096" i="2"/>
  <c r="AC7099" i="2"/>
  <c r="AB7099" i="2"/>
  <c r="AK7099" i="2" s="1"/>
  <c r="Y7099" i="2"/>
  <c r="AB7106" i="2"/>
  <c r="AK7106" i="2" s="1"/>
  <c r="Y7106" i="2"/>
  <c r="AC7110" i="2"/>
  <c r="AF7114" i="2"/>
  <c r="AC7117" i="2"/>
  <c r="AF7121" i="2"/>
  <c r="AF7124" i="2"/>
  <c r="AC7127" i="2"/>
  <c r="AF7131" i="2"/>
  <c r="AC7134" i="2"/>
  <c r="AB7134" i="2"/>
  <c r="AK7134" i="2" s="1"/>
  <c r="Y7134" i="2"/>
  <c r="AB7141" i="2"/>
  <c r="AK7141" i="2" s="1"/>
  <c r="Y7141" i="2"/>
  <c r="AF7142" i="2"/>
  <c r="AC7145" i="2"/>
  <c r="AB7148" i="2"/>
  <c r="AK7148" i="2" s="1"/>
  <c r="Y7148" i="2"/>
  <c r="AF7149" i="2"/>
  <c r="AC7152" i="2"/>
  <c r="AB7152" i="2"/>
  <c r="AK7152" i="2" s="1"/>
  <c r="Y7152" i="2"/>
  <c r="AF7153" i="2"/>
  <c r="AF7156" i="2"/>
  <c r="AC7159" i="2"/>
  <c r="AF7163" i="2"/>
  <c r="AC7166" i="2"/>
  <c r="AB7169" i="2"/>
  <c r="AK7169" i="2" s="1"/>
  <c r="Y7169" i="2"/>
  <c r="AC7173" i="2"/>
  <c r="AC7176" i="2"/>
  <c r="AB7176" i="2"/>
  <c r="AK7176" i="2" s="1"/>
  <c r="Y7176" i="2"/>
  <c r="AC7190" i="2"/>
  <c r="AB7190" i="2"/>
  <c r="AK7190" i="2" s="1"/>
  <c r="Y7190" i="2"/>
  <c r="AB7193" i="2"/>
  <c r="AK7193" i="2" s="1"/>
  <c r="Y7193" i="2"/>
  <c r="AB7201" i="2"/>
  <c r="AK7201" i="2" s="1"/>
  <c r="Y7201" i="2"/>
  <c r="AF7202" i="2"/>
  <c r="AB7205" i="2"/>
  <c r="AK7205" i="2" s="1"/>
  <c r="Y7205" i="2"/>
  <c r="AB7209" i="2"/>
  <c r="AK7209" i="2" s="1"/>
  <c r="Y7209" i="2"/>
  <c r="AF7210" i="2"/>
  <c r="AC7213" i="2"/>
  <c r="AB7213" i="2"/>
  <c r="AK7213" i="2" s="1"/>
  <c r="Y7213" i="2"/>
  <c r="AC7217" i="2"/>
  <c r="AB7220" i="2"/>
  <c r="AK7220" i="2" s="1"/>
  <c r="Y7220" i="2"/>
  <c r="AF7221" i="2"/>
  <c r="AB7228" i="2"/>
  <c r="AK7228" i="2" s="1"/>
  <c r="Y7228" i="2"/>
  <c r="AF7229" i="2"/>
  <c r="AB7236" i="2"/>
  <c r="AK7236" i="2" s="1"/>
  <c r="Y7236" i="2"/>
  <c r="AF7237" i="2"/>
  <c r="AB7244" i="2"/>
  <c r="AK7244" i="2" s="1"/>
  <c r="Y7244" i="2"/>
  <c r="AF7245" i="2"/>
  <c r="AB7252" i="2"/>
  <c r="AK7252" i="2" s="1"/>
  <c r="Y7252" i="2"/>
  <c r="AF7253" i="2"/>
  <c r="AB7260" i="2"/>
  <c r="AK7260" i="2" s="1"/>
  <c r="Y7260" i="2"/>
  <c r="AF7261" i="2"/>
  <c r="AB7268" i="2"/>
  <c r="AK7268" i="2" s="1"/>
  <c r="Y7268" i="2"/>
  <c r="AF7269" i="2"/>
  <c r="AC7293" i="2"/>
  <c r="AB7293" i="2"/>
  <c r="AK7293" i="2" s="1"/>
  <c r="Y7293" i="2"/>
  <c r="AB7300" i="2"/>
  <c r="AK7300" i="2" s="1"/>
  <c r="Y7300" i="2"/>
  <c r="AF7301" i="2"/>
  <c r="AC7304" i="2"/>
  <c r="AB7304" i="2"/>
  <c r="AK7304" i="2" s="1"/>
  <c r="Y7304" i="2"/>
  <c r="AC7315" i="2"/>
  <c r="AB7315" i="2"/>
  <c r="AK7315" i="2" s="1"/>
  <c r="Y7315" i="2"/>
  <c r="AB7322" i="2"/>
  <c r="AK7322" i="2" s="1"/>
  <c r="Y7322" i="2"/>
  <c r="AC7326" i="2"/>
  <c r="AB7326" i="2"/>
  <c r="AK7326" i="2" s="1"/>
  <c r="Y7326" i="2"/>
  <c r="AB7340" i="2"/>
  <c r="AK7340" i="2" s="1"/>
  <c r="Y7340" i="2"/>
  <c r="AC7344" i="2"/>
  <c r="AB7344" i="2"/>
  <c r="AK7344" i="2" s="1"/>
  <c r="Y7344" i="2"/>
  <c r="AC7348" i="2"/>
  <c r="AF7352" i="2"/>
  <c r="AC7363" i="2"/>
  <c r="AB7363" i="2"/>
  <c r="AK7363" i="2" s="1"/>
  <c r="Y7363" i="2"/>
  <c r="AB7370" i="2"/>
  <c r="AK7370" i="2" s="1"/>
  <c r="Y7370" i="2"/>
  <c r="AF7371" i="2"/>
  <c r="AC7389" i="2"/>
  <c r="AB7389" i="2"/>
  <c r="AK7389" i="2" s="1"/>
  <c r="Y7389" i="2"/>
  <c r="AC7400" i="2"/>
  <c r="AB7400" i="2"/>
  <c r="AK7400" i="2" s="1"/>
  <c r="Y7400" i="2"/>
  <c r="AC7411" i="2"/>
  <c r="AB7411" i="2"/>
  <c r="AK7411" i="2" s="1"/>
  <c r="Y7411" i="2"/>
  <c r="AC7415" i="2"/>
  <c r="AB7426" i="2"/>
  <c r="AK7426" i="2" s="1"/>
  <c r="Y7426" i="2"/>
  <c r="AC7430" i="2"/>
  <c r="AB7430" i="2"/>
  <c r="AK7430" i="2" s="1"/>
  <c r="Y7430" i="2"/>
  <c r="AC7434" i="2"/>
  <c r="AF7435" i="2"/>
  <c r="AC7438" i="2"/>
  <c r="AB7438" i="2"/>
  <c r="AK7438" i="2" s="1"/>
  <c r="Y7438" i="2"/>
  <c r="AC7442" i="2"/>
  <c r="AF7443" i="2"/>
  <c r="AC7446" i="2"/>
  <c r="AB7446" i="2"/>
  <c r="AK7446" i="2" s="1"/>
  <c r="Y7446" i="2"/>
  <c r="AC7450" i="2"/>
  <c r="AF7451" i="2"/>
  <c r="AC7453" i="2"/>
  <c r="AB7453" i="2"/>
  <c r="AK7453" i="2" s="1"/>
  <c r="Y7453" i="2"/>
  <c r="AC7457" i="2"/>
  <c r="AF7458" i="2"/>
  <c r="AC7461" i="2"/>
  <c r="AB7461" i="2"/>
  <c r="AK7461" i="2" s="1"/>
  <c r="Y7461" i="2"/>
  <c r="AC7465" i="2"/>
  <c r="AF7466" i="2"/>
  <c r="AC7469" i="2"/>
  <c r="AB7469" i="2"/>
  <c r="AK7469" i="2" s="1"/>
  <c r="Y7469" i="2"/>
  <c r="AC7473" i="2"/>
  <c r="AF7474" i="2"/>
  <c r="AC7477" i="2"/>
  <c r="AB7477" i="2"/>
  <c r="AK7477" i="2" s="1"/>
  <c r="Y7477" i="2"/>
  <c r="AB7480" i="2"/>
  <c r="AK7480" i="2" s="1"/>
  <c r="Y7480" i="2"/>
  <c r="AC7481" i="2"/>
  <c r="AF7484" i="2"/>
  <c r="AC7487" i="2"/>
  <c r="AB7494" i="2"/>
  <c r="AK7494" i="2" s="1"/>
  <c r="Y7494" i="2"/>
  <c r="AB7502" i="2"/>
  <c r="AK7502" i="2" s="1"/>
  <c r="Y7502" i="2"/>
  <c r="AF7507" i="2"/>
  <c r="AC7510" i="2"/>
  <c r="AF7511" i="2"/>
  <c r="AF7514" i="2"/>
  <c r="AC7517" i="2"/>
  <c r="AB7524" i="2"/>
  <c r="AK7524" i="2" s="1"/>
  <c r="Y7524" i="2"/>
  <c r="AF7529" i="2"/>
  <c r="AC7532" i="2"/>
  <c r="AB7536" i="2"/>
  <c r="AK7536" i="2" s="1"/>
  <c r="Y7536" i="2"/>
  <c r="AB7539" i="2"/>
  <c r="AK7539" i="2" s="1"/>
  <c r="Y7539" i="2"/>
  <c r="AF7540" i="2"/>
  <c r="AC7544" i="2"/>
  <c r="AC7547" i="2"/>
  <c r="AC7551" i="2"/>
  <c r="AB7551" i="2"/>
  <c r="AK7551" i="2" s="1"/>
  <c r="AF7555" i="2"/>
  <c r="AB7558" i="2"/>
  <c r="AK7558" i="2" s="1"/>
  <c r="Y7558" i="2"/>
  <c r="AF7560" i="2"/>
  <c r="AC7562" i="2"/>
  <c r="AB7562" i="2"/>
  <c r="AK7562" i="2" s="1"/>
  <c r="Y7562" i="2"/>
  <c r="AC7566" i="2"/>
  <c r="AB7573" i="2"/>
  <c r="AK7573" i="2" s="1"/>
  <c r="Y7573" i="2"/>
  <c r="AC7581" i="2"/>
  <c r="AC7585" i="2"/>
  <c r="AB7585" i="2"/>
  <c r="AK7585" i="2" s="1"/>
  <c r="AB7588" i="2"/>
  <c r="AK7588" i="2" s="1"/>
  <c r="Y7588" i="2"/>
  <c r="AF7593" i="2"/>
  <c r="AC7596" i="2"/>
  <c r="AB7600" i="2"/>
  <c r="AK7600" i="2" s="1"/>
  <c r="Y7600" i="2"/>
  <c r="AB7603" i="2"/>
  <c r="AK7603" i="2" s="1"/>
  <c r="Y7603" i="2"/>
  <c r="AF7604" i="2"/>
  <c r="AF7612" i="2"/>
  <c r="AF7617" i="2"/>
  <c r="AC7619" i="2"/>
  <c r="AB7619" i="2"/>
  <c r="AK7619" i="2" s="1"/>
  <c r="Y7619" i="2"/>
  <c r="AC7623" i="2"/>
  <c r="AB7630" i="2"/>
  <c r="AK7630" i="2" s="1"/>
  <c r="Y7630" i="2"/>
  <c r="AC7638" i="2"/>
  <c r="AC7642" i="2"/>
  <c r="AB7642" i="2"/>
  <c r="AK7642" i="2" s="1"/>
  <c r="Y7642" i="2"/>
  <c r="AB7645" i="2"/>
  <c r="AK7645" i="2" s="1"/>
  <c r="Y7645" i="2"/>
  <c r="AF7650" i="2"/>
  <c r="AC7653" i="2"/>
  <c r="AB7660" i="2"/>
  <c r="AK7660" i="2" s="1"/>
  <c r="Y7660" i="2"/>
  <c r="AF7661" i="2"/>
  <c r="AC7665" i="2"/>
  <c r="AC7668" i="2"/>
  <c r="AC7672" i="2"/>
  <c r="AB7675" i="2"/>
  <c r="AK7675" i="2" s="1"/>
  <c r="Y7675" i="2"/>
  <c r="AF7676" i="2"/>
  <c r="AC7680" i="2"/>
  <c r="AB7683" i="2"/>
  <c r="AK7683" i="2" s="1"/>
  <c r="Y7683" i="2"/>
  <c r="AF7684" i="2"/>
  <c r="AC7688" i="2"/>
  <c r="AF7692" i="2"/>
  <c r="AC7696" i="2"/>
  <c r="AB7699" i="2"/>
  <c r="AK7699" i="2" s="1"/>
  <c r="Y7699" i="2"/>
  <c r="AF7700" i="2"/>
  <c r="AC7704" i="2"/>
  <c r="AB7707" i="2"/>
  <c r="AK7707" i="2" s="1"/>
  <c r="Y7707" i="2"/>
  <c r="AF7708" i="2"/>
  <c r="AC7712" i="2"/>
  <c r="AB7715" i="2"/>
  <c r="AK7715" i="2" s="1"/>
  <c r="Y7715" i="2"/>
  <c r="AF7716" i="2"/>
  <c r="AC7720" i="2"/>
  <c r="AB7723" i="2"/>
  <c r="AK7723" i="2" s="1"/>
  <c r="Y7723" i="2"/>
  <c r="AF7724" i="2"/>
  <c r="AB7730" i="2"/>
  <c r="AK7730" i="2" s="1"/>
  <c r="Y7730" i="2"/>
  <c r="AB7734" i="2"/>
  <c r="AK7734" i="2" s="1"/>
  <c r="Y7734" i="2"/>
  <c r="AF7735" i="2"/>
  <c r="AC7738" i="2"/>
  <c r="AC7742" i="2"/>
  <c r="AF7746" i="2"/>
  <c r="AC7753" i="2"/>
  <c r="AC7757" i="2"/>
  <c r="AB7757" i="2"/>
  <c r="AK7757" i="2" s="1"/>
  <c r="Y7757" i="2"/>
  <c r="AF7761" i="2"/>
  <c r="AB7764" i="2"/>
  <c r="AK7764" i="2" s="1"/>
  <c r="Y7764" i="2"/>
  <c r="AF7766" i="2"/>
  <c r="AC7768" i="2"/>
  <c r="AB7768" i="2"/>
  <c r="AK7768" i="2" s="1"/>
  <c r="Y7768" i="2"/>
  <c r="AC7772" i="2"/>
  <c r="AF7776" i="2"/>
  <c r="AB7779" i="2"/>
  <c r="AK7779" i="2" s="1"/>
  <c r="Y7779" i="2"/>
  <c r="AC7787" i="2"/>
  <c r="AC7791" i="2"/>
  <c r="AB7791" i="2"/>
  <c r="AK7791" i="2" s="1"/>
  <c r="AB7794" i="2"/>
  <c r="AK7794" i="2" s="1"/>
  <c r="Y7794" i="2"/>
  <c r="AB7802" i="2"/>
  <c r="AK7802" i="2" s="1"/>
  <c r="Y7802" i="2"/>
  <c r="AF7810" i="2"/>
  <c r="AC7813" i="2"/>
  <c r="AB7813" i="2"/>
  <c r="AK7813" i="2" s="1"/>
  <c r="Y7813" i="2"/>
  <c r="AF7817" i="2"/>
  <c r="AC7820" i="2"/>
  <c r="AF7824" i="2"/>
  <c r="AC7827" i="2"/>
  <c r="Y7827" i="2"/>
  <c r="AC7830" i="2"/>
  <c r="AB7830" i="2"/>
  <c r="AK7830" i="2" s="1"/>
  <c r="Y7830" i="2"/>
  <c r="AC7834" i="2"/>
  <c r="AF7838" i="2"/>
  <c r="AC7841" i="2"/>
  <c r="AB7844" i="2"/>
  <c r="AK7844" i="2" s="1"/>
  <c r="Y7844" i="2"/>
  <c r="AF7845" i="2"/>
  <c r="AF7848" i="2"/>
  <c r="AC7851" i="2"/>
  <c r="AB7851" i="2"/>
  <c r="AK7851" i="2" s="1"/>
  <c r="Y7851" i="2"/>
  <c r="AF7855" i="2"/>
  <c r="AC7858" i="2"/>
  <c r="AC7864" i="2"/>
  <c r="AB7864" i="2"/>
  <c r="AK7864" i="2" s="1"/>
  <c r="Y7864" i="2"/>
  <c r="Y7870" i="2"/>
  <c r="AF7874" i="2"/>
  <c r="AC7886" i="2"/>
  <c r="AB7886" i="2"/>
  <c r="AK7886" i="2" s="1"/>
  <c r="Y7886" i="2"/>
  <c r="AC7898" i="2"/>
  <c r="AB7898" i="2"/>
  <c r="AK7898" i="2" s="1"/>
  <c r="Y7898" i="2"/>
  <c r="AF7905" i="2"/>
  <c r="AB7907" i="2"/>
  <c r="AK7907" i="2" s="1"/>
  <c r="Y7907" i="2"/>
  <c r="AC7907" i="2"/>
  <c r="AC7979" i="2"/>
  <c r="AB7979" i="2"/>
  <c r="AK7979" i="2" s="1"/>
  <c r="Y7979" i="2"/>
  <c r="AH7997" i="2"/>
  <c r="AF7997" i="2"/>
  <c r="AB8072" i="2"/>
  <c r="AK8072" i="2" s="1"/>
  <c r="Y8072" i="2"/>
  <c r="AC8072" i="2"/>
  <c r="AC8102" i="2"/>
  <c r="AB8102" i="2"/>
  <c r="AK8102" i="2" s="1"/>
  <c r="Y8102" i="2"/>
  <c r="AB8115" i="2"/>
  <c r="AK8115" i="2" s="1"/>
  <c r="Y8115" i="2"/>
  <c r="AC8115" i="2"/>
  <c r="Y8001" i="2"/>
  <c r="Y7969" i="2"/>
  <c r="Y7937" i="2"/>
  <c r="Y7873" i="2"/>
  <c r="Y7841" i="2"/>
  <c r="Y7809" i="2"/>
  <c r="Y7777" i="2"/>
  <c r="Y7745" i="2"/>
  <c r="Y7713" i="2"/>
  <c r="Y7681" i="2"/>
  <c r="Y7649" i="2"/>
  <c r="Y7617" i="2"/>
  <c r="Y7585" i="2"/>
  <c r="Y7553" i="2"/>
  <c r="Y7521" i="2"/>
  <c r="Y7489" i="2"/>
  <c r="Y7457" i="2"/>
  <c r="Y7393" i="2"/>
  <c r="Y7361" i="2"/>
  <c r="Y7329" i="2"/>
  <c r="Y7297" i="2"/>
  <c r="Y7265" i="2"/>
  <c r="Y7207" i="2"/>
  <c r="Y7143" i="2"/>
  <c r="Y7079" i="2"/>
  <c r="Y7015" i="2"/>
  <c r="AC6982" i="2"/>
  <c r="AB6982" i="2"/>
  <c r="AK6982" i="2" s="1"/>
  <c r="Y6982" i="2"/>
  <c r="AB6995" i="2"/>
  <c r="AK6995" i="2" s="1"/>
  <c r="Y6995" i="2"/>
  <c r="AF6996" i="2"/>
  <c r="AF6999" i="2"/>
  <c r="AC7005" i="2"/>
  <c r="AB7005" i="2"/>
  <c r="AK7005" i="2" s="1"/>
  <c r="Y7005" i="2"/>
  <c r="AB7008" i="2"/>
  <c r="AK7008" i="2" s="1"/>
  <c r="Y7008" i="2"/>
  <c r="Y7018" i="2"/>
  <c r="AF7019" i="2"/>
  <c r="AF7022" i="2"/>
  <c r="AC7025" i="2"/>
  <c r="AB7025" i="2"/>
  <c r="AK7025" i="2" s="1"/>
  <c r="Y7025" i="2"/>
  <c r="AF7029" i="2"/>
  <c r="AF7039" i="2"/>
  <c r="AB7052" i="2"/>
  <c r="AK7052" i="2" s="1"/>
  <c r="Y7052" i="2"/>
  <c r="AC7059" i="2"/>
  <c r="AB7059" i="2"/>
  <c r="AK7059" i="2" s="1"/>
  <c r="Y7059" i="2"/>
  <c r="AC7062" i="2"/>
  <c r="AB7062" i="2"/>
  <c r="AK7062" i="2" s="1"/>
  <c r="Y7062" i="2"/>
  <c r="AC7069" i="2"/>
  <c r="AB7069" i="2"/>
  <c r="AK7069" i="2" s="1"/>
  <c r="Y7069" i="2"/>
  <c r="Y7072" i="2"/>
  <c r="AB7082" i="2"/>
  <c r="AK7082" i="2" s="1"/>
  <c r="Y7082" i="2"/>
  <c r="AF7086" i="2"/>
  <c r="AC7089" i="2"/>
  <c r="AB7089" i="2"/>
  <c r="AK7089" i="2" s="1"/>
  <c r="Y7089" i="2"/>
  <c r="AB7102" i="2"/>
  <c r="AK7102" i="2" s="1"/>
  <c r="Y7102" i="2"/>
  <c r="AB7109" i="2"/>
  <c r="AK7109" i="2" s="1"/>
  <c r="Y7109" i="2"/>
  <c r="AF7110" i="2"/>
  <c r="AC7113" i="2"/>
  <c r="AB7113" i="2"/>
  <c r="AK7113" i="2" s="1"/>
  <c r="Y7113" i="2"/>
  <c r="AB7116" i="2"/>
  <c r="AK7116" i="2" s="1"/>
  <c r="Y7116" i="2"/>
  <c r="AF7117" i="2"/>
  <c r="AC7120" i="2"/>
  <c r="AB7120" i="2"/>
  <c r="AK7120" i="2" s="1"/>
  <c r="Y7120" i="2"/>
  <c r="AC7123" i="2"/>
  <c r="Y7123" i="2"/>
  <c r="AC7130" i="2"/>
  <c r="AB7130" i="2"/>
  <c r="AK7130" i="2" s="1"/>
  <c r="Y7130" i="2"/>
  <c r="AB7137" i="2"/>
  <c r="AK7137" i="2" s="1"/>
  <c r="Y7137" i="2"/>
  <c r="AF7152" i="2"/>
  <c r="AC7155" i="2"/>
  <c r="AB7155" i="2"/>
  <c r="AK7155" i="2" s="1"/>
  <c r="Y7155" i="2"/>
  <c r="AC7162" i="2"/>
  <c r="AB7162" i="2"/>
  <c r="AK7162" i="2" s="1"/>
  <c r="Y7162" i="2"/>
  <c r="AB7165" i="2"/>
  <c r="AK7165" i="2" s="1"/>
  <c r="Y7165" i="2"/>
  <c r="AC7172" i="2"/>
  <c r="AB7172" i="2"/>
  <c r="AK7172" i="2" s="1"/>
  <c r="Y7172" i="2"/>
  <c r="AF7173" i="2"/>
  <c r="AC7179" i="2"/>
  <c r="AB7179" i="2"/>
  <c r="AK7179" i="2" s="1"/>
  <c r="Y7179" i="2"/>
  <c r="AC7186" i="2"/>
  <c r="AB7186" i="2"/>
  <c r="AK7186" i="2" s="1"/>
  <c r="Y7186" i="2"/>
  <c r="AF7190" i="2"/>
  <c r="AC7197" i="2"/>
  <c r="AB7197" i="2"/>
  <c r="AK7197" i="2" s="1"/>
  <c r="Y7197" i="2"/>
  <c r="AB7204" i="2"/>
  <c r="AK7204" i="2" s="1"/>
  <c r="Y7204" i="2"/>
  <c r="AB7212" i="2"/>
  <c r="AK7212" i="2" s="1"/>
  <c r="Y7212" i="2"/>
  <c r="AF7213" i="2"/>
  <c r="AC7224" i="2"/>
  <c r="AB7224" i="2"/>
  <c r="AK7224" i="2" s="1"/>
  <c r="Y7224" i="2"/>
  <c r="AC7232" i="2"/>
  <c r="AB7232" i="2"/>
  <c r="AK7232" i="2" s="1"/>
  <c r="Y7232" i="2"/>
  <c r="AC7240" i="2"/>
  <c r="AB7240" i="2"/>
  <c r="AK7240" i="2" s="1"/>
  <c r="Y7240" i="2"/>
  <c r="AC7248" i="2"/>
  <c r="AB7248" i="2"/>
  <c r="AK7248" i="2" s="1"/>
  <c r="Y7248" i="2"/>
  <c r="AC7256" i="2"/>
  <c r="AB7256" i="2"/>
  <c r="AK7256" i="2" s="1"/>
  <c r="Y7256" i="2"/>
  <c r="AC7264" i="2"/>
  <c r="AB7264" i="2"/>
  <c r="AK7264" i="2" s="1"/>
  <c r="Y7264" i="2"/>
  <c r="AC7272" i="2"/>
  <c r="AB7272" i="2"/>
  <c r="AK7272" i="2" s="1"/>
  <c r="Y7272" i="2"/>
  <c r="AC7285" i="2"/>
  <c r="AB7285" i="2"/>
  <c r="AK7285" i="2" s="1"/>
  <c r="Y7285" i="2"/>
  <c r="AB7292" i="2"/>
  <c r="AK7292" i="2" s="1"/>
  <c r="Y7292" i="2"/>
  <c r="AF7293" i="2"/>
  <c r="AC7296" i="2"/>
  <c r="AB7296" i="2"/>
  <c r="AK7296" i="2" s="1"/>
  <c r="Y7296" i="2"/>
  <c r="AF7304" i="2"/>
  <c r="AC7307" i="2"/>
  <c r="AB7307" i="2"/>
  <c r="AK7307" i="2" s="1"/>
  <c r="Y7307" i="2"/>
  <c r="AB7314" i="2"/>
  <c r="AK7314" i="2" s="1"/>
  <c r="Y7314" i="2"/>
  <c r="AC7318" i="2"/>
  <c r="AB7318" i="2"/>
  <c r="AK7318" i="2" s="1"/>
  <c r="Y7318" i="2"/>
  <c r="AC7322" i="2"/>
  <c r="AF7323" i="2"/>
  <c r="AF7330" i="2"/>
  <c r="AC7333" i="2"/>
  <c r="AB7333" i="2"/>
  <c r="AK7333" i="2" s="1"/>
  <c r="Y7333" i="2"/>
  <c r="AF7337" i="2"/>
  <c r="AC7340" i="2"/>
  <c r="AF7344" i="2"/>
  <c r="AC7355" i="2"/>
  <c r="AB7355" i="2"/>
  <c r="AK7355" i="2" s="1"/>
  <c r="Y7355" i="2"/>
  <c r="AB7362" i="2"/>
  <c r="AK7362" i="2" s="1"/>
  <c r="Y7362" i="2"/>
  <c r="AC7366" i="2"/>
  <c r="AB7366" i="2"/>
  <c r="AK7366" i="2" s="1"/>
  <c r="Y7366" i="2"/>
  <c r="AC7370" i="2"/>
  <c r="AC7377" i="2"/>
  <c r="AC7381" i="2"/>
  <c r="AB7381" i="2"/>
  <c r="AK7381" i="2" s="1"/>
  <c r="Y7381" i="2"/>
  <c r="AF7385" i="2"/>
  <c r="AB7388" i="2"/>
  <c r="AK7388" i="2" s="1"/>
  <c r="Y7388" i="2"/>
  <c r="AF7389" i="2"/>
  <c r="AC7392" i="2"/>
  <c r="AB7392" i="2"/>
  <c r="AK7392" i="2" s="1"/>
  <c r="Y7392" i="2"/>
  <c r="AF7400" i="2"/>
  <c r="AC7403" i="2"/>
  <c r="AB7403" i="2"/>
  <c r="AK7403" i="2" s="1"/>
  <c r="Y7403" i="2"/>
  <c r="AC7407" i="2"/>
  <c r="AB7418" i="2"/>
  <c r="AK7418" i="2" s="1"/>
  <c r="Y7418" i="2"/>
  <c r="AF7419" i="2"/>
  <c r="AC7422" i="2"/>
  <c r="AB7422" i="2"/>
  <c r="AK7422" i="2" s="1"/>
  <c r="Y7422" i="2"/>
  <c r="AC7426" i="2"/>
  <c r="AF7430" i="2"/>
  <c r="AF7438" i="2"/>
  <c r="AF7446" i="2"/>
  <c r="AB7456" i="2"/>
  <c r="AK7456" i="2" s="1"/>
  <c r="Y7456" i="2"/>
  <c r="AF7461" i="2"/>
  <c r="AB7464" i="2"/>
  <c r="AK7464" i="2" s="1"/>
  <c r="Y7464" i="2"/>
  <c r="AB7472" i="2"/>
  <c r="AK7472" i="2" s="1"/>
  <c r="Y7472" i="2"/>
  <c r="AC7498" i="2"/>
  <c r="AB7498" i="2"/>
  <c r="AK7498" i="2" s="1"/>
  <c r="Y7498" i="2"/>
  <c r="AC7506" i="2"/>
  <c r="AB7506" i="2"/>
  <c r="AK7506" i="2" s="1"/>
  <c r="Y7506" i="2"/>
  <c r="AB7509" i="2"/>
  <c r="AK7509" i="2" s="1"/>
  <c r="Y7509" i="2"/>
  <c r="AB7516" i="2"/>
  <c r="AK7516" i="2" s="1"/>
  <c r="Y7516" i="2"/>
  <c r="AF7517" i="2"/>
  <c r="AB7528" i="2"/>
  <c r="AK7528" i="2" s="1"/>
  <c r="Y7528" i="2"/>
  <c r="AB7531" i="2"/>
  <c r="AK7531" i="2" s="1"/>
  <c r="Y7531" i="2"/>
  <c r="AF7532" i="2"/>
  <c r="AC7543" i="2"/>
  <c r="AB7543" i="2"/>
  <c r="AK7543" i="2" s="1"/>
  <c r="AF7547" i="2"/>
  <c r="AB7550" i="2"/>
  <c r="AK7550" i="2" s="1"/>
  <c r="Y7550" i="2"/>
  <c r="AC7554" i="2"/>
  <c r="AB7554" i="2"/>
  <c r="AK7554" i="2" s="1"/>
  <c r="Y7554" i="2"/>
  <c r="AB7565" i="2"/>
  <c r="AK7565" i="2" s="1"/>
  <c r="Y7565" i="2"/>
  <c r="AC7577" i="2"/>
  <c r="AB7577" i="2"/>
  <c r="AK7577" i="2" s="1"/>
  <c r="AB7580" i="2"/>
  <c r="AK7580" i="2" s="1"/>
  <c r="Y7580" i="2"/>
  <c r="AF7581" i="2"/>
  <c r="AF7585" i="2"/>
  <c r="AB7592" i="2"/>
  <c r="AK7592" i="2" s="1"/>
  <c r="Y7592" i="2"/>
  <c r="AB7595" i="2"/>
  <c r="AK7595" i="2" s="1"/>
  <c r="Y7595" i="2"/>
  <c r="AF7596" i="2"/>
  <c r="AC7607" i="2"/>
  <c r="AC7611" i="2"/>
  <c r="AB7611" i="2"/>
  <c r="AK7611" i="2" s="1"/>
  <c r="Y7611" i="2"/>
  <c r="AB7622" i="2"/>
  <c r="AK7622" i="2" s="1"/>
  <c r="Y7622" i="2"/>
  <c r="AC7634" i="2"/>
  <c r="AB7634" i="2"/>
  <c r="AK7634" i="2" s="1"/>
  <c r="Y7634" i="2"/>
  <c r="AB7637" i="2"/>
  <c r="AK7637" i="2" s="1"/>
  <c r="Y7637" i="2"/>
  <c r="AF7638" i="2"/>
  <c r="AF7642" i="2"/>
  <c r="AB7652" i="2"/>
  <c r="AK7652" i="2" s="1"/>
  <c r="Y7652" i="2"/>
  <c r="AF7653" i="2"/>
  <c r="AC7664" i="2"/>
  <c r="AB7664" i="2"/>
  <c r="AK7664" i="2" s="1"/>
  <c r="Y7664" i="2"/>
  <c r="AF7668" i="2"/>
  <c r="AC7671" i="2"/>
  <c r="AB7671" i="2"/>
  <c r="AK7671" i="2" s="1"/>
  <c r="AC7679" i="2"/>
  <c r="AB7679" i="2"/>
  <c r="AK7679" i="2" s="1"/>
  <c r="AC7687" i="2"/>
  <c r="AB7687" i="2"/>
  <c r="AK7687" i="2" s="1"/>
  <c r="AF7691" i="2"/>
  <c r="Y7691" i="2"/>
  <c r="AC7695" i="2"/>
  <c r="AB7695" i="2"/>
  <c r="AK7695" i="2" s="1"/>
  <c r="AC7703" i="2"/>
  <c r="AB7703" i="2"/>
  <c r="AK7703" i="2" s="1"/>
  <c r="AC7711" i="2"/>
  <c r="AC7719" i="2"/>
  <c r="AB7719" i="2"/>
  <c r="AK7719" i="2" s="1"/>
  <c r="AC7727" i="2"/>
  <c r="AB7727" i="2"/>
  <c r="AK7727" i="2" s="1"/>
  <c r="AF7738" i="2"/>
  <c r="AC7749" i="2"/>
  <c r="AB7749" i="2"/>
  <c r="AK7749" i="2" s="1"/>
  <c r="Y7749" i="2"/>
  <c r="AF7753" i="2"/>
  <c r="AB7756" i="2"/>
  <c r="AK7756" i="2" s="1"/>
  <c r="Y7756" i="2"/>
  <c r="AC7760" i="2"/>
  <c r="AB7760" i="2"/>
  <c r="AK7760" i="2" s="1"/>
  <c r="Y7760" i="2"/>
  <c r="AF7768" i="2"/>
  <c r="AB7771" i="2"/>
  <c r="AK7771" i="2" s="1"/>
  <c r="Y7771" i="2"/>
  <c r="AC7783" i="2"/>
  <c r="AB7783" i="2"/>
  <c r="AK7783" i="2" s="1"/>
  <c r="AB7786" i="2"/>
  <c r="AK7786" i="2" s="1"/>
  <c r="Y7786" i="2"/>
  <c r="AF7787" i="2"/>
  <c r="AF7791" i="2"/>
  <c r="AC7798" i="2"/>
  <c r="AB7798" i="2"/>
  <c r="AK7798" i="2" s="1"/>
  <c r="Y7798" i="2"/>
  <c r="AB7812" i="2"/>
  <c r="AK7812" i="2" s="1"/>
  <c r="Y7812" i="2"/>
  <c r="AF7813" i="2"/>
  <c r="AC7816" i="2"/>
  <c r="AB7816" i="2"/>
  <c r="AK7816" i="2" s="1"/>
  <c r="Y7816" i="2"/>
  <c r="AF7827" i="2"/>
  <c r="AF7834" i="2"/>
  <c r="AC7837" i="2"/>
  <c r="AB7837" i="2"/>
  <c r="AK7837" i="2" s="1"/>
  <c r="Y7837" i="2"/>
  <c r="AF7841" i="2"/>
  <c r="AC7854" i="2"/>
  <c r="AB7854" i="2"/>
  <c r="AK7854" i="2" s="1"/>
  <c r="Y7854" i="2"/>
  <c r="AB7876" i="2"/>
  <c r="AK7876" i="2" s="1"/>
  <c r="Y7876" i="2"/>
  <c r="AC7916" i="2"/>
  <c r="AB7916" i="2"/>
  <c r="AK7916" i="2" s="1"/>
  <c r="Y7916" i="2"/>
  <c r="AC8075" i="2"/>
  <c r="AB8075" i="2"/>
  <c r="AK8075" i="2" s="1"/>
  <c r="Y8075" i="2"/>
  <c r="AB8133" i="2"/>
  <c r="AK8133" i="2" s="1"/>
  <c r="Y8133" i="2"/>
  <c r="AC8133" i="2"/>
  <c r="AC8137" i="2"/>
  <c r="AB8137" i="2"/>
  <c r="AK8137" i="2" s="1"/>
  <c r="Y8113" i="2"/>
  <c r="Y7999" i="2"/>
  <c r="Y7839" i="2"/>
  <c r="Y7807" i="2"/>
  <c r="Y7775" i="2"/>
  <c r="Y7743" i="2"/>
  <c r="Y7711" i="2"/>
  <c r="Y7679" i="2"/>
  <c r="Y7647" i="2"/>
  <c r="Y7615" i="2"/>
  <c r="Y7583" i="2"/>
  <c r="Y7551" i="2"/>
  <c r="Y7519" i="2"/>
  <c r="Y7487" i="2"/>
  <c r="Y7455" i="2"/>
  <c r="Y7423" i="2"/>
  <c r="Y7359" i="2"/>
  <c r="Y7327" i="2"/>
  <c r="Y7199" i="2"/>
  <c r="Y7006" i="2"/>
  <c r="AF7880" i="2"/>
  <c r="AC7883" i="2"/>
  <c r="AB7883" i="2"/>
  <c r="AK7883" i="2" s="1"/>
  <c r="AC7890" i="2"/>
  <c r="AB7890" i="2"/>
  <c r="AK7890" i="2" s="1"/>
  <c r="AF7891" i="2"/>
  <c r="AC7893" i="2"/>
  <c r="AB7893" i="2"/>
  <c r="AK7893" i="2" s="1"/>
  <c r="AF7901" i="2"/>
  <c r="AC7908" i="2"/>
  <c r="AB7908" i="2"/>
  <c r="AK7908" i="2" s="1"/>
  <c r="AF7912" i="2"/>
  <c r="AF7916" i="2"/>
  <c r="AC7919" i="2"/>
  <c r="AB7919" i="2"/>
  <c r="AK7919" i="2" s="1"/>
  <c r="AC7930" i="2"/>
  <c r="AB7930" i="2"/>
  <c r="AK7930" i="2" s="1"/>
  <c r="AF7931" i="2"/>
  <c r="AC7933" i="2"/>
  <c r="AB7933" i="2"/>
  <c r="AK7933" i="2" s="1"/>
  <c r="AF7948" i="2"/>
  <c r="AF7959" i="2"/>
  <c r="AC7962" i="2"/>
  <c r="AB7962" i="2"/>
  <c r="AK7962" i="2" s="1"/>
  <c r="AF7966" i="2"/>
  <c r="AF7973" i="2"/>
  <c r="AC7976" i="2"/>
  <c r="AB7976" i="2"/>
  <c r="AK7976" i="2" s="1"/>
  <c r="AC7994" i="2"/>
  <c r="AB7994" i="2"/>
  <c r="AK7994" i="2" s="1"/>
  <c r="AC8010" i="2"/>
  <c r="AB8010" i="2"/>
  <c r="AK8010" i="2" s="1"/>
  <c r="AC8031" i="2"/>
  <c r="AB8031" i="2"/>
  <c r="AK8031" i="2" s="1"/>
  <c r="AC8039" i="2"/>
  <c r="AB8039" i="2"/>
  <c r="AK8039" i="2" s="1"/>
  <c r="AC8047" i="2"/>
  <c r="AB8047" i="2"/>
  <c r="AK8047" i="2" s="1"/>
  <c r="AC8057" i="2"/>
  <c r="AB8057" i="2"/>
  <c r="AK8057" i="2" s="1"/>
  <c r="AC8067" i="2"/>
  <c r="AB8067" i="2"/>
  <c r="AK8067" i="2" s="1"/>
  <c r="AC8127" i="2"/>
  <c r="AB8127" i="2"/>
  <c r="AK8127" i="2" s="1"/>
  <c r="AC8150" i="2"/>
  <c r="AB8150" i="2"/>
  <c r="AK8150" i="2" s="1"/>
  <c r="Y8112" i="2"/>
  <c r="Y8104" i="2"/>
  <c r="Y8096" i="2"/>
  <c r="Y8088" i="2"/>
  <c r="Y8080" i="2"/>
  <c r="Y8064" i="2"/>
  <c r="Y8056" i="2"/>
  <c r="Y8032" i="2"/>
  <c r="Y8008" i="2"/>
  <c r="Y8000" i="2"/>
  <c r="Y7992" i="2"/>
  <c r="Y7976" i="2"/>
  <c r="Y7952" i="2"/>
  <c r="Y7928" i="2"/>
  <c r="Y7920" i="2"/>
  <c r="AF7858" i="2"/>
  <c r="AC7861" i="2"/>
  <c r="AB7861" i="2"/>
  <c r="AK7861" i="2" s="1"/>
  <c r="AF7865" i="2"/>
  <c r="AF7872" i="2"/>
  <c r="AC7875" i="2"/>
  <c r="AB7875" i="2"/>
  <c r="AK7875" i="2" s="1"/>
  <c r="AF7893" i="2"/>
  <c r="AF7900" i="2"/>
  <c r="AC7903" i="2"/>
  <c r="AB7903" i="2"/>
  <c r="AK7903" i="2" s="1"/>
  <c r="AF7911" i="2"/>
  <c r="AC7922" i="2"/>
  <c r="AB7922" i="2"/>
  <c r="AK7922" i="2" s="1"/>
  <c r="AF7923" i="2"/>
  <c r="AC7925" i="2"/>
  <c r="AB7925" i="2"/>
  <c r="AK7925" i="2" s="1"/>
  <c r="AF7933" i="2"/>
  <c r="AF7940" i="2"/>
  <c r="AF7947" i="2"/>
  <c r="AC7950" i="2"/>
  <c r="AB7950" i="2"/>
  <c r="AK7950" i="2" s="1"/>
  <c r="AC7954" i="2"/>
  <c r="AB7954" i="2"/>
  <c r="AK7954" i="2" s="1"/>
  <c r="AF7958" i="2"/>
  <c r="AF7965" i="2"/>
  <c r="AC7968" i="2"/>
  <c r="AB7968" i="2"/>
  <c r="AK7968" i="2" s="1"/>
  <c r="AF7983" i="2"/>
  <c r="AC7986" i="2"/>
  <c r="AB7986" i="2"/>
  <c r="AK7986" i="2" s="1"/>
  <c r="AC7998" i="2"/>
  <c r="AB7998" i="2"/>
  <c r="AK7998" i="2" s="1"/>
  <c r="AC8040" i="2"/>
  <c r="AB8040" i="2"/>
  <c r="AK8040" i="2" s="1"/>
  <c r="AC8043" i="2"/>
  <c r="AB8043" i="2"/>
  <c r="AK8043" i="2" s="1"/>
  <c r="AC8048" i="2"/>
  <c r="AB8048" i="2"/>
  <c r="AK8048" i="2" s="1"/>
  <c r="AC8053" i="2"/>
  <c r="AB8053" i="2"/>
  <c r="AK8053" i="2" s="1"/>
  <c r="AC8063" i="2"/>
  <c r="AB8063" i="2"/>
  <c r="AK8063" i="2" s="1"/>
  <c r="AC8077" i="2"/>
  <c r="AB8077" i="2"/>
  <c r="AK8077" i="2" s="1"/>
  <c r="AC8085" i="2"/>
  <c r="AB8085" i="2"/>
  <c r="AK8085" i="2" s="1"/>
  <c r="AC8093" i="2"/>
  <c r="AB8093" i="2"/>
  <c r="AK8093" i="2" s="1"/>
  <c r="AC8101" i="2"/>
  <c r="AB8101" i="2"/>
  <c r="AK8101" i="2" s="1"/>
  <c r="AC8109" i="2"/>
  <c r="AB8109" i="2"/>
  <c r="AK8109" i="2" s="1"/>
  <c r="AC8117" i="2"/>
  <c r="AB8117" i="2"/>
  <c r="AK8117" i="2" s="1"/>
  <c r="AC8124" i="2"/>
  <c r="AB8124" i="2"/>
  <c r="AK8124" i="2" s="1"/>
  <c r="AC8128" i="2"/>
  <c r="AB8128" i="2"/>
  <c r="AK8128" i="2" s="1"/>
  <c r="Y8150" i="2"/>
  <c r="Y8134" i="2"/>
  <c r="Y8062" i="2"/>
  <c r="Y8054" i="2"/>
  <c r="Y8046" i="2"/>
  <c r="Y8038" i="2"/>
  <c r="Y7998" i="2"/>
  <c r="Y7982" i="2"/>
  <c r="Y7974" i="2"/>
  <c r="Y7966" i="2"/>
  <c r="Y7958" i="2"/>
  <c r="Y7950" i="2"/>
  <c r="Y7934" i="2"/>
  <c r="Y7910" i="2"/>
  <c r="Y7902" i="2"/>
  <c r="Y7894" i="2"/>
  <c r="AC7878" i="2"/>
  <c r="AB7878" i="2"/>
  <c r="AK7878" i="2" s="1"/>
  <c r="AC7892" i="2"/>
  <c r="AB7892" i="2"/>
  <c r="AK7892" i="2" s="1"/>
  <c r="AC7914" i="2"/>
  <c r="AB7914" i="2"/>
  <c r="AK7914" i="2" s="1"/>
  <c r="AC7932" i="2"/>
  <c r="AB7932" i="2"/>
  <c r="AK7932" i="2" s="1"/>
  <c r="AC7957" i="2"/>
  <c r="AB7957" i="2"/>
  <c r="AK7957" i="2" s="1"/>
  <c r="AC7971" i="2"/>
  <c r="AB7971" i="2"/>
  <c r="AK7971" i="2" s="1"/>
  <c r="AC7975" i="2"/>
  <c r="AF7986" i="2"/>
  <c r="AC7991" i="2"/>
  <c r="AB7991" i="2"/>
  <c r="AK7991" i="2" s="1"/>
  <c r="AH7996" i="2"/>
  <c r="AC8000" i="2"/>
  <c r="AC8007" i="2"/>
  <c r="AB8007" i="2"/>
  <c r="AK8007" i="2" s="1"/>
  <c r="AH8012" i="2"/>
  <c r="AC8051" i="2"/>
  <c r="AB8051" i="2"/>
  <c r="AK8051" i="2" s="1"/>
  <c r="AC8061" i="2"/>
  <c r="AB8061" i="2"/>
  <c r="AK8061" i="2" s="1"/>
  <c r="AC8082" i="2"/>
  <c r="AB8082" i="2"/>
  <c r="AK8082" i="2" s="1"/>
  <c r="AC8090" i="2"/>
  <c r="AB8090" i="2"/>
  <c r="AK8090" i="2" s="1"/>
  <c r="AC8098" i="2"/>
  <c r="AB8098" i="2"/>
  <c r="AK8098" i="2" s="1"/>
  <c r="AC8106" i="2"/>
  <c r="AB8106" i="2"/>
  <c r="AK8106" i="2" s="1"/>
  <c r="AC8114" i="2"/>
  <c r="AB8114" i="2"/>
  <c r="AK8114" i="2" s="1"/>
  <c r="AC8131" i="2"/>
  <c r="AC8134" i="2"/>
  <c r="AC8138" i="2"/>
  <c r="AB8138" i="2"/>
  <c r="AK8138" i="2" s="1"/>
  <c r="AC8141" i="2"/>
  <c r="AC8145" i="2"/>
  <c r="AB8145" i="2"/>
  <c r="AK8145" i="2" s="1"/>
  <c r="Y8141" i="2"/>
  <c r="Y8117" i="2"/>
  <c r="Y8109" i="2"/>
  <c r="Y8101" i="2"/>
  <c r="Y8093" i="2"/>
  <c r="Y8085" i="2"/>
  <c r="Y8077" i="2"/>
  <c r="Y8069" i="2"/>
  <c r="Y8061" i="2"/>
  <c r="Y8053" i="2"/>
  <c r="Y7997" i="2"/>
  <c r="Y7957" i="2"/>
  <c r="Y7949" i="2"/>
  <c r="Y7941" i="2"/>
  <c r="Y7933" i="2"/>
  <c r="Y7925" i="2"/>
  <c r="Y7893" i="2"/>
  <c r="Y7861" i="2"/>
  <c r="AF7832" i="2"/>
  <c r="AC7835" i="2"/>
  <c r="AB7835" i="2"/>
  <c r="AK7835" i="2" s="1"/>
  <c r="AF7850" i="2"/>
  <c r="AC7853" i="2"/>
  <c r="AB7853" i="2"/>
  <c r="AK7853" i="2" s="1"/>
  <c r="AF7857" i="2"/>
  <c r="AC7867" i="2"/>
  <c r="AB7867" i="2"/>
  <c r="AK7867" i="2" s="1"/>
  <c r="AC7885" i="2"/>
  <c r="AB7885" i="2"/>
  <c r="AK7885" i="2" s="1"/>
  <c r="AC7895" i="2"/>
  <c r="AC7899" i="2"/>
  <c r="AC7902" i="2"/>
  <c r="AC7906" i="2"/>
  <c r="AB7906" i="2"/>
  <c r="AK7906" i="2" s="1"/>
  <c r="AC7917" i="2"/>
  <c r="AB7917" i="2"/>
  <c r="AK7917" i="2" s="1"/>
  <c r="AC7921" i="2"/>
  <c r="AF7925" i="2"/>
  <c r="AC7928" i="2"/>
  <c r="AC7935" i="2"/>
  <c r="AB7935" i="2"/>
  <c r="AK7935" i="2" s="1"/>
  <c r="AC7939" i="2"/>
  <c r="AC7942" i="2"/>
  <c r="AB7942" i="2"/>
  <c r="AK7942" i="2" s="1"/>
  <c r="AC7946" i="2"/>
  <c r="AC7949" i="2"/>
  <c r="AC7953" i="2"/>
  <c r="AF7957" i="2"/>
  <c r="AC7960" i="2"/>
  <c r="AB7960" i="2"/>
  <c r="AK7960" i="2" s="1"/>
  <c r="AF7975" i="2"/>
  <c r="AC7978" i="2"/>
  <c r="AB7978" i="2"/>
  <c r="AK7978" i="2" s="1"/>
  <c r="AF7982" i="2"/>
  <c r="AC8002" i="2"/>
  <c r="AB8002" i="2"/>
  <c r="AK8002" i="2" s="1"/>
  <c r="AC8041" i="2"/>
  <c r="AB8041" i="2"/>
  <c r="AK8041" i="2" s="1"/>
  <c r="AC8049" i="2"/>
  <c r="AB8049" i="2"/>
  <c r="AK8049" i="2" s="1"/>
  <c r="AC8058" i="2"/>
  <c r="AC8068" i="2"/>
  <c r="AC8079" i="2"/>
  <c r="AC8087" i="2"/>
  <c r="AC8095" i="2"/>
  <c r="AC8103" i="2"/>
  <c r="AC8111" i="2"/>
  <c r="AC8119" i="2"/>
  <c r="AC8125" i="2"/>
  <c r="AB8125" i="2"/>
  <c r="AK8125" i="2" s="1"/>
  <c r="AC8148" i="2"/>
  <c r="Y8148" i="2"/>
  <c r="Y8124" i="2"/>
  <c r="Y8116" i="2"/>
  <c r="Y8108" i="2"/>
  <c r="Y8100" i="2"/>
  <c r="Y8092" i="2"/>
  <c r="Y8084" i="2"/>
  <c r="Y8076" i="2"/>
  <c r="Y8068" i="2"/>
  <c r="Y8052" i="2"/>
  <c r="Y8044" i="2"/>
  <c r="Y8012" i="2"/>
  <c r="Y8004" i="2"/>
  <c r="Y7996" i="2"/>
  <c r="Y7988" i="2"/>
  <c r="Y7980" i="2"/>
  <c r="Y7972" i="2"/>
  <c r="Y7964" i="2"/>
  <c r="Y7956" i="2"/>
  <c r="Y7932" i="2"/>
  <c r="Y7908" i="2"/>
  <c r="Y7892" i="2"/>
  <c r="Y7884" i="2"/>
  <c r="AC7863" i="2"/>
  <c r="AF7867" i="2"/>
  <c r="AC7870" i="2"/>
  <c r="AB7870" i="2"/>
  <c r="AK7870" i="2" s="1"/>
  <c r="AC7874" i="2"/>
  <c r="AF7878" i="2"/>
  <c r="AC7881" i="2"/>
  <c r="AF7885" i="2"/>
  <c r="AC7888" i="2"/>
  <c r="AB7888" i="2"/>
  <c r="AK7888" i="2" s="1"/>
  <c r="AF7895" i="2"/>
  <c r="AF7906" i="2"/>
  <c r="AC7909" i="2"/>
  <c r="AB7909" i="2"/>
  <c r="AK7909" i="2" s="1"/>
  <c r="AC7913" i="2"/>
  <c r="AC7924" i="2"/>
  <c r="AB7924" i="2"/>
  <c r="AK7924" i="2" s="1"/>
  <c r="AF7928" i="2"/>
  <c r="AF7935" i="2"/>
  <c r="AF7942" i="2"/>
  <c r="AF7960" i="2"/>
  <c r="AC7963" i="2"/>
  <c r="AB7963" i="2"/>
  <c r="AK7963" i="2" s="1"/>
  <c r="AF7978" i="2"/>
  <c r="AC7981" i="2"/>
  <c r="AB7981" i="2"/>
  <c r="AK7981" i="2" s="1"/>
  <c r="AC7995" i="2"/>
  <c r="AB7995" i="2"/>
  <c r="AK7995" i="2" s="1"/>
  <c r="AC8011" i="2"/>
  <c r="AB8011" i="2"/>
  <c r="AK8011" i="2" s="1"/>
  <c r="AC8035" i="2"/>
  <c r="AB8035" i="2"/>
  <c r="AK8035" i="2" s="1"/>
  <c r="AC8071" i="2"/>
  <c r="AB8071" i="2"/>
  <c r="AK8071" i="2" s="1"/>
  <c r="AC8135" i="2"/>
  <c r="AB8135" i="2"/>
  <c r="AK8135" i="2" s="1"/>
  <c r="AC8139" i="2"/>
  <c r="AB8139" i="2"/>
  <c r="AK8139" i="2" s="1"/>
  <c r="Y8139" i="2"/>
  <c r="Y8067" i="2"/>
  <c r="Y8059" i="2"/>
  <c r="Y8051" i="2"/>
  <c r="Y8043" i="2"/>
  <c r="Y8035" i="2"/>
  <c r="Y8011" i="2"/>
  <c r="Y7995" i="2"/>
  <c r="Y7971" i="2"/>
  <c r="Y7963" i="2"/>
  <c r="Y7939" i="2"/>
  <c r="Y7931" i="2"/>
  <c r="Y7915" i="2"/>
  <c r="Y7899" i="2"/>
  <c r="Y7891" i="2"/>
  <c r="Y7883" i="2"/>
  <c r="Y7875" i="2"/>
  <c r="Y7867" i="2"/>
  <c r="Y7835" i="2"/>
  <c r="AC7945" i="2"/>
  <c r="AB7945" i="2"/>
  <c r="AK7945" i="2" s="1"/>
  <c r="AC7948" i="2"/>
  <c r="AB7948" i="2"/>
  <c r="AK7948" i="2" s="1"/>
  <c r="AF7967" i="2"/>
  <c r="AC7970" i="2"/>
  <c r="AB7970" i="2"/>
  <c r="AK7970" i="2" s="1"/>
  <c r="AF7974" i="2"/>
  <c r="AF7981" i="2"/>
  <c r="AC7984" i="2"/>
  <c r="AB7984" i="2"/>
  <c r="AK7984" i="2" s="1"/>
  <c r="AC7990" i="2"/>
  <c r="AB7990" i="2"/>
  <c r="AK7990" i="2" s="1"/>
  <c r="AC8006" i="2"/>
  <c r="AB8006" i="2"/>
  <c r="AK8006" i="2" s="1"/>
  <c r="AC8081" i="2"/>
  <c r="AB8081" i="2"/>
  <c r="AK8081" i="2" s="1"/>
  <c r="AC8089" i="2"/>
  <c r="AB8089" i="2"/>
  <c r="AK8089" i="2" s="1"/>
  <c r="AC8097" i="2"/>
  <c r="AB8097" i="2"/>
  <c r="AK8097" i="2" s="1"/>
  <c r="AC8105" i="2"/>
  <c r="AB8105" i="2"/>
  <c r="AK8105" i="2" s="1"/>
  <c r="AC8113" i="2"/>
  <c r="AB8113" i="2"/>
  <c r="AK8113" i="2" s="1"/>
  <c r="AC8126" i="2"/>
  <c r="AB8126" i="2"/>
  <c r="AK8126" i="2" s="1"/>
  <c r="AC8149" i="2"/>
  <c r="AB8149" i="2"/>
  <c r="AK8149" i="2" s="1"/>
  <c r="Y8074" i="2"/>
  <c r="Y8058" i="2"/>
  <c r="Y8042" i="2"/>
  <c r="Y8010" i="2"/>
  <c r="Y8002" i="2"/>
  <c r="Y7994" i="2"/>
  <c r="Y7986" i="2"/>
  <c r="Y7978" i="2"/>
  <c r="Y7970" i="2"/>
  <c r="Y7962" i="2"/>
  <c r="Y7954" i="2"/>
  <c r="Y7946" i="2"/>
  <c r="Y7930" i="2"/>
  <c r="Y7922" i="2"/>
  <c r="Y7914" i="2"/>
  <c r="Y7906" i="2"/>
  <c r="Y7890" i="2"/>
  <c r="Y7882" i="2"/>
  <c r="Y7874" i="2"/>
  <c r="Y7850" i="2"/>
  <c r="Y7842" i="2"/>
  <c r="AC6035" i="2"/>
  <c r="AA6035" i="2"/>
  <c r="AB6035" i="2" s="1"/>
  <c r="AK6035" i="2" s="1"/>
  <c r="AF6014" i="2"/>
  <c r="AF6035" i="2"/>
  <c r="AF6039" i="2"/>
  <c r="AF5970" i="2"/>
  <c r="AF6018" i="2"/>
  <c r="AF6022" i="2"/>
  <c r="AF6043" i="2"/>
  <c r="AF6047" i="2"/>
  <c r="AF5958" i="2"/>
  <c r="AF5978" i="2"/>
  <c r="AF5983" i="2"/>
  <c r="AF6059" i="2"/>
  <c r="AF6063" i="2"/>
  <c r="AF6066" i="2"/>
  <c r="AF6070" i="2"/>
  <c r="AF5998" i="2"/>
  <c r="AF6074" i="2"/>
  <c r="W6677" i="2"/>
  <c r="AA6774" i="2"/>
  <c r="AB6774" i="2" s="1"/>
  <c r="AK6774" i="2" s="1"/>
  <c r="AA6775" i="2"/>
  <c r="AB6775" i="2" s="1"/>
  <c r="AK6775" i="2" s="1"/>
  <c r="AA6776" i="2"/>
  <c r="AB6776" i="2" s="1"/>
  <c r="AK6776" i="2" s="1"/>
  <c r="AA6777" i="2"/>
  <c r="AA6812" i="2"/>
  <c r="AB6812" i="2" s="1"/>
  <c r="AA6830" i="2"/>
  <c r="AB6830" i="2" s="1"/>
  <c r="AK6830" i="2" s="1"/>
  <c r="X6677" i="2"/>
  <c r="AC6677" i="2" s="1"/>
  <c r="AF6840" i="2"/>
  <c r="AD6677" i="2"/>
  <c r="AF6677" i="2" s="1"/>
  <c r="AA6851" i="2"/>
  <c r="AB6851" i="2" s="1"/>
  <c r="AA6757" i="2"/>
  <c r="AB6757" i="2" s="1"/>
  <c r="AK6757" i="2" s="1"/>
  <c r="AA6785" i="2"/>
  <c r="AB6785" i="2" s="1"/>
  <c r="AK6785" i="2" s="1"/>
  <c r="AA6786" i="2"/>
  <c r="AB6786" i="2" s="1"/>
  <c r="AK6786" i="2" s="1"/>
  <c r="AA6787" i="2"/>
  <c r="AB6787" i="2" s="1"/>
  <c r="AK6787" i="2" s="1"/>
  <c r="AA6788" i="2"/>
  <c r="AA6817" i="2"/>
  <c r="AB6817" i="2" s="1"/>
  <c r="AF7329" i="2"/>
  <c r="AF7393" i="2"/>
  <c r="AF7401" i="2"/>
  <c r="AF7409" i="2"/>
  <c r="AF7417" i="2"/>
  <c r="AF7425" i="2"/>
  <c r="AF7433" i="2"/>
  <c r="AF7441" i="2"/>
  <c r="AF7479" i="2"/>
  <c r="AF7166" i="2"/>
  <c r="AF7222" i="2"/>
  <c r="AF7230" i="2"/>
  <c r="AF7262" i="2"/>
  <c r="AF7270" i="2"/>
  <c r="AF7206" i="2"/>
  <c r="AF7297" i="2"/>
  <c r="AF7361" i="2"/>
  <c r="AF7353" i="2"/>
  <c r="AF7573" i="2"/>
  <c r="AF7630" i="2"/>
  <c r="AF7477" i="2"/>
  <c r="AF7565" i="2"/>
  <c r="AF7622" i="2"/>
  <c r="AF7771" i="2"/>
  <c r="AF7549" i="2"/>
  <c r="AF7755" i="2"/>
  <c r="AF7541" i="2"/>
  <c r="AF7605" i="2"/>
  <c r="AF7662" i="2"/>
  <c r="AF7677" i="2"/>
  <c r="AF7685" i="2"/>
  <c r="AF7693" i="2"/>
  <c r="AF7701" i="2"/>
  <c r="AF7709" i="2"/>
  <c r="AF7717" i="2"/>
  <c r="AF7725" i="2"/>
  <c r="AF7739" i="2"/>
  <c r="AF7485" i="2"/>
  <c r="AF7510" i="2"/>
  <c r="AF7525" i="2"/>
  <c r="AF7589" i="2"/>
  <c r="AF7646" i="2"/>
  <c r="AF7731" i="2"/>
  <c r="AH7999" i="2"/>
  <c r="AF7999" i="2"/>
  <c r="AF7792" i="2"/>
  <c r="AF7801" i="2"/>
  <c r="AH8003" i="2"/>
  <c r="AF8003" i="2"/>
  <c r="AA7607" i="2"/>
  <c r="AB7607" i="2" s="1"/>
  <c r="AK7607" i="2" s="1"/>
  <c r="AH7991" i="2"/>
  <c r="AF7991" i="2"/>
  <c r="AH8007" i="2"/>
  <c r="AF8007" i="2"/>
  <c r="AF7795" i="2"/>
  <c r="AF7803" i="2"/>
  <c r="AH7995" i="2"/>
  <c r="AF7995" i="2"/>
  <c r="AH8011" i="2"/>
  <c r="AF8011" i="2"/>
  <c r="AH5372" i="2"/>
  <c r="AF5372" i="2"/>
  <c r="AH5371" i="2"/>
  <c r="AF5371" i="2"/>
  <c r="X5372" i="2"/>
  <c r="AC5372" i="2" s="1"/>
  <c r="X5371" i="2"/>
  <c r="AC5371" i="2" s="1"/>
  <c r="AK5981" i="2"/>
  <c r="X68" i="2"/>
  <c r="V5340" i="2"/>
  <c r="T5340" i="2"/>
  <c r="W5370" i="2"/>
  <c r="AH5370" i="2"/>
  <c r="AF5370" i="2"/>
  <c r="X5370" i="2"/>
  <c r="T3127" i="2"/>
  <c r="T1686" i="2"/>
  <c r="W5369" i="2"/>
  <c r="AH5369" i="2"/>
  <c r="AF5369" i="2"/>
  <c r="X5369" i="2"/>
  <c r="AC5369" i="2" s="1"/>
  <c r="W5368" i="2"/>
  <c r="AH5368" i="2"/>
  <c r="AF5368" i="2"/>
  <c r="X5368" i="2"/>
  <c r="AB5368" i="2" s="1"/>
  <c r="T3136" i="2"/>
  <c r="W5367" i="2"/>
  <c r="AF5367" i="2"/>
  <c r="X5367" i="2"/>
  <c r="AB5367" i="2" s="1"/>
  <c r="AH5367" i="2"/>
  <c r="AH5366" i="2"/>
  <c r="AF5366" i="2"/>
  <c r="X5366" i="2"/>
  <c r="AB5366" i="2" s="1"/>
  <c r="W5366" i="2"/>
  <c r="W5365" i="2"/>
  <c r="AH5365" i="2"/>
  <c r="AF5365" i="2"/>
  <c r="X5365" i="2"/>
  <c r="AB5365" i="2" s="1"/>
  <c r="J122" i="3"/>
  <c r="L122" i="3"/>
  <c r="O122" i="3" s="1"/>
  <c r="J121" i="3"/>
  <c r="L121" i="3"/>
  <c r="O121" i="3" s="1"/>
  <c r="J105" i="3"/>
  <c r="J93" i="3"/>
  <c r="J92" i="3"/>
  <c r="J91" i="3"/>
  <c r="J90" i="3"/>
  <c r="J89" i="3"/>
  <c r="J88" i="3"/>
  <c r="J87" i="3"/>
  <c r="J86" i="3"/>
  <c r="AH5364" i="2"/>
  <c r="AD5364" i="2"/>
  <c r="AF5364" i="2" s="1"/>
  <c r="X5364" i="2"/>
  <c r="AB5364" i="2" s="1"/>
  <c r="W5364" i="2"/>
  <c r="AH5363" i="2"/>
  <c r="AD5363" i="2"/>
  <c r="AF5363" i="2" s="1"/>
  <c r="X5363" i="2"/>
  <c r="AB5363" i="2" s="1"/>
  <c r="AK5363" i="2" s="1"/>
  <c r="W5363" i="2"/>
  <c r="AH5362" i="2"/>
  <c r="AD5362" i="2"/>
  <c r="AF5362" i="2" s="1"/>
  <c r="X5362" i="2"/>
  <c r="AC5362" i="2" s="1"/>
  <c r="W5362" i="2"/>
  <c r="AH5361" i="2"/>
  <c r="AD5361" i="2"/>
  <c r="X5361" i="2"/>
  <c r="AC5361" i="2" s="1"/>
  <c r="W5361" i="2"/>
  <c r="AH5359" i="2"/>
  <c r="AH5360" i="2"/>
  <c r="AD5360" i="2"/>
  <c r="AF5360" i="2" s="1"/>
  <c r="X5360" i="2"/>
  <c r="AB5360" i="2" s="1"/>
  <c r="AK5360" i="2" s="1"/>
  <c r="W5360" i="2"/>
  <c r="AD5359" i="2"/>
  <c r="AF5359" i="2" s="1"/>
  <c r="X5359" i="2"/>
  <c r="AB5359" i="2" s="1"/>
  <c r="W5359" i="2"/>
  <c r="W5044" i="2"/>
  <c r="AH5358" i="2"/>
  <c r="AD5358" i="2"/>
  <c r="AF5358" i="2" s="1"/>
  <c r="X5358" i="2"/>
  <c r="AB5358" i="2" s="1"/>
  <c r="AK5358" i="2" s="1"/>
  <c r="W5358" i="2"/>
  <c r="X5044" i="2"/>
  <c r="AH5044" i="2"/>
  <c r="AD5044" i="2"/>
  <c r="AF5044" i="2" s="1"/>
  <c r="J120" i="3"/>
  <c r="L120" i="3"/>
  <c r="O120" i="3" s="1"/>
  <c r="J119" i="3"/>
  <c r="L119" i="3"/>
  <c r="O119" i="3"/>
  <c r="J118" i="3"/>
  <c r="L118" i="3"/>
  <c r="O118" i="3"/>
  <c r="J42" i="3"/>
  <c r="J33" i="3"/>
  <c r="J32" i="3"/>
  <c r="J31" i="3"/>
  <c r="J30" i="3"/>
  <c r="J28" i="3"/>
  <c r="J29" i="3"/>
  <c r="J27" i="3"/>
  <c r="J26" i="3"/>
  <c r="AH5357" i="2"/>
  <c r="X5357" i="2"/>
  <c r="AC5357" i="2" s="1"/>
  <c r="W5357" i="2"/>
  <c r="AH5356" i="2"/>
  <c r="AD5356" i="2"/>
  <c r="AF5356" i="2" s="1"/>
  <c r="X5356" i="2"/>
  <c r="AB5356" i="2" s="1"/>
  <c r="AK5356" i="2" s="1"/>
  <c r="W5356" i="2"/>
  <c r="AH5355" i="2"/>
  <c r="AD5355" i="2"/>
  <c r="AF5355" i="2" s="1"/>
  <c r="X5355" i="2"/>
  <c r="AB5355" i="2" s="1"/>
  <c r="W5355" i="2"/>
  <c r="AD5357" i="2"/>
  <c r="AF5357" i="2" s="1"/>
  <c r="AH5354" i="2"/>
  <c r="AD5354" i="2"/>
  <c r="AF5354" i="2" s="1"/>
  <c r="X5354" i="2"/>
  <c r="AC5354" i="2" s="1"/>
  <c r="W5354" i="2"/>
  <c r="AH5353" i="2"/>
  <c r="AD5353" i="2"/>
  <c r="AF5353" i="2" s="1"/>
  <c r="X5353" i="2"/>
  <c r="W5353" i="2"/>
  <c r="AH5352" i="2"/>
  <c r="AD5352" i="2"/>
  <c r="AF5352" i="2" s="1"/>
  <c r="X5352" i="2"/>
  <c r="AC5352" i="2" s="1"/>
  <c r="W5352" i="2"/>
  <c r="AD5351" i="2"/>
  <c r="AF5351" i="2" s="1"/>
  <c r="X5351" i="2"/>
  <c r="AC5351" i="2" s="1"/>
  <c r="W5351" i="2"/>
  <c r="AH5350" i="2"/>
  <c r="AD5350" i="2"/>
  <c r="AF5350" i="2" s="1"/>
  <c r="X5350" i="2"/>
  <c r="W5350" i="2"/>
  <c r="AH5349" i="2"/>
  <c r="AD5349" i="2"/>
  <c r="AF5349" i="2" s="1"/>
  <c r="X5349" i="2"/>
  <c r="AB5349" i="2" s="1"/>
  <c r="W5349" i="2"/>
  <c r="AH5351" i="2"/>
  <c r="W1693" i="2"/>
  <c r="X3545" i="2"/>
  <c r="AH5347" i="2"/>
  <c r="W5348" i="2"/>
  <c r="AH5348" i="2"/>
  <c r="AD5348" i="2"/>
  <c r="AF5348" i="2" s="1"/>
  <c r="X5348" i="2"/>
  <c r="AD5347" i="2"/>
  <c r="AF5347" i="2" s="1"/>
  <c r="X5347" i="2"/>
  <c r="AB5347" i="2" s="1"/>
  <c r="W302" i="2"/>
  <c r="AH5346" i="2"/>
  <c r="AD5346" i="2"/>
  <c r="AF5346" i="2" s="1"/>
  <c r="X5346" i="2"/>
  <c r="W5346" i="2"/>
  <c r="W5347" i="2"/>
  <c r="W5345" i="2"/>
  <c r="AH5345" i="2"/>
  <c r="AD5345" i="2"/>
  <c r="AF5345" i="2" s="1"/>
  <c r="X5345" i="2"/>
  <c r="AB5345" i="2" s="1"/>
  <c r="W5344" i="2"/>
  <c r="AH5344" i="2"/>
  <c r="AD5344" i="2"/>
  <c r="AF5344" i="2" s="1"/>
  <c r="X5344" i="2"/>
  <c r="W5343" i="2"/>
  <c r="AH5343" i="2"/>
  <c r="AD5343" i="2"/>
  <c r="AF5343" i="2" s="1"/>
  <c r="X5343" i="2"/>
  <c r="AB5343" i="2" s="1"/>
  <c r="AK5343" i="2" s="1"/>
  <c r="W264" i="2"/>
  <c r="AH5342" i="2"/>
  <c r="AD5342" i="2"/>
  <c r="AF5342" i="2" s="1"/>
  <c r="X5342" i="2"/>
  <c r="AB5342" i="2" s="1"/>
  <c r="W5342" i="2"/>
  <c r="X3136" i="2"/>
  <c r="AB3136" i="2" s="1"/>
  <c r="X3407" i="2"/>
  <c r="AH1683" i="2"/>
  <c r="W5341" i="2"/>
  <c r="AH5341" i="2"/>
  <c r="AF5341" i="2"/>
  <c r="X5341" i="2"/>
  <c r="W5340" i="2"/>
  <c r="AH5340" i="2"/>
  <c r="AF5340" i="2"/>
  <c r="X5340" i="2"/>
  <c r="AH5339" i="2"/>
  <c r="X5339" i="2"/>
  <c r="AB5339" i="2" s="1"/>
  <c r="AK5339" i="2" s="1"/>
  <c r="W5339" i="2"/>
  <c r="AD5339" i="2"/>
  <c r="AF5339" i="2" s="1"/>
  <c r="W5338" i="2"/>
  <c r="AH5338" i="2"/>
  <c r="AE5338" i="2"/>
  <c r="AD5338" i="2"/>
  <c r="X5338" i="2"/>
  <c r="X2839" i="2"/>
  <c r="AB2839" i="2" s="1"/>
  <c r="V3078" i="2"/>
  <c r="V1728" i="2"/>
  <c r="X4983" i="2"/>
  <c r="AB4983" i="2" s="1"/>
  <c r="L117" i="3"/>
  <c r="O117" i="3"/>
  <c r="AF5337" i="2"/>
  <c r="X5337" i="2"/>
  <c r="R117" i="3" s="1"/>
  <c r="T117" i="3" s="1"/>
  <c r="U117" i="3" s="1"/>
  <c r="V117" i="3" s="1"/>
  <c r="X4952" i="2"/>
  <c r="X1068" i="2"/>
  <c r="AB1068" i="2" s="1"/>
  <c r="AK1068" i="2" s="1"/>
  <c r="AH5336" i="2"/>
  <c r="AD5336" i="2"/>
  <c r="AF5336" i="2" s="1"/>
  <c r="X5336" i="2"/>
  <c r="AC5336" i="2" s="1"/>
  <c r="W5336" i="2"/>
  <c r="AH5335" i="2"/>
  <c r="AE5335" i="2"/>
  <c r="AD5335" i="2"/>
  <c r="X5335" i="2"/>
  <c r="AB5335" i="2" s="1"/>
  <c r="W5335" i="2"/>
  <c r="W5334" i="2"/>
  <c r="AH5334" i="2"/>
  <c r="AE5334" i="2"/>
  <c r="AD5334" i="2"/>
  <c r="X5334" i="2"/>
  <c r="AB5334" i="2" s="1"/>
  <c r="AK5334" i="2" s="1"/>
  <c r="V2745" i="2"/>
  <c r="AD2200" i="2"/>
  <c r="O114" i="3"/>
  <c r="O115" i="3"/>
  <c r="O116" i="3"/>
  <c r="X5299" i="2"/>
  <c r="V1677" i="2"/>
  <c r="X1677" i="2"/>
  <c r="AB1677" i="2" s="1"/>
  <c r="V4688" i="2"/>
  <c r="X341" i="2"/>
  <c r="AB341" i="2" s="1"/>
  <c r="AK341" i="2" s="1"/>
  <c r="X84" i="2"/>
  <c r="AB84" i="2" s="1"/>
  <c r="AD2173" i="2"/>
  <c r="K11" i="3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F5333" i="2"/>
  <c r="V5332" i="2"/>
  <c r="AD5332" i="2" s="1"/>
  <c r="Y5332" i="2" s="1"/>
  <c r="V5331" i="2"/>
  <c r="AD5331" i="2" s="1"/>
  <c r="Y5331" i="2" s="1"/>
  <c r="V5330" i="2"/>
  <c r="AD5330" i="2" s="1"/>
  <c r="Y5330" i="2" s="1"/>
  <c r="V5329" i="2"/>
  <c r="AD5329" i="2" s="1"/>
  <c r="Y5329" i="2" s="1"/>
  <c r="V5328" i="2"/>
  <c r="AD5328" i="2" s="1"/>
  <c r="Y5328" i="2" s="1"/>
  <c r="V5327" i="2"/>
  <c r="AD5327" i="2" s="1"/>
  <c r="Y5327" i="2" s="1"/>
  <c r="V5326" i="2"/>
  <c r="AD5326" i="2" s="1"/>
  <c r="Y5326" i="2" s="1"/>
  <c r="V5325" i="2"/>
  <c r="AD5325" i="2" s="1"/>
  <c r="Y5325" i="2" s="1"/>
  <c r="V5324" i="2"/>
  <c r="AD5324" i="2" s="1"/>
  <c r="Y5324" i="2" s="1"/>
  <c r="V5323" i="2"/>
  <c r="AD5323" i="2" s="1"/>
  <c r="Y5323" i="2" s="1"/>
  <c r="V5322" i="2"/>
  <c r="AD5322" i="2" s="1"/>
  <c r="Y5322" i="2" s="1"/>
  <c r="V5321" i="2"/>
  <c r="AD5321" i="2" s="1"/>
  <c r="Y5321" i="2" s="1"/>
  <c r="V5320" i="2"/>
  <c r="AD5320" i="2" s="1"/>
  <c r="Y5320" i="2" s="1"/>
  <c r="V5319" i="2"/>
  <c r="AD5319" i="2" s="1"/>
  <c r="Y5319" i="2" s="1"/>
  <c r="V5318" i="2"/>
  <c r="AD5318" i="2" s="1"/>
  <c r="Y5318" i="2" s="1"/>
  <c r="V5317" i="2"/>
  <c r="AD5317" i="2" s="1"/>
  <c r="Y5317" i="2" s="1"/>
  <c r="V5316" i="2"/>
  <c r="AD5316" i="2" s="1"/>
  <c r="Y5316" i="2" s="1"/>
  <c r="V5315" i="2"/>
  <c r="AD5315" i="2" s="1"/>
  <c r="Y5315" i="2" s="1"/>
  <c r="V5314" i="2"/>
  <c r="AD5314" i="2" s="1"/>
  <c r="Y5314" i="2" s="1"/>
  <c r="V5313" i="2"/>
  <c r="AD5313" i="2" s="1"/>
  <c r="Y5313" i="2" s="1"/>
  <c r="V5312" i="2"/>
  <c r="AD5312" i="2" s="1"/>
  <c r="Y5312" i="2" s="1"/>
  <c r="V5311" i="2"/>
  <c r="AD5311" i="2" s="1"/>
  <c r="Y5311" i="2" s="1"/>
  <c r="V5310" i="2"/>
  <c r="AD5310" i="2" s="1"/>
  <c r="Y5310" i="2" s="1"/>
  <c r="V5309" i="2"/>
  <c r="AD5309" i="2" s="1"/>
  <c r="Y5309" i="2" s="1"/>
  <c r="V5308" i="2"/>
  <c r="AD5308" i="2" s="1"/>
  <c r="Y5308" i="2" s="1"/>
  <c r="V5307" i="2"/>
  <c r="AD5307" i="2" s="1"/>
  <c r="Y5307" i="2" s="1"/>
  <c r="V5306" i="2"/>
  <c r="AD5306" i="2" s="1"/>
  <c r="Y5306" i="2" s="1"/>
  <c r="V5305" i="2"/>
  <c r="AD5305" i="2" s="1"/>
  <c r="Y5305" i="2" s="1"/>
  <c r="V5304" i="2"/>
  <c r="AD5304" i="2" s="1"/>
  <c r="Y5304" i="2" s="1"/>
  <c r="AF5303" i="2"/>
  <c r="X5303" i="2"/>
  <c r="AF5302" i="2"/>
  <c r="X5302" i="2"/>
  <c r="AF5301" i="2"/>
  <c r="X5301" i="2"/>
  <c r="AF5300" i="2"/>
  <c r="X5300" i="2"/>
  <c r="Y5300" i="2" s="1"/>
  <c r="AF5299" i="2"/>
  <c r="AF5298" i="2"/>
  <c r="X5298" i="2"/>
  <c r="W5298" i="2"/>
  <c r="AF5297" i="2"/>
  <c r="X5297" i="2"/>
  <c r="AB5297" i="2" s="1"/>
  <c r="AK5297" i="2" s="1"/>
  <c r="AF5296" i="2"/>
  <c r="X5296" i="2"/>
  <c r="Y5296" i="2" s="1"/>
  <c r="AF5295" i="2"/>
  <c r="X5295" i="2"/>
  <c r="AB5295" i="2" s="1"/>
  <c r="AK5295" i="2" s="1"/>
  <c r="AF5294" i="2"/>
  <c r="X5294" i="2"/>
  <c r="AF5293" i="2"/>
  <c r="X5293" i="2"/>
  <c r="AF5292" i="2"/>
  <c r="X5292" i="2"/>
  <c r="Y5292" i="2" s="1"/>
  <c r="AF5291" i="2"/>
  <c r="X5291" i="2"/>
  <c r="Y5291" i="2" s="1"/>
  <c r="AF5290" i="2"/>
  <c r="X5290" i="2"/>
  <c r="AF5289" i="2"/>
  <c r="X5289" i="2"/>
  <c r="AB5289" i="2" s="1"/>
  <c r="AK5289" i="2" s="1"/>
  <c r="AF5288" i="2"/>
  <c r="X5288" i="2"/>
  <c r="AB5288" i="2" s="1"/>
  <c r="AK5288" i="2" s="1"/>
  <c r="AF5287" i="2"/>
  <c r="X5287" i="2"/>
  <c r="AB5287" i="2" s="1"/>
  <c r="AK5287" i="2" s="1"/>
  <c r="AF5286" i="2"/>
  <c r="X5286" i="2"/>
  <c r="AF5285" i="2"/>
  <c r="X5285" i="2"/>
  <c r="AF5284" i="2"/>
  <c r="X5284" i="2"/>
  <c r="Y5284" i="2" s="1"/>
  <c r="AF5283" i="2"/>
  <c r="X5283" i="2"/>
  <c r="AF5282" i="2"/>
  <c r="X5282" i="2"/>
  <c r="AF5281" i="2"/>
  <c r="X5281" i="2"/>
  <c r="AB5281" i="2" s="1"/>
  <c r="AK5281" i="2" s="1"/>
  <c r="AF5280" i="2"/>
  <c r="X5280" i="2"/>
  <c r="AB5280" i="2" s="1"/>
  <c r="AK5280" i="2" s="1"/>
  <c r="AF5279" i="2"/>
  <c r="X5279" i="2"/>
  <c r="AF5278" i="2"/>
  <c r="X5278" i="2"/>
  <c r="AF5277" i="2"/>
  <c r="X5277" i="2"/>
  <c r="AF5276" i="2"/>
  <c r="X5276" i="2"/>
  <c r="Y5276" i="2" s="1"/>
  <c r="AF5275" i="2"/>
  <c r="X5275" i="2"/>
  <c r="W5275" i="2"/>
  <c r="AF5274" i="2"/>
  <c r="X5274" i="2"/>
  <c r="W5274" i="2"/>
  <c r="AF5273" i="2"/>
  <c r="X5273" i="2"/>
  <c r="AB5273" i="2" s="1"/>
  <c r="AK5273" i="2" s="1"/>
  <c r="W5273" i="2"/>
  <c r="AF5272" i="2"/>
  <c r="X5272" i="2"/>
  <c r="W5272" i="2"/>
  <c r="AF5271" i="2"/>
  <c r="X5271" i="2"/>
  <c r="AB5271" i="2" s="1"/>
  <c r="AK5271" i="2" s="1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AB5267" i="2" s="1"/>
  <c r="AK5267" i="2" s="1"/>
  <c r="W5267" i="2"/>
  <c r="AF5266" i="2"/>
  <c r="X5266" i="2"/>
  <c r="AB5266" i="2" s="1"/>
  <c r="AK5266" i="2" s="1"/>
  <c r="W5266" i="2"/>
  <c r="AF5265" i="2"/>
  <c r="X5265" i="2"/>
  <c r="Y5265" i="2" s="1"/>
  <c r="AF5264" i="2"/>
  <c r="X5264" i="2"/>
  <c r="W5264" i="2"/>
  <c r="AF5263" i="2"/>
  <c r="X5263" i="2"/>
  <c r="W5263" i="2"/>
  <c r="AF5262" i="2"/>
  <c r="X5262" i="2"/>
  <c r="Y5262" i="2" s="1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AB5257" i="2" s="1"/>
  <c r="AK5257" i="2" s="1"/>
  <c r="W5257" i="2"/>
  <c r="AF5256" i="2"/>
  <c r="X5256" i="2"/>
  <c r="W5256" i="2"/>
  <c r="AF5255" i="2"/>
  <c r="X5255" i="2"/>
  <c r="W5255" i="2"/>
  <c r="AF5254" i="2"/>
  <c r="X5254" i="2"/>
  <c r="Y5254" i="2" s="1"/>
  <c r="W5254" i="2"/>
  <c r="AF5253" i="2"/>
  <c r="X5253" i="2"/>
  <c r="W5253" i="2"/>
  <c r="AF5252" i="2"/>
  <c r="X5252" i="2"/>
  <c r="AB5252" i="2" s="1"/>
  <c r="AK5252" i="2" s="1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AB5248" i="2" s="1"/>
  <c r="AK5248" i="2" s="1"/>
  <c r="W5248" i="2"/>
  <c r="AF5247" i="2"/>
  <c r="X5247" i="2"/>
  <c r="W5247" i="2"/>
  <c r="AF5246" i="2"/>
  <c r="X5246" i="2"/>
  <c r="AB5246" i="2" s="1"/>
  <c r="AK5246" i="2" s="1"/>
  <c r="W5246" i="2"/>
  <c r="AF5245" i="2"/>
  <c r="X5245" i="2"/>
  <c r="AF5244" i="2"/>
  <c r="X5244" i="2"/>
  <c r="AB5244" i="2" s="1"/>
  <c r="AK5244" i="2" s="1"/>
  <c r="W5244" i="2"/>
  <c r="AF5243" i="2"/>
  <c r="X5243" i="2"/>
  <c r="Y5243" i="2" s="1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AB5239" i="2" s="1"/>
  <c r="AK5239" i="2" s="1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AB5235" i="2" s="1"/>
  <c r="AK5235" i="2" s="1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AB5231" i="2" s="1"/>
  <c r="AK5231" i="2" s="1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AB5227" i="2" s="1"/>
  <c r="AK5227" i="2" s="1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AB5224" i="2" s="1"/>
  <c r="AK5224" i="2" s="1"/>
  <c r="W5224" i="2"/>
  <c r="AH5223" i="2"/>
  <c r="AD5223" i="2"/>
  <c r="AF5223" i="2" s="1"/>
  <c r="X5223" i="2"/>
  <c r="AB5223" i="2" s="1"/>
  <c r="AK5223" i="2" s="1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AB5219" i="2" s="1"/>
  <c r="AK5219" i="2" s="1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AB5216" i="2" s="1"/>
  <c r="AK5216" i="2" s="1"/>
  <c r="W5216" i="2"/>
  <c r="AH5215" i="2"/>
  <c r="AD5215" i="2"/>
  <c r="AF5215" i="2" s="1"/>
  <c r="X5215" i="2"/>
  <c r="AB5215" i="2" s="1"/>
  <c r="AK5215" i="2" s="1"/>
  <c r="W5215" i="2"/>
  <c r="AH5214" i="2"/>
  <c r="AD5214" i="2"/>
  <c r="AF5214" i="2" s="1"/>
  <c r="X5214" i="2"/>
  <c r="AB5214" i="2" s="1"/>
  <c r="AK5214" i="2" s="1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AB5211" i="2" s="1"/>
  <c r="AK5211" i="2" s="1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AB5208" i="2" s="1"/>
  <c r="AK5208" i="2" s="1"/>
  <c r="W5208" i="2"/>
  <c r="AH5207" i="2"/>
  <c r="AD5207" i="2"/>
  <c r="AF5207" i="2" s="1"/>
  <c r="X5207" i="2"/>
  <c r="AB5207" i="2" s="1"/>
  <c r="AK5207" i="2" s="1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AB5203" i="2" s="1"/>
  <c r="AK5203" i="2" s="1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AB5200" i="2" s="1"/>
  <c r="AK5200" i="2" s="1"/>
  <c r="W5200" i="2"/>
  <c r="AH5199" i="2"/>
  <c r="AD5199" i="2"/>
  <c r="AF5199" i="2" s="1"/>
  <c r="X5199" i="2"/>
  <c r="AB5199" i="2" s="1"/>
  <c r="AK5199" i="2" s="1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AB5196" i="2" s="1"/>
  <c r="AK5196" i="2" s="1"/>
  <c r="W5196" i="2"/>
  <c r="AH5195" i="2"/>
  <c r="AD5195" i="2"/>
  <c r="AF5195" i="2" s="1"/>
  <c r="X5195" i="2"/>
  <c r="AB5195" i="2" s="1"/>
  <c r="AK5195" i="2" s="1"/>
  <c r="W5195" i="2"/>
  <c r="AH5194" i="2"/>
  <c r="AD5194" i="2"/>
  <c r="AF5194" i="2" s="1"/>
  <c r="X5194" i="2"/>
  <c r="AH5193" i="2"/>
  <c r="AD5193" i="2"/>
  <c r="AF5193" i="2" s="1"/>
  <c r="X5193" i="2"/>
  <c r="W5193" i="2"/>
  <c r="AH5192" i="2"/>
  <c r="AD5192" i="2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AB5186" i="2" s="1"/>
  <c r="AK5186" i="2" s="1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X5174" i="2"/>
  <c r="AB5174" i="2" s="1"/>
  <c r="AK5174" i="2" s="1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AB5169" i="2" s="1"/>
  <c r="AK5169" i="2" s="1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AB5166" i="2" s="1"/>
  <c r="AK5166" i="2" s="1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AB5162" i="2" s="1"/>
  <c r="AK5162" i="2" s="1"/>
  <c r="W5162" i="2"/>
  <c r="AH5161" i="2"/>
  <c r="AD5161" i="2"/>
  <c r="AF5161" i="2" s="1"/>
  <c r="X5161" i="2"/>
  <c r="AB5161" i="2" s="1"/>
  <c r="AK5161" i="2" s="1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AB5158" i="2" s="1"/>
  <c r="AK5158" i="2" s="1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AB5155" i="2" s="1"/>
  <c r="AK5155" i="2" s="1"/>
  <c r="W5155" i="2"/>
  <c r="AH5154" i="2"/>
  <c r="AD5154" i="2"/>
  <c r="AF5154" i="2" s="1"/>
  <c r="X5154" i="2"/>
  <c r="AB5154" i="2" s="1"/>
  <c r="AK5154" i="2" s="1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AB5150" i="2" s="1"/>
  <c r="AK5150" i="2" s="1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AB5146" i="2" s="1"/>
  <c r="AK5146" i="2" s="1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AB5142" i="2" s="1"/>
  <c r="AK5142" i="2" s="1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AB5138" i="2" s="1"/>
  <c r="AK5138" i="2" s="1"/>
  <c r="W5138" i="2"/>
  <c r="AH5137" i="2"/>
  <c r="AD5137" i="2"/>
  <c r="AF5137" i="2" s="1"/>
  <c r="X5137" i="2"/>
  <c r="AB5137" i="2" s="1"/>
  <c r="AK5137" i="2" s="1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AB5134" i="2" s="1"/>
  <c r="AK5134" i="2" s="1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AB5130" i="2" s="1"/>
  <c r="AK5130" i="2" s="1"/>
  <c r="W5130" i="2"/>
  <c r="AH5129" i="2"/>
  <c r="AD5129" i="2"/>
  <c r="AF5129" i="2" s="1"/>
  <c r="X5129" i="2"/>
  <c r="AB5129" i="2" s="1"/>
  <c r="AK5129" i="2" s="1"/>
  <c r="W5129" i="2"/>
  <c r="AH5128" i="2"/>
  <c r="AD5128" i="2"/>
  <c r="AF5128" i="2" s="1"/>
  <c r="X5128" i="2"/>
  <c r="W5128" i="2"/>
  <c r="AH5127" i="2"/>
  <c r="AD5127" i="2"/>
  <c r="AF5127" i="2" s="1"/>
  <c r="X5127" i="2"/>
  <c r="AB5127" i="2" s="1"/>
  <c r="AK5127" i="2" s="1"/>
  <c r="W5127" i="2"/>
  <c r="AH5126" i="2"/>
  <c r="AD5126" i="2"/>
  <c r="AF5126" i="2" s="1"/>
  <c r="X5126" i="2"/>
  <c r="AB5126" i="2" s="1"/>
  <c r="AK5126" i="2" s="1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AB5123" i="2" s="1"/>
  <c r="AK5123" i="2" s="1"/>
  <c r="W5123" i="2"/>
  <c r="AH5122" i="2"/>
  <c r="AD5122" i="2"/>
  <c r="AF5122" i="2" s="1"/>
  <c r="X5122" i="2"/>
  <c r="AB5122" i="2" s="1"/>
  <c r="AK5122" i="2" s="1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AB5118" i="2" s="1"/>
  <c r="AK5118" i="2" s="1"/>
  <c r="W5118" i="2"/>
  <c r="AH5117" i="2"/>
  <c r="AD5117" i="2"/>
  <c r="AF5117" i="2" s="1"/>
  <c r="X5117" i="2"/>
  <c r="AB5117" i="2" s="1"/>
  <c r="AK5117" i="2" s="1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AB5114" i="2" s="1"/>
  <c r="AK5114" i="2" s="1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AB5111" i="2" s="1"/>
  <c r="AK5111" i="2" s="1"/>
  <c r="W5111" i="2"/>
  <c r="AH5110" i="2"/>
  <c r="AD5110" i="2"/>
  <c r="AF5110" i="2" s="1"/>
  <c r="X5110" i="2"/>
  <c r="AB5110" i="2" s="1"/>
  <c r="AK5110" i="2" s="1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AB5107" i="2" s="1"/>
  <c r="AK5107" i="2" s="1"/>
  <c r="W5107" i="2"/>
  <c r="AH5106" i="2"/>
  <c r="AD5106" i="2"/>
  <c r="AF5106" i="2" s="1"/>
  <c r="X5106" i="2"/>
  <c r="AB5106" i="2" s="1"/>
  <c r="AK5106" i="2" s="1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AB5095" i="2" s="1"/>
  <c r="AK5095" i="2" s="1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AB5085" i="2" s="1"/>
  <c r="AK5085" i="2" s="1"/>
  <c r="W5085" i="2"/>
  <c r="AH5084" i="2"/>
  <c r="AD5084" i="2"/>
  <c r="AF5084" i="2" s="1"/>
  <c r="X5084" i="2"/>
  <c r="AB5084" i="2" s="1"/>
  <c r="AK5084" i="2" s="1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AB5080" i="2" s="1"/>
  <c r="AK5080" i="2" s="1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AB5076" i="2" s="1"/>
  <c r="AK5076" i="2" s="1"/>
  <c r="W5076" i="2"/>
  <c r="AH5075" i="2"/>
  <c r="AD5075" i="2"/>
  <c r="AF5075" i="2" s="1"/>
  <c r="X5075" i="2"/>
  <c r="AB5075" i="2" s="1"/>
  <c r="AK5075" i="2" s="1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AB5072" i="2" s="1"/>
  <c r="AK5072" i="2" s="1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AB5068" i="2" s="1"/>
  <c r="AK5068" i="2" s="1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AB5064" i="2" s="1"/>
  <c r="AK5064" i="2" s="1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AB5058" i="2" s="1"/>
  <c r="AK5058" i="2" s="1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AB5055" i="2" s="1"/>
  <c r="W5055" i="2"/>
  <c r="AH5054" i="2"/>
  <c r="AD5054" i="2"/>
  <c r="AF5054" i="2" s="1"/>
  <c r="X5054" i="2"/>
  <c r="AB5054" i="2" s="1"/>
  <c r="AK5054" i="2" s="1"/>
  <c r="W5054" i="2"/>
  <c r="AH5053" i="2"/>
  <c r="AD5053" i="2"/>
  <c r="AF5053" i="2" s="1"/>
  <c r="X5053" i="2"/>
  <c r="AB5053" i="2" s="1"/>
  <c r="AK5053" i="2" s="1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AB5050" i="2" s="1"/>
  <c r="AK5050" i="2" s="1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X5047" i="2"/>
  <c r="W5047" i="2"/>
  <c r="AH5046" i="2"/>
  <c r="AD5046" i="2"/>
  <c r="AF5046" i="2" s="1"/>
  <c r="X5046" i="2"/>
  <c r="AB5046" i="2" s="1"/>
  <c r="AK5046" i="2" s="1"/>
  <c r="W5046" i="2"/>
  <c r="AH5045" i="2"/>
  <c r="AD5045" i="2"/>
  <c r="AF5045" i="2" s="1"/>
  <c r="X5045" i="2"/>
  <c r="AB5045" i="2" s="1"/>
  <c r="AK5045" i="2" s="1"/>
  <c r="W5045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AB5041" i="2" s="1"/>
  <c r="AK5041" i="2" s="1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X5038" i="2"/>
  <c r="AB5038" i="2" s="1"/>
  <c r="AK5038" i="2" s="1"/>
  <c r="W5038" i="2"/>
  <c r="AH5037" i="2"/>
  <c r="AD5037" i="2"/>
  <c r="AF5037" i="2" s="1"/>
  <c r="X5037" i="2"/>
  <c r="AB5037" i="2" s="1"/>
  <c r="AK5037" i="2" s="1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AB5034" i="2" s="1"/>
  <c r="AK5034" i="2" s="1"/>
  <c r="W5034" i="2"/>
  <c r="AH5033" i="2"/>
  <c r="AD5033" i="2"/>
  <c r="AF5033" i="2" s="1"/>
  <c r="X5033" i="2"/>
  <c r="AB5033" i="2" s="1"/>
  <c r="AK5033" i="2" s="1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AB5025" i="2" s="1"/>
  <c r="AK5025" i="2" s="1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AH5015" i="2"/>
  <c r="AD5015" i="2"/>
  <c r="AF5015" i="2" s="1"/>
  <c r="X5015" i="2"/>
  <c r="W5015" i="2"/>
  <c r="AH5014" i="2"/>
  <c r="AD5014" i="2"/>
  <c r="AF5014" i="2" s="1"/>
  <c r="X5014" i="2"/>
  <c r="AB5014" i="2" s="1"/>
  <c r="AK5014" i="2" s="1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X5010" i="2"/>
  <c r="AB5010" i="2" s="1"/>
  <c r="AK5010" i="2" s="1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X5006" i="2"/>
  <c r="AB5006" i="2" s="1"/>
  <c r="AK5006" i="2" s="1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X5002" i="2"/>
  <c r="AB5002" i="2" s="1"/>
  <c r="AK5002" i="2" s="1"/>
  <c r="W5002" i="2"/>
  <c r="AH5001" i="2"/>
  <c r="AD5001" i="2"/>
  <c r="AF5001" i="2" s="1"/>
  <c r="X5001" i="2"/>
  <c r="AH5000" i="2"/>
  <c r="AD5000" i="2"/>
  <c r="X5000" i="2"/>
  <c r="AB5000" i="2" s="1"/>
  <c r="AK5000" i="2" s="1"/>
  <c r="W5000" i="2"/>
  <c r="AH4999" i="2"/>
  <c r="AD4999" i="2"/>
  <c r="AF4999" i="2" s="1"/>
  <c r="X4999" i="2"/>
  <c r="W4999" i="2"/>
  <c r="AH4998" i="2"/>
  <c r="AD4998" i="2"/>
  <c r="AF4998" i="2" s="1"/>
  <c r="X4998" i="2"/>
  <c r="AB4998" i="2" s="1"/>
  <c r="AK4998" i="2" s="1"/>
  <c r="W4998" i="2"/>
  <c r="AH4997" i="2"/>
  <c r="AD4997" i="2"/>
  <c r="X4997" i="2"/>
  <c r="W4997" i="2"/>
  <c r="AH4996" i="2"/>
  <c r="AD4996" i="2"/>
  <c r="X4996" i="2"/>
  <c r="AB4996" i="2" s="1"/>
  <c r="AK4996" i="2" s="1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X4993" i="2"/>
  <c r="W4993" i="2"/>
  <c r="AH4992" i="2"/>
  <c r="AD4992" i="2"/>
  <c r="X4992" i="2"/>
  <c r="AB4992" i="2" s="1"/>
  <c r="AK4992" i="2" s="1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X4989" i="2"/>
  <c r="W4989" i="2"/>
  <c r="AH4988" i="2"/>
  <c r="AD4988" i="2"/>
  <c r="X4988" i="2"/>
  <c r="AB4988" i="2" s="1"/>
  <c r="AK4988" i="2" s="1"/>
  <c r="W4988" i="2"/>
  <c r="AH4987" i="2"/>
  <c r="AD4987" i="2"/>
  <c r="AF4987" i="2" s="1"/>
  <c r="X4987" i="2"/>
  <c r="W4987" i="2"/>
  <c r="AH4986" i="2"/>
  <c r="AD4986" i="2"/>
  <c r="AF4986" i="2" s="1"/>
  <c r="X4986" i="2"/>
  <c r="R86" i="3" s="1"/>
  <c r="T86" i="3" s="1"/>
  <c r="U86" i="3" s="1"/>
  <c r="V86" i="3" s="1"/>
  <c r="W4986" i="2"/>
  <c r="AH4985" i="2"/>
  <c r="AD4985" i="2"/>
  <c r="X4985" i="2"/>
  <c r="W4985" i="2"/>
  <c r="AH4984" i="2"/>
  <c r="AD4984" i="2"/>
  <c r="X4984" i="2"/>
  <c r="W4984" i="2"/>
  <c r="AH4983" i="2"/>
  <c r="AD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AB4980" i="2" s="1"/>
  <c r="AK4980" i="2" s="1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AB4976" i="2" s="1"/>
  <c r="AK4976" i="2" s="1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AB4972" i="2" s="1"/>
  <c r="AK4972" i="2" s="1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AB4969" i="2" s="1"/>
  <c r="AK4969" i="2" s="1"/>
  <c r="W4969" i="2"/>
  <c r="AH4968" i="2"/>
  <c r="AD4968" i="2"/>
  <c r="AF4968" i="2" s="1"/>
  <c r="X4968" i="2"/>
  <c r="AB4968" i="2" s="1"/>
  <c r="AK4968" i="2" s="1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AB4964" i="2" s="1"/>
  <c r="AK4964" i="2" s="1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AB4960" i="2" s="1"/>
  <c r="AK4960" i="2" s="1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AB4956" i="2" s="1"/>
  <c r="AK4956" i="2" s="1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X4949" i="2"/>
  <c r="AB4949" i="2" s="1"/>
  <c r="AK4949" i="2" s="1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AB4941" i="2" s="1"/>
  <c r="AK4941" i="2" s="1"/>
  <c r="W4941" i="2"/>
  <c r="AH4940" i="2"/>
  <c r="AD4940" i="2"/>
  <c r="AF4940" i="2" s="1"/>
  <c r="X4940" i="2"/>
  <c r="AB4940" i="2" s="1"/>
  <c r="AK4940" i="2" s="1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C4933" i="2"/>
  <c r="W4933" i="2"/>
  <c r="AH4932" i="2"/>
  <c r="AD4932" i="2"/>
  <c r="AF4932" i="2" s="1"/>
  <c r="X4932" i="2"/>
  <c r="AB4932" i="2" s="1"/>
  <c r="AK4932" i="2" s="1"/>
  <c r="W4932" i="2"/>
  <c r="AH4931" i="2"/>
  <c r="AD4931" i="2"/>
  <c r="AF4931" i="2" s="1"/>
  <c r="X4931" i="2"/>
  <c r="AB4931" i="2" s="1"/>
  <c r="AK4931" i="2" s="1"/>
  <c r="W4931" i="2"/>
  <c r="AH4930" i="2"/>
  <c r="AD4930" i="2"/>
  <c r="AF4930" i="2" s="1"/>
  <c r="X4930" i="2"/>
  <c r="W4930" i="2"/>
  <c r="AH4929" i="2"/>
  <c r="AD4929" i="2"/>
  <c r="AF4929" i="2" s="1"/>
  <c r="X4929" i="2"/>
  <c r="AB4929" i="2" s="1"/>
  <c r="AK4929" i="2" s="1"/>
  <c r="W4929" i="2"/>
  <c r="AH4928" i="2"/>
  <c r="AD4928" i="2"/>
  <c r="AF4928" i="2" s="1"/>
  <c r="X4928" i="2"/>
  <c r="W4928" i="2"/>
  <c r="AH4927" i="2"/>
  <c r="AD4927" i="2"/>
  <c r="X4927" i="2"/>
  <c r="AB4927" i="2" s="1"/>
  <c r="AK4927" i="2" s="1"/>
  <c r="W4927" i="2"/>
  <c r="AH4926" i="2"/>
  <c r="AD4926" i="2"/>
  <c r="AF4926" i="2" s="1"/>
  <c r="X4926" i="2"/>
  <c r="W4926" i="2"/>
  <c r="AH4925" i="2"/>
  <c r="AD4925" i="2"/>
  <c r="X4925" i="2"/>
  <c r="AB4925" i="2" s="1"/>
  <c r="AK4925" i="2" s="1"/>
  <c r="W4925" i="2"/>
  <c r="AH4924" i="2"/>
  <c r="AD4924" i="2"/>
  <c r="AF4924" i="2" s="1"/>
  <c r="X4924" i="2"/>
  <c r="AB4924" i="2" s="1"/>
  <c r="AK4924" i="2" s="1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E4912" i="2"/>
  <c r="AF4912" i="2" s="1"/>
  <c r="AC4912" i="2"/>
  <c r="AE4911" i="2"/>
  <c r="AF4911" i="2" s="1"/>
  <c r="AC4911" i="2"/>
  <c r="AF4910" i="2"/>
  <c r="AC4910" i="2"/>
  <c r="AE4909" i="2"/>
  <c r="AD4909" i="2"/>
  <c r="X4909" i="2"/>
  <c r="AK4909" i="2" s="1"/>
  <c r="AE4908" i="2"/>
  <c r="AD4908" i="2"/>
  <c r="X4908" i="2"/>
  <c r="W4908" i="2"/>
  <c r="AE4907" i="2"/>
  <c r="AD4907" i="2"/>
  <c r="AH4907" i="2" s="1"/>
  <c r="X4907" i="2"/>
  <c r="AB4907" i="2" s="1"/>
  <c r="AK4907" i="2" s="1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AB4903" i="2" s="1"/>
  <c r="AK4903" i="2" s="1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AB4899" i="2" s="1"/>
  <c r="AK4899" i="2" s="1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AB4896" i="2" s="1"/>
  <c r="AK4896" i="2" s="1"/>
  <c r="W4896" i="2"/>
  <c r="AE4895" i="2"/>
  <c r="AD4895" i="2"/>
  <c r="AH4895" i="2" s="1"/>
  <c r="X4895" i="2"/>
  <c r="AB4895" i="2" s="1"/>
  <c r="AK4895" i="2" s="1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AB4878" i="2" s="1"/>
  <c r="AK4878" i="2" s="1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AB4862" i="2" s="1"/>
  <c r="AK4862" i="2" s="1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AB4858" i="2" s="1"/>
  <c r="AK4858" i="2" s="1"/>
  <c r="W4858" i="2"/>
  <c r="AE4857" i="2"/>
  <c r="AD4857" i="2"/>
  <c r="X4857" i="2"/>
  <c r="W4857" i="2"/>
  <c r="AE4856" i="2"/>
  <c r="AD4856" i="2"/>
  <c r="AH4856" i="2" s="1"/>
  <c r="X4856" i="2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AB4852" i="2" s="1"/>
  <c r="AK4852" i="2" s="1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AB4848" i="2" s="1"/>
  <c r="AK4848" i="2" s="1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AB4836" i="2" s="1"/>
  <c r="AK4836" i="2" s="1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F4832" i="2" s="1"/>
  <c r="AD4832" i="2"/>
  <c r="AH4832" i="2" s="1"/>
  <c r="X4832" i="2"/>
  <c r="AB4832" i="2" s="1"/>
  <c r="AK4832" i="2" s="1"/>
  <c r="W4832" i="2"/>
  <c r="AE4831" i="2"/>
  <c r="AD4831" i="2"/>
  <c r="AH4831" i="2" s="1"/>
  <c r="X4831" i="2"/>
  <c r="W4831" i="2"/>
  <c r="AE4830" i="2"/>
  <c r="AD4830" i="2"/>
  <c r="AH4830" i="2" s="1"/>
  <c r="X4830" i="2"/>
  <c r="AB4830" i="2" s="1"/>
  <c r="AK4830" i="2" s="1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B4815" i="2" s="1"/>
  <c r="AK4815" i="2" s="1"/>
  <c r="AE4814" i="2"/>
  <c r="AD4814" i="2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Y4808" i="2" s="1"/>
  <c r="X4808" i="2"/>
  <c r="W4808" i="2"/>
  <c r="AE4807" i="2"/>
  <c r="AD4807" i="2"/>
  <c r="AH4807" i="2" s="1"/>
  <c r="X4807" i="2"/>
  <c r="W4807" i="2"/>
  <c r="AE4806" i="2"/>
  <c r="AD4806" i="2"/>
  <c r="X4806" i="2"/>
  <c r="W4806" i="2"/>
  <c r="AE4805" i="2"/>
  <c r="AD4805" i="2"/>
  <c r="AH4805" i="2" s="1"/>
  <c r="X4805" i="2"/>
  <c r="AK4805" i="2" s="1"/>
  <c r="W4805" i="2"/>
  <c r="AE4804" i="2"/>
  <c r="AD4804" i="2"/>
  <c r="X4804" i="2"/>
  <c r="W4804" i="2"/>
  <c r="AE4803" i="2"/>
  <c r="AD4803" i="2"/>
  <c r="AH4803" i="2" s="1"/>
  <c r="X4803" i="2"/>
  <c r="W4803" i="2"/>
  <c r="AE4802" i="2"/>
  <c r="AD4802" i="2"/>
  <c r="Y4802" i="2" s="1"/>
  <c r="X4802" i="2"/>
  <c r="W4802" i="2"/>
  <c r="AE4801" i="2"/>
  <c r="AD4801" i="2"/>
  <c r="AH4801" i="2" s="1"/>
  <c r="X4801" i="2"/>
  <c r="W4801" i="2"/>
  <c r="AE4800" i="2"/>
  <c r="AD4800" i="2"/>
  <c r="Y4800" i="2" s="1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X4796" i="2"/>
  <c r="W4796" i="2"/>
  <c r="AE4795" i="2"/>
  <c r="AD4795" i="2"/>
  <c r="AH4795" i="2" s="1"/>
  <c r="X4795" i="2"/>
  <c r="W4795" i="2"/>
  <c r="AE4794" i="2"/>
  <c r="AF4794" i="2" s="1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Y4792" i="2" s="1"/>
  <c r="X4792" i="2"/>
  <c r="AK4792" i="2" s="1"/>
  <c r="W4792" i="2"/>
  <c r="AE4791" i="2"/>
  <c r="AD4791" i="2"/>
  <c r="X4791" i="2"/>
  <c r="W4791" i="2"/>
  <c r="AE4790" i="2"/>
  <c r="AF4790" i="2" s="1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Y4786" i="2" s="1"/>
  <c r="X4786" i="2"/>
  <c r="W4786" i="2"/>
  <c r="AE4785" i="2"/>
  <c r="AD4785" i="2"/>
  <c r="AH4785" i="2" s="1"/>
  <c r="X4785" i="2"/>
  <c r="W4785" i="2"/>
  <c r="AE4784" i="2"/>
  <c r="AD4784" i="2"/>
  <c r="Y4784" i="2" s="1"/>
  <c r="X4784" i="2"/>
  <c r="AK4784" i="2" s="1"/>
  <c r="W4784" i="2"/>
  <c r="AE4783" i="2"/>
  <c r="AD4783" i="2"/>
  <c r="AH4783" i="2" s="1"/>
  <c r="X4783" i="2"/>
  <c r="AK4783" i="2" s="1"/>
  <c r="W4783" i="2"/>
  <c r="AE4782" i="2"/>
  <c r="AF4782" i="2" s="1"/>
  <c r="AD4782" i="2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F4778" i="2" s="1"/>
  <c r="X4778" i="2"/>
  <c r="W4778" i="2"/>
  <c r="AE4777" i="2"/>
  <c r="AD4777" i="2"/>
  <c r="X4777" i="2"/>
  <c r="W4777" i="2"/>
  <c r="AE4776" i="2"/>
  <c r="AD4776" i="2"/>
  <c r="X4776" i="2"/>
  <c r="AB4776" i="2" s="1"/>
  <c r="AK4776" i="2" s="1"/>
  <c r="W4776" i="2"/>
  <c r="AE4775" i="2"/>
  <c r="AD4775" i="2"/>
  <c r="AH4775" i="2" s="1"/>
  <c r="X4775" i="2"/>
  <c r="W4775" i="2"/>
  <c r="AE4774" i="2"/>
  <c r="AD4774" i="2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X4768" i="2"/>
  <c r="AB4768" i="2" s="1"/>
  <c r="AK4768" i="2" s="1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AB4764" i="2" s="1"/>
  <c r="AK4764" i="2" s="1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AH4760" i="2" s="1"/>
  <c r="X4760" i="2"/>
  <c r="AB4760" i="2" s="1"/>
  <c r="AK4760" i="2" s="1"/>
  <c r="W4760" i="2"/>
  <c r="AE4759" i="2"/>
  <c r="AD4759" i="2"/>
  <c r="AH4759" i="2" s="1"/>
  <c r="X4759" i="2"/>
  <c r="W4759" i="2"/>
  <c r="AE4758" i="2"/>
  <c r="AD4758" i="2"/>
  <c r="AH4758" i="2" s="1"/>
  <c r="X4758" i="2"/>
  <c r="AB4758" i="2" s="1"/>
  <c r="AK4758" i="2" s="1"/>
  <c r="W4758" i="2"/>
  <c r="AE4757" i="2"/>
  <c r="AD4757" i="2"/>
  <c r="AH4757" i="2" s="1"/>
  <c r="X4757" i="2"/>
  <c r="W4757" i="2"/>
  <c r="AE4756" i="2"/>
  <c r="AD4756" i="2"/>
  <c r="X4756" i="2"/>
  <c r="AB4756" i="2" s="1"/>
  <c r="AK4756" i="2" s="1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AB4752" i="2" s="1"/>
  <c r="AK4752" i="2" s="1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X4748" i="2"/>
  <c r="AB4748" i="2" s="1"/>
  <c r="AK4748" i="2" s="1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AH4742" i="2" s="1"/>
  <c r="X4742" i="2"/>
  <c r="AB4742" i="2" s="1"/>
  <c r="AK4742" i="2" s="1"/>
  <c r="W4742" i="2"/>
  <c r="AE4741" i="2"/>
  <c r="AD4741" i="2"/>
  <c r="X4741" i="2"/>
  <c r="W4741" i="2"/>
  <c r="AE4740" i="2"/>
  <c r="AD4740" i="2"/>
  <c r="AH4740" i="2" s="1"/>
  <c r="X4740" i="2"/>
  <c r="AB4740" i="2" s="1"/>
  <c r="AK4740" i="2" s="1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AB4732" i="2" s="1"/>
  <c r="AK4732" i="2" s="1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X4726" i="2"/>
  <c r="W4726" i="2"/>
  <c r="AE4725" i="2"/>
  <c r="AD4725" i="2"/>
  <c r="AH4725" i="2" s="1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AF4720" i="2" s="1"/>
  <c r="X4720" i="2"/>
  <c r="AB4720" i="2" s="1"/>
  <c r="AK4720" i="2" s="1"/>
  <c r="W4720" i="2"/>
  <c r="AE4719" i="2"/>
  <c r="AD4719" i="2"/>
  <c r="AH4719" i="2" s="1"/>
  <c r="X4719" i="2"/>
  <c r="W4719" i="2"/>
  <c r="AE4718" i="2"/>
  <c r="AD4718" i="2"/>
  <c r="AF4718" i="2" s="1"/>
  <c r="X4718" i="2"/>
  <c r="AB4718" i="2" s="1"/>
  <c r="AK4718" i="2" s="1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AB4710" i="2" s="1"/>
  <c r="AK4710" i="2" s="1"/>
  <c r="W4710" i="2"/>
  <c r="AE4709" i="2"/>
  <c r="AD4709" i="2"/>
  <c r="AH4709" i="2" s="1"/>
  <c r="X4709" i="2"/>
  <c r="W4709" i="2"/>
  <c r="AE4708" i="2"/>
  <c r="AD4708" i="2"/>
  <c r="AH4708" i="2" s="1"/>
  <c r="X4708" i="2"/>
  <c r="AB4708" i="2" s="1"/>
  <c r="AK4708" i="2" s="1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AH4704" i="2" s="1"/>
  <c r="X4704" i="2"/>
  <c r="AB4704" i="2" s="1"/>
  <c r="AK4704" i="2" s="1"/>
  <c r="W4704" i="2"/>
  <c r="AE4703" i="2"/>
  <c r="AD4703" i="2"/>
  <c r="AH4703" i="2" s="1"/>
  <c r="X4703" i="2"/>
  <c r="W4703" i="2"/>
  <c r="AE4702" i="2"/>
  <c r="AD4702" i="2"/>
  <c r="X4702" i="2"/>
  <c r="AB4702" i="2" s="1"/>
  <c r="AK4702" i="2" s="1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AC4698" i="2" s="1"/>
  <c r="W4698" i="2"/>
  <c r="AE4697" i="2"/>
  <c r="AD4697" i="2"/>
  <c r="AH4697" i="2" s="1"/>
  <c r="X4697" i="2"/>
  <c r="W4697" i="2"/>
  <c r="AE4696" i="2"/>
  <c r="AD4696" i="2"/>
  <c r="X4696" i="2"/>
  <c r="AB4696" i="2" s="1"/>
  <c r="AK4696" i="2" s="1"/>
  <c r="W4696" i="2"/>
  <c r="AE4695" i="2"/>
  <c r="AD4695" i="2"/>
  <c r="AH4695" i="2" s="1"/>
  <c r="X4695" i="2"/>
  <c r="W4695" i="2"/>
  <c r="AE4694" i="2"/>
  <c r="AD4694" i="2"/>
  <c r="AH4694" i="2" s="1"/>
  <c r="X4694" i="2"/>
  <c r="AB4694" i="2" s="1"/>
  <c r="AK4694" i="2" s="1"/>
  <c r="AE4693" i="2"/>
  <c r="AD4693" i="2"/>
  <c r="X4693" i="2"/>
  <c r="W4693" i="2"/>
  <c r="AE4692" i="2"/>
  <c r="AD4692" i="2"/>
  <c r="AH4692" i="2" s="1"/>
  <c r="X4692" i="2"/>
  <c r="W4692" i="2"/>
  <c r="AE4691" i="2"/>
  <c r="AD4691" i="2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X4687" i="2"/>
  <c r="W4687" i="2"/>
  <c r="AE4686" i="2"/>
  <c r="AD4686" i="2"/>
  <c r="AH4686" i="2" s="1"/>
  <c r="X4686" i="2"/>
  <c r="T4686" i="2"/>
  <c r="W4686" i="2"/>
  <c r="AE4685" i="2"/>
  <c r="AD4685" i="2"/>
  <c r="X4685" i="2"/>
  <c r="T4685" i="2"/>
  <c r="W4685" i="2"/>
  <c r="AE4684" i="2"/>
  <c r="AF4684" i="2" s="1"/>
  <c r="AD4684" i="2"/>
  <c r="Y4684" i="2" s="1"/>
  <c r="X4684" i="2"/>
  <c r="W4684" i="2"/>
  <c r="AE4683" i="2"/>
  <c r="AD4683" i="2"/>
  <c r="X4683" i="2"/>
  <c r="W4683" i="2"/>
  <c r="AE4682" i="2"/>
  <c r="AF4682" i="2" s="1"/>
  <c r="AD4682" i="2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X4672" i="2"/>
  <c r="W4672" i="2"/>
  <c r="AE4671" i="2"/>
  <c r="AD4671" i="2"/>
  <c r="X4671" i="2"/>
  <c r="W4671" i="2"/>
  <c r="AE4670" i="2"/>
  <c r="AD4670" i="2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F4666" i="2" s="1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AB4664" i="2" s="1"/>
  <c r="AK4664" i="2" s="1"/>
  <c r="W4664" i="2"/>
  <c r="AE4663" i="2"/>
  <c r="AD4663" i="2"/>
  <c r="AH4663" i="2" s="1"/>
  <c r="X4663" i="2"/>
  <c r="W4663" i="2"/>
  <c r="AE4662" i="2"/>
  <c r="AD4662" i="2"/>
  <c r="AH4662" i="2" s="1"/>
  <c r="X4662" i="2"/>
  <c r="AB4662" i="2" s="1"/>
  <c r="AK4662" i="2" s="1"/>
  <c r="W4662" i="2"/>
  <c r="AE4661" i="2"/>
  <c r="AD4661" i="2"/>
  <c r="AH4661" i="2" s="1"/>
  <c r="X4661" i="2"/>
  <c r="W4661" i="2"/>
  <c r="AE4660" i="2"/>
  <c r="AD4660" i="2"/>
  <c r="X4660" i="2"/>
  <c r="AC4660" i="2" s="1"/>
  <c r="W4660" i="2"/>
  <c r="AE4659" i="2"/>
  <c r="AD4659" i="2"/>
  <c r="AH4659" i="2" s="1"/>
  <c r="X4659" i="2"/>
  <c r="W4659" i="2"/>
  <c r="AE4658" i="2"/>
  <c r="AD4658" i="2"/>
  <c r="X4658" i="2"/>
  <c r="W4658" i="2"/>
  <c r="AE4657" i="2"/>
  <c r="AD4657" i="2"/>
  <c r="AH4657" i="2" s="1"/>
  <c r="X4657" i="2"/>
  <c r="W4657" i="2"/>
  <c r="AE4656" i="2"/>
  <c r="AD4656" i="2"/>
  <c r="X4656" i="2"/>
  <c r="AB4656" i="2" s="1"/>
  <c r="AK4656" i="2" s="1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F4652" i="2" s="1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Y4649" i="2" s="1"/>
  <c r="X4649" i="2"/>
  <c r="W4649" i="2"/>
  <c r="AH4648" i="2"/>
  <c r="AE4648" i="2"/>
  <c r="AD4648" i="2"/>
  <c r="X4648" i="2"/>
  <c r="AB4648" i="2" s="1"/>
  <c r="AK4648" i="2" s="1"/>
  <c r="W4648" i="2"/>
  <c r="AH4647" i="2"/>
  <c r="AE4647" i="2"/>
  <c r="AD4647" i="2"/>
  <c r="X4647" i="2"/>
  <c r="W4647" i="2"/>
  <c r="AH4646" i="2"/>
  <c r="AE4646" i="2"/>
  <c r="AD4646" i="2"/>
  <c r="AF4646" i="2" s="1"/>
  <c r="X4646" i="2"/>
  <c r="W4646" i="2"/>
  <c r="AH4645" i="2"/>
  <c r="AE4645" i="2"/>
  <c r="AD4645" i="2"/>
  <c r="X4645" i="2"/>
  <c r="AH4644" i="2"/>
  <c r="AE4644" i="2"/>
  <c r="AF4644" i="2" s="1"/>
  <c r="AD4644" i="2"/>
  <c r="Y4644" i="2" s="1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AF4641" i="2" s="1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Y4636" i="2" s="1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AB4630" i="2" s="1"/>
  <c r="AK4630" i="2" s="1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Y4627" i="2" s="1"/>
  <c r="W4627" i="2"/>
  <c r="AH4626" i="2"/>
  <c r="AE4626" i="2"/>
  <c r="AD4626" i="2"/>
  <c r="X4626" i="2"/>
  <c r="W4626" i="2"/>
  <c r="AH4625" i="2"/>
  <c r="AE4625" i="2"/>
  <c r="AD4625" i="2"/>
  <c r="AF4625" i="2" s="1"/>
  <c r="X4625" i="2"/>
  <c r="AB4625" i="2" s="1"/>
  <c r="AK4625" i="2" s="1"/>
  <c r="W4625" i="2"/>
  <c r="AH4624" i="2"/>
  <c r="AE4624" i="2"/>
  <c r="AD4624" i="2"/>
  <c r="X4624" i="2"/>
  <c r="W4624" i="2"/>
  <c r="AH4623" i="2"/>
  <c r="AE4623" i="2"/>
  <c r="AD4623" i="2"/>
  <c r="X4623" i="2"/>
  <c r="AB4623" i="2" s="1"/>
  <c r="AK4623" i="2" s="1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F4620" i="2" s="1"/>
  <c r="AD4620" i="2"/>
  <c r="Y4620" i="2" s="1"/>
  <c r="X4620" i="2"/>
  <c r="W4620" i="2"/>
  <c r="AH4619" i="2"/>
  <c r="AE4619" i="2"/>
  <c r="AD4619" i="2"/>
  <c r="X4619" i="2"/>
  <c r="AB4619" i="2" s="1"/>
  <c r="AK4619" i="2" s="1"/>
  <c r="W4619" i="2"/>
  <c r="AH4618" i="2"/>
  <c r="AE4618" i="2"/>
  <c r="AD4618" i="2"/>
  <c r="X4618" i="2"/>
  <c r="W4618" i="2"/>
  <c r="AH4617" i="2"/>
  <c r="AE4617" i="2"/>
  <c r="AD4617" i="2"/>
  <c r="X4617" i="2"/>
  <c r="AB4617" i="2" s="1"/>
  <c r="AK4617" i="2" s="1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W4613" i="2"/>
  <c r="AH4612" i="2"/>
  <c r="AE4612" i="2"/>
  <c r="AD4612" i="2"/>
  <c r="Y4612" i="2" s="1"/>
  <c r="X4612" i="2"/>
  <c r="W4612" i="2"/>
  <c r="AH4611" i="2"/>
  <c r="AE4611" i="2"/>
  <c r="AD4611" i="2"/>
  <c r="X4611" i="2"/>
  <c r="AB4611" i="2" s="1"/>
  <c r="AK4611" i="2" s="1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Y4604" i="2" s="1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F4596" i="2" s="1"/>
  <c r="AD4596" i="2"/>
  <c r="Y4596" i="2" s="1"/>
  <c r="X4596" i="2"/>
  <c r="W4596" i="2"/>
  <c r="AH4595" i="2"/>
  <c r="AE4595" i="2"/>
  <c r="AD4595" i="2"/>
  <c r="X4595" i="2"/>
  <c r="AB4595" i="2" s="1"/>
  <c r="AK4595" i="2" s="1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F4591" i="2" s="1"/>
  <c r="AD4591" i="2"/>
  <c r="X4591" i="2"/>
  <c r="AB4591" i="2" s="1"/>
  <c r="AK4591" i="2" s="1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AF4588" i="2" s="1"/>
  <c r="X4588" i="2"/>
  <c r="AB4588" i="2" s="1"/>
  <c r="AK4588" i="2" s="1"/>
  <c r="W4588" i="2"/>
  <c r="AH4587" i="2"/>
  <c r="AE4587" i="2"/>
  <c r="AD4587" i="2"/>
  <c r="X4587" i="2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AC4585" i="2" s="1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Y4582" i="2" s="1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AB4578" i="2" s="1"/>
  <c r="AK4578" i="2" s="1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Y4575" i="2" s="1"/>
  <c r="X4575" i="2"/>
  <c r="W4575" i="2"/>
  <c r="AH4574" i="2"/>
  <c r="AE4574" i="2"/>
  <c r="AD4574" i="2"/>
  <c r="X4574" i="2"/>
  <c r="AB4574" i="2" s="1"/>
  <c r="AK4574" i="2" s="1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D4561" i="2"/>
  <c r="AF4561" i="2" s="1"/>
  <c r="X4561" i="2"/>
  <c r="Y4561" i="2" s="1"/>
  <c r="W4561" i="2"/>
  <c r="AH4560" i="2"/>
  <c r="AE4560" i="2"/>
  <c r="AD4560" i="2"/>
  <c r="X4560" i="2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Y4554" i="2" s="1"/>
  <c r="X4554" i="2"/>
  <c r="W4554" i="2"/>
  <c r="AH4553" i="2"/>
  <c r="AE4553" i="2"/>
  <c r="AD4553" i="2"/>
  <c r="X4553" i="2"/>
  <c r="Y4553" i="2" s="1"/>
  <c r="W4553" i="2"/>
  <c r="AH4552" i="2"/>
  <c r="AE4552" i="2"/>
  <c r="AD4552" i="2"/>
  <c r="X4552" i="2"/>
  <c r="W4552" i="2"/>
  <c r="AH4551" i="2"/>
  <c r="AE4551" i="2"/>
  <c r="AD4551" i="2"/>
  <c r="AF4551" i="2" s="1"/>
  <c r="X4551" i="2"/>
  <c r="W4551" i="2"/>
  <c r="AH4550" i="2"/>
  <c r="AE4550" i="2"/>
  <c r="AD4550" i="2"/>
  <c r="X4550" i="2"/>
  <c r="AH4549" i="2"/>
  <c r="AE4549" i="2"/>
  <c r="AD4549" i="2"/>
  <c r="Y4549" i="2" s="1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AC4546" i="2" s="1"/>
  <c r="W4546" i="2"/>
  <c r="AH4545" i="2"/>
  <c r="AE4545" i="2"/>
  <c r="AD4545" i="2"/>
  <c r="X4545" i="2"/>
  <c r="W4545" i="2"/>
  <c r="AH4544" i="2"/>
  <c r="AE4544" i="2"/>
  <c r="AD4544" i="2"/>
  <c r="X4544" i="2"/>
  <c r="AB4544" i="2" s="1"/>
  <c r="AK4544" i="2" s="1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AF4541" i="2" s="1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AB4538" i="2" s="1"/>
  <c r="AK4538" i="2" s="1"/>
  <c r="W4538" i="2"/>
  <c r="AH4537" i="2"/>
  <c r="AE4537" i="2"/>
  <c r="AD4537" i="2"/>
  <c r="X4537" i="2"/>
  <c r="W4537" i="2"/>
  <c r="AH4536" i="2"/>
  <c r="AE4536" i="2"/>
  <c r="AD4536" i="2"/>
  <c r="Y4536" i="2" s="1"/>
  <c r="X4536" i="2"/>
  <c r="W4536" i="2"/>
  <c r="AH4535" i="2"/>
  <c r="AE4535" i="2"/>
  <c r="AD4535" i="2"/>
  <c r="X4535" i="2"/>
  <c r="Y4535" i="2" s="1"/>
  <c r="W4535" i="2"/>
  <c r="AH4534" i="2"/>
  <c r="AE4534" i="2"/>
  <c r="AD4534" i="2"/>
  <c r="X4534" i="2"/>
  <c r="W4534" i="2"/>
  <c r="AH4533" i="2"/>
  <c r="AE4533" i="2"/>
  <c r="AD4533" i="2"/>
  <c r="X4533" i="2"/>
  <c r="AB4533" i="2" s="1"/>
  <c r="AK4533" i="2" s="1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F4528" i="2" s="1"/>
  <c r="AD4528" i="2"/>
  <c r="Y4528" i="2" s="1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F4520" i="2" s="1"/>
  <c r="AD4520" i="2"/>
  <c r="Y4520" i="2" s="1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AF4517" i="2" s="1"/>
  <c r="X4517" i="2"/>
  <c r="AB4517" i="2" s="1"/>
  <c r="AK4517" i="2" s="1"/>
  <c r="W4517" i="2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Y4512" i="2" s="1"/>
  <c r="X4512" i="2"/>
  <c r="W4512" i="2"/>
  <c r="AH4511" i="2"/>
  <c r="AE4511" i="2"/>
  <c r="AD4511" i="2"/>
  <c r="X4511" i="2"/>
  <c r="AB4511" i="2" s="1"/>
  <c r="AK4511" i="2" s="1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AF4507" i="2" s="1"/>
  <c r="X4507" i="2"/>
  <c r="AH4506" i="2"/>
  <c r="AE4506" i="2"/>
  <c r="AD4506" i="2"/>
  <c r="X4506" i="2"/>
  <c r="W4506" i="2"/>
  <c r="AH4505" i="2"/>
  <c r="AE4505" i="2"/>
  <c r="AF4505" i="2" s="1"/>
  <c r="AD4505" i="2"/>
  <c r="Y4505" i="2" s="1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AF4502" i="2" s="1"/>
  <c r="X4502" i="2"/>
  <c r="W4502" i="2"/>
  <c r="AH4501" i="2"/>
  <c r="AE4501" i="2"/>
  <c r="AD4501" i="2"/>
  <c r="X4501" i="2"/>
  <c r="W4501" i="2"/>
  <c r="AH4500" i="2"/>
  <c r="AE4500" i="2"/>
  <c r="AF4500" i="2" s="1"/>
  <c r="AD4500" i="2"/>
  <c r="X4500" i="2"/>
  <c r="W4500" i="2"/>
  <c r="AH4499" i="2"/>
  <c r="AE4499" i="2"/>
  <c r="AD4499" i="2"/>
  <c r="X4499" i="2"/>
  <c r="AC4499" i="2" s="1"/>
  <c r="W4499" i="2"/>
  <c r="AH4498" i="2"/>
  <c r="AE4498" i="2"/>
  <c r="AD4498" i="2"/>
  <c r="X4498" i="2"/>
  <c r="W4498" i="2"/>
  <c r="AH4497" i="2"/>
  <c r="AE4497" i="2"/>
  <c r="AD4497" i="2"/>
  <c r="Y4497" i="2" s="1"/>
  <c r="X4497" i="2"/>
  <c r="W4497" i="2"/>
  <c r="AH4496" i="2"/>
  <c r="AE4496" i="2"/>
  <c r="AD4496" i="2"/>
  <c r="X4496" i="2"/>
  <c r="AB4496" i="2" s="1"/>
  <c r="AK4496" i="2" s="1"/>
  <c r="W4496" i="2"/>
  <c r="AH4495" i="2"/>
  <c r="AE4495" i="2"/>
  <c r="AD4495" i="2"/>
  <c r="X4495" i="2"/>
  <c r="W4495" i="2"/>
  <c r="AH4494" i="2"/>
  <c r="AE4494" i="2"/>
  <c r="AD4494" i="2"/>
  <c r="AF4494" i="2" s="1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F4489" i="2" s="1"/>
  <c r="AD4489" i="2"/>
  <c r="Y4489" i="2" s="1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AF4486" i="2" s="1"/>
  <c r="X4486" i="2"/>
  <c r="AB4486" i="2" s="1"/>
  <c r="AK4486" i="2" s="1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AC4483" i="2" s="1"/>
  <c r="W4483" i="2"/>
  <c r="AH4482" i="2"/>
  <c r="AE4482" i="2"/>
  <c r="AD4482" i="2"/>
  <c r="X4482" i="2"/>
  <c r="W4482" i="2"/>
  <c r="AH4481" i="2"/>
  <c r="AE4481" i="2"/>
  <c r="AD4481" i="2"/>
  <c r="Y4481" i="2" s="1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AB4476" i="2" s="1"/>
  <c r="AK4476" i="2" s="1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F4473" i="2" s="1"/>
  <c r="AD4473" i="2"/>
  <c r="Y4473" i="2" s="1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AF4470" i="2" s="1"/>
  <c r="X4470" i="2"/>
  <c r="AB4470" i="2" s="1"/>
  <c r="AK4470" i="2" s="1"/>
  <c r="W4470" i="2"/>
  <c r="AH4469" i="2"/>
  <c r="AE4469" i="2"/>
  <c r="AD4469" i="2"/>
  <c r="X4469" i="2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B4467" i="2" s="1"/>
  <c r="AK4467" i="2" s="1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AF4462" i="2" s="1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Y4459" i="2" s="1"/>
  <c r="W4459" i="2"/>
  <c r="AH4458" i="2"/>
  <c r="AE4458" i="2"/>
  <c r="AD4458" i="2"/>
  <c r="X4458" i="2"/>
  <c r="W4458" i="2"/>
  <c r="AH4457" i="2"/>
  <c r="AE4457" i="2"/>
  <c r="AF4457" i="2" s="1"/>
  <c r="AD4457" i="2"/>
  <c r="Y4457" i="2" s="1"/>
  <c r="X4457" i="2"/>
  <c r="W4457" i="2"/>
  <c r="AH4456" i="2"/>
  <c r="AE4456" i="2"/>
  <c r="AD4456" i="2"/>
  <c r="X4456" i="2"/>
  <c r="AB4456" i="2" s="1"/>
  <c r="AK4456" i="2" s="1"/>
  <c r="W4456" i="2"/>
  <c r="AH4455" i="2"/>
  <c r="AE4455" i="2"/>
  <c r="AD4455" i="2"/>
  <c r="X4455" i="2"/>
  <c r="W4455" i="2"/>
  <c r="AH4454" i="2"/>
  <c r="AE4454" i="2"/>
  <c r="AD4454" i="2"/>
  <c r="X4454" i="2"/>
  <c r="AB4454" i="2" s="1"/>
  <c r="AK4454" i="2" s="1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AC4451" i="2" s="1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AB4448" i="2" s="1"/>
  <c r="AK4448" i="2" s="1"/>
  <c r="W4448" i="2"/>
  <c r="AH4447" i="2"/>
  <c r="AE4447" i="2"/>
  <c r="AD4447" i="2"/>
  <c r="X4447" i="2"/>
  <c r="W4447" i="2"/>
  <c r="AH4446" i="2"/>
  <c r="AE4446" i="2"/>
  <c r="AD4446" i="2"/>
  <c r="X4446" i="2"/>
  <c r="AB4446" i="2" s="1"/>
  <c r="AK4446" i="2" s="1"/>
  <c r="W4446" i="2"/>
  <c r="AH4445" i="2"/>
  <c r="AE4445" i="2"/>
  <c r="AD4445" i="2"/>
  <c r="X4445" i="2"/>
  <c r="W4445" i="2"/>
  <c r="AH4444" i="2"/>
  <c r="AE4444" i="2"/>
  <c r="AD4444" i="2"/>
  <c r="X4444" i="2"/>
  <c r="AB4444" i="2" s="1"/>
  <c r="AK4444" i="2" s="1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Y4441" i="2" s="1"/>
  <c r="X4441" i="2"/>
  <c r="AK4441" i="2" s="1"/>
  <c r="W4441" i="2"/>
  <c r="AH4440" i="2"/>
  <c r="AE4440" i="2"/>
  <c r="AD4440" i="2"/>
  <c r="X4440" i="2"/>
  <c r="AB4440" i="2" s="1"/>
  <c r="AK4440" i="2" s="1"/>
  <c r="W4440" i="2"/>
  <c r="AH4439" i="2"/>
  <c r="AE4439" i="2"/>
  <c r="AD4439" i="2"/>
  <c r="X4439" i="2"/>
  <c r="W4439" i="2"/>
  <c r="AH4438" i="2"/>
  <c r="AE4438" i="2"/>
  <c r="AD4438" i="2"/>
  <c r="AF4438" i="2" s="1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AC4435" i="2" s="1"/>
  <c r="W4435" i="2"/>
  <c r="AH4434" i="2"/>
  <c r="AE4434" i="2"/>
  <c r="AD4434" i="2"/>
  <c r="X4434" i="2"/>
  <c r="W4434" i="2"/>
  <c r="AH4433" i="2"/>
  <c r="AE4433" i="2"/>
  <c r="AD4433" i="2"/>
  <c r="Y4433" i="2" s="1"/>
  <c r="X4433" i="2"/>
  <c r="W4433" i="2"/>
  <c r="AH4432" i="2"/>
  <c r="AE4432" i="2"/>
  <c r="AD4432" i="2"/>
  <c r="X4432" i="2"/>
  <c r="AB4432" i="2" s="1"/>
  <c r="AK4432" i="2" s="1"/>
  <c r="W4432" i="2"/>
  <c r="AH4431" i="2"/>
  <c r="AE4431" i="2"/>
  <c r="AD4431" i="2"/>
  <c r="X4431" i="2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F4425" i="2" s="1"/>
  <c r="AD4425" i="2"/>
  <c r="Y4425" i="2" s="1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F4417" i="2" s="1"/>
  <c r="AD4417" i="2"/>
  <c r="Y4417" i="2" s="1"/>
  <c r="X4417" i="2"/>
  <c r="W4417" i="2"/>
  <c r="AH4416" i="2"/>
  <c r="AE4416" i="2"/>
  <c r="AD4416" i="2"/>
  <c r="X4416" i="2"/>
  <c r="Y4416" i="2" s="1"/>
  <c r="W4416" i="2"/>
  <c r="AH4415" i="2"/>
  <c r="AE4415" i="2"/>
  <c r="AD4415" i="2"/>
  <c r="X4415" i="2"/>
  <c r="W4415" i="2"/>
  <c r="AH4414" i="2"/>
  <c r="AE4414" i="2"/>
  <c r="AD4414" i="2"/>
  <c r="AF4414" i="2" s="1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F4409" i="2" s="1"/>
  <c r="AD4409" i="2"/>
  <c r="Y4409" i="2" s="1"/>
  <c r="X4409" i="2"/>
  <c r="W4409" i="2"/>
  <c r="AH4408" i="2"/>
  <c r="AE4408" i="2"/>
  <c r="AD4408" i="2"/>
  <c r="X4408" i="2"/>
  <c r="Y4408" i="2" s="1"/>
  <c r="W4408" i="2"/>
  <c r="AH4407" i="2"/>
  <c r="AE4407" i="2"/>
  <c r="AD4407" i="2"/>
  <c r="X4407" i="2"/>
  <c r="AK4407" i="2" s="1"/>
  <c r="W4407" i="2"/>
  <c r="AH4406" i="2"/>
  <c r="AE4406" i="2"/>
  <c r="AD4406" i="2"/>
  <c r="X4406" i="2"/>
  <c r="AB4406" i="2" s="1"/>
  <c r="AK4406" i="2" s="1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AC4403" i="2" s="1"/>
  <c r="W4403" i="2"/>
  <c r="AH4402" i="2"/>
  <c r="AE4402" i="2"/>
  <c r="AD4402" i="2"/>
  <c r="X4402" i="2"/>
  <c r="W4402" i="2"/>
  <c r="AH4401" i="2"/>
  <c r="AE4401" i="2"/>
  <c r="AF4401" i="2" s="1"/>
  <c r="AD4401" i="2"/>
  <c r="Y4401" i="2" s="1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AF4398" i="2" s="1"/>
  <c r="X4398" i="2"/>
  <c r="AC4398" i="2" s="1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AB4395" i="2" s="1"/>
  <c r="AK4395" i="2" s="1"/>
  <c r="W4395" i="2"/>
  <c r="AH4394" i="2"/>
  <c r="AD4394" i="2"/>
  <c r="AF4394" i="2" s="1"/>
  <c r="X4394" i="2"/>
  <c r="W4394" i="2"/>
  <c r="AH4393" i="2"/>
  <c r="AE4393" i="2"/>
  <c r="AD4393" i="2"/>
  <c r="AF4393" i="2" s="1"/>
  <c r="X4393" i="2"/>
  <c r="AB4393" i="2" s="1"/>
  <c r="AK4393" i="2" s="1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W4387" i="2"/>
  <c r="AH4386" i="2"/>
  <c r="AE4386" i="2"/>
  <c r="AD4386" i="2"/>
  <c r="X4386" i="2"/>
  <c r="AB4386" i="2" s="1"/>
  <c r="AK4386" i="2" s="1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W4384" i="2"/>
  <c r="AH4383" i="2"/>
  <c r="AE4383" i="2"/>
  <c r="AD4383" i="2"/>
  <c r="Y4383" i="2" s="1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C4377" i="2" s="1"/>
  <c r="W4377" i="2"/>
  <c r="AH4376" i="2"/>
  <c r="AE4376" i="2"/>
  <c r="AD4376" i="2"/>
  <c r="X4376" i="2"/>
  <c r="W4376" i="2"/>
  <c r="AH4375" i="2"/>
  <c r="AE4375" i="2"/>
  <c r="AD4375" i="2"/>
  <c r="Y4375" i="2" s="1"/>
  <c r="X4375" i="2"/>
  <c r="W4375" i="2"/>
  <c r="AH4374" i="2"/>
  <c r="AE4374" i="2"/>
  <c r="AD4374" i="2"/>
  <c r="X4374" i="2"/>
  <c r="AB4374" i="2" s="1"/>
  <c r="AK4374" i="2" s="1"/>
  <c r="W4374" i="2"/>
  <c r="AH4373" i="2"/>
  <c r="AE4373" i="2"/>
  <c r="AD4373" i="2"/>
  <c r="X4373" i="2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W4371" i="2"/>
  <c r="AH4370" i="2"/>
  <c r="AE4370" i="2"/>
  <c r="AD4370" i="2"/>
  <c r="X4370" i="2"/>
  <c r="AB4370" i="2" s="1"/>
  <c r="AK4370" i="2" s="1"/>
  <c r="W4370" i="2"/>
  <c r="AH4369" i="2"/>
  <c r="AE4369" i="2"/>
  <c r="AD4369" i="2"/>
  <c r="X4369" i="2"/>
  <c r="AB4369" i="2" s="1"/>
  <c r="AK4369" i="2" s="1"/>
  <c r="W4369" i="2"/>
  <c r="AH4368" i="2"/>
  <c r="AE4368" i="2"/>
  <c r="AD4368" i="2"/>
  <c r="X4368" i="2"/>
  <c r="W4368" i="2"/>
  <c r="AH4367" i="2"/>
  <c r="AE4367" i="2"/>
  <c r="AF4367" i="2" s="1"/>
  <c r="AD4367" i="2"/>
  <c r="Y4367" i="2" s="1"/>
  <c r="X4367" i="2"/>
  <c r="W4367" i="2"/>
  <c r="AH4366" i="2"/>
  <c r="AE4366" i="2"/>
  <c r="AD4366" i="2"/>
  <c r="X4366" i="2"/>
  <c r="Y4366" i="2" s="1"/>
  <c r="W4366" i="2"/>
  <c r="AH4365" i="2"/>
  <c r="AE4365" i="2"/>
  <c r="AD4365" i="2"/>
  <c r="X4365" i="2"/>
  <c r="W4365" i="2"/>
  <c r="AH4364" i="2"/>
  <c r="AE4364" i="2"/>
  <c r="AD4364" i="2"/>
  <c r="AF4364" i="2" s="1"/>
  <c r="X4364" i="2"/>
  <c r="AB4364" i="2" s="1"/>
  <c r="AK4364" i="2" s="1"/>
  <c r="W4364" i="2"/>
  <c r="AH4363" i="2"/>
  <c r="AE4363" i="2"/>
  <c r="AD4363" i="2"/>
  <c r="X4363" i="2"/>
  <c r="W4363" i="2"/>
  <c r="AH4362" i="2"/>
  <c r="AE4362" i="2"/>
  <c r="AD4362" i="2"/>
  <c r="X4362" i="2"/>
  <c r="AB4362" i="2" s="1"/>
  <c r="AK4362" i="2" s="1"/>
  <c r="W4362" i="2"/>
  <c r="AH4361" i="2"/>
  <c r="AE4361" i="2"/>
  <c r="AD4361" i="2"/>
  <c r="X4361" i="2"/>
  <c r="AB4361" i="2" s="1"/>
  <c r="AK4361" i="2" s="1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AB4358" i="2" s="1"/>
  <c r="AK4358" i="2" s="1"/>
  <c r="W4358" i="2"/>
  <c r="AH4357" i="2"/>
  <c r="AE4357" i="2"/>
  <c r="AD4357" i="2"/>
  <c r="X4357" i="2"/>
  <c r="W4357" i="2"/>
  <c r="AH4356" i="2"/>
  <c r="AE4356" i="2"/>
  <c r="AD4356" i="2"/>
  <c r="Y4356" i="2" s="1"/>
  <c r="X4356" i="2"/>
  <c r="W4356" i="2"/>
  <c r="AH4355" i="2"/>
  <c r="AE4355" i="2"/>
  <c r="AD4355" i="2"/>
  <c r="X4355" i="2"/>
  <c r="W4355" i="2"/>
  <c r="AH4354" i="2"/>
  <c r="AE4354" i="2"/>
  <c r="AD4354" i="2"/>
  <c r="X4354" i="2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Y4351" i="2" s="1"/>
  <c r="X4351" i="2"/>
  <c r="W4351" i="2"/>
  <c r="AH4350" i="2"/>
  <c r="AE4350" i="2"/>
  <c r="AD4350" i="2"/>
  <c r="X4350" i="2"/>
  <c r="Y4350" i="2" s="1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W4345" i="2"/>
  <c r="AH4344" i="2"/>
  <c r="AE4344" i="2"/>
  <c r="AD4344" i="2"/>
  <c r="X4344" i="2"/>
  <c r="W4344" i="2"/>
  <c r="AH4343" i="2"/>
  <c r="AE4343" i="2"/>
  <c r="AD4343" i="2"/>
  <c r="Y4343" i="2" s="1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Y4338" i="2" s="1"/>
  <c r="X4338" i="2"/>
  <c r="W4338" i="2"/>
  <c r="AH4337" i="2"/>
  <c r="AE4337" i="2"/>
  <c r="AD4337" i="2"/>
  <c r="X4337" i="2"/>
  <c r="AB4337" i="2" s="1"/>
  <c r="AK4337" i="2" s="1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AB4330" i="2" s="1"/>
  <c r="AK4330" i="2" s="1"/>
  <c r="W4330" i="2"/>
  <c r="AH4329" i="2"/>
  <c r="AE4329" i="2"/>
  <c r="AD4329" i="2"/>
  <c r="X4329" i="2"/>
  <c r="W4329" i="2"/>
  <c r="AH4328" i="2"/>
  <c r="AE4328" i="2"/>
  <c r="AD4328" i="2"/>
  <c r="X4328" i="2"/>
  <c r="AB4328" i="2" s="1"/>
  <c r="AK4328" i="2" s="1"/>
  <c r="W4328" i="2"/>
  <c r="AH4327" i="2"/>
  <c r="AE4327" i="2"/>
  <c r="AD4327" i="2"/>
  <c r="X4327" i="2"/>
  <c r="AB4327" i="2" s="1"/>
  <c r="AK4327" i="2" s="1"/>
  <c r="W4327" i="2"/>
  <c r="AH4326" i="2"/>
  <c r="AE4326" i="2"/>
  <c r="AD4326" i="2"/>
  <c r="X4326" i="2"/>
  <c r="W4326" i="2"/>
  <c r="AH4325" i="2"/>
  <c r="AE4325" i="2"/>
  <c r="AD4325" i="2"/>
  <c r="Y4325" i="2" s="1"/>
  <c r="X4325" i="2"/>
  <c r="W4325" i="2"/>
  <c r="AH4324" i="2"/>
  <c r="AE4324" i="2"/>
  <c r="AD4324" i="2"/>
  <c r="X4324" i="2"/>
  <c r="Y4324" i="2" s="1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Y4317" i="2" s="1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AC4314" i="2" s="1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AB4311" i="2" s="1"/>
  <c r="AK4311" i="2" s="1"/>
  <c r="W4311" i="2"/>
  <c r="AH4310" i="2"/>
  <c r="AE4310" i="2"/>
  <c r="AD4310" i="2"/>
  <c r="X4310" i="2"/>
  <c r="W4310" i="2"/>
  <c r="AH4309" i="2"/>
  <c r="AE4309" i="2"/>
  <c r="AD4309" i="2"/>
  <c r="Y4309" i="2" s="1"/>
  <c r="X4309" i="2"/>
  <c r="W4309" i="2"/>
  <c r="AH4308" i="2"/>
  <c r="AE4308" i="2"/>
  <c r="AD4308" i="2"/>
  <c r="X4308" i="2"/>
  <c r="AB4308" i="2" s="1"/>
  <c r="AK4308" i="2" s="1"/>
  <c r="W4308" i="2"/>
  <c r="AH4307" i="2"/>
  <c r="AE4307" i="2"/>
  <c r="AD4307" i="2"/>
  <c r="X4307" i="2"/>
  <c r="W4307" i="2"/>
  <c r="AH4306" i="2"/>
  <c r="AE4306" i="2"/>
  <c r="AD4306" i="2"/>
  <c r="AF4306" i="2" s="1"/>
  <c r="X4306" i="2"/>
  <c r="AB4306" i="2" s="1"/>
  <c r="AK4306" i="2" s="1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AB4303" i="2" s="1"/>
  <c r="AK4303" i="2" s="1"/>
  <c r="W4303" i="2"/>
  <c r="AH4302" i="2"/>
  <c r="AE4302" i="2"/>
  <c r="AD4302" i="2"/>
  <c r="X4302" i="2"/>
  <c r="W4302" i="2"/>
  <c r="AH4301" i="2"/>
  <c r="AE4301" i="2"/>
  <c r="AD4301" i="2"/>
  <c r="Y4301" i="2" s="1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AB4295" i="2" s="1"/>
  <c r="AK4295" i="2" s="1"/>
  <c r="W4295" i="2"/>
  <c r="AH4294" i="2"/>
  <c r="AE4294" i="2"/>
  <c r="AD4294" i="2"/>
  <c r="X4294" i="2"/>
  <c r="W4294" i="2"/>
  <c r="AH4293" i="2"/>
  <c r="AE4293" i="2"/>
  <c r="AD4293" i="2"/>
  <c r="Y4293" i="2" s="1"/>
  <c r="X4293" i="2"/>
  <c r="W4293" i="2"/>
  <c r="AH4292" i="2"/>
  <c r="AE4292" i="2"/>
  <c r="AD4292" i="2"/>
  <c r="X4292" i="2"/>
  <c r="Y4292" i="2" s="1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AB4288" i="2" s="1"/>
  <c r="AK4288" i="2" s="1"/>
  <c r="W4288" i="2"/>
  <c r="AH4287" i="2"/>
  <c r="AE4287" i="2"/>
  <c r="AD4287" i="2"/>
  <c r="X4287" i="2"/>
  <c r="AB4287" i="2" s="1"/>
  <c r="AK4287" i="2" s="1"/>
  <c r="W4287" i="2"/>
  <c r="AH4286" i="2"/>
  <c r="AE4286" i="2"/>
  <c r="AD4286" i="2"/>
  <c r="X4286" i="2"/>
  <c r="W4286" i="2"/>
  <c r="AH4285" i="2"/>
  <c r="AE4285" i="2"/>
  <c r="AD4285" i="2"/>
  <c r="Y4285" i="2" s="1"/>
  <c r="X4285" i="2"/>
  <c r="W4285" i="2"/>
  <c r="AH4284" i="2"/>
  <c r="AE4284" i="2"/>
  <c r="AD4284" i="2"/>
  <c r="X4284" i="2"/>
  <c r="Y4284" i="2" s="1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AB4279" i="2" s="1"/>
  <c r="AK4279" i="2" s="1"/>
  <c r="W4279" i="2"/>
  <c r="AH4278" i="2"/>
  <c r="AE4278" i="2"/>
  <c r="AD4278" i="2"/>
  <c r="X4278" i="2"/>
  <c r="W4278" i="2"/>
  <c r="AH4277" i="2"/>
  <c r="AE4277" i="2"/>
  <c r="AD4277" i="2"/>
  <c r="Y4277" i="2" s="1"/>
  <c r="X4277" i="2"/>
  <c r="W4277" i="2"/>
  <c r="AH4276" i="2"/>
  <c r="AE4276" i="2"/>
  <c r="AD4276" i="2"/>
  <c r="X4276" i="2"/>
  <c r="AB4276" i="2" s="1"/>
  <c r="AK4276" i="2" s="1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Y4272" i="2" s="1"/>
  <c r="AC4272" i="2"/>
  <c r="W4272" i="2"/>
  <c r="AH4271" i="2"/>
  <c r="AE4271" i="2"/>
  <c r="AD4271" i="2"/>
  <c r="X4271" i="2"/>
  <c r="AB4271" i="2" s="1"/>
  <c r="AK4271" i="2" s="1"/>
  <c r="W4271" i="2"/>
  <c r="AH4270" i="2"/>
  <c r="AE4270" i="2"/>
  <c r="AD4270" i="2"/>
  <c r="X4270" i="2"/>
  <c r="W4270" i="2"/>
  <c r="AH4269" i="2"/>
  <c r="AE4269" i="2"/>
  <c r="AD4269" i="2"/>
  <c r="Y4269" i="2" s="1"/>
  <c r="X4269" i="2"/>
  <c r="W4269" i="2"/>
  <c r="AH4268" i="2"/>
  <c r="AE4268" i="2"/>
  <c r="AD4268" i="2"/>
  <c r="X4268" i="2"/>
  <c r="Y4268" i="2" s="1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Y4264" i="2" s="1"/>
  <c r="X4264" i="2"/>
  <c r="W4264" i="2"/>
  <c r="AH4263" i="2"/>
  <c r="AE4263" i="2"/>
  <c r="AD4263" i="2"/>
  <c r="X4263" i="2"/>
  <c r="Y4263" i="2" s="1"/>
  <c r="W4263" i="2"/>
  <c r="AH4262" i="2"/>
  <c r="AE4262" i="2"/>
  <c r="AD4262" i="2"/>
  <c r="X4262" i="2"/>
  <c r="W4262" i="2"/>
  <c r="AH4261" i="2"/>
  <c r="AE4261" i="2"/>
  <c r="AD4261" i="2"/>
  <c r="X4261" i="2"/>
  <c r="AB4261" i="2" s="1"/>
  <c r="AK4261" i="2" s="1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AB4258" i="2" s="1"/>
  <c r="AK4258" i="2" s="1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AB4253" i="2" s="1"/>
  <c r="AK4253" i="2" s="1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Y4248" i="2" s="1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AC4245" i="2" s="1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Y4240" i="2" s="1"/>
  <c r="X4240" i="2"/>
  <c r="W4240" i="2"/>
  <c r="AH4239" i="2"/>
  <c r="AE4239" i="2"/>
  <c r="AD4239" i="2"/>
  <c r="X4239" i="2"/>
  <c r="AB4239" i="2" s="1"/>
  <c r="AK4239" i="2" s="1"/>
  <c r="W4239" i="2"/>
  <c r="AH4238" i="2"/>
  <c r="AE4238" i="2"/>
  <c r="AD4238" i="2"/>
  <c r="X4238" i="2"/>
  <c r="W4238" i="2"/>
  <c r="AH4237" i="2"/>
  <c r="AE4237" i="2"/>
  <c r="AD4237" i="2"/>
  <c r="AF4237" i="2" s="1"/>
  <c r="X4237" i="2"/>
  <c r="AC4237" i="2" s="1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AB4234" i="2" s="1"/>
  <c r="AK4234" i="2" s="1"/>
  <c r="W4234" i="2"/>
  <c r="AH4233" i="2"/>
  <c r="AE4233" i="2"/>
  <c r="AD4233" i="2"/>
  <c r="X4233" i="2"/>
  <c r="W4233" i="2"/>
  <c r="AH4232" i="2"/>
  <c r="AE4232" i="2"/>
  <c r="AF4232" i="2" s="1"/>
  <c r="AD4232" i="2"/>
  <c r="Y4232" i="2" s="1"/>
  <c r="X4232" i="2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W4230" i="2"/>
  <c r="AH4229" i="2"/>
  <c r="AE4229" i="2"/>
  <c r="AD4229" i="2"/>
  <c r="X4229" i="2"/>
  <c r="AB4229" i="2" s="1"/>
  <c r="AK4229" i="2" s="1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AB4226" i="2" s="1"/>
  <c r="AK4226" i="2" s="1"/>
  <c r="W4226" i="2"/>
  <c r="AH4225" i="2"/>
  <c r="AE4225" i="2"/>
  <c r="AD4225" i="2"/>
  <c r="X4225" i="2"/>
  <c r="W4225" i="2"/>
  <c r="AH4224" i="2"/>
  <c r="AE4224" i="2"/>
  <c r="AD4224" i="2"/>
  <c r="Y4224" i="2" s="1"/>
  <c r="X4224" i="2"/>
  <c r="W4224" i="2"/>
  <c r="AH4223" i="2"/>
  <c r="AE4223" i="2"/>
  <c r="AD4223" i="2"/>
  <c r="X4223" i="2"/>
  <c r="AB4223" i="2" s="1"/>
  <c r="AK4223" i="2" s="1"/>
  <c r="W4223" i="2"/>
  <c r="AH4222" i="2"/>
  <c r="AE4222" i="2"/>
  <c r="AD4222" i="2"/>
  <c r="X4222" i="2"/>
  <c r="W4222" i="2"/>
  <c r="AH4221" i="2"/>
  <c r="AE4221" i="2"/>
  <c r="AD4221" i="2"/>
  <c r="X4221" i="2"/>
  <c r="AB4221" i="2" s="1"/>
  <c r="AK4221" i="2" s="1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Y4216" i="2" s="1"/>
  <c r="X4216" i="2"/>
  <c r="W4216" i="2"/>
  <c r="AH4215" i="2"/>
  <c r="AE4215" i="2"/>
  <c r="AD4215" i="2"/>
  <c r="X4215" i="2"/>
  <c r="AB4215" i="2" s="1"/>
  <c r="AK4215" i="2" s="1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AB4210" i="2" s="1"/>
  <c r="AK4210" i="2" s="1"/>
  <c r="W4210" i="2"/>
  <c r="AH4209" i="2"/>
  <c r="AE4209" i="2"/>
  <c r="AD4209" i="2"/>
  <c r="X4209" i="2"/>
  <c r="W4209" i="2"/>
  <c r="AH4208" i="2"/>
  <c r="AE4208" i="2"/>
  <c r="AD4208" i="2"/>
  <c r="Y4208" i="2" s="1"/>
  <c r="X4208" i="2"/>
  <c r="W4208" i="2"/>
  <c r="AH4207" i="2"/>
  <c r="AE4207" i="2"/>
  <c r="AD4207" i="2"/>
  <c r="X4207" i="2"/>
  <c r="AB4207" i="2" s="1"/>
  <c r="AK4207" i="2" s="1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F4203" i="2" s="1"/>
  <c r="AD4203" i="2"/>
  <c r="X4203" i="2"/>
  <c r="AB4203" i="2" s="1"/>
  <c r="AK4203" i="2" s="1"/>
  <c r="W4203" i="2"/>
  <c r="AH4202" i="2"/>
  <c r="AE4202" i="2"/>
  <c r="AD4202" i="2"/>
  <c r="X4202" i="2"/>
  <c r="AB4202" i="2" s="1"/>
  <c r="AK4202" i="2" s="1"/>
  <c r="W4202" i="2"/>
  <c r="AH4201" i="2"/>
  <c r="AE4201" i="2"/>
  <c r="AD4201" i="2"/>
  <c r="X4201" i="2"/>
  <c r="W4201" i="2"/>
  <c r="AH4200" i="2"/>
  <c r="AE4200" i="2"/>
  <c r="AD4200" i="2"/>
  <c r="Y4200" i="2" s="1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AF4197" i="2" s="1"/>
  <c r="X4197" i="2"/>
  <c r="AB4197" i="2" s="1"/>
  <c r="AK4197" i="2" s="1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AB4194" i="2" s="1"/>
  <c r="AK4194" i="2" s="1"/>
  <c r="W4194" i="2"/>
  <c r="AH4193" i="2"/>
  <c r="AE4193" i="2"/>
  <c r="AD4193" i="2"/>
  <c r="X4193" i="2"/>
  <c r="W4193" i="2"/>
  <c r="AH4192" i="2"/>
  <c r="AE4192" i="2"/>
  <c r="AD4192" i="2"/>
  <c r="Y4192" i="2" s="1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W4188" i="2"/>
  <c r="AH4187" i="2"/>
  <c r="AE4187" i="2"/>
  <c r="AD4187" i="2"/>
  <c r="X4187" i="2"/>
  <c r="AB4187" i="2" s="1"/>
  <c r="AK4187" i="2" s="1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Y4184" i="2" s="1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AB4181" i="2" s="1"/>
  <c r="AK4181" i="2" s="1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AB4178" i="2" s="1"/>
  <c r="AK4178" i="2" s="1"/>
  <c r="W4178" i="2"/>
  <c r="AH4177" i="2"/>
  <c r="AE4177" i="2"/>
  <c r="AD4177" i="2"/>
  <c r="X4177" i="2"/>
  <c r="W4177" i="2"/>
  <c r="AH4176" i="2"/>
  <c r="AE4176" i="2"/>
  <c r="AD4176" i="2"/>
  <c r="Y4176" i="2" s="1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AC4173" i="2" s="1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B4170" i="2" s="1"/>
  <c r="AK4170" i="2" s="1"/>
  <c r="W4170" i="2"/>
  <c r="AH4169" i="2"/>
  <c r="AE4169" i="2"/>
  <c r="AD4169" i="2"/>
  <c r="X4169" i="2"/>
  <c r="W4169" i="2"/>
  <c r="AH4168" i="2"/>
  <c r="AE4168" i="2"/>
  <c r="AD4168" i="2"/>
  <c r="Y4168" i="2" s="1"/>
  <c r="X4168" i="2"/>
  <c r="W4168" i="2"/>
  <c r="AH4167" i="2"/>
  <c r="AE4167" i="2"/>
  <c r="AD4167" i="2"/>
  <c r="X4167" i="2"/>
  <c r="AC4167" i="2" s="1"/>
  <c r="W4167" i="2"/>
  <c r="AH4166" i="2"/>
  <c r="AE4166" i="2"/>
  <c r="AD4166" i="2"/>
  <c r="X4166" i="2"/>
  <c r="W4166" i="2"/>
  <c r="AH4165" i="2"/>
  <c r="AE4165" i="2"/>
  <c r="AD4165" i="2"/>
  <c r="X4165" i="2"/>
  <c r="AB4165" i="2" s="1"/>
  <c r="AK4165" i="2" s="1"/>
  <c r="W4165" i="2"/>
  <c r="AH4164" i="2"/>
  <c r="AE4164" i="2"/>
  <c r="AD4164" i="2"/>
  <c r="X4164" i="2"/>
  <c r="W4164" i="2"/>
  <c r="AH4163" i="2"/>
  <c r="AE4163" i="2"/>
  <c r="AD4163" i="2"/>
  <c r="X4163" i="2"/>
  <c r="AB4163" i="2" s="1"/>
  <c r="AK4163" i="2" s="1"/>
  <c r="W4163" i="2"/>
  <c r="AH4162" i="2"/>
  <c r="AE4162" i="2"/>
  <c r="AD4162" i="2"/>
  <c r="X4162" i="2"/>
  <c r="AB4162" i="2" s="1"/>
  <c r="AK4162" i="2" s="1"/>
  <c r="W4162" i="2"/>
  <c r="AH4161" i="2"/>
  <c r="AE4161" i="2"/>
  <c r="AD4161" i="2"/>
  <c r="X4161" i="2"/>
  <c r="W4161" i="2"/>
  <c r="AH4160" i="2"/>
  <c r="AE4160" i="2"/>
  <c r="AD4160" i="2"/>
  <c r="Y4160" i="2" s="1"/>
  <c r="X4160" i="2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B4155" i="2" s="1"/>
  <c r="AK4155" i="2" s="1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Y4152" i="2" s="1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AB4146" i="2" s="1"/>
  <c r="AK4146" i="2" s="1"/>
  <c r="W4146" i="2"/>
  <c r="AH4145" i="2"/>
  <c r="AE4145" i="2"/>
  <c r="AD4145" i="2"/>
  <c r="X4145" i="2"/>
  <c r="AB4145" i="2" s="1"/>
  <c r="AK4145" i="2" s="1"/>
  <c r="W4145" i="2"/>
  <c r="AH4144" i="2"/>
  <c r="AE4144" i="2"/>
  <c r="AD4144" i="2"/>
  <c r="Y4144" i="2" s="1"/>
  <c r="X4144" i="2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F4139" i="2" s="1"/>
  <c r="AD4139" i="2"/>
  <c r="X4139" i="2"/>
  <c r="W4139" i="2"/>
  <c r="AH4138" i="2"/>
  <c r="AE4138" i="2"/>
  <c r="AD4138" i="2"/>
  <c r="X4138" i="2"/>
  <c r="AB4138" i="2" s="1"/>
  <c r="AK4138" i="2" s="1"/>
  <c r="W4138" i="2"/>
  <c r="AH4137" i="2"/>
  <c r="AE4137" i="2"/>
  <c r="AD4137" i="2"/>
  <c r="X4137" i="2"/>
  <c r="W4137" i="2"/>
  <c r="AH4136" i="2"/>
  <c r="AE4136" i="2"/>
  <c r="AD4136" i="2"/>
  <c r="Y4136" i="2" s="1"/>
  <c r="X4136" i="2"/>
  <c r="W4136" i="2"/>
  <c r="AH4135" i="2"/>
  <c r="AE4135" i="2"/>
  <c r="AD4135" i="2"/>
  <c r="X4135" i="2"/>
  <c r="AB4135" i="2" s="1"/>
  <c r="AK4135" i="2" s="1"/>
  <c r="W4135" i="2"/>
  <c r="AH4134" i="2"/>
  <c r="AE4134" i="2"/>
  <c r="AD4134" i="2"/>
  <c r="X4134" i="2"/>
  <c r="W4134" i="2"/>
  <c r="AH4133" i="2"/>
  <c r="AE4133" i="2"/>
  <c r="AD4133" i="2"/>
  <c r="AF4133" i="2" s="1"/>
  <c r="X4133" i="2"/>
  <c r="AB4133" i="2" s="1"/>
  <c r="AK4133" i="2" s="1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AB4130" i="2" s="1"/>
  <c r="AK4130" i="2" s="1"/>
  <c r="W4130" i="2"/>
  <c r="AH4129" i="2"/>
  <c r="AE4129" i="2"/>
  <c r="AD4129" i="2"/>
  <c r="X4129" i="2"/>
  <c r="W4129" i="2"/>
  <c r="AH4128" i="2"/>
  <c r="AE4128" i="2"/>
  <c r="AD4128" i="2"/>
  <c r="Y4128" i="2" s="1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Y4120" i="2" s="1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Y4113" i="2" s="1"/>
  <c r="AC4113" i="2"/>
  <c r="W4113" i="2"/>
  <c r="AH4112" i="2"/>
  <c r="AE4112" i="2"/>
  <c r="AD4112" i="2"/>
  <c r="Y4112" i="2" s="1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AB4108" i="2" s="1"/>
  <c r="AK4108" i="2" s="1"/>
  <c r="W4108" i="2"/>
  <c r="AH4107" i="2"/>
  <c r="AE4107" i="2"/>
  <c r="AD4107" i="2"/>
  <c r="Y4107" i="2" s="1"/>
  <c r="X4107" i="2"/>
  <c r="W4107" i="2"/>
  <c r="AH4106" i="2"/>
  <c r="AE4106" i="2"/>
  <c r="AD4106" i="2"/>
  <c r="X4106" i="2"/>
  <c r="AC4106" i="2" s="1"/>
  <c r="W4106" i="2"/>
  <c r="AH4105" i="2"/>
  <c r="AE4105" i="2"/>
  <c r="AD4105" i="2"/>
  <c r="X4105" i="2"/>
  <c r="W4105" i="2"/>
  <c r="AH4104" i="2"/>
  <c r="AE4104" i="2"/>
  <c r="AD4104" i="2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AB4101" i="2" s="1"/>
  <c r="W4101" i="2"/>
  <c r="AH4100" i="2"/>
  <c r="AE4100" i="2"/>
  <c r="AD4100" i="2"/>
  <c r="X4100" i="2"/>
  <c r="W4100" i="2"/>
  <c r="AH4099" i="2"/>
  <c r="AE4099" i="2"/>
  <c r="AD4099" i="2"/>
  <c r="Y4099" i="2" s="1"/>
  <c r="X4099" i="2"/>
  <c r="W4099" i="2"/>
  <c r="AH4098" i="2"/>
  <c r="AE4098" i="2"/>
  <c r="AD4098" i="2"/>
  <c r="X4098" i="2"/>
  <c r="Y4098" i="2" s="1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AB4094" i="2" s="1"/>
  <c r="AK4094" i="2" s="1"/>
  <c r="W4094" i="2"/>
  <c r="AH4093" i="2"/>
  <c r="AE4093" i="2"/>
  <c r="AD4093" i="2"/>
  <c r="X4093" i="2"/>
  <c r="AB4093" i="2" s="1"/>
  <c r="AK4093" i="2" s="1"/>
  <c r="W4093" i="2"/>
  <c r="AH4092" i="2"/>
  <c r="AE4092" i="2"/>
  <c r="AD4092" i="2"/>
  <c r="X4092" i="2"/>
  <c r="W4092" i="2"/>
  <c r="AH4091" i="2"/>
  <c r="AE4091" i="2"/>
  <c r="AD4091" i="2"/>
  <c r="Y4091" i="2" s="1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AC4083" i="2" s="1"/>
  <c r="W4083" i="2"/>
  <c r="AH4082" i="2"/>
  <c r="AE4082" i="2"/>
  <c r="AD4082" i="2"/>
  <c r="X4082" i="2"/>
  <c r="W4082" i="2"/>
  <c r="AH4081" i="2"/>
  <c r="AE4081" i="2"/>
  <c r="AD4081" i="2"/>
  <c r="Y4081" i="2" s="1"/>
  <c r="X4081" i="2"/>
  <c r="W4081" i="2"/>
  <c r="AH4080" i="2"/>
  <c r="AE4080" i="2"/>
  <c r="AD4080" i="2"/>
  <c r="X4080" i="2"/>
  <c r="Y4080" i="2" s="1"/>
  <c r="W4080" i="2"/>
  <c r="AH4079" i="2"/>
  <c r="AE4079" i="2"/>
  <c r="AD4079" i="2"/>
  <c r="X4079" i="2"/>
  <c r="W4079" i="2"/>
  <c r="AH4078" i="2"/>
  <c r="AE4078" i="2"/>
  <c r="AD4078" i="2"/>
  <c r="X4078" i="2"/>
  <c r="AB4078" i="2" s="1"/>
  <c r="AK4078" i="2" s="1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AB4075" i="2" s="1"/>
  <c r="AK4075" i="2" s="1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Y4073" i="2" s="1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AF4070" i="2" s="1"/>
  <c r="X4070" i="2"/>
  <c r="AB4070" i="2" s="1"/>
  <c r="AK4070" i="2" s="1"/>
  <c r="W4070" i="2"/>
  <c r="AH4069" i="2"/>
  <c r="AE4069" i="2"/>
  <c r="AD4069" i="2"/>
  <c r="X4069" i="2"/>
  <c r="W4069" i="2"/>
  <c r="AH4068" i="2"/>
  <c r="AE4068" i="2"/>
  <c r="AD4068" i="2"/>
  <c r="X4068" i="2"/>
  <c r="AB4068" i="2" s="1"/>
  <c r="AK4068" i="2" s="1"/>
  <c r="W4068" i="2"/>
  <c r="AH4067" i="2"/>
  <c r="AE4067" i="2"/>
  <c r="AD4067" i="2"/>
  <c r="X4067" i="2"/>
  <c r="AB4067" i="2" s="1"/>
  <c r="AK4067" i="2" s="1"/>
  <c r="W4067" i="2"/>
  <c r="AH4066" i="2"/>
  <c r="AE4066" i="2"/>
  <c r="AD4066" i="2"/>
  <c r="X4066" i="2"/>
  <c r="W4066" i="2"/>
  <c r="AH4065" i="2"/>
  <c r="AE4065" i="2"/>
  <c r="AD4065" i="2"/>
  <c r="Y4065" i="2" s="1"/>
  <c r="X4065" i="2"/>
  <c r="W4065" i="2"/>
  <c r="AH4064" i="2"/>
  <c r="AE4064" i="2"/>
  <c r="AD4064" i="2"/>
  <c r="X4064" i="2"/>
  <c r="Y4064" i="2" s="1"/>
  <c r="W4064" i="2"/>
  <c r="AH4063" i="2"/>
  <c r="AE4063" i="2"/>
  <c r="AD4063" i="2"/>
  <c r="X4063" i="2"/>
  <c r="W4063" i="2"/>
  <c r="AH4062" i="2"/>
  <c r="AE4062" i="2"/>
  <c r="AD4062" i="2"/>
  <c r="AF4062" i="2" s="1"/>
  <c r="X4062" i="2"/>
  <c r="AB4062" i="2" s="1"/>
  <c r="AK4062" i="2" s="1"/>
  <c r="W4062" i="2"/>
  <c r="AH4061" i="2"/>
  <c r="AE4061" i="2"/>
  <c r="AD4061" i="2"/>
  <c r="X4061" i="2"/>
  <c r="W4061" i="2"/>
  <c r="AH4060" i="2"/>
  <c r="AE4060" i="2"/>
  <c r="AD4060" i="2"/>
  <c r="X4060" i="2"/>
  <c r="AB4060" i="2" s="1"/>
  <c r="AK4060" i="2" s="1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Y4057" i="2" s="1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F4052" i="2" s="1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Y4049" i="2" s="1"/>
  <c r="X4049" i="2"/>
  <c r="W4049" i="2"/>
  <c r="AH4048" i="2"/>
  <c r="AE4048" i="2"/>
  <c r="AD4048" i="2"/>
  <c r="X4048" i="2"/>
  <c r="AC4048" i="2" s="1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AB4043" i="2" s="1"/>
  <c r="AK4043" i="2" s="1"/>
  <c r="W4043" i="2"/>
  <c r="AH4042" i="2"/>
  <c r="AE4042" i="2"/>
  <c r="AD4042" i="2"/>
  <c r="X4042" i="2"/>
  <c r="AB4042" i="2" s="1"/>
  <c r="AK4042" i="2" s="1"/>
  <c r="W4042" i="2"/>
  <c r="AH4041" i="2"/>
  <c r="AE4041" i="2"/>
  <c r="AD4041" i="2"/>
  <c r="Y4041" i="2" s="1"/>
  <c r="X4041" i="2"/>
  <c r="W4041" i="2"/>
  <c r="AH4040" i="2"/>
  <c r="AE4040" i="2"/>
  <c r="AD4040" i="2"/>
  <c r="X4040" i="2"/>
  <c r="Y4040" i="2" s="1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AB4036" i="2" s="1"/>
  <c r="AK4036" i="2" s="1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Y4033" i="2" s="1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AB4030" i="2" s="1"/>
  <c r="AK4030" i="2" s="1"/>
  <c r="W4030" i="2"/>
  <c r="AH4029" i="2"/>
  <c r="AE4029" i="2"/>
  <c r="AD4029" i="2"/>
  <c r="X4029" i="2"/>
  <c r="W4029" i="2"/>
  <c r="AH4028" i="2"/>
  <c r="AE4028" i="2"/>
  <c r="AD4028" i="2"/>
  <c r="X4028" i="2"/>
  <c r="AB4028" i="2" s="1"/>
  <c r="AK4028" i="2" s="1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Y4017" i="2" s="1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AB4012" i="2" s="1"/>
  <c r="AK4012" i="2" s="1"/>
  <c r="W4012" i="2"/>
  <c r="AH4011" i="2"/>
  <c r="AE4011" i="2"/>
  <c r="AD4011" i="2"/>
  <c r="X4011" i="2"/>
  <c r="W4011" i="2"/>
  <c r="AH4010" i="2"/>
  <c r="AE4010" i="2"/>
  <c r="AD4010" i="2"/>
  <c r="X4010" i="2"/>
  <c r="AB4010" i="2" s="1"/>
  <c r="AK4010" i="2" s="1"/>
  <c r="W4010" i="2"/>
  <c r="AH4009" i="2"/>
  <c r="AE4009" i="2"/>
  <c r="AF4009" i="2" s="1"/>
  <c r="AD4009" i="2"/>
  <c r="Y4009" i="2" s="1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F4004" i="2" s="1"/>
  <c r="AD4004" i="2"/>
  <c r="X4004" i="2"/>
  <c r="W4004" i="2"/>
  <c r="AH4003" i="2"/>
  <c r="AE4003" i="2"/>
  <c r="AD4003" i="2"/>
  <c r="X4003" i="2"/>
  <c r="AC4003" i="2" s="1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Y4000" i="2" s="1"/>
  <c r="W4000" i="2"/>
  <c r="AH3999" i="2"/>
  <c r="AE3999" i="2"/>
  <c r="AD3999" i="2"/>
  <c r="X3999" i="2"/>
  <c r="W3999" i="2"/>
  <c r="AH3998" i="2"/>
  <c r="AE3998" i="2"/>
  <c r="AD3998" i="2"/>
  <c r="X3998" i="2"/>
  <c r="AB3998" i="2" s="1"/>
  <c r="AK3998" i="2" s="1"/>
  <c r="W3998" i="2"/>
  <c r="AH3997" i="2"/>
  <c r="AE3997" i="2"/>
  <c r="AD3997" i="2"/>
  <c r="X3997" i="2"/>
  <c r="W3997" i="2"/>
  <c r="AH3996" i="2"/>
  <c r="AE3996" i="2"/>
  <c r="AD3996" i="2"/>
  <c r="X3996" i="2"/>
  <c r="AB3996" i="2" s="1"/>
  <c r="AK3996" i="2" s="1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Y3993" i="2" s="1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AF3990" i="2" s="1"/>
  <c r="X3990" i="2"/>
  <c r="AB3990" i="2" s="1"/>
  <c r="AK3990" i="2" s="1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Y3985" i="2" s="1"/>
  <c r="X3985" i="2"/>
  <c r="W3985" i="2"/>
  <c r="AH3984" i="2"/>
  <c r="AE3984" i="2"/>
  <c r="AD3984" i="2"/>
  <c r="X3984" i="2"/>
  <c r="AC3984" i="2" s="1"/>
  <c r="W3984" i="2"/>
  <c r="AH3983" i="2"/>
  <c r="AE3983" i="2"/>
  <c r="AD3983" i="2"/>
  <c r="X3983" i="2"/>
  <c r="W3983" i="2"/>
  <c r="AH3982" i="2"/>
  <c r="AE3982" i="2"/>
  <c r="AD3982" i="2"/>
  <c r="X3982" i="2"/>
  <c r="AB3982" i="2" s="1"/>
  <c r="AK3982" i="2" s="1"/>
  <c r="W3982" i="2"/>
  <c r="AH3981" i="2"/>
  <c r="AE3981" i="2"/>
  <c r="AD3981" i="2"/>
  <c r="X3981" i="2"/>
  <c r="W3981" i="2"/>
  <c r="AH3980" i="2"/>
  <c r="AE3980" i="2"/>
  <c r="AD3980" i="2"/>
  <c r="X3980" i="2"/>
  <c r="AB3980" i="2" s="1"/>
  <c r="AK3980" i="2" s="1"/>
  <c r="W3980" i="2"/>
  <c r="AH3979" i="2"/>
  <c r="AE3979" i="2"/>
  <c r="AD3979" i="2"/>
  <c r="X3979" i="2"/>
  <c r="AC3979" i="2" s="1"/>
  <c r="W3979" i="2"/>
  <c r="AH3978" i="2"/>
  <c r="AE3978" i="2"/>
  <c r="AD3978" i="2"/>
  <c r="X3978" i="2"/>
  <c r="AB3978" i="2" s="1"/>
  <c r="AK3978" i="2" s="1"/>
  <c r="W3978" i="2"/>
  <c r="AH3977" i="2"/>
  <c r="AE3977" i="2"/>
  <c r="AD3977" i="2"/>
  <c r="Y3977" i="2" s="1"/>
  <c r="X3977" i="2"/>
  <c r="W3977" i="2"/>
  <c r="AH3976" i="2"/>
  <c r="AE3976" i="2"/>
  <c r="AD3976" i="2"/>
  <c r="X3976" i="2"/>
  <c r="Y3976" i="2" s="1"/>
  <c r="W3976" i="2"/>
  <c r="AH3975" i="2"/>
  <c r="AE3975" i="2"/>
  <c r="AD3975" i="2"/>
  <c r="X3975" i="2"/>
  <c r="W3975" i="2"/>
  <c r="AH3974" i="2"/>
  <c r="AE3974" i="2"/>
  <c r="AD3974" i="2"/>
  <c r="X3974" i="2"/>
  <c r="AB3974" i="2" s="1"/>
  <c r="AK3974" i="2" s="1"/>
  <c r="W3974" i="2"/>
  <c r="AH3973" i="2"/>
  <c r="AE3973" i="2"/>
  <c r="AD3973" i="2"/>
  <c r="X3973" i="2"/>
  <c r="W3973" i="2"/>
  <c r="AH3972" i="2"/>
  <c r="AE3972" i="2"/>
  <c r="AD3972" i="2"/>
  <c r="X3972" i="2"/>
  <c r="AB3972" i="2" s="1"/>
  <c r="AK3972" i="2" s="1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Y3969" i="2" s="1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AB3966" i="2" s="1"/>
  <c r="AK3966" i="2" s="1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AB3963" i="2" s="1"/>
  <c r="W3963" i="2"/>
  <c r="AH3962" i="2"/>
  <c r="AE3962" i="2"/>
  <c r="AD3962" i="2"/>
  <c r="X3962" i="2"/>
  <c r="W3962" i="2"/>
  <c r="AH3961" i="2"/>
  <c r="AE3961" i="2"/>
  <c r="AD3961" i="2"/>
  <c r="Y3961" i="2" s="1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F3953" i="2" s="1"/>
  <c r="AD3953" i="2"/>
  <c r="Y3953" i="2" s="1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AC3950" i="2" s="1"/>
  <c r="W3950" i="2"/>
  <c r="AH3949" i="2"/>
  <c r="AE3949" i="2"/>
  <c r="AD3949" i="2"/>
  <c r="X3949" i="2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W3947" i="2"/>
  <c r="AH3946" i="2"/>
  <c r="AE3946" i="2"/>
  <c r="AD3946" i="2"/>
  <c r="X3946" i="2"/>
  <c r="AB3946" i="2" s="1"/>
  <c r="AK3946" i="2" s="1"/>
  <c r="W3946" i="2"/>
  <c r="AH3945" i="2"/>
  <c r="AE3945" i="2"/>
  <c r="AF3945" i="2" s="1"/>
  <c r="AD3945" i="2"/>
  <c r="Y3945" i="2" s="1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AB3942" i="2" s="1"/>
  <c r="AK3942" i="2" s="1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AB3936" i="2" s="1"/>
  <c r="AK3936" i="2" s="1"/>
  <c r="W3936" i="2"/>
  <c r="AH3935" i="2"/>
  <c r="AE3935" i="2"/>
  <c r="AD3935" i="2"/>
  <c r="X3935" i="2"/>
  <c r="W3935" i="2"/>
  <c r="AH3934" i="2"/>
  <c r="AE3934" i="2"/>
  <c r="AD3934" i="2"/>
  <c r="X3934" i="2"/>
  <c r="AB3934" i="2" s="1"/>
  <c r="AK3934" i="2" s="1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F3929" i="2" s="1"/>
  <c r="AD3929" i="2"/>
  <c r="Y3929" i="2" s="1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AB3926" i="2" s="1"/>
  <c r="AK3926" i="2" s="1"/>
  <c r="W3926" i="2"/>
  <c r="AH3925" i="2"/>
  <c r="AE3925" i="2"/>
  <c r="AD3925" i="2"/>
  <c r="X3925" i="2"/>
  <c r="W3925" i="2"/>
  <c r="AH3924" i="2"/>
  <c r="AE3924" i="2"/>
  <c r="AD3924" i="2"/>
  <c r="X3924" i="2"/>
  <c r="AB3924" i="2" s="1"/>
  <c r="AK3924" i="2" s="1"/>
  <c r="W3924" i="2"/>
  <c r="AH3923" i="2"/>
  <c r="AE3923" i="2"/>
  <c r="AD3923" i="2"/>
  <c r="X3923" i="2"/>
  <c r="AC3923" i="2" s="1"/>
  <c r="W3923" i="2"/>
  <c r="AH3922" i="2"/>
  <c r="AE3922" i="2"/>
  <c r="AD3922" i="2"/>
  <c r="X3922" i="2"/>
  <c r="W3922" i="2"/>
  <c r="AH3921" i="2"/>
  <c r="AE3921" i="2"/>
  <c r="AD3921" i="2"/>
  <c r="Y3921" i="2" s="1"/>
  <c r="X3921" i="2"/>
  <c r="W3921" i="2"/>
  <c r="AH3920" i="2"/>
  <c r="AE3920" i="2"/>
  <c r="AD3920" i="2"/>
  <c r="X3920" i="2"/>
  <c r="AC3920" i="2" s="1"/>
  <c r="W3920" i="2"/>
  <c r="AH3919" i="2"/>
  <c r="AE3919" i="2"/>
  <c r="AD3919" i="2"/>
  <c r="X3919" i="2"/>
  <c r="W3919" i="2"/>
  <c r="AH3918" i="2"/>
  <c r="AE3918" i="2"/>
  <c r="AD3918" i="2"/>
  <c r="X3918" i="2"/>
  <c r="AB3918" i="2" s="1"/>
  <c r="AK3918" i="2" s="1"/>
  <c r="W3918" i="2"/>
  <c r="AH3917" i="2"/>
  <c r="AE3917" i="2"/>
  <c r="AD3917" i="2"/>
  <c r="X3917" i="2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B3914" i="2" s="1"/>
  <c r="AK3914" i="2" s="1"/>
  <c r="W3914" i="2"/>
  <c r="AH3913" i="2"/>
  <c r="AE3913" i="2"/>
  <c r="AD3913" i="2"/>
  <c r="Y3913" i="2" s="1"/>
  <c r="X3913" i="2"/>
  <c r="W3913" i="2"/>
  <c r="AH3912" i="2"/>
  <c r="AE3912" i="2"/>
  <c r="AD3912" i="2"/>
  <c r="X3912" i="2"/>
  <c r="AB3912" i="2" s="1"/>
  <c r="AK3912" i="2" s="1"/>
  <c r="W3912" i="2"/>
  <c r="AH3911" i="2"/>
  <c r="AE3911" i="2"/>
  <c r="AD3911" i="2"/>
  <c r="X3911" i="2"/>
  <c r="W3911" i="2"/>
  <c r="AH3910" i="2"/>
  <c r="AE3910" i="2"/>
  <c r="AD3910" i="2"/>
  <c r="AF3910" i="2" s="1"/>
  <c r="X3910" i="2"/>
  <c r="AB3910" i="2" s="1"/>
  <c r="AK3910" i="2" s="1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AC3907" i="2" s="1"/>
  <c r="W3907" i="2"/>
  <c r="AH3906" i="2"/>
  <c r="AE3906" i="2"/>
  <c r="AD3906" i="2"/>
  <c r="X3906" i="2"/>
  <c r="W3906" i="2"/>
  <c r="AH3905" i="2"/>
  <c r="AE3905" i="2"/>
  <c r="AD3905" i="2"/>
  <c r="Y3905" i="2" s="1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F3897" i="2" s="1"/>
  <c r="AD3897" i="2"/>
  <c r="Y3897" i="2" s="1"/>
  <c r="X3897" i="2"/>
  <c r="W3897" i="2"/>
  <c r="AH3896" i="2"/>
  <c r="AE3896" i="2"/>
  <c r="AD3896" i="2"/>
  <c r="X3896" i="2"/>
  <c r="Y3896" i="2" s="1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AB3892" i="2" s="1"/>
  <c r="AK3892" i="2" s="1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Y3889" i="2" s="1"/>
  <c r="X3889" i="2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X3883" i="2"/>
  <c r="AB3883" i="2" s="1"/>
  <c r="AK3883" i="2" s="1"/>
  <c r="W3883" i="2"/>
  <c r="AH3882" i="2"/>
  <c r="AE3882" i="2"/>
  <c r="AD3882" i="2"/>
  <c r="X3882" i="2"/>
  <c r="AB3882" i="2" s="1"/>
  <c r="AK3882" i="2" s="1"/>
  <c r="W3882" i="2"/>
  <c r="AH3881" i="2"/>
  <c r="AE3881" i="2"/>
  <c r="AD3881" i="2"/>
  <c r="Y3881" i="2" s="1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AB3877" i="2" s="1"/>
  <c r="W3877" i="2"/>
  <c r="AH3876" i="2"/>
  <c r="AE3876" i="2"/>
  <c r="AD3876" i="2"/>
  <c r="X3876" i="2"/>
  <c r="W3876" i="2"/>
  <c r="AH3875" i="2"/>
  <c r="AE3875" i="2"/>
  <c r="AD3875" i="2"/>
  <c r="X3875" i="2"/>
  <c r="AB3875" i="2" s="1"/>
  <c r="AK3875" i="2" s="1"/>
  <c r="W3875" i="2"/>
  <c r="AH3874" i="2"/>
  <c r="AE3874" i="2"/>
  <c r="AD3874" i="2"/>
  <c r="X3874" i="2"/>
  <c r="W3874" i="2"/>
  <c r="AH3873" i="2"/>
  <c r="AE3873" i="2"/>
  <c r="AD3873" i="2"/>
  <c r="Y3873" i="2" s="1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AC3870" i="2" s="1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Y3865" i="2" s="1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AF3862" i="2" s="1"/>
  <c r="X3862" i="2"/>
  <c r="AB3862" i="2" s="1"/>
  <c r="AK3862" i="2" s="1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Y3857" i="2" s="1"/>
  <c r="X3857" i="2"/>
  <c r="W3857" i="2"/>
  <c r="AH3856" i="2"/>
  <c r="AE3856" i="2"/>
  <c r="AD3856" i="2"/>
  <c r="X3856" i="2"/>
  <c r="AC3856" i="2" s="1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AB3851" i="2" s="1"/>
  <c r="AK3851" i="2" s="1"/>
  <c r="W3851" i="2"/>
  <c r="AH3850" i="2"/>
  <c r="AE3850" i="2"/>
  <c r="AD3850" i="2"/>
  <c r="X3850" i="2"/>
  <c r="AB3850" i="2" s="1"/>
  <c r="AK3850" i="2" s="1"/>
  <c r="W3850" i="2"/>
  <c r="AH3849" i="2"/>
  <c r="AE3849" i="2"/>
  <c r="AD3849" i="2"/>
  <c r="Y3849" i="2" s="1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AF3846" i="2" s="1"/>
  <c r="X3846" i="2"/>
  <c r="AB3846" i="2" s="1"/>
  <c r="AK3846" i="2" s="1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Y3841" i="2" s="1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AB3838" i="2" s="1"/>
  <c r="AK3838" i="2" s="1"/>
  <c r="W3838" i="2"/>
  <c r="AH3837" i="2"/>
  <c r="AE3837" i="2"/>
  <c r="AD3837" i="2"/>
  <c r="X3837" i="2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AC3835" i="2" s="1"/>
  <c r="W3835" i="2"/>
  <c r="AH3834" i="2"/>
  <c r="AE3834" i="2"/>
  <c r="AD3834" i="2"/>
  <c r="X3834" i="2"/>
  <c r="W3834" i="2"/>
  <c r="AH3833" i="2"/>
  <c r="AE3833" i="2"/>
  <c r="AF3833" i="2" s="1"/>
  <c r="AD3833" i="2"/>
  <c r="Y3833" i="2" s="1"/>
  <c r="X3833" i="2"/>
  <c r="AH3832" i="2"/>
  <c r="AE3832" i="2"/>
  <c r="AD3832" i="2"/>
  <c r="X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C3830" i="2" s="1"/>
  <c r="W3830" i="2"/>
  <c r="AH3829" i="2"/>
  <c r="AE3829" i="2"/>
  <c r="AD3829" i="2"/>
  <c r="X3829" i="2"/>
  <c r="W3829" i="2"/>
  <c r="AH3828" i="2"/>
  <c r="AE3828" i="2"/>
  <c r="AF3828" i="2" s="1"/>
  <c r="AD3828" i="2"/>
  <c r="Y3828" i="2" s="1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AF3825" i="2" s="1"/>
  <c r="X3825" i="2"/>
  <c r="W3825" i="2"/>
  <c r="AH3824" i="2"/>
  <c r="AE3824" i="2"/>
  <c r="AD3824" i="2"/>
  <c r="X3824" i="2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AB3822" i="2" s="1"/>
  <c r="AK3822" i="2" s="1"/>
  <c r="W3822" i="2"/>
  <c r="AH3821" i="2"/>
  <c r="AE3821" i="2"/>
  <c r="AD3821" i="2"/>
  <c r="X3821" i="2"/>
  <c r="AB3821" i="2" s="1"/>
  <c r="AK3821" i="2" s="1"/>
  <c r="W3821" i="2"/>
  <c r="AH3820" i="2"/>
  <c r="AE3820" i="2"/>
  <c r="AD3820" i="2"/>
  <c r="X3820" i="2"/>
  <c r="W3820" i="2"/>
  <c r="AH3819" i="2"/>
  <c r="AE3819" i="2"/>
  <c r="AD3819" i="2"/>
  <c r="X3819" i="2"/>
  <c r="AB3819" i="2" s="1"/>
  <c r="AK3819" i="2" s="1"/>
  <c r="W3819" i="2"/>
  <c r="AH3818" i="2"/>
  <c r="AE3818" i="2"/>
  <c r="AD3818" i="2"/>
  <c r="X3818" i="2"/>
  <c r="W3818" i="2"/>
  <c r="AH3817" i="2"/>
  <c r="AE3817" i="2"/>
  <c r="AD3817" i="2"/>
  <c r="AF3817" i="2" s="1"/>
  <c r="X3817" i="2"/>
  <c r="AB3817" i="2" s="1"/>
  <c r="AK3817" i="2" s="1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AB3814" i="2" s="1"/>
  <c r="AK3814" i="2" s="1"/>
  <c r="W3814" i="2"/>
  <c r="AH3813" i="2"/>
  <c r="AE3813" i="2"/>
  <c r="AD3813" i="2"/>
  <c r="X3813" i="2"/>
  <c r="W3813" i="2"/>
  <c r="AH3812" i="2"/>
  <c r="AE3812" i="2"/>
  <c r="AF3812" i="2" s="1"/>
  <c r="AD3812" i="2"/>
  <c r="Y3812" i="2" s="1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AB3809" i="2" s="1"/>
  <c r="AK3809" i="2" s="1"/>
  <c r="W3809" i="2"/>
  <c r="AH3808" i="2"/>
  <c r="AE3808" i="2"/>
  <c r="AD3808" i="2"/>
  <c r="X3808" i="2"/>
  <c r="AB3808" i="2" s="1"/>
  <c r="AK3808" i="2" s="1"/>
  <c r="W3808" i="2"/>
  <c r="AH3807" i="2"/>
  <c r="AE3807" i="2"/>
  <c r="AD3807" i="2"/>
  <c r="X3807" i="2"/>
  <c r="AB3807" i="2" s="1"/>
  <c r="AK3807" i="2" s="1"/>
  <c r="W3807" i="2"/>
  <c r="AH3806" i="2"/>
  <c r="AE3806" i="2"/>
  <c r="AD3806" i="2"/>
  <c r="X3806" i="2"/>
  <c r="AB3806" i="2" s="1"/>
  <c r="AK3806" i="2" s="1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AB3803" i="2" s="1"/>
  <c r="AK3803" i="2" s="1"/>
  <c r="W3803" i="2"/>
  <c r="AH3802" i="2"/>
  <c r="AE3802" i="2"/>
  <c r="AD3802" i="2"/>
  <c r="X3802" i="2"/>
  <c r="W3802" i="2"/>
  <c r="AH3801" i="2"/>
  <c r="AE3801" i="2"/>
  <c r="AD3801" i="2"/>
  <c r="X3801" i="2"/>
  <c r="AC3801" i="2" s="1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AB3798" i="2" s="1"/>
  <c r="AK3798" i="2" s="1"/>
  <c r="W3798" i="2"/>
  <c r="AH3797" i="2"/>
  <c r="AE3797" i="2"/>
  <c r="AD3797" i="2"/>
  <c r="X3797" i="2"/>
  <c r="W3797" i="2"/>
  <c r="AH3796" i="2"/>
  <c r="AE3796" i="2"/>
  <c r="AD3796" i="2"/>
  <c r="Y3796" i="2" s="1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F3791" i="2" s="1"/>
  <c r="AD3791" i="2"/>
  <c r="X3791" i="2"/>
  <c r="AB3791" i="2" s="1"/>
  <c r="AK3791" i="2" s="1"/>
  <c r="W3791" i="2"/>
  <c r="AH3790" i="2"/>
  <c r="AE3790" i="2"/>
  <c r="AD3790" i="2"/>
  <c r="X3790" i="2"/>
  <c r="AC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AC3787" i="2" s="1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AB3782" i="2" s="1"/>
  <c r="AK3782" i="2" s="1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Y3776" i="2" s="1"/>
  <c r="X3776" i="2"/>
  <c r="W3776" i="2"/>
  <c r="AH3775" i="2"/>
  <c r="AE3775" i="2"/>
  <c r="AD3775" i="2"/>
  <c r="X3775" i="2"/>
  <c r="AB3775" i="2" s="1"/>
  <c r="AK3775" i="2" s="1"/>
  <c r="W3775" i="2"/>
  <c r="AH3774" i="2"/>
  <c r="AE3774" i="2"/>
  <c r="AD3774" i="2"/>
  <c r="X3774" i="2"/>
  <c r="AB3774" i="2" s="1"/>
  <c r="AK3774" i="2" s="1"/>
  <c r="W3774" i="2"/>
  <c r="AH3773" i="2"/>
  <c r="AE3773" i="2"/>
  <c r="AD3773" i="2"/>
  <c r="X3773" i="2"/>
  <c r="W3773" i="2"/>
  <c r="AH3772" i="2"/>
  <c r="AE3772" i="2"/>
  <c r="AD3772" i="2"/>
  <c r="Y3772" i="2" s="1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F3767" i="2" s="1"/>
  <c r="AD3767" i="2"/>
  <c r="X3767" i="2"/>
  <c r="AB3767" i="2" s="1"/>
  <c r="AK3767" i="2" s="1"/>
  <c r="W3767" i="2"/>
  <c r="AH3766" i="2"/>
  <c r="AE3766" i="2"/>
  <c r="AD3766" i="2"/>
  <c r="X3766" i="2"/>
  <c r="W3766" i="2"/>
  <c r="AH3765" i="2"/>
  <c r="AE3765" i="2"/>
  <c r="AD3765" i="2"/>
  <c r="X3765" i="2"/>
  <c r="AK3765" i="2" s="1"/>
  <c r="W3765" i="2"/>
  <c r="AH3764" i="2"/>
  <c r="AE3764" i="2"/>
  <c r="AD3764" i="2"/>
  <c r="Y3764" i="2" s="1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AB3761" i="2" s="1"/>
  <c r="AK3761" i="2" s="1"/>
  <c r="W3761" i="2"/>
  <c r="AH3760" i="2"/>
  <c r="AE3760" i="2"/>
  <c r="AD3760" i="2"/>
  <c r="X3760" i="2"/>
  <c r="W3760" i="2"/>
  <c r="AH3759" i="2"/>
  <c r="AE3759" i="2"/>
  <c r="AF3759" i="2" s="1"/>
  <c r="AD3759" i="2"/>
  <c r="X3759" i="2"/>
  <c r="AB3759" i="2" s="1"/>
  <c r="AK3759" i="2" s="1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Y3756" i="2" s="1"/>
  <c r="X3756" i="2"/>
  <c r="AK3756" i="2" s="1"/>
  <c r="W3756" i="2"/>
  <c r="AH3755" i="2"/>
  <c r="AE3755" i="2"/>
  <c r="AD3755" i="2"/>
  <c r="X3755" i="2"/>
  <c r="W3755" i="2"/>
  <c r="AH3754" i="2"/>
  <c r="AE3754" i="2"/>
  <c r="AD3754" i="2"/>
  <c r="X3754" i="2"/>
  <c r="AK3754" i="2" s="1"/>
  <c r="W3754" i="2"/>
  <c r="AH3753" i="2"/>
  <c r="AE3753" i="2"/>
  <c r="AD3753" i="2"/>
  <c r="X3753" i="2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AB3750" i="2" s="1"/>
  <c r="W3750" i="2"/>
  <c r="AH3749" i="2"/>
  <c r="AE3749" i="2"/>
  <c r="AD3749" i="2"/>
  <c r="X3749" i="2"/>
  <c r="W3749" i="2"/>
  <c r="AH3748" i="2"/>
  <c r="AE3748" i="2"/>
  <c r="AF3748" i="2" s="1"/>
  <c r="AD3748" i="2"/>
  <c r="Y3748" i="2" s="1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B3743" i="2" s="1"/>
  <c r="AK3743" i="2" s="1"/>
  <c r="W3743" i="2"/>
  <c r="AH3742" i="2"/>
  <c r="AE3742" i="2"/>
  <c r="AD3742" i="2"/>
  <c r="X3742" i="2"/>
  <c r="AB3742" i="2" s="1"/>
  <c r="AK3742" i="2" s="1"/>
  <c r="W3742" i="2"/>
  <c r="AH3741" i="2"/>
  <c r="AE3741" i="2"/>
  <c r="AD3741" i="2"/>
  <c r="X3741" i="2"/>
  <c r="W3741" i="2"/>
  <c r="AH3740" i="2"/>
  <c r="AE3740" i="2"/>
  <c r="AD3740" i="2"/>
  <c r="Y3740" i="2" s="1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F3735" i="2" s="1"/>
  <c r="AD3735" i="2"/>
  <c r="X3735" i="2"/>
  <c r="W3735" i="2"/>
  <c r="AH3734" i="2"/>
  <c r="AE3734" i="2"/>
  <c r="AD3734" i="2"/>
  <c r="X3734" i="2"/>
  <c r="AB3734" i="2" s="1"/>
  <c r="AK3734" i="2" s="1"/>
  <c r="W3734" i="2"/>
  <c r="AH3733" i="2"/>
  <c r="AE3733" i="2"/>
  <c r="AD3733" i="2"/>
  <c r="X3733" i="2"/>
  <c r="W3733" i="2"/>
  <c r="AH3732" i="2"/>
  <c r="AE3732" i="2"/>
  <c r="AD3732" i="2"/>
  <c r="Y3732" i="2" s="1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AB3729" i="2" s="1"/>
  <c r="AK3729" i="2" s="1"/>
  <c r="W3729" i="2"/>
  <c r="AH3728" i="2"/>
  <c r="AE3728" i="2"/>
  <c r="AD3728" i="2"/>
  <c r="X3728" i="2"/>
  <c r="W3728" i="2"/>
  <c r="AH3727" i="2"/>
  <c r="AE3727" i="2"/>
  <c r="AD3727" i="2"/>
  <c r="X3727" i="2"/>
  <c r="AB3727" i="2" s="1"/>
  <c r="AK3727" i="2" s="1"/>
  <c r="W3727" i="2"/>
  <c r="AH3726" i="2"/>
  <c r="AE3726" i="2"/>
  <c r="AD3726" i="2"/>
  <c r="X3726" i="2"/>
  <c r="AC3726" i="2" s="1"/>
  <c r="W3726" i="2"/>
  <c r="AH3725" i="2"/>
  <c r="AE3725" i="2"/>
  <c r="AD3725" i="2"/>
  <c r="X3725" i="2"/>
  <c r="W3725" i="2"/>
  <c r="AH3724" i="2"/>
  <c r="AE3724" i="2"/>
  <c r="AD3724" i="2"/>
  <c r="Y3724" i="2" s="1"/>
  <c r="X3724" i="2"/>
  <c r="W3724" i="2"/>
  <c r="AH3723" i="2"/>
  <c r="AE3723" i="2"/>
  <c r="AD3723" i="2"/>
  <c r="X3723" i="2"/>
  <c r="AC3723" i="2" s="1"/>
  <c r="W3723" i="2"/>
  <c r="AH3722" i="2"/>
  <c r="AE3722" i="2"/>
  <c r="AD3722" i="2"/>
  <c r="X3722" i="2"/>
  <c r="W3722" i="2"/>
  <c r="AH3721" i="2"/>
  <c r="AE3721" i="2"/>
  <c r="AD3721" i="2"/>
  <c r="X3721" i="2"/>
  <c r="AB3721" i="2" s="1"/>
  <c r="AK3721" i="2" s="1"/>
  <c r="W3721" i="2"/>
  <c r="AH3720" i="2"/>
  <c r="AE3720" i="2"/>
  <c r="AD3720" i="2"/>
  <c r="X3720" i="2"/>
  <c r="W3720" i="2"/>
  <c r="AH3719" i="2"/>
  <c r="AE3719" i="2"/>
  <c r="AD3719" i="2"/>
  <c r="X3719" i="2"/>
  <c r="AB3719" i="2" s="1"/>
  <c r="AK3719" i="2" s="1"/>
  <c r="W3719" i="2"/>
  <c r="AH3718" i="2"/>
  <c r="AE3718" i="2"/>
  <c r="AD3718" i="2"/>
  <c r="X3718" i="2"/>
  <c r="AB3718" i="2" s="1"/>
  <c r="AK3718" i="2" s="1"/>
  <c r="W3718" i="2"/>
  <c r="AH3717" i="2"/>
  <c r="AE3717" i="2"/>
  <c r="AD3717" i="2"/>
  <c r="X3717" i="2"/>
  <c r="AB3717" i="2" s="1"/>
  <c r="AK3717" i="2" s="1"/>
  <c r="W3717" i="2"/>
  <c r="AH3716" i="2"/>
  <c r="AE3716" i="2"/>
  <c r="AD3716" i="2"/>
  <c r="Y3716" i="2" s="1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Y3712" i="2" s="1"/>
  <c r="X3712" i="2"/>
  <c r="W3712" i="2"/>
  <c r="AH3711" i="2"/>
  <c r="AE3711" i="2"/>
  <c r="AD3711" i="2"/>
  <c r="X3711" i="2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B3709" i="2" s="1"/>
  <c r="AK3709" i="2" s="1"/>
  <c r="W3709" i="2"/>
  <c r="AH3708" i="2"/>
  <c r="AE3708" i="2"/>
  <c r="AD3708" i="2"/>
  <c r="Y3708" i="2" s="1"/>
  <c r="X3708" i="2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W3706" i="2"/>
  <c r="AH3705" i="2"/>
  <c r="AE3705" i="2"/>
  <c r="AD3705" i="2"/>
  <c r="X3705" i="2"/>
  <c r="AB3705" i="2" s="1"/>
  <c r="AK3705" i="2" s="1"/>
  <c r="W3705" i="2"/>
  <c r="AH3704" i="2"/>
  <c r="AE3704" i="2"/>
  <c r="AD3704" i="2"/>
  <c r="X3704" i="2"/>
  <c r="W3704" i="2"/>
  <c r="AH3703" i="2"/>
  <c r="AE3703" i="2"/>
  <c r="AF3703" i="2" s="1"/>
  <c r="AD3703" i="2"/>
  <c r="X3703" i="2"/>
  <c r="AB3703" i="2" s="1"/>
  <c r="AK3703" i="2" s="1"/>
  <c r="W3703" i="2"/>
  <c r="AH3702" i="2"/>
  <c r="AE3702" i="2"/>
  <c r="AD3702" i="2"/>
  <c r="X3702" i="2"/>
  <c r="AB3702" i="2" s="1"/>
  <c r="AK3702" i="2" s="1"/>
  <c r="W3702" i="2"/>
  <c r="AH3701" i="2"/>
  <c r="AE3701" i="2"/>
  <c r="AD3701" i="2"/>
  <c r="X3701" i="2"/>
  <c r="W3701" i="2"/>
  <c r="AH3700" i="2"/>
  <c r="AE3700" i="2"/>
  <c r="AD3700" i="2"/>
  <c r="Y3700" i="2" s="1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AF3697" i="2" s="1"/>
  <c r="X3697" i="2"/>
  <c r="W3697" i="2"/>
  <c r="AH3696" i="2"/>
  <c r="AE3696" i="2"/>
  <c r="AD3696" i="2"/>
  <c r="X3696" i="2"/>
  <c r="AK3696" i="2" s="1"/>
  <c r="W3696" i="2"/>
  <c r="AH3695" i="2"/>
  <c r="AE3695" i="2"/>
  <c r="AF3695" i="2" s="1"/>
  <c r="AD3695" i="2"/>
  <c r="X3695" i="2"/>
  <c r="AK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K3693" i="2" s="1"/>
  <c r="W3693" i="2"/>
  <c r="AH3692" i="2"/>
  <c r="AE3692" i="2"/>
  <c r="AD3692" i="2"/>
  <c r="Y3692" i="2" s="1"/>
  <c r="X3692" i="2"/>
  <c r="AK3692" i="2" s="1"/>
  <c r="W3692" i="2"/>
  <c r="AH3691" i="2"/>
  <c r="AE3691" i="2"/>
  <c r="AD3691" i="2"/>
  <c r="X3691" i="2"/>
  <c r="W3691" i="2"/>
  <c r="AH3690" i="2"/>
  <c r="AE3690" i="2"/>
  <c r="AD3690" i="2"/>
  <c r="X3690" i="2"/>
  <c r="AK3690" i="2" s="1"/>
  <c r="W3690" i="2"/>
  <c r="AH3689" i="2"/>
  <c r="AE3689" i="2"/>
  <c r="AD3689" i="2"/>
  <c r="AF3689" i="2" s="1"/>
  <c r="X3689" i="2"/>
  <c r="W3689" i="2"/>
  <c r="AH3688" i="2"/>
  <c r="AE3688" i="2"/>
  <c r="AD3688" i="2"/>
  <c r="X3688" i="2"/>
  <c r="W3688" i="2"/>
  <c r="AH3687" i="2"/>
  <c r="AE3687" i="2"/>
  <c r="AF3687" i="2" s="1"/>
  <c r="AD3687" i="2"/>
  <c r="X3687" i="2"/>
  <c r="W3687" i="2"/>
  <c r="AH3686" i="2"/>
  <c r="AE3686" i="2"/>
  <c r="AD3686" i="2"/>
  <c r="X3686" i="2"/>
  <c r="AB3686" i="2" s="1"/>
  <c r="AK3686" i="2" s="1"/>
  <c r="W3686" i="2"/>
  <c r="AH3685" i="2"/>
  <c r="AE3685" i="2"/>
  <c r="AD3685" i="2"/>
  <c r="X3685" i="2"/>
  <c r="AK3685" i="2" s="1"/>
  <c r="W3685" i="2"/>
  <c r="AH3684" i="2"/>
  <c r="AE3684" i="2"/>
  <c r="AD3684" i="2"/>
  <c r="Y3684" i="2" s="1"/>
  <c r="X3684" i="2"/>
  <c r="AB3684" i="2" s="1"/>
  <c r="AK3684" i="2" s="1"/>
  <c r="W3684" i="2"/>
  <c r="AH3683" i="2"/>
  <c r="AE3683" i="2"/>
  <c r="AD3683" i="2"/>
  <c r="X3683" i="2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Y3676" i="2" s="1"/>
  <c r="X3676" i="2"/>
  <c r="W3676" i="2"/>
  <c r="AH3675" i="2"/>
  <c r="AE3675" i="2"/>
  <c r="AD3675" i="2"/>
  <c r="X3675" i="2"/>
  <c r="Y3675" i="2" s="1"/>
  <c r="W3675" i="2"/>
  <c r="AH3674" i="2"/>
  <c r="AE3674" i="2"/>
  <c r="AD3674" i="2"/>
  <c r="X3674" i="2"/>
  <c r="W3674" i="2"/>
  <c r="AH3673" i="2"/>
  <c r="AE3673" i="2"/>
  <c r="AD3673" i="2"/>
  <c r="X3673" i="2"/>
  <c r="AC3673" i="2" s="1"/>
  <c r="W3673" i="2"/>
  <c r="AH3672" i="2"/>
  <c r="AE3672" i="2"/>
  <c r="AD3672" i="2"/>
  <c r="X3672" i="2"/>
  <c r="W3672" i="2"/>
  <c r="AH3671" i="2"/>
  <c r="AE3671" i="2"/>
  <c r="AF3671" i="2" s="1"/>
  <c r="AD3671" i="2"/>
  <c r="X3671" i="2"/>
  <c r="AB3671" i="2" s="1"/>
  <c r="AK3671" i="2" s="1"/>
  <c r="W3671" i="2"/>
  <c r="AH3670" i="2"/>
  <c r="AE3670" i="2"/>
  <c r="AD3670" i="2"/>
  <c r="X3670" i="2"/>
  <c r="AB3670" i="2" s="1"/>
  <c r="AK3670" i="2" s="1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Y3668" i="2" s="1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AB3665" i="2" s="1"/>
  <c r="AK3665" i="2" s="1"/>
  <c r="W3665" i="2"/>
  <c r="AH3664" i="2"/>
  <c r="AE3664" i="2"/>
  <c r="AD3664" i="2"/>
  <c r="X3664" i="2"/>
  <c r="W3664" i="2"/>
  <c r="AH3663" i="2"/>
  <c r="AE3663" i="2"/>
  <c r="AF3663" i="2" s="1"/>
  <c r="AD3663" i="2"/>
  <c r="Y3663" i="2" s="1"/>
  <c r="X3663" i="2"/>
  <c r="AB3663" i="2" s="1"/>
  <c r="AK3663" i="2" s="1"/>
  <c r="W3663" i="2"/>
  <c r="AH3662" i="2"/>
  <c r="AE3662" i="2"/>
  <c r="AD3662" i="2"/>
  <c r="X3662" i="2"/>
  <c r="AB3662" i="2" s="1"/>
  <c r="AK3662" i="2" s="1"/>
  <c r="W3662" i="2"/>
  <c r="AH3661" i="2"/>
  <c r="AE3661" i="2"/>
  <c r="AD3661" i="2"/>
  <c r="X3661" i="2"/>
  <c r="W3661" i="2"/>
  <c r="AH3660" i="2"/>
  <c r="AE3660" i="2"/>
  <c r="AD3660" i="2"/>
  <c r="Y3660" i="2" s="1"/>
  <c r="X3660" i="2"/>
  <c r="W3660" i="2"/>
  <c r="AH3659" i="2"/>
  <c r="AE3659" i="2"/>
  <c r="AD3659" i="2"/>
  <c r="X3659" i="2"/>
  <c r="AC3659" i="2" s="1"/>
  <c r="W3659" i="2"/>
  <c r="AH3658" i="2"/>
  <c r="AE3658" i="2"/>
  <c r="AD3658" i="2"/>
  <c r="X3658" i="2"/>
  <c r="W3658" i="2"/>
  <c r="AH3657" i="2"/>
  <c r="AE3657" i="2"/>
  <c r="AD3657" i="2"/>
  <c r="X3657" i="2"/>
  <c r="AB3657" i="2" s="1"/>
  <c r="AK3657" i="2" s="1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AB3654" i="2" s="1"/>
  <c r="AK3654" i="2" s="1"/>
  <c r="W3654" i="2"/>
  <c r="AH3653" i="2"/>
  <c r="AE3653" i="2"/>
  <c r="AD3653" i="2"/>
  <c r="X3653" i="2"/>
  <c r="W3653" i="2"/>
  <c r="AH3652" i="2"/>
  <c r="AE3652" i="2"/>
  <c r="AD3652" i="2"/>
  <c r="Y3652" i="2" s="1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AF3649" i="2" s="1"/>
  <c r="X3649" i="2"/>
  <c r="W3649" i="2"/>
  <c r="AH3648" i="2"/>
  <c r="AE3648" i="2"/>
  <c r="AD3648" i="2"/>
  <c r="X3648" i="2"/>
  <c r="W3648" i="2"/>
  <c r="AH3647" i="2"/>
  <c r="AE3647" i="2"/>
  <c r="AF3647" i="2" s="1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Y3644" i="2" s="1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F3639" i="2" s="1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Y3636" i="2" s="1"/>
  <c r="X3636" i="2"/>
  <c r="AK3636" i="2" s="1"/>
  <c r="W3636" i="2"/>
  <c r="AH3635" i="2"/>
  <c r="AE3635" i="2"/>
  <c r="AD3635" i="2"/>
  <c r="X3635" i="2"/>
  <c r="W3635" i="2"/>
  <c r="AH3634" i="2"/>
  <c r="AE3634" i="2"/>
  <c r="AD3634" i="2"/>
  <c r="X3634" i="2"/>
  <c r="AK3634" i="2" s="1"/>
  <c r="W3634" i="2"/>
  <c r="AH3633" i="2"/>
  <c r="AE3633" i="2"/>
  <c r="AD3633" i="2"/>
  <c r="X3633" i="2"/>
  <c r="W3633" i="2"/>
  <c r="AH3632" i="2"/>
  <c r="AE3632" i="2"/>
  <c r="AD3632" i="2"/>
  <c r="X3632" i="2"/>
  <c r="W3632" i="2"/>
  <c r="AH3631" i="2"/>
  <c r="AE3631" i="2"/>
  <c r="AF3631" i="2" s="1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Y3620" i="2" s="1"/>
  <c r="X3620" i="2"/>
  <c r="W3620" i="2"/>
  <c r="AH3619" i="2"/>
  <c r="AE3619" i="2"/>
  <c r="AD3619" i="2"/>
  <c r="X3619" i="2"/>
  <c r="AB3619" i="2" s="1"/>
  <c r="W3619" i="2"/>
  <c r="AH3618" i="2"/>
  <c r="AE3618" i="2"/>
  <c r="AD3618" i="2"/>
  <c r="X3618" i="2"/>
  <c r="W3618" i="2"/>
  <c r="AH3617" i="2"/>
  <c r="AE3617" i="2"/>
  <c r="AD3617" i="2"/>
  <c r="X3617" i="2"/>
  <c r="AB3617" i="2" s="1"/>
  <c r="AK3617" i="2" s="1"/>
  <c r="W3617" i="2"/>
  <c r="AH3616" i="2"/>
  <c r="AE3616" i="2"/>
  <c r="AD3616" i="2"/>
  <c r="X3616" i="2"/>
  <c r="W3616" i="2"/>
  <c r="AH3615" i="2"/>
  <c r="AE3615" i="2"/>
  <c r="AD3615" i="2"/>
  <c r="X3615" i="2"/>
  <c r="AB3615" i="2" s="1"/>
  <c r="AK3615" i="2" s="1"/>
  <c r="W3615" i="2"/>
  <c r="AH3614" i="2"/>
  <c r="AE3614" i="2"/>
  <c r="AD3614" i="2"/>
  <c r="X3614" i="2"/>
  <c r="AB3614" i="2" s="1"/>
  <c r="AK3614" i="2" s="1"/>
  <c r="W3614" i="2"/>
  <c r="AH3613" i="2"/>
  <c r="AE3613" i="2"/>
  <c r="AD3613" i="2"/>
  <c r="X3613" i="2"/>
  <c r="W3613" i="2"/>
  <c r="AH3612" i="2"/>
  <c r="AE3612" i="2"/>
  <c r="AD3612" i="2"/>
  <c r="Y3612" i="2" s="1"/>
  <c r="X3612" i="2"/>
  <c r="AB3612" i="2" s="1"/>
  <c r="AK3612" i="2" s="1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AB3606" i="2" s="1"/>
  <c r="AK3606" i="2" s="1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AB3603" i="2" s="1"/>
  <c r="AK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W3600" i="2"/>
  <c r="AH3599" i="2"/>
  <c r="AE3599" i="2"/>
  <c r="AF3599" i="2" s="1"/>
  <c r="AD3599" i="2"/>
  <c r="X3599" i="2"/>
  <c r="AB3599" i="2" s="1"/>
  <c r="AK3599" i="2" s="1"/>
  <c r="W3599" i="2"/>
  <c r="AH3598" i="2"/>
  <c r="AE3598" i="2"/>
  <c r="AD3598" i="2"/>
  <c r="X3598" i="2"/>
  <c r="AC3598" i="2" s="1"/>
  <c r="W3598" i="2"/>
  <c r="AH3597" i="2"/>
  <c r="AE3597" i="2"/>
  <c r="AD3597" i="2"/>
  <c r="X3597" i="2"/>
  <c r="AB3597" i="2" s="1"/>
  <c r="AK3597" i="2" s="1"/>
  <c r="W3597" i="2"/>
  <c r="AH3596" i="2"/>
  <c r="AE3596" i="2"/>
  <c r="AD3596" i="2"/>
  <c r="X3596" i="2"/>
  <c r="W3596" i="2"/>
  <c r="AH3595" i="2"/>
  <c r="AE3595" i="2"/>
  <c r="AD3595" i="2"/>
  <c r="X3595" i="2"/>
  <c r="AC3595" i="2" s="1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F3591" i="2" s="1"/>
  <c r="AD3591" i="2"/>
  <c r="X3591" i="2"/>
  <c r="AB3591" i="2" s="1"/>
  <c r="AK3591" i="2" s="1"/>
  <c r="W3591" i="2"/>
  <c r="AH3590" i="2"/>
  <c r="AE3590" i="2"/>
  <c r="AD3590" i="2"/>
  <c r="X3590" i="2"/>
  <c r="AC3590" i="2" s="1"/>
  <c r="W3590" i="2"/>
  <c r="AH3589" i="2"/>
  <c r="AE3589" i="2"/>
  <c r="AD3589" i="2"/>
  <c r="X3589" i="2"/>
  <c r="W3589" i="2"/>
  <c r="AH3588" i="2"/>
  <c r="AE3588" i="2"/>
  <c r="AD3588" i="2"/>
  <c r="Y3588" i="2" s="1"/>
  <c r="X3588" i="2"/>
  <c r="W3588" i="2"/>
  <c r="AH3587" i="2"/>
  <c r="AE3587" i="2"/>
  <c r="AD3587" i="2"/>
  <c r="X3587" i="2"/>
  <c r="AB3587" i="2" s="1"/>
  <c r="AK3587" i="2" s="1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Y3584" i="2" s="1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AB3579" i="2" s="1"/>
  <c r="AK3579" i="2" s="1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B3574" i="2" s="1"/>
  <c r="AK3574" i="2" s="1"/>
  <c r="W3574" i="2"/>
  <c r="AH3573" i="2"/>
  <c r="AE3573" i="2"/>
  <c r="AD3573" i="2"/>
  <c r="X3573" i="2"/>
  <c r="AB3573" i="2" s="1"/>
  <c r="AK3573" i="2" s="1"/>
  <c r="AH3572" i="2"/>
  <c r="AE3572" i="2"/>
  <c r="AD3572" i="2"/>
  <c r="X3572" i="2"/>
  <c r="W3572" i="2"/>
  <c r="AH3571" i="2"/>
  <c r="AE3571" i="2"/>
  <c r="AD3571" i="2"/>
  <c r="X3571" i="2"/>
  <c r="AB3571" i="2" s="1"/>
  <c r="AK3571" i="2" s="1"/>
  <c r="W3571" i="2"/>
  <c r="AH3570" i="2"/>
  <c r="AE3570" i="2"/>
  <c r="AF3570" i="2" s="1"/>
  <c r="AD3570" i="2"/>
  <c r="X3570" i="2"/>
  <c r="W3570" i="2"/>
  <c r="AH3569" i="2"/>
  <c r="AE3569" i="2"/>
  <c r="AD3569" i="2"/>
  <c r="X3569" i="2"/>
  <c r="AB3569" i="2" s="1"/>
  <c r="AK3569" i="2" s="1"/>
  <c r="W3569" i="2"/>
  <c r="AH3568" i="2"/>
  <c r="AE3568" i="2"/>
  <c r="AD3568" i="2"/>
  <c r="X3568" i="2"/>
  <c r="AB3568" i="2" s="1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AB3563" i="2" s="1"/>
  <c r="AK3563" i="2" s="1"/>
  <c r="W3563" i="2"/>
  <c r="AH3562" i="2"/>
  <c r="AE3562" i="2"/>
  <c r="AF3562" i="2" s="1"/>
  <c r="AD3562" i="2"/>
  <c r="X3562" i="2"/>
  <c r="AB3562" i="2" s="1"/>
  <c r="AK3562" i="2" s="1"/>
  <c r="W3562" i="2"/>
  <c r="AH3561" i="2"/>
  <c r="AE3561" i="2"/>
  <c r="AD3561" i="2"/>
  <c r="X3561" i="2"/>
  <c r="AB3561" i="2" s="1"/>
  <c r="AK3561" i="2" s="1"/>
  <c r="W3561" i="2"/>
  <c r="AH3560" i="2"/>
  <c r="AE3560" i="2"/>
  <c r="AD3560" i="2"/>
  <c r="X3560" i="2"/>
  <c r="W3560" i="2"/>
  <c r="AH3559" i="2"/>
  <c r="AE3559" i="2"/>
  <c r="AD3559" i="2"/>
  <c r="Y3559" i="2" s="1"/>
  <c r="X3559" i="2"/>
  <c r="W3559" i="2"/>
  <c r="AH3558" i="2"/>
  <c r="AE3558" i="2"/>
  <c r="AD3558" i="2"/>
  <c r="X3558" i="2"/>
  <c r="AB3558" i="2" s="1"/>
  <c r="W3558" i="2"/>
  <c r="AH3557" i="2"/>
  <c r="AE3557" i="2"/>
  <c r="AD3557" i="2"/>
  <c r="X3557" i="2"/>
  <c r="W3557" i="2"/>
  <c r="AH3556" i="2"/>
  <c r="AE3556" i="2"/>
  <c r="AD3556" i="2"/>
  <c r="X3556" i="2"/>
  <c r="AB3556" i="2" s="1"/>
  <c r="AK3556" i="2" s="1"/>
  <c r="W3556" i="2"/>
  <c r="AH3555" i="2"/>
  <c r="AE3555" i="2"/>
  <c r="AD3555" i="2"/>
  <c r="X3555" i="2"/>
  <c r="AB3555" i="2" s="1"/>
  <c r="AK3555" i="2" s="1"/>
  <c r="W3555" i="2"/>
  <c r="AH3554" i="2"/>
  <c r="AE3554" i="2"/>
  <c r="AF3554" i="2" s="1"/>
  <c r="AD3554" i="2"/>
  <c r="X3554" i="2"/>
  <c r="AB3554" i="2" s="1"/>
  <c r="AK3554" i="2" s="1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AB3550" i="2" s="1"/>
  <c r="AK3550" i="2" s="1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AB3546" i="2" s="1"/>
  <c r="AK3546" i="2" s="1"/>
  <c r="W3546" i="2"/>
  <c r="AH3545" i="2"/>
  <c r="AE3545" i="2"/>
  <c r="AD3545" i="2"/>
  <c r="Y3545" i="2" s="1"/>
  <c r="W3545" i="2"/>
  <c r="AH3544" i="2"/>
  <c r="AE3544" i="2"/>
  <c r="AD3544" i="2"/>
  <c r="X3544" i="2"/>
  <c r="W3544" i="2"/>
  <c r="AH3543" i="2"/>
  <c r="AE3543" i="2"/>
  <c r="AD3543" i="2"/>
  <c r="X3543" i="2"/>
  <c r="AC3543" i="2" s="1"/>
  <c r="W3543" i="2"/>
  <c r="AH3542" i="2"/>
  <c r="AE3542" i="2"/>
  <c r="AD3542" i="2"/>
  <c r="X3542" i="2"/>
  <c r="W3542" i="2"/>
  <c r="AH3541" i="2"/>
  <c r="AE3541" i="2"/>
  <c r="AF3541" i="2" s="1"/>
  <c r="AD3541" i="2"/>
  <c r="X3541" i="2"/>
  <c r="W3541" i="2"/>
  <c r="AH3540" i="2"/>
  <c r="AE3540" i="2"/>
  <c r="AD3540" i="2"/>
  <c r="X3540" i="2"/>
  <c r="AB3540" i="2" s="1"/>
  <c r="AK3540" i="2" s="1"/>
  <c r="W3540" i="2"/>
  <c r="AH3539" i="2"/>
  <c r="AE3539" i="2"/>
  <c r="AD3539" i="2"/>
  <c r="X3539" i="2"/>
  <c r="AB3539" i="2" s="1"/>
  <c r="AK3539" i="2" s="1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AB3533" i="2" s="1"/>
  <c r="AK3533" i="2" s="1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AB3526" i="2" s="1"/>
  <c r="AK3526" i="2" s="1"/>
  <c r="W3526" i="2"/>
  <c r="AH3525" i="2"/>
  <c r="AE3525" i="2"/>
  <c r="AF3525" i="2" s="1"/>
  <c r="AD3525" i="2"/>
  <c r="X3525" i="2"/>
  <c r="AB3525" i="2" s="1"/>
  <c r="AK3525" i="2" s="1"/>
  <c r="W3525" i="2"/>
  <c r="AH3524" i="2"/>
  <c r="AE3524" i="2"/>
  <c r="AD3524" i="2"/>
  <c r="X3524" i="2"/>
  <c r="AB3524" i="2" s="1"/>
  <c r="AK3524" i="2" s="1"/>
  <c r="W3524" i="2"/>
  <c r="AH3523" i="2"/>
  <c r="AE3523" i="2"/>
  <c r="AD3523" i="2"/>
  <c r="X3523" i="2"/>
  <c r="AB3523" i="2" s="1"/>
  <c r="AK3523" i="2" s="1"/>
  <c r="W3523" i="2"/>
  <c r="AH3522" i="2"/>
  <c r="AE3522" i="2"/>
  <c r="AD3522" i="2"/>
  <c r="Y3522" i="2" s="1"/>
  <c r="X3522" i="2"/>
  <c r="W3522" i="2"/>
  <c r="AH3521" i="2"/>
  <c r="AE3521" i="2"/>
  <c r="AD3521" i="2"/>
  <c r="X3521" i="2"/>
  <c r="AB3521" i="2" s="1"/>
  <c r="AK3521" i="2" s="1"/>
  <c r="W3521" i="2"/>
  <c r="AH3520" i="2"/>
  <c r="AE3520" i="2"/>
  <c r="AD3520" i="2"/>
  <c r="X3520" i="2"/>
  <c r="W3520" i="2"/>
  <c r="AH3519" i="2"/>
  <c r="AE3519" i="2"/>
  <c r="AD3519" i="2"/>
  <c r="X3519" i="2"/>
  <c r="AB3519" i="2" s="1"/>
  <c r="AK3519" i="2" s="1"/>
  <c r="W3519" i="2"/>
  <c r="AH3518" i="2"/>
  <c r="AE3518" i="2"/>
  <c r="AD3518" i="2"/>
  <c r="X3518" i="2"/>
  <c r="W3518" i="2"/>
  <c r="AH3517" i="2"/>
  <c r="AE3517" i="2"/>
  <c r="AD3517" i="2"/>
  <c r="X3517" i="2"/>
  <c r="AB3517" i="2" s="1"/>
  <c r="AK3517" i="2" s="1"/>
  <c r="W3517" i="2"/>
  <c r="AH3516" i="2"/>
  <c r="AE3516" i="2"/>
  <c r="AD3516" i="2"/>
  <c r="X3516" i="2"/>
  <c r="AB3516" i="2" s="1"/>
  <c r="AK3516" i="2" s="1"/>
  <c r="W3516" i="2"/>
  <c r="AH3515" i="2"/>
  <c r="AE3515" i="2"/>
  <c r="AD3515" i="2"/>
  <c r="X3515" i="2"/>
  <c r="W3515" i="2"/>
  <c r="AH3514" i="2"/>
  <c r="AE3514" i="2"/>
  <c r="AD3514" i="2"/>
  <c r="X3514" i="2"/>
  <c r="AB3514" i="2" s="1"/>
  <c r="AK3514" i="2" s="1"/>
  <c r="W3514" i="2"/>
  <c r="AH3513" i="2"/>
  <c r="AE3513" i="2"/>
  <c r="AD3513" i="2"/>
  <c r="X3513" i="2"/>
  <c r="AB3513" i="2" s="1"/>
  <c r="AK3513" i="2" s="1"/>
  <c r="W3513" i="2"/>
  <c r="AH3512" i="2"/>
  <c r="AE3512" i="2"/>
  <c r="AD3512" i="2"/>
  <c r="X3512" i="2"/>
  <c r="W3512" i="2"/>
  <c r="AH3511" i="2"/>
  <c r="AE3511" i="2"/>
  <c r="AD3511" i="2"/>
  <c r="AF3511" i="2" s="1"/>
  <c r="X3511" i="2"/>
  <c r="W3511" i="2"/>
  <c r="AH3510" i="2"/>
  <c r="AE3510" i="2"/>
  <c r="AD3510" i="2"/>
  <c r="X3510" i="2"/>
  <c r="AB3510" i="2" s="1"/>
  <c r="AK3510" i="2" s="1"/>
  <c r="W3510" i="2"/>
  <c r="AH3509" i="2"/>
  <c r="AE3509" i="2"/>
  <c r="AF3509" i="2" s="1"/>
  <c r="AD3509" i="2"/>
  <c r="X3509" i="2"/>
  <c r="W3509" i="2"/>
  <c r="AH3508" i="2"/>
  <c r="AE3508" i="2"/>
  <c r="AD3508" i="2"/>
  <c r="X3508" i="2"/>
  <c r="AB3508" i="2" s="1"/>
  <c r="AK3508" i="2" s="1"/>
  <c r="W3508" i="2"/>
  <c r="AH3507" i="2"/>
  <c r="AE3507" i="2"/>
  <c r="AD3507" i="2"/>
  <c r="X3507" i="2"/>
  <c r="AB3507" i="2" s="1"/>
  <c r="AK3507" i="2" s="1"/>
  <c r="W3507" i="2"/>
  <c r="AH3506" i="2"/>
  <c r="AE3506" i="2"/>
  <c r="AD3506" i="2"/>
  <c r="Y3506" i="2" s="1"/>
  <c r="X3506" i="2"/>
  <c r="W3506" i="2"/>
  <c r="AH3505" i="2"/>
  <c r="AE3505" i="2"/>
  <c r="AD3505" i="2"/>
  <c r="X3505" i="2"/>
  <c r="AB3505" i="2" s="1"/>
  <c r="AK3505" i="2" s="1"/>
  <c r="W3505" i="2"/>
  <c r="AH3504" i="2"/>
  <c r="AE3504" i="2"/>
  <c r="AD3504" i="2"/>
  <c r="X3504" i="2"/>
  <c r="W3504" i="2"/>
  <c r="AH3503" i="2"/>
  <c r="AE3503" i="2"/>
  <c r="AD3503" i="2"/>
  <c r="X3503" i="2"/>
  <c r="AC3503" i="2" s="1"/>
  <c r="W3503" i="2"/>
  <c r="AH3502" i="2"/>
  <c r="AE3502" i="2"/>
  <c r="AD3502" i="2"/>
  <c r="X3502" i="2"/>
  <c r="W3502" i="2"/>
  <c r="AH3501" i="2"/>
  <c r="AE3501" i="2"/>
  <c r="AD3501" i="2"/>
  <c r="X3501" i="2"/>
  <c r="AB3501" i="2" s="1"/>
  <c r="AK3501" i="2" s="1"/>
  <c r="W3501" i="2"/>
  <c r="AH3500" i="2"/>
  <c r="AE3500" i="2"/>
  <c r="AD3500" i="2"/>
  <c r="AF3500" i="2" s="1"/>
  <c r="X3500" i="2"/>
  <c r="AC3500" i="2" s="1"/>
  <c r="W3500" i="2"/>
  <c r="AH3499" i="2"/>
  <c r="AE3499" i="2"/>
  <c r="AD3499" i="2"/>
  <c r="X3499" i="2"/>
  <c r="AB3499" i="2" s="1"/>
  <c r="AK3499" i="2" s="1"/>
  <c r="W3499" i="2"/>
  <c r="AH3498" i="2"/>
  <c r="AE3498" i="2"/>
  <c r="AD3498" i="2"/>
  <c r="X3498" i="2"/>
  <c r="W3498" i="2"/>
  <c r="AH3497" i="2"/>
  <c r="AE3497" i="2"/>
  <c r="AD3497" i="2"/>
  <c r="X3497" i="2"/>
  <c r="AB3497" i="2" s="1"/>
  <c r="AK3497" i="2" s="1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AB3494" i="2" s="1"/>
  <c r="AK3494" i="2" s="1"/>
  <c r="W3494" i="2"/>
  <c r="AH3493" i="2"/>
  <c r="AE3493" i="2"/>
  <c r="AD3493" i="2"/>
  <c r="X3493" i="2"/>
  <c r="AB3493" i="2" s="1"/>
  <c r="AK3493" i="2" s="1"/>
  <c r="W3493" i="2"/>
  <c r="AH3492" i="2"/>
  <c r="AE3492" i="2"/>
  <c r="AD3492" i="2"/>
  <c r="AF3492" i="2" s="1"/>
  <c r="X3492" i="2"/>
  <c r="W3492" i="2"/>
  <c r="AH3491" i="2"/>
  <c r="AE3491" i="2"/>
  <c r="AD3491" i="2"/>
  <c r="X3491" i="2"/>
  <c r="AB3491" i="2" s="1"/>
  <c r="AK3491" i="2" s="1"/>
  <c r="W3491" i="2"/>
  <c r="AH3490" i="2"/>
  <c r="AE3490" i="2"/>
  <c r="AD3490" i="2"/>
  <c r="Y3490" i="2" s="1"/>
  <c r="X3490" i="2"/>
  <c r="W3490" i="2"/>
  <c r="AH3489" i="2"/>
  <c r="AE3489" i="2"/>
  <c r="AD3489" i="2"/>
  <c r="X3489" i="2"/>
  <c r="AB3489" i="2" s="1"/>
  <c r="AK3489" i="2" s="1"/>
  <c r="W3489" i="2"/>
  <c r="AH3488" i="2"/>
  <c r="AE3488" i="2"/>
  <c r="AD3488" i="2"/>
  <c r="X3488" i="2"/>
  <c r="W3488" i="2"/>
  <c r="AH3487" i="2"/>
  <c r="AE3487" i="2"/>
  <c r="AD3487" i="2"/>
  <c r="AF3487" i="2" s="1"/>
  <c r="X3487" i="2"/>
  <c r="AC3487" i="2" s="1"/>
  <c r="W3487" i="2"/>
  <c r="AH3486" i="2"/>
  <c r="AE3486" i="2"/>
  <c r="AD3486" i="2"/>
  <c r="X3486" i="2"/>
  <c r="AB3486" i="2" s="1"/>
  <c r="AK3486" i="2" s="1"/>
  <c r="W3486" i="2"/>
  <c r="AH3485" i="2"/>
  <c r="AE3485" i="2"/>
  <c r="AF3485" i="2" s="1"/>
  <c r="AD3485" i="2"/>
  <c r="X3485" i="2"/>
  <c r="AB3485" i="2" s="1"/>
  <c r="AK3485" i="2" s="1"/>
  <c r="W3485" i="2"/>
  <c r="AH3484" i="2"/>
  <c r="AE3484" i="2"/>
  <c r="AD3484" i="2"/>
  <c r="X3484" i="2"/>
  <c r="AC3484" i="2" s="1"/>
  <c r="W3484" i="2"/>
  <c r="AH3483" i="2"/>
  <c r="AE3483" i="2"/>
  <c r="AD3483" i="2"/>
  <c r="X3483" i="2"/>
  <c r="AB3483" i="2" s="1"/>
  <c r="AK3483" i="2" s="1"/>
  <c r="W3483" i="2"/>
  <c r="AH3482" i="2"/>
  <c r="AE3482" i="2"/>
  <c r="AD3482" i="2"/>
  <c r="X3482" i="2"/>
  <c r="W3482" i="2"/>
  <c r="AH3481" i="2"/>
  <c r="AE3481" i="2"/>
  <c r="AD3481" i="2"/>
  <c r="X3481" i="2"/>
  <c r="AB3481" i="2" s="1"/>
  <c r="AK3481" i="2" s="1"/>
  <c r="W3481" i="2"/>
  <c r="AH3480" i="2"/>
  <c r="AE3480" i="2"/>
  <c r="AD3480" i="2"/>
  <c r="X3480" i="2"/>
  <c r="W3480" i="2"/>
  <c r="AH3479" i="2"/>
  <c r="AE3479" i="2"/>
  <c r="AD3479" i="2"/>
  <c r="X3479" i="2"/>
  <c r="AB3479" i="2" s="1"/>
  <c r="AK3479" i="2" s="1"/>
  <c r="W3479" i="2"/>
  <c r="AH3478" i="2"/>
  <c r="AE3478" i="2"/>
  <c r="AD3478" i="2"/>
  <c r="X3478" i="2"/>
  <c r="AB3478" i="2" s="1"/>
  <c r="AK3478" i="2" s="1"/>
  <c r="W3478" i="2"/>
  <c r="AH3477" i="2"/>
  <c r="AE3477" i="2"/>
  <c r="AD3477" i="2"/>
  <c r="X3477" i="2"/>
  <c r="AB3477" i="2" s="1"/>
  <c r="AK3477" i="2" s="1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Y3474" i="2" s="1"/>
  <c r="X3474" i="2"/>
  <c r="W3474" i="2"/>
  <c r="AH3473" i="2"/>
  <c r="AE3473" i="2"/>
  <c r="AD3473" i="2"/>
  <c r="X3473" i="2"/>
  <c r="AB3473" i="2" s="1"/>
  <c r="AK3473" i="2" s="1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AB3470" i="2" s="1"/>
  <c r="AK3470" i="2" s="1"/>
  <c r="W3470" i="2"/>
  <c r="AH3469" i="2"/>
  <c r="AE3469" i="2"/>
  <c r="AF3469" i="2" s="1"/>
  <c r="AD3469" i="2"/>
  <c r="X3469" i="2"/>
  <c r="AB3469" i="2" s="1"/>
  <c r="AK3469" i="2" s="1"/>
  <c r="W3469" i="2"/>
  <c r="AH3468" i="2"/>
  <c r="AE3468" i="2"/>
  <c r="AD3468" i="2"/>
  <c r="AF3468" i="2" s="1"/>
  <c r="X3468" i="2"/>
  <c r="AB3468" i="2" s="1"/>
  <c r="AK3468" i="2" s="1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AB3463" i="2" s="1"/>
  <c r="AK3463" i="2" s="1"/>
  <c r="W3463" i="2"/>
  <c r="AH3462" i="2"/>
  <c r="AE3462" i="2"/>
  <c r="AD3462" i="2"/>
  <c r="X3462" i="2"/>
  <c r="AB3462" i="2" s="1"/>
  <c r="AK3462" i="2" s="1"/>
  <c r="W3462" i="2"/>
  <c r="AH3461" i="2"/>
  <c r="AE3461" i="2"/>
  <c r="AF3461" i="2" s="1"/>
  <c r="AD3461" i="2"/>
  <c r="X3461" i="2"/>
  <c r="AB3461" i="2" s="1"/>
  <c r="AK3461" i="2" s="1"/>
  <c r="W3461" i="2"/>
  <c r="AH3460" i="2"/>
  <c r="AE3460" i="2"/>
  <c r="AD3460" i="2"/>
  <c r="X3460" i="2"/>
  <c r="AB3460" i="2" s="1"/>
  <c r="AK3460" i="2" s="1"/>
  <c r="W3460" i="2"/>
  <c r="AH3459" i="2"/>
  <c r="AE3459" i="2"/>
  <c r="AD3459" i="2"/>
  <c r="X3459" i="2"/>
  <c r="W3459" i="2"/>
  <c r="AH3458" i="2"/>
  <c r="AE3458" i="2"/>
  <c r="AD3458" i="2"/>
  <c r="Y3458" i="2" s="1"/>
  <c r="X3458" i="2"/>
  <c r="AB3458" i="2" s="1"/>
  <c r="AK3458" i="2" s="1"/>
  <c r="W3458" i="2"/>
  <c r="AH3457" i="2"/>
  <c r="AE3457" i="2"/>
  <c r="AD3457" i="2"/>
  <c r="X3457" i="2"/>
  <c r="AB3457" i="2" s="1"/>
  <c r="AK3457" i="2" s="1"/>
  <c r="W3457" i="2"/>
  <c r="AH3456" i="2"/>
  <c r="AE3456" i="2"/>
  <c r="AD3456" i="2"/>
  <c r="X3456" i="2"/>
  <c r="W3456" i="2"/>
  <c r="AH3455" i="2"/>
  <c r="AE3455" i="2"/>
  <c r="AD3455" i="2"/>
  <c r="X3455" i="2"/>
  <c r="AC3455" i="2" s="1"/>
  <c r="W3455" i="2"/>
  <c r="AH3454" i="2"/>
  <c r="AE3454" i="2"/>
  <c r="AD3454" i="2"/>
  <c r="X3454" i="2"/>
  <c r="AB3454" i="2" s="1"/>
  <c r="AK3454" i="2" s="1"/>
  <c r="W3454" i="2"/>
  <c r="AH3453" i="2"/>
  <c r="AE3453" i="2"/>
  <c r="AF3453" i="2" s="1"/>
  <c r="AD3453" i="2"/>
  <c r="X3453" i="2"/>
  <c r="W3453" i="2"/>
  <c r="AH3452" i="2"/>
  <c r="AE3452" i="2"/>
  <c r="AD3452" i="2"/>
  <c r="AF3452" i="2" s="1"/>
  <c r="X3452" i="2"/>
  <c r="AB3452" i="2" s="1"/>
  <c r="AK3452" i="2" s="1"/>
  <c r="W3452" i="2"/>
  <c r="AH3451" i="2"/>
  <c r="AE3451" i="2"/>
  <c r="AD3451" i="2"/>
  <c r="X3451" i="2"/>
  <c r="W3451" i="2"/>
  <c r="AH3450" i="2"/>
  <c r="AE3450" i="2"/>
  <c r="AD3450" i="2"/>
  <c r="X3450" i="2"/>
  <c r="AB3450" i="2" s="1"/>
  <c r="AK3450" i="2" s="1"/>
  <c r="W3450" i="2"/>
  <c r="AH3449" i="2"/>
  <c r="AE3449" i="2"/>
  <c r="AD3449" i="2"/>
  <c r="X3449" i="2"/>
  <c r="AB3449" i="2" s="1"/>
  <c r="AK3449" i="2" s="1"/>
  <c r="W3449" i="2"/>
  <c r="AH3448" i="2"/>
  <c r="AE3448" i="2"/>
  <c r="AD3448" i="2"/>
  <c r="X3448" i="2"/>
  <c r="W3448" i="2"/>
  <c r="AH3447" i="2"/>
  <c r="AE3447" i="2"/>
  <c r="AD3447" i="2"/>
  <c r="AF3447" i="2" s="1"/>
  <c r="X3447" i="2"/>
  <c r="W3447" i="2"/>
  <c r="AH3446" i="2"/>
  <c r="AE3446" i="2"/>
  <c r="AD3446" i="2"/>
  <c r="X3446" i="2"/>
  <c r="AB3446" i="2" s="1"/>
  <c r="AK3446" i="2" s="1"/>
  <c r="W3446" i="2"/>
  <c r="AH3445" i="2"/>
  <c r="AE3445" i="2"/>
  <c r="AD3445" i="2"/>
  <c r="X3445" i="2"/>
  <c r="AB3445" i="2" s="1"/>
  <c r="AK3445" i="2" s="1"/>
  <c r="W3445" i="2"/>
  <c r="AH3444" i="2"/>
  <c r="AE3444" i="2"/>
  <c r="AD3444" i="2"/>
  <c r="X3444" i="2"/>
  <c r="AB3444" i="2" s="1"/>
  <c r="AK3444" i="2" s="1"/>
  <c r="W3444" i="2"/>
  <c r="AH3443" i="2"/>
  <c r="AE3443" i="2"/>
  <c r="AD3443" i="2"/>
  <c r="X3443" i="2"/>
  <c r="AK3443" i="2" s="1"/>
  <c r="W3443" i="2"/>
  <c r="AH3442" i="2"/>
  <c r="AE3442" i="2"/>
  <c r="AD3442" i="2"/>
  <c r="Y3442" i="2" s="1"/>
  <c r="X3442" i="2"/>
  <c r="W3442" i="2"/>
  <c r="AH3441" i="2"/>
  <c r="AE3441" i="2"/>
  <c r="AD3441" i="2"/>
  <c r="X3441" i="2"/>
  <c r="AB3441" i="2" s="1"/>
  <c r="AK3441" i="2" s="1"/>
  <c r="W3441" i="2"/>
  <c r="AH3440" i="2"/>
  <c r="AE3440" i="2"/>
  <c r="AD3440" i="2"/>
  <c r="X3440" i="2"/>
  <c r="W3440" i="2"/>
  <c r="AH3439" i="2"/>
  <c r="AE3439" i="2"/>
  <c r="AD3439" i="2"/>
  <c r="AF3439" i="2" s="1"/>
  <c r="X3439" i="2"/>
  <c r="W3439" i="2"/>
  <c r="AH3438" i="2"/>
  <c r="AE3438" i="2"/>
  <c r="AD3438" i="2"/>
  <c r="X3438" i="2"/>
  <c r="AB3438" i="2" s="1"/>
  <c r="AK3438" i="2" s="1"/>
  <c r="W3438" i="2"/>
  <c r="AH3437" i="2"/>
  <c r="AE3437" i="2"/>
  <c r="AF3437" i="2" s="1"/>
  <c r="AD3437" i="2"/>
  <c r="X3437" i="2"/>
  <c r="AB3437" i="2" s="1"/>
  <c r="AK3437" i="2" s="1"/>
  <c r="W3437" i="2"/>
  <c r="AH3436" i="2"/>
  <c r="AE3436" i="2"/>
  <c r="AD3436" i="2"/>
  <c r="AF3436" i="2" s="1"/>
  <c r="X3436" i="2"/>
  <c r="AB3436" i="2" s="1"/>
  <c r="AK3436" i="2" s="1"/>
  <c r="W3436" i="2"/>
  <c r="AH3435" i="2"/>
  <c r="AE3435" i="2"/>
  <c r="AD3435" i="2"/>
  <c r="X3435" i="2"/>
  <c r="AB3435" i="2" s="1"/>
  <c r="AK3435" i="2" s="1"/>
  <c r="W3435" i="2"/>
  <c r="AH3434" i="2"/>
  <c r="AE3434" i="2"/>
  <c r="AD3434" i="2"/>
  <c r="X3434" i="2"/>
  <c r="AB3434" i="2" s="1"/>
  <c r="AK3434" i="2" s="1"/>
  <c r="W3434" i="2"/>
  <c r="AH3433" i="2"/>
  <c r="AE3433" i="2"/>
  <c r="AD3433" i="2"/>
  <c r="X3433" i="2"/>
  <c r="AB3433" i="2" s="1"/>
  <c r="AK3433" i="2" s="1"/>
  <c r="W3433" i="2"/>
  <c r="AH3432" i="2"/>
  <c r="AE3432" i="2"/>
  <c r="AD3432" i="2"/>
  <c r="X3432" i="2"/>
  <c r="W3432" i="2"/>
  <c r="AH3431" i="2"/>
  <c r="AE3431" i="2"/>
  <c r="AD3431" i="2"/>
  <c r="AF3431" i="2" s="1"/>
  <c r="X3431" i="2"/>
  <c r="AB3431" i="2" s="1"/>
  <c r="AK3431" i="2" s="1"/>
  <c r="W3431" i="2"/>
  <c r="AH3430" i="2"/>
  <c r="AE3430" i="2"/>
  <c r="AD3430" i="2"/>
  <c r="X3430" i="2"/>
  <c r="AB3430" i="2" s="1"/>
  <c r="AK3430" i="2" s="1"/>
  <c r="W3430" i="2"/>
  <c r="AH3429" i="2"/>
  <c r="AE3429" i="2"/>
  <c r="AD3429" i="2"/>
  <c r="X3429" i="2"/>
  <c r="W3429" i="2"/>
  <c r="AH3428" i="2"/>
  <c r="AE3428" i="2"/>
  <c r="AD3428" i="2"/>
  <c r="AF3428" i="2" s="1"/>
  <c r="X3428" i="2"/>
  <c r="AB3428" i="2" s="1"/>
  <c r="AK3428" i="2" s="1"/>
  <c r="W3428" i="2"/>
  <c r="AH3427" i="2"/>
  <c r="AE3427" i="2"/>
  <c r="AD3427" i="2"/>
  <c r="X3427" i="2"/>
  <c r="W3427" i="2"/>
  <c r="AH3426" i="2"/>
  <c r="AE3426" i="2"/>
  <c r="AF3426" i="2" s="1"/>
  <c r="X3426" i="2"/>
  <c r="AC3426" i="2" s="1"/>
  <c r="W3426" i="2"/>
  <c r="AH3425" i="2"/>
  <c r="AE3425" i="2"/>
  <c r="AF3425" i="2" s="1"/>
  <c r="X3425" i="2"/>
  <c r="AB3425" i="2" s="1"/>
  <c r="AK3425" i="2" s="1"/>
  <c r="W3425" i="2"/>
  <c r="AH3424" i="2"/>
  <c r="AE3424" i="2"/>
  <c r="AF3424" i="2" s="1"/>
  <c r="X3424" i="2"/>
  <c r="AB3424" i="2" s="1"/>
  <c r="AK3424" i="2" s="1"/>
  <c r="W3424" i="2"/>
  <c r="AH3423" i="2"/>
  <c r="AE3423" i="2"/>
  <c r="AF3423" i="2" s="1"/>
  <c r="X3423" i="2"/>
  <c r="Y3423" i="2" s="1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AC3420" i="2" s="1"/>
  <c r="W3420" i="2"/>
  <c r="AH3419" i="2"/>
  <c r="AE3419" i="2"/>
  <c r="AF3419" i="2" s="1"/>
  <c r="X3419" i="2"/>
  <c r="W3419" i="2"/>
  <c r="AH3418" i="2"/>
  <c r="AE3418" i="2"/>
  <c r="AF3418" i="2" s="1"/>
  <c r="X3418" i="2"/>
  <c r="AC3418" i="2" s="1"/>
  <c r="W3418" i="2"/>
  <c r="AH3417" i="2"/>
  <c r="AE3417" i="2"/>
  <c r="AF3417" i="2" s="1"/>
  <c r="X3417" i="2"/>
  <c r="W3417" i="2"/>
  <c r="AH3416" i="2"/>
  <c r="AE3416" i="2"/>
  <c r="AF3416" i="2" s="1"/>
  <c r="X3416" i="2"/>
  <c r="AC3416" i="2" s="1"/>
  <c r="W3416" i="2"/>
  <c r="AH3415" i="2"/>
  <c r="AE3415" i="2"/>
  <c r="AF3415" i="2" s="1"/>
  <c r="X3415" i="2"/>
  <c r="W3415" i="2"/>
  <c r="AH3414" i="2"/>
  <c r="AE3414" i="2"/>
  <c r="AF3414" i="2" s="1"/>
  <c r="X3414" i="2"/>
  <c r="AC3414" i="2" s="1"/>
  <c r="W3414" i="2"/>
  <c r="AH3413" i="2"/>
  <c r="AE3413" i="2"/>
  <c r="AF3413" i="2" s="1"/>
  <c r="X3413" i="2"/>
  <c r="W3413" i="2"/>
  <c r="AH3412" i="2"/>
  <c r="AE3412" i="2"/>
  <c r="AF3412" i="2" s="1"/>
  <c r="X3412" i="2"/>
  <c r="AC3412" i="2" s="1"/>
  <c r="W3412" i="2"/>
  <c r="AH3411" i="2"/>
  <c r="AE3411" i="2"/>
  <c r="AF3411" i="2" s="1"/>
  <c r="X3411" i="2"/>
  <c r="AB3411" i="2" s="1"/>
  <c r="AK3411" i="2" s="1"/>
  <c r="W3411" i="2"/>
  <c r="AH3410" i="2"/>
  <c r="AE3410" i="2"/>
  <c r="AF3410" i="2" s="1"/>
  <c r="X3410" i="2"/>
  <c r="AC3410" i="2" s="1"/>
  <c r="W3410" i="2"/>
  <c r="AH3409" i="2"/>
  <c r="AE3409" i="2"/>
  <c r="AF3409" i="2" s="1"/>
  <c r="X3409" i="2"/>
  <c r="AB3409" i="2" s="1"/>
  <c r="AK3409" i="2" s="1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Y3405" i="2" s="1"/>
  <c r="X3405" i="2"/>
  <c r="AB3405" i="2" s="1"/>
  <c r="AK3405" i="2" s="1"/>
  <c r="W3405" i="2"/>
  <c r="AE3404" i="2"/>
  <c r="AD3404" i="2"/>
  <c r="AH3404" i="2" s="1"/>
  <c r="X3404" i="2"/>
  <c r="AB3404" i="2" s="1"/>
  <c r="AK3404" i="2" s="1"/>
  <c r="W3404" i="2"/>
  <c r="AE3403" i="2"/>
  <c r="AD3403" i="2"/>
  <c r="X3403" i="2"/>
  <c r="AB3403" i="2" s="1"/>
  <c r="AK3403" i="2" s="1"/>
  <c r="W3403" i="2"/>
  <c r="AE3402" i="2"/>
  <c r="AD3402" i="2"/>
  <c r="AH3402" i="2" s="1"/>
  <c r="X3402" i="2"/>
  <c r="AB3402" i="2" s="1"/>
  <c r="AK3402" i="2" s="1"/>
  <c r="W3402" i="2"/>
  <c r="AE3401" i="2"/>
  <c r="AF3401" i="2" s="1"/>
  <c r="AD3401" i="2"/>
  <c r="Y3401" i="2" s="1"/>
  <c r="X3401" i="2"/>
  <c r="AB3401" i="2" s="1"/>
  <c r="AK3401" i="2" s="1"/>
  <c r="W3401" i="2"/>
  <c r="AE3400" i="2"/>
  <c r="AD3400" i="2"/>
  <c r="AH3400" i="2" s="1"/>
  <c r="X3400" i="2"/>
  <c r="W3400" i="2"/>
  <c r="AE3399" i="2"/>
  <c r="AD3399" i="2"/>
  <c r="X3399" i="2"/>
  <c r="W3399" i="2"/>
  <c r="AE3398" i="2"/>
  <c r="AD3398" i="2"/>
  <c r="AH3398" i="2" s="1"/>
  <c r="X3398" i="2"/>
  <c r="AB3398" i="2" s="1"/>
  <c r="AK3398" i="2" s="1"/>
  <c r="W3398" i="2"/>
  <c r="AE3397" i="2"/>
  <c r="AF3397" i="2" s="1"/>
  <c r="AD3397" i="2"/>
  <c r="AH3397" i="2" s="1"/>
  <c r="X3397" i="2"/>
  <c r="W3397" i="2"/>
  <c r="AE3396" i="2"/>
  <c r="AD3396" i="2"/>
  <c r="X3396" i="2"/>
  <c r="AB3396" i="2" s="1"/>
  <c r="AK3396" i="2" s="1"/>
  <c r="W3396" i="2"/>
  <c r="AE3395" i="2"/>
  <c r="AD3395" i="2"/>
  <c r="X3395" i="2"/>
  <c r="W3395" i="2"/>
  <c r="AE3394" i="2"/>
  <c r="AD3394" i="2"/>
  <c r="AH3394" i="2" s="1"/>
  <c r="X3394" i="2"/>
  <c r="W3394" i="2"/>
  <c r="AE3393" i="2"/>
  <c r="AF3393" i="2" s="1"/>
  <c r="AD3393" i="2"/>
  <c r="X3393" i="2"/>
  <c r="W3393" i="2"/>
  <c r="AE3392" i="2"/>
  <c r="AD3392" i="2"/>
  <c r="AH3392" i="2" s="1"/>
  <c r="X3392" i="2"/>
  <c r="AB3392" i="2" s="1"/>
  <c r="AK3392" i="2" s="1"/>
  <c r="W3392" i="2"/>
  <c r="AE3391" i="2"/>
  <c r="AD3391" i="2"/>
  <c r="AH3391" i="2" s="1"/>
  <c r="X3391" i="2"/>
  <c r="W3391" i="2"/>
  <c r="AE3390" i="2"/>
  <c r="AD3390" i="2"/>
  <c r="AH3390" i="2" s="1"/>
  <c r="X3390" i="2"/>
  <c r="AB3390" i="2" s="1"/>
  <c r="AK3390" i="2" s="1"/>
  <c r="W3390" i="2"/>
  <c r="AE3389" i="2"/>
  <c r="AD3389" i="2"/>
  <c r="X3389" i="2"/>
  <c r="W3389" i="2"/>
  <c r="AE3388" i="2"/>
  <c r="AD3388" i="2"/>
  <c r="X3388" i="2"/>
  <c r="AB3388" i="2" s="1"/>
  <c r="AK3388" i="2" s="1"/>
  <c r="W3388" i="2"/>
  <c r="AE3387" i="2"/>
  <c r="AD3387" i="2"/>
  <c r="AH3387" i="2" s="1"/>
  <c r="X3387" i="2"/>
  <c r="AB3387" i="2" s="1"/>
  <c r="AK3387" i="2" s="1"/>
  <c r="W3387" i="2"/>
  <c r="AE3386" i="2"/>
  <c r="AD3386" i="2"/>
  <c r="AH3386" i="2" s="1"/>
  <c r="X3386" i="2"/>
  <c r="AB3386" i="2" s="1"/>
  <c r="AK3386" i="2" s="1"/>
  <c r="W3386" i="2"/>
  <c r="AE3385" i="2"/>
  <c r="AD3385" i="2"/>
  <c r="AH3385" i="2" s="1"/>
  <c r="X3385" i="2"/>
  <c r="AB3385" i="2" s="1"/>
  <c r="AK3385" i="2" s="1"/>
  <c r="W3385" i="2"/>
  <c r="AE3384" i="2"/>
  <c r="AD3384" i="2"/>
  <c r="AH3384" i="2" s="1"/>
  <c r="X3384" i="2"/>
  <c r="AB3384" i="2" s="1"/>
  <c r="AK3384" i="2" s="1"/>
  <c r="W3384" i="2"/>
  <c r="AE3383" i="2"/>
  <c r="AD3383" i="2"/>
  <c r="AH3383" i="2" s="1"/>
  <c r="X3383" i="2"/>
  <c r="W3383" i="2"/>
  <c r="AE3382" i="2"/>
  <c r="AD3382" i="2"/>
  <c r="X3382" i="2"/>
  <c r="W3382" i="2"/>
  <c r="AE3381" i="2"/>
  <c r="AF3381" i="2" s="1"/>
  <c r="AD3381" i="2"/>
  <c r="X3381" i="2"/>
  <c r="AB3381" i="2" s="1"/>
  <c r="AK3381" i="2" s="1"/>
  <c r="W3381" i="2"/>
  <c r="AE3380" i="2"/>
  <c r="AD3380" i="2"/>
  <c r="AH3380" i="2" s="1"/>
  <c r="X3380" i="2"/>
  <c r="AK3380" i="2" s="1"/>
  <c r="W3380" i="2"/>
  <c r="AE3379" i="2"/>
  <c r="AD3379" i="2"/>
  <c r="Y3379" i="2" s="1"/>
  <c r="X3379" i="2"/>
  <c r="AB3379" i="2" s="1"/>
  <c r="AK3379" i="2" s="1"/>
  <c r="W3379" i="2"/>
  <c r="AE3378" i="2"/>
  <c r="AD3378" i="2"/>
  <c r="AH3378" i="2" s="1"/>
  <c r="X3378" i="2"/>
  <c r="W3378" i="2"/>
  <c r="AE3377" i="2"/>
  <c r="AD3377" i="2"/>
  <c r="AH3377" i="2" s="1"/>
  <c r="X3377" i="2"/>
  <c r="AB3377" i="2" s="1"/>
  <c r="AK3377" i="2" s="1"/>
  <c r="W3377" i="2"/>
  <c r="AE3376" i="2"/>
  <c r="AD3376" i="2"/>
  <c r="AH3376" i="2" s="1"/>
  <c r="X3376" i="2"/>
  <c r="W3376" i="2"/>
  <c r="AE3375" i="2"/>
  <c r="AD3375" i="2"/>
  <c r="X3375" i="2"/>
  <c r="AB3375" i="2" s="1"/>
  <c r="AK3375" i="2" s="1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X3372" i="2"/>
  <c r="AB3372" i="2" s="1"/>
  <c r="AK3372" i="2" s="1"/>
  <c r="W3372" i="2"/>
  <c r="AE3371" i="2"/>
  <c r="AD3371" i="2"/>
  <c r="X3371" i="2"/>
  <c r="W3371" i="2"/>
  <c r="AE3370" i="2"/>
  <c r="AD3370" i="2"/>
  <c r="X3370" i="2"/>
  <c r="AB3370" i="2" s="1"/>
  <c r="AK3370" i="2" s="1"/>
  <c r="W3370" i="2"/>
  <c r="AE3369" i="2"/>
  <c r="AD3369" i="2"/>
  <c r="X3369" i="2"/>
  <c r="AB3369" i="2" s="1"/>
  <c r="AK3369" i="2" s="1"/>
  <c r="W3369" i="2"/>
  <c r="AE3368" i="2"/>
  <c r="AD3368" i="2"/>
  <c r="X3368" i="2"/>
  <c r="W3368" i="2"/>
  <c r="AE3367" i="2"/>
  <c r="AD3367" i="2"/>
  <c r="AH3367" i="2" s="1"/>
  <c r="X3367" i="2"/>
  <c r="AB3367" i="2" s="1"/>
  <c r="AK3367" i="2" s="1"/>
  <c r="W3367" i="2"/>
  <c r="AE3366" i="2"/>
  <c r="AD3366" i="2"/>
  <c r="AH3366" i="2" s="1"/>
  <c r="X3366" i="2"/>
  <c r="W3366" i="2"/>
  <c r="AE3365" i="2"/>
  <c r="AF3365" i="2" s="1"/>
  <c r="AD3365" i="2"/>
  <c r="AH3365" i="2" s="1"/>
  <c r="X3365" i="2"/>
  <c r="W3365" i="2"/>
  <c r="AE3364" i="2"/>
  <c r="AD3364" i="2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Y3361" i="2" s="1"/>
  <c r="X3361" i="2"/>
  <c r="AB3361" i="2" s="1"/>
  <c r="AK3361" i="2" s="1"/>
  <c r="W3361" i="2"/>
  <c r="AE3360" i="2"/>
  <c r="AD3360" i="2"/>
  <c r="X3360" i="2"/>
  <c r="W3360" i="2"/>
  <c r="AE3359" i="2"/>
  <c r="AD3359" i="2"/>
  <c r="X3359" i="2"/>
  <c r="AB3359" i="2" s="1"/>
  <c r="AK3359" i="2" s="1"/>
  <c r="W3359" i="2"/>
  <c r="AE3358" i="2"/>
  <c r="AD3358" i="2"/>
  <c r="X3358" i="2"/>
  <c r="AB3358" i="2" s="1"/>
  <c r="AK3358" i="2" s="1"/>
  <c r="W3358" i="2"/>
  <c r="AE3357" i="2"/>
  <c r="AD3357" i="2"/>
  <c r="X3357" i="2"/>
  <c r="AB3357" i="2" s="1"/>
  <c r="AK3357" i="2" s="1"/>
  <c r="W3357" i="2"/>
  <c r="AE3356" i="2"/>
  <c r="AD3356" i="2"/>
  <c r="X3356" i="2"/>
  <c r="AB3356" i="2" s="1"/>
  <c r="AK3356" i="2" s="1"/>
  <c r="W3356" i="2"/>
  <c r="AE3355" i="2"/>
  <c r="AD3355" i="2"/>
  <c r="X3355" i="2"/>
  <c r="AB3355" i="2" s="1"/>
  <c r="AK3355" i="2" s="1"/>
  <c r="W3355" i="2"/>
  <c r="AE3354" i="2"/>
  <c r="AD3354" i="2"/>
  <c r="X3354" i="2"/>
  <c r="AB3354" i="2" s="1"/>
  <c r="AK3354" i="2" s="1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AB3351" i="2" s="1"/>
  <c r="AK3351" i="2" s="1"/>
  <c r="W3351" i="2"/>
  <c r="AE3350" i="2"/>
  <c r="AD3350" i="2"/>
  <c r="AH3350" i="2" s="1"/>
  <c r="X3350" i="2"/>
  <c r="AB3350" i="2" s="1"/>
  <c r="AK3350" i="2" s="1"/>
  <c r="W3350" i="2"/>
  <c r="AE3349" i="2"/>
  <c r="AF3349" i="2" s="1"/>
  <c r="AD3349" i="2"/>
  <c r="AH3349" i="2" s="1"/>
  <c r="X3349" i="2"/>
  <c r="W3349" i="2"/>
  <c r="AE3348" i="2"/>
  <c r="AD3348" i="2"/>
  <c r="AH3348" i="2" s="1"/>
  <c r="X3348" i="2"/>
  <c r="AB3348" i="2" s="1"/>
  <c r="AK3348" i="2" s="1"/>
  <c r="W3348" i="2"/>
  <c r="AE3347" i="2"/>
  <c r="AD3347" i="2"/>
  <c r="X3347" i="2"/>
  <c r="AB3347" i="2" s="1"/>
  <c r="AK3347" i="2" s="1"/>
  <c r="W3347" i="2"/>
  <c r="AE3346" i="2"/>
  <c r="AD3346" i="2"/>
  <c r="AH3346" i="2" s="1"/>
  <c r="X3346" i="2"/>
  <c r="W3346" i="2"/>
  <c r="AE3345" i="2"/>
  <c r="AF3345" i="2" s="1"/>
  <c r="AD3345" i="2"/>
  <c r="X3345" i="2"/>
  <c r="W3345" i="2"/>
  <c r="AE3344" i="2"/>
  <c r="AD3344" i="2"/>
  <c r="X3344" i="2"/>
  <c r="W3344" i="2"/>
  <c r="AE3343" i="2"/>
  <c r="AD3343" i="2"/>
  <c r="AH3343" i="2" s="1"/>
  <c r="X3343" i="2"/>
  <c r="AB3343" i="2" s="1"/>
  <c r="AK3343" i="2" s="1"/>
  <c r="W3343" i="2"/>
  <c r="AE3342" i="2"/>
  <c r="AD3342" i="2"/>
  <c r="AH3342" i="2" s="1"/>
  <c r="X3342" i="2"/>
  <c r="W3342" i="2"/>
  <c r="AE3341" i="2"/>
  <c r="AD3341" i="2"/>
  <c r="AH3341" i="2" s="1"/>
  <c r="X3341" i="2"/>
  <c r="AB3341" i="2" s="1"/>
  <c r="AK3341" i="2" s="1"/>
  <c r="W3341" i="2"/>
  <c r="AE3340" i="2"/>
  <c r="AD3340" i="2"/>
  <c r="X3340" i="2"/>
  <c r="W3340" i="2"/>
  <c r="AE3339" i="2"/>
  <c r="AD3339" i="2"/>
  <c r="AH3339" i="2" s="1"/>
  <c r="X3339" i="2"/>
  <c r="AB3339" i="2" s="1"/>
  <c r="AK3339" i="2" s="1"/>
  <c r="W3339" i="2"/>
  <c r="AE3338" i="2"/>
  <c r="AD3338" i="2"/>
  <c r="AH3338" i="2" s="1"/>
  <c r="X3338" i="2"/>
  <c r="W3338" i="2"/>
  <c r="AE3337" i="2"/>
  <c r="AF3337" i="2" s="1"/>
  <c r="AD3337" i="2"/>
  <c r="AH3337" i="2" s="1"/>
  <c r="X3337" i="2"/>
  <c r="AB3337" i="2" s="1"/>
  <c r="AK3337" i="2" s="1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F3333" i="2" s="1"/>
  <c r="AD3333" i="2"/>
  <c r="AH3333" i="2" s="1"/>
  <c r="X3333" i="2"/>
  <c r="W3333" i="2"/>
  <c r="AE3332" i="2"/>
  <c r="AD3332" i="2"/>
  <c r="AH3332" i="2" s="1"/>
  <c r="X3332" i="2"/>
  <c r="W3332" i="2"/>
  <c r="AE3331" i="2"/>
  <c r="AF3331" i="2" s="1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AB3328" i="2" s="1"/>
  <c r="AK3328" i="2" s="1"/>
  <c r="W3328" i="2"/>
  <c r="AE3327" i="2"/>
  <c r="AD3327" i="2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X3324" i="2"/>
  <c r="W3324" i="2"/>
  <c r="AE3323" i="2"/>
  <c r="AF3323" i="2" s="1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AB3321" i="2" s="1"/>
  <c r="AK3321" i="2" s="1"/>
  <c r="W3321" i="2"/>
  <c r="AE3320" i="2"/>
  <c r="AD3320" i="2"/>
  <c r="X3320" i="2"/>
  <c r="W3320" i="2"/>
  <c r="AE3319" i="2"/>
  <c r="AD3319" i="2"/>
  <c r="X3319" i="2"/>
  <c r="W3319" i="2"/>
  <c r="AE3318" i="2"/>
  <c r="AD3318" i="2"/>
  <c r="AH3318" i="2" s="1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AB3316" i="2" s="1"/>
  <c r="AK3316" i="2" s="1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AB3313" i="2" s="1"/>
  <c r="AK3313" i="2" s="1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AH3309" i="2" s="1"/>
  <c r="X3309" i="2"/>
  <c r="AB3309" i="2" s="1"/>
  <c r="AK3309" i="2" s="1"/>
  <c r="W3309" i="2"/>
  <c r="AE3308" i="2"/>
  <c r="AD3308" i="2"/>
  <c r="AH3308" i="2" s="1"/>
  <c r="X3308" i="2"/>
  <c r="W3308" i="2"/>
  <c r="AE3307" i="2"/>
  <c r="AF3307" i="2" s="1"/>
  <c r="AD3307" i="2"/>
  <c r="AH3307" i="2" s="1"/>
  <c r="X3307" i="2"/>
  <c r="AC3307" i="2" s="1"/>
  <c r="W3307" i="2"/>
  <c r="AE3306" i="2"/>
  <c r="AD3306" i="2"/>
  <c r="X3306" i="2"/>
  <c r="W3306" i="2"/>
  <c r="AE3305" i="2"/>
  <c r="AD3305" i="2"/>
  <c r="X3305" i="2"/>
  <c r="W3305" i="2"/>
  <c r="AE3304" i="2"/>
  <c r="AD3304" i="2"/>
  <c r="X3304" i="2"/>
  <c r="W3304" i="2"/>
  <c r="AE3303" i="2"/>
  <c r="AF3303" i="2" s="1"/>
  <c r="AD3303" i="2"/>
  <c r="AH3303" i="2" s="1"/>
  <c r="X3303" i="2"/>
  <c r="AB3303" i="2" s="1"/>
  <c r="AK3303" i="2" s="1"/>
  <c r="W3303" i="2"/>
  <c r="AH3302" i="2"/>
  <c r="AE3302" i="2"/>
  <c r="AF3302" i="2" s="1"/>
  <c r="X3302" i="2"/>
  <c r="AB3302" i="2" s="1"/>
  <c r="W3302" i="2"/>
  <c r="AH3301" i="2"/>
  <c r="AE3301" i="2"/>
  <c r="AF3301" i="2" s="1"/>
  <c r="X3301" i="2"/>
  <c r="W3301" i="2"/>
  <c r="AH3300" i="2"/>
  <c r="AE3300" i="2"/>
  <c r="AF3300" i="2" s="1"/>
  <c r="X3300" i="2"/>
  <c r="AB3300" i="2" s="1"/>
  <c r="AK3300" i="2" s="1"/>
  <c r="W3300" i="2"/>
  <c r="AH3299" i="2"/>
  <c r="AE3299" i="2"/>
  <c r="AF3299" i="2" s="1"/>
  <c r="X3299" i="2"/>
  <c r="AB3299" i="2" s="1"/>
  <c r="AK3299" i="2" s="1"/>
  <c r="W3299" i="2"/>
  <c r="AH3298" i="2"/>
  <c r="AE3298" i="2"/>
  <c r="AF3298" i="2" s="1"/>
  <c r="X3298" i="2"/>
  <c r="W3298" i="2"/>
  <c r="AH3297" i="2"/>
  <c r="AE3297" i="2"/>
  <c r="AF3297" i="2" s="1"/>
  <c r="X3297" i="2"/>
  <c r="AC3297" i="2" s="1"/>
  <c r="W3297" i="2"/>
  <c r="AH3296" i="2"/>
  <c r="AE3296" i="2"/>
  <c r="AF3296" i="2" s="1"/>
  <c r="X3296" i="2"/>
  <c r="W3296" i="2"/>
  <c r="AH3295" i="2"/>
  <c r="AE3295" i="2"/>
  <c r="AF3295" i="2" s="1"/>
  <c r="X3295" i="2"/>
  <c r="Y3295" i="2" s="1"/>
  <c r="W3295" i="2"/>
  <c r="AH3294" i="2"/>
  <c r="AE3294" i="2"/>
  <c r="AF3294" i="2" s="1"/>
  <c r="X3294" i="2"/>
  <c r="Y3294" i="2" s="1"/>
  <c r="W3294" i="2"/>
  <c r="AH3293" i="2"/>
  <c r="AE3293" i="2"/>
  <c r="AF3293" i="2" s="1"/>
  <c r="X3293" i="2"/>
  <c r="AB3293" i="2" s="1"/>
  <c r="AK3293" i="2" s="1"/>
  <c r="W3293" i="2"/>
  <c r="AH3292" i="2"/>
  <c r="AE3292" i="2"/>
  <c r="AF3292" i="2" s="1"/>
  <c r="X3292" i="2"/>
  <c r="W3292" i="2"/>
  <c r="AH3291" i="2"/>
  <c r="AE3291" i="2"/>
  <c r="AF3291" i="2" s="1"/>
  <c r="X3291" i="2"/>
  <c r="Y3291" i="2" s="1"/>
  <c r="W3291" i="2"/>
  <c r="AH3290" i="2"/>
  <c r="AE3290" i="2"/>
  <c r="AF3290" i="2" s="1"/>
  <c r="X3290" i="2"/>
  <c r="W3290" i="2"/>
  <c r="AH3289" i="2"/>
  <c r="AE3289" i="2"/>
  <c r="AF3289" i="2" s="1"/>
  <c r="X3289" i="2"/>
  <c r="AB3289" i="2" s="1"/>
  <c r="AK3289" i="2" s="1"/>
  <c r="W3289" i="2"/>
  <c r="AH3288" i="2"/>
  <c r="AE3288" i="2"/>
  <c r="AF3288" i="2" s="1"/>
  <c r="X3288" i="2"/>
  <c r="W3288" i="2"/>
  <c r="AH3287" i="2"/>
  <c r="AE3287" i="2"/>
  <c r="AF3287" i="2" s="1"/>
  <c r="X3287" i="2"/>
  <c r="Y3287" i="2" s="1"/>
  <c r="W3287" i="2"/>
  <c r="AH3286" i="2"/>
  <c r="AE3286" i="2"/>
  <c r="AF3286" i="2" s="1"/>
  <c r="X3286" i="2"/>
  <c r="W3286" i="2"/>
  <c r="AH3285" i="2"/>
  <c r="AE3285" i="2"/>
  <c r="AF3285" i="2" s="1"/>
  <c r="X3285" i="2"/>
  <c r="AB3285" i="2" s="1"/>
  <c r="AK3285" i="2" s="1"/>
  <c r="W3285" i="2"/>
  <c r="AH3284" i="2"/>
  <c r="AE3284" i="2"/>
  <c r="AF3284" i="2" s="1"/>
  <c r="X3284" i="2"/>
  <c r="W3284" i="2"/>
  <c r="AH3283" i="2"/>
  <c r="AE3283" i="2"/>
  <c r="AF3283" i="2" s="1"/>
  <c r="X3283" i="2"/>
  <c r="Y3283" i="2" s="1"/>
  <c r="W3283" i="2"/>
  <c r="AH3282" i="2"/>
  <c r="AE3282" i="2"/>
  <c r="AF3282" i="2" s="1"/>
  <c r="X3282" i="2"/>
  <c r="AB3282" i="2" s="1"/>
  <c r="AK3282" i="2" s="1"/>
  <c r="W3282" i="2"/>
  <c r="AH3281" i="2"/>
  <c r="AE3281" i="2"/>
  <c r="AF3281" i="2" s="1"/>
  <c r="X3281" i="2"/>
  <c r="AB3281" i="2" s="1"/>
  <c r="AK3281" i="2" s="1"/>
  <c r="W3281" i="2"/>
  <c r="AH3280" i="2"/>
  <c r="AE3280" i="2"/>
  <c r="AF3280" i="2" s="1"/>
  <c r="X3280" i="2"/>
  <c r="W3280" i="2"/>
  <c r="AH3279" i="2"/>
  <c r="AE3279" i="2"/>
  <c r="AF3279" i="2" s="1"/>
  <c r="X3279" i="2"/>
  <c r="Y3279" i="2" s="1"/>
  <c r="W3279" i="2"/>
  <c r="AH3278" i="2"/>
  <c r="AE3278" i="2"/>
  <c r="AF3278" i="2" s="1"/>
  <c r="X3278" i="2"/>
  <c r="W3278" i="2"/>
  <c r="AH3277" i="2"/>
  <c r="AE3277" i="2"/>
  <c r="AF3277" i="2" s="1"/>
  <c r="X3277" i="2"/>
  <c r="AB3277" i="2" s="1"/>
  <c r="AK3277" i="2" s="1"/>
  <c r="W3277" i="2"/>
  <c r="AH3276" i="2"/>
  <c r="AE3276" i="2"/>
  <c r="AF3276" i="2" s="1"/>
  <c r="X3276" i="2"/>
  <c r="AB3276" i="2" s="1"/>
  <c r="AK3276" i="2" s="1"/>
  <c r="W3276" i="2"/>
  <c r="AH3275" i="2"/>
  <c r="AE3275" i="2"/>
  <c r="AF3275" i="2" s="1"/>
  <c r="X3275" i="2"/>
  <c r="Y3275" i="2" s="1"/>
  <c r="W3275" i="2"/>
  <c r="AH3274" i="2"/>
  <c r="AE3274" i="2"/>
  <c r="AF3274" i="2" s="1"/>
  <c r="X3274" i="2"/>
  <c r="Y3274" i="2" s="1"/>
  <c r="W3274" i="2"/>
  <c r="AH3273" i="2"/>
  <c r="AE3273" i="2"/>
  <c r="AF3273" i="2" s="1"/>
  <c r="X3273" i="2"/>
  <c r="AB3273" i="2" s="1"/>
  <c r="AK3273" i="2" s="1"/>
  <c r="W3273" i="2"/>
  <c r="AH3272" i="2"/>
  <c r="AE3272" i="2"/>
  <c r="AF3272" i="2" s="1"/>
  <c r="X3272" i="2"/>
  <c r="W3272" i="2"/>
  <c r="AH3271" i="2"/>
  <c r="AE3271" i="2"/>
  <c r="AF3271" i="2" s="1"/>
  <c r="X3271" i="2"/>
  <c r="Y3271" i="2" s="1"/>
  <c r="W3271" i="2"/>
  <c r="AH3270" i="2"/>
  <c r="AE3270" i="2"/>
  <c r="AF3270" i="2" s="1"/>
  <c r="X3270" i="2"/>
  <c r="AB3270" i="2" s="1"/>
  <c r="AK3270" i="2" s="1"/>
  <c r="W3270" i="2"/>
  <c r="AH3269" i="2"/>
  <c r="AE3269" i="2"/>
  <c r="AF3269" i="2" s="1"/>
  <c r="X3269" i="2"/>
  <c r="AB3269" i="2" s="1"/>
  <c r="AK3269" i="2" s="1"/>
  <c r="W3269" i="2"/>
  <c r="AH3268" i="2"/>
  <c r="AE3268" i="2"/>
  <c r="AF3268" i="2" s="1"/>
  <c r="X3268" i="2"/>
  <c r="W3268" i="2"/>
  <c r="AH3267" i="2"/>
  <c r="AE3267" i="2"/>
  <c r="AF3267" i="2" s="1"/>
  <c r="X3267" i="2"/>
  <c r="Y3267" i="2" s="1"/>
  <c r="W3267" i="2"/>
  <c r="AH3266" i="2"/>
  <c r="AE3266" i="2"/>
  <c r="AF3266" i="2" s="1"/>
  <c r="X3266" i="2"/>
  <c r="W3266" i="2"/>
  <c r="AH3265" i="2"/>
  <c r="AE3265" i="2"/>
  <c r="AF3265" i="2" s="1"/>
  <c r="X3265" i="2"/>
  <c r="AB3265" i="2" s="1"/>
  <c r="AK3265" i="2" s="1"/>
  <c r="W3265" i="2"/>
  <c r="AH3264" i="2"/>
  <c r="AE3264" i="2"/>
  <c r="AF3264" i="2" s="1"/>
  <c r="X3264" i="2"/>
  <c r="Y3264" i="2" s="1"/>
  <c r="W3264" i="2"/>
  <c r="AH3263" i="2"/>
  <c r="AE3263" i="2"/>
  <c r="AF3263" i="2" s="1"/>
  <c r="X3263" i="2"/>
  <c r="AB3263" i="2" s="1"/>
  <c r="AK3263" i="2" s="1"/>
  <c r="W3263" i="2"/>
  <c r="AH3262" i="2"/>
  <c r="AE3262" i="2"/>
  <c r="AF3262" i="2" s="1"/>
  <c r="X3262" i="2"/>
  <c r="W3262" i="2"/>
  <c r="AH3261" i="2"/>
  <c r="AE3261" i="2"/>
  <c r="AF3261" i="2" s="1"/>
  <c r="X3261" i="2"/>
  <c r="AB3261" i="2" s="1"/>
  <c r="AK3261" i="2" s="1"/>
  <c r="W3261" i="2"/>
  <c r="AH3260" i="2"/>
  <c r="AE3260" i="2"/>
  <c r="AF3260" i="2" s="1"/>
  <c r="X3260" i="2"/>
  <c r="AB3260" i="2" s="1"/>
  <c r="AK3260" i="2" s="1"/>
  <c r="W3260" i="2"/>
  <c r="AH3259" i="2"/>
  <c r="AE3259" i="2"/>
  <c r="AF3259" i="2" s="1"/>
  <c r="X3259" i="2"/>
  <c r="AB3259" i="2" s="1"/>
  <c r="AK3259" i="2" s="1"/>
  <c r="W3259" i="2"/>
  <c r="AH3258" i="2"/>
  <c r="AE3258" i="2"/>
  <c r="AF3258" i="2" s="1"/>
  <c r="X3258" i="2"/>
  <c r="Y3258" i="2" s="1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AB3255" i="2" s="1"/>
  <c r="AK3255" i="2" s="1"/>
  <c r="W3255" i="2"/>
  <c r="AH3254" i="2"/>
  <c r="AE3254" i="2"/>
  <c r="AF3254" i="2" s="1"/>
  <c r="X3254" i="2"/>
  <c r="Y3254" i="2" s="1"/>
  <c r="W3254" i="2"/>
  <c r="AH3253" i="2"/>
  <c r="AE3253" i="2"/>
  <c r="AF3253" i="2" s="1"/>
  <c r="X3253" i="2"/>
  <c r="AB3253" i="2" s="1"/>
  <c r="AK3253" i="2" s="1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Y3250" i="2" s="1"/>
  <c r="W3250" i="2"/>
  <c r="AH3249" i="2"/>
  <c r="AE3249" i="2"/>
  <c r="AF3249" i="2" s="1"/>
  <c r="X3249" i="2"/>
  <c r="Y3249" i="2" s="1"/>
  <c r="W3249" i="2"/>
  <c r="AH3248" i="2"/>
  <c r="AE3248" i="2"/>
  <c r="AF3248" i="2" s="1"/>
  <c r="X3248" i="2"/>
  <c r="AB3248" i="2" s="1"/>
  <c r="AK3248" i="2" s="1"/>
  <c r="W3248" i="2"/>
  <c r="AH3247" i="2"/>
  <c r="AE3247" i="2"/>
  <c r="AF3247" i="2" s="1"/>
  <c r="X3247" i="2"/>
  <c r="AB3247" i="2" s="1"/>
  <c r="AK3247" i="2" s="1"/>
  <c r="W3247" i="2"/>
  <c r="AH3246" i="2"/>
  <c r="AE3246" i="2"/>
  <c r="AF3246" i="2" s="1"/>
  <c r="X3246" i="2"/>
  <c r="AB3246" i="2" s="1"/>
  <c r="AK3246" i="2" s="1"/>
  <c r="W3246" i="2"/>
  <c r="AH3245" i="2"/>
  <c r="AE3245" i="2"/>
  <c r="AF3245" i="2" s="1"/>
  <c r="X3245" i="2"/>
  <c r="AB3245" i="2" s="1"/>
  <c r="AK3245" i="2" s="1"/>
  <c r="W3245" i="2"/>
  <c r="AH3244" i="2"/>
  <c r="AE3244" i="2"/>
  <c r="AF3244" i="2" s="1"/>
  <c r="X3244" i="2"/>
  <c r="W3244" i="2"/>
  <c r="AH3243" i="2"/>
  <c r="AE3243" i="2"/>
  <c r="AF3243" i="2" s="1"/>
  <c r="X3243" i="2"/>
  <c r="AB3243" i="2" s="1"/>
  <c r="AK3243" i="2" s="1"/>
  <c r="W3243" i="2"/>
  <c r="AH3242" i="2"/>
  <c r="AE3242" i="2"/>
  <c r="AF3242" i="2" s="1"/>
  <c r="X3242" i="2"/>
  <c r="AB3242" i="2" s="1"/>
  <c r="AK3242" i="2" s="1"/>
  <c r="W3242" i="2"/>
  <c r="AH3241" i="2"/>
  <c r="AE3241" i="2"/>
  <c r="AF3241" i="2" s="1"/>
  <c r="X3241" i="2"/>
  <c r="AB3241" i="2" s="1"/>
  <c r="AK3241" i="2" s="1"/>
  <c r="W3241" i="2"/>
  <c r="AH3240" i="2"/>
  <c r="AE3240" i="2"/>
  <c r="AF3240" i="2" s="1"/>
  <c r="X3240" i="2"/>
  <c r="AB3240" i="2" s="1"/>
  <c r="AK3240" i="2" s="1"/>
  <c r="W3240" i="2"/>
  <c r="AH3239" i="2"/>
  <c r="AE3239" i="2"/>
  <c r="AF3239" i="2" s="1"/>
  <c r="X3239" i="2"/>
  <c r="AB3239" i="2" s="1"/>
  <c r="AK3239" i="2" s="1"/>
  <c r="W3239" i="2"/>
  <c r="AH3238" i="2"/>
  <c r="AE3238" i="2"/>
  <c r="AF3238" i="2" s="1"/>
  <c r="X3238" i="2"/>
  <c r="W3238" i="2"/>
  <c r="AH3237" i="2"/>
  <c r="AE3237" i="2"/>
  <c r="AF3237" i="2" s="1"/>
  <c r="X3237" i="2"/>
  <c r="AB3237" i="2" s="1"/>
  <c r="AK3237" i="2" s="1"/>
  <c r="W3237" i="2"/>
  <c r="AH3236" i="2"/>
  <c r="AE3236" i="2"/>
  <c r="AF3236" i="2" s="1"/>
  <c r="X3236" i="2"/>
  <c r="AB3236" i="2" s="1"/>
  <c r="AK3236" i="2" s="1"/>
  <c r="W3236" i="2"/>
  <c r="AH3235" i="2"/>
  <c r="AE3235" i="2"/>
  <c r="AF3235" i="2" s="1"/>
  <c r="X3235" i="2"/>
  <c r="AB3235" i="2" s="1"/>
  <c r="AK3235" i="2" s="1"/>
  <c r="W3235" i="2"/>
  <c r="AH3234" i="2"/>
  <c r="AE3234" i="2"/>
  <c r="AF3234" i="2" s="1"/>
  <c r="X3234" i="2"/>
  <c r="AB3234" i="2" s="1"/>
  <c r="AK3234" i="2" s="1"/>
  <c r="W3234" i="2"/>
  <c r="AH3233" i="2"/>
  <c r="AE3233" i="2"/>
  <c r="AF3233" i="2" s="1"/>
  <c r="X3233" i="2"/>
  <c r="AB3233" i="2" s="1"/>
  <c r="AK3233" i="2" s="1"/>
  <c r="W3233" i="2"/>
  <c r="AH3232" i="2"/>
  <c r="AE3232" i="2"/>
  <c r="AF3232" i="2" s="1"/>
  <c r="X3232" i="2"/>
  <c r="AB3232" i="2" s="1"/>
  <c r="W3232" i="2"/>
  <c r="AH3231" i="2"/>
  <c r="AE3231" i="2"/>
  <c r="AF3231" i="2" s="1"/>
  <c r="X3231" i="2"/>
  <c r="Y3231" i="2" s="1"/>
  <c r="W3231" i="2"/>
  <c r="AH3230" i="2"/>
  <c r="AE3230" i="2"/>
  <c r="AF3230" i="2" s="1"/>
  <c r="X3230" i="2"/>
  <c r="Y3230" i="2" s="1"/>
  <c r="W3230" i="2"/>
  <c r="AH3229" i="2"/>
  <c r="AE3229" i="2"/>
  <c r="AF3229" i="2" s="1"/>
  <c r="X3229" i="2"/>
  <c r="AB3229" i="2" s="1"/>
  <c r="AK3229" i="2" s="1"/>
  <c r="W3229" i="2"/>
  <c r="AH3228" i="2"/>
  <c r="AE3228" i="2"/>
  <c r="AF3228" i="2" s="1"/>
  <c r="X3228" i="2"/>
  <c r="W3228" i="2"/>
  <c r="AH3227" i="2"/>
  <c r="AE3227" i="2"/>
  <c r="AF3227" i="2" s="1"/>
  <c r="X3227" i="2"/>
  <c r="AB3227" i="2" s="1"/>
  <c r="AK3227" i="2" s="1"/>
  <c r="W3227" i="2"/>
  <c r="AH3226" i="2"/>
  <c r="AE3226" i="2"/>
  <c r="AF3226" i="2" s="1"/>
  <c r="X3226" i="2"/>
  <c r="AB3226" i="2" s="1"/>
  <c r="AK3226" i="2" s="1"/>
  <c r="W3226" i="2"/>
  <c r="AH3225" i="2"/>
  <c r="AE3225" i="2"/>
  <c r="AF3225" i="2" s="1"/>
  <c r="X3225" i="2"/>
  <c r="AB3225" i="2" s="1"/>
  <c r="AK3225" i="2" s="1"/>
  <c r="W3225" i="2"/>
  <c r="AH3224" i="2"/>
  <c r="AE3224" i="2"/>
  <c r="AF3224" i="2" s="1"/>
  <c r="X3224" i="2"/>
  <c r="AB3224" i="2" s="1"/>
  <c r="AK3224" i="2" s="1"/>
  <c r="W3224" i="2"/>
  <c r="AH3223" i="2"/>
  <c r="AE3223" i="2"/>
  <c r="AF3223" i="2" s="1"/>
  <c r="X3223" i="2"/>
  <c r="AB3223" i="2" s="1"/>
  <c r="AK3223" i="2" s="1"/>
  <c r="W3223" i="2"/>
  <c r="AH3222" i="2"/>
  <c r="AE3222" i="2"/>
  <c r="AF3222" i="2" s="1"/>
  <c r="X3222" i="2"/>
  <c r="AB3222" i="2" s="1"/>
  <c r="AK3222" i="2" s="1"/>
  <c r="W3222" i="2"/>
  <c r="AH3221" i="2"/>
  <c r="AE3221" i="2"/>
  <c r="AF3221" i="2" s="1"/>
  <c r="X3221" i="2"/>
  <c r="AB3221" i="2" s="1"/>
  <c r="AK3221" i="2" s="1"/>
  <c r="W3221" i="2"/>
  <c r="AH3220" i="2"/>
  <c r="AE3220" i="2"/>
  <c r="AF3220" i="2" s="1"/>
  <c r="X3220" i="2"/>
  <c r="Y3220" i="2" s="1"/>
  <c r="W3220" i="2"/>
  <c r="AH3219" i="2"/>
  <c r="AE3219" i="2"/>
  <c r="AF3219" i="2" s="1"/>
  <c r="X3219" i="2"/>
  <c r="AB3219" i="2" s="1"/>
  <c r="AK3219" i="2" s="1"/>
  <c r="W3219" i="2"/>
  <c r="AH3218" i="2"/>
  <c r="AE3218" i="2"/>
  <c r="AF3218" i="2" s="1"/>
  <c r="X3218" i="2"/>
  <c r="W3218" i="2"/>
  <c r="AH3217" i="2"/>
  <c r="AE3217" i="2"/>
  <c r="AF3217" i="2" s="1"/>
  <c r="X3217" i="2"/>
  <c r="Y3217" i="2" s="1"/>
  <c r="W3217" i="2"/>
  <c r="AH3216" i="2"/>
  <c r="AE3216" i="2"/>
  <c r="AF3216" i="2" s="1"/>
  <c r="X3216" i="2"/>
  <c r="AB3216" i="2" s="1"/>
  <c r="AK3216" i="2" s="1"/>
  <c r="W3216" i="2"/>
  <c r="AH3215" i="2"/>
  <c r="AE3215" i="2"/>
  <c r="AF3215" i="2" s="1"/>
  <c r="X3215" i="2"/>
  <c r="Y3215" i="2" s="1"/>
  <c r="W3215" i="2"/>
  <c r="AH3214" i="2"/>
  <c r="AE3214" i="2"/>
  <c r="AF3214" i="2" s="1"/>
  <c r="X3214" i="2"/>
  <c r="AB3214" i="2" s="1"/>
  <c r="AK3214" i="2" s="1"/>
  <c r="W3214" i="2"/>
  <c r="AH3213" i="2"/>
  <c r="AE3213" i="2"/>
  <c r="AF3213" i="2" s="1"/>
  <c r="X3213" i="2"/>
  <c r="AB3213" i="2" s="1"/>
  <c r="AK3213" i="2" s="1"/>
  <c r="W3213" i="2"/>
  <c r="AH3212" i="2"/>
  <c r="AE3212" i="2"/>
  <c r="AF3212" i="2" s="1"/>
  <c r="X3212" i="2"/>
  <c r="AB3212" i="2" s="1"/>
  <c r="AK3212" i="2" s="1"/>
  <c r="W3212" i="2"/>
  <c r="AH3211" i="2"/>
  <c r="AE3211" i="2"/>
  <c r="AF3211" i="2" s="1"/>
  <c r="X3211" i="2"/>
  <c r="Y3211" i="2" s="1"/>
  <c r="W3211" i="2"/>
  <c r="AH3210" i="2"/>
  <c r="AE3210" i="2"/>
  <c r="AF3210" i="2" s="1"/>
  <c r="X3210" i="2"/>
  <c r="AB3210" i="2" s="1"/>
  <c r="AK3210" i="2" s="1"/>
  <c r="W3210" i="2"/>
  <c r="AH3209" i="2"/>
  <c r="AE3209" i="2"/>
  <c r="AF3209" i="2" s="1"/>
  <c r="X3209" i="2"/>
  <c r="Y3209" i="2" s="1"/>
  <c r="W3209" i="2"/>
  <c r="AH3208" i="2"/>
  <c r="AE3208" i="2"/>
  <c r="AF3208" i="2" s="1"/>
  <c r="X3208" i="2"/>
  <c r="W3208" i="2"/>
  <c r="AH3207" i="2"/>
  <c r="AE3207" i="2"/>
  <c r="AF3207" i="2" s="1"/>
  <c r="X3207" i="2"/>
  <c r="AB3207" i="2" s="1"/>
  <c r="AK3207" i="2" s="1"/>
  <c r="W3207" i="2"/>
  <c r="AH3206" i="2"/>
  <c r="AE3206" i="2"/>
  <c r="AF3206" i="2" s="1"/>
  <c r="X3206" i="2"/>
  <c r="W3206" i="2"/>
  <c r="AH3205" i="2"/>
  <c r="AE3205" i="2"/>
  <c r="AF3205" i="2" s="1"/>
  <c r="X3205" i="2"/>
  <c r="AB3205" i="2" s="1"/>
  <c r="AK3205" i="2" s="1"/>
  <c r="W3205" i="2"/>
  <c r="AH3204" i="2"/>
  <c r="AE3204" i="2"/>
  <c r="AF3204" i="2" s="1"/>
  <c r="X3204" i="2"/>
  <c r="W3204" i="2"/>
  <c r="AH3203" i="2"/>
  <c r="AE3203" i="2"/>
  <c r="AF3203" i="2" s="1"/>
  <c r="X3203" i="2"/>
  <c r="AB3203" i="2" s="1"/>
  <c r="AK3203" i="2" s="1"/>
  <c r="W3203" i="2"/>
  <c r="AH3202" i="2"/>
  <c r="AE3202" i="2"/>
  <c r="AF3202" i="2" s="1"/>
  <c r="X3202" i="2"/>
  <c r="W3202" i="2"/>
  <c r="AH3201" i="2"/>
  <c r="AE3201" i="2"/>
  <c r="AF3201" i="2" s="1"/>
  <c r="X3201" i="2"/>
  <c r="Y3201" i="2" s="1"/>
  <c r="W3201" i="2"/>
  <c r="AH3200" i="2"/>
  <c r="AE3200" i="2"/>
  <c r="AF3200" i="2" s="1"/>
  <c r="X3200" i="2"/>
  <c r="Y3200" i="2" s="1"/>
  <c r="W3200" i="2"/>
  <c r="AH3199" i="2"/>
  <c r="AE3199" i="2"/>
  <c r="AF3199" i="2" s="1"/>
  <c r="X3199" i="2"/>
  <c r="AB3199" i="2" s="1"/>
  <c r="AK3199" i="2" s="1"/>
  <c r="W3199" i="2"/>
  <c r="AH3198" i="2"/>
  <c r="AE3198" i="2"/>
  <c r="AF3198" i="2" s="1"/>
  <c r="X3198" i="2"/>
  <c r="AB3198" i="2" s="1"/>
  <c r="AK3198" i="2" s="1"/>
  <c r="W3198" i="2"/>
  <c r="AH3197" i="2"/>
  <c r="AE3197" i="2"/>
  <c r="AF3197" i="2" s="1"/>
  <c r="X3197" i="2"/>
  <c r="Y3197" i="2" s="1"/>
  <c r="W3197" i="2"/>
  <c r="AH3196" i="2"/>
  <c r="AE3196" i="2"/>
  <c r="AF3196" i="2" s="1"/>
  <c r="X3196" i="2"/>
  <c r="AB3196" i="2" s="1"/>
  <c r="AK3196" i="2" s="1"/>
  <c r="W3196" i="2"/>
  <c r="AH3195" i="2"/>
  <c r="AE3195" i="2"/>
  <c r="AF3195" i="2" s="1"/>
  <c r="X3195" i="2"/>
  <c r="Y3195" i="2" s="1"/>
  <c r="W3195" i="2"/>
  <c r="AH3194" i="2"/>
  <c r="AE3194" i="2"/>
  <c r="AF3194" i="2" s="1"/>
  <c r="X3194" i="2"/>
  <c r="AB3194" i="2" s="1"/>
  <c r="AK3194" i="2" s="1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AB3191" i="2" s="1"/>
  <c r="AK3191" i="2" s="1"/>
  <c r="W3191" i="2"/>
  <c r="AH3190" i="2"/>
  <c r="AE3190" i="2"/>
  <c r="AF3190" i="2" s="1"/>
  <c r="X3190" i="2"/>
  <c r="W3190" i="2"/>
  <c r="AH3189" i="2"/>
  <c r="AE3189" i="2"/>
  <c r="AF3189" i="2" s="1"/>
  <c r="X3189" i="2"/>
  <c r="AB3189" i="2" s="1"/>
  <c r="AK3189" i="2" s="1"/>
  <c r="W3189" i="2"/>
  <c r="AH3188" i="2"/>
  <c r="AE3188" i="2"/>
  <c r="AF3188" i="2" s="1"/>
  <c r="X3188" i="2"/>
  <c r="Y3188" i="2" s="1"/>
  <c r="W3188" i="2"/>
  <c r="AH3187" i="2"/>
  <c r="AE3187" i="2"/>
  <c r="AF3187" i="2" s="1"/>
  <c r="X3187" i="2"/>
  <c r="AB3187" i="2" s="1"/>
  <c r="AK3187" i="2" s="1"/>
  <c r="W3187" i="2"/>
  <c r="AH3186" i="2"/>
  <c r="AE3186" i="2"/>
  <c r="AF3186" i="2" s="1"/>
  <c r="X3186" i="2"/>
  <c r="Y3186" i="2" s="1"/>
  <c r="W3186" i="2"/>
  <c r="AH3185" i="2"/>
  <c r="AE3185" i="2"/>
  <c r="AF3185" i="2" s="1"/>
  <c r="X3185" i="2"/>
  <c r="Y3185" i="2" s="1"/>
  <c r="W3185" i="2"/>
  <c r="AH3184" i="2"/>
  <c r="AE3184" i="2"/>
  <c r="AF3184" i="2" s="1"/>
  <c r="X3184" i="2"/>
  <c r="W3184" i="2"/>
  <c r="AH3183" i="2"/>
  <c r="AE3183" i="2"/>
  <c r="AF3183" i="2" s="1"/>
  <c r="X3183" i="2"/>
  <c r="Y3183" i="2" s="1"/>
  <c r="W3183" i="2"/>
  <c r="AH3182" i="2"/>
  <c r="AE3182" i="2"/>
  <c r="AF3182" i="2" s="1"/>
  <c r="X3182" i="2"/>
  <c r="W3182" i="2"/>
  <c r="AH3181" i="2"/>
  <c r="AE3181" i="2"/>
  <c r="AF3181" i="2" s="1"/>
  <c r="X3181" i="2"/>
  <c r="AB3181" i="2" s="1"/>
  <c r="AK3181" i="2" s="1"/>
  <c r="W3181" i="2"/>
  <c r="AH3180" i="2"/>
  <c r="AE3180" i="2"/>
  <c r="AF3180" i="2" s="1"/>
  <c r="X3180" i="2"/>
  <c r="W3180" i="2"/>
  <c r="AH3179" i="2"/>
  <c r="AE3179" i="2"/>
  <c r="AF3179" i="2" s="1"/>
  <c r="X3179" i="2"/>
  <c r="AB3179" i="2" s="1"/>
  <c r="AK3179" i="2" s="1"/>
  <c r="W3179" i="2"/>
  <c r="AH3178" i="2"/>
  <c r="AE3178" i="2"/>
  <c r="AF3178" i="2" s="1"/>
  <c r="X3178" i="2"/>
  <c r="W3178" i="2"/>
  <c r="AH3177" i="2"/>
  <c r="AE3177" i="2"/>
  <c r="AF3177" i="2" s="1"/>
  <c r="X3177" i="2"/>
  <c r="AB3177" i="2" s="1"/>
  <c r="AK3177" i="2" s="1"/>
  <c r="W3177" i="2"/>
  <c r="AH3176" i="2"/>
  <c r="AE3176" i="2"/>
  <c r="AF3176" i="2" s="1"/>
  <c r="X3176" i="2"/>
  <c r="W3176" i="2"/>
  <c r="AH3175" i="2"/>
  <c r="AE3175" i="2"/>
  <c r="AF3175" i="2" s="1"/>
  <c r="X3175" i="2"/>
  <c r="AB3175" i="2" s="1"/>
  <c r="AK3175" i="2" s="1"/>
  <c r="W3175" i="2"/>
  <c r="AH3174" i="2"/>
  <c r="AE3174" i="2"/>
  <c r="AF3174" i="2" s="1"/>
  <c r="X3174" i="2"/>
  <c r="Y3174" i="2" s="1"/>
  <c r="W3174" i="2"/>
  <c r="AH3173" i="2"/>
  <c r="AE3173" i="2"/>
  <c r="AF3173" i="2" s="1"/>
  <c r="X3173" i="2"/>
  <c r="Y3173" i="2" s="1"/>
  <c r="W3173" i="2"/>
  <c r="AH3172" i="2"/>
  <c r="AE3172" i="2"/>
  <c r="AF3172" i="2" s="1"/>
  <c r="X3172" i="2"/>
  <c r="AB3172" i="2" s="1"/>
  <c r="AK3172" i="2" s="1"/>
  <c r="W3172" i="2"/>
  <c r="AH3171" i="2"/>
  <c r="AE3171" i="2"/>
  <c r="AF3171" i="2" s="1"/>
  <c r="X3171" i="2"/>
  <c r="AB3171" i="2" s="1"/>
  <c r="AK3171" i="2" s="1"/>
  <c r="W3171" i="2"/>
  <c r="AH3170" i="2"/>
  <c r="AE3170" i="2"/>
  <c r="AF3170" i="2" s="1"/>
  <c r="X3170" i="2"/>
  <c r="W3170" i="2"/>
  <c r="AH3169" i="2"/>
  <c r="AE3169" i="2"/>
  <c r="AF3169" i="2" s="1"/>
  <c r="X3169" i="2"/>
  <c r="Y3169" i="2" s="1"/>
  <c r="W3169" i="2"/>
  <c r="AH3168" i="2"/>
  <c r="AE3168" i="2"/>
  <c r="AF3168" i="2" s="1"/>
  <c r="X3168" i="2"/>
  <c r="AB3168" i="2" s="1"/>
  <c r="AK3168" i="2" s="1"/>
  <c r="W3168" i="2"/>
  <c r="AH3167" i="2"/>
  <c r="AE3167" i="2"/>
  <c r="AF3167" i="2" s="1"/>
  <c r="X3167" i="2"/>
  <c r="Y3167" i="2" s="1"/>
  <c r="W3167" i="2"/>
  <c r="AH3166" i="2"/>
  <c r="AE3166" i="2"/>
  <c r="AF3166" i="2" s="1"/>
  <c r="X3166" i="2"/>
  <c r="W3166" i="2"/>
  <c r="AH3165" i="2"/>
  <c r="AE3165" i="2"/>
  <c r="AF3165" i="2" s="1"/>
  <c r="X3165" i="2"/>
  <c r="Y3165" i="2" s="1"/>
  <c r="W3165" i="2"/>
  <c r="AH3164" i="2"/>
  <c r="AE3164" i="2"/>
  <c r="AF3164" i="2" s="1"/>
  <c r="X3164" i="2"/>
  <c r="AB3164" i="2" s="1"/>
  <c r="AK3164" i="2" s="1"/>
  <c r="W3164" i="2"/>
  <c r="AH3163" i="2"/>
  <c r="AE3163" i="2"/>
  <c r="AF3163" i="2" s="1"/>
  <c r="X3163" i="2"/>
  <c r="AB3163" i="2" s="1"/>
  <c r="AK3163" i="2" s="1"/>
  <c r="W3163" i="2"/>
  <c r="AH3162" i="2"/>
  <c r="AE3162" i="2"/>
  <c r="AF3162" i="2" s="1"/>
  <c r="X3162" i="2"/>
  <c r="AB3162" i="2" s="1"/>
  <c r="AK3162" i="2" s="1"/>
  <c r="W3162" i="2"/>
  <c r="AH3161" i="2"/>
  <c r="AE3161" i="2"/>
  <c r="AF3161" i="2" s="1"/>
  <c r="X3161" i="2"/>
  <c r="Y3161" i="2" s="1"/>
  <c r="W3161" i="2"/>
  <c r="AH3160" i="2"/>
  <c r="AE3160" i="2"/>
  <c r="AF3160" i="2" s="1"/>
  <c r="X3160" i="2"/>
  <c r="Y3160" i="2" s="1"/>
  <c r="W3160" i="2"/>
  <c r="AH3159" i="2"/>
  <c r="AE3159" i="2"/>
  <c r="AF3159" i="2" s="1"/>
  <c r="X3159" i="2"/>
  <c r="Y3159" i="2" s="1"/>
  <c r="W3159" i="2"/>
  <c r="AH3158" i="2"/>
  <c r="AE3158" i="2"/>
  <c r="AF3158" i="2" s="1"/>
  <c r="X3158" i="2"/>
  <c r="W3158" i="2"/>
  <c r="AH3157" i="2"/>
  <c r="AE3157" i="2"/>
  <c r="AF3157" i="2" s="1"/>
  <c r="X3157" i="2"/>
  <c r="AB3157" i="2" s="1"/>
  <c r="AK3157" i="2" s="1"/>
  <c r="W3157" i="2"/>
  <c r="AH3156" i="2"/>
  <c r="AE3156" i="2"/>
  <c r="AF3156" i="2" s="1"/>
  <c r="X3156" i="2"/>
  <c r="W3156" i="2"/>
  <c r="AH3155" i="2"/>
  <c r="AE3155" i="2"/>
  <c r="AF3155" i="2" s="1"/>
  <c r="X3155" i="2"/>
  <c r="Y3155" i="2" s="1"/>
  <c r="W3155" i="2"/>
  <c r="AH3154" i="2"/>
  <c r="AE3154" i="2"/>
  <c r="AF3154" i="2" s="1"/>
  <c r="X3154" i="2"/>
  <c r="W3154" i="2"/>
  <c r="AH3153" i="2"/>
  <c r="AE3153" i="2"/>
  <c r="AF3153" i="2" s="1"/>
  <c r="X3153" i="2"/>
  <c r="AB3153" i="2" s="1"/>
  <c r="AK3153" i="2" s="1"/>
  <c r="W3153" i="2"/>
  <c r="AH3152" i="2"/>
  <c r="AE3152" i="2"/>
  <c r="AF3152" i="2" s="1"/>
  <c r="X3152" i="2"/>
  <c r="Y3152" i="2" s="1"/>
  <c r="W3152" i="2"/>
  <c r="AH3151" i="2"/>
  <c r="AE3151" i="2"/>
  <c r="AF3151" i="2" s="1"/>
  <c r="X3151" i="2"/>
  <c r="AB3151" i="2" s="1"/>
  <c r="AK3151" i="2" s="1"/>
  <c r="W3151" i="2"/>
  <c r="AH3150" i="2"/>
  <c r="AE3150" i="2"/>
  <c r="AF3150" i="2" s="1"/>
  <c r="X3150" i="2"/>
  <c r="AB3150" i="2" s="1"/>
  <c r="AK3150" i="2" s="1"/>
  <c r="W3150" i="2"/>
  <c r="AH3149" i="2"/>
  <c r="AE3149" i="2"/>
  <c r="AF3149" i="2" s="1"/>
  <c r="X3149" i="2"/>
  <c r="AB3149" i="2" s="1"/>
  <c r="AK3149" i="2" s="1"/>
  <c r="W3149" i="2"/>
  <c r="AH3148" i="2"/>
  <c r="AE3148" i="2"/>
  <c r="AF3148" i="2" s="1"/>
  <c r="X3148" i="2"/>
  <c r="W3148" i="2"/>
  <c r="AH3147" i="2"/>
  <c r="AE3147" i="2"/>
  <c r="AF3147" i="2" s="1"/>
  <c r="X3147" i="2"/>
  <c r="AB3147" i="2" s="1"/>
  <c r="AK3147" i="2" s="1"/>
  <c r="W3147" i="2"/>
  <c r="AH3146" i="2"/>
  <c r="AE3146" i="2"/>
  <c r="AF3146" i="2" s="1"/>
  <c r="X3146" i="2"/>
  <c r="W3146" i="2"/>
  <c r="AH3145" i="2"/>
  <c r="AE3145" i="2"/>
  <c r="AF3145" i="2" s="1"/>
  <c r="X3145" i="2"/>
  <c r="AB3145" i="2" s="1"/>
  <c r="AK3145" i="2" s="1"/>
  <c r="W3145" i="2"/>
  <c r="AH3144" i="2"/>
  <c r="AE3144" i="2"/>
  <c r="AF3144" i="2" s="1"/>
  <c r="X3144" i="2"/>
  <c r="W3144" i="2"/>
  <c r="AH3143" i="2"/>
  <c r="AE3143" i="2"/>
  <c r="AF3143" i="2" s="1"/>
  <c r="X3143" i="2"/>
  <c r="Y3143" i="2" s="1"/>
  <c r="W3143" i="2"/>
  <c r="AH3142" i="2"/>
  <c r="AE3142" i="2"/>
  <c r="AF3142" i="2" s="1"/>
  <c r="X3142" i="2"/>
  <c r="W3142" i="2"/>
  <c r="AH3141" i="2"/>
  <c r="AE3141" i="2"/>
  <c r="AF3141" i="2" s="1"/>
  <c r="X3141" i="2"/>
  <c r="AB3141" i="2" s="1"/>
  <c r="AK3141" i="2" s="1"/>
  <c r="W3141" i="2"/>
  <c r="AH3140" i="2"/>
  <c r="AE3140" i="2"/>
  <c r="AF3140" i="2" s="1"/>
  <c r="X3140" i="2"/>
  <c r="AB3140" i="2" s="1"/>
  <c r="AK3140" i="2" s="1"/>
  <c r="W3140" i="2"/>
  <c r="AH3139" i="2"/>
  <c r="AE3139" i="2"/>
  <c r="AF3139" i="2" s="1"/>
  <c r="X3139" i="2"/>
  <c r="Y3139" i="2" s="1"/>
  <c r="W3139" i="2"/>
  <c r="AH3138" i="2"/>
  <c r="AE3138" i="2"/>
  <c r="AF3138" i="2" s="1"/>
  <c r="X3138" i="2"/>
  <c r="W3138" i="2"/>
  <c r="AH3137" i="2"/>
  <c r="AE3137" i="2"/>
  <c r="AF3137" i="2" s="1"/>
  <c r="X3137" i="2"/>
  <c r="AB3137" i="2" s="1"/>
  <c r="AK3137" i="2" s="1"/>
  <c r="W3137" i="2"/>
  <c r="AH3136" i="2"/>
  <c r="AE3136" i="2"/>
  <c r="AF3136" i="2" s="1"/>
  <c r="W3136" i="2"/>
  <c r="AH3135" i="2"/>
  <c r="AE3135" i="2"/>
  <c r="AF3135" i="2" s="1"/>
  <c r="X3135" i="2"/>
  <c r="AC3135" i="2" s="1"/>
  <c r="W3135" i="2"/>
  <c r="AH3134" i="2"/>
  <c r="AE3134" i="2"/>
  <c r="AF3134" i="2" s="1"/>
  <c r="X3134" i="2"/>
  <c r="Y3134" i="2" s="1"/>
  <c r="W3134" i="2"/>
  <c r="AH3133" i="2"/>
  <c r="AE3133" i="2"/>
  <c r="AF3133" i="2" s="1"/>
  <c r="X3133" i="2"/>
  <c r="AB3133" i="2" s="1"/>
  <c r="AK3133" i="2" s="1"/>
  <c r="W3133" i="2"/>
  <c r="AH3132" i="2"/>
  <c r="AE3132" i="2"/>
  <c r="AF3132" i="2" s="1"/>
  <c r="X3132" i="2"/>
  <c r="AB3132" i="2" s="1"/>
  <c r="AK3132" i="2" s="1"/>
  <c r="W3132" i="2"/>
  <c r="AH3131" i="2"/>
  <c r="AE3131" i="2"/>
  <c r="AF3131" i="2" s="1"/>
  <c r="X3131" i="2"/>
  <c r="AH3130" i="2"/>
  <c r="AE3130" i="2"/>
  <c r="AF3130" i="2" s="1"/>
  <c r="X3130" i="2"/>
  <c r="W3130" i="2"/>
  <c r="AH3129" i="2"/>
  <c r="AE3129" i="2"/>
  <c r="AF3129" i="2" s="1"/>
  <c r="X3129" i="2"/>
  <c r="AC3129" i="2" s="1"/>
  <c r="W3129" i="2"/>
  <c r="AH3128" i="2"/>
  <c r="AE3128" i="2"/>
  <c r="AF3128" i="2" s="1"/>
  <c r="X3128" i="2"/>
  <c r="AB3128" i="2" s="1"/>
  <c r="AK3128" i="2" s="1"/>
  <c r="W3128" i="2"/>
  <c r="AH3127" i="2"/>
  <c r="AE3127" i="2"/>
  <c r="AF3127" i="2" s="1"/>
  <c r="X3127" i="2"/>
  <c r="Y3127" i="2" s="1"/>
  <c r="W3127" i="2"/>
  <c r="AH3126" i="2"/>
  <c r="AE3126" i="2"/>
  <c r="AF3126" i="2" s="1"/>
  <c r="X3126" i="2"/>
  <c r="W3126" i="2"/>
  <c r="AH3125" i="2"/>
  <c r="AE3125" i="2"/>
  <c r="AF3125" i="2" s="1"/>
  <c r="X3125" i="2"/>
  <c r="Y3125" i="2" s="1"/>
  <c r="W3125" i="2"/>
  <c r="AH3124" i="2"/>
  <c r="AE3124" i="2"/>
  <c r="AF3124" i="2" s="1"/>
  <c r="X3124" i="2"/>
  <c r="W3124" i="2"/>
  <c r="AH3123" i="2"/>
  <c r="AE3123" i="2"/>
  <c r="AF3123" i="2" s="1"/>
  <c r="X3123" i="2"/>
  <c r="AC3123" i="2" s="1"/>
  <c r="W3123" i="2"/>
  <c r="AH3122" i="2"/>
  <c r="AE3122" i="2"/>
  <c r="AF3122" i="2" s="1"/>
  <c r="X3122" i="2"/>
  <c r="W3122" i="2"/>
  <c r="AH3121" i="2"/>
  <c r="AE3121" i="2"/>
  <c r="AF3121" i="2" s="1"/>
  <c r="X3121" i="2"/>
  <c r="Y3121" i="2" s="1"/>
  <c r="W3121" i="2"/>
  <c r="AH3120" i="2"/>
  <c r="AE3120" i="2"/>
  <c r="AF3120" i="2" s="1"/>
  <c r="X3120" i="2"/>
  <c r="Y3120" i="2" s="1"/>
  <c r="W3120" i="2"/>
  <c r="AH3119" i="2"/>
  <c r="AE3119" i="2"/>
  <c r="AF3119" i="2" s="1"/>
  <c r="X3119" i="2"/>
  <c r="AC3119" i="2" s="1"/>
  <c r="W3119" i="2"/>
  <c r="AH3118" i="2"/>
  <c r="AE3118" i="2"/>
  <c r="AF3118" i="2" s="1"/>
  <c r="X3118" i="2"/>
  <c r="AB3118" i="2" s="1"/>
  <c r="AK3118" i="2" s="1"/>
  <c r="W3118" i="2"/>
  <c r="AH3117" i="2"/>
  <c r="AE3117" i="2"/>
  <c r="AF3117" i="2" s="1"/>
  <c r="X3117" i="2"/>
  <c r="AC3117" i="2" s="1"/>
  <c r="W3117" i="2"/>
  <c r="AH3116" i="2"/>
  <c r="AE3116" i="2"/>
  <c r="AF3116" i="2" s="1"/>
  <c r="X3116" i="2"/>
  <c r="W3116" i="2"/>
  <c r="AH3115" i="2"/>
  <c r="AE3115" i="2"/>
  <c r="AF3115" i="2" s="1"/>
  <c r="X3115" i="2"/>
  <c r="Y3115" i="2" s="1"/>
  <c r="W3115" i="2"/>
  <c r="AH3114" i="2"/>
  <c r="AE3114" i="2"/>
  <c r="AF3114" i="2" s="1"/>
  <c r="X3114" i="2"/>
  <c r="Y3114" i="2" s="1"/>
  <c r="W3114" i="2"/>
  <c r="AH3113" i="2"/>
  <c r="AE3113" i="2"/>
  <c r="AF3113" i="2" s="1"/>
  <c r="X3113" i="2"/>
  <c r="AC3113" i="2" s="1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AB3110" i="2" s="1"/>
  <c r="AK3110" i="2" s="1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AB3105" i="2" s="1"/>
  <c r="AK3105" i="2" s="1"/>
  <c r="W3105" i="2"/>
  <c r="AH3104" i="2"/>
  <c r="AE3104" i="2"/>
  <c r="AF3104" i="2" s="1"/>
  <c r="X3104" i="2"/>
  <c r="Y3104" i="2" s="1"/>
  <c r="W3104" i="2"/>
  <c r="AH3103" i="2"/>
  <c r="AE3103" i="2"/>
  <c r="AF3103" i="2" s="1"/>
  <c r="X3103" i="2"/>
  <c r="AC3103" i="2" s="1"/>
  <c r="W3103" i="2"/>
  <c r="AH3102" i="2"/>
  <c r="AE3102" i="2"/>
  <c r="AF3102" i="2" s="1"/>
  <c r="X3102" i="2"/>
  <c r="Y3102" i="2" s="1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Y3098" i="2" s="1"/>
  <c r="W3098" i="2"/>
  <c r="AH3097" i="2"/>
  <c r="AE3097" i="2"/>
  <c r="AF3097" i="2" s="1"/>
  <c r="X3097" i="2"/>
  <c r="AC3097" i="2" s="1"/>
  <c r="W3097" i="2"/>
  <c r="AH3096" i="2"/>
  <c r="AE3096" i="2"/>
  <c r="AF3096" i="2" s="1"/>
  <c r="X3096" i="2"/>
  <c r="AB3096" i="2" s="1"/>
  <c r="AK3096" i="2" s="1"/>
  <c r="U3096" i="2"/>
  <c r="W3096" i="2"/>
  <c r="AH3095" i="2"/>
  <c r="AE3095" i="2"/>
  <c r="AF3095" i="2" s="1"/>
  <c r="X3095" i="2"/>
  <c r="AC3095" i="2" s="1"/>
  <c r="W3095" i="2"/>
  <c r="AH3094" i="2"/>
  <c r="AE3094" i="2"/>
  <c r="AF3094" i="2" s="1"/>
  <c r="X3094" i="2"/>
  <c r="AB3094" i="2" s="1"/>
  <c r="AK3094" i="2" s="1"/>
  <c r="W3094" i="2"/>
  <c r="AH3093" i="2"/>
  <c r="AE3093" i="2"/>
  <c r="AF3093" i="2" s="1"/>
  <c r="X3093" i="2"/>
  <c r="AC3093" i="2" s="1"/>
  <c r="W3093" i="2"/>
  <c r="AH3092" i="2"/>
  <c r="AE3092" i="2"/>
  <c r="AF3092" i="2" s="1"/>
  <c r="X3092" i="2"/>
  <c r="AB3092" i="2" s="1"/>
  <c r="AK3092" i="2" s="1"/>
  <c r="W3092" i="2"/>
  <c r="AH3091" i="2"/>
  <c r="AE3091" i="2"/>
  <c r="AF3091" i="2" s="1"/>
  <c r="X3091" i="2"/>
  <c r="AC3091" i="2" s="1"/>
  <c r="W3091" i="2"/>
  <c r="AH3090" i="2"/>
  <c r="AE3090" i="2"/>
  <c r="AF3090" i="2" s="1"/>
  <c r="X3090" i="2"/>
  <c r="AB3090" i="2" s="1"/>
  <c r="AK3090" i="2" s="1"/>
  <c r="W3090" i="2"/>
  <c r="AH3089" i="2"/>
  <c r="AE3089" i="2"/>
  <c r="AF3089" i="2" s="1"/>
  <c r="X3089" i="2"/>
  <c r="Y3089" i="2" s="1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AB3086" i="2" s="1"/>
  <c r="AK3086" i="2" s="1"/>
  <c r="W3086" i="2"/>
  <c r="AH3085" i="2"/>
  <c r="AE3085" i="2"/>
  <c r="AF3085" i="2" s="1"/>
  <c r="X3085" i="2"/>
  <c r="AC3085" i="2" s="1"/>
  <c r="W3085" i="2"/>
  <c r="AH3084" i="2"/>
  <c r="AE3084" i="2"/>
  <c r="AF3084" i="2" s="1"/>
  <c r="X3084" i="2"/>
  <c r="AB3084" i="2" s="1"/>
  <c r="AK3084" i="2" s="1"/>
  <c r="W3084" i="2"/>
  <c r="AH3083" i="2"/>
  <c r="AE3083" i="2"/>
  <c r="AF3083" i="2" s="1"/>
  <c r="X3083" i="2"/>
  <c r="W3083" i="2"/>
  <c r="AH3082" i="2"/>
  <c r="AE3082" i="2"/>
  <c r="AF3082" i="2" s="1"/>
  <c r="X3082" i="2"/>
  <c r="AB3082" i="2" s="1"/>
  <c r="AK3082" i="2" s="1"/>
  <c r="W3082" i="2"/>
  <c r="AH3081" i="2"/>
  <c r="AE3081" i="2"/>
  <c r="AF3081" i="2" s="1"/>
  <c r="X3081" i="2"/>
  <c r="AB3081" i="2" s="1"/>
  <c r="W3081" i="2"/>
  <c r="AH3080" i="2"/>
  <c r="AE3080" i="2"/>
  <c r="AF3080" i="2" s="1"/>
  <c r="X3080" i="2"/>
  <c r="AB3080" i="2" s="1"/>
  <c r="AK3080" i="2" s="1"/>
  <c r="W3080" i="2"/>
  <c r="AH3079" i="2"/>
  <c r="AE3079" i="2"/>
  <c r="AF3079" i="2" s="1"/>
  <c r="X3079" i="2"/>
  <c r="AC3079" i="2" s="1"/>
  <c r="W3079" i="2"/>
  <c r="AH3078" i="2"/>
  <c r="AF3078" i="2"/>
  <c r="X3078" i="2"/>
  <c r="AB3078" i="2" s="1"/>
  <c r="AK3078" i="2" s="1"/>
  <c r="W3078" i="2"/>
  <c r="AH3077" i="2"/>
  <c r="AE3077" i="2"/>
  <c r="AF3077" i="2" s="1"/>
  <c r="X3077" i="2"/>
  <c r="AC3077" i="2" s="1"/>
  <c r="W3077" i="2"/>
  <c r="AH3076" i="2"/>
  <c r="AE3076" i="2"/>
  <c r="AF3076" i="2" s="1"/>
  <c r="X3076" i="2"/>
  <c r="W3076" i="2"/>
  <c r="AH3075" i="2"/>
  <c r="AE3075" i="2"/>
  <c r="AF3075" i="2" s="1"/>
  <c r="X3075" i="2"/>
  <c r="AC3075" i="2" s="1"/>
  <c r="W3075" i="2"/>
  <c r="AH3074" i="2"/>
  <c r="AE3074" i="2"/>
  <c r="AF3074" i="2" s="1"/>
  <c r="X3074" i="2"/>
  <c r="AB3074" i="2" s="1"/>
  <c r="AK3074" i="2" s="1"/>
  <c r="W3074" i="2"/>
  <c r="AH3073" i="2"/>
  <c r="AE3073" i="2"/>
  <c r="AF3073" i="2" s="1"/>
  <c r="X3073" i="2"/>
  <c r="AC3073" i="2" s="1"/>
  <c r="W3073" i="2"/>
  <c r="AH3072" i="2"/>
  <c r="AE3072" i="2"/>
  <c r="AF3072" i="2" s="1"/>
  <c r="X3072" i="2"/>
  <c r="AB3072" i="2" s="1"/>
  <c r="AK3072" i="2" s="1"/>
  <c r="W3072" i="2"/>
  <c r="AH3071" i="2"/>
  <c r="AE3071" i="2"/>
  <c r="AF3071" i="2" s="1"/>
  <c r="X3071" i="2"/>
  <c r="AC3071" i="2" s="1"/>
  <c r="W3071" i="2"/>
  <c r="AH3070" i="2"/>
  <c r="AE3070" i="2"/>
  <c r="AF3070" i="2" s="1"/>
  <c r="X3070" i="2"/>
  <c r="Y3070" i="2" s="1"/>
  <c r="W3070" i="2"/>
  <c r="AH3069" i="2"/>
  <c r="AE3069" i="2"/>
  <c r="AF3069" i="2" s="1"/>
  <c r="X3069" i="2"/>
  <c r="Y3069" i="2" s="1"/>
  <c r="W3069" i="2"/>
  <c r="AH3068" i="2"/>
  <c r="AE3068" i="2"/>
  <c r="AF3068" i="2" s="1"/>
  <c r="X3068" i="2"/>
  <c r="Y3068" i="2" s="1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AB3065" i="2" s="1"/>
  <c r="AK3065" i="2" s="1"/>
  <c r="W3065" i="2"/>
  <c r="AH3064" i="2"/>
  <c r="AE3064" i="2"/>
  <c r="AF3064" i="2" s="1"/>
  <c r="X3064" i="2"/>
  <c r="AB3064" i="2" s="1"/>
  <c r="AK3064" i="2" s="1"/>
  <c r="W3064" i="2"/>
  <c r="AH3063" i="2"/>
  <c r="AE3063" i="2"/>
  <c r="AF3063" i="2" s="1"/>
  <c r="X3063" i="2"/>
  <c r="AC3063" i="2" s="1"/>
  <c r="W3063" i="2"/>
  <c r="AH3062" i="2"/>
  <c r="AE3062" i="2"/>
  <c r="AF3062" i="2" s="1"/>
  <c r="X3062" i="2"/>
  <c r="Y3062" i="2" s="1"/>
  <c r="W3062" i="2"/>
  <c r="AH3061" i="2"/>
  <c r="AE3061" i="2"/>
  <c r="AF3061" i="2" s="1"/>
  <c r="X3061" i="2"/>
  <c r="AB3061" i="2" s="1"/>
  <c r="AK3061" i="2" s="1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AB3058" i="2" s="1"/>
  <c r="AK3058" i="2" s="1"/>
  <c r="W3058" i="2"/>
  <c r="AH3057" i="2"/>
  <c r="AE3057" i="2"/>
  <c r="AF3057" i="2" s="1"/>
  <c r="X3057" i="2"/>
  <c r="W3057" i="2"/>
  <c r="AH3056" i="2"/>
  <c r="AE3056" i="2"/>
  <c r="AF3056" i="2" s="1"/>
  <c r="X3056" i="2"/>
  <c r="AB3056" i="2" s="1"/>
  <c r="AK3056" i="2" s="1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Y3053" i="2" s="1"/>
  <c r="W3053" i="2"/>
  <c r="AH3052" i="2"/>
  <c r="AE3052" i="2"/>
  <c r="AF3052" i="2" s="1"/>
  <c r="X3052" i="2"/>
  <c r="Y3052" i="2" s="1"/>
  <c r="W3052" i="2"/>
  <c r="AH3051" i="2"/>
  <c r="AE3051" i="2"/>
  <c r="AF3051" i="2" s="1"/>
  <c r="X3051" i="2"/>
  <c r="AB3051" i="2" s="1"/>
  <c r="AK3051" i="2" s="1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B3048" i="2" s="1"/>
  <c r="AK3048" i="2" s="1"/>
  <c r="AH3047" i="2"/>
  <c r="AE3047" i="2"/>
  <c r="AF3047" i="2" s="1"/>
  <c r="X3047" i="2"/>
  <c r="W3047" i="2"/>
  <c r="AH3046" i="2"/>
  <c r="AE3046" i="2"/>
  <c r="AF3046" i="2" s="1"/>
  <c r="X3046" i="2"/>
  <c r="AB3046" i="2" s="1"/>
  <c r="AK3046" i="2" s="1"/>
  <c r="W3046" i="2"/>
  <c r="AH3045" i="2"/>
  <c r="AE3045" i="2"/>
  <c r="AF3045" i="2" s="1"/>
  <c r="X3045" i="2"/>
  <c r="AC3045" i="2" s="1"/>
  <c r="W3045" i="2"/>
  <c r="AH3044" i="2"/>
  <c r="AE3044" i="2"/>
  <c r="AF3044" i="2" s="1"/>
  <c r="X3044" i="2"/>
  <c r="AB3044" i="2" s="1"/>
  <c r="AK3044" i="2" s="1"/>
  <c r="W3044" i="2"/>
  <c r="AH3043" i="2"/>
  <c r="AE3043" i="2"/>
  <c r="AF3043" i="2" s="1"/>
  <c r="X3043" i="2"/>
  <c r="Y3043" i="2" s="1"/>
  <c r="W3043" i="2"/>
  <c r="AH3042" i="2"/>
  <c r="AE3042" i="2"/>
  <c r="AF3042" i="2" s="1"/>
  <c r="X3042" i="2"/>
  <c r="AB3042" i="2" s="1"/>
  <c r="AK3042" i="2" s="1"/>
  <c r="W3042" i="2"/>
  <c r="AH3041" i="2"/>
  <c r="AE3041" i="2"/>
  <c r="AF3041" i="2" s="1"/>
  <c r="X3041" i="2"/>
  <c r="AB3041" i="2" s="1"/>
  <c r="AK3041" i="2" s="1"/>
  <c r="W3041" i="2"/>
  <c r="AH3040" i="2"/>
  <c r="AE3040" i="2"/>
  <c r="AF3040" i="2" s="1"/>
  <c r="X3040" i="2"/>
  <c r="W3040" i="2"/>
  <c r="AH3039" i="2"/>
  <c r="AE3039" i="2"/>
  <c r="AF3039" i="2" s="1"/>
  <c r="X3039" i="2"/>
  <c r="AC3039" i="2" s="1"/>
  <c r="W3039" i="2"/>
  <c r="AH3038" i="2"/>
  <c r="AE3038" i="2"/>
  <c r="AF3038" i="2" s="1"/>
  <c r="X3038" i="2"/>
  <c r="W3038" i="2"/>
  <c r="AH3037" i="2"/>
  <c r="AE3037" i="2"/>
  <c r="AF3037" i="2" s="1"/>
  <c r="X3037" i="2"/>
  <c r="AC3037" i="2" s="1"/>
  <c r="AH3036" i="2"/>
  <c r="AE3036" i="2"/>
  <c r="AF3036" i="2" s="1"/>
  <c r="X3036" i="2"/>
  <c r="W3036" i="2"/>
  <c r="AH3035" i="2"/>
  <c r="AE3035" i="2"/>
  <c r="AF3035" i="2" s="1"/>
  <c r="X3035" i="2"/>
  <c r="AC3035" i="2" s="1"/>
  <c r="W3035" i="2"/>
  <c r="AH3034" i="2"/>
  <c r="AE3034" i="2"/>
  <c r="AF3034" i="2" s="1"/>
  <c r="X3034" i="2"/>
  <c r="Y3034" i="2" s="1"/>
  <c r="W3034" i="2"/>
  <c r="AH3033" i="2"/>
  <c r="AE3033" i="2"/>
  <c r="AF3033" i="2" s="1"/>
  <c r="X3033" i="2"/>
  <c r="AB3033" i="2" s="1"/>
  <c r="AK3033" i="2" s="1"/>
  <c r="AH3032" i="2"/>
  <c r="AE3032" i="2"/>
  <c r="AF3032" i="2" s="1"/>
  <c r="X3032" i="2"/>
  <c r="AC3032" i="2" s="1"/>
  <c r="W3032" i="2"/>
  <c r="AH3031" i="2"/>
  <c r="AE3031" i="2"/>
  <c r="AF3031" i="2" s="1"/>
  <c r="X3031" i="2"/>
  <c r="W3031" i="2"/>
  <c r="AH3030" i="2"/>
  <c r="AE3030" i="2"/>
  <c r="AF3030" i="2" s="1"/>
  <c r="X3030" i="2"/>
  <c r="AB3030" i="2" s="1"/>
  <c r="W3030" i="2"/>
  <c r="AH3029" i="2"/>
  <c r="AE3029" i="2"/>
  <c r="AF3029" i="2" s="1"/>
  <c r="X3029" i="2"/>
  <c r="W3029" i="2"/>
  <c r="AH3028" i="2"/>
  <c r="AE3028" i="2"/>
  <c r="AF3028" i="2" s="1"/>
  <c r="X3028" i="2"/>
  <c r="AC3028" i="2" s="1"/>
  <c r="W3028" i="2"/>
  <c r="AH3027" i="2"/>
  <c r="AE3027" i="2"/>
  <c r="AF3027" i="2" s="1"/>
  <c r="X3027" i="2"/>
  <c r="W3027" i="2"/>
  <c r="AH3026" i="2"/>
  <c r="AE3026" i="2"/>
  <c r="AF3026" i="2" s="1"/>
  <c r="X3026" i="2"/>
  <c r="AC3026" i="2" s="1"/>
  <c r="W3026" i="2"/>
  <c r="AH3025" i="2"/>
  <c r="AE3025" i="2"/>
  <c r="AF3025" i="2" s="1"/>
  <c r="X3025" i="2"/>
  <c r="W3025" i="2"/>
  <c r="AH3024" i="2"/>
  <c r="AE3024" i="2"/>
  <c r="AF3024" i="2" s="1"/>
  <c r="X3024" i="2"/>
  <c r="AC3024" i="2" s="1"/>
  <c r="W3024" i="2"/>
  <c r="AH3023" i="2"/>
  <c r="AE3023" i="2"/>
  <c r="AF3023" i="2" s="1"/>
  <c r="X3023" i="2"/>
  <c r="W3023" i="2"/>
  <c r="AH3022" i="2"/>
  <c r="AE3022" i="2"/>
  <c r="AF3022" i="2" s="1"/>
  <c r="X3022" i="2"/>
  <c r="Y3022" i="2" s="1"/>
  <c r="W3022" i="2"/>
  <c r="AH3021" i="2"/>
  <c r="AE3021" i="2"/>
  <c r="AF3021" i="2" s="1"/>
  <c r="X3021" i="2"/>
  <c r="AC3021" i="2" s="1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AC3018" i="2" s="1"/>
  <c r="W3018" i="2"/>
  <c r="AH3017" i="2"/>
  <c r="AE3017" i="2"/>
  <c r="AD3017" i="2"/>
  <c r="X3017" i="2"/>
  <c r="AB3017" i="2" s="1"/>
  <c r="AK3017" i="2" s="1"/>
  <c r="W3017" i="2"/>
  <c r="AH3016" i="2"/>
  <c r="AE3016" i="2"/>
  <c r="AD3016" i="2"/>
  <c r="X3016" i="2"/>
  <c r="AB3016" i="2" s="1"/>
  <c r="AK3016" i="2" s="1"/>
  <c r="W3016" i="2"/>
  <c r="AH3015" i="2"/>
  <c r="AE3015" i="2"/>
  <c r="AD3015" i="2"/>
  <c r="X3015" i="2"/>
  <c r="AC3015" i="2" s="1"/>
  <c r="W3015" i="2"/>
  <c r="AH3014" i="2"/>
  <c r="AE3014" i="2"/>
  <c r="AD3014" i="2"/>
  <c r="X3014" i="2"/>
  <c r="W3014" i="2"/>
  <c r="AH3013" i="2"/>
  <c r="AE3013" i="2"/>
  <c r="AD3013" i="2"/>
  <c r="X3013" i="2"/>
  <c r="AB3013" i="2" s="1"/>
  <c r="AK3013" i="2" s="1"/>
  <c r="W3013" i="2"/>
  <c r="AH3012" i="2"/>
  <c r="AE3012" i="2"/>
  <c r="AD3012" i="2"/>
  <c r="X3012" i="2"/>
  <c r="AB3012" i="2" s="1"/>
  <c r="AK3012" i="2" s="1"/>
  <c r="W3012" i="2"/>
  <c r="AH3011" i="2"/>
  <c r="AE3011" i="2"/>
  <c r="AD3011" i="2"/>
  <c r="X3011" i="2"/>
  <c r="AB3011" i="2" s="1"/>
  <c r="AK3011" i="2" s="1"/>
  <c r="W3011" i="2"/>
  <c r="AH3010" i="2"/>
  <c r="AE3010" i="2"/>
  <c r="AD3010" i="2"/>
  <c r="AF3010" i="2" s="1"/>
  <c r="X3010" i="2"/>
  <c r="W3010" i="2"/>
  <c r="AH3009" i="2"/>
  <c r="AE3009" i="2"/>
  <c r="AD3009" i="2"/>
  <c r="X3009" i="2"/>
  <c r="W3009" i="2"/>
  <c r="AH3008" i="2"/>
  <c r="AE3008" i="2"/>
  <c r="AD3008" i="2"/>
  <c r="X3008" i="2"/>
  <c r="AB3008" i="2" s="1"/>
  <c r="AK3008" i="2" s="1"/>
  <c r="W3008" i="2"/>
  <c r="AH3007" i="2"/>
  <c r="AE3007" i="2"/>
  <c r="AD3007" i="2"/>
  <c r="X3007" i="2"/>
  <c r="AC3007" i="2" s="1"/>
  <c r="W3007" i="2"/>
  <c r="AH3006" i="2"/>
  <c r="AE3006" i="2"/>
  <c r="AD3006" i="2"/>
  <c r="X3006" i="2"/>
  <c r="AB3006" i="2" s="1"/>
  <c r="AK3006" i="2" s="1"/>
  <c r="W3006" i="2"/>
  <c r="AH3005" i="2"/>
  <c r="AE3005" i="2"/>
  <c r="AD3005" i="2"/>
  <c r="X3005" i="2"/>
  <c r="AK3005" i="2" s="1"/>
  <c r="W3005" i="2"/>
  <c r="AH3004" i="2"/>
  <c r="AE3004" i="2"/>
  <c r="AD3004" i="2"/>
  <c r="X3004" i="2"/>
  <c r="AB3004" i="2" s="1"/>
  <c r="AK3004" i="2" s="1"/>
  <c r="W3004" i="2"/>
  <c r="AH3003" i="2"/>
  <c r="AE3003" i="2"/>
  <c r="AD3003" i="2"/>
  <c r="X3003" i="2"/>
  <c r="W3003" i="2"/>
  <c r="AH3002" i="2"/>
  <c r="AE3002" i="2"/>
  <c r="AD3002" i="2"/>
  <c r="AF3002" i="2" s="1"/>
  <c r="X3002" i="2"/>
  <c r="AB3002" i="2" s="1"/>
  <c r="AK3002" i="2" s="1"/>
  <c r="W3002" i="2"/>
  <c r="AH3001" i="2"/>
  <c r="AE3001" i="2"/>
  <c r="AD3001" i="2"/>
  <c r="X3001" i="2"/>
  <c r="AB3001" i="2" s="1"/>
  <c r="AK3001" i="2" s="1"/>
  <c r="W3001" i="2"/>
  <c r="AH3000" i="2"/>
  <c r="AE3000" i="2"/>
  <c r="AF3000" i="2" s="1"/>
  <c r="AD3000" i="2"/>
  <c r="X3000" i="2"/>
  <c r="W3000" i="2"/>
  <c r="AH2999" i="2"/>
  <c r="AE2999" i="2"/>
  <c r="AD2999" i="2"/>
  <c r="X2999" i="2"/>
  <c r="AB2999" i="2" s="1"/>
  <c r="AK2999" i="2" s="1"/>
  <c r="W2999" i="2"/>
  <c r="AH2998" i="2"/>
  <c r="AE2998" i="2"/>
  <c r="AD2998" i="2"/>
  <c r="X2998" i="2"/>
  <c r="AB2998" i="2" s="1"/>
  <c r="AK2998" i="2" s="1"/>
  <c r="W2998" i="2"/>
  <c r="AH2997" i="2"/>
  <c r="AE2997" i="2"/>
  <c r="AD2997" i="2"/>
  <c r="X2997" i="2"/>
  <c r="W2997" i="2"/>
  <c r="AH2996" i="2"/>
  <c r="AE2996" i="2"/>
  <c r="AD2996" i="2"/>
  <c r="X2996" i="2"/>
  <c r="AC2996" i="2" s="1"/>
  <c r="W2996" i="2"/>
  <c r="AH2995" i="2"/>
  <c r="AE2995" i="2"/>
  <c r="AD2995" i="2"/>
  <c r="X2995" i="2"/>
  <c r="AB2995" i="2" s="1"/>
  <c r="AK2995" i="2" s="1"/>
  <c r="W2995" i="2"/>
  <c r="AH2994" i="2"/>
  <c r="AE2994" i="2"/>
  <c r="AD2994" i="2"/>
  <c r="AF2994" i="2" s="1"/>
  <c r="X2994" i="2"/>
  <c r="W2994" i="2"/>
  <c r="AH2993" i="2"/>
  <c r="AE2993" i="2"/>
  <c r="AD2993" i="2"/>
  <c r="X2993" i="2"/>
  <c r="AB2993" i="2" s="1"/>
  <c r="AK2993" i="2" s="1"/>
  <c r="W2993" i="2"/>
  <c r="AH2992" i="2"/>
  <c r="AE2992" i="2"/>
  <c r="AF2992" i="2" s="1"/>
  <c r="AD2992" i="2"/>
  <c r="X2992" i="2"/>
  <c r="W2992" i="2"/>
  <c r="AH2991" i="2"/>
  <c r="AE2991" i="2"/>
  <c r="AD2991" i="2"/>
  <c r="X2991" i="2"/>
  <c r="AC2991" i="2" s="1"/>
  <c r="W2991" i="2"/>
  <c r="AH2990" i="2"/>
  <c r="AE2990" i="2"/>
  <c r="AD2990" i="2"/>
  <c r="X2990" i="2"/>
  <c r="AB2990" i="2" s="1"/>
  <c r="AK2990" i="2" s="1"/>
  <c r="W2990" i="2"/>
  <c r="AH2989" i="2"/>
  <c r="AE2989" i="2"/>
  <c r="AD2989" i="2"/>
  <c r="X2989" i="2"/>
  <c r="W2989" i="2"/>
  <c r="AH2988" i="2"/>
  <c r="AE2988" i="2"/>
  <c r="AD2988" i="2"/>
  <c r="X2988" i="2"/>
  <c r="AB2988" i="2" s="1"/>
  <c r="W2988" i="2"/>
  <c r="AH2987" i="2"/>
  <c r="AE2987" i="2"/>
  <c r="AD2987" i="2"/>
  <c r="X2987" i="2"/>
  <c r="AB2987" i="2" s="1"/>
  <c r="AK2987" i="2" s="1"/>
  <c r="W2987" i="2"/>
  <c r="AH2986" i="2"/>
  <c r="AE2986" i="2"/>
  <c r="AD2986" i="2"/>
  <c r="AF2986" i="2" s="1"/>
  <c r="X2986" i="2"/>
  <c r="AC2986" i="2" s="1"/>
  <c r="W2986" i="2"/>
  <c r="AH2985" i="2"/>
  <c r="AE2985" i="2"/>
  <c r="AD2985" i="2"/>
  <c r="X2985" i="2"/>
  <c r="AB2985" i="2" s="1"/>
  <c r="AK2985" i="2" s="1"/>
  <c r="W2985" i="2"/>
  <c r="AH2984" i="2"/>
  <c r="AE2984" i="2"/>
  <c r="AF2984" i="2" s="1"/>
  <c r="AD2984" i="2"/>
  <c r="X2984" i="2"/>
  <c r="W2984" i="2"/>
  <c r="AH2983" i="2"/>
  <c r="AE2983" i="2"/>
  <c r="AD2983" i="2"/>
  <c r="X2983" i="2"/>
  <c r="AC2983" i="2" s="1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AB2980" i="2" s="1"/>
  <c r="AK2980" i="2" s="1"/>
  <c r="W2980" i="2"/>
  <c r="AH2979" i="2"/>
  <c r="AE2979" i="2"/>
  <c r="AD2979" i="2"/>
  <c r="X2979" i="2"/>
  <c r="AB2979" i="2" s="1"/>
  <c r="AK2979" i="2" s="1"/>
  <c r="W2979" i="2"/>
  <c r="AH2978" i="2"/>
  <c r="AE2978" i="2"/>
  <c r="AD2978" i="2"/>
  <c r="AF2978" i="2" s="1"/>
  <c r="X2978" i="2"/>
  <c r="AB2978" i="2" s="1"/>
  <c r="AK2978" i="2" s="1"/>
  <c r="W2978" i="2"/>
  <c r="AH2977" i="2"/>
  <c r="AE2977" i="2"/>
  <c r="AD2977" i="2"/>
  <c r="X2977" i="2"/>
  <c r="AB2977" i="2" s="1"/>
  <c r="AK2977" i="2" s="1"/>
  <c r="W2977" i="2"/>
  <c r="AH2976" i="2"/>
  <c r="AE2976" i="2"/>
  <c r="AF2976" i="2" s="1"/>
  <c r="AD2976" i="2"/>
  <c r="X2976" i="2"/>
  <c r="AK2976" i="2" s="1"/>
  <c r="W2976" i="2"/>
  <c r="AH2975" i="2"/>
  <c r="AE2975" i="2"/>
  <c r="AD2975" i="2"/>
  <c r="X2975" i="2"/>
  <c r="AB2975" i="2" s="1"/>
  <c r="AK2975" i="2" s="1"/>
  <c r="W2975" i="2"/>
  <c r="AH2974" i="2"/>
  <c r="AE2974" i="2"/>
  <c r="AD2974" i="2"/>
  <c r="X2974" i="2"/>
  <c r="AB2974" i="2" s="1"/>
  <c r="AK2974" i="2" s="1"/>
  <c r="W2974" i="2"/>
  <c r="AH2973" i="2"/>
  <c r="AE2973" i="2"/>
  <c r="AD2973" i="2"/>
  <c r="X2973" i="2"/>
  <c r="AB2973" i="2" s="1"/>
  <c r="AK2973" i="2" s="1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AF2970" i="2" s="1"/>
  <c r="X2970" i="2"/>
  <c r="AB2970" i="2" s="1"/>
  <c r="AK2970" i="2" s="1"/>
  <c r="W2970" i="2"/>
  <c r="AH2969" i="2"/>
  <c r="AE2969" i="2"/>
  <c r="AD2969" i="2"/>
  <c r="X2969" i="2"/>
  <c r="W2969" i="2"/>
  <c r="AH2968" i="2"/>
  <c r="AE2968" i="2"/>
  <c r="AF2968" i="2" s="1"/>
  <c r="AD2968" i="2"/>
  <c r="X2968" i="2"/>
  <c r="AB2968" i="2" s="1"/>
  <c r="AK2968" i="2" s="1"/>
  <c r="W2968" i="2"/>
  <c r="AH2967" i="2"/>
  <c r="AE2967" i="2"/>
  <c r="AD2967" i="2"/>
  <c r="X2967" i="2"/>
  <c r="AC2967" i="2" s="1"/>
  <c r="W2967" i="2"/>
  <c r="AH2966" i="2"/>
  <c r="AE2966" i="2"/>
  <c r="AD2966" i="2"/>
  <c r="X2966" i="2"/>
  <c r="AB2966" i="2" s="1"/>
  <c r="AK2966" i="2" s="1"/>
  <c r="W2966" i="2"/>
  <c r="AH2965" i="2"/>
  <c r="AE2965" i="2"/>
  <c r="AD2965" i="2"/>
  <c r="X2965" i="2"/>
  <c r="AB2965" i="2" s="1"/>
  <c r="AK2965" i="2" s="1"/>
  <c r="W2965" i="2"/>
  <c r="AH2964" i="2"/>
  <c r="AE2964" i="2"/>
  <c r="AD2964" i="2"/>
  <c r="X2964" i="2"/>
  <c r="AB2964" i="2" s="1"/>
  <c r="AK2964" i="2" s="1"/>
  <c r="W2964" i="2"/>
  <c r="AH2963" i="2"/>
  <c r="AE2963" i="2"/>
  <c r="AD2963" i="2"/>
  <c r="X2963" i="2"/>
  <c r="W2963" i="2"/>
  <c r="AH2962" i="2"/>
  <c r="AE2962" i="2"/>
  <c r="AD2962" i="2"/>
  <c r="AF2962" i="2" s="1"/>
  <c r="X2962" i="2"/>
  <c r="AB2962" i="2" s="1"/>
  <c r="AK2962" i="2" s="1"/>
  <c r="W2962" i="2"/>
  <c r="AH2961" i="2"/>
  <c r="AE2961" i="2"/>
  <c r="AD2961" i="2"/>
  <c r="X2961" i="2"/>
  <c r="AB2961" i="2" s="1"/>
  <c r="AK2961" i="2" s="1"/>
  <c r="W2961" i="2"/>
  <c r="AH2960" i="2"/>
  <c r="AE2960" i="2"/>
  <c r="AF2960" i="2" s="1"/>
  <c r="AD2960" i="2"/>
  <c r="X2960" i="2"/>
  <c r="AB2960" i="2" s="1"/>
  <c r="AK2960" i="2" s="1"/>
  <c r="W2960" i="2"/>
  <c r="AH2959" i="2"/>
  <c r="AE2959" i="2"/>
  <c r="AD2959" i="2"/>
  <c r="AF2959" i="2" s="1"/>
  <c r="X2959" i="2"/>
  <c r="AC2959" i="2" s="1"/>
  <c r="W2959" i="2"/>
  <c r="AH2958" i="2"/>
  <c r="AE2958" i="2"/>
  <c r="AD2958" i="2"/>
  <c r="X2958" i="2"/>
  <c r="AB2958" i="2" s="1"/>
  <c r="AK2958" i="2" s="1"/>
  <c r="W2958" i="2"/>
  <c r="AH2957" i="2"/>
  <c r="AE2957" i="2"/>
  <c r="AD2957" i="2"/>
  <c r="X2957" i="2"/>
  <c r="AB2957" i="2" s="1"/>
  <c r="AK2957" i="2" s="1"/>
  <c r="W2957" i="2"/>
  <c r="AH2956" i="2"/>
  <c r="AE2956" i="2"/>
  <c r="AD2956" i="2"/>
  <c r="X2956" i="2"/>
  <c r="AB2956" i="2" s="1"/>
  <c r="AK2956" i="2" s="1"/>
  <c r="W2956" i="2"/>
  <c r="AH2955" i="2"/>
  <c r="AE2955" i="2"/>
  <c r="AD2955" i="2"/>
  <c r="X2955" i="2"/>
  <c r="AB2955" i="2" s="1"/>
  <c r="AK2955" i="2" s="1"/>
  <c r="W2955" i="2"/>
  <c r="AH2954" i="2"/>
  <c r="AE2954" i="2"/>
  <c r="AD2954" i="2"/>
  <c r="AF2954" i="2" s="1"/>
  <c r="X2954" i="2"/>
  <c r="AK2954" i="2" s="1"/>
  <c r="W2954" i="2"/>
  <c r="AH2953" i="2"/>
  <c r="AE2953" i="2"/>
  <c r="AD2953" i="2"/>
  <c r="X2953" i="2"/>
  <c r="W2953" i="2"/>
  <c r="AH2952" i="2"/>
  <c r="AE2952" i="2"/>
  <c r="AF2952" i="2" s="1"/>
  <c r="AD2952" i="2"/>
  <c r="X2952" i="2"/>
  <c r="AK2952" i="2" s="1"/>
  <c r="W2952" i="2"/>
  <c r="AH2951" i="2"/>
  <c r="AE2951" i="2"/>
  <c r="AD2951" i="2"/>
  <c r="AF2951" i="2" s="1"/>
  <c r="X2951" i="2"/>
  <c r="W2951" i="2"/>
  <c r="AH2950" i="2"/>
  <c r="AE2950" i="2"/>
  <c r="AD2950" i="2"/>
  <c r="X2950" i="2"/>
  <c r="AB2950" i="2" s="1"/>
  <c r="AK2950" i="2" s="1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AF2946" i="2" s="1"/>
  <c r="X2946" i="2"/>
  <c r="AC2946" i="2" s="1"/>
  <c r="W2946" i="2"/>
  <c r="AH2945" i="2"/>
  <c r="AE2945" i="2"/>
  <c r="AD2945" i="2"/>
  <c r="X2945" i="2"/>
  <c r="AB2945" i="2" s="1"/>
  <c r="AK2945" i="2" s="1"/>
  <c r="W2945" i="2"/>
  <c r="AH2944" i="2"/>
  <c r="AE2944" i="2"/>
  <c r="AD2944" i="2"/>
  <c r="X2944" i="2"/>
  <c r="AB2944" i="2" s="1"/>
  <c r="AK2944" i="2" s="1"/>
  <c r="W2944" i="2"/>
  <c r="AH2943" i="2"/>
  <c r="AE2943" i="2"/>
  <c r="AD2943" i="2"/>
  <c r="AF2943" i="2" s="1"/>
  <c r="X2943" i="2"/>
  <c r="W2943" i="2"/>
  <c r="AH2942" i="2"/>
  <c r="AE2942" i="2"/>
  <c r="AD2942" i="2"/>
  <c r="X2942" i="2"/>
  <c r="AB2942" i="2" s="1"/>
  <c r="W2942" i="2"/>
  <c r="AH2941" i="2"/>
  <c r="AE2941" i="2"/>
  <c r="AD2941" i="2"/>
  <c r="X2941" i="2"/>
  <c r="AB2941" i="2" s="1"/>
  <c r="W2941" i="2"/>
  <c r="AH2940" i="2"/>
  <c r="AE2940" i="2"/>
  <c r="AD2940" i="2"/>
  <c r="X2940" i="2"/>
  <c r="AC2940" i="2" s="1"/>
  <c r="W2940" i="2"/>
  <c r="AH2939" i="2"/>
  <c r="AE2939" i="2"/>
  <c r="AD2939" i="2"/>
  <c r="X2939" i="2"/>
  <c r="W2939" i="2"/>
  <c r="AH2938" i="2"/>
  <c r="AE2938" i="2"/>
  <c r="AD2938" i="2"/>
  <c r="AF2938" i="2" s="1"/>
  <c r="X2938" i="2"/>
  <c r="AC2938" i="2" s="1"/>
  <c r="W2938" i="2"/>
  <c r="AH2937" i="2"/>
  <c r="AE2937" i="2"/>
  <c r="AD2937" i="2"/>
  <c r="X2937" i="2"/>
  <c r="AB2937" i="2" s="1"/>
  <c r="AK2937" i="2" s="1"/>
  <c r="W2937" i="2"/>
  <c r="AH2936" i="2"/>
  <c r="AE2936" i="2"/>
  <c r="AF2936" i="2" s="1"/>
  <c r="AD2936" i="2"/>
  <c r="X2936" i="2"/>
  <c r="AB2936" i="2" s="1"/>
  <c r="AK2936" i="2" s="1"/>
  <c r="W2936" i="2"/>
  <c r="AH2935" i="2"/>
  <c r="AE2935" i="2"/>
  <c r="AD2935" i="2"/>
  <c r="AF2935" i="2" s="1"/>
  <c r="X2935" i="2"/>
  <c r="W2935" i="2"/>
  <c r="AH2934" i="2"/>
  <c r="AE2934" i="2"/>
  <c r="AD2934" i="2"/>
  <c r="X2934" i="2"/>
  <c r="AB2934" i="2" s="1"/>
  <c r="W2934" i="2"/>
  <c r="AH2933" i="2"/>
  <c r="AE2933" i="2"/>
  <c r="AD2933" i="2"/>
  <c r="X2933" i="2"/>
  <c r="AB2933" i="2" s="1"/>
  <c r="W2933" i="2"/>
  <c r="AH2932" i="2"/>
  <c r="AE2932" i="2"/>
  <c r="AD2932" i="2"/>
  <c r="X2932" i="2"/>
  <c r="AB2932" i="2" s="1"/>
  <c r="AK2932" i="2" s="1"/>
  <c r="W2932" i="2"/>
  <c r="AH2931" i="2"/>
  <c r="AE2931" i="2"/>
  <c r="AD2931" i="2"/>
  <c r="X2931" i="2"/>
  <c r="AB2931" i="2" s="1"/>
  <c r="AK2931" i="2" s="1"/>
  <c r="W2931" i="2"/>
  <c r="AH2930" i="2"/>
  <c r="AE2930" i="2"/>
  <c r="AD2930" i="2"/>
  <c r="AF2930" i="2" s="1"/>
  <c r="X2930" i="2"/>
  <c r="AB2930" i="2" s="1"/>
  <c r="AK2930" i="2" s="1"/>
  <c r="W2930" i="2"/>
  <c r="AH2929" i="2"/>
  <c r="AE2929" i="2"/>
  <c r="AD2929" i="2"/>
  <c r="X2929" i="2"/>
  <c r="AB2929" i="2" s="1"/>
  <c r="AK2929" i="2" s="1"/>
  <c r="W2929" i="2"/>
  <c r="AH2928" i="2"/>
  <c r="AE2928" i="2"/>
  <c r="AD2928" i="2"/>
  <c r="X2928" i="2"/>
  <c r="AB2928" i="2" s="1"/>
  <c r="AK2928" i="2" s="1"/>
  <c r="W2928" i="2"/>
  <c r="AH2927" i="2"/>
  <c r="AE2927" i="2"/>
  <c r="AD2927" i="2"/>
  <c r="AF2927" i="2" s="1"/>
  <c r="X2927" i="2"/>
  <c r="AB2927" i="2" s="1"/>
  <c r="AK2927" i="2" s="1"/>
  <c r="W2927" i="2"/>
  <c r="AH2926" i="2"/>
  <c r="AE2926" i="2"/>
  <c r="AD2926" i="2"/>
  <c r="X2926" i="2"/>
  <c r="W2926" i="2"/>
  <c r="AH2925" i="2"/>
  <c r="AE2925" i="2"/>
  <c r="AD2925" i="2"/>
  <c r="X2925" i="2"/>
  <c r="AB2925" i="2" s="1"/>
  <c r="W2925" i="2"/>
  <c r="AH2924" i="2"/>
  <c r="AE2924" i="2"/>
  <c r="AD2924" i="2"/>
  <c r="X2924" i="2"/>
  <c r="AB2924" i="2" s="1"/>
  <c r="W2924" i="2"/>
  <c r="AH2923" i="2"/>
  <c r="AE2923" i="2"/>
  <c r="AD2923" i="2"/>
  <c r="X2923" i="2"/>
  <c r="AB2923" i="2" s="1"/>
  <c r="AK2923" i="2" s="1"/>
  <c r="W2923" i="2"/>
  <c r="AH2922" i="2"/>
  <c r="AE2922" i="2"/>
  <c r="AD2922" i="2"/>
  <c r="X2922" i="2"/>
  <c r="W2922" i="2"/>
  <c r="AH2921" i="2"/>
  <c r="AE2921" i="2"/>
  <c r="AD2921" i="2"/>
  <c r="X2921" i="2"/>
  <c r="AB2921" i="2" s="1"/>
  <c r="AK2921" i="2" s="1"/>
  <c r="W2921" i="2"/>
  <c r="AH2920" i="2"/>
  <c r="AE2920" i="2"/>
  <c r="AD2920" i="2"/>
  <c r="X2920" i="2"/>
  <c r="AB2920" i="2" s="1"/>
  <c r="AK2920" i="2" s="1"/>
  <c r="W2920" i="2"/>
  <c r="AH2919" i="2"/>
  <c r="AE2919" i="2"/>
  <c r="AD2919" i="2"/>
  <c r="AF2919" i="2" s="1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AB2916" i="2" s="1"/>
  <c r="AK2916" i="2" s="1"/>
  <c r="W2916" i="2"/>
  <c r="AH2915" i="2"/>
  <c r="AE2915" i="2"/>
  <c r="AD2915" i="2"/>
  <c r="X2915" i="2"/>
  <c r="AB2915" i="2" s="1"/>
  <c r="AK2915" i="2" s="1"/>
  <c r="W2915" i="2"/>
  <c r="AH2914" i="2"/>
  <c r="AE2914" i="2"/>
  <c r="AD2914" i="2"/>
  <c r="AF2914" i="2" s="1"/>
  <c r="X2914" i="2"/>
  <c r="AB2914" i="2" s="1"/>
  <c r="AK2914" i="2" s="1"/>
  <c r="W2914" i="2"/>
  <c r="AH2913" i="2"/>
  <c r="AE2913" i="2"/>
  <c r="AD2913" i="2"/>
  <c r="X2913" i="2"/>
  <c r="AB2913" i="2" s="1"/>
  <c r="AK2913" i="2" s="1"/>
  <c r="W2913" i="2"/>
  <c r="AH2912" i="2"/>
  <c r="AE2912" i="2"/>
  <c r="AF2912" i="2" s="1"/>
  <c r="AD2912" i="2"/>
  <c r="X2912" i="2"/>
  <c r="AC2912" i="2" s="1"/>
  <c r="W2912" i="2"/>
  <c r="AH2911" i="2"/>
  <c r="AE2911" i="2"/>
  <c r="AD2911" i="2"/>
  <c r="X2911" i="2"/>
  <c r="AB2911" i="2" s="1"/>
  <c r="AK2911" i="2" s="1"/>
  <c r="W2911" i="2"/>
  <c r="AH2910" i="2"/>
  <c r="AE2910" i="2"/>
  <c r="AD2910" i="2"/>
  <c r="X2910" i="2"/>
  <c r="AC2910" i="2" s="1"/>
  <c r="W2910" i="2"/>
  <c r="AH2909" i="2"/>
  <c r="AE2909" i="2"/>
  <c r="AD2909" i="2"/>
  <c r="X2909" i="2"/>
  <c r="AB2909" i="2" s="1"/>
  <c r="W2909" i="2"/>
  <c r="AH2908" i="2"/>
  <c r="AE2908" i="2"/>
  <c r="AD2908" i="2"/>
  <c r="X2908" i="2"/>
  <c r="W2908" i="2"/>
  <c r="AH2907" i="2"/>
  <c r="AE2907" i="2"/>
  <c r="AD2907" i="2"/>
  <c r="X2907" i="2"/>
  <c r="AB2907" i="2" s="1"/>
  <c r="W2907" i="2"/>
  <c r="AH2906" i="2"/>
  <c r="AE2906" i="2"/>
  <c r="AD2906" i="2"/>
  <c r="X2906" i="2"/>
  <c r="AC2906" i="2" s="1"/>
  <c r="W2906" i="2"/>
  <c r="AH2905" i="2"/>
  <c r="AE2905" i="2"/>
  <c r="AD2905" i="2"/>
  <c r="X2905" i="2"/>
  <c r="W2905" i="2"/>
  <c r="AH2904" i="2"/>
  <c r="AE2904" i="2"/>
  <c r="AF2904" i="2" s="1"/>
  <c r="AD2904" i="2"/>
  <c r="X2904" i="2"/>
  <c r="AB2904" i="2" s="1"/>
  <c r="AK2904" i="2" s="1"/>
  <c r="W2904" i="2"/>
  <c r="AH2903" i="2"/>
  <c r="AE2903" i="2"/>
  <c r="AD2903" i="2"/>
  <c r="AF2903" i="2" s="1"/>
  <c r="X2903" i="2"/>
  <c r="AB2903" i="2" s="1"/>
  <c r="AK2903" i="2" s="1"/>
  <c r="W2903" i="2"/>
  <c r="AH2902" i="2"/>
  <c r="AE2902" i="2"/>
  <c r="AD2902" i="2"/>
  <c r="X2902" i="2"/>
  <c r="AB2902" i="2" s="1"/>
  <c r="W2902" i="2"/>
  <c r="AH2901" i="2"/>
  <c r="AE2901" i="2"/>
  <c r="AD2901" i="2"/>
  <c r="X2901" i="2"/>
  <c r="AB2901" i="2" s="1"/>
  <c r="AK2901" i="2" s="1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AF2898" i="2" s="1"/>
  <c r="X2898" i="2"/>
  <c r="AB2898" i="2" s="1"/>
  <c r="W2898" i="2"/>
  <c r="AH2897" i="2"/>
  <c r="AE2897" i="2"/>
  <c r="AD2897" i="2"/>
  <c r="X2897" i="2"/>
  <c r="AB2897" i="2" s="1"/>
  <c r="AK2897" i="2" s="1"/>
  <c r="W2897" i="2"/>
  <c r="AH2896" i="2"/>
  <c r="AE2896" i="2"/>
  <c r="AF2896" i="2" s="1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AB2893" i="2" s="1"/>
  <c r="AK2893" i="2" s="1"/>
  <c r="W2893" i="2"/>
  <c r="AH2892" i="2"/>
  <c r="AE2892" i="2"/>
  <c r="AD2892" i="2"/>
  <c r="X2892" i="2"/>
  <c r="W2892" i="2"/>
  <c r="AH2891" i="2"/>
  <c r="AE2891" i="2"/>
  <c r="AD2891" i="2"/>
  <c r="X2891" i="2"/>
  <c r="AB2891" i="2" s="1"/>
  <c r="AK2891" i="2" s="1"/>
  <c r="W2891" i="2"/>
  <c r="AH2890" i="2"/>
  <c r="AE2890" i="2"/>
  <c r="AD2890" i="2"/>
  <c r="X2890" i="2"/>
  <c r="AB2890" i="2" s="1"/>
  <c r="AK2890" i="2" s="1"/>
  <c r="W2890" i="2"/>
  <c r="AH2889" i="2"/>
  <c r="AE2889" i="2"/>
  <c r="AD2889" i="2"/>
  <c r="X2889" i="2"/>
  <c r="AB2889" i="2" s="1"/>
  <c r="AK2889" i="2" s="1"/>
  <c r="W2889" i="2"/>
  <c r="AH2888" i="2"/>
  <c r="AE2888" i="2"/>
  <c r="AD2888" i="2"/>
  <c r="X2888" i="2"/>
  <c r="AB2888" i="2" s="1"/>
  <c r="AK2888" i="2" s="1"/>
  <c r="W2888" i="2"/>
  <c r="AH2887" i="2"/>
  <c r="AE2887" i="2"/>
  <c r="AD2887" i="2"/>
  <c r="AF2887" i="2" s="1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AB2884" i="2" s="1"/>
  <c r="AK2884" i="2" s="1"/>
  <c r="W2884" i="2"/>
  <c r="AH2883" i="2"/>
  <c r="AE2883" i="2"/>
  <c r="AD2883" i="2"/>
  <c r="X2883" i="2"/>
  <c r="AB2883" i="2" s="1"/>
  <c r="AK2883" i="2" s="1"/>
  <c r="W2883" i="2"/>
  <c r="AH2882" i="2"/>
  <c r="AE2882" i="2"/>
  <c r="AD2882" i="2"/>
  <c r="AF2882" i="2" s="1"/>
  <c r="X2882" i="2"/>
  <c r="AC2882" i="2" s="1"/>
  <c r="W2882" i="2"/>
  <c r="AH2881" i="2"/>
  <c r="AE2881" i="2"/>
  <c r="AD2881" i="2"/>
  <c r="X2881" i="2"/>
  <c r="AB2881" i="2" s="1"/>
  <c r="AK2881" i="2" s="1"/>
  <c r="W2881" i="2"/>
  <c r="AH2880" i="2"/>
  <c r="AE2880" i="2"/>
  <c r="AD2880" i="2"/>
  <c r="X2880" i="2"/>
  <c r="AB2880" i="2" s="1"/>
  <c r="AK2880" i="2" s="1"/>
  <c r="W2880" i="2"/>
  <c r="AH2879" i="2"/>
  <c r="AE2879" i="2"/>
  <c r="AD2879" i="2"/>
  <c r="X2879" i="2"/>
  <c r="AC2879" i="2" s="1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AB2875" i="2" s="1"/>
  <c r="AK2875" i="2" s="1"/>
  <c r="W2875" i="2"/>
  <c r="AH2874" i="2"/>
  <c r="AE2874" i="2"/>
  <c r="AD2874" i="2"/>
  <c r="AF2874" i="2" s="1"/>
  <c r="X2874" i="2"/>
  <c r="W2874" i="2"/>
  <c r="AH2873" i="2"/>
  <c r="AE2873" i="2"/>
  <c r="AD2873" i="2"/>
  <c r="X2873" i="2"/>
  <c r="AB2873" i="2" s="1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AF2871" i="2" s="1"/>
  <c r="X2871" i="2"/>
  <c r="AC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AB2869" i="2" s="1"/>
  <c r="W2869" i="2"/>
  <c r="AH2868" i="2"/>
  <c r="AE2868" i="2"/>
  <c r="AD2868" i="2"/>
  <c r="X2868" i="2"/>
  <c r="AB2868" i="2" s="1"/>
  <c r="AK2868" i="2" s="1"/>
  <c r="W2868" i="2"/>
  <c r="AH2867" i="2"/>
  <c r="AE2867" i="2"/>
  <c r="AD2867" i="2"/>
  <c r="X2867" i="2"/>
  <c r="AB2867" i="2" s="1"/>
  <c r="AK2867" i="2" s="1"/>
  <c r="W2867" i="2"/>
  <c r="AH2866" i="2"/>
  <c r="AE2866" i="2"/>
  <c r="AD2866" i="2"/>
  <c r="AF2866" i="2" s="1"/>
  <c r="X2866" i="2"/>
  <c r="W2866" i="2"/>
  <c r="AH2865" i="2"/>
  <c r="AE2865" i="2"/>
  <c r="AD2865" i="2"/>
  <c r="X2865" i="2"/>
  <c r="AB2865" i="2" s="1"/>
  <c r="AK2865" i="2" s="1"/>
  <c r="W2865" i="2"/>
  <c r="AH2864" i="2"/>
  <c r="AE2864" i="2"/>
  <c r="AF2864" i="2" s="1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AC2860" i="2" s="1"/>
  <c r="W2860" i="2"/>
  <c r="AH2859" i="2"/>
  <c r="AE2859" i="2"/>
  <c r="AD2859" i="2"/>
  <c r="X2859" i="2"/>
  <c r="AB2859" i="2" s="1"/>
  <c r="AK2859" i="2" s="1"/>
  <c r="W2859" i="2"/>
  <c r="AH2858" i="2"/>
  <c r="AE2858" i="2"/>
  <c r="AD2858" i="2"/>
  <c r="AF2858" i="2" s="1"/>
  <c r="X2858" i="2"/>
  <c r="AC2858" i="2" s="1"/>
  <c r="W2858" i="2"/>
  <c r="AH2857" i="2"/>
  <c r="AE2857" i="2"/>
  <c r="AD2857" i="2"/>
  <c r="X2857" i="2"/>
  <c r="AC2857" i="2" s="1"/>
  <c r="W2857" i="2"/>
  <c r="AH2856" i="2"/>
  <c r="AE2856" i="2"/>
  <c r="AF2856" i="2" s="1"/>
  <c r="AD2856" i="2"/>
  <c r="X2856" i="2"/>
  <c r="AB2856" i="2" s="1"/>
  <c r="AK2856" i="2" s="1"/>
  <c r="W2856" i="2"/>
  <c r="AH2855" i="2"/>
  <c r="AE2855" i="2"/>
  <c r="AD2855" i="2"/>
  <c r="X2855" i="2"/>
  <c r="W2855" i="2"/>
  <c r="AH2854" i="2"/>
  <c r="AE2854" i="2"/>
  <c r="AD2854" i="2"/>
  <c r="X2854" i="2"/>
  <c r="AC2854" i="2" s="1"/>
  <c r="T2854" i="2"/>
  <c r="W2854" i="2"/>
  <c r="AH2853" i="2"/>
  <c r="AE2853" i="2"/>
  <c r="AF2853" i="2" s="1"/>
  <c r="AD2853" i="2"/>
  <c r="X2853" i="2"/>
  <c r="T2853" i="2"/>
  <c r="W2853" i="2"/>
  <c r="AH2852" i="2"/>
  <c r="AE2852" i="2"/>
  <c r="AD2852" i="2"/>
  <c r="AF2852" i="2" s="1"/>
  <c r="X2852" i="2"/>
  <c r="AC2852" i="2" s="1"/>
  <c r="T2852" i="2"/>
  <c r="W2852" i="2"/>
  <c r="AH2851" i="2"/>
  <c r="AE2851" i="2"/>
  <c r="AD2851" i="2"/>
  <c r="X2851" i="2"/>
  <c r="AC2851" i="2" s="1"/>
  <c r="T2851" i="2"/>
  <c r="W2851" i="2"/>
  <c r="AH2850" i="2"/>
  <c r="AE2850" i="2"/>
  <c r="AD2850" i="2"/>
  <c r="X2850" i="2"/>
  <c r="AB2850" i="2" s="1"/>
  <c r="T2850" i="2"/>
  <c r="W2850" i="2"/>
  <c r="AH2849" i="2"/>
  <c r="AE2849" i="2"/>
  <c r="AF2849" i="2" s="1"/>
  <c r="AD2849" i="2"/>
  <c r="X2849" i="2"/>
  <c r="T2849" i="2"/>
  <c r="W2849" i="2"/>
  <c r="AH2848" i="2"/>
  <c r="AE2848" i="2"/>
  <c r="AD2848" i="2"/>
  <c r="AF2848" i="2" s="1"/>
  <c r="X2848" i="2"/>
  <c r="W2848" i="2"/>
  <c r="AH2847" i="2"/>
  <c r="AE2847" i="2"/>
  <c r="AD2847" i="2"/>
  <c r="X2847" i="2"/>
  <c r="AB2847" i="2" s="1"/>
  <c r="W2847" i="2"/>
  <c r="AH2846" i="2"/>
  <c r="AE2846" i="2"/>
  <c r="AF2846" i="2" s="1"/>
  <c r="AD2846" i="2"/>
  <c r="X2846" i="2"/>
  <c r="AB2846" i="2" s="1"/>
  <c r="AK2846" i="2" s="1"/>
  <c r="W2846" i="2"/>
  <c r="AH2845" i="2"/>
  <c r="AE2845" i="2"/>
  <c r="AD2845" i="2"/>
  <c r="X2845" i="2"/>
  <c r="AC2845" i="2" s="1"/>
  <c r="W2845" i="2"/>
  <c r="AH2844" i="2"/>
  <c r="AE2844" i="2"/>
  <c r="AD2844" i="2"/>
  <c r="X2844" i="2"/>
  <c r="AB2844" i="2" s="1"/>
  <c r="W2844" i="2"/>
  <c r="AH2843" i="2"/>
  <c r="AE2843" i="2"/>
  <c r="AD2843" i="2"/>
  <c r="X2843" i="2"/>
  <c r="W2843" i="2"/>
  <c r="AH2842" i="2"/>
  <c r="AE2842" i="2"/>
  <c r="AD2842" i="2"/>
  <c r="X2842" i="2"/>
  <c r="AC2842" i="2" s="1"/>
  <c r="W2842" i="2"/>
  <c r="AH2841" i="2"/>
  <c r="AE2841" i="2"/>
  <c r="AD2841" i="2"/>
  <c r="X2841" i="2"/>
  <c r="AB2841" i="2" s="1"/>
  <c r="AK2841" i="2" s="1"/>
  <c r="W2841" i="2"/>
  <c r="AH2840" i="2"/>
  <c r="AE2840" i="2"/>
  <c r="AD2840" i="2"/>
  <c r="AF2840" i="2" s="1"/>
  <c r="X2840" i="2"/>
  <c r="W2840" i="2"/>
  <c r="AH2839" i="2"/>
  <c r="AE2839" i="2"/>
  <c r="AD2839" i="2"/>
  <c r="Y2839" i="2" s="1"/>
  <c r="AC2839" i="2"/>
  <c r="W2839" i="2"/>
  <c r="AH2838" i="2"/>
  <c r="AE2838" i="2"/>
  <c r="AF2838" i="2" s="1"/>
  <c r="AD2838" i="2"/>
  <c r="X2838" i="2"/>
  <c r="AB2838" i="2" s="1"/>
  <c r="W2838" i="2"/>
  <c r="AH2837" i="2"/>
  <c r="AE2837" i="2"/>
  <c r="AD2837" i="2"/>
  <c r="X2837" i="2"/>
  <c r="W2837" i="2"/>
  <c r="AH2836" i="2"/>
  <c r="AE2836" i="2"/>
  <c r="AD2836" i="2"/>
  <c r="X2836" i="2"/>
  <c r="AB2836" i="2" s="1"/>
  <c r="AK2836" i="2" s="1"/>
  <c r="W2836" i="2"/>
  <c r="AH2835" i="2"/>
  <c r="AE2835" i="2"/>
  <c r="AD2835" i="2"/>
  <c r="X2835" i="2"/>
  <c r="AB2835" i="2" s="1"/>
  <c r="AK2835" i="2" s="1"/>
  <c r="W2835" i="2"/>
  <c r="AH2834" i="2"/>
  <c r="AE2834" i="2"/>
  <c r="AD2834" i="2"/>
  <c r="X2834" i="2"/>
  <c r="AB2834" i="2" s="1"/>
  <c r="AK2834" i="2" s="1"/>
  <c r="W2834" i="2"/>
  <c r="AH2833" i="2"/>
  <c r="AE2833" i="2"/>
  <c r="AD2833" i="2"/>
  <c r="X2833" i="2"/>
  <c r="AB2833" i="2" s="1"/>
  <c r="AK2833" i="2" s="1"/>
  <c r="W2833" i="2"/>
  <c r="AH2832" i="2"/>
  <c r="AE2832" i="2"/>
  <c r="AD2832" i="2"/>
  <c r="AF2832" i="2" s="1"/>
  <c r="X2832" i="2"/>
  <c r="AC2832" i="2" s="1"/>
  <c r="W2832" i="2"/>
  <c r="AH2831" i="2"/>
  <c r="AE2831" i="2"/>
  <c r="AD2831" i="2"/>
  <c r="X2831" i="2"/>
  <c r="AB2831" i="2" s="1"/>
  <c r="W2831" i="2"/>
  <c r="AH2830" i="2"/>
  <c r="AE2830" i="2"/>
  <c r="AF2830" i="2" s="1"/>
  <c r="AD2830" i="2"/>
  <c r="X2830" i="2"/>
  <c r="AB2830" i="2" s="1"/>
  <c r="W2830" i="2"/>
  <c r="AH2829" i="2"/>
  <c r="AE2829" i="2"/>
  <c r="AD2829" i="2"/>
  <c r="AF2829" i="2" s="1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AC2826" i="2" s="1"/>
  <c r="W2826" i="2"/>
  <c r="AH2825" i="2"/>
  <c r="AE2825" i="2"/>
  <c r="AD2825" i="2"/>
  <c r="X2825" i="2"/>
  <c r="W2825" i="2"/>
  <c r="AH2824" i="2"/>
  <c r="AE2824" i="2"/>
  <c r="AD2824" i="2"/>
  <c r="X2824" i="2"/>
  <c r="W2824" i="2"/>
  <c r="AH2823" i="2"/>
  <c r="AE2823" i="2"/>
  <c r="AD2823" i="2"/>
  <c r="X2823" i="2"/>
  <c r="AB2823" i="2" s="1"/>
  <c r="W2823" i="2"/>
  <c r="AH2822" i="2"/>
  <c r="AE2822" i="2"/>
  <c r="AD2822" i="2"/>
  <c r="X2822" i="2"/>
  <c r="AB2822" i="2" s="1"/>
  <c r="W2822" i="2"/>
  <c r="AH2821" i="2"/>
  <c r="AE2821" i="2"/>
  <c r="AD2821" i="2"/>
  <c r="AF2821" i="2" s="1"/>
  <c r="X2821" i="2"/>
  <c r="AC2821" i="2" s="1"/>
  <c r="W2821" i="2"/>
  <c r="AH2820" i="2"/>
  <c r="AE2820" i="2"/>
  <c r="AD2820" i="2"/>
  <c r="X2820" i="2"/>
  <c r="AC2820" i="2" s="1"/>
  <c r="W2820" i="2"/>
  <c r="AH2819" i="2"/>
  <c r="AE2819" i="2"/>
  <c r="AD2819" i="2"/>
  <c r="X2819" i="2"/>
  <c r="AB2819" i="2" s="1"/>
  <c r="W2819" i="2"/>
  <c r="AH2818" i="2"/>
  <c r="AE2818" i="2"/>
  <c r="AD2818" i="2"/>
  <c r="X2818" i="2"/>
  <c r="AC2818" i="2" s="1"/>
  <c r="W2818" i="2"/>
  <c r="AH2817" i="2"/>
  <c r="AE2817" i="2"/>
  <c r="AD2817" i="2"/>
  <c r="X2817" i="2"/>
  <c r="AB2817" i="2" s="1"/>
  <c r="AK2817" i="2" s="1"/>
  <c r="W2817" i="2"/>
  <c r="AH2816" i="2"/>
  <c r="AE2816" i="2"/>
  <c r="AD2816" i="2"/>
  <c r="AF2816" i="2" s="1"/>
  <c r="X2816" i="2"/>
  <c r="AC2816" i="2" s="1"/>
  <c r="W2816" i="2"/>
  <c r="AH2815" i="2"/>
  <c r="AE2815" i="2"/>
  <c r="AD2815" i="2"/>
  <c r="X2815" i="2"/>
  <c r="AB2815" i="2" s="1"/>
  <c r="W2815" i="2"/>
  <c r="AH2814" i="2"/>
  <c r="AE2814" i="2"/>
  <c r="AD2814" i="2"/>
  <c r="X2814" i="2"/>
  <c r="W2814" i="2"/>
  <c r="AH2813" i="2"/>
  <c r="AE2813" i="2"/>
  <c r="AD2813" i="2"/>
  <c r="AF2813" i="2" s="1"/>
  <c r="X2813" i="2"/>
  <c r="W2813" i="2"/>
  <c r="AH2812" i="2"/>
  <c r="AE2812" i="2"/>
  <c r="AD2812" i="2"/>
  <c r="X2812" i="2"/>
  <c r="W2812" i="2"/>
  <c r="AH2811" i="2"/>
  <c r="AE2811" i="2"/>
  <c r="AD2811" i="2"/>
  <c r="X2811" i="2"/>
  <c r="AB2811" i="2" s="1"/>
  <c r="AK2811" i="2" s="1"/>
  <c r="W2811" i="2"/>
  <c r="AH2810" i="2"/>
  <c r="AE2810" i="2"/>
  <c r="AD2810" i="2"/>
  <c r="X2810" i="2"/>
  <c r="W2810" i="2"/>
  <c r="AH2809" i="2"/>
  <c r="AE2809" i="2"/>
  <c r="AD2809" i="2"/>
  <c r="X2809" i="2"/>
  <c r="AB2809" i="2" s="1"/>
  <c r="AK2809" i="2" s="1"/>
  <c r="W2809" i="2"/>
  <c r="AH2808" i="2"/>
  <c r="AE2808" i="2"/>
  <c r="AD2808" i="2"/>
  <c r="AF2808" i="2" s="1"/>
  <c r="X2808" i="2"/>
  <c r="W2808" i="2"/>
  <c r="AH2807" i="2"/>
  <c r="AE2807" i="2"/>
  <c r="AD2807" i="2"/>
  <c r="X2807" i="2"/>
  <c r="AC2807" i="2" s="1"/>
  <c r="W2807" i="2"/>
  <c r="AH2806" i="2"/>
  <c r="AE2806" i="2"/>
  <c r="AF2806" i="2" s="1"/>
  <c r="AD2806" i="2"/>
  <c r="X2806" i="2"/>
  <c r="W2806" i="2"/>
  <c r="AH2805" i="2"/>
  <c r="AE2805" i="2"/>
  <c r="AD2805" i="2"/>
  <c r="AF2805" i="2" s="1"/>
  <c r="X2805" i="2"/>
  <c r="AC2805" i="2" s="1"/>
  <c r="W2805" i="2"/>
  <c r="AH2804" i="2"/>
  <c r="AE2804" i="2"/>
  <c r="AD2804" i="2"/>
  <c r="X2804" i="2"/>
  <c r="AB2804" i="2" s="1"/>
  <c r="W2804" i="2"/>
  <c r="AH2803" i="2"/>
  <c r="AE2803" i="2"/>
  <c r="AD2803" i="2"/>
  <c r="X2803" i="2"/>
  <c r="AB2803" i="2" s="1"/>
  <c r="W2803" i="2"/>
  <c r="AH2802" i="2"/>
  <c r="AE2802" i="2"/>
  <c r="AD2802" i="2"/>
  <c r="X2802" i="2"/>
  <c r="W2802" i="2"/>
  <c r="AH2801" i="2"/>
  <c r="AE2801" i="2"/>
  <c r="AD2801" i="2"/>
  <c r="X2801" i="2"/>
  <c r="AB2801" i="2" s="1"/>
  <c r="AK2801" i="2" s="1"/>
  <c r="W2801" i="2"/>
  <c r="AH2800" i="2"/>
  <c r="AE2800" i="2"/>
  <c r="AD2800" i="2"/>
  <c r="AF2800" i="2" s="1"/>
  <c r="X2800" i="2"/>
  <c r="W2800" i="2"/>
  <c r="AH2799" i="2"/>
  <c r="AE2799" i="2"/>
  <c r="AD2799" i="2"/>
  <c r="X2799" i="2"/>
  <c r="W2799" i="2"/>
  <c r="AH2798" i="2"/>
  <c r="AE2798" i="2"/>
  <c r="AF2798" i="2" s="1"/>
  <c r="AD2798" i="2"/>
  <c r="X2798" i="2"/>
  <c r="AB2798" i="2" s="1"/>
  <c r="W2798" i="2"/>
  <c r="AH2797" i="2"/>
  <c r="AE2797" i="2"/>
  <c r="AD2797" i="2"/>
  <c r="X2797" i="2"/>
  <c r="AC2797" i="2" s="1"/>
  <c r="W2797" i="2"/>
  <c r="AH2796" i="2"/>
  <c r="AE2796" i="2"/>
  <c r="AD2796" i="2"/>
  <c r="X2796" i="2"/>
  <c r="W2796" i="2"/>
  <c r="AH2795" i="2"/>
  <c r="AE2795" i="2"/>
  <c r="AD2795" i="2"/>
  <c r="X2795" i="2"/>
  <c r="AB2795" i="2" s="1"/>
  <c r="W2795" i="2"/>
  <c r="AH2794" i="2"/>
  <c r="AE2794" i="2"/>
  <c r="AD2794" i="2"/>
  <c r="X2794" i="2"/>
  <c r="AB2794" i="2" s="1"/>
  <c r="W2794" i="2"/>
  <c r="AH2793" i="2"/>
  <c r="AE2793" i="2"/>
  <c r="AD2793" i="2"/>
  <c r="X2793" i="2"/>
  <c r="AB2793" i="2" s="1"/>
  <c r="AK2793" i="2" s="1"/>
  <c r="W2793" i="2"/>
  <c r="AH2792" i="2"/>
  <c r="AE2792" i="2"/>
  <c r="AD2792" i="2"/>
  <c r="X2792" i="2"/>
  <c r="W2792" i="2"/>
  <c r="AH2791" i="2"/>
  <c r="AE2791" i="2"/>
  <c r="AD2791" i="2"/>
  <c r="X2791" i="2"/>
  <c r="AB2791" i="2" s="1"/>
  <c r="W2791" i="2"/>
  <c r="AH2790" i="2"/>
  <c r="AE2790" i="2"/>
  <c r="AF2790" i="2" s="1"/>
  <c r="AD2790" i="2"/>
  <c r="X2790" i="2"/>
  <c r="AC2790" i="2" s="1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AB2787" i="2" s="1"/>
  <c r="AK2787" i="2" s="1"/>
  <c r="W2787" i="2"/>
  <c r="AD2786" i="2"/>
  <c r="X2786" i="2"/>
  <c r="W2786" i="2"/>
  <c r="AD2785" i="2"/>
  <c r="AH2785" i="2" s="1"/>
  <c r="X2785" i="2"/>
  <c r="AB2785" i="2" s="1"/>
  <c r="AK2785" i="2" s="1"/>
  <c r="W2785" i="2"/>
  <c r="AD2784" i="2"/>
  <c r="X2784" i="2"/>
  <c r="AB2784" i="2" s="1"/>
  <c r="AK2784" i="2" s="1"/>
  <c r="W2784" i="2"/>
  <c r="AD2783" i="2"/>
  <c r="AF2783" i="2" s="1"/>
  <c r="X2783" i="2"/>
  <c r="W2783" i="2"/>
  <c r="AD2782" i="2"/>
  <c r="AF2782" i="2" s="1"/>
  <c r="X2782" i="2"/>
  <c r="AB2782" i="2" s="1"/>
  <c r="AK2782" i="2" s="1"/>
  <c r="W2782" i="2"/>
  <c r="AD2781" i="2"/>
  <c r="AF2781" i="2" s="1"/>
  <c r="X2781" i="2"/>
  <c r="W2781" i="2"/>
  <c r="AF2780" i="2"/>
  <c r="X2780" i="2"/>
  <c r="Y2780" i="2" s="1"/>
  <c r="W2780" i="2"/>
  <c r="AF2779" i="2"/>
  <c r="X2779" i="2"/>
  <c r="Y2779" i="2" s="1"/>
  <c r="W2779" i="2"/>
  <c r="AF2778" i="2"/>
  <c r="X2778" i="2"/>
  <c r="AC2778" i="2" s="1"/>
  <c r="W2778" i="2"/>
  <c r="AF2777" i="2"/>
  <c r="X2777" i="2"/>
  <c r="AB2777" i="2" s="1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AB2773" i="2" s="1"/>
  <c r="W2773" i="2"/>
  <c r="AF2772" i="2"/>
  <c r="X2772" i="2"/>
  <c r="Y2772" i="2" s="1"/>
  <c r="W2772" i="2"/>
  <c r="AF2771" i="2"/>
  <c r="X2771" i="2"/>
  <c r="AB2771" i="2" s="1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Y2767" i="2" s="1"/>
  <c r="W2767" i="2"/>
  <c r="AF2766" i="2"/>
  <c r="X2766" i="2"/>
  <c r="AC2766" i="2" s="1"/>
  <c r="W2766" i="2"/>
  <c r="AF2765" i="2"/>
  <c r="X2765" i="2"/>
  <c r="W2765" i="2"/>
  <c r="AD2764" i="2"/>
  <c r="X2764" i="2"/>
  <c r="AB2764" i="2" s="1"/>
  <c r="AK2764" i="2" s="1"/>
  <c r="W2764" i="2"/>
  <c r="AD2763" i="2"/>
  <c r="AH2763" i="2" s="1"/>
  <c r="X2763" i="2"/>
  <c r="AB2763" i="2" s="1"/>
  <c r="W2763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5" i="3"/>
  <c r="O105" i="3" s="1"/>
  <c r="L104" i="3"/>
  <c r="O104" i="3"/>
  <c r="L103" i="3"/>
  <c r="O103" i="3"/>
  <c r="L102" i="3"/>
  <c r="L101" i="3"/>
  <c r="L100" i="3"/>
  <c r="T99" i="3"/>
  <c r="U99" i="3"/>
  <c r="V99" i="3" s="1"/>
  <c r="L98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AB4913" i="2"/>
  <c r="AK4913" i="2" s="1"/>
  <c r="AB4340" i="2"/>
  <c r="AK4340" i="2" s="1"/>
  <c r="AB4353" i="2"/>
  <c r="AK4353" i="2" s="1"/>
  <c r="Y4432" i="2"/>
  <c r="Y4440" i="2"/>
  <c r="Y4448" i="2"/>
  <c r="Y4527" i="2"/>
  <c r="AB4535" i="2"/>
  <c r="AK4535" i="2" s="1"/>
  <c r="AB4553" i="2"/>
  <c r="AK4553" i="2" s="1"/>
  <c r="Y4611" i="2"/>
  <c r="Y4619" i="2"/>
  <c r="AB4627" i="2"/>
  <c r="AK4627" i="2" s="1"/>
  <c r="AB4781" i="2"/>
  <c r="AK4781" i="2" s="1"/>
  <c r="Y4781" i="2"/>
  <c r="Y4783" i="2"/>
  <c r="AB4785" i="2"/>
  <c r="AK4785" i="2" s="1"/>
  <c r="Y4785" i="2"/>
  <c r="AB4787" i="2"/>
  <c r="AK4787" i="2" s="1"/>
  <c r="Y4787" i="2"/>
  <c r="AB4789" i="2"/>
  <c r="AK4789" i="2" s="1"/>
  <c r="Y4789" i="2"/>
  <c r="AB4791" i="2"/>
  <c r="AK4791" i="2" s="1"/>
  <c r="Y4791" i="2"/>
  <c r="AB4793" i="2"/>
  <c r="AK4793" i="2" s="1"/>
  <c r="Y4793" i="2"/>
  <c r="AB4795" i="2"/>
  <c r="AK4795" i="2" s="1"/>
  <c r="Y4795" i="2"/>
  <c r="AB4797" i="2"/>
  <c r="AK4797" i="2" s="1"/>
  <c r="Y4797" i="2"/>
  <c r="AB4799" i="2"/>
  <c r="AK4799" i="2" s="1"/>
  <c r="Y4799" i="2"/>
  <c r="AB4801" i="2"/>
  <c r="AK4801" i="2" s="1"/>
  <c r="Y4801" i="2"/>
  <c r="AB4803" i="2"/>
  <c r="AK4803" i="2" s="1"/>
  <c r="Y4803" i="2"/>
  <c r="Y4805" i="2"/>
  <c r="AB4807" i="2"/>
  <c r="AK4807" i="2" s="1"/>
  <c r="Y4807" i="2"/>
  <c r="AB4809" i="2"/>
  <c r="AK4809" i="2" s="1"/>
  <c r="AB4811" i="2"/>
  <c r="AK4811" i="2" s="1"/>
  <c r="Y4811" i="2"/>
  <c r="Y4813" i="2"/>
  <c r="AB5017" i="2"/>
  <c r="AK5017" i="2" s="1"/>
  <c r="AB5019" i="2"/>
  <c r="AK5019" i="2" s="1"/>
  <c r="Y5019" i="2"/>
  <c r="AB5021" i="2"/>
  <c r="AK5021" i="2" s="1"/>
  <c r="Y5021" i="2"/>
  <c r="AB5023" i="2"/>
  <c r="AK5023" i="2" s="1"/>
  <c r="Y5023" i="2"/>
  <c r="Y5025" i="2"/>
  <c r="AB5027" i="2"/>
  <c r="AK5027" i="2" s="1"/>
  <c r="Y5027" i="2"/>
  <c r="AB5029" i="2"/>
  <c r="AK5029" i="2" s="1"/>
  <c r="Y5029" i="2"/>
  <c r="AB5031" i="2"/>
  <c r="AK5031" i="2" s="1"/>
  <c r="Y5031" i="2"/>
  <c r="AF5060" i="2"/>
  <c r="Y5060" i="2"/>
  <c r="AB5189" i="2"/>
  <c r="AK5189" i="2" s="1"/>
  <c r="Y5189" i="2"/>
  <c r="AB5191" i="2"/>
  <c r="AK5191" i="2" s="1"/>
  <c r="Y5191" i="2"/>
  <c r="AB5193" i="2"/>
  <c r="AK5193" i="2" s="1"/>
  <c r="Y5193" i="2"/>
  <c r="Y5244" i="2"/>
  <c r="AB5247" i="2"/>
  <c r="AK5247" i="2" s="1"/>
  <c r="Y5247" i="2"/>
  <c r="AB5255" i="2"/>
  <c r="AK5255" i="2" s="1"/>
  <c r="Y5255" i="2"/>
  <c r="AB5263" i="2"/>
  <c r="AK5263" i="2" s="1"/>
  <c r="Y5263" i="2"/>
  <c r="Y5266" i="2"/>
  <c r="AB5274" i="2"/>
  <c r="AK5274" i="2" s="1"/>
  <c r="Y5274" i="2"/>
  <c r="AB4040" i="2"/>
  <c r="AK4040" i="2" s="1"/>
  <c r="AB4080" i="2"/>
  <c r="AK4080" i="2" s="1"/>
  <c r="Y4135" i="2"/>
  <c r="Y4276" i="2"/>
  <c r="AB4284" i="2"/>
  <c r="AK4284" i="2" s="1"/>
  <c r="Y4337" i="2"/>
  <c r="AB4397" i="2"/>
  <c r="AK4397" i="2" s="1"/>
  <c r="Y4397" i="2"/>
  <c r="AB4405" i="2"/>
  <c r="AK4405" i="2" s="1"/>
  <c r="AB4413" i="2"/>
  <c r="AK4413" i="2" s="1"/>
  <c r="Y4413" i="2"/>
  <c r="AB4421" i="2"/>
  <c r="AK4421" i="2" s="1"/>
  <c r="Y4421" i="2"/>
  <c r="AB4429" i="2"/>
  <c r="AK4429" i="2" s="1"/>
  <c r="Y4429" i="2"/>
  <c r="Y4437" i="2"/>
  <c r="AB4445" i="2"/>
  <c r="AK4445" i="2" s="1"/>
  <c r="Y4445" i="2"/>
  <c r="AB4453" i="2"/>
  <c r="AK4453" i="2" s="1"/>
  <c r="Y4453" i="2"/>
  <c r="AB4461" i="2"/>
  <c r="AK4461" i="2" s="1"/>
  <c r="Y4461" i="2"/>
  <c r="AB4469" i="2"/>
  <c r="AK4469" i="2" s="1"/>
  <c r="Y4469" i="2"/>
  <c r="AB4477" i="2"/>
  <c r="AK4477" i="2" s="1"/>
  <c r="Y4477" i="2"/>
  <c r="AB4485" i="2"/>
  <c r="AK4485" i="2" s="1"/>
  <c r="Y4485" i="2"/>
  <c r="AB4493" i="2"/>
  <c r="AK4493" i="2" s="1"/>
  <c r="Y4493" i="2"/>
  <c r="AB4501" i="2"/>
  <c r="AK4501" i="2" s="1"/>
  <c r="Y4501" i="2"/>
  <c r="AB4516" i="2"/>
  <c r="AK4516" i="2" s="1"/>
  <c r="Y4516" i="2"/>
  <c r="AB4524" i="2"/>
  <c r="AK4524" i="2" s="1"/>
  <c r="Y4524" i="2"/>
  <c r="AB4532" i="2"/>
  <c r="AK4532" i="2" s="1"/>
  <c r="Y4532" i="2"/>
  <c r="AB4540" i="2"/>
  <c r="AK4540" i="2" s="1"/>
  <c r="Y4540" i="2"/>
  <c r="AB4545" i="2"/>
  <c r="AK4545" i="2" s="1"/>
  <c r="Y4545" i="2"/>
  <c r="AB4550" i="2"/>
  <c r="AK4550" i="2" s="1"/>
  <c r="Y4550" i="2"/>
  <c r="AB4558" i="2"/>
  <c r="AK4558" i="2" s="1"/>
  <c r="Y4558" i="2"/>
  <c r="AB4563" i="2"/>
  <c r="AK4563" i="2" s="1"/>
  <c r="Y4563" i="2"/>
  <c r="AB4571" i="2"/>
  <c r="AK4571" i="2" s="1"/>
  <c r="Y4571" i="2"/>
  <c r="AB4579" i="2"/>
  <c r="AK4579" i="2" s="1"/>
  <c r="Y4579" i="2"/>
  <c r="AB4587" i="2"/>
  <c r="AK4587" i="2" s="1"/>
  <c r="Y4587" i="2"/>
  <c r="AB4592" i="2"/>
  <c r="AK4592" i="2" s="1"/>
  <c r="Y4592" i="2"/>
  <c r="AB4600" i="2"/>
  <c r="AK4600" i="2" s="1"/>
  <c r="Y4600" i="2"/>
  <c r="AB4608" i="2"/>
  <c r="AK4608" i="2" s="1"/>
  <c r="Y4608" i="2"/>
  <c r="AB4616" i="2"/>
  <c r="AK4616" i="2" s="1"/>
  <c r="Y4616" i="2"/>
  <c r="AB4624" i="2"/>
  <c r="AK4624" i="2" s="1"/>
  <c r="Y4624" i="2"/>
  <c r="AB4632" i="2"/>
  <c r="AK4632" i="2" s="1"/>
  <c r="Y4632" i="2"/>
  <c r="AB4640" i="2"/>
  <c r="AK4640" i="2" s="1"/>
  <c r="Y4640" i="2"/>
  <c r="AB4645" i="2"/>
  <c r="AK4645" i="2" s="1"/>
  <c r="Y4645" i="2"/>
  <c r="AB4653" i="2"/>
  <c r="AK4653" i="2" s="1"/>
  <c r="Y4653" i="2"/>
  <c r="Y4665" i="2"/>
  <c r="AB4667" i="2"/>
  <c r="AK4667" i="2" s="1"/>
  <c r="Y4667" i="2"/>
  <c r="AB4669" i="2"/>
  <c r="AK4669" i="2" s="1"/>
  <c r="Y4669" i="2"/>
  <c r="AB4671" i="2"/>
  <c r="AK4671" i="2" s="1"/>
  <c r="Y4671" i="2"/>
  <c r="AB4673" i="2"/>
  <c r="AK4673" i="2" s="1"/>
  <c r="Y4673" i="2"/>
  <c r="AB4675" i="2"/>
  <c r="AK4675" i="2" s="1"/>
  <c r="Y4675" i="2"/>
  <c r="AB4677" i="2"/>
  <c r="AK4677" i="2" s="1"/>
  <c r="Y4677" i="2"/>
  <c r="AB4679" i="2"/>
  <c r="AK4679" i="2" s="1"/>
  <c r="Y4679" i="2"/>
  <c r="AB4681" i="2"/>
  <c r="AK4681" i="2" s="1"/>
  <c r="Y4681" i="2"/>
  <c r="AB4683" i="2"/>
  <c r="AK4683" i="2" s="1"/>
  <c r="Y4683" i="2"/>
  <c r="AB4685" i="2"/>
  <c r="AK4685" i="2" s="1"/>
  <c r="Y4685" i="2"/>
  <c r="AB4695" i="2"/>
  <c r="AK4695" i="2" s="1"/>
  <c r="Y4695" i="2"/>
  <c r="AB4697" i="2"/>
  <c r="AK4697" i="2" s="1"/>
  <c r="Y4697" i="2"/>
  <c r="AB4699" i="2"/>
  <c r="AK4699" i="2" s="1"/>
  <c r="Y4699" i="2"/>
  <c r="AB4701" i="2"/>
  <c r="AK4701" i="2" s="1"/>
  <c r="Y4701" i="2"/>
  <c r="AB4703" i="2"/>
  <c r="AK4703" i="2" s="1"/>
  <c r="Y4703" i="2"/>
  <c r="AB4705" i="2"/>
  <c r="AK4705" i="2" s="1"/>
  <c r="Y4705" i="2"/>
  <c r="AB4707" i="2"/>
  <c r="AK4707" i="2" s="1"/>
  <c r="Y4707" i="2"/>
  <c r="AB4709" i="2"/>
  <c r="AK4709" i="2" s="1"/>
  <c r="Y4709" i="2"/>
  <c r="AB4711" i="2"/>
  <c r="AK4711" i="2" s="1"/>
  <c r="Y4711" i="2"/>
  <c r="AB4713" i="2"/>
  <c r="AK4713" i="2" s="1"/>
  <c r="Y4713" i="2"/>
  <c r="AB4715" i="2"/>
  <c r="AK4715" i="2" s="1"/>
  <c r="Y4715" i="2"/>
  <c r="AB4717" i="2"/>
  <c r="AK4717" i="2" s="1"/>
  <c r="Y4717" i="2"/>
  <c r="AB4719" i="2"/>
  <c r="AK4719" i="2" s="1"/>
  <c r="Y4719" i="2"/>
  <c r="AB4721" i="2"/>
  <c r="AK4721" i="2" s="1"/>
  <c r="Y4721" i="2"/>
  <c r="AB4723" i="2"/>
  <c r="AK4723" i="2" s="1"/>
  <c r="Y4723" i="2"/>
  <c r="AB4725" i="2"/>
  <c r="AK4725" i="2" s="1"/>
  <c r="Y4725" i="2"/>
  <c r="AB4727" i="2"/>
  <c r="AK4727" i="2" s="1"/>
  <c r="Y4727" i="2"/>
  <c r="AB4729" i="2"/>
  <c r="AK4729" i="2" s="1"/>
  <c r="Y4729" i="2"/>
  <c r="AB4731" i="2"/>
  <c r="AK4731" i="2" s="1"/>
  <c r="Y4731" i="2"/>
  <c r="AB4733" i="2"/>
  <c r="AK4733" i="2" s="1"/>
  <c r="Y4733" i="2"/>
  <c r="AB4735" i="2"/>
  <c r="AK4735" i="2" s="1"/>
  <c r="Y4735" i="2"/>
  <c r="AB4737" i="2"/>
  <c r="AK4737" i="2" s="1"/>
  <c r="Y4737" i="2"/>
  <c r="AB4739" i="2"/>
  <c r="AK4739" i="2" s="1"/>
  <c r="Y4739" i="2"/>
  <c r="AB4741" i="2"/>
  <c r="AK4741" i="2" s="1"/>
  <c r="Y4741" i="2"/>
  <c r="AB4743" i="2"/>
  <c r="AK4743" i="2" s="1"/>
  <c r="Y4743" i="2"/>
  <c r="AB4745" i="2"/>
  <c r="AK4745" i="2" s="1"/>
  <c r="Y4745" i="2"/>
  <c r="AB4747" i="2"/>
  <c r="AK4747" i="2" s="1"/>
  <c r="Y4747" i="2"/>
  <c r="AB4749" i="2"/>
  <c r="AK4749" i="2" s="1"/>
  <c r="Y4749" i="2"/>
  <c r="AB4751" i="2"/>
  <c r="AK4751" i="2" s="1"/>
  <c r="Y4751" i="2"/>
  <c r="AB4753" i="2"/>
  <c r="AK4753" i="2" s="1"/>
  <c r="Y4753" i="2"/>
  <c r="AB4755" i="2"/>
  <c r="AK4755" i="2" s="1"/>
  <c r="Y4755" i="2"/>
  <c r="AB4757" i="2"/>
  <c r="AK4757" i="2" s="1"/>
  <c r="Y4757" i="2"/>
  <c r="AB4759" i="2"/>
  <c r="AK4759" i="2" s="1"/>
  <c r="Y4759" i="2"/>
  <c r="AB4761" i="2"/>
  <c r="AK4761" i="2" s="1"/>
  <c r="Y4761" i="2"/>
  <c r="AB4763" i="2"/>
  <c r="AK4763" i="2" s="1"/>
  <c r="Y4763" i="2"/>
  <c r="AB4765" i="2"/>
  <c r="AK4765" i="2" s="1"/>
  <c r="Y4765" i="2"/>
  <c r="AB4767" i="2"/>
  <c r="AK4767" i="2" s="1"/>
  <c r="Y4767" i="2"/>
  <c r="AB4769" i="2"/>
  <c r="AK4769" i="2" s="1"/>
  <c r="Y4769" i="2"/>
  <c r="Y4771" i="2"/>
  <c r="Y4773" i="2"/>
  <c r="AB4775" i="2"/>
  <c r="AK4775" i="2" s="1"/>
  <c r="Y4775" i="2"/>
  <c r="AB4777" i="2"/>
  <c r="AK4777" i="2" s="1"/>
  <c r="Y4777" i="2"/>
  <c r="AB4779" i="2"/>
  <c r="AK4779" i="2" s="1"/>
  <c r="Y4779" i="2"/>
  <c r="Y4924" i="2"/>
  <c r="AB4926" i="2"/>
  <c r="AK4926" i="2" s="1"/>
  <c r="Y4926" i="2"/>
  <c r="AB4928" i="2"/>
  <c r="AK4928" i="2" s="1"/>
  <c r="Y4928" i="2"/>
  <c r="AB4930" i="2"/>
  <c r="AK4930" i="2" s="1"/>
  <c r="Y4930" i="2"/>
  <c r="Y4932" i="2"/>
  <c r="AB4934" i="2"/>
  <c r="AK4934" i="2" s="1"/>
  <c r="Y4934" i="2"/>
  <c r="AB4936" i="2"/>
  <c r="AK4936" i="2" s="1"/>
  <c r="Y4936" i="2"/>
  <c r="AB4938" i="2"/>
  <c r="AK4938" i="2" s="1"/>
  <c r="Y4938" i="2"/>
  <c r="Y4940" i="2"/>
  <c r="AB4942" i="2"/>
  <c r="AK4942" i="2" s="1"/>
  <c r="Y4942" i="2"/>
  <c r="AB4944" i="2"/>
  <c r="AK4944" i="2" s="1"/>
  <c r="Y4944" i="2"/>
  <c r="AB4946" i="2"/>
  <c r="AK4946" i="2" s="1"/>
  <c r="Y4946" i="2"/>
  <c r="AB4948" i="2"/>
  <c r="AK4948" i="2" s="1"/>
  <c r="Y4948" i="2"/>
  <c r="AB4950" i="2"/>
  <c r="AK4950" i="2" s="1"/>
  <c r="Y4950" i="2"/>
  <c r="AF4952" i="2"/>
  <c r="Y4952" i="2"/>
  <c r="AB5001" i="2"/>
  <c r="AK5001" i="2" s="1"/>
  <c r="Y5001" i="2"/>
  <c r="AB5003" i="2"/>
  <c r="AK5003" i="2" s="1"/>
  <c r="Y5003" i="2"/>
  <c r="AB5005" i="2"/>
  <c r="AK5005" i="2" s="1"/>
  <c r="Y5005" i="2"/>
  <c r="AB5007" i="2"/>
  <c r="AK5007" i="2" s="1"/>
  <c r="Y5007" i="2"/>
  <c r="AB5009" i="2"/>
  <c r="AK5009" i="2" s="1"/>
  <c r="Y5009" i="2"/>
  <c r="AB5011" i="2"/>
  <c r="AK5011" i="2" s="1"/>
  <c r="Y5011" i="2"/>
  <c r="AB5013" i="2"/>
  <c r="AK5013" i="2" s="1"/>
  <c r="Y5013" i="2"/>
  <c r="AB5015" i="2"/>
  <c r="AK5015" i="2" s="1"/>
  <c r="Y5015" i="2"/>
  <c r="AB5171" i="2"/>
  <c r="AK5171" i="2" s="1"/>
  <c r="Y5171" i="2"/>
  <c r="AB5173" i="2"/>
  <c r="AK5173" i="2" s="1"/>
  <c r="Y5173" i="2"/>
  <c r="AB5175" i="2"/>
  <c r="AK5175" i="2" s="1"/>
  <c r="Y5175" i="2"/>
  <c r="AB5177" i="2"/>
  <c r="AK5177" i="2" s="1"/>
  <c r="Y5177" i="2"/>
  <c r="AB5179" i="2"/>
  <c r="AK5179" i="2" s="1"/>
  <c r="Y5179" i="2"/>
  <c r="AB5181" i="2"/>
  <c r="AK5181" i="2" s="1"/>
  <c r="Y5181" i="2"/>
  <c r="AB5183" i="2"/>
  <c r="AK5183" i="2" s="1"/>
  <c r="Y5183" i="2"/>
  <c r="AB5185" i="2"/>
  <c r="AK5185" i="2" s="1"/>
  <c r="Y5185" i="2"/>
  <c r="AB5187" i="2"/>
  <c r="AK5187" i="2" s="1"/>
  <c r="Y5187" i="2"/>
  <c r="AB5250" i="2"/>
  <c r="AK5250" i="2" s="1"/>
  <c r="Y5250" i="2"/>
  <c r="AB5258" i="2"/>
  <c r="AK5258" i="2" s="1"/>
  <c r="Y5258" i="2"/>
  <c r="AB5269" i="2"/>
  <c r="AK5269" i="2" s="1"/>
  <c r="Y5269" i="2"/>
  <c r="AB5278" i="2"/>
  <c r="AK5278" i="2" s="1"/>
  <c r="Y5278" i="2"/>
  <c r="AB5282" i="2"/>
  <c r="AK5282" i="2" s="1"/>
  <c r="Y5282" i="2"/>
  <c r="AB5286" i="2"/>
  <c r="AK5286" i="2" s="1"/>
  <c r="Y5286" i="2"/>
  <c r="AB5290" i="2"/>
  <c r="AK5290" i="2" s="1"/>
  <c r="Y5290" i="2"/>
  <c r="AB5294" i="2"/>
  <c r="AK5294" i="2" s="1"/>
  <c r="Y5294" i="2"/>
  <c r="AB5302" i="2"/>
  <c r="AK5302" i="2" s="1"/>
  <c r="Y5302" i="2"/>
  <c r="AB3166" i="2"/>
  <c r="Y3210" i="2"/>
  <c r="AB3258" i="2"/>
  <c r="AK3258" i="2" s="1"/>
  <c r="Y3260" i="2"/>
  <c r="AB3262" i="2"/>
  <c r="AK3262" i="2" s="1"/>
  <c r="Y3262" i="2"/>
  <c r="AB3264" i="2"/>
  <c r="AK3264" i="2" s="1"/>
  <c r="Y3270" i="2"/>
  <c r="AB3272" i="2"/>
  <c r="AK3272" i="2" s="1"/>
  <c r="Y3272" i="2"/>
  <c r="AB3274" i="2"/>
  <c r="AK3274" i="2" s="1"/>
  <c r="Y3276" i="2"/>
  <c r="Y3282" i="2"/>
  <c r="AB3284" i="2"/>
  <c r="AK3284" i="2" s="1"/>
  <c r="Y3284" i="2"/>
  <c r="AB3288" i="2"/>
  <c r="AK3288" i="2" s="1"/>
  <c r="Y3288" i="2"/>
  <c r="AB3294" i="2"/>
  <c r="AK3294" i="2" s="1"/>
  <c r="AB3308" i="2"/>
  <c r="AK3308" i="2" s="1"/>
  <c r="Y3322" i="2"/>
  <c r="AB3326" i="2"/>
  <c r="AK3326" i="2" s="1"/>
  <c r="Y3334" i="2"/>
  <c r="AB3340" i="2"/>
  <c r="AK3340" i="2" s="1"/>
  <c r="AB3342" i="2"/>
  <c r="AK3342" i="2" s="1"/>
  <c r="AB3346" i="2"/>
  <c r="AK3346" i="2" s="1"/>
  <c r="Y3348" i="2"/>
  <c r="AB3362" i="2"/>
  <c r="AK3362" i="2" s="1"/>
  <c r="AB3364" i="2"/>
  <c r="AB3366" i="2"/>
  <c r="AK3366" i="2" s="1"/>
  <c r="Y3366" i="2"/>
  <c r="AB3368" i="2"/>
  <c r="AK3368" i="2" s="1"/>
  <c r="AB3374" i="2"/>
  <c r="AK3374" i="2" s="1"/>
  <c r="AB3376" i="2"/>
  <c r="AK3376" i="2" s="1"/>
  <c r="AB3584" i="2"/>
  <c r="AK3584" i="2" s="1"/>
  <c r="AB3608" i="2"/>
  <c r="AK3608" i="2" s="1"/>
  <c r="AB3624" i="2"/>
  <c r="AK3624" i="2" s="1"/>
  <c r="Y3624" i="2"/>
  <c r="AB3640" i="2"/>
  <c r="AK3640" i="2" s="1"/>
  <c r="AB3648" i="2"/>
  <c r="AK3648" i="2" s="1"/>
  <c r="AB3656" i="2"/>
  <c r="AK3656" i="2" s="1"/>
  <c r="Y3656" i="2"/>
  <c r="AB3664" i="2"/>
  <c r="AK3664" i="2" s="1"/>
  <c r="Y3664" i="2"/>
  <c r="AB3672" i="2"/>
  <c r="AK3672" i="2" s="1"/>
  <c r="Y3680" i="2"/>
  <c r="AB3688" i="2"/>
  <c r="AK3688" i="2" s="1"/>
  <c r="AB3704" i="2"/>
  <c r="AK3704" i="2" s="1"/>
  <c r="Y3704" i="2"/>
  <c r="AB3712" i="2"/>
  <c r="AK3712" i="2" s="1"/>
  <c r="AB3720" i="2"/>
  <c r="AK3720" i="2" s="1"/>
  <c r="Y3720" i="2"/>
  <c r="AB3728" i="2"/>
  <c r="AK3728" i="2" s="1"/>
  <c r="AB3736" i="2"/>
  <c r="AK3736" i="2" s="1"/>
  <c r="Y3736" i="2"/>
  <c r="AB3744" i="2"/>
  <c r="AK3744" i="2" s="1"/>
  <c r="Y3744" i="2"/>
  <c r="Y3752" i="2"/>
  <c r="AB3760" i="2"/>
  <c r="AK3760" i="2" s="1"/>
  <c r="AB3768" i="2"/>
  <c r="AK3768" i="2" s="1"/>
  <c r="AB3776" i="2"/>
  <c r="AK3776" i="2" s="1"/>
  <c r="AB3784" i="2"/>
  <c r="AK3784" i="2" s="1"/>
  <c r="Y3784" i="2"/>
  <c r="AB3792" i="2"/>
  <c r="AK3792" i="2" s="1"/>
  <c r="AB3800" i="2"/>
  <c r="AK3800" i="2" s="1"/>
  <c r="Y3800" i="2"/>
  <c r="Y3808" i="2"/>
  <c r="AB3816" i="2"/>
  <c r="AK3816" i="2" s="1"/>
  <c r="Y3816" i="2"/>
  <c r="AB3824" i="2"/>
  <c r="AK3824" i="2" s="1"/>
  <c r="AB3832" i="2"/>
  <c r="AK3832" i="2" s="1"/>
  <c r="Y3832" i="2"/>
  <c r="AB3837" i="2"/>
  <c r="AK3837" i="2" s="1"/>
  <c r="Y3837" i="2"/>
  <c r="AB3845" i="2"/>
  <c r="AK3845" i="2" s="1"/>
  <c r="Y3845" i="2"/>
  <c r="AB3853" i="2"/>
  <c r="AK3853" i="2" s="1"/>
  <c r="AB3861" i="2"/>
  <c r="AK3861" i="2" s="1"/>
  <c r="Y3861" i="2"/>
  <c r="AB3869" i="2"/>
  <c r="AK3869" i="2" s="1"/>
  <c r="Y3869" i="2"/>
  <c r="AK3877" i="2"/>
  <c r="Y3877" i="2"/>
  <c r="AB3885" i="2"/>
  <c r="AK3885" i="2" s="1"/>
  <c r="AB3893" i="2"/>
  <c r="AK3893" i="2" s="1"/>
  <c r="Y3893" i="2"/>
  <c r="AB3901" i="2"/>
  <c r="AK3901" i="2" s="1"/>
  <c r="Y3901" i="2"/>
  <c r="AB3909" i="2"/>
  <c r="AK3909" i="2" s="1"/>
  <c r="Y3909" i="2"/>
  <c r="AB3917" i="2"/>
  <c r="AK3917" i="2" s="1"/>
  <c r="Y3917" i="2"/>
  <c r="AB3925" i="2"/>
  <c r="AK3925" i="2" s="1"/>
  <c r="Y3925" i="2"/>
  <c r="AB3933" i="2"/>
  <c r="AK3933" i="2" s="1"/>
  <c r="Y3933" i="2"/>
  <c r="AB3941" i="2"/>
  <c r="AK3941" i="2" s="1"/>
  <c r="Y3941" i="2"/>
  <c r="AB3949" i="2"/>
  <c r="AK3949" i="2" s="1"/>
  <c r="Y3949" i="2"/>
  <c r="AB3957" i="2"/>
  <c r="AK3957" i="2" s="1"/>
  <c r="Y3957" i="2"/>
  <c r="AB3965" i="2"/>
  <c r="AK3965" i="2" s="1"/>
  <c r="Y3965" i="2"/>
  <c r="AB3973" i="2"/>
  <c r="AK3973" i="2" s="1"/>
  <c r="Y3973" i="2"/>
  <c r="AB3981" i="2"/>
  <c r="AK3981" i="2" s="1"/>
  <c r="Y3981" i="2"/>
  <c r="AB3989" i="2"/>
  <c r="AK3989" i="2" s="1"/>
  <c r="Y3989" i="2"/>
  <c r="AB3997" i="2"/>
  <c r="AK3997" i="2" s="1"/>
  <c r="Y3997" i="2"/>
  <c r="AB4005" i="2"/>
  <c r="AK4005" i="2" s="1"/>
  <c r="Y4005" i="2"/>
  <c r="AB4013" i="2"/>
  <c r="AK4013" i="2" s="1"/>
  <c r="Y4013" i="2"/>
  <c r="AB4021" i="2"/>
  <c r="AK4021" i="2" s="1"/>
  <c r="Y4021" i="2"/>
  <c r="AB4029" i="2"/>
  <c r="AK4029" i="2" s="1"/>
  <c r="Y4029" i="2"/>
  <c r="AB4037" i="2"/>
  <c r="AK4037" i="2" s="1"/>
  <c r="Y4037" i="2"/>
  <c r="AB4045" i="2"/>
  <c r="AK4045" i="2" s="1"/>
  <c r="Y4045" i="2"/>
  <c r="AB4053" i="2"/>
  <c r="AK4053" i="2" s="1"/>
  <c r="Y4053" i="2"/>
  <c r="AB4061" i="2"/>
  <c r="AK4061" i="2" s="1"/>
  <c r="Y4061" i="2"/>
  <c r="AB4069" i="2"/>
  <c r="AK4069" i="2" s="1"/>
  <c r="Y4069" i="2"/>
  <c r="AB4077" i="2"/>
  <c r="AK4077" i="2" s="1"/>
  <c r="Y4077" i="2"/>
  <c r="AB4087" i="2"/>
  <c r="AK4087" i="2" s="1"/>
  <c r="Y4087" i="2"/>
  <c r="AB4095" i="2"/>
  <c r="AK4095" i="2" s="1"/>
  <c r="Y4095" i="2"/>
  <c r="AB4103" i="2"/>
  <c r="AK4103" i="2" s="1"/>
  <c r="Y4103" i="2"/>
  <c r="AB4116" i="2"/>
  <c r="AK4116" i="2" s="1"/>
  <c r="Y4116" i="2"/>
  <c r="AB4124" i="2"/>
  <c r="AK4124" i="2" s="1"/>
  <c r="Y4124" i="2"/>
  <c r="AB4132" i="2"/>
  <c r="AK4132" i="2" s="1"/>
  <c r="Y4132" i="2"/>
  <c r="AB4140" i="2"/>
  <c r="AK4140" i="2" s="1"/>
  <c r="Y4140" i="2"/>
  <c r="AB4148" i="2"/>
  <c r="AK4148" i="2" s="1"/>
  <c r="Y4148" i="2"/>
  <c r="AB4156" i="2"/>
  <c r="AK4156" i="2" s="1"/>
  <c r="Y4156" i="2"/>
  <c r="AB4164" i="2"/>
  <c r="AK4164" i="2" s="1"/>
  <c r="Y4164" i="2"/>
  <c r="AB4172" i="2"/>
  <c r="AK4172" i="2" s="1"/>
  <c r="Y4172" i="2"/>
  <c r="AB4180" i="2"/>
  <c r="AK4180" i="2" s="1"/>
  <c r="Y4180" i="2"/>
  <c r="AB4188" i="2"/>
  <c r="AK4188" i="2" s="1"/>
  <c r="Y4188" i="2"/>
  <c r="AB4196" i="2"/>
  <c r="AK4196" i="2" s="1"/>
  <c r="Y4196" i="2"/>
  <c r="AB4204" i="2"/>
  <c r="AK4204" i="2" s="1"/>
  <c r="Y4204" i="2"/>
  <c r="AB4212" i="2"/>
  <c r="AK4212" i="2" s="1"/>
  <c r="Y4212" i="2"/>
  <c r="AB4220" i="2"/>
  <c r="AK4220" i="2" s="1"/>
  <c r="Y4220" i="2"/>
  <c r="AB4228" i="2"/>
  <c r="AK4228" i="2" s="1"/>
  <c r="Y4228" i="2"/>
  <c r="AB4236" i="2"/>
  <c r="AK4236" i="2" s="1"/>
  <c r="Y4236" i="2"/>
  <c r="AB4244" i="2"/>
  <c r="AK4244" i="2" s="1"/>
  <c r="Y4244" i="2"/>
  <c r="AB4252" i="2"/>
  <c r="AK4252" i="2" s="1"/>
  <c r="Y4252" i="2"/>
  <c r="AB4260" i="2"/>
  <c r="AK4260" i="2" s="1"/>
  <c r="Y4260" i="2"/>
  <c r="AB4273" i="2"/>
  <c r="AK4273" i="2" s="1"/>
  <c r="Y4273" i="2"/>
  <c r="AB4281" i="2"/>
  <c r="AK4281" i="2" s="1"/>
  <c r="Y4281" i="2"/>
  <c r="AB4289" i="2"/>
  <c r="AK4289" i="2" s="1"/>
  <c r="Y4289" i="2"/>
  <c r="AB4297" i="2"/>
  <c r="AK4297" i="2" s="1"/>
  <c r="Y4297" i="2"/>
  <c r="AB4305" i="2"/>
  <c r="AK4305" i="2" s="1"/>
  <c r="Y4305" i="2"/>
  <c r="AB4313" i="2"/>
  <c r="AK4313" i="2" s="1"/>
  <c r="Y4313" i="2"/>
  <c r="AB4321" i="2"/>
  <c r="AK4321" i="2" s="1"/>
  <c r="Y4321" i="2"/>
  <c r="AB4329" i="2"/>
  <c r="AK4329" i="2" s="1"/>
  <c r="Y4329" i="2"/>
  <c r="AB4334" i="2"/>
  <c r="AK4334" i="2" s="1"/>
  <c r="Y4334" i="2"/>
  <c r="AB4342" i="2"/>
  <c r="AK4342" i="2" s="1"/>
  <c r="Y4342" i="2"/>
  <c r="AB4347" i="2"/>
  <c r="AK4347" i="2" s="1"/>
  <c r="Y4347" i="2"/>
  <c r="AB4355" i="2"/>
  <c r="AK4355" i="2" s="1"/>
  <c r="Y4355" i="2"/>
  <c r="AB4363" i="2"/>
  <c r="AK4363" i="2" s="1"/>
  <c r="Y4363" i="2"/>
  <c r="AB4371" i="2"/>
  <c r="AK4371" i="2" s="1"/>
  <c r="Y4371" i="2"/>
  <c r="AB4379" i="2"/>
  <c r="AK4379" i="2" s="1"/>
  <c r="Y4379" i="2"/>
  <c r="AB4387" i="2"/>
  <c r="AK4387" i="2" s="1"/>
  <c r="Y4387" i="2"/>
  <c r="AB4392" i="2"/>
  <c r="AK4392" i="2" s="1"/>
  <c r="Y4392" i="2"/>
  <c r="AB4402" i="2"/>
  <c r="AK4402" i="2" s="1"/>
  <c r="Y4402" i="2"/>
  <c r="AB4410" i="2"/>
  <c r="AK4410" i="2" s="1"/>
  <c r="Y4410" i="2"/>
  <c r="AB4418" i="2"/>
  <c r="AK4418" i="2" s="1"/>
  <c r="Y4418" i="2"/>
  <c r="AB4426" i="2"/>
  <c r="AK4426" i="2" s="1"/>
  <c r="Y4426" i="2"/>
  <c r="AB4434" i="2"/>
  <c r="AK4434" i="2" s="1"/>
  <c r="Y4434" i="2"/>
  <c r="Y4442" i="2"/>
  <c r="AB4450" i="2"/>
  <c r="AK4450" i="2" s="1"/>
  <c r="Y4450" i="2"/>
  <c r="AB4458" i="2"/>
  <c r="AK4458" i="2" s="1"/>
  <c r="Y4458" i="2"/>
  <c r="AB4466" i="2"/>
  <c r="AK4466" i="2" s="1"/>
  <c r="Y4466" i="2"/>
  <c r="AB4474" i="2"/>
  <c r="AK4474" i="2" s="1"/>
  <c r="Y4474" i="2"/>
  <c r="AB4482" i="2"/>
  <c r="AK4482" i="2" s="1"/>
  <c r="Y4482" i="2"/>
  <c r="AB4490" i="2"/>
  <c r="AK4490" i="2" s="1"/>
  <c r="Y4490" i="2"/>
  <c r="AB4498" i="2"/>
  <c r="AK4498" i="2" s="1"/>
  <c r="Y4498" i="2"/>
  <c r="AB4506" i="2"/>
  <c r="AK4506" i="2" s="1"/>
  <c r="Y4506" i="2"/>
  <c r="AB4513" i="2"/>
  <c r="AK4513" i="2" s="1"/>
  <c r="Y4513" i="2"/>
  <c r="AB4521" i="2"/>
  <c r="AK4521" i="2" s="1"/>
  <c r="Y4521" i="2"/>
  <c r="AB4529" i="2"/>
  <c r="AK4529" i="2" s="1"/>
  <c r="Y4529" i="2"/>
  <c r="AB4537" i="2"/>
  <c r="AK4537" i="2" s="1"/>
  <c r="Y4537" i="2"/>
  <c r="AB4555" i="2"/>
  <c r="AK4555" i="2" s="1"/>
  <c r="Y4555" i="2"/>
  <c r="AB4568" i="2"/>
  <c r="AK4568" i="2" s="1"/>
  <c r="Y4568" i="2"/>
  <c r="AB4576" i="2"/>
  <c r="AK4576" i="2" s="1"/>
  <c r="Y4576" i="2"/>
  <c r="AB4584" i="2"/>
  <c r="AK4584" i="2" s="1"/>
  <c r="Y4584" i="2"/>
  <c r="AB4597" i="2"/>
  <c r="AK4597" i="2" s="1"/>
  <c r="Y4597" i="2"/>
  <c r="AB4605" i="2"/>
  <c r="AK4605" i="2" s="1"/>
  <c r="Y4605" i="2"/>
  <c r="AB4613" i="2"/>
  <c r="AK4613" i="2" s="1"/>
  <c r="Y4613" i="2"/>
  <c r="AB4621" i="2"/>
  <c r="AK4621" i="2" s="1"/>
  <c r="Y4621" i="2"/>
  <c r="AB4629" i="2"/>
  <c r="AK4629" i="2" s="1"/>
  <c r="Y4629" i="2"/>
  <c r="AB4637" i="2"/>
  <c r="AK4637" i="2" s="1"/>
  <c r="Y4637" i="2"/>
  <c r="AB4650" i="2"/>
  <c r="AK4650" i="2" s="1"/>
  <c r="Y4650" i="2"/>
  <c r="AB4655" i="2"/>
  <c r="AK4655" i="2" s="1"/>
  <c r="Y4655" i="2"/>
  <c r="AB4657" i="2"/>
  <c r="AK4657" i="2" s="1"/>
  <c r="Y4657" i="2"/>
  <c r="AB4659" i="2"/>
  <c r="AK4659" i="2" s="1"/>
  <c r="Y4659" i="2"/>
  <c r="AB4661" i="2"/>
  <c r="AK4661" i="2" s="1"/>
  <c r="Y4661" i="2"/>
  <c r="AB4663" i="2"/>
  <c r="AK4663" i="2" s="1"/>
  <c r="Y4663" i="2"/>
  <c r="AB4687" i="2"/>
  <c r="AK4687" i="2" s="1"/>
  <c r="AB4689" i="2"/>
  <c r="AK4689" i="2" s="1"/>
  <c r="AB4691" i="2"/>
  <c r="AK4691" i="2" s="1"/>
  <c r="AB4693" i="2"/>
  <c r="AK4693" i="2" s="1"/>
  <c r="Y4693" i="2"/>
  <c r="AB4985" i="2"/>
  <c r="AK4985" i="2" s="1"/>
  <c r="AB4987" i="2"/>
  <c r="AK4987" i="2" s="1"/>
  <c r="Y4987" i="2"/>
  <c r="AB4989" i="2"/>
  <c r="AK4989" i="2" s="1"/>
  <c r="AB4991" i="2"/>
  <c r="AK4991" i="2" s="1"/>
  <c r="Y4991" i="2"/>
  <c r="AB4993" i="2"/>
  <c r="AK4993" i="2" s="1"/>
  <c r="AB4995" i="2"/>
  <c r="AK4995" i="2" s="1"/>
  <c r="Y4995" i="2"/>
  <c r="AB4997" i="2"/>
  <c r="AK4997" i="2" s="1"/>
  <c r="AB4999" i="2"/>
  <c r="AK4999" i="2" s="1"/>
  <c r="Y4999" i="2"/>
  <c r="Y5242" i="2"/>
  <c r="AB5245" i="2"/>
  <c r="AK5245" i="2" s="1"/>
  <c r="Y5245" i="2"/>
  <c r="AB5253" i="2"/>
  <c r="AK5253" i="2" s="1"/>
  <c r="Y5253" i="2"/>
  <c r="AB5261" i="2"/>
  <c r="AK5261" i="2" s="1"/>
  <c r="Y5261" i="2"/>
  <c r="AB5272" i="2"/>
  <c r="AK5272" i="2" s="1"/>
  <c r="Y5272" i="2"/>
  <c r="AB5298" i="2"/>
  <c r="AK5298" i="2" s="1"/>
  <c r="Y5298" i="2"/>
  <c r="Y3425" i="2"/>
  <c r="Y3435" i="2"/>
  <c r="Y3499" i="2"/>
  <c r="Y3523" i="2"/>
  <c r="AB3531" i="2"/>
  <c r="AK3531" i="2" s="1"/>
  <c r="Y3568" i="2"/>
  <c r="AB3589" i="2"/>
  <c r="AK3589" i="2" s="1"/>
  <c r="Y3589" i="2"/>
  <c r="Y3597" i="2"/>
  <c r="AB3605" i="2"/>
  <c r="AK3605" i="2" s="1"/>
  <c r="AB3613" i="2"/>
  <c r="AK3613" i="2" s="1"/>
  <c r="AB3629" i="2"/>
  <c r="AK3629" i="2" s="1"/>
  <c r="Y3629" i="2"/>
  <c r="AB3637" i="2"/>
  <c r="AK3637" i="2" s="1"/>
  <c r="AB3653" i="2"/>
  <c r="AK3653" i="2" s="1"/>
  <c r="Y3653" i="2"/>
  <c r="AB3661" i="2"/>
  <c r="AK3661" i="2" s="1"/>
  <c r="Y3669" i="2"/>
  <c r="AB3677" i="2"/>
  <c r="AK3677" i="2" s="1"/>
  <c r="Y3685" i="2"/>
  <c r="AB3701" i="2"/>
  <c r="AK3701" i="2" s="1"/>
  <c r="Y3701" i="2"/>
  <c r="Y3709" i="2"/>
  <c r="AB3725" i="2"/>
  <c r="AK3725" i="2" s="1"/>
  <c r="Y3725" i="2"/>
  <c r="AB3733" i="2"/>
  <c r="AK3733" i="2" s="1"/>
  <c r="AB3741" i="2"/>
  <c r="AK3741" i="2" s="1"/>
  <c r="AB3749" i="2"/>
  <c r="AK3749" i="2" s="1"/>
  <c r="AB3757" i="2"/>
  <c r="AK3757" i="2" s="1"/>
  <c r="Y3757" i="2"/>
  <c r="Y3765" i="2"/>
  <c r="AB3773" i="2"/>
  <c r="AK3773" i="2" s="1"/>
  <c r="Y3773" i="2"/>
  <c r="Y3789" i="2"/>
  <c r="AB3797" i="2"/>
  <c r="AK3797" i="2" s="1"/>
  <c r="Y3797" i="2"/>
  <c r="AB3805" i="2"/>
  <c r="AK3805" i="2" s="1"/>
  <c r="Y3805" i="2"/>
  <c r="AB3813" i="2"/>
  <c r="AK3813" i="2" s="1"/>
  <c r="Y3813" i="2"/>
  <c r="Y3821" i="2"/>
  <c r="AB3829" i="2"/>
  <c r="AK3829" i="2" s="1"/>
  <c r="Y3829" i="2"/>
  <c r="AB3834" i="2"/>
  <c r="AK3834" i="2" s="1"/>
  <c r="Y3834" i="2"/>
  <c r="AB3842" i="2"/>
  <c r="AK3842" i="2" s="1"/>
  <c r="Y3842" i="2"/>
  <c r="Y3850" i="2"/>
  <c r="AB3858" i="2"/>
  <c r="AK3858" i="2" s="1"/>
  <c r="Y3858" i="2"/>
  <c r="AB3866" i="2"/>
  <c r="AK3866" i="2" s="1"/>
  <c r="Y3866" i="2"/>
  <c r="AB3874" i="2"/>
  <c r="AK3874" i="2" s="1"/>
  <c r="Y3874" i="2"/>
  <c r="Y3882" i="2"/>
  <c r="AB3890" i="2"/>
  <c r="AK3890" i="2" s="1"/>
  <c r="Y3890" i="2"/>
  <c r="AB3898" i="2"/>
  <c r="AK3898" i="2" s="1"/>
  <c r="Y3898" i="2"/>
  <c r="AB3906" i="2"/>
  <c r="AK3906" i="2" s="1"/>
  <c r="Y3906" i="2"/>
  <c r="Y3914" i="2"/>
  <c r="AB3922" i="2"/>
  <c r="AK3922" i="2" s="1"/>
  <c r="Y3922" i="2"/>
  <c r="AB3930" i="2"/>
  <c r="AK3930" i="2" s="1"/>
  <c r="Y3930" i="2"/>
  <c r="AB3938" i="2"/>
  <c r="AK3938" i="2" s="1"/>
  <c r="Y3938" i="2"/>
  <c r="Y3946" i="2"/>
  <c r="AB3954" i="2"/>
  <c r="AK3954" i="2" s="1"/>
  <c r="Y3954" i="2"/>
  <c r="AB3962" i="2"/>
  <c r="AK3962" i="2" s="1"/>
  <c r="Y3962" i="2"/>
  <c r="AB3970" i="2"/>
  <c r="AK3970" i="2" s="1"/>
  <c r="Y3970" i="2"/>
  <c r="Y3978" i="2"/>
  <c r="AB3986" i="2"/>
  <c r="AK3986" i="2" s="1"/>
  <c r="Y3986" i="2"/>
  <c r="AB3994" i="2"/>
  <c r="AK3994" i="2" s="1"/>
  <c r="Y3994" i="2"/>
  <c r="AB4002" i="2"/>
  <c r="AK4002" i="2" s="1"/>
  <c r="Y4002" i="2"/>
  <c r="Y4010" i="2"/>
  <c r="AB4018" i="2"/>
  <c r="AK4018" i="2" s="1"/>
  <c r="Y4018" i="2"/>
  <c r="AB4026" i="2"/>
  <c r="AK4026" i="2" s="1"/>
  <c r="Y4026" i="2"/>
  <c r="AB4034" i="2"/>
  <c r="AK4034" i="2" s="1"/>
  <c r="Y4034" i="2"/>
  <c r="Y4042" i="2"/>
  <c r="AB4050" i="2"/>
  <c r="AK4050" i="2" s="1"/>
  <c r="Y4050" i="2"/>
  <c r="AB4058" i="2"/>
  <c r="AK4058" i="2" s="1"/>
  <c r="Y4058" i="2"/>
  <c r="AB4066" i="2"/>
  <c r="AK4066" i="2" s="1"/>
  <c r="Y4066" i="2"/>
  <c r="Y4074" i="2"/>
  <c r="AB4082" i="2"/>
  <c r="AK4082" i="2" s="1"/>
  <c r="Y4082" i="2"/>
  <c r="AB4092" i="2"/>
  <c r="AK4092" i="2" s="1"/>
  <c r="Y4092" i="2"/>
  <c r="AB4100" i="2"/>
  <c r="AK4100" i="2" s="1"/>
  <c r="Y4100" i="2"/>
  <c r="Y4108" i="2"/>
  <c r="AB4121" i="2"/>
  <c r="AK4121" i="2" s="1"/>
  <c r="Y4121" i="2"/>
  <c r="AB4129" i="2"/>
  <c r="AK4129" i="2" s="1"/>
  <c r="Y4129" i="2"/>
  <c r="AB4137" i="2"/>
  <c r="AK4137" i="2" s="1"/>
  <c r="Y4137" i="2"/>
  <c r="Y4145" i="2"/>
  <c r="AB4153" i="2"/>
  <c r="AK4153" i="2" s="1"/>
  <c r="Y4153" i="2"/>
  <c r="AB4161" i="2"/>
  <c r="AK4161" i="2" s="1"/>
  <c r="Y4161" i="2"/>
  <c r="AB4169" i="2"/>
  <c r="AK4169" i="2" s="1"/>
  <c r="Y4169" i="2"/>
  <c r="AB4177" i="2"/>
  <c r="AK4177" i="2" s="1"/>
  <c r="Y4177" i="2"/>
  <c r="AB4185" i="2"/>
  <c r="AK4185" i="2" s="1"/>
  <c r="Y4185" i="2"/>
  <c r="AB4193" i="2"/>
  <c r="AK4193" i="2" s="1"/>
  <c r="Y4193" i="2"/>
  <c r="AB4201" i="2"/>
  <c r="AK4201" i="2" s="1"/>
  <c r="Y4201" i="2"/>
  <c r="AB4209" i="2"/>
  <c r="AK4209" i="2" s="1"/>
  <c r="Y4209" i="2"/>
  <c r="AB4217" i="2"/>
  <c r="AK4217" i="2" s="1"/>
  <c r="Y4217" i="2"/>
  <c r="AB4225" i="2"/>
  <c r="AK4225" i="2" s="1"/>
  <c r="Y4225" i="2"/>
  <c r="AB4233" i="2"/>
  <c r="AK4233" i="2" s="1"/>
  <c r="Y4233" i="2"/>
  <c r="AB4241" i="2"/>
  <c r="AK4241" i="2" s="1"/>
  <c r="Y4241" i="2"/>
  <c r="AB4249" i="2"/>
  <c r="AK4249" i="2" s="1"/>
  <c r="Y4249" i="2"/>
  <c r="AB4257" i="2"/>
  <c r="AK4257" i="2" s="1"/>
  <c r="Y4257" i="2"/>
  <c r="Y4265" i="2"/>
  <c r="AB4270" i="2"/>
  <c r="AK4270" i="2" s="1"/>
  <c r="Y4270" i="2"/>
  <c r="AB4278" i="2"/>
  <c r="AK4278" i="2" s="1"/>
  <c r="Y4278" i="2"/>
  <c r="AB4286" i="2"/>
  <c r="AK4286" i="2" s="1"/>
  <c r="Y4286" i="2"/>
  <c r="AB4294" i="2"/>
  <c r="AK4294" i="2" s="1"/>
  <c r="Y4294" i="2"/>
  <c r="AB4302" i="2"/>
  <c r="AK4302" i="2" s="1"/>
  <c r="Y4302" i="2"/>
  <c r="AB4310" i="2"/>
  <c r="AK4310" i="2" s="1"/>
  <c r="Y4310" i="2"/>
  <c r="AB4318" i="2"/>
  <c r="AK4318" i="2" s="1"/>
  <c r="Y4318" i="2"/>
  <c r="AB4326" i="2"/>
  <c r="AK4326" i="2" s="1"/>
  <c r="Y4326" i="2"/>
  <c r="AB4331" i="2"/>
  <c r="AK4331" i="2" s="1"/>
  <c r="Y4331" i="2"/>
  <c r="AB4339" i="2"/>
  <c r="AK4339" i="2" s="1"/>
  <c r="Y4339" i="2"/>
  <c r="AB4344" i="2"/>
  <c r="AK4344" i="2" s="1"/>
  <c r="Y4344" i="2"/>
  <c r="Y4352" i="2"/>
  <c r="AB4360" i="2"/>
  <c r="AK4360" i="2" s="1"/>
  <c r="Y4360" i="2"/>
  <c r="AB4368" i="2"/>
  <c r="AK4368" i="2" s="1"/>
  <c r="Y4368" i="2"/>
  <c r="AB4376" i="2"/>
  <c r="AK4376" i="2" s="1"/>
  <c r="Y4376" i="2"/>
  <c r="AB4384" i="2"/>
  <c r="AK4384" i="2" s="1"/>
  <c r="Y4384" i="2"/>
  <c r="AB4399" i="2"/>
  <c r="AK4399" i="2" s="1"/>
  <c r="Y4407" i="2"/>
  <c r="AB4415" i="2"/>
  <c r="AK4415" i="2" s="1"/>
  <c r="AB4423" i="2"/>
  <c r="AK4423" i="2" s="1"/>
  <c r="AB4431" i="2"/>
  <c r="AK4431" i="2" s="1"/>
  <c r="AB4439" i="2"/>
  <c r="AK4439" i="2" s="1"/>
  <c r="AB4447" i="2"/>
  <c r="AK4447" i="2" s="1"/>
  <c r="AB4455" i="2"/>
  <c r="AK4455" i="2" s="1"/>
  <c r="AB4463" i="2"/>
  <c r="AK4463" i="2" s="1"/>
  <c r="AB4471" i="2"/>
  <c r="AK4471" i="2" s="1"/>
  <c r="AB4479" i="2"/>
  <c r="AK4479" i="2" s="1"/>
  <c r="AB4487" i="2"/>
  <c r="AK4487" i="2" s="1"/>
  <c r="AB4495" i="2"/>
  <c r="AK4495" i="2" s="1"/>
  <c r="AB4503" i="2"/>
  <c r="AK4503" i="2" s="1"/>
  <c r="AB4508" i="2"/>
  <c r="AK4508" i="2" s="1"/>
  <c r="AB4510" i="2"/>
  <c r="AK4510" i="2" s="1"/>
  <c r="AB4518" i="2"/>
  <c r="AK4518" i="2" s="1"/>
  <c r="Y4526" i="2"/>
  <c r="AB4534" i="2"/>
  <c r="AK4534" i="2" s="1"/>
  <c r="AB4542" i="2"/>
  <c r="AK4542" i="2" s="1"/>
  <c r="Y4542" i="2"/>
  <c r="AB4547" i="2"/>
  <c r="AK4547" i="2" s="1"/>
  <c r="AB4552" i="2"/>
  <c r="AK4552" i="2" s="1"/>
  <c r="AB4560" i="2"/>
  <c r="AK4560" i="2" s="1"/>
  <c r="AB4565" i="2"/>
  <c r="AK4565" i="2" s="1"/>
  <c r="AB4573" i="2"/>
  <c r="AK4573" i="2" s="1"/>
  <c r="Y4573" i="2"/>
  <c r="AB4581" i="2"/>
  <c r="AK4581" i="2" s="1"/>
  <c r="AB4589" i="2"/>
  <c r="AK4589" i="2" s="1"/>
  <c r="AB4594" i="2"/>
  <c r="AK4594" i="2" s="1"/>
  <c r="AB4602" i="2"/>
  <c r="AK4602" i="2" s="1"/>
  <c r="Y4602" i="2"/>
  <c r="AB4610" i="2"/>
  <c r="AK4610" i="2" s="1"/>
  <c r="Y4610" i="2"/>
  <c r="AB4618" i="2"/>
  <c r="AK4618" i="2" s="1"/>
  <c r="AB4626" i="2"/>
  <c r="AK4626" i="2" s="1"/>
  <c r="AB4634" i="2"/>
  <c r="AK4634" i="2" s="1"/>
  <c r="AB4642" i="2"/>
  <c r="AK4642" i="2" s="1"/>
  <c r="Y4642" i="2"/>
  <c r="AB4647" i="2"/>
  <c r="AK4647" i="2" s="1"/>
  <c r="AB4816" i="2"/>
  <c r="AK4816" i="2" s="1"/>
  <c r="AB4820" i="2"/>
  <c r="AK4820" i="2" s="1"/>
  <c r="Y4820" i="2"/>
  <c r="AB4824" i="2"/>
  <c r="AK4824" i="2" s="1"/>
  <c r="Y4824" i="2"/>
  <c r="AB4826" i="2"/>
  <c r="AK4826" i="2" s="1"/>
  <c r="Y4832" i="2"/>
  <c r="AB4834" i="2"/>
  <c r="AK4834" i="2" s="1"/>
  <c r="Y4834" i="2"/>
  <c r="Y4836" i="2"/>
  <c r="AB4842" i="2"/>
  <c r="AK4842" i="2" s="1"/>
  <c r="Y4842" i="2"/>
  <c r="AB4844" i="2"/>
  <c r="AK4844" i="2" s="1"/>
  <c r="Y4844" i="2"/>
  <c r="AB4846" i="2"/>
  <c r="AK4846" i="2" s="1"/>
  <c r="Y4848" i="2"/>
  <c r="Y4852" i="2"/>
  <c r="AB4854" i="2"/>
  <c r="AK4854" i="2" s="1"/>
  <c r="Y4854" i="2"/>
  <c r="Y4858" i="2"/>
  <c r="AB4860" i="2"/>
  <c r="AK4860" i="2" s="1"/>
  <c r="Y4862" i="2"/>
  <c r="AB4864" i="2"/>
  <c r="AK4864" i="2" s="1"/>
  <c r="AB4868" i="2"/>
  <c r="AK4868" i="2" s="1"/>
  <c r="Y4868" i="2"/>
  <c r="AB4870" i="2"/>
  <c r="AK4870" i="2" s="1"/>
  <c r="Y4874" i="2"/>
  <c r="Y4876" i="2"/>
  <c r="Y4878" i="2"/>
  <c r="AB4880" i="2"/>
  <c r="AK4880" i="2" s="1"/>
  <c r="AB4882" i="2"/>
  <c r="AK4882" i="2" s="1"/>
  <c r="AB4886" i="2"/>
  <c r="AK4886" i="2" s="1"/>
  <c r="AB4888" i="2"/>
  <c r="AK4888" i="2" s="1"/>
  <c r="Y4888" i="2"/>
  <c r="AB4890" i="2"/>
  <c r="AK4890" i="2" s="1"/>
  <c r="AB4892" i="2"/>
  <c r="AK4892" i="2" s="1"/>
  <c r="Y4892" i="2"/>
  <c r="AB4898" i="2"/>
  <c r="AK4898" i="2" s="1"/>
  <c r="AB4900" i="2"/>
  <c r="AK4900" i="2" s="1"/>
  <c r="Y4900" i="2"/>
  <c r="AB4902" i="2"/>
  <c r="AK4902" i="2" s="1"/>
  <c r="Y4902" i="2"/>
  <c r="AB4908" i="2"/>
  <c r="AK4908" i="2" s="1"/>
  <c r="Y4908" i="2"/>
  <c r="AB4955" i="2"/>
  <c r="AK4955" i="2" s="1"/>
  <c r="Y4955" i="2"/>
  <c r="AB4957" i="2"/>
  <c r="AK4957" i="2" s="1"/>
  <c r="Y4957" i="2"/>
  <c r="AB4963" i="2"/>
  <c r="AK4963" i="2" s="1"/>
  <c r="Y4963" i="2"/>
  <c r="AB4965" i="2"/>
  <c r="AK4965" i="2" s="1"/>
  <c r="Y4965" i="2"/>
  <c r="AB4967" i="2"/>
  <c r="AK4967" i="2" s="1"/>
  <c r="Y4969" i="2"/>
  <c r="AB4973" i="2"/>
  <c r="AK4973" i="2" s="1"/>
  <c r="Y4973" i="2"/>
  <c r="AB4975" i="2"/>
  <c r="AK4975" i="2" s="1"/>
  <c r="AB4977" i="2"/>
  <c r="AK4977" i="2" s="1"/>
  <c r="AB4979" i="2"/>
  <c r="AK4979" i="2" s="1"/>
  <c r="Y4979" i="2"/>
  <c r="AF4983" i="2"/>
  <c r="AB5032" i="2"/>
  <c r="AK5032" i="2" s="1"/>
  <c r="Y5032" i="2"/>
  <c r="Y5034" i="2"/>
  <c r="AB5036" i="2"/>
  <c r="AK5036" i="2" s="1"/>
  <c r="Y5036" i="2"/>
  <c r="AB5042" i="2"/>
  <c r="AK5042" i="2" s="1"/>
  <c r="Y5042" i="2"/>
  <c r="Y5045" i="2"/>
  <c r="AB5047" i="2"/>
  <c r="AK5047" i="2" s="1"/>
  <c r="AB5049" i="2"/>
  <c r="AK5049" i="2" s="1"/>
  <c r="AB5051" i="2"/>
  <c r="AK5051" i="2" s="1"/>
  <c r="Y5053" i="2"/>
  <c r="Y5055" i="2"/>
  <c r="AB5057" i="2"/>
  <c r="AK5057" i="2" s="1"/>
  <c r="AB5059" i="2"/>
  <c r="AK5059" i="2" s="1"/>
  <c r="Y5059" i="2"/>
  <c r="AB5061" i="2"/>
  <c r="AK5061" i="2" s="1"/>
  <c r="AB5065" i="2"/>
  <c r="AK5065" i="2" s="1"/>
  <c r="AB5067" i="2"/>
  <c r="AK5067" i="2" s="1"/>
  <c r="Y5067" i="2"/>
  <c r="AB5069" i="2"/>
  <c r="AK5069" i="2" s="1"/>
  <c r="Y5069" i="2"/>
  <c r="AB5071" i="2"/>
  <c r="AK5071" i="2" s="1"/>
  <c r="Y5075" i="2"/>
  <c r="AB5077" i="2"/>
  <c r="AK5077" i="2" s="1"/>
  <c r="Y5077" i="2"/>
  <c r="AB5079" i="2"/>
  <c r="AK5079" i="2" s="1"/>
  <c r="Y5079" i="2"/>
  <c r="AB5081" i="2"/>
  <c r="AK5081" i="2" s="1"/>
  <c r="Y5085" i="2"/>
  <c r="AB5087" i="2"/>
  <c r="AK5087" i="2" s="1"/>
  <c r="Y5087" i="2"/>
  <c r="AB5089" i="2"/>
  <c r="AK5089" i="2" s="1"/>
  <c r="AB5091" i="2"/>
  <c r="AK5091" i="2" s="1"/>
  <c r="AB5093" i="2"/>
  <c r="AK5093" i="2" s="1"/>
  <c r="Y5095" i="2"/>
  <c r="AB5097" i="2"/>
  <c r="AK5097" i="2" s="1"/>
  <c r="AB5099" i="2"/>
  <c r="AK5099" i="2" s="1"/>
  <c r="Y5099" i="2"/>
  <c r="AB5103" i="2"/>
  <c r="AK5103" i="2" s="1"/>
  <c r="Y5103" i="2"/>
  <c r="Y5107" i="2"/>
  <c r="AB5109" i="2"/>
  <c r="AK5109" i="2" s="1"/>
  <c r="Y5109" i="2"/>
  <c r="Y5111" i="2"/>
  <c r="AB5113" i="2"/>
  <c r="AK5113" i="2" s="1"/>
  <c r="Y5113" i="2"/>
  <c r="Y5117" i="2"/>
  <c r="AB5119" i="2"/>
  <c r="AK5119" i="2" s="1"/>
  <c r="AB5121" i="2"/>
  <c r="AK5121" i="2" s="1"/>
  <c r="Y5121" i="2"/>
  <c r="Y5123" i="2"/>
  <c r="AB5125" i="2"/>
  <c r="AK5125" i="2" s="1"/>
  <c r="Y5127" i="2"/>
  <c r="Y5129" i="2"/>
  <c r="AB5131" i="2"/>
  <c r="AK5131" i="2" s="1"/>
  <c r="Y5131" i="2"/>
  <c r="AB5133" i="2"/>
  <c r="AK5133" i="2" s="1"/>
  <c r="Y5133" i="2"/>
  <c r="Y5137" i="2"/>
  <c r="AB5139" i="2"/>
  <c r="AK5139" i="2" s="1"/>
  <c r="Y5139" i="2"/>
  <c r="AB5141" i="2"/>
  <c r="AK5141" i="2" s="1"/>
  <c r="Y5141" i="2"/>
  <c r="AB5143" i="2"/>
  <c r="AK5143" i="2" s="1"/>
  <c r="AB5147" i="2"/>
  <c r="AK5147" i="2" s="1"/>
  <c r="Y5147" i="2"/>
  <c r="AB5149" i="2"/>
  <c r="AK5149" i="2" s="1"/>
  <c r="Y5149" i="2"/>
  <c r="AB5151" i="2"/>
  <c r="AK5151" i="2" s="1"/>
  <c r="Y5151" i="2"/>
  <c r="Y5155" i="2"/>
  <c r="AB5157" i="2"/>
  <c r="AK5157" i="2" s="1"/>
  <c r="Y5157" i="2"/>
  <c r="AB5159" i="2"/>
  <c r="AK5159" i="2" s="1"/>
  <c r="Y5159" i="2"/>
  <c r="Y5161" i="2"/>
  <c r="AB5165" i="2"/>
  <c r="AK5165" i="2" s="1"/>
  <c r="Y5165" i="2"/>
  <c r="AB5167" i="2"/>
  <c r="AK5167" i="2" s="1"/>
  <c r="Y5167" i="2"/>
  <c r="Y5169" i="2"/>
  <c r="AB5194" i="2"/>
  <c r="AK5194" i="2" s="1"/>
  <c r="Y5196" i="2"/>
  <c r="AB5198" i="2"/>
  <c r="AK5198" i="2" s="1"/>
  <c r="Y5198" i="2"/>
  <c r="Y5200" i="2"/>
  <c r="AB5202" i="2"/>
  <c r="AK5202" i="2" s="1"/>
  <c r="Y5202" i="2"/>
  <c r="AB5206" i="2"/>
  <c r="AK5206" i="2" s="1"/>
  <c r="Y5206" i="2"/>
  <c r="Y5208" i="2"/>
  <c r="AB5210" i="2"/>
  <c r="AK5210" i="2" s="1"/>
  <c r="Y5210" i="2"/>
  <c r="AB5212" i="2"/>
  <c r="AK5212" i="2" s="1"/>
  <c r="Y5214" i="2"/>
  <c r="Y5216" i="2"/>
  <c r="AB5218" i="2"/>
  <c r="AK5218" i="2" s="1"/>
  <c r="Y5218" i="2"/>
  <c r="AB5220" i="2"/>
  <c r="AK5220" i="2" s="1"/>
  <c r="Y5220" i="2"/>
  <c r="Y5224" i="2"/>
  <c r="AB5226" i="2"/>
  <c r="AK5226" i="2" s="1"/>
  <c r="Y5226" i="2"/>
  <c r="AB5228" i="2"/>
  <c r="AK5228" i="2" s="1"/>
  <c r="Y5228" i="2"/>
  <c r="AB5230" i="2"/>
  <c r="AK5230" i="2" s="1"/>
  <c r="AB5234" i="2"/>
  <c r="AK5234" i="2" s="1"/>
  <c r="Y5234" i="2"/>
  <c r="AB5236" i="2"/>
  <c r="AK5236" i="2" s="1"/>
  <c r="Y5236" i="2"/>
  <c r="AB5238" i="2"/>
  <c r="AK5238" i="2" s="1"/>
  <c r="Y5238" i="2"/>
  <c r="Y5248" i="2"/>
  <c r="AB5256" i="2"/>
  <c r="AK5256" i="2" s="1"/>
  <c r="Y5256" i="2"/>
  <c r="AB5264" i="2"/>
  <c r="AK5264" i="2" s="1"/>
  <c r="Y5264" i="2"/>
  <c r="Y5267" i="2"/>
  <c r="AB5279" i="2"/>
  <c r="AK5279" i="2" s="1"/>
  <c r="Y5279" i="2"/>
  <c r="AB5283" i="2"/>
  <c r="AK5283" i="2" s="1"/>
  <c r="Y5283" i="2"/>
  <c r="Y5287" i="2"/>
  <c r="AB5291" i="2"/>
  <c r="AK5291" i="2" s="1"/>
  <c r="Y5295" i="2"/>
  <c r="AB5303" i="2"/>
  <c r="AK5303" i="2" s="1"/>
  <c r="Y5303" i="2"/>
  <c r="Y3086" i="2"/>
  <c r="Y3096" i="2"/>
  <c r="AB3102" i="2"/>
  <c r="AK3102" i="2" s="1"/>
  <c r="Y3409" i="2"/>
  <c r="Y3411" i="2"/>
  <c r="AB3413" i="2"/>
  <c r="AK3413" i="2" s="1"/>
  <c r="Y3413" i="2"/>
  <c r="AB3415" i="2"/>
  <c r="AK3415" i="2" s="1"/>
  <c r="Y3415" i="2"/>
  <c r="AB3419" i="2"/>
  <c r="AK3419" i="2" s="1"/>
  <c r="Y3419" i="2"/>
  <c r="AB3432" i="2"/>
  <c r="AK3432" i="2" s="1"/>
  <c r="AB3440" i="2"/>
  <c r="AK3440" i="2" s="1"/>
  <c r="AB3448" i="2"/>
  <c r="AK3448" i="2" s="1"/>
  <c r="Y3448" i="2"/>
  <c r="AB3456" i="2"/>
  <c r="AK3456" i="2" s="1"/>
  <c r="AB3464" i="2"/>
  <c r="AK3464" i="2" s="1"/>
  <c r="AB3472" i="2"/>
  <c r="AK3472" i="2" s="1"/>
  <c r="AB3480" i="2"/>
  <c r="AK3480" i="2" s="1"/>
  <c r="AB3488" i="2"/>
  <c r="AK3488" i="2" s="1"/>
  <c r="AB3496" i="2"/>
  <c r="AK3496" i="2" s="1"/>
  <c r="AB3504" i="2"/>
  <c r="AK3504" i="2" s="1"/>
  <c r="AB3512" i="2"/>
  <c r="AK3512" i="2" s="1"/>
  <c r="AB3520" i="2"/>
  <c r="AK3520" i="2" s="1"/>
  <c r="AB3528" i="2"/>
  <c r="AK3528" i="2" s="1"/>
  <c r="AB3536" i="2"/>
  <c r="AK3536" i="2" s="1"/>
  <c r="AB3544" i="2"/>
  <c r="AK3544" i="2" s="1"/>
  <c r="AB3549" i="2"/>
  <c r="AK3549" i="2" s="1"/>
  <c r="AB3557" i="2"/>
  <c r="AK3557" i="2" s="1"/>
  <c r="AB3565" i="2"/>
  <c r="AK3565" i="2" s="1"/>
  <c r="AB3578" i="2"/>
  <c r="AK3578" i="2" s="1"/>
  <c r="AB3586" i="2"/>
  <c r="AK3586" i="2" s="1"/>
  <c r="AB3594" i="2"/>
  <c r="AK3594" i="2" s="1"/>
  <c r="AB3602" i="2"/>
  <c r="AK3602" i="2" s="1"/>
  <c r="AB3610" i="2"/>
  <c r="AK3610" i="2" s="1"/>
  <c r="AB3618" i="2"/>
  <c r="AK3618" i="2" s="1"/>
  <c r="AB3626" i="2"/>
  <c r="AK3626" i="2" s="1"/>
  <c r="AB3642" i="2"/>
  <c r="AK3642" i="2" s="1"/>
  <c r="AB3650" i="2"/>
  <c r="AK3650" i="2" s="1"/>
  <c r="AB3658" i="2"/>
  <c r="AK3658" i="2" s="1"/>
  <c r="AB3666" i="2"/>
  <c r="AK3666" i="2" s="1"/>
  <c r="AB3674" i="2"/>
  <c r="AK3674" i="2" s="1"/>
  <c r="AB3682" i="2"/>
  <c r="AK3682" i="2" s="1"/>
  <c r="AB3706" i="2"/>
  <c r="AK3706" i="2" s="1"/>
  <c r="AB3714" i="2"/>
  <c r="AK3714" i="2" s="1"/>
  <c r="AB3722" i="2"/>
  <c r="AK3722" i="2" s="1"/>
  <c r="AB3730" i="2"/>
  <c r="AK3730" i="2" s="1"/>
  <c r="AB3738" i="2"/>
  <c r="AK3738" i="2" s="1"/>
  <c r="AB3746" i="2"/>
  <c r="AK3746" i="2" s="1"/>
  <c r="AB3762" i="2"/>
  <c r="AK3762" i="2" s="1"/>
  <c r="Y3770" i="2"/>
  <c r="AB3778" i="2"/>
  <c r="AK3778" i="2" s="1"/>
  <c r="AB3786" i="2"/>
  <c r="AK3786" i="2" s="1"/>
  <c r="AB3794" i="2"/>
  <c r="AK3794" i="2" s="1"/>
  <c r="AB3802" i="2"/>
  <c r="AK3802" i="2" s="1"/>
  <c r="AB3810" i="2"/>
  <c r="AK3810" i="2" s="1"/>
  <c r="AB3818" i="2"/>
  <c r="AK3818" i="2" s="1"/>
  <c r="AB3826" i="2"/>
  <c r="AK3826" i="2" s="1"/>
  <c r="AB3839" i="2"/>
  <c r="AK3839" i="2" s="1"/>
  <c r="AB3847" i="2"/>
  <c r="AK3847" i="2" s="1"/>
  <c r="AB3855" i="2"/>
  <c r="AK3855" i="2" s="1"/>
  <c r="AB3863" i="2"/>
  <c r="AK3863" i="2" s="1"/>
  <c r="AB3871" i="2"/>
  <c r="AK3871" i="2" s="1"/>
  <c r="AB3879" i="2"/>
  <c r="AK3879" i="2" s="1"/>
  <c r="AB3887" i="2"/>
  <c r="AK3887" i="2" s="1"/>
  <c r="AB3895" i="2"/>
  <c r="AK3895" i="2" s="1"/>
  <c r="AB3903" i="2"/>
  <c r="AK3903" i="2" s="1"/>
  <c r="AB3911" i="2"/>
  <c r="AK3911" i="2" s="1"/>
  <c r="Y3911" i="2"/>
  <c r="AB3919" i="2"/>
  <c r="AK3919" i="2" s="1"/>
  <c r="AB3927" i="2"/>
  <c r="AK3927" i="2" s="1"/>
  <c r="AB3935" i="2"/>
  <c r="AK3935" i="2" s="1"/>
  <c r="AB3943" i="2"/>
  <c r="AK3943" i="2" s="1"/>
  <c r="AB3951" i="2"/>
  <c r="AK3951" i="2" s="1"/>
  <c r="AB3959" i="2"/>
  <c r="AK3959" i="2" s="1"/>
  <c r="AB3967" i="2"/>
  <c r="AK3967" i="2" s="1"/>
  <c r="AB3975" i="2"/>
  <c r="AK3975" i="2" s="1"/>
  <c r="AB3983" i="2"/>
  <c r="AK3983" i="2" s="1"/>
  <c r="AB3991" i="2"/>
  <c r="AK3991" i="2" s="1"/>
  <c r="AB3999" i="2"/>
  <c r="AK3999" i="2" s="1"/>
  <c r="AB4007" i="2"/>
  <c r="AK4007" i="2" s="1"/>
  <c r="Y4007" i="2"/>
  <c r="AB4015" i="2"/>
  <c r="AK4015" i="2" s="1"/>
  <c r="AB4023" i="2"/>
  <c r="AK4023" i="2" s="1"/>
  <c r="AB4031" i="2"/>
  <c r="AK4031" i="2" s="1"/>
  <c r="AB4039" i="2"/>
  <c r="AK4039" i="2" s="1"/>
  <c r="AB4047" i="2"/>
  <c r="AK4047" i="2" s="1"/>
  <c r="AB4055" i="2"/>
  <c r="AK4055" i="2" s="1"/>
  <c r="AB4063" i="2"/>
  <c r="AK4063" i="2" s="1"/>
  <c r="AB4071" i="2"/>
  <c r="AK4071" i="2" s="1"/>
  <c r="AB4079" i="2"/>
  <c r="AK4079" i="2" s="1"/>
  <c r="AB4089" i="2"/>
  <c r="AK4089" i="2" s="1"/>
  <c r="AB4097" i="2"/>
  <c r="AK4097" i="2" s="1"/>
  <c r="AB4105" i="2"/>
  <c r="AK4105" i="2" s="1"/>
  <c r="Y4105" i="2"/>
  <c r="AB4110" i="2"/>
  <c r="AK4110" i="2" s="1"/>
  <c r="AB4118" i="2"/>
  <c r="AK4118" i="2" s="1"/>
  <c r="AB4126" i="2"/>
  <c r="AK4126" i="2" s="1"/>
  <c r="AB4134" i="2"/>
  <c r="AK4134" i="2" s="1"/>
  <c r="AB4142" i="2"/>
  <c r="AK4142" i="2" s="1"/>
  <c r="AB4150" i="2"/>
  <c r="AK4150" i="2" s="1"/>
  <c r="AB4158" i="2"/>
  <c r="AK4158" i="2" s="1"/>
  <c r="AB4166" i="2"/>
  <c r="AK4166" i="2" s="1"/>
  <c r="AB4174" i="2"/>
  <c r="AK4174" i="2" s="1"/>
  <c r="AB4182" i="2"/>
  <c r="AK4182" i="2" s="1"/>
  <c r="AB4190" i="2"/>
  <c r="AK4190" i="2" s="1"/>
  <c r="AB4198" i="2"/>
  <c r="AK4198" i="2" s="1"/>
  <c r="Y4198" i="2"/>
  <c r="AB4206" i="2"/>
  <c r="AK4206" i="2" s="1"/>
  <c r="AB4214" i="2"/>
  <c r="AK4214" i="2" s="1"/>
  <c r="AB4222" i="2"/>
  <c r="AK4222" i="2" s="1"/>
  <c r="AB4230" i="2"/>
  <c r="AK4230" i="2" s="1"/>
  <c r="AB4238" i="2"/>
  <c r="AK4238" i="2" s="1"/>
  <c r="Y4238" i="2"/>
  <c r="AB4246" i="2"/>
  <c r="AK4246" i="2" s="1"/>
  <c r="AB4254" i="2"/>
  <c r="AK4254" i="2" s="1"/>
  <c r="Y4267" i="2"/>
  <c r="AB4275" i="2"/>
  <c r="AK4275" i="2" s="1"/>
  <c r="AB4283" i="2"/>
  <c r="AK4283" i="2" s="1"/>
  <c r="AB4291" i="2"/>
  <c r="AK4291" i="2" s="1"/>
  <c r="Y4291" i="2"/>
  <c r="AB4299" i="2"/>
  <c r="AK4299" i="2" s="1"/>
  <c r="AB4307" i="2"/>
  <c r="AK4307" i="2" s="1"/>
  <c r="Y4307" i="2"/>
  <c r="AB4315" i="2"/>
  <c r="AK4315" i="2" s="1"/>
  <c r="AB4323" i="2"/>
  <c r="AK4323" i="2" s="1"/>
  <c r="AB4336" i="2"/>
  <c r="AK4336" i="2" s="1"/>
  <c r="AB4349" i="2"/>
  <c r="AK4349" i="2" s="1"/>
  <c r="AB4357" i="2"/>
  <c r="AK4357" i="2" s="1"/>
  <c r="AB4365" i="2"/>
  <c r="AK4365" i="2" s="1"/>
  <c r="Y4365" i="2"/>
  <c r="AB4373" i="2"/>
  <c r="AK4373" i="2" s="1"/>
  <c r="AB4381" i="2"/>
  <c r="AK4381" i="2" s="1"/>
  <c r="AB4389" i="2"/>
  <c r="AK4389" i="2" s="1"/>
  <c r="AB4394" i="2"/>
  <c r="AK4394" i="2" s="1"/>
  <c r="Y4394" i="2"/>
  <c r="AB4404" i="2"/>
  <c r="AK4404" i="2" s="1"/>
  <c r="Y4404" i="2"/>
  <c r="Y4444" i="2"/>
  <c r="AB4452" i="2"/>
  <c r="AK4452" i="2" s="1"/>
  <c r="Y4468" i="2"/>
  <c r="Y4476" i="2"/>
  <c r="AB4523" i="2"/>
  <c r="AK4523" i="2" s="1"/>
  <c r="AB4531" i="2"/>
  <c r="AK4531" i="2" s="1"/>
  <c r="Y4544" i="2"/>
  <c r="Y4562" i="2"/>
  <c r="Y4591" i="2"/>
  <c r="AB4599" i="2"/>
  <c r="AK4599" i="2" s="1"/>
  <c r="AB4631" i="2"/>
  <c r="AK4631" i="2" s="1"/>
  <c r="Y4631" i="2"/>
  <c r="AB4639" i="2"/>
  <c r="AK4639" i="2" s="1"/>
  <c r="AB4782" i="2"/>
  <c r="AK4782" i="2" s="1"/>
  <c r="AB4786" i="2"/>
  <c r="AK4786" i="2" s="1"/>
  <c r="AB4788" i="2"/>
  <c r="AK4788" i="2" s="1"/>
  <c r="AB4790" i="2"/>
  <c r="AK4790" i="2" s="1"/>
  <c r="AB4794" i="2"/>
  <c r="AK4794" i="2" s="1"/>
  <c r="AB4796" i="2"/>
  <c r="AK4796" i="2" s="1"/>
  <c r="AB4798" i="2"/>
  <c r="AK4798" i="2" s="1"/>
  <c r="AB4800" i="2"/>
  <c r="AK4800" i="2" s="1"/>
  <c r="AB4802" i="2"/>
  <c r="AK4802" i="2" s="1"/>
  <c r="AB4804" i="2"/>
  <c r="AK4804" i="2" s="1"/>
  <c r="AB4806" i="2"/>
  <c r="AK4806" i="2" s="1"/>
  <c r="AB4808" i="2"/>
  <c r="AK4808" i="2" s="1"/>
  <c r="AB4810" i="2"/>
  <c r="AK4810" i="2" s="1"/>
  <c r="AB4814" i="2"/>
  <c r="AK4814" i="2" s="1"/>
  <c r="AB4953" i="2"/>
  <c r="AK4953" i="2" s="1"/>
  <c r="Y4953" i="2"/>
  <c r="AB5016" i="2"/>
  <c r="AK5016" i="2" s="1"/>
  <c r="AB5018" i="2"/>
  <c r="AK5018" i="2" s="1"/>
  <c r="Y5018" i="2"/>
  <c r="AB5020" i="2"/>
  <c r="AK5020" i="2" s="1"/>
  <c r="AB5022" i="2"/>
  <c r="AK5022" i="2" s="1"/>
  <c r="AB5024" i="2"/>
  <c r="AK5024" i="2" s="1"/>
  <c r="AB5026" i="2"/>
  <c r="AK5026" i="2" s="1"/>
  <c r="Y5026" i="2"/>
  <c r="AB5028" i="2"/>
  <c r="AK5028" i="2" s="1"/>
  <c r="AB5030" i="2"/>
  <c r="AK5030" i="2" s="1"/>
  <c r="Y5030" i="2"/>
  <c r="AB5188" i="2"/>
  <c r="AK5188" i="2" s="1"/>
  <c r="Y5188" i="2"/>
  <c r="AB5190" i="2"/>
  <c r="AK5190" i="2" s="1"/>
  <c r="AB5192" i="2"/>
  <c r="AK5192" i="2" s="1"/>
  <c r="AB5251" i="2"/>
  <c r="AK5251" i="2" s="1"/>
  <c r="Y5251" i="2"/>
  <c r="AB5259" i="2"/>
  <c r="AK5259" i="2" s="1"/>
  <c r="Y5259" i="2"/>
  <c r="AB5270" i="2"/>
  <c r="AK5270" i="2" s="1"/>
  <c r="Y5270" i="2"/>
  <c r="AB3607" i="2"/>
  <c r="AK3607" i="2" s="1"/>
  <c r="Y3884" i="2"/>
  <c r="Y3972" i="2"/>
  <c r="AB4076" i="2"/>
  <c r="AK4076" i="2" s="1"/>
  <c r="AB4086" i="2"/>
  <c r="AK4086" i="2" s="1"/>
  <c r="AB4179" i="2"/>
  <c r="AK4179" i="2" s="1"/>
  <c r="Y4187" i="2"/>
  <c r="AB4235" i="2"/>
  <c r="AK4235" i="2" s="1"/>
  <c r="Y4235" i="2"/>
  <c r="AB4280" i="2"/>
  <c r="AK4280" i="2" s="1"/>
  <c r="AB4320" i="2"/>
  <c r="AK4320" i="2" s="1"/>
  <c r="Y4320" i="2"/>
  <c r="Y4328" i="2"/>
  <c r="AB4333" i="2"/>
  <c r="AK4333" i="2" s="1"/>
  <c r="Y4370" i="2"/>
  <c r="AB4378" i="2"/>
  <c r="AK4378" i="2" s="1"/>
  <c r="Y4386" i="2"/>
  <c r="AB4401" i="2"/>
  <c r="AK4401" i="2" s="1"/>
  <c r="AB4409" i="2"/>
  <c r="AK4409" i="2" s="1"/>
  <c r="AB4417" i="2"/>
  <c r="AK4417" i="2" s="1"/>
  <c r="AB4433" i="2"/>
  <c r="AK4433" i="2" s="1"/>
  <c r="AB4449" i="2"/>
  <c r="AK4449" i="2" s="1"/>
  <c r="AB4457" i="2"/>
  <c r="AK4457" i="2" s="1"/>
  <c r="AB4465" i="2"/>
  <c r="AK4465" i="2" s="1"/>
  <c r="AB4473" i="2"/>
  <c r="AK4473" i="2" s="1"/>
  <c r="AB4481" i="2"/>
  <c r="AK4481" i="2" s="1"/>
  <c r="AB4489" i="2"/>
  <c r="AK4489" i="2" s="1"/>
  <c r="AB4497" i="2"/>
  <c r="AK4497" i="2" s="1"/>
  <c r="AB4505" i="2"/>
  <c r="AK4505" i="2" s="1"/>
  <c r="AB4512" i="2"/>
  <c r="AK4512" i="2" s="1"/>
  <c r="AB4520" i="2"/>
  <c r="AK4520" i="2" s="1"/>
  <c r="AB4536" i="2"/>
  <c r="AK4536" i="2" s="1"/>
  <c r="AB4549" i="2"/>
  <c r="AK4549" i="2" s="1"/>
  <c r="AB4554" i="2"/>
  <c r="AK4554" i="2" s="1"/>
  <c r="AB4575" i="2"/>
  <c r="AK4575" i="2" s="1"/>
  <c r="AB4583" i="2"/>
  <c r="AK4583" i="2" s="1"/>
  <c r="AB4596" i="2"/>
  <c r="AK4596" i="2" s="1"/>
  <c r="AB4604" i="2"/>
  <c r="AK4604" i="2" s="1"/>
  <c r="AB4612" i="2"/>
  <c r="AK4612" i="2" s="1"/>
  <c r="AB4620" i="2"/>
  <c r="AK4620" i="2" s="1"/>
  <c r="AB4628" i="2"/>
  <c r="AK4628" i="2" s="1"/>
  <c r="AB4636" i="2"/>
  <c r="AK4636" i="2" s="1"/>
  <c r="AB4644" i="2"/>
  <c r="AK4644" i="2" s="1"/>
  <c r="AB4649" i="2"/>
  <c r="AK4649" i="2" s="1"/>
  <c r="AB4666" i="2"/>
  <c r="AK4666" i="2" s="1"/>
  <c r="AB4668" i="2"/>
  <c r="AK4668" i="2" s="1"/>
  <c r="AB4670" i="2"/>
  <c r="AK4670" i="2" s="1"/>
  <c r="AB4672" i="2"/>
  <c r="AK4672" i="2" s="1"/>
  <c r="AB4674" i="2"/>
  <c r="AK4674" i="2" s="1"/>
  <c r="AB4676" i="2"/>
  <c r="AK4676" i="2" s="1"/>
  <c r="AB4678" i="2"/>
  <c r="AK4678" i="2" s="1"/>
  <c r="AB4680" i="2"/>
  <c r="AK4680" i="2" s="1"/>
  <c r="AB4682" i="2"/>
  <c r="AK4682" i="2" s="1"/>
  <c r="AB4684" i="2"/>
  <c r="AK4684" i="2" s="1"/>
  <c r="AB4923" i="2"/>
  <c r="AK4923" i="2" s="1"/>
  <c r="AB4937" i="2"/>
  <c r="AK4937" i="2" s="1"/>
  <c r="AB4945" i="2"/>
  <c r="AK4945" i="2" s="1"/>
  <c r="AB4951" i="2"/>
  <c r="AK4951" i="2" s="1"/>
  <c r="AB5012" i="2"/>
  <c r="AK5012" i="2" s="1"/>
  <c r="AB5172" i="2"/>
  <c r="AK5172" i="2" s="1"/>
  <c r="AB5180" i="2"/>
  <c r="AK5180" i="2" s="1"/>
  <c r="AB5182" i="2"/>
  <c r="AK5182" i="2" s="1"/>
  <c r="AB5184" i="2"/>
  <c r="AK5184" i="2" s="1"/>
  <c r="AB5243" i="2"/>
  <c r="AK5243" i="2" s="1"/>
  <c r="AB5254" i="2"/>
  <c r="AK5254" i="2" s="1"/>
  <c r="AB5262" i="2"/>
  <c r="AK5262" i="2" s="1"/>
  <c r="AB5265" i="2"/>
  <c r="AK5265" i="2" s="1"/>
  <c r="Y5273" i="2"/>
  <c r="Y5280" i="2"/>
  <c r="AB5284" i="2"/>
  <c r="AK5284" i="2" s="1"/>
  <c r="Y5288" i="2"/>
  <c r="AB5296" i="2"/>
  <c r="AK5296" i="2" s="1"/>
  <c r="AB2984" i="2"/>
  <c r="AK2984" i="2" s="1"/>
  <c r="AB3000" i="2"/>
  <c r="AK3000" i="2" s="1"/>
  <c r="Y3141" i="2"/>
  <c r="Y3145" i="2"/>
  <c r="AB3161" i="2"/>
  <c r="AK3161" i="2" s="1"/>
  <c r="AB3167" i="2"/>
  <c r="AK3167" i="2" s="1"/>
  <c r="AB3169" i="2"/>
  <c r="AK3169" i="2" s="1"/>
  <c r="AB3185" i="2"/>
  <c r="AK3185" i="2" s="1"/>
  <c r="Y3189" i="2"/>
  <c r="AB3195" i="2"/>
  <c r="AK3195" i="2" s="1"/>
  <c r="Y3207" i="2"/>
  <c r="AB3215" i="2"/>
  <c r="AK3215" i="2" s="1"/>
  <c r="AB3217" i="2"/>
  <c r="AK3217" i="2" s="1"/>
  <c r="AB3231" i="2"/>
  <c r="AK3231" i="2" s="1"/>
  <c r="Y3235" i="2"/>
  <c r="Y3237" i="2"/>
  <c r="AB3249" i="2"/>
  <c r="AK3249" i="2" s="1"/>
  <c r="AB3251" i="2"/>
  <c r="AK3251" i="2" s="1"/>
  <c r="Y3251" i="2"/>
  <c r="AB3283" i="2"/>
  <c r="AK3283" i="2" s="1"/>
  <c r="AB3287" i="2"/>
  <c r="AK3287" i="2" s="1"/>
  <c r="AB3291" i="2"/>
  <c r="AK3291" i="2" s="1"/>
  <c r="AB3363" i="2"/>
  <c r="AK3363" i="2" s="1"/>
  <c r="AB3371" i="2"/>
  <c r="AK3371" i="2" s="1"/>
  <c r="AB3373" i="2"/>
  <c r="AK3373" i="2" s="1"/>
  <c r="AB3389" i="2"/>
  <c r="AK3389" i="2" s="1"/>
  <c r="AB3391" i="2"/>
  <c r="AK3391" i="2" s="1"/>
  <c r="AB3397" i="2"/>
  <c r="AK3397" i="2" s="1"/>
  <c r="AB3442" i="2"/>
  <c r="AK3442" i="2" s="1"/>
  <c r="AB3466" i="2"/>
  <c r="AK3466" i="2" s="1"/>
  <c r="AB3474" i="2"/>
  <c r="AK3474" i="2" s="1"/>
  <c r="AB3482" i="2"/>
  <c r="AK3482" i="2" s="1"/>
  <c r="AB3490" i="2"/>
  <c r="AK3490" i="2" s="1"/>
  <c r="AB3498" i="2"/>
  <c r="AK3498" i="2" s="1"/>
  <c r="AB3506" i="2"/>
  <c r="AK3506" i="2" s="1"/>
  <c r="AB3522" i="2"/>
  <c r="AK3522" i="2" s="1"/>
  <c r="AB3530" i="2"/>
  <c r="AK3530" i="2" s="1"/>
  <c r="AB3538" i="2"/>
  <c r="AK3538" i="2" s="1"/>
  <c r="AB3551" i="2"/>
  <c r="AK3551" i="2" s="1"/>
  <c r="AB3559" i="2"/>
  <c r="AK3559" i="2" s="1"/>
  <c r="AB3588" i="2"/>
  <c r="AK3588" i="2" s="1"/>
  <c r="AB3604" i="2"/>
  <c r="AK3604" i="2" s="1"/>
  <c r="AB3620" i="2"/>
  <c r="AK3620" i="2" s="1"/>
  <c r="AB3628" i="2"/>
  <c r="AK3628" i="2" s="1"/>
  <c r="AB3644" i="2"/>
  <c r="AK3644" i="2" s="1"/>
  <c r="AB3652" i="2"/>
  <c r="AK3652" i="2" s="1"/>
  <c r="AB3660" i="2"/>
  <c r="AK3660" i="2" s="1"/>
  <c r="AB3668" i="2"/>
  <c r="AK3668" i="2" s="1"/>
  <c r="AB3676" i="2"/>
  <c r="AK3676" i="2" s="1"/>
  <c r="AB3708" i="2"/>
  <c r="AK3708" i="2" s="1"/>
  <c r="AB3716" i="2"/>
  <c r="AK3716" i="2" s="1"/>
  <c r="AB3724" i="2"/>
  <c r="AK3724" i="2" s="1"/>
  <c r="AB3732" i="2"/>
  <c r="AK3732" i="2" s="1"/>
  <c r="AB3740" i="2"/>
  <c r="AK3740" i="2" s="1"/>
  <c r="AB3748" i="2"/>
  <c r="AK3748" i="2" s="1"/>
  <c r="AB3764" i="2"/>
  <c r="AK3764" i="2" s="1"/>
  <c r="AB3772" i="2"/>
  <c r="AK3772" i="2" s="1"/>
  <c r="AB3780" i="2"/>
  <c r="AK3780" i="2" s="1"/>
  <c r="AB3788" i="2"/>
  <c r="AK3788" i="2" s="1"/>
  <c r="AB3796" i="2"/>
  <c r="AK3796" i="2" s="1"/>
  <c r="AB3804" i="2"/>
  <c r="AK3804" i="2" s="1"/>
  <c r="AB3820" i="2"/>
  <c r="AK3820" i="2" s="1"/>
  <c r="AB3828" i="2"/>
  <c r="AK3828" i="2" s="1"/>
  <c r="AB3833" i="2"/>
  <c r="AK3833" i="2" s="1"/>
  <c r="AB3841" i="2"/>
  <c r="AK3841" i="2" s="1"/>
  <c r="AB3849" i="2"/>
  <c r="AK3849" i="2" s="1"/>
  <c r="AB3857" i="2"/>
  <c r="AK3857" i="2" s="1"/>
  <c r="AB3865" i="2"/>
  <c r="AK3865" i="2" s="1"/>
  <c r="AB3873" i="2"/>
  <c r="AK3873" i="2" s="1"/>
  <c r="AB3881" i="2"/>
  <c r="AK3881" i="2" s="1"/>
  <c r="AB3889" i="2"/>
  <c r="AK3889" i="2" s="1"/>
  <c r="AB3897" i="2"/>
  <c r="AK3897" i="2" s="1"/>
  <c r="AB3905" i="2"/>
  <c r="AK3905" i="2" s="1"/>
  <c r="AB3913" i="2"/>
  <c r="AK3913" i="2" s="1"/>
  <c r="AB3921" i="2"/>
  <c r="AK3921" i="2" s="1"/>
  <c r="AB3929" i="2"/>
  <c r="AK3929" i="2" s="1"/>
  <c r="AB3937" i="2"/>
  <c r="AK3937" i="2" s="1"/>
  <c r="AB3945" i="2"/>
  <c r="AK3945" i="2" s="1"/>
  <c r="AB3953" i="2"/>
  <c r="AK3953" i="2" s="1"/>
  <c r="AB3961" i="2"/>
  <c r="AK3961" i="2" s="1"/>
  <c r="AB3969" i="2"/>
  <c r="AK3969" i="2" s="1"/>
  <c r="AB3977" i="2"/>
  <c r="AK3977" i="2" s="1"/>
  <c r="AB3985" i="2"/>
  <c r="AK3985" i="2" s="1"/>
  <c r="AB3993" i="2"/>
  <c r="AK3993" i="2" s="1"/>
  <c r="AB4001" i="2"/>
  <c r="AK4001" i="2" s="1"/>
  <c r="AB4009" i="2"/>
  <c r="AK4009" i="2" s="1"/>
  <c r="AB4017" i="2"/>
  <c r="AK4017" i="2" s="1"/>
  <c r="AB4025" i="2"/>
  <c r="AK4025" i="2" s="1"/>
  <c r="AB4033" i="2"/>
  <c r="AK4033" i="2" s="1"/>
  <c r="AB4041" i="2"/>
  <c r="AK4041" i="2" s="1"/>
  <c r="AB4049" i="2"/>
  <c r="AK4049" i="2" s="1"/>
  <c r="AB4057" i="2"/>
  <c r="AK4057" i="2" s="1"/>
  <c r="AB4065" i="2"/>
  <c r="AK4065" i="2" s="1"/>
  <c r="AB4073" i="2"/>
  <c r="AK4073" i="2" s="1"/>
  <c r="AB4081" i="2"/>
  <c r="AK4081" i="2" s="1"/>
  <c r="AB4091" i="2"/>
  <c r="AK4091" i="2" s="1"/>
  <c r="AB4099" i="2"/>
  <c r="AK4099" i="2" s="1"/>
  <c r="AB4107" i="2"/>
  <c r="AK4107" i="2" s="1"/>
  <c r="AB4112" i="2"/>
  <c r="AK4112" i="2" s="1"/>
  <c r="AB4120" i="2"/>
  <c r="AK4120" i="2" s="1"/>
  <c r="AB4128" i="2"/>
  <c r="AK4128" i="2" s="1"/>
  <c r="AB4136" i="2"/>
  <c r="AK4136" i="2" s="1"/>
  <c r="AB4144" i="2"/>
  <c r="AK4144" i="2" s="1"/>
  <c r="AB4152" i="2"/>
  <c r="AK4152" i="2" s="1"/>
  <c r="AB4160" i="2"/>
  <c r="AK4160" i="2" s="1"/>
  <c r="AB4168" i="2"/>
  <c r="AK4168" i="2" s="1"/>
  <c r="AB4176" i="2"/>
  <c r="AK4176" i="2" s="1"/>
  <c r="AB4184" i="2"/>
  <c r="AK4184" i="2" s="1"/>
  <c r="AB4192" i="2"/>
  <c r="AK4192" i="2" s="1"/>
  <c r="AB4200" i="2"/>
  <c r="AK4200" i="2" s="1"/>
  <c r="AB4208" i="2"/>
  <c r="AK4208" i="2" s="1"/>
  <c r="AB4216" i="2"/>
  <c r="AK4216" i="2" s="1"/>
  <c r="AB4224" i="2"/>
  <c r="AK4224" i="2" s="1"/>
  <c r="AB4232" i="2"/>
  <c r="AK4232" i="2" s="1"/>
  <c r="AB4240" i="2"/>
  <c r="AK4240" i="2" s="1"/>
  <c r="AB4248" i="2"/>
  <c r="AK4248" i="2" s="1"/>
  <c r="AB4269" i="2"/>
  <c r="AK4269" i="2" s="1"/>
  <c r="AB4277" i="2"/>
  <c r="AK4277" i="2" s="1"/>
  <c r="AB4285" i="2"/>
  <c r="AK4285" i="2" s="1"/>
  <c r="AB4293" i="2"/>
  <c r="AK4293" i="2" s="1"/>
  <c r="AB4301" i="2"/>
  <c r="AK4301" i="2" s="1"/>
  <c r="AB4309" i="2"/>
  <c r="AK4309" i="2" s="1"/>
  <c r="AB4317" i="2"/>
  <c r="AK4317" i="2" s="1"/>
  <c r="AB4325" i="2"/>
  <c r="AK4325" i="2" s="1"/>
  <c r="AB4338" i="2"/>
  <c r="AK4338" i="2" s="1"/>
  <c r="AB4343" i="2"/>
  <c r="AK4343" i="2" s="1"/>
  <c r="AB4351" i="2"/>
  <c r="AK4351" i="2" s="1"/>
  <c r="AB4359" i="2"/>
  <c r="AK4359" i="2" s="1"/>
  <c r="AB4367" i="2"/>
  <c r="AK4367" i="2" s="1"/>
  <c r="AB4375" i="2"/>
  <c r="AK4375" i="2" s="1"/>
  <c r="AB4383" i="2"/>
  <c r="AK4383" i="2" s="1"/>
  <c r="Y5257" i="2"/>
  <c r="Y4815" i="2"/>
  <c r="AB4817" i="2"/>
  <c r="AK4817" i="2" s="1"/>
  <c r="AB4819" i="2"/>
  <c r="AK4819" i="2" s="1"/>
  <c r="Y4819" i="2"/>
  <c r="AB4821" i="2"/>
  <c r="AK4821" i="2" s="1"/>
  <c r="AB4823" i="2"/>
  <c r="AK4823" i="2" s="1"/>
  <c r="Y4823" i="2"/>
  <c r="AB4825" i="2"/>
  <c r="AK4825" i="2" s="1"/>
  <c r="AB4827" i="2"/>
  <c r="AK4827" i="2" s="1"/>
  <c r="Y4827" i="2"/>
  <c r="AB4829" i="2"/>
  <c r="AK4829" i="2" s="1"/>
  <c r="AB4831" i="2"/>
  <c r="AK4831" i="2" s="1"/>
  <c r="Y4831" i="2"/>
  <c r="AB4833" i="2"/>
  <c r="AK4833" i="2" s="1"/>
  <c r="AB4835" i="2"/>
  <c r="AK4835" i="2" s="1"/>
  <c r="Y4835" i="2"/>
  <c r="AB4837" i="2"/>
  <c r="AK4837" i="2" s="1"/>
  <c r="AB4839" i="2"/>
  <c r="AK4839" i="2" s="1"/>
  <c r="Y4839" i="2"/>
  <c r="AB4841" i="2"/>
  <c r="AK4841" i="2" s="1"/>
  <c r="AB4843" i="2"/>
  <c r="AK4843" i="2" s="1"/>
  <c r="Y4843" i="2"/>
  <c r="AB4845" i="2"/>
  <c r="AK4845" i="2" s="1"/>
  <c r="AB4847" i="2"/>
  <c r="AK4847" i="2" s="1"/>
  <c r="Y4847" i="2"/>
  <c r="AB4849" i="2"/>
  <c r="AK4849" i="2" s="1"/>
  <c r="AB4851" i="2"/>
  <c r="AK4851" i="2" s="1"/>
  <c r="Y4851" i="2"/>
  <c r="AB4853" i="2"/>
  <c r="AK4853" i="2" s="1"/>
  <c r="AB4855" i="2"/>
  <c r="AK4855" i="2" s="1"/>
  <c r="Y4855" i="2"/>
  <c r="AB4857" i="2"/>
  <c r="AK4857" i="2" s="1"/>
  <c r="AB4859" i="2"/>
  <c r="AK4859" i="2" s="1"/>
  <c r="Y4859" i="2"/>
  <c r="AB4861" i="2"/>
  <c r="AK4861" i="2" s="1"/>
  <c r="AB4863" i="2"/>
  <c r="AK4863" i="2" s="1"/>
  <c r="Y4863" i="2"/>
  <c r="AB4865" i="2"/>
  <c r="AK4865" i="2" s="1"/>
  <c r="AB4867" i="2"/>
  <c r="AK4867" i="2" s="1"/>
  <c r="Y4867" i="2"/>
  <c r="AB4869" i="2"/>
  <c r="AK4869" i="2" s="1"/>
  <c r="AB4871" i="2"/>
  <c r="AK4871" i="2" s="1"/>
  <c r="Y4871" i="2"/>
  <c r="AB4873" i="2"/>
  <c r="AK4873" i="2" s="1"/>
  <c r="AB4875" i="2"/>
  <c r="AK4875" i="2" s="1"/>
  <c r="Y4875" i="2"/>
  <c r="AB4877" i="2"/>
  <c r="AK4877" i="2" s="1"/>
  <c r="AB4879" i="2"/>
  <c r="AK4879" i="2" s="1"/>
  <c r="Y4879" i="2"/>
  <c r="AB4881" i="2"/>
  <c r="AK4881" i="2" s="1"/>
  <c r="AB4883" i="2"/>
  <c r="AK4883" i="2" s="1"/>
  <c r="Y4883" i="2"/>
  <c r="AB4885" i="2"/>
  <c r="AK4885" i="2" s="1"/>
  <c r="AB4887" i="2"/>
  <c r="AK4887" i="2" s="1"/>
  <c r="Y4887" i="2"/>
  <c r="AB4889" i="2"/>
  <c r="AK4889" i="2" s="1"/>
  <c r="AB4891" i="2"/>
  <c r="AK4891" i="2" s="1"/>
  <c r="Y4891" i="2"/>
  <c r="Y4893" i="2"/>
  <c r="Y4895" i="2"/>
  <c r="AB4897" i="2"/>
  <c r="AK4897" i="2" s="1"/>
  <c r="Y4897" i="2"/>
  <c r="Y4899" i="2"/>
  <c r="AB4901" i="2"/>
  <c r="AK4901" i="2" s="1"/>
  <c r="Y4901" i="2"/>
  <c r="Y4903" i="2"/>
  <c r="AB4905" i="2"/>
  <c r="AK4905" i="2" s="1"/>
  <c r="Y4905" i="2"/>
  <c r="Y4907" i="2"/>
  <c r="AB4954" i="2"/>
  <c r="AK4954" i="2" s="1"/>
  <c r="Y4954" i="2"/>
  <c r="Y4956" i="2"/>
  <c r="AB4958" i="2"/>
  <c r="AK4958" i="2" s="1"/>
  <c r="Y4958" i="2"/>
  <c r="Y4960" i="2"/>
  <c r="AB4962" i="2"/>
  <c r="AK4962" i="2" s="1"/>
  <c r="Y4962" i="2"/>
  <c r="Y4964" i="2"/>
  <c r="AB4966" i="2"/>
  <c r="AK4966" i="2" s="1"/>
  <c r="Y4966" i="2"/>
  <c r="Y4968" i="2"/>
  <c r="AB4970" i="2"/>
  <c r="AK4970" i="2" s="1"/>
  <c r="Y4970" i="2"/>
  <c r="Y4972" i="2"/>
  <c r="AB4974" i="2"/>
  <c r="AK4974" i="2" s="1"/>
  <c r="Y4974" i="2"/>
  <c r="Y4976" i="2"/>
  <c r="AB4978" i="2"/>
  <c r="AK4978" i="2" s="1"/>
  <c r="Y4978" i="2"/>
  <c r="Y4980" i="2"/>
  <c r="AB4982" i="2"/>
  <c r="AK4982" i="2" s="1"/>
  <c r="Y4982" i="2"/>
  <c r="Y5033" i="2"/>
  <c r="AB5035" i="2"/>
  <c r="AK5035" i="2" s="1"/>
  <c r="Y5035" i="2"/>
  <c r="Y5037" i="2"/>
  <c r="AB5039" i="2"/>
  <c r="AK5039" i="2" s="1"/>
  <c r="Y5039" i="2"/>
  <c r="Y5041" i="2"/>
  <c r="AB5043" i="2"/>
  <c r="AK5043" i="2" s="1"/>
  <c r="Y5043" i="2"/>
  <c r="Y5046" i="2"/>
  <c r="AB5048" i="2"/>
  <c r="AK5048" i="2" s="1"/>
  <c r="Y5048" i="2"/>
  <c r="Y5050" i="2"/>
  <c r="AB5052" i="2"/>
  <c r="AK5052" i="2" s="1"/>
  <c r="Y5052" i="2"/>
  <c r="Y5054" i="2"/>
  <c r="AB5056" i="2"/>
  <c r="AK5056" i="2" s="1"/>
  <c r="Y5056" i="2"/>
  <c r="Y5058" i="2"/>
  <c r="AB5062" i="2"/>
  <c r="AK5062" i="2" s="1"/>
  <c r="Y5062" i="2"/>
  <c r="Y5064" i="2"/>
  <c r="AB5066" i="2"/>
  <c r="AK5066" i="2" s="1"/>
  <c r="Y5066" i="2"/>
  <c r="Y5068" i="2"/>
  <c r="AB5070" i="2"/>
  <c r="AK5070" i="2" s="1"/>
  <c r="Y5070" i="2"/>
  <c r="Y5072" i="2"/>
  <c r="AB5074" i="2"/>
  <c r="AK5074" i="2" s="1"/>
  <c r="Y5074" i="2"/>
  <c r="Y5076" i="2"/>
  <c r="AB5078" i="2"/>
  <c r="AK5078" i="2" s="1"/>
  <c r="Y5078" i="2"/>
  <c r="Y5080" i="2"/>
  <c r="AB5082" i="2"/>
  <c r="AK5082" i="2" s="1"/>
  <c r="Y5082" i="2"/>
  <c r="Y5084" i="2"/>
  <c r="AB5086" i="2"/>
  <c r="AK5086" i="2" s="1"/>
  <c r="Y5086" i="2"/>
  <c r="AB5090" i="2"/>
  <c r="AK5090" i="2" s="1"/>
  <c r="Y5090" i="2"/>
  <c r="AB5092" i="2"/>
  <c r="AK5092" i="2" s="1"/>
  <c r="AB5094" i="2"/>
  <c r="AK5094" i="2" s="1"/>
  <c r="Y5094" i="2"/>
  <c r="AB5096" i="2"/>
  <c r="AK5096" i="2" s="1"/>
  <c r="AB5098" i="2"/>
  <c r="AK5098" i="2" s="1"/>
  <c r="Y5098" i="2"/>
  <c r="AB5100" i="2"/>
  <c r="AK5100" i="2" s="1"/>
  <c r="Y5102" i="2"/>
  <c r="AB5104" i="2"/>
  <c r="AK5104" i="2" s="1"/>
  <c r="Y5104" i="2"/>
  <c r="Y5106" i="2"/>
  <c r="AB5108" i="2"/>
  <c r="AK5108" i="2" s="1"/>
  <c r="Y5108" i="2"/>
  <c r="Y5110" i="2"/>
  <c r="AB5112" i="2"/>
  <c r="AK5112" i="2" s="1"/>
  <c r="Y5112" i="2"/>
  <c r="Y5114" i="2"/>
  <c r="AB5116" i="2"/>
  <c r="AK5116" i="2" s="1"/>
  <c r="Y5116" i="2"/>
  <c r="Y5118" i="2"/>
  <c r="AB5120" i="2"/>
  <c r="AK5120" i="2" s="1"/>
  <c r="Y5120" i="2"/>
  <c r="Y5122" i="2"/>
  <c r="AB5124" i="2"/>
  <c r="AK5124" i="2" s="1"/>
  <c r="Y5124" i="2"/>
  <c r="Y5126" i="2"/>
  <c r="AB5128" i="2"/>
  <c r="AK5128" i="2" s="1"/>
  <c r="Y5128" i="2"/>
  <c r="Y5130" i="2"/>
  <c r="AB5132" i="2"/>
  <c r="AK5132" i="2" s="1"/>
  <c r="Y5132" i="2"/>
  <c r="Y5134" i="2"/>
  <c r="AB5136" i="2"/>
  <c r="AK5136" i="2" s="1"/>
  <c r="Y5136" i="2"/>
  <c r="Y5138" i="2"/>
  <c r="AB5140" i="2"/>
  <c r="AK5140" i="2" s="1"/>
  <c r="Y5140" i="2"/>
  <c r="Y5142" i="2"/>
  <c r="AB5144" i="2"/>
  <c r="AK5144" i="2" s="1"/>
  <c r="Y5144" i="2"/>
  <c r="Y5146" i="2"/>
  <c r="AB5148" i="2"/>
  <c r="AK5148" i="2" s="1"/>
  <c r="Y5148" i="2"/>
  <c r="Y5150" i="2"/>
  <c r="AB5152" i="2"/>
  <c r="AK5152" i="2" s="1"/>
  <c r="Y5152" i="2"/>
  <c r="Y5154" i="2"/>
  <c r="AB5156" i="2"/>
  <c r="AK5156" i="2" s="1"/>
  <c r="Y5156" i="2"/>
  <c r="Y5158" i="2"/>
  <c r="AB5160" i="2"/>
  <c r="AK5160" i="2" s="1"/>
  <c r="Y5160" i="2"/>
  <c r="Y5162" i="2"/>
  <c r="AB5164" i="2"/>
  <c r="AK5164" i="2" s="1"/>
  <c r="Y5164" i="2"/>
  <c r="Y5166" i="2"/>
  <c r="AB5168" i="2"/>
  <c r="AK5168" i="2" s="1"/>
  <c r="Y5168" i="2"/>
  <c r="Y5195" i="2"/>
  <c r="AB5197" i="2"/>
  <c r="AK5197" i="2" s="1"/>
  <c r="Y5197" i="2"/>
  <c r="Y5199" i="2"/>
  <c r="AB5201" i="2"/>
  <c r="AK5201" i="2" s="1"/>
  <c r="Y5201" i="2"/>
  <c r="Y5203" i="2"/>
  <c r="AB5205" i="2"/>
  <c r="AK5205" i="2" s="1"/>
  <c r="Y5205" i="2"/>
  <c r="Y5207" i="2"/>
  <c r="AB5209" i="2"/>
  <c r="AK5209" i="2" s="1"/>
  <c r="Y5209" i="2"/>
  <c r="Y5211" i="2"/>
  <c r="AB5213" i="2"/>
  <c r="AK5213" i="2" s="1"/>
  <c r="Y5213" i="2"/>
  <c r="Y5215" i="2"/>
  <c r="AB5217" i="2"/>
  <c r="AK5217" i="2" s="1"/>
  <c r="Y5217" i="2"/>
  <c r="Y5219" i="2"/>
  <c r="AB5221" i="2"/>
  <c r="AK5221" i="2" s="1"/>
  <c r="Y5221" i="2"/>
  <c r="Y5223" i="2"/>
  <c r="AB5225" i="2"/>
  <c r="AK5225" i="2" s="1"/>
  <c r="Y5225" i="2"/>
  <c r="Y5227" i="2"/>
  <c r="AB5229" i="2"/>
  <c r="AK5229" i="2" s="1"/>
  <c r="Y5229" i="2"/>
  <c r="Y5231" i="2"/>
  <c r="AB5233" i="2"/>
  <c r="AK5233" i="2" s="1"/>
  <c r="Y5233" i="2"/>
  <c r="Y5235" i="2"/>
  <c r="AB5237" i="2"/>
  <c r="AK5237" i="2" s="1"/>
  <c r="Y5237" i="2"/>
  <c r="Y5239" i="2"/>
  <c r="AB5241" i="2"/>
  <c r="AK5241" i="2" s="1"/>
  <c r="Y5241" i="2"/>
  <c r="Y5252" i="2"/>
  <c r="AB5260" i="2"/>
  <c r="AK5260" i="2" s="1"/>
  <c r="Y5260" i="2"/>
  <c r="Y5271" i="2"/>
  <c r="AB5277" i="2"/>
  <c r="AK5277" i="2" s="1"/>
  <c r="Y5277" i="2"/>
  <c r="Y5281" i="2"/>
  <c r="AB5285" i="2"/>
  <c r="AK5285" i="2" s="1"/>
  <c r="Y5285" i="2"/>
  <c r="Y5289" i="2"/>
  <c r="AB5293" i="2"/>
  <c r="AK5293" i="2" s="1"/>
  <c r="Y5293" i="2"/>
  <c r="Y5297" i="2"/>
  <c r="AB5301" i="2"/>
  <c r="AK5301" i="2" s="1"/>
  <c r="Y5301" i="2"/>
  <c r="R121" i="3"/>
  <c r="T121" i="3" s="1"/>
  <c r="U121" i="3" s="1"/>
  <c r="V121" i="3" s="1"/>
  <c r="R80" i="3"/>
  <c r="T80" i="3" s="1"/>
  <c r="U80" i="3" s="1"/>
  <c r="V80" i="3" s="1"/>
  <c r="R82" i="3"/>
  <c r="T82" i="3" s="1"/>
  <c r="U82" i="3" s="1"/>
  <c r="V82" i="3" s="1"/>
  <c r="R76" i="3"/>
  <c r="T76" i="3" s="1"/>
  <c r="U76" i="3" s="1"/>
  <c r="V76" i="3" s="1"/>
  <c r="R110" i="3"/>
  <c r="T110" i="3" s="1"/>
  <c r="U110" i="3" s="1"/>
  <c r="V110" i="3" s="1"/>
  <c r="R105" i="3"/>
  <c r="T105" i="3" s="1"/>
  <c r="U105" i="3" s="1"/>
  <c r="V105" i="3" s="1"/>
  <c r="R104" i="3"/>
  <c r="T104" i="3" s="1"/>
  <c r="U104" i="3" s="1"/>
  <c r="V104" i="3" s="1"/>
  <c r="R111" i="3"/>
  <c r="T111" i="3" s="1"/>
  <c r="U111" i="3" s="1"/>
  <c r="V111" i="3" s="1"/>
  <c r="R70" i="3"/>
  <c r="T70" i="3" s="1"/>
  <c r="U70" i="3" s="1"/>
  <c r="V70" i="3" s="1"/>
  <c r="R88" i="3"/>
  <c r="T88" i="3" s="1"/>
  <c r="U88" i="3" s="1"/>
  <c r="V88" i="3" s="1"/>
  <c r="R87" i="3"/>
  <c r="T87" i="3" s="1"/>
  <c r="U87" i="3" s="1"/>
  <c r="V87" i="3" s="1"/>
  <c r="R91" i="3"/>
  <c r="T91" i="3" s="1"/>
  <c r="U91" i="3" s="1"/>
  <c r="V91" i="3" s="1"/>
  <c r="R107" i="3"/>
  <c r="T107" i="3" s="1"/>
  <c r="U107" i="3" s="1"/>
  <c r="V107" i="3" s="1"/>
  <c r="R108" i="3"/>
  <c r="T108" i="3" s="1"/>
  <c r="U108" i="3" s="1"/>
  <c r="V108" i="3" s="1"/>
  <c r="R98" i="3"/>
  <c r="T98" i="3" s="1"/>
  <c r="U98" i="3" s="1"/>
  <c r="V98" i="3" s="1"/>
  <c r="R100" i="3"/>
  <c r="T100" i="3" s="1"/>
  <c r="U100" i="3" s="1"/>
  <c r="V100" i="3" s="1"/>
  <c r="AF3308" i="2"/>
  <c r="AC2828" i="2"/>
  <c r="AC2862" i="2"/>
  <c r="AC2870" i="2"/>
  <c r="AC2878" i="2"/>
  <c r="AC2886" i="2"/>
  <c r="AC2894" i="2"/>
  <c r="AC3027" i="2"/>
  <c r="AC3137" i="2"/>
  <c r="AC3147" i="2"/>
  <c r="AC3157" i="2"/>
  <c r="AC3167" i="2"/>
  <c r="AC3177" i="2"/>
  <c r="AC3187" i="2"/>
  <c r="AC3199" i="2"/>
  <c r="AC3209" i="2"/>
  <c r="AC3219" i="2"/>
  <c r="AC3227" i="2"/>
  <c r="AC3237" i="2"/>
  <c r="AC3247" i="2"/>
  <c r="AC3255" i="2"/>
  <c r="AC3273" i="2"/>
  <c r="AC3279" i="2"/>
  <c r="AC3289" i="2"/>
  <c r="AC3315" i="2"/>
  <c r="AC3321" i="2"/>
  <c r="AA3329" i="2"/>
  <c r="AB3329" i="2" s="1"/>
  <c r="AK3329" i="2" s="1"/>
  <c r="AC3339" i="2"/>
  <c r="AC3355" i="2"/>
  <c r="AC3363" i="2"/>
  <c r="AC3367" i="2"/>
  <c r="AC3371" i="2"/>
  <c r="AC3377" i="2"/>
  <c r="AC3381" i="2"/>
  <c r="AC3385" i="2"/>
  <c r="AC3389" i="2"/>
  <c r="AA3393" i="2"/>
  <c r="AB3393" i="2" s="1"/>
  <c r="AK3393" i="2" s="1"/>
  <c r="AC3397" i="2"/>
  <c r="AC3401" i="2"/>
  <c r="AC3405" i="2"/>
  <c r="AC3407" i="2"/>
  <c r="AC3461" i="2"/>
  <c r="AC3610" i="2"/>
  <c r="AC3650" i="2"/>
  <c r="AC3690" i="2"/>
  <c r="AC3706" i="2"/>
  <c r="AC3722" i="2"/>
  <c r="AC3730" i="2"/>
  <c r="AC3738" i="2"/>
  <c r="AC3746" i="2"/>
  <c r="AC3754" i="2"/>
  <c r="AC3762" i="2"/>
  <c r="AC3770" i="2"/>
  <c r="AC3778" i="2"/>
  <c r="AC3786" i="2"/>
  <c r="AC3794" i="2"/>
  <c r="AC3802" i="2"/>
  <c r="AC3810" i="2"/>
  <c r="AC3818" i="2"/>
  <c r="AC3826" i="2"/>
  <c r="AC3839" i="2"/>
  <c r="AC3847" i="2"/>
  <c r="AC3855" i="2"/>
  <c r="AC3863" i="2"/>
  <c r="AC3871" i="2"/>
  <c r="AC3879" i="2"/>
  <c r="AC3887" i="2"/>
  <c r="AC3895" i="2"/>
  <c r="AC3903" i="2"/>
  <c r="AC3911" i="2"/>
  <c r="AC3919" i="2"/>
  <c r="AC3927" i="2"/>
  <c r="AC3935" i="2"/>
  <c r="AC3943" i="2"/>
  <c r="AC3951" i="2"/>
  <c r="AC3959" i="2"/>
  <c r="AC3967" i="2"/>
  <c r="AC3975" i="2"/>
  <c r="AC3983" i="2"/>
  <c r="AC3991" i="2"/>
  <c r="AC3999" i="2"/>
  <c r="AC4007" i="2"/>
  <c r="AC4015" i="2"/>
  <c r="AC4023" i="2"/>
  <c r="AC4031" i="2"/>
  <c r="AC4039" i="2"/>
  <c r="AC4047" i="2"/>
  <c r="AC4055" i="2"/>
  <c r="AC4063" i="2"/>
  <c r="AC4071" i="2"/>
  <c r="AC4079" i="2"/>
  <c r="AC4089" i="2"/>
  <c r="AC4097" i="2"/>
  <c r="AC4105" i="2"/>
  <c r="AC4110" i="2"/>
  <c r="AC4118" i="2"/>
  <c r="AC4126" i="2"/>
  <c r="AC4134" i="2"/>
  <c r="AC4142" i="2"/>
  <c r="AC4150" i="2"/>
  <c r="AC4158" i="2"/>
  <c r="AC4166" i="2"/>
  <c r="AC4174" i="2"/>
  <c r="AC4182" i="2"/>
  <c r="AC4190" i="2"/>
  <c r="AC4198" i="2"/>
  <c r="AC4206" i="2"/>
  <c r="AC4214" i="2"/>
  <c r="AC4222" i="2"/>
  <c r="AC4230" i="2"/>
  <c r="AC4238" i="2"/>
  <c r="AC4246" i="2"/>
  <c r="AC4254" i="2"/>
  <c r="AC4275" i="2"/>
  <c r="AC4283" i="2"/>
  <c r="AC4291" i="2"/>
  <c r="AC4299" i="2"/>
  <c r="AC4307" i="2"/>
  <c r="AC4315" i="2"/>
  <c r="AC4323" i="2"/>
  <c r="AC4336" i="2"/>
  <c r="AC4349" i="2"/>
  <c r="AC4357" i="2"/>
  <c r="AC4365" i="2"/>
  <c r="AC4373" i="2"/>
  <c r="AC4381" i="2"/>
  <c r="AC4389" i="2"/>
  <c r="AC4394" i="2"/>
  <c r="AC4396" i="2"/>
  <c r="AC4404" i="2"/>
  <c r="AC4412" i="2"/>
  <c r="AC4420" i="2"/>
  <c r="AC4428" i="2"/>
  <c r="AC4436" i="2"/>
  <c r="AC4444" i="2"/>
  <c r="AC4452" i="2"/>
  <c r="AC4460" i="2"/>
  <c r="AC4468" i="2"/>
  <c r="AC4476" i="2"/>
  <c r="AC4484" i="2"/>
  <c r="AC4492" i="2"/>
  <c r="AC4500" i="2"/>
  <c r="AC4515" i="2"/>
  <c r="AC4523" i="2"/>
  <c r="AC4531" i="2"/>
  <c r="AC4539" i="2"/>
  <c r="AC4544" i="2"/>
  <c r="AC4557" i="2"/>
  <c r="AC4562" i="2"/>
  <c r="AC4570" i="2"/>
  <c r="AC4578" i="2"/>
  <c r="AC4586" i="2"/>
  <c r="AC4591" i="2"/>
  <c r="AC4599" i="2"/>
  <c r="AC4607" i="2"/>
  <c r="AC4615" i="2"/>
  <c r="AC4623" i="2"/>
  <c r="AC4631" i="2"/>
  <c r="AC4639" i="2"/>
  <c r="AC4652" i="2"/>
  <c r="AC2782" i="2"/>
  <c r="AC2796" i="2"/>
  <c r="AC2812" i="2"/>
  <c r="AC2982" i="2"/>
  <c r="AC2990" i="2"/>
  <c r="AC2998" i="2"/>
  <c r="AC3031" i="2"/>
  <c r="AC3141" i="2"/>
  <c r="AC3151" i="2"/>
  <c r="AC3161" i="2"/>
  <c r="AC3169" i="2"/>
  <c r="AC3179" i="2"/>
  <c r="AC3191" i="2"/>
  <c r="AC3201" i="2"/>
  <c r="AC3211" i="2"/>
  <c r="AC3221" i="2"/>
  <c r="AC3229" i="2"/>
  <c r="AC3239" i="2"/>
  <c r="AC3251" i="2"/>
  <c r="AC3261" i="2"/>
  <c r="AC3271" i="2"/>
  <c r="AC3283" i="2"/>
  <c r="AC3293" i="2"/>
  <c r="AC3303" i="2"/>
  <c r="AC3313" i="2"/>
  <c r="AC3343" i="2"/>
  <c r="AC3351" i="2"/>
  <c r="AC3359" i="2"/>
  <c r="AC3373" i="2"/>
  <c r="AC3477" i="2"/>
  <c r="AC3578" i="2"/>
  <c r="AC3618" i="2"/>
  <c r="AC3658" i="2"/>
  <c r="AC3698" i="2"/>
  <c r="AC3714" i="2"/>
  <c r="AC2777" i="2"/>
  <c r="AC2785" i="2"/>
  <c r="AC2793" i="2"/>
  <c r="AC2809" i="2"/>
  <c r="AF2812" i="2"/>
  <c r="AC2817" i="2"/>
  <c r="AC2833" i="2"/>
  <c r="AC2841" i="2"/>
  <c r="AC2859" i="2"/>
  <c r="AC2867" i="2"/>
  <c r="AC2883" i="2"/>
  <c r="AC2891" i="2"/>
  <c r="AC2907" i="2"/>
  <c r="AC2915" i="2"/>
  <c r="AC2923" i="2"/>
  <c r="AC2836" i="2"/>
  <c r="AC2844" i="2"/>
  <c r="AC2934" i="2"/>
  <c r="AC3023" i="2"/>
  <c r="AC3033" i="2"/>
  <c r="AC3145" i="2"/>
  <c r="AC3155" i="2"/>
  <c r="AC3165" i="2"/>
  <c r="AC3175" i="2"/>
  <c r="AC3185" i="2"/>
  <c r="AC3195" i="2"/>
  <c r="AC3207" i="2"/>
  <c r="AC3217" i="2"/>
  <c r="AC3231" i="2"/>
  <c r="AC3243" i="2"/>
  <c r="AC3253" i="2"/>
  <c r="AC3263" i="2"/>
  <c r="AC3275" i="2"/>
  <c r="AC3285" i="2"/>
  <c r="AC3295" i="2"/>
  <c r="AC3305" i="2"/>
  <c r="AA3317" i="2"/>
  <c r="AB3317" i="2" s="1"/>
  <c r="AK3317" i="2" s="1"/>
  <c r="AC3327" i="2"/>
  <c r="AA3335" i="2"/>
  <c r="AB3335" i="2" s="1"/>
  <c r="AC3347" i="2"/>
  <c r="AC3361" i="2"/>
  <c r="AC3429" i="2"/>
  <c r="AC3437" i="2"/>
  <c r="AC3541" i="2"/>
  <c r="AC3549" i="2"/>
  <c r="AC3557" i="2"/>
  <c r="AC3626" i="2"/>
  <c r="AC3666" i="2"/>
  <c r="AC2822" i="2"/>
  <c r="AC2856" i="2"/>
  <c r="AC2880" i="2"/>
  <c r="AC2888" i="2"/>
  <c r="AC2936" i="2"/>
  <c r="AC2944" i="2"/>
  <c r="AC2992" i="2"/>
  <c r="AC3008" i="2"/>
  <c r="AC3016" i="2"/>
  <c r="AC2942" i="2"/>
  <c r="AC2950" i="2"/>
  <c r="AC3006" i="2"/>
  <c r="AC3025" i="2"/>
  <c r="AC3143" i="2"/>
  <c r="AC3153" i="2"/>
  <c r="AC3163" i="2"/>
  <c r="AC3173" i="2"/>
  <c r="AC3183" i="2"/>
  <c r="AC3193" i="2"/>
  <c r="AC3203" i="2"/>
  <c r="AC3213" i="2"/>
  <c r="AC3223" i="2"/>
  <c r="AC3235" i="2"/>
  <c r="AC3245" i="2"/>
  <c r="AC3257" i="2"/>
  <c r="AC3267" i="2"/>
  <c r="AC3277" i="2"/>
  <c r="AC3287" i="2"/>
  <c r="AC3299" i="2"/>
  <c r="AC3309" i="2"/>
  <c r="AC3319" i="2"/>
  <c r="AC3341" i="2"/>
  <c r="AC3493" i="2"/>
  <c r="AC3501" i="2"/>
  <c r="AC3509" i="2"/>
  <c r="AC3517" i="2"/>
  <c r="AC3586" i="2"/>
  <c r="AC3594" i="2"/>
  <c r="AC3634" i="2"/>
  <c r="AC3642" i="2"/>
  <c r="AC2806" i="2"/>
  <c r="AC2830" i="2"/>
  <c r="AC2853" i="2"/>
  <c r="AC2872" i="2"/>
  <c r="AC2896" i="2"/>
  <c r="AC2920" i="2"/>
  <c r="AC2968" i="2"/>
  <c r="AC2767" i="2"/>
  <c r="AC2811" i="2"/>
  <c r="AC2827" i="2"/>
  <c r="AC2843" i="2"/>
  <c r="AC2869" i="2"/>
  <c r="AC2885" i="2"/>
  <c r="AC2901" i="2"/>
  <c r="AC2925" i="2"/>
  <c r="AC2933" i="2"/>
  <c r="AC2941" i="2"/>
  <c r="AC2949" i="2"/>
  <c r="AC2957" i="2"/>
  <c r="AC2965" i="2"/>
  <c r="AC2981" i="2"/>
  <c r="AC2997" i="2"/>
  <c r="AC3468" i="2"/>
  <c r="AC3593" i="2"/>
  <c r="AC3809" i="2"/>
  <c r="AC3838" i="2"/>
  <c r="AC3894" i="2"/>
  <c r="AC3902" i="2"/>
  <c r="AC3918" i="2"/>
  <c r="AC3974" i="2"/>
  <c r="AC3982" i="2"/>
  <c r="AC3998" i="2"/>
  <c r="AC2902" i="2"/>
  <c r="AC2918" i="2"/>
  <c r="AC2926" i="2"/>
  <c r="AC2966" i="2"/>
  <c r="AC2974" i="2"/>
  <c r="AC3019" i="2"/>
  <c r="AC3029" i="2"/>
  <c r="AC3139" i="2"/>
  <c r="AC3149" i="2"/>
  <c r="AC3159" i="2"/>
  <c r="AC3171" i="2"/>
  <c r="AC3181" i="2"/>
  <c r="AC3189" i="2"/>
  <c r="AC3197" i="2"/>
  <c r="AC3205" i="2"/>
  <c r="AC3215" i="2"/>
  <c r="AC3225" i="2"/>
  <c r="AC3233" i="2"/>
  <c r="AC3241" i="2"/>
  <c r="AC3249" i="2"/>
  <c r="AC3259" i="2"/>
  <c r="AC3269" i="2"/>
  <c r="AC3281" i="2"/>
  <c r="AC3291" i="2"/>
  <c r="AC3301" i="2"/>
  <c r="AC3331" i="2"/>
  <c r="AC3337" i="2"/>
  <c r="AC3353" i="2"/>
  <c r="AC3357" i="2"/>
  <c r="AC3365" i="2"/>
  <c r="AC3369" i="2"/>
  <c r="AC3375" i="2"/>
  <c r="AC3379" i="2"/>
  <c r="AC3383" i="2"/>
  <c r="AC3387" i="2"/>
  <c r="AC3391" i="2"/>
  <c r="AA3395" i="2"/>
  <c r="AB3395" i="2" s="1"/>
  <c r="AK3395" i="2" s="1"/>
  <c r="AA3399" i="2"/>
  <c r="AB3399" i="2" s="1"/>
  <c r="AC3403" i="2"/>
  <c r="AC3445" i="2"/>
  <c r="AC3485" i="2"/>
  <c r="AC3525" i="2"/>
  <c r="AC3565" i="2"/>
  <c r="AC3602" i="2"/>
  <c r="AC3674" i="2"/>
  <c r="AC3682" i="2"/>
  <c r="AC2764" i="2"/>
  <c r="AC2772" i="2"/>
  <c r="AC2780" i="2"/>
  <c r="AC2788" i="2"/>
  <c r="AC2798" i="2"/>
  <c r="AC2838" i="2"/>
  <c r="AC2846" i="2"/>
  <c r="AC2849" i="2"/>
  <c r="AC2864" i="2"/>
  <c r="AC2904" i="2"/>
  <c r="AC2928" i="2"/>
  <c r="AC2952" i="2"/>
  <c r="AC2960" i="2"/>
  <c r="AC2976" i="2"/>
  <c r="AC2984" i="2"/>
  <c r="AC2775" i="2"/>
  <c r="AC2783" i="2"/>
  <c r="AC2803" i="2"/>
  <c r="AC2819" i="2"/>
  <c r="AC2861" i="2"/>
  <c r="AC2877" i="2"/>
  <c r="AC2893" i="2"/>
  <c r="AC2909" i="2"/>
  <c r="AC2917" i="2"/>
  <c r="AC2973" i="2"/>
  <c r="AC2989" i="2"/>
  <c r="AC3005" i="2"/>
  <c r="AC3013" i="2"/>
  <c r="AC2784" i="2"/>
  <c r="AC2892" i="2"/>
  <c r="AC2900" i="2"/>
  <c r="AC2908" i="2"/>
  <c r="AC2763" i="2"/>
  <c r="AC2771" i="2"/>
  <c r="AC2779" i="2"/>
  <c r="AC2787" i="2"/>
  <c r="AC2791" i="2"/>
  <c r="AC2799" i="2"/>
  <c r="AC2815" i="2"/>
  <c r="AC2823" i="2"/>
  <c r="AC2831" i="2"/>
  <c r="AC4816" i="2"/>
  <c r="AC4818" i="2"/>
  <c r="AC4820" i="2"/>
  <c r="AC4822" i="2"/>
  <c r="AC4824" i="2"/>
  <c r="AC4826" i="2"/>
  <c r="AC4828" i="2"/>
  <c r="AC4830" i="2"/>
  <c r="AC4832" i="2"/>
  <c r="AC4834" i="2"/>
  <c r="AC4836" i="2"/>
  <c r="AC4838" i="2"/>
  <c r="AC4840" i="2"/>
  <c 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/>
  <c r="AC4866" i="2"/>
  <c r="AC4868" i="2"/>
  <c r="AC4870" i="2"/>
  <c r="AC5033" i="2"/>
  <c r="AC5035" i="2"/>
  <c r="AC5037" i="2"/>
  <c r="AC5039" i="2"/>
  <c r="AC5041" i="2"/>
  <c r="AC5043" i="2"/>
  <c r="AC5045" i="2"/>
  <c r="AC5047" i="2"/>
  <c r="AC5049" i="2"/>
  <c r="AC5051" i="2"/>
  <c r="AC5053" i="2"/>
  <c r="AC5055" i="2"/>
  <c r="AC5057" i="2"/>
  <c r="AC5059" i="2"/>
  <c r="AC5061" i="2"/>
  <c r="AC5063" i="2"/>
  <c r="AC5065" i="2"/>
  <c r="AC5067" i="2"/>
  <c r="AC5069" i="2"/>
  <c r="AC5071" i="2"/>
  <c r="AC5073" i="2"/>
  <c r="AC5075" i="2"/>
  <c r="AC5077" i="2"/>
  <c r="AC5079" i="2"/>
  <c r="AC5081" i="2"/>
  <c r="AC5083" i="2"/>
  <c r="AC5085" i="2"/>
  <c r="AC5087" i="2"/>
  <c r="AC5089" i="2"/>
  <c r="AC5091" i="2"/>
  <c r="AC5093" i="2"/>
  <c r="AC5095" i="2"/>
  <c r="AC5097" i="2"/>
  <c r="AC5099" i="2"/>
  <c r="AC5101" i="2"/>
  <c r="AC5103" i="2"/>
  <c r="AC5105" i="2"/>
  <c r="AC5107" i="2"/>
  <c r="AC5109" i="2"/>
  <c r="AC5111" i="2"/>
  <c r="AC5113" i="2"/>
  <c r="AC5115" i="2"/>
  <c r="AC5117" i="2"/>
  <c r="AC5119" i="2"/>
  <c r="AC5121" i="2"/>
  <c r="AC5123" i="2"/>
  <c r="AC5125" i="2"/>
  <c r="AC5127" i="2"/>
  <c r="AC5129" i="2"/>
  <c r="AC5131" i="2"/>
  <c r="AC5133" i="2"/>
  <c r="AC5135" i="2"/>
  <c r="AC5137" i="2"/>
  <c r="AC5139" i="2"/>
  <c r="AC5141" i="2"/>
  <c r="AC5143" i="2"/>
  <c r="AC5145" i="2"/>
  <c r="AC5147" i="2"/>
  <c r="AC5149" i="2"/>
  <c r="AC5151" i="2"/>
  <c r="AC5153" i="2"/>
  <c r="AC5155" i="2"/>
  <c r="AC5157" i="2"/>
  <c r="AC5159" i="2"/>
  <c r="AC5161" i="2"/>
  <c r="AC5163" i="2"/>
  <c r="AC5165" i="2"/>
  <c r="AC5167" i="2"/>
  <c r="AC5169" i="2"/>
  <c r="AC5242" i="2"/>
  <c r="AC5245" i="2"/>
  <c r="AC5253" i="2"/>
  <c r="AC5261" i="2"/>
  <c r="AC5272" i="2"/>
  <c r="AC5298" i="2"/>
  <c r="AC5302" i="2"/>
  <c r="AC2931" i="2"/>
  <c r="AC2939" i="2"/>
  <c r="AC2947" i="2"/>
  <c r="AC2955" i="2"/>
  <c r="AC2963" i="2"/>
  <c r="AC2971" i="2"/>
  <c r="AC2979" i="2"/>
  <c r="AC2987" i="2"/>
  <c r="AC2995" i="2"/>
  <c r="AC3003" i="2"/>
  <c r="AC3011" i="2"/>
  <c r="AC3434" i="2"/>
  <c r="AC3442" i="2"/>
  <c r="AC3450" i="2"/>
  <c r="AC3458" i="2"/>
  <c r="AC3466" i="2"/>
  <c r="AC3474" i="2"/>
  <c r="AC3482" i="2"/>
  <c r="AC3490" i="2"/>
  <c r="AC3498" i="2"/>
  <c r="AC3506" i="2"/>
  <c r="AC3514" i="2"/>
  <c r="AC3522" i="2"/>
  <c r="AC3530" i="2"/>
  <c r="AC3538" i="2"/>
  <c r="AC3546" i="2"/>
  <c r="AC3554" i="2"/>
  <c r="AC3562" i="2"/>
  <c r="AC3570" i="2"/>
  <c r="AC3575" i="2"/>
  <c r="AC3583" i="2"/>
  <c r="AC3591" i="2"/>
  <c r="AC3599" i="2"/>
  <c r="AC3607" i="2"/>
  <c r="AC3615" i="2"/>
  <c r="AC3623" i="2"/>
  <c r="AC3631" i="2"/>
  <c r="AC3639" i="2"/>
  <c r="AC3647" i="2"/>
  <c r="AC3655" i="2"/>
  <c r="AC3663" i="2"/>
  <c r="AC3671" i="2"/>
  <c r="AC3679" i="2"/>
  <c r="AC3687" i="2"/>
  <c r="AC3695" i="2"/>
  <c r="AC3703" i="2"/>
  <c r="AC3711" i="2"/>
  <c r="AC3719" i="2"/>
  <c r="AC3727" i="2"/>
  <c r="AC3735" i="2"/>
  <c r="AC3743" i="2"/>
  <c r="AC3751" i="2"/>
  <c r="AC3759" i="2"/>
  <c r="AC3767" i="2"/>
  <c r="AC3775" i="2"/>
  <c r="AC3783" i="2"/>
  <c r="AC3791" i="2"/>
  <c r="AC3799" i="2"/>
  <c r="AC3807" i="2"/>
  <c r="AC3815" i="2"/>
  <c r="AC3823" i="2"/>
  <c r="AC3831" i="2"/>
  <c r="AC3836" i="2"/>
  <c r="AC3844" i="2"/>
  <c r="AC3852" i="2"/>
  <c r="AC3860" i="2"/>
  <c r="AC3868" i="2"/>
  <c r="AC3876" i="2"/>
  <c r="AC3884" i="2"/>
  <c r="AC3892" i="2"/>
  <c r="AC3900" i="2"/>
  <c r="AC3908" i="2"/>
  <c r="AC3916" i="2"/>
  <c r="AC3924" i="2"/>
  <c r="AC3932" i="2"/>
  <c r="AC3940" i="2"/>
  <c r="AC3948" i="2"/>
  <c r="AC3956" i="2"/>
  <c r="AC3964" i="2"/>
  <c r="AC3972" i="2"/>
  <c r="AC3980" i="2"/>
  <c r="AC3988" i="2"/>
  <c r="AC3996" i="2"/>
  <c r="AC4004" i="2"/>
  <c r="AC4012" i="2"/>
  <c r="AC4020" i="2"/>
  <c r="AC4028" i="2"/>
  <c r="AC4036" i="2"/>
  <c r="AC4044" i="2"/>
  <c r="AC4052" i="2"/>
  <c r="AC4060" i="2"/>
  <c r="AC4068" i="2"/>
  <c r="AC4076" i="2"/>
  <c r="AC4084" i="2"/>
  <c r="AC4086" i="2"/>
  <c r="AC4094" i="2"/>
  <c r="AC4102" i="2"/>
  <c r="AC4115" i="2"/>
  <c r="AC4123" i="2"/>
  <c r="AC4131" i="2"/>
  <c r="AC4139" i="2"/>
  <c r="AC4147" i="2"/>
  <c r="AC4155" i="2"/>
  <c r="AC4163" i="2"/>
  <c r="AC4171" i="2"/>
  <c r="AC4179" i="2"/>
  <c r="AC4187" i="2"/>
  <c r="AC4195" i="2"/>
  <c r="AC4203" i="2"/>
  <c r="AC4211" i="2"/>
  <c r="AC4219" i="2"/>
  <c r="AC4227" i="2"/>
  <c r="AC4235" i="2"/>
  <c r="AC4243" i="2"/>
  <c r="AC4251" i="2"/>
  <c r="AC4259" i="2"/>
  <c r="AC4280" i="2"/>
  <c r="AC4288" i="2"/>
  <c r="AC4296" i="2"/>
  <c r="AC4304" i="2"/>
  <c r="AC4312" i="2"/>
  <c r="AC4320" i="2"/>
  <c r="AC4328" i="2"/>
  <c r="AC4333" i="2"/>
  <c r="AC4341" i="2"/>
  <c r="AC4346" i="2"/>
  <c r="AC4354" i="2"/>
  <c r="AC4362" i="2"/>
  <c r="AC4370" i="2"/>
  <c r="AC4378" i="2"/>
  <c r="AC4386" i="2"/>
  <c r="AC4391" i="2"/>
  <c r="AC4401" i="2"/>
  <c r="AC4409" i="2"/>
  <c r="AC4417" i="2"/>
  <c r="AC4425" i="2"/>
  <c r="AC4433" i="2"/>
  <c r="AC4441" i="2"/>
  <c r="AC4449" i="2"/>
  <c r="AC4457" i="2"/>
  <c r="AC4465" i="2"/>
  <c r="AC4473" i="2"/>
  <c r="AC4481" i="2"/>
  <c r="AC4489" i="2"/>
  <c r="AC4497" i="2"/>
  <c r="AC4505" i="2"/>
  <c r="AC4512" i="2"/>
  <c r="AC4520" i="2"/>
  <c r="AC4528" i="2"/>
  <c r="AC4536" i="2"/>
  <c r="AC4549" i="2"/>
  <c r="AC4554" i="2"/>
  <c r="AC4567" i="2"/>
  <c r="AC4575" i="2"/>
  <c r="AC4583" i="2"/>
  <c r="AC4596" i="2"/>
  <c r="AC4604" i="2"/>
  <c r="AC4612" i="2"/>
  <c r="AC4620" i="2"/>
  <c r="AC4628" i="2"/>
  <c r="AC4636" i="2"/>
  <c r="AC4644" i="2"/>
  <c r="AC4649" i="2"/>
  <c r="AC4666" i="2"/>
  <c r="AC4668" i="2"/>
  <c r="AC4670" i="2"/>
  <c r="AC4672" i="2"/>
  <c r="AC4674" i="2"/>
  <c r="AC4676" i="2"/>
  <c r="AC4678" i="2"/>
  <c r="AC4680" i="2"/>
  <c r="AC4682" i="2"/>
  <c r="AC4684" i="2"/>
  <c r="AC4782" i="2"/>
  <c r="AC4784" i="2"/>
  <c r="AC4786" i="2"/>
  <c r="AC4788" i="2"/>
  <c r="AC4790" i="2"/>
  <c r="AC4792" i="2"/>
  <c r="AC4794" i="2"/>
  <c r="AC4796" i="2"/>
  <c r="AC4798" i="2"/>
  <c r="AC4800" i="2"/>
  <c r="AC4802" i="2"/>
  <c r="AC4804" i="2"/>
  <c r="AC4806" i="2"/>
  <c r="AC4808" i="2"/>
  <c r="AC4810" i="2"/>
  <c r="AA4812" i="2"/>
  <c r="AB4812" i="2" s="1"/>
  <c r="AC4814" i="2"/>
  <c r="AC4872" i="2"/>
  <c r="AC4876" i="2"/>
  <c r="AC4878" i="2"/>
  <c r="AC4880" i="2"/>
  <c r="AC4882" i="2"/>
  <c r="AC4884" i="2"/>
  <c r="AC4886" i="2"/>
  <c r="AC4888" i="2"/>
  <c r="AC4890" i="2"/>
  <c r="AC4892" i="2"/>
  <c r="AC4894" i="2"/>
  <c r="AC4896" i="2"/>
  <c r="AC4898" i="2"/>
  <c r="AC4900" i="2"/>
  <c r="AC4902" i="2"/>
  <c r="AC4904" i="2"/>
  <c r="AC4906" i="2"/>
  <c r="AC4908" i="2"/>
  <c r="AC5001" i="2"/>
  <c r="AC5003" i="2"/>
  <c r="AC5005" i="2"/>
  <c r="AC5007" i="2"/>
  <c r="AC5009" i="2"/>
  <c r="AC5011" i="2"/>
  <c r="AC5013" i="2"/>
  <c r="AC5015" i="2"/>
  <c r="AC5017" i="2"/>
  <c r="AC5019" i="2"/>
  <c r="AC5021" i="2"/>
  <c r="AC5023" i="2"/>
  <c r="AC5025" i="2"/>
  <c r="AC5027" i="2"/>
  <c r="AC5029" i="2"/>
  <c r="AC5031" i="2"/>
  <c r="AC5188" i="2"/>
  <c r="AC5190" i="2"/>
  <c r="AC5192" i="2"/>
  <c r="AC5194" i="2"/>
  <c r="AC5196" i="2"/>
  <c r="AC5198" i="2"/>
  <c r="AC5200" i="2"/>
  <c r="AC5202" i="2"/>
  <c r="AC5204" i="2"/>
  <c r="AC5206" i="2"/>
  <c r="AC5208" i="2"/>
  <c r="AC5210" i="2"/>
  <c r="AC5212" i="2"/>
  <c r="AC5214" i="2"/>
  <c r="AC5216" i="2"/>
  <c r="AC5218" i="2"/>
  <c r="AC5220" i="2"/>
  <c r="AC5222" i="2"/>
  <c r="AC5224" i="2"/>
  <c r="AC5226" i="2"/>
  <c r="AC5228" i="2"/>
  <c r="AC5230" i="2"/>
  <c r="AC5232" i="2"/>
  <c r="AC5234" i="2"/>
  <c r="AC5236" i="2"/>
  <c r="AC5238" i="2"/>
  <c r="AC5240" i="2"/>
  <c r="AC5248" i="2"/>
  <c r="AC5256" i="2"/>
  <c r="AC5264" i="2"/>
  <c r="AC5267" i="2"/>
  <c r="AC5275" i="2"/>
  <c r="AC5279" i="2"/>
  <c r="AC5283" i="2"/>
  <c r="AC5287" i="2"/>
  <c r="AC5291" i="2"/>
  <c r="AC5295" i="2"/>
  <c r="R101" i="3"/>
  <c r="T101" i="3" s="1"/>
  <c r="U101" i="3" s="1"/>
  <c r="V101" i="3" s="1"/>
  <c r="AC3463" i="2"/>
  <c r="AC3551" i="2"/>
  <c r="AC3559" i="2"/>
  <c r="AC3567" i="2"/>
  <c r="AC3580" i="2"/>
  <c r="AC3588" i="2"/>
  <c r="AC3596" i="2"/>
  <c r="AC3604" i="2"/>
  <c r="AC3612" i="2"/>
  <c r="AC3620" i="2"/>
  <c r="AC3628" i="2"/>
  <c r="AC3636" i="2"/>
  <c r="AC3644" i="2"/>
  <c r="AC3652" i="2"/>
  <c r="AC3660" i="2"/>
  <c r="AC3668" i="2"/>
  <c r="AC3676" i="2"/>
  <c r="AC3684" i="2"/>
  <c r="AC3692" i="2"/>
  <c r="AC3700" i="2"/>
  <c r="AC3708" i="2"/>
  <c r="AC3716" i="2"/>
  <c r="AC3724" i="2"/>
  <c r="AC3732" i="2"/>
  <c r="AC3740" i="2"/>
  <c r="AC3748" i="2"/>
  <c r="AC3756" i="2"/>
  <c r="AC3764" i="2"/>
  <c r="AC3772" i="2"/>
  <c r="AC3780" i="2"/>
  <c r="AC3788" i="2"/>
  <c r="AC3796" i="2"/>
  <c r="AC3804" i="2"/>
  <c r="AC3812" i="2"/>
  <c r="AC3820" i="2"/>
  <c r="AC3828" i="2"/>
  <c r="AC3833" i="2"/>
  <c r="AC3841" i="2"/>
  <c r="AC3849" i="2"/>
  <c r="AC3857" i="2"/>
  <c r="AC3865" i="2"/>
  <c r="AC3873" i="2"/>
  <c r="AC3881" i="2"/>
  <c r="AC3889" i="2"/>
  <c r="AC3897" i="2"/>
  <c r="AC3905" i="2"/>
  <c r="AC3913" i="2"/>
  <c r="AC3921" i="2"/>
  <c r="AC3929" i="2"/>
  <c r="AC3937" i="2"/>
  <c r="AC3945" i="2"/>
  <c r="AC3953" i="2"/>
  <c r="AC3961" i="2"/>
  <c r="AC3969" i="2"/>
  <c r="AC3977" i="2"/>
  <c r="AC3985" i="2"/>
  <c r="AC3993" i="2"/>
  <c r="AC4001" i="2"/>
  <c r="AC4009" i="2"/>
  <c r="AC4017" i="2"/>
  <c r="AC4025" i="2"/>
  <c r="AC4033" i="2"/>
  <c r="AC4041" i="2"/>
  <c r="AC4049" i="2"/>
  <c r="AC4057" i="2"/>
  <c r="AC4065" i="2"/>
  <c r="AC4073" i="2"/>
  <c r="AC4081" i="2"/>
  <c r="AC4091" i="2"/>
  <c r="AC4099" i="2"/>
  <c r="AC4107" i="2"/>
  <c r="AC4112" i="2"/>
  <c r="AC4120" i="2"/>
  <c r="AC4128" i="2"/>
  <c r="AC4136" i="2"/>
  <c r="AC4144" i="2"/>
  <c r="AC4152" i="2"/>
  <c r="AC4160" i="2"/>
  <c r="AC4168" i="2"/>
  <c r="AC4176" i="2"/>
  <c r="AC4184" i="2"/>
  <c r="AC4192" i="2"/>
  <c r="AC4200" i="2"/>
  <c r="AC4208" i="2"/>
  <c r="AC4216" i="2"/>
  <c r="AC4224" i="2"/>
  <c r="AC4232" i="2"/>
  <c r="AC4240" i="2"/>
  <c r="AC4248" i="2"/>
  <c r="AC4256" i="2"/>
  <c r="AC4269" i="2"/>
  <c r="AC4277" i="2"/>
  <c r="AC4285" i="2"/>
  <c r="AC4293" i="2"/>
  <c r="AC4301" i="2"/>
  <c r="AC4309" i="2"/>
  <c r="AC4317" i="2"/>
  <c r="AC4325" i="2"/>
  <c r="AC4338" i="2"/>
  <c r="AC4343" i="2"/>
  <c r="AC4351" i="2"/>
  <c r="AC4359" i="2"/>
  <c r="AC4367" i="2"/>
  <c r="AC4375" i="2"/>
  <c r="AC4383" i="2"/>
  <c r="AC4406" i="2"/>
  <c r="AC4422" i="2"/>
  <c r="AC4430" i="2"/>
  <c r="AC4438" i="2"/>
  <c r="AC4446" i="2"/>
  <c r="AC4454" i="2"/>
  <c r="AC4462" i="2"/>
  <c r="AC4486" i="2"/>
  <c r="AC4494" i="2"/>
  <c r="AC4502" i="2"/>
  <c r="AC4507" i="2"/>
  <c r="AC4517" i="2"/>
  <c r="AC4525" i="2"/>
  <c r="AC4533" i="2"/>
  <c r="AC4551" i="2"/>
  <c r="AC4559" i="2"/>
  <c r="AC4564" i="2"/>
  <c r="AC4572" i="2"/>
  <c r="AC4580" i="2"/>
  <c r="AC4588" i="2"/>
  <c r="AC4601" i="2"/>
  <c r="AC4617" i="2"/>
  <c r="AC4625" i="2"/>
  <c r="AC4633" i="2"/>
  <c r="AC4641" i="2"/>
  <c r="AC4646" i="2"/>
  <c r="AC4656" i="2"/>
  <c r="AC4658" i="2"/>
  <c r="AC4662" i="2"/>
  <c r="AC4664" i="2"/>
  <c r="AC4694" i="2"/>
  <c r="AC4696" i="2"/>
  <c r="AC4700" i="2"/>
  <c r="AC4702" i="2"/>
  <c r="AC4704" i="2"/>
  <c r="AC4708" i="2"/>
  <c r="AC4710" i="2"/>
  <c r="AC4712" i="2"/>
  <c r="AC4716" i="2"/>
  <c r="AC4718" i="2"/>
  <c r="AC4720" i="2"/>
  <c r="AC4722" i="2"/>
  <c r="AC4726" i="2"/>
  <c r="AC4728" i="2"/>
  <c r="AC4732" i="2"/>
  <c r="AC4734" i="2"/>
  <c r="AC4736" i="2"/>
  <c r="AC4738" i="2"/>
  <c r="AC4740" i="2"/>
  <c r="AC4744" i="2"/>
  <c r="AC4748" i="2"/>
  <c r="AC4750" i="2"/>
  <c r="AC4752" i="2"/>
  <c r="AC4754" i="2"/>
  <c r="AC4756" i="2"/>
  <c r="AC4758" i="2"/>
  <c r="AC4764" i="2"/>
  <c r="AC4766" i="2"/>
  <c r="AC4768" i="2"/>
  <c r="AC4770" i="2"/>
  <c r="AC4772" i="2"/>
  <c r="AC4774" i="2"/>
  <c r="AC4776" i="2"/>
  <c r="AC4955" i="2"/>
  <c r="AC4957" i="2"/>
  <c r="AC4959" i="2"/>
  <c r="AC4961" i="2"/>
  <c r="AC4963" i="2"/>
  <c r="AC4965" i="2"/>
  <c r="AC4967" i="2"/>
  <c r="AC4969" i="2"/>
  <c r="AC4971" i="2"/>
  <c r="AC4973" i="2"/>
  <c r="AC4975" i="2"/>
  <c r="AC4977" i="2"/>
  <c r="AC4979" i="2"/>
  <c r="AC4981" i="2"/>
  <c r="AC4983" i="2"/>
  <c r="AC4985" i="2"/>
  <c r="AC4987" i="2"/>
  <c r="AC4989" i="2"/>
  <c r="AC4991" i="2"/>
  <c r="AC4993" i="2"/>
  <c r="AC4995" i="2"/>
  <c r="AC4997" i="2"/>
  <c r="AC4999" i="2"/>
  <c r="AC5172" i="2"/>
  <c r="AC5174" i="2"/>
  <c r="AC5176" i="2"/>
  <c r="AC5178" i="2"/>
  <c r="AC5180" i="2"/>
  <c r="AC5182" i="2"/>
  <c r="AC5184" i="2"/>
  <c r="AC5186" i="2"/>
  <c r="AC5251" i="2"/>
  <c r="AC5259" i="2"/>
  <c r="AC5270" i="2"/>
  <c r="AC5299" i="2"/>
  <c r="AC5303" i="2"/>
  <c r="R109" i="3"/>
  <c r="T109" i="3" s="1"/>
  <c r="U109" i="3" s="1"/>
  <c r="V109" i="3" s="1"/>
  <c r="AC4088" i="2"/>
  <c r="AC4104" i="2"/>
  <c r="AC4133" i="2"/>
  <c r="AC4141" i="2"/>
  <c r="AC4181" i="2"/>
  <c r="AC4189" i="2"/>
  <c r="AC4205" i="2"/>
  <c r="AC4221" i="2"/>
  <c r="AC4253" i="2"/>
  <c r="AC4261" i="2"/>
  <c r="AC4282" i="2"/>
  <c r="AC4290" i="2"/>
  <c r="AC4322" i="2"/>
  <c r="AC4330" i="2"/>
  <c r="AC4356" i="2"/>
  <c r="AC4364" i="2"/>
  <c r="AC4372" i="2"/>
  <c r="AC4380" i="2"/>
  <c r="AC4393" i="2"/>
  <c r="AC4467" i="2"/>
  <c r="AC4475" i="2"/>
  <c r="AC4543" i="2"/>
  <c r="AC4630" i="2"/>
  <c r="AC4923" i="2"/>
  <c r="AC4925" i="2"/>
  <c r="AC4927" i="2"/>
  <c r="AC4929" i="2"/>
  <c r="AC4931" i="2"/>
  <c r="AC4935" i="2"/>
  <c r="AC4937" i="2"/>
  <c r="AC4939" i="2"/>
  <c r="AC4941" i="2"/>
  <c r="AC4943" i="2"/>
  <c r="AC4945" i="2"/>
  <c r="AC4947" i="2"/>
  <c r="AC4949" i="2"/>
  <c r="AC4951" i="2"/>
  <c r="AC4953" i="2"/>
  <c r="AC5170" i="2"/>
  <c r="AC5243" i="2"/>
  <c r="AC5246" i="2"/>
  <c r="AC5254" i="2"/>
  <c r="AC5262" i="2"/>
  <c r="AC5265" i="2"/>
  <c r="AC5273" i="2"/>
  <c r="AC5276" i="2"/>
  <c r="AC5280" i="2"/>
  <c r="AC5284" i="2"/>
  <c r="AC5288" i="2"/>
  <c r="AC5292" i="2"/>
  <c r="AC5296" i="2"/>
  <c r="AC4022" i="2"/>
  <c r="AC4054" i="2"/>
  <c r="AC4096" i="2"/>
  <c r="AC4117" i="2"/>
  <c r="AC3034" i="2"/>
  <c r="AC3036" i="2"/>
  <c r="AC3038" i="2"/>
  <c r="AC3040" i="2"/>
  <c r="AC3042" i="2"/>
  <c r="AC3044" i="2"/>
  <c r="AC3046" i="2"/>
  <c r="AC3048" i="2"/>
  <c r="AC3050" i="2"/>
  <c r="AC3052" i="2"/>
  <c r="AC3054" i="2"/>
  <c r="AC3056" i="2"/>
  <c r="AC3058" i="2"/>
  <c r="AC3060" i="2"/>
  <c r="AC3062" i="2"/>
  <c r="AC3064" i="2"/>
  <c r="AC3066" i="2"/>
  <c r="AC3068" i="2"/>
  <c r="AC3070" i="2"/>
  <c r="AC3072" i="2"/>
  <c r="AC3074" i="2"/>
  <c r="AC3076" i="2"/>
  <c r="AC3078" i="2"/>
  <c r="AC3080" i="2"/>
  <c r="AC3082" i="2"/>
  <c r="AC3084" i="2"/>
  <c r="AC3086" i="2"/>
  <c r="AC3088" i="2"/>
  <c r="AC3090" i="2"/>
  <c r="AC3092" i="2"/>
  <c r="AC3094" i="2"/>
  <c r="AC3096" i="2"/>
  <c r="AC3098" i="2"/>
  <c r="AC3100" i="2"/>
  <c r="AC3102" i="2"/>
  <c r="AC3104" i="2"/>
  <c r="AC3106" i="2"/>
  <c r="AC3108" i="2"/>
  <c r="AC3110" i="2"/>
  <c r="AC3112" i="2"/>
  <c r="AC3114" i="2"/>
  <c r="AC3116" i="2"/>
  <c r="AC3118" i="2"/>
  <c r="AC3120" i="2"/>
  <c r="AC3122" i="2"/>
  <c r="AC3124" i="2"/>
  <c r="AC3126" i="2"/>
  <c r="AC3128" i="2"/>
  <c r="AC3130" i="2"/>
  <c r="AC3132" i="2"/>
  <c r="AC3134" i="2"/>
  <c r="AC3136" i="2"/>
  <c r="AC3138" i="2"/>
  <c r="AC3142" i="2"/>
  <c r="AC3144" i="2"/>
  <c r="AC3146" i="2"/>
  <c r="AC3148" i="2"/>
  <c r="AC3150" i="2"/>
  <c r="AC3152" i="2"/>
  <c r="AC3154" i="2"/>
  <c r="AC3158" i="2"/>
  <c r="AC3160" i="2"/>
  <c r="AC3162" i="2"/>
  <c r="AC3164" i="2"/>
  <c r="AC3166" i="2"/>
  <c r="AC3168" i="2"/>
  <c r="AC3170" i="2"/>
  <c r="AC3174" i="2"/>
  <c r="AC3176" i="2"/>
  <c r="AC3178" i="2"/>
  <c r="AC3180" i="2"/>
  <c r="AC3182" i="2"/>
  <c r="AC3184" i="2"/>
  <c r="AC3186" i="2"/>
  <c r="AC3190" i="2"/>
  <c r="AC3192" i="2"/>
  <c r="AC3194" i="2"/>
  <c r="AC3196" i="2"/>
  <c r="AC3198" i="2"/>
  <c r="AC3200" i="2"/>
  <c r="AC3202" i="2"/>
  <c r="AC3206" i="2"/>
  <c r="AC3208" i="2"/>
  <c r="AC3210" i="2"/>
  <c r="AC3212" i="2"/>
  <c r="AC3214" i="2"/>
  <c r="AC3216" i="2"/>
  <c r="AC3218" i="2"/>
  <c r="AC3222" i="2"/>
  <c r="AC3224" i="2"/>
  <c r="AC3226" i="2"/>
  <c r="AC3228" i="2"/>
  <c r="AC3230" i="2"/>
  <c r="AC3232" i="2"/>
  <c r="AC3234" i="2"/>
  <c r="AC3238" i="2"/>
  <c r="AC3240" i="2"/>
  <c r="AC3242" i="2"/>
  <c r="AC3244" i="2"/>
  <c r="AC3246" i="2"/>
  <c r="AC3248" i="2"/>
  <c r="AC3250" i="2"/>
  <c r="AC3254" i="2"/>
  <c r="AC3256" i="2"/>
  <c r="AC3258" i="2"/>
  <c r="AC3260" i="2"/>
  <c r="AC3262" i="2"/>
  <c r="AC3264" i="2"/>
  <c r="AC3266" i="2"/>
  <c r="AC3268" i="2"/>
  <c r="AC3270" i="2"/>
  <c r="AC3272" i="2"/>
  <c r="AC3274" i="2"/>
  <c r="AC3276" i="2"/>
  <c r="AC3278" i="2"/>
  <c r="AC3280" i="2"/>
  <c r="AC3282" i="2"/>
  <c r="AC3284" i="2"/>
  <c r="AC3286" i="2"/>
  <c r="AC3288" i="2"/>
  <c r="AC3290" i="2"/>
  <c r="AC3292" i="2"/>
  <c r="AC3294" i="2"/>
  <c r="AC3296" i="2"/>
  <c r="AC3298" i="2"/>
  <c r="AC3300" i="2"/>
  <c r="AC3302" i="2"/>
  <c r="AC3304" i="2"/>
  <c r="AC3306" i="2"/>
  <c r="AC3308" i="2"/>
  <c r="AC3310" i="2"/>
  <c r="AA3312" i="2"/>
  <c r="AB3312" i="2" s="1"/>
  <c r="AK3312" i="2" s="1"/>
  <c r="AC3314" i="2"/>
  <c r="AC3316" i="2"/>
  <c r="AC3318" i="2"/>
  <c r="AA3320" i="2"/>
  <c r="AB3320" i="2" s="1"/>
  <c r="AK3320" i="2" s="1"/>
  <c r="AC3322" i="2"/>
  <c r="AC3326" i="2"/>
  <c r="AC3328" i="2"/>
  <c r="AC3330" i="2"/>
  <c r="AC3332" i="2"/>
  <c r="AC3334" i="2"/>
  <c r="AC3336" i="2"/>
  <c r="AA3338" i="2"/>
  <c r="AB3338" i="2" s="1"/>
  <c r="AK3338" i="2" s="1"/>
  <c r="AC3340" i="2"/>
  <c r="AC3342" i="2"/>
  <c r="AC3344" i="2"/>
  <c r="AC3346" i="2"/>
  <c r="AC3348" i="2"/>
  <c r="AC3350" i="2"/>
  <c r="AC3352" i="2"/>
  <c r="AC3354" i="2"/>
  <c r="AC3356" i="2"/>
  <c r="AC3358" i="2"/>
  <c r="AC3360" i="2"/>
  <c r="AC3362" i="2"/>
  <c r="AC3364" i="2"/>
  <c r="AC3366" i="2"/>
  <c r="AC3368" i="2"/>
  <c r="AC3370" i="2"/>
  <c r="AC3372" i="2"/>
  <c r="AC3374" i="2"/>
  <c r="AC3376" i="2"/>
  <c r="AC3378" i="2"/>
  <c r="AC3380" i="2"/>
  <c r="AC3382" i="2"/>
  <c r="AC3384" i="2"/>
  <c r="AC3386" i="2"/>
  <c r="AC3388" i="2"/>
  <c r="AC3390" i="2"/>
  <c r="AC3392" i="2"/>
  <c r="AC3394" i="2"/>
  <c r="AC3396" i="2"/>
  <c r="AC3398" i="2"/>
  <c r="AC3400" i="2"/>
  <c r="AC3402" i="2"/>
  <c r="AC3404" i="2"/>
  <c r="AC3406" i="2"/>
  <c r="AC3408" i="2"/>
  <c r="AC3489" i="2"/>
  <c r="AC3497" i="2"/>
  <c r="AC3505" i="2"/>
  <c r="AC3521" i="2"/>
  <c r="AC3545" i="2"/>
  <c r="AC3561" i="2"/>
  <c r="AC3569" i="2"/>
  <c r="AC3606" i="2"/>
  <c r="AC3614" i="2"/>
  <c r="AC3630" i="2"/>
  <c r="AC3638" i="2"/>
  <c r="AC3646" i="2"/>
  <c r="AC3654" i="2"/>
  <c r="AC3678" i="2"/>
  <c r="AC3686" i="2"/>
  <c r="AC3702" i="2"/>
  <c r="AC3710" i="2"/>
  <c r="AC3718" i="2"/>
  <c r="AC3734" i="2"/>
  <c r="AC3742" i="2"/>
  <c r="AC3758" i="2"/>
  <c r="AC3774" i="2"/>
  <c r="AC3782" i="2"/>
  <c r="AC3798" i="2"/>
  <c r="AC3806" i="2"/>
  <c r="AC3814" i="2"/>
  <c r="AC3822" i="2"/>
  <c r="AC3843" i="2"/>
  <c r="AC3859" i="2"/>
  <c r="AC3867" i="2"/>
  <c r="AC3875" i="2"/>
  <c r="AC3883" i="2"/>
  <c r="AC3891" i="2"/>
  <c r="AC3899" i="2"/>
  <c r="AC3931" i="2"/>
  <c r="AC3939" i="2"/>
  <c r="AC3947" i="2"/>
  <c r="AC3955" i="2"/>
  <c r="AC3963" i="2"/>
  <c r="AC3971" i="2"/>
  <c r="AC3995" i="2"/>
  <c r="AC4011" i="2"/>
  <c r="AC4019" i="2"/>
  <c r="AC4027" i="2"/>
  <c r="AC4035" i="2"/>
  <c r="AC4051" i="2"/>
  <c r="AC4067" i="2"/>
  <c r="AC4075" i="2"/>
  <c r="AC4093" i="2"/>
  <c r="AC4101" i="2"/>
  <c r="AC4109" i="2"/>
  <c r="AC4114" i="2"/>
  <c r="AC4130" i="2"/>
  <c r="AC4138" i="2"/>
  <c r="AC4146" i="2"/>
  <c r="AC4154" i="2"/>
  <c r="AC4162" i="2"/>
  <c r="AC4170" i="2"/>
  <c r="AC4178" i="2"/>
  <c r="AC4194" i="2"/>
  <c r="AC4202" i="2"/>
  <c r="AC4210" i="2"/>
  <c r="AC4218" i="2"/>
  <c r="AC4226" i="2"/>
  <c r="AC4234" i="2"/>
  <c r="AC4242" i="2"/>
  <c r="AC4258" i="2"/>
  <c r="AC4271" i="2"/>
  <c r="AC4279" i="2"/>
  <c r="AC4287" i="2"/>
  <c r="AC4295" i="2"/>
  <c r="AC4303" i="2"/>
  <c r="AC4311" i="2"/>
  <c r="AC4327" i="2"/>
  <c r="AC4332" i="2"/>
  <c r="AC4340" i="2"/>
  <c r="AC4345" i="2"/>
  <c r="AC4353" i="2"/>
  <c r="AC4361" i="2"/>
  <c r="AC4369" i="2"/>
  <c r="AC4385" i="2"/>
  <c r="AC4395" i="2"/>
  <c r="AC4400" i="2"/>
  <c r="AC4408" i="2"/>
  <c r="AC4416" i="2"/>
  <c r="AC4424" i="2"/>
  <c r="AC4432" i="2"/>
  <c r="AC4440" i="2"/>
  <c r="AC4448" i="2"/>
  <c r="AC4456" i="2"/>
  <c r="AC4464" i="2"/>
  <c r="AC4472" i="2"/>
  <c r="AC4480" i="2"/>
  <c r="AC4488" i="2"/>
  <c r="AC4496" i="2"/>
  <c r="AC4504" i="2"/>
  <c r="AF4509" i="2"/>
  <c r="AC4511" i="2"/>
  <c r="AC4519" i="2"/>
  <c r="AC4527" i="2"/>
  <c r="AC4535" i="2"/>
  <c r="AC4548" i="2"/>
  <c r="AC4553" i="2"/>
  <c r="AC4561" i="2"/>
  <c r="AC4566" i="2"/>
  <c r="AC4574" i="2"/>
  <c r="AC4582" i="2"/>
  <c r="AC4595" i="2"/>
  <c r="AC4603" i="2"/>
  <c r="AC4611" i="2"/>
  <c r="AC4619" i="2"/>
  <c r="AC4627" i="2"/>
  <c r="AC4635" i="2"/>
  <c r="AC4643" i="2"/>
  <c r="AC4648" i="2"/>
  <c r="AC4815" i="2"/>
  <c r="AC4817" i="2"/>
  <c r="AC4819" i="2"/>
  <c r="AC4821" i="2"/>
  <c r="AC4823" i="2"/>
  <c r="AC4825" i="2"/>
  <c r="AC4827" i="2"/>
  <c r="AC4829" i="2"/>
  <c r="AC4831" i="2"/>
  <c r="AC4833" i="2"/>
  <c r="AC4835" i="2"/>
  <c r="AC4837" i="2"/>
  <c r="AC4839" i="2"/>
  <c r="AC4841" i="2"/>
  <c r="AC4843" i="2"/>
  <c r="AC4845" i="2"/>
  <c r="AC4847" i="2"/>
  <c r="AC4849" i="2"/>
  <c r="AC4851" i="2"/>
  <c r="AC4853" i="2"/>
  <c r="AC4855" i="2"/>
  <c r="AC4857" i="2"/>
  <c r="AC4859" i="2"/>
  <c r="AC4861" i="2"/>
  <c r="AC4863" i="2"/>
  <c r="AC4865" i="2"/>
  <c r="AC4867" i="2"/>
  <c r="AC4869" i="2"/>
  <c r="AC4871" i="2"/>
  <c r="AC5032" i="2"/>
  <c r="AC5034" i="2"/>
  <c r="AC5036" i="2"/>
  <c r="AC5038" i="2"/>
  <c r="AC5040" i="2"/>
  <c r="AC5042" i="2"/>
  <c r="AC5046" i="2"/>
  <c r="AC5048" i="2"/>
  <c r="AC5050" i="2"/>
  <c r="AC5052" i="2"/>
  <c r="AC5054" i="2"/>
  <c r="AC5056" i="2"/>
  <c r="AC5058" i="2"/>
  <c r="AC5062" i="2"/>
  <c r="AC5064" i="2"/>
  <c r="AC5066" i="2"/>
  <c r="AC5068" i="2"/>
  <c r="AC5070" i="2"/>
  <c r="AC5072" i="2"/>
  <c r="AC5074" i="2"/>
  <c r="AC5076" i="2"/>
  <c r="AC5078" i="2"/>
  <c r="AC5080" i="2"/>
  <c r="AC5082" i="2"/>
  <c r="AC5084" i="2"/>
  <c r="AC5086" i="2"/>
  <c r="AC5088" i="2"/>
  <c r="AC5090" i="2"/>
  <c r="AC5092" i="2"/>
  <c r="AC5094" i="2"/>
  <c r="AC5096" i="2"/>
  <c r="AC5098" i="2"/>
  <c r="AC5100" i="2"/>
  <c r="AC5102" i="2"/>
  <c r="AC5104" i="2"/>
  <c r="AC5106" i="2"/>
  <c r="AC5108" i="2"/>
  <c r="AC5110" i="2"/>
  <c r="AC5112" i="2"/>
  <c r="AC5114" i="2"/>
  <c r="AC5116" i="2"/>
  <c r="AC5118" i="2"/>
  <c r="AC5120" i="2"/>
  <c r="AC5122" i="2"/>
  <c r="AC5124" i="2"/>
  <c r="AC5126" i="2"/>
  <c r="AC5128" i="2"/>
  <c r="AC5130" i="2"/>
  <c r="AC5132" i="2"/>
  <c r="AC5134" i="2"/>
  <c r="AC5136" i="2"/>
  <c r="AC5138" i="2"/>
  <c r="AC5140" i="2"/>
  <c r="AC5142" i="2"/>
  <c r="AC5144" i="2"/>
  <c r="AC5146" i="2"/>
  <c r="AC5148" i="2"/>
  <c r="AC5150" i="2"/>
  <c r="AC5152" i="2"/>
  <c r="AC5154" i="2"/>
  <c r="AC5156" i="2"/>
  <c r="AC5158" i="2"/>
  <c r="AC5160" i="2"/>
  <c r="AC5162" i="2"/>
  <c r="AC5164" i="2"/>
  <c r="AC5166" i="2"/>
  <c r="AC5168" i="2"/>
  <c r="AC5249" i="2"/>
  <c r="AC5257" i="2"/>
  <c r="AC5268" i="2"/>
  <c r="AC5300" i="2"/>
  <c r="R78" i="3"/>
  <c r="T78" i="3" s="1"/>
  <c r="U78" i="3" s="1"/>
  <c r="V78" i="3" s="1"/>
  <c r="AC3430" i="2"/>
  <c r="AC3438" i="2"/>
  <c r="AC3446" i="2"/>
  <c r="AC3454" i="2"/>
  <c r="AC3462" i="2"/>
  <c r="AC3470" i="2"/>
  <c r="AC3478" i="2"/>
  <c r="AC3486" i="2"/>
  <c r="AC3494" i="2"/>
  <c r="AC3502" i="2"/>
  <c r="AC3510" i="2"/>
  <c r="AC3518" i="2"/>
  <c r="AC3526" i="2"/>
  <c r="AC3534" i="2"/>
  <c r="AC3542" i="2"/>
  <c r="AC3550" i="2"/>
  <c r="AC3558" i="2"/>
  <c r="AC3566" i="2"/>
  <c r="AC3579" i="2"/>
  <c r="AC3587" i="2"/>
  <c r="AC3619" i="2"/>
  <c r="AC3627" i="2"/>
  <c r="AC3635" i="2"/>
  <c r="AC3643" i="2"/>
  <c r="AC3651" i="2"/>
  <c r="AC3667" i="2"/>
  <c r="AC3675" i="2"/>
  <c r="AC3683" i="2"/>
  <c r="AC3691" i="2"/>
  <c r="AC3699" i="2"/>
  <c r="AC3707" i="2"/>
  <c r="AC3715" i="2"/>
  <c r="AC3731" i="2"/>
  <c r="AC3739" i="2"/>
  <c r="AC3747" i="2"/>
  <c r="AC3755" i="2"/>
  <c r="AC3763" i="2"/>
  <c r="AC3771" i="2"/>
  <c r="AC3779" i="2"/>
  <c r="AC3795" i="2"/>
  <c r="AC3803" i="2"/>
  <c r="AC3811" i="2"/>
  <c r="AC3819" i="2"/>
  <c r="AC3827" i="2"/>
  <c r="AC3840" i="2"/>
  <c r="AC3848" i="2"/>
  <c r="AC3864" i="2"/>
  <c r="AC3872" i="2"/>
  <c r="AC3880" i="2"/>
  <c r="AC3888" i="2"/>
  <c r="AC3896" i="2"/>
  <c r="AC3904" i="2"/>
  <c r="AC3912" i="2"/>
  <c r="AC3928" i="2"/>
  <c r="AC3936" i="2"/>
  <c r="AC3944" i="2"/>
  <c r="AC3952" i="2"/>
  <c r="AC3960" i="2"/>
  <c r="AC3968" i="2"/>
  <c r="AC3976" i="2"/>
  <c r="AC3992" i="2"/>
  <c r="AC4000" i="2"/>
  <c r="AC4008" i="2"/>
  <c r="AC4016" i="2"/>
  <c r="AC4024" i="2"/>
  <c r="AC4032" i="2"/>
  <c r="AC4040" i="2"/>
  <c r="AC4056" i="2"/>
  <c r="AC4064" i="2"/>
  <c r="AC4072" i="2"/>
  <c r="AC4080" i="2"/>
  <c r="AC4085" i="2"/>
  <c r="AC4090" i="2"/>
  <c r="AC4098" i="2"/>
  <c r="AC4111" i="2"/>
  <c r="AC4119" i="2"/>
  <c r="AC4127" i="2"/>
  <c r="AC4135" i="2"/>
  <c r="AC4143" i="2"/>
  <c r="AC4151" i="2"/>
  <c r="AC4159" i="2"/>
  <c r="AC4175" i="2"/>
  <c r="AC4183" i="2"/>
  <c r="AC4191" i="2"/>
  <c r="AC4199" i="2"/>
  <c r="AC4207" i="2"/>
  <c r="AC4215" i="2"/>
  <c r="AC4223" i="2"/>
  <c r="AC4239" i="2"/>
  <c r="AC4247" i="2"/>
  <c r="AC4255" i="2"/>
  <c r="AC4268" i="2"/>
  <c r="AC4276" i="2"/>
  <c r="AC4284" i="2"/>
  <c r="AC4292" i="2"/>
  <c r="AC4308" i="2"/>
  <c r="AC4316" i="2"/>
  <c r="AC4324" i="2"/>
  <c r="AC4337" i="2"/>
  <c r="AC4350" i="2"/>
  <c r="AC4358" i="2"/>
  <c r="AC4366" i="2"/>
  <c r="AC4374" i="2"/>
  <c r="AC4382" i="2"/>
  <c r="AC4390" i="2"/>
  <c r="AC4397" i="2"/>
  <c r="AC4405" i="2"/>
  <c r="AC4413" i="2"/>
  <c r="AC4421" i="2"/>
  <c r="AC4429" i="2"/>
  <c r="AC4437" i="2"/>
  <c r="AC4445" i="2"/>
  <c r="AC4453" i="2"/>
  <c r="AC4461" i="2"/>
  <c r="AC4469" i="2"/>
  <c r="AC4477" i="2"/>
  <c r="AC4485" i="2"/>
  <c r="AC4493" i="2"/>
  <c r="AC4501" i="2"/>
  <c r="AC4516" i="2"/>
  <c r="AC4524" i="2"/>
  <c r="AC4532" i="2"/>
  <c r="AC4540" i="2"/>
  <c r="AC4545" i="2"/>
  <c r="AC4550" i="2"/>
  <c r="AC4558" i="2"/>
  <c r="AC4563" i="2"/>
  <c r="AC4571" i="2"/>
  <c r="AC4579" i="2"/>
  <c r="AC4587" i="2"/>
  <c r="AC4592" i="2"/>
  <c r="AC4600" i="2"/>
  <c r="AC4608" i="2"/>
  <c r="AC4616" i="2"/>
  <c r="AC4624" i="2"/>
  <c r="AC4632" i="2"/>
  <c r="AC4640" i="2"/>
  <c r="AC4645" i="2"/>
  <c r="AC4653" i="2"/>
  <c r="AC4665" i="2"/>
  <c r="AC4667" i="2"/>
  <c r="AC4669" i="2"/>
  <c r="AC4671" i="2"/>
  <c r="AC4673" i="2"/>
  <c r="AC4675" i="2"/>
  <c r="AC4677" i="2"/>
  <c r="AC4679" i="2"/>
  <c r="AC4681" i="2"/>
  <c r="AC4683" i="2"/>
  <c r="AC4781" i="2"/>
  <c r="AC4783" i="2"/>
  <c r="AC4785" i="2"/>
  <c r="AC4787" i="2"/>
  <c r="AC4789" i="2"/>
  <c r="AC4791" i="2"/>
  <c r="AC4793" i="2"/>
  <c r="AC4795" i="2"/>
  <c r="AC4797" i="2"/>
  <c r="AC4799" i="2"/>
  <c r="AC4801" i="2"/>
  <c r="AC4803" i="2"/>
  <c r="AC4805" i="2"/>
  <c r="AC4807" i="2"/>
  <c r="AC4809" i="2"/>
  <c r="AC4811" i="2"/>
  <c r="AA4813" i="2"/>
  <c r="AB4813" i="2" s="1"/>
  <c r="AC4873" i="2"/>
  <c r="AC4875" i="2"/>
  <c r="AC4877" i="2"/>
  <c r="AC4879" i="2"/>
  <c r="AC4881" i="2"/>
  <c r="AC4883" i="2"/>
  <c r="AC4885" i="2"/>
  <c r="AC4887" i="2"/>
  <c r="AC4889" i="2"/>
  <c r="AC4891" i="2"/>
  <c r="AC4893" i="2"/>
  <c r="AC4895" i="2"/>
  <c r="AC4897" i="2"/>
  <c r="AC4899" i="2"/>
  <c r="AC4901" i="2"/>
  <c r="AC4903" i="2"/>
  <c r="AC4905" i="2"/>
  <c r="AC4907" i="2"/>
  <c r="AC5002" i="2"/>
  <c r="AC5004" i="2"/>
  <c r="AC5006" i="2"/>
  <c r="AC5008" i="2"/>
  <c r="AC5010" i="2"/>
  <c r="AC5012" i="2"/>
  <c r="AC5014" i="2"/>
  <c r="AC5016" i="2"/>
  <c r="AC5018" i="2"/>
  <c r="AC5020" i="2"/>
  <c r="AC5022" i="2"/>
  <c r="AC5024" i="2"/>
  <c r="AC5026" i="2"/>
  <c r="AC5028" i="2"/>
  <c r="AC5030" i="2"/>
  <c r="AC5189" i="2"/>
  <c r="AC5191" i="2"/>
  <c r="AC5193" i="2"/>
  <c r="AC5195" i="2"/>
  <c r="AC5197" i="2"/>
  <c r="AC5199" i="2"/>
  <c r="AC5201" i="2"/>
  <c r="AC5203" i="2"/>
  <c r="AC5205" i="2"/>
  <c r="AC5207" i="2"/>
  <c r="AC5209" i="2"/>
  <c r="AC5211" i="2"/>
  <c r="AC5213" i="2"/>
  <c r="AC5215" i="2"/>
  <c r="AC5217" i="2"/>
  <c r="AC5219" i="2"/>
  <c r="AC5221" i="2"/>
  <c r="AC5223" i="2"/>
  <c r="AC5225" i="2"/>
  <c r="AC5227" i="2"/>
  <c r="AC5229" i="2"/>
  <c r="AC5231" i="2"/>
  <c r="AC5233" i="2"/>
  <c r="AC5235" i="2"/>
  <c r="AC5237" i="2"/>
  <c r="AC5239" i="2"/>
  <c r="AC5241" i="2"/>
  <c r="AC5252" i="2"/>
  <c r="AC5260" i="2"/>
  <c r="AC5271" i="2"/>
  <c r="AC5277" i="2"/>
  <c r="AC5281" i="2"/>
  <c r="AC5285" i="2"/>
  <c r="AC5289" i="2"/>
  <c r="AC5293" i="2"/>
  <c r="AC5297" i="2"/>
  <c r="AC2956" i="2"/>
  <c r="AC2964" i="2"/>
  <c r="AC3421" i="2"/>
  <c r="AC3423" i="2"/>
  <c r="AC3425" i="2"/>
  <c r="AC3427" i="2"/>
  <c r="AC3435" i="2"/>
  <c r="AC3443" i="2"/>
  <c r="AC3451" i="2"/>
  <c r="AC3459" i="2"/>
  <c r="AC3467" i="2"/>
  <c r="AC3475" i="2"/>
  <c r="AC3483" i="2"/>
  <c r="AC3491" i="2"/>
  <c r="AC3499" i="2"/>
  <c r="AC3507" i="2"/>
  <c r="AC3515" i="2"/>
  <c r="AC3523" i="2"/>
  <c r="AC3531" i="2"/>
  <c r="AC3539" i="2"/>
  <c r="AC3547" i="2"/>
  <c r="AC3555" i="2"/>
  <c r="AC3563" i="2"/>
  <c r="AC3571" i="2"/>
  <c r="AC3576" i="2"/>
  <c r="AC3584" i="2"/>
  <c r="AC3592" i="2"/>
  <c r="AC3600" i="2"/>
  <c r="AC3608" i="2"/>
  <c r="AC3616" i="2"/>
  <c r="AC3624" i="2"/>
  <c r="AC3632" i="2"/>
  <c r="AC3640" i="2"/>
  <c r="AC3648" i="2"/>
  <c r="AC3656" i="2"/>
  <c r="AC3664" i="2"/>
  <c r="AC3672" i="2"/>
  <c r="AC3680" i="2"/>
  <c r="AC3688" i="2"/>
  <c r="AC3696" i="2"/>
  <c r="AC3704" i="2"/>
  <c r="AC3712" i="2"/>
  <c r="AC3720" i="2"/>
  <c r="AC3728" i="2"/>
  <c r="AC3736" i="2"/>
  <c r="AC3744" i="2"/>
  <c r="AC3752" i="2"/>
  <c r="AC3760" i="2"/>
  <c r="AC3768" i="2"/>
  <c r="AC3776" i="2"/>
  <c r="AC3784" i="2"/>
  <c r="AC3792" i="2"/>
  <c r="AC3800" i="2"/>
  <c r="AC3808" i="2"/>
  <c r="AC3816" i="2"/>
  <c r="AC3824" i="2"/>
  <c r="AC3832" i="2"/>
  <c r="AC3837" i="2"/>
  <c r="AC3845" i="2"/>
  <c r="AC3853" i="2"/>
  <c r="AC3861" i="2"/>
  <c r="AC3869" i="2"/>
  <c r="AC3877" i="2"/>
  <c r="AC3885" i="2"/>
  <c r="AC3893" i="2"/>
  <c r="AC3901" i="2"/>
  <c r="AC3909" i="2"/>
  <c r="AC3917" i="2"/>
  <c r="AC3925" i="2"/>
  <c r="AC3933" i="2"/>
  <c r="AC3941" i="2"/>
  <c r="AC3949" i="2"/>
  <c r="AC3957" i="2"/>
  <c r="AC3965" i="2"/>
  <c r="AC3973" i="2"/>
  <c r="AC3981" i="2"/>
  <c r="AC3989" i="2"/>
  <c r="AC3997" i="2"/>
  <c r="AC4005" i="2"/>
  <c r="AC4013" i="2"/>
  <c r="AC4021" i="2"/>
  <c r="AC4029" i="2"/>
  <c r="AC4037" i="2"/>
  <c r="AC4045" i="2"/>
  <c r="AC4053" i="2"/>
  <c r="AC4061" i="2"/>
  <c r="AC4069" i="2"/>
  <c r="AC4077" i="2"/>
  <c r="AC4087" i="2"/>
  <c r="AC4095" i="2"/>
  <c r="AC4103" i="2"/>
  <c r="AC4116" i="2"/>
  <c r="AC4124" i="2"/>
  <c r="AC4132" i="2"/>
  <c r="AC4140" i="2"/>
  <c r="AC4148" i="2"/>
  <c r="AC4156" i="2"/>
  <c r="AC4164" i="2"/>
  <c r="AC4172" i="2"/>
  <c r="AC4180" i="2"/>
  <c r="AC4188" i="2"/>
  <c r="AC4196" i="2"/>
  <c r="AC4204" i="2"/>
  <c r="AC4212" i="2"/>
  <c r="AC4220" i="2"/>
  <c r="AC4228" i="2"/>
  <c r="AC4236" i="2"/>
  <c r="AC4244" i="2"/>
  <c r="AC4252" i="2"/>
  <c r="AC4260" i="2"/>
  <c r="AC4273" i="2"/>
  <c r="AC4281" i="2"/>
  <c r="AC4289" i="2"/>
  <c r="AC4297" i="2"/>
  <c r="AC4305" i="2"/>
  <c r="AC4313" i="2"/>
  <c r="AC4321" i="2"/>
  <c r="AC4329" i="2"/>
  <c r="AC4334" i="2"/>
  <c r="AC4342" i="2"/>
  <c r="AC4347" i="2"/>
  <c r="AC4355" i="2"/>
  <c r="AC4363" i="2"/>
  <c r="AC4371" i="2"/>
  <c r="AC4379" i="2"/>
  <c r="AC4387" i="2"/>
  <c r="AC4392" i="2"/>
  <c r="AC4402" i="2"/>
  <c r="AC4410" i="2"/>
  <c r="AC4418" i="2"/>
  <c r="AC4426" i="2"/>
  <c r="AC4434" i="2"/>
  <c r="AC4442" i="2"/>
  <c r="AC4450" i="2"/>
  <c r="AC4458" i="2"/>
  <c r="AC4466" i="2"/>
  <c r="AC4474" i="2"/>
  <c r="AC4482" i="2"/>
  <c r="AC4490" i="2"/>
  <c r="AC4498" i="2"/>
  <c r="AC4506" i="2"/>
  <c r="AC4513" i="2"/>
  <c r="AC4521" i="2"/>
  <c r="AC4529" i="2"/>
  <c r="AC4537" i="2"/>
  <c r="AC4555" i="2"/>
  <c r="AC4568" i="2"/>
  <c r="AC4576" i="2"/>
  <c r="AC4584" i="2"/>
  <c r="AC4597" i="2"/>
  <c r="AC4605" i="2"/>
  <c r="AC4613" i="2"/>
  <c r="AC4621" i="2"/>
  <c r="AC4629" i="2"/>
  <c r="AC4637" i="2"/>
  <c r="AC4650" i="2"/>
  <c r="AC4655" i="2"/>
  <c r="AC4657" i="2"/>
  <c r="AC4659" i="2"/>
  <c r="AC4661" i="2"/>
  <c r="AC4663" i="2"/>
  <c r="AC4685" i="2"/>
  <c r="AC4695" i="2"/>
  <c r="AC4697" i="2"/>
  <c r="AC4699" i="2"/>
  <c r="AC4701" i="2"/>
  <c r="AC4703" i="2"/>
  <c r="AC4705" i="2"/>
  <c r="AC4707" i="2"/>
  <c r="AC4709" i="2"/>
  <c r="AC4711" i="2"/>
  <c r="AC4713" i="2"/>
  <c r="AC4715" i="2"/>
  <c r="AC4717" i="2"/>
  <c r="AC4719" i="2"/>
  <c r="AC4721" i="2"/>
  <c r="AC4723" i="2"/>
  <c r="AC4725" i="2"/>
  <c r="AC4727" i="2"/>
  <c r="AC4729" i="2"/>
  <c r="AC4731" i="2"/>
  <c r="AC4733" i="2"/>
  <c r="AC4735" i="2"/>
  <c r="AC4737" i="2"/>
  <c r="AC4739" i="2"/>
  <c r="AC4741" i="2"/>
  <c r="AC4743" i="2"/>
  <c r="AC4745" i="2"/>
  <c r="AC4747" i="2"/>
  <c r="AC4749" i="2"/>
  <c r="AC4751" i="2"/>
  <c r="AC4753" i="2"/>
  <c r="AC4755" i="2"/>
  <c r="AC4757" i="2"/>
  <c r="AC4759" i="2"/>
  <c r="AC4761" i="2"/>
  <c r="AC4763" i="2"/>
  <c r="AC4765" i="2"/>
  <c r="AC4767" i="2"/>
  <c r="AC4769" i="2"/>
  <c r="AC4771" i="2"/>
  <c r="AC4773" i="2"/>
  <c r="AC4775" i="2"/>
  <c r="AC4777" i="2"/>
  <c r="AC4779" i="2"/>
  <c r="AC4954" i="2"/>
  <c r="AC4956" i="2"/>
  <c r="AC4958" i="2"/>
  <c r="AC4960" i="2"/>
  <c r="AC4962" i="2"/>
  <c r="AC4964" i="2"/>
  <c r="AC4966" i="2"/>
  <c r="AC4968" i="2"/>
  <c r="AC4970" i="2"/>
  <c r="AC4972" i="2"/>
  <c r="AC4974" i="2"/>
  <c r="AC4976" i="2"/>
  <c r="AC4978" i="2"/>
  <c r="AC4980" i="2"/>
  <c r="AC4982" i="2"/>
  <c r="AC4984" i="2"/>
  <c r="AC4986" i="2"/>
  <c r="AC4988" i="2"/>
  <c r="AC4990" i="2"/>
  <c r="AC4992" i="2"/>
  <c r="AC4994" i="2"/>
  <c r="AC4996" i="2"/>
  <c r="AC5171" i="2"/>
  <c r="AC5173" i="2"/>
  <c r="AC5175" i="2"/>
  <c r="AC5177" i="2"/>
  <c r="AC5179" i="2"/>
  <c r="AC5181" i="2"/>
  <c r="AC5183" i="2"/>
  <c r="AC5185" i="2"/>
  <c r="AC5187" i="2"/>
  <c r="AC5244" i="2"/>
  <c r="AC5247" i="2"/>
  <c r="AC5255" i="2"/>
  <c r="AC5263" i="2"/>
  <c r="AC5266" i="2"/>
  <c r="AC5274" i="2"/>
  <c r="AC5301" i="2"/>
  <c r="R106" i="3"/>
  <c r="T106" i="3" s="1"/>
  <c r="U106" i="3" s="1"/>
  <c r="V106" i="3" s="1"/>
  <c r="R77" i="3"/>
  <c r="T77" i="3" s="1"/>
  <c r="U77" i="3" s="1"/>
  <c r="V77" i="3" s="1"/>
  <c r="R103" i="3"/>
  <c r="T103" i="3" s="1"/>
  <c r="U103" i="3" s="1"/>
  <c r="V103" i="3" s="1"/>
  <c r="AC2847" i="2"/>
  <c r="AC2865" i="2"/>
  <c r="AC2873" i="2"/>
  <c r="AC2881" i="2"/>
  <c r="AC2889" i="2"/>
  <c r="AC2897" i="2"/>
  <c r="AC2905" i="2"/>
  <c r="AC2913" i="2"/>
  <c r="AC2929" i="2"/>
  <c r="AC2937" i="2"/>
  <c r="AC2945" i="2"/>
  <c r="AC2953" i="2"/>
  <c r="AC2961" i="2"/>
  <c r="AC2969" i="2"/>
  <c r="AC2977" i="2"/>
  <c r="AC2993" i="2"/>
  <c r="AC3001" i="2"/>
  <c r="AC3009" i="2"/>
  <c r="AC3017" i="2"/>
  <c r="AC3409" i="2"/>
  <c r="AC3411" i="2"/>
  <c r="AC3413" i="2"/>
  <c r="AC3415" i="2"/>
  <c r="AC3417" i="2"/>
  <c r="AC3419" i="2"/>
  <c r="AC3432" i="2"/>
  <c r="AC3440" i="2"/>
  <c r="AC3448" i="2"/>
  <c r="AC3456" i="2"/>
  <c r="AC3464" i="2"/>
  <c r="AC3472" i="2"/>
  <c r="AC3480" i="2"/>
  <c r="AC3488" i="2"/>
  <c r="AC3496" i="2"/>
  <c r="AC3504" i="2"/>
  <c r="AC3512" i="2"/>
  <c r="AC3520" i="2"/>
  <c r="AC3528" i="2"/>
  <c r="AC3536" i="2"/>
  <c r="AC3544" i="2"/>
  <c r="AC3552" i="2"/>
  <c r="AC3560" i="2"/>
  <c r="AC3568" i="2"/>
  <c r="AC3573" i="2"/>
  <c r="AC3581" i="2"/>
  <c r="AC3589" i="2"/>
  <c r="AC3597" i="2"/>
  <c r="AC3605" i="2"/>
  <c r="AC3613" i="2"/>
  <c r="AC3621" i="2"/>
  <c r="AC3629" i="2"/>
  <c r="AC3637" i="2"/>
  <c r="AC3645" i="2"/>
  <c r="AC3653" i="2"/>
  <c r="AC3661" i="2"/>
  <c r="AC3669" i="2"/>
  <c r="AC3677" i="2"/>
  <c r="AC3685" i="2"/>
  <c r="AC3693" i="2"/>
  <c r="AC3701" i="2"/>
  <c r="AC3709" i="2"/>
  <c r="AC3717" i="2"/>
  <c r="AC3725" i="2"/>
  <c r="AC3733" i="2"/>
  <c r="AC3741" i="2"/>
  <c r="AC3749" i="2"/>
  <c r="AC3757" i="2"/>
  <c r="AC3765" i="2"/>
  <c r="AC3773" i="2"/>
  <c r="AC3781" i="2"/>
  <c r="AC3789" i="2"/>
  <c r="AC3797" i="2"/>
  <c r="AC3805" i="2"/>
  <c r="AC3813" i="2"/>
  <c r="AC3821" i="2"/>
  <c r="AC3829" i="2"/>
  <c r="AC3834" i="2"/>
  <c r="AC3842" i="2"/>
  <c r="AC3850" i="2"/>
  <c r="AC3858" i="2"/>
  <c r="AC3866" i="2"/>
  <c r="AC3874" i="2"/>
  <c r="AC3882" i="2"/>
  <c r="AC3890" i="2"/>
  <c r="AC3898" i="2"/>
  <c r="AC3906" i="2"/>
  <c r="AC3914" i="2"/>
  <c r="AC3922" i="2"/>
  <c r="AC3930" i="2"/>
  <c r="AC3938" i="2"/>
  <c r="AC3946" i="2"/>
  <c r="AC3954" i="2"/>
  <c r="AC3962" i="2"/>
  <c r="AC3970" i="2"/>
  <c r="AC3978" i="2"/>
  <c r="AC3986" i="2"/>
  <c r="AC3994" i="2"/>
  <c r="AC4002" i="2"/>
  <c r="AC4010" i="2"/>
  <c r="AC4018" i="2"/>
  <c r="AC4026" i="2"/>
  <c r="AC4034" i="2"/>
  <c r="AC4042" i="2"/>
  <c r="AC4050" i="2"/>
  <c r="AC4058" i="2"/>
  <c r="AC4066" i="2"/>
  <c r="AC4074" i="2"/>
  <c r="AC4082" i="2"/>
  <c r="AC4092" i="2"/>
  <c r="AC4100" i="2"/>
  <c r="AC4108" i="2"/>
  <c r="AC4121" i="2"/>
  <c r="AC4129" i="2"/>
  <c r="AC4137" i="2"/>
  <c r="AC4145" i="2"/>
  <c r="AC4153" i="2"/>
  <c r="AC4161" i="2"/>
  <c r="AC4169" i="2"/>
  <c r="AC4177" i="2"/>
  <c r="AC4185" i="2"/>
  <c r="AC4193" i="2"/>
  <c r="AC4201" i="2"/>
  <c r="AC4209" i="2"/>
  <c r="AC4217" i="2"/>
  <c r="AC4225" i="2"/>
  <c r="AC4233" i="2"/>
  <c r="AC4241" i="2"/>
  <c r="AC4249" i="2"/>
  <c r="AC4257" i="2"/>
  <c r="AC4270" i="2"/>
  <c r="AC4278" i="2"/>
  <c r="AC4286" i="2"/>
  <c r="AC4294" i="2"/>
  <c r="AC4302" i="2"/>
  <c r="AC4310" i="2"/>
  <c r="AC4318" i="2"/>
  <c r="AC4326" i="2"/>
  <c r="AC4331" i="2"/>
  <c r="AC4339" i="2"/>
  <c r="AC4344" i="2"/>
  <c r="AC4352" i="2"/>
  <c r="AC4360" i="2"/>
  <c r="AC4368" i="2"/>
  <c r="AC4376" i="2"/>
  <c r="AC4384" i="2"/>
  <c r="AC4399" i="2"/>
  <c r="AC4407" i="2"/>
  <c r="AC4415" i="2"/>
  <c r="AC4423" i="2"/>
  <c r="AC4431" i="2"/>
  <c r="AC4439" i="2"/>
  <c r="AC4447" i="2"/>
  <c r="AC4455" i="2"/>
  <c r="AC4463" i="2"/>
  <c r="AC4471" i="2"/>
  <c r="AC4479" i="2"/>
  <c r="AC4487" i="2"/>
  <c r="AC4495" i="2"/>
  <c r="AC4503" i="2"/>
  <c r="AC4508" i="2"/>
  <c r="AC4510" i="2"/>
  <c r="AC4518" i="2"/>
  <c r="AC4526" i="2"/>
  <c r="AC4534" i="2"/>
  <c r="AC4542" i="2"/>
  <c r="AC4547" i="2"/>
  <c r="AC4552" i="2"/>
  <c r="AC4560" i="2"/>
  <c r="AC4565" i="2"/>
  <c r="AC4573" i="2"/>
  <c r="AC4581" i="2"/>
  <c r="AC4589" i="2"/>
  <c r="AC4594" i="2"/>
  <c r="AC4602" i="2"/>
  <c r="AC4610" i="2"/>
  <c r="AC4618" i="2"/>
  <c r="AC4626" i="2"/>
  <c r="AC4634" i="2"/>
  <c r="AC4642" i="2"/>
  <c r="AC4647" i="2"/>
  <c r="AC4687" i="2"/>
  <c r="AC4689" i="2"/>
  <c r="AC4691" i="2"/>
  <c r="AC4693" i="2"/>
  <c r="AC4924" i="2"/>
  <c r="AC4926" i="2"/>
  <c r="AC4928" i="2"/>
  <c r="AC4930" i="2"/>
  <c r="AC4932" i="2"/>
  <c r="AC4934" i="2"/>
  <c r="AC4936" i="2"/>
  <c r="AC4938" i="2"/>
  <c r="AC4940" i="2"/>
  <c r="AC4942" i="2"/>
  <c r="AC4944" i="2"/>
  <c r="AC4946" i="2"/>
  <c r="AC4948" i="2"/>
  <c r="AC4950" i="2"/>
  <c r="AC4952" i="2"/>
  <c r="AC5250" i="2"/>
  <c r="AC5258" i="2"/>
  <c r="AC5269" i="2"/>
  <c r="AC5278" i="2"/>
  <c r="AC5282" i="2"/>
  <c r="AC5286" i="2"/>
  <c r="AC5290" i="2"/>
  <c r="AC5294" i="2"/>
  <c r="R102" i="3"/>
  <c r="T102" i="3" s="1"/>
  <c r="U102" i="3" s="1"/>
  <c r="V102" i="3" s="1"/>
  <c r="O71" i="3"/>
  <c r="O63" i="3"/>
  <c r="O72" i="3"/>
  <c r="O80" i="3"/>
  <c r="O88" i="3"/>
  <c r="O96" i="3"/>
  <c r="O64" i="3"/>
  <c r="O73" i="3"/>
  <c r="O81" i="3"/>
  <c r="O89" i="3"/>
  <c r="O66" i="3"/>
  <c r="O75" i="3"/>
  <c r="O83" i="3"/>
  <c r="O91" i="3"/>
  <c r="O68" i="3"/>
  <c r="O76" i="3"/>
  <c r="O84" i="3"/>
  <c r="O65" i="3"/>
  <c r="O82" i="3"/>
  <c r="O69" i="3"/>
  <c r="O77" i="3"/>
  <c r="O85" i="3"/>
  <c r="O93" i="3"/>
  <c r="O101" i="3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4430" i="2"/>
  <c r="AF3737" i="2"/>
  <c r="AC3393" i="2"/>
  <c r="AF3483" i="2"/>
  <c r="AF3491" i="2"/>
  <c r="AF3584" i="2"/>
  <c r="AF4239" i="2"/>
  <c r="AF4558" i="2"/>
  <c r="AF4903" i="2"/>
  <c r="AF4031" i="2"/>
  <c r="AF4047" i="2"/>
  <c r="AF4105" i="2"/>
  <c r="AF4225" i="2"/>
  <c r="AF4233" i="2"/>
  <c r="AF3455" i="2"/>
  <c r="AF2932" i="2"/>
  <c r="AF3004" i="2"/>
  <c r="AF3464" i="2"/>
  <c r="AF4722" i="2"/>
  <c r="AC4812" i="2"/>
  <c r="AF4434" i="2"/>
  <c r="AF4365" i="2"/>
  <c r="AF3931" i="2"/>
  <c r="AF4054" i="2"/>
  <c r="AF3312" i="2"/>
  <c r="AF3768" i="2"/>
  <c r="AF4326" i="2"/>
  <c r="AF4344" i="2"/>
  <c r="AF4612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4075" i="2"/>
  <c r="AF4258" i="2"/>
  <c r="AF3597" i="2"/>
  <c r="AF3750" i="2"/>
  <c r="AF3946" i="2"/>
  <c r="AF4655" i="2"/>
  <c r="AF2990" i="2"/>
  <c r="AF2948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C3395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68" i="2"/>
  <c r="AF3581" i="2"/>
  <c r="AC2774" i="2"/>
  <c r="AF3017" i="2"/>
  <c r="AF3672" i="2"/>
  <c r="AF3677" i="2"/>
  <c r="AF3793" i="2"/>
  <c r="AF3801" i="2"/>
  <c r="AF3940" i="2"/>
  <c r="AF4234" i="2"/>
  <c r="AF4707" i="2"/>
  <c r="AF4731" i="2"/>
  <c r="AF3926" i="2"/>
  <c r="AF4496" i="2"/>
  <c r="AF4556" i="2"/>
  <c r="AF2993" i="2"/>
  <c r="AF3001" i="2"/>
  <c r="AF3532" i="2"/>
  <c r="AF3683" i="2"/>
  <c r="AF3713" i="2"/>
  <c r="AF3721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4610" i="2"/>
  <c r="AF4813" i="2"/>
  <c r="AF4815" i="2"/>
  <c r="AF3480" i="2"/>
  <c r="AF3488" i="2"/>
  <c r="AF3513" i="2"/>
  <c r="AF3632" i="2"/>
  <c r="AF3967" i="2"/>
  <c r="AF3983" i="2"/>
  <c r="AF4051" i="2"/>
  <c r="AF4506" i="2"/>
  <c r="AF4519" i="2"/>
  <c r="AH4731" i="2"/>
  <c r="AF4878" i="2"/>
  <c r="AF2841" i="2"/>
  <c r="AF2926" i="2"/>
  <c r="AF3314" i="2"/>
  <c r="AF3565" i="2"/>
  <c r="AF3571" i="2"/>
  <c r="AF4223" i="2"/>
  <c r="AF4454" i="2"/>
  <c r="AF4847" i="2"/>
  <c r="AF2802" i="2"/>
  <c r="AF2859" i="2"/>
  <c r="AF2886" i="2"/>
  <c r="AF2892" i="2"/>
  <c r="AF2923" i="2"/>
  <c r="AF3438" i="2"/>
  <c r="AF3441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939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47" i="2"/>
  <c r="AF4155" i="2"/>
  <c r="AF4163" i="2"/>
  <c r="AF4171" i="2"/>
  <c r="AF4179" i="2"/>
  <c r="AF4187" i="2"/>
  <c r="AF4195" i="2"/>
  <c r="AF4252" i="2"/>
  <c r="AF4276" i="2"/>
  <c r="AF4292" i="2"/>
  <c r="AF4303" i="2"/>
  <c r="AF4614" i="2"/>
  <c r="AF2911" i="2"/>
  <c r="AF2955" i="2"/>
  <c r="AF3443" i="2"/>
  <c r="AF3451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35" i="2"/>
  <c r="AF3546" i="2"/>
  <c r="AF3595" i="2"/>
  <c r="AF3626" i="2"/>
  <c r="AF3637" i="2"/>
  <c r="AF3679" i="2"/>
  <c r="AF3915" i="2"/>
  <c r="AF3402" i="2"/>
  <c r="AF2810" i="2"/>
  <c r="AF2870" i="2"/>
  <c r="AF2940" i="2"/>
  <c r="AC3329" i="2"/>
  <c r="AF3342" i="2"/>
  <c r="AF3529" i="2"/>
  <c r="AF3676" i="2"/>
  <c r="AF3832" i="2"/>
  <c r="AF4019" i="2"/>
  <c r="AC3399" i="2"/>
  <c r="AF2818" i="2"/>
  <c r="AF2867" i="2"/>
  <c r="AF2875" i="2"/>
  <c r="AF2878" i="2"/>
  <c r="AF2895" i="2"/>
  <c r="AF2931" i="2"/>
  <c r="AF2971" i="2"/>
  <c r="AF2998" i="2"/>
  <c r="AC3335" i="2"/>
  <c r="AF3390" i="2"/>
  <c r="AA3394" i="2"/>
  <c r="AB3394" i="2" s="1"/>
  <c r="AK3394" i="2" s="1"/>
  <c r="AF3446" i="2"/>
  <c r="AF2825" i="2"/>
  <c r="AF3396" i="2"/>
  <c r="AF3473" i="2"/>
  <c r="AF3481" i="2"/>
  <c r="AF3489" i="2"/>
  <c r="AF3528" i="2"/>
  <c r="AF3547" i="2"/>
  <c r="AF3635" i="2"/>
  <c r="AF3700" i="2"/>
  <c r="AF3760" i="2"/>
  <c r="AF4330" i="2"/>
  <c r="AC3317" i="2"/>
  <c r="AF3400" i="2"/>
  <c r="AF2850" i="2"/>
  <c r="AF2894" i="2"/>
  <c r="AF2947" i="2"/>
  <c r="AF2964" i="2"/>
  <c r="AF2979" i="2"/>
  <c r="AF2987" i="2"/>
  <c r="AF3320" i="2"/>
  <c r="AF3445" i="2"/>
  <c r="AF3952" i="2"/>
  <c r="AF3971" i="2"/>
  <c r="AF3979" i="2"/>
  <c r="AH4685" i="2"/>
  <c r="AF4685" i="2"/>
  <c r="AF2924" i="2"/>
  <c r="AF2961" i="2"/>
  <c r="AF3497" i="2"/>
  <c r="AF3505" i="2"/>
  <c r="AF3573" i="2"/>
  <c r="AF3592" i="2"/>
  <c r="AF3707" i="2"/>
  <c r="AF3745" i="2"/>
  <c r="AF3641" i="2"/>
  <c r="AF3674" i="2"/>
  <c r="AF3688" i="2"/>
  <c r="AF3710" i="2"/>
  <c r="AF3726" i="2"/>
  <c r="AF3729" i="2"/>
  <c r="AF3751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424" i="2"/>
  <c r="AF4530" i="2"/>
  <c r="AF4535" i="2"/>
  <c r="AF4604" i="2"/>
  <c r="AF4678" i="2"/>
  <c r="AF4767" i="2"/>
  <c r="AF4812" i="2"/>
  <c r="AF4836" i="2"/>
  <c r="AF4573" i="2"/>
  <c r="AF4576" i="2"/>
  <c r="AF4584" i="2"/>
  <c r="AF4636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74" i="2"/>
  <c r="AF4348" i="2"/>
  <c r="AF4512" i="2"/>
  <c r="AF4589" i="2"/>
  <c r="AF4632" i="2"/>
  <c r="AF4651" i="2"/>
  <c r="AF4717" i="2"/>
  <c r="AF4719" i="2"/>
  <c r="AF4806" i="2"/>
  <c r="AF4840" i="2"/>
  <c r="AF3484" i="2"/>
  <c r="AF3537" i="2"/>
  <c r="AF3575" i="2"/>
  <c r="AF3681" i="2"/>
  <c r="AF3706" i="2"/>
  <c r="AF3730" i="2"/>
  <c r="AF3747" i="2"/>
  <c r="AF3761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727" i="2"/>
  <c r="AF3874" i="2"/>
  <c r="AF3922" i="2"/>
  <c r="AF3975" i="2"/>
  <c r="AF4017" i="2"/>
  <c r="AF4042" i="2"/>
  <c r="AF4056" i="2"/>
  <c r="AF4210" i="2"/>
  <c r="AF4272" i="2"/>
  <c r="AF4280" i="2"/>
  <c r="AF4302" i="2"/>
  <c r="AF4324" i="2"/>
  <c r="AF4355" i="2"/>
  <c r="AF4361" i="2"/>
  <c r="AF4381" i="2"/>
  <c r="AF4384" i="2"/>
  <c r="AF4464" i="2"/>
  <c r="AF4580" i="2"/>
  <c r="AF4637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F2809" i="2"/>
  <c r="AA2905" i="2"/>
  <c r="AF2977" i="2"/>
  <c r="AC3311" i="2"/>
  <c r="AA3311" i="2"/>
  <c r="AF2793" i="2"/>
  <c r="AF2860" i="2"/>
  <c r="AF2945" i="2"/>
  <c r="AF2958" i="2"/>
  <c r="AF2972" i="2"/>
  <c r="AC3349" i="2"/>
  <c r="AA3349" i="2"/>
  <c r="AB3349" i="2" s="1"/>
  <c r="AK3349" i="2" s="1"/>
  <c r="AH3388" i="2"/>
  <c r="AF3388" i="2"/>
  <c r="AF3306" i="2"/>
  <c r="AH3306" i="2"/>
  <c r="AF2862" i="2"/>
  <c r="AF2883" i="2"/>
  <c r="AF2908" i="2"/>
  <c r="AF2996" i="2"/>
  <c r="AF3322" i="2"/>
  <c r="AF3625" i="2"/>
  <c r="AF3744" i="2"/>
  <c r="AF2833" i="2"/>
  <c r="AF2794" i="2"/>
  <c r="AF2889" i="2"/>
  <c r="AF3003" i="2"/>
  <c r="AF3009" i="2"/>
  <c r="AF2857" i="2"/>
  <c r="AF2963" i="2"/>
  <c r="AC3333" i="2"/>
  <c r="AA3333" i="2"/>
  <c r="AB3333" i="2" s="1"/>
  <c r="AF3385" i="2"/>
  <c r="AF3427" i="2"/>
  <c r="AF3324" i="2"/>
  <c r="AF3350" i="2"/>
  <c r="AF3398" i="2"/>
  <c r="AF3430" i="2"/>
  <c r="AF3433" i="2"/>
  <c r="AF3465" i="2"/>
  <c r="AF3515" i="2"/>
  <c r="AF3560" i="2"/>
  <c r="AF3594" i="2"/>
  <c r="AF3615" i="2"/>
  <c r="AF3618" i="2"/>
  <c r="AF3621" i="2"/>
  <c r="AF3633" i="2"/>
  <c r="AF3642" i="2"/>
  <c r="AF3666" i="2"/>
  <c r="AF3685" i="2"/>
  <c r="AF3720" i="2"/>
  <c r="AF3734" i="2"/>
  <c r="AF3753" i="2"/>
  <c r="AF3776" i="2"/>
  <c r="AF3779" i="2"/>
  <c r="AF3796" i="2"/>
  <c r="AF3802" i="2"/>
  <c r="AF3805" i="2"/>
  <c r="AF3831" i="2"/>
  <c r="AF3879" i="2"/>
  <c r="AF3916" i="2"/>
  <c r="AF3919" i="2"/>
  <c r="AF4033" i="2"/>
  <c r="AF4055" i="2"/>
  <c r="AF4083" i="2"/>
  <c r="AF4322" i="2"/>
  <c r="AF3370" i="2"/>
  <c r="AF3462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995" i="2"/>
  <c r="AF4077" i="2"/>
  <c r="AF4206" i="2"/>
  <c r="AF4266" i="2"/>
  <c r="AF4308" i="2"/>
  <c r="AF3376" i="2"/>
  <c r="AF3475" i="2"/>
  <c r="AF3517" i="2"/>
  <c r="AF3536" i="2"/>
  <c r="AF3556" i="2"/>
  <c r="AF3568" i="2"/>
  <c r="AF3589" i="2"/>
  <c r="AF3593" i="2"/>
  <c r="AF3605" i="2"/>
  <c r="AF3623" i="2"/>
  <c r="AF3653" i="2"/>
  <c r="AF3665" i="2"/>
  <c r="AF3668" i="2"/>
  <c r="AF3701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800" i="2"/>
  <c r="AF3380" i="2"/>
  <c r="AF3457" i="2"/>
  <c r="AF3477" i="2"/>
  <c r="AF3496" i="2"/>
  <c r="AF3552" i="2"/>
  <c r="AF3622" i="2"/>
  <c r="AF3646" i="2"/>
  <c r="AF3655" i="2"/>
  <c r="AF3661" i="2"/>
  <c r="AF3670" i="2"/>
  <c r="AF3712" i="2"/>
  <c r="AF3715" i="2"/>
  <c r="AF3732" i="2"/>
  <c r="AF3738" i="2"/>
  <c r="AF3741" i="2"/>
  <c r="AF3756" i="2"/>
  <c r="AF3771" i="2"/>
  <c r="AF3774" i="2"/>
  <c r="AF3777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3883" i="2"/>
  <c r="AF3895" i="2"/>
  <c r="AF3898" i="2"/>
  <c r="AF3911" i="2"/>
  <c r="AF3914" i="2"/>
  <c r="AF3924" i="2"/>
  <c r="AF3969" i="2"/>
  <c r="AF3984" i="2"/>
  <c r="AF3993" i="2"/>
  <c r="AF4014" i="2"/>
  <c r="AF4020" i="2"/>
  <c r="AF4023" i="2"/>
  <c r="AF4029" i="2"/>
  <c r="AF4032" i="2"/>
  <c r="AF4038" i="2"/>
  <c r="AF4067" i="2"/>
  <c r="AF4082" i="2"/>
  <c r="AF4097" i="2"/>
  <c r="AF4106" i="2"/>
  <c r="AF4111" i="2"/>
  <c r="AF4117" i="2"/>
  <c r="AF4125" i="2"/>
  <c r="AF4141" i="2"/>
  <c r="AF4149" i="2"/>
  <c r="AF4157" i="2"/>
  <c r="AF4165" i="2"/>
  <c r="AF4173" i="2"/>
  <c r="AF4181" i="2"/>
  <c r="AF4189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8" i="2"/>
  <c r="AF4307" i="2"/>
  <c r="AF4315" i="2"/>
  <c r="AF4357" i="2"/>
  <c r="AF4441" i="2"/>
  <c r="AF4545" i="2"/>
  <c r="AF4668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79" i="2"/>
  <c r="AF4294" i="2"/>
  <c r="AF4336" i="2"/>
  <c r="AF4342" i="2"/>
  <c r="AF4389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8" i="2"/>
  <c r="AF4824" i="2"/>
  <c r="AF4606" i="2"/>
  <c r="AF4909" i="2"/>
  <c r="AF4647" i="2"/>
  <c r="AF4650" i="2"/>
  <c r="AF4715" i="2"/>
  <c r="AF4739" i="2"/>
  <c r="AH4762" i="2"/>
  <c r="AF4780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26" i="2"/>
  <c r="AF4560" i="2"/>
  <c r="AF4572" i="2"/>
  <c r="AF4590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93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508" i="2"/>
  <c r="AF4522" i="2"/>
  <c r="AF4531" i="2"/>
  <c r="AF4540" i="2"/>
  <c r="AF4543" i="2"/>
  <c r="AF4546" i="2"/>
  <c r="AF4595" i="2"/>
  <c r="AF4601" i="2"/>
  <c r="AF4645" i="2"/>
  <c r="AF4659" i="2"/>
  <c r="AF4674" i="2"/>
  <c r="AF4735" i="2"/>
  <c r="AF4758" i="2"/>
  <c r="AF4829" i="2"/>
  <c r="AF4869" i="2"/>
  <c r="AF4886" i="2"/>
  <c r="AF2764" i="2"/>
  <c r="AF2873" i="2"/>
  <c r="AF2910" i="2"/>
  <c r="AF2974" i="2"/>
  <c r="AF2988" i="2"/>
  <c r="AF3014" i="2"/>
  <c r="AF3316" i="2"/>
  <c r="AC3320" i="2"/>
  <c r="AA3336" i="2"/>
  <c r="AB3336" i="2" s="1"/>
  <c r="AK3336" i="2" s="1"/>
  <c r="AF3340" i="2"/>
  <c r="AF3440" i="2"/>
  <c r="AF3460" i="2"/>
  <c r="AF3504" i="2"/>
  <c r="AF3540" i="2"/>
  <c r="AF3543" i="2"/>
  <c r="AF3549" i="2"/>
  <c r="AF3610" i="2"/>
  <c r="AH2788" i="2"/>
  <c r="AF2801" i="2"/>
  <c r="AF2868" i="2"/>
  <c r="AF2900" i="2"/>
  <c r="AF2905" i="2"/>
  <c r="AF2937" i="2"/>
  <c r="AF2969" i="2"/>
  <c r="AF3362" i="2"/>
  <c r="AH3370" i="2"/>
  <c r="AF3378" i="2"/>
  <c r="AF3533" i="2"/>
  <c r="AF2881" i="2"/>
  <c r="AF2918" i="2"/>
  <c r="AF2982" i="2"/>
  <c r="AF2991" i="2"/>
  <c r="AF2995" i="2"/>
  <c r="AC3312" i="2"/>
  <c r="AA3327" i="2"/>
  <c r="AB3327" i="2" s="1"/>
  <c r="AK3327" i="2" s="1"/>
  <c r="AF3442" i="2"/>
  <c r="AF3456" i="2"/>
  <c r="AF3476" i="2"/>
  <c r="AF3486" i="2"/>
  <c r="AF3506" i="2"/>
  <c r="AF3516" i="2"/>
  <c r="AF3519" i="2"/>
  <c r="AF3526" i="2"/>
  <c r="AF3658" i="2"/>
  <c r="AF2787" i="2"/>
  <c r="AF2796" i="2"/>
  <c r="AA3307" i="2"/>
  <c r="AB3307" i="2" s="1"/>
  <c r="AA3314" i="2"/>
  <c r="AA3318" i="2"/>
  <c r="AB3318" i="2" s="1"/>
  <c r="AA3334" i="2"/>
  <c r="AB3334" i="2" s="1"/>
  <c r="AK3334" i="2" s="1"/>
  <c r="AC3338" i="2"/>
  <c r="AA3365" i="2"/>
  <c r="AF3472" i="2"/>
  <c r="AF3512" i="2"/>
  <c r="AF3624" i="2"/>
  <c r="AF2828" i="2"/>
  <c r="AF2839" i="2"/>
  <c r="AF2847" i="2"/>
  <c r="AF2921" i="2"/>
  <c r="AF2953" i="2"/>
  <c r="AF2985" i="2"/>
  <c r="AF3352" i="2"/>
  <c r="AF3366" i="2"/>
  <c r="AF3374" i="2"/>
  <c r="AF3434" i="2"/>
  <c r="AF3448" i="2"/>
  <c r="AF3478" i="2"/>
  <c r="AF3508" i="2"/>
  <c r="AF3518" i="2"/>
  <c r="AF3550" i="2"/>
  <c r="AF3557" i="2"/>
  <c r="AF3563" i="2"/>
  <c r="AF3569" i="2"/>
  <c r="AF3576" i="2"/>
  <c r="AF3669" i="2"/>
  <c r="AF2831" i="2"/>
  <c r="AF2865" i="2"/>
  <c r="AF2897" i="2"/>
  <c r="AF2934" i="2"/>
  <c r="AF2966" i="2"/>
  <c r="AF3011" i="2"/>
  <c r="AF3318" i="2"/>
  <c r="AF3348" i="2"/>
  <c r="AF3444" i="2"/>
  <c r="AF3454" i="2"/>
  <c r="AF3501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9" i="2"/>
  <c r="AF3718" i="2"/>
  <c r="AF3722" i="2"/>
  <c r="AF3733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27" i="2"/>
  <c r="AF3548" i="2"/>
  <c r="AF3551" i="2"/>
  <c r="AF3596" i="2"/>
  <c r="AF3602" i="2"/>
  <c r="AF3613" i="2"/>
  <c r="AF3616" i="2"/>
  <c r="AF3627" i="2"/>
  <c r="AF3650" i="2"/>
  <c r="AF3664" i="2"/>
  <c r="AF3675" i="2"/>
  <c r="AF3694" i="2"/>
  <c r="AF3698" i="2"/>
  <c r="AF3709" i="2"/>
  <c r="AF3739" i="2"/>
  <c r="AF3758" i="2"/>
  <c r="AF3762" i="2"/>
  <c r="AF3773" i="2"/>
  <c r="AF3799" i="2"/>
  <c r="AF3803" i="2"/>
  <c r="AF3822" i="2"/>
  <c r="AF3826" i="2"/>
  <c r="AF3836" i="2"/>
  <c r="AF3858" i="2"/>
  <c r="AF3869" i="2"/>
  <c r="AF3876" i="2"/>
  <c r="AF3890" i="2"/>
  <c r="AF3944" i="2"/>
  <c r="AF3948" i="2"/>
  <c r="AF3954" i="2"/>
  <c r="AF3977" i="2"/>
  <c r="AF3997" i="2"/>
  <c r="AC4267" i="2"/>
  <c r="AA4267" i="2"/>
  <c r="AB4267" i="2" s="1"/>
  <c r="AK4267" i="2" s="1"/>
  <c r="AF4702" i="2"/>
  <c r="AH4702" i="2"/>
  <c r="AF3544" i="2"/>
  <c r="AF3564" i="2"/>
  <c r="AF3598" i="2"/>
  <c r="AF3608" i="2"/>
  <c r="AF3634" i="2"/>
  <c r="AF3638" i="2"/>
  <c r="AF3656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901" i="2"/>
  <c r="AF3905" i="2"/>
  <c r="AF3909" i="2"/>
  <c r="AF3913" i="2"/>
  <c r="AF3917" i="2"/>
  <c r="AF3921" i="2"/>
  <c r="AF3925" i="2"/>
  <c r="AF3936" i="2"/>
  <c r="AF3950" i="2"/>
  <c r="AF3963" i="2"/>
  <c r="AF3973" i="2"/>
  <c r="AF3999" i="2"/>
  <c r="AC4266" i="2"/>
  <c r="AH4684" i="2"/>
  <c r="AF3939" i="2"/>
  <c r="AF3996" i="2"/>
  <c r="AF4018" i="2"/>
  <c r="AF3960" i="2"/>
  <c r="AF3964" i="2"/>
  <c r="AF3986" i="2"/>
  <c r="AF4005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85" i="2"/>
  <c r="AF4525" i="2"/>
  <c r="AF4638" i="2"/>
  <c r="AF4654" i="2"/>
  <c r="AH4654" i="2"/>
  <c r="AF4724" i="2"/>
  <c r="AF4789" i="2"/>
  <c r="AH4789" i="2"/>
  <c r="AF4257" i="2"/>
  <c r="AF4592" i="2"/>
  <c r="AF3962" i="2"/>
  <c r="AF3981" i="2"/>
  <c r="AF3985" i="2"/>
  <c r="AF4000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607" i="2"/>
  <c r="AF4630" i="2"/>
  <c r="AH4673" i="2"/>
  <c r="AF4673" i="2"/>
  <c r="AF4660" i="2"/>
  <c r="AH4660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8" i="2"/>
  <c r="AF4514" i="2"/>
  <c r="AF4524" i="2"/>
  <c r="AF4539" i="2"/>
  <c r="AF4566" i="2"/>
  <c r="AF4577" i="2"/>
  <c r="AF4621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8" i="2"/>
  <c r="AF4453" i="2"/>
  <c r="AF4460" i="2"/>
  <c r="AF4485" i="2"/>
  <c r="AF4493" i="2"/>
  <c r="AF4513" i="2"/>
  <c r="AF4523" i="2"/>
  <c r="AF4552" i="2"/>
  <c r="AF4555" i="2"/>
  <c r="AF4559" i="2"/>
  <c r="AF4562" i="2"/>
  <c r="AF4569" i="2"/>
  <c r="AF4598" i="2"/>
  <c r="AF4605" i="2"/>
  <c r="AF4609" i="2"/>
  <c r="AF4648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20" i="2"/>
  <c r="AF4445" i="2"/>
  <c r="AF4452" i="2"/>
  <c r="AF4477" i="2"/>
  <c r="AF4481" i="2"/>
  <c r="AF4484" i="2"/>
  <c r="AF4515" i="2"/>
  <c r="AF4538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K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81" i="2"/>
  <c r="AF4787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B2780" i="2" s="1"/>
  <c r="AF2785" i="2"/>
  <c r="AF3006" i="2"/>
  <c r="AH3304" i="2"/>
  <c r="AH3320" i="2"/>
  <c r="AH3345" i="2"/>
  <c r="AA3322" i="2"/>
  <c r="AC3325" i="2"/>
  <c r="AA3325" i="2"/>
  <c r="AB3325" i="2" s="1"/>
  <c r="AK3325" i="2" s="1"/>
  <c r="AA3331" i="2"/>
  <c r="AH3331" i="2"/>
  <c r="AH3344" i="2"/>
  <c r="AF3344" i="2"/>
  <c r="AA3310" i="2"/>
  <c r="AC3324" i="2"/>
  <c r="AA3324" i="2"/>
  <c r="AB3324" i="2" s="1"/>
  <c r="AF3338" i="2"/>
  <c r="AH3357" i="2"/>
  <c r="AF3310" i="2"/>
  <c r="AH3312" i="2"/>
  <c r="AC3323" i="2"/>
  <c r="AA3323" i="2"/>
  <c r="AB3323" i="2" s="1"/>
  <c r="AH3330" i="2"/>
  <c r="AF3330" i="2"/>
  <c r="AC3345" i="2"/>
  <c r="AA3345" i="2"/>
  <c r="AB3345" i="2" s="1"/>
  <c r="AK3345" i="2" s="1"/>
  <c r="AF3332" i="2"/>
  <c r="AF3334" i="2"/>
  <c r="AF3336" i="2"/>
  <c r="AF3346" i="2"/>
  <c r="AA3360" i="2"/>
  <c r="AB3360" i="2" s="1"/>
  <c r="AK3360" i="2" s="1"/>
  <c r="AF3364" i="2"/>
  <c r="AA3378" i="2"/>
  <c r="AB3378" i="2" s="1"/>
  <c r="AF3384" i="2"/>
  <c r="AF3392" i="2"/>
  <c r="AF3394" i="2"/>
  <c r="AH3396" i="2"/>
  <c r="AF3404" i="2"/>
  <c r="AH3405" i="2"/>
  <c r="AF3354" i="2"/>
  <c r="AF3372" i="2"/>
  <c r="AF3382" i="2"/>
  <c r="AF3572" i="2"/>
  <c r="AF3582" i="2"/>
  <c r="AF3587" i="2"/>
  <c r="AF3619" i="2"/>
  <c r="AF3667" i="2"/>
  <c r="AF3328" i="2"/>
  <c r="AF3611" i="2"/>
  <c r="AF3659" i="2"/>
  <c r="AA3382" i="2"/>
  <c r="AB3382" i="2" s="1"/>
  <c r="AK3382" i="2" s="1"/>
  <c r="AA3383" i="2"/>
  <c r="AB3383" i="2" s="1"/>
  <c r="AK3383" i="2" s="1"/>
  <c r="AF3574" i="2"/>
  <c r="AF3579" i="2"/>
  <c r="AF3590" i="2"/>
  <c r="AF3386" i="2"/>
  <c r="AF3643" i="2"/>
  <c r="AF3691" i="2"/>
  <c r="AC4262" i="2"/>
  <c r="AA4262" i="2"/>
  <c r="R79" i="3" s="1"/>
  <c r="T79" i="3" s="1"/>
  <c r="U79" i="3" s="1"/>
  <c r="V79" i="3" s="1"/>
  <c r="AH4825" i="2"/>
  <c r="AF4825" i="2"/>
  <c r="AH4883" i="2"/>
  <c r="AF4883" i="2"/>
  <c r="AF4211" i="2"/>
  <c r="AF4229" i="2"/>
  <c r="AF4262" i="2"/>
  <c r="AF4372" i="2"/>
  <c r="AF4241" i="2"/>
  <c r="AC4264" i="2"/>
  <c r="AA4264" i="2"/>
  <c r="AB4264" i="2" s="1"/>
  <c r="AK4264" i="2" s="1"/>
  <c r="AF4277" i="2"/>
  <c r="AF4340" i="2"/>
  <c r="AF4347" i="2"/>
  <c r="AF4227" i="2"/>
  <c r="AF4253" i="2"/>
  <c r="AF4261" i="2"/>
  <c r="AF4325" i="2"/>
  <c r="AF4332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52" i="2"/>
  <c r="AF4752" i="2"/>
  <c r="AH4696" i="2"/>
  <c r="AF4696" i="2"/>
  <c r="AH4736" i="2"/>
  <c r="AF4736" i="2"/>
  <c r="AA4356" i="2"/>
  <c r="AF4495" i="2"/>
  <c r="AF4549" i="2"/>
  <c r="AF4587" i="2"/>
  <c r="AF4602" i="2"/>
  <c r="AH4720" i="2"/>
  <c r="AF4760" i="2"/>
  <c r="AF4534" i="2"/>
  <c r="AF4579" i="2"/>
  <c r="AH4656" i="2"/>
  <c r="AF4656" i="2"/>
  <c r="AH4679" i="2"/>
  <c r="AF4679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K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O67" i="3"/>
  <c r="X2126" i="2"/>
  <c r="AC2126" i="2" s="1"/>
  <c r="W338" i="2"/>
  <c r="X2364" i="2"/>
  <c r="W2480" i="2"/>
  <c r="W2361" i="2"/>
  <c r="X2361" i="2"/>
  <c r="AB2361" i="2" s="1"/>
  <c r="AH2762" i="2"/>
  <c r="X2762" i="2"/>
  <c r="W2762" i="2"/>
  <c r="AD2762" i="2"/>
  <c r="AF2762" i="2" s="1"/>
  <c r="AD2761" i="2"/>
  <c r="AD2760" i="2"/>
  <c r="X2761" i="2"/>
  <c r="AB2761" i="2" s="1"/>
  <c r="W2761" i="2"/>
  <c r="X2760" i="2"/>
  <c r="AB2760" i="2" s="1"/>
  <c r="AK2760" i="2" s="1"/>
  <c r="W2760" i="2"/>
  <c r="V122" i="2"/>
  <c r="V166" i="2"/>
  <c r="W334" i="2"/>
  <c r="W66" i="2"/>
  <c r="AH2759" i="2"/>
  <c r="AD2759" i="2"/>
  <c r="AF2759" i="2" s="1"/>
  <c r="X2759" i="2"/>
  <c r="W2759" i="2"/>
  <c r="V69" i="2"/>
  <c r="V147" i="2"/>
  <c r="W147" i="2"/>
  <c r="AH2758" i="2"/>
  <c r="AD2758" i="2"/>
  <c r="AF2758" i="2" s="1"/>
  <c r="X2758" i="2"/>
  <c r="AC2758" i="2" s="1"/>
  <c r="W2758" i="2"/>
  <c r="X2061" i="2"/>
  <c r="AC2061" i="2" s="1"/>
  <c r="X2060" i="2"/>
  <c r="Y2060" i="2" s="1"/>
  <c r="X90" i="2"/>
  <c r="AB90" i="2" s="1"/>
  <c r="X2757" i="2"/>
  <c r="AB2757" i="2" s="1"/>
  <c r="AK2757" i="2" s="1"/>
  <c r="AH2757" i="2"/>
  <c r="AF2757" i="2"/>
  <c r="W2757" i="2"/>
  <c r="X66" i="2"/>
  <c r="AB66" i="2" s="1"/>
  <c r="AK66" i="2" s="1"/>
  <c r="X1012" i="2"/>
  <c r="X1779" i="2"/>
  <c r="J18" i="3"/>
  <c r="R62" i="3"/>
  <c r="T62" i="3" s="1"/>
  <c r="U62" i="3" s="1"/>
  <c r="V62" i="3" s="1"/>
  <c r="R61" i="3"/>
  <c r="T61" i="3" s="1"/>
  <c r="U61" i="3" s="1"/>
  <c r="V61" i="3" s="1"/>
  <c r="R41" i="3"/>
  <c r="T41" i="3" s="1"/>
  <c r="U41" i="3" s="1"/>
  <c r="V41" i="3" s="1"/>
  <c r="R50" i="3"/>
  <c r="T50" i="3" s="1"/>
  <c r="U50" i="3" s="1"/>
  <c r="V50" i="3" s="1"/>
  <c r="R55" i="3"/>
  <c r="T55" i="3" s="1"/>
  <c r="U55" i="3" s="1"/>
  <c r="V55" i="3" s="1"/>
  <c r="R56" i="3"/>
  <c r="T56" i="3" s="1"/>
  <c r="U56" i="3" s="1"/>
  <c r="V56" i="3" s="1"/>
  <c r="R58" i="3"/>
  <c r="T58" i="3" s="1"/>
  <c r="U58" i="3" s="1"/>
  <c r="V58" i="3" s="1"/>
  <c r="L62" i="3"/>
  <c r="O62" i="3"/>
  <c r="L61" i="3"/>
  <c r="O61" i="3"/>
  <c r="L60" i="3"/>
  <c r="T60" i="3"/>
  <c r="U60" i="3" s="1"/>
  <c r="V60" i="3" s="1"/>
  <c r="L59" i="3"/>
  <c r="T59" i="3"/>
  <c r="U59" i="3" s="1"/>
  <c r="V59" i="3" s="1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 s="1"/>
  <c r="V51" i="3" s="1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2" i="3"/>
  <c r="O42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33" i="3"/>
  <c r="O33" i="3"/>
  <c r="L32" i="3"/>
  <c r="O32" i="3"/>
  <c r="L31" i="3"/>
  <c r="O31" i="3"/>
  <c r="L30" i="3"/>
  <c r="O30" i="3"/>
  <c r="L29" i="3"/>
  <c r="O29" i="3"/>
  <c r="L28" i="3"/>
  <c r="O28" i="3"/>
  <c r="L27" i="3"/>
  <c r="O27" i="3" s="1"/>
  <c r="L26" i="3"/>
  <c r="O26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1" i="3"/>
  <c r="L10" i="3"/>
  <c r="O10" i="3"/>
  <c r="L9" i="3"/>
  <c r="O9" i="3"/>
  <c r="L8" i="3"/>
  <c r="O8" i="3"/>
  <c r="L7" i="3"/>
  <c r="L6" i="3"/>
  <c r="O6" i="3"/>
  <c r="L5" i="3"/>
  <c r="O5" i="3"/>
  <c r="L4" i="3"/>
  <c r="O4" i="3"/>
  <c r="L3" i="3"/>
  <c r="O3" i="3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B2728" i="2" s="1"/>
  <c r="AK2728" i="2" s="1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AC2723" i="2" s="1"/>
  <c r="W2723" i="2"/>
  <c r="AC2722" i="2"/>
  <c r="W2722" i="2"/>
  <c r="AC2721" i="2"/>
  <c r="W2721" i="2"/>
  <c r="X2720" i="2"/>
  <c r="W2720" i="2"/>
  <c r="X2719" i="2"/>
  <c r="AB2719" i="2" s="1"/>
  <c r="AK2719" i="2" s="1"/>
  <c r="W2719" i="2"/>
  <c r="X2718" i="2"/>
  <c r="W2718" i="2"/>
  <c r="X2717" i="2"/>
  <c r="AC2717" i="2" s="1"/>
  <c r="W2717" i="2"/>
  <c r="X2716" i="2"/>
  <c r="W2716" i="2"/>
  <c r="X2715" i="2"/>
  <c r="AB2715" i="2" s="1"/>
  <c r="AK2715" i="2" s="1"/>
  <c r="W2715" i="2"/>
  <c r="X2714" i="2"/>
  <c r="AB2714" i="2" s="1"/>
  <c r="AK2714" i="2" s="1"/>
  <c r="W2714" i="2"/>
  <c r="X2713" i="2"/>
  <c r="W2713" i="2"/>
  <c r="X2712" i="2"/>
  <c r="W2712" i="2"/>
  <c r="X2711" i="2"/>
  <c r="AB2711" i="2" s="1"/>
  <c r="AK2711" i="2" s="1"/>
  <c r="AF2710" i="2"/>
  <c r="X2710" i="2"/>
  <c r="Y2710" i="2" s="1"/>
  <c r="W2710" i="2"/>
  <c r="X2709" i="2"/>
  <c r="AB2709" i="2" s="1"/>
  <c r="AK2709" i="2" s="1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W2702" i="2"/>
  <c r="AF2701" i="2"/>
  <c r="X2701" i="2"/>
  <c r="AF2700" i="2"/>
  <c r="AC2700" i="2"/>
  <c r="AF2699" i="2"/>
  <c r="X2699" i="2"/>
  <c r="AF2698" i="2"/>
  <c r="X2698" i="2"/>
  <c r="AC2698" i="2" s="1"/>
  <c r="AF2697" i="2"/>
  <c r="AC2697" i="2"/>
  <c r="AF2696" i="2"/>
  <c r="X2696" i="2"/>
  <c r="AB2696" i="2" s="1"/>
  <c r="AK2696" i="2" s="1"/>
  <c r="AF2695" i="2"/>
  <c r="X2695" i="2"/>
  <c r="AB2695" i="2" s="1"/>
  <c r="W2695" i="2"/>
  <c r="AF2694" i="2"/>
  <c r="X2694" i="2"/>
  <c r="AC2694" i="2" s="1"/>
  <c r="AF2693" i="2"/>
  <c r="X2693" i="2"/>
  <c r="AB2693" i="2" s="1"/>
  <c r="AK2693" i="2" s="1"/>
  <c r="AF2692" i="2"/>
  <c r="X2692" i="2"/>
  <c r="AF2691" i="2"/>
  <c r="X2691" i="2"/>
  <c r="AF2690" i="2"/>
  <c r="X2690" i="2"/>
  <c r="AF2689" i="2"/>
  <c r="X2689" i="2"/>
  <c r="AF2688" i="2"/>
  <c r="X2688" i="2"/>
  <c r="AB2688" i="2" s="1"/>
  <c r="AK2688" i="2" s="1"/>
  <c r="AF2687" i="2"/>
  <c r="X2687" i="2"/>
  <c r="AF2686" i="2"/>
  <c r="X2686" i="2"/>
  <c r="AF2685" i="2"/>
  <c r="X2685" i="2"/>
  <c r="AF2684" i="2"/>
  <c r="X2684" i="2"/>
  <c r="AF2683" i="2"/>
  <c r="X2683" i="2"/>
  <c r="AF2682" i="2"/>
  <c r="X2682" i="2"/>
  <c r="AC2682" i="2" s="1"/>
  <c r="AF2681" i="2"/>
  <c r="X2681" i="2"/>
  <c r="AF2680" i="2"/>
  <c r="X2680" i="2"/>
  <c r="AF2679" i="2"/>
  <c r="X2679" i="2"/>
  <c r="AF2678" i="2"/>
  <c r="X2678" i="2"/>
  <c r="W2678" i="2"/>
  <c r="AF2677" i="2"/>
  <c r="X2677" i="2"/>
  <c r="AB2677" i="2" s="1"/>
  <c r="AK2677" i="2" s="1"/>
  <c r="W2677" i="2"/>
  <c r="AF2676" i="2"/>
  <c r="X2676" i="2"/>
  <c r="Y2676" i="2" s="1"/>
  <c r="W2676" i="2"/>
  <c r="AF2675" i="2"/>
  <c r="X2675" i="2"/>
  <c r="W2675" i="2"/>
  <c r="AF2674" i="2"/>
  <c r="X2674" i="2"/>
  <c r="AB2674" i="2" s="1"/>
  <c r="AK2674" i="2" s="1"/>
  <c r="W2674" i="2"/>
  <c r="AF2673" i="2"/>
  <c r="X2673" i="2"/>
  <c r="W2673" i="2"/>
  <c r="AF2672" i="2"/>
  <c r="X2672" i="2"/>
  <c r="AB2672" i="2" s="1"/>
  <c r="AK2672" i="2" s="1"/>
  <c r="W2672" i="2"/>
  <c r="AF2671" i="2"/>
  <c r="X2671" i="2"/>
  <c r="Y2671" i="2" s="1"/>
  <c r="W2671" i="2"/>
  <c r="AF2670" i="2"/>
  <c r="X2670" i="2"/>
  <c r="W2670" i="2"/>
  <c r="AF2669" i="2"/>
  <c r="X2669" i="2"/>
  <c r="AB2669" i="2" s="1"/>
  <c r="AK2669" i="2" s="1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Y2663" i="2" s="1"/>
  <c r="W2663" i="2"/>
  <c r="AF2662" i="2"/>
  <c r="X2662" i="2"/>
  <c r="W2662" i="2"/>
  <c r="AF2661" i="2"/>
  <c r="X2661" i="2"/>
  <c r="AB2661" i="2" s="1"/>
  <c r="AK2661" i="2" s="1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AC2656" i="2" s="1"/>
  <c r="W2656" i="2"/>
  <c r="AF2655" i="2"/>
  <c r="X2655" i="2"/>
  <c r="AB2655" i="2" s="1"/>
  <c r="AK2655" i="2" s="1"/>
  <c r="W2655" i="2"/>
  <c r="AF2654" i="2"/>
  <c r="X2654" i="2"/>
  <c r="AC2654" i="2" s="1"/>
  <c r="W2654" i="2"/>
  <c r="AF2653" i="2"/>
  <c r="X2653" i="2"/>
  <c r="AB2653" i="2" s="1"/>
  <c r="AK2653" i="2" s="1"/>
  <c r="W2653" i="2"/>
  <c r="AF2652" i="2"/>
  <c r="X2652" i="2"/>
  <c r="AB2652" i="2" s="1"/>
  <c r="AK2652" i="2" s="1"/>
  <c r="W2652" i="2"/>
  <c r="AF2651" i="2"/>
  <c r="X2651" i="2"/>
  <c r="W2651" i="2"/>
  <c r="AF2650" i="2"/>
  <c r="X2650" i="2"/>
  <c r="AC2650" i="2" s="1"/>
  <c r="W2650" i="2"/>
  <c r="AF2649" i="2"/>
  <c r="X2649" i="2"/>
  <c r="Y2649" i="2" s="1"/>
  <c r="W2649" i="2"/>
  <c r="AF2648" i="2"/>
  <c r="X2648" i="2"/>
  <c r="AF2647" i="2"/>
  <c r="X2647" i="2"/>
  <c r="AC2647" i="2" s="1"/>
  <c r="W2647" i="2"/>
  <c r="AF2646" i="2"/>
  <c r="X2646" i="2"/>
  <c r="Y2646" i="2" s="1"/>
  <c r="W2646" i="2"/>
  <c r="AF2645" i="2"/>
  <c r="X2645" i="2"/>
  <c r="Y2645" i="2" s="1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Y2640" i="2" s="1"/>
  <c r="AC2640" i="2"/>
  <c r="W2640" i="2"/>
  <c r="AD2639" i="2"/>
  <c r="AH2639" i="2" s="1"/>
  <c r="X2639" i="2"/>
  <c r="W2639" i="2"/>
  <c r="AD2638" i="2"/>
  <c r="Y2638" i="2" s="1"/>
  <c r="AC2638" i="2"/>
  <c r="W2638" i="2"/>
  <c r="AD2637" i="2"/>
  <c r="AC2637" i="2"/>
  <c r="W2637" i="2"/>
  <c r="AD2636" i="2"/>
  <c r="Y2636" i="2" s="1"/>
  <c r="AC2636" i="2"/>
  <c r="W2636" i="2"/>
  <c r="AD2635" i="2"/>
  <c r="Y2635" i="2" s="1"/>
  <c r="AC2635" i="2"/>
  <c r="W2635" i="2"/>
  <c r="AD2634" i="2"/>
  <c r="Y2634" i="2" s="1"/>
  <c r="AC2634" i="2"/>
  <c r="W2634" i="2"/>
  <c r="AD2633" i="2"/>
  <c r="AC2633" i="2"/>
  <c r="W2633" i="2"/>
  <c r="AD2632" i="2"/>
  <c r="Y2632" i="2" s="1"/>
  <c r="AC2632" i="2"/>
  <c r="W2632" i="2"/>
  <c r="AD2631" i="2"/>
  <c r="AH2631" i="2" s="1"/>
  <c r="AC2631" i="2"/>
  <c r="W2631" i="2"/>
  <c r="AD2630" i="2"/>
  <c r="X2630" i="2"/>
  <c r="W2630" i="2"/>
  <c r="AD2629" i="2"/>
  <c r="AC2629" i="2"/>
  <c r="W2629" i="2"/>
  <c r="AD2628" i="2"/>
  <c r="Y2628" i="2" s="1"/>
  <c r="AC2628" i="2"/>
  <c r="W2628" i="2"/>
  <c r="AD2627" i="2"/>
  <c r="AC2627" i="2"/>
  <c r="W2627" i="2"/>
  <c r="AD2626" i="2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X2623" i="2"/>
  <c r="W2623" i="2"/>
  <c r="AD2622" i="2"/>
  <c r="X2622" i="2"/>
  <c r="W2622" i="2"/>
  <c r="AD2621" i="2"/>
  <c r="X2621" i="2"/>
  <c r="AC2621" i="2" s="1"/>
  <c r="W2621" i="2"/>
  <c r="AD2620" i="2"/>
  <c r="X2620" i="2"/>
  <c r="W2620" i="2"/>
  <c r="AD2619" i="2"/>
  <c r="AH2619" i="2" s="1"/>
  <c r="X2619" i="2"/>
  <c r="W2619" i="2"/>
  <c r="AD2618" i="2"/>
  <c r="X2618" i="2"/>
  <c r="W2618" i="2"/>
  <c r="AD2617" i="2"/>
  <c r="AH2617" i="2" s="1"/>
  <c r="X2617" i="2"/>
  <c r="W2617" i="2"/>
  <c r="AD2616" i="2"/>
  <c r="AF2616" i="2" s="1"/>
  <c r="X2616" i="2"/>
  <c r="AB2616" i="2" s="1"/>
  <c r="AK2616" i="2" s="1"/>
  <c r="W2616" i="2"/>
  <c r="AD2615" i="2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AB2609" i="2" s="1"/>
  <c r="AK2609" i="2" s="1"/>
  <c r="W2609" i="2"/>
  <c r="AD2608" i="2"/>
  <c r="AH2608" i="2" s="1"/>
  <c r="X2608" i="2"/>
  <c r="W2608" i="2"/>
  <c r="AD2607" i="2"/>
  <c r="X2607" i="2"/>
  <c r="W2607" i="2"/>
  <c r="AD2606" i="2"/>
  <c r="X2606" i="2"/>
  <c r="W2606" i="2"/>
  <c r="AD2605" i="2"/>
  <c r="AH2605" i="2" s="1"/>
  <c r="X2605" i="2"/>
  <c r="W2605" i="2"/>
  <c r="AH2604" i="2"/>
  <c r="AD2604" i="2"/>
  <c r="AF2604" i="2" s="1"/>
  <c r="X2604" i="2"/>
  <c r="W2604" i="2"/>
  <c r="AH2603" i="2"/>
  <c r="AD2603" i="2"/>
  <c r="AF2603" i="2" s="1"/>
  <c r="X2603" i="2"/>
  <c r="AB2603" i="2" s="1"/>
  <c r="AK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AB2600" i="2" s="1"/>
  <c r="AK2600" i="2" s="1"/>
  <c r="W2600" i="2"/>
  <c r="AH2599" i="2"/>
  <c r="AD2599" i="2"/>
  <c r="AF2599" i="2" s="1"/>
  <c r="X2599" i="2"/>
  <c r="AC2599" i="2" s="1"/>
  <c r="W2599" i="2"/>
  <c r="AH2598" i="2"/>
  <c r="AD2598" i="2"/>
  <c r="X2598" i="2"/>
  <c r="AB2598" i="2" s="1"/>
  <c r="AK2598" i="2" s="1"/>
  <c r="W2598" i="2"/>
  <c r="AH2597" i="2"/>
  <c r="AD2597" i="2"/>
  <c r="X2597" i="2"/>
  <c r="AB2597" i="2" s="1"/>
  <c r="AK2597" i="2" s="1"/>
  <c r="W2597" i="2"/>
  <c r="AH2596" i="2"/>
  <c r="AD2596" i="2"/>
  <c r="X2596" i="2"/>
  <c r="W2596" i="2"/>
  <c r="AH2595" i="2"/>
  <c r="AD2595" i="2"/>
  <c r="AF2595" i="2" s="1"/>
  <c r="X2595" i="2"/>
  <c r="AB2595" i="2" s="1"/>
  <c r="AK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X2592" i="2"/>
  <c r="AB2592" i="2" s="1"/>
  <c r="AK2592" i="2" s="1"/>
  <c r="W2592" i="2"/>
  <c r="AH2591" i="2"/>
  <c r="AD2591" i="2"/>
  <c r="AF2591" i="2" s="1"/>
  <c r="X2591" i="2"/>
  <c r="W2591" i="2"/>
  <c r="AH2590" i="2"/>
  <c r="AD2590" i="2"/>
  <c r="AF2590" i="2" s="1"/>
  <c r="X2590" i="2"/>
  <c r="AB2590" i="2" s="1"/>
  <c r="AK2590" i="2" s="1"/>
  <c r="W2590" i="2"/>
  <c r="AH2589" i="2"/>
  <c r="AD2589" i="2"/>
  <c r="X2589" i="2"/>
  <c r="AC2589" i="2" s="1"/>
  <c r="W2589" i="2"/>
  <c r="AH2588" i="2"/>
  <c r="AD2588" i="2"/>
  <c r="AF2588" i="2" s="1"/>
  <c r="X2588" i="2"/>
  <c r="AB2588" i="2" s="1"/>
  <c r="AK2588" i="2" s="1"/>
  <c r="AH2587" i="2"/>
  <c r="AD2587" i="2"/>
  <c r="AF2587" i="2" s="1"/>
  <c r="X2587" i="2"/>
  <c r="AC2587" i="2" s="1"/>
  <c r="W2587" i="2"/>
  <c r="AH2586" i="2"/>
  <c r="AD2586" i="2"/>
  <c r="AF2586" i="2" s="1"/>
  <c r="X2586" i="2"/>
  <c r="AB2586" i="2" s="1"/>
  <c r="AK2586" i="2" s="1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AC2583" i="2" s="1"/>
  <c r="W2583" i="2"/>
  <c r="AH2582" i="2"/>
  <c r="AD2582" i="2"/>
  <c r="X2582" i="2"/>
  <c r="AB2582" i="2" s="1"/>
  <c r="AK2582" i="2" s="1"/>
  <c r="W2582" i="2"/>
  <c r="AH2581" i="2"/>
  <c r="AD2581" i="2"/>
  <c r="AF2581" i="2" s="1"/>
  <c r="X2581" i="2"/>
  <c r="AB2581" i="2" s="1"/>
  <c r="AK2581" i="2" s="1"/>
  <c r="AH2580" i="2"/>
  <c r="AD2580" i="2"/>
  <c r="AF2580" i="2" s="1"/>
  <c r="X2580" i="2"/>
  <c r="AH2579" i="2"/>
  <c r="AD2579" i="2"/>
  <c r="X2579" i="2"/>
  <c r="W2579" i="2"/>
  <c r="AH2578" i="2"/>
  <c r="AD2578" i="2"/>
  <c r="X2578" i="2"/>
  <c r="AC2578" i="2" s="1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X2574" i="2"/>
  <c r="AC2574" i="2" s="1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AB2560" i="2" s="1"/>
  <c r="AK2560" i="2" s="1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C2556" i="2" s="1"/>
  <c r="AH2555" i="2"/>
  <c r="AD2555" i="2"/>
  <c r="X2555" i="2"/>
  <c r="W2555" i="2"/>
  <c r="AH2554" i="2"/>
  <c r="AD2554" i="2"/>
  <c r="AF2554" i="2" s="1"/>
  <c r="X2554" i="2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AB2551" i="2" s="1"/>
  <c r="AK2551" i="2" s="1"/>
  <c r="W2551" i="2"/>
  <c r="AH2550" i="2"/>
  <c r="AD2550" i="2"/>
  <c r="AF2550" i="2" s="1"/>
  <c r="X2550" i="2"/>
  <c r="W2550" i="2"/>
  <c r="AH2549" i="2"/>
  <c r="AD2549" i="2"/>
  <c r="AF2549" i="2" s="1"/>
  <c r="X2549" i="2"/>
  <c r="W2549" i="2"/>
  <c r="AH2548" i="2"/>
  <c r="AD2548" i="2"/>
  <c r="X2548" i="2"/>
  <c r="W2548" i="2"/>
  <c r="AH2547" i="2"/>
  <c r="AD2547" i="2"/>
  <c r="AF2547" i="2" s="1"/>
  <c r="X2547" i="2"/>
  <c r="AB2547" i="2" s="1"/>
  <c r="AK2547" i="2" s="1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W2544" i="2"/>
  <c r="AH2543" i="2"/>
  <c r="AD2543" i="2"/>
  <c r="X2543" i="2"/>
  <c r="AB2543" i="2" s="1"/>
  <c r="AK2543" i="2" s="1"/>
  <c r="W2543" i="2"/>
  <c r="AH2542" i="2"/>
  <c r="AD2542" i="2"/>
  <c r="X2542" i="2"/>
  <c r="AB2542" i="2" s="1"/>
  <c r="AK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W2540" i="2"/>
  <c r="AH2539" i="2"/>
  <c r="AD2539" i="2"/>
  <c r="AF2539" i="2" s="1"/>
  <c r="X2539" i="2"/>
  <c r="AB2539" i="2" s="1"/>
  <c r="AK2539" i="2" s="1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Y2536" i="2" s="1"/>
  <c r="W2536" i="2"/>
  <c r="AH2535" i="2"/>
  <c r="AD2535" i="2"/>
  <c r="AF2535" i="2" s="1"/>
  <c r="X2535" i="2"/>
  <c r="AB2535" i="2" s="1"/>
  <c r="AK2535" i="2" s="1"/>
  <c r="W2535" i="2"/>
  <c r="AH2534" i="2"/>
  <c r="AD2534" i="2"/>
  <c r="X2534" i="2"/>
  <c r="Y2534" i="2" s="1"/>
  <c r="W2534" i="2"/>
  <c r="AH2533" i="2"/>
  <c r="AD2533" i="2"/>
  <c r="AF2533" i="2" s="1"/>
  <c r="X2533" i="2"/>
  <c r="W2533" i="2"/>
  <c r="AH2532" i="2"/>
  <c r="AD2532" i="2"/>
  <c r="X2532" i="2"/>
  <c r="W2532" i="2"/>
  <c r="AH2531" i="2"/>
  <c r="AD2531" i="2"/>
  <c r="AF2531" i="2" s="1"/>
  <c r="X2531" i="2"/>
  <c r="AB2531" i="2" s="1"/>
  <c r="AK2531" i="2" s="1"/>
  <c r="W2531" i="2"/>
  <c r="AH2530" i="2"/>
  <c r="AD2530" i="2"/>
  <c r="AF2530" i="2" s="1"/>
  <c r="X2530" i="2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Y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AB2520" i="2" s="1"/>
  <c r="AK2520" i="2" s="1"/>
  <c r="W2520" i="2"/>
  <c r="AH2519" i="2"/>
  <c r="AD2519" i="2"/>
  <c r="AF2519" i="2" s="1"/>
  <c r="X2519" i="2"/>
  <c r="AB2519" i="2" s="1"/>
  <c r="AK2519" i="2" s="1"/>
  <c r="W2519" i="2"/>
  <c r="AH2518" i="2"/>
  <c r="AD2518" i="2"/>
  <c r="AF2518" i="2" s="1"/>
  <c r="X2518" i="2"/>
  <c r="AC2518" i="2" s="1"/>
  <c r="W2518" i="2"/>
  <c r="AH2517" i="2"/>
  <c r="AD2517" i="2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AB2515" i="2" s="1"/>
  <c r="AK2515" i="2" s="1"/>
  <c r="W2515" i="2"/>
  <c r="AH2514" i="2"/>
  <c r="AD2514" i="2"/>
  <c r="AF2514" i="2" s="1"/>
  <c r="X2514" i="2"/>
  <c r="AB2514" i="2" s="1"/>
  <c r="AK2514" i="2" s="1"/>
  <c r="W2514" i="2"/>
  <c r="AH2513" i="2"/>
  <c r="AD2513" i="2"/>
  <c r="X2513" i="2"/>
  <c r="AB2513" i="2" s="1"/>
  <c r="AK2513" i="2" s="1"/>
  <c r="W2513" i="2"/>
  <c r="AH2512" i="2"/>
  <c r="AD2512" i="2"/>
  <c r="AF2512" i="2" s="1"/>
  <c r="X2512" i="2"/>
  <c r="AB2512" i="2" s="1"/>
  <c r="AK2512" i="2" s="1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AB2505" i="2" s="1"/>
  <c r="AK2505" i="2" s="1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X2501" i="2"/>
  <c r="AC2501" i="2" s="1"/>
  <c r="W2501" i="2"/>
  <c r="AH2500" i="2"/>
  <c r="AD2500" i="2"/>
  <c r="X2500" i="2"/>
  <c r="AH2499" i="2"/>
  <c r="AD2499" i="2"/>
  <c r="X2499" i="2"/>
  <c r="W2499" i="2"/>
  <c r="AH2498" i="2"/>
  <c r="AD2498" i="2"/>
  <c r="AF2498" i="2" s="1"/>
  <c r="X2498" i="2"/>
  <c r="W2498" i="2"/>
  <c r="AH2497" i="2"/>
  <c r="AD2497" i="2"/>
  <c r="X2497" i="2"/>
  <c r="AB2497" i="2" s="1"/>
  <c r="AK2497" i="2" s="1"/>
  <c r="W2497" i="2"/>
  <c r="AH2496" i="2"/>
  <c r="AD2496" i="2"/>
  <c r="AF2496" i="2" s="1"/>
  <c r="X2496" i="2"/>
  <c r="AB2496" i="2" s="1"/>
  <c r="AK2496" i="2" s="1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AB2488" i="2" s="1"/>
  <c r="AK2488" i="2" s="1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X2482" i="2"/>
  <c r="AC2482" i="2" s="1"/>
  <c r="W2482" i="2"/>
  <c r="AH2481" i="2"/>
  <c r="AD2481" i="2"/>
  <c r="AF2481" i="2" s="1"/>
  <c r="X2481" i="2"/>
  <c r="W2481" i="2"/>
  <c r="AH2480" i="2"/>
  <c r="AD2480" i="2"/>
  <c r="X2480" i="2"/>
  <c r="AC2480" i="2" s="1"/>
  <c r="AH2479" i="2"/>
  <c r="AD2479" i="2"/>
  <c r="AF2479" i="2" s="1"/>
  <c r="X2479" i="2"/>
  <c r="W2479" i="2"/>
  <c r="AH2478" i="2"/>
  <c r="AD2478" i="2"/>
  <c r="X2478" i="2"/>
  <c r="AB2478" i="2" s="1"/>
  <c r="AK2478" i="2" s="1"/>
  <c r="W2478" i="2"/>
  <c r="AH2477" i="2"/>
  <c r="AD2477" i="2"/>
  <c r="X2477" i="2"/>
  <c r="AB2477" i="2" s="1"/>
  <c r="AK2477" i="2" s="1"/>
  <c r="W2477" i="2"/>
  <c r="AH2476" i="2"/>
  <c r="AD2476" i="2"/>
  <c r="AF2476" i="2" s="1"/>
  <c r="X2476" i="2"/>
  <c r="W2476" i="2"/>
  <c r="AH2475" i="2"/>
  <c r="AD2475" i="2"/>
  <c r="AF2475" i="2" s="1"/>
  <c r="X2475" i="2"/>
  <c r="W2475" i="2"/>
  <c r="AH2474" i="2"/>
  <c r="AD2474" i="2"/>
  <c r="X2474" i="2"/>
  <c r="AB2474" i="2" s="1"/>
  <c r="AK2474" i="2" s="1"/>
  <c r="AH2473" i="2"/>
  <c r="AD2473" i="2"/>
  <c r="AF2473" i="2" s="1"/>
  <c r="X2473" i="2"/>
  <c r="AB2473" i="2" s="1"/>
  <c r="AK2473" i="2" s="1"/>
  <c r="W2473" i="2"/>
  <c r="AH2472" i="2"/>
  <c r="AD2472" i="2"/>
  <c r="AF2472" i="2" s="1"/>
  <c r="X2472" i="2"/>
  <c r="W2472" i="2"/>
  <c r="AH2471" i="2"/>
  <c r="AD2471" i="2"/>
  <c r="X2471" i="2"/>
  <c r="AB2471" i="2" s="1"/>
  <c r="AK2471" i="2" s="1"/>
  <c r="W2471" i="2"/>
  <c r="AH2470" i="2"/>
  <c r="AD2470" i="2"/>
  <c r="AF2470" i="2" s="1"/>
  <c r="X2470" i="2"/>
  <c r="AB2470" i="2" s="1"/>
  <c r="AK2470" i="2" s="1"/>
  <c r="W2470" i="2"/>
  <c r="AH2469" i="2"/>
  <c r="AD2469" i="2"/>
  <c r="AF2469" i="2" s="1"/>
  <c r="X2469" i="2"/>
  <c r="AB2469" i="2" s="1"/>
  <c r="AK2469" i="2" s="1"/>
  <c r="W2469" i="2"/>
  <c r="AH2468" i="2"/>
  <c r="AD2468" i="2"/>
  <c r="AF2468" i="2" s="1"/>
  <c r="X2468" i="2"/>
  <c r="AB2468" i="2" s="1"/>
  <c r="AK2468" i="2" s="1"/>
  <c r="W2468" i="2"/>
  <c r="AH2467" i="2"/>
  <c r="AD2467" i="2"/>
  <c r="X2467" i="2"/>
  <c r="AB2467" i="2" s="1"/>
  <c r="AK2467" i="2" s="1"/>
  <c r="W2467" i="2"/>
  <c r="AH2466" i="2"/>
  <c r="AD2466" i="2"/>
  <c r="AF2466" i="2" s="1"/>
  <c r="X2466" i="2"/>
  <c r="W2466" i="2"/>
  <c r="AH2465" i="2"/>
  <c r="AD2465" i="2"/>
  <c r="AF2465" i="2" s="1"/>
  <c r="X2465" i="2"/>
  <c r="AB2465" i="2" s="1"/>
  <c r="AK2465" i="2" s="1"/>
  <c r="W2465" i="2"/>
  <c r="AH2464" i="2"/>
  <c r="AD2464" i="2"/>
  <c r="AF2464" i="2" s="1"/>
  <c r="X2464" i="2"/>
  <c r="W2464" i="2"/>
  <c r="AH2463" i="2"/>
  <c r="AD2463" i="2"/>
  <c r="AF2463" i="2" s="1"/>
  <c r="X2463" i="2"/>
  <c r="AB2463" i="2" s="1"/>
  <c r="AK2463" i="2" s="1"/>
  <c r="W2463" i="2"/>
  <c r="AH2462" i="2"/>
  <c r="AD2462" i="2"/>
  <c r="AF2462" i="2" s="1"/>
  <c r="X2462" i="2"/>
  <c r="AC2462" i="2" s="1"/>
  <c r="W2462" i="2"/>
  <c r="AH2461" i="2"/>
  <c r="AD2461" i="2"/>
  <c r="AF2461" i="2" s="1"/>
  <c r="X2461" i="2"/>
  <c r="AA2461" i="2" s="1"/>
  <c r="AB2461" i="2" s="1"/>
  <c r="W2461" i="2"/>
  <c r="AH2460" i="2"/>
  <c r="AD2460" i="2"/>
  <c r="AF2460" i="2" s="1"/>
  <c r="X2460" i="2"/>
  <c r="W2460" i="2"/>
  <c r="AH2459" i="2"/>
  <c r="AD2459" i="2"/>
  <c r="X2459" i="2"/>
  <c r="AB2459" i="2" s="1"/>
  <c r="AK2459" i="2" s="1"/>
  <c r="W2459" i="2"/>
  <c r="AH2458" i="2"/>
  <c r="AD2458" i="2"/>
  <c r="AF2458" i="2" s="1"/>
  <c r="X2458" i="2"/>
  <c r="AB2458" i="2" s="1"/>
  <c r="AK2458" i="2" s="1"/>
  <c r="W2458" i="2"/>
  <c r="AH2457" i="2"/>
  <c r="AD2457" i="2"/>
  <c r="AF2457" i="2" s="1"/>
  <c r="X2457" i="2"/>
  <c r="W2457" i="2"/>
  <c r="AH2456" i="2"/>
  <c r="AD2456" i="2"/>
  <c r="AF2456" i="2" s="1"/>
  <c r="X2456" i="2"/>
  <c r="AB2456" i="2" s="1"/>
  <c r="AK2456" i="2" s="1"/>
  <c r="W2456" i="2"/>
  <c r="AH2455" i="2"/>
  <c r="AD2455" i="2"/>
  <c r="X2455" i="2"/>
  <c r="W2455" i="2"/>
  <c r="AH2454" i="2"/>
  <c r="AD2454" i="2"/>
  <c r="AF2454" i="2" s="1"/>
  <c r="X2454" i="2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X2450" i="2"/>
  <c r="AB2450" i="2" s="1"/>
  <c r="AK2450" i="2" s="1"/>
  <c r="W2450" i="2"/>
  <c r="AH2449" i="2"/>
  <c r="AD2449" i="2"/>
  <c r="AF2449" i="2" s="1"/>
  <c r="X2449" i="2"/>
  <c r="AB2449" i="2" s="1"/>
  <c r="AK2449" i="2" s="1"/>
  <c r="W2449" i="2"/>
  <c r="AH2448" i="2"/>
  <c r="AD2448" i="2"/>
  <c r="AF2448" i="2" s="1"/>
  <c r="X2448" i="2"/>
  <c r="W2448" i="2"/>
  <c r="AH2447" i="2"/>
  <c r="AD2447" i="2"/>
  <c r="X2447" i="2"/>
  <c r="AB2447" i="2" s="1"/>
  <c r="AK2447" i="2" s="1"/>
  <c r="W2447" i="2"/>
  <c r="AH2446" i="2"/>
  <c r="AD2446" i="2"/>
  <c r="X2446" i="2"/>
  <c r="W2446" i="2"/>
  <c r="AH2445" i="2"/>
  <c r="AD2445" i="2"/>
  <c r="AF2445" i="2" s="1"/>
  <c r="X2445" i="2"/>
  <c r="AB2445" i="2" s="1"/>
  <c r="AK2445" i="2" s="1"/>
  <c r="W2445" i="2"/>
  <c r="AH2444" i="2"/>
  <c r="AD2444" i="2"/>
  <c r="AF2444" i="2" s="1"/>
  <c r="X2444" i="2"/>
  <c r="W2444" i="2"/>
  <c r="AH2443" i="2"/>
  <c r="AD2443" i="2"/>
  <c r="AF2443" i="2" s="1"/>
  <c r="X2443" i="2"/>
  <c r="AB2443" i="2" s="1"/>
  <c r="AK2443" i="2" s="1"/>
  <c r="W2443" i="2"/>
  <c r="AH2442" i="2"/>
  <c r="AD2442" i="2"/>
  <c r="X2442" i="2"/>
  <c r="AB2442" i="2" s="1"/>
  <c r="AK2442" i="2" s="1"/>
  <c r="W2442" i="2"/>
  <c r="AH2441" i="2"/>
  <c r="AD2441" i="2"/>
  <c r="X2441" i="2"/>
  <c r="AB2441" i="2" s="1"/>
  <c r="AK2441" i="2" s="1"/>
  <c r="W2441" i="2"/>
  <c r="AH2440" i="2"/>
  <c r="AD2440" i="2"/>
  <c r="AF2440" i="2" s="1"/>
  <c r="X2440" i="2"/>
  <c r="AB2440" i="2" s="1"/>
  <c r="AK2440" i="2" s="1"/>
  <c r="W2440" i="2"/>
  <c r="AH2439" i="2"/>
  <c r="AD2439" i="2"/>
  <c r="AF2439" i="2" s="1"/>
  <c r="X2439" i="2"/>
  <c r="AB2439" i="2" s="1"/>
  <c r="AK2439" i="2" s="1"/>
  <c r="W2439" i="2"/>
  <c r="AH2438" i="2"/>
  <c r="AD2438" i="2"/>
  <c r="X2438" i="2"/>
  <c r="W2438" i="2"/>
  <c r="AH2437" i="2"/>
  <c r="AD2437" i="2"/>
  <c r="X2437" i="2"/>
  <c r="AB2437" i="2" s="1"/>
  <c r="AK2437" i="2" s="1"/>
  <c r="W2437" i="2"/>
  <c r="AH2436" i="2"/>
  <c r="AD2436" i="2"/>
  <c r="AF2436" i="2" s="1"/>
  <c r="X2436" i="2"/>
  <c r="AB2436" i="2" s="1"/>
  <c r="AK2436" i="2" s="1"/>
  <c r="W2436" i="2"/>
  <c r="AH2435" i="2"/>
  <c r="AD2435" i="2"/>
  <c r="AF2435" i="2" s="1"/>
  <c r="X2435" i="2"/>
  <c r="W2435" i="2"/>
  <c r="AH2434" i="2"/>
  <c r="AD2434" i="2"/>
  <c r="X2434" i="2"/>
  <c r="W2434" i="2"/>
  <c r="AH2433" i="2"/>
  <c r="AD2433" i="2"/>
  <c r="AF2433" i="2" s="1"/>
  <c r="X2433" i="2"/>
  <c r="AB2433" i="2" s="1"/>
  <c r="AK2433" i="2" s="1"/>
  <c r="W2433" i="2"/>
  <c r="AH2432" i="2"/>
  <c r="AD2432" i="2"/>
  <c r="AF2432" i="2" s="1"/>
  <c r="X2432" i="2"/>
  <c r="W2432" i="2"/>
  <c r="AH2431" i="2"/>
  <c r="AD2431" i="2"/>
  <c r="AF2431" i="2" s="1"/>
  <c r="X2431" i="2"/>
  <c r="AB2431" i="2" s="1"/>
  <c r="AK2431" i="2" s="1"/>
  <c r="W2431" i="2"/>
  <c r="AH2430" i="2"/>
  <c r="AD2430" i="2"/>
  <c r="X2430" i="2"/>
  <c r="W2430" i="2"/>
  <c r="AH2429" i="2"/>
  <c r="AD2429" i="2"/>
  <c r="AF2429" i="2" s="1"/>
  <c r="X2429" i="2"/>
  <c r="AB2429" i="2" s="1"/>
  <c r="AK2429" i="2" s="1"/>
  <c r="AH2428" i="2"/>
  <c r="AD2428" i="2"/>
  <c r="AF2428" i="2" s="1"/>
  <c r="X2428" i="2"/>
  <c r="AB2428" i="2" s="1"/>
  <c r="AK2428" i="2" s="1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AB2424" i="2" s="1"/>
  <c r="AK2424" i="2" s="1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AB2421" i="2" s="1"/>
  <c r="AK2421" i="2" s="1"/>
  <c r="W2421" i="2"/>
  <c r="AH2420" i="2"/>
  <c r="AD2420" i="2"/>
  <c r="AF2420" i="2" s="1"/>
  <c r="X2420" i="2"/>
  <c r="AB2420" i="2" s="1"/>
  <c r="AK2420" i="2" s="1"/>
  <c r="W2420" i="2"/>
  <c r="AH2419" i="2"/>
  <c r="AD2419" i="2"/>
  <c r="AF2419" i="2" s="1"/>
  <c r="X2419" i="2"/>
  <c r="W2419" i="2"/>
  <c r="AH2418" i="2"/>
  <c r="AD2418" i="2"/>
  <c r="AF2418" i="2" s="1"/>
  <c r="X2418" i="2"/>
  <c r="AB2418" i="2" s="1"/>
  <c r="AK2418" i="2" s="1"/>
  <c r="W2418" i="2"/>
  <c r="AH2417" i="2"/>
  <c r="AD2417" i="2"/>
  <c r="AF2417" i="2" s="1"/>
  <c r="X2417" i="2"/>
  <c r="W2417" i="2"/>
  <c r="AH2416" i="2"/>
  <c r="AD2416" i="2"/>
  <c r="AF2416" i="2" s="1"/>
  <c r="X2416" i="2"/>
  <c r="AC2416" i="2" s="1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X2413" i="2"/>
  <c r="AB2413" i="2" s="1"/>
  <c r="AK2413" i="2" s="1"/>
  <c r="W2413" i="2"/>
  <c r="AH2412" i="2"/>
  <c r="AD2412" i="2"/>
  <c r="AF2412" i="2" s="1"/>
  <c r="X2412" i="2"/>
  <c r="AC2412" i="2" s="1"/>
  <c r="W2412" i="2"/>
  <c r="AH2411" i="2"/>
  <c r="AD2411" i="2"/>
  <c r="AF2411" i="2" s="1"/>
  <c r="X2411" i="2"/>
  <c r="W2411" i="2"/>
  <c r="AH2410" i="2"/>
  <c r="AD2410" i="2"/>
  <c r="AF2410" i="2" s="1"/>
  <c r="X2410" i="2"/>
  <c r="AC2410" i="2" s="1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X2406" i="2"/>
  <c r="W2406" i="2"/>
  <c r="AH2405" i="2"/>
  <c r="AD2405" i="2"/>
  <c r="AF2405" i="2" s="1"/>
  <c r="X2405" i="2"/>
  <c r="AC2405" i="2" s="1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X2398" i="2"/>
  <c r="W2398" i="2"/>
  <c r="AH2397" i="2"/>
  <c r="AD2397" i="2"/>
  <c r="AF2397" i="2" s="1"/>
  <c r="X2397" i="2"/>
  <c r="AB2397" i="2" s="1"/>
  <c r="AK2397" i="2" s="1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X2391" i="2"/>
  <c r="AB2391" i="2" s="1"/>
  <c r="AK2391" i="2" s="1"/>
  <c r="W2391" i="2"/>
  <c r="AH2390" i="2"/>
  <c r="AD2390" i="2"/>
  <c r="AF2390" i="2" s="1"/>
  <c r="X2390" i="2"/>
  <c r="W2390" i="2"/>
  <c r="AH2389" i="2"/>
  <c r="AD2389" i="2"/>
  <c r="AF2389" i="2" s="1"/>
  <c r="X2389" i="2"/>
  <c r="AB2389" i="2" s="1"/>
  <c r="AK2389" i="2" s="1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AB2375" i="2" s="1"/>
  <c r="AK2375" i="2" s="1"/>
  <c r="W2375" i="2"/>
  <c r="AH2374" i="2"/>
  <c r="AD2374" i="2"/>
  <c r="AF2374" i="2" s="1"/>
  <c r="X2374" i="2"/>
  <c r="AK2374" i="2" s="1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AC2371" i="2"/>
  <c r="W2371" i="2"/>
  <c r="AH2370" i="2"/>
  <c r="AD2370" i="2"/>
  <c r="X2370" i="2"/>
  <c r="W2370" i="2"/>
  <c r="AH2369" i="2"/>
  <c r="AD2369" i="2"/>
  <c r="AF2369" i="2" s="1"/>
  <c r="X2369" i="2"/>
  <c r="W2369" i="2"/>
  <c r="AH2368" i="2"/>
  <c r="AD2368" i="2"/>
  <c r="Y2368" i="2" s="1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AC2365" i="2"/>
  <c r="W2365" i="2"/>
  <c r="AH2364" i="2"/>
  <c r="AD2364" i="2"/>
  <c r="AF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H2360" i="2"/>
  <c r="AD2360" i="2"/>
  <c r="X2360" i="2"/>
  <c r="AB2360" i="2" s="1"/>
  <c r="AK2360" i="2" s="1"/>
  <c r="W2360" i="2"/>
  <c r="AH2359" i="2"/>
  <c r="AD2359" i="2"/>
  <c r="AF2359" i="2" s="1"/>
  <c r="X2359" i="2"/>
  <c r="W2359" i="2"/>
  <c r="AH2358" i="2"/>
  <c r="AD2358" i="2"/>
  <c r="X2358" i="2"/>
  <c r="Y2358" i="2" s="1"/>
  <c r="W2358" i="2"/>
  <c r="AH2357" i="2"/>
  <c r="AD2357" i="2"/>
  <c r="AF2357" i="2" s="1"/>
  <c r="X2357" i="2"/>
  <c r="AB2357" i="2" s="1"/>
  <c r="AK2357" i="2" s="1"/>
  <c r="W2357" i="2"/>
  <c r="AH2356" i="2"/>
  <c r="AD2356" i="2"/>
  <c r="AF2356" i="2" s="1"/>
  <c r="X2356" i="2"/>
  <c r="AB2356" i="2" s="1"/>
  <c r="AK2356" i="2" s="1"/>
  <c r="W2356" i="2"/>
  <c r="AH2355" i="2"/>
  <c r="AD2355" i="2"/>
  <c r="AF2355" i="2" s="1"/>
  <c r="X2355" i="2"/>
  <c r="AC2355" i="2" s="1"/>
  <c r="W2355" i="2"/>
  <c r="AH2354" i="2"/>
  <c r="AD2354" i="2"/>
  <c r="X2354" i="2"/>
  <c r="W2354" i="2"/>
  <c r="AH2353" i="2"/>
  <c r="AD2353" i="2"/>
  <c r="AF2353" i="2" s="1"/>
  <c r="X2353" i="2"/>
  <c r="AC2353" i="2" s="1"/>
  <c r="W2353" i="2"/>
  <c r="AH2352" i="2"/>
  <c r="AD2352" i="2"/>
  <c r="X2352" i="2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Y2348" i="2" s="1"/>
  <c r="W2348" i="2"/>
  <c r="AH2347" i="2"/>
  <c r="AD2347" i="2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AB2344" i="2" s="1"/>
  <c r="AK2344" i="2" s="1"/>
  <c r="W2344" i="2"/>
  <c r="AH2343" i="2"/>
  <c r="AD2343" i="2"/>
  <c r="AF2343" i="2" s="1"/>
  <c r="X2343" i="2"/>
  <c r="W2343" i="2"/>
  <c r="AH2342" i="2"/>
  <c r="AD2342" i="2"/>
  <c r="X2342" i="2"/>
  <c r="AB2342" i="2" s="1"/>
  <c r="AK2342" i="2" s="1"/>
  <c r="W2342" i="2"/>
  <c r="AH2341" i="2"/>
  <c r="AD2341" i="2"/>
  <c r="AF2341" i="2" s="1"/>
  <c r="X2341" i="2"/>
  <c r="W2341" i="2"/>
  <c r="AH2340" i="2"/>
  <c r="AD2340" i="2"/>
  <c r="X2340" i="2"/>
  <c r="Y2340" i="2" s="1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AB2336" i="2" s="1"/>
  <c r="AK2336" i="2" s="1"/>
  <c r="W2336" i="2"/>
  <c r="AH2335" i="2"/>
  <c r="AD2335" i="2"/>
  <c r="AF2335" i="2" s="1"/>
  <c r="X2335" i="2"/>
  <c r="W2335" i="2"/>
  <c r="AH2334" i="2"/>
  <c r="AD2334" i="2"/>
  <c r="X2334" i="2"/>
  <c r="AB2334" i="2" s="1"/>
  <c r="AK2334" i="2" s="1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X2331" i="2"/>
  <c r="W2331" i="2"/>
  <c r="AH2330" i="2"/>
  <c r="AD2330" i="2"/>
  <c r="X2330" i="2"/>
  <c r="AB2330" i="2" s="1"/>
  <c r="AK2330" i="2" s="1"/>
  <c r="W2330" i="2"/>
  <c r="AH2329" i="2"/>
  <c r="AD2329" i="2"/>
  <c r="AF2329" i="2" s="1"/>
  <c r="X2329" i="2"/>
  <c r="W2329" i="2"/>
  <c r="AH2328" i="2"/>
  <c r="AD2328" i="2"/>
  <c r="AF2328" i="2" s="1"/>
  <c r="X2328" i="2"/>
  <c r="AC2328" i="2" s="1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AB2324" i="2" s="1"/>
  <c r="AK2324" i="2" s="1"/>
  <c r="W2324" i="2"/>
  <c r="AH2323" i="2"/>
  <c r="AD2323" i="2"/>
  <c r="AF2323" i="2" s="1"/>
  <c r="X2323" i="2"/>
  <c r="AH2322" i="2"/>
  <c r="AD2322" i="2"/>
  <c r="AF2322" i="2" s="1"/>
  <c r="X2322" i="2"/>
  <c r="AB2322" i="2" s="1"/>
  <c r="AK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X2320" i="2"/>
  <c r="AB2320" i="2" s="1"/>
  <c r="AK2320" i="2" s="1"/>
  <c r="W2320" i="2"/>
  <c r="AH2319" i="2"/>
  <c r="AD2319" i="2"/>
  <c r="X2319" i="2"/>
  <c r="W2319" i="2"/>
  <c r="AH2318" i="2"/>
  <c r="AD2318" i="2"/>
  <c r="AF2318" i="2" s="1"/>
  <c r="X2318" i="2"/>
  <c r="AC2318" i="2" s="1"/>
  <c r="W2318" i="2"/>
  <c r="AH2317" i="2"/>
  <c r="AD2317" i="2"/>
  <c r="X2317" i="2"/>
  <c r="W2317" i="2"/>
  <c r="AH2316" i="2"/>
  <c r="AD2316" i="2"/>
  <c r="X2316" i="2"/>
  <c r="AB2316" i="2" s="1"/>
  <c r="AK2316" i="2" s="1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AF2313" i="2" s="1"/>
  <c r="X2313" i="2"/>
  <c r="AK2313" i="2" s="1"/>
  <c r="W2313" i="2"/>
  <c r="AH2312" i="2"/>
  <c r="AD2312" i="2"/>
  <c r="AF2312" i="2" s="1"/>
  <c r="X2312" i="2"/>
  <c r="W2312" i="2"/>
  <c r="AH2311" i="2"/>
  <c r="AD2311" i="2"/>
  <c r="X2311" i="2"/>
  <c r="W2311" i="2"/>
  <c r="AH2310" i="2"/>
  <c r="AD2310" i="2"/>
  <c r="AF2310" i="2" s="1"/>
  <c r="X2310" i="2"/>
  <c r="AB2310" i="2" s="1"/>
  <c r="AK2310" i="2" s="1"/>
  <c r="W2310" i="2"/>
  <c r="AH2309" i="2"/>
  <c r="AD2309" i="2"/>
  <c r="X2309" i="2"/>
  <c r="W2309" i="2"/>
  <c r="AH2308" i="2"/>
  <c r="AD2308" i="2"/>
  <c r="X2308" i="2"/>
  <c r="AB2308" i="2" s="1"/>
  <c r="AK2308" i="2" s="1"/>
  <c r="W2308" i="2"/>
  <c r="AH2307" i="2"/>
  <c r="AD2307" i="2"/>
  <c r="X2307" i="2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AD2304" i="2"/>
  <c r="AF2304" i="2" s="1"/>
  <c r="X2304" i="2"/>
  <c r="W2304" i="2"/>
  <c r="AH2303" i="2"/>
  <c r="AD2303" i="2"/>
  <c r="X2303" i="2"/>
  <c r="W2303" i="2"/>
  <c r="AH2302" i="2"/>
  <c r="AD2302" i="2"/>
  <c r="AF2302" i="2" s="1"/>
  <c r="X2302" i="2"/>
  <c r="W2302" i="2"/>
  <c r="AH2301" i="2"/>
  <c r="AD2301" i="2"/>
  <c r="AF2301" i="2" s="1"/>
  <c r="X2301" i="2"/>
  <c r="W2301" i="2"/>
  <c r="AH2300" i="2"/>
  <c r="AD2300" i="2"/>
  <c r="X2300" i="2"/>
  <c r="AB2300" i="2" s="1"/>
  <c r="AK2300" i="2" s="1"/>
  <c r="W2300" i="2"/>
  <c r="AH2299" i="2"/>
  <c r="AD2299" i="2"/>
  <c r="AF2299" i="2" s="1"/>
  <c r="X2299" i="2"/>
  <c r="W2299" i="2"/>
  <c r="AH2298" i="2"/>
  <c r="AD2298" i="2"/>
  <c r="AF2298" i="2" s="1"/>
  <c r="X2298" i="2"/>
  <c r="W2298" i="2"/>
  <c r="AH2297" i="2"/>
  <c r="AD2297" i="2"/>
  <c r="X2297" i="2"/>
  <c r="AB2297" i="2" s="1"/>
  <c r="AK2297" i="2" s="1"/>
  <c r="W2297" i="2"/>
  <c r="AH2296" i="2"/>
  <c r="AD2296" i="2"/>
  <c r="AF2296" i="2" s="1"/>
  <c r="X2296" i="2"/>
  <c r="AB2296" i="2" s="1"/>
  <c r="AK2296" i="2" s="1"/>
  <c r="W2296" i="2"/>
  <c r="AH2295" i="2"/>
  <c r="AD2295" i="2"/>
  <c r="X2295" i="2"/>
  <c r="W2295" i="2"/>
  <c r="AH2294" i="2"/>
  <c r="AD2294" i="2"/>
  <c r="AF2294" i="2" s="1"/>
  <c r="X2294" i="2"/>
  <c r="W2294" i="2"/>
  <c r="AH2293" i="2"/>
  <c r="AD2293" i="2"/>
  <c r="X2293" i="2"/>
  <c r="W2293" i="2"/>
  <c r="AH2292" i="2"/>
  <c r="AD2292" i="2"/>
  <c r="AF2292" i="2" s="1"/>
  <c r="X2292" i="2"/>
  <c r="AB2292" i="2" s="1"/>
  <c r="AK2292" i="2" s="1"/>
  <c r="W2292" i="2"/>
  <c r="AH2291" i="2"/>
  <c r="AD2291" i="2"/>
  <c r="X2291" i="2"/>
  <c r="W2291" i="2"/>
  <c r="AH2290" i="2"/>
  <c r="AD2290" i="2"/>
  <c r="AF2290" i="2" s="1"/>
  <c r="X2290" i="2"/>
  <c r="W2290" i="2"/>
  <c r="AH2289" i="2"/>
  <c r="AD2289" i="2"/>
  <c r="X2289" i="2"/>
  <c r="AB2289" i="2" s="1"/>
  <c r="AK2289" i="2" s="1"/>
  <c r="W2289" i="2"/>
  <c r="AH2288" i="2"/>
  <c r="AD2288" i="2"/>
  <c r="AF2288" i="2" s="1"/>
  <c r="X2288" i="2"/>
  <c r="W2288" i="2"/>
  <c r="AH2287" i="2"/>
  <c r="AD2287" i="2"/>
  <c r="AF2287" i="2" s="1"/>
  <c r="X2287" i="2"/>
  <c r="W2287" i="2"/>
  <c r="AH2286" i="2"/>
  <c r="AD2286" i="2"/>
  <c r="AF2286" i="2" s="1"/>
  <c r="X2286" i="2"/>
  <c r="W2286" i="2"/>
  <c r="AH2285" i="2"/>
  <c r="AD2285" i="2"/>
  <c r="X2285" i="2"/>
  <c r="W2285" i="2"/>
  <c r="AH2284" i="2"/>
  <c r="AD2284" i="2"/>
  <c r="AF2284" i="2" s="1"/>
  <c r="X2284" i="2"/>
  <c r="AC2284" i="2" s="1"/>
  <c r="W2284" i="2"/>
  <c r="AH2283" i="2"/>
  <c r="AD2283" i="2"/>
  <c r="X2283" i="2"/>
  <c r="W2283" i="2"/>
  <c r="AH2282" i="2"/>
  <c r="AD2282" i="2"/>
  <c r="AF2282" i="2" s="1"/>
  <c r="X2282" i="2"/>
  <c r="W2282" i="2"/>
  <c r="AH2281" i="2"/>
  <c r="AD2281" i="2"/>
  <c r="AF2281" i="2" s="1"/>
  <c r="X2281" i="2"/>
  <c r="AC2281" i="2" s="1"/>
  <c r="W2281" i="2"/>
  <c r="AH2280" i="2"/>
  <c r="AD2280" i="2"/>
  <c r="AF2280" i="2" s="1"/>
  <c r="X2280" i="2"/>
  <c r="AB2280" i="2" s="1"/>
  <c r="AK2280" i="2" s="1"/>
  <c r="W2280" i="2"/>
  <c r="AH2279" i="2"/>
  <c r="AD2279" i="2"/>
  <c r="X2279" i="2"/>
  <c r="AK2279" i="2" s="1"/>
  <c r="W2279" i="2"/>
  <c r="AH2278" i="2"/>
  <c r="AD2278" i="2"/>
  <c r="AF2278" i="2" s="1"/>
  <c r="X2278" i="2"/>
  <c r="AB2278" i="2" s="1"/>
  <c r="AK2278" i="2" s="1"/>
  <c r="W2278" i="2"/>
  <c r="AH2277" i="2"/>
  <c r="AD2277" i="2"/>
  <c r="AF2277" i="2" s="1"/>
  <c r="X2277" i="2"/>
  <c r="W2277" i="2"/>
  <c r="AH2276" i="2"/>
  <c r="AD2276" i="2"/>
  <c r="AF2276" i="2" s="1"/>
  <c r="X2276" i="2"/>
  <c r="W2276" i="2"/>
  <c r="AH2275" i="2"/>
  <c r="AD2275" i="2"/>
  <c r="X2275" i="2"/>
  <c r="W2275" i="2"/>
  <c r="AH2274" i="2"/>
  <c r="AD2274" i="2"/>
  <c r="AF2274" i="2" s="1"/>
  <c r="X2274" i="2"/>
  <c r="W2274" i="2"/>
  <c r="AH2273" i="2"/>
  <c r="AD2273" i="2"/>
  <c r="X2273" i="2"/>
  <c r="W2273" i="2"/>
  <c r="AH2272" i="2"/>
  <c r="AD2272" i="2"/>
  <c r="AF2272" i="2" s="1"/>
  <c r="X2272" i="2"/>
  <c r="AB2272" i="2" s="1"/>
  <c r="AK2272" i="2" s="1"/>
  <c r="W2272" i="2"/>
  <c r="AH2271" i="2"/>
  <c r="AD2271" i="2"/>
  <c r="X2271" i="2"/>
  <c r="AB2271" i="2" s="1"/>
  <c r="AK2271" i="2" s="1"/>
  <c r="W2271" i="2"/>
  <c r="AH2270" i="2"/>
  <c r="AD2270" i="2"/>
  <c r="AF2270" i="2" s="1"/>
  <c r="X2270" i="2"/>
  <c r="W2270" i="2"/>
  <c r="AH2269" i="2"/>
  <c r="AD2269" i="2"/>
  <c r="AF2269" i="2" s="1"/>
  <c r="X2269" i="2"/>
  <c r="W2269" i="2"/>
  <c r="AH2268" i="2"/>
  <c r="AD2268" i="2"/>
  <c r="AF2268" i="2" s="1"/>
  <c r="X2268" i="2"/>
  <c r="AB2268" i="2" s="1"/>
  <c r="AK2268" i="2" s="1"/>
  <c r="W2268" i="2"/>
  <c r="AH2267" i="2"/>
  <c r="AD2267" i="2"/>
  <c r="X2267" i="2"/>
  <c r="W2267" i="2"/>
  <c r="AH2266" i="2"/>
  <c r="AD2266" i="2"/>
  <c r="AF2266" i="2" s="1"/>
  <c r="X2266" i="2"/>
  <c r="AB2266" i="2" s="1"/>
  <c r="AK2266" i="2" s="1"/>
  <c r="W2266" i="2"/>
  <c r="AH2265" i="2"/>
  <c r="AD2265" i="2"/>
  <c r="X2265" i="2"/>
  <c r="AC2265" i="2" s="1"/>
  <c r="W2265" i="2"/>
  <c r="AH2264" i="2"/>
  <c r="AD2264" i="2"/>
  <c r="AF2264" i="2" s="1"/>
  <c r="X2264" i="2"/>
  <c r="AB2264" i="2" s="1"/>
  <c r="AK2264" i="2" s="1"/>
  <c r="W2264" i="2"/>
  <c r="AH2263" i="2"/>
  <c r="AD2263" i="2"/>
  <c r="X2263" i="2"/>
  <c r="W2263" i="2"/>
  <c r="AH2262" i="2"/>
  <c r="AD2262" i="2"/>
  <c r="AF2262" i="2" s="1"/>
  <c r="X2262" i="2"/>
  <c r="AB2262" i="2" s="1"/>
  <c r="AK2262" i="2" s="1"/>
  <c r="W2262" i="2"/>
  <c r="AH2261" i="2"/>
  <c r="AD2261" i="2"/>
  <c r="X2261" i="2"/>
  <c r="W2261" i="2"/>
  <c r="AH2260" i="2"/>
  <c r="AD2260" i="2"/>
  <c r="AF2260" i="2" s="1"/>
  <c r="X2260" i="2"/>
  <c r="W2260" i="2"/>
  <c r="AH2259" i="2"/>
  <c r="AD2259" i="2"/>
  <c r="X2259" i="2"/>
  <c r="W2259" i="2"/>
  <c r="AH2258" i="2"/>
  <c r="AD2258" i="2"/>
  <c r="AF2258" i="2" s="1"/>
  <c r="X2258" i="2"/>
  <c r="W2258" i="2"/>
  <c r="AH2257" i="2"/>
  <c r="AD2257" i="2"/>
  <c r="AF2257" i="2" s="1"/>
  <c r="X2257" i="2"/>
  <c r="W2257" i="2"/>
  <c r="AH2256" i="2"/>
  <c r="AD2256" i="2"/>
  <c r="AF2256" i="2" s="1"/>
  <c r="X2256" i="2"/>
  <c r="W2256" i="2"/>
  <c r="AH2255" i="2"/>
  <c r="AD2255" i="2"/>
  <c r="X2255" i="2"/>
  <c r="AB2255" i="2" s="1"/>
  <c r="AK2255" i="2" s="1"/>
  <c r="W2255" i="2"/>
  <c r="AH2254" i="2"/>
  <c r="AD2254" i="2"/>
  <c r="AF2254" i="2" s="1"/>
  <c r="X2254" i="2"/>
  <c r="W2254" i="2"/>
  <c r="AH2253" i="2"/>
  <c r="AD2253" i="2"/>
  <c r="AF2253" i="2" s="1"/>
  <c r="X2253" i="2"/>
  <c r="W2253" i="2"/>
  <c r="AH2252" i="2"/>
  <c r="AD2252" i="2"/>
  <c r="AF2252" i="2" s="1"/>
  <c r="X2252" i="2"/>
  <c r="AK2252" i="2" s="1"/>
  <c r="W2252" i="2"/>
  <c r="AH2251" i="2"/>
  <c r="AD2251" i="2"/>
  <c r="AF2251" i="2" s="1"/>
  <c r="X2251" i="2"/>
  <c r="W2251" i="2"/>
  <c r="AH2250" i="2"/>
  <c r="AD2250" i="2"/>
  <c r="AF2250" i="2" s="1"/>
  <c r="X2250" i="2"/>
  <c r="W2250" i="2"/>
  <c r="AH2249" i="2"/>
  <c r="AD2249" i="2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W2247" i="2"/>
  <c r="AH2246" i="2"/>
  <c r="AD2246" i="2"/>
  <c r="AF2246" i="2" s="1"/>
  <c r="X2246" i="2"/>
  <c r="W2246" i="2"/>
  <c r="AH2245" i="2"/>
  <c r="AD2245" i="2"/>
  <c r="X2245" i="2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AB2240" i="2" s="1"/>
  <c r="AK2240" i="2" s="1"/>
  <c r="W2240" i="2"/>
  <c r="AH2239" i="2"/>
  <c r="AD2239" i="2"/>
  <c r="X2239" i="2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AK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W2231" i="2"/>
  <c r="AH2230" i="2"/>
  <c r="AD2230" i="2"/>
  <c r="AF2230" i="2" s="1"/>
  <c r="X2230" i="2"/>
  <c r="W2230" i="2"/>
  <c r="AH2229" i="2"/>
  <c r="AD2229" i="2"/>
  <c r="X2229" i="2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AB2226" i="2" s="1"/>
  <c r="AK2226" i="2" s="1"/>
  <c r="W2226" i="2"/>
  <c r="AH2225" i="2"/>
  <c r="AD2225" i="2"/>
  <c r="X2225" i="2"/>
  <c r="W2225" i="2"/>
  <c r="AH2224" i="2"/>
  <c r="AD2224" i="2"/>
  <c r="AF2224" i="2" s="1"/>
  <c r="X2224" i="2"/>
  <c r="AB2224" i="2" s="1"/>
  <c r="AK2224" i="2" s="1"/>
  <c r="W2224" i="2"/>
  <c r="AH2223" i="2"/>
  <c r="AD2223" i="2"/>
  <c r="X2223" i="2"/>
  <c r="AB2223" i="2" s="1"/>
  <c r="AK2223" i="2" s="1"/>
  <c r="W2223" i="2"/>
  <c r="AH2222" i="2"/>
  <c r="AD2222" i="2"/>
  <c r="AF2222" i="2" s="1"/>
  <c r="X2222" i="2"/>
  <c r="W2222" i="2"/>
  <c r="AH2221" i="2"/>
  <c r="AD2221" i="2"/>
  <c r="X2221" i="2"/>
  <c r="W2221" i="2"/>
  <c r="AH2220" i="2"/>
  <c r="AD2220" i="2"/>
  <c r="AF2220" i="2" s="1"/>
  <c r="X2220" i="2"/>
  <c r="W2220" i="2"/>
  <c r="AH2219" i="2"/>
  <c r="AD2219" i="2"/>
  <c r="X2219" i="2"/>
  <c r="W2219" i="2"/>
  <c r="AH2218" i="2"/>
  <c r="AD2218" i="2"/>
  <c r="AF2218" i="2" s="1"/>
  <c r="X2218" i="2"/>
  <c r="W2218" i="2"/>
  <c r="AH2217" i="2"/>
  <c r="AD2217" i="2"/>
  <c r="X2217" i="2"/>
  <c r="AB2217" i="2" s="1"/>
  <c r="AK2217" i="2" s="1"/>
  <c r="W2217" i="2"/>
  <c r="AH2216" i="2"/>
  <c r="AD2216" i="2"/>
  <c r="AF2216" i="2" s="1"/>
  <c r="X2216" i="2"/>
  <c r="W2216" i="2"/>
  <c r="AH2215" i="2"/>
  <c r="AD2215" i="2"/>
  <c r="AF2215" i="2" s="1"/>
  <c r="X2215" i="2"/>
  <c r="W2215" i="2"/>
  <c r="AH2214" i="2"/>
  <c r="AD2214" i="2"/>
  <c r="AF2214" i="2" s="1"/>
  <c r="X2214" i="2"/>
  <c r="W2214" i="2"/>
  <c r="AH2213" i="2"/>
  <c r="AD2213" i="2"/>
  <c r="X2213" i="2"/>
  <c r="W2213" i="2"/>
  <c r="AH2212" i="2"/>
  <c r="AD2212" i="2"/>
  <c r="AF2212" i="2" s="1"/>
  <c r="X2212" i="2"/>
  <c r="W2212" i="2"/>
  <c r="AH2211" i="2"/>
  <c r="AD2211" i="2"/>
  <c r="X2211" i="2"/>
  <c r="W2211" i="2"/>
  <c r="AH2210" i="2"/>
  <c r="AD2210" i="2"/>
  <c r="AF2210" i="2" s="1"/>
  <c r="X2210" i="2"/>
  <c r="AB2210" i="2" s="1"/>
  <c r="AK2210" i="2" s="1"/>
  <c r="W2210" i="2"/>
  <c r="AH2209" i="2"/>
  <c r="AD2209" i="2"/>
  <c r="AF2209" i="2" s="1"/>
  <c r="X2209" i="2"/>
  <c r="Y2209" i="2" s="1"/>
  <c r="W2209" i="2"/>
  <c r="AH2208" i="2"/>
  <c r="AD2208" i="2"/>
  <c r="AF2208" i="2" s="1"/>
  <c r="X2208" i="2"/>
  <c r="W2208" i="2"/>
  <c r="AH2207" i="2"/>
  <c r="AD2207" i="2"/>
  <c r="X2207" i="2"/>
  <c r="W2207" i="2"/>
  <c r="AH2206" i="2"/>
  <c r="AD2206" i="2"/>
  <c r="AF2206" i="2" s="1"/>
  <c r="X2206" i="2"/>
  <c r="AB2206" i="2" s="1"/>
  <c r="AK2206" i="2" s="1"/>
  <c r="W2206" i="2"/>
  <c r="AH2205" i="2"/>
  <c r="AD2205" i="2"/>
  <c r="X2205" i="2"/>
  <c r="W2205" i="2"/>
  <c r="AH2204" i="2"/>
  <c r="AD2204" i="2"/>
  <c r="AF2204" i="2" s="1"/>
  <c r="X2204" i="2"/>
  <c r="W2204" i="2"/>
  <c r="AH2203" i="2"/>
  <c r="AD2203" i="2"/>
  <c r="X2203" i="2"/>
  <c r="AC2203" i="2" s="1"/>
  <c r="W2203" i="2"/>
  <c r="AH2202" i="2"/>
  <c r="AD2202" i="2"/>
  <c r="AF2202" i="2" s="1"/>
  <c r="X2202" i="2"/>
  <c r="AB2202" i="2" s="1"/>
  <c r="AK2202" i="2" s="1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W2199" i="2"/>
  <c r="AH2198" i="2"/>
  <c r="AD2198" i="2"/>
  <c r="AF2198" i="2" s="1"/>
  <c r="X2198" i="2"/>
  <c r="W2198" i="2"/>
  <c r="AH2197" i="2"/>
  <c r="AD2197" i="2"/>
  <c r="X2197" i="2"/>
  <c r="W2197" i="2"/>
  <c r="AH2196" i="2"/>
  <c r="AD2196" i="2"/>
  <c r="AF2196" i="2" s="1"/>
  <c r="X2196" i="2"/>
  <c r="W2196" i="2"/>
  <c r="AH2195" i="2"/>
  <c r="AD2195" i="2"/>
  <c r="X2195" i="2"/>
  <c r="W2195" i="2"/>
  <c r="AH2194" i="2"/>
  <c r="AD2194" i="2"/>
  <c r="AF2194" i="2" s="1"/>
  <c r="X2194" i="2"/>
  <c r="W2194" i="2"/>
  <c r="AH2193" i="2"/>
  <c r="AD2193" i="2"/>
  <c r="X2193" i="2"/>
  <c r="AK2193" i="2" s="1"/>
  <c r="W2193" i="2"/>
  <c r="AH2192" i="2"/>
  <c r="AD2192" i="2"/>
  <c r="AF2192" i="2" s="1"/>
  <c r="X2192" i="2"/>
  <c r="W2192" i="2"/>
  <c r="AH2191" i="2"/>
  <c r="AD2191" i="2"/>
  <c r="X2191" i="2"/>
  <c r="W2191" i="2"/>
  <c r="AH2190" i="2"/>
  <c r="AD2190" i="2"/>
  <c r="AF2190" i="2" s="1"/>
  <c r="X2190" i="2"/>
  <c r="AB2190" i="2" s="1"/>
  <c r="AK2190" i="2" s="1"/>
  <c r="W2190" i="2"/>
  <c r="AH2189" i="2"/>
  <c r="AD2189" i="2"/>
  <c r="AF2189" i="2" s="1"/>
  <c r="X2189" i="2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X2185" i="2"/>
  <c r="W2185" i="2"/>
  <c r="AH2184" i="2"/>
  <c r="AD2184" i="2"/>
  <c r="AF2184" i="2" s="1"/>
  <c r="X2184" i="2"/>
  <c r="AB2184" i="2" s="1"/>
  <c r="AK2184" i="2" s="1"/>
  <c r="W2184" i="2"/>
  <c r="AH2183" i="2"/>
  <c r="AD2183" i="2"/>
  <c r="X2183" i="2"/>
  <c r="W2183" i="2"/>
  <c r="AH2182" i="2"/>
  <c r="AD2182" i="2"/>
  <c r="AF2182" i="2" s="1"/>
  <c r="X2182" i="2"/>
  <c r="W2182" i="2"/>
  <c r="AH2181" i="2"/>
  <c r="AD2181" i="2"/>
  <c r="X2181" i="2"/>
  <c r="W2181" i="2"/>
  <c r="AH2180" i="2"/>
  <c r="AD2180" i="2"/>
  <c r="AF2180" i="2" s="1"/>
  <c r="X2180" i="2"/>
  <c r="AB2180" i="2" s="1"/>
  <c r="AK2180" i="2" s="1"/>
  <c r="W2180" i="2"/>
  <c r="AH2179" i="2"/>
  <c r="AD2179" i="2"/>
  <c r="AF2179" i="2" s="1"/>
  <c r="X2179" i="2"/>
  <c r="AB2179" i="2" s="1"/>
  <c r="AK2179" i="2" s="1"/>
  <c r="W2179" i="2"/>
  <c r="AH2178" i="2"/>
  <c r="AD2178" i="2"/>
  <c r="AF2178" i="2" s="1"/>
  <c r="X2178" i="2"/>
  <c r="AB2178" i="2" s="1"/>
  <c r="AK2178" i="2" s="1"/>
  <c r="W2178" i="2"/>
  <c r="AH2177" i="2"/>
  <c r="AD2177" i="2"/>
  <c r="X2177" i="2"/>
  <c r="W2177" i="2"/>
  <c r="AH2176" i="2"/>
  <c r="AD2176" i="2"/>
  <c r="X2176" i="2"/>
  <c r="AB2176" i="2" s="1"/>
  <c r="AK2176" i="2" s="1"/>
  <c r="W2176" i="2"/>
  <c r="AH2175" i="2"/>
  <c r="AD2175" i="2"/>
  <c r="AF2175" i="2" s="1"/>
  <c r="X2175" i="2"/>
  <c r="W2175" i="2"/>
  <c r="AH2174" i="2"/>
  <c r="AD2174" i="2"/>
  <c r="AF2174" i="2" s="1"/>
  <c r="X2174" i="2"/>
  <c r="W2174" i="2"/>
  <c r="AH2173" i="2"/>
  <c r="AF2173" i="2"/>
  <c r="X2173" i="2"/>
  <c r="Y2173" i="2" s="1"/>
  <c r="W2173" i="2"/>
  <c r="AH2172" i="2"/>
  <c r="AD2172" i="2"/>
  <c r="AF2172" i="2" s="1"/>
  <c r="X2172" i="2"/>
  <c r="AB2172" i="2" s="1"/>
  <c r="AK2172" i="2" s="1"/>
  <c r="W2172" i="2"/>
  <c r="AH2171" i="2"/>
  <c r="AD2171" i="2"/>
  <c r="X2171" i="2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X2168" i="2"/>
  <c r="AK2168" i="2" s="1"/>
  <c r="W2168" i="2"/>
  <c r="AH2167" i="2"/>
  <c r="AD2167" i="2"/>
  <c r="X2167" i="2"/>
  <c r="AK2167" i="2" s="1"/>
  <c r="W2167" i="2"/>
  <c r="AH2166" i="2"/>
  <c r="AD2166" i="2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C2164" i="2" s="1"/>
  <c r="W2164" i="2"/>
  <c r="AH2163" i="2"/>
  <c r="AD2163" i="2"/>
  <c r="X2163" i="2"/>
  <c r="W2163" i="2"/>
  <c r="AH2162" i="2"/>
  <c r="AD2162" i="2"/>
  <c r="AF2162" i="2" s="1"/>
  <c r="X2162" i="2"/>
  <c r="W2162" i="2"/>
  <c r="AH2161" i="2"/>
  <c r="AD2161" i="2"/>
  <c r="X2161" i="2"/>
  <c r="AB2161" i="2" s="1"/>
  <c r="AK2161" i="2" s="1"/>
  <c r="W2161" i="2"/>
  <c r="AH2160" i="2"/>
  <c r="AD2160" i="2"/>
  <c r="AF2160" i="2" s="1"/>
  <c r="X2160" i="2"/>
  <c r="W2160" i="2"/>
  <c r="AH2159" i="2"/>
  <c r="AD2159" i="2"/>
  <c r="AF2159" i="2" s="1"/>
  <c r="X2159" i="2"/>
  <c r="Y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X2156" i="2"/>
  <c r="AB2156" i="2" s="1"/>
  <c r="AK2156" i="2" s="1"/>
  <c r="W2156" i="2"/>
  <c r="AH2155" i="2"/>
  <c r="AD2155" i="2"/>
  <c r="X2155" i="2"/>
  <c r="AB2155" i="2" s="1"/>
  <c r="AK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AB2152" i="2" s="1"/>
  <c r="AK2152" i="2" s="1"/>
  <c r="W2152" i="2"/>
  <c r="AH2151" i="2"/>
  <c r="AD2151" i="2"/>
  <c r="X2151" i="2"/>
  <c r="AB2151" i="2" s="1"/>
  <c r="AK2151" i="2" s="1"/>
  <c r="W2151" i="2"/>
  <c r="AH2150" i="2"/>
  <c r="AD2150" i="2"/>
  <c r="AF2150" i="2" s="1"/>
  <c r="X2150" i="2"/>
  <c r="W2150" i="2"/>
  <c r="AH2149" i="2"/>
  <c r="AD2149" i="2"/>
  <c r="X2149" i="2"/>
  <c r="AB2149" i="2" s="1"/>
  <c r="AK2149" i="2" s="1"/>
  <c r="W2149" i="2"/>
  <c r="AH2148" i="2"/>
  <c r="AD2148" i="2"/>
  <c r="X2148" i="2"/>
  <c r="AB2148" i="2" s="1"/>
  <c r="AK2148" i="2" s="1"/>
  <c r="W2148" i="2"/>
  <c r="AH2147" i="2"/>
  <c r="AD2147" i="2"/>
  <c r="X2147" i="2"/>
  <c r="AC2147" i="2" s="1"/>
  <c r="W2147" i="2"/>
  <c r="AH2146" i="2"/>
  <c r="AD2146" i="2"/>
  <c r="X2146" i="2"/>
  <c r="AB2146" i="2" s="1"/>
  <c r="AK2146" i="2" s="1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W2143" i="2"/>
  <c r="AH2142" i="2"/>
  <c r="AD2142" i="2"/>
  <c r="AF2142" i="2" s="1"/>
  <c r="X2142" i="2"/>
  <c r="AB2142" i="2" s="1"/>
  <c r="AK2142" i="2" s="1"/>
  <c r="W2142" i="2"/>
  <c r="AH2141" i="2"/>
  <c r="AD2141" i="2"/>
  <c r="X2141" i="2"/>
  <c r="W2141" i="2"/>
  <c r="AH2140" i="2"/>
  <c r="AD2140" i="2"/>
  <c r="X2140" i="2"/>
  <c r="AB2140" i="2" s="1"/>
  <c r="AK2140" i="2" s="1"/>
  <c r="W2140" i="2"/>
  <c r="AH2139" i="2"/>
  <c r="AD2139" i="2"/>
  <c r="X2139" i="2"/>
  <c r="AC2139" i="2" s="1"/>
  <c r="W2139" i="2"/>
  <c r="AH2138" i="2"/>
  <c r="AD2138" i="2"/>
  <c r="X2138" i="2"/>
  <c r="AB2138" i="2" s="1"/>
  <c r="AK2138" i="2" s="1"/>
  <c r="W2138" i="2"/>
  <c r="AH2137" i="2"/>
  <c r="AD2137" i="2"/>
  <c r="AF2137" i="2" s="1"/>
  <c r="X2137" i="2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Y2135" i="2" s="1"/>
  <c r="W2135" i="2"/>
  <c r="AH2134" i="2"/>
  <c r="AD2134" i="2"/>
  <c r="AF2134" i="2" s="1"/>
  <c r="X2134" i="2"/>
  <c r="AB2134" i="2" s="1"/>
  <c r="AK2134" i="2" s="1"/>
  <c r="W2134" i="2"/>
  <c r="AH2133" i="2"/>
  <c r="AD2133" i="2"/>
  <c r="X2133" i="2"/>
  <c r="W2133" i="2"/>
  <c r="AH2132" i="2"/>
  <c r="AD2132" i="2"/>
  <c r="X2132" i="2"/>
  <c r="AB2132" i="2" s="1"/>
  <c r="AK2132" i="2" s="1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AB2130" i="2" s="1"/>
  <c r="AK2130" i="2" s="1"/>
  <c r="W2130" i="2"/>
  <c r="AH2129" i="2"/>
  <c r="AD2129" i="2"/>
  <c r="X2129" i="2"/>
  <c r="Y2129" i="2" s="1"/>
  <c r="W2129" i="2"/>
  <c r="AH2128" i="2"/>
  <c r="AD2128" i="2"/>
  <c r="X2128" i="2"/>
  <c r="AB2128" i="2" s="1"/>
  <c r="AK2128" i="2" s="1"/>
  <c r="W2128" i="2"/>
  <c r="AH2127" i="2"/>
  <c r="AD2127" i="2"/>
  <c r="X2127" i="2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AC2123" i="2" s="1"/>
  <c r="W2123" i="2"/>
  <c r="AH2122" i="2"/>
  <c r="AD2122" i="2"/>
  <c r="AF2122" i="2" s="1"/>
  <c r="X2122" i="2"/>
  <c r="AB2122" i="2" s="1"/>
  <c r="AK2122" i="2" s="1"/>
  <c r="W2122" i="2"/>
  <c r="AH2121" i="2"/>
  <c r="AD2121" i="2"/>
  <c r="X2121" i="2"/>
  <c r="W2121" i="2"/>
  <c r="AH2120" i="2"/>
  <c r="AD2120" i="2"/>
  <c r="X2120" i="2"/>
  <c r="W2120" i="2"/>
  <c r="AH2119" i="2"/>
  <c r="AD2119" i="2"/>
  <c r="X2119" i="2"/>
  <c r="W2119" i="2"/>
  <c r="AH2118" i="2"/>
  <c r="AD2118" i="2"/>
  <c r="AF2118" i="2" s="1"/>
  <c r="X2118" i="2"/>
  <c r="AB2118" i="2" s="1"/>
  <c r="AK2118" i="2" s="1"/>
  <c r="W2118" i="2"/>
  <c r="AH2117" i="2"/>
  <c r="AD2117" i="2"/>
  <c r="X2117" i="2"/>
  <c r="W2117" i="2"/>
  <c r="AH2116" i="2"/>
  <c r="AD2116" i="2"/>
  <c r="AF2116" i="2" s="1"/>
  <c r="X2116" i="2"/>
  <c r="AB2116" i="2" s="1"/>
  <c r="AK2116" i="2" s="1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/>
  <c r="AH2113" i="2"/>
  <c r="AD2113" i="2"/>
  <c r="AF2113" i="2" s="1"/>
  <c r="X2113" i="2"/>
  <c r="AC2113" i="2" s="1"/>
  <c r="W2113" i="2"/>
  <c r="AH2112" i="2"/>
  <c r="AD2112" i="2"/>
  <c r="AF2112" i="2" s="1"/>
  <c r="X2112" i="2"/>
  <c r="W2112" i="2"/>
  <c r="AH2111" i="2"/>
  <c r="AD2111" i="2"/>
  <c r="X2111" i="2"/>
  <c r="AC2111" i="2" s="1"/>
  <c r="W2111" i="2"/>
  <c r="AH2110" i="2"/>
  <c r="AD2110" i="2"/>
  <c r="AF2110" i="2" s="1"/>
  <c r="X2110" i="2"/>
  <c r="W2110" i="2"/>
  <c r="AH2109" i="2"/>
  <c r="AD2109" i="2"/>
  <c r="AF2109" i="2" s="1"/>
  <c r="X2109" i="2"/>
  <c r="AC2109" i="2" s="1"/>
  <c r="W2109" i="2"/>
  <c r="AH2108" i="2"/>
  <c r="AD2108" i="2"/>
  <c r="AF2108" i="2" s="1"/>
  <c r="X2108" i="2"/>
  <c r="W2108" i="2"/>
  <c r="AH2107" i="2"/>
  <c r="AD2107" i="2"/>
  <c r="X2107" i="2"/>
  <c r="AC2107" i="2" s="1"/>
  <c r="W2107" i="2"/>
  <c r="AH2106" i="2"/>
  <c r="AD2106" i="2"/>
  <c r="AF2106" i="2" s="1"/>
  <c r="X2106" i="2"/>
  <c r="W2106" i="2"/>
  <c r="AH2105" i="2"/>
  <c r="AD2105" i="2"/>
  <c r="AF2105" i="2" s="1"/>
  <c r="X2105" i="2"/>
  <c r="AC2105" i="2" s="1"/>
  <c r="W2105" i="2"/>
  <c r="AH2104" i="2"/>
  <c r="AD2104" i="2"/>
  <c r="AF2104" i="2" s="1"/>
  <c r="X2104" i="2"/>
  <c r="AB2104" i="2" s="1"/>
  <c r="AK2104" i="2" s="1"/>
  <c r="W2104" i="2"/>
  <c r="AH2103" i="2"/>
  <c r="AD2103" i="2"/>
  <c r="X2103" i="2"/>
  <c r="AC2103" i="2" s="1"/>
  <c r="W2103" i="2"/>
  <c r="AH2102" i="2"/>
  <c r="AD2102" i="2"/>
  <c r="AF2102" i="2" s="1"/>
  <c r="X2102" i="2"/>
  <c r="AB2102" i="2" s="1"/>
  <c r="AK2102" i="2" s="1"/>
  <c r="W2102" i="2"/>
  <c r="AH2101" i="2"/>
  <c r="AD2101" i="2"/>
  <c r="AF2101" i="2" s="1"/>
  <c r="X2101" i="2"/>
  <c r="AC2101" i="2" s="1"/>
  <c r="W2101" i="2"/>
  <c r="AH2100" i="2"/>
  <c r="AD2100" i="2"/>
  <c r="AF2100" i="2" s="1"/>
  <c r="X2100" i="2"/>
  <c r="AB2100" i="2" s="1"/>
  <c r="AK2100" i="2" s="1"/>
  <c r="W2100" i="2"/>
  <c r="AH2099" i="2"/>
  <c r="AD2099" i="2"/>
  <c r="X2099" i="2"/>
  <c r="AC2099" i="2" s="1"/>
  <c r="W2099" i="2"/>
  <c r="AH2098" i="2"/>
  <c r="AD2098" i="2"/>
  <c r="AF2098" i="2" s="1"/>
  <c r="X2098" i="2"/>
  <c r="AB2098" i="2" s="1"/>
  <c r="AK2098" i="2" s="1"/>
  <c r="W2098" i="2"/>
  <c r="AH2097" i="2"/>
  <c r="AD2097" i="2"/>
  <c r="AF2097" i="2" s="1"/>
  <c r="X2097" i="2"/>
  <c r="W2097" i="2"/>
  <c r="AH2096" i="2"/>
  <c r="AD2096" i="2"/>
  <c r="AF2096" i="2" s="1"/>
  <c r="X2096" i="2"/>
  <c r="AC2096" i="2" s="1"/>
  <c r="W2096" i="2"/>
  <c r="AH2095" i="2"/>
  <c r="AD2095" i="2"/>
  <c r="X2095" i="2"/>
  <c r="AA2095" i="2" s="1"/>
  <c r="W2095" i="2"/>
  <c r="AH2094" i="2"/>
  <c r="AD2094" i="2"/>
  <c r="AF2094" i="2" s="1"/>
  <c r="X2094" i="2"/>
  <c r="AB2094" i="2" s="1"/>
  <c r="AK2094" i="2" s="1"/>
  <c r="W2094" i="2"/>
  <c r="AH2093" i="2"/>
  <c r="AD2093" i="2"/>
  <c r="AF2093" i="2" s="1"/>
  <c r="X2093" i="2"/>
  <c r="AC2093" i="2" s="1"/>
  <c r="W2093" i="2"/>
  <c r="AH2092" i="2"/>
  <c r="AD2092" i="2"/>
  <c r="AF2092" i="2" s="1"/>
  <c r="X2092" i="2"/>
  <c r="W2092" i="2"/>
  <c r="AH2091" i="2"/>
  <c r="AD2091" i="2"/>
  <c r="X2091" i="2"/>
  <c r="W2091" i="2"/>
  <c r="AH2090" i="2"/>
  <c r="AD2090" i="2"/>
  <c r="AF2090" i="2" s="1"/>
  <c r="X2090" i="2"/>
  <c r="AB2090" i="2" s="1"/>
  <c r="AK2090" i="2" s="1"/>
  <c r="W2090" i="2"/>
  <c r="AH2089" i="2"/>
  <c r="AD2089" i="2"/>
  <c r="AF2089" i="2" s="1"/>
  <c r="X2089" i="2"/>
  <c r="AC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X2087" i="2"/>
  <c r="AC2087" i="2" s="1"/>
  <c r="W2087" i="2"/>
  <c r="AH2086" i="2"/>
  <c r="AD2086" i="2"/>
  <c r="AF2086" i="2" s="1"/>
  <c r="X2086" i="2"/>
  <c r="W2086" i="2"/>
  <c r="AH2085" i="2"/>
  <c r="AD2085" i="2"/>
  <c r="AF2085" i="2" s="1"/>
  <c r="X2085" i="2"/>
  <c r="AC2085" i="2" s="1"/>
  <c r="W2085" i="2"/>
  <c r="AH2084" i="2"/>
  <c r="AD2084" i="2"/>
  <c r="AF2084" i="2" s="1"/>
  <c r="X2084" i="2"/>
  <c r="AB2084" i="2" s="1"/>
  <c r="AK2084" i="2" s="1"/>
  <c r="W2084" i="2"/>
  <c r="AH2083" i="2"/>
  <c r="AD2083" i="2"/>
  <c r="X2083" i="2"/>
  <c r="AC2083" i="2" s="1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AC2080" i="2" s="1"/>
  <c r="W2080" i="2"/>
  <c r="AH2079" i="2"/>
  <c r="AD2079" i="2"/>
  <c r="X2079" i="2"/>
  <c r="W2079" i="2"/>
  <c r="AH2078" i="2"/>
  <c r="AD2078" i="2"/>
  <c r="AF2078" i="2" s="1"/>
  <c r="X2078" i="2"/>
  <c r="AB2078" i="2" s="1"/>
  <c r="AK2078" i="2" s="1"/>
  <c r="W2078" i="2"/>
  <c r="AH2077" i="2"/>
  <c r="AD2077" i="2"/>
  <c r="AF2077" i="2" s="1"/>
  <c r="X2077" i="2"/>
  <c r="AC2077" i="2" s="1"/>
  <c r="W2077" i="2"/>
  <c r="AH2076" i="2"/>
  <c r="AF2076" i="2"/>
  <c r="X2076" i="2"/>
  <c r="Y2076" i="2" s="1"/>
  <c r="W2076" i="2"/>
  <c r="AH2075" i="2"/>
  <c r="AF2075" i="2"/>
  <c r="X2075" i="2"/>
  <c r="W2075" i="2"/>
  <c r="AH2074" i="2"/>
  <c r="AF2074" i="2"/>
  <c r="X2074" i="2"/>
  <c r="AB2074" i="2" s="1"/>
  <c r="AK2074" i="2" s="1"/>
  <c r="W2074" i="2"/>
  <c r="AH2073" i="2"/>
  <c r="AF2073" i="2"/>
  <c r="X2073" i="2"/>
  <c r="W2073" i="2"/>
  <c r="AH2072" i="2"/>
  <c r="AF2072" i="2"/>
  <c r="X2072" i="2"/>
  <c r="AB2072" i="2" s="1"/>
  <c r="AK2072" i="2" s="1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AB2067" i="2" s="1"/>
  <c r="AK2067" i="2" s="1"/>
  <c r="W2067" i="2"/>
  <c r="AH2066" i="2"/>
  <c r="AF2066" i="2"/>
  <c r="X2066" i="2"/>
  <c r="W2066" i="2"/>
  <c r="AH2065" i="2"/>
  <c r="AF2065" i="2"/>
  <c r="X2065" i="2"/>
  <c r="AC2065" i="2" s="1"/>
  <c r="W2065" i="2"/>
  <c r="AH2064" i="2"/>
  <c r="AF2064" i="2"/>
  <c r="X2064" i="2"/>
  <c r="W2064" i="2"/>
  <c r="AH2063" i="2"/>
  <c r="AF2063" i="2"/>
  <c r="X2063" i="2"/>
  <c r="AC2063" i="2" s="1"/>
  <c r="W2063" i="2"/>
  <c r="AH2062" i="2"/>
  <c r="AF2062" i="2"/>
  <c r="X2062" i="2"/>
  <c r="W2062" i="2"/>
  <c r="AH2061" i="2"/>
  <c r="AF2061" i="2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Y2056" i="2" s="1"/>
  <c r="W2056" i="2"/>
  <c r="AH2055" i="2"/>
  <c r="AD2055" i="2"/>
  <c r="AF2055" i="2" s="1"/>
  <c r="X2055" i="2"/>
  <c r="W2055" i="2"/>
  <c r="AH2054" i="2"/>
  <c r="AD2054" i="2"/>
  <c r="AF2054" i="2" s="1"/>
  <c r="X2054" i="2"/>
  <c r="Y2054" i="2" s="1"/>
  <c r="W2054" i="2"/>
  <c r="AH2053" i="2"/>
  <c r="AD2053" i="2"/>
  <c r="AF2053" i="2" s="1"/>
  <c r="X2053" i="2"/>
  <c r="W2053" i="2"/>
  <c r="AH2052" i="2"/>
  <c r="AD2052" i="2"/>
  <c r="X2052" i="2"/>
  <c r="W2052" i="2"/>
  <c r="AH2051" i="2"/>
  <c r="AD2051" i="2"/>
  <c r="X2051" i="2"/>
  <c r="W2051" i="2"/>
  <c r="AH2050" i="2"/>
  <c r="AD2050" i="2"/>
  <c r="X2050" i="2"/>
  <c r="AB2050" i="2" s="1"/>
  <c r="AK2050" i="2" s="1"/>
  <c r="W2050" i="2"/>
  <c r="AH2049" i="2"/>
  <c r="AD2049" i="2"/>
  <c r="AF2049" i="2" s="1"/>
  <c r="X2049" i="2"/>
  <c r="W2049" i="2"/>
  <c r="AH2048" i="2"/>
  <c r="AD2048" i="2"/>
  <c r="AF2048" i="2" s="1"/>
  <c r="X2048" i="2"/>
  <c r="AC2048" i="2" s="1"/>
  <c r="W2048" i="2"/>
  <c r="AH2047" i="2"/>
  <c r="AD2047" i="2"/>
  <c r="AF2047" i="2" s="1"/>
  <c r="X2047" i="2"/>
  <c r="W2047" i="2"/>
  <c r="AH2046" i="2"/>
  <c r="AD2046" i="2"/>
  <c r="X2046" i="2"/>
  <c r="AB2046" i="2" s="1"/>
  <c r="AK2046" i="2" s="1"/>
  <c r="W2046" i="2"/>
  <c r="AH2045" i="2"/>
  <c r="AD2045" i="2"/>
  <c r="X2045" i="2"/>
  <c r="W2045" i="2"/>
  <c r="AH2044" i="2"/>
  <c r="AD2044" i="2"/>
  <c r="AF2044" i="2" s="1"/>
  <c r="X2044" i="2"/>
  <c r="Y2044" i="2" s="1"/>
  <c r="W2044" i="2"/>
  <c r="AH2043" i="2"/>
  <c r="AD2043" i="2"/>
  <c r="AF2043" i="2" s="1"/>
  <c r="X2043" i="2"/>
  <c r="W2043" i="2"/>
  <c r="AH2042" i="2"/>
  <c r="AD2042" i="2"/>
  <c r="X2042" i="2"/>
  <c r="W2042" i="2"/>
  <c r="AH2041" i="2"/>
  <c r="AD2041" i="2"/>
  <c r="Y2041" i="2" s="1"/>
  <c r="X2041" i="2"/>
  <c r="W2041" i="2"/>
  <c r="AH2040" i="2"/>
  <c r="AD2040" i="2"/>
  <c r="AF2040" i="2" s="1"/>
  <c r="X2040" i="2"/>
  <c r="Y2040" i="2" s="1"/>
  <c r="W2040" i="2"/>
  <c r="AH2039" i="2"/>
  <c r="AD2039" i="2"/>
  <c r="Y2039" i="2" s="1"/>
  <c r="X2039" i="2"/>
  <c r="W2039" i="2"/>
  <c r="AH2038" i="2"/>
  <c r="AD2038" i="2"/>
  <c r="X2038" i="2"/>
  <c r="W2038" i="2"/>
  <c r="AH2037" i="2"/>
  <c r="AD2037" i="2"/>
  <c r="Y2037" i="2" s="1"/>
  <c r="X2037" i="2"/>
  <c r="W2037" i="2"/>
  <c r="AH2036" i="2"/>
  <c r="AD2036" i="2"/>
  <c r="AF2036" i="2" s="1"/>
  <c r="X2036" i="2"/>
  <c r="AA2036" i="2" s="1"/>
  <c r="AB2036" i="2" s="1"/>
  <c r="AK2036" i="2" s="1"/>
  <c r="W2036" i="2"/>
  <c r="AH2035" i="2"/>
  <c r="AD2035" i="2"/>
  <c r="X2035" i="2"/>
  <c r="W2035" i="2"/>
  <c r="AH2034" i="2"/>
  <c r="AD2034" i="2"/>
  <c r="AF2034" i="2" s="1"/>
  <c r="X2034" i="2"/>
  <c r="AC2034" i="2" s="1"/>
  <c r="W2034" i="2"/>
  <c r="AH2033" i="2"/>
  <c r="AD2033" i="2"/>
  <c r="Y2033" i="2" s="1"/>
  <c r="X2033" i="2"/>
  <c r="W2033" i="2"/>
  <c r="AH2032" i="2"/>
  <c r="AD2032" i="2"/>
  <c r="AF2032" i="2" s="1"/>
  <c r="X2032" i="2"/>
  <c r="AC2032" i="2" s="1"/>
  <c r="W2032" i="2"/>
  <c r="AH2031" i="2"/>
  <c r="AD2031" i="2"/>
  <c r="X2031" i="2"/>
  <c r="W2031" i="2"/>
  <c r="AH2030" i="2"/>
  <c r="AD2030" i="2"/>
  <c r="X2030" i="2"/>
  <c r="W2030" i="2"/>
  <c r="AH2029" i="2"/>
  <c r="AD2029" i="2"/>
  <c r="AF2029" i="2" s="1"/>
  <c r="X2029" i="2"/>
  <c r="W2029" i="2"/>
  <c r="AH2028" i="2"/>
  <c r="AD2028" i="2"/>
  <c r="X2028" i="2"/>
  <c r="AB2028" i="2" s="1"/>
  <c r="AK2028" i="2" s="1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AB2024" i="2" s="1"/>
  <c r="AK2024" i="2" s="1"/>
  <c r="W2024" i="2"/>
  <c r="AH2023" i="2"/>
  <c r="AD2023" i="2"/>
  <c r="AF2023" i="2" s="1"/>
  <c r="X2023" i="2"/>
  <c r="W2023" i="2"/>
  <c r="AH2022" i="2"/>
  <c r="AD2022" i="2"/>
  <c r="X2022" i="2"/>
  <c r="AB2022" i="2" s="1"/>
  <c r="AK2022" i="2" s="1"/>
  <c r="W2022" i="2"/>
  <c r="AH2021" i="2"/>
  <c r="AD2021" i="2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AC2018" i="2" s="1"/>
  <c r="W2018" i="2"/>
  <c r="AH2017" i="2"/>
  <c r="AD2017" i="2"/>
  <c r="AF2017" i="2" s="1"/>
  <c r="X2017" i="2"/>
  <c r="W2017" i="2"/>
  <c r="AH2016" i="2"/>
  <c r="AD2016" i="2"/>
  <c r="X2016" i="2"/>
  <c r="AB2016" i="2" s="1"/>
  <c r="AK2016" i="2" s="1"/>
  <c r="W2016" i="2"/>
  <c r="AH2015" i="2"/>
  <c r="AD2015" i="2"/>
  <c r="AF2015" i="2" s="1"/>
  <c r="X2015" i="2"/>
  <c r="W2015" i="2"/>
  <c r="AH2014" i="2"/>
  <c r="AD2014" i="2"/>
  <c r="X2014" i="2"/>
  <c r="W2014" i="2"/>
  <c r="AH2013" i="2"/>
  <c r="AD2013" i="2"/>
  <c r="AF2013" i="2" s="1"/>
  <c r="X2013" i="2"/>
  <c r="W2013" i="2"/>
  <c r="AH2012" i="2"/>
  <c r="AD2012" i="2"/>
  <c r="X2012" i="2"/>
  <c r="W2012" i="2"/>
  <c r="AH2011" i="2"/>
  <c r="AD2011" i="2"/>
  <c r="AF2011" i="2" s="1"/>
  <c r="X2011" i="2"/>
  <c r="W2011" i="2"/>
  <c r="AH2010" i="2"/>
  <c r="AD2010" i="2"/>
  <c r="X2010" i="2"/>
  <c r="W2010" i="2"/>
  <c r="AH2009" i="2"/>
  <c r="AD2009" i="2"/>
  <c r="AF2009" i="2" s="1"/>
  <c r="X2009" i="2"/>
  <c r="W2009" i="2"/>
  <c r="AH2008" i="2"/>
  <c r="AD2008" i="2"/>
  <c r="X2008" i="2"/>
  <c r="AB2008" i="2" s="1"/>
  <c r="AK2008" i="2" s="1"/>
  <c r="W2008" i="2"/>
  <c r="AH2007" i="2"/>
  <c r="AD2007" i="2"/>
  <c r="X2007" i="2"/>
  <c r="W2007" i="2"/>
  <c r="AH2006" i="2"/>
  <c r="AD2006" i="2"/>
  <c r="AF2006" i="2" s="1"/>
  <c r="X2006" i="2"/>
  <c r="AB2006" i="2" s="1"/>
  <c r="AK2006" i="2" s="1"/>
  <c r="W2006" i="2"/>
  <c r="AH2005" i="2"/>
  <c r="AD2005" i="2"/>
  <c r="X2005" i="2"/>
  <c r="W2005" i="2"/>
  <c r="AH2004" i="2"/>
  <c r="AD2004" i="2"/>
  <c r="X2004" i="2"/>
  <c r="W2004" i="2"/>
  <c r="AH2003" i="2"/>
  <c r="AD2003" i="2"/>
  <c r="AF2003" i="2" s="1"/>
  <c r="X2003" i="2"/>
  <c r="W2003" i="2"/>
  <c r="AH2002" i="2"/>
  <c r="AD2002" i="2"/>
  <c r="X2002" i="2"/>
  <c r="AB2002" i="2" s="1"/>
  <c r="AK2002" i="2" s="1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X1998" i="2"/>
  <c r="W1998" i="2"/>
  <c r="AH1997" i="2"/>
  <c r="AD1997" i="2"/>
  <c r="AF1997" i="2" s="1"/>
  <c r="X1997" i="2"/>
  <c r="W1997" i="2"/>
  <c r="AH1996" i="2"/>
  <c r="AD1996" i="2"/>
  <c r="X1996" i="2"/>
  <c r="AB1996" i="2" s="1"/>
  <c r="AK1996" i="2" s="1"/>
  <c r="W1996" i="2"/>
  <c r="AH1995" i="2"/>
  <c r="AD1995" i="2"/>
  <c r="X1995" i="2"/>
  <c r="W1995" i="2"/>
  <c r="AH1994" i="2"/>
  <c r="AD1994" i="2"/>
  <c r="X1994" i="2"/>
  <c r="AB1994" i="2" s="1"/>
  <c r="AK1994" i="2" s="1"/>
  <c r="W1994" i="2"/>
  <c r="AH1993" i="2"/>
  <c r="AD1993" i="2"/>
  <c r="AF1993" i="2" s="1"/>
  <c r="X1993" i="2"/>
  <c r="W1993" i="2"/>
  <c r="AH1992" i="2"/>
  <c r="AD1992" i="2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AA1988" i="2" s="1"/>
  <c r="AB1988" i="2" s="1"/>
  <c r="AK1988" i="2" s="1"/>
  <c r="W1988" i="2"/>
  <c r="AH1987" i="2"/>
  <c r="AD1987" i="2"/>
  <c r="AF1987" i="2" s="1"/>
  <c r="X1987" i="2"/>
  <c r="W1987" i="2"/>
  <c r="AH1986" i="2"/>
  <c r="AD1986" i="2"/>
  <c r="X1986" i="2"/>
  <c r="AB1986" i="2" s="1"/>
  <c r="AK1986" i="2" s="1"/>
  <c r="W1986" i="2"/>
  <c r="AH1985" i="2"/>
  <c r="AD1985" i="2"/>
  <c r="AF1985" i="2" s="1"/>
  <c r="X1985" i="2"/>
  <c r="W1985" i="2"/>
  <c r="AH1984" i="2"/>
  <c r="AD1984" i="2"/>
  <c r="AF1984" i="2" s="1"/>
  <c r="X1984" i="2"/>
  <c r="AC1984" i="2" s="1"/>
  <c r="W1984" i="2"/>
  <c r="AH1983" i="2"/>
  <c r="AD1983" i="2"/>
  <c r="X1983" i="2"/>
  <c r="W1983" i="2"/>
  <c r="AH1982" i="2"/>
  <c r="AD1982" i="2"/>
  <c r="AF1982" i="2" s="1"/>
  <c r="X1982" i="2"/>
  <c r="AC1982" i="2" s="1"/>
  <c r="W1982" i="2"/>
  <c r="AH1981" i="2"/>
  <c r="AD1981" i="2"/>
  <c r="AF1981" i="2" s="1"/>
  <c r="X1981" i="2"/>
  <c r="W1981" i="2"/>
  <c r="AH1980" i="2"/>
  <c r="AD1980" i="2"/>
  <c r="AF1980" i="2" s="1"/>
  <c r="X1980" i="2"/>
  <c r="AB1980" i="2" s="1"/>
  <c r="AK1980" i="2" s="1"/>
  <c r="W1980" i="2"/>
  <c r="AH1979" i="2"/>
  <c r="AD1979" i="2"/>
  <c r="AF1979" i="2" s="1"/>
  <c r="X1979" i="2"/>
  <c r="W1979" i="2"/>
  <c r="AH1978" i="2"/>
  <c r="AD1978" i="2"/>
  <c r="AF1978" i="2" s="1"/>
  <c r="X1978" i="2"/>
  <c r="AC1978" i="2" s="1"/>
  <c r="W1978" i="2"/>
  <c r="AH1977" i="2"/>
  <c r="AD1977" i="2"/>
  <c r="AF1977" i="2" s="1"/>
  <c r="X1977" i="2"/>
  <c r="W1977" i="2"/>
  <c r="AH1976" i="2"/>
  <c r="AD1976" i="2"/>
  <c r="X1976" i="2"/>
  <c r="AB1976" i="2" s="1"/>
  <c r="AK1976" i="2" s="1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X1973" i="2"/>
  <c r="W1973" i="2"/>
  <c r="AH1972" i="2"/>
  <c r="AD1972" i="2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AA1970" i="2" s="1"/>
  <c r="AB1970" i="2" s="1"/>
  <c r="AK1970" i="2" s="1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X1967" i="2"/>
  <c r="W1967" i="2"/>
  <c r="AH1966" i="2"/>
  <c r="AD1966" i="2"/>
  <c r="X1966" i="2"/>
  <c r="AB1966" i="2" s="1"/>
  <c r="AK1966" i="2" s="1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X1962" i="2"/>
  <c r="AB1962" i="2" s="1"/>
  <c r="AK1962" i="2" s="1"/>
  <c r="W1962" i="2"/>
  <c r="AH1961" i="2"/>
  <c r="AD1961" i="2"/>
  <c r="AF1961" i="2" s="1"/>
  <c r="X1961" i="2"/>
  <c r="W1961" i="2"/>
  <c r="AH1960" i="2"/>
  <c r="AD1960" i="2"/>
  <c r="X1960" i="2"/>
  <c r="AB1960" i="2" s="1"/>
  <c r="AK1960" i="2" s="1"/>
  <c r="W1960" i="2"/>
  <c r="AH1959" i="2"/>
  <c r="AD1959" i="2"/>
  <c r="AF1959" i="2" s="1"/>
  <c r="X1959" i="2"/>
  <c r="W1959" i="2"/>
  <c r="AH1958" i="2"/>
  <c r="AD1958" i="2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AB1956" i="2" s="1"/>
  <c r="AK1956" i="2" s="1"/>
  <c r="W1956" i="2"/>
  <c r="AH1955" i="2"/>
  <c r="AD1955" i="2"/>
  <c r="AF1955" i="2" s="1"/>
  <c r="X1955" i="2"/>
  <c r="W1955" i="2"/>
  <c r="AH1954" i="2"/>
  <c r="AD1954" i="2"/>
  <c r="AF1954" i="2" s="1"/>
  <c r="X1954" i="2"/>
  <c r="Y1954" i="2" s="1"/>
  <c r="W1954" i="2"/>
  <c r="AH1953" i="2"/>
  <c r="AD1953" i="2"/>
  <c r="AF1953" i="2" s="1"/>
  <c r="X1953" i="2"/>
  <c r="W1953" i="2"/>
  <c r="AH1952" i="2"/>
  <c r="AF1952" i="2"/>
  <c r="X1952" i="2"/>
  <c r="Y1952" i="2" s="1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Y1946" i="2" s="1"/>
  <c r="W1946" i="2"/>
  <c r="AH1945" i="2"/>
  <c r="AF1945" i="2"/>
  <c r="X1945" i="2"/>
  <c r="W1945" i="2"/>
  <c r="AH1944" i="2"/>
  <c r="AF1944" i="2"/>
  <c r="X1944" i="2"/>
  <c r="Y1944" i="2" s="1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Y1940" i="2" s="1"/>
  <c r="W1940" i="2"/>
  <c r="AH1939" i="2"/>
  <c r="AF1939" i="2"/>
  <c r="X1939" i="2"/>
  <c r="W1939" i="2"/>
  <c r="AH1938" i="2"/>
  <c r="AF1938" i="2"/>
  <c r="X1938" i="2"/>
  <c r="Y1938" i="2" s="1"/>
  <c r="W1938" i="2"/>
  <c r="AH1937" i="2"/>
  <c r="AF1937" i="2"/>
  <c r="X1937" i="2"/>
  <c r="W1937" i="2"/>
  <c r="AH1936" i="2"/>
  <c r="AF1936" i="2"/>
  <c r="X1936" i="2"/>
  <c r="Y1936" i="2" s="1"/>
  <c r="W1936" i="2"/>
  <c r="AH1935" i="2"/>
  <c r="AF1935" i="2"/>
  <c r="X1935" i="2"/>
  <c r="W1935" i="2"/>
  <c r="AH1934" i="2"/>
  <c r="AF1934" i="2"/>
  <c r="X1934" i="2"/>
  <c r="AB1934" i="2" s="1"/>
  <c r="AK1934" i="2" s="1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Y1926" i="2" s="1"/>
  <c r="W1926" i="2"/>
  <c r="AH1925" i="2"/>
  <c r="AF1925" i="2"/>
  <c r="X1925" i="2"/>
  <c r="W1925" i="2"/>
  <c r="AH1924" i="2"/>
  <c r="AF1924" i="2"/>
  <c r="X1924" i="2"/>
  <c r="Y1924" i="2" s="1"/>
  <c r="W1924" i="2"/>
  <c r="AH1923" i="2"/>
  <c r="AF1923" i="2"/>
  <c r="X1923" i="2"/>
  <c r="W1923" i="2"/>
  <c r="AH1922" i="2"/>
  <c r="AF1922" i="2"/>
  <c r="X1922" i="2"/>
  <c r="AB1922" i="2" s="1"/>
  <c r="AK1922" i="2" s="1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AB1916" i="2" s="1"/>
  <c r="AK1916" i="2" s="1"/>
  <c r="W1916" i="2"/>
  <c r="AH1915" i="2"/>
  <c r="AF1915" i="2"/>
  <c r="X1915" i="2"/>
  <c r="W1915" i="2"/>
  <c r="AH1914" i="2"/>
  <c r="AF1914" i="2"/>
  <c r="X1914" i="2"/>
  <c r="AC1914" i="2" s="1"/>
  <c r="W1914" i="2"/>
  <c r="AH1913" i="2"/>
  <c r="AF1913" i="2"/>
  <c r="X1913" i="2"/>
  <c r="W1913" i="2"/>
  <c r="AH1912" i="2"/>
  <c r="AF1912" i="2"/>
  <c r="X1912" i="2"/>
  <c r="Y1912" i="2" s="1"/>
  <c r="W1912" i="2"/>
  <c r="AH1911" i="2"/>
  <c r="AF1911" i="2"/>
  <c r="X1911" i="2"/>
  <c r="W1911" i="2"/>
  <c r="AH1910" i="2"/>
  <c r="AF1910" i="2"/>
  <c r="X1910" i="2"/>
  <c r="AB1910" i="2" s="1"/>
  <c r="AK1910" i="2" s="1"/>
  <c r="W1910" i="2"/>
  <c r="AH1909" i="2"/>
  <c r="AF1909" i="2"/>
  <c r="X1909" i="2"/>
  <c r="W1909" i="2"/>
  <c r="AH1908" i="2"/>
  <c r="AF1908" i="2"/>
  <c r="X1908" i="2"/>
  <c r="Y1908" i="2" s="1"/>
  <c r="W1908" i="2"/>
  <c r="AH1907" i="2"/>
  <c r="AF1907" i="2"/>
  <c r="X1907" i="2"/>
  <c r="W1907" i="2"/>
  <c r="AH1906" i="2"/>
  <c r="AF1906" i="2"/>
  <c r="X1906" i="2"/>
  <c r="Y1906" i="2" s="1"/>
  <c r="W1906" i="2"/>
  <c r="AH1905" i="2"/>
  <c r="AF1905" i="2"/>
  <c r="X1905" i="2"/>
  <c r="W1905" i="2"/>
  <c r="AH1904" i="2"/>
  <c r="AF1904" i="2"/>
  <c r="X1904" i="2"/>
  <c r="Y1904" i="2" s="1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Y1896" i="2" s="1"/>
  <c r="W1896" i="2"/>
  <c r="AH1895" i="2"/>
  <c r="AF1895" i="2"/>
  <c r="X1895" i="2"/>
  <c r="W1895" i="2"/>
  <c r="AH1894" i="2"/>
  <c r="AF1894" i="2"/>
  <c r="X1894" i="2"/>
  <c r="AB1894" i="2" s="1"/>
  <c r="AK1894" i="2" s="1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AB1890" i="2" s="1"/>
  <c r="AK1890" i="2" s="1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AB1884" i="2" s="1"/>
  <c r="AK1884" i="2" s="1"/>
  <c r="W1884" i="2"/>
  <c r="AH1883" i="2"/>
  <c r="AF1883" i="2"/>
  <c r="X1883" i="2"/>
  <c r="W1883" i="2"/>
  <c r="AH1882" i="2"/>
  <c r="AF1882" i="2"/>
  <c r="X1882" i="2"/>
  <c r="AB1882" i="2" s="1"/>
  <c r="AK1882" i="2" s="1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AB1874" i="2" s="1"/>
  <c r="AK1874" i="2" s="1"/>
  <c r="W1874" i="2"/>
  <c r="AH1873" i="2"/>
  <c r="AF1873" i="2"/>
  <c r="X1873" i="2"/>
  <c r="W1873" i="2"/>
  <c r="AH1872" i="2"/>
  <c r="AF1872" i="2"/>
  <c r="X1872" i="2"/>
  <c r="Y1872" i="2" s="1"/>
  <c r="W1872" i="2"/>
  <c r="AH1871" i="2"/>
  <c r="AF1871" i="2"/>
  <c r="X1871" i="2"/>
  <c r="W1871" i="2"/>
  <c r="AH1870" i="2"/>
  <c r="AF1870" i="2"/>
  <c r="X1870" i="2"/>
  <c r="AB1870" i="2" s="1"/>
  <c r="AK1870" i="2" s="1"/>
  <c r="W1870" i="2"/>
  <c r="AH1869" i="2"/>
  <c r="AF1869" i="2"/>
  <c r="X1869" i="2"/>
  <c r="W1869" i="2"/>
  <c r="AH1868" i="2"/>
  <c r="AF1868" i="2"/>
  <c r="X1868" i="2"/>
  <c r="AB1868" i="2" s="1"/>
  <c r="AK1868" i="2" s="1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Y1864" i="2" s="1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AB1858" i="2" s="1"/>
  <c r="AK1858" i="2" s="1"/>
  <c r="W1858" i="2"/>
  <c r="AH1857" i="2"/>
  <c r="AF1857" i="2"/>
  <c r="X1857" i="2"/>
  <c r="W1857" i="2"/>
  <c r="AH1856" i="2"/>
  <c r="AF1856" i="2"/>
  <c r="X1856" i="2"/>
  <c r="Y1856" i="2" s="1"/>
  <c r="W1856" i="2"/>
  <c r="AH1855" i="2"/>
  <c r="AF1855" i="2"/>
  <c r="X1855" i="2"/>
  <c r="W1855" i="2"/>
  <c r="AH1854" i="2"/>
  <c r="AF1854" i="2"/>
  <c r="X1854" i="2"/>
  <c r="Y1854" i="2" s="1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AB1850" i="2" s="1"/>
  <c r="AK1850" i="2" s="1"/>
  <c r="W1850" i="2"/>
  <c r="AH1849" i="2"/>
  <c r="AF1849" i="2"/>
  <c r="X1849" i="2"/>
  <c r="W1849" i="2"/>
  <c r="AH1848" i="2"/>
  <c r="AF1848" i="2"/>
  <c r="X1848" i="2"/>
  <c r="Y1848" i="2" s="1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AB1844" i="2" s="1"/>
  <c r="AK1844" i="2" s="1"/>
  <c r="W1844" i="2"/>
  <c r="AH1843" i="2"/>
  <c r="AF1843" i="2"/>
  <c r="X1843" i="2"/>
  <c r="W1843" i="2"/>
  <c r="AH1842" i="2"/>
  <c r="AF1842" i="2"/>
  <c r="X1842" i="2"/>
  <c r="Y1842" i="2" s="1"/>
  <c r="W1842" i="2"/>
  <c r="AH1841" i="2"/>
  <c r="AF1841" i="2"/>
  <c r="X1841" i="2"/>
  <c r="W1841" i="2"/>
  <c r="AH1840" i="2"/>
  <c r="AF1840" i="2"/>
  <c r="X1840" i="2"/>
  <c r="Y1840" i="2" s="1"/>
  <c r="W1840" i="2"/>
  <c r="AH1839" i="2"/>
  <c r="AF1839" i="2"/>
  <c r="X1839" i="2"/>
  <c r="W1839" i="2"/>
  <c r="AH1838" i="2"/>
  <c r="AF1838" i="2"/>
  <c r="X1838" i="2"/>
  <c r="AB1838" i="2" s="1"/>
  <c r="AK1838" i="2" s="1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AB1832" i="2" s="1"/>
  <c r="AK1832" i="2" s="1"/>
  <c r="W1832" i="2"/>
  <c r="AH1831" i="2"/>
  <c r="AF1831" i="2"/>
  <c r="X1831" i="2"/>
  <c r="W1831" i="2"/>
  <c r="AH1830" i="2"/>
  <c r="AF1830" i="2"/>
  <c r="X1830" i="2"/>
  <c r="Y1830" i="2" s="1"/>
  <c r="W1830" i="2"/>
  <c r="AH1829" i="2"/>
  <c r="AF1829" i="2"/>
  <c r="X1829" i="2"/>
  <c r="W1829" i="2"/>
  <c r="AH1828" i="2"/>
  <c r="AF1828" i="2"/>
  <c r="X1828" i="2"/>
  <c r="AB1828" i="2" s="1"/>
  <c r="AK1828" i="2" s="1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AB1820" i="2" s="1"/>
  <c r="AK1820" i="2" s="1"/>
  <c r="W1820" i="2"/>
  <c r="AH1819" i="2"/>
  <c r="AF1819" i="2"/>
  <c r="X1819" i="2"/>
  <c r="W1819" i="2"/>
  <c r="AH1818" i="2"/>
  <c r="AF1818" i="2"/>
  <c r="X1818" i="2"/>
  <c r="AC1818" i="2" s="1"/>
  <c r="W1818" i="2"/>
  <c r="AH1817" i="2"/>
  <c r="AF1817" i="2"/>
  <c r="X1817" i="2"/>
  <c r="W1817" i="2"/>
  <c r="AH1816" i="2"/>
  <c r="AF1816" i="2"/>
  <c r="X1816" i="2"/>
  <c r="AB1816" i="2" s="1"/>
  <c r="AK1816" i="2" s="1"/>
  <c r="W1816" i="2"/>
  <c r="AH1815" i="2"/>
  <c r="AF1815" i="2"/>
  <c r="X1815" i="2"/>
  <c r="W1815" i="2"/>
  <c r="AH1814" i="2"/>
  <c r="AF1814" i="2"/>
  <c r="X1814" i="2"/>
  <c r="Y1814" i="2" s="1"/>
  <c r="W1814" i="2"/>
  <c r="AH1813" i="2"/>
  <c r="AF1813" i="2"/>
  <c r="X1813" i="2"/>
  <c r="W1813" i="2"/>
  <c r="AH1812" i="2"/>
  <c r="AF1812" i="2"/>
  <c r="X1812" i="2"/>
  <c r="Y1812" i="2" s="1"/>
  <c r="W1812" i="2"/>
  <c r="AH1811" i="2"/>
  <c r="AF1811" i="2"/>
  <c r="X1811" i="2"/>
  <c r="W1811" i="2"/>
  <c r="AH1810" i="2"/>
  <c r="AF1810" i="2"/>
  <c r="X1810" i="2"/>
  <c r="AB1810" i="2" s="1"/>
  <c r="AK1810" i="2" s="1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AB1800" i="2" s="1"/>
  <c r="AK1800" i="2" s="1"/>
  <c r="W1800" i="2"/>
  <c r="AH1799" i="2"/>
  <c r="AF1799" i="2"/>
  <c r="X1799" i="2"/>
  <c r="W1799" i="2"/>
  <c r="AH1798" i="2"/>
  <c r="AF1798" i="2"/>
  <c r="X1798" i="2"/>
  <c r="AB1798" i="2" s="1"/>
  <c r="AK1798" i="2" s="1"/>
  <c r="W1798" i="2"/>
  <c r="AH1797" i="2"/>
  <c r="AF1797" i="2"/>
  <c r="X1797" i="2"/>
  <c r="W1797" i="2"/>
  <c r="AH1796" i="2"/>
  <c r="AF1796" i="2"/>
  <c r="X1796" i="2"/>
  <c r="AB1796" i="2" s="1"/>
  <c r="AK1796" i="2" s="1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AB1792" i="2" s="1"/>
  <c r="AK1792" i="2" s="1"/>
  <c r="W1792" i="2"/>
  <c r="AH1791" i="2"/>
  <c r="AF1791" i="2"/>
  <c r="X1791" i="2"/>
  <c r="W1791" i="2"/>
  <c r="AH1790" i="2"/>
  <c r="AF1790" i="2"/>
  <c r="X1790" i="2"/>
  <c r="Y1790" i="2" s="1"/>
  <c r="W1790" i="2"/>
  <c r="AH1789" i="2"/>
  <c r="AF1789" i="2"/>
  <c r="X1789" i="2"/>
  <c r="W1789" i="2"/>
  <c r="AH1788" i="2"/>
  <c r="AF1788" i="2"/>
  <c r="X1788" i="2"/>
  <c r="Y1788" i="2" s="1"/>
  <c r="W1788" i="2"/>
  <c r="AH1787" i="2"/>
  <c r="AF1787" i="2"/>
  <c r="X1787" i="2"/>
  <c r="W1787" i="2"/>
  <c r="AH1786" i="2"/>
  <c r="AF1786" i="2"/>
  <c r="X1786" i="2"/>
  <c r="AB1786" i="2" s="1"/>
  <c r="AK1786" i="2" s="1"/>
  <c r="W1786" i="2"/>
  <c r="AH1785" i="2"/>
  <c r="AF1785" i="2"/>
  <c r="X1785" i="2"/>
  <c r="W1785" i="2"/>
  <c r="AH1784" i="2"/>
  <c r="AF1784" i="2"/>
  <c r="X1784" i="2"/>
  <c r="AB1784" i="2" s="1"/>
  <c r="AK1784" i="2" s="1"/>
  <c r="W1784" i="2"/>
  <c r="AH1783" i="2"/>
  <c r="AF1783" i="2"/>
  <c r="X1783" i="2"/>
  <c r="W1783" i="2"/>
  <c r="AH1782" i="2"/>
  <c r="AF1782" i="2"/>
  <c r="X1782" i="2"/>
  <c r="Y1782" i="2" s="1"/>
  <c r="W1782" i="2"/>
  <c r="AH1781" i="2"/>
  <c r="AF1781" i="2"/>
  <c r="X1781" i="2"/>
  <c r="W1781" i="2"/>
  <c r="AH1780" i="2"/>
  <c r="AF1780" i="2"/>
  <c r="X1780" i="2"/>
  <c r="Y1780" i="2" s="1"/>
  <c r="W1780" i="2"/>
  <c r="AH1779" i="2"/>
  <c r="AF1779" i="2"/>
  <c r="W1779" i="2"/>
  <c r="AH1778" i="2"/>
  <c r="AF1778" i="2"/>
  <c r="X1778" i="2"/>
  <c r="W1778" i="2"/>
  <c r="AH1777" i="2"/>
  <c r="AF1777" i="2"/>
  <c r="X1777" i="2"/>
  <c r="Y1777" i="2" s="1"/>
  <c r="W1777" i="2"/>
  <c r="AH1776" i="2"/>
  <c r="AF1776" i="2"/>
  <c r="X1776" i="2"/>
  <c r="AB1776" i="2" s="1"/>
  <c r="AK1776" i="2" s="1"/>
  <c r="W1776" i="2"/>
  <c r="AH1775" i="2"/>
  <c r="AF1775" i="2"/>
  <c r="X1775" i="2"/>
  <c r="Y1775" i="2" s="1"/>
  <c r="W1775" i="2"/>
  <c r="AH1774" i="2"/>
  <c r="AF1774" i="2"/>
  <c r="X1774" i="2"/>
  <c r="Y1774" i="2" s="1"/>
  <c r="W1774" i="2"/>
  <c r="AH1773" i="2"/>
  <c r="AF1773" i="2"/>
  <c r="X1773" i="2"/>
  <c r="Y1773" i="2" s="1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Y1769" i="2" s="1"/>
  <c r="W1769" i="2"/>
  <c r="AH1768" i="2"/>
  <c r="AF1768" i="2"/>
  <c r="X1768" i="2"/>
  <c r="W1768" i="2"/>
  <c r="AH1767" i="2"/>
  <c r="AF1767" i="2"/>
  <c r="X1767" i="2"/>
  <c r="Y1767" i="2" s="1"/>
  <c r="W1767" i="2"/>
  <c r="AH1766" i="2"/>
  <c r="AF1766" i="2"/>
  <c r="X1766" i="2"/>
  <c r="AB1766" i="2" s="1"/>
  <c r="AK1766" i="2" s="1"/>
  <c r="W1766" i="2"/>
  <c r="AH1765" i="2"/>
  <c r="AF1765" i="2"/>
  <c r="X1765" i="2"/>
  <c r="AB1765" i="2" s="1"/>
  <c r="AK1765" i="2" s="1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Y1762" i="2" s="1"/>
  <c r="W1762" i="2"/>
  <c r="AH1761" i="2"/>
  <c r="AF1761" i="2"/>
  <c r="X1761" i="2"/>
  <c r="Y1761" i="2" s="1"/>
  <c r="W1761" i="2"/>
  <c r="AH1760" i="2"/>
  <c r="AF1760" i="2"/>
  <c r="X1760" i="2"/>
  <c r="Y1760" i="2" s="1"/>
  <c r="W1760" i="2"/>
  <c r="AH1759" i="2"/>
  <c r="AF1759" i="2"/>
  <c r="X1759" i="2"/>
  <c r="Y1759" i="2" s="1"/>
  <c r="W1759" i="2"/>
  <c r="AH1758" i="2"/>
  <c r="AF1758" i="2"/>
  <c r="X1758" i="2"/>
  <c r="W1758" i="2"/>
  <c r="AH1757" i="2"/>
  <c r="AF1757" i="2"/>
  <c r="X1757" i="2"/>
  <c r="AC1757" i="2" s="1"/>
  <c r="W1757" i="2"/>
  <c r="AH1756" i="2"/>
  <c r="AF1756" i="2"/>
  <c r="X1756" i="2"/>
  <c r="W1756" i="2"/>
  <c r="AH1755" i="2"/>
  <c r="AF1755" i="2"/>
  <c r="X1755" i="2"/>
  <c r="Y1755" i="2" s="1"/>
  <c r="W1755" i="2"/>
  <c r="AH1754" i="2"/>
  <c r="AF1754" i="2"/>
  <c r="X1754" i="2"/>
  <c r="W1754" i="2"/>
  <c r="AH1753" i="2"/>
  <c r="AF1753" i="2"/>
  <c r="X1753" i="2"/>
  <c r="Y1753" i="2" s="1"/>
  <c r="W1753" i="2"/>
  <c r="AH1752" i="2"/>
  <c r="AF1752" i="2"/>
  <c r="X1752" i="2"/>
  <c r="Y1752" i="2" s="1"/>
  <c r="W1752" i="2"/>
  <c r="AH1751" i="2"/>
  <c r="AF1751" i="2"/>
  <c r="X1751" i="2"/>
  <c r="W1751" i="2"/>
  <c r="AH1750" i="2"/>
  <c r="AF1750" i="2"/>
  <c r="X1750" i="2"/>
  <c r="Y1750" i="2" s="1"/>
  <c r="W1750" i="2"/>
  <c r="AH1749" i="2"/>
  <c r="AF1749" i="2"/>
  <c r="X1749" i="2"/>
  <c r="W1749" i="2"/>
  <c r="AH1748" i="2"/>
  <c r="AF1748" i="2"/>
  <c r="X1748" i="2"/>
  <c r="AB1748" i="2" s="1"/>
  <c r="AK1748" i="2" s="1"/>
  <c r="W1748" i="2"/>
  <c r="AH1747" i="2"/>
  <c r="AF1747" i="2"/>
  <c r="X1747" i="2"/>
  <c r="Y1747" i="2" s="1"/>
  <c r="W1747" i="2"/>
  <c r="AH1746" i="2"/>
  <c r="AF1746" i="2"/>
  <c r="X1746" i="2"/>
  <c r="W1746" i="2"/>
  <c r="AH1745" i="2"/>
  <c r="AF1745" i="2"/>
  <c r="X1745" i="2"/>
  <c r="Y1745" i="2" s="1"/>
  <c r="W1745" i="2"/>
  <c r="AH1744" i="2"/>
  <c r="AF1744" i="2"/>
  <c r="X1744" i="2"/>
  <c r="W1744" i="2"/>
  <c r="AH1743" i="2"/>
  <c r="AF1743" i="2"/>
  <c r="X1743" i="2"/>
  <c r="AC1743" i="2" s="1"/>
  <c r="W1743" i="2"/>
  <c r="AH1742" i="2"/>
  <c r="AF1742" i="2"/>
  <c r="X1742" i="2"/>
  <c r="W1742" i="2"/>
  <c r="AH1741" i="2"/>
  <c r="AF1741" i="2"/>
  <c r="X1741" i="2"/>
  <c r="AC1741" i="2" s="1"/>
  <c r="W1741" i="2"/>
  <c r="AH1740" i="2"/>
  <c r="AF1740" i="2"/>
  <c r="X1740" i="2"/>
  <c r="AB1740" i="2" s="1"/>
  <c r="AK1740" i="2" s="1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AB1735" i="2" s="1"/>
  <c r="AK1735" i="2" s="1"/>
  <c r="W1735" i="2"/>
  <c r="AH1734" i="2"/>
  <c r="AF1734" i="2"/>
  <c r="X1734" i="2"/>
  <c r="AB1734" i="2" s="1"/>
  <c r="AK1734" i="2" s="1"/>
  <c r="W1734" i="2"/>
  <c r="AH1733" i="2"/>
  <c r="AF1733" i="2"/>
  <c r="X1733" i="2"/>
  <c r="W1733" i="2"/>
  <c r="AH1732" i="2"/>
  <c r="AF1732" i="2"/>
  <c r="X1732" i="2"/>
  <c r="Y1732" i="2" s="1"/>
  <c r="W1732" i="2"/>
  <c r="AH1731" i="2"/>
  <c r="AF1731" i="2"/>
  <c r="X1731" i="2"/>
  <c r="Y1731" i="2" s="1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AB1726" i="2" s="1"/>
  <c r="AK1726" i="2" s="1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AC1723" i="2" s="1"/>
  <c r="W1723" i="2"/>
  <c r="AH1722" i="2"/>
  <c r="AF1722" i="2"/>
  <c r="X1722" i="2"/>
  <c r="AB1722" i="2" s="1"/>
  <c r="AK1722" i="2" s="1"/>
  <c r="W1722" i="2"/>
  <c r="AH1721" i="2"/>
  <c r="AF1721" i="2"/>
  <c r="X1721" i="2"/>
  <c r="W1721" i="2"/>
  <c r="AH1720" i="2"/>
  <c r="AF1720" i="2"/>
  <c r="X1720" i="2"/>
  <c r="AB1720" i="2" s="1"/>
  <c r="AK1720" i="2" s="1"/>
  <c r="W1720" i="2"/>
  <c r="AH1719" i="2"/>
  <c r="AF1719" i="2"/>
  <c r="X1719" i="2"/>
  <c r="W1719" i="2"/>
  <c r="AH1718" i="2"/>
  <c r="AF1718" i="2"/>
  <c r="X1718" i="2"/>
  <c r="AB1718" i="2" s="1"/>
  <c r="AK1718" i="2" s="1"/>
  <c r="W1718" i="2"/>
  <c r="AH1717" i="2"/>
  <c r="AF1717" i="2"/>
  <c r="X1717" i="2"/>
  <c r="Y1717" i="2" s="1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Y1714" i="2" s="1"/>
  <c r="W1714" i="2"/>
  <c r="AH1713" i="2"/>
  <c r="AF1713" i="2"/>
  <c r="X1713" i="2"/>
  <c r="W1713" i="2"/>
  <c r="AH1712" i="2"/>
  <c r="AF1712" i="2"/>
  <c r="X1712" i="2"/>
  <c r="Y1712" i="2" s="1"/>
  <c r="W1712" i="2"/>
  <c r="AH1711" i="2"/>
  <c r="AF1711" i="2"/>
  <c r="X1711" i="2"/>
  <c r="W1711" i="2"/>
  <c r="AH1710" i="2"/>
  <c r="AF1710" i="2"/>
  <c r="X1710" i="2"/>
  <c r="AB1710" i="2" s="1"/>
  <c r="AK1710" i="2" s="1"/>
  <c r="W1710" i="2"/>
  <c r="AH1709" i="2"/>
  <c r="AF1709" i="2"/>
  <c r="X1709" i="2"/>
  <c r="W1709" i="2"/>
  <c r="AH1708" i="2"/>
  <c r="AF1708" i="2"/>
  <c r="X1708" i="2"/>
  <c r="Y1708" i="2" s="1"/>
  <c r="W1708" i="2"/>
  <c r="AH1707" i="2"/>
  <c r="AF1707" i="2"/>
  <c r="X1707" i="2"/>
  <c r="AB1707" i="2" s="1"/>
  <c r="AK1707" i="2" s="1"/>
  <c r="W1707" i="2"/>
  <c r="AH1706" i="2"/>
  <c r="AF1706" i="2"/>
  <c r="X1706" i="2"/>
  <c r="Y1706" i="2" s="1"/>
  <c r="W1706" i="2"/>
  <c r="AH1705" i="2"/>
  <c r="AF1705" i="2"/>
  <c r="X1705" i="2"/>
  <c r="W1705" i="2"/>
  <c r="AH1704" i="2"/>
  <c r="AF1704" i="2"/>
  <c r="X1704" i="2"/>
  <c r="AB1704" i="2" s="1"/>
  <c r="AK1704" i="2" s="1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AB1701" i="2" s="1"/>
  <c r="AK1701" i="2" s="1"/>
  <c r="W1701" i="2"/>
  <c r="AH1700" i="2"/>
  <c r="AF1700" i="2"/>
  <c r="X1700" i="2"/>
  <c r="Y1700" i="2" s="1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AB1694" i="2" s="1"/>
  <c r="AK1694" i="2" s="1"/>
  <c r="W1694" i="2"/>
  <c r="AH1693" i="2"/>
  <c r="AF1693" i="2"/>
  <c r="X1693" i="2"/>
  <c r="AC1693" i="2" s="1"/>
  <c r="AH1692" i="2"/>
  <c r="AF1692" i="2"/>
  <c r="X1692" i="2"/>
  <c r="Y1692" i="2" s="1"/>
  <c r="W1692" i="2"/>
  <c r="AH1691" i="2"/>
  <c r="AF1691" i="2"/>
  <c r="X1691" i="2"/>
  <c r="W1691" i="2"/>
  <c r="AH1690" i="2"/>
  <c r="AF1690" i="2"/>
  <c r="X1690" i="2"/>
  <c r="Y1690" i="2" s="1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Y1687" i="2" s="1"/>
  <c r="W1687" i="2"/>
  <c r="AH1686" i="2"/>
  <c r="AF1686" i="2"/>
  <c r="X1686" i="2"/>
  <c r="W1686" i="2"/>
  <c r="AH1685" i="2"/>
  <c r="AF1685" i="2"/>
  <c r="X1685" i="2"/>
  <c r="AB1685" i="2" s="1"/>
  <c r="AK1685" i="2" s="1"/>
  <c r="W1685" i="2"/>
  <c r="AH1684" i="2"/>
  <c r="AF1684" i="2"/>
  <c r="X1684" i="2"/>
  <c r="AB1684" i="2" s="1"/>
  <c r="AK1684" i="2" s="1"/>
  <c r="W1684" i="2"/>
  <c r="AF1683" i="2"/>
  <c r="X1683" i="2"/>
  <c r="AB1683" i="2" s="1"/>
  <c r="AK1683" i="2" s="1"/>
  <c r="W1683" i="2"/>
  <c r="AH1682" i="2"/>
  <c r="AF1682" i="2"/>
  <c r="X1682" i="2"/>
  <c r="AB1682" i="2" s="1"/>
  <c r="AK1682" i="2" s="1"/>
  <c r="W1682" i="2"/>
  <c r="AH1681" i="2"/>
  <c r="AF1681" i="2"/>
  <c r="X1681" i="2"/>
  <c r="W1681" i="2"/>
  <c r="AH1680" i="2"/>
  <c r="AF1680" i="2"/>
  <c r="X1680" i="2"/>
  <c r="AB1680" i="2" s="1"/>
  <c r="AK1680" i="2" s="1"/>
  <c r="W1680" i="2"/>
  <c r="AH1679" i="2"/>
  <c r="AF1679" i="2"/>
  <c r="X1679" i="2"/>
  <c r="AB1679" i="2" s="1"/>
  <c r="AK1679" i="2" s="1"/>
  <c r="W1679" i="2"/>
  <c r="AH1678" i="2"/>
  <c r="AF1678" i="2"/>
  <c r="X1678" i="2"/>
  <c r="AB1678" i="2" s="1"/>
  <c r="AK1678" i="2" s="1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AB1669" i="2" s="1"/>
  <c r="AK1669" i="2" s="1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AB1665" i="2" s="1"/>
  <c r="AK1665" i="2" s="1"/>
  <c r="W1665" i="2"/>
  <c r="AH1664" i="2"/>
  <c r="AF1664" i="2"/>
  <c r="X1664" i="2"/>
  <c r="W1664" i="2"/>
  <c r="AH1663" i="2"/>
  <c r="AD1663" i="2"/>
  <c r="X1663" i="2"/>
  <c r="W1663" i="2"/>
  <c r="AH1662" i="2"/>
  <c r="AD1662" i="2"/>
  <c r="X1662" i="2"/>
  <c r="W1662" i="2"/>
  <c r="AH1661" i="2"/>
  <c r="AD1661" i="2"/>
  <c r="X1661" i="2"/>
  <c r="AB1661" i="2" s="1"/>
  <c r="AK1661" i="2" s="1"/>
  <c r="W1661" i="2"/>
  <c r="AH1660" i="2"/>
  <c r="AD1660" i="2"/>
  <c r="X1660" i="2"/>
  <c r="W1660" i="2"/>
  <c r="AH1659" i="2"/>
  <c r="AD1659" i="2"/>
  <c r="X1659" i="2"/>
  <c r="AB1659" i="2" s="1"/>
  <c r="AK1659" i="2" s="1"/>
  <c r="W1659" i="2"/>
  <c r="AH1658" i="2"/>
  <c r="AD1658" i="2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X1654" i="2"/>
  <c r="W1654" i="2"/>
  <c r="AH1653" i="2"/>
  <c r="AD1653" i="2"/>
  <c r="AF1653" i="2" s="1"/>
  <c r="X1653" i="2"/>
  <c r="Y1653" i="2" s="1"/>
  <c r="W1653" i="2"/>
  <c r="AH1652" i="2"/>
  <c r="AD1652" i="2"/>
  <c r="X1652" i="2"/>
  <c r="W1652" i="2"/>
  <c r="AH1651" i="2"/>
  <c r="AD1651" i="2"/>
  <c r="AF1651" i="2" s="1"/>
  <c r="X1651" i="2"/>
  <c r="AB1651" i="2" s="1"/>
  <c r="AK1651" i="2" s="1"/>
  <c r="W1651" i="2"/>
  <c r="AH1650" i="2"/>
  <c r="AD1650" i="2"/>
  <c r="X1650" i="2"/>
  <c r="W1650" i="2"/>
  <c r="AH1649" i="2"/>
  <c r="AD1649" i="2"/>
  <c r="AF1649" i="2" s="1"/>
  <c r="X1649" i="2"/>
  <c r="AB1649" i="2" s="1"/>
  <c r="AK1649" i="2" s="1"/>
  <c r="W1649" i="2"/>
  <c r="AH1648" i="2"/>
  <c r="AD1648" i="2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AB1645" i="2" s="1"/>
  <c r="AK1645" i="2" s="1"/>
  <c r="W1645" i="2"/>
  <c r="AH1644" i="2"/>
  <c r="AD1644" i="2"/>
  <c r="X1644" i="2"/>
  <c r="W1644" i="2"/>
  <c r="AH1643" i="2"/>
  <c r="AD1643" i="2"/>
  <c r="AF1643" i="2" s="1"/>
  <c r="X1643" i="2"/>
  <c r="AB1643" i="2" s="1"/>
  <c r="AK1643" i="2" s="1"/>
  <c r="W1643" i="2"/>
  <c r="AH1642" i="2"/>
  <c r="AD1642" i="2"/>
  <c r="X1642" i="2"/>
  <c r="W1642" i="2"/>
  <c r="AH1641" i="2"/>
  <c r="AD1641" i="2"/>
  <c r="AF1641" i="2" s="1"/>
  <c r="X1641" i="2"/>
  <c r="AB1641" i="2" s="1"/>
  <c r="AK1641" i="2" s="1"/>
  <c r="W1641" i="2"/>
  <c r="AH1640" i="2"/>
  <c r="AD1640" i="2"/>
  <c r="AF1640" i="2" s="1"/>
  <c r="X1640" i="2"/>
  <c r="W1640" i="2"/>
  <c r="AH1639" i="2"/>
  <c r="AD1639" i="2"/>
  <c r="X1639" i="2"/>
  <c r="AB1639" i="2" s="1"/>
  <c r="AK1639" i="2" s="1"/>
  <c r="W1639" i="2"/>
  <c r="AH1638" i="2"/>
  <c r="AD1638" i="2"/>
  <c r="X1638" i="2"/>
  <c r="W1638" i="2"/>
  <c r="AH1637" i="2"/>
  <c r="AD1637" i="2"/>
  <c r="X1637" i="2"/>
  <c r="AB1637" i="2" s="1"/>
  <c r="AK1637" i="2" s="1"/>
  <c r="W1637" i="2"/>
  <c r="AH1636" i="2"/>
  <c r="AD1636" i="2"/>
  <c r="Y1636" i="2" s="1"/>
  <c r="X1636" i="2"/>
  <c r="W1636" i="2"/>
  <c r="AH1635" i="2"/>
  <c r="AD1635" i="2"/>
  <c r="AF1635" i="2" s="1"/>
  <c r="X1635" i="2"/>
  <c r="AB1635" i="2" s="1"/>
  <c r="AK1635" i="2" s="1"/>
  <c r="W1635" i="2"/>
  <c r="AH1634" i="2"/>
  <c r="AD1634" i="2"/>
  <c r="X1634" i="2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W1632" i="2"/>
  <c r="AH1631" i="2"/>
  <c r="AD1631" i="2"/>
  <c r="AF1631" i="2" s="1"/>
  <c r="X1631" i="2"/>
  <c r="AB1631" i="2" s="1"/>
  <c r="AK1631" i="2" s="1"/>
  <c r="W1631" i="2"/>
  <c r="AH1630" i="2"/>
  <c r="AD1630" i="2"/>
  <c r="Y1630" i="2" s="1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X1627" i="2"/>
  <c r="AB1627" i="2" s="1"/>
  <c r="AK1627" i="2" s="1"/>
  <c r="W1627" i="2"/>
  <c r="AH1626" i="2"/>
  <c r="AD1626" i="2"/>
  <c r="X1626" i="2"/>
  <c r="W1626" i="2"/>
  <c r="AH1625" i="2"/>
  <c r="AD1625" i="2"/>
  <c r="AF1625" i="2" s="1"/>
  <c r="X1625" i="2"/>
  <c r="AB1625" i="2" s="1"/>
  <c r="AK1625" i="2" s="1"/>
  <c r="W1625" i="2"/>
  <c r="AH1624" i="2"/>
  <c r="AD1624" i="2"/>
  <c r="X1624" i="2"/>
  <c r="W1624" i="2"/>
  <c r="AH1623" i="2"/>
  <c r="AD1623" i="2"/>
  <c r="AF1623" i="2" s="1"/>
  <c r="X1623" i="2"/>
  <c r="W1623" i="2"/>
  <c r="AH1622" i="2"/>
  <c r="AD1622" i="2"/>
  <c r="Y1622" i="2" s="1"/>
  <c r="X1622" i="2"/>
  <c r="W1622" i="2"/>
  <c r="AH1621" i="2"/>
  <c r="AD1621" i="2"/>
  <c r="AF1621" i="2" s="1"/>
  <c r="X1621" i="2"/>
  <c r="AB1621" i="2" s="1"/>
  <c r="AK1621" i="2" s="1"/>
  <c r="W1621" i="2"/>
  <c r="AH1620" i="2"/>
  <c r="AD1620" i="2"/>
  <c r="Y1620" i="2" s="1"/>
  <c r="X1620" i="2"/>
  <c r="W1620" i="2"/>
  <c r="AH1619" i="2"/>
  <c r="AD1619" i="2"/>
  <c r="AF1619" i="2" s="1"/>
  <c r="X1619" i="2"/>
  <c r="AB1619" i="2" s="1"/>
  <c r="AK1619" i="2" s="1"/>
  <c r="W1619" i="2"/>
  <c r="AH1618" i="2"/>
  <c r="AD1618" i="2"/>
  <c r="X1618" i="2"/>
  <c r="W1618" i="2"/>
  <c r="AD1617" i="2"/>
  <c r="Y1617" i="2" s="1"/>
  <c r="AC1617" i="2"/>
  <c r="W1617" i="2"/>
  <c r="AH1616" i="2"/>
  <c r="AD1616" i="2"/>
  <c r="AF1616" i="2" s="1"/>
  <c r="X1616" i="2"/>
  <c r="W1616" i="2"/>
  <c r="AH1615" i="2"/>
  <c r="AD1615" i="2"/>
  <c r="X1615" i="2"/>
  <c r="AB1615" i="2" s="1"/>
  <c r="AK1615" i="2" s="1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W1613" i="2"/>
  <c r="AH1612" i="2"/>
  <c r="AD1612" i="2"/>
  <c r="AF1612" i="2" s="1"/>
  <c r="X1612" i="2"/>
  <c r="Y1612" i="2" s="1"/>
  <c r="W1612" i="2"/>
  <c r="AH1611" i="2"/>
  <c r="AD1611" i="2"/>
  <c r="X1611" i="2"/>
  <c r="W1611" i="2"/>
  <c r="AH1610" i="2"/>
  <c r="AD1610" i="2"/>
  <c r="AF1610" i="2" s="1"/>
  <c r="X1610" i="2"/>
  <c r="AB1610" i="2" s="1"/>
  <c r="AK1610" i="2" s="1"/>
  <c r="W1610" i="2"/>
  <c r="AH1609" i="2"/>
  <c r="AD1609" i="2"/>
  <c r="X1609" i="2"/>
  <c r="AB1609" i="2" s="1"/>
  <c r="AK1609" i="2" s="1"/>
  <c r="W1609" i="2"/>
  <c r="AH1608" i="2"/>
  <c r="AD1608" i="2"/>
  <c r="AF1608" i="2" s="1"/>
  <c r="X1608" i="2"/>
  <c r="AB1608" i="2" s="1"/>
  <c r="AK1608" i="2" s="1"/>
  <c r="W1608" i="2"/>
  <c r="AH1607" i="2"/>
  <c r="AD1607" i="2"/>
  <c r="X1607" i="2"/>
  <c r="AB1607" i="2" s="1"/>
  <c r="AK1607" i="2" s="1"/>
  <c r="W1607" i="2"/>
  <c r="AH1606" i="2"/>
  <c r="AD1606" i="2"/>
  <c r="AF1606" i="2" s="1"/>
  <c r="X1606" i="2"/>
  <c r="W1606" i="2"/>
  <c r="AH1605" i="2"/>
  <c r="AD1605" i="2"/>
  <c r="AF1605" i="2" s="1"/>
  <c r="X1605" i="2"/>
  <c r="AB1605" i="2" s="1"/>
  <c r="AK1605" i="2" s="1"/>
  <c r="W1605" i="2"/>
  <c r="AH1604" i="2"/>
  <c r="AD1604" i="2"/>
  <c r="AF1604" i="2" s="1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AF1602" i="2" s="1"/>
  <c r="X1602" i="2"/>
  <c r="AH1601" i="2"/>
  <c r="AD1601" i="2"/>
  <c r="AF1601" i="2" s="1"/>
  <c r="X1601" i="2"/>
  <c r="AB1601" i="2" s="1"/>
  <c r="AK1601" i="2" s="1"/>
  <c r="AH1600" i="2"/>
  <c r="AD1600" i="2"/>
  <c r="X1600" i="2"/>
  <c r="AB1600" i="2" s="1"/>
  <c r="AK1600" i="2" s="1"/>
  <c r="W1600" i="2"/>
  <c r="AH1599" i="2"/>
  <c r="AD1599" i="2"/>
  <c r="AF1599" i="2" s="1"/>
  <c r="X1599" i="2"/>
  <c r="W1599" i="2"/>
  <c r="AH1598" i="2"/>
  <c r="AD1598" i="2"/>
  <c r="X1598" i="2"/>
  <c r="AB1598" i="2" s="1"/>
  <c r="AK1598" i="2" s="1"/>
  <c r="W1598" i="2"/>
  <c r="AH1597" i="2"/>
  <c r="AD1597" i="2"/>
  <c r="AF1597" i="2" s="1"/>
  <c r="X1597" i="2"/>
  <c r="W1597" i="2"/>
  <c r="AH1596" i="2"/>
  <c r="AD1596" i="2"/>
  <c r="AF1596" i="2" s="1"/>
  <c r="X1596" i="2"/>
  <c r="AB1596" i="2" s="1"/>
  <c r="AK1596" i="2" s="1"/>
  <c r="W1596" i="2"/>
  <c r="AH1595" i="2"/>
  <c r="AD1595" i="2"/>
  <c r="AF1595" i="2" s="1"/>
  <c r="X1595" i="2"/>
  <c r="W1595" i="2"/>
  <c r="AH1594" i="2"/>
  <c r="AD1594" i="2"/>
  <c r="X1594" i="2"/>
  <c r="AB1594" i="2" s="1"/>
  <c r="AK1594" i="2" s="1"/>
  <c r="W1594" i="2"/>
  <c r="AH1593" i="2"/>
  <c r="AD1593" i="2"/>
  <c r="AF1593" i="2" s="1"/>
  <c r="X1593" i="2"/>
  <c r="AB1593" i="2" s="1"/>
  <c r="AK1593" i="2" s="1"/>
  <c r="W1593" i="2"/>
  <c r="AH1592" i="2"/>
  <c r="AD1592" i="2"/>
  <c r="AF1592" i="2" s="1"/>
  <c r="X1592" i="2"/>
  <c r="AB1592" i="2" s="1"/>
  <c r="AK1592" i="2" s="1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AB1589" i="2" s="1"/>
  <c r="AK1589" i="2" s="1"/>
  <c r="W1589" i="2"/>
  <c r="AH1588" i="2"/>
  <c r="AD1588" i="2"/>
  <c r="AF1588" i="2" s="1"/>
  <c r="X1588" i="2"/>
  <c r="AH1587" i="2"/>
  <c r="AD1587" i="2"/>
  <c r="X1587" i="2"/>
  <c r="W1587" i="2"/>
  <c r="AH1586" i="2"/>
  <c r="AD1586" i="2"/>
  <c r="AF1586" i="2" s="1"/>
  <c r="X1586" i="2"/>
  <c r="AC1586" i="2" s="1"/>
  <c r="AH1585" i="2"/>
  <c r="AD1585" i="2"/>
  <c r="AF1585" i="2" s="1"/>
  <c r="X1585" i="2"/>
  <c r="AB1585" i="2" s="1"/>
  <c r="AK1585" i="2" s="1"/>
  <c r="W1585" i="2"/>
  <c r="AH1584" i="2"/>
  <c r="AD1584" i="2"/>
  <c r="X1584" i="2"/>
  <c r="AB1584" i="2" s="1"/>
  <c r="AK1584" i="2" s="1"/>
  <c r="W1584" i="2"/>
  <c r="AH1583" i="2"/>
  <c r="AD1583" i="2"/>
  <c r="AF1583" i="2" s="1"/>
  <c r="X1583" i="2"/>
  <c r="AB1583" i="2" s="1"/>
  <c r="AK1583" i="2" s="1"/>
  <c r="W1583" i="2"/>
  <c r="AH1582" i="2"/>
  <c r="AD1582" i="2"/>
  <c r="X1582" i="2"/>
  <c r="AB1582" i="2" s="1"/>
  <c r="AK1582" i="2" s="1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X1578" i="2"/>
  <c r="AB1578" i="2" s="1"/>
  <c r="AK1578" i="2" s="1"/>
  <c r="W1578" i="2"/>
  <c r="AH1577" i="2"/>
  <c r="AD1577" i="2"/>
  <c r="AF1577" i="2" s="1"/>
  <c r="X1577" i="2"/>
  <c r="AK1577" i="2" s="1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AF1574" i="2" s="1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W1572" i="2"/>
  <c r="AH1571" i="2"/>
  <c r="AD1571" i="2"/>
  <c r="AF1571" i="2" s="1"/>
  <c r="X1571" i="2"/>
  <c r="AB1571" i="2" s="1"/>
  <c r="AK1571" i="2" s="1"/>
  <c r="W1571" i="2"/>
  <c r="AH1570" i="2"/>
  <c r="AD1570" i="2"/>
  <c r="AF1570" i="2" s="1"/>
  <c r="X1570" i="2"/>
  <c r="W1570" i="2"/>
  <c r="AH1569" i="2"/>
  <c r="AD1569" i="2"/>
  <c r="AF1569" i="2" s="1"/>
  <c r="X1569" i="2"/>
  <c r="AB1569" i="2" s="1"/>
  <c r="AK1569" i="2" s="1"/>
  <c r="W1569" i="2"/>
  <c r="AH1568" i="2"/>
  <c r="AD1568" i="2"/>
  <c r="X1568" i="2"/>
  <c r="AB1568" i="2" s="1"/>
  <c r="AK1568" i="2" s="1"/>
  <c r="W1568" i="2"/>
  <c r="AH1567" i="2"/>
  <c r="AD1567" i="2"/>
  <c r="AF1567" i="2" s="1"/>
  <c r="X1567" i="2"/>
  <c r="AB1567" i="2" s="1"/>
  <c r="AK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AB1565" i="2" s="1"/>
  <c r="AK1565" i="2" s="1"/>
  <c r="W1565" i="2"/>
  <c r="AH1564" i="2"/>
  <c r="AD1564" i="2"/>
  <c r="X1564" i="2"/>
  <c r="AB1564" i="2" s="1"/>
  <c r="AK1564" i="2" s="1"/>
  <c r="W1564" i="2"/>
  <c r="AH1563" i="2"/>
  <c r="AD1563" i="2"/>
  <c r="AF1563" i="2" s="1"/>
  <c r="X1563" i="2"/>
  <c r="AB1563" i="2" s="1"/>
  <c r="AK1563" i="2" s="1"/>
  <c r="W1563" i="2"/>
  <c r="AH1562" i="2"/>
  <c r="AD1562" i="2"/>
  <c r="X1562" i="2"/>
  <c r="AB1562" i="2" s="1"/>
  <c r="AK1562" i="2" s="1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X1558" i="2"/>
  <c r="AB1558" i="2" s="1"/>
  <c r="AK1558" i="2" s="1"/>
  <c r="W1558" i="2"/>
  <c r="AH1557" i="2"/>
  <c r="AD1557" i="2"/>
  <c r="AF1557" i="2" s="1"/>
  <c r="X1557" i="2"/>
  <c r="AB1557" i="2" s="1"/>
  <c r="AK1557" i="2" s="1"/>
  <c r="W1557" i="2"/>
  <c r="AH1556" i="2"/>
  <c r="AD1556" i="2"/>
  <c r="AF1556" i="2" s="1"/>
  <c r="X1556" i="2"/>
  <c r="AB1556" i="2" s="1"/>
  <c r="AK1556" i="2" s="1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W1554" i="2"/>
  <c r="AH1553" i="2"/>
  <c r="AD1553" i="2"/>
  <c r="X1553" i="2"/>
  <c r="W1553" i="2"/>
  <c r="AH1552" i="2"/>
  <c r="AD1552" i="2"/>
  <c r="AF1552" i="2" s="1"/>
  <c r="X1552" i="2"/>
  <c r="AB1552" i="2" s="1"/>
  <c r="AK1552" i="2" s="1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Y1547" i="2" s="1"/>
  <c r="W1547" i="2"/>
  <c r="AH1546" i="2"/>
  <c r="AD1546" i="2"/>
  <c r="AF1546" i="2" s="1"/>
  <c r="X1546" i="2"/>
  <c r="AB1546" i="2" s="1"/>
  <c r="AK1546" i="2" s="1"/>
  <c r="W1546" i="2"/>
  <c r="AH1545" i="2"/>
  <c r="AD1545" i="2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AB1543" i="2" s="1"/>
  <c r="AK1543" i="2" s="1"/>
  <c r="W1543" i="2"/>
  <c r="AH1542" i="2"/>
  <c r="AD1542" i="2"/>
  <c r="AF1542" i="2" s="1"/>
  <c r="X1542" i="2"/>
  <c r="AB1542" i="2" s="1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AB1540" i="2" s="1"/>
  <c r="AK1540" i="2" s="1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K1538" i="2" s="1"/>
  <c r="W1538" i="2"/>
  <c r="AH1537" i="2"/>
  <c r="AD1537" i="2"/>
  <c r="X1537" i="2"/>
  <c r="AK1537" i="2" s="1"/>
  <c r="W1537" i="2"/>
  <c r="AH1536" i="2"/>
  <c r="AD1536" i="2"/>
  <c r="X1536" i="2"/>
  <c r="AK1536" i="2" s="1"/>
  <c r="W1536" i="2"/>
  <c r="AH1535" i="2"/>
  <c r="AD1535" i="2"/>
  <c r="AF1535" i="2" s="1"/>
  <c r="X1535" i="2"/>
  <c r="AB1535" i="2" s="1"/>
  <c r="AK1535" i="2" s="1"/>
  <c r="W1535" i="2"/>
  <c r="AH1534" i="2"/>
  <c r="AD1534" i="2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AB1532" i="2" s="1"/>
  <c r="AK1532" i="2" s="1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AB1526" i="2" s="1"/>
  <c r="AK1526" i="2" s="1"/>
  <c r="W1526" i="2"/>
  <c r="AH1525" i="2"/>
  <c r="AD1525" i="2"/>
  <c r="AF1525" i="2" s="1"/>
  <c r="X1525" i="2"/>
  <c r="AB1525" i="2" s="1"/>
  <c r="AK1525" i="2" s="1"/>
  <c r="W1525" i="2"/>
  <c r="AH1524" i="2"/>
  <c r="AD1524" i="2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X1520" i="2"/>
  <c r="AB1520" i="2" s="1"/>
  <c r="AK1520" i="2" s="1"/>
  <c r="W1520" i="2"/>
  <c r="AH1519" i="2"/>
  <c r="AD1519" i="2"/>
  <c r="AF1519" i="2" s="1"/>
  <c r="X1519" i="2"/>
  <c r="AB1519" i="2" s="1"/>
  <c r="AK1519" i="2" s="1"/>
  <c r="W1519" i="2"/>
  <c r="AH1518" i="2"/>
  <c r="AD1518" i="2"/>
  <c r="AF1518" i="2" s="1"/>
  <c r="X1518" i="2"/>
  <c r="W1518" i="2"/>
  <c r="AH1517" i="2"/>
  <c r="AD1517" i="2"/>
  <c r="AF1517" i="2" s="1"/>
  <c r="X1517" i="2"/>
  <c r="AB1517" i="2" s="1"/>
  <c r="AK1517" i="2" s="1"/>
  <c r="W1517" i="2"/>
  <c r="AH1516" i="2"/>
  <c r="AD1516" i="2"/>
  <c r="AF1516" i="2" s="1"/>
  <c r="X1516" i="2"/>
  <c r="AB1516" i="2" s="1"/>
  <c r="AK1516" i="2" s="1"/>
  <c r="W1516" i="2"/>
  <c r="AH1515" i="2"/>
  <c r="AD1515" i="2"/>
  <c r="AF1515" i="2" s="1"/>
  <c r="X1515" i="2"/>
  <c r="AB1515" i="2" s="1"/>
  <c r="AK1515" i="2" s="1"/>
  <c r="W1515" i="2"/>
  <c r="AH1514" i="2"/>
  <c r="AD1514" i="2"/>
  <c r="X1514" i="2"/>
  <c r="AB1514" i="2" s="1"/>
  <c r="AK1514" i="2" s="1"/>
  <c r="W1514" i="2"/>
  <c r="AH1513" i="2"/>
  <c r="AD1513" i="2"/>
  <c r="AF1513" i="2" s="1"/>
  <c r="X1513" i="2"/>
  <c r="AB1513" i="2" s="1"/>
  <c r="AK1513" i="2" s="1"/>
  <c r="W1513" i="2"/>
  <c r="AH1512" i="2"/>
  <c r="AD1512" i="2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AB1509" i="2" s="1"/>
  <c r="AK1509" i="2" s="1"/>
  <c r="W1509" i="2"/>
  <c r="AH1508" i="2"/>
  <c r="AD1508" i="2"/>
  <c r="X1508" i="2"/>
  <c r="AB1508" i="2" s="1"/>
  <c r="AK1508" i="2" s="1"/>
  <c r="W1508" i="2"/>
  <c r="AH1507" i="2"/>
  <c r="AD1507" i="2"/>
  <c r="AF1507" i="2" s="1"/>
  <c r="X1507" i="2"/>
  <c r="AB1507" i="2" s="1"/>
  <c r="AK1507" i="2" s="1"/>
  <c r="W1507" i="2"/>
  <c r="AH1506" i="2"/>
  <c r="AD1506" i="2"/>
  <c r="X1506" i="2"/>
  <c r="AB1506" i="2" s="1"/>
  <c r="AK1506" i="2" s="1"/>
  <c r="W1506" i="2"/>
  <c r="AH1505" i="2"/>
  <c r="AD1505" i="2"/>
  <c r="AF1505" i="2" s="1"/>
  <c r="X1505" i="2"/>
  <c r="AB1505" i="2" s="1"/>
  <c r="AK1505" i="2" s="1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AB1503" i="2" s="1"/>
  <c r="AK1503" i="2" s="1"/>
  <c r="W1503" i="2"/>
  <c r="AH1502" i="2"/>
  <c r="AD1502" i="2"/>
  <c r="X1502" i="2"/>
  <c r="AB1502" i="2" s="1"/>
  <c r="AK1502" i="2" s="1"/>
  <c r="W1502" i="2"/>
  <c r="AH1501" i="2"/>
  <c r="AD1501" i="2"/>
  <c r="AF1501" i="2" s="1"/>
  <c r="X1501" i="2"/>
  <c r="W1501" i="2"/>
  <c r="AH1500" i="2"/>
  <c r="AD1500" i="2"/>
  <c r="AF1500" i="2" s="1"/>
  <c r="X1500" i="2"/>
  <c r="AB1500" i="2" s="1"/>
  <c r="AK1500" i="2" s="1"/>
  <c r="W1500" i="2"/>
  <c r="AH1499" i="2"/>
  <c r="AD1499" i="2"/>
  <c r="AF1499" i="2" s="1"/>
  <c r="X1499" i="2"/>
  <c r="W1499" i="2"/>
  <c r="AH1498" i="2"/>
  <c r="AD1498" i="2"/>
  <c r="X1498" i="2"/>
  <c r="AB1498" i="2" s="1"/>
  <c r="AK1498" i="2" s="1"/>
  <c r="W1498" i="2"/>
  <c r="AH1497" i="2"/>
  <c r="AD1497" i="2"/>
  <c r="AF1497" i="2" s="1"/>
  <c r="X1497" i="2"/>
  <c r="AB1497" i="2" s="1"/>
  <c r="AK1497" i="2" s="1"/>
  <c r="W1497" i="2"/>
  <c r="AH1496" i="2"/>
  <c r="AD1496" i="2"/>
  <c r="X1496" i="2"/>
  <c r="W1496" i="2"/>
  <c r="AH1495" i="2"/>
  <c r="AD1495" i="2"/>
  <c r="AF1495" i="2" s="1"/>
  <c r="X1495" i="2"/>
  <c r="AB1495" i="2" s="1"/>
  <c r="AK1495" i="2" s="1"/>
  <c r="W1495" i="2"/>
  <c r="AH1494" i="2"/>
  <c r="AD1494" i="2"/>
  <c r="AF1494" i="2" s="1"/>
  <c r="X1494" i="2"/>
  <c r="AB1494" i="2" s="1"/>
  <c r="AK1494" i="2" s="1"/>
  <c r="W1494" i="2"/>
  <c r="AH1493" i="2"/>
  <c r="AD1493" i="2"/>
  <c r="AF1493" i="2" s="1"/>
  <c r="X1493" i="2"/>
  <c r="AB1493" i="2" s="1"/>
  <c r="AK1493" i="2" s="1"/>
  <c r="W1493" i="2"/>
  <c r="AH1492" i="2"/>
  <c r="AD1492" i="2"/>
  <c r="AF1492" i="2" s="1"/>
  <c r="X1492" i="2"/>
  <c r="AB1492" i="2" s="1"/>
  <c r="AK1492" i="2" s="1"/>
  <c r="W1492" i="2"/>
  <c r="AH1491" i="2"/>
  <c r="AD1491" i="2"/>
  <c r="AF1491" i="2" s="1"/>
  <c r="X1491" i="2"/>
  <c r="W1491" i="2"/>
  <c r="AH1490" i="2"/>
  <c r="AD1490" i="2"/>
  <c r="X1490" i="2"/>
  <c r="AB1490" i="2" s="1"/>
  <c r="AK1490" i="2" s="1"/>
  <c r="W1490" i="2"/>
  <c r="AH1489" i="2"/>
  <c r="AD1489" i="2"/>
  <c r="AF1489" i="2" s="1"/>
  <c r="X1489" i="2"/>
  <c r="W1489" i="2"/>
  <c r="AH1488" i="2"/>
  <c r="AD1488" i="2"/>
  <c r="AF1488" i="2" s="1"/>
  <c r="X1488" i="2"/>
  <c r="AB1488" i="2" s="1"/>
  <c r="AK1488" i="2" s="1"/>
  <c r="W1488" i="2"/>
  <c r="AH1487" i="2"/>
  <c r="AD1487" i="2"/>
  <c r="AF1487" i="2" s="1"/>
  <c r="X1487" i="2"/>
  <c r="AB1487" i="2" s="1"/>
  <c r="AK1487" i="2" s="1"/>
  <c r="W1487" i="2"/>
  <c r="AH1486" i="2"/>
  <c r="AD1486" i="2"/>
  <c r="X1486" i="2"/>
  <c r="AB1486" i="2" s="1"/>
  <c r="AK1486" i="2" s="1"/>
  <c r="W1486" i="2"/>
  <c r="AH1485" i="2"/>
  <c r="AD1485" i="2"/>
  <c r="AF1485" i="2" s="1"/>
  <c r="X1485" i="2"/>
  <c r="W1485" i="2"/>
  <c r="AH1484" i="2"/>
  <c r="AD1484" i="2"/>
  <c r="AF1484" i="2" s="1"/>
  <c r="X1484" i="2"/>
  <c r="AB1484" i="2" s="1"/>
  <c r="AK1484" i="2" s="1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AB1481" i="2" s="1"/>
  <c r="AK1481" i="2" s="1"/>
  <c r="W1481" i="2"/>
  <c r="AH1480" i="2"/>
  <c r="AD1480" i="2"/>
  <c r="X1480" i="2"/>
  <c r="AB1480" i="2" s="1"/>
  <c r="AK1480" i="2" s="1"/>
  <c r="W1480" i="2"/>
  <c r="AH1479" i="2"/>
  <c r="AD1479" i="2"/>
  <c r="AF1479" i="2" s="1"/>
  <c r="X1479" i="2"/>
  <c r="AB1479" i="2" s="1"/>
  <c r="AK1479" i="2" s="1"/>
  <c r="W1479" i="2"/>
  <c r="AH1478" i="2"/>
  <c r="AD1478" i="2"/>
  <c r="X1478" i="2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AB1476" i="2" s="1"/>
  <c r="AK1476" i="2" s="1"/>
  <c r="W1476" i="2"/>
  <c r="AH1475" i="2"/>
  <c r="AD1475" i="2"/>
  <c r="AF1475" i="2" s="1"/>
  <c r="X1475" i="2"/>
  <c r="AB1475" i="2" s="1"/>
  <c r="AK1475" i="2" s="1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X1472" i="2"/>
  <c r="AB1472" i="2" s="1"/>
  <c r="AK1472" i="2" s="1"/>
  <c r="W1472" i="2"/>
  <c r="AH1471" i="2"/>
  <c r="AD1471" i="2"/>
  <c r="AF1471" i="2" s="1"/>
  <c r="X1471" i="2"/>
  <c r="AB1471" i="2" s="1"/>
  <c r="AK1471" i="2" s="1"/>
  <c r="W1471" i="2"/>
  <c r="AH1470" i="2"/>
  <c r="AD1470" i="2"/>
  <c r="X1470" i="2"/>
  <c r="AB1470" i="2" s="1"/>
  <c r="AK1470" i="2" s="1"/>
  <c r="W1470" i="2"/>
  <c r="AH1469" i="2"/>
  <c r="AD1469" i="2"/>
  <c r="AF1469" i="2" s="1"/>
  <c r="X1469" i="2"/>
  <c r="AC1469" i="2" s="1"/>
  <c r="W1469" i="2"/>
  <c r="AH1468" i="2"/>
  <c r="AD1468" i="2"/>
  <c r="AF1468" i="2" s="1"/>
  <c r="X1468" i="2"/>
  <c r="AB1468" i="2" s="1"/>
  <c r="AK1468" i="2" s="1"/>
  <c r="W1468" i="2"/>
  <c r="AH1467" i="2"/>
  <c r="AD1467" i="2"/>
  <c r="AF1467" i="2" s="1"/>
  <c r="X1467" i="2"/>
  <c r="AB1467" i="2" s="1"/>
  <c r="AK1467" i="2" s="1"/>
  <c r="W1467" i="2"/>
  <c r="AH1466" i="2"/>
  <c r="AD1466" i="2"/>
  <c r="AF1466" i="2" s="1"/>
  <c r="X1466" i="2"/>
  <c r="AB1466" i="2" s="1"/>
  <c r="AK1466" i="2" s="1"/>
  <c r="W1466" i="2"/>
  <c r="AH1465" i="2"/>
  <c r="AD1465" i="2"/>
  <c r="AF1465" i="2" s="1"/>
  <c r="X1465" i="2"/>
  <c r="AB1465" i="2" s="1"/>
  <c r="AK1465" i="2" s="1"/>
  <c r="W1465" i="2"/>
  <c r="AH1464" i="2"/>
  <c r="AD1464" i="2"/>
  <c r="AF1464" i="2" s="1"/>
  <c r="X1464" i="2"/>
  <c r="AB1464" i="2" s="1"/>
  <c r="AK1464" i="2" s="1"/>
  <c r="W1464" i="2"/>
  <c r="AH1463" i="2"/>
  <c r="AD1463" i="2"/>
  <c r="AF1463" i="2" s="1"/>
  <c r="X1463" i="2"/>
  <c r="W1463" i="2"/>
  <c r="AH1462" i="2"/>
  <c r="AD1462" i="2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X1460" i="2"/>
  <c r="AB1460" i="2" s="1"/>
  <c r="AK1460" i="2" s="1"/>
  <c r="W1460" i="2"/>
  <c r="AH1459" i="2"/>
  <c r="AD1459" i="2"/>
  <c r="AF1459" i="2" s="1"/>
  <c r="X1459" i="2"/>
  <c r="W1459" i="2"/>
  <c r="AH1458" i="2"/>
  <c r="AD1458" i="2"/>
  <c r="X1458" i="2"/>
  <c r="AB1458" i="2" s="1"/>
  <c r="AK1458" i="2" s="1"/>
  <c r="W1458" i="2"/>
  <c r="AH1457" i="2"/>
  <c r="AD1457" i="2"/>
  <c r="AF1457" i="2" s="1"/>
  <c r="X1457" i="2"/>
  <c r="AB1457" i="2" s="1"/>
  <c r="AK1457" i="2" s="1"/>
  <c r="W1457" i="2"/>
  <c r="AH1456" i="2"/>
  <c r="AD1456" i="2"/>
  <c r="AF1456" i="2" s="1"/>
  <c r="X1456" i="2"/>
  <c r="W1456" i="2"/>
  <c r="AH1455" i="2"/>
  <c r="AD1455" i="2"/>
  <c r="AF1455" i="2" s="1"/>
  <c r="X1455" i="2"/>
  <c r="AB1455" i="2" s="1"/>
  <c r="AK1455" i="2" s="1"/>
  <c r="W1455" i="2"/>
  <c r="AH1454" i="2"/>
  <c r="AD1454" i="2"/>
  <c r="X1454" i="2"/>
  <c r="AB1454" i="2" s="1"/>
  <c r="AK1454" i="2" s="1"/>
  <c r="W1454" i="2"/>
  <c r="AH1453" i="2"/>
  <c r="AD1453" i="2"/>
  <c r="AF1453" i="2" s="1"/>
  <c r="X1453" i="2"/>
  <c r="AB1453" i="2" s="1"/>
  <c r="AK1453" i="2" s="1"/>
  <c r="W1453" i="2"/>
  <c r="AH1452" i="2"/>
  <c r="AD1452" i="2"/>
  <c r="AF1452" i="2" s="1"/>
  <c r="X1452" i="2"/>
  <c r="AB1452" i="2" s="1"/>
  <c r="AK1452" i="2" s="1"/>
  <c r="W1452" i="2"/>
  <c r="AH1451" i="2"/>
  <c r="AD1451" i="2"/>
  <c r="AF1451" i="2" s="1"/>
  <c r="X1451" i="2"/>
  <c r="AB1451" i="2" s="1"/>
  <c r="AK1451" i="2" s="1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X1448" i="2"/>
  <c r="AK1448" i="2" s="1"/>
  <c r="W1448" i="2"/>
  <c r="AH1447" i="2"/>
  <c r="AD1447" i="2"/>
  <c r="AF1447" i="2" s="1"/>
  <c r="X1447" i="2"/>
  <c r="W1447" i="2"/>
  <c r="AH1446" i="2"/>
  <c r="AD1446" i="2"/>
  <c r="X1446" i="2"/>
  <c r="AB1446" i="2" s="1"/>
  <c r="AK1446" i="2" s="1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Y1443" i="2" s="1"/>
  <c r="W1443" i="2"/>
  <c r="AH1442" i="2"/>
  <c r="AD1442" i="2"/>
  <c r="X1442" i="2"/>
  <c r="AB1442" i="2" s="1"/>
  <c r="AK1442" i="2" s="1"/>
  <c r="W1442" i="2"/>
  <c r="AH1441" i="2"/>
  <c r="AD1441" i="2"/>
  <c r="AF1441" i="2" s="1"/>
  <c r="X1441" i="2"/>
  <c r="W1441" i="2"/>
  <c r="AH1440" i="2"/>
  <c r="AD1440" i="2"/>
  <c r="AF1440" i="2" s="1"/>
  <c r="X1440" i="2"/>
  <c r="AB1440" i="2" s="1"/>
  <c r="AK1440" i="2" s="1"/>
  <c r="W1440" i="2"/>
  <c r="AH1439" i="2"/>
  <c r="AD1439" i="2"/>
  <c r="AF1439" i="2" s="1"/>
  <c r="X1439" i="2"/>
  <c r="AB1439" i="2" s="1"/>
  <c r="AK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W1437" i="2"/>
  <c r="AH1436" i="2"/>
  <c r="AD1436" i="2"/>
  <c r="X1436" i="2"/>
  <c r="AB1436" i="2" s="1"/>
  <c r="AK1436" i="2" s="1"/>
  <c r="W1436" i="2"/>
  <c r="AH1435" i="2"/>
  <c r="AD1435" i="2"/>
  <c r="AF1435" i="2" s="1"/>
  <c r="X1435" i="2"/>
  <c r="AB1435" i="2" s="1"/>
  <c r="AK1435" i="2" s="1"/>
  <c r="W1435" i="2"/>
  <c r="AH1434" i="2"/>
  <c r="AD1434" i="2"/>
  <c r="AF1434" i="2" s="1"/>
  <c r="X1434" i="2"/>
  <c r="W1434" i="2"/>
  <c r="AH1433" i="2"/>
  <c r="AD1433" i="2"/>
  <c r="AF1433" i="2" s="1"/>
  <c r="X1433" i="2"/>
  <c r="AB1433" i="2" s="1"/>
  <c r="AK1433" i="2" s="1"/>
  <c r="W1433" i="2"/>
  <c r="AH1432" i="2"/>
  <c r="AD1432" i="2"/>
  <c r="AF1432" i="2" s="1"/>
  <c r="X1432" i="2"/>
  <c r="W1432" i="2"/>
  <c r="AH1431" i="2"/>
  <c r="AD1431" i="2"/>
  <c r="AF1431" i="2" s="1"/>
  <c r="X1431" i="2"/>
  <c r="AB1431" i="2" s="1"/>
  <c r="AK1431" i="2" s="1"/>
  <c r="W1431" i="2"/>
  <c r="AH1430" i="2"/>
  <c r="AD1430" i="2"/>
  <c r="AF1430" i="2" s="1"/>
  <c r="X1430" i="2"/>
  <c r="W1430" i="2"/>
  <c r="AH1429" i="2"/>
  <c r="AD1429" i="2"/>
  <c r="X1429" i="2"/>
  <c r="AB1429" i="2" s="1"/>
  <c r="AK1429" i="2" s="1"/>
  <c r="W1429" i="2"/>
  <c r="AH1428" i="2"/>
  <c r="AD1428" i="2"/>
  <c r="X1428" i="2"/>
  <c r="AB1428" i="2" s="1"/>
  <c r="AK1428" i="2" s="1"/>
  <c r="W1428" i="2"/>
  <c r="AH1427" i="2"/>
  <c r="AD1427" i="2"/>
  <c r="AF1427" i="2" s="1"/>
  <c r="X1427" i="2"/>
  <c r="AB1427" i="2" s="1"/>
  <c r="AK1427" i="2" s="1"/>
  <c r="W1427" i="2"/>
  <c r="AH1426" i="2"/>
  <c r="AD1426" i="2"/>
  <c r="X1426" i="2"/>
  <c r="AB1426" i="2" s="1"/>
  <c r="AK1426" i="2" s="1"/>
  <c r="W1426" i="2"/>
  <c r="AH1425" i="2"/>
  <c r="AD1425" i="2"/>
  <c r="X1425" i="2"/>
  <c r="AB1425" i="2" s="1"/>
  <c r="AK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AB1423" i="2" s="1"/>
  <c r="AK1423" i="2" s="1"/>
  <c r="W1423" i="2"/>
  <c r="AH1422" i="2"/>
  <c r="AD1422" i="2"/>
  <c r="AF1422" i="2" s="1"/>
  <c r="X1422" i="2"/>
  <c r="AB1422" i="2" s="1"/>
  <c r="AK1422" i="2" s="1"/>
  <c r="W1422" i="2"/>
  <c r="AH1421" i="2"/>
  <c r="AD1421" i="2"/>
  <c r="AF1421" i="2" s="1"/>
  <c r="X1421" i="2"/>
  <c r="AB1421" i="2" s="1"/>
  <c r="AK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AB1419" i="2" s="1"/>
  <c r="AK1419" i="2" s="1"/>
  <c r="W1419" i="2"/>
  <c r="AH1418" i="2"/>
  <c r="AD1418" i="2"/>
  <c r="AF1418" i="2" s="1"/>
  <c r="X1418" i="2"/>
  <c r="AB1418" i="2" s="1"/>
  <c r="AK1418" i="2" s="1"/>
  <c r="W1418" i="2"/>
  <c r="AH1417" i="2"/>
  <c r="AD1417" i="2"/>
  <c r="AF1417" i="2" s="1"/>
  <c r="X1417" i="2"/>
  <c r="AB1417" i="2" s="1"/>
  <c r="AK1417" i="2" s="1"/>
  <c r="W1417" i="2"/>
  <c r="AH1416" i="2"/>
  <c r="AD1416" i="2"/>
  <c r="X1416" i="2"/>
  <c r="AB1416" i="2" s="1"/>
  <c r="AK1416" i="2" s="1"/>
  <c r="W1416" i="2"/>
  <c r="AH1415" i="2"/>
  <c r="AD1415" i="2"/>
  <c r="AF1415" i="2" s="1"/>
  <c r="X1415" i="2"/>
  <c r="AB1415" i="2" s="1"/>
  <c r="AK1415" i="2" s="1"/>
  <c r="W1415" i="2"/>
  <c r="AH1414" i="2"/>
  <c r="AD1414" i="2"/>
  <c r="AF1414" i="2" s="1"/>
  <c r="X1414" i="2"/>
  <c r="W1414" i="2"/>
  <c r="AH1413" i="2"/>
  <c r="AD1413" i="2"/>
  <c r="AF1413" i="2" s="1"/>
  <c r="X1413" i="2"/>
  <c r="AB1413" i="2" s="1"/>
  <c r="AK1413" i="2" s="1"/>
  <c r="W1413" i="2"/>
  <c r="AH1412" i="2"/>
  <c r="AD1412" i="2"/>
  <c r="AF1412" i="2" s="1"/>
  <c r="X1412" i="2"/>
  <c r="AB1412" i="2" s="1"/>
  <c r="AK1412" i="2" s="1"/>
  <c r="W1412" i="2"/>
  <c r="AH1411" i="2"/>
  <c r="AD1411" i="2"/>
  <c r="AF1411" i="2" s="1"/>
  <c r="X1411" i="2"/>
  <c r="AB1411" i="2" s="1"/>
  <c r="AK1411" i="2" s="1"/>
  <c r="W1411" i="2"/>
  <c r="AH1410" i="2"/>
  <c r="AD1410" i="2"/>
  <c r="AF1410" i="2" s="1"/>
  <c r="X1410" i="2"/>
  <c r="AB1410" i="2" s="1"/>
  <c r="AK1410" i="2" s="1"/>
  <c r="W1410" i="2"/>
  <c r="AH1409" i="2"/>
  <c r="AD1409" i="2"/>
  <c r="AF1409" i="2" s="1"/>
  <c r="X1409" i="2"/>
  <c r="W1409" i="2"/>
  <c r="AH1408" i="2"/>
  <c r="AD1408" i="2"/>
  <c r="X1408" i="2"/>
  <c r="AB1408" i="2" s="1"/>
  <c r="AK1408" i="2" s="1"/>
  <c r="W1408" i="2"/>
  <c r="AH1407" i="2"/>
  <c r="AD1407" i="2"/>
  <c r="AF1407" i="2" s="1"/>
  <c r="X1407" i="2"/>
  <c r="AB1407" i="2" s="1"/>
  <c r="AK1407" i="2" s="1"/>
  <c r="W1407" i="2"/>
  <c r="AH1406" i="2"/>
  <c r="AD1406" i="2"/>
  <c r="AF1406" i="2" s="1"/>
  <c r="X1406" i="2"/>
  <c r="AB1406" i="2" s="1"/>
  <c r="AK1406" i="2" s="1"/>
  <c r="W1406" i="2"/>
  <c r="AH1405" i="2"/>
  <c r="AD1405" i="2"/>
  <c r="AF1405" i="2" s="1"/>
  <c r="X1405" i="2"/>
  <c r="AB1405" i="2" s="1"/>
  <c r="AK1405" i="2" s="1"/>
  <c r="W1405" i="2"/>
  <c r="AH1404" i="2"/>
  <c r="AD1404" i="2"/>
  <c r="AF1404" i="2" s="1"/>
  <c r="X1404" i="2"/>
  <c r="W1404" i="2"/>
  <c r="AH1403" i="2"/>
  <c r="AD1403" i="2"/>
  <c r="AF1403" i="2" s="1"/>
  <c r="X1403" i="2"/>
  <c r="AB1403" i="2" s="1"/>
  <c r="AK1403" i="2" s="1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B1401" i="2" s="1"/>
  <c r="AK1401" i="2" s="1"/>
  <c r="AH1400" i="2"/>
  <c r="AD1400" i="2"/>
  <c r="AF1400" i="2" s="1"/>
  <c r="X1400" i="2"/>
  <c r="AB1400" i="2" s="1"/>
  <c r="AK1400" i="2" s="1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AC1395" i="2" s="1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AB1392" i="2" s="1"/>
  <c r="AK1392" i="2" s="1"/>
  <c r="W1392" i="2"/>
  <c r="AH1391" i="2"/>
  <c r="AD1391" i="2"/>
  <c r="AF1391" i="2" s="1"/>
  <c r="X1391" i="2"/>
  <c r="AB1391" i="2" s="1"/>
  <c r="AK1391" i="2" s="1"/>
  <c r="W1391" i="2"/>
  <c r="AH1390" i="2"/>
  <c r="AD1390" i="2"/>
  <c r="AF1390" i="2" s="1"/>
  <c r="X1390" i="2"/>
  <c r="AB1390" i="2" s="1"/>
  <c r="AK1390" i="2" s="1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AC1387" i="2" s="1"/>
  <c r="W1387" i="2"/>
  <c r="AH1386" i="2"/>
  <c r="AD1386" i="2"/>
  <c r="X1386" i="2"/>
  <c r="AB1386" i="2" s="1"/>
  <c r="AK1386" i="2" s="1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AC1383" i="2" s="1"/>
  <c r="W1383" i="2"/>
  <c r="AH1382" i="2"/>
  <c r="AD1382" i="2"/>
  <c r="X1382" i="2"/>
  <c r="W1382" i="2"/>
  <c r="AH1381" i="2"/>
  <c r="AD1381" i="2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C1379" i="2" s="1"/>
  <c r="W1379" i="2"/>
  <c r="AH1378" i="2"/>
  <c r="AD1378" i="2"/>
  <c r="X1378" i="2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AB1376" i="2" s="1"/>
  <c r="AK1376" i="2" s="1"/>
  <c r="W1376" i="2"/>
  <c r="AH1375" i="2"/>
  <c r="AD1375" i="2"/>
  <c r="AF1375" i="2" s="1"/>
  <c r="X1375" i="2"/>
  <c r="AB1375" i="2" s="1"/>
  <c r="AK1375" i="2" s="1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X1369" i="2"/>
  <c r="AB1369" i="2" s="1"/>
  <c r="AK1369" i="2" s="1"/>
  <c r="W1369" i="2"/>
  <c r="AH1368" i="2"/>
  <c r="AD1368" i="2"/>
  <c r="AF1368" i="2" s="1"/>
  <c r="X1368" i="2"/>
  <c r="AB1368" i="2" s="1"/>
  <c r="AK1368" i="2" s="1"/>
  <c r="W1368" i="2"/>
  <c r="AH1367" i="2"/>
  <c r="AD1367" i="2"/>
  <c r="AF1367" i="2" s="1"/>
  <c r="X1367" i="2"/>
  <c r="AB1367" i="2" s="1"/>
  <c r="AK1367" i="2" s="1"/>
  <c r="W1367" i="2"/>
  <c r="AH1366" i="2"/>
  <c r="AD1366" i="2"/>
  <c r="AF1366" i="2" s="1"/>
  <c r="X1366" i="2"/>
  <c r="W1366" i="2"/>
  <c r="AH1365" i="2"/>
  <c r="AD1365" i="2"/>
  <c r="AF1365" i="2" s="1"/>
  <c r="X1365" i="2"/>
  <c r="AB1365" i="2" s="1"/>
  <c r="AK1365" i="2" s="1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AB1362" i="2" s="1"/>
  <c r="AK1362" i="2" s="1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AC1359" i="2" s="1"/>
  <c r="W1359" i="2"/>
  <c r="AH1358" i="2"/>
  <c r="AD1358" i="2"/>
  <c r="AF1358" i="2" s="1"/>
  <c r="X1358" i="2"/>
  <c r="AB1358" i="2" s="1"/>
  <c r="AK1358" i="2" s="1"/>
  <c r="W1358" i="2"/>
  <c r="AH1357" i="2"/>
  <c r="AD1357" i="2"/>
  <c r="AF1357" i="2" s="1"/>
  <c r="X1357" i="2"/>
  <c r="AB1357" i="2" s="1"/>
  <c r="AK1357" i="2" s="1"/>
  <c r="W1357" i="2"/>
  <c r="AH1356" i="2"/>
  <c r="AD1356" i="2"/>
  <c r="AF1356" i="2" s="1"/>
  <c r="X1356" i="2"/>
  <c r="AB1356" i="2" s="1"/>
  <c r="AK1356" i="2" s="1"/>
  <c r="W1356" i="2"/>
  <c r="AH1355" i="2"/>
  <c r="AD1355" i="2"/>
  <c r="AF1355" i="2" s="1"/>
  <c r="X1355" i="2"/>
  <c r="W1355" i="2"/>
  <c r="AH1354" i="2"/>
  <c r="AD1354" i="2"/>
  <c r="AF1354" i="2" s="1"/>
  <c r="X1354" i="2"/>
  <c r="AB1354" i="2" s="1"/>
  <c r="AK1354" i="2" s="1"/>
  <c r="W1354" i="2"/>
  <c r="AH1353" i="2"/>
  <c r="AD1353" i="2"/>
  <c r="AF1353" i="2" s="1"/>
  <c r="X1353" i="2"/>
  <c r="AB1353" i="2" s="1"/>
  <c r="AK1353" i="2" s="1"/>
  <c r="W1353" i="2"/>
  <c r="AH1352" i="2"/>
  <c r="AD1352" i="2"/>
  <c r="AF1352" i="2" s="1"/>
  <c r="X1352" i="2"/>
  <c r="W1352" i="2"/>
  <c r="AH1351" i="2"/>
  <c r="AD1351" i="2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AB1341" i="2" s="1"/>
  <c r="AK1341" i="2" s="1"/>
  <c r="W1341" i="2"/>
  <c r="AH1340" i="2"/>
  <c r="AD1340" i="2"/>
  <c r="AF1340" i="2" s="1"/>
  <c r="X1340" i="2"/>
  <c r="AB1340" i="2" s="1"/>
  <c r="AK1340" i="2" s="1"/>
  <c r="W1340" i="2"/>
  <c r="AH1339" i="2"/>
  <c r="AD1339" i="2"/>
  <c r="X1339" i="2"/>
  <c r="AB1339" i="2" s="1"/>
  <c r="AK1339" i="2" s="1"/>
  <c r="W1339" i="2"/>
  <c r="AH1338" i="2"/>
  <c r="AD1338" i="2"/>
  <c r="AF1338" i="2" s="1"/>
  <c r="X1338" i="2"/>
  <c r="W1338" i="2"/>
  <c r="AH1337" i="2"/>
  <c r="AD1337" i="2"/>
  <c r="AF1337" i="2" s="1"/>
  <c r="X1337" i="2"/>
  <c r="AB1337" i="2" s="1"/>
  <c r="AK1337" i="2" s="1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W1334" i="2"/>
  <c r="AH1333" i="2"/>
  <c r="AD1333" i="2"/>
  <c r="AF1333" i="2" s="1"/>
  <c r="X1333" i="2"/>
  <c r="AB1333" i="2" s="1"/>
  <c r="AK1333" i="2" s="1"/>
  <c r="W1333" i="2"/>
  <c r="AH1332" i="2"/>
  <c r="AD1332" i="2"/>
  <c r="AF1332" i="2" s="1"/>
  <c r="X1332" i="2"/>
  <c r="AK1332" i="2" s="1"/>
  <c r="W1332" i="2"/>
  <c r="AH1331" i="2"/>
  <c r="AD1331" i="2"/>
  <c r="X1331" i="2"/>
  <c r="AB1331" i="2" s="1"/>
  <c r="AK1331" i="2" s="1"/>
  <c r="W1331" i="2"/>
  <c r="AH1330" i="2"/>
  <c r="AD1330" i="2"/>
  <c r="AF1330" i="2" s="1"/>
  <c r="X1330" i="2"/>
  <c r="AB1330" i="2" s="1"/>
  <c r="AK1330" i="2" s="1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X1327" i="2"/>
  <c r="AB1327" i="2" s="1"/>
  <c r="AK1327" i="2" s="1"/>
  <c r="W1327" i="2"/>
  <c r="AH1326" i="2"/>
  <c r="AD1326" i="2"/>
  <c r="AF1326" i="2" s="1"/>
  <c r="X1326" i="2"/>
  <c r="W1326" i="2"/>
  <c r="AH1325" i="2"/>
  <c r="AD1325" i="2"/>
  <c r="AF1325" i="2" s="1"/>
  <c r="X1325" i="2"/>
  <c r="AB1325" i="2" s="1"/>
  <c r="AK1325" i="2" s="1"/>
  <c r="W1325" i="2"/>
  <c r="AH1324" i="2"/>
  <c r="AD1324" i="2"/>
  <c r="AF1324" i="2" s="1"/>
  <c r="X1324" i="2"/>
  <c r="W1324" i="2"/>
  <c r="AH1323" i="2"/>
  <c r="AD1323" i="2"/>
  <c r="AF1323" i="2" s="1"/>
  <c r="X1323" i="2"/>
  <c r="AB1323" i="2" s="1"/>
  <c r="AK1323" i="2" s="1"/>
  <c r="W1323" i="2"/>
  <c r="AH1322" i="2"/>
  <c r="AD1322" i="2"/>
  <c r="AF1322" i="2" s="1"/>
  <c r="X1322" i="2"/>
  <c r="W1322" i="2"/>
  <c r="AH1321" i="2"/>
  <c r="AD1321" i="2"/>
  <c r="X1321" i="2"/>
  <c r="AB1321" i="2" s="1"/>
  <c r="AK1321" i="2" s="1"/>
  <c r="W1321" i="2"/>
  <c r="AH1320" i="2"/>
  <c r="AD1320" i="2"/>
  <c r="AF1320" i="2" s="1"/>
  <c r="X1320" i="2"/>
  <c r="W1320" i="2"/>
  <c r="AH1319" i="2"/>
  <c r="AD1319" i="2"/>
  <c r="X1319" i="2"/>
  <c r="AB1319" i="2" s="1"/>
  <c r="AK1319" i="2" s="1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AB1315" i="2" s="1"/>
  <c r="AK1315" i="2" s="1"/>
  <c r="W1315" i="2"/>
  <c r="AH1314" i="2"/>
  <c r="AD1314" i="2"/>
  <c r="AF1314" i="2" s="1"/>
  <c r="X1314" i="2"/>
  <c r="AB1314" i="2" s="1"/>
  <c r="AK1314" i="2" s="1"/>
  <c r="W1314" i="2"/>
  <c r="AH1313" i="2"/>
  <c r="AD1313" i="2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X1309" i="2"/>
  <c r="AC1309" i="2" s="1"/>
  <c r="W1309" i="2"/>
  <c r="AH1308" i="2"/>
  <c r="AD1308" i="2"/>
  <c r="X1308" i="2"/>
  <c r="W1308" i="2"/>
  <c r="AH1307" i="2"/>
  <c r="AD1307" i="2"/>
  <c r="AF1307" i="2" s="1"/>
  <c r="X1307" i="2"/>
  <c r="AB1307" i="2" s="1"/>
  <c r="AK1307" i="2" s="1"/>
  <c r="W1307" i="2"/>
  <c r="AH1306" i="2"/>
  <c r="AD1306" i="2"/>
  <c r="X1306" i="2"/>
  <c r="W1306" i="2"/>
  <c r="AH1305" i="2"/>
  <c r="AD1305" i="2"/>
  <c r="AF1305" i="2" s="1"/>
  <c r="X1305" i="2"/>
  <c r="AB1305" i="2" s="1"/>
  <c r="AK1305" i="2" s="1"/>
  <c r="W1305" i="2"/>
  <c r="AH1304" i="2"/>
  <c r="AD1304" i="2"/>
  <c r="AF1304" i="2" s="1"/>
  <c r="X1304" i="2"/>
  <c r="W1304" i="2"/>
  <c r="AH1303" i="2"/>
  <c r="AD1303" i="2"/>
  <c r="X1303" i="2"/>
  <c r="AB1303" i="2" s="1"/>
  <c r="AK1303" i="2" s="1"/>
  <c r="W1303" i="2"/>
  <c r="AH1302" i="2"/>
  <c r="AD1302" i="2"/>
  <c r="AF1302" i="2" s="1"/>
  <c r="X1302" i="2"/>
  <c r="W1302" i="2"/>
  <c r="AH1301" i="2"/>
  <c r="AD1301" i="2"/>
  <c r="AF1301" i="2" s="1"/>
  <c r="X1301" i="2"/>
  <c r="AB1301" i="2" s="1"/>
  <c r="AK1301" i="2" s="1"/>
  <c r="W1301" i="2"/>
  <c r="AH1300" i="2"/>
  <c r="AD1300" i="2"/>
  <c r="AF1300" i="2" s="1"/>
  <c r="X1300" i="2"/>
  <c r="W1300" i="2"/>
  <c r="AH1299" i="2"/>
  <c r="AD1299" i="2"/>
  <c r="X1299" i="2"/>
  <c r="AB1299" i="2" s="1"/>
  <c r="AK1299" i="2" s="1"/>
  <c r="W1299" i="2"/>
  <c r="AH1298" i="2"/>
  <c r="AD1298" i="2"/>
  <c r="X1298" i="2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W1296" i="2"/>
  <c r="AH1295" i="2"/>
  <c r="AD1295" i="2"/>
  <c r="AF1295" i="2" s="1"/>
  <c r="X1295" i="2"/>
  <c r="AB1295" i="2" s="1"/>
  <c r="AK1295" i="2" s="1"/>
  <c r="W1295" i="2"/>
  <c r="AH1294" i="2"/>
  <c r="AD1294" i="2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X1290" i="2"/>
  <c r="W1290" i="2"/>
  <c r="AH1289" i="2"/>
  <c r="AD1289" i="2"/>
  <c r="AF1289" i="2" s="1"/>
  <c r="X1289" i="2"/>
  <c r="AB1289" i="2" s="1"/>
  <c r="AK1289" i="2" s="1"/>
  <c r="W1289" i="2"/>
  <c r="AH1288" i="2"/>
  <c r="AD1288" i="2"/>
  <c r="X1288" i="2"/>
  <c r="W1288" i="2"/>
  <c r="AH1287" i="2"/>
  <c r="AD1287" i="2"/>
  <c r="AF1287" i="2" s="1"/>
  <c r="X1287" i="2"/>
  <c r="AC1287" i="2" s="1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AB1283" i="2" s="1"/>
  <c r="AK1283" i="2" s="1"/>
  <c r="W1283" i="2"/>
  <c r="AH1282" i="2"/>
  <c r="AD1282" i="2"/>
  <c r="X1282" i="2"/>
  <c r="W1282" i="2"/>
  <c r="AH1281" i="2"/>
  <c r="AD1281" i="2"/>
  <c r="AF1281" i="2" s="1"/>
  <c r="X1281" i="2"/>
  <c r="AB1281" i="2" s="1"/>
  <c r="AK1281" i="2" s="1"/>
  <c r="W1281" i="2"/>
  <c r="AH1280" i="2"/>
  <c r="AD1280" i="2"/>
  <c r="Y1280" i="2" s="1"/>
  <c r="X1280" i="2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W1278" i="2"/>
  <c r="AH1277" i="2"/>
  <c r="AD1277" i="2"/>
  <c r="AF1277" i="2" s="1"/>
  <c r="X1277" i="2"/>
  <c r="AB1277" i="2" s="1"/>
  <c r="AK1277" i="2" s="1"/>
  <c r="W1277" i="2"/>
  <c r="AH1276" i="2"/>
  <c r="AD1276" i="2"/>
  <c r="X1276" i="2"/>
  <c r="W1276" i="2"/>
  <c r="AH1275" i="2"/>
  <c r="AD1275" i="2"/>
  <c r="X1275" i="2"/>
  <c r="AB1275" i="2" s="1"/>
  <c r="AK1275" i="2" s="1"/>
  <c r="W1275" i="2"/>
  <c r="AH1274" i="2"/>
  <c r="AD1274" i="2"/>
  <c r="X1274" i="2"/>
  <c r="T1274" i="2"/>
  <c r="W1274" i="2"/>
  <c r="AH1273" i="2"/>
  <c r="AD1273" i="2"/>
  <c r="AF1273" i="2" s="1"/>
  <c r="X1273" i="2"/>
  <c r="AB1273" i="2" s="1"/>
  <c r="AK1273" i="2" s="1"/>
  <c r="W1273" i="2"/>
  <c r="AH1272" i="2"/>
  <c r="AD1272" i="2"/>
  <c r="AF1272" i="2" s="1"/>
  <c r="X1272" i="2"/>
  <c r="W1272" i="2"/>
  <c r="AH1271" i="2"/>
  <c r="AD1271" i="2"/>
  <c r="AF1271" i="2" s="1"/>
  <c r="X1271" i="2"/>
  <c r="AC1271" i="2" s="1"/>
  <c r="W1271" i="2"/>
  <c r="AH1270" i="2"/>
  <c r="AD1270" i="2"/>
  <c r="AF1270" i="2" s="1"/>
  <c r="X1270" i="2"/>
  <c r="W1270" i="2"/>
  <c r="AH1269" i="2"/>
  <c r="AD1269" i="2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AB1266" i="2" s="1"/>
  <c r="AK1266" i="2" s="1"/>
  <c r="W1266" i="2"/>
  <c r="AH1265" i="2"/>
  <c r="AD1265" i="2"/>
  <c r="AF1265" i="2" s="1"/>
  <c r="X1265" i="2"/>
  <c r="AC1265" i="2" s="1"/>
  <c r="W1265" i="2"/>
  <c r="AH1264" i="2"/>
  <c r="AD1264" i="2"/>
  <c r="AF1264" i="2" s="1"/>
  <c r="X1264" i="2"/>
  <c r="W1264" i="2"/>
  <c r="AH1263" i="2"/>
  <c r="AD1263" i="2"/>
  <c r="AF1263" i="2" s="1"/>
  <c r="X1263" i="2"/>
  <c r="AB1263" i="2" s="1"/>
  <c r="AK1263" i="2" s="1"/>
  <c r="W1263" i="2"/>
  <c r="AH1262" i="2"/>
  <c r="AD1262" i="2"/>
  <c r="AF1262" i="2" s="1"/>
  <c r="X1262" i="2"/>
  <c r="W1262" i="2"/>
  <c r="AH1261" i="2"/>
  <c r="AD1261" i="2"/>
  <c r="AF1261" i="2" s="1"/>
  <c r="X1261" i="2"/>
  <c r="AB1261" i="2" s="1"/>
  <c r="AK1261" i="2" s="1"/>
  <c r="W1261" i="2"/>
  <c r="AH1260" i="2"/>
  <c r="AD1260" i="2"/>
  <c r="AF1260" i="2" s="1"/>
  <c r="X1260" i="2"/>
  <c r="AB1260" i="2" s="1"/>
  <c r="AK1260" i="2" s="1"/>
  <c r="W1260" i="2"/>
  <c r="AH1259" i="2"/>
  <c r="AD1259" i="2"/>
  <c r="X1259" i="2"/>
  <c r="AB1259" i="2" s="1"/>
  <c r="AK1259" i="2" s="1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X1253" i="2"/>
  <c r="AB1253" i="2" s="1"/>
  <c r="AK1253" i="2" s="1"/>
  <c r="W1253" i="2"/>
  <c r="AH1252" i="2"/>
  <c r="AD1252" i="2"/>
  <c r="AF1252" i="2" s="1"/>
  <c r="X1252" i="2"/>
  <c r="AH1251" i="2"/>
  <c r="AD1251" i="2"/>
  <c r="AF1251" i="2" s="1"/>
  <c r="X1251" i="2"/>
  <c r="Y1251" i="2" s="1"/>
  <c r="W1251" i="2"/>
  <c r="AH1250" i="2"/>
  <c r="AD1250" i="2"/>
  <c r="AF1250" i="2" s="1"/>
  <c r="X1250" i="2"/>
  <c r="W1250" i="2"/>
  <c r="AH1249" i="2"/>
  <c r="AD1249" i="2"/>
  <c r="AF1249" i="2" s="1"/>
  <c r="X1249" i="2"/>
  <c r="AB1249" i="2" s="1"/>
  <c r="AK1249" i="2" s="1"/>
  <c r="W1249" i="2"/>
  <c r="AH1248" i="2"/>
  <c r="AD1248" i="2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X1245" i="2"/>
  <c r="AB1245" i="2" s="1"/>
  <c r="AK1245" i="2" s="1"/>
  <c r="W1245" i="2"/>
  <c r="AH1244" i="2"/>
  <c r="AD1244" i="2"/>
  <c r="X1244" i="2"/>
  <c r="W1244" i="2"/>
  <c r="AH1243" i="2"/>
  <c r="AD1243" i="2"/>
  <c r="AF1243" i="2" s="1"/>
  <c r="X1243" i="2"/>
  <c r="AB1243" i="2" s="1"/>
  <c r="AK1243" i="2" s="1"/>
  <c r="W1243" i="2"/>
  <c r="AH1242" i="2"/>
  <c r="AD1242" i="2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AB1239" i="2" s="1"/>
  <c r="AK1239" i="2" s="1"/>
  <c r="W1239" i="2"/>
  <c r="AH1238" i="2"/>
  <c r="AD1238" i="2"/>
  <c r="AF1238" i="2" s="1"/>
  <c r="X1238" i="2"/>
  <c r="W1238" i="2"/>
  <c r="AH1237" i="2"/>
  <c r="AD1237" i="2"/>
  <c r="AF1237" i="2" s="1"/>
  <c r="X1237" i="2"/>
  <c r="AB1237" i="2" s="1"/>
  <c r="AK1237" i="2" s="1"/>
  <c r="W1237" i="2"/>
  <c r="AH1236" i="2"/>
  <c r="AD1236" i="2"/>
  <c r="AF1236" i="2" s="1"/>
  <c r="X1236" i="2"/>
  <c r="W1236" i="2"/>
  <c r="AH1235" i="2"/>
  <c r="AD1235" i="2"/>
  <c r="AF1235" i="2" s="1"/>
  <c r="X1235" i="2"/>
  <c r="AB1235" i="2" s="1"/>
  <c r="AK1235" i="2" s="1"/>
  <c r="W1235" i="2"/>
  <c r="AH1234" i="2"/>
  <c r="AD1234" i="2"/>
  <c r="X1234" i="2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AB1229" i="2" s="1"/>
  <c r="AK1229" i="2" s="1"/>
  <c r="T1229" i="2"/>
  <c r="W1229" i="2"/>
  <c r="AH1228" i="2"/>
  <c r="AD1228" i="2"/>
  <c r="AF1228" i="2" s="1"/>
  <c r="X1228" i="2"/>
  <c r="W1228" i="2"/>
  <c r="AH1227" i="2"/>
  <c r="AD1227" i="2"/>
  <c r="AF1227" i="2" s="1"/>
  <c r="X1227" i="2"/>
  <c r="AB1227" i="2" s="1"/>
  <c r="AK1227" i="2" s="1"/>
  <c r="W1227" i="2"/>
  <c r="AH1226" i="2"/>
  <c r="AD1226" i="2"/>
  <c r="AF1226" i="2" s="1"/>
  <c r="X1226" i="2"/>
  <c r="AB1226" i="2" s="1"/>
  <c r="AK1226" i="2" s="1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X1223" i="2"/>
  <c r="AB1223" i="2" s="1"/>
  <c r="AK1223" i="2" s="1"/>
  <c r="W1223" i="2"/>
  <c r="AH1222" i="2"/>
  <c r="AD1222" i="2"/>
  <c r="AF1222" i="2" s="1"/>
  <c r="X1222" i="2"/>
  <c r="AB1222" i="2" s="1"/>
  <c r="AK1222" i="2" s="1"/>
  <c r="W1222" i="2"/>
  <c r="AH1221" i="2"/>
  <c r="AD1221" i="2"/>
  <c r="AF1221" i="2" s="1"/>
  <c r="X1221" i="2"/>
  <c r="Y1221" i="2" s="1"/>
  <c r="W1221" i="2"/>
  <c r="AH1220" i="2"/>
  <c r="AD1220" i="2"/>
  <c r="AF1220" i="2" s="1"/>
  <c r="X1220" i="2"/>
  <c r="AA1220" i="2" s="1"/>
  <c r="AB1220" i="2" s="1"/>
  <c r="AK1220" i="2" s="1"/>
  <c r="W1220" i="2"/>
  <c r="AH1219" i="2"/>
  <c r="AD1219" i="2"/>
  <c r="AF1219" i="2" s="1"/>
  <c r="X1219" i="2"/>
  <c r="AC1219" i="2" s="1"/>
  <c r="W1219" i="2"/>
  <c r="AH1218" i="2"/>
  <c r="AD1218" i="2"/>
  <c r="AF1218" i="2" s="1"/>
  <c r="X1218" i="2"/>
  <c r="W1218" i="2"/>
  <c r="AH1217" i="2"/>
  <c r="AD1217" i="2"/>
  <c r="AF1217" i="2" s="1"/>
  <c r="X1217" i="2"/>
  <c r="AA1217" i="2" s="1"/>
  <c r="AB1217" i="2" s="1"/>
  <c r="AK1217" i="2" s="1"/>
  <c r="W1217" i="2"/>
  <c r="AH1216" i="2"/>
  <c r="AD1216" i="2"/>
  <c r="X1216" i="2"/>
  <c r="W1216" i="2"/>
  <c r="AH1215" i="2"/>
  <c r="AD1215" i="2"/>
  <c r="AF1215" i="2" s="1"/>
  <c r="X1215" i="2"/>
  <c r="AA1215" i="2" s="1"/>
  <c r="R8" i="3" s="1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AB1211" i="2" s="1"/>
  <c r="AK1211" i="2" s="1"/>
  <c r="W1211" i="2"/>
  <c r="AH1210" i="2"/>
  <c r="AD1210" i="2"/>
  <c r="AF1210" i="2" s="1"/>
  <c r="X1210" i="2"/>
  <c r="W1210" i="2"/>
  <c r="AH1209" i="2"/>
  <c r="AD1209" i="2"/>
  <c r="X1209" i="2"/>
  <c r="AB1209" i="2" s="1"/>
  <c r="AK1209" i="2" s="1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AB1205" i="2" s="1"/>
  <c r="AK1205" i="2" s="1"/>
  <c r="W1205" i="2"/>
  <c r="AH1204" i="2"/>
  <c r="AD1204" i="2"/>
  <c r="AF1204" i="2" s="1"/>
  <c r="X1204" i="2"/>
  <c r="W1204" i="2"/>
  <c r="AH1203" i="2"/>
  <c r="AD1203" i="2"/>
  <c r="AF1203" i="2" s="1"/>
  <c r="X1203" i="2"/>
  <c r="AB1203" i="2" s="1"/>
  <c r="AK1203" i="2" s="1"/>
  <c r="W1203" i="2"/>
  <c r="AH1202" i="2"/>
  <c r="AD1202" i="2"/>
  <c r="AF1202" i="2" s="1"/>
  <c r="X1202" i="2"/>
  <c r="W1202" i="2"/>
  <c r="AH1201" i="2"/>
  <c r="AD1201" i="2"/>
  <c r="AF1201" i="2" s="1"/>
  <c r="X1201" i="2"/>
  <c r="AB1201" i="2" s="1"/>
  <c r="AK1201" i="2" s="1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AB1197" i="2" s="1"/>
  <c r="AK1197" i="2" s="1"/>
  <c r="W1197" i="2"/>
  <c r="AH1196" i="2"/>
  <c r="AD1196" i="2"/>
  <c r="AF1196" i="2" s="1"/>
  <c r="X1196" i="2"/>
  <c r="W1196" i="2"/>
  <c r="AH1195" i="2"/>
  <c r="AD1195" i="2"/>
  <c r="AF1195" i="2" s="1"/>
  <c r="X1195" i="2"/>
  <c r="AB1195" i="2" s="1"/>
  <c r="AK1195" i="2" s="1"/>
  <c r="W1195" i="2"/>
  <c r="AH1194" i="2"/>
  <c r="AD1194" i="2"/>
  <c r="AF1194" i="2" s="1"/>
  <c r="X1194" i="2"/>
  <c r="W1194" i="2"/>
  <c r="AH1193" i="2"/>
  <c r="AD1193" i="2"/>
  <c r="X1193" i="2"/>
  <c r="AB1193" i="2" s="1"/>
  <c r="AK1193" i="2" s="1"/>
  <c r="W1193" i="2"/>
  <c r="AH1192" i="2"/>
  <c r="AD1192" i="2"/>
  <c r="AF1192" i="2" s="1"/>
  <c r="X1192" i="2"/>
  <c r="W1192" i="2"/>
  <c r="AH1191" i="2"/>
  <c r="AD1191" i="2"/>
  <c r="AF1191" i="2" s="1"/>
  <c r="X1191" i="2"/>
  <c r="AB1191" i="2" s="1"/>
  <c r="AK1191" i="2" s="1"/>
  <c r="W1191" i="2"/>
  <c r="AH1190" i="2"/>
  <c r="AD1190" i="2"/>
  <c r="AF1190" i="2" s="1"/>
  <c r="X1190" i="2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W1188" i="2"/>
  <c r="AH1187" i="2"/>
  <c r="AD1187" i="2"/>
  <c r="AF1187" i="2" s="1"/>
  <c r="X1187" i="2"/>
  <c r="AB1187" i="2" s="1"/>
  <c r="AK1187" i="2" s="1"/>
  <c r="W1187" i="2"/>
  <c r="AH1186" i="2"/>
  <c r="AD1186" i="2"/>
  <c r="AF1186" i="2" s="1"/>
  <c r="X1186" i="2"/>
  <c r="W1186" i="2"/>
  <c r="AH1185" i="2"/>
  <c r="AD1185" i="2"/>
  <c r="AF1185" i="2" s="1"/>
  <c r="X1185" i="2"/>
  <c r="AB1185" i="2" s="1"/>
  <c r="AK1185" i="2" s="1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W1182" i="2"/>
  <c r="AH1181" i="2"/>
  <c r="AD1181" i="2"/>
  <c r="AF1181" i="2" s="1"/>
  <c r="X1181" i="2"/>
  <c r="Y1181" i="2" s="1"/>
  <c r="W1181" i="2"/>
  <c r="AH1180" i="2"/>
  <c r="AD1180" i="2"/>
  <c r="AF1180" i="2" s="1"/>
  <c r="X1180" i="2"/>
  <c r="AK1180" i="2" s="1"/>
  <c r="W1180" i="2"/>
  <c r="AH1179" i="2"/>
  <c r="AD1179" i="2"/>
  <c r="X1179" i="2"/>
  <c r="AB1179" i="2" s="1"/>
  <c r="AK1179" i="2" s="1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X1173" i="2"/>
  <c r="AB1173" i="2" s="1"/>
  <c r="AK1173" i="2" s="1"/>
  <c r="W1173" i="2"/>
  <c r="AH1172" i="2"/>
  <c r="AD1172" i="2"/>
  <c r="AF1172" i="2" s="1"/>
  <c r="X1172" i="2"/>
  <c r="W1172" i="2"/>
  <c r="AH1171" i="2"/>
  <c r="AD1171" i="2"/>
  <c r="X1171" i="2"/>
  <c r="W1171" i="2"/>
  <c r="AH1170" i="2"/>
  <c r="AD1170" i="2"/>
  <c r="AF1170" i="2" s="1"/>
  <c r="X1170" i="2"/>
  <c r="AB1170" i="2" s="1"/>
  <c r="AK1170" i="2" s="1"/>
  <c r="W1170" i="2"/>
  <c r="AH1169" i="2"/>
  <c r="AD1169" i="2"/>
  <c r="X1169" i="2"/>
  <c r="AB1169" i="2" s="1"/>
  <c r="AK1169" i="2" s="1"/>
  <c r="W1169" i="2"/>
  <c r="AH1168" i="2"/>
  <c r="AD1168" i="2"/>
  <c r="AF1168" i="2" s="1"/>
  <c r="X1168" i="2"/>
  <c r="W1168" i="2"/>
  <c r="AH1167" i="2"/>
  <c r="AD1167" i="2"/>
  <c r="AF1167" i="2" s="1"/>
  <c r="X1167" i="2"/>
  <c r="AB1167" i="2" s="1"/>
  <c r="AK1167" i="2" s="1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X1163" i="2"/>
  <c r="AB1163" i="2" s="1"/>
  <c r="AK1163" i="2" s="1"/>
  <c r="W1163" i="2"/>
  <c r="AH1162" i="2"/>
  <c r="AD1162" i="2"/>
  <c r="AF1162" i="2" s="1"/>
  <c r="X1162" i="2"/>
  <c r="W1162" i="2"/>
  <c r="AH1161" i="2"/>
  <c r="AD1161" i="2"/>
  <c r="AF1161" i="2" s="1"/>
  <c r="X1161" i="2"/>
  <c r="AB1161" i="2" s="1"/>
  <c r="AK1161" i="2" s="1"/>
  <c r="W1161" i="2"/>
  <c r="AH1160" i="2"/>
  <c r="AD1160" i="2"/>
  <c r="AF1160" i="2" s="1"/>
  <c r="X1160" i="2"/>
  <c r="W1160" i="2"/>
  <c r="AH1159" i="2"/>
  <c r="AD1159" i="2"/>
  <c r="AF1159" i="2" s="1"/>
  <c r="X1159" i="2"/>
  <c r="W1159" i="2"/>
  <c r="AH1158" i="2"/>
  <c r="AD1158" i="2"/>
  <c r="AF1158" i="2" s="1"/>
  <c r="X1158" i="2"/>
  <c r="W1158" i="2"/>
  <c r="AH1157" i="2"/>
  <c r="AD1157" i="2"/>
  <c r="AF1157" i="2" s="1"/>
  <c r="X1157" i="2"/>
  <c r="AB1157" i="2" s="1"/>
  <c r="AK1157" i="2" s="1"/>
  <c r="W1157" i="2"/>
  <c r="AH1156" i="2"/>
  <c r="AD1156" i="2"/>
  <c r="AF1156" i="2" s="1"/>
  <c r="X1156" i="2"/>
  <c r="W1156" i="2"/>
  <c r="AH1155" i="2"/>
  <c r="AD1155" i="2"/>
  <c r="AF1155" i="2" s="1"/>
  <c r="X1155" i="2"/>
  <c r="AB1155" i="2" s="1"/>
  <c r="AK1155" i="2" s="1"/>
  <c r="W1155" i="2"/>
  <c r="AH1154" i="2"/>
  <c r="AD1154" i="2"/>
  <c r="AF1154" i="2" s="1"/>
  <c r="X1154" i="2"/>
  <c r="AB1154" i="2" s="1"/>
  <c r="AK1154" i="2" s="1"/>
  <c r="W1154" i="2"/>
  <c r="AH1153" i="2"/>
  <c r="AD1153" i="2"/>
  <c r="AF1153" i="2" s="1"/>
  <c r="X1153" i="2"/>
  <c r="AB1153" i="2" s="1"/>
  <c r="AK1153" i="2" s="1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AB1149" i="2" s="1"/>
  <c r="AK1149" i="2" s="1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AB1146" i="2" s="1"/>
  <c r="AK1146" i="2" s="1"/>
  <c r="W1146" i="2"/>
  <c r="AH1145" i="2"/>
  <c r="AD1145" i="2"/>
  <c r="X1145" i="2"/>
  <c r="AB1145" i="2" s="1"/>
  <c r="AK1145" i="2" s="1"/>
  <c r="W1145" i="2"/>
  <c r="AH1144" i="2"/>
  <c r="AD1144" i="2"/>
  <c r="AF1144" i="2" s="1"/>
  <c r="X1144" i="2"/>
  <c r="W1144" i="2"/>
  <c r="AH1143" i="2"/>
  <c r="AD1143" i="2"/>
  <c r="AF1143" i="2" s="1"/>
  <c r="X1143" i="2"/>
  <c r="AC1143" i="2" s="1"/>
  <c r="W1143" i="2"/>
  <c r="AH1142" i="2"/>
  <c r="AD1142" i="2"/>
  <c r="AF1142" i="2" s="1"/>
  <c r="X1142" i="2"/>
  <c r="W1142" i="2"/>
  <c r="AH1141" i="2"/>
  <c r="AD1141" i="2"/>
  <c r="AF1141" i="2" s="1"/>
  <c r="X1141" i="2"/>
  <c r="AB1141" i="2" s="1"/>
  <c r="AK1141" i="2" s="1"/>
  <c r="W1141" i="2"/>
  <c r="AH1140" i="2"/>
  <c r="AD1140" i="2"/>
  <c r="AF1140" i="2" s="1"/>
  <c r="X1140" i="2"/>
  <c r="W1140" i="2"/>
  <c r="AH1139" i="2"/>
  <c r="AD1139" i="2"/>
  <c r="AF1139" i="2" s="1"/>
  <c r="X1139" i="2"/>
  <c r="AB1139" i="2" s="1"/>
  <c r="AK1139" i="2" s="1"/>
  <c r="W1139" i="2"/>
  <c r="AH1138" i="2"/>
  <c r="AD1138" i="2"/>
  <c r="AF1138" i="2" s="1"/>
  <c r="X1138" i="2"/>
  <c r="AB1138" i="2" s="1"/>
  <c r="AK1138" i="2" s="1"/>
  <c r="W1138" i="2"/>
  <c r="AH1137" i="2"/>
  <c r="AD1137" i="2"/>
  <c r="AF1137" i="2" s="1"/>
  <c r="X1137" i="2"/>
  <c r="AB1137" i="2" s="1"/>
  <c r="AK1137" i="2" s="1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AB1133" i="2" s="1"/>
  <c r="AK1133" i="2" s="1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AB1129" i="2" s="1"/>
  <c r="AK1129" i="2" s="1"/>
  <c r="W1129" i="2"/>
  <c r="AH1128" i="2"/>
  <c r="AD1128" i="2"/>
  <c r="AF1128" i="2" s="1"/>
  <c r="X1128" i="2"/>
  <c r="W1128" i="2"/>
  <c r="AH1127" i="2"/>
  <c r="AD1127" i="2"/>
  <c r="X1127" i="2"/>
  <c r="AB1127" i="2" s="1"/>
  <c r="AK1127" i="2" s="1"/>
  <c r="W1127" i="2"/>
  <c r="AH1126" i="2"/>
  <c r="AD1126" i="2"/>
  <c r="AF1126" i="2" s="1"/>
  <c r="X1126" i="2"/>
  <c r="AB1126" i="2" s="1"/>
  <c r="AK1126" i="2" s="1"/>
  <c r="W1126" i="2"/>
  <c r="AH1125" i="2"/>
  <c r="AD1125" i="2"/>
  <c r="Y1125" i="2" s="1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AB1121" i="2" s="1"/>
  <c r="AK1121" i="2" s="1"/>
  <c r="W1121" i="2"/>
  <c r="AH1120" i="2"/>
  <c r="AD1120" i="2"/>
  <c r="AF1120" i="2" s="1"/>
  <c r="X1120" i="2"/>
  <c r="AB1120" i="2" s="1"/>
  <c r="AK1120" i="2" s="1"/>
  <c r="W1120" i="2"/>
  <c r="AH1119" i="2"/>
  <c r="AD1119" i="2"/>
  <c r="X1119" i="2"/>
  <c r="AB1119" i="2" s="1"/>
  <c r="AK1119" i="2" s="1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X1115" i="2"/>
  <c r="AB1115" i="2" s="1"/>
  <c r="AK1115" i="2" s="1"/>
  <c r="W1115" i="2"/>
  <c r="AH1114" i="2"/>
  <c r="AD1114" i="2"/>
  <c r="AF1114" i="2" s="1"/>
  <c r="X1114" i="2"/>
  <c r="W1114" i="2"/>
  <c r="AH1113" i="2"/>
  <c r="AD1113" i="2"/>
  <c r="AF1113" i="2" s="1"/>
  <c r="X1113" i="2"/>
  <c r="AB1113" i="2" s="1"/>
  <c r="AK1113" i="2" s="1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AB1105" i="2" s="1"/>
  <c r="AK1105" i="2" s="1"/>
  <c r="W1105" i="2"/>
  <c r="AH1104" i="2"/>
  <c r="AD1104" i="2"/>
  <c r="AF1104" i="2" s="1"/>
  <c r="X1104" i="2"/>
  <c r="AB1104" i="2" s="1"/>
  <c r="AK1104" i="2" s="1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X1097" i="2"/>
  <c r="AB1097" i="2" s="1"/>
  <c r="AK1097" i="2" s="1"/>
  <c r="W1097" i="2"/>
  <c r="AH1096" i="2"/>
  <c r="AD1096" i="2"/>
  <c r="AF1096" i="2" s="1"/>
  <c r="X1096" i="2"/>
  <c r="W1096" i="2"/>
  <c r="AH1095" i="2"/>
  <c r="AD1095" i="2"/>
  <c r="AF1095" i="2" s="1"/>
  <c r="X1095" i="2"/>
  <c r="AB1095" i="2" s="1"/>
  <c r="AK1095" i="2" s="1"/>
  <c r="W1095" i="2"/>
  <c r="AH1094" i="2"/>
  <c r="AD1094" i="2"/>
  <c r="AF1094" i="2" s="1"/>
  <c r="X1094" i="2"/>
  <c r="W1094" i="2"/>
  <c r="AH1093" i="2"/>
  <c r="AD1093" i="2"/>
  <c r="X1093" i="2"/>
  <c r="AB1093" i="2" s="1"/>
  <c r="AK1093" i="2" s="1"/>
  <c r="W1093" i="2"/>
  <c r="AH1092" i="2"/>
  <c r="AD1092" i="2"/>
  <c r="AF1092" i="2" s="1"/>
  <c r="X1092" i="2"/>
  <c r="W1092" i="2"/>
  <c r="AH1091" i="2"/>
  <c r="AD1091" i="2"/>
  <c r="AF1091" i="2" s="1"/>
  <c r="X1091" i="2"/>
  <c r="AB1091" i="2" s="1"/>
  <c r="AK1091" i="2" s="1"/>
  <c r="W1091" i="2"/>
  <c r="AH1090" i="2"/>
  <c r="AD1090" i="2"/>
  <c r="AF1090" i="2" s="1"/>
  <c r="X1090" i="2"/>
  <c r="W1090" i="2"/>
  <c r="AH1089" i="2"/>
  <c r="AD1089" i="2"/>
  <c r="AF1089" i="2" s="1"/>
  <c r="X1089" i="2"/>
  <c r="AB1089" i="2" s="1"/>
  <c r="AK1089" i="2" s="1"/>
  <c r="W1089" i="2"/>
  <c r="AH1088" i="2"/>
  <c r="AD1088" i="2"/>
  <c r="AF1088" i="2" s="1"/>
  <c r="X1088" i="2"/>
  <c r="AB1088" i="2" s="1"/>
  <c r="AK1088" i="2" s="1"/>
  <c r="W1088" i="2"/>
  <c r="AH1087" i="2"/>
  <c r="AD1087" i="2"/>
  <c r="AF1087" i="2" s="1"/>
  <c r="X1087" i="2"/>
  <c r="AB1087" i="2" s="1"/>
  <c r="AK1087" i="2" s="1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AC1077" i="2" s="1"/>
  <c r="W1077" i="2"/>
  <c r="AH1076" i="2"/>
  <c r="AD1076" i="2"/>
  <c r="AF1076" i="2" s="1"/>
  <c r="X1076" i="2"/>
  <c r="W1076" i="2"/>
  <c r="AH1075" i="2"/>
  <c r="AD1075" i="2"/>
  <c r="AF1075" i="2" s="1"/>
  <c r="X1075" i="2"/>
  <c r="AB1075" i="2" s="1"/>
  <c r="AK1075" i="2" s="1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AB1072" i="2" s="1"/>
  <c r="AK1072" i="2" s="1"/>
  <c r="W1072" i="2"/>
  <c r="AH1071" i="2"/>
  <c r="AD1071" i="2"/>
  <c r="AF1071" i="2" s="1"/>
  <c r="X1071" i="2"/>
  <c r="AB1071" i="2" s="1"/>
  <c r="AK1071" i="2" s="1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X1066" i="2"/>
  <c r="AB1066" i="2" s="1"/>
  <c r="AK1066" i="2" s="1"/>
  <c r="W1066" i="2"/>
  <c r="AH1065" i="2"/>
  <c r="AD1065" i="2"/>
  <c r="AF1065" i="2" s="1"/>
  <c r="X1065" i="2"/>
  <c r="AB1065" i="2" s="1"/>
  <c r="AK1065" i="2" s="1"/>
  <c r="W1065" i="2"/>
  <c r="AH1064" i="2"/>
  <c r="AD1064" i="2"/>
  <c r="X1064" i="2"/>
  <c r="AB1064" i="2" s="1"/>
  <c r="AK1064" i="2" s="1"/>
  <c r="W1064" i="2"/>
  <c r="AH1063" i="2"/>
  <c r="AD1063" i="2"/>
  <c r="AF1063" i="2" s="1"/>
  <c r="X1063" i="2"/>
  <c r="AB1063" i="2" s="1"/>
  <c r="AK1063" i="2" s="1"/>
  <c r="W1063" i="2"/>
  <c r="AH1062" i="2"/>
  <c r="AD1062" i="2"/>
  <c r="X1062" i="2"/>
  <c r="W1062" i="2"/>
  <c r="AH1061" i="2"/>
  <c r="AD1061" i="2"/>
  <c r="AF1061" i="2" s="1"/>
  <c r="X1061" i="2"/>
  <c r="AB1061" i="2" s="1"/>
  <c r="AK1061" i="2" s="1"/>
  <c r="W1061" i="2"/>
  <c r="AH1060" i="2"/>
  <c r="AD1060" i="2"/>
  <c r="X1060" i="2"/>
  <c r="W1060" i="2"/>
  <c r="AH1059" i="2"/>
  <c r="AD1059" i="2"/>
  <c r="X1059" i="2"/>
  <c r="AB1059" i="2" s="1"/>
  <c r="AK1059" i="2" s="1"/>
  <c r="W1059" i="2"/>
  <c r="AH1058" i="2"/>
  <c r="AD1058" i="2"/>
  <c r="AF1058" i="2" s="1"/>
  <c r="X1058" i="2"/>
  <c r="AB1058" i="2" s="1"/>
  <c r="AK1058" i="2" s="1"/>
  <c r="W1058" i="2"/>
  <c r="AH1057" i="2"/>
  <c r="AD1057" i="2"/>
  <c r="AF1057" i="2" s="1"/>
  <c r="X1057" i="2"/>
  <c r="W1057" i="2"/>
  <c r="AH1056" i="2"/>
  <c r="AD1056" i="2"/>
  <c r="X1056" i="2"/>
  <c r="AB1056" i="2" s="1"/>
  <c r="AK1056" i="2" s="1"/>
  <c r="W1056" i="2"/>
  <c r="AH1055" i="2"/>
  <c r="AD1055" i="2"/>
  <c r="AF1055" i="2" s="1"/>
  <c r="X1055" i="2"/>
  <c r="W1055" i="2"/>
  <c r="AH1054" i="2"/>
  <c r="AD1054" i="2"/>
  <c r="X1054" i="2"/>
  <c r="AB1054" i="2" s="1"/>
  <c r="AK1054" i="2" s="1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AB1050" i="2" s="1"/>
  <c r="AK1050" i="2" s="1"/>
  <c r="W1050" i="2"/>
  <c r="AH1049" i="2"/>
  <c r="AD1049" i="2"/>
  <c r="AF1049" i="2" s="1"/>
  <c r="X1049" i="2"/>
  <c r="AB1049" i="2" s="1"/>
  <c r="AK1049" i="2" s="1"/>
  <c r="W1049" i="2"/>
  <c r="AH1048" i="2"/>
  <c r="AD1048" i="2"/>
  <c r="AF1048" i="2" s="1"/>
  <c r="X1048" i="2"/>
  <c r="W1048" i="2"/>
  <c r="AH1047" i="2"/>
  <c r="AD1047" i="2"/>
  <c r="AF1047" i="2" s="1"/>
  <c r="X1047" i="2"/>
  <c r="AB1047" i="2" s="1"/>
  <c r="AK1047" i="2" s="1"/>
  <c r="AH1046" i="2"/>
  <c r="AD1046" i="2"/>
  <c r="X1046" i="2"/>
  <c r="AB1046" i="2" s="1"/>
  <c r="AK1046" i="2" s="1"/>
  <c r="W1046" i="2"/>
  <c r="AH1045" i="2"/>
  <c r="AD1045" i="2"/>
  <c r="AF1045" i="2" s="1"/>
  <c r="X1045" i="2"/>
  <c r="W1045" i="2"/>
  <c r="AH1044" i="2"/>
  <c r="AD1044" i="2"/>
  <c r="X1044" i="2"/>
  <c r="AB1044" i="2" s="1"/>
  <c r="AK1044" i="2" s="1"/>
  <c r="W1044" i="2"/>
  <c r="AH1043" i="2"/>
  <c r="AD1043" i="2"/>
  <c r="AF1043" i="2" s="1"/>
  <c r="X1043" i="2"/>
  <c r="AB1043" i="2" s="1"/>
  <c r="AK1043" i="2" s="1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AB1040" i="2" s="1"/>
  <c r="AK1040" i="2" s="1"/>
  <c r="W1040" i="2"/>
  <c r="AH1039" i="2"/>
  <c r="AD1039" i="2"/>
  <c r="AF1039" i="2" s="1"/>
  <c r="X1039" i="2"/>
  <c r="AB1039" i="2" s="1"/>
  <c r="AK1039" i="2" s="1"/>
  <c r="W1039" i="2"/>
  <c r="AH1038" i="2"/>
  <c r="AD1038" i="2"/>
  <c r="AF1038" i="2" s="1"/>
  <c r="X1038" i="2"/>
  <c r="AB1038" i="2" s="1"/>
  <c r="AK1038" i="2" s="1"/>
  <c r="W1038" i="2"/>
  <c r="AH1037" i="2"/>
  <c r="AD1037" i="2"/>
  <c r="X1037" i="2"/>
  <c r="AB1037" i="2" s="1"/>
  <c r="AK1037" i="2" s="1"/>
  <c r="W1037" i="2"/>
  <c r="AH1036" i="2"/>
  <c r="AD1036" i="2"/>
  <c r="X1036" i="2"/>
  <c r="AB1036" i="2" s="1"/>
  <c r="AK1036" i="2" s="1"/>
  <c r="W1036" i="2"/>
  <c r="AH1035" i="2"/>
  <c r="AD1035" i="2"/>
  <c r="X1035" i="2"/>
  <c r="W1035" i="2"/>
  <c r="AH1034" i="2"/>
  <c r="AD1034" i="2"/>
  <c r="AF1034" i="2" s="1"/>
  <c r="X1034" i="2"/>
  <c r="AB1034" i="2" s="1"/>
  <c r="AK1034" i="2" s="1"/>
  <c r="W1034" i="2"/>
  <c r="AH1033" i="2"/>
  <c r="AD1033" i="2"/>
  <c r="X1033" i="2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W1031" i="2"/>
  <c r="AH1030" i="2"/>
  <c r="AD1030" i="2"/>
  <c r="X1030" i="2"/>
  <c r="W1030" i="2"/>
  <c r="AH1029" i="2"/>
  <c r="AD1029" i="2"/>
  <c r="AF1029" i="2" s="1"/>
  <c r="X1029" i="2"/>
  <c r="W1029" i="2"/>
  <c r="AH1028" i="2"/>
  <c r="AD1028" i="2"/>
  <c r="X1028" i="2"/>
  <c r="W1028" i="2"/>
  <c r="AH1027" i="2"/>
  <c r="AD1027" i="2"/>
  <c r="AF1027" i="2" s="1"/>
  <c r="X1027" i="2"/>
  <c r="W1027" i="2"/>
  <c r="AH1026" i="2"/>
  <c r="AD1026" i="2"/>
  <c r="X1026" i="2"/>
  <c r="AB1026" i="2" s="1"/>
  <c r="AK1026" i="2" s="1"/>
  <c r="W1026" i="2"/>
  <c r="AH1025" i="2"/>
  <c r="AD1025" i="2"/>
  <c r="X1025" i="2"/>
  <c r="AB1025" i="2" s="1"/>
  <c r="AK1025" i="2" s="1"/>
  <c r="W1025" i="2"/>
  <c r="AH1024" i="2"/>
  <c r="AD1024" i="2"/>
  <c r="AF1024" i="2" s="1"/>
  <c r="X1024" i="2"/>
  <c r="AB1024" i="2" s="1"/>
  <c r="AK1024" i="2" s="1"/>
  <c r="W1024" i="2"/>
  <c r="AH1023" i="2"/>
  <c r="AD1023" i="2"/>
  <c r="AF1023" i="2" s="1"/>
  <c r="X1023" i="2"/>
  <c r="AB1023" i="2" s="1"/>
  <c r="AK1023" i="2" s="1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C1020" i="2" s="1"/>
  <c r="W1020" i="2"/>
  <c r="AH1019" i="2"/>
  <c r="AD1019" i="2"/>
  <c r="X1019" i="2"/>
  <c r="AB1019" i="2" s="1"/>
  <c r="AK1019" i="2" s="1"/>
  <c r="W1019" i="2"/>
  <c r="AH1018" i="2"/>
  <c r="AD1018" i="2"/>
  <c r="AF1018" i="2" s="1"/>
  <c r="X1018" i="2"/>
  <c r="AB1018" i="2" s="1"/>
  <c r="AK1018" i="2" s="1"/>
  <c r="W1018" i="2"/>
  <c r="AH1017" i="2"/>
  <c r="AD1017" i="2"/>
  <c r="X1017" i="2"/>
  <c r="AB1017" i="2" s="1"/>
  <c r="AK1017" i="2" s="1"/>
  <c r="W1017" i="2"/>
  <c r="AH1016" i="2"/>
  <c r="AD1016" i="2"/>
  <c r="AF1016" i="2" s="1"/>
  <c r="X1016" i="2"/>
  <c r="AB1016" i="2" s="1"/>
  <c r="AK1016" i="2" s="1"/>
  <c r="W1016" i="2"/>
  <c r="AH1015" i="2"/>
  <c r="AD1015" i="2"/>
  <c r="AF1015" i="2" s="1"/>
  <c r="X1015" i="2"/>
  <c r="AB1015" i="2" s="1"/>
  <c r="AK1015" i="2" s="1"/>
  <c r="W1015" i="2"/>
  <c r="AH1014" i="2"/>
  <c r="AD1014" i="2"/>
  <c r="X1014" i="2"/>
  <c r="AB1014" i="2" s="1"/>
  <c r="AK1014" i="2" s="1"/>
  <c r="W1014" i="2"/>
  <c r="AH1013" i="2"/>
  <c r="AD1013" i="2"/>
  <c r="X1013" i="2"/>
  <c r="AB1013" i="2" s="1"/>
  <c r="AK1013" i="2" s="1"/>
  <c r="W1013" i="2"/>
  <c r="AH1012" i="2"/>
  <c r="AD1012" i="2"/>
  <c r="AF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B1007" i="2" s="1"/>
  <c r="AK1007" i="2" s="1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AB1004" i="2" s="1"/>
  <c r="AK1004" i="2" s="1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AB1000" i="2" s="1"/>
  <c r="AK1000" i="2" s="1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AB996" i="2" s="1"/>
  <c r="AK996" i="2" s="1"/>
  <c r="W996" i="2"/>
  <c r="AH995" i="2"/>
  <c r="AD995" i="2"/>
  <c r="AF995" i="2" s="1"/>
  <c r="X995" i="2"/>
  <c r="W995" i="2"/>
  <c r="AH994" i="2"/>
  <c r="AD994" i="2"/>
  <c r="AF994" i="2" s="1"/>
  <c r="X994" i="2"/>
  <c r="AB994" i="2" s="1"/>
  <c r="AK994" i="2" s="1"/>
  <c r="W994" i="2"/>
  <c r="AH993" i="2"/>
  <c r="AD993" i="2"/>
  <c r="AF993" i="2" s="1"/>
  <c r="X993" i="2"/>
  <c r="AH992" i="2"/>
  <c r="AD992" i="2"/>
  <c r="AF992" i="2" s="1"/>
  <c r="X992" i="2"/>
  <c r="AB992" i="2" s="1"/>
  <c r="AK992" i="2" s="1"/>
  <c r="AH991" i="2"/>
  <c r="AD991" i="2"/>
  <c r="X991" i="2"/>
  <c r="AB991" i="2" s="1"/>
  <c r="AK991" i="2" s="1"/>
  <c r="AH990" i="2"/>
  <c r="AD990" i="2"/>
  <c r="AF990" i="2" s="1"/>
  <c r="X990" i="2"/>
  <c r="AB990" i="2" s="1"/>
  <c r="AK990" i="2" s="1"/>
  <c r="W990" i="2"/>
  <c r="AH989" i="2"/>
  <c r="AD989" i="2"/>
  <c r="X989" i="2"/>
  <c r="AB989" i="2" s="1"/>
  <c r="AK989" i="2" s="1"/>
  <c r="W989" i="2"/>
  <c r="AH988" i="2"/>
  <c r="AD988" i="2"/>
  <c r="AF988" i="2" s="1"/>
  <c r="X988" i="2"/>
  <c r="AB988" i="2" s="1"/>
  <c r="AK988" i="2" s="1"/>
  <c r="W988" i="2"/>
  <c r="AH987" i="2"/>
  <c r="AD987" i="2"/>
  <c r="AF987" i="2" s="1"/>
  <c r="X987" i="2"/>
  <c r="AB987" i="2" s="1"/>
  <c r="AK987" i="2" s="1"/>
  <c r="W987" i="2"/>
  <c r="AH986" i="2"/>
  <c r="AD986" i="2"/>
  <c r="AF986" i="2" s="1"/>
  <c r="X986" i="2"/>
  <c r="W986" i="2"/>
  <c r="AH985" i="2"/>
  <c r="AD985" i="2"/>
  <c r="AF985" i="2" s="1"/>
  <c r="X985" i="2"/>
  <c r="AB985" i="2" s="1"/>
  <c r="AK985" i="2" s="1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AB982" i="2" s="1"/>
  <c r="AK982" i="2" s="1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AC979" i="2" s="1"/>
  <c r="W979" i="2"/>
  <c r="AH978" i="2"/>
  <c r="AD978" i="2"/>
  <c r="AF978" i="2" s="1"/>
  <c r="X978" i="2"/>
  <c r="W978" i="2"/>
  <c r="AH977" i="2"/>
  <c r="AD977" i="2"/>
  <c r="X977" i="2"/>
  <c r="AB977" i="2" s="1"/>
  <c r="AK977" i="2" s="1"/>
  <c r="W977" i="2"/>
  <c r="AH976" i="2"/>
  <c r="AD976" i="2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B974" i="2" s="1"/>
  <c r="AK974" i="2" s="1"/>
  <c r="W974" i="2"/>
  <c r="AH973" i="2"/>
  <c r="AD973" i="2"/>
  <c r="X973" i="2"/>
  <c r="AC973" i="2" s="1"/>
  <c r="W973" i="2"/>
  <c r="AH972" i="2"/>
  <c r="AD972" i="2"/>
  <c r="AF972" i="2" s="1"/>
  <c r="X972" i="2"/>
  <c r="AB972" i="2" s="1"/>
  <c r="AK972" i="2" s="1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AB967" i="2" s="1"/>
  <c r="AK967" i="2" s="1"/>
  <c r="W967" i="2"/>
  <c r="AH966" i="2"/>
  <c r="AD966" i="2"/>
  <c r="AF966" i="2" s="1"/>
  <c r="X966" i="2"/>
  <c r="AB966" i="2" s="1"/>
  <c r="AK966" i="2" s="1"/>
  <c r="W966" i="2"/>
  <c r="AH965" i="2"/>
  <c r="AD965" i="2"/>
  <c r="X965" i="2"/>
  <c r="AC965" i="2" s="1"/>
  <c r="W965" i="2"/>
  <c r="AH964" i="2"/>
  <c r="AD964" i="2"/>
  <c r="AF964" i="2" s="1"/>
  <c r="X964" i="2"/>
  <c r="W964" i="2"/>
  <c r="AH963" i="2"/>
  <c r="AD963" i="2"/>
  <c r="AF963" i="2" s="1"/>
  <c r="X963" i="2"/>
  <c r="AC963" i="2" s="1"/>
  <c r="W963" i="2"/>
  <c r="AH962" i="2"/>
  <c r="AD962" i="2"/>
  <c r="AF962" i="2" s="1"/>
  <c r="X962" i="2"/>
  <c r="AB962" i="2" s="1"/>
  <c r="AK962" i="2" s="1"/>
  <c r="W962" i="2"/>
  <c r="AH961" i="2"/>
  <c r="AD961" i="2"/>
  <c r="AF961" i="2" s="1"/>
  <c r="X961" i="2"/>
  <c r="AC961" i="2" s="1"/>
  <c r="W961" i="2"/>
  <c r="AH960" i="2"/>
  <c r="AD960" i="2"/>
  <c r="AF960" i="2" s="1"/>
  <c r="X960" i="2"/>
  <c r="W960" i="2"/>
  <c r="AH959" i="2"/>
  <c r="AD959" i="2"/>
  <c r="AF959" i="2" s="1"/>
  <c r="X959" i="2"/>
  <c r="AB959" i="2" s="1"/>
  <c r="AK959" i="2" s="1"/>
  <c r="W959" i="2"/>
  <c r="AH958" i="2"/>
  <c r="AD958" i="2"/>
  <c r="X958" i="2"/>
  <c r="AB958" i="2" s="1"/>
  <c r="AK958" i="2" s="1"/>
  <c r="W958" i="2"/>
  <c r="AH957" i="2"/>
  <c r="AD957" i="2"/>
  <c r="X957" i="2"/>
  <c r="AC957" i="2" s="1"/>
  <c r="W957" i="2"/>
  <c r="AH956" i="2"/>
  <c r="AD956" i="2"/>
  <c r="AF956" i="2" s="1"/>
  <c r="X956" i="2"/>
  <c r="W956" i="2"/>
  <c r="AH955" i="2"/>
  <c r="AD955" i="2"/>
  <c r="AF955" i="2" s="1"/>
  <c r="X955" i="2"/>
  <c r="AB955" i="2" s="1"/>
  <c r="AK955" i="2" s="1"/>
  <c r="W955" i="2"/>
  <c r="AH954" i="2"/>
  <c r="AD954" i="2"/>
  <c r="AF954" i="2" s="1"/>
  <c r="X954" i="2"/>
  <c r="W954" i="2"/>
  <c r="AH953" i="2"/>
  <c r="AD953" i="2"/>
  <c r="AF953" i="2" s="1"/>
  <c r="X953" i="2"/>
  <c r="AC953" i="2" s="1"/>
  <c r="W953" i="2"/>
  <c r="AH952" i="2"/>
  <c r="AD952" i="2"/>
  <c r="X952" i="2"/>
  <c r="AB952" i="2" s="1"/>
  <c r="AK952" i="2" s="1"/>
  <c r="W952" i="2"/>
  <c r="AH951" i="2"/>
  <c r="AD951" i="2"/>
  <c r="AF951" i="2" s="1"/>
  <c r="X951" i="2"/>
  <c r="AB951" i="2" s="1"/>
  <c r="AK951" i="2" s="1"/>
  <c r="W951" i="2"/>
  <c r="AH950" i="2"/>
  <c r="AD950" i="2"/>
  <c r="AF950" i="2" s="1"/>
  <c r="X950" i="2"/>
  <c r="W950" i="2"/>
  <c r="AH949" i="2"/>
  <c r="AD949" i="2"/>
  <c r="X949" i="2"/>
  <c r="AB949" i="2" s="1"/>
  <c r="AK949" i="2" s="1"/>
  <c r="W949" i="2"/>
  <c r="AH948" i="2"/>
  <c r="AD948" i="2"/>
  <c r="AF948" i="2" s="1"/>
  <c r="X948" i="2"/>
  <c r="AB948" i="2" s="1"/>
  <c r="AK948" i="2" s="1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B945" i="2" s="1"/>
  <c r="AK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W942" i="2"/>
  <c r="AH941" i="2"/>
  <c r="AD941" i="2"/>
  <c r="X941" i="2"/>
  <c r="AC941" i="2" s="1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AB936" i="2" s="1"/>
  <c r="AK936" i="2" s="1"/>
  <c r="W936" i="2"/>
  <c r="AH935" i="2"/>
  <c r="AD935" i="2"/>
  <c r="AF935" i="2" s="1"/>
  <c r="X935" i="2"/>
  <c r="AC935" i="2" s="1"/>
  <c r="W935" i="2"/>
  <c r="AH934" i="2"/>
  <c r="AD934" i="2"/>
  <c r="AF934" i="2" s="1"/>
  <c r="X934" i="2"/>
  <c r="AB934" i="2" s="1"/>
  <c r="AK934" i="2" s="1"/>
  <c r="W934" i="2"/>
  <c r="AH933" i="2"/>
  <c r="AD933" i="2"/>
  <c r="X933" i="2"/>
  <c r="AB933" i="2" s="1"/>
  <c r="AK933" i="2" s="1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AB930" i="2" s="1"/>
  <c r="AK930" i="2" s="1"/>
  <c r="W930" i="2"/>
  <c r="AH929" i="2"/>
  <c r="AD929" i="2"/>
  <c r="AF929" i="2" s="1"/>
  <c r="X929" i="2"/>
  <c r="W929" i="2"/>
  <c r="AH928" i="2"/>
  <c r="AD928" i="2"/>
  <c r="AF928" i="2" s="1"/>
  <c r="X928" i="2"/>
  <c r="AB928" i="2" s="1"/>
  <c r="AK928" i="2" s="1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AB921" i="2" s="1"/>
  <c r="AK921" i="2" s="1"/>
  <c r="W921" i="2"/>
  <c r="AH920" i="2"/>
  <c r="AD920" i="2"/>
  <c r="AF920" i="2" s="1"/>
  <c r="X920" i="2"/>
  <c r="AB920" i="2" s="1"/>
  <c r="AK920" i="2" s="1"/>
  <c r="W920" i="2"/>
  <c r="AH919" i="2"/>
  <c r="AD919" i="2"/>
  <c r="AF919" i="2" s="1"/>
  <c r="X919" i="2"/>
  <c r="AB919" i="2" s="1"/>
  <c r="AK919" i="2" s="1"/>
  <c r="W919" i="2"/>
  <c r="AH918" i="2"/>
  <c r="AD918" i="2"/>
  <c r="X918" i="2"/>
  <c r="AB918" i="2" s="1"/>
  <c r="AK918" i="2" s="1"/>
  <c r="W918" i="2"/>
  <c r="AH917" i="2"/>
  <c r="AD917" i="2"/>
  <c r="X917" i="2"/>
  <c r="AB917" i="2" s="1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AB914" i="2" s="1"/>
  <c r="AK914" i="2" s="1"/>
  <c r="W914" i="2"/>
  <c r="AH913" i="2"/>
  <c r="AD913" i="2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W910" i="2"/>
  <c r="AH909" i="2"/>
  <c r="AD909" i="2"/>
  <c r="X909" i="2"/>
  <c r="AB909" i="2" s="1"/>
  <c r="AK909" i="2" s="1"/>
  <c r="W909" i="2"/>
  <c r="AH908" i="2"/>
  <c r="AD908" i="2"/>
  <c r="X908" i="2"/>
  <c r="AB908" i="2" s="1"/>
  <c r="AK908" i="2" s="1"/>
  <c r="W908" i="2"/>
  <c r="AH907" i="2"/>
  <c r="AD907" i="2"/>
  <c r="X907" i="2"/>
  <c r="AB907" i="2" s="1"/>
  <c r="AK907" i="2" s="1"/>
  <c r="W907" i="2"/>
  <c r="AH906" i="2"/>
  <c r="AD906" i="2"/>
  <c r="AF906" i="2" s="1"/>
  <c r="X906" i="2"/>
  <c r="W906" i="2"/>
  <c r="AH905" i="2"/>
  <c r="AD905" i="2"/>
  <c r="X905" i="2"/>
  <c r="AB905" i="2" s="1"/>
  <c r="AK905" i="2" s="1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AF902" i="2" s="1"/>
  <c r="X902" i="2"/>
  <c r="AB902" i="2" s="1"/>
  <c r="AK902" i="2" s="1"/>
  <c r="W902" i="2"/>
  <c r="AH901" i="2"/>
  <c r="AD901" i="2"/>
  <c r="X901" i="2"/>
  <c r="AB901" i="2" s="1"/>
  <c r="AK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W897" i="2"/>
  <c r="AH896" i="2"/>
  <c r="AD896" i="2"/>
  <c r="AF896" i="2" s="1"/>
  <c r="X896" i="2"/>
  <c r="AB896" i="2" s="1"/>
  <c r="AK896" i="2" s="1"/>
  <c r="W896" i="2"/>
  <c r="AH895" i="2"/>
  <c r="AD895" i="2"/>
  <c r="AF895" i="2" s="1"/>
  <c r="X895" i="2"/>
  <c r="AB895" i="2" s="1"/>
  <c r="AK895" i="2" s="1"/>
  <c r="W895" i="2"/>
  <c r="AH894" i="2"/>
  <c r="AD894" i="2"/>
  <c r="AF894" i="2" s="1"/>
  <c r="X894" i="2"/>
  <c r="AB894" i="2" s="1"/>
  <c r="AK894" i="2" s="1"/>
  <c r="W894" i="2"/>
  <c r="AH893" i="2"/>
  <c r="AD893" i="2"/>
  <c r="X893" i="2"/>
  <c r="AB893" i="2" s="1"/>
  <c r="AK893" i="2" s="1"/>
  <c r="W893" i="2"/>
  <c r="AH892" i="2"/>
  <c r="AD892" i="2"/>
  <c r="X892" i="2"/>
  <c r="AB892" i="2" s="1"/>
  <c r="AK892" i="2" s="1"/>
  <c r="W892" i="2"/>
  <c r="AH891" i="2"/>
  <c r="AD891" i="2"/>
  <c r="X891" i="2"/>
  <c r="AB891" i="2" s="1"/>
  <c r="AK891" i="2" s="1"/>
  <c r="W891" i="2"/>
  <c r="AH890" i="2"/>
  <c r="AD890" i="2"/>
  <c r="AF890" i="2" s="1"/>
  <c r="X890" i="2"/>
  <c r="W890" i="2"/>
  <c r="AH889" i="2"/>
  <c r="AD889" i="2"/>
  <c r="AF889" i="2" s="1"/>
  <c r="X889" i="2"/>
  <c r="AB889" i="2" s="1"/>
  <c r="AK889" i="2" s="1"/>
  <c r="W889" i="2"/>
  <c r="AH888" i="2"/>
  <c r="AD888" i="2"/>
  <c r="AF888" i="2" s="1"/>
  <c r="X888" i="2"/>
  <c r="AB888" i="2" s="1"/>
  <c r="AK888" i="2" s="1"/>
  <c r="W888" i="2"/>
  <c r="AH887" i="2"/>
  <c r="AD887" i="2"/>
  <c r="X887" i="2"/>
  <c r="AB887" i="2" s="1"/>
  <c r="AK887" i="2" s="1"/>
  <c r="W887" i="2"/>
  <c r="AH886" i="2"/>
  <c r="AD886" i="2"/>
  <c r="X886" i="2"/>
  <c r="AB886" i="2" s="1"/>
  <c r="AK886" i="2" s="1"/>
  <c r="W886" i="2"/>
  <c r="AH885" i="2"/>
  <c r="AD885" i="2"/>
  <c r="X885" i="2"/>
  <c r="AB885" i="2" s="1"/>
  <c r="AK885" i="2" s="1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AB883" i="2" s="1"/>
  <c r="AK883" i="2" s="1"/>
  <c r="W883" i="2"/>
  <c r="AH882" i="2"/>
  <c r="AD882" i="2"/>
  <c r="X882" i="2"/>
  <c r="AB882" i="2" s="1"/>
  <c r="AK882" i="2" s="1"/>
  <c r="W882" i="2"/>
  <c r="AH881" i="2"/>
  <c r="AD881" i="2"/>
  <c r="AF881" i="2" s="1"/>
  <c r="X881" i="2"/>
  <c r="AB881" i="2" s="1"/>
  <c r="AK881" i="2" s="1"/>
  <c r="W881" i="2"/>
  <c r="AH880" i="2"/>
  <c r="AD880" i="2"/>
  <c r="AF880" i="2" s="1"/>
  <c r="X880" i="2"/>
  <c r="AB880" i="2" s="1"/>
  <c r="AK880" i="2" s="1"/>
  <c r="W880" i="2"/>
  <c r="AH879" i="2"/>
  <c r="AD879" i="2"/>
  <c r="AF879" i="2" s="1"/>
  <c r="X879" i="2"/>
  <c r="AB879" i="2" s="1"/>
  <c r="AK879" i="2" s="1"/>
  <c r="W879" i="2"/>
  <c r="AH878" i="2"/>
  <c r="AD878" i="2"/>
  <c r="AF878" i="2" s="1"/>
  <c r="X878" i="2"/>
  <c r="W878" i="2"/>
  <c r="AH877" i="2"/>
  <c r="AD877" i="2"/>
  <c r="X877" i="2"/>
  <c r="AB877" i="2" s="1"/>
  <c r="AK877" i="2" s="1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W872" i="2"/>
  <c r="AH871" i="2"/>
  <c r="AD871" i="2"/>
  <c r="AF871" i="2" s="1"/>
  <c r="X871" i="2"/>
  <c r="AB871" i="2" s="1"/>
  <c r="AK871" i="2" s="1"/>
  <c r="W871" i="2"/>
  <c r="AH870" i="2"/>
  <c r="AD870" i="2"/>
  <c r="AF870" i="2" s="1"/>
  <c r="X870" i="2"/>
  <c r="W870" i="2"/>
  <c r="AH869" i="2"/>
  <c r="AD869" i="2"/>
  <c r="AF869" i="2" s="1"/>
  <c r="X869" i="2"/>
  <c r="AB869" i="2" s="1"/>
  <c r="AK869" i="2" s="1"/>
  <c r="W869" i="2"/>
  <c r="AH868" i="2"/>
  <c r="AD868" i="2"/>
  <c r="AF868" i="2" s="1"/>
  <c r="X868" i="2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AB865" i="2" s="1"/>
  <c r="AK865" i="2" s="1"/>
  <c r="W865" i="2"/>
  <c r="AH864" i="2"/>
  <c r="AD864" i="2"/>
  <c r="Y864" i="2" s="1"/>
  <c r="AC864" i="2"/>
  <c r="W864" i="2"/>
  <c r="AH863" i="2"/>
  <c r="AD863" i="2"/>
  <c r="X863" i="2"/>
  <c r="AB863" i="2" s="1"/>
  <c r="AK863" i="2" s="1"/>
  <c r="W863" i="2"/>
  <c r="AH862" i="2"/>
  <c r="AD862" i="2"/>
  <c r="AF862" i="2" s="1"/>
  <c r="X862" i="2"/>
  <c r="AB862" i="2" s="1"/>
  <c r="AK862" i="2" s="1"/>
  <c r="W862" i="2"/>
  <c r="AH861" i="2"/>
  <c r="AD861" i="2"/>
  <c r="AF861" i="2" s="1"/>
  <c r="X861" i="2"/>
  <c r="AB861" i="2" s="1"/>
  <c r="AK861" i="2" s="1"/>
  <c r="W861" i="2"/>
  <c r="AH860" i="2"/>
  <c r="AD860" i="2"/>
  <c r="AF860" i="2" s="1"/>
  <c r="X860" i="2"/>
  <c r="AB860" i="2" s="1"/>
  <c r="AK860" i="2" s="1"/>
  <c r="W860" i="2"/>
  <c r="AH859" i="2"/>
  <c r="AD859" i="2"/>
  <c r="X859" i="2"/>
  <c r="AB859" i="2" s="1"/>
  <c r="AK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AB857" i="2" s="1"/>
  <c r="AK857" i="2" s="1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AB854" i="2" s="1"/>
  <c r="AK854" i="2" s="1"/>
  <c r="W854" i="2"/>
  <c r="AH853" i="2"/>
  <c r="AD853" i="2"/>
  <c r="AF853" i="2" s="1"/>
  <c r="X853" i="2"/>
  <c r="AC853" i="2" s="1"/>
  <c r="W853" i="2"/>
  <c r="AH852" i="2"/>
  <c r="AD852" i="2"/>
  <c r="X852" i="2"/>
  <c r="AB852" i="2" s="1"/>
  <c r="AK852" i="2" s="1"/>
  <c r="W852" i="2"/>
  <c r="AH851" i="2"/>
  <c r="AD851" i="2"/>
  <c r="X851" i="2"/>
  <c r="W851" i="2"/>
  <c r="AH850" i="2"/>
  <c r="AD850" i="2"/>
  <c r="AF850" i="2" s="1"/>
  <c r="X850" i="2"/>
  <c r="AB850" i="2" s="1"/>
  <c r="AK850" i="2" s="1"/>
  <c r="W850" i="2"/>
  <c r="AH849" i="2"/>
  <c r="AD849" i="2"/>
  <c r="X849" i="2"/>
  <c r="AB849" i="2" s="1"/>
  <c r="AK849" i="2" s="1"/>
  <c r="W849" i="2"/>
  <c r="AH848" i="2"/>
  <c r="AD848" i="2"/>
  <c r="AF848" i="2" s="1"/>
  <c r="X848" i="2"/>
  <c r="W848" i="2"/>
  <c r="AH847" i="2"/>
  <c r="AD847" i="2"/>
  <c r="Y847" i="2" s="1"/>
  <c r="AC847" i="2"/>
  <c r="W847" i="2"/>
  <c r="AH846" i="2"/>
  <c r="AD846" i="2"/>
  <c r="AF846" i="2" s="1"/>
  <c r="X846" i="2"/>
  <c r="AB846" i="2" s="1"/>
  <c r="AK846" i="2" s="1"/>
  <c r="W846" i="2"/>
  <c r="AH845" i="2"/>
  <c r="AD845" i="2"/>
  <c r="X845" i="2"/>
  <c r="AB845" i="2" s="1"/>
  <c r="AK845" i="2" s="1"/>
  <c r="W845" i="2"/>
  <c r="AH844" i="2"/>
  <c r="AD844" i="2"/>
  <c r="AF844" i="2" s="1"/>
  <c r="X844" i="2"/>
  <c r="AB844" i="2" s="1"/>
  <c r="AK844" i="2" s="1"/>
  <c r="W844" i="2"/>
  <c r="AH843" i="2"/>
  <c r="AD843" i="2"/>
  <c r="X843" i="2"/>
  <c r="AB843" i="2" s="1"/>
  <c r="AK843" i="2" s="1"/>
  <c r="W843" i="2"/>
  <c r="AH842" i="2"/>
  <c r="AD842" i="2"/>
  <c r="AF842" i="2" s="1"/>
  <c r="X842" i="2"/>
  <c r="AB842" i="2" s="1"/>
  <c r="AK842" i="2" s="1"/>
  <c r="W842" i="2"/>
  <c r="AH841" i="2"/>
  <c r="AD841" i="2"/>
  <c r="AF841" i="2" s="1"/>
  <c r="X841" i="2"/>
  <c r="AC841" i="2" s="1"/>
  <c r="W841" i="2"/>
  <c r="AH840" i="2"/>
  <c r="AD840" i="2"/>
  <c r="AF840" i="2" s="1"/>
  <c r="X840" i="2"/>
  <c r="W840" i="2"/>
  <c r="AH839" i="2"/>
  <c r="AD839" i="2"/>
  <c r="AF839" i="2" s="1"/>
  <c r="X839" i="2"/>
  <c r="AB839" i="2" s="1"/>
  <c r="W839" i="2"/>
  <c r="AH838" i="2"/>
  <c r="AD838" i="2"/>
  <c r="AF838" i="2" s="1"/>
  <c r="X838" i="2"/>
  <c r="AB838" i="2" s="1"/>
  <c r="AK838" i="2" s="1"/>
  <c r="W838" i="2"/>
  <c r="AH837" i="2"/>
  <c r="AD837" i="2"/>
  <c r="X837" i="2"/>
  <c r="W837" i="2"/>
  <c r="AH836" i="2"/>
  <c r="AD836" i="2"/>
  <c r="AF836" i="2" s="1"/>
  <c r="X836" i="2"/>
  <c r="AB836" i="2" s="1"/>
  <c r="AK836" i="2" s="1"/>
  <c r="W836" i="2"/>
  <c r="AH835" i="2"/>
  <c r="AD835" i="2"/>
  <c r="AF835" i="2" s="1"/>
  <c r="X835" i="2"/>
  <c r="AB835" i="2" s="1"/>
  <c r="AK835" i="2" s="1"/>
  <c r="W835" i="2"/>
  <c r="AH834" i="2"/>
  <c r="AD834" i="2"/>
  <c r="AF834" i="2" s="1"/>
  <c r="X834" i="2"/>
  <c r="AB834" i="2" s="1"/>
  <c r="AK834" i="2" s="1"/>
  <c r="W834" i="2"/>
  <c r="AH833" i="2"/>
  <c r="AD833" i="2"/>
  <c r="AF833" i="2" s="1"/>
  <c r="X833" i="2"/>
  <c r="AB833" i="2" s="1"/>
  <c r="AK833" i="2" s="1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B831" i="2" s="1"/>
  <c r="W831" i="2"/>
  <c r="AH830" i="2"/>
  <c r="AD830" i="2"/>
  <c r="AF830" i="2" s="1"/>
  <c r="X830" i="2"/>
  <c r="AB830" i="2" s="1"/>
  <c r="AK830" i="2" s="1"/>
  <c r="W830" i="2"/>
  <c r="AH829" i="2"/>
  <c r="AD829" i="2"/>
  <c r="AF829" i="2" s="1"/>
  <c r="X829" i="2"/>
  <c r="AB829" i="2" s="1"/>
  <c r="AK829" i="2" s="1"/>
  <c r="W829" i="2"/>
  <c r="AH828" i="2"/>
  <c r="AD828" i="2"/>
  <c r="AF828" i="2" s="1"/>
  <c r="X828" i="2"/>
  <c r="AB828" i="2" s="1"/>
  <c r="AK828" i="2" s="1"/>
  <c r="W828" i="2"/>
  <c r="AH827" i="2"/>
  <c r="AD827" i="2"/>
  <c r="AF827" i="2" s="1"/>
  <c r="X827" i="2"/>
  <c r="AB827" i="2" s="1"/>
  <c r="AK827" i="2" s="1"/>
  <c r="W827" i="2"/>
  <c r="AH826" i="2"/>
  <c r="AD826" i="2"/>
  <c r="AF826" i="2" s="1"/>
  <c r="X826" i="2"/>
  <c r="AB826" i="2" s="1"/>
  <c r="AK826" i="2" s="1"/>
  <c r="W826" i="2"/>
  <c r="AH825" i="2"/>
  <c r="AD825" i="2"/>
  <c r="X825" i="2"/>
  <c r="AB825" i="2" s="1"/>
  <c r="AK825" i="2" s="1"/>
  <c r="W825" i="2"/>
  <c r="AH824" i="2"/>
  <c r="AD824" i="2"/>
  <c r="AF824" i="2" s="1"/>
  <c r="X824" i="2"/>
  <c r="W824" i="2"/>
  <c r="AH823" i="2"/>
  <c r="AD823" i="2"/>
  <c r="AF823" i="2" s="1"/>
  <c r="X823" i="2"/>
  <c r="AB823" i="2" s="1"/>
  <c r="AK823" i="2" s="1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AB821" i="2" s="1"/>
  <c r="AK821" i="2" s="1"/>
  <c r="W821" i="2"/>
  <c r="AH820" i="2"/>
  <c r="AD820" i="2"/>
  <c r="AF820" i="2" s="1"/>
  <c r="X820" i="2"/>
  <c r="AB820" i="2" s="1"/>
  <c r="AK820" i="2" s="1"/>
  <c r="W820" i="2"/>
  <c r="AH819" i="2"/>
  <c r="AD819" i="2"/>
  <c r="AF819" i="2" s="1"/>
  <c r="X819" i="2"/>
  <c r="AC819" i="2" s="1"/>
  <c r="W819" i="2"/>
  <c r="AH818" i="2"/>
  <c r="AD818" i="2"/>
  <c r="X818" i="2"/>
  <c r="AB818" i="2" s="1"/>
  <c r="AK818" i="2" s="1"/>
  <c r="W818" i="2"/>
  <c r="AH817" i="2"/>
  <c r="AD817" i="2"/>
  <c r="X817" i="2"/>
  <c r="AB817" i="2" s="1"/>
  <c r="AK817" i="2" s="1"/>
  <c r="W817" i="2"/>
  <c r="AH816" i="2"/>
  <c r="AD816" i="2"/>
  <c r="AF816" i="2" s="1"/>
  <c r="X816" i="2"/>
  <c r="AB816" i="2" s="1"/>
  <c r="AK816" i="2" s="1"/>
  <c r="W816" i="2"/>
  <c r="AH815" i="2"/>
  <c r="AD815" i="2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X811" i="2"/>
  <c r="AB811" i="2" s="1"/>
  <c r="AK811" i="2" s="1"/>
  <c r="W811" i="2"/>
  <c r="AH810" i="2"/>
  <c r="AD810" i="2"/>
  <c r="AF810" i="2" s="1"/>
  <c r="X810" i="2"/>
  <c r="AB810" i="2" s="1"/>
  <c r="AK810" i="2" s="1"/>
  <c r="W810" i="2"/>
  <c r="AH809" i="2"/>
  <c r="AD809" i="2"/>
  <c r="X809" i="2"/>
  <c r="AB809" i="2" s="1"/>
  <c r="AK809" i="2" s="1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B807" i="2" s="1"/>
  <c r="AK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W805" i="2"/>
  <c r="AH804" i="2"/>
  <c r="AD804" i="2"/>
  <c r="AF804" i="2" s="1"/>
  <c r="X804" i="2"/>
  <c r="AB804" i="2" s="1"/>
  <c r="AK804" i="2" s="1"/>
  <c r="W804" i="2"/>
  <c r="AH803" i="2"/>
  <c r="AD803" i="2"/>
  <c r="AF803" i="2" s="1"/>
  <c r="X803" i="2"/>
  <c r="W803" i="2"/>
  <c r="AH802" i="2"/>
  <c r="AD802" i="2"/>
  <c r="AF802" i="2" s="1"/>
  <c r="X802" i="2"/>
  <c r="AB802" i="2" s="1"/>
  <c r="AK802" i="2" s="1"/>
  <c r="W802" i="2"/>
  <c r="AH801" i="2"/>
  <c r="AD801" i="2"/>
  <c r="AF801" i="2" s="1"/>
  <c r="X801" i="2"/>
  <c r="AB801" i="2" s="1"/>
  <c r="AK801" i="2" s="1"/>
  <c r="W801" i="2"/>
  <c r="AH800" i="2"/>
  <c r="AD800" i="2"/>
  <c r="AF800" i="2" s="1"/>
  <c r="X800" i="2"/>
  <c r="AB800" i="2" s="1"/>
  <c r="AK800" i="2" s="1"/>
  <c r="W800" i="2"/>
  <c r="AH799" i="2"/>
  <c r="AD799" i="2"/>
  <c r="AF799" i="2" s="1"/>
  <c r="X799" i="2"/>
  <c r="W799" i="2"/>
  <c r="AH798" i="2"/>
  <c r="AD798" i="2"/>
  <c r="AF798" i="2" s="1"/>
  <c r="X798" i="2"/>
  <c r="AB798" i="2" s="1"/>
  <c r="AK798" i="2" s="1"/>
  <c r="W798" i="2"/>
  <c r="AH797" i="2"/>
  <c r="AD797" i="2"/>
  <c r="X797" i="2"/>
  <c r="AB797" i="2" s="1"/>
  <c r="AK797" i="2" s="1"/>
  <c r="W797" i="2"/>
  <c r="AH796" i="2"/>
  <c r="AD796" i="2"/>
  <c r="AF796" i="2" s="1"/>
  <c r="X796" i="2"/>
  <c r="AB796" i="2" s="1"/>
  <c r="AK796" i="2" s="1"/>
  <c r="W796" i="2"/>
  <c r="AH795" i="2"/>
  <c r="AD795" i="2"/>
  <c r="AF795" i="2" s="1"/>
  <c r="X795" i="2"/>
  <c r="W795" i="2"/>
  <c r="AH794" i="2"/>
  <c r="AD794" i="2"/>
  <c r="AF794" i="2" s="1"/>
  <c r="X794" i="2"/>
  <c r="AB794" i="2" s="1"/>
  <c r="AK794" i="2" s="1"/>
  <c r="W794" i="2"/>
  <c r="AH793" i="2"/>
  <c r="AD793" i="2"/>
  <c r="X793" i="2"/>
  <c r="AB793" i="2" s="1"/>
  <c r="AK793" i="2" s="1"/>
  <c r="W793" i="2"/>
  <c r="AH792" i="2"/>
  <c r="AD792" i="2"/>
  <c r="AF792" i="2" s="1"/>
  <c r="X792" i="2"/>
  <c r="W792" i="2"/>
  <c r="AH791" i="2"/>
  <c r="AD791" i="2"/>
  <c r="AF791" i="2" s="1"/>
  <c r="X791" i="2"/>
  <c r="W791" i="2"/>
  <c r="AH790" i="2"/>
  <c r="AD790" i="2"/>
  <c r="AF790" i="2" s="1"/>
  <c r="X790" i="2"/>
  <c r="AB790" i="2" s="1"/>
  <c r="AK790" i="2" s="1"/>
  <c r="W790" i="2"/>
  <c r="AH789" i="2"/>
  <c r="AD789" i="2"/>
  <c r="AF789" i="2" s="1"/>
  <c r="X789" i="2"/>
  <c r="AB789" i="2" s="1"/>
  <c r="AK789" i="2" s="1"/>
  <c r="W789" i="2"/>
  <c r="AH788" i="2"/>
  <c r="AD788" i="2"/>
  <c r="AF788" i="2" s="1"/>
  <c r="X788" i="2"/>
  <c r="AB788" i="2" s="1"/>
  <c r="AK788" i="2" s="1"/>
  <c r="W788" i="2"/>
  <c r="AH787" i="2"/>
  <c r="AD787" i="2"/>
  <c r="X787" i="2"/>
  <c r="AB787" i="2" s="1"/>
  <c r="AK787" i="2" s="1"/>
  <c r="W787" i="2"/>
  <c r="AH786" i="2"/>
  <c r="AD786" i="2"/>
  <c r="AF786" i="2" s="1"/>
  <c r="X786" i="2"/>
  <c r="AB786" i="2" s="1"/>
  <c r="AK786" i="2" s="1"/>
  <c r="W786" i="2"/>
  <c r="AH785" i="2"/>
  <c r="AD785" i="2"/>
  <c r="AF785" i="2" s="1"/>
  <c r="X785" i="2"/>
  <c r="AB785" i="2" s="1"/>
  <c r="AK785" i="2" s="1"/>
  <c r="W785" i="2"/>
  <c r="AH784" i="2"/>
  <c r="AD784" i="2"/>
  <c r="AF784" i="2" s="1"/>
  <c r="X784" i="2"/>
  <c r="AB784" i="2" s="1"/>
  <c r="AK784" i="2" s="1"/>
  <c r="W784" i="2"/>
  <c r="AH783" i="2"/>
  <c r="AD783" i="2"/>
  <c r="AF783" i="2" s="1"/>
  <c r="X783" i="2"/>
  <c r="AB783" i="2" s="1"/>
  <c r="AK783" i="2" s="1"/>
  <c r="W783" i="2"/>
  <c r="AH782" i="2"/>
  <c r="AD782" i="2"/>
  <c r="AF782" i="2" s="1"/>
  <c r="X782" i="2"/>
  <c r="AB782" i="2" s="1"/>
  <c r="AK782" i="2" s="1"/>
  <c r="W782" i="2"/>
  <c r="AH781" i="2"/>
  <c r="AD781" i="2"/>
  <c r="X781" i="2"/>
  <c r="AB781" i="2" s="1"/>
  <c r="AK781" i="2" s="1"/>
  <c r="W781" i="2"/>
  <c r="AH780" i="2"/>
  <c r="AD780" i="2"/>
  <c r="AF780" i="2" s="1"/>
  <c r="X780" i="2"/>
  <c r="AB780" i="2" s="1"/>
  <c r="AK780" i="2" s="1"/>
  <c r="W780" i="2"/>
  <c r="AH779" i="2"/>
  <c r="AD779" i="2"/>
  <c r="AF779" i="2" s="1"/>
  <c r="X779" i="2"/>
  <c r="AB779" i="2" s="1"/>
  <c r="AK779" i="2" s="1"/>
  <c r="W779" i="2"/>
  <c r="AH778" i="2"/>
  <c r="AD778" i="2"/>
  <c r="AF778" i="2" s="1"/>
  <c r="X778" i="2"/>
  <c r="W778" i="2"/>
  <c r="AH777" i="2"/>
  <c r="AD777" i="2"/>
  <c r="AF777" i="2" s="1"/>
  <c r="X777" i="2"/>
  <c r="AB777" i="2" s="1"/>
  <c r="AK777" i="2" s="1"/>
  <c r="W777" i="2"/>
  <c r="AH776" i="2"/>
  <c r="AD776" i="2"/>
  <c r="AF776" i="2" s="1"/>
  <c r="X776" i="2"/>
  <c r="AB776" i="2" s="1"/>
  <c r="AK776" i="2" s="1"/>
  <c r="W776" i="2"/>
  <c r="AH775" i="2"/>
  <c r="AD775" i="2"/>
  <c r="AF775" i="2" s="1"/>
  <c r="X775" i="2"/>
  <c r="AB775" i="2" s="1"/>
  <c r="AK775" i="2" s="1"/>
  <c r="W775" i="2"/>
  <c r="AH774" i="2"/>
  <c r="AD774" i="2"/>
  <c r="AF774" i="2" s="1"/>
  <c r="X774" i="2"/>
  <c r="W774" i="2"/>
  <c r="AH773" i="2"/>
  <c r="AD773" i="2"/>
  <c r="X773" i="2"/>
  <c r="AB773" i="2" s="1"/>
  <c r="AK773" i="2" s="1"/>
  <c r="W773" i="2"/>
  <c r="AH772" i="2"/>
  <c r="AD772" i="2"/>
  <c r="AF772" i="2" s="1"/>
  <c r="X772" i="2"/>
  <c r="W772" i="2"/>
  <c r="AH771" i="2"/>
  <c r="AD771" i="2"/>
  <c r="AF771" i="2" s="1"/>
  <c r="X771" i="2"/>
  <c r="AB771" i="2" s="1"/>
  <c r="AK771" i="2" s="1"/>
  <c r="W771" i="2"/>
  <c r="AH770" i="2"/>
  <c r="AD770" i="2"/>
  <c r="AF770" i="2" s="1"/>
  <c r="X770" i="2"/>
  <c r="AB770" i="2" s="1"/>
  <c r="AK770" i="2" s="1"/>
  <c r="W770" i="2"/>
  <c r="AH769" i="2"/>
  <c r="AD769" i="2"/>
  <c r="AF769" i="2" s="1"/>
  <c r="X769" i="2"/>
  <c r="AB769" i="2" s="1"/>
  <c r="AK769" i="2" s="1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B762" i="2" s="1"/>
  <c r="AK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AB760" i="2" s="1"/>
  <c r="AK760" i="2" s="1"/>
  <c r="W760" i="2"/>
  <c r="AH759" i="2"/>
  <c r="AD759" i="2"/>
  <c r="X759" i="2"/>
  <c r="AB759" i="2" s="1"/>
  <c r="AK759" i="2" s="1"/>
  <c r="W759" i="2"/>
  <c r="AH758" i="2"/>
  <c r="AD758" i="2"/>
  <c r="AF758" i="2" s="1"/>
  <c r="X758" i="2"/>
  <c r="AB758" i="2" s="1"/>
  <c r="AK758" i="2" s="1"/>
  <c r="W758" i="2"/>
  <c r="AH757" i="2"/>
  <c r="AD757" i="2"/>
  <c r="AF757" i="2" s="1"/>
  <c r="X757" i="2"/>
  <c r="AB757" i="2" s="1"/>
  <c r="AK757" i="2" s="1"/>
  <c r="W757" i="2"/>
  <c r="AH756" i="2"/>
  <c r="AD756" i="2"/>
  <c r="AF756" i="2" s="1"/>
  <c r="X756" i="2"/>
  <c r="W756" i="2"/>
  <c r="AH755" i="2"/>
  <c r="AD755" i="2"/>
  <c r="AF755" i="2" s="1"/>
  <c r="X755" i="2"/>
  <c r="AC755" i="2" s="1"/>
  <c r="W755" i="2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AB753" i="2" s="1"/>
  <c r="AK753" i="2" s="1"/>
  <c r="W753" i="2"/>
  <c r="AH752" i="2"/>
  <c r="AD752" i="2"/>
  <c r="AF752" i="2" s="1"/>
  <c r="X752" i="2"/>
  <c r="W752" i="2"/>
  <c r="AH751" i="2"/>
  <c r="AD751" i="2"/>
  <c r="AF751" i="2" s="1"/>
  <c r="X751" i="2"/>
  <c r="AB751" i="2" s="1"/>
  <c r="AK751" i="2" s="1"/>
  <c r="W751" i="2"/>
  <c r="AH750" i="2"/>
  <c r="AD750" i="2"/>
  <c r="AF750" i="2" s="1"/>
  <c r="X750" i="2"/>
  <c r="W750" i="2"/>
  <c r="AH749" i="2"/>
  <c r="AD749" i="2"/>
  <c r="AF749" i="2" s="1"/>
  <c r="X749" i="2"/>
  <c r="AB749" i="2" s="1"/>
  <c r="AK749" i="2" s="1"/>
  <c r="W749" i="2"/>
  <c r="AH748" i="2"/>
  <c r="AD748" i="2"/>
  <c r="AF748" i="2" s="1"/>
  <c r="X748" i="2"/>
  <c r="W748" i="2"/>
  <c r="AH747" i="2"/>
  <c r="AD747" i="2"/>
  <c r="AF747" i="2" s="1"/>
  <c r="X747" i="2"/>
  <c r="AB747" i="2" s="1"/>
  <c r="AK747" i="2" s="1"/>
  <c r="W747" i="2"/>
  <c r="AH746" i="2"/>
  <c r="AD746" i="2"/>
  <c r="AF746" i="2" s="1"/>
  <c r="X746" i="2"/>
  <c r="AB746" i="2" s="1"/>
  <c r="AK746" i="2" s="1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B741" i="2" s="1"/>
  <c r="AK741" i="2" s="1"/>
  <c r="W741" i="2"/>
  <c r="AH740" i="2"/>
  <c r="AD740" i="2"/>
  <c r="AF740" i="2" s="1"/>
  <c r="X740" i="2"/>
  <c r="AB740" i="2" s="1"/>
  <c r="AK740" i="2" s="1"/>
  <c r="W740" i="2"/>
  <c r="AH739" i="2"/>
  <c r="AD739" i="2"/>
  <c r="X739" i="2"/>
  <c r="AB739" i="2" s="1"/>
  <c r="AK739" i="2" s="1"/>
  <c r="W739" i="2"/>
  <c r="AH738" i="2"/>
  <c r="AD738" i="2"/>
  <c r="AF738" i="2" s="1"/>
  <c r="X738" i="2"/>
  <c r="AB738" i="2" s="1"/>
  <c r="AK738" i="2" s="1"/>
  <c r="W738" i="2"/>
  <c r="AH737" i="2"/>
  <c r="AD737" i="2"/>
  <c r="AF737" i="2" s="1"/>
  <c r="X737" i="2"/>
  <c r="AB737" i="2" s="1"/>
  <c r="AK737" i="2" s="1"/>
  <c r="W737" i="2"/>
  <c r="AH736" i="2"/>
  <c r="AD736" i="2"/>
  <c r="AF736" i="2" s="1"/>
  <c r="X736" i="2"/>
  <c r="W736" i="2"/>
  <c r="AH735" i="2"/>
  <c r="AD735" i="2"/>
  <c r="AF735" i="2" s="1"/>
  <c r="X735" i="2"/>
  <c r="AC735" i="2" s="1"/>
  <c r="W735" i="2"/>
  <c r="AH734" i="2"/>
  <c r="AD734" i="2"/>
  <c r="AF734" i="2" s="1"/>
  <c r="X734" i="2"/>
  <c r="W734" i="2"/>
  <c r="AH733" i="2"/>
  <c r="AD733" i="2"/>
  <c r="AF733" i="2" s="1"/>
  <c r="X733" i="2"/>
  <c r="AB733" i="2" s="1"/>
  <c r="AK733" i="2" s="1"/>
  <c r="W733" i="2"/>
  <c r="AH732" i="2"/>
  <c r="AD732" i="2"/>
  <c r="AF732" i="2" s="1"/>
  <c r="X732" i="2"/>
  <c r="W732" i="2"/>
  <c r="AH731" i="2"/>
  <c r="AD731" i="2"/>
  <c r="X731" i="2"/>
  <c r="AB731" i="2" s="1"/>
  <c r="AK731" i="2" s="1"/>
  <c r="W731" i="2"/>
  <c r="AH730" i="2"/>
  <c r="AD730" i="2"/>
  <c r="AF730" i="2" s="1"/>
  <c r="X730" i="2"/>
  <c r="AB730" i="2" s="1"/>
  <c r="AK730" i="2" s="1"/>
  <c r="W730" i="2"/>
  <c r="AH729" i="2"/>
  <c r="AD729" i="2"/>
  <c r="X729" i="2"/>
  <c r="AB729" i="2" s="1"/>
  <c r="AK729" i="2" s="1"/>
  <c r="W729" i="2"/>
  <c r="AH728" i="2"/>
  <c r="AD728" i="2"/>
  <c r="AF728" i="2" s="1"/>
  <c r="X728" i="2"/>
  <c r="AB728" i="2" s="1"/>
  <c r="AK728" i="2" s="1"/>
  <c r="W728" i="2"/>
  <c r="AH727" i="2"/>
  <c r="AD727" i="2"/>
  <c r="X727" i="2"/>
  <c r="AB727" i="2" s="1"/>
  <c r="AK727" i="2" s="1"/>
  <c r="W727" i="2"/>
  <c r="AH726" i="2"/>
  <c r="AD726" i="2"/>
  <c r="AF726" i="2" s="1"/>
  <c r="X726" i="2"/>
  <c r="W726" i="2"/>
  <c r="AH725" i="2"/>
  <c r="AD725" i="2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AB723" i="2" s="1"/>
  <c r="AK723" i="2" s="1"/>
  <c r="W723" i="2"/>
  <c r="AH722" i="2"/>
  <c r="AD722" i="2"/>
  <c r="AF722" i="2" s="1"/>
  <c r="X722" i="2"/>
  <c r="AB722" i="2" s="1"/>
  <c r="AK722" i="2" s="1"/>
  <c r="W722" i="2"/>
  <c r="AH721" i="2"/>
  <c r="AD721" i="2"/>
  <c r="AF721" i="2" s="1"/>
  <c r="X721" i="2"/>
  <c r="AK721" i="2" s="1"/>
  <c r="W721" i="2"/>
  <c r="AH720" i="2"/>
  <c r="AD720" i="2"/>
  <c r="AF720" i="2" s="1"/>
  <c r="X720" i="2"/>
  <c r="W720" i="2"/>
  <c r="AH719" i="2"/>
  <c r="AD719" i="2"/>
  <c r="X719" i="2"/>
  <c r="AB719" i="2" s="1"/>
  <c r="AK719" i="2" s="1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AB715" i="2" s="1"/>
  <c r="AK715" i="2" s="1"/>
  <c r="W715" i="2"/>
  <c r="AH714" i="2"/>
  <c r="AD714" i="2"/>
  <c r="AF714" i="2" s="1"/>
  <c r="X714" i="2"/>
  <c r="AB714" i="2" s="1"/>
  <c r="AK714" i="2" s="1"/>
  <c r="W714" i="2"/>
  <c r="AH713" i="2"/>
  <c r="AD713" i="2"/>
  <c r="X713" i="2"/>
  <c r="AB713" i="2" s="1"/>
  <c r="AK713" i="2" s="1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AF707" i="2" s="1"/>
  <c r="X707" i="2"/>
  <c r="AK707" i="2" s="1"/>
  <c r="W707" i="2"/>
  <c r="AH706" i="2"/>
  <c r="AD706" i="2"/>
  <c r="AF706" i="2" s="1"/>
  <c r="X706" i="2"/>
  <c r="W706" i="2"/>
  <c r="AH705" i="2"/>
  <c r="AD705" i="2"/>
  <c r="AF705" i="2" s="1"/>
  <c r="X705" i="2"/>
  <c r="AB705" i="2" s="1"/>
  <c r="AK705" i="2" s="1"/>
  <c r="W705" i="2"/>
  <c r="AH704" i="2"/>
  <c r="AD704" i="2"/>
  <c r="AF704" i="2" s="1"/>
  <c r="X704" i="2"/>
  <c r="W704" i="2"/>
  <c r="AH703" i="2"/>
  <c r="AD703" i="2"/>
  <c r="X703" i="2"/>
  <c r="AB703" i="2" s="1"/>
  <c r="AK703" i="2" s="1"/>
  <c r="W703" i="2"/>
  <c r="AH702" i="2"/>
  <c r="AD702" i="2"/>
  <c r="AF702" i="2" s="1"/>
  <c r="X702" i="2"/>
  <c r="AK702" i="2" s="1"/>
  <c r="W702" i="2"/>
  <c r="AH701" i="2"/>
  <c r="AD701" i="2"/>
  <c r="X701" i="2"/>
  <c r="AB701" i="2" s="1"/>
  <c r="AK701" i="2" s="1"/>
  <c r="W701" i="2"/>
  <c r="AH700" i="2"/>
  <c r="AD700" i="2"/>
  <c r="AF700" i="2" s="1"/>
  <c r="X700" i="2"/>
  <c r="W700" i="2"/>
  <c r="AH699" i="2"/>
  <c r="AD699" i="2"/>
  <c r="X699" i="2"/>
  <c r="AB699" i="2" s="1"/>
  <c r="AK699" i="2" s="1"/>
  <c r="W699" i="2"/>
  <c r="AH698" i="2"/>
  <c r="AD698" i="2"/>
  <c r="AF698" i="2" s="1"/>
  <c r="X698" i="2"/>
  <c r="AB698" i="2" s="1"/>
  <c r="AK698" i="2" s="1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AB693" i="2" s="1"/>
  <c r="AK693" i="2" s="1"/>
  <c r="W693" i="2"/>
  <c r="AH692" i="2"/>
  <c r="AD692" i="2"/>
  <c r="AF692" i="2" s="1"/>
  <c r="X692" i="2"/>
  <c r="W692" i="2"/>
  <c r="AH691" i="2"/>
  <c r="AD691" i="2"/>
  <c r="AF691" i="2" s="1"/>
  <c r="X691" i="2"/>
  <c r="AB691" i="2" s="1"/>
  <c r="AK691" i="2" s="1"/>
  <c r="W691" i="2"/>
  <c r="AH690" i="2"/>
  <c r="AD690" i="2"/>
  <c r="AF690" i="2" s="1"/>
  <c r="X690" i="2"/>
  <c r="W690" i="2"/>
  <c r="AH689" i="2"/>
  <c r="AD689" i="2"/>
  <c r="X689" i="2"/>
  <c r="AB689" i="2" s="1"/>
  <c r="AK689" i="2" s="1"/>
  <c r="W689" i="2"/>
  <c r="AH688" i="2"/>
  <c r="AD688" i="2"/>
  <c r="AF688" i="2" s="1"/>
  <c r="X688" i="2"/>
  <c r="AB688" i="2" s="1"/>
  <c r="AK688" i="2" s="1"/>
  <c r="W688" i="2"/>
  <c r="AH687" i="2"/>
  <c r="AD687" i="2"/>
  <c r="X687" i="2"/>
  <c r="AB687" i="2" s="1"/>
  <c r="AK687" i="2" s="1"/>
  <c r="W687" i="2"/>
  <c r="AH686" i="2"/>
  <c r="AD686" i="2"/>
  <c r="AF686" i="2" s="1"/>
  <c r="X686" i="2"/>
  <c r="AB686" i="2" s="1"/>
  <c r="AK686" i="2" s="1"/>
  <c r="W686" i="2"/>
  <c r="AH685" i="2"/>
  <c r="AD685" i="2"/>
  <c r="AF685" i="2" s="1"/>
  <c r="X685" i="2"/>
  <c r="AC685" i="2" s="1"/>
  <c r="W685" i="2"/>
  <c r="AH684" i="2"/>
  <c r="AD684" i="2"/>
  <c r="AF684" i="2" s="1"/>
  <c r="X684" i="2"/>
  <c r="W684" i="2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W682" i="2"/>
  <c r="AH681" i="2"/>
  <c r="AD681" i="2"/>
  <c r="AF681" i="2" s="1"/>
  <c r="X681" i="2"/>
  <c r="AC681" i="2" s="1"/>
  <c r="W681" i="2"/>
  <c r="AH680" i="2"/>
  <c r="AD680" i="2"/>
  <c r="AF680" i="2" s="1"/>
  <c r="X680" i="2"/>
  <c r="W680" i="2"/>
  <c r="AH679" i="2"/>
  <c r="AD679" i="2"/>
  <c r="AF679" i="2" s="1"/>
  <c r="X679" i="2"/>
  <c r="AC679" i="2" s="1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AC675" i="2" s="1"/>
  <c r="W675" i="2"/>
  <c r="AH674" i="2"/>
  <c r="AD674" i="2"/>
  <c r="AF674" i="2" s="1"/>
  <c r="X674" i="2"/>
  <c r="W674" i="2"/>
  <c r="AH673" i="2"/>
  <c r="AD673" i="2"/>
  <c r="AF673" i="2" s="1"/>
  <c r="X673" i="2"/>
  <c r="AB673" i="2" s="1"/>
  <c r="AK673" i="2" s="1"/>
  <c r="W673" i="2"/>
  <c r="AH672" i="2"/>
  <c r="AD672" i="2"/>
  <c r="AF672" i="2" s="1"/>
  <c r="X672" i="2"/>
  <c r="W672" i="2"/>
  <c r="AH671" i="2"/>
  <c r="AD671" i="2"/>
  <c r="AF671" i="2" s="1"/>
  <c r="X671" i="2"/>
  <c r="AC671" i="2" s="1"/>
  <c r="W671" i="2"/>
  <c r="AH670" i="2"/>
  <c r="AD670" i="2"/>
  <c r="AF670" i="2" s="1"/>
  <c r="X670" i="2"/>
  <c r="AB670" i="2" s="1"/>
  <c r="AK670" i="2" s="1"/>
  <c r="W670" i="2"/>
  <c r="AH669" i="2"/>
  <c r="AD669" i="2"/>
  <c r="X669" i="2"/>
  <c r="AB669" i="2" s="1"/>
  <c r="AK669" i="2" s="1"/>
  <c r="W669" i="2"/>
  <c r="AH668" i="2"/>
  <c r="AD668" i="2"/>
  <c r="AF668" i="2" s="1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W666" i="2"/>
  <c r="AH665" i="2"/>
  <c r="AD665" i="2"/>
  <c r="AF665" i="2" s="1"/>
  <c r="X665" i="2"/>
  <c r="AB665" i="2" s="1"/>
  <c r="AK665" i="2" s="1"/>
  <c r="W665" i="2"/>
  <c r="AH664" i="2"/>
  <c r="AD664" i="2"/>
  <c r="AF664" i="2" s="1"/>
  <c r="X664" i="2"/>
  <c r="W664" i="2"/>
  <c r="AH663" i="2"/>
  <c r="AD663" i="2"/>
  <c r="X663" i="2"/>
  <c r="AB663" i="2" s="1"/>
  <c r="AK663" i="2" s="1"/>
  <c r="W663" i="2"/>
  <c r="AH662" i="2"/>
  <c r="AD662" i="2"/>
  <c r="AF662" i="2" s="1"/>
  <c r="X662" i="2"/>
  <c r="AB662" i="2" s="1"/>
  <c r="AK662" i="2" s="1"/>
  <c r="W662" i="2"/>
  <c r="AH661" i="2"/>
  <c r="AD661" i="2"/>
  <c r="AF661" i="2" s="1"/>
  <c r="X661" i="2"/>
  <c r="AC661" i="2" s="1"/>
  <c r="W661" i="2"/>
  <c r="AH660" i="2"/>
  <c r="AD660" i="2"/>
  <c r="AF660" i="2" s="1"/>
  <c r="X660" i="2"/>
  <c r="W660" i="2"/>
  <c r="AH659" i="2"/>
  <c r="AD659" i="2"/>
  <c r="X659" i="2"/>
  <c r="AB659" i="2" s="1"/>
  <c r="AK659" i="2" s="1"/>
  <c r="W659" i="2"/>
  <c r="AH658" i="2"/>
  <c r="AD658" i="2"/>
  <c r="AF658" i="2" s="1"/>
  <c r="X658" i="2"/>
  <c r="W658" i="2"/>
  <c r="AH657" i="2"/>
  <c r="AD657" i="2"/>
  <c r="AF657" i="2" s="1"/>
  <c r="X657" i="2"/>
  <c r="AB657" i="2" s="1"/>
  <c r="AK657" i="2" s="1"/>
  <c r="W657" i="2"/>
  <c r="AH656" i="2"/>
  <c r="AD656" i="2"/>
  <c r="AF656" i="2" s="1"/>
  <c r="X656" i="2"/>
  <c r="W656" i="2"/>
  <c r="AH655" i="2"/>
  <c r="AD655" i="2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AF653" i="2" s="1"/>
  <c r="X653" i="2"/>
  <c r="AC653" i="2" s="1"/>
  <c r="W653" i="2"/>
  <c r="AH652" i="2"/>
  <c r="AD652" i="2"/>
  <c r="AF652" i="2" s="1"/>
  <c r="X652" i="2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X649" i="2"/>
  <c r="AK649" i="2" s="1"/>
  <c r="W649" i="2"/>
  <c r="AH648" i="2"/>
  <c r="AD648" i="2"/>
  <c r="AF648" i="2" s="1"/>
  <c r="X648" i="2"/>
  <c r="W648" i="2"/>
  <c r="AH647" i="2"/>
  <c r="AD647" i="2"/>
  <c r="AF647" i="2" s="1"/>
  <c r="X647" i="2"/>
  <c r="AC647" i="2" s="1"/>
  <c r="W647" i="2"/>
  <c r="AH646" i="2"/>
  <c r="AD646" i="2"/>
  <c r="AF646" i="2" s="1"/>
  <c r="X646" i="2"/>
  <c r="AC646" i="2" s="1"/>
  <c r="W646" i="2"/>
  <c r="AH645" i="2"/>
  <c r="AD645" i="2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AB642" i="2" s="1"/>
  <c r="AK642" i="2" s="1"/>
  <c r="W642" i="2"/>
  <c r="AH641" i="2"/>
  <c r="AD641" i="2"/>
  <c r="AF641" i="2" s="1"/>
  <c r="X641" i="2"/>
  <c r="AC641" i="2" s="1"/>
  <c r="W641" i="2"/>
  <c r="AH640" i="2"/>
  <c r="AD640" i="2"/>
  <c r="AF640" i="2" s="1"/>
  <c r="X640" i="2"/>
  <c r="AB640" i="2" s="1"/>
  <c r="AK640" i="2" s="1"/>
  <c r="W640" i="2"/>
  <c r="AH639" i="2"/>
  <c r="AD639" i="2"/>
  <c r="AF639" i="2" s="1"/>
  <c r="X639" i="2"/>
  <c r="AB639" i="2" s="1"/>
  <c r="AK639" i="2" s="1"/>
  <c r="W639" i="2"/>
  <c r="AH638" i="2"/>
  <c r="AD638" i="2"/>
  <c r="AF638" i="2" s="1"/>
  <c r="X638" i="2"/>
  <c r="W638" i="2"/>
  <c r="AH637" i="2"/>
  <c r="AD637" i="2"/>
  <c r="X637" i="2"/>
  <c r="AB637" i="2" s="1"/>
  <c r="AK637" i="2" s="1"/>
  <c r="W637" i="2"/>
  <c r="AH636" i="2"/>
  <c r="AD636" i="2"/>
  <c r="AF636" i="2" s="1"/>
  <c r="X636" i="2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W634" i="2"/>
  <c r="AH633" i="2"/>
  <c r="AD633" i="2"/>
  <c r="X633" i="2"/>
  <c r="AK633" i="2" s="1"/>
  <c r="W633" i="2"/>
  <c r="AH632" i="2"/>
  <c r="AD632" i="2"/>
  <c r="AF632" i="2" s="1"/>
  <c r="X632" i="2"/>
  <c r="AB632" i="2" s="1"/>
  <c r="AK632" i="2" s="1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AB629" i="2" s="1"/>
  <c r="AK629" i="2" s="1"/>
  <c r="W629" i="2"/>
  <c r="AH628" i="2"/>
  <c r="AD628" i="2"/>
  <c r="AF628" i="2" s="1"/>
  <c r="X628" i="2"/>
  <c r="W628" i="2"/>
  <c r="AH627" i="2"/>
  <c r="AD627" i="2"/>
  <c r="AF627" i="2" s="1"/>
  <c r="X627" i="2"/>
  <c r="AC627" i="2" s="1"/>
  <c r="W627" i="2"/>
  <c r="AH626" i="2"/>
  <c r="AD626" i="2"/>
  <c r="AF626" i="2" s="1"/>
  <c r="X626" i="2"/>
  <c r="W626" i="2"/>
  <c r="AH625" i="2"/>
  <c r="AD625" i="2"/>
  <c r="AF625" i="2" s="1"/>
  <c r="X625" i="2"/>
  <c r="AB625" i="2" s="1"/>
  <c r="AK625" i="2" s="1"/>
  <c r="W625" i="2"/>
  <c r="AH624" i="2"/>
  <c r="AD624" i="2"/>
  <c r="AF624" i="2" s="1"/>
  <c r="X624" i="2"/>
  <c r="W624" i="2"/>
  <c r="AH623" i="2"/>
  <c r="AD623" i="2"/>
  <c r="X623" i="2"/>
  <c r="AB623" i="2" s="1"/>
  <c r="AK623" i="2" s="1"/>
  <c r="W623" i="2"/>
  <c r="AH622" i="2"/>
  <c r="AD622" i="2"/>
  <c r="AF622" i="2" s="1"/>
  <c r="X622" i="2"/>
  <c r="AB622" i="2" s="1"/>
  <c r="AK622" i="2" s="1"/>
  <c r="W622" i="2"/>
  <c r="AH621" i="2"/>
  <c r="AD621" i="2"/>
  <c r="AF621" i="2" s="1"/>
  <c r="X621" i="2"/>
  <c r="AB621" i="2" s="1"/>
  <c r="AK621" i="2" s="1"/>
  <c r="W621" i="2"/>
  <c r="AH620" i="2"/>
  <c r="AD620" i="2"/>
  <c r="X620" i="2"/>
  <c r="W620" i="2"/>
  <c r="AH619" i="2"/>
  <c r="AD619" i="2"/>
  <c r="AF619" i="2" s="1"/>
  <c r="X619" i="2"/>
  <c r="AC619" i="2" s="1"/>
  <c r="W619" i="2"/>
  <c r="AH618" i="2"/>
  <c r="AD618" i="2"/>
  <c r="X618" i="2"/>
  <c r="W618" i="2"/>
  <c r="AH617" i="2"/>
  <c r="AD617" i="2"/>
  <c r="X617" i="2"/>
  <c r="AB617" i="2" s="1"/>
  <c r="AK617" i="2" s="1"/>
  <c r="W617" i="2"/>
  <c r="AH616" i="2"/>
  <c r="AD616" i="2"/>
  <c r="X616" i="2"/>
  <c r="W616" i="2"/>
  <c r="AH615" i="2"/>
  <c r="AD615" i="2"/>
  <c r="X615" i="2"/>
  <c r="AB615" i="2" s="1"/>
  <c r="AK615" i="2" s="1"/>
  <c r="W615" i="2"/>
  <c r="AH614" i="2"/>
  <c r="AD614" i="2"/>
  <c r="AF614" i="2" s="1"/>
  <c r="X614" i="2"/>
  <c r="AB614" i="2" s="1"/>
  <c r="AK614" i="2" s="1"/>
  <c r="W614" i="2"/>
  <c r="AH613" i="2"/>
  <c r="AD613" i="2"/>
  <c r="X613" i="2"/>
  <c r="AB613" i="2" s="1"/>
  <c r="AK613" i="2" s="1"/>
  <c r="W613" i="2"/>
  <c r="AH612" i="2"/>
  <c r="AD612" i="2"/>
  <c r="X612" i="2"/>
  <c r="AB612" i="2" s="1"/>
  <c r="AK612" i="2" s="1"/>
  <c r="W612" i="2"/>
  <c r="AH611" i="2"/>
  <c r="AD611" i="2"/>
  <c r="AF611" i="2" s="1"/>
  <c r="X611" i="2"/>
  <c r="AB611" i="2" s="1"/>
  <c r="AK611" i="2" s="1"/>
  <c r="W611" i="2"/>
  <c r="AH610" i="2"/>
  <c r="AD610" i="2"/>
  <c r="X610" i="2"/>
  <c r="AB610" i="2" s="1"/>
  <c r="AK610" i="2" s="1"/>
  <c r="W610" i="2"/>
  <c r="AH609" i="2"/>
  <c r="AD609" i="2"/>
  <c r="AF609" i="2" s="1"/>
  <c r="X609" i="2"/>
  <c r="AC609" i="2" s="1"/>
  <c r="W609" i="2"/>
  <c r="AH608" i="2"/>
  <c r="AD608" i="2"/>
  <c r="X608" i="2"/>
  <c r="W608" i="2"/>
  <c r="AH607" i="2"/>
  <c r="AD607" i="2"/>
  <c r="AF607" i="2" s="1"/>
  <c r="X607" i="2"/>
  <c r="AB607" i="2" s="1"/>
  <c r="AK607" i="2" s="1"/>
  <c r="W607" i="2"/>
  <c r="AH606" i="2"/>
  <c r="AD606" i="2"/>
  <c r="AF606" i="2" s="1"/>
  <c r="X606" i="2"/>
  <c r="W606" i="2"/>
  <c r="AH605" i="2"/>
  <c r="AD605" i="2"/>
  <c r="AF605" i="2" s="1"/>
  <c r="X605" i="2"/>
  <c r="AC605" i="2" s="1"/>
  <c r="W605" i="2"/>
  <c r="AH604" i="2"/>
  <c r="AD604" i="2"/>
  <c r="AF604" i="2" s="1"/>
  <c r="X604" i="2"/>
  <c r="AB604" i="2" s="1"/>
  <c r="AK604" i="2" s="1"/>
  <c r="W604" i="2"/>
  <c r="AH603" i="2"/>
  <c r="AD603" i="2"/>
  <c r="AF603" i="2" s="1"/>
  <c r="X603" i="2"/>
  <c r="AB603" i="2" s="1"/>
  <c r="AK603" i="2" s="1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X599" i="2"/>
  <c r="AB599" i="2" s="1"/>
  <c r="AK599" i="2" s="1"/>
  <c r="W599" i="2"/>
  <c r="AH598" i="2"/>
  <c r="AD598" i="2"/>
  <c r="AF598" i="2" s="1"/>
  <c r="X598" i="2"/>
  <c r="AB598" i="2" s="1"/>
  <c r="AK598" i="2" s="1"/>
  <c r="W598" i="2"/>
  <c r="AH597" i="2"/>
  <c r="AD597" i="2"/>
  <c r="AF597" i="2" s="1"/>
  <c r="X597" i="2"/>
  <c r="AB597" i="2" s="1"/>
  <c r="AK597" i="2" s="1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AB593" i="2" s="1"/>
  <c r="AK593" i="2" s="1"/>
  <c r="W593" i="2"/>
  <c r="AH592" i="2"/>
  <c r="AD592" i="2"/>
  <c r="AF592" i="2" s="1"/>
  <c r="X592" i="2"/>
  <c r="W592" i="2"/>
  <c r="AH591" i="2"/>
  <c r="AD591" i="2"/>
  <c r="X591" i="2"/>
  <c r="AB591" i="2" s="1"/>
  <c r="AK591" i="2" s="1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W586" i="2"/>
  <c r="AH585" i="2"/>
  <c r="AD585" i="2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C583" i="2" s="1"/>
  <c r="W583" i="2"/>
  <c r="AH582" i="2"/>
  <c r="AD582" i="2"/>
  <c r="AF582" i="2" s="1"/>
  <c r="X582" i="2"/>
  <c r="W582" i="2"/>
  <c r="AH581" i="2"/>
  <c r="AD581" i="2"/>
  <c r="AF581" i="2" s="1"/>
  <c r="X581" i="2"/>
  <c r="AB581" i="2" s="1"/>
  <c r="AK581" i="2" s="1"/>
  <c r="W581" i="2"/>
  <c r="AH580" i="2"/>
  <c r="AD580" i="2"/>
  <c r="AF580" i="2" s="1"/>
  <c r="X580" i="2"/>
  <c r="W580" i="2"/>
  <c r="AH579" i="2"/>
  <c r="AD579" i="2"/>
  <c r="AF579" i="2" s="1"/>
  <c r="X579" i="2"/>
  <c r="AB579" i="2" s="1"/>
  <c r="AK579" i="2" s="1"/>
  <c r="W579" i="2"/>
  <c r="AH578" i="2"/>
  <c r="AD578" i="2"/>
  <c r="AF578" i="2" s="1"/>
  <c r="X578" i="2"/>
  <c r="AB578" i="2" s="1"/>
  <c r="AK578" i="2" s="1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X575" i="2"/>
  <c r="AB575" i="2" s="1"/>
  <c r="AK575" i="2" s="1"/>
  <c r="AH574" i="2"/>
  <c r="AD574" i="2"/>
  <c r="AF574" i="2" s="1"/>
  <c r="X574" i="2"/>
  <c r="W574" i="2"/>
  <c r="AH573" i="2"/>
  <c r="AD573" i="2"/>
  <c r="AF573" i="2" s="1"/>
  <c r="X573" i="2"/>
  <c r="AB573" i="2" s="1"/>
  <c r="AK573" i="2" s="1"/>
  <c r="W573" i="2"/>
  <c r="AH572" i="2"/>
  <c r="AD572" i="2"/>
  <c r="Y572" i="2" s="1"/>
  <c r="X572" i="2"/>
  <c r="AK572" i="2" s="1"/>
  <c r="W572" i="2"/>
  <c r="AH571" i="2"/>
  <c r="AD571" i="2"/>
  <c r="X571" i="2"/>
  <c r="W571" i="2"/>
  <c r="AH570" i="2"/>
  <c r="AD570" i="2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X566" i="2"/>
  <c r="W566" i="2"/>
  <c r="AH565" i="2"/>
  <c r="AD565" i="2"/>
  <c r="AF565" i="2" s="1"/>
  <c r="X565" i="2"/>
  <c r="AB565" i="2" s="1"/>
  <c r="AK565" i="2" s="1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AB561" i="2" s="1"/>
  <c r="AK561" i="2" s="1"/>
  <c r="W561" i="2"/>
  <c r="AH560" i="2"/>
  <c r="AD560" i="2"/>
  <c r="AF560" i="2" s="1"/>
  <c r="X560" i="2"/>
  <c r="AB560" i="2" s="1"/>
  <c r="AK560" i="2" s="1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AC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AB555" i="2" s="1"/>
  <c r="AK555" i="2" s="1"/>
  <c r="W555" i="2"/>
  <c r="AH554" i="2"/>
  <c r="AD554" i="2"/>
  <c r="AF554" i="2" s="1"/>
  <c r="X554" i="2"/>
  <c r="W554" i="2"/>
  <c r="AH553" i="2"/>
  <c r="AD553" i="2"/>
  <c r="X553" i="2"/>
  <c r="AB553" i="2" s="1"/>
  <c r="AK553" i="2" s="1"/>
  <c r="W553" i="2"/>
  <c r="AH552" i="2"/>
  <c r="AD552" i="2"/>
  <c r="AF552" i="2" s="1"/>
  <c r="X552" i="2"/>
  <c r="AB552" i="2" s="1"/>
  <c r="AK552" i="2" s="1"/>
  <c r="W552" i="2"/>
  <c r="AH551" i="2"/>
  <c r="AD551" i="2"/>
  <c r="AF551" i="2" s="1"/>
  <c r="X551" i="2"/>
  <c r="AB551" i="2" s="1"/>
  <c r="AK551" i="2" s="1"/>
  <c r="W551" i="2"/>
  <c r="AH550" i="2"/>
  <c r="AD550" i="2"/>
  <c r="X550" i="2"/>
  <c r="AB550" i="2" s="1"/>
  <c r="AK550" i="2" s="1"/>
  <c r="W550" i="2"/>
  <c r="AH549" i="2"/>
  <c r="AD549" i="2"/>
  <c r="AF549" i="2" s="1"/>
  <c r="X549" i="2"/>
  <c r="AB549" i="2" s="1"/>
  <c r="AK549" i="2" s="1"/>
  <c r="W549" i="2"/>
  <c r="AH548" i="2"/>
  <c r="AD548" i="2"/>
  <c r="AF548" i="2" s="1"/>
  <c r="X548" i="2"/>
  <c r="AB548" i="2" s="1"/>
  <c r="AK548" i="2" s="1"/>
  <c r="W548" i="2"/>
  <c r="AH547" i="2"/>
  <c r="AD547" i="2"/>
  <c r="AF547" i="2" s="1"/>
  <c r="X547" i="2"/>
  <c r="AB547" i="2" s="1"/>
  <c r="AK547" i="2" s="1"/>
  <c r="W547" i="2"/>
  <c r="AH546" i="2"/>
  <c r="AD546" i="2"/>
  <c r="AF546" i="2" s="1"/>
  <c r="X546" i="2"/>
  <c r="W546" i="2"/>
  <c r="AH545" i="2"/>
  <c r="AD545" i="2"/>
  <c r="AF545" i="2" s="1"/>
  <c r="X545" i="2"/>
  <c r="AB545" i="2" s="1"/>
  <c r="AK545" i="2" s="1"/>
  <c r="W545" i="2"/>
  <c r="AH544" i="2"/>
  <c r="AD544" i="2"/>
  <c r="AF544" i="2" s="1"/>
  <c r="X544" i="2"/>
  <c r="AB544" i="2" s="1"/>
  <c r="AK544" i="2" s="1"/>
  <c r="W544" i="2"/>
  <c r="AH543" i="2"/>
  <c r="AD543" i="2"/>
  <c r="AF543" i="2" s="1"/>
  <c r="X543" i="2"/>
  <c r="AB543" i="2" s="1"/>
  <c r="AK543" i="2" s="1"/>
  <c r="W543" i="2"/>
  <c r="AH542" i="2"/>
  <c r="AD542" i="2"/>
  <c r="X542" i="2"/>
  <c r="AB542" i="2" s="1"/>
  <c r="W542" i="2"/>
  <c r="AH541" i="2"/>
  <c r="AD541" i="2"/>
  <c r="AF541" i="2" s="1"/>
  <c r="X541" i="2"/>
  <c r="AB541" i="2" s="1"/>
  <c r="AK541" i="2" s="1"/>
  <c r="W541" i="2"/>
  <c r="AH540" i="2"/>
  <c r="AD540" i="2"/>
  <c r="AF540" i="2" s="1"/>
  <c r="X540" i="2"/>
  <c r="AB540" i="2" s="1"/>
  <c r="AK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W538" i="2"/>
  <c r="AH537" i="2"/>
  <c r="AD537" i="2"/>
  <c r="AF537" i="2" s="1"/>
  <c r="X537" i="2"/>
  <c r="AB537" i="2" s="1"/>
  <c r="AK537" i="2" s="1"/>
  <c r="W537" i="2"/>
  <c r="AH536" i="2"/>
  <c r="AD536" i="2"/>
  <c r="AF536" i="2" s="1"/>
  <c r="X536" i="2"/>
  <c r="AC536" i="2" s="1"/>
  <c r="W536" i="2"/>
  <c r="AH535" i="2"/>
  <c r="AD535" i="2"/>
  <c r="AF535" i="2" s="1"/>
  <c r="X535" i="2"/>
  <c r="AB535" i="2" s="1"/>
  <c r="AK535" i="2" s="1"/>
  <c r="W535" i="2"/>
  <c r="AH534" i="2"/>
  <c r="AD534" i="2"/>
  <c r="X534" i="2"/>
  <c r="W534" i="2"/>
  <c r="AH533" i="2"/>
  <c r="AD533" i="2"/>
  <c r="AF533" i="2" s="1"/>
  <c r="X533" i="2"/>
  <c r="AB533" i="2" s="1"/>
  <c r="AK533" i="2" s="1"/>
  <c r="W533" i="2"/>
  <c r="AH532" i="2"/>
  <c r="AD532" i="2"/>
  <c r="X532" i="2"/>
  <c r="AB532" i="2" s="1"/>
  <c r="AK532" i="2" s="1"/>
  <c r="W532" i="2"/>
  <c r="AH531" i="2"/>
  <c r="AD531" i="2"/>
  <c r="AF531" i="2" s="1"/>
  <c r="X531" i="2"/>
  <c r="AB531" i="2" s="1"/>
  <c r="AK531" i="2" s="1"/>
  <c r="W531" i="2"/>
  <c r="AH530" i="2"/>
  <c r="AD530" i="2"/>
  <c r="AF530" i="2" s="1"/>
  <c r="X530" i="2"/>
  <c r="W530" i="2"/>
  <c r="AH529" i="2"/>
  <c r="AD529" i="2"/>
  <c r="X529" i="2"/>
  <c r="AC529" i="2" s="1"/>
  <c r="W529" i="2"/>
  <c r="AH528" i="2"/>
  <c r="AD528" i="2"/>
  <c r="AF528" i="2" s="1"/>
  <c r="X528" i="2"/>
  <c r="AB528" i="2" s="1"/>
  <c r="AK528" i="2" s="1"/>
  <c r="W528" i="2"/>
  <c r="AH527" i="2"/>
  <c r="AD527" i="2"/>
  <c r="AF527" i="2" s="1"/>
  <c r="X527" i="2"/>
  <c r="AB527" i="2" s="1"/>
  <c r="AK527" i="2" s="1"/>
  <c r="W527" i="2"/>
  <c r="AH526" i="2"/>
  <c r="AD526" i="2"/>
  <c r="X526" i="2"/>
  <c r="AB526" i="2" s="1"/>
  <c r="AK526" i="2" s="1"/>
  <c r="W526" i="2"/>
  <c r="AH525" i="2"/>
  <c r="AD525" i="2"/>
  <c r="AF525" i="2" s="1"/>
  <c r="X525" i="2"/>
  <c r="AB525" i="2" s="1"/>
  <c r="AK525" i="2" s="1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AB521" i="2" s="1"/>
  <c r="AK521" i="2" s="1"/>
  <c r="W521" i="2"/>
  <c r="AH520" i="2"/>
  <c r="AD520" i="2"/>
  <c r="AF520" i="2" s="1"/>
  <c r="X520" i="2"/>
  <c r="W520" i="2"/>
  <c r="AH519" i="2"/>
  <c r="AD519" i="2"/>
  <c r="AF519" i="2" s="1"/>
  <c r="X519" i="2"/>
  <c r="AB519" i="2" s="1"/>
  <c r="AK519" i="2" s="1"/>
  <c r="W519" i="2"/>
  <c r="AH518" i="2"/>
  <c r="AD518" i="2"/>
  <c r="AF518" i="2" s="1"/>
  <c r="X518" i="2"/>
  <c r="W518" i="2"/>
  <c r="AH517" i="2"/>
  <c r="AD517" i="2"/>
  <c r="AF517" i="2" s="1"/>
  <c r="X517" i="2"/>
  <c r="AB517" i="2" s="1"/>
  <c r="AK517" i="2" s="1"/>
  <c r="W517" i="2"/>
  <c r="AH516" i="2"/>
  <c r="AD516" i="2"/>
  <c r="X516" i="2"/>
  <c r="AB516" i="2" s="1"/>
  <c r="W516" i="2"/>
  <c r="AH515" i="2"/>
  <c r="AD515" i="2"/>
  <c r="X515" i="2"/>
  <c r="AB515" i="2" s="1"/>
  <c r="AK515" i="2" s="1"/>
  <c r="W515" i="2"/>
  <c r="AH514" i="2"/>
  <c r="AD514" i="2"/>
  <c r="X514" i="2"/>
  <c r="AB514" i="2" s="1"/>
  <c r="AK514" i="2" s="1"/>
  <c r="W514" i="2"/>
  <c r="AH513" i="2"/>
  <c r="AD513" i="2"/>
  <c r="AF513" i="2" s="1"/>
  <c r="X513" i="2"/>
  <c r="AB513" i="2" s="1"/>
  <c r="AK513" i="2" s="1"/>
  <c r="W513" i="2"/>
  <c r="AH512" i="2"/>
  <c r="AD512" i="2"/>
  <c r="AF512" i="2" s="1"/>
  <c r="X512" i="2"/>
  <c r="AB512" i="2" s="1"/>
  <c r="AK512" i="2" s="1"/>
  <c r="W512" i="2"/>
  <c r="AH511" i="2"/>
  <c r="AD511" i="2"/>
  <c r="X511" i="2"/>
  <c r="AB511" i="2" s="1"/>
  <c r="AK511" i="2" s="1"/>
  <c r="W511" i="2"/>
  <c r="AH510" i="2"/>
  <c r="AD510" i="2"/>
  <c r="AF510" i="2" s="1"/>
  <c r="X510" i="2"/>
  <c r="AB510" i="2" s="1"/>
  <c r="W510" i="2"/>
  <c r="AH509" i="2"/>
  <c r="AD509" i="2"/>
  <c r="AF509" i="2" s="1"/>
  <c r="X509" i="2"/>
  <c r="AB509" i="2" s="1"/>
  <c r="AK509" i="2" s="1"/>
  <c r="W509" i="2"/>
  <c r="AH508" i="2"/>
  <c r="AD508" i="2"/>
  <c r="X508" i="2"/>
  <c r="AB508" i="2" s="1"/>
  <c r="AK508" i="2" s="1"/>
  <c r="W508" i="2"/>
  <c r="AH507" i="2"/>
  <c r="AD507" i="2"/>
  <c r="X507" i="2"/>
  <c r="AB507" i="2" s="1"/>
  <c r="AK507" i="2" s="1"/>
  <c r="W507" i="2"/>
  <c r="AH506" i="2"/>
  <c r="AD506" i="2"/>
  <c r="X506" i="2"/>
  <c r="AB506" i="2" s="1"/>
  <c r="AK506" i="2" s="1"/>
  <c r="W506" i="2"/>
  <c r="AH505" i="2"/>
  <c r="AD505" i="2"/>
  <c r="AF505" i="2" s="1"/>
  <c r="X505" i="2"/>
  <c r="AB505" i="2" s="1"/>
  <c r="AK505" i="2" s="1"/>
  <c r="W505" i="2"/>
  <c r="AH504" i="2"/>
  <c r="AD504" i="2"/>
  <c r="X504" i="2"/>
  <c r="AB504" i="2" s="1"/>
  <c r="AK504" i="2" s="1"/>
  <c r="W504" i="2"/>
  <c r="AH503" i="2"/>
  <c r="AD503" i="2"/>
  <c r="X503" i="2"/>
  <c r="AB503" i="2" s="1"/>
  <c r="AK503" i="2" s="1"/>
  <c r="W503" i="2"/>
  <c r="AH502" i="2"/>
  <c r="AD502" i="2"/>
  <c r="X502" i="2"/>
  <c r="W502" i="2"/>
  <c r="AH501" i="2"/>
  <c r="AD501" i="2"/>
  <c r="AF501" i="2" s="1"/>
  <c r="X501" i="2"/>
  <c r="W501" i="2"/>
  <c r="AH500" i="2"/>
  <c r="AD500" i="2"/>
  <c r="X500" i="2"/>
  <c r="AB500" i="2" s="1"/>
  <c r="AK500" i="2" s="1"/>
  <c r="W500" i="2"/>
  <c r="AH499" i="2"/>
  <c r="AD499" i="2"/>
  <c r="AF499" i="2" s="1"/>
  <c r="X499" i="2"/>
  <c r="AB499" i="2" s="1"/>
  <c r="AK499" i="2" s="1"/>
  <c r="W499" i="2"/>
  <c r="AH498" i="2"/>
  <c r="AD498" i="2"/>
  <c r="X498" i="2"/>
  <c r="W498" i="2"/>
  <c r="AH497" i="2"/>
  <c r="AD497" i="2"/>
  <c r="AF497" i="2" s="1"/>
  <c r="X497" i="2"/>
  <c r="AB497" i="2" s="1"/>
  <c r="AK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AC495" i="2" s="1"/>
  <c r="W495" i="2"/>
  <c r="AH494" i="2"/>
  <c r="AD494" i="2"/>
  <c r="X494" i="2"/>
  <c r="AB494" i="2" s="1"/>
  <c r="AK494" i="2" s="1"/>
  <c r="W494" i="2"/>
  <c r="AH493" i="2"/>
  <c r="AD493" i="2"/>
  <c r="AF493" i="2" s="1"/>
  <c r="X493" i="2"/>
  <c r="AB493" i="2" s="1"/>
  <c r="AK493" i="2" s="1"/>
  <c r="W493" i="2"/>
  <c r="AH492" i="2"/>
  <c r="AD492" i="2"/>
  <c r="AF492" i="2" s="1"/>
  <c r="X492" i="2"/>
  <c r="AB492" i="2" s="1"/>
  <c r="AK492" i="2" s="1"/>
  <c r="W492" i="2"/>
  <c r="AH491" i="2"/>
  <c r="AD491" i="2"/>
  <c r="AF491" i="2" s="1"/>
  <c r="X491" i="2"/>
  <c r="AB491" i="2" s="1"/>
  <c r="AK491" i="2" s="1"/>
  <c r="W491" i="2"/>
  <c r="AH490" i="2"/>
  <c r="AD490" i="2"/>
  <c r="X490" i="2"/>
  <c r="W490" i="2"/>
  <c r="AH489" i="2"/>
  <c r="AD489" i="2"/>
  <c r="AF489" i="2" s="1"/>
  <c r="X489" i="2"/>
  <c r="AB489" i="2" s="1"/>
  <c r="AK489" i="2" s="1"/>
  <c r="W489" i="2"/>
  <c r="AH488" i="2"/>
  <c r="AD488" i="2"/>
  <c r="AF488" i="2" s="1"/>
  <c r="X488" i="2"/>
  <c r="AB488" i="2" s="1"/>
  <c r="AK488" i="2" s="1"/>
  <c r="W488" i="2"/>
  <c r="AH487" i="2"/>
  <c r="AD487" i="2"/>
  <c r="X487" i="2"/>
  <c r="AB487" i="2" s="1"/>
  <c r="AK487" i="2" s="1"/>
  <c r="W487" i="2"/>
  <c r="AH486" i="2"/>
  <c r="AD486" i="2"/>
  <c r="AF486" i="2" s="1"/>
  <c r="X486" i="2"/>
  <c r="W486" i="2"/>
  <c r="AH485" i="2"/>
  <c r="AD485" i="2"/>
  <c r="AF485" i="2" s="1"/>
  <c r="X485" i="2"/>
  <c r="AB485" i="2" s="1"/>
  <c r="AK485" i="2" s="1"/>
  <c r="W485" i="2"/>
  <c r="AH484" i="2"/>
  <c r="AD484" i="2"/>
  <c r="X484" i="2"/>
  <c r="W484" i="2"/>
  <c r="AH483" i="2"/>
  <c r="AD483" i="2"/>
  <c r="AF483" i="2" s="1"/>
  <c r="X483" i="2"/>
  <c r="AB483" i="2" s="1"/>
  <c r="AK483" i="2" s="1"/>
  <c r="W483" i="2"/>
  <c r="AH482" i="2"/>
  <c r="AD482" i="2"/>
  <c r="AF482" i="2" s="1"/>
  <c r="X482" i="2"/>
  <c r="W482" i="2"/>
  <c r="AH481" i="2"/>
  <c r="AD481" i="2"/>
  <c r="AF481" i="2" s="1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AF479" i="2" s="1"/>
  <c r="X479" i="2"/>
  <c r="AB479" i="2" s="1"/>
  <c r="AK479" i="2" s="1"/>
  <c r="W479" i="2"/>
  <c r="AH478" i="2"/>
  <c r="AD478" i="2"/>
  <c r="AF478" i="2" s="1"/>
  <c r="X478" i="2"/>
  <c r="W478" i="2"/>
  <c r="AH477" i="2"/>
  <c r="AD477" i="2"/>
  <c r="AF477" i="2" s="1"/>
  <c r="X477" i="2"/>
  <c r="AB477" i="2" s="1"/>
  <c r="AK477" i="2" s="1"/>
  <c r="W477" i="2"/>
  <c r="AH476" i="2"/>
  <c r="AD476" i="2"/>
  <c r="AF476" i="2" s="1"/>
  <c r="X476" i="2"/>
  <c r="AB476" i="2" s="1"/>
  <c r="AK476" i="2" s="1"/>
  <c r="W476" i="2"/>
  <c r="AH475" i="2"/>
  <c r="AD475" i="2"/>
  <c r="AF475" i="2" s="1"/>
  <c r="X475" i="2"/>
  <c r="W475" i="2"/>
  <c r="AH474" i="2"/>
  <c r="AD474" i="2"/>
  <c r="AF474" i="2" s="1"/>
  <c r="X474" i="2"/>
  <c r="AB474" i="2" s="1"/>
  <c r="AK474" i="2" s="1"/>
  <c r="W474" i="2"/>
  <c r="AH473" i="2"/>
  <c r="AD473" i="2"/>
  <c r="AF473" i="2" s="1"/>
  <c r="X473" i="2"/>
  <c r="AB473" i="2" s="1"/>
  <c r="AK473" i="2" s="1"/>
  <c r="W473" i="2"/>
  <c r="AH472" i="2"/>
  <c r="AD472" i="2"/>
  <c r="AF472" i="2" s="1"/>
  <c r="X472" i="2"/>
  <c r="AB472" i="2" s="1"/>
  <c r="AK472" i="2" s="1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W470" i="2"/>
  <c r="AH469" i="2"/>
  <c r="AD469" i="2"/>
  <c r="AF469" i="2" s="1"/>
  <c r="X469" i="2"/>
  <c r="AB469" i="2" s="1"/>
  <c r="AK469" i="2" s="1"/>
  <c r="W469" i="2"/>
  <c r="AH468" i="2"/>
  <c r="AD468" i="2"/>
  <c r="AF468" i="2" s="1"/>
  <c r="X468" i="2"/>
  <c r="AB468" i="2" s="1"/>
  <c r="AK468" i="2" s="1"/>
  <c r="W468" i="2"/>
  <c r="AH467" i="2"/>
  <c r="AD467" i="2"/>
  <c r="AF467" i="2" s="1"/>
  <c r="X467" i="2"/>
  <c r="AB467" i="2" s="1"/>
  <c r="AK467" i="2" s="1"/>
  <c r="W467" i="2"/>
  <c r="AH466" i="2"/>
  <c r="AD466" i="2"/>
  <c r="AF466" i="2" s="1"/>
  <c r="X466" i="2"/>
  <c r="AB466" i="2" s="1"/>
  <c r="AK466" i="2" s="1"/>
  <c r="W466" i="2"/>
  <c r="AH465" i="2"/>
  <c r="AD465" i="2"/>
  <c r="AF465" i="2" s="1"/>
  <c r="X465" i="2"/>
  <c r="AC465" i="2" s="1"/>
  <c r="W465" i="2"/>
  <c r="AH464" i="2"/>
  <c r="AD464" i="2"/>
  <c r="AF464" i="2" s="1"/>
  <c r="X464" i="2"/>
  <c r="W464" i="2"/>
  <c r="AH463" i="2"/>
  <c r="AD463" i="2"/>
  <c r="AF463" i="2" s="1"/>
  <c r="X463" i="2"/>
  <c r="AB463" i="2" s="1"/>
  <c r="AK463" i="2" s="1"/>
  <c r="W463" i="2"/>
  <c r="AH462" i="2"/>
  <c r="AD462" i="2"/>
  <c r="AF462" i="2" s="1"/>
  <c r="X462" i="2"/>
  <c r="W462" i="2"/>
  <c r="AH461" i="2"/>
  <c r="AD461" i="2"/>
  <c r="AF461" i="2" s="1"/>
  <c r="X461" i="2"/>
  <c r="AB461" i="2" s="1"/>
  <c r="AK461" i="2" s="1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AB457" i="2" s="1"/>
  <c r="AK457" i="2" s="1"/>
  <c r="W457" i="2"/>
  <c r="AH456" i="2"/>
  <c r="AD456" i="2"/>
  <c r="AF456" i="2" s="1"/>
  <c r="X456" i="2"/>
  <c r="AB456" i="2" s="1"/>
  <c r="AK456" i="2" s="1"/>
  <c r="W456" i="2"/>
  <c r="AH455" i="2"/>
  <c r="AD455" i="2"/>
  <c r="AF455" i="2" s="1"/>
  <c r="X455" i="2"/>
  <c r="AC455" i="2" s="1"/>
  <c r="W455" i="2"/>
  <c r="AH454" i="2"/>
  <c r="AD454" i="2"/>
  <c r="AF454" i="2" s="1"/>
  <c r="X454" i="2"/>
  <c r="AB454" i="2" s="1"/>
  <c r="AK454" i="2" s="1"/>
  <c r="W454" i="2"/>
  <c r="AH453" i="2"/>
  <c r="AD453" i="2"/>
  <c r="AF453" i="2" s="1"/>
  <c r="X453" i="2"/>
  <c r="AB453" i="2" s="1"/>
  <c r="AK453" i="2" s="1"/>
  <c r="W453" i="2"/>
  <c r="AH452" i="2"/>
  <c r="AD452" i="2"/>
  <c r="AF452" i="2" s="1"/>
  <c r="X452" i="2"/>
  <c r="W452" i="2"/>
  <c r="AH451" i="2"/>
  <c r="AD451" i="2"/>
  <c r="AF451" i="2" s="1"/>
  <c r="X451" i="2"/>
  <c r="AC451" i="2" s="1"/>
  <c r="W451" i="2"/>
  <c r="AH450" i="2"/>
  <c r="AD450" i="2"/>
  <c r="AF450" i="2" s="1"/>
  <c r="X450" i="2"/>
  <c r="AB450" i="2" s="1"/>
  <c r="W450" i="2"/>
  <c r="AH449" i="2"/>
  <c r="AD449" i="2"/>
  <c r="AF449" i="2" s="1"/>
  <c r="X449" i="2"/>
  <c r="AB449" i="2" s="1"/>
  <c r="AK449" i="2" s="1"/>
  <c r="W449" i="2"/>
  <c r="AH448" i="2"/>
  <c r="AD448" i="2"/>
  <c r="AF448" i="2" s="1"/>
  <c r="X448" i="2"/>
  <c r="AB448" i="2" s="1"/>
  <c r="AK448" i="2" s="1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AB445" i="2" s="1"/>
  <c r="AK445" i="2" s="1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AB441" i="2" s="1"/>
  <c r="AK441" i="2" s="1"/>
  <c r="W441" i="2"/>
  <c r="AH440" i="2"/>
  <c r="AD440" i="2"/>
  <c r="AF440" i="2" s="1"/>
  <c r="X440" i="2"/>
  <c r="AB440" i="2" s="1"/>
  <c r="AK440" i="2" s="1"/>
  <c r="W440" i="2"/>
  <c r="AH439" i="2"/>
  <c r="AD439" i="2"/>
  <c r="AF439" i="2" s="1"/>
  <c r="X439" i="2"/>
  <c r="AB439" i="2" s="1"/>
  <c r="AK439" i="2" s="1"/>
  <c r="W439" i="2"/>
  <c r="AH438" i="2"/>
  <c r="AD438" i="2"/>
  <c r="AF438" i="2" s="1"/>
  <c r="X438" i="2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AB436" i="2" s="1"/>
  <c r="AK436" i="2" s="1"/>
  <c r="W436" i="2"/>
  <c r="AH435" i="2"/>
  <c r="AD435" i="2"/>
  <c r="AF435" i="2" s="1"/>
  <c r="X435" i="2"/>
  <c r="W435" i="2"/>
  <c r="AH434" i="2"/>
  <c r="AD434" i="2"/>
  <c r="AF434" i="2" s="1"/>
  <c r="X434" i="2"/>
  <c r="AB434" i="2" s="1"/>
  <c r="AK434" i="2" s="1"/>
  <c r="W434" i="2"/>
  <c r="AH433" i="2"/>
  <c r="AD433" i="2"/>
  <c r="AF433" i="2" s="1"/>
  <c r="X433" i="2"/>
  <c r="AB433" i="2" s="1"/>
  <c r="AK433" i="2" s="1"/>
  <c r="W433" i="2"/>
  <c r="AH432" i="2"/>
  <c r="AD432" i="2"/>
  <c r="AF432" i="2" s="1"/>
  <c r="X432" i="2"/>
  <c r="AB432" i="2" s="1"/>
  <c r="AK432" i="2" s="1"/>
  <c r="W432" i="2"/>
  <c r="AH431" i="2"/>
  <c r="AD431" i="2"/>
  <c r="AF431" i="2" s="1"/>
  <c r="X431" i="2"/>
  <c r="AB431" i="2" s="1"/>
  <c r="AK431" i="2" s="1"/>
  <c r="W431" i="2"/>
  <c r="AH430" i="2"/>
  <c r="AD430" i="2"/>
  <c r="X430" i="2"/>
  <c r="AB430" i="2" s="1"/>
  <c r="W430" i="2"/>
  <c r="AH429" i="2"/>
  <c r="AD429" i="2"/>
  <c r="AF429" i="2" s="1"/>
  <c r="X429" i="2"/>
  <c r="AB429" i="2" s="1"/>
  <c r="AK429" i="2" s="1"/>
  <c r="W429" i="2"/>
  <c r="AH428" i="2"/>
  <c r="AD428" i="2"/>
  <c r="X428" i="2"/>
  <c r="AB428" i="2" s="1"/>
  <c r="AK428" i="2" s="1"/>
  <c r="W428" i="2"/>
  <c r="AH427" i="2"/>
  <c r="AD427" i="2"/>
  <c r="AF427" i="2" s="1"/>
  <c r="X427" i="2"/>
  <c r="AB427" i="2" s="1"/>
  <c r="AK427" i="2" s="1"/>
  <c r="W427" i="2"/>
  <c r="AH426" i="2"/>
  <c r="AD426" i="2"/>
  <c r="AF426" i="2" s="1"/>
  <c r="X426" i="2"/>
  <c r="W426" i="2"/>
  <c r="AH425" i="2"/>
  <c r="AD425" i="2"/>
  <c r="AF425" i="2" s="1"/>
  <c r="X425" i="2"/>
  <c r="AB425" i="2" s="1"/>
  <c r="AK425" i="2" s="1"/>
  <c r="W425" i="2"/>
  <c r="AH424" i="2"/>
  <c r="AD424" i="2"/>
  <c r="AF424" i="2" s="1"/>
  <c r="X424" i="2"/>
  <c r="AB424" i="2" s="1"/>
  <c r="AK424" i="2" s="1"/>
  <c r="W424" i="2"/>
  <c r="AH423" i="2"/>
  <c r="AD423" i="2"/>
  <c r="AF423" i="2" s="1"/>
  <c r="X423" i="2"/>
  <c r="AB423" i="2" s="1"/>
  <c r="AK423" i="2" s="1"/>
  <c r="W423" i="2"/>
  <c r="AH422" i="2"/>
  <c r="AD422" i="2"/>
  <c r="AF422" i="2" s="1"/>
  <c r="X422" i="2"/>
  <c r="AB422" i="2" s="1"/>
  <c r="W422" i="2"/>
  <c r="AH421" i="2"/>
  <c r="AD421" i="2"/>
  <c r="AF421" i="2" s="1"/>
  <c r="X421" i="2"/>
  <c r="AC421" i="2" s="1"/>
  <c r="W421" i="2"/>
  <c r="AH420" i="2"/>
  <c r="AD420" i="2"/>
  <c r="AF420" i="2" s="1"/>
  <c r="X420" i="2"/>
  <c r="AB420" i="2" s="1"/>
  <c r="AK420" i="2" s="1"/>
  <c r="W420" i="2"/>
  <c r="AH419" i="2"/>
  <c r="AD419" i="2"/>
  <c r="AF419" i="2" s="1"/>
  <c r="X419" i="2"/>
  <c r="AB419" i="2" s="1"/>
  <c r="AK419" i="2" s="1"/>
  <c r="W419" i="2"/>
  <c r="AH418" i="2"/>
  <c r="AD418" i="2"/>
  <c r="X418" i="2"/>
  <c r="AB418" i="2" s="1"/>
  <c r="AK418" i="2" s="1"/>
  <c r="W418" i="2"/>
  <c r="AH417" i="2"/>
  <c r="AD417" i="2"/>
  <c r="AF417" i="2" s="1"/>
  <c r="X417" i="2"/>
  <c r="W417" i="2"/>
  <c r="AH416" i="2"/>
  <c r="AD416" i="2"/>
  <c r="X416" i="2"/>
  <c r="AB416" i="2" s="1"/>
  <c r="AK416" i="2" s="1"/>
  <c r="W416" i="2"/>
  <c r="AH415" i="2"/>
  <c r="AD415" i="2"/>
  <c r="AF415" i="2" s="1"/>
  <c r="X415" i="2"/>
  <c r="AB415" i="2" s="1"/>
  <c r="AK415" i="2" s="1"/>
  <c r="W415" i="2"/>
  <c r="AH414" i="2"/>
  <c r="AD414" i="2"/>
  <c r="AF414" i="2" s="1"/>
  <c r="X414" i="2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B411" i="2" s="1"/>
  <c r="AK411" i="2" s="1"/>
  <c r="W411" i="2"/>
  <c r="AH410" i="2"/>
  <c r="AD410" i="2"/>
  <c r="X410" i="2"/>
  <c r="AB410" i="2" s="1"/>
  <c r="AK410" i="2" s="1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AB404" i="2" s="1"/>
  <c r="AK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B401" i="2" s="1"/>
  <c r="AK401" i="2" s="1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W396" i="2"/>
  <c r="AH395" i="2"/>
  <c r="AD395" i="2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C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AB390" i="2" s="1"/>
  <c r="W390" i="2"/>
  <c r="AH389" i="2"/>
  <c r="AD389" i="2"/>
  <c r="AF389" i="2" s="1"/>
  <c r="X389" i="2"/>
  <c r="AB389" i="2" s="1"/>
  <c r="AK389" i="2" s="1"/>
  <c r="W389" i="2"/>
  <c r="AH388" i="2"/>
  <c r="AD388" i="2"/>
  <c r="X388" i="2"/>
  <c r="W388" i="2"/>
  <c r="AH387" i="2"/>
  <c r="AD387" i="2"/>
  <c r="AF387" i="2" s="1"/>
  <c r="X387" i="2"/>
  <c r="AB387" i="2" s="1"/>
  <c r="AK387" i="2" s="1"/>
  <c r="W387" i="2"/>
  <c r="AH386" i="2"/>
  <c r="AD386" i="2"/>
  <c r="X386" i="2"/>
  <c r="AB386" i="2" s="1"/>
  <c r="AK386" i="2" s="1"/>
  <c r="W386" i="2"/>
  <c r="AH385" i="2"/>
  <c r="AD385" i="2"/>
  <c r="AF385" i="2" s="1"/>
  <c r="X385" i="2"/>
  <c r="AB385" i="2" s="1"/>
  <c r="AK385" i="2" s="1"/>
  <c r="W385" i="2"/>
  <c r="AH384" i="2"/>
  <c r="AD384" i="2"/>
  <c r="AF384" i="2" s="1"/>
  <c r="X384" i="2"/>
  <c r="AB384" i="2" s="1"/>
  <c r="AK384" i="2" s="1"/>
  <c r="W384" i="2"/>
  <c r="AH383" i="2"/>
  <c r="AD383" i="2"/>
  <c r="AF383" i="2" s="1"/>
  <c r="X383" i="2"/>
  <c r="AB383" i="2" s="1"/>
  <c r="AK383" i="2" s="1"/>
  <c r="W383" i="2"/>
  <c r="AH382" i="2"/>
  <c r="AD382" i="2"/>
  <c r="X382" i="2"/>
  <c r="AB382" i="2" s="1"/>
  <c r="AK382" i="2" s="1"/>
  <c r="W382" i="2"/>
  <c r="AH381" i="2"/>
  <c r="AD381" i="2"/>
  <c r="AF381" i="2" s="1"/>
  <c r="X381" i="2"/>
  <c r="AB381" i="2" s="1"/>
  <c r="AK381" i="2" s="1"/>
  <c r="W381" i="2"/>
  <c r="AH380" i="2"/>
  <c r="AD380" i="2"/>
  <c r="AF380" i="2" s="1"/>
  <c r="X380" i="2"/>
  <c r="AB380" i="2" s="1"/>
  <c r="AK380" i="2" s="1"/>
  <c r="W380" i="2"/>
  <c r="AH379" i="2"/>
  <c r="AD379" i="2"/>
  <c r="AF379" i="2" s="1"/>
  <c r="X379" i="2"/>
  <c r="AB379" i="2" s="1"/>
  <c r="AK379" i="2" s="1"/>
  <c r="W379" i="2"/>
  <c r="AH378" i="2"/>
  <c r="AD378" i="2"/>
  <c r="AF378" i="2" s="1"/>
  <c r="X378" i="2"/>
  <c r="AB378" i="2" s="1"/>
  <c r="AK378" i="2" s="1"/>
  <c r="W378" i="2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AB376" i="2" s="1"/>
  <c r="AK376" i="2" s="1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AB372" i="2" s="1"/>
  <c r="AK372" i="2" s="1"/>
  <c r="W372" i="2"/>
  <c r="AH371" i="2"/>
  <c r="AD371" i="2"/>
  <c r="X371" i="2"/>
  <c r="AB371" i="2" s="1"/>
  <c r="AK371" i="2" s="1"/>
  <c r="W371" i="2"/>
  <c r="AH370" i="2"/>
  <c r="AD370" i="2"/>
  <c r="AF370" i="2" s="1"/>
  <c r="X370" i="2"/>
  <c r="AB370" i="2" s="1"/>
  <c r="AK370" i="2" s="1"/>
  <c r="W370" i="2"/>
  <c r="AH369" i="2"/>
  <c r="AD369" i="2"/>
  <c r="AF369" i="2" s="1"/>
  <c r="X369" i="2"/>
  <c r="AB369" i="2" s="1"/>
  <c r="AK369" i="2" s="1"/>
  <c r="W369" i="2"/>
  <c r="AH368" i="2"/>
  <c r="AD368" i="2"/>
  <c r="X368" i="2"/>
  <c r="AB368" i="2" s="1"/>
  <c r="AK368" i="2" s="1"/>
  <c r="W368" i="2"/>
  <c r="AH367" i="2"/>
  <c r="AD367" i="2"/>
  <c r="AF367" i="2" s="1"/>
  <c r="X367" i="2"/>
  <c r="AC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B365" i="2" s="1"/>
  <c r="AK365" i="2" s="1"/>
  <c r="W365" i="2"/>
  <c r="AH364" i="2"/>
  <c r="AD364" i="2"/>
  <c r="AF364" i="2" s="1"/>
  <c r="X364" i="2"/>
  <c r="W364" i="2"/>
  <c r="AH363" i="2"/>
  <c r="AD363" i="2"/>
  <c r="X363" i="2"/>
  <c r="AB363" i="2" s="1"/>
  <c r="AK363" i="2" s="1"/>
  <c r="W363" i="2"/>
  <c r="AH362" i="2"/>
  <c r="AD362" i="2"/>
  <c r="X362" i="2"/>
  <c r="AB362" i="2" s="1"/>
  <c r="AK362" i="2" s="1"/>
  <c r="W362" i="2"/>
  <c r="AH361" i="2"/>
  <c r="AD361" i="2"/>
  <c r="AF361" i="2" s="1"/>
  <c r="X361" i="2"/>
  <c r="AB361" i="2" s="1"/>
  <c r="AK361" i="2" s="1"/>
  <c r="W361" i="2"/>
  <c r="AH360" i="2"/>
  <c r="AD360" i="2"/>
  <c r="AF360" i="2" s="1"/>
  <c r="X360" i="2"/>
  <c r="AC360" i="2" s="1"/>
  <c r="W360" i="2"/>
  <c r="AH359" i="2"/>
  <c r="AD359" i="2"/>
  <c r="AF359" i="2" s="1"/>
  <c r="X359" i="2"/>
  <c r="AB359" i="2" s="1"/>
  <c r="AK359" i="2" s="1"/>
  <c r="W359" i="2"/>
  <c r="AH358" i="2"/>
  <c r="AD358" i="2"/>
  <c r="X358" i="2"/>
  <c r="AB358" i="2" s="1"/>
  <c r="AK358" i="2" s="1"/>
  <c r="W358" i="2"/>
  <c r="AH357" i="2"/>
  <c r="AD357" i="2"/>
  <c r="AF357" i="2" s="1"/>
  <c r="X357" i="2"/>
  <c r="AB357" i="2" s="1"/>
  <c r="AK357" i="2" s="1"/>
  <c r="W357" i="2"/>
  <c r="AH356" i="2"/>
  <c r="AD356" i="2"/>
  <c r="AF356" i="2" s="1"/>
  <c r="X356" i="2"/>
  <c r="AB356" i="2" s="1"/>
  <c r="W356" i="2"/>
  <c r="AH355" i="2"/>
  <c r="AD355" i="2"/>
  <c r="AF355" i="2" s="1"/>
  <c r="X355" i="2"/>
  <c r="AB355" i="2" s="1"/>
  <c r="AK355" i="2" s="1"/>
  <c r="W355" i="2"/>
  <c r="AH354" i="2"/>
  <c r="AD354" i="2"/>
  <c r="AF354" i="2" s="1"/>
  <c r="X354" i="2"/>
  <c r="AB354" i="2" s="1"/>
  <c r="AK354" i="2" s="1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W352" i="2"/>
  <c r="AH351" i="2"/>
  <c r="AD351" i="2"/>
  <c r="AF351" i="2" s="1"/>
  <c r="X351" i="2"/>
  <c r="AB351" i="2" s="1"/>
  <c r="AK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B347" i="2" s="1"/>
  <c r="AK347" i="2" s="1"/>
  <c r="W347" i="2"/>
  <c r="AH346" i="2"/>
  <c r="AD346" i="2"/>
  <c r="X346" i="2"/>
  <c r="AB346" i="2" s="1"/>
  <c r="AK346" i="2" s="1"/>
  <c r="W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AB344" i="2" s="1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W341" i="2"/>
  <c r="AH340" i="2"/>
  <c r="AD340" i="2"/>
  <c r="X340" i="2"/>
  <c r="AB340" i="2" s="1"/>
  <c r="W340" i="2"/>
  <c r="AH339" i="2"/>
  <c r="AD339" i="2"/>
  <c r="AF339" i="2" s="1"/>
  <c r="X339" i="2"/>
  <c r="AB339" i="2" s="1"/>
  <c r="AK339" i="2" s="1"/>
  <c r="AH338" i="2"/>
  <c r="AD338" i="2"/>
  <c r="AF338" i="2" s="1"/>
  <c r="X338" i="2"/>
  <c r="AB338" i="2" s="1"/>
  <c r="AK338" i="2" s="1"/>
  <c r="AH337" i="2"/>
  <c r="AD337" i="2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B334" i="2" s="1"/>
  <c r="AK334" i="2" s="1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W331" i="2"/>
  <c r="AH330" i="2"/>
  <c r="AD330" i="2"/>
  <c r="AF330" i="2" s="1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AB328" i="2" s="1"/>
  <c r="AK328" i="2" s="1"/>
  <c r="W328" i="2"/>
  <c r="AH327" i="2"/>
  <c r="AD327" i="2"/>
  <c r="AF327" i="2" s="1"/>
  <c r="X327" i="2"/>
  <c r="AB327" i="2" s="1"/>
  <c r="W327" i="2"/>
  <c r="AH326" i="2"/>
  <c r="AD326" i="2"/>
  <c r="AF326" i="2" s="1"/>
  <c r="X326" i="2"/>
  <c r="W326" i="2"/>
  <c r="AH325" i="2"/>
  <c r="AD325" i="2"/>
  <c r="X325" i="2"/>
  <c r="AB325" i="2" s="1"/>
  <c r="AK325" i="2" s="1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W323" i="2"/>
  <c r="AH322" i="2"/>
  <c r="AD322" i="2"/>
  <c r="AF322" i="2" s="1"/>
  <c r="X322" i="2"/>
  <c r="AB322" i="2" s="1"/>
  <c r="AK322" i="2" s="1"/>
  <c r="W322" i="2"/>
  <c r="AH321" i="2"/>
  <c r="AD321" i="2"/>
  <c r="X321" i="2"/>
  <c r="W321" i="2"/>
  <c r="AH320" i="2"/>
  <c r="AD320" i="2"/>
  <c r="AF320" i="2" s="1"/>
  <c r="X320" i="2"/>
  <c r="AB320" i="2" s="1"/>
  <c r="AK320" i="2" s="1"/>
  <c r="W320" i="2"/>
  <c r="AH319" i="2"/>
  <c r="AD319" i="2"/>
  <c r="AF319" i="2" s="1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X317" i="2"/>
  <c r="AB317" i="2" s="1"/>
  <c r="AK317" i="2" s="1"/>
  <c r="W317" i="2"/>
  <c r="AH316" i="2"/>
  <c r="AD316" i="2"/>
  <c r="AF316" i="2" s="1"/>
  <c r="X316" i="2"/>
  <c r="AB316" i="2" s="1"/>
  <c r="AK316" i="2" s="1"/>
  <c r="W316" i="2"/>
  <c r="AH315" i="2"/>
  <c r="AD315" i="2"/>
  <c r="X315" i="2"/>
  <c r="AB315" i="2" s="1"/>
  <c r="AK315" i="2" s="1"/>
  <c r="W315" i="2"/>
  <c r="AH314" i="2"/>
  <c r="AD314" i="2"/>
  <c r="AF314" i="2" s="1"/>
  <c r="X314" i="2"/>
  <c r="AB314" i="2" s="1"/>
  <c r="AK314" i="2" s="1"/>
  <c r="W314" i="2"/>
  <c r="AH313" i="2"/>
  <c r="AD313" i="2"/>
  <c r="AF313" i="2" s="1"/>
  <c r="X313" i="2"/>
  <c r="AB313" i="2" s="1"/>
  <c r="AK313" i="2" s="1"/>
  <c r="W313" i="2"/>
  <c r="AH312" i="2"/>
  <c r="AD312" i="2"/>
  <c r="X312" i="2"/>
  <c r="AB312" i="2" s="1"/>
  <c r="AK312" i="2" s="1"/>
  <c r="W312" i="2"/>
  <c r="AH311" i="2"/>
  <c r="AD311" i="2"/>
  <c r="X311" i="2"/>
  <c r="W311" i="2"/>
  <c r="AH310" i="2"/>
  <c r="AD310" i="2"/>
  <c r="AF310" i="2" s="1"/>
  <c r="X310" i="2"/>
  <c r="AB310" i="2" s="1"/>
  <c r="AK310" i="2" s="1"/>
  <c r="W310" i="2"/>
  <c r="AH309" i="2"/>
  <c r="AD309" i="2"/>
  <c r="AF309" i="2" s="1"/>
  <c r="X309" i="2"/>
  <c r="AB309" i="2" s="1"/>
  <c r="AK309" i="2" s="1"/>
  <c r="W309" i="2"/>
  <c r="AH308" i="2"/>
  <c r="AD308" i="2"/>
  <c r="AF308" i="2" s="1"/>
  <c r="X308" i="2"/>
  <c r="AB308" i="2" s="1"/>
  <c r="AK308" i="2" s="1"/>
  <c r="W308" i="2"/>
  <c r="AH307" i="2"/>
  <c r="AD307" i="2"/>
  <c r="AF307" i="2" s="1"/>
  <c r="X307" i="2"/>
  <c r="W307" i="2"/>
  <c r="AH306" i="2"/>
  <c r="AD306" i="2"/>
  <c r="AF306" i="2" s="1"/>
  <c r="X306" i="2"/>
  <c r="AB306" i="2" s="1"/>
  <c r="AK306" i="2" s="1"/>
  <c r="W306" i="2"/>
  <c r="AH305" i="2"/>
  <c r="AD305" i="2"/>
  <c r="AF305" i="2" s="1"/>
  <c r="X305" i="2"/>
  <c r="AB305" i="2" s="1"/>
  <c r="AK305" i="2" s="1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W303" i="2"/>
  <c r="AH302" i="2"/>
  <c r="AD302" i="2"/>
  <c r="AF302" i="2" s="1"/>
  <c r="X302" i="2"/>
  <c r="AC302" i="2" s="1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W300" i="2"/>
  <c r="AH299" i="2"/>
  <c r="AD299" i="2"/>
  <c r="AF299" i="2" s="1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X296" i="2"/>
  <c r="W296" i="2"/>
  <c r="AH295" i="2"/>
  <c r="AD295" i="2"/>
  <c r="X295" i="2"/>
  <c r="AB295" i="2" s="1"/>
  <c r="AK295" i="2" s="1"/>
  <c r="W295" i="2"/>
  <c r="AH294" i="2"/>
  <c r="AD294" i="2"/>
  <c r="AF294" i="2" s="1"/>
  <c r="X294" i="2"/>
  <c r="AB294" i="2" s="1"/>
  <c r="AK294" i="2" s="1"/>
  <c r="W294" i="2"/>
  <c r="AH293" i="2"/>
  <c r="AD293" i="2"/>
  <c r="AF293" i="2" s="1"/>
  <c r="X293" i="2"/>
  <c r="AB293" i="2" s="1"/>
  <c r="AK293" i="2" s="1"/>
  <c r="W293" i="2"/>
  <c r="AH292" i="2"/>
  <c r="AD292" i="2"/>
  <c r="AF292" i="2" s="1"/>
  <c r="X292" i="2"/>
  <c r="AB292" i="2" s="1"/>
  <c r="AK292" i="2" s="1"/>
  <c r="W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W290" i="2"/>
  <c r="AH289" i="2"/>
  <c r="AD289" i="2"/>
  <c r="AF289" i="2" s="1"/>
  <c r="X289" i="2"/>
  <c r="AB289" i="2" s="1"/>
  <c r="AK289" i="2" s="1"/>
  <c r="W289" i="2"/>
  <c r="AH288" i="2"/>
  <c r="AD288" i="2"/>
  <c r="X288" i="2"/>
  <c r="AB288" i="2" s="1"/>
  <c r="AK288" i="2" s="1"/>
  <c r="W288" i="2"/>
  <c r="AH287" i="2"/>
  <c r="AD287" i="2"/>
  <c r="AF287" i="2" s="1"/>
  <c r="X287" i="2"/>
  <c r="AB287" i="2" s="1"/>
  <c r="AK287" i="2" s="1"/>
  <c r="W287" i="2"/>
  <c r="AH286" i="2"/>
  <c r="AD286" i="2"/>
  <c r="AF286" i="2" s="1"/>
  <c r="X286" i="2"/>
  <c r="AB286" i="2" s="1"/>
  <c r="AK286" i="2" s="1"/>
  <c r="W286" i="2"/>
  <c r="AH285" i="2"/>
  <c r="AD285" i="2"/>
  <c r="AF285" i="2" s="1"/>
  <c r="X285" i="2"/>
  <c r="AB285" i="2" s="1"/>
  <c r="AK285" i="2" s="1"/>
  <c r="W285" i="2"/>
  <c r="AH284" i="2"/>
  <c r="AD284" i="2"/>
  <c r="AF284" i="2" s="1"/>
  <c r="X284" i="2"/>
  <c r="AC284" i="2" s="1"/>
  <c r="W284" i="2"/>
  <c r="AH283" i="2"/>
  <c r="AD283" i="2"/>
  <c r="AF283" i="2" s="1"/>
  <c r="X283" i="2"/>
  <c r="AB283" i="2" s="1"/>
  <c r="AK283" i="2" s="1"/>
  <c r="W283" i="2"/>
  <c r="AH282" i="2"/>
  <c r="AD282" i="2"/>
  <c r="AF282" i="2" s="1"/>
  <c r="X282" i="2"/>
  <c r="AB282" i="2" s="1"/>
  <c r="AK282" i="2" s="1"/>
  <c r="W282" i="2"/>
  <c r="AH281" i="2"/>
  <c r="AD281" i="2"/>
  <c r="X281" i="2"/>
  <c r="AB281" i="2" s="1"/>
  <c r="AK281" i="2" s="1"/>
  <c r="W281" i="2"/>
  <c r="AH280" i="2"/>
  <c r="AD280" i="2"/>
  <c r="X280" i="2"/>
  <c r="AB280" i="2" s="1"/>
  <c r="AK280" i="2" s="1"/>
  <c r="W280" i="2"/>
  <c r="AH279" i="2"/>
  <c r="AD279" i="2"/>
  <c r="AF279" i="2" s="1"/>
  <c r="X279" i="2"/>
  <c r="AB279" i="2" s="1"/>
  <c r="AK279" i="2" s="1"/>
  <c r="AH278" i="2"/>
  <c r="AD278" i="2"/>
  <c r="AF278" i="2" s="1"/>
  <c r="X278" i="2"/>
  <c r="AB278" i="2" s="1"/>
  <c r="AK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B274" i="2" s="1"/>
  <c r="AK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W272" i="2"/>
  <c r="AH271" i="2"/>
  <c r="AD271" i="2"/>
  <c r="AF271" i="2" s="1"/>
  <c r="X271" i="2"/>
  <c r="AB271" i="2" s="1"/>
  <c r="AK271" i="2" s="1"/>
  <c r="W271" i="2"/>
  <c r="AH270" i="2"/>
  <c r="AD270" i="2"/>
  <c r="AF270" i="2" s="1"/>
  <c r="X270" i="2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H267" i="2"/>
  <c r="AD267" i="2"/>
  <c r="AF267" i="2" s="1"/>
  <c r="X267" i="2"/>
  <c r="AB267" i="2" s="1"/>
  <c r="AK267" i="2" s="1"/>
  <c r="W267" i="2"/>
  <c r="AH266" i="2"/>
  <c r="AD266" i="2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AB263" i="2" s="1"/>
  <c r="AK263" i="2" s="1"/>
  <c r="W263" i="2"/>
  <c r="AH262" i="2"/>
  <c r="AD262" i="2"/>
  <c r="AF262" i="2" s="1"/>
  <c r="X262" i="2"/>
  <c r="AC262" i="2" s="1"/>
  <c r="W262" i="2"/>
  <c r="AH261" i="2"/>
  <c r="AD261" i="2"/>
  <c r="AF261" i="2" s="1"/>
  <c r="X261" i="2"/>
  <c r="AB261" i="2" s="1"/>
  <c r="AK261" i="2" s="1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W259" i="2"/>
  <c r="AH258" i="2"/>
  <c r="AD258" i="2"/>
  <c r="X258" i="2"/>
  <c r="AB258" i="2" s="1"/>
  <c r="AK258" i="2" s="1"/>
  <c r="W258" i="2"/>
  <c r="AH257" i="2"/>
  <c r="AD257" i="2"/>
  <c r="AF257" i="2" s="1"/>
  <c r="X257" i="2"/>
  <c r="AB257" i="2" s="1"/>
  <c r="AK257" i="2" s="1"/>
  <c r="W257" i="2"/>
  <c r="AH256" i="2"/>
  <c r="AD256" i="2"/>
  <c r="X256" i="2"/>
  <c r="AB256" i="2" s="1"/>
  <c r="AK256" i="2" s="1"/>
  <c r="W256" i="2"/>
  <c r="AH255" i="2"/>
  <c r="AD255" i="2"/>
  <c r="X255" i="2"/>
  <c r="AB255" i="2" s="1"/>
  <c r="AK255" i="2" s="1"/>
  <c r="W255" i="2"/>
  <c r="AH254" i="2"/>
  <c r="AD254" i="2"/>
  <c r="X254" i="2"/>
  <c r="AB254" i="2" s="1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W252" i="2"/>
  <c r="AH251" i="2"/>
  <c r="AD251" i="2"/>
  <c r="AF251" i="2" s="1"/>
  <c r="X251" i="2"/>
  <c r="AB251" i="2" s="1"/>
  <c r="AK251" i="2" s="1"/>
  <c r="AH250" i="2"/>
  <c r="AD250" i="2"/>
  <c r="AF250" i="2" s="1"/>
  <c r="X250" i="2"/>
  <c r="AB250" i="2" s="1"/>
  <c r="AK250" i="2" s="1"/>
  <c r="W250" i="2"/>
  <c r="AH249" i="2"/>
  <c r="AD249" i="2"/>
  <c r="AF249" i="2" s="1"/>
  <c r="X249" i="2"/>
  <c r="W249" i="2"/>
  <c r="AH248" i="2"/>
  <c r="AD248" i="2"/>
  <c r="AF248" i="2" s="1"/>
  <c r="X248" i="2"/>
  <c r="AB248" i="2" s="1"/>
  <c r="AH247" i="2"/>
  <c r="AD247" i="2"/>
  <c r="AF247" i="2" s="1"/>
  <c r="X247" i="2"/>
  <c r="AB247" i="2" s="1"/>
  <c r="AK247" i="2" s="1"/>
  <c r="W247" i="2"/>
  <c r="AH246" i="2"/>
  <c r="AD246" i="2"/>
  <c r="AF246" i="2" s="1"/>
  <c r="X246" i="2"/>
  <c r="AB246" i="2" s="1"/>
  <c r="AK246" i="2" s="1"/>
  <c r="AH245" i="2"/>
  <c r="AD245" i="2"/>
  <c r="X245" i="2"/>
  <c r="AH244" i="2"/>
  <c r="AD244" i="2"/>
  <c r="AF244" i="2" s="1"/>
  <c r="X244" i="2"/>
  <c r="AC244" i="2" s="1"/>
  <c r="W244" i="2"/>
  <c r="AH243" i="2"/>
  <c r="AD243" i="2"/>
  <c r="AF243" i="2" s="1"/>
  <c r="X243" i="2"/>
  <c r="AC243" i="2" s="1"/>
  <c r="W243" i="2"/>
  <c r="AH242" i="2"/>
  <c r="AD242" i="2"/>
  <c r="AF242" i="2" s="1"/>
  <c r="X242" i="2"/>
  <c r="AB242" i="2" s="1"/>
  <c r="AK242" i="2" s="1"/>
  <c r="AH241" i="2"/>
  <c r="AD241" i="2"/>
  <c r="X241" i="2"/>
  <c r="AB241" i="2" s="1"/>
  <c r="AK241" i="2" s="1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AF236" i="2" s="1"/>
  <c r="X236" i="2"/>
  <c r="AB236" i="2" s="1"/>
  <c r="AK236" i="2" s="1"/>
  <c r="W236" i="2"/>
  <c r="AH235" i="2"/>
  <c r="AD235" i="2"/>
  <c r="AF235" i="2" s="1"/>
  <c r="X235" i="2"/>
  <c r="AB235" i="2" s="1"/>
  <c r="AK235" i="2" s="1"/>
  <c r="W235" i="2"/>
  <c r="AH234" i="2"/>
  <c r="AD234" i="2"/>
  <c r="X234" i="2"/>
  <c r="W234" i="2"/>
  <c r="AH233" i="2"/>
  <c r="AD233" i="2"/>
  <c r="AF233" i="2" s="1"/>
  <c r="X233" i="2"/>
  <c r="AB233" i="2" s="1"/>
  <c r="AK233" i="2" s="1"/>
  <c r="W233" i="2"/>
  <c r="AH232" i="2"/>
  <c r="AD232" i="2"/>
  <c r="AF232" i="2" s="1"/>
  <c r="X232" i="2"/>
  <c r="W232" i="2"/>
  <c r="AH231" i="2"/>
  <c r="AD231" i="2"/>
  <c r="X231" i="2"/>
  <c r="AB231" i="2" s="1"/>
  <c r="AK231" i="2" s="1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W228" i="2"/>
  <c r="AH227" i="2"/>
  <c r="AD227" i="2"/>
  <c r="AF227" i="2" s="1"/>
  <c r="X227" i="2"/>
  <c r="AC227" i="2" s="1"/>
  <c r="W227" i="2"/>
  <c r="AH226" i="2"/>
  <c r="AD226" i="2"/>
  <c r="AF226" i="2" s="1"/>
  <c r="X226" i="2"/>
  <c r="W226" i="2"/>
  <c r="AH225" i="2"/>
  <c r="AD225" i="2"/>
  <c r="X225" i="2"/>
  <c r="AB225" i="2" s="1"/>
  <c r="AK225" i="2" s="1"/>
  <c r="W225" i="2"/>
  <c r="AH224" i="2"/>
  <c r="AD224" i="2"/>
  <c r="AF224" i="2" s="1"/>
  <c r="X224" i="2"/>
  <c r="AB224" i="2" s="1"/>
  <c r="AK224" i="2" s="1"/>
  <c r="W224" i="2"/>
  <c r="AH223" i="2"/>
  <c r="AD223" i="2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W220" i="2"/>
  <c r="AH219" i="2"/>
  <c r="AD219" i="2"/>
  <c r="X219" i="2"/>
  <c r="AB219" i="2" s="1"/>
  <c r="AK219" i="2" s="1"/>
  <c r="W219" i="2"/>
  <c r="AH218" i="2"/>
  <c r="AD218" i="2"/>
  <c r="AF218" i="2" s="1"/>
  <c r="X218" i="2"/>
  <c r="AB218" i="2" s="1"/>
  <c r="AK218" i="2" s="1"/>
  <c r="W218" i="2"/>
  <c r="AH217" i="2"/>
  <c r="AD217" i="2"/>
  <c r="X217" i="2"/>
  <c r="AB217" i="2" s="1"/>
  <c r="AK217" i="2" s="1"/>
  <c r="W217" i="2"/>
  <c r="AH216" i="2"/>
  <c r="AD216" i="2"/>
  <c r="X216" i="2"/>
  <c r="AB216" i="2" s="1"/>
  <c r="AK216" i="2" s="1"/>
  <c r="W216" i="2"/>
  <c r="AH215" i="2"/>
  <c r="AD215" i="2"/>
  <c r="AF215" i="2" s="1"/>
  <c r="X215" i="2"/>
  <c r="AB215" i="2" s="1"/>
  <c r="AK215" i="2" s="1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W212" i="2"/>
  <c r="AH211" i="2"/>
  <c r="AD211" i="2"/>
  <c r="AF211" i="2" s="1"/>
  <c r="X211" i="2"/>
  <c r="AB211" i="2" s="1"/>
  <c r="AK211" i="2" s="1"/>
  <c r="W211" i="2"/>
  <c r="AH210" i="2"/>
  <c r="AD210" i="2"/>
  <c r="AF210" i="2" s="1"/>
  <c r="X210" i="2"/>
  <c r="AK210" i="2" s="1"/>
  <c r="W210" i="2"/>
  <c r="AH209" i="2"/>
  <c r="AD209" i="2"/>
  <c r="AF209" i="2" s="1"/>
  <c r="X209" i="2"/>
  <c r="AB209" i="2" s="1"/>
  <c r="AK209" i="2" s="1"/>
  <c r="W209" i="2"/>
  <c r="AH208" i="2"/>
  <c r="AD208" i="2"/>
  <c r="AF208" i="2" s="1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AF206" i="2" s="1"/>
  <c r="X206" i="2"/>
  <c r="AB206" i="2" s="1"/>
  <c r="AK206" i="2" s="1"/>
  <c r="W206" i="2"/>
  <c r="AH205" i="2"/>
  <c r="AD205" i="2"/>
  <c r="X205" i="2"/>
  <c r="AB205" i="2" s="1"/>
  <c r="AK205" i="2" s="1"/>
  <c r="W205" i="2"/>
  <c r="AH204" i="2"/>
  <c r="AD204" i="2"/>
  <c r="AF204" i="2" s="1"/>
  <c r="X204" i="2"/>
  <c r="AB204" i="2" s="1"/>
  <c r="AK204" i="2" s="1"/>
  <c r="W204" i="2"/>
  <c r="AH203" i="2"/>
  <c r="AD203" i="2"/>
  <c r="AF203" i="2" s="1"/>
  <c r="X203" i="2"/>
  <c r="AC203" i="2" s="1"/>
  <c r="AH202" i="2"/>
  <c r="AD202" i="2"/>
  <c r="Y202" i="2" s="1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AB199" i="2" s="1"/>
  <c r="AK199" i="2" s="1"/>
  <c r="W199" i="2"/>
  <c r="AH198" i="2"/>
  <c r="AD198" i="2"/>
  <c r="X198" i="2"/>
  <c r="W198" i="2"/>
  <c r="AH197" i="2"/>
  <c r="AD197" i="2"/>
  <c r="AF197" i="2" s="1"/>
  <c r="X197" i="2"/>
  <c r="AB197" i="2" s="1"/>
  <c r="AK197" i="2" s="1"/>
  <c r="W197" i="2"/>
  <c r="AH196" i="2"/>
  <c r="AD196" i="2"/>
  <c r="AF196" i="2" s="1"/>
  <c r="X196" i="2"/>
  <c r="W196" i="2"/>
  <c r="AH195" i="2"/>
  <c r="AD195" i="2"/>
  <c r="AF195" i="2" s="1"/>
  <c r="X195" i="2"/>
  <c r="AB195" i="2" s="1"/>
  <c r="AK195" i="2" s="1"/>
  <c r="W195" i="2"/>
  <c r="AH194" i="2"/>
  <c r="AD194" i="2"/>
  <c r="X194" i="2"/>
  <c r="W194" i="2"/>
  <c r="AH193" i="2"/>
  <c r="AD193" i="2"/>
  <c r="AF193" i="2" s="1"/>
  <c r="X193" i="2"/>
  <c r="AB193" i="2" s="1"/>
  <c r="AK193" i="2" s="1"/>
  <c r="W193" i="2"/>
  <c r="AH192" i="2"/>
  <c r="AD192" i="2"/>
  <c r="Y192" i="2" s="1"/>
  <c r="X192" i="2"/>
  <c r="W192" i="2"/>
  <c r="AH191" i="2"/>
  <c r="AD191" i="2"/>
  <c r="AF191" i="2" s="1"/>
  <c r="X191" i="2"/>
  <c r="AC191" i="2" s="1"/>
  <c r="W191" i="2"/>
  <c r="AH190" i="2"/>
  <c r="AD190" i="2"/>
  <c r="AF190" i="2" s="1"/>
  <c r="X190" i="2"/>
  <c r="W190" i="2"/>
  <c r="AH189" i="2"/>
  <c r="AD189" i="2"/>
  <c r="X189" i="2"/>
  <c r="AB189" i="2" s="1"/>
  <c r="AK189" i="2" s="1"/>
  <c r="W189" i="2"/>
  <c r="AH188" i="2"/>
  <c r="AD188" i="2"/>
  <c r="X188" i="2"/>
  <c r="W188" i="2"/>
  <c r="AH187" i="2"/>
  <c r="AD187" i="2"/>
  <c r="AF187" i="2" s="1"/>
  <c r="X187" i="2"/>
  <c r="AB187" i="2" s="1"/>
  <c r="AK187" i="2" s="1"/>
  <c r="AH186" i="2"/>
  <c r="AD186" i="2"/>
  <c r="AF186" i="2" s="1"/>
  <c r="X186" i="2"/>
  <c r="AB186" i="2" s="1"/>
  <c r="AK186" i="2" s="1"/>
  <c r="W186" i="2"/>
  <c r="AH185" i="2"/>
  <c r="AD185" i="2"/>
  <c r="AF185" i="2" s="1"/>
  <c r="X185" i="2"/>
  <c r="AB185" i="2" s="1"/>
  <c r="AK185" i="2" s="1"/>
  <c r="W185" i="2"/>
  <c r="AH184" i="2"/>
  <c r="AD184" i="2"/>
  <c r="AF184" i="2" s="1"/>
  <c r="X184" i="2"/>
  <c r="W184" i="2"/>
  <c r="AH183" i="2"/>
  <c r="AD183" i="2"/>
  <c r="AF183" i="2" s="1"/>
  <c r="X183" i="2"/>
  <c r="AB183" i="2" s="1"/>
  <c r="AK183" i="2" s="1"/>
  <c r="W183" i="2"/>
  <c r="AH182" i="2"/>
  <c r="AD182" i="2"/>
  <c r="AF182" i="2" s="1"/>
  <c r="X182" i="2"/>
  <c r="AB182" i="2" s="1"/>
  <c r="AK182" i="2" s="1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W180" i="2"/>
  <c r="AH179" i="2"/>
  <c r="AD179" i="2"/>
  <c r="AF179" i="2" s="1"/>
  <c r="X179" i="2"/>
  <c r="AB179" i="2" s="1"/>
  <c r="AK179" i="2" s="1"/>
  <c r="W179" i="2"/>
  <c r="AH178" i="2"/>
  <c r="AD178" i="2"/>
  <c r="AF178" i="2" s="1"/>
  <c r="X178" i="2"/>
  <c r="AB178" i="2" s="1"/>
  <c r="AK178" i="2" s="1"/>
  <c r="W178" i="2"/>
  <c r="AH177" i="2"/>
  <c r="AD177" i="2"/>
  <c r="AF177" i="2" s="1"/>
  <c r="X177" i="2"/>
  <c r="AB177" i="2" s="1"/>
  <c r="AK177" i="2" s="1"/>
  <c r="W177" i="2"/>
  <c r="AH176" i="2"/>
  <c r="AD176" i="2"/>
  <c r="AF176" i="2" s="1"/>
  <c r="X176" i="2"/>
  <c r="W176" i="2"/>
  <c r="AH175" i="2"/>
  <c r="AD175" i="2"/>
  <c r="Y175" i="2" s="1"/>
  <c r="AC175" i="2"/>
  <c r="W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B173" i="2" s="1"/>
  <c r="AK173" i="2" s="1"/>
  <c r="W173" i="2"/>
  <c r="AH172" i="2"/>
  <c r="AD172" i="2"/>
  <c r="AF172" i="2" s="1"/>
  <c r="X172" i="2"/>
  <c r="AH171" i="2"/>
  <c r="AD171" i="2"/>
  <c r="AF171" i="2" s="1"/>
  <c r="X171" i="2"/>
  <c r="AB171" i="2" s="1"/>
  <c r="AK171" i="2" s="1"/>
  <c r="W171" i="2"/>
  <c r="AH170" i="2"/>
  <c r="AD170" i="2"/>
  <c r="AF170" i="2" s="1"/>
  <c r="X170" i="2"/>
  <c r="AB170" i="2" s="1"/>
  <c r="AK170" i="2" s="1"/>
  <c r="W170" i="2"/>
  <c r="AH169" i="2"/>
  <c r="AD169" i="2"/>
  <c r="AF169" i="2" s="1"/>
  <c r="X169" i="2"/>
  <c r="AB169" i="2" s="1"/>
  <c r="AK169" i="2" s="1"/>
  <c r="W169" i="2"/>
  <c r="AH168" i="2"/>
  <c r="AD168" i="2"/>
  <c r="AF168" i="2" s="1"/>
  <c r="X168" i="2"/>
  <c r="W168" i="2"/>
  <c r="AH167" i="2"/>
  <c r="AD167" i="2"/>
  <c r="AF167" i="2" s="1"/>
  <c r="X167" i="2"/>
  <c r="AB167" i="2" s="1"/>
  <c r="AK167" i="2" s="1"/>
  <c r="W167" i="2"/>
  <c r="AH166" i="2"/>
  <c r="AD166" i="2"/>
  <c r="X166" i="2"/>
  <c r="AB166" i="2" s="1"/>
  <c r="AK166" i="2" s="1"/>
  <c r="W166" i="2"/>
  <c r="AH165" i="2"/>
  <c r="AD165" i="2"/>
  <c r="AF165" i="2" s="1"/>
  <c r="X165" i="2"/>
  <c r="W165" i="2"/>
  <c r="AH164" i="2"/>
  <c r="AD164" i="2"/>
  <c r="X164" i="2"/>
  <c r="AB164" i="2" s="1"/>
  <c r="AK164" i="2" s="1"/>
  <c r="W164" i="2"/>
  <c r="AH163" i="2"/>
  <c r="AD163" i="2"/>
  <c r="AF163" i="2" s="1"/>
  <c r="X163" i="2"/>
  <c r="AB163" i="2" s="1"/>
  <c r="AK163" i="2" s="1"/>
  <c r="W163" i="2"/>
  <c r="AH162" i="2"/>
  <c r="AD162" i="2"/>
  <c r="X162" i="2"/>
  <c r="AB162" i="2" s="1"/>
  <c r="AK162" i="2" s="1"/>
  <c r="W162" i="2"/>
  <c r="AH161" i="2"/>
  <c r="AD161" i="2"/>
  <c r="AF161" i="2" s="1"/>
  <c r="X161" i="2"/>
  <c r="AC161" i="2" s="1"/>
  <c r="W161" i="2"/>
  <c r="AH160" i="2"/>
  <c r="AD160" i="2"/>
  <c r="AF160" i="2" s="1"/>
  <c r="X160" i="2"/>
  <c r="AB160" i="2" s="1"/>
  <c r="AK160" i="2" s="1"/>
  <c r="W160" i="2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W158" i="2"/>
  <c r="AH157" i="2"/>
  <c r="AD157" i="2"/>
  <c r="AF157" i="2" s="1"/>
  <c r="X157" i="2"/>
  <c r="AB157" i="2" s="1"/>
  <c r="AK157" i="2" s="1"/>
  <c r="W157" i="2"/>
  <c r="AH156" i="2"/>
  <c r="AD156" i="2"/>
  <c r="X156" i="2"/>
  <c r="AB156" i="2" s="1"/>
  <c r="AK156" i="2" s="1"/>
  <c r="W156" i="2"/>
  <c r="AH155" i="2"/>
  <c r="AD155" i="2"/>
  <c r="AF155" i="2" s="1"/>
  <c r="X155" i="2"/>
  <c r="W155" i="2"/>
  <c r="AH154" i="2"/>
  <c r="AD154" i="2"/>
  <c r="X154" i="2"/>
  <c r="AB154" i="2" s="1"/>
  <c r="AK154" i="2" s="1"/>
  <c r="W154" i="2"/>
  <c r="AH153" i="2"/>
  <c r="AD153" i="2"/>
  <c r="AF153" i="2" s="1"/>
  <c r="X153" i="2"/>
  <c r="AC153" i="2" s="1"/>
  <c r="W153" i="2"/>
  <c r="AH152" i="2"/>
  <c r="AD152" i="2"/>
  <c r="AF152" i="2" s="1"/>
  <c r="X152" i="2"/>
  <c r="W152" i="2"/>
  <c r="AH151" i="2"/>
  <c r="AD151" i="2"/>
  <c r="AF151" i="2" s="1"/>
  <c r="X151" i="2"/>
  <c r="AB151" i="2" s="1"/>
  <c r="AK151" i="2" s="1"/>
  <c r="W151" i="2"/>
  <c r="AH150" i="2"/>
  <c r="AD150" i="2"/>
  <c r="AF150" i="2" s="1"/>
  <c r="X150" i="2"/>
  <c r="W150" i="2"/>
  <c r="AH149" i="2"/>
  <c r="AD149" i="2"/>
  <c r="X149" i="2"/>
  <c r="AB149" i="2" s="1"/>
  <c r="AK149" i="2" s="1"/>
  <c r="AH148" i="2"/>
  <c r="AD148" i="2"/>
  <c r="AF148" i="2" s="1"/>
  <c r="X148" i="2"/>
  <c r="AB148" i="2" s="1"/>
  <c r="W148" i="2"/>
  <c r="AH147" i="2"/>
  <c r="AD147" i="2"/>
  <c r="AF147" i="2" s="1"/>
  <c r="X147" i="2"/>
  <c r="AB147" i="2" s="1"/>
  <c r="AK147" i="2" s="1"/>
  <c r="AH146" i="2"/>
  <c r="AD146" i="2"/>
  <c r="X146" i="2"/>
  <c r="AB146" i="2" s="1"/>
  <c r="AK146" i="2" s="1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AF141" i="2" s="1"/>
  <c r="X141" i="2"/>
  <c r="W141" i="2"/>
  <c r="AH140" i="2"/>
  <c r="AD140" i="2"/>
  <c r="AF140" i="2" s="1"/>
  <c r="X140" i="2"/>
  <c r="AB140" i="2" s="1"/>
  <c r="AK140" i="2" s="1"/>
  <c r="W140" i="2"/>
  <c r="AH139" i="2"/>
  <c r="AD139" i="2"/>
  <c r="Y139" i="2" s="1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AB136" i="2" s="1"/>
  <c r="AK136" i="2" s="1"/>
  <c r="W136" i="2"/>
  <c r="AH135" i="2"/>
  <c r="AD135" i="2"/>
  <c r="Y135" i="2" s="1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AB132" i="2" s="1"/>
  <c r="AK132" i="2" s="1"/>
  <c r="W132" i="2"/>
  <c r="AH131" i="2"/>
  <c r="AD131" i="2"/>
  <c r="AF131" i="2" s="1"/>
  <c r="X131" i="2"/>
  <c r="AB131" i="2" s="1"/>
  <c r="AK131" i="2" s="1"/>
  <c r="U131" i="2"/>
  <c r="AH130" i="2"/>
  <c r="AD130" i="2"/>
  <c r="AF130" i="2" s="1"/>
  <c r="X130" i="2"/>
  <c r="AB130" i="2" s="1"/>
  <c r="AK130" i="2" s="1"/>
  <c r="W130" i="2"/>
  <c r="AH129" i="2"/>
  <c r="AD129" i="2"/>
  <c r="X129" i="2"/>
  <c r="W129" i="2"/>
  <c r="AH128" i="2"/>
  <c r="AD128" i="2"/>
  <c r="AF128" i="2" s="1"/>
  <c r="X128" i="2"/>
  <c r="AB128" i="2" s="1"/>
  <c r="AK128" i="2" s="1"/>
  <c r="W128" i="2"/>
  <c r="AH127" i="2"/>
  <c r="AD127" i="2"/>
  <c r="AF127" i="2" s="1"/>
  <c r="X127" i="2"/>
  <c r="AC127" i="2" s="1"/>
  <c r="W127" i="2"/>
  <c r="AH126" i="2"/>
  <c r="AD126" i="2"/>
  <c r="AF126" i="2" s="1"/>
  <c r="X126" i="2"/>
  <c r="AC126" i="2" s="1"/>
  <c r="W126" i="2"/>
  <c r="AH125" i="2"/>
  <c r="AD125" i="2"/>
  <c r="AF125" i="2" s="1"/>
  <c r="X125" i="2"/>
  <c r="W125" i="2"/>
  <c r="AH124" i="2"/>
  <c r="AD124" i="2"/>
  <c r="AF124" i="2" s="1"/>
  <c r="X124" i="2"/>
  <c r="AB124" i="2" s="1"/>
  <c r="AK124" i="2" s="1"/>
  <c r="W124" i="2"/>
  <c r="AH123" i="2"/>
  <c r="AD123" i="2"/>
  <c r="X123" i="2"/>
  <c r="W123" i="2"/>
  <c r="AH122" i="2"/>
  <c r="AD122" i="2"/>
  <c r="X122" i="2"/>
  <c r="AB122" i="2" s="1"/>
  <c r="AK122" i="2" s="1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AB118" i="2" s="1"/>
  <c r="AK118" i="2" s="1"/>
  <c r="W118" i="2"/>
  <c r="AH117" i="2"/>
  <c r="AD117" i="2"/>
  <c r="X117" i="2"/>
  <c r="AB117" i="2" s="1"/>
  <c r="W117" i="2"/>
  <c r="AH116" i="2"/>
  <c r="AD116" i="2"/>
  <c r="X116" i="2"/>
  <c r="AB116" i="2" s="1"/>
  <c r="AK116" i="2" s="1"/>
  <c r="AH115" i="2"/>
  <c r="AD115" i="2"/>
  <c r="AF115" i="2" s="1"/>
  <c r="X115" i="2"/>
  <c r="AB115" i="2" s="1"/>
  <c r="AK115" i="2" s="1"/>
  <c r="W115" i="2"/>
  <c r="AH114" i="2"/>
  <c r="AD114" i="2"/>
  <c r="X114" i="2"/>
  <c r="W114" i="2"/>
  <c r="AH113" i="2"/>
  <c r="AD113" i="2"/>
  <c r="AF113" i="2" s="1"/>
  <c r="X113" i="2"/>
  <c r="AB113" i="2" s="1"/>
  <c r="AK113" i="2" s="1"/>
  <c r="W113" i="2"/>
  <c r="AH112" i="2"/>
  <c r="AD112" i="2"/>
  <c r="AF112" i="2" s="1"/>
  <c r="X112" i="2"/>
  <c r="AB112" i="2" s="1"/>
  <c r="AK112" i="2" s="1"/>
  <c r="W112" i="2"/>
  <c r="AH111" i="2"/>
  <c r="AD111" i="2"/>
  <c r="X111" i="2"/>
  <c r="AB111" i="2" s="1"/>
  <c r="AK111" i="2" s="1"/>
  <c r="W111" i="2"/>
  <c r="AH110" i="2"/>
  <c r="AD110" i="2"/>
  <c r="AF110" i="2" s="1"/>
  <c r="X110" i="2"/>
  <c r="AB110" i="2" s="1"/>
  <c r="AK110" i="2" s="1"/>
  <c r="W110" i="2"/>
  <c r="AH109" i="2"/>
  <c r="AD109" i="2"/>
  <c r="X109" i="2"/>
  <c r="AB109" i="2" s="1"/>
  <c r="AK109" i="2" s="1"/>
  <c r="W109" i="2"/>
  <c r="AH108" i="2"/>
  <c r="AD108" i="2"/>
  <c r="X108" i="2"/>
  <c r="AB108" i="2" s="1"/>
  <c r="AK108" i="2" s="1"/>
  <c r="W108" i="2"/>
  <c r="AH107" i="2"/>
  <c r="AD107" i="2"/>
  <c r="AF107" i="2" s="1"/>
  <c r="X107" i="2"/>
  <c r="AB107" i="2" s="1"/>
  <c r="W107" i="2"/>
  <c r="AH106" i="2"/>
  <c r="AD106" i="2"/>
  <c r="AF106" i="2" s="1"/>
  <c r="X106" i="2"/>
  <c r="AB106" i="2" s="1"/>
  <c r="AK106" i="2" s="1"/>
  <c r="W106" i="2"/>
  <c r="AH105" i="2"/>
  <c r="AD105" i="2"/>
  <c r="X105" i="2"/>
  <c r="AB105" i="2" s="1"/>
  <c r="AK105" i="2" s="1"/>
  <c r="W105" i="2"/>
  <c r="AH104" i="2"/>
  <c r="AD104" i="2"/>
  <c r="AF104" i="2" s="1"/>
  <c r="X104" i="2"/>
  <c r="AB104" i="2" s="1"/>
  <c r="AK104" i="2" s="1"/>
  <c r="W104" i="2"/>
  <c r="AH103" i="2"/>
  <c r="AD103" i="2"/>
  <c r="AF103" i="2" s="1"/>
  <c r="X103" i="2"/>
  <c r="AB103" i="2" s="1"/>
  <c r="AK103" i="2" s="1"/>
  <c r="W103" i="2"/>
  <c r="AH102" i="2"/>
  <c r="AD102" i="2"/>
  <c r="AF102" i="2" s="1"/>
  <c r="X102" i="2"/>
  <c r="AC102" i="2" s="1"/>
  <c r="W102" i="2"/>
  <c r="AH101" i="2"/>
  <c r="AD101" i="2"/>
  <c r="X101" i="2"/>
  <c r="AB101" i="2" s="1"/>
  <c r="AK101" i="2" s="1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B99" i="2" s="1"/>
  <c r="AK99" i="2" s="1"/>
  <c r="W99" i="2"/>
  <c r="AH98" i="2"/>
  <c r="AD98" i="2"/>
  <c r="AF98" i="2" s="1"/>
  <c r="X98" i="2"/>
  <c r="AC98" i="2" s="1"/>
  <c r="W98" i="2"/>
  <c r="AH97" i="2"/>
  <c r="AD97" i="2"/>
  <c r="AF97" i="2" s="1"/>
  <c r="X97" i="2"/>
  <c r="AC97" i="2" s="1"/>
  <c r="W97" i="2"/>
  <c r="AH96" i="2"/>
  <c r="AD96" i="2"/>
  <c r="X96" i="2"/>
  <c r="AB96" i="2" s="1"/>
  <c r="AK96" i="2" s="1"/>
  <c r="W96" i="2"/>
  <c r="AH95" i="2"/>
  <c r="AD95" i="2"/>
  <c r="AF95" i="2" s="1"/>
  <c r="X95" i="2"/>
  <c r="AB95" i="2" s="1"/>
  <c r="AK95" i="2" s="1"/>
  <c r="AH94" i="2"/>
  <c r="AD94" i="2"/>
  <c r="AF94" i="2" s="1"/>
  <c r="X94" i="2"/>
  <c r="AB94" i="2" s="1"/>
  <c r="AK94" i="2" s="1"/>
  <c r="W94" i="2"/>
  <c r="AH93" i="2"/>
  <c r="AD93" i="2"/>
  <c r="X93" i="2"/>
  <c r="AB93" i="2" s="1"/>
  <c r="AK93" i="2" s="1"/>
  <c r="AH92" i="2"/>
  <c r="AD92" i="2"/>
  <c r="X92" i="2"/>
  <c r="W92" i="2"/>
  <c r="AH91" i="2"/>
  <c r="AD91" i="2"/>
  <c r="X91" i="2"/>
  <c r="W91" i="2"/>
  <c r="AH90" i="2"/>
  <c r="AD90" i="2"/>
  <c r="AF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W88" i="2"/>
  <c r="AH87" i="2"/>
  <c r="AD87" i="2"/>
  <c r="AF87" i="2" s="1"/>
  <c r="X87" i="2"/>
  <c r="AB87" i="2" s="1"/>
  <c r="AK87" i="2" s="1"/>
  <c r="W87" i="2"/>
  <c r="V86" i="2"/>
  <c r="AD86" i="2"/>
  <c r="AF86" i="2" s="1"/>
  <c r="V85" i="2"/>
  <c r="AD85" i="2"/>
  <c r="AF85" i="2" s="1"/>
  <c r="AH84" i="2"/>
  <c r="AD84" i="2"/>
  <c r="Y84" i="2" s="1"/>
  <c r="W84" i="2"/>
  <c r="AH83" i="2"/>
  <c r="AD83" i="2"/>
  <c r="AF83" i="2" s="1"/>
  <c r="X83" i="2"/>
  <c r="AB83" i="2" s="1"/>
  <c r="AK83" i="2" s="1"/>
  <c r="W83" i="2"/>
  <c r="AH82" i="2"/>
  <c r="AD82" i="2"/>
  <c r="AF82" i="2" s="1"/>
  <c r="X82" i="2"/>
  <c r="AB82" i="2" s="1"/>
  <c r="AK82" i="2" s="1"/>
  <c r="W82" i="2"/>
  <c r="AH81" i="2"/>
  <c r="AD81" i="2"/>
  <c r="AF81" i="2" s="1"/>
  <c r="X81" i="2"/>
  <c r="AB81" i="2" s="1"/>
  <c r="AK81" i="2" s="1"/>
  <c r="AH80" i="2"/>
  <c r="AD80" i="2"/>
  <c r="AF80" i="2" s="1"/>
  <c r="X80" i="2"/>
  <c r="W80" i="2"/>
  <c r="AH79" i="2"/>
  <c r="AD79" i="2"/>
  <c r="AF79" i="2" s="1"/>
  <c r="X79" i="2"/>
  <c r="AB79" i="2" s="1"/>
  <c r="AK79" i="2" s="1"/>
  <c r="W79" i="2"/>
  <c r="AH78" i="2"/>
  <c r="AD78" i="2"/>
  <c r="AF78" i="2" s="1"/>
  <c r="X78" i="2"/>
  <c r="AB78" i="2" s="1"/>
  <c r="AK78" i="2" s="1"/>
  <c r="W78" i="2"/>
  <c r="AH77" i="2"/>
  <c r="AD77" i="2"/>
  <c r="AF77" i="2" s="1"/>
  <c r="X77" i="2"/>
  <c r="AB77" i="2" s="1"/>
  <c r="AK77" i="2" s="1"/>
  <c r="W77" i="2"/>
  <c r="AH76" i="2"/>
  <c r="AD76" i="2"/>
  <c r="X76" i="2"/>
  <c r="AB76" i="2" s="1"/>
  <c r="AH75" i="2"/>
  <c r="AD75" i="2"/>
  <c r="AF75" i="2" s="1"/>
  <c r="X75" i="2"/>
  <c r="AB75" i="2" s="1"/>
  <c r="AK75" i="2" s="1"/>
  <c r="W75" i="2"/>
  <c r="AH74" i="2"/>
  <c r="AD74" i="2"/>
  <c r="AF74" i="2" s="1"/>
  <c r="X74" i="2"/>
  <c r="W74" i="2"/>
  <c r="AH73" i="2"/>
  <c r="AD73" i="2"/>
  <c r="AF73" i="2" s="1"/>
  <c r="X73" i="2"/>
  <c r="AB73" i="2" s="1"/>
  <c r="AK73" i="2" s="1"/>
  <c r="W73" i="2"/>
  <c r="AH72" i="2"/>
  <c r="AD72" i="2"/>
  <c r="AF72" i="2" s="1"/>
  <c r="X72" i="2"/>
  <c r="AB72" i="2" s="1"/>
  <c r="AK72" i="2" s="1"/>
  <c r="W72" i="2"/>
  <c r="AH71" i="2"/>
  <c r="AD71" i="2"/>
  <c r="AF71" i="2" s="1"/>
  <c r="X71" i="2"/>
  <c r="AB71" i="2" s="1"/>
  <c r="AK71" i="2" s="1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W68" i="2"/>
  <c r="AH67" i="2"/>
  <c r="AD67" i="2"/>
  <c r="AF67" i="2" s="1"/>
  <c r="X67" i="2"/>
  <c r="AB67" i="2" s="1"/>
  <c r="AK67" i="2" s="1"/>
  <c r="W67" i="2"/>
  <c r="AH66" i="2"/>
  <c r="AD66" i="2"/>
  <c r="Y66" i="2" s="1"/>
  <c r="AH65" i="2"/>
  <c r="AD65" i="2"/>
  <c r="AF65" i="2" s="1"/>
  <c r="X65" i="2"/>
  <c r="AB65" i="2" s="1"/>
  <c r="W65" i="2"/>
  <c r="AH64" i="2"/>
  <c r="AD64" i="2"/>
  <c r="AF64" i="2" s="1"/>
  <c r="X64" i="2"/>
  <c r="AB64" i="2" s="1"/>
  <c r="AK64" i="2" s="1"/>
  <c r="W64" i="2"/>
  <c r="AH63" i="2"/>
  <c r="AD63" i="2"/>
  <c r="Y63" i="2" s="1"/>
  <c r="X63" i="2"/>
  <c r="W63" i="2"/>
  <c r="AH62" i="2"/>
  <c r="AD62" i="2"/>
  <c r="AF62" i="2" s="1"/>
  <c r="X62" i="2"/>
  <c r="AB62" i="2" s="1"/>
  <c r="AK62" i="2" s="1"/>
  <c r="W62" i="2"/>
  <c r="AH61" i="2"/>
  <c r="AD61" i="2"/>
  <c r="AF61" i="2" s="1"/>
  <c r="X61" i="2"/>
  <c r="AB61" i="2" s="1"/>
  <c r="AK61" i="2" s="1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AB58" i="2" s="1"/>
  <c r="AK58" i="2" s="1"/>
  <c r="W58" i="2"/>
  <c r="AH57" i="2"/>
  <c r="AD57" i="2"/>
  <c r="AF57" i="2" s="1"/>
  <c r="X57" i="2"/>
  <c r="AB57" i="2" s="1"/>
  <c r="AK57" i="2" s="1"/>
  <c r="W57" i="2"/>
  <c r="AH56" i="2"/>
  <c r="AD56" i="2"/>
  <c r="AF56" i="2" s="1"/>
  <c r="X56" i="2"/>
  <c r="AB56" i="2" s="1"/>
  <c r="AK56" i="2" s="1"/>
  <c r="W56" i="2"/>
  <c r="AH55" i="2"/>
  <c r="AD55" i="2"/>
  <c r="AF55" i="2" s="1"/>
  <c r="X55" i="2"/>
  <c r="W55" i="2"/>
  <c r="AH54" i="2"/>
  <c r="AD54" i="2"/>
  <c r="X54" i="2"/>
  <c r="AB54" i="2" s="1"/>
  <c r="AK54" i="2" s="1"/>
  <c r="W54" i="2"/>
  <c r="AH53" i="2"/>
  <c r="AD53" i="2"/>
  <c r="AF53" i="2" s="1"/>
  <c r="X53" i="2"/>
  <c r="AB53" i="2" s="1"/>
  <c r="W53" i="2"/>
  <c r="AH52" i="2"/>
  <c r="AD52" i="2"/>
  <c r="AF52" i="2" s="1"/>
  <c r="X52" i="2"/>
  <c r="AB52" i="2" s="1"/>
  <c r="AK52" i="2" s="1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AB49" i="2" s="1"/>
  <c r="AK49" i="2" s="1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AB45" i="2" s="1"/>
  <c r="AK45" i="2" s="1"/>
  <c r="W45" i="2"/>
  <c r="AH44" i="2"/>
  <c r="AD44" i="2"/>
  <c r="AF44" i="2" s="1"/>
  <c r="X44" i="2"/>
  <c r="AB44" i="2" s="1"/>
  <c r="AK44" i="2" s="1"/>
  <c r="W44" i="2"/>
  <c r="AH43" i="2"/>
  <c r="AD43" i="2"/>
  <c r="AF43" i="2" s="1"/>
  <c r="X43" i="2"/>
  <c r="AB43" i="2" s="1"/>
  <c r="AK43" i="2" s="1"/>
  <c r="W43" i="2"/>
  <c r="AH42" i="2"/>
  <c r="AD42" i="2"/>
  <c r="AF42" i="2" s="1"/>
  <c r="X42" i="2"/>
  <c r="AB42" i="2" s="1"/>
  <c r="AK42" i="2" s="1"/>
  <c r="W42" i="2"/>
  <c r="AH41" i="2"/>
  <c r="AD41" i="2"/>
  <c r="AF41" i="2" s="1"/>
  <c r="X41" i="2"/>
  <c r="W41" i="2"/>
  <c r="AH40" i="2"/>
  <c r="AD40" i="2"/>
  <c r="AF40" i="2" s="1"/>
  <c r="X40" i="2"/>
  <c r="AB40" i="2" s="1"/>
  <c r="AK40" i="2" s="1"/>
  <c r="W40" i="2"/>
  <c r="AH39" i="2"/>
  <c r="AD39" i="2"/>
  <c r="AF39" i="2" s="1"/>
  <c r="X39" i="2"/>
  <c r="AB39" i="2" s="1"/>
  <c r="W39" i="2"/>
  <c r="AH38" i="2"/>
  <c r="AD38" i="2"/>
  <c r="X38" i="2"/>
  <c r="AC38" i="2" s="1"/>
  <c r="W38" i="2"/>
  <c r="AH37" i="2"/>
  <c r="AD37" i="2"/>
  <c r="AF37" i="2" s="1"/>
  <c r="X37" i="2"/>
  <c r="AB37" i="2" s="1"/>
  <c r="AK37" i="2" s="1"/>
  <c r="W37" i="2"/>
  <c r="AH36" i="2"/>
  <c r="AD36" i="2"/>
  <c r="AF36" i="2" s="1"/>
  <c r="X36" i="2"/>
  <c r="AB36" i="2" s="1"/>
  <c r="AK36" i="2" s="1"/>
  <c r="W36" i="2"/>
  <c r="AH35" i="2"/>
  <c r="AD35" i="2"/>
  <c r="AF35" i="2" s="1"/>
  <c r="X35" i="2"/>
  <c r="AC35" i="2" s="1"/>
  <c r="W35" i="2"/>
  <c r="AH34" i="2"/>
  <c r="AD34" i="2"/>
  <c r="AF34" i="2" s="1"/>
  <c r="X34" i="2"/>
  <c r="AB34" i="2" s="1"/>
  <c r="W34" i="2"/>
  <c r="AH33" i="2"/>
  <c r="AD33" i="2"/>
  <c r="AF33" i="2" s="1"/>
  <c r="X33" i="2"/>
  <c r="W33" i="2"/>
  <c r="AH32" i="2"/>
  <c r="AD32" i="2"/>
  <c r="AF32" i="2" s="1"/>
  <c r="X32" i="2"/>
  <c r="AB32" i="2" s="1"/>
  <c r="AK32" i="2" s="1"/>
  <c r="W32" i="2"/>
  <c r="AH31" i="2"/>
  <c r="AD31" i="2"/>
  <c r="Y31" i="2" s="1"/>
  <c r="AC31" i="2"/>
  <c r="W31" i="2"/>
  <c r="AH30" i="2"/>
  <c r="AD30" i="2"/>
  <c r="AF30" i="2" s="1"/>
  <c r="X30" i="2"/>
  <c r="AB30" i="2" s="1"/>
  <c r="AK30" i="2" s="1"/>
  <c r="W30" i="2"/>
  <c r="AH29" i="2"/>
  <c r="AD29" i="2"/>
  <c r="AF29" i="2" s="1"/>
  <c r="X29" i="2"/>
  <c r="W29" i="2"/>
  <c r="AH28" i="2"/>
  <c r="AD28" i="2"/>
  <c r="AF28" i="2" s="1"/>
  <c r="X28" i="2"/>
  <c r="AB28" i="2" s="1"/>
  <c r="AK28" i="2" s="1"/>
  <c r="W28" i="2"/>
  <c r="AH27" i="2"/>
  <c r="AD27" i="2"/>
  <c r="X27" i="2"/>
  <c r="AB27" i="2" s="1"/>
  <c r="AK27" i="2" s="1"/>
  <c r="U27" i="2"/>
  <c r="AH26" i="2"/>
  <c r="AD26" i="2"/>
  <c r="X26" i="2"/>
  <c r="AB26" i="2" s="1"/>
  <c r="AK26" i="2" s="1"/>
  <c r="W26" i="2"/>
  <c r="AH25" i="2"/>
  <c r="AD25" i="2"/>
  <c r="AF25" i="2" s="1"/>
  <c r="X25" i="2"/>
  <c r="AB25" i="2" s="1"/>
  <c r="AK25" i="2" s="1"/>
  <c r="W25" i="2"/>
  <c r="AH24" i="2"/>
  <c r="AD24" i="2"/>
  <c r="AF24" i="2" s="1"/>
  <c r="X24" i="2"/>
  <c r="AB24" i="2" s="1"/>
  <c r="AK24" i="2" s="1"/>
  <c r="W24" i="2"/>
  <c r="AH23" i="2"/>
  <c r="AD23" i="2"/>
  <c r="AF23" i="2" s="1"/>
  <c r="X23" i="2"/>
  <c r="AB23" i="2" s="1"/>
  <c r="AK23" i="2" s="1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X20" i="2"/>
  <c r="AB20" i="2" s="1"/>
  <c r="AK20" i="2" s="1"/>
  <c r="W20" i="2"/>
  <c r="AH19" i="2"/>
  <c r="AD19" i="2"/>
  <c r="AF19" i="2" s="1"/>
  <c r="X19" i="2"/>
  <c r="AB19" i="2" s="1"/>
  <c r="AK19" i="2" s="1"/>
  <c r="W19" i="2"/>
  <c r="AH18" i="2"/>
  <c r="AD18" i="2"/>
  <c r="AF18" i="2" s="1"/>
  <c r="X18" i="2"/>
  <c r="AB18" i="2" s="1"/>
  <c r="AK18" i="2" s="1"/>
  <c r="W18" i="2"/>
  <c r="AH17" i="2"/>
  <c r="AF17" i="2"/>
  <c r="X17" i="2"/>
  <c r="Y17" i="2" s="1"/>
  <c r="W17" i="2"/>
  <c r="AH16" i="2"/>
  <c r="AF16" i="2"/>
  <c r="X16" i="2"/>
  <c r="Y16" i="2" s="1"/>
  <c r="W16" i="2"/>
  <c r="AH15" i="2"/>
  <c r="AF15" i="2"/>
  <c r="X15" i="2"/>
  <c r="AB15" i="2" s="1"/>
  <c r="AK15" i="2" s="1"/>
  <c r="W15" i="2"/>
  <c r="AH14" i="2"/>
  <c r="AF14" i="2"/>
  <c r="X14" i="2"/>
  <c r="W14" i="2"/>
  <c r="AH13" i="2"/>
  <c r="AF13" i="2"/>
  <c r="X13" i="2"/>
  <c r="AC13" i="2" s="1"/>
  <c r="W13" i="2"/>
  <c r="AH12" i="2"/>
  <c r="AF12" i="2"/>
  <c r="X12" i="2"/>
  <c r="Y12" i="2" s="1"/>
  <c r="W12" i="2"/>
  <c r="AH11" i="2"/>
  <c r="AF11" i="2"/>
  <c r="X11" i="2"/>
  <c r="Y11" i="2" s="1"/>
  <c r="W11" i="2"/>
  <c r="AH10" i="2"/>
  <c r="AF10" i="2"/>
  <c r="X10" i="2"/>
  <c r="W10" i="2"/>
  <c r="AH9" i="2"/>
  <c r="AF9" i="2"/>
  <c r="X9" i="2"/>
  <c r="Y9" i="2" s="1"/>
  <c r="W9" i="2"/>
  <c r="AH8" i="2"/>
  <c r="AF8" i="2"/>
  <c r="X8" i="2"/>
  <c r="AB8" i="2" s="1"/>
  <c r="AK8" i="2" s="1"/>
  <c r="W8" i="2"/>
  <c r="AH7" i="2"/>
  <c r="AF7" i="2"/>
  <c r="X7" i="2"/>
  <c r="W7" i="2"/>
  <c r="AH6" i="2"/>
  <c r="AF6" i="2"/>
  <c r="X6" i="2"/>
  <c r="AC6" i="2" s="1"/>
  <c r="W6" i="2"/>
  <c r="AH5" i="2"/>
  <c r="AF5" i="2"/>
  <c r="X5" i="2"/>
  <c r="W5" i="2"/>
  <c r="AH4" i="2"/>
  <c r="AF4" i="2"/>
  <c r="X4" i="2"/>
  <c r="Y4" i="2" s="1"/>
  <c r="W4" i="2"/>
  <c r="AH3" i="2"/>
  <c r="AF3" i="2"/>
  <c r="X3" i="2"/>
  <c r="AC3" i="2" s="1"/>
  <c r="W3" i="2"/>
  <c r="AH2" i="2"/>
  <c r="AF2" i="2"/>
  <c r="X2" i="2"/>
  <c r="AA2" i="2" s="1"/>
  <c r="AB2" i="2" s="1"/>
  <c r="AK2" i="2" s="1"/>
  <c r="W2" i="2"/>
  <c r="AC2091" i="2"/>
  <c r="AC2097" i="2"/>
  <c r="AF2621" i="2"/>
  <c r="AC2560" i="2"/>
  <c r="AC2564" i="2"/>
  <c r="AC2566" i="2"/>
  <c r="AC2568" i="2"/>
  <c r="AC2572" i="2"/>
  <c r="AC2576" i="2"/>
  <c r="AC2327" i="2"/>
  <c r="AC2341" i="2"/>
  <c r="AK2353" i="2"/>
  <c r="AC2357" i="2"/>
  <c r="AC2705" i="2"/>
  <c r="AC2713" i="2"/>
  <c r="AF2639" i="2"/>
  <c r="AF2628" i="2"/>
  <c r="X85" i="2"/>
  <c r="W85" i="2"/>
  <c r="AB1048" i="2"/>
  <c r="AK1048" i="2" s="1"/>
  <c r="AB1060" i="2"/>
  <c r="AK1060" i="2" s="1"/>
  <c r="AB1062" i="2"/>
  <c r="AK1062" i="2" s="1"/>
  <c r="Y1068" i="2"/>
  <c r="Y1685" i="2"/>
  <c r="AB2286" i="2"/>
  <c r="AK2286" i="2" s="1"/>
  <c r="AB2306" i="2"/>
  <c r="AK2306" i="2" s="1"/>
  <c r="AB2475" i="2"/>
  <c r="AK2475" i="2" s="1"/>
  <c r="AB2479" i="2"/>
  <c r="AK2479" i="2" s="1"/>
  <c r="AB2498" i="2"/>
  <c r="AK2498" i="2" s="1"/>
  <c r="AB2523" i="2"/>
  <c r="AK2523" i="2" s="1"/>
  <c r="AB2525" i="2"/>
  <c r="AK2525" i="2" s="1"/>
  <c r="AB2527" i="2"/>
  <c r="AK2527" i="2" s="1"/>
  <c r="AB2529" i="2"/>
  <c r="AK2529" i="2" s="1"/>
  <c r="AB2533" i="2"/>
  <c r="AK2533" i="2" s="1"/>
  <c r="AB2537" i="2"/>
  <c r="AK2537" i="2" s="1"/>
  <c r="AB2545" i="2"/>
  <c r="AK2545" i="2" s="1"/>
  <c r="AB2549" i="2"/>
  <c r="AK2549" i="2" s="1"/>
  <c r="AB2553" i="2"/>
  <c r="AK2553" i="2" s="1"/>
  <c r="AB2555" i="2"/>
  <c r="AK2555" i="2" s="1"/>
  <c r="AB2594" i="2"/>
  <c r="AK2594" i="2" s="1"/>
  <c r="AB2596" i="2"/>
  <c r="AK2596" i="2" s="1"/>
  <c r="AB2602" i="2"/>
  <c r="AK2602" i="2" s="1"/>
  <c r="AB2617" i="2"/>
  <c r="AK2617" i="2" s="1"/>
  <c r="AB2646" i="2"/>
  <c r="AK2646" i="2" s="1"/>
  <c r="AB2649" i="2"/>
  <c r="AK2649" i="2" s="1"/>
  <c r="Y2665" i="2"/>
  <c r="AB2673" i="2"/>
  <c r="AK2673" i="2" s="1"/>
  <c r="AB2698" i="2"/>
  <c r="AK2698" i="2" s="1"/>
  <c r="Y2698" i="2"/>
  <c r="AB2713" i="2"/>
  <c r="AK2713" i="2" s="1"/>
  <c r="Y2713" i="2"/>
  <c r="AB2717" i="2"/>
  <c r="AK2717" i="2" s="1"/>
  <c r="Y2717" i="2"/>
  <c r="AB1311" i="2"/>
  <c r="AK1311" i="2" s="1"/>
  <c r="AB1329" i="2"/>
  <c r="AK1329" i="2" s="1"/>
  <c r="Y1341" i="2"/>
  <c r="AB1351" i="2"/>
  <c r="AK1351" i="2" s="1"/>
  <c r="AB1355" i="2"/>
  <c r="AK1355" i="2" s="1"/>
  <c r="Y1357" i="2"/>
  <c r="AB1371" i="2"/>
  <c r="AK1371" i="2" s="1"/>
  <c r="Y1679" i="2"/>
  <c r="Y1683" i="2"/>
  <c r="Y2116" i="2"/>
  <c r="Y2118" i="2"/>
  <c r="Y2122" i="2"/>
  <c r="AB2517" i="2"/>
  <c r="AK2517" i="2" s="1"/>
  <c r="AB1255" i="2"/>
  <c r="AK1255" i="2" s="1"/>
  <c r="AB1265" i="2"/>
  <c r="AK1265" i="2" s="1"/>
  <c r="AB1269" i="2"/>
  <c r="AK1269" i="2" s="1"/>
  <c r="AB1271" i="2"/>
  <c r="AK1271" i="2" s="1"/>
  <c r="AB1293" i="2"/>
  <c r="AK1293" i="2" s="1"/>
  <c r="AB1629" i="2"/>
  <c r="AK1629" i="2" s="1"/>
  <c r="AB1647" i="2"/>
  <c r="AK1647" i="2" s="1"/>
  <c r="AB1653" i="2"/>
  <c r="AK1653" i="2" s="1"/>
  <c r="AB1788" i="2"/>
  <c r="AK1788" i="2" s="1"/>
  <c r="AB1790" i="2"/>
  <c r="AK1790" i="2" s="1"/>
  <c r="Y1792" i="2"/>
  <c r="AB1822" i="2"/>
  <c r="AK1822" i="2" s="1"/>
  <c r="Y1822" i="2"/>
  <c r="Y1828" i="2"/>
  <c r="Y1838" i="2"/>
  <c r="AB1856" i="2"/>
  <c r="AK1856" i="2" s="1"/>
  <c r="Y1868" i="2"/>
  <c r="Y1870" i="2"/>
  <c r="AB1872" i="2"/>
  <c r="AK1872" i="2" s="1"/>
  <c r="Y1898" i="2"/>
  <c r="AB1904" i="2"/>
  <c r="AK1904" i="2" s="1"/>
  <c r="AB1908" i="2"/>
  <c r="AK1908" i="2" s="1"/>
  <c r="AB1912" i="2"/>
  <c r="AK1912" i="2" s="1"/>
  <c r="AB1932" i="2"/>
  <c r="AK1932" i="2" s="1"/>
  <c r="Y1932" i="2"/>
  <c r="Y1934" i="2"/>
  <c r="AB1938" i="2"/>
  <c r="AK1938" i="2" s="1"/>
  <c r="AB1946" i="2"/>
  <c r="AK1946" i="2" s="1"/>
  <c r="AB1954" i="2"/>
  <c r="AK1954" i="2" s="1"/>
  <c r="Y1964" i="2"/>
  <c r="Y1968" i="2"/>
  <c r="Y1970" i="2"/>
  <c r="Y1982" i="2"/>
  <c r="AB1984" i="2"/>
  <c r="AK1984" i="2" s="1"/>
  <c r="Y1984" i="2"/>
  <c r="AB1998" i="2"/>
  <c r="AK1998" i="2" s="1"/>
  <c r="Y2006" i="2"/>
  <c r="AB2010" i="2"/>
  <c r="AK2010" i="2" s="1"/>
  <c r="AB2012" i="2"/>
  <c r="AK2012" i="2" s="1"/>
  <c r="AB2018" i="2"/>
  <c r="AK2018" i="2" s="1"/>
  <c r="Y2018" i="2"/>
  <c r="AB2030" i="2"/>
  <c r="AK2030" i="2" s="1"/>
  <c r="Y2032" i="2"/>
  <c r="AB2040" i="2"/>
  <c r="AK2040" i="2" s="1"/>
  <c r="AB2042" i="2"/>
  <c r="AK2042" i="2" s="1"/>
  <c r="AB2044" i="2"/>
  <c r="AK2044" i="2" s="1"/>
  <c r="AB2054" i="2"/>
  <c r="AK2054" i="2" s="1"/>
  <c r="AB2058" i="2"/>
  <c r="AK2058" i="2" s="1"/>
  <c r="AB2363" i="2"/>
  <c r="AK2363" i="2" s="1"/>
  <c r="AB2373" i="2"/>
  <c r="AK2373" i="2" s="1"/>
  <c r="AB2381" i="2"/>
  <c r="AK2381" i="2" s="1"/>
  <c r="AB2399" i="2"/>
  <c r="AK2399" i="2" s="1"/>
  <c r="AB2405" i="2"/>
  <c r="AK2405" i="2" s="1"/>
  <c r="Y2421" i="2"/>
  <c r="Y2423" i="2"/>
  <c r="Y2503" i="2"/>
  <c r="AB2580" i="2"/>
  <c r="AK2580" i="2" s="1"/>
  <c r="AB2671" i="2"/>
  <c r="AK2671" i="2" s="1"/>
  <c r="Y2714" i="2"/>
  <c r="AB1083" i="2"/>
  <c r="AK1083" i="2" s="1"/>
  <c r="Y1119" i="2"/>
  <c r="Y1129" i="2"/>
  <c r="AB1171" i="2"/>
  <c r="AK1171" i="2" s="1"/>
  <c r="AB1177" i="2"/>
  <c r="AK1177" i="2" s="1"/>
  <c r="Y1185" i="2"/>
  <c r="Y1203" i="2"/>
  <c r="Y1205" i="2"/>
  <c r="AB1221" i="2"/>
  <c r="AK1221" i="2" s="1"/>
  <c r="Y1249" i="2"/>
  <c r="AB1251" i="2"/>
  <c r="AK1251" i="2" s="1"/>
  <c r="AB1430" i="2"/>
  <c r="AK1430" i="2" s="1"/>
  <c r="Y1438" i="2"/>
  <c r="AB1450" i="2"/>
  <c r="AK1450" i="2" s="1"/>
  <c r="AB1478" i="2"/>
  <c r="AK1478" i="2" s="1"/>
  <c r="Y1482" i="2"/>
  <c r="Y1488" i="2"/>
  <c r="AB1496" i="2"/>
  <c r="AK1496" i="2" s="1"/>
  <c r="AB1512" i="2"/>
  <c r="AK1512" i="2" s="1"/>
  <c r="AB1522" i="2"/>
  <c r="AK1522" i="2" s="1"/>
  <c r="AB1524" i="2"/>
  <c r="AK1524" i="2" s="1"/>
  <c r="AB1530" i="2"/>
  <c r="AK1530" i="2" s="1"/>
  <c r="AB1554" i="2"/>
  <c r="AK1554" i="2" s="1"/>
  <c r="Y1556" i="2"/>
  <c r="AB1570" i="2"/>
  <c r="AK1570" i="2" s="1"/>
  <c r="AB1572" i="2"/>
  <c r="AK1572" i="2" s="1"/>
  <c r="AB1611" i="2"/>
  <c r="AK1611" i="2" s="1"/>
  <c r="AB1613" i="2"/>
  <c r="AK1613" i="2" s="1"/>
  <c r="Y1694" i="2"/>
  <c r="AB1700" i="2"/>
  <c r="AK1700" i="2" s="1"/>
  <c r="Y1704" i="2"/>
  <c r="AB1712" i="2"/>
  <c r="AK1712" i="2" s="1"/>
  <c r="AB1714" i="2"/>
  <c r="AK1714" i="2" s="1"/>
  <c r="Y1718" i="2"/>
  <c r="Y1720" i="2"/>
  <c r="Y1722" i="2"/>
  <c r="Y1734" i="2"/>
  <c r="AB1736" i="2"/>
  <c r="AK1736" i="2" s="1"/>
  <c r="Y1736" i="2"/>
  <c r="Y1740" i="2"/>
  <c r="AB1746" i="2"/>
  <c r="AK1746" i="2" s="1"/>
  <c r="Y1746" i="2"/>
  <c r="AB1752" i="2"/>
  <c r="AK1752" i="2" s="1"/>
  <c r="AB1758" i="2"/>
  <c r="AK1758" i="2" s="1"/>
  <c r="Y1758" i="2"/>
  <c r="AB1760" i="2"/>
  <c r="AK1760" i="2" s="1"/>
  <c r="AB1762" i="2"/>
  <c r="AK1762" i="2" s="1"/>
  <c r="Y1766" i="2"/>
  <c r="AB1768" i="2"/>
  <c r="AK1768" i="2" s="1"/>
  <c r="Y1768" i="2"/>
  <c r="AB1774" i="2"/>
  <c r="AK1774" i="2" s="1"/>
  <c r="Y1776" i="2"/>
  <c r="AB1778" i="2"/>
  <c r="AK1778" i="2" s="1"/>
  <c r="Y1778" i="2"/>
  <c r="Y2323" i="2"/>
  <c r="AB2327" i="2"/>
  <c r="AK2327" i="2" s="1"/>
  <c r="Y2329" i="2"/>
  <c r="AB2333" i="2"/>
  <c r="AK2333" i="2" s="1"/>
  <c r="AB2335" i="2"/>
  <c r="AK2335" i="2" s="1"/>
  <c r="AB2337" i="2"/>
  <c r="AK2337" i="2" s="1"/>
  <c r="AB2341" i="2"/>
  <c r="AK2341" i="2" s="1"/>
  <c r="Y2341" i="2"/>
  <c r="Y2343" i="2"/>
  <c r="AB2345" i="2"/>
  <c r="AK2345" i="2" s="1"/>
  <c r="AB2351" i="2"/>
  <c r="AK2351" i="2" s="1"/>
  <c r="AB2355" i="2"/>
  <c r="AK2355" i="2" s="1"/>
  <c r="Y2355" i="2"/>
  <c r="Y2357" i="2"/>
  <c r="Y2359" i="2"/>
  <c r="AB2480" i="2"/>
  <c r="AK2480" i="2" s="1"/>
  <c r="AB2482" i="2"/>
  <c r="AK2482" i="2" s="1"/>
  <c r="AB2501" i="2"/>
  <c r="AK2501" i="2" s="1"/>
  <c r="AB2556" i="2"/>
  <c r="AK2556" i="2" s="1"/>
  <c r="Y2556" i="2"/>
  <c r="AB2558" i="2"/>
  <c r="AK2558" i="2" s="1"/>
  <c r="Y2560" i="2"/>
  <c r="AB2564" i="2"/>
  <c r="AK2564" i="2" s="1"/>
  <c r="Y2564" i="2"/>
  <c r="AB2566" i="2"/>
  <c r="AK2566" i="2" s="1"/>
  <c r="Y2566" i="2"/>
  <c r="Y2570" i="2"/>
  <c r="AB2572" i="2"/>
  <c r="AK2572" i="2" s="1"/>
  <c r="Y2572" i="2"/>
  <c r="AB2574" i="2"/>
  <c r="AK2574" i="2" s="1"/>
  <c r="AB2576" i="2"/>
  <c r="AK2576" i="2" s="1"/>
  <c r="AB2578" i="2"/>
  <c r="AK2578" i="2" s="1"/>
  <c r="AB2647" i="2"/>
  <c r="AK2647" i="2" s="1"/>
  <c r="Y2647" i="2"/>
  <c r="AB2650" i="2"/>
  <c r="AK2650" i="2" s="1"/>
  <c r="Y2650" i="2"/>
  <c r="AB2658" i="2"/>
  <c r="AK2658" i="2" s="1"/>
  <c r="Y2658" i="2"/>
  <c r="Y2674" i="2"/>
  <c r="AB2680" i="2"/>
  <c r="AK2680" i="2" s="1"/>
  <c r="Y2680" i="2"/>
  <c r="AB2684" i="2"/>
  <c r="AK2684" i="2" s="1"/>
  <c r="Y2684" i="2"/>
  <c r="Y2688" i="2"/>
  <c r="AB2703" i="2"/>
  <c r="AK2703" i="2" s="1"/>
  <c r="Y2703" i="2"/>
  <c r="AB51" i="2"/>
  <c r="AK51" i="2" s="1"/>
  <c r="AB63" i="2"/>
  <c r="AK63" i="2" s="1"/>
  <c r="AB126" i="2"/>
  <c r="AK126" i="2" s="1"/>
  <c r="AB302" i="2"/>
  <c r="AK302" i="2" s="1"/>
  <c r="AB375" i="2"/>
  <c r="AK375" i="2" s="1"/>
  <c r="AB399" i="2"/>
  <c r="AK399" i="2" s="1"/>
  <c r="AB435" i="2"/>
  <c r="AK435" i="2" s="1"/>
  <c r="AB475" i="2"/>
  <c r="AK475" i="2" s="1"/>
  <c r="AB495" i="2"/>
  <c r="AK495" i="2" s="1"/>
  <c r="AB501" i="2"/>
  <c r="AK501" i="2" s="1"/>
  <c r="AB559" i="2"/>
  <c r="AK559" i="2" s="1"/>
  <c r="Y1049" i="2"/>
  <c r="AB1055" i="2"/>
  <c r="AK1055" i="2" s="1"/>
  <c r="Y1376" i="2"/>
  <c r="Y1601" i="2"/>
  <c r="Y1684" i="2"/>
  <c r="AB1690" i="2"/>
  <c r="AK1690" i="2" s="1"/>
  <c r="AB1692" i="2"/>
  <c r="AK1692" i="2" s="1"/>
  <c r="AC2127" i="2"/>
  <c r="AB2127" i="2"/>
  <c r="AK2127" i="2" s="1"/>
  <c r="AB2129" i="2"/>
  <c r="AK2129" i="2" s="1"/>
  <c r="AB2131" i="2"/>
  <c r="AK2131" i="2" s="1"/>
  <c r="AC2133" i="2"/>
  <c r="AB2133" i="2"/>
  <c r="AK2133" i="2" s="1"/>
  <c r="Y2133" i="2"/>
  <c r="AC2135" i="2"/>
  <c r="AB2135" i="2"/>
  <c r="AK2135" i="2" s="1"/>
  <c r="AB2137" i="2"/>
  <c r="AK2137" i="2" s="1"/>
  <c r="AB2139" i="2"/>
  <c r="AK2139" i="2" s="1"/>
  <c r="Y2139" i="2"/>
  <c r="AC2141" i="2"/>
  <c r="AB2141" i="2"/>
  <c r="AK2141" i="2" s="1"/>
  <c r="Y2141" i="2"/>
  <c r="AB2145" i="2"/>
  <c r="AK2145" i="2" s="1"/>
  <c r="Y2145" i="2"/>
  <c r="AB2147" i="2"/>
  <c r="AK2147" i="2" s="1"/>
  <c r="AC2149" i="2"/>
  <c r="Y2149" i="2"/>
  <c r="AC2151" i="2"/>
  <c r="AB2153" i="2"/>
  <c r="AK2153" i="2" s="1"/>
  <c r="Y2153" i="2"/>
  <c r="AC2155" i="2"/>
  <c r="AB2157" i="2"/>
  <c r="AK2157" i="2" s="1"/>
  <c r="AC2159" i="2"/>
  <c r="AB2159" i="2"/>
  <c r="AK2159" i="2" s="1"/>
  <c r="AC2163" i="2"/>
  <c r="AB2163" i="2"/>
  <c r="AK2163" i="2" s="1"/>
  <c r="Y2167" i="2"/>
  <c r="Y2169" i="2"/>
  <c r="AC2173" i="2"/>
  <c r="AB2173" i="2"/>
  <c r="AK2173" i="2" s="1"/>
  <c r="AC2175" i="2"/>
  <c r="AB2175" i="2"/>
  <c r="AK2175" i="2" s="1"/>
  <c r="AB2177" i="2"/>
  <c r="AK2177" i="2" s="1"/>
  <c r="Y2177" i="2"/>
  <c r="AC2179" i="2"/>
  <c r="Y2179" i="2"/>
  <c r="AC2181" i="2"/>
  <c r="AB2181" i="2"/>
  <c r="AK2181" i="2" s="1"/>
  <c r="AC2183" i="2"/>
  <c r="AB2183" i="2"/>
  <c r="AK2183" i="2" s="1"/>
  <c r="Y2183" i="2"/>
  <c r="AB2185" i="2"/>
  <c r="AK2185" i="2" s="1"/>
  <c r="AB2187" i="2"/>
  <c r="AK2187" i="2" s="1"/>
  <c r="AC2189" i="2"/>
  <c r="AB2189" i="2"/>
  <c r="AK2189" i="2" s="1"/>
  <c r="Y2189" i="2"/>
  <c r="AC2191" i="2"/>
  <c r="AB2191" i="2"/>
  <c r="AK2191" i="2" s="1"/>
  <c r="Y2193" i="2"/>
  <c r="AC2197" i="2"/>
  <c r="AB2197" i="2"/>
  <c r="AK2197" i="2" s="1"/>
  <c r="Y2197" i="2"/>
  <c r="AC2199" i="2"/>
  <c r="AB2199" i="2"/>
  <c r="AK2199" i="2" s="1"/>
  <c r="AB2201" i="2"/>
  <c r="AK2201" i="2" s="1"/>
  <c r="Y2201" i="2"/>
  <c r="AB2203" i="2"/>
  <c r="AK2203" i="2" s="1"/>
  <c r="AC2205" i="2"/>
  <c r="AB2205" i="2"/>
  <c r="AK2205" i="2" s="1"/>
  <c r="AC2207" i="2"/>
  <c r="AB2207" i="2"/>
  <c r="AK2207" i="2" s="1"/>
  <c r="Y2207" i="2"/>
  <c r="AB2209" i="2"/>
  <c r="AK2209" i="2" s="1"/>
  <c r="AC2211" i="2"/>
  <c r="AB2211" i="2"/>
  <c r="AK2211" i="2" s="1"/>
  <c r="AC2213" i="2"/>
  <c r="AB2213" i="2"/>
  <c r="AK2213" i="2" s="1"/>
  <c r="AC2215" i="2"/>
  <c r="AB2215" i="2"/>
  <c r="AK2215" i="2" s="1"/>
  <c r="Y2215" i="2"/>
  <c r="AC2219" i="2"/>
  <c r="AB2219" i="2"/>
  <c r="AK2219" i="2" s="1"/>
  <c r="AC2221" i="2"/>
  <c r="AB2221" i="2"/>
  <c r="AK2221" i="2" s="1"/>
  <c r="AC2223" i="2"/>
  <c r="Y2223" i="2"/>
  <c r="AB2225" i="2"/>
  <c r="AK2225" i="2" s="1"/>
  <c r="AB2227" i="2"/>
  <c r="AK2227" i="2" s="1"/>
  <c r="AC2229" i="2"/>
  <c r="AB2229" i="2"/>
  <c r="AK2229" i="2" s="1"/>
  <c r="AC2231" i="2"/>
  <c r="AB2231" i="2"/>
  <c r="AK2231" i="2" s="1"/>
  <c r="AB2233" i="2"/>
  <c r="AK2233" i="2" s="1"/>
  <c r="Y2233" i="2"/>
  <c r="Y2235" i="2"/>
  <c r="AB2237" i="2"/>
  <c r="AK2237" i="2" s="1"/>
  <c r="AC2239" i="2"/>
  <c r="AB2239" i="2"/>
  <c r="AK2239" i="2" s="1"/>
  <c r="AB2241" i="2"/>
  <c r="AK2241" i="2" s="1"/>
  <c r="AB2243" i="2"/>
  <c r="AK2243" i="2" s="1"/>
  <c r="AC2245" i="2"/>
  <c r="AB2245" i="2"/>
  <c r="AK2245" i="2" s="1"/>
  <c r="AC2247" i="2"/>
  <c r="AB2247" i="2"/>
  <c r="AK2247" i="2" s="1"/>
  <c r="AB2249" i="2"/>
  <c r="AK2249" i="2" s="1"/>
  <c r="AC2251" i="2"/>
  <c r="AB2251" i="2"/>
  <c r="AK2251" i="2" s="1"/>
  <c r="AC2253" i="2"/>
  <c r="AB2253" i="2"/>
  <c r="AK2253" i="2" s="1"/>
  <c r="AC2255" i="2"/>
  <c r="AB2257" i="2"/>
  <c r="AK2257" i="2" s="1"/>
  <c r="AC2259" i="2"/>
  <c r="AB2259" i="2"/>
  <c r="AK2259" i="2" s="1"/>
  <c r="AC2261" i="2"/>
  <c r="AB2261" i="2"/>
  <c r="AK2261" i="2" s="1"/>
  <c r="AC2263" i="2"/>
  <c r="AB2263" i="2"/>
  <c r="AK2263" i="2" s="1"/>
  <c r="AB2265" i="2"/>
  <c r="AK2265" i="2" s="1"/>
  <c r="AC2267" i="2"/>
  <c r="AB2267" i="2"/>
  <c r="AK2267" i="2" s="1"/>
  <c r="AC2269" i="2"/>
  <c r="AB2269" i="2"/>
  <c r="AK2269" i="2" s="1"/>
  <c r="Y2269" i="2"/>
  <c r="AC2271" i="2"/>
  <c r="AC2273" i="2"/>
  <c r="AB2273" i="2"/>
  <c r="AK2273" i="2" s="1"/>
  <c r="AC2275" i="2"/>
  <c r="AB2275" i="2"/>
  <c r="AK2275" i="2" s="1"/>
  <c r="AC2277" i="2"/>
  <c r="AB2277" i="2"/>
  <c r="AK2277" i="2" s="1"/>
  <c r="AB2281" i="2"/>
  <c r="AK2281" i="2" s="1"/>
  <c r="AC2283" i="2"/>
  <c r="AB2283" i="2"/>
  <c r="AK2283" i="2" s="1"/>
  <c r="AC2285" i="2"/>
  <c r="AB2285" i="2"/>
  <c r="AK2285" i="2" s="1"/>
  <c r="AC2287" i="2"/>
  <c r="AB2287" i="2"/>
  <c r="AK2287" i="2" s="1"/>
  <c r="AC2291" i="2"/>
  <c r="AB2291" i="2"/>
  <c r="AK2291" i="2" s="1"/>
  <c r="AC2293" i="2"/>
  <c r="AB2293" i="2"/>
  <c r="AK2293" i="2" s="1"/>
  <c r="AC2295" i="2"/>
  <c r="AB2295" i="2"/>
  <c r="AK2295" i="2" s="1"/>
  <c r="AC2297" i="2"/>
  <c r="AC2299" i="2"/>
  <c r="AB2299" i="2"/>
  <c r="AK2299" i="2" s="1"/>
  <c r="AC2301" i="2"/>
  <c r="AB2301" i="2"/>
  <c r="AK2301" i="2" s="1"/>
  <c r="AC2303" i="2"/>
  <c r="AB2303" i="2"/>
  <c r="AK2303" i="2" s="1"/>
  <c r="AC2305" i="2"/>
  <c r="AC2307" i="2"/>
  <c r="AB2307" i="2"/>
  <c r="AK2307" i="2" s="1"/>
  <c r="AC2309" i="2"/>
  <c r="AB2309" i="2"/>
  <c r="AK2309" i="2" s="1"/>
  <c r="AC2311" i="2"/>
  <c r="AB2311" i="2"/>
  <c r="AK2311" i="2" s="1"/>
  <c r="Y2313" i="2"/>
  <c r="AB2315" i="2"/>
  <c r="AK2315" i="2" s="1"/>
  <c r="AC2317" i="2"/>
  <c r="AB2317" i="2"/>
  <c r="AK2317" i="2" s="1"/>
  <c r="AC2319" i="2"/>
  <c r="AB2319" i="2"/>
  <c r="AK2319" i="2" s="1"/>
  <c r="AC2321" i="2"/>
  <c r="AC2478" i="2"/>
  <c r="AB2499" i="2"/>
  <c r="AK2499" i="2" s="1"/>
  <c r="AC2524" i="2"/>
  <c r="AB2524" i="2"/>
  <c r="AK2524" i="2" s="1"/>
  <c r="AB2526" i="2"/>
  <c r="AK2526" i="2" s="1"/>
  <c r="AC2530" i="2"/>
  <c r="AB2530" i="2"/>
  <c r="AK2530" i="2" s="1"/>
  <c r="Y2530" i="2"/>
  <c r="Y2532" i="2"/>
  <c r="AC2534" i="2"/>
  <c r="AB2534" i="2"/>
  <c r="AK2534" i="2" s="1"/>
  <c r="AB2536" i="2"/>
  <c r="AK2536" i="2" s="1"/>
  <c r="AB2538" i="2"/>
  <c r="AK2538" i="2" s="1"/>
  <c r="AC2540" i="2"/>
  <c r="AB2540" i="2"/>
  <c r="AK2540" i="2" s="1"/>
  <c r="Y2540" i="2"/>
  <c r="AC2542" i="2"/>
  <c r="AB2546" i="2"/>
  <c r="AK2546" i="2" s="1"/>
  <c r="Y2546" i="2"/>
  <c r="AC2548" i="2"/>
  <c r="AB2548" i="2"/>
  <c r="AK2548" i="2" s="1"/>
  <c r="Y2548" i="2"/>
  <c r="Y2550" i="2"/>
  <c r="Y2552" i="2"/>
  <c r="AC2554" i="2"/>
  <c r="AB2554" i="2"/>
  <c r="AK2554" i="2" s="1"/>
  <c r="AC2605" i="2"/>
  <c r="Y2653" i="2"/>
  <c r="Y2707" i="2"/>
  <c r="AB872" i="2"/>
  <c r="AK872" i="2" s="1"/>
  <c r="AB874" i="2"/>
  <c r="AK874" i="2" s="1"/>
  <c r="AB890" i="2"/>
  <c r="AK890" i="2" s="1"/>
  <c r="AB922" i="2"/>
  <c r="AK922" i="2" s="1"/>
  <c r="Y944" i="2"/>
  <c r="Y966" i="2"/>
  <c r="AB968" i="2"/>
  <c r="AK968" i="2" s="1"/>
  <c r="AB980" i="2"/>
  <c r="AK980" i="2" s="1"/>
  <c r="Y982" i="2"/>
  <c r="AB1027" i="2"/>
  <c r="AK1027" i="2" s="1"/>
  <c r="AB1031" i="2"/>
  <c r="AK1031" i="2" s="1"/>
  <c r="AB1033" i="2"/>
  <c r="AK1033" i="2" s="1"/>
  <c r="AB1035" i="2"/>
  <c r="AK1035" i="2" s="1"/>
  <c r="AB1045" i="2"/>
  <c r="AK1045" i="2" s="1"/>
  <c r="Y1314" i="2"/>
  <c r="AB1316" i="2"/>
  <c r="AK1316" i="2" s="1"/>
  <c r="AB1322" i="2"/>
  <c r="AK1322" i="2" s="1"/>
  <c r="AB1326" i="2"/>
  <c r="AK1326" i="2" s="1"/>
  <c r="Y1326" i="2"/>
  <c r="Y1330" i="2"/>
  <c r="Y1332" i="2"/>
  <c r="Y1340" i="2"/>
  <c r="AB1344" i="2"/>
  <c r="AK1344" i="2" s="1"/>
  <c r="Y1344" i="2"/>
  <c r="Y1352" i="2"/>
  <c r="Y1354" i="2"/>
  <c r="Y1362" i="2"/>
  <c r="AB1364" i="2"/>
  <c r="AK1364" i="2" s="1"/>
  <c r="Y1364" i="2"/>
  <c r="Y1368" i="2"/>
  <c r="AB1372" i="2"/>
  <c r="AK1372" i="2" s="1"/>
  <c r="Y1593" i="2"/>
  <c r="AB1595" i="2"/>
  <c r="AK1595" i="2" s="1"/>
  <c r="AB1599" i="2"/>
  <c r="AK1599" i="2" s="1"/>
  <c r="Y1678" i="2"/>
  <c r="Y1680" i="2"/>
  <c r="AB2063" i="2"/>
  <c r="AK2063" i="2" s="1"/>
  <c r="Y2063" i="2"/>
  <c r="AB2065" i="2"/>
  <c r="AK2065" i="2" s="1"/>
  <c r="Y2065" i="2"/>
  <c r="Y2067" i="2"/>
  <c r="AB2069" i="2"/>
  <c r="AK2069" i="2" s="1"/>
  <c r="Y2069" i="2"/>
  <c r="AB2071" i="2"/>
  <c r="AK2071" i="2" s="1"/>
  <c r="Y2071" i="2"/>
  <c r="AB2073" i="2"/>
  <c r="AK2073" i="2" s="1"/>
  <c r="Y2073" i="2"/>
  <c r="AB2075" i="2"/>
  <c r="AK2075" i="2" s="1"/>
  <c r="Y2075" i="2"/>
  <c r="AB2077" i="2"/>
  <c r="AK2077" i="2" s="1"/>
  <c r="Y2077" i="2"/>
  <c r="AB2079" i="2"/>
  <c r="AK2079" i="2" s="1"/>
  <c r="AB2081" i="2"/>
  <c r="AK2081" i="2" s="1"/>
  <c r="Y2081" i="2"/>
  <c r="AB2083" i="2"/>
  <c r="AK2083" i="2" s="1"/>
  <c r="AB2085" i="2"/>
  <c r="AK2085" i="2" s="1"/>
  <c r="Y2085" i="2"/>
  <c r="AB2087" i="2"/>
  <c r="AK2087" i="2" s="1"/>
  <c r="AB2089" i="2"/>
  <c r="AK2089" i="2" s="1"/>
  <c r="Y2089" i="2"/>
  <c r="AB2091" i="2"/>
  <c r="AK2091" i="2" s="1"/>
  <c r="AB2093" i="2"/>
  <c r="AK2093" i="2" s="1"/>
  <c r="Y2093" i="2"/>
  <c r="AB2095" i="2"/>
  <c r="AK2095" i="2" s="1"/>
  <c r="AB2097" i="2"/>
  <c r="AK2097" i="2" s="1"/>
  <c r="Y2097" i="2"/>
  <c r="AB2099" i="2"/>
  <c r="AK2099" i="2" s="1"/>
  <c r="AB2101" i="2"/>
  <c r="AK2101" i="2" s="1"/>
  <c r="Y2101" i="2"/>
  <c r="AB2103" i="2"/>
  <c r="AK2103" i="2" s="1"/>
  <c r="AB2105" i="2"/>
  <c r="AK2105" i="2" s="1"/>
  <c r="Y2105" i="2"/>
  <c r="AB2107" i="2"/>
  <c r="AK2107" i="2" s="1"/>
  <c r="AB2109" i="2"/>
  <c r="AK2109" i="2" s="1"/>
  <c r="Y2109" i="2"/>
  <c r="AB2111" i="2"/>
  <c r="AK2111" i="2" s="1"/>
  <c r="AB2113" i="2"/>
  <c r="AK2113" i="2" s="1"/>
  <c r="Y2113" i="2"/>
  <c r="AB2115" i="2"/>
  <c r="AK2115" i="2" s="1"/>
  <c r="Y2117" i="2"/>
  <c r="AB2119" i="2"/>
  <c r="AK2119" i="2" s="1"/>
  <c r="AB2123" i="2"/>
  <c r="AK2123" i="2" s="1"/>
  <c r="Y2123" i="2"/>
  <c r="Y2125" i="2"/>
  <c r="AB2430" i="2"/>
  <c r="AK2430" i="2" s="1"/>
  <c r="AB2432" i="2"/>
  <c r="AK2432" i="2" s="1"/>
  <c r="AB2434" i="2"/>
  <c r="AK2434" i="2" s="1"/>
  <c r="AB2438" i="2"/>
  <c r="AK2438" i="2" s="1"/>
  <c r="AB2444" i="2"/>
  <c r="AK2444" i="2" s="1"/>
  <c r="Y2444" i="2"/>
  <c r="AB2446" i="2"/>
  <c r="AK2446" i="2" s="1"/>
  <c r="AB2448" i="2"/>
  <c r="AK2448" i="2" s="1"/>
  <c r="AB2452" i="2"/>
  <c r="AK2452" i="2" s="1"/>
  <c r="AB2464" i="2"/>
  <c r="AK2464" i="2" s="1"/>
  <c r="Y2464" i="2"/>
  <c r="AB2466" i="2"/>
  <c r="AK2466" i="2" s="1"/>
  <c r="Y2466" i="2"/>
  <c r="Y2468" i="2"/>
  <c r="AB2472" i="2"/>
  <c r="AK2472" i="2" s="1"/>
  <c r="Y2472" i="2"/>
  <c r="AB2493" i="2"/>
  <c r="AK2493" i="2" s="1"/>
  <c r="Y2493" i="2"/>
  <c r="Y2512" i="2"/>
  <c r="AB2516" i="2"/>
  <c r="AK2516" i="2" s="1"/>
  <c r="Y2516" i="2"/>
  <c r="AB2518" i="2"/>
  <c r="AK2518" i="2" s="1"/>
  <c r="Y2518" i="2"/>
  <c r="Y2520" i="2"/>
  <c r="Y2583" i="2"/>
  <c r="AB2585" i="2"/>
  <c r="AK2585" i="2" s="1"/>
  <c r="Y2585" i="2"/>
  <c r="AB2587" i="2"/>
  <c r="AK2587" i="2" s="1"/>
  <c r="AB2608" i="2"/>
  <c r="AK2608" i="2" s="1"/>
  <c r="Y2616" i="2"/>
  <c r="AB2624" i="2"/>
  <c r="AK2624" i="2" s="1"/>
  <c r="Y2624" i="2"/>
  <c r="AB2645" i="2"/>
  <c r="AK2645" i="2" s="1"/>
  <c r="AB2648" i="2"/>
  <c r="AK2648" i="2" s="1"/>
  <c r="Y2648" i="2"/>
  <c r="R120" i="3"/>
  <c r="T120" i="3" s="1"/>
  <c r="U120" i="3" s="1"/>
  <c r="V120" i="3" s="1"/>
  <c r="AB2656" i="2"/>
  <c r="AK2656" i="2" s="1"/>
  <c r="Y2656" i="2"/>
  <c r="AB2664" i="2"/>
  <c r="AK2664" i="2" s="1"/>
  <c r="Y2664" i="2"/>
  <c r="Y2672" i="2"/>
  <c r="AB2681" i="2"/>
  <c r="AK2681" i="2" s="1"/>
  <c r="Y2681" i="2"/>
  <c r="AB2685" i="2"/>
  <c r="AK2685" i="2" s="1"/>
  <c r="Y2685" i="2"/>
  <c r="AB2689" i="2"/>
  <c r="AK2689" i="2" s="1"/>
  <c r="Y2689" i="2"/>
  <c r="Y2693" i="2"/>
  <c r="AB2704" i="2"/>
  <c r="AK2704" i="2" s="1"/>
  <c r="Y2704" i="2"/>
  <c r="AB46" i="2"/>
  <c r="AK46" i="2" s="1"/>
  <c r="AB270" i="2"/>
  <c r="AK270" i="2" s="1"/>
  <c r="Y632" i="2"/>
  <c r="Y642" i="2"/>
  <c r="Y662" i="2"/>
  <c r="Y688" i="2"/>
  <c r="Y708" i="2"/>
  <c r="Y710" i="2"/>
  <c r="Y742" i="2"/>
  <c r="AB756" i="2"/>
  <c r="AK756" i="2" s="1"/>
  <c r="Y758" i="2"/>
  <c r="AB997" i="2"/>
  <c r="AK997" i="2" s="1"/>
  <c r="AB1001" i="2"/>
  <c r="AK1001" i="2" s="1"/>
  <c r="Y1001" i="2"/>
  <c r="AB1252" i="2"/>
  <c r="AK1252" i="2" s="1"/>
  <c r="AB1254" i="2"/>
  <c r="AK1254" i="2" s="1"/>
  <c r="AB1256" i="2"/>
  <c r="AK1256" i="2" s="1"/>
  <c r="AB1258" i="2"/>
  <c r="AK1258" i="2" s="1"/>
  <c r="AB1262" i="2"/>
  <c r="AK1262" i="2" s="1"/>
  <c r="Y1262" i="2"/>
  <c r="AB1264" i="2"/>
  <c r="AK1264" i="2" s="1"/>
  <c r="Y1266" i="2"/>
  <c r="AB1268" i="2"/>
  <c r="AK1268" i="2" s="1"/>
  <c r="AB1272" i="2"/>
  <c r="AK1272" i="2" s="1"/>
  <c r="AB1274" i="2"/>
  <c r="AK1274" i="2" s="1"/>
  <c r="AB1276" i="2"/>
  <c r="AK1276" i="2" s="1"/>
  <c r="AB1278" i="2"/>
  <c r="AK1278" i="2" s="1"/>
  <c r="AB1280" i="2"/>
  <c r="AK1280" i="2" s="1"/>
  <c r="AB1282" i="2"/>
  <c r="AK1282" i="2" s="1"/>
  <c r="AB1284" i="2"/>
  <c r="AK1284" i="2" s="1"/>
  <c r="AB1286" i="2"/>
  <c r="AK1286" i="2" s="1"/>
  <c r="AB1288" i="2"/>
  <c r="AK1288" i="2" s="1"/>
  <c r="AB1290" i="2"/>
  <c r="AK1290" i="2" s="1"/>
  <c r="AB1292" i="2"/>
  <c r="AK1292" i="2" s="1"/>
  <c r="AB1294" i="2"/>
  <c r="AK1294" i="2" s="1"/>
  <c r="AB1296" i="2"/>
  <c r="AK1296" i="2" s="1"/>
  <c r="AB1298" i="2"/>
  <c r="AK1298" i="2" s="1"/>
  <c r="AB1300" i="2"/>
  <c r="AK1300" i="2" s="1"/>
  <c r="AB1302" i="2"/>
  <c r="AK1302" i="2" s="1"/>
  <c r="AB1304" i="2"/>
  <c r="AK1304" i="2" s="1"/>
  <c r="AB1306" i="2"/>
  <c r="AK1306" i="2" s="1"/>
  <c r="AB1308" i="2"/>
  <c r="AK1308" i="2" s="1"/>
  <c r="AB1310" i="2"/>
  <c r="AK1310" i="2" s="1"/>
  <c r="AB1587" i="2"/>
  <c r="AK1587" i="2" s="1"/>
  <c r="AB1618" i="2"/>
  <c r="AK1618" i="2" s="1"/>
  <c r="AB1620" i="2"/>
  <c r="AK1620" i="2" s="1"/>
  <c r="AB1622" i="2"/>
  <c r="AK1622" i="2" s="1"/>
  <c r="AB1624" i="2"/>
  <c r="AK1624" i="2" s="1"/>
  <c r="AB1626" i="2"/>
  <c r="AK1626" i="2" s="1"/>
  <c r="AB1628" i="2"/>
  <c r="AK1628" i="2" s="1"/>
  <c r="AB1630" i="2"/>
  <c r="AK1630" i="2" s="1"/>
  <c r="AB1632" i="2"/>
  <c r="AK1632" i="2" s="1"/>
  <c r="AB1634" i="2"/>
  <c r="AK1634" i="2" s="1"/>
  <c r="AB1636" i="2"/>
  <c r="AK1636" i="2" s="1"/>
  <c r="AB1638" i="2"/>
  <c r="AK1638" i="2" s="1"/>
  <c r="Y1638" i="2"/>
  <c r="AB1640" i="2"/>
  <c r="AK1640" i="2" s="1"/>
  <c r="Y1640" i="2"/>
  <c r="AB1642" i="2"/>
  <c r="AK1642" i="2" s="1"/>
  <c r="AB1644" i="2"/>
  <c r="AK1644" i="2" s="1"/>
  <c r="AB1646" i="2"/>
  <c r="AK1646" i="2" s="1"/>
  <c r="AB1648" i="2"/>
  <c r="AK1648" i="2" s="1"/>
  <c r="AB1650" i="2"/>
  <c r="AK1650" i="2" s="1"/>
  <c r="AB1652" i="2"/>
  <c r="AK1652" i="2" s="1"/>
  <c r="AB1654" i="2"/>
  <c r="AK1654" i="2" s="1"/>
  <c r="AB1656" i="2"/>
  <c r="AK1656" i="2" s="1"/>
  <c r="AB1658" i="2"/>
  <c r="AK1658" i="2" s="1"/>
  <c r="AB1660" i="2"/>
  <c r="AK1660" i="2" s="1"/>
  <c r="AB1662" i="2"/>
  <c r="AK1662" i="2" s="1"/>
  <c r="AB1664" i="2"/>
  <c r="AK1664" i="2" s="1"/>
  <c r="Y1664" i="2"/>
  <c r="AB1666" i="2"/>
  <c r="AK1666" i="2" s="1"/>
  <c r="Y1666" i="2"/>
  <c r="AB1668" i="2"/>
  <c r="AK1668" i="2" s="1"/>
  <c r="Y1668" i="2"/>
  <c r="AB1670" i="2"/>
  <c r="AK1670" i="2" s="1"/>
  <c r="Y1670" i="2"/>
  <c r="AB1672" i="2"/>
  <c r="AK1672" i="2" s="1"/>
  <c r="Y1672" i="2"/>
  <c r="AB1674" i="2"/>
  <c r="AK1674" i="2" s="1"/>
  <c r="Y1674" i="2"/>
  <c r="Y1676" i="2"/>
  <c r="AB1676" i="2"/>
  <c r="AK1676" i="2" s="1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AC1957" i="2"/>
  <c r="Y1957" i="2"/>
  <c r="Y1959" i="2"/>
  <c r="AB1961" i="2"/>
  <c r="AK1961" i="2" s="1"/>
  <c r="AA1963" i="2"/>
  <c r="AB1963" i="2" s="1"/>
  <c r="AK1963" i="2" s="1"/>
  <c r="Y1963" i="2"/>
  <c r="AB1965" i="2"/>
  <c r="AK1965" i="2" s="1"/>
  <c r="AC1969" i="2"/>
  <c r="AB1969" i="2"/>
  <c r="AK1969" i="2" s="1"/>
  <c r="Y1971" i="2"/>
  <c r="AB1973" i="2"/>
  <c r="AK1973" i="2" s="1"/>
  <c r="AB1975" i="2"/>
  <c r="AK1975" i="2" s="1"/>
  <c r="AB1977" i="2"/>
  <c r="AK1977" i="2" s="1"/>
  <c r="Y1977" i="2"/>
  <c r="AB1981" i="2"/>
  <c r="AK1981" i="2" s="1"/>
  <c r="Y1981" i="2"/>
  <c r="Y1987" i="2"/>
  <c r="Y1989" i="2"/>
  <c r="AB1991" i="2"/>
  <c r="AK1991" i="2" s="1"/>
  <c r="AB1993" i="2"/>
  <c r="AK1993" i="2" s="1"/>
  <c r="Y1993" i="2"/>
  <c r="AB1995" i="2"/>
  <c r="AK1995" i="2" s="1"/>
  <c r="AB1997" i="2"/>
  <c r="AK1997" i="2" s="1"/>
  <c r="Y1999" i="2"/>
  <c r="AB2001" i="2"/>
  <c r="AK2001" i="2" s="1"/>
  <c r="AB2005" i="2"/>
  <c r="AK2005" i="2" s="1"/>
  <c r="AB2007" i="2"/>
  <c r="AK2007" i="2" s="1"/>
  <c r="AC2009" i="2"/>
  <c r="AB2009" i="2"/>
  <c r="AK2009" i="2" s="1"/>
  <c r="Y2009" i="2"/>
  <c r="AB2011" i="2"/>
  <c r="AK2011" i="2" s="1"/>
  <c r="AB2013" i="2"/>
  <c r="AK2013" i="2" s="1"/>
  <c r="Y2013" i="2"/>
  <c r="AB2015" i="2"/>
  <c r="AK2015" i="2" s="1"/>
  <c r="AB2017" i="2"/>
  <c r="AK2017" i="2" s="1"/>
  <c r="Y2017" i="2"/>
  <c r="AB2021" i="2"/>
  <c r="AK2021" i="2" s="1"/>
  <c r="AB2023" i="2"/>
  <c r="AK2023" i="2" s="1"/>
  <c r="Y2023" i="2"/>
  <c r="AB2025" i="2"/>
  <c r="AK2025" i="2" s="1"/>
  <c r="AB2027" i="2"/>
  <c r="AK2027" i="2" s="1"/>
  <c r="AB2029" i="2"/>
  <c r="AK2029" i="2" s="1"/>
  <c r="AC2031" i="2"/>
  <c r="AB2031" i="2"/>
  <c r="AK2031" i="2" s="1"/>
  <c r="Y2031" i="2"/>
  <c r="AB2033" i="2"/>
  <c r="AK2033" i="2" s="1"/>
  <c r="AB2035" i="2"/>
  <c r="AK2035" i="2" s="1"/>
  <c r="Y2035" i="2"/>
  <c r="AA2037" i="2"/>
  <c r="AB2037" i="2" s="1"/>
  <c r="AK2037" i="2" s="1"/>
  <c r="AB2039" i="2"/>
  <c r="AK2039" i="2" s="1"/>
  <c r="AB2041" i="2"/>
  <c r="AK2041" i="2" s="1"/>
  <c r="AB2043" i="2"/>
  <c r="AK2043" i="2" s="1"/>
  <c r="Y2043" i="2"/>
  <c r="AB2045" i="2"/>
  <c r="AK2045" i="2" s="1"/>
  <c r="Y2047" i="2"/>
  <c r="Y2049" i="2"/>
  <c r="AB2051" i="2"/>
  <c r="AK2051" i="2" s="1"/>
  <c r="AB2055" i="2"/>
  <c r="AK2055" i="2" s="1"/>
  <c r="Y2055" i="2"/>
  <c r="AB2057" i="2"/>
  <c r="AK2057" i="2" s="1"/>
  <c r="AB2059" i="2"/>
  <c r="AK2059" i="2" s="1"/>
  <c r="Y2059" i="2"/>
  <c r="AB2366" i="2"/>
  <c r="AK2366" i="2" s="1"/>
  <c r="AB2370" i="2"/>
  <c r="AK2370" i="2" s="1"/>
  <c r="AB2372" i="2"/>
  <c r="AK2372" i="2" s="1"/>
  <c r="Y2372" i="2"/>
  <c r="AB2376" i="2"/>
  <c r="AK2376" i="2" s="1"/>
  <c r="AB2378" i="2"/>
  <c r="AK2378" i="2" s="1"/>
  <c r="AB2380" i="2"/>
  <c r="AK2380" i="2" s="1"/>
  <c r="AB2382" i="2"/>
  <c r="AK2382" i="2" s="1"/>
  <c r="AB2384" i="2"/>
  <c r="AK2384" i="2" s="1"/>
  <c r="AB2386" i="2"/>
  <c r="AK2386" i="2" s="1"/>
  <c r="AB2388" i="2"/>
  <c r="AK2388" i="2" s="1"/>
  <c r="AB2390" i="2"/>
  <c r="AK2390" i="2" s="1"/>
  <c r="AB2392" i="2"/>
  <c r="AK2392" i="2" s="1"/>
  <c r="AB2394" i="2"/>
  <c r="AK2394" i="2" s="1"/>
  <c r="AB2396" i="2"/>
  <c r="AK2396" i="2" s="1"/>
  <c r="AB2398" i="2"/>
  <c r="AK2398" i="2" s="1"/>
  <c r="AB2400" i="2"/>
  <c r="AK2400" i="2" s="1"/>
  <c r="AB2402" i="2"/>
  <c r="AK2402" i="2" s="1"/>
  <c r="AB2404" i="2"/>
  <c r="AK2404" i="2" s="1"/>
  <c r="AB2406" i="2"/>
  <c r="AK2406" i="2" s="1"/>
  <c r="AB2408" i="2"/>
  <c r="AK2408" i="2" s="1"/>
  <c r="Y2416" i="2"/>
  <c r="AB2426" i="2"/>
  <c r="AK2426" i="2" s="1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C2716" i="2"/>
  <c r="AB2716" i="2"/>
  <c r="AK2716" i="2" s="1"/>
  <c r="Y2716" i="2"/>
  <c r="R54" i="3"/>
  <c r="T54" i="3" s="1"/>
  <c r="U54" i="3" s="1"/>
  <c r="V54" i="3" s="1"/>
  <c r="AB2720" i="2"/>
  <c r="AK2720" i="2" s="1"/>
  <c r="Y2720" i="2"/>
  <c r="AB2724" i="2"/>
  <c r="AK2724" i="2" s="1"/>
  <c r="Y2724" i="2"/>
  <c r="AB2726" i="2"/>
  <c r="AK2726" i="2" s="1"/>
  <c r="Y2726" i="2"/>
  <c r="AC1779" i="2"/>
  <c r="AB1779" i="2"/>
  <c r="AK1779" i="2" s="1"/>
  <c r="Y1779" i="2"/>
  <c r="AB4" i="2"/>
  <c r="AK4" i="2" s="1"/>
  <c r="AB22" i="2"/>
  <c r="AK22" i="2" s="1"/>
  <c r="AB92" i="2"/>
  <c r="AK92" i="2" s="1"/>
  <c r="AB135" i="2"/>
  <c r="AK135" i="2" s="1"/>
  <c r="AB137" i="2"/>
  <c r="AK137" i="2" s="1"/>
  <c r="AB139" i="2"/>
  <c r="AK139" i="2" s="1"/>
  <c r="AB141" i="2"/>
  <c r="AK141" i="2" s="1"/>
  <c r="Y141" i="2"/>
  <c r="AB188" i="2"/>
  <c r="AK188" i="2" s="1"/>
  <c r="AB190" i="2"/>
  <c r="AK190" i="2" s="1"/>
  <c r="AB192" i="2"/>
  <c r="AK192" i="2" s="1"/>
  <c r="AB194" i="2"/>
  <c r="AK194" i="2" s="1"/>
  <c r="AB196" i="2"/>
  <c r="AK196" i="2" s="1"/>
  <c r="AB198" i="2"/>
  <c r="AK198" i="2" s="1"/>
  <c r="AB200" i="2"/>
  <c r="AK200" i="2" s="1"/>
  <c r="AB202" i="2"/>
  <c r="AK202" i="2" s="1"/>
  <c r="AB245" i="2"/>
  <c r="AK245" i="2" s="1"/>
  <c r="AB264" i="2"/>
  <c r="AK264" i="2" s="1"/>
  <c r="AB266" i="2"/>
  <c r="AK266" i="2" s="1"/>
  <c r="AB335" i="2"/>
  <c r="AK335" i="2" s="1"/>
  <c r="AB337" i="2"/>
  <c r="AK337" i="2" s="1"/>
  <c r="AB564" i="2"/>
  <c r="AK564" i="2" s="1"/>
  <c r="AB566" i="2"/>
  <c r="AK566" i="2" s="1"/>
  <c r="AB568" i="2"/>
  <c r="AK568" i="2" s="1"/>
  <c r="AB570" i="2"/>
  <c r="AK570" i="2" s="1"/>
  <c r="AB574" i="2"/>
  <c r="AK574" i="2" s="1"/>
  <c r="Y1072" i="2"/>
  <c r="AB1074" i="2"/>
  <c r="AK1074" i="2" s="1"/>
  <c r="AB1076" i="2"/>
  <c r="AK1076" i="2" s="1"/>
  <c r="AB1078" i="2"/>
  <c r="AK1078" i="2" s="1"/>
  <c r="AB1080" i="2"/>
  <c r="AK1080" i="2" s="1"/>
  <c r="Y1084" i="2"/>
  <c r="AB1084" i="2"/>
  <c r="AK1084" i="2" s="1"/>
  <c r="AB1086" i="2"/>
  <c r="AK1086" i="2" s="1"/>
  <c r="Y1088" i="2"/>
  <c r="AB1090" i="2"/>
  <c r="AK1090" i="2" s="1"/>
  <c r="AB1094" i="2"/>
  <c r="AK1094" i="2" s="1"/>
  <c r="AB1096" i="2"/>
  <c r="AK1096" i="2" s="1"/>
  <c r="Y1096" i="2"/>
  <c r="AB1100" i="2"/>
  <c r="AK1100" i="2" s="1"/>
  <c r="Y1100" i="2"/>
  <c r="Y1104" i="2"/>
  <c r="AB1106" i="2"/>
  <c r="AK1106" i="2" s="1"/>
  <c r="AB1108" i="2"/>
  <c r="AK1108" i="2" s="1"/>
  <c r="AB1110" i="2"/>
  <c r="AK1110" i="2" s="1"/>
  <c r="AB1112" i="2"/>
  <c r="AK1112" i="2" s="1"/>
  <c r="AB1116" i="2"/>
  <c r="AK1116" i="2" s="1"/>
  <c r="Y1116" i="2"/>
  <c r="AB1118" i="2"/>
  <c r="AK1118" i="2" s="1"/>
  <c r="Y1120" i="2"/>
  <c r="Y1122" i="2"/>
  <c r="Y1126" i="2"/>
  <c r="Y1130" i="2"/>
  <c r="AB1130" i="2"/>
  <c r="AK1130" i="2" s="1"/>
  <c r="AB1134" i="2"/>
  <c r="AK1134" i="2" s="1"/>
  <c r="Y1134" i="2"/>
  <c r="Y1138" i="2"/>
  <c r="AB1140" i="2"/>
  <c r="AK1140" i="2" s="1"/>
  <c r="AB1142" i="2"/>
  <c r="AK1142" i="2" s="1"/>
  <c r="AB1144" i="2"/>
  <c r="AK1144" i="2" s="1"/>
  <c r="Y1146" i="2"/>
  <c r="AB1150" i="2"/>
  <c r="AK1150" i="2" s="1"/>
  <c r="Y1150" i="2"/>
  <c r="AB1152" i="2"/>
  <c r="AK1152" i="2" s="1"/>
  <c r="Y1154" i="2"/>
  <c r="AB1156" i="2"/>
  <c r="AK1156" i="2" s="1"/>
  <c r="AB1160" i="2"/>
  <c r="AK1160" i="2" s="1"/>
  <c r="AB1162" i="2"/>
  <c r="AK1162" i="2" s="1"/>
  <c r="Y1162" i="2"/>
  <c r="AB1166" i="2"/>
  <c r="AK1166" i="2" s="1"/>
  <c r="Y1166" i="2"/>
  <c r="Y1170" i="2"/>
  <c r="AB1172" i="2"/>
  <c r="AK1172" i="2" s="1"/>
  <c r="AB1174" i="2"/>
  <c r="AK1174" i="2" s="1"/>
  <c r="AB1176" i="2"/>
  <c r="AK1176" i="2" s="1"/>
  <c r="AB1178" i="2"/>
  <c r="AK1178" i="2" s="1"/>
  <c r="AB1184" i="2"/>
  <c r="AK1184" i="2" s="1"/>
  <c r="Y1184" i="2"/>
  <c r="AB1186" i="2"/>
  <c r="AK1186" i="2" s="1"/>
  <c r="AB1188" i="2"/>
  <c r="AK1188" i="2" s="1"/>
  <c r="Y1188" i="2"/>
  <c r="AB1192" i="2"/>
  <c r="AK1192" i="2" s="1"/>
  <c r="Y1192" i="2"/>
  <c r="AB1194" i="2"/>
  <c r="AK1194" i="2" s="1"/>
  <c r="Y1196" i="2"/>
  <c r="AB1196" i="2"/>
  <c r="AK1196" i="2" s="1"/>
  <c r="AB1200" i="2"/>
  <c r="AK1200" i="2" s="1"/>
  <c r="Y1200" i="2"/>
  <c r="AB1202" i="2"/>
  <c r="AK1202" i="2" s="1"/>
  <c r="AB1204" i="2"/>
  <c r="AK1204" i="2" s="1"/>
  <c r="Y1204" i="2"/>
  <c r="AB1208" i="2"/>
  <c r="AK1208" i="2" s="1"/>
  <c r="Y1208" i="2"/>
  <c r="AB1210" i="2"/>
  <c r="AK1210" i="2" s="1"/>
  <c r="AB1212" i="2"/>
  <c r="AK1212" i="2" s="1"/>
  <c r="Y1212" i="2"/>
  <c r="Y1216" i="2"/>
  <c r="Y1218" i="2"/>
  <c r="Y1220" i="2"/>
  <c r="Y1222" i="2"/>
  <c r="AB1224" i="2"/>
  <c r="AK1224" i="2" s="1"/>
  <c r="Y1226" i="2"/>
  <c r="AB1228" i="2"/>
  <c r="AK1228" i="2" s="1"/>
  <c r="Y1228" i="2"/>
  <c r="AB1230" i="2"/>
  <c r="AK1230" i="2" s="1"/>
  <c r="AB1232" i="2"/>
  <c r="AK1232" i="2" s="1"/>
  <c r="Y1232" i="2"/>
  <c r="AB1234" i="2"/>
  <c r="AK1234" i="2" s="1"/>
  <c r="AB1236" i="2"/>
  <c r="AK1236" i="2" s="1"/>
  <c r="AB1238" i="2"/>
  <c r="AK1238" i="2" s="1"/>
  <c r="AB1240" i="2"/>
  <c r="AK1240" i="2" s="1"/>
  <c r="AB1242" i="2"/>
  <c r="AK1242" i="2" s="1"/>
  <c r="AB1244" i="2"/>
  <c r="AK1244" i="2" s="1"/>
  <c r="AB1246" i="2"/>
  <c r="AK1246" i="2" s="1"/>
  <c r="AB1248" i="2"/>
  <c r="AK1248" i="2" s="1"/>
  <c r="AB1250" i="2"/>
  <c r="AK1250" i="2" s="1"/>
  <c r="AB1409" i="2"/>
  <c r="AK1409" i="2" s="1"/>
  <c r="Y1415" i="2"/>
  <c r="AB1441" i="2"/>
  <c r="AK1441" i="2" s="1"/>
  <c r="AB1447" i="2"/>
  <c r="AK1447" i="2" s="1"/>
  <c r="AB1459" i="2"/>
  <c r="AK1459" i="2" s="1"/>
  <c r="AB1461" i="2"/>
  <c r="AK1461" i="2" s="1"/>
  <c r="AB1463" i="2"/>
  <c r="AK1463" i="2" s="1"/>
  <c r="AB1469" i="2"/>
  <c r="AK1469" i="2" s="1"/>
  <c r="AB1483" i="2"/>
  <c r="AK1483" i="2" s="1"/>
  <c r="AB1485" i="2"/>
  <c r="AK1485" i="2" s="1"/>
  <c r="AB1489" i="2"/>
  <c r="AK1489" i="2" s="1"/>
  <c r="AB1491" i="2"/>
  <c r="AK1491" i="2" s="1"/>
  <c r="Y1497" i="2"/>
  <c r="AB1499" i="2"/>
  <c r="AK1499" i="2" s="1"/>
  <c r="AB1511" i="2"/>
  <c r="AK1511" i="2" s="1"/>
  <c r="AB1521" i="2"/>
  <c r="AK1521" i="2" s="1"/>
  <c r="AB1523" i="2"/>
  <c r="AK1523" i="2" s="1"/>
  <c r="Y1523" i="2"/>
  <c r="AB1529" i="2"/>
  <c r="AK1529" i="2" s="1"/>
  <c r="AB1531" i="2"/>
  <c r="AK1531" i="2" s="1"/>
  <c r="AB1547" i="2"/>
  <c r="AK1547" i="2" s="1"/>
  <c r="AB1549" i="2"/>
  <c r="AK1549" i="2" s="1"/>
  <c r="AB1553" i="2"/>
  <c r="AK1553" i="2" s="1"/>
  <c r="Y1557" i="2"/>
  <c r="AB1559" i="2"/>
  <c r="AK1559" i="2" s="1"/>
  <c r="AB1561" i="2"/>
  <c r="AK1561" i="2" s="1"/>
  <c r="AB1579" i="2"/>
  <c r="AK1579" i="2" s="1"/>
  <c r="AB1581" i="2"/>
  <c r="AK1581" i="2" s="1"/>
  <c r="Y1581" i="2"/>
  <c r="AB1602" i="2"/>
  <c r="AK1602" i="2" s="1"/>
  <c r="AB1606" i="2"/>
  <c r="AK1606" i="2" s="1"/>
  <c r="AB1612" i="2"/>
  <c r="AK1612" i="2" s="1"/>
  <c r="AB1693" i="2"/>
  <c r="AK1693" i="2" s="1"/>
  <c r="Y1693" i="2"/>
  <c r="AB1697" i="2"/>
  <c r="AK1697" i="2" s="1"/>
  <c r="AB1699" i="2"/>
  <c r="AK1699" i="2" s="1"/>
  <c r="Y1699" i="2"/>
  <c r="Y1701" i="2"/>
  <c r="Y1707" i="2"/>
  <c r="AB1709" i="2"/>
  <c r="AK1709" i="2" s="1"/>
  <c r="AB1711" i="2"/>
  <c r="AK1711" i="2" s="1"/>
  <c r="Y1711" i="2"/>
  <c r="Y1715" i="2"/>
  <c r="AB1717" i="2"/>
  <c r="AK1717" i="2" s="1"/>
  <c r="AB1721" i="2"/>
  <c r="AK1721" i="2" s="1"/>
  <c r="AB1725" i="2"/>
  <c r="AK1725" i="2" s="1"/>
  <c r="Y1725" i="2"/>
  <c r="AB1727" i="2"/>
  <c r="AK1727" i="2" s="1"/>
  <c r="AB1729" i="2"/>
  <c r="AK1729" i="2" s="1"/>
  <c r="AB1731" i="2"/>
  <c r="AK1731" i="2" s="1"/>
  <c r="Y1735" i="2"/>
  <c r="AB1739" i="2"/>
  <c r="AK1739" i="2" s="1"/>
  <c r="Y1739" i="2"/>
  <c r="AB1743" i="2"/>
  <c r="AK1743" i="2" s="1"/>
  <c r="Y1743" i="2"/>
  <c r="AB1745" i="2"/>
  <c r="AK1745" i="2" s="1"/>
  <c r="Y1751" i="2"/>
  <c r="AB1753" i="2"/>
  <c r="AK1753" i="2" s="1"/>
  <c r="AB1755" i="2"/>
  <c r="AK1755" i="2" s="1"/>
  <c r="AB1757" i="2"/>
  <c r="AK1757" i="2" s="1"/>
  <c r="Y1757" i="2"/>
  <c r="AB1761" i="2"/>
  <c r="AK1761" i="2" s="1"/>
  <c r="Y1765" i="2"/>
  <c r="AB1767" i="2"/>
  <c r="AK1767" i="2" s="1"/>
  <c r="AB1771" i="2"/>
  <c r="AK1771" i="2" s="1"/>
  <c r="Y1771" i="2"/>
  <c r="AB1773" i="2"/>
  <c r="AK1773" i="2" s="1"/>
  <c r="AB1775" i="2"/>
  <c r="AK1775" i="2" s="1"/>
  <c r="AB2326" i="2"/>
  <c r="AK2326" i="2" s="1"/>
  <c r="AB2328" i="2"/>
  <c r="AK2328" i="2" s="1"/>
  <c r="AB2332" i="2"/>
  <c r="AK2332" i="2" s="1"/>
  <c r="Y2332" i="2"/>
  <c r="AB2338" i="2"/>
  <c r="AK2338" i="2" s="1"/>
  <c r="AB2340" i="2"/>
  <c r="AK2340" i="2" s="1"/>
  <c r="AB2346" i="2"/>
  <c r="AK2346" i="2" s="1"/>
  <c r="AB2350" i="2"/>
  <c r="AK2350" i="2" s="1"/>
  <c r="AB2354" i="2"/>
  <c r="AK2354" i="2" s="1"/>
  <c r="Y2354" i="2"/>
  <c r="Y2356" i="2"/>
  <c r="AB2358" i="2"/>
  <c r="AK2358" i="2" s="1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Y2561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H85" i="2"/>
  <c r="AC2313" i="2"/>
  <c r="AC2279" i="2"/>
  <c r="AC2289" i="2"/>
  <c r="AC2167" i="2"/>
  <c r="AC2235" i="2"/>
  <c r="AC2165" i="2"/>
  <c r="O7" i="3"/>
  <c r="O2" i="3"/>
  <c r="O12" i="3"/>
  <c r="R42" i="3"/>
  <c r="T42" i="3" s="1"/>
  <c r="U42" i="3" s="1"/>
  <c r="V42" i="3" s="1"/>
  <c r="AC124" i="2"/>
  <c r="AC649" i="2"/>
  <c r="AC49" i="2"/>
  <c r="AC53" i="2"/>
  <c r="AC57" i="2"/>
  <c r="AC65" i="2"/>
  <c r="AC314" i="2"/>
  <c r="AC74" i="2"/>
  <c r="AC393" i="2"/>
  <c r="AC431" i="2"/>
  <c r="AC477" i="2"/>
  <c r="AC503" i="2"/>
  <c r="AC141" i="2"/>
  <c r="AC409" i="2"/>
  <c r="AC68" i="2"/>
  <c r="AC337" i="2"/>
  <c r="AC598" i="2"/>
  <c r="AC644" i="2"/>
  <c r="AC460" i="2"/>
  <c r="AC518" i="2"/>
  <c r="AC767" i="2"/>
  <c r="AC791" i="2"/>
  <c r="AC861" i="2"/>
  <c r="AC877" i="2"/>
  <c r="AC889" i="2"/>
  <c r="AC895" i="2"/>
  <c r="AC2438" i="2"/>
  <c r="AC2456" i="2"/>
  <c r="AC2464" i="2"/>
  <c r="AC2493" i="2"/>
  <c r="AA2583" i="2"/>
  <c r="AB2583" i="2" s="1"/>
  <c r="AK2583" i="2" s="1"/>
  <c r="AC2645" i="2"/>
  <c r="AC2699" i="2"/>
  <c r="AA1957" i="2"/>
  <c r="AB1957" i="2" s="1"/>
  <c r="AK1957" i="2" s="1"/>
  <c r="AC1959" i="2"/>
  <c r="AC1963" i="2"/>
  <c r="AC1967" i="2"/>
  <c r="AA1971" i="2"/>
  <c r="AB1971" i="2" s="1"/>
  <c r="AK1971" i="2" s="1"/>
  <c r="AC1979" i="2"/>
  <c r="AC1983" i="2"/>
  <c r="AC1985" i="2"/>
  <c r="AC1987" i="2"/>
  <c r="AC1989" i="2"/>
  <c r="AC1999" i="2"/>
  <c r="AC2003" i="2"/>
  <c r="AC2019" i="2"/>
  <c r="AC2037" i="2"/>
  <c r="AC2047" i="2"/>
  <c r="AC2049" i="2"/>
  <c r="AA2053" i="2"/>
  <c r="AB2053" i="2" s="1"/>
  <c r="AK2053" i="2" s="1"/>
  <c r="AH2632" i="2"/>
  <c r="AH2640" i="2"/>
  <c r="AC563" i="2"/>
  <c r="AC569" i="2"/>
  <c r="AC2561" i="2"/>
  <c r="AC2563" i="2"/>
  <c r="AH2635" i="2"/>
  <c r="AC1135" i="2"/>
  <c r="AC1151" i="2"/>
  <c r="AC1159" i="2"/>
  <c r="AC1167" i="2"/>
  <c r="AC1217" i="2"/>
  <c r="AC1402" i="2"/>
  <c r="AC1462" i="2"/>
  <c r="AC1470" i="2"/>
  <c r="AC1478" i="2"/>
  <c r="AC1486" i="2"/>
  <c r="AC1494" i="2"/>
  <c r="AC1504" i="2"/>
  <c r="AC1518" i="2"/>
  <c r="AC1522" i="2"/>
  <c r="AC1526" i="2"/>
  <c r="AC1546" i="2"/>
  <c r="AC1564" i="2"/>
  <c r="AC1582" i="2"/>
  <c r="AC1603" i="2"/>
  <c r="AC1605" i="2"/>
  <c r="AC1609" i="2"/>
  <c r="R10" i="3"/>
  <c r="T10" i="3" s="1"/>
  <c r="U10" i="3" s="1"/>
  <c r="V10" i="3" s="1"/>
  <c r="AC2142" i="2"/>
  <c r="AC2190" i="2"/>
  <c r="AC2206" i="2"/>
  <c r="AC2252" i="2"/>
  <c r="AC2254" i="2"/>
  <c r="AC2270" i="2"/>
  <c r="AC2294" i="2"/>
  <c r="AC2498" i="2"/>
  <c r="AC2541" i="2"/>
  <c r="AC2543" i="2"/>
  <c r="AC2598" i="2"/>
  <c r="AF2638" i="2"/>
  <c r="AC2664" i="2"/>
  <c r="AC824" i="2"/>
  <c r="AF1617" i="2"/>
  <c r="AC2098" i="2"/>
  <c r="AF2126" i="2"/>
  <c r="AH2633" i="2"/>
  <c r="AC702" i="2"/>
  <c r="AF864" i="2"/>
  <c r="AC1318" i="2"/>
  <c r="AC1322" i="2"/>
  <c r="AC1324" i="2"/>
  <c r="AC1326" i="2"/>
  <c r="AC1332" i="2"/>
  <c r="AC1342" i="2"/>
  <c r="AC1350" i="2"/>
  <c r="AC1360" i="2"/>
  <c r="AC1368" i="2"/>
  <c r="AC1370" i="2"/>
  <c r="AC1589" i="2"/>
  <c r="AC1593" i="2"/>
  <c r="AC1595" i="2"/>
  <c r="AC1784" i="2"/>
  <c r="AC1798" i="2"/>
  <c r="AC1812" i="2"/>
  <c r="AC1882" i="2"/>
  <c r="AC1930" i="2"/>
  <c r="AC1946" i="2"/>
  <c r="AC1958" i="2"/>
  <c r="AC1964" i="2"/>
  <c r="AA1972" i="2"/>
  <c r="AB1972" i="2" s="1"/>
  <c r="AK1972" i="2" s="1"/>
  <c r="AC2423" i="2"/>
  <c r="AH2628" i="2"/>
  <c r="AF2636" i="2"/>
  <c r="AC564" i="2"/>
  <c r="AC572" i="2"/>
  <c r="AC1256" i="2"/>
  <c r="AC1278" i="2"/>
  <c r="AC1292" i="2"/>
  <c r="AC1296" i="2"/>
  <c r="AC1300" i="2"/>
  <c r="AC1308" i="2"/>
  <c r="AC1310" i="2"/>
  <c r="AC1654" i="2"/>
  <c r="AC1664" i="2"/>
  <c r="AC1670" i="2"/>
  <c r="AC1678" i="2"/>
  <c r="AC1680" i="2"/>
  <c r="AC1686" i="2"/>
  <c r="AC1690" i="2"/>
  <c r="AC1694" i="2"/>
  <c r="AC1702" i="2"/>
  <c r="AC1710" i="2"/>
  <c r="AC1718" i="2"/>
  <c r="AC1726" i="2"/>
  <c r="AC1734" i="2"/>
  <c r="AC1742" i="2"/>
  <c r="AC1750" i="2"/>
  <c r="AF2361" i="2"/>
  <c r="AC1048" i="2"/>
  <c r="AC1054" i="2"/>
  <c r="AC1058" i="2"/>
  <c r="AC1064" i="2"/>
  <c r="AC1068" i="2"/>
  <c r="AC1070" i="2"/>
  <c r="AC1072" i="2"/>
  <c r="AC1092" i="2"/>
  <c r="AC1094" i="2"/>
  <c r="AC1098" i="2"/>
  <c r="AC1108" i="2"/>
  <c r="AC1118" i="2"/>
  <c r="AC1122" i="2"/>
  <c r="AC1134" i="2"/>
  <c r="AC1138" i="2"/>
  <c r="AC1156" i="2"/>
  <c r="AC1162" i="2"/>
  <c r="AC1180" i="2"/>
  <c r="AC1188" i="2"/>
  <c r="AC1194" i="2"/>
  <c r="AC1202" i="2"/>
  <c r="AC1210" i="2"/>
  <c r="AC1216" i="2"/>
  <c r="AC1218" i="2"/>
  <c r="AC1228" i="2"/>
  <c r="AC1236" i="2"/>
  <c r="AC1244" i="2"/>
  <c r="AC1449" i="2"/>
  <c r="AC1537" i="2"/>
  <c r="AC1577" i="2"/>
  <c r="R13" i="3"/>
  <c r="T13" i="3" s="1"/>
  <c r="U13" i="3" s="1"/>
  <c r="V13" i="3" s="1"/>
  <c r="AC2169" i="2"/>
  <c r="AC2193" i="2"/>
  <c r="O59" i="3"/>
  <c r="O60" i="3"/>
  <c r="O51" i="3"/>
  <c r="AA1985" i="2"/>
  <c r="AB1985" i="2" s="1"/>
  <c r="AK1985" i="2" s="1"/>
  <c r="AA1967" i="2"/>
  <c r="AB1967" i="2" s="1"/>
  <c r="AA1979" i="2"/>
  <c r="AB1979" i="2" s="1"/>
  <c r="AK1979" i="2" s="1"/>
  <c r="AC1953" i="2"/>
  <c r="AC2029" i="2"/>
  <c r="AC1951" i="2"/>
  <c r="AC1919" i="2"/>
  <c r="AC1887" i="2"/>
  <c r="AA1983" i="2"/>
  <c r="AB1983" i="2" s="1"/>
  <c r="AK1983" i="2" s="1"/>
  <c r="AA2047" i="2"/>
  <c r="AB2047" i="2" s="1"/>
  <c r="AK2047" i="2" s="1"/>
  <c r="AA2019" i="2"/>
  <c r="AB2019" i="2" s="1"/>
  <c r="AK2019" i="2" s="1"/>
  <c r="AC1598" i="2"/>
  <c r="AA2003" i="2"/>
  <c r="AB2003" i="2" s="1"/>
  <c r="AK2003" i="2" s="1"/>
  <c r="AC2041" i="2"/>
  <c r="AC1943" i="2"/>
  <c r="AC1911" i="2"/>
  <c r="AA1999" i="2"/>
  <c r="AB1999" i="2" s="1"/>
  <c r="AK1999" i="2" s="1"/>
  <c r="AC2039" i="2"/>
  <c r="AC2011" i="2"/>
  <c r="AC1871" i="2"/>
  <c r="AC1594" i="2"/>
  <c r="AA1959" i="2"/>
  <c r="AB1959" i="2" s="1"/>
  <c r="AK1959" i="2" s="1"/>
  <c r="AC1971" i="2"/>
  <c r="AC1997" i="2"/>
  <c r="AC1935" i="2"/>
  <c r="AC1903" i="2"/>
  <c r="AC1590" i="2"/>
  <c r="AC2055" i="2"/>
  <c r="AA1989" i="2"/>
  <c r="AB1989" i="2" s="1"/>
  <c r="AK1989" i="2" s="1"/>
  <c r="AC2035" i="2"/>
  <c r="AA1987" i="2"/>
  <c r="AB1987" i="2" s="1"/>
  <c r="AK1987" i="2" s="1"/>
  <c r="AC1373" i="2"/>
  <c r="AC2027" i="2"/>
  <c r="AC2059" i="2"/>
  <c r="AC2033" i="2"/>
  <c r="AC1977" i="2"/>
  <c r="AC1927" i="2"/>
  <c r="AC1895" i="2"/>
  <c r="AC1588" i="2"/>
  <c r="AC2712" i="2"/>
  <c r="AC2513" i="2"/>
  <c r="AC2433" i="2"/>
  <c r="AF2625" i="2"/>
  <c r="AC2473" i="2"/>
  <c r="AH2625" i="2"/>
  <c r="AC2471" i="2"/>
  <c r="AC2667" i="2"/>
  <c r="AC2469" i="2"/>
  <c r="AC2606" i="2"/>
  <c r="AC2579" i="2"/>
  <c r="R39" i="3"/>
  <c r="T39" i="3" s="1"/>
  <c r="U39" i="3" s="1"/>
  <c r="V39" i="3" s="1"/>
  <c r="AC2565" i="2"/>
  <c r="AF2619" i="2"/>
  <c r="AF2627" i="2"/>
  <c r="AC2338" i="2"/>
  <c r="AC2336" i="2"/>
  <c r="AC2675" i="2"/>
  <c r="AC2720" i="2"/>
  <c r="AC2582" i="2"/>
  <c r="AC2467" i="2"/>
  <c r="AC2708" i="2"/>
  <c r="AC2652" i="2"/>
  <c r="AC2519" i="2"/>
  <c r="AC2465" i="2"/>
  <c r="AC2445" i="2"/>
  <c r="R40" i="3"/>
  <c r="T40" i="3" s="1"/>
  <c r="U40" i="3" s="1"/>
  <c r="V40" i="3" s="1"/>
  <c r="AC2726" i="2"/>
  <c r="AC2517" i="2"/>
  <c r="AC2463" i="2"/>
  <c r="AC2443" i="2"/>
  <c r="AF2617" i="2"/>
  <c r="AF2641" i="2"/>
  <c r="AF2609" i="2"/>
  <c r="AH2641" i="2"/>
  <c r="AC2660" i="2"/>
  <c r="AC2724" i="2"/>
  <c r="AC2701" i="2"/>
  <c r="AC2515" i="2"/>
  <c r="AC2441" i="2"/>
  <c r="AC1357" i="2"/>
  <c r="AC1319" i="2"/>
  <c r="AC1327" i="2"/>
  <c r="AC1669" i="2"/>
  <c r="AC1717" i="2"/>
  <c r="AC1677" i="2"/>
  <c r="AC2643" i="2"/>
  <c r="AC2577" i="2"/>
  <c r="AC2559" i="2"/>
  <c r="AC2324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39" i="2"/>
  <c r="AC1731" i="2"/>
  <c r="AC1707" i="2"/>
  <c r="AC1699" i="2"/>
  <c r="AC1691" i="2"/>
  <c r="AC1683" i="2"/>
  <c r="AC1675" i="2"/>
  <c r="AC1657" i="2"/>
  <c r="AF2635" i="2"/>
  <c r="AA2561" i="2"/>
  <c r="AB2561" i="2" s="1"/>
  <c r="AK2561" i="2" s="1"/>
  <c r="AC2573" i="2"/>
  <c r="AC2358" i="2"/>
  <c r="AC1649" i="2"/>
  <c r="AC1725" i="2"/>
  <c r="AC2630" i="2"/>
  <c r="AC2571" i="2"/>
  <c r="AC2356" i="2"/>
  <c r="AC1777" i="2"/>
  <c r="AC1769" i="2"/>
  <c r="AC1753" i="2"/>
  <c r="AC1745" i="2"/>
  <c r="AC1737" i="2"/>
  <c r="AC1713" i="2"/>
  <c r="AC1705" i="2"/>
  <c r="AC1689" i="2"/>
  <c r="AC1681" i="2"/>
  <c r="AC1765" i="2"/>
  <c r="AC2677" i="2"/>
  <c r="AC2622" i="2"/>
  <c r="AC2569" i="2"/>
  <c r="AC2350" i="2"/>
  <c r="AC1671" i="2"/>
  <c r="AC1685" i="2"/>
  <c r="AC2614" i="2"/>
  <c r="AC2567" i="2"/>
  <c r="AC2340" i="2"/>
  <c r="AC1775" i="2"/>
  <c r="AC1767" i="2"/>
  <c r="AC1759" i="2"/>
  <c r="AC1735" i="2"/>
  <c r="AC1719" i="2"/>
  <c r="AC1711" i="2"/>
  <c r="AC1703" i="2"/>
  <c r="AC1695" i="2"/>
  <c r="AC1679" i="2"/>
  <c r="R36" i="3"/>
  <c r="T36" i="3" s="1"/>
  <c r="U36" i="3" s="1"/>
  <c r="V36" i="3" s="1"/>
  <c r="AC1365" i="2"/>
  <c r="AC1596" i="2"/>
  <c r="AC1363" i="2"/>
  <c r="AC1323" i="2"/>
  <c r="AC1592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42" i="2"/>
  <c r="AC2326" i="2"/>
  <c r="AC1380" i="2"/>
  <c r="AC1376" i="2"/>
  <c r="AC1374" i="2"/>
  <c r="AC1400" i="2"/>
  <c r="AC1039" i="2"/>
  <c r="AC1396" i="2"/>
  <c r="AC924" i="2"/>
  <c r="AC1018" i="2"/>
  <c r="AC981" i="2"/>
  <c r="AC1375" i="2"/>
  <c r="AC1014" i="2"/>
  <c r="AC1391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362" i="2"/>
  <c r="AC1386" i="2"/>
  <c r="AC1031" i="2"/>
  <c r="AC1384" i="2"/>
  <c r="AC1013" i="2"/>
  <c r="AC1398" i="2"/>
  <c r="AC1382" i="2"/>
  <c r="AC978" i="2"/>
  <c r="AC860" i="2"/>
  <c r="AC1394" i="2"/>
  <c r="AC1378" i="2"/>
  <c r="AC956" i="2"/>
  <c r="AC1369" i="2"/>
  <c r="AC1349" i="2"/>
  <c r="AC2659" i="2"/>
  <c r="AC2388" i="2"/>
  <c r="R49" i="3"/>
  <c r="T49" i="3" s="1"/>
  <c r="U49" i="3" s="1"/>
  <c r="V49" i="3" s="1"/>
  <c r="AC2404" i="2"/>
  <c r="AC2619" i="2"/>
  <c r="AC2380" i="2"/>
  <c r="AC2" i="2"/>
  <c r="AC2504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06" i="2"/>
  <c r="AC2398" i="2"/>
  <c r="AC2390" i="2"/>
  <c r="AC2382" i="2"/>
  <c r="AC2374" i="2"/>
  <c r="AC2364" i="2"/>
  <c r="AC1215" i="2"/>
  <c r="AC1189" i="2"/>
  <c r="AC2703" i="2"/>
  <c r="AC2439" i="2"/>
  <c r="AC2680" i="2"/>
  <c r="AC2651" i="2"/>
  <c r="AC2611" i="2"/>
  <c r="AC2489" i="2"/>
  <c r="AC2418" i="2"/>
  <c r="AC2402" i="2"/>
  <c r="AC2394" i="2"/>
  <c r="AC2386" i="2"/>
  <c r="AC2378" i="2"/>
  <c r="AC2370" i="2"/>
  <c r="AA1219" i="2"/>
  <c r="AB1219" i="2" s="1"/>
  <c r="AK1219" i="2" s="1"/>
  <c r="AF2640" i="2"/>
  <c r="AC2437" i="2"/>
  <c r="AC1714" i="2"/>
  <c r="AC2435" i="2"/>
  <c r="AC2692" i="2"/>
  <c r="AC2674" i="2"/>
  <c r="AC2487" i="2"/>
  <c r="AC2424" i="2"/>
  <c r="AC2400" i="2"/>
  <c r="AC2392" i="2"/>
  <c r="AC2384" i="2"/>
  <c r="AC2376" i="2"/>
  <c r="AC2366" i="2"/>
  <c r="AC157" i="2"/>
  <c r="AC703" i="2"/>
  <c r="AC2511" i="2"/>
  <c r="AC2413" i="2"/>
  <c r="AC2381" i="2"/>
  <c r="AC2678" i="2"/>
  <c r="AC2492" i="2"/>
  <c r="AC2403" i="2"/>
  <c r="AC2369" i="2"/>
  <c r="R45" i="3"/>
  <c r="T45" i="3" s="1"/>
  <c r="U45" i="3" s="1"/>
  <c r="V45" i="3" s="1"/>
  <c r="AC2644" i="2"/>
  <c r="AC2486" i="2"/>
  <c r="AC2397" i="2"/>
  <c r="AC2361" i="2"/>
  <c r="AC2639" i="2"/>
  <c r="AC2427" i="2"/>
  <c r="AC2395" i="2"/>
  <c r="AC2623" i="2"/>
  <c r="AC2421" i="2"/>
  <c r="AC2389" i="2"/>
  <c r="AC983" i="2"/>
  <c r="AC893" i="2"/>
  <c r="AC845" i="2"/>
  <c r="AC923" i="2"/>
  <c r="AC535" i="2"/>
  <c r="AC669" i="2"/>
  <c r="AC2690" i="2"/>
  <c r="AH2636" i="2"/>
  <c r="AC2507" i="2"/>
  <c r="AC2425" i="2"/>
  <c r="AC2409" i="2"/>
  <c r="AC2385" i="2"/>
  <c r="AC2367" i="2"/>
  <c r="AA1218" i="2"/>
  <c r="AB1218" i="2" s="1"/>
  <c r="AK1218" i="2" s="1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AC885" i="2"/>
  <c r="AC871" i="2"/>
  <c r="AC1010" i="2"/>
  <c r="AC971" i="2"/>
  <c r="AC851" i="2"/>
  <c r="AC551" i="2"/>
  <c r="AC691" i="2"/>
  <c r="AC1523" i="2"/>
  <c r="AC1507" i="2"/>
  <c r="AC1411" i="2"/>
  <c r="AA1216" i="2"/>
  <c r="AB1216" i="2" s="1"/>
  <c r="AK1216" i="2" s="1"/>
  <c r="AC1541" i="2"/>
  <c r="AC1525" i="2"/>
  <c r="AC1517" i="2"/>
  <c r="AC1515" i="2"/>
  <c r="AC1567" i="2"/>
  <c r="AC1485" i="2"/>
  <c r="AC673" i="2"/>
  <c r="AC1419" i="2"/>
  <c r="AC1493" i="2"/>
  <c r="AC1401" i="2"/>
  <c r="AC1246" i="2"/>
  <c r="AC1477" i="2"/>
  <c r="AC1232" i="2"/>
  <c r="AC1461" i="2"/>
  <c r="AC1230" i="2"/>
  <c r="AC1543" i="2"/>
  <c r="AC1509" i="2"/>
  <c r="AC1453" i="2"/>
  <c r="AC1222" i="2"/>
  <c r="AC1738" i="2"/>
  <c r="AC2300" i="2"/>
  <c r="AC1704" i="2"/>
  <c r="AC1666" i="2"/>
  <c r="AC1766" i="2"/>
  <c r="AC1220" i="2"/>
  <c r="AC1758" i="2"/>
  <c r="AC1662" i="2"/>
  <c r="AH2614" i="2"/>
  <c r="AA2048" i="2"/>
  <c r="AB2048" i="2" s="1"/>
  <c r="AK2048" i="2" s="1"/>
  <c r="R3" i="3"/>
  <c r="T3" i="3" s="1"/>
  <c r="U3" i="3" s="1"/>
  <c r="V3" i="3" s="1"/>
  <c r="AC1196" i="2"/>
  <c r="AC1778" i="2"/>
  <c r="AC1728" i="2"/>
  <c r="AC1660" i="2"/>
  <c r="AC1624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AB1978" i="2" s="1"/>
  <c r="R4" i="3"/>
  <c r="T4" i="3" s="1"/>
  <c r="U4" i="3" s="1"/>
  <c r="V4" i="3" s="1"/>
  <c r="AC1970" i="2"/>
  <c r="AC1990" i="2"/>
  <c r="AA1990" i="2"/>
  <c r="AB1990" i="2" s="1"/>
  <c r="AC1996" i="2"/>
  <c r="AC2002" i="2"/>
  <c r="AC2008" i="2"/>
  <c r="AC1972" i="2"/>
  <c r="AC1348" i="2"/>
  <c r="AC1352" i="2"/>
  <c r="AA1352" i="2"/>
  <c r="AB1352" i="2" s="1"/>
  <c r="AC1854" i="2"/>
  <c r="AC1976" i="2"/>
  <c r="AA1982" i="2"/>
  <c r="AB1982" i="2" s="1"/>
  <c r="AC1988" i="2"/>
  <c r="AC2010" i="2"/>
  <c r="AA1964" i="2"/>
  <c r="AB1964" i="2" s="1"/>
  <c r="AK1964" i="2" s="1"/>
  <c r="AF1398" i="2"/>
  <c r="AC1780" i="2"/>
  <c r="AC1840" i="2"/>
  <c r="AC1986" i="2"/>
  <c r="AA1992" i="2"/>
  <c r="AB1992" i="2" s="1"/>
  <c r="AK1992" i="2" s="1"/>
  <c r="AC1992" i="2"/>
  <c r="AC2685" i="2"/>
  <c r="AC2276" i="2"/>
  <c r="AC2212" i="2"/>
  <c r="AC2148" i="2"/>
  <c r="AC2166" i="2"/>
  <c r="AC2596" i="2"/>
  <c r="AC2316" i="2"/>
  <c r="AC2188" i="2"/>
  <c r="AC2078" i="2"/>
  <c r="V2728" i="2"/>
  <c r="AD2728" i="2" s="1"/>
  <c r="AC2016" i="2"/>
  <c r="AC2020" i="2"/>
  <c r="AC2024" i="2"/>
  <c r="AC2026" i="2"/>
  <c r="AC2028" i="2"/>
  <c r="AC2036" i="2"/>
  <c r="AC2052" i="2"/>
  <c r="AC2060" i="2"/>
  <c r="AC2068" i="2"/>
  <c r="AC2076" i="2"/>
  <c r="AC2082" i="2"/>
  <c r="AC2084" i="2"/>
  <c r="AC2086" i="2"/>
  <c r="AC2092" i="2"/>
  <c r="AC2094" i="2"/>
  <c r="AC2102" i="2"/>
  <c r="AC2104" i="2"/>
  <c r="AC2106" i="2"/>
  <c r="AC2112" i="2"/>
  <c r="AC2114" i="2"/>
  <c r="AC2116" i="2"/>
  <c r="AC2122" i="2"/>
  <c r="AC2124" i="2"/>
  <c r="AC2128" i="2"/>
  <c r="AC2130" i="2"/>
  <c r="AC2132" i="2"/>
  <c r="AC2136" i="2"/>
  <c r="AC2138" i="2"/>
  <c r="AC2144" i="2"/>
  <c r="AC2146" i="2"/>
  <c r="AC2152" i="2"/>
  <c r="AC2154" i="2"/>
  <c r="AC2160" i="2"/>
  <c r="AC2162" i="2"/>
  <c r="AC2168" i="2"/>
  <c r="AC2170" i="2"/>
  <c r="AC2176" i="2"/>
  <c r="AC2178" i="2"/>
  <c r="AC2184" i="2"/>
  <c r="AC2186" i="2"/>
  <c r="AC2192" i="2"/>
  <c r="AC2194" i="2"/>
  <c r="AC2200" i="2"/>
  <c r="AC2202" i="2"/>
  <c r="AC2208" i="2"/>
  <c r="AC2210" i="2"/>
  <c r="AC2216" i="2"/>
  <c r="AC2218" i="2"/>
  <c r="AC2224" i="2"/>
  <c r="AC2226" i="2"/>
  <c r="AC2232" i="2"/>
  <c r="AC2234" i="2"/>
  <c r="AC2240" i="2"/>
  <c r="AC2242" i="2"/>
  <c r="AC2248" i="2"/>
  <c r="AC2250" i="2"/>
  <c r="AC2256" i="2"/>
  <c r="AC2258" i="2"/>
  <c r="AC2264" i="2"/>
  <c r="AC2266" i="2"/>
  <c r="AC2272" i="2"/>
  <c r="AC2274" i="2"/>
  <c r="AC2280" i="2"/>
  <c r="AC2282" i="2"/>
  <c r="AC2288" i="2"/>
  <c r="AC2290" i="2"/>
  <c r="AC2296" i="2"/>
  <c r="R12" i="3"/>
  <c r="T12" i="3" s="1"/>
  <c r="U12" i="3" s="1"/>
  <c r="V12" i="3" s="1"/>
  <c r="AC2298" i="2"/>
  <c r="AC2304" i="2"/>
  <c r="AC2306" i="2"/>
  <c r="AC2312" i="2"/>
  <c r="AC2314" i="2"/>
  <c r="AC2320" i="2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C2479" i="2"/>
  <c r="AF2483" i="2"/>
  <c r="AF2500" i="2"/>
  <c r="AC2523" i="2"/>
  <c r="AC2529" i="2"/>
  <c r="AC2531" i="2"/>
  <c r="AC2537" i="2"/>
  <c r="AC2539" i="2"/>
  <c r="AC2545" i="2"/>
  <c r="AC2547" i="2"/>
  <c r="AC2553" i="2"/>
  <c r="AC2555" i="2"/>
  <c r="AF2557" i="2"/>
  <c r="AF2559" i="2"/>
  <c r="AF2563" i="2"/>
  <c r="AF2565" i="2"/>
  <c r="AF2567" i="2"/>
  <c r="AF2571" i="2"/>
  <c r="AF2573" i="2"/>
  <c r="AF2575" i="2"/>
  <c r="AF2579" i="2"/>
  <c r="AC2592" i="2"/>
  <c r="AC2594" i="2"/>
  <c r="AC2600" i="2"/>
  <c r="AC2602" i="2"/>
  <c r="AH2606" i="2"/>
  <c r="AF2606" i="2"/>
  <c r="AC2617" i="2"/>
  <c r="AF2622" i="2"/>
  <c r="AH2622" i="2"/>
  <c r="AH2630" i="2"/>
  <c r="AF2630" i="2"/>
  <c r="AH2638" i="2"/>
  <c r="AC2646" i="2"/>
  <c r="AC2672" i="2"/>
  <c r="AC2681" i="2"/>
  <c r="AC2693" i="2"/>
  <c r="AC2704" i="2"/>
  <c r="AA2032" i="2"/>
  <c r="AB2032" i="2" s="1"/>
  <c r="AK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1774" i="2"/>
  <c r="AC1756" i="2"/>
  <c r="AC1746" i="2"/>
  <c r="AC1736" i="2"/>
  <c r="AC1712" i="2"/>
  <c r="AC1688" i="2"/>
  <c r="AC1642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X86" i="2"/>
  <c r="Y86" i="2" s="1"/>
  <c r="AH86" i="2"/>
  <c r="W86" i="2"/>
  <c r="R7" i="3"/>
  <c r="T7" i="3" s="1"/>
  <c r="U7" i="3" s="1"/>
  <c r="V7" i="3" s="1"/>
  <c r="R38" i="3"/>
  <c r="T38" i="3" s="1"/>
  <c r="U38" i="3" s="1"/>
  <c r="V38" i="3" s="1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U15" i="3" s="1"/>
  <c r="V15" i="3" s="1"/>
  <c r="AC1150" i="2"/>
  <c r="AC2040" i="2"/>
  <c r="AC2000" i="2"/>
  <c r="AC1019" i="2"/>
  <c r="AC916" i="2"/>
  <c r="AC1247" i="2"/>
  <c r="AA11" i="2"/>
  <c r="AB11" i="2" s="1"/>
  <c r="AK11" i="2" s="1"/>
  <c r="AC269" i="2"/>
  <c r="AC1198" i="2"/>
  <c r="AC1132" i="2"/>
  <c r="AC858" i="2"/>
  <c r="AC771" i="2"/>
  <c r="AC18" i="2"/>
  <c r="R20" i="3"/>
  <c r="T20" i="3" s="1"/>
  <c r="U20" i="3" s="1"/>
  <c r="V20" i="3" s="1"/>
  <c r="AC1032" i="2"/>
  <c r="AC933" i="2"/>
  <c r="AC905" i="2"/>
  <c r="AC1224" i="2"/>
  <c r="AC1966" i="2"/>
  <c r="AC1846" i="2"/>
  <c r="AC1822" i="2"/>
  <c r="AC968" i="2"/>
  <c r="AC1673" i="2"/>
  <c r="AC1661" i="2"/>
  <c r="AC687" i="2"/>
  <c r="AC1086" i="2"/>
  <c r="AC2616" i="2"/>
  <c r="AC1008" i="2"/>
  <c r="AC911" i="2"/>
  <c r="AC1100" i="2"/>
  <c r="AC1029" i="2"/>
  <c r="AC964" i="2"/>
  <c r="AC904" i="2"/>
  <c r="AC2585" i="2"/>
  <c r="R19" i="3"/>
  <c r="T19" i="3" s="1"/>
  <c r="U19" i="3" s="1"/>
  <c r="V19" i="3" s="1"/>
  <c r="R23" i="3"/>
  <c r="T23" i="3" s="1"/>
  <c r="U23" i="3" s="1"/>
  <c r="V23" i="3" s="1"/>
  <c r="AC1046" i="2"/>
  <c r="AC1038" i="2"/>
  <c r="AC1022" i="2"/>
  <c r="AC1240" i="2"/>
  <c r="AC1011" i="2"/>
  <c r="AC940" i="2"/>
  <c r="AC820" i="2"/>
  <c r="AC2468" i="2"/>
  <c r="AC1239" i="2"/>
  <c r="AC1613" i="2"/>
  <c r="AC985" i="2"/>
  <c r="AC975" i="2"/>
  <c r="AC921" i="2"/>
  <c r="AC903" i="2"/>
  <c r="AC875" i="2"/>
  <c r="AC1182" i="2"/>
  <c r="AC1007" i="2"/>
  <c r="AC932" i="2"/>
  <c r="AC814" i="2"/>
  <c r="AC2430" i="2"/>
  <c r="AC1082" i="2"/>
  <c r="AC1037" i="2"/>
  <c r="AC988" i="2"/>
  <c r="AC942" i="2"/>
  <c r="AC894" i="2"/>
  <c r="AC1229" i="2"/>
  <c r="Y1229" i="2" s="1"/>
  <c r="AC1293" i="2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C1572" i="2"/>
  <c r="AF2141" i="2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C534" i="2"/>
  <c r="AC1052" i="2"/>
  <c r="AC1140" i="2"/>
  <c r="AC1204" i="2"/>
  <c r="AC1214" i="2"/>
  <c r="AC1336" i="2"/>
  <c r="AC1788" i="2"/>
  <c r="AC1834" i="2"/>
  <c r="AC1980" i="2"/>
  <c r="AC1998" i="2"/>
  <c r="AC2006" i="2"/>
  <c r="AC2022" i="2"/>
  <c r="AC2030" i="2"/>
  <c r="AC2044" i="2"/>
  <c r="AC2090" i="2"/>
  <c r="AC2108" i="2"/>
  <c r="AC1238" i="2"/>
  <c r="AC1248" i="2"/>
  <c r="AC1632" i="2"/>
  <c r="R14" i="3"/>
  <c r="T14" i="3" s="1"/>
  <c r="U14" i="3" s="1"/>
  <c r="V14" i="3" s="1"/>
  <c r="AC1178" i="2"/>
  <c r="AC1114" i="2"/>
  <c r="AC1076" i="2"/>
  <c r="AC1826" i="2"/>
  <c r="AC1792" i="2"/>
  <c r="AC1346" i="2"/>
  <c r="AC2448" i="2"/>
  <c r="AC1550" i="2"/>
  <c r="AC1056" i="2"/>
  <c r="AC937" i="2"/>
  <c r="AC913" i="2"/>
  <c r="AC883" i="2"/>
  <c r="AC855" i="2"/>
  <c r="AC1190" i="2"/>
  <c r="AC1806" i="2"/>
  <c r="AC1174" i="2"/>
  <c r="AC1142" i="2"/>
  <c r="AC1090" i="2"/>
  <c r="AC1338" i="2"/>
  <c r="AC1540" i="2"/>
  <c r="AC1426" i="2"/>
  <c r="AC547" i="2"/>
  <c r="AC1212" i="2"/>
  <c r="AC1124" i="2"/>
  <c r="AC784" i="2"/>
  <c r="AC1776" i="2"/>
  <c r="AC1768" i="2"/>
  <c r="AC1760" i="2"/>
  <c r="AC1752" i="2"/>
  <c r="AC2557" i="2"/>
  <c r="AC2354" i="2"/>
  <c r="AC950" i="2"/>
  <c r="AC906" i="2"/>
  <c r="AC285" i="2"/>
  <c r="AC1261" i="2"/>
  <c r="AC688" i="2"/>
  <c r="AC1408" i="2"/>
  <c r="AC1414" i="2"/>
  <c r="AC1424" i="2"/>
  <c r="AC1432" i="2"/>
  <c r="AC1438" i="2"/>
  <c r="AC1442" i="2"/>
  <c r="AC1454" i="2"/>
  <c r="AC1458" i="2"/>
  <c r="AC1502" i="2"/>
  <c r="AC1514" i="2"/>
  <c r="AC1524" i="2"/>
  <c r="AC1530" i="2"/>
  <c r="AC1534" i="2"/>
  <c r="AC1536" i="2"/>
  <c r="AC1538" i="2"/>
  <c r="AC1548" i="2"/>
  <c r="AC1554" i="2"/>
  <c r="AC1562" i="2"/>
  <c r="AC1566" i="2"/>
  <c r="AC1570" i="2"/>
  <c r="AC1578" i="2"/>
  <c r="AC1580" i="2"/>
  <c r="AC1607" i="2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61" i="2"/>
  <c r="AF2267" i="2"/>
  <c r="AF2293" i="2"/>
  <c r="AF2303" i="2"/>
  <c r="AC2432" i="2"/>
  <c r="AC2440" i="2"/>
  <c r="AC2442" i="2"/>
  <c r="AC2446" i="2"/>
  <c r="AC2450" i="2"/>
  <c r="AC2466" i="2"/>
  <c r="AC901" i="2"/>
  <c r="AC867" i="2"/>
  <c r="AC833" i="2"/>
  <c r="AC540" i="2"/>
  <c r="AC830" i="2"/>
  <c r="AC1542" i="2"/>
  <c r="AC1456" i="2"/>
  <c r="AC522" i="2"/>
  <c r="AC480" i="2"/>
  <c r="AC482" i="2"/>
  <c r="AC508" i="2"/>
  <c r="AC532" i="2"/>
  <c r="AC542" i="2"/>
  <c r="AC552" i="2"/>
  <c r="AC562" i="2"/>
  <c r="AC1078" i="2"/>
  <c r="AC1106" i="2"/>
  <c r="AC1116" i="2"/>
  <c r="AC1126" i="2"/>
  <c r="AC1130" i="2"/>
  <c r="AC1148" i="2"/>
  <c r="AC1154" i="2"/>
  <c r="AC1166" i="2"/>
  <c r="AC1172" i="2"/>
  <c r="AC1186" i="2"/>
  <c r="AC1192" i="2"/>
  <c r="AC1200" i="2"/>
  <c r="AC1208" i="2"/>
  <c r="AC1226" i="2"/>
  <c r="AC1312" i="2"/>
  <c r="AC1320" i="2"/>
  <c r="AC1328" i="2"/>
  <c r="AC1334" i="2"/>
  <c r="AC1340" i="2"/>
  <c r="AC1344" i="2"/>
  <c r="AC1358" i="2"/>
  <c r="AC1366" i="2"/>
  <c r="AC1372" i="2"/>
  <c r="AF1374" i="2"/>
  <c r="AF1378" i="2"/>
  <c r="AF1382" i="2"/>
  <c r="AF1388" i="2"/>
  <c r="AF1394" i="2"/>
  <c r="AF1396" i="2"/>
  <c r="AC1591" i="2"/>
  <c r="AC1597" i="2"/>
  <c r="AC1599" i="2"/>
  <c r="AC1782" i="2"/>
  <c r="AC1790" i="2"/>
  <c r="AC1800" i="2"/>
  <c r="AC1804" i="2"/>
  <c r="AC1808" i="2"/>
  <c r="AC1824" i="2"/>
  <c r="AC253" i="2"/>
  <c r="AC259" i="2"/>
  <c r="AC803" i="2"/>
  <c r="AC811" i="2"/>
  <c r="AC831" i="2"/>
  <c r="AC839" i="2"/>
  <c r="AC849" i="2"/>
  <c r="AC857" i="2"/>
  <c r="AC865" i="2"/>
  <c r="AC873" i="2"/>
  <c r="AC881" i="2"/>
  <c r="AC887" i="2"/>
  <c r="AC899" i="2"/>
  <c r="AC917" i="2"/>
  <c r="AC927" i="2"/>
  <c r="AC1234" i="2"/>
  <c r="AC1242" i="2"/>
  <c r="AC1250" i="2"/>
  <c r="AC1282" i="2"/>
  <c r="AC1288" i="2"/>
  <c r="AC1294" i="2"/>
  <c r="AC1298" i="2"/>
  <c r="AC1304" i="2"/>
  <c r="AC698" i="2"/>
  <c r="R22" i="3"/>
  <c r="T22" i="3" s="1"/>
  <c r="U22" i="3" s="1"/>
  <c r="V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1508" i="2"/>
  <c r="AC1306" i="2"/>
  <c r="AC1260" i="2"/>
  <c r="AC795" i="2"/>
  <c r="AC267" i="2"/>
  <c r="AC528" i="2"/>
  <c r="AC786" i="2"/>
  <c r="AC1558" i="2"/>
  <c r="AC1532" i="2"/>
  <c r="AC417" i="2"/>
  <c r="AC481" i="2"/>
  <c r="AC531" i="2"/>
  <c r="AC537" i="2"/>
  <c r="AC539" i="2"/>
  <c r="AC543" i="2"/>
  <c r="AC549" i="2"/>
  <c r="AC555" i="2"/>
  <c r="AC561" i="2"/>
  <c r="AC780" i="2"/>
  <c r="AC828" i="2"/>
  <c r="AC850" i="2"/>
  <c r="AC878" i="2"/>
  <c r="AC886" i="2"/>
  <c r="AC892" i="2"/>
  <c r="AC896" i="2"/>
  <c r="AC898" i="2"/>
  <c r="AC908" i="2"/>
  <c r="AC910" i="2"/>
  <c r="AC912" i="2"/>
  <c r="AC918" i="2"/>
  <c r="AC922" i="2"/>
  <c r="AC2472" i="2"/>
  <c r="AF2478" i="2"/>
  <c r="AF2499" i="2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C1622" i="2"/>
  <c r="AC1628" i="2"/>
  <c r="AC1638" i="2"/>
  <c r="AC1668" i="2"/>
  <c r="AC1676" i="2"/>
  <c r="AC1684" i="2"/>
  <c r="AC1692" i="2"/>
  <c r="AC1700" i="2"/>
  <c r="AC1708" i="2"/>
  <c r="AC1716" i="2"/>
  <c r="AC1724" i="2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C1173" i="2"/>
  <c r="AC928" i="2"/>
  <c r="AC936" i="2"/>
  <c r="AC948" i="2"/>
  <c r="AC954" i="2"/>
  <c r="AC966" i="2"/>
  <c r="AC972" i="2"/>
  <c r="AC982" i="2"/>
  <c r="AC990" i="2"/>
  <c r="AC1017" i="2"/>
  <c r="AC1023" i="2"/>
  <c r="AC1035" i="2"/>
  <c r="AC1043" i="2"/>
  <c r="AC1241" i="2"/>
  <c r="AC1251" i="2"/>
  <c r="AC1367" i="2"/>
  <c r="AC1341" i="2"/>
  <c r="AC1325" i="2"/>
  <c r="AC1315" i="2"/>
  <c r="AC1267" i="2"/>
  <c r="AC1355" i="2"/>
  <c r="AC1333" i="2"/>
  <c r="AC1311" i="2"/>
  <c r="AC1303" i="2"/>
  <c r="AC1263" i="2"/>
  <c r="AC1331" i="2"/>
  <c r="AC1321" i="2"/>
  <c r="AC1273" i="2"/>
  <c r="AC1253" i="2"/>
  <c r="AC1430" i="2"/>
  <c r="AC1444" i="2"/>
  <c r="AC1500" i="2"/>
  <c r="AC1510" i="2"/>
  <c r="AC1556" i="2"/>
  <c r="AC1574" i="2"/>
  <c r="AF1663" i="2"/>
  <c r="AC991" i="2"/>
  <c r="AC554" i="2"/>
  <c r="AC530" i="2"/>
  <c r="AC804" i="2"/>
  <c r="AC520" i="2"/>
  <c r="AC501" i="2"/>
  <c r="AC428" i="2"/>
  <c r="AC450" i="2"/>
  <c r="AC496" i="2"/>
  <c r="AC498" i="2"/>
  <c r="AC510" i="2"/>
  <c r="AC526" i="2"/>
  <c r="AC538" i="2"/>
  <c r="AC548" i="2"/>
  <c r="AC558" i="2"/>
  <c r="AC1050" i="2"/>
  <c r="AC1062" i="2"/>
  <c r="AC1084" i="2"/>
  <c r="AC1102" i="2"/>
  <c r="AC1264" i="2"/>
  <c r="AC1316" i="2"/>
  <c r="AC1362" i="2"/>
  <c r="AF1386" i="2"/>
  <c r="AC1786" i="2"/>
  <c r="AC1794" i="2"/>
  <c r="AC1802" i="2"/>
  <c r="AC1810" i="2"/>
  <c r="AC1820" i="2"/>
  <c r="AC550" i="2"/>
  <c r="AC1005" i="2"/>
  <c r="AC606" i="2"/>
  <c r="AC818" i="2"/>
  <c r="AC798" i="2"/>
  <c r="AC449" i="2"/>
  <c r="AC245" i="2"/>
  <c r="AC560" i="2"/>
  <c r="AC546" i="2"/>
  <c r="AC999" i="2"/>
  <c r="AC584" i="2"/>
  <c r="AC816" i="2"/>
  <c r="AC796" i="2"/>
  <c r="AC492" i="2"/>
  <c r="AC410" i="2"/>
  <c r="AC418" i="2"/>
  <c r="AC488" i="2"/>
  <c r="AC351" i="2"/>
  <c r="AC375" i="2"/>
  <c r="AC423" i="2"/>
  <c r="AC445" i="2"/>
  <c r="AC473" i="2"/>
  <c r="AC525" i="2"/>
  <c r="AC888" i="2"/>
  <c r="AC902" i="2"/>
  <c r="AC914" i="2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50" i="2"/>
  <c r="AC1412" i="2"/>
  <c r="AC1420" i="2"/>
  <c r="AC1428" i="2"/>
  <c r="AC1436" i="2"/>
  <c r="AC1452" i="2"/>
  <c r="AC1512" i="2"/>
  <c r="AC1520" i="2"/>
  <c r="AC1528" i="2"/>
  <c r="AC1544" i="2"/>
  <c r="AC1552" i="2"/>
  <c r="AC1560" i="2"/>
  <c r="AC1568" i="2"/>
  <c r="AC1576" i="2"/>
  <c r="AC1584" i="2"/>
  <c r="AC1615" i="2"/>
  <c r="AF2119" i="2"/>
  <c r="AF2129" i="2"/>
  <c r="AF2147" i="2"/>
  <c r="AF2165" i="2"/>
  <c r="AF2183" i="2"/>
  <c r="AF2193" i="2"/>
  <c r="AF2211" i="2"/>
  <c r="AF2229" i="2"/>
  <c r="AF2247" i="2"/>
  <c r="AF2273" i="2"/>
  <c r="AF2289" i="2"/>
  <c r="AF2315" i="2"/>
  <c r="AC2436" i="2"/>
  <c r="AC2444" i="2"/>
  <c r="AC2452" i="2"/>
  <c r="AC2470" i="2"/>
  <c r="AF2474" i="2"/>
  <c r="AF2497" i="2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794" i="2"/>
  <c r="AC774" i="2"/>
  <c r="AC264" i="2"/>
  <c r="AC1446" i="2"/>
  <c r="AC1418" i="2"/>
  <c r="AC303" i="2"/>
  <c r="AC301" i="2"/>
  <c r="AC78" i="2"/>
  <c r="AF504" i="2"/>
  <c r="AC1274" i="2"/>
  <c r="AC1280" i="2"/>
  <c r="AC1284" i="2"/>
  <c r="AC1302" i="2"/>
  <c r="AC993" i="2"/>
  <c r="AC760" i="2"/>
  <c r="AC752" i="2"/>
  <c r="AC744" i="2"/>
  <c r="AC736" i="2"/>
  <c r="AC728" i="2"/>
  <c r="AC712" i="2"/>
  <c r="AC704" i="2"/>
  <c r="AC612" i="2"/>
  <c r="AC592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C226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790" i="2"/>
  <c r="AC778" i="2"/>
  <c r="AC1506" i="2"/>
  <c r="AC1460" i="2"/>
  <c r="AC1450" i="2"/>
  <c r="AC1404" i="2"/>
  <c r="AC349" i="2"/>
  <c r="AC379" i="2"/>
  <c r="AC401" i="2"/>
  <c r="AC266" i="2"/>
  <c r="AF1093" i="2"/>
  <c r="AC1235" i="2"/>
  <c r="AC1243" i="2"/>
  <c r="AC415" i="2"/>
  <c r="AC411" i="2"/>
  <c r="AC167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C1080" i="2"/>
  <c r="AC1088" i="2"/>
  <c r="AC1096" i="2"/>
  <c r="AC1104" i="2"/>
  <c r="AC1112" i="2"/>
  <c r="AC1120" i="2"/>
  <c r="AC1136" i="2"/>
  <c r="AC1144" i="2"/>
  <c r="AC1152" i="2"/>
  <c r="AC1160" i="2"/>
  <c r="AC1168" i="2"/>
  <c r="AC1262" i="2"/>
  <c r="AC1270" i="2"/>
  <c r="AC155" i="2"/>
  <c r="AC229" i="2"/>
  <c r="AC62" i="2"/>
  <c r="AC60" i="2"/>
  <c r="AC188" i="2"/>
  <c r="AC201" i="2"/>
  <c r="AC154" i="2"/>
  <c r="AC168" i="2"/>
  <c r="AC239" i="2"/>
  <c r="AC279" i="2"/>
  <c r="AC295" i="2"/>
  <c r="AC299" i="2"/>
  <c r="AC307" i="2"/>
  <c r="AC705" i="2"/>
  <c r="AC657" i="2"/>
  <c r="AC1364" i="2"/>
  <c r="AC1356" i="2"/>
  <c r="AC622" i="2"/>
  <c r="AC715" i="2"/>
  <c r="AC699" i="2"/>
  <c r="AC663" i="2"/>
  <c r="AC76" i="2"/>
  <c r="AC369" i="2"/>
  <c r="AC391" i="2"/>
  <c r="AC757" i="2"/>
  <c r="AC693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238" i="2"/>
  <c r="AC1547" i="2"/>
  <c r="AC1227" i="2"/>
  <c r="AC1113" i="2"/>
  <c r="AC1105" i="2"/>
  <c r="AC1097" i="2"/>
  <c r="AC1089" i="2"/>
  <c r="AC1081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C623" i="2"/>
  <c r="AF1303" i="2"/>
  <c r="AC2508" i="2"/>
  <c r="AC637" i="2"/>
  <c r="AC617" i="2"/>
  <c r="AC134" i="2"/>
  <c r="AC324" i="2"/>
  <c r="AC328" i="2"/>
  <c r="AC159" i="2"/>
  <c r="AC345" i="2"/>
  <c r="AC419" i="2"/>
  <c r="AC485" i="2"/>
  <c r="AC527" i="2"/>
  <c r="AC533" i="2"/>
  <c r="AC541" i="2"/>
  <c r="AC743" i="2"/>
  <c r="AC761" i="2"/>
  <c r="AC249" i="2"/>
  <c r="AC271" i="2"/>
  <c r="AC325" i="2"/>
  <c r="AC222" i="2"/>
  <c r="AC320" i="2"/>
  <c r="AC571" i="2"/>
  <c r="AC1252" i="2"/>
  <c r="AC1266" i="2"/>
  <c r="AF2031" i="2"/>
  <c r="AC2057" i="2"/>
  <c r="AC2067" i="2"/>
  <c r="AC2506" i="2"/>
  <c r="AC260" i="2"/>
  <c r="AC2671" i="2"/>
  <c r="AC2624" i="2"/>
  <c r="AC19" i="2"/>
  <c r="AC135" i="2"/>
  <c r="AC1290" i="2"/>
  <c r="AC258" i="2"/>
  <c r="AC625" i="2"/>
  <c r="AC94" i="2"/>
  <c r="AC2121" i="2"/>
  <c r="AC2129" i="2"/>
  <c r="AC2137" i="2"/>
  <c r="AC2145" i="2"/>
  <c r="AC2153" i="2"/>
  <c r="AC2161" i="2"/>
  <c r="AC2177" i="2"/>
  <c r="AC2185" i="2"/>
  <c r="AC2201" i="2"/>
  <c r="AC2209" i="2"/>
  <c r="AC2217" i="2"/>
  <c r="AC2225" i="2"/>
  <c r="AC256" i="2"/>
  <c r="AF572" i="2"/>
  <c r="AC254" i="2"/>
  <c r="AC631" i="2"/>
  <c r="AC621" i="2"/>
  <c r="AC565" i="2"/>
  <c r="AC32" i="2"/>
  <c r="AF484" i="2"/>
  <c r="AF494" i="2"/>
  <c r="AF508" i="2"/>
  <c r="AF522" i="2"/>
  <c r="AF1059" i="2"/>
  <c r="AF1077" i="2"/>
  <c r="AC1335" i="2"/>
  <c r="AC2510" i="2"/>
  <c r="AC2502" i="2"/>
  <c r="AC2648" i="2"/>
  <c r="AC321" i="2"/>
  <c r="AF230" i="2"/>
  <c r="AC336" i="2"/>
  <c r="AC591" i="2"/>
  <c r="AC1371" i="2"/>
  <c r="AC2257" i="2"/>
  <c r="AC2249" i="2"/>
  <c r="AC2241" i="2"/>
  <c r="AC2233" i="2"/>
  <c r="AC289" i="2"/>
  <c r="AC373" i="2"/>
  <c r="AC1269" i="2"/>
  <c r="AC1069" i="2"/>
  <c r="AC1061" i="2"/>
  <c r="AC1053" i="2"/>
  <c r="AC1351" i="2"/>
  <c r="AC1343" i="2"/>
  <c r="AC611" i="2"/>
  <c r="AC603" i="2"/>
  <c r="AC595" i="2"/>
  <c r="AC334" i="2"/>
  <c r="AC442" i="2"/>
  <c r="AC484" i="2"/>
  <c r="AC476" i="2"/>
  <c r="AC458" i="2"/>
  <c r="AC378" i="2"/>
  <c r="AC217" i="2"/>
  <c r="AC117" i="2"/>
  <c r="AC487" i="2"/>
  <c r="AC216" i="2"/>
  <c r="AC470" i="2"/>
  <c r="AC422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129" i="2"/>
  <c r="AC232" i="2"/>
  <c r="AC517" i="2"/>
  <c r="AC236" i="2"/>
  <c r="AC575" i="2"/>
  <c r="AC577" i="2"/>
  <c r="AF608" i="2"/>
  <c r="AF610" i="2"/>
  <c r="AF612" i="2"/>
  <c r="AF616" i="2"/>
  <c r="AF618" i="2"/>
  <c r="AF620" i="2"/>
  <c r="AC626" i="2"/>
  <c r="AC630" i="2"/>
  <c r="AC634" i="2"/>
  <c r="AF695" i="2"/>
  <c r="AF697" i="2"/>
  <c r="AF699" i="2"/>
  <c r="AF701" i="2"/>
  <c r="AF703" i="2"/>
  <c r="AF709" i="2"/>
  <c r="AF711" i="2"/>
  <c r="AF713" i="2"/>
  <c r="AF715" i="2"/>
  <c r="AF717" i="2"/>
  <c r="AF719" i="2"/>
  <c r="AC727" i="2"/>
  <c r="AC731" i="2"/>
  <c r="AC1563" i="2"/>
  <c r="AC1571" i="2"/>
  <c r="AC1579" i="2"/>
  <c r="AC1602" i="2"/>
  <c r="AC1616" i="2"/>
  <c r="AF1618" i="2"/>
  <c r="AF1620" i="2"/>
  <c r="AF1622" i="2"/>
  <c r="AF1626" i="2"/>
  <c r="AF1628" i="2"/>
  <c r="AF1630" i="2"/>
  <c r="AF1634" i="2"/>
  <c r="AF1636" i="2"/>
  <c r="AF1638" i="2"/>
  <c r="AC1648" i="2"/>
  <c r="AC1656" i="2"/>
  <c r="AC1860" i="2"/>
  <c r="AC1868" i="2"/>
  <c r="AC1876" i="2"/>
  <c r="AC1884" i="2"/>
  <c r="AC1892" i="2"/>
  <c r="AC1900" i="2"/>
  <c r="AC1908" i="2"/>
  <c r="AC1916" i="2"/>
  <c r="AC1924" i="2"/>
  <c r="AC1932" i="2"/>
  <c r="AC1940" i="2"/>
  <c r="AC1948" i="2"/>
  <c r="AC1956" i="2"/>
  <c r="AF2033" i="2"/>
  <c r="AF2035" i="2"/>
  <c r="AF2037" i="2"/>
  <c r="AF2039" i="2"/>
  <c r="AF2041" i="2"/>
  <c r="AC2043" i="2"/>
  <c r="AC2045" i="2"/>
  <c r="AC2051" i="2"/>
  <c r="AC2053" i="2"/>
  <c r="AC2069" i="2"/>
  <c r="AC2071" i="2"/>
  <c r="AC2073" i="2"/>
  <c r="AC2079" i="2"/>
  <c r="AC2081" i="2"/>
  <c r="AF2585" i="2"/>
  <c r="AC2608" i="2"/>
  <c r="AC2706" i="2"/>
  <c r="AC2714" i="2"/>
  <c r="AC2718" i="2"/>
  <c r="AC1960" i="2"/>
  <c r="AC1944" i="2"/>
  <c r="AC1928" i="2"/>
  <c r="AC1912" i="2"/>
  <c r="AC1896" i="2"/>
  <c r="AC1880" i="2"/>
  <c r="AC1864" i="2"/>
  <c r="AC1652" i="2"/>
  <c r="AC139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C1464" i="2"/>
  <c r="AC1466" i="2"/>
  <c r="AC1468" i="2"/>
  <c r="AC1472" i="2"/>
  <c r="AC1474" i="2"/>
  <c r="AC1476" i="2"/>
  <c r="AC1480" i="2"/>
  <c r="AC1482" i="2"/>
  <c r="AC1484" i="2"/>
  <c r="AC1488" i="2"/>
  <c r="AC1490" i="2"/>
  <c r="AC1492" i="2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049" i="2" s="1"/>
  <c r="AC280" i="2"/>
  <c r="AC290" i="2"/>
  <c r="AC1121" i="2"/>
  <c r="AC1123" i="2"/>
  <c r="AC1129" i="2"/>
  <c r="AC1131" i="2"/>
  <c r="AC1133" i="2"/>
  <c r="AC1137" i="2"/>
  <c r="AC1139" i="2"/>
  <c r="AC1141" i="2"/>
  <c r="AC1145" i="2"/>
  <c r="AC1147" i="2"/>
  <c r="AC1149" i="2"/>
  <c r="AC1153" i="2"/>
  <c r="AC1155" i="2"/>
  <c r="AC1157" i="2"/>
  <c r="AC1161" i="2"/>
  <c r="AC1163" i="2"/>
  <c r="AC1165" i="2"/>
  <c r="AC1169" i="2"/>
  <c r="AC632" i="2"/>
  <c r="AF105" i="2"/>
  <c r="AF123" i="2"/>
  <c r="AF129" i="2"/>
  <c r="AC241" i="2"/>
  <c r="AC248" i="2"/>
  <c r="AC250" i="2"/>
  <c r="AF254" i="2"/>
  <c r="AF256" i="2"/>
  <c r="AF258" i="2"/>
  <c r="AC268" i="2"/>
  <c r="AC270" i="2"/>
  <c r="AC272" i="2"/>
  <c r="AC274" i="2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143" i="2"/>
  <c r="AC81" i="2"/>
  <c r="AF91" i="2"/>
  <c r="AC192" i="2"/>
  <c r="AC194" i="2"/>
  <c r="AC196" i="2"/>
  <c r="AC1066" i="2"/>
  <c r="R9" i="3"/>
  <c r="T9" i="3" s="1"/>
  <c r="U9" i="3" s="1"/>
  <c r="V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C994" i="2"/>
  <c r="AC996" i="2"/>
  <c r="AC998" i="2"/>
  <c r="AC1000" i="2"/>
  <c r="AC1002" i="2"/>
  <c r="AC1004" i="2"/>
  <c r="AC1006" i="2"/>
  <c r="AF1014" i="2"/>
  <c r="R16" i="3"/>
  <c r="T16" i="3" s="1"/>
  <c r="U16" i="3" s="1"/>
  <c r="V16" i="3" s="1"/>
  <c r="AC51" i="2"/>
  <c r="AC292" i="2"/>
  <c r="AC521" i="2"/>
  <c r="AC567" i="2"/>
  <c r="AC573" i="2"/>
  <c r="AC332" i="2"/>
  <c r="AF416" i="2"/>
  <c r="AC438" i="2"/>
  <c r="AC462" i="2"/>
  <c r="AC468" i="2"/>
  <c r="AC343" i="2"/>
  <c r="AC399" i="2"/>
  <c r="AC1281" i="2"/>
  <c r="AC1289" i="2"/>
  <c r="AC209" i="2"/>
  <c r="AC494" i="2"/>
  <c r="AC506" i="2"/>
  <c r="AC1258" i="2"/>
  <c r="AC1297" i="2"/>
  <c r="AC1305" i="2"/>
  <c r="AC15" i="2"/>
  <c r="AC309" i="2"/>
  <c r="AC461" i="2"/>
  <c r="AC471" i="2"/>
  <c r="AF1963" i="2"/>
  <c r="AF149" i="2"/>
  <c r="AF321" i="2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C483" i="2"/>
  <c r="AC342" i="2"/>
  <c r="AC101" i="2"/>
  <c r="AC341" i="2"/>
  <c r="AC357" i="2"/>
  <c r="AC361" i="2"/>
  <c r="AC371" i="2"/>
  <c r="AC381" i="2"/>
  <c r="AC397" i="2"/>
  <c r="AC405" i="2"/>
  <c r="AC491" i="2"/>
  <c r="AC499" i="2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F487" i="2"/>
  <c r="AF515" i="2"/>
  <c r="AC146" i="2"/>
  <c r="AC42" i="2"/>
  <c r="AF311" i="2"/>
  <c r="AC317" i="2"/>
  <c r="AC319" i="2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F571" i="2"/>
  <c r="AF1280" i="2"/>
  <c r="AF325" i="2"/>
  <c r="AC376" i="2"/>
  <c r="AC358" i="2"/>
  <c r="AC82" i="2"/>
  <c r="AC233" i="2"/>
  <c r="AC377" i="2"/>
  <c r="AC130" i="2"/>
  <c r="AC386" i="2"/>
  <c r="AC348" i="2"/>
  <c r="AC27" i="2"/>
  <c r="AC109" i="2"/>
  <c r="AC218" i="2"/>
  <c r="AF223" i="2"/>
  <c r="AF225" i="2"/>
  <c r="AC312" i="2"/>
  <c r="AC316" i="2"/>
  <c r="AC350" i="2"/>
  <c r="AC103" i="2"/>
  <c r="AC344" i="2"/>
  <c r="AC29" i="2"/>
  <c r="AF288" i="2"/>
  <c r="AF295" i="2"/>
  <c r="AC318" i="2"/>
  <c r="AC439" i="2"/>
  <c r="AC453" i="2"/>
  <c r="AC463" i="2"/>
  <c r="AC467" i="2"/>
  <c r="AC475" i="2"/>
  <c r="AF1216" i="2"/>
  <c r="AC1254" i="2"/>
  <c r="AC1286" i="2"/>
  <c r="AC452" i="2"/>
  <c r="AC524" i="2"/>
  <c r="AC206" i="2"/>
  <c r="AC54" i="2"/>
  <c r="AC7" i="2"/>
  <c r="AC297" i="2"/>
  <c r="AC36" i="2"/>
  <c r="AC12" i="2"/>
  <c r="AC114" i="2"/>
  <c r="AF296" i="2"/>
  <c r="AC208" i="2"/>
  <c r="AC424" i="2"/>
  <c r="AC111" i="2"/>
  <c r="AC71" i="2"/>
  <c r="AC133" i="2"/>
  <c r="AC308" i="2"/>
  <c r="AC1257" i="2"/>
  <c r="AC212" i="2"/>
  <c r="AC144" i="2"/>
  <c r="AC96" i="2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114" i="2"/>
  <c r="AC211" i="2"/>
  <c r="AC73" i="2"/>
  <c r="AC23" i="2"/>
  <c r="AC77" i="2"/>
  <c r="AF135" i="2"/>
  <c r="AC137" i="2"/>
  <c r="AC181" i="2"/>
  <c r="AC106" i="2"/>
  <c r="AC190" i="2"/>
  <c r="AC72" i="2"/>
  <c r="AF47" i="2"/>
  <c r="AF108" i="2"/>
  <c r="AC119" i="2"/>
  <c r="AF139" i="2"/>
  <c r="AC28" i="2"/>
  <c r="AC83" i="2"/>
  <c r="AC89" i="2"/>
  <c r="AC121" i="2"/>
  <c r="AC214" i="2"/>
  <c r="AC67" i="2"/>
  <c r="AC20" i="2"/>
  <c r="AC50" i="2"/>
  <c r="AC24" i="2"/>
  <c r="AC41" i="2"/>
  <c r="AC48" i="2"/>
  <c r="AF63" i="2"/>
  <c r="AF96" i="2"/>
  <c r="AC172" i="2"/>
  <c r="AC230" i="2"/>
  <c r="AC242" i="2"/>
  <c r="AC404" i="2"/>
  <c r="AC283" i="2"/>
  <c r="AF202" i="2"/>
  <c r="AF192" i="2"/>
  <c r="AF216" i="2"/>
  <c r="AC113" i="2"/>
  <c r="AC186" i="2"/>
  <c r="AC131" i="2"/>
  <c r="AC93" i="2"/>
  <c r="AC52" i="2"/>
  <c r="AC80" i="2"/>
  <c r="AC46" i="2"/>
  <c r="AC5" i="2"/>
  <c r="AF38" i="2"/>
  <c r="AF27" i="2"/>
  <c r="AC61" i="2"/>
  <c r="AC22" i="2"/>
  <c r="AF50" i="2"/>
  <c r="AF54" i="2"/>
  <c r="AF58" i="2"/>
  <c r="AF117" i="2"/>
  <c r="AF121" i="2"/>
  <c r="AC179" i="2"/>
  <c r="AC566" i="2"/>
  <c r="R11" i="3"/>
  <c r="T11" i="3" s="1"/>
  <c r="U11" i="3" s="1"/>
  <c r="V11" i="3" s="1"/>
  <c r="AC4" i="2"/>
  <c r="AC66" i="2"/>
  <c r="AC177" i="2"/>
  <c r="AC47" i="2"/>
  <c r="AC59" i="2"/>
  <c r="AC173" i="2"/>
  <c r="AC185" i="2"/>
  <c r="AC132" i="2"/>
  <c r="AC148" i="2"/>
  <c r="AK2461" i="2"/>
  <c r="AB85" i="2"/>
  <c r="AK85" i="2" s="1"/>
  <c r="AC85" i="2"/>
  <c r="Y85" i="2"/>
  <c r="O58" i="3"/>
  <c r="Y1059" i="2" l="1"/>
  <c r="Y1217" i="2"/>
  <c r="Y1137" i="2"/>
  <c r="Y565" i="2"/>
  <c r="AB677" i="2"/>
  <c r="AC677" i="2"/>
  <c r="AB697" i="2"/>
  <c r="AK697" i="2" s="1"/>
  <c r="AC697" i="2"/>
  <c r="AB717" i="2"/>
  <c r="AK717" i="2" s="1"/>
  <c r="AC717" i="2"/>
  <c r="AB1109" i="2"/>
  <c r="AK1109" i="2" s="1"/>
  <c r="Y1109" i="2"/>
  <c r="AB1117" i="2"/>
  <c r="AK1117" i="2" s="1"/>
  <c r="Y1117" i="2"/>
  <c r="AK1159" i="2"/>
  <c r="Y1159" i="2"/>
  <c r="AK1181" i="2"/>
  <c r="AC1181" i="2"/>
  <c r="AB1213" i="2"/>
  <c r="AK1213" i="2" s="1"/>
  <c r="Y1213" i="2"/>
  <c r="Y1225" i="2"/>
  <c r="AB1313" i="2"/>
  <c r="AK1313" i="2" s="1"/>
  <c r="AC1313" i="2"/>
  <c r="AB1317" i="2"/>
  <c r="AK1317" i="2" s="1"/>
  <c r="AC1317" i="2"/>
  <c r="AB1345" i="2"/>
  <c r="AK1345" i="2" s="1"/>
  <c r="Y1345" i="2"/>
  <c r="AB1361" i="2"/>
  <c r="AK1361" i="2" s="1"/>
  <c r="AC1361" i="2"/>
  <c r="AB2120" i="2"/>
  <c r="AK2120" i="2" s="1"/>
  <c r="AC2120" i="2"/>
  <c r="AF2320" i="2"/>
  <c r="Y2320" i="2"/>
  <c r="AF2391" i="2"/>
  <c r="Y2391" i="2"/>
  <c r="AF2413" i="2"/>
  <c r="Y2413" i="2"/>
  <c r="AB2484" i="2"/>
  <c r="AK2484" i="2" s="1"/>
  <c r="AC2484" i="2"/>
  <c r="AC2558" i="2"/>
  <c r="Y2558" i="2"/>
  <c r="AC2562" i="2"/>
  <c r="AB2562" i="2"/>
  <c r="AK2562" i="2" s="1"/>
  <c r="AB2568" i="2"/>
  <c r="AK2568" i="2" s="1"/>
  <c r="Y2568" i="2"/>
  <c r="AC2570" i="2"/>
  <c r="AB2570" i="2"/>
  <c r="AK2570" i="2" s="1"/>
  <c r="AC2610" i="2"/>
  <c r="AB2610" i="2"/>
  <c r="AK2610" i="2" s="1"/>
  <c r="AC2618" i="2"/>
  <c r="AB2618" i="2"/>
  <c r="AK2618" i="2" s="1"/>
  <c r="AC2642" i="2"/>
  <c r="AB2642" i="2"/>
  <c r="AK2642" i="2" s="1"/>
  <c r="AB2666" i="2"/>
  <c r="AK2666" i="2" s="1"/>
  <c r="Y2666" i="2"/>
  <c r="AB2692" i="2"/>
  <c r="AK2692" i="2" s="1"/>
  <c r="Y2692" i="2"/>
  <c r="AB138" i="2"/>
  <c r="AK138" i="2" s="1"/>
  <c r="AC138" i="2"/>
  <c r="AB1051" i="2"/>
  <c r="AK1051" i="2" s="1"/>
  <c r="Y1051" i="2"/>
  <c r="AB1067" i="2"/>
  <c r="AK1067" i="2" s="1"/>
  <c r="Y1067" i="2"/>
  <c r="AB1247" i="2"/>
  <c r="AK1247" i="2" s="1"/>
  <c r="Y1247" i="2"/>
  <c r="AB1285" i="2"/>
  <c r="AK1285" i="2" s="1"/>
  <c r="Y1285" i="2"/>
  <c r="AB1291" i="2"/>
  <c r="AK1291" i="2" s="1"/>
  <c r="AC1291" i="2"/>
  <c r="AB1663" i="2"/>
  <c r="AK1663" i="2" s="1"/>
  <c r="AC1663" i="2"/>
  <c r="AB1671" i="2"/>
  <c r="AK1671" i="2" s="1"/>
  <c r="Y1671" i="2"/>
  <c r="Y1673" i="2"/>
  <c r="AB1673" i="2"/>
  <c r="AK1673" i="2" s="1"/>
  <c r="AB1675" i="2"/>
  <c r="AK1675" i="2" s="1"/>
  <c r="Y1675" i="2"/>
  <c r="AB1802" i="2"/>
  <c r="AK1802" i="2" s="1"/>
  <c r="Y1802" i="2"/>
  <c r="Y1806" i="2"/>
  <c r="AB1806" i="2"/>
  <c r="AK1806" i="2" s="1"/>
  <c r="AB1808" i="2"/>
  <c r="AK1808" i="2" s="1"/>
  <c r="Y1808" i="2"/>
  <c r="Y1824" i="2"/>
  <c r="AB1824" i="2"/>
  <c r="AK1824" i="2" s="1"/>
  <c r="Y1836" i="2"/>
  <c r="AB1836" i="2"/>
  <c r="AK1836" i="2" s="1"/>
  <c r="AB1852" i="2"/>
  <c r="AK1852" i="2" s="1"/>
  <c r="Y1852" i="2"/>
  <c r="Y1862" i="2"/>
  <c r="AB1862" i="2"/>
  <c r="AK1862" i="2" s="1"/>
  <c r="Y1866" i="2"/>
  <c r="AB1866" i="2"/>
  <c r="AK1866" i="2" s="1"/>
  <c r="Y1876" i="2"/>
  <c r="AB1876" i="2"/>
  <c r="AK1876" i="2" s="1"/>
  <c r="AB1886" i="2"/>
  <c r="AK1886" i="2" s="1"/>
  <c r="Y1886" i="2"/>
  <c r="AB1892" i="2"/>
  <c r="AK1892" i="2" s="1"/>
  <c r="Y1892" i="2"/>
  <c r="AB1898" i="2"/>
  <c r="AK1898" i="2" s="1"/>
  <c r="AC1898" i="2"/>
  <c r="Y1902" i="2"/>
  <c r="AB1902" i="2"/>
  <c r="AK1902" i="2" s="1"/>
  <c r="AB1918" i="2"/>
  <c r="AK1918" i="2" s="1"/>
  <c r="Y1918" i="2"/>
  <c r="Y1930" i="2"/>
  <c r="AB1930" i="2"/>
  <c r="AK1930" i="2" s="1"/>
  <c r="Y1948" i="2"/>
  <c r="AB1948" i="2"/>
  <c r="AK1948" i="2" s="1"/>
  <c r="AB1968" i="2"/>
  <c r="AK1968" i="2" s="1"/>
  <c r="AC1968" i="2"/>
  <c r="AB1974" i="2"/>
  <c r="AK1974" i="2" s="1"/>
  <c r="Y1974" i="2"/>
  <c r="AC1974" i="2"/>
  <c r="AB2000" i="2"/>
  <c r="AK2000" i="2" s="1"/>
  <c r="Y2000" i="2"/>
  <c r="AB2004" i="2"/>
  <c r="AK2004" i="2" s="1"/>
  <c r="AC2004" i="2"/>
  <c r="AA2014" i="2"/>
  <c r="AB2014" i="2" s="1"/>
  <c r="AC2014" i="2"/>
  <c r="AB2026" i="2"/>
  <c r="AK2026" i="2" s="1"/>
  <c r="Y2026" i="2"/>
  <c r="AB2038" i="2"/>
  <c r="AK2038" i="2" s="1"/>
  <c r="AC2038" i="2"/>
  <c r="AB2052" i="2"/>
  <c r="AK2052" i="2" s="1"/>
  <c r="R35" i="3"/>
  <c r="T35" i="3" s="1"/>
  <c r="U35" i="3" s="1"/>
  <c r="V35" i="3" s="1"/>
  <c r="AC2532" i="2"/>
  <c r="AB2532" i="2"/>
  <c r="AK2532" i="2" s="1"/>
  <c r="AC2544" i="2"/>
  <c r="AB2544" i="2"/>
  <c r="AK2544" i="2" s="1"/>
  <c r="AC2550" i="2"/>
  <c r="AB2550" i="2"/>
  <c r="AK2550" i="2" s="1"/>
  <c r="AC2591" i="2"/>
  <c r="AB2591" i="2"/>
  <c r="Y2626" i="2"/>
  <c r="AF2626" i="2"/>
  <c r="Y196" i="2"/>
  <c r="Y1201" i="2"/>
  <c r="Y1167" i="2"/>
  <c r="AB1896" i="2"/>
  <c r="AK1896" i="2" s="1"/>
  <c r="AB1854" i="2"/>
  <c r="AK1854" i="2" s="1"/>
  <c r="Y1820" i="2"/>
  <c r="AB1782" i="2"/>
  <c r="AK1782" i="2" s="1"/>
  <c r="Y1621" i="2"/>
  <c r="Y10" i="2"/>
  <c r="AB10" i="2"/>
  <c r="AK10" i="2" s="1"/>
  <c r="AB120" i="2"/>
  <c r="AK120" i="2" s="1"/>
  <c r="AC120" i="2"/>
  <c r="AC326" i="2"/>
  <c r="AB326" i="2"/>
  <c r="AK326" i="2" s="1"/>
  <c r="AC459" i="2"/>
  <c r="AB459" i="2"/>
  <c r="AK459" i="2" s="1"/>
  <c r="AC523" i="2"/>
  <c r="AB523" i="2"/>
  <c r="AK523" i="2" s="1"/>
  <c r="Y1233" i="2"/>
  <c r="Y1884" i="2"/>
  <c r="Y1850" i="2"/>
  <c r="AB1812" i="2"/>
  <c r="AK1812" i="2" s="1"/>
  <c r="Y1669" i="2"/>
  <c r="AB1586" i="2"/>
  <c r="AK1586" i="2" s="1"/>
  <c r="AB916" i="2"/>
  <c r="AK916" i="2" s="1"/>
  <c r="Y916" i="2"/>
  <c r="AC56" i="2"/>
  <c r="AC225" i="2"/>
  <c r="AC737" i="2"/>
  <c r="AC725" i="2"/>
  <c r="AC581" i="2"/>
  <c r="AC213" i="2"/>
  <c r="AC189" i="2"/>
  <c r="AC195" i="2"/>
  <c r="AC635" i="2"/>
  <c r="AC615" i="2"/>
  <c r="AC1067" i="2"/>
  <c r="AC1051" i="2"/>
  <c r="AC659" i="2"/>
  <c r="AC215" i="2"/>
  <c r="AC1283" i="2"/>
  <c r="AC1295" i="2"/>
  <c r="AC1237" i="2"/>
  <c r="AC665" i="2"/>
  <c r="AC1962" i="2"/>
  <c r="AC719" i="2"/>
  <c r="AC1197" i="2"/>
  <c r="AC1249" i="2"/>
  <c r="AC1641" i="2"/>
  <c r="AC1866" i="2"/>
  <c r="AF1125" i="2"/>
  <c r="AC1233" i="2"/>
  <c r="AC1127" i="2"/>
  <c r="AC406" i="2"/>
  <c r="AC1034" i="2"/>
  <c r="Y574" i="2"/>
  <c r="AB2552" i="2"/>
  <c r="AK2552" i="2" s="1"/>
  <c r="AC2536" i="2"/>
  <c r="AB2528" i="2"/>
  <c r="AK2528" i="2" s="1"/>
  <c r="AB1225" i="2"/>
  <c r="AK1225" i="2" s="1"/>
  <c r="Y1141" i="2"/>
  <c r="Y1087" i="2"/>
  <c r="AB2056" i="2"/>
  <c r="AK2056" i="2" s="1"/>
  <c r="Y1922" i="2"/>
  <c r="Y1844" i="2"/>
  <c r="Y1810" i="2"/>
  <c r="AB1309" i="2"/>
  <c r="AK1309" i="2" s="1"/>
  <c r="Y1367" i="2"/>
  <c r="AC275" i="2"/>
  <c r="AC579" i="2"/>
  <c r="AC639" i="2"/>
  <c r="AC992" i="2"/>
  <c r="AC689" i="2"/>
  <c r="AC1301" i="2"/>
  <c r="AC1285" i="2"/>
  <c r="AC593" i="2"/>
  <c r="AC701" i="2"/>
  <c r="AC1625" i="2"/>
  <c r="AC30" i="2"/>
  <c r="Y1065" i="2"/>
  <c r="Y2562" i="2"/>
  <c r="Y1916" i="2"/>
  <c r="Y1882" i="2"/>
  <c r="AB1840" i="2"/>
  <c r="AK1840" i="2" s="1"/>
  <c r="Y1798" i="2"/>
  <c r="Y1307" i="2"/>
  <c r="Y1061" i="2"/>
  <c r="Y1139" i="2"/>
  <c r="AB21" i="2"/>
  <c r="AK21" i="2" s="1"/>
  <c r="AC21" i="2"/>
  <c r="AF92" i="2"/>
  <c r="Y92" i="2"/>
  <c r="AF188" i="2"/>
  <c r="Y188" i="2"/>
  <c r="AB311" i="2"/>
  <c r="AK311" i="2" s="1"/>
  <c r="AC311" i="2"/>
  <c r="AB1030" i="2"/>
  <c r="AK1030" i="2" s="1"/>
  <c r="AC1030" i="2"/>
  <c r="AB1042" i="2"/>
  <c r="AK1042" i="2" s="1"/>
  <c r="AC1042" i="2"/>
  <c r="AB1437" i="2"/>
  <c r="AK1437" i="2" s="1"/>
  <c r="AC1437" i="2"/>
  <c r="AB1445" i="2"/>
  <c r="AK1445" i="2" s="1"/>
  <c r="AC1445" i="2"/>
  <c r="AB1501" i="2"/>
  <c r="AK1501" i="2" s="1"/>
  <c r="AC1501" i="2"/>
  <c r="AB1604" i="2"/>
  <c r="AK1604" i="2" s="1"/>
  <c r="AC1604" i="2"/>
  <c r="Y1616" i="2"/>
  <c r="AB1616" i="2"/>
  <c r="AK1616" i="2" s="1"/>
  <c r="Y1703" i="2"/>
  <c r="AB1703" i="2"/>
  <c r="AK1703" i="2" s="1"/>
  <c r="Y1709" i="2"/>
  <c r="AC1709" i="2"/>
  <c r="AB1715" i="2"/>
  <c r="AK1715" i="2" s="1"/>
  <c r="AC1715" i="2"/>
  <c r="AB1719" i="2"/>
  <c r="AK1719" i="2" s="1"/>
  <c r="Y1719" i="2"/>
  <c r="Y1721" i="2"/>
  <c r="AC1721" i="2"/>
  <c r="Y1729" i="2"/>
  <c r="AC1729" i="2"/>
  <c r="AB1733" i="2"/>
  <c r="AK1733" i="2" s="1"/>
  <c r="Y1733" i="2"/>
  <c r="AC1733" i="2"/>
  <c r="Y1749" i="2"/>
  <c r="AB1749" i="2"/>
  <c r="AK1749" i="2" s="1"/>
  <c r="AB1751" i="2"/>
  <c r="AK1751" i="2" s="1"/>
  <c r="AC1751" i="2"/>
  <c r="AB1763" i="2"/>
  <c r="AK1763" i="2" s="1"/>
  <c r="Y1763" i="2"/>
  <c r="AF1973" i="2"/>
  <c r="Y1973" i="2"/>
  <c r="AF2007" i="2"/>
  <c r="Y2007" i="2"/>
  <c r="Y2765" i="2"/>
  <c r="AC2765" i="2"/>
  <c r="AC2781" i="2"/>
  <c r="R96" i="3"/>
  <c r="T96" i="3" s="1"/>
  <c r="U96" i="3" s="1"/>
  <c r="V96" i="3" s="1"/>
  <c r="AB2919" i="2"/>
  <c r="AK2919" i="2" s="1"/>
  <c r="AC2919" i="2"/>
  <c r="AB2935" i="2"/>
  <c r="AK2935" i="2" s="1"/>
  <c r="AC2935" i="2"/>
  <c r="AB2943" i="2"/>
  <c r="AK2943" i="2" s="1"/>
  <c r="AC2943" i="2"/>
  <c r="AB2951" i="2"/>
  <c r="AC2951" i="2"/>
  <c r="AB3049" i="2"/>
  <c r="AC3049" i="2"/>
  <c r="Y3099" i="2"/>
  <c r="AC3099" i="2"/>
  <c r="AB3101" i="2"/>
  <c r="AK3101" i="2" s="1"/>
  <c r="AC3101" i="2"/>
  <c r="Y3107" i="2"/>
  <c r="AC3107" i="2"/>
  <c r="AB3109" i="2"/>
  <c r="AK3109" i="2" s="1"/>
  <c r="AC3109" i="2"/>
  <c r="AB3111" i="2"/>
  <c r="AK3111" i="2" s="1"/>
  <c r="AC3111" i="2"/>
  <c r="Y1041" i="2"/>
  <c r="Y1530" i="2"/>
  <c r="Y1550" i="2"/>
  <c r="AB1550" i="2"/>
  <c r="AK1550" i="2" s="1"/>
  <c r="Y1572" i="2"/>
  <c r="Y1696" i="2"/>
  <c r="AB1696" i="2"/>
  <c r="AK1696" i="2" s="1"/>
  <c r="Y1724" i="2"/>
  <c r="AB1724" i="2"/>
  <c r="AK1724" i="2" s="1"/>
  <c r="AB1756" i="2"/>
  <c r="AK1756" i="2" s="1"/>
  <c r="Y1756" i="2"/>
  <c r="Y1770" i="2"/>
  <c r="AB1770" i="2"/>
  <c r="AK1770" i="2" s="1"/>
  <c r="AC2171" i="2"/>
  <c r="AB2171" i="2"/>
  <c r="AK2171" i="2" s="1"/>
  <c r="AC2195" i="2"/>
  <c r="AB2195" i="2"/>
  <c r="AK2195" i="2" s="1"/>
  <c r="AF2331" i="2"/>
  <c r="Y2331" i="2"/>
  <c r="AF2347" i="2"/>
  <c r="Y2347" i="2"/>
  <c r="AC976" i="2"/>
  <c r="AC2449" i="2"/>
  <c r="AC2461" i="2"/>
  <c r="Y2324" i="2"/>
  <c r="Y1526" i="2"/>
  <c r="AC2999" i="2"/>
  <c r="AC2429" i="2"/>
  <c r="AC2453" i="2"/>
  <c r="Y2027" i="2"/>
  <c r="AC2459" i="2"/>
  <c r="AB3476" i="2"/>
  <c r="AK3476" i="2" s="1"/>
  <c r="AC3476" i="2"/>
  <c r="AB3492" i="2"/>
  <c r="AK3492" i="2" s="1"/>
  <c r="AC3492" i="2"/>
  <c r="Y2327" i="2"/>
  <c r="Y2526" i="2"/>
  <c r="Y2528" i="2"/>
  <c r="Y2538" i="2"/>
  <c r="Y2542" i="2"/>
  <c r="Y2608" i="2"/>
  <c r="Y268" i="2"/>
  <c r="Y270" i="2"/>
  <c r="Y602" i="2"/>
  <c r="Y682" i="2"/>
  <c r="Y756" i="2"/>
  <c r="Y1076" i="2"/>
  <c r="Y1078" i="2"/>
  <c r="Y1080" i="2"/>
  <c r="Y1086" i="2"/>
  <c r="Y1090" i="2"/>
  <c r="Y1094" i="2"/>
  <c r="Y1106" i="2"/>
  <c r="Y1108" i="2"/>
  <c r="Y1112" i="2"/>
  <c r="Y1118" i="2"/>
  <c r="Y1140" i="2"/>
  <c r="Y1142" i="2"/>
  <c r="Y1144" i="2"/>
  <c r="Y1152" i="2"/>
  <c r="AC3428" i="2"/>
  <c r="AC4614" i="2"/>
  <c r="AC4538" i="2"/>
  <c r="AB4411" i="2"/>
  <c r="AK4411" i="2" s="1"/>
  <c r="Y4411" i="2"/>
  <c r="AC4411" i="2"/>
  <c r="R74" i="3"/>
  <c r="T74" i="3" s="1"/>
  <c r="U74" i="3" s="1"/>
  <c r="V74" i="3" s="1"/>
  <c r="AB4419" i="2"/>
  <c r="AK4419" i="2" s="1"/>
  <c r="AC4419" i="2"/>
  <c r="AB4427" i="2"/>
  <c r="AK4427" i="2" s="1"/>
  <c r="AC4427" i="2"/>
  <c r="Y4443" i="2"/>
  <c r="AB4443" i="2"/>
  <c r="AK4443" i="2" s="1"/>
  <c r="AC4443" i="2"/>
  <c r="AB4459" i="2"/>
  <c r="AK4459" i="2" s="1"/>
  <c r="AC4459" i="2"/>
  <c r="Y4475" i="2"/>
  <c r="AB4475" i="2"/>
  <c r="AK4475" i="2" s="1"/>
  <c r="AB4491" i="2"/>
  <c r="AK4491" i="2" s="1"/>
  <c r="AC4491" i="2"/>
  <c r="AB4509" i="2"/>
  <c r="AK4509" i="2" s="1"/>
  <c r="Y4509" i="2"/>
  <c r="AC4509" i="2"/>
  <c r="AB4514" i="2"/>
  <c r="AK4514" i="2" s="1"/>
  <c r="AC4514" i="2"/>
  <c r="AB4522" i="2"/>
  <c r="AK4522" i="2" s="1"/>
  <c r="Y4522" i="2"/>
  <c r="AC4522" i="2"/>
  <c r="AB4556" i="2"/>
  <c r="AK4556" i="2" s="1"/>
  <c r="AC4556" i="2"/>
  <c r="AB4569" i="2"/>
  <c r="AK4569" i="2" s="1"/>
  <c r="AC4569" i="2"/>
  <c r="AB4577" i="2"/>
  <c r="AK4577" i="2" s="1"/>
  <c r="Y4577" i="2"/>
  <c r="AC4577" i="2"/>
  <c r="AB4590" i="2"/>
  <c r="AK4590" i="2" s="1"/>
  <c r="AC4590" i="2"/>
  <c r="R81" i="3"/>
  <c r="T81" i="3" s="1"/>
  <c r="U81" i="3" s="1"/>
  <c r="V81" i="3" s="1"/>
  <c r="AB4598" i="2"/>
  <c r="AK4598" i="2" s="1"/>
  <c r="AC4598" i="2"/>
  <c r="AB4606" i="2"/>
  <c r="AK4606" i="2" s="1"/>
  <c r="AC4606" i="2"/>
  <c r="AB4622" i="2"/>
  <c r="AK4622" i="2" s="1"/>
  <c r="Y4622" i="2"/>
  <c r="AC4622" i="2"/>
  <c r="AB4638" i="2"/>
  <c r="AK4638" i="2" s="1"/>
  <c r="AC4638" i="2"/>
  <c r="AB4651" i="2"/>
  <c r="AK4651" i="2" s="1"/>
  <c r="AC4651" i="2"/>
  <c r="AH4658" i="2"/>
  <c r="AF4658" i="2"/>
  <c r="AB4686" i="2"/>
  <c r="AK4686" i="2" s="1"/>
  <c r="AC4686" i="2"/>
  <c r="AB4688" i="2"/>
  <c r="AK4688" i="2" s="1"/>
  <c r="AC4688" i="2"/>
  <c r="AB4690" i="2"/>
  <c r="AK4690" i="2" s="1"/>
  <c r="Y4690" i="2"/>
  <c r="AC4690" i="2"/>
  <c r="AB4692" i="2"/>
  <c r="AK4692" i="2" s="1"/>
  <c r="AC4692" i="2"/>
  <c r="AF4710" i="2"/>
  <c r="AH4710" i="2"/>
  <c r="AH4712" i="2"/>
  <c r="AF4712" i="2"/>
  <c r="AH4714" i="2"/>
  <c r="AF4714" i="2"/>
  <c r="AH4726" i="2"/>
  <c r="AF4726" i="2"/>
  <c r="AF4730" i="2"/>
  <c r="AH4730" i="2"/>
  <c r="AH4734" i="2"/>
  <c r="AF4734" i="2"/>
  <c r="AF4770" i="2"/>
  <c r="AH4770" i="2"/>
  <c r="AH4776" i="2"/>
  <c r="AF4776" i="2"/>
  <c r="AB3532" i="2"/>
  <c r="AK3532" i="2" s="1"/>
  <c r="AC3532" i="2"/>
  <c r="AB3553" i="2"/>
  <c r="AK3553" i="2" s="1"/>
  <c r="AC3553" i="2"/>
  <c r="AB3622" i="2"/>
  <c r="AK3622" i="2" s="1"/>
  <c r="AC3622" i="2"/>
  <c r="AK3766" i="2"/>
  <c r="AC3766" i="2"/>
  <c r="AB3987" i="2"/>
  <c r="AK3987" i="2" s="1"/>
  <c r="AC3987" i="2"/>
  <c r="AB4059" i="2"/>
  <c r="AK4059" i="2" s="1"/>
  <c r="AC4059" i="2"/>
  <c r="AB4122" i="2"/>
  <c r="AK4122" i="2" s="1"/>
  <c r="AC4122" i="2"/>
  <c r="AB4186" i="2"/>
  <c r="AK4186" i="2" s="1"/>
  <c r="AC4186" i="2"/>
  <c r="AB4242" i="2"/>
  <c r="AK4242" i="2" s="1"/>
  <c r="Y4242" i="2"/>
  <c r="AB4250" i="2"/>
  <c r="AK4250" i="2" s="1"/>
  <c r="AC4250" i="2"/>
  <c r="AB4319" i="2"/>
  <c r="AK4319" i="2" s="1"/>
  <c r="AC4319" i="2"/>
  <c r="AB4332" i="2"/>
  <c r="AK4332" i="2" s="1"/>
  <c r="Y4332" i="2"/>
  <c r="AC3540" i="2"/>
  <c r="Y4941" i="2"/>
  <c r="AB3590" i="2"/>
  <c r="AK3590" i="2" s="1"/>
  <c r="AC3524" i="2"/>
  <c r="Y4937" i="2"/>
  <c r="AC4909" i="2"/>
  <c r="Y4986" i="2"/>
  <c r="Y1156" i="2"/>
  <c r="Y1160" i="2"/>
  <c r="Y1164" i="2"/>
  <c r="Y1168" i="2"/>
  <c r="Y1172" i="2"/>
  <c r="Y1174" i="2"/>
  <c r="Y1176" i="2"/>
  <c r="Y1178" i="2"/>
  <c r="Y1186" i="2"/>
  <c r="Y1190" i="2"/>
  <c r="Y1194" i="2"/>
  <c r="Y1198" i="2"/>
  <c r="Y1202" i="2"/>
  <c r="Y1206" i="2"/>
  <c r="Y1210" i="2"/>
  <c r="Y1214" i="2"/>
  <c r="Y1224" i="2"/>
  <c r="Y1252" i="2"/>
  <c r="Y1254" i="2"/>
  <c r="Y1256" i="2"/>
  <c r="Y1258" i="2"/>
  <c r="Y1264" i="2"/>
  <c r="Y1268" i="2"/>
  <c r="Y1270" i="2"/>
  <c r="Y1272" i="2"/>
  <c r="Y1316" i="2"/>
  <c r="Y1318" i="2"/>
  <c r="Y1320" i="2"/>
  <c r="Y1322" i="2"/>
  <c r="Y1328" i="2"/>
  <c r="Y1338" i="2"/>
  <c r="Y1372" i="2"/>
  <c r="Y1591" i="2"/>
  <c r="Y1595" i="2"/>
  <c r="Y1599" i="2"/>
  <c r="AC5000" i="2"/>
  <c r="AC3750" i="2"/>
  <c r="AC3670" i="2"/>
  <c r="AC3582" i="2"/>
  <c r="Y4929" i="2"/>
  <c r="AB4986" i="2"/>
  <c r="AK4986" i="2" s="1"/>
  <c r="AC3574" i="2"/>
  <c r="AF4925" i="2"/>
  <c r="Y4925" i="2"/>
  <c r="AF4927" i="2"/>
  <c r="Y4927" i="2"/>
  <c r="AF4933" i="2"/>
  <c r="Y4933" i="2"/>
  <c r="AF4949" i="2"/>
  <c r="Y4949" i="2"/>
  <c r="R90" i="3"/>
  <c r="T90" i="3" s="1"/>
  <c r="U90" i="3" s="1"/>
  <c r="V90" i="3" s="1"/>
  <c r="AB4984" i="2"/>
  <c r="AK4984" i="2" s="1"/>
  <c r="AB4990" i="2"/>
  <c r="AK4990" i="2" s="1"/>
  <c r="Y4990" i="2"/>
  <c r="AB4994" i="2"/>
  <c r="AK4994" i="2" s="1"/>
  <c r="Y4994" i="2"/>
  <c r="Y4998" i="2"/>
  <c r="AC4998" i="2"/>
  <c r="AF5002" i="2"/>
  <c r="Y5002" i="2"/>
  <c r="AF5006" i="2"/>
  <c r="Y5006" i="2"/>
  <c r="AF5010" i="2"/>
  <c r="Y5010" i="2"/>
  <c r="AB5170" i="2"/>
  <c r="AK5170" i="2" s="1"/>
  <c r="Y5170" i="2"/>
  <c r="AF5174" i="2"/>
  <c r="Y5174" i="2"/>
  <c r="AB5249" i="2"/>
  <c r="AK5249" i="2" s="1"/>
  <c r="Y5249" i="2"/>
  <c r="AB5268" i="2"/>
  <c r="AK5268" i="2" s="1"/>
  <c r="Y5268" i="2"/>
  <c r="AB3275" i="2"/>
  <c r="AK3275" i="2" s="1"/>
  <c r="Y3247" i="2"/>
  <c r="Y3229" i="2"/>
  <c r="AB3183" i="2"/>
  <c r="AK3183" i="2" s="1"/>
  <c r="AB3159" i="2"/>
  <c r="AK3159" i="2" s="1"/>
  <c r="AF3463" i="2"/>
  <c r="AF3471" i="2"/>
  <c r="AF3479" i="2"/>
  <c r="AF3495" i="2"/>
  <c r="Y3540" i="2"/>
  <c r="AF3617" i="2"/>
  <c r="Y4491" i="2"/>
  <c r="Y4538" i="2"/>
  <c r="Y4817" i="2"/>
  <c r="Y4821" i="2"/>
  <c r="Y4825" i="2"/>
  <c r="Y4829" i="2"/>
  <c r="Y4833" i="2"/>
  <c r="Y4837" i="2"/>
  <c r="Y4841" i="2"/>
  <c r="Y4845" i="2"/>
  <c r="Y4849" i="2"/>
  <c r="Y4853" i="2"/>
  <c r="Y4857" i="2"/>
  <c r="Y4861" i="2"/>
  <c r="Y4865" i="2"/>
  <c r="Y4869" i="2"/>
  <c r="Y4873" i="2"/>
  <c r="Y4877" i="2"/>
  <c r="Y4881" i="2"/>
  <c r="Y4885" i="2"/>
  <c r="Y4889" i="2"/>
  <c r="Y5092" i="2"/>
  <c r="Y5096" i="2"/>
  <c r="Y5100" i="2"/>
  <c r="AB6497" i="2"/>
  <c r="AK6497" i="2" s="1"/>
  <c r="AC6499" i="2"/>
  <c r="AC5999" i="2"/>
  <c r="Y6519" i="2"/>
  <c r="Y6420" i="2"/>
  <c r="AC2835" i="2"/>
  <c r="AC2795" i="2"/>
  <c r="AB3271" i="2"/>
  <c r="AK3271" i="2" s="1"/>
  <c r="Y3227" i="2"/>
  <c r="Y3205" i="2"/>
  <c r="Y3181" i="2"/>
  <c r="Y3157" i="2"/>
  <c r="AC6023" i="2"/>
  <c r="Y6068" i="2"/>
  <c r="Y6010" i="2"/>
  <c r="AB3267" i="2"/>
  <c r="AK3267" i="2" s="1"/>
  <c r="Y3241" i="2"/>
  <c r="Y3225" i="2"/>
  <c r="Y3203" i="2"/>
  <c r="Y3177" i="2"/>
  <c r="AB3155" i="2"/>
  <c r="AB6073" i="2"/>
  <c r="AK6073" i="2" s="1"/>
  <c r="Y3261" i="2"/>
  <c r="Y3239" i="2"/>
  <c r="Y3219" i="2"/>
  <c r="AB3197" i="2"/>
  <c r="AK3197" i="2" s="1"/>
  <c r="AB3173" i="2"/>
  <c r="AK3173" i="2" s="1"/>
  <c r="Y3149" i="2"/>
  <c r="Y6523" i="2"/>
  <c r="Y6015" i="2"/>
  <c r="Y6529" i="2"/>
  <c r="Y6454" i="2"/>
  <c r="Y6438" i="2"/>
  <c r="Y6422" i="2"/>
  <c r="Y6507" i="2"/>
  <c r="Y6551" i="2"/>
  <c r="Y6607" i="2"/>
  <c r="AB3295" i="2"/>
  <c r="AK3295" i="2" s="1"/>
  <c r="Y3255" i="2"/>
  <c r="Y3171" i="2"/>
  <c r="Y3147" i="2"/>
  <c r="Y2896" i="2"/>
  <c r="Y2992" i="2"/>
  <c r="Y3000" i="2"/>
  <c r="Y3429" i="2"/>
  <c r="Y3453" i="2"/>
  <c r="Y3509" i="2"/>
  <c r="Y3575" i="2"/>
  <c r="Y3639" i="2"/>
  <c r="Y3655" i="2"/>
  <c r="Y3679" i="2"/>
  <c r="Y3783" i="2"/>
  <c r="Y3799" i="2"/>
  <c r="Y3815" i="2"/>
  <c r="Y3844" i="2"/>
  <c r="Y3860" i="2"/>
  <c r="Y3876" i="2"/>
  <c r="Y3940" i="2"/>
  <c r="Y3964" i="2"/>
  <c r="Y3988" i="2"/>
  <c r="Y4004" i="2"/>
  <c r="Y4020" i="2"/>
  <c r="Y4076" i="2"/>
  <c r="Y4084" i="2"/>
  <c r="Y4086" i="2"/>
  <c r="Y4115" i="2"/>
  <c r="Y4139" i="2"/>
  <c r="Y4179" i="2"/>
  <c r="Y4211" i="2"/>
  <c r="Y4219" i="2"/>
  <c r="Y4227" i="2"/>
  <c r="Y4251" i="2"/>
  <c r="Y4259" i="2"/>
  <c r="Y4280" i="2"/>
  <c r="Y4296" i="2"/>
  <c r="Y4333" i="2"/>
  <c r="Y4341" i="2"/>
  <c r="Y4378" i="2"/>
  <c r="Y4396" i="2"/>
  <c r="Y4412" i="2"/>
  <c r="Y4420" i="2"/>
  <c r="Y4436" i="2"/>
  <c r="Y4452" i="2"/>
  <c r="Y4460" i="2"/>
  <c r="Y4484" i="2"/>
  <c r="Y4500" i="2"/>
  <c r="Y4523" i="2"/>
  <c r="Y4531" i="2"/>
  <c r="Y4539" i="2"/>
  <c r="Y4570" i="2"/>
  <c r="Y4599" i="2"/>
  <c r="Y4615" i="2"/>
  <c r="Y4639" i="2"/>
  <c r="AB6505" i="2"/>
  <c r="AK6505" i="2" s="1"/>
  <c r="Y5991" i="2"/>
  <c r="Y6503" i="2"/>
  <c r="Y5856" i="2"/>
  <c r="Y5816" i="2"/>
  <c r="Y6060" i="2"/>
  <c r="AC6031" i="2"/>
  <c r="Y4935" i="2"/>
  <c r="Y4939" i="2"/>
  <c r="Y4943" i="2"/>
  <c r="Y4945" i="2"/>
  <c r="Y4947" i="2"/>
  <c r="Y4951" i="2"/>
  <c r="Y5004" i="2"/>
  <c r="Y5008" i="2"/>
  <c r="Y5012" i="2"/>
  <c r="Y5172" i="2"/>
  <c r="Y5176" i="2"/>
  <c r="Y5178" i="2"/>
  <c r="Y5180" i="2"/>
  <c r="Y5182" i="2"/>
  <c r="Y5184" i="2"/>
  <c r="AC5938" i="2"/>
  <c r="Y6026" i="2"/>
  <c r="AC385" i="2"/>
  <c r="AC407" i="2"/>
  <c r="AB12" i="2"/>
  <c r="AK12" i="2" s="1"/>
  <c r="AB38" i="2"/>
  <c r="AK38" i="2" s="1"/>
  <c r="Y6" i="2"/>
  <c r="AB465" i="2"/>
  <c r="AK465" i="2" s="1"/>
  <c r="Y601" i="2"/>
  <c r="Y641" i="2"/>
  <c r="Y685" i="2"/>
  <c r="Y745" i="2"/>
  <c r="Y1075" i="2"/>
  <c r="Y1153" i="2"/>
  <c r="AC40" i="2"/>
  <c r="AC479" i="2"/>
  <c r="AC395" i="2"/>
  <c r="Y8" i="2"/>
  <c r="AK34" i="2"/>
  <c r="AB6" i="2"/>
  <c r="AK6" i="2" s="1"/>
  <c r="AB529" i="2"/>
  <c r="AK529" i="2" s="1"/>
  <c r="AB421" i="2"/>
  <c r="AK421" i="2" s="1"/>
  <c r="AB367" i="2"/>
  <c r="AK367" i="2" s="1"/>
  <c r="AB50" i="2"/>
  <c r="AK50" i="2" s="1"/>
  <c r="Y50" i="2"/>
  <c r="AB1053" i="2"/>
  <c r="AK1053" i="2" s="1"/>
  <c r="Y1053" i="2"/>
  <c r="Y1057" i="2"/>
  <c r="AF1169" i="2"/>
  <c r="Y1169" i="2"/>
  <c r="AF1173" i="2"/>
  <c r="Y1173" i="2"/>
  <c r="AF1193" i="2"/>
  <c r="Y1193" i="2"/>
  <c r="AF1209" i="2"/>
  <c r="Y1209" i="2"/>
  <c r="AB1231" i="2"/>
  <c r="AK1231" i="2" s="1"/>
  <c r="Y1231" i="2"/>
  <c r="Y1235" i="2"/>
  <c r="AB1241" i="2"/>
  <c r="AK1241" i="2" s="1"/>
  <c r="Y1241" i="2"/>
  <c r="AF1253" i="2"/>
  <c r="Y1253" i="2"/>
  <c r="AF1269" i="2"/>
  <c r="Y1269" i="2"/>
  <c r="AF1319" i="2"/>
  <c r="Y1319" i="2"/>
  <c r="AF1321" i="2"/>
  <c r="Y1321" i="2"/>
  <c r="AF1331" i="2"/>
  <c r="Y1331" i="2"/>
  <c r="AF1594" i="2"/>
  <c r="Y1594" i="2"/>
  <c r="AF1598" i="2"/>
  <c r="Y1598" i="2"/>
  <c r="Y14" i="2"/>
  <c r="AB14" i="2"/>
  <c r="AK14" i="2" s="1"/>
  <c r="AB447" i="2"/>
  <c r="AK447" i="2" s="1"/>
  <c r="AC447" i="2"/>
  <c r="AB1029" i="2"/>
  <c r="AK1029" i="2" s="1"/>
  <c r="Y1029" i="2"/>
  <c r="AB1404" i="2"/>
  <c r="AK1404" i="2" s="1"/>
  <c r="Y1404" i="2"/>
  <c r="Y1434" i="2"/>
  <c r="AB1434" i="2"/>
  <c r="AK1434" i="2" s="1"/>
  <c r="AB1456" i="2"/>
  <c r="AK1456" i="2" s="1"/>
  <c r="Y1456" i="2"/>
  <c r="AB1510" i="2"/>
  <c r="AK1510" i="2" s="1"/>
  <c r="Y1510" i="2"/>
  <c r="AB1518" i="2"/>
  <c r="AK1518" i="2" s="1"/>
  <c r="Y1518" i="2"/>
  <c r="AB1560" i="2"/>
  <c r="AK1560" i="2" s="1"/>
  <c r="Y1560" i="2"/>
  <c r="AB1580" i="2"/>
  <c r="AK1580" i="2" s="1"/>
  <c r="Y1580" i="2"/>
  <c r="AB1698" i="2"/>
  <c r="AK1698" i="2" s="1"/>
  <c r="Y1698" i="2"/>
  <c r="AB1702" i="2"/>
  <c r="AK1702" i="2" s="1"/>
  <c r="Y1702" i="2"/>
  <c r="Y1716" i="2"/>
  <c r="AB1716" i="2"/>
  <c r="AK1716" i="2" s="1"/>
  <c r="Y1728" i="2"/>
  <c r="AB1728" i="2"/>
  <c r="AK1728" i="2" s="1"/>
  <c r="AB1730" i="2"/>
  <c r="AK1730" i="2" s="1"/>
  <c r="Y1730" i="2"/>
  <c r="AB1738" i="2"/>
  <c r="AK1738" i="2" s="1"/>
  <c r="Y1738" i="2"/>
  <c r="AB1742" i="2"/>
  <c r="AK1742" i="2" s="1"/>
  <c r="Y1742" i="2"/>
  <c r="Y1744" i="2"/>
  <c r="AB1744" i="2"/>
  <c r="AK1744" i="2" s="1"/>
  <c r="AB1754" i="2"/>
  <c r="AK1754" i="2" s="1"/>
  <c r="Y1754" i="2"/>
  <c r="AB1764" i="2"/>
  <c r="AK1764" i="2" s="1"/>
  <c r="Y1764" i="2"/>
  <c r="AB1772" i="2"/>
  <c r="AK1772" i="2" s="1"/>
  <c r="Y1772" i="2"/>
  <c r="AF1958" i="2"/>
  <c r="Y1958" i="2"/>
  <c r="AF1972" i="2"/>
  <c r="Y1972" i="2"/>
  <c r="AF1992" i="2"/>
  <c r="Y1992" i="2"/>
  <c r="AF1996" i="2"/>
  <c r="Y1996" i="2"/>
  <c r="AF2012" i="2"/>
  <c r="Y2012" i="2"/>
  <c r="AF2016" i="2"/>
  <c r="Y2016" i="2"/>
  <c r="AF2050" i="2"/>
  <c r="Y2050" i="2"/>
  <c r="AC2323" i="2"/>
  <c r="AB2323" i="2"/>
  <c r="AK2323" i="2" s="1"/>
  <c r="AC2325" i="2"/>
  <c r="AB2325" i="2"/>
  <c r="AK2325" i="2" s="1"/>
  <c r="Y2325" i="2"/>
  <c r="AC2329" i="2"/>
  <c r="AB2329" i="2"/>
  <c r="AK2329" i="2" s="1"/>
  <c r="AC2331" i="2"/>
  <c r="AB2331" i="2"/>
  <c r="AK2331" i="2" s="1"/>
  <c r="AC2333" i="2"/>
  <c r="Y2333" i="2"/>
  <c r="AC2335" i="2"/>
  <c r="Y2335" i="2"/>
  <c r="AC2337" i="2"/>
  <c r="Y2337" i="2"/>
  <c r="AB2339" i="2"/>
  <c r="AK2339" i="2" s="1"/>
  <c r="AC2339" i="2"/>
  <c r="Y2339" i="2"/>
  <c r="AC2343" i="2"/>
  <c r="AB2343" i="2"/>
  <c r="AK2343" i="2" s="1"/>
  <c r="AC2345" i="2"/>
  <c r="Y2345" i="2"/>
  <c r="AB2347" i="2"/>
  <c r="AK2347" i="2" s="1"/>
  <c r="AC2347" i="2"/>
  <c r="AC2349" i="2"/>
  <c r="AB2349" i="2"/>
  <c r="AK2349" i="2" s="1"/>
  <c r="Y2349" i="2"/>
  <c r="AC2351" i="2"/>
  <c r="Y2351" i="2"/>
  <c r="AC2359" i="2"/>
  <c r="AB2359" i="2"/>
  <c r="AK2359" i="2" s="1"/>
  <c r="AC26" i="2"/>
  <c r="AC443" i="2"/>
  <c r="AC116" i="2"/>
  <c r="AC389" i="2"/>
  <c r="AB557" i="2"/>
  <c r="AK557" i="2" s="1"/>
  <c r="AB455" i="2"/>
  <c r="AK455" i="2" s="1"/>
  <c r="Y193" i="2"/>
  <c r="Y26" i="2"/>
  <c r="Y38" i="2"/>
  <c r="Y487" i="2"/>
  <c r="Y507" i="2"/>
  <c r="Y511" i="2"/>
  <c r="Y515" i="2"/>
  <c r="AB960" i="2"/>
  <c r="AK960" i="2" s="1"/>
  <c r="Y960" i="2"/>
  <c r="AB1382" i="2"/>
  <c r="AK1382" i="2" s="1"/>
  <c r="Y1382" i="2"/>
  <c r="AB1398" i="2"/>
  <c r="AK1398" i="2" s="1"/>
  <c r="Y1398" i="2"/>
  <c r="Y1460" i="2"/>
  <c r="AB1215" i="2"/>
  <c r="AK1215" i="2" s="1"/>
  <c r="AC183" i="2"/>
  <c r="AC118" i="2"/>
  <c r="AC14" i="2"/>
  <c r="AC87" i="2"/>
  <c r="AC8" i="2"/>
  <c r="AC437" i="2"/>
  <c r="AC304" i="2"/>
  <c r="AC489" i="2"/>
  <c r="AC457" i="2"/>
  <c r="AC255" i="2"/>
  <c r="AC257" i="2"/>
  <c r="AC1516" i="2"/>
  <c r="AC16" i="2"/>
  <c r="AC433" i="2"/>
  <c r="AC387" i="2"/>
  <c r="Y1043" i="2"/>
  <c r="Y860" i="2"/>
  <c r="AB451" i="2"/>
  <c r="AK451" i="2" s="1"/>
  <c r="AB1750" i="2"/>
  <c r="AK1750" i="2" s="1"/>
  <c r="AB1732" i="2"/>
  <c r="AK1732" i="2" s="1"/>
  <c r="AB1708" i="2"/>
  <c r="AK1708" i="2" s="1"/>
  <c r="Y1239" i="2"/>
  <c r="AC429" i="2"/>
  <c r="AC347" i="2"/>
  <c r="AB16" i="2"/>
  <c r="AK16" i="2" s="1"/>
  <c r="AB1041" i="2"/>
  <c r="AK1041" i="2" s="1"/>
  <c r="AB1057" i="2"/>
  <c r="AK1057" i="2" s="1"/>
  <c r="Y1748" i="2"/>
  <c r="Y1726" i="2"/>
  <c r="AB1706" i="2"/>
  <c r="AK1706" i="2" s="1"/>
  <c r="Y1546" i="2"/>
  <c r="Y1237" i="2"/>
  <c r="Y1631" i="2"/>
  <c r="Y1289" i="2"/>
  <c r="AC128" i="2"/>
  <c r="AC469" i="2"/>
  <c r="AC553" i="2"/>
  <c r="AC425" i="2"/>
  <c r="AC505" i="2"/>
  <c r="AC441" i="2"/>
  <c r="Y54" i="2"/>
  <c r="Y1532" i="2"/>
  <c r="R119" i="3"/>
  <c r="T119" i="3" s="1"/>
  <c r="U119" i="3" s="1"/>
  <c r="V119" i="3" s="1"/>
  <c r="AF198" i="2"/>
  <c r="Y198" i="2"/>
  <c r="Y2587" i="2"/>
  <c r="Y1095" i="2"/>
  <c r="Y1071" i="2"/>
  <c r="AB1936" i="2"/>
  <c r="AK1936" i="2" s="1"/>
  <c r="AB1906" i="2"/>
  <c r="AK1906" i="2" s="1"/>
  <c r="Y1890" i="2"/>
  <c r="Y1874" i="2"/>
  <c r="Y1858" i="2"/>
  <c r="AB1842" i="2"/>
  <c r="AK1842" i="2" s="1"/>
  <c r="Y1796" i="2"/>
  <c r="AB1780" i="2"/>
  <c r="AK1780" i="2" s="1"/>
  <c r="Y1619" i="2"/>
  <c r="AC2095" i="2"/>
  <c r="Y998" i="2"/>
  <c r="AB998" i="2"/>
  <c r="AK998" i="2" s="1"/>
  <c r="Y1006" i="2"/>
  <c r="AB1006" i="2"/>
  <c r="AK1006" i="2" s="1"/>
  <c r="AB1073" i="2"/>
  <c r="AK1073" i="2" s="1"/>
  <c r="Y1073" i="2"/>
  <c r="Y1077" i="2"/>
  <c r="AB1077" i="2"/>
  <c r="AK1077" i="2" s="1"/>
  <c r="Y1079" i="2"/>
  <c r="Y1081" i="2"/>
  <c r="Y1083" i="2"/>
  <c r="Y1091" i="2"/>
  <c r="Y1099" i="2"/>
  <c r="AB1099" i="2"/>
  <c r="AK1099" i="2" s="1"/>
  <c r="AB1103" i="2"/>
  <c r="AK1103" i="2" s="1"/>
  <c r="Y1103" i="2"/>
  <c r="Y1107" i="2"/>
  <c r="AB1111" i="2"/>
  <c r="AK1111" i="2" s="1"/>
  <c r="Y1111" i="2"/>
  <c r="Y1113" i="2"/>
  <c r="Y1121" i="2"/>
  <c r="Y1131" i="2"/>
  <c r="AB1143" i="2"/>
  <c r="AK1143" i="2" s="1"/>
  <c r="Y1143" i="2"/>
  <c r="Y1161" i="2"/>
  <c r="AB1183" i="2"/>
  <c r="AK1183" i="2" s="1"/>
  <c r="Y1183" i="2"/>
  <c r="Y1195" i="2"/>
  <c r="AB1199" i="2"/>
  <c r="AK1199" i="2" s="1"/>
  <c r="Y1199" i="2"/>
  <c r="Y1211" i="2"/>
  <c r="AB1257" i="2"/>
  <c r="AK1257" i="2"/>
  <c r="Y1265" i="2"/>
  <c r="AB1623" i="2"/>
  <c r="AK1623" i="2" s="1"/>
  <c r="Y1623" i="2"/>
  <c r="Y1635" i="2"/>
  <c r="Y1643" i="2"/>
  <c r="AB1655" i="2"/>
  <c r="AK1655" i="2" s="1"/>
  <c r="Y1655" i="2"/>
  <c r="AB1794" i="2"/>
  <c r="AK1794" i="2" s="1"/>
  <c r="Y1794" i="2"/>
  <c r="AB1804" i="2"/>
  <c r="AK1804" i="2" s="1"/>
  <c r="Y1804" i="2"/>
  <c r="AB1818" i="2"/>
  <c r="AK1818" i="2" s="1"/>
  <c r="Y1818" i="2"/>
  <c r="AB1826" i="2"/>
  <c r="AK1826" i="2" s="1"/>
  <c r="Y1826" i="2"/>
  <c r="Y1846" i="2"/>
  <c r="AB1846" i="2"/>
  <c r="AK1846" i="2" s="1"/>
  <c r="Y1860" i="2"/>
  <c r="AB1860" i="2"/>
  <c r="AK1860" i="2" s="1"/>
  <c r="Y1878" i="2"/>
  <c r="AB1878" i="2"/>
  <c r="AK1878" i="2" s="1"/>
  <c r="Y1880" i="2"/>
  <c r="AB1880" i="2"/>
  <c r="AK1880" i="2" s="1"/>
  <c r="AB1900" i="2"/>
  <c r="AK1900" i="2" s="1"/>
  <c r="Y1900" i="2"/>
  <c r="Y1914" i="2"/>
  <c r="AB1914" i="2"/>
  <c r="AK1914" i="2" s="1"/>
  <c r="Y1920" i="2"/>
  <c r="AB1920" i="2"/>
  <c r="AK1920" i="2" s="1"/>
  <c r="Y1928" i="2"/>
  <c r="AB1928" i="2"/>
  <c r="AK1928" i="2" s="1"/>
  <c r="Y1942" i="2"/>
  <c r="AB1942" i="2"/>
  <c r="AK1942" i="2" s="1"/>
  <c r="Y1950" i="2"/>
  <c r="AB1950" i="2"/>
  <c r="AK1950" i="2" s="1"/>
  <c r="Y1978" i="2"/>
  <c r="Y1980" i="2"/>
  <c r="Y1988" i="2"/>
  <c r="Y1990" i="2"/>
  <c r="Y2020" i="2"/>
  <c r="AB2020" i="2"/>
  <c r="AK2020" i="2" s="1"/>
  <c r="Y2024" i="2"/>
  <c r="AK2034" i="2"/>
  <c r="Y2034" i="2"/>
  <c r="Y2036" i="2"/>
  <c r="Y2048" i="2"/>
  <c r="Y2058" i="2"/>
  <c r="AF2120" i="2"/>
  <c r="Y2120" i="2"/>
  <c r="Y2629" i="2"/>
  <c r="AF2629" i="2"/>
  <c r="AH2629" i="2"/>
  <c r="Y2637" i="2"/>
  <c r="AF2637" i="2"/>
  <c r="AB2143" i="2"/>
  <c r="AK2143" i="2" s="1"/>
  <c r="AC2143" i="2"/>
  <c r="Y2581" i="2"/>
  <c r="Y2514" i="2"/>
  <c r="Y2470" i="2"/>
  <c r="Y2456" i="2"/>
  <c r="Y2544" i="2"/>
  <c r="AB1107" i="2"/>
  <c r="AK1107" i="2" s="1"/>
  <c r="AB1081" i="2"/>
  <c r="AK1081" i="2" s="1"/>
  <c r="AB1944" i="2"/>
  <c r="AK1944" i="2" s="1"/>
  <c r="AB1926" i="2"/>
  <c r="AK1926" i="2" s="1"/>
  <c r="Y1910" i="2"/>
  <c r="Y1894" i="2"/>
  <c r="AB1864" i="2"/>
  <c r="AK1864" i="2" s="1"/>
  <c r="Y1832" i="2"/>
  <c r="Y1816" i="2"/>
  <c r="Y1800" i="2"/>
  <c r="Y1786" i="2"/>
  <c r="Y1645" i="2"/>
  <c r="AF2605" i="2"/>
  <c r="Y2554" i="2"/>
  <c r="AB1131" i="2"/>
  <c r="AK1131" i="2" s="1"/>
  <c r="Y1105" i="2"/>
  <c r="Y1956" i="2"/>
  <c r="AB1940" i="2"/>
  <c r="AK1940" i="2" s="1"/>
  <c r="AB1924" i="2"/>
  <c r="AK1924" i="2" s="1"/>
  <c r="AB1848" i="2"/>
  <c r="AK1848" i="2" s="1"/>
  <c r="AB1830" i="2"/>
  <c r="AK1830" i="2" s="1"/>
  <c r="AB1814" i="2"/>
  <c r="AK1814" i="2" s="1"/>
  <c r="Y1784" i="2"/>
  <c r="AF2613" i="2"/>
  <c r="AH2786" i="2"/>
  <c r="AF2786" i="2"/>
  <c r="AB2789" i="2"/>
  <c r="AK2789" i="2" s="1"/>
  <c r="AC2789" i="2"/>
  <c r="AB2813" i="2"/>
  <c r="AC2813" i="2"/>
  <c r="AB2829" i="2"/>
  <c r="AK2829" i="2" s="1"/>
  <c r="AC2829" i="2"/>
  <c r="AB2837" i="2"/>
  <c r="AK2837" i="2" s="1"/>
  <c r="AC2837" i="2"/>
  <c r="AB2855" i="2"/>
  <c r="AC2855" i="2"/>
  <c r="AB2863" i="2"/>
  <c r="AK2863" i="2" s="1"/>
  <c r="AC2863" i="2"/>
  <c r="AB2887" i="2"/>
  <c r="AK2887" i="2" s="1"/>
  <c r="AC2887" i="2"/>
  <c r="AK2895" i="2"/>
  <c r="AC2895" i="2"/>
  <c r="AB2768" i="2"/>
  <c r="AC2768" i="2"/>
  <c r="AB2776" i="2"/>
  <c r="AK2776" i="2" s="1"/>
  <c r="AC2776" i="2"/>
  <c r="AF2792" i="2"/>
  <c r="AB2810" i="2"/>
  <c r="AC2810" i="2"/>
  <c r="Y1333" i="2"/>
  <c r="AA2765" i="2"/>
  <c r="AB2765" i="2" s="1"/>
  <c r="AB1267" i="2"/>
  <c r="AK1267" i="2" s="1"/>
  <c r="Y1267" i="2"/>
  <c r="AB1349" i="2"/>
  <c r="AK1349" i="2" s="1"/>
  <c r="Y1349" i="2"/>
  <c r="Y1371" i="2"/>
  <c r="AC2794" i="2"/>
  <c r="AC2773" i="2"/>
  <c r="AB4003" i="2"/>
  <c r="AK4003" i="2" s="1"/>
  <c r="Y4003" i="2"/>
  <c r="AB4051" i="2"/>
  <c r="AK4051" i="2" s="1"/>
  <c r="Y4051" i="2"/>
  <c r="AB4114" i="2"/>
  <c r="AK4114" i="2" s="1"/>
  <c r="Y4114" i="2"/>
  <c r="AB4154" i="2"/>
  <c r="AK4154" i="2" s="1"/>
  <c r="Y4154" i="2"/>
  <c r="Y4226" i="2"/>
  <c r="Y4403" i="2"/>
  <c r="Y4419" i="2"/>
  <c r="Y4435" i="2"/>
  <c r="Y4451" i="2"/>
  <c r="Y4467" i="2"/>
  <c r="Y4483" i="2"/>
  <c r="Y4499" i="2"/>
  <c r="Y4514" i="2"/>
  <c r="Y4530" i="2"/>
  <c r="Y4543" i="2"/>
  <c r="Y4569" i="2"/>
  <c r="Y4585" i="2"/>
  <c r="Y4598" i="2"/>
  <c r="Y4614" i="2"/>
  <c r="Y4630" i="2"/>
  <c r="Y4651" i="2"/>
  <c r="Y4688" i="2"/>
  <c r="AF2906" i="2"/>
  <c r="AF2922" i="2"/>
  <c r="AB3872" i="2"/>
  <c r="AK3872" i="2" s="1"/>
  <c r="Y3872" i="2"/>
  <c r="AB4024" i="2"/>
  <c r="AK4024" i="2" s="1"/>
  <c r="Y4024" i="2"/>
  <c r="Y4119" i="2"/>
  <c r="AB4119" i="2"/>
  <c r="AK4119" i="2" s="1"/>
  <c r="AB4183" i="2"/>
  <c r="AK4183" i="2" s="1"/>
  <c r="Y4183" i="2"/>
  <c r="AB4199" i="2"/>
  <c r="AK4199" i="2" s="1"/>
  <c r="Y4199" i="2"/>
  <c r="Y4247" i="2"/>
  <c r="AB4247" i="2"/>
  <c r="AK4247" i="2" s="1"/>
  <c r="Y4300" i="2"/>
  <c r="AB4300" i="2"/>
  <c r="AK4300" i="2" s="1"/>
  <c r="Y4316" i="2"/>
  <c r="AB4316" i="2"/>
  <c r="AK4316" i="2" s="1"/>
  <c r="AB4382" i="2"/>
  <c r="AK4382" i="2" s="1"/>
  <c r="Y4382" i="2"/>
  <c r="AB4390" i="2"/>
  <c r="AK4390" i="2" s="1"/>
  <c r="Y4390" i="2"/>
  <c r="Y4424" i="2"/>
  <c r="AB4424" i="2"/>
  <c r="AK4424" i="2" s="1"/>
  <c r="AB4488" i="2"/>
  <c r="AK4488" i="2" s="1"/>
  <c r="Y4488" i="2"/>
  <c r="AB4504" i="2"/>
  <c r="AK4504" i="2" s="1"/>
  <c r="Y4504" i="2"/>
  <c r="AB4548" i="2"/>
  <c r="AK4548" i="2" s="1"/>
  <c r="Y4548" i="2"/>
  <c r="Y4566" i="2"/>
  <c r="AB4566" i="2"/>
  <c r="AK4566" i="2" s="1"/>
  <c r="Y4635" i="2"/>
  <c r="AB4635" i="2"/>
  <c r="AK4635" i="2" s="1"/>
  <c r="AB4643" i="2"/>
  <c r="AK4643" i="2" s="1"/>
  <c r="Y4643" i="2"/>
  <c r="AH4909" i="2"/>
  <c r="Y4909" i="2"/>
  <c r="AF4984" i="2"/>
  <c r="Y4984" i="2"/>
  <c r="AF4988" i="2"/>
  <c r="Y4988" i="2"/>
  <c r="AF4992" i="2"/>
  <c r="Y4992" i="2"/>
  <c r="AF4996" i="2"/>
  <c r="Y4996" i="2"/>
  <c r="AF5000" i="2"/>
  <c r="Y5000" i="2"/>
  <c r="AK5088" i="2"/>
  <c r="Y5088" i="2"/>
  <c r="Y2127" i="2"/>
  <c r="Y2143" i="2"/>
  <c r="Y2147" i="2"/>
  <c r="Y2157" i="2"/>
  <c r="Y2165" i="2"/>
  <c r="Y2171" i="2"/>
  <c r="Y2191" i="2"/>
  <c r="Y2195" i="2"/>
  <c r="Y2219" i="2"/>
  <c r="Y2221" i="2"/>
  <c r="Y2227" i="2"/>
  <c r="Y2231" i="2"/>
  <c r="Y2237" i="2"/>
  <c r="Y2241" i="2"/>
  <c r="Y2243" i="2"/>
  <c r="Y2245" i="2"/>
  <c r="AC3481" i="2"/>
  <c r="AC2868" i="2"/>
  <c r="AC2911" i="2"/>
  <c r="AC3460" i="2"/>
  <c r="AC2927" i="2"/>
  <c r="AC3043" i="2"/>
  <c r="Y4606" i="2"/>
  <c r="Y4556" i="2"/>
  <c r="AB4451" i="2"/>
  <c r="AK4451" i="2" s="1"/>
  <c r="AB4403" i="2"/>
  <c r="AK4403" i="2" s="1"/>
  <c r="AB4268" i="2"/>
  <c r="AK4268" i="2" s="1"/>
  <c r="AB4000" i="2"/>
  <c r="AK4000" i="2" s="1"/>
  <c r="Y4595" i="2"/>
  <c r="Y4511" i="2"/>
  <c r="AB4416" i="2"/>
  <c r="AK4416" i="2" s="1"/>
  <c r="AF3545" i="2"/>
  <c r="AC3012" i="2"/>
  <c r="AC3611" i="2"/>
  <c r="AC3473" i="2"/>
  <c r="AC3121" i="2"/>
  <c r="AC2903" i="2"/>
  <c r="AC3516" i="2"/>
  <c r="AC3452" i="2"/>
  <c r="AC3125" i="2"/>
  <c r="AB4543" i="2"/>
  <c r="AK4543" i="2" s="1"/>
  <c r="AB4499" i="2"/>
  <c r="AK4499" i="2" s="1"/>
  <c r="Y4374" i="2"/>
  <c r="Y4239" i="2"/>
  <c r="AB3976" i="2"/>
  <c r="AK3976" i="2" s="1"/>
  <c r="AB4582" i="2"/>
  <c r="AK4582" i="2" s="1"/>
  <c r="Y4496" i="2"/>
  <c r="AB4408" i="2"/>
  <c r="AK4408" i="2" s="1"/>
  <c r="Y4311" i="2"/>
  <c r="Y4202" i="2"/>
  <c r="R65" i="3"/>
  <c r="T65" i="3" s="1"/>
  <c r="U65" i="3" s="1"/>
  <c r="V65" i="3" s="1"/>
  <c r="AC3004" i="2"/>
  <c r="AC3603" i="2"/>
  <c r="AC3457" i="2"/>
  <c r="AC3508" i="2"/>
  <c r="AC3444" i="2"/>
  <c r="AC3115" i="2"/>
  <c r="AB4366" i="2"/>
  <c r="AK4366" i="2" s="1"/>
  <c r="Y4207" i="2"/>
  <c r="AB3896" i="2"/>
  <c r="AK3896" i="2" s="1"/>
  <c r="Y4574" i="2"/>
  <c r="Y4395" i="2"/>
  <c r="Y3050" i="2"/>
  <c r="AB3050" i="2"/>
  <c r="AK3050" i="2" s="1"/>
  <c r="Y1389" i="2"/>
  <c r="Y1393" i="2"/>
  <c r="Y1399" i="2"/>
  <c r="Y2112" i="2"/>
  <c r="Y2254" i="2"/>
  <c r="Y2270" i="2"/>
  <c r="Y2286" i="2"/>
  <c r="Y2298" i="2"/>
  <c r="Y2306" i="2"/>
  <c r="Y2381" i="2"/>
  <c r="Y2383" i="2"/>
  <c r="Y2399" i="2"/>
  <c r="Y2407" i="2"/>
  <c r="Y2415" i="2"/>
  <c r="Y2425" i="2"/>
  <c r="Y2580" i="2"/>
  <c r="Y2615" i="2"/>
  <c r="AC2988" i="2"/>
  <c r="AC4300" i="2"/>
  <c r="AC4231" i="2"/>
  <c r="AC4043" i="2"/>
  <c r="AC3851" i="2"/>
  <c r="AC3662" i="2"/>
  <c r="AC3529" i="2"/>
  <c r="AC3441" i="2"/>
  <c r="AC2932" i="2"/>
  <c r="AC3436" i="2"/>
  <c r="AC2875" i="2"/>
  <c r="AC2801" i="2"/>
  <c r="AC3127" i="2"/>
  <c r="AC3105" i="2"/>
  <c r="Y4638" i="2"/>
  <c r="Y4590" i="2"/>
  <c r="AB4483" i="2"/>
  <c r="AK4483" i="2" s="1"/>
  <c r="AB4435" i="2"/>
  <c r="AK4435" i="2" s="1"/>
  <c r="Y4358" i="2"/>
  <c r="Y4159" i="2"/>
  <c r="Y3819" i="2"/>
  <c r="Y4648" i="2"/>
  <c r="Y4472" i="2"/>
  <c r="Y4162" i="2"/>
  <c r="Y2363" i="2"/>
  <c r="AC2980" i="2"/>
  <c r="AC3433" i="2"/>
  <c r="AC2924" i="2"/>
  <c r="AB4585" i="2"/>
  <c r="AK4585" i="2" s="1"/>
  <c r="AB4530" i="2"/>
  <c r="AK4530" i="2" s="1"/>
  <c r="Y4427" i="2"/>
  <c r="Y4686" i="2"/>
  <c r="AB4350" i="2"/>
  <c r="AK4350" i="2" s="1"/>
  <c r="Y4143" i="2"/>
  <c r="Y3803" i="2"/>
  <c r="Y4456" i="2"/>
  <c r="Y4369" i="2"/>
  <c r="Y4271" i="2"/>
  <c r="AC2975" i="2"/>
  <c r="AF2795" i="2"/>
  <c r="AF2803" i="2"/>
  <c r="AF2811" i="2"/>
  <c r="AF2819" i="2"/>
  <c r="AF2827" i="2"/>
  <c r="AF2835" i="2"/>
  <c r="AF2843" i="2"/>
  <c r="AF2869" i="2"/>
  <c r="AF2877" i="2"/>
  <c r="AF2885" i="2"/>
  <c r="AF2893" i="2"/>
  <c r="AF2901" i="2"/>
  <c r="AF2909" i="2"/>
  <c r="AF2917" i="2"/>
  <c r="AF2925" i="2"/>
  <c r="AF2933" i="2"/>
  <c r="AF2941" i="2"/>
  <c r="AF2949" i="2"/>
  <c r="AF2957" i="2"/>
  <c r="AF2965" i="2"/>
  <c r="AF2973" i="2"/>
  <c r="AF2981" i="2"/>
  <c r="AF2989" i="2"/>
  <c r="R64" i="3"/>
  <c r="T64" i="3" s="1"/>
  <c r="U64" i="3" s="1"/>
  <c r="V64" i="3" s="1"/>
  <c r="AF3005" i="2"/>
  <c r="AF3013" i="2"/>
  <c r="AF3355" i="2"/>
  <c r="AF3357" i="2"/>
  <c r="AF3359" i="2"/>
  <c r="AF3369" i="2"/>
  <c r="AF3371" i="2"/>
  <c r="AF3375" i="2"/>
  <c r="AF3389" i="2"/>
  <c r="AF3395" i="2"/>
  <c r="AF3399" i="2"/>
  <c r="AF3403" i="2"/>
  <c r="AF3450" i="2"/>
  <c r="R68" i="3"/>
  <c r="T68" i="3" s="1"/>
  <c r="U68" i="3" s="1"/>
  <c r="V68" i="3" s="1"/>
  <c r="AF3482" i="2"/>
  <c r="AF3498" i="2"/>
  <c r="AF3514" i="2"/>
  <c r="AF3530" i="2"/>
  <c r="AF3567" i="2"/>
  <c r="AF3580" i="2"/>
  <c r="AF3604" i="2"/>
  <c r="Y3621" i="2"/>
  <c r="Y3637" i="2"/>
  <c r="Y3661" i="2"/>
  <c r="Y3733" i="2"/>
  <c r="Y3741" i="2"/>
  <c r="Y3781" i="2"/>
  <c r="Y3432" i="2"/>
  <c r="Y3440" i="2"/>
  <c r="Y3456" i="2"/>
  <c r="Y3464" i="2"/>
  <c r="Y3472" i="2"/>
  <c r="Y3480" i="2"/>
  <c r="Y3488" i="2"/>
  <c r="Y3496" i="2"/>
  <c r="Y3504" i="2"/>
  <c r="Y3512" i="2"/>
  <c r="Y3520" i="2"/>
  <c r="Y3528" i="2"/>
  <c r="Y3536" i="2"/>
  <c r="Y3544" i="2"/>
  <c r="Y3549" i="2"/>
  <c r="Y3557" i="2"/>
  <c r="Y3565" i="2"/>
  <c r="Y3578" i="2"/>
  <c r="Y3586" i="2"/>
  <c r="Y3610" i="2"/>
  <c r="Y3618" i="2"/>
  <c r="Y3634" i="2"/>
  <c r="Y3650" i="2"/>
  <c r="Y3658" i="2"/>
  <c r="Y3666" i="2"/>
  <c r="Y3674" i="2"/>
  <c r="Y3682" i="2"/>
  <c r="Y3690" i="2"/>
  <c r="Y3698" i="2"/>
  <c r="Y3706" i="2"/>
  <c r="Y3714" i="2"/>
  <c r="Y3722" i="2"/>
  <c r="Y3730" i="2"/>
  <c r="Y3738" i="2"/>
  <c r="Y3746" i="2"/>
  <c r="Y3754" i="2"/>
  <c r="Y3762" i="2"/>
  <c r="Y3778" i="2"/>
  <c r="Y3786" i="2"/>
  <c r="Y3794" i="2"/>
  <c r="Y3802" i="2"/>
  <c r="Y3810" i="2"/>
  <c r="Y3818" i="2"/>
  <c r="Y3826" i="2"/>
  <c r="Y3839" i="2"/>
  <c r="Y3847" i="2"/>
  <c r="Y3855" i="2"/>
  <c r="Y3863" i="2"/>
  <c r="Y3871" i="2"/>
  <c r="Y3879" i="2"/>
  <c r="Y3887" i="2"/>
  <c r="Y3895" i="2"/>
  <c r="Y3903" i="2"/>
  <c r="Y3919" i="2"/>
  <c r="Y3927" i="2"/>
  <c r="Y3935" i="2"/>
  <c r="Y3943" i="2"/>
  <c r="Y3951" i="2"/>
  <c r="Y3959" i="2"/>
  <c r="Y3854" i="2"/>
  <c r="Y3894" i="2"/>
  <c r="Y4006" i="2"/>
  <c r="Y4022" i="2"/>
  <c r="Y4266" i="2"/>
  <c r="Y4290" i="2"/>
  <c r="Y4438" i="2"/>
  <c r="Y4525" i="2"/>
  <c r="Y4551" i="2"/>
  <c r="Y4580" i="2"/>
  <c r="Y4609" i="2"/>
  <c r="Y4641" i="2"/>
  <c r="Y4658" i="2"/>
  <c r="Y4706" i="2"/>
  <c r="Y4724" i="2"/>
  <c r="Y4728" i="2"/>
  <c r="Y4750" i="2"/>
  <c r="Y4754" i="2"/>
  <c r="Y4766" i="2"/>
  <c r="Y4780" i="2"/>
  <c r="R142" i="3"/>
  <c r="T142" i="3" s="1"/>
  <c r="U142" i="3" s="1"/>
  <c r="V142" i="3" s="1"/>
  <c r="AB5954" i="2"/>
  <c r="AK5954" i="2" s="1"/>
  <c r="Y5898" i="2"/>
  <c r="AF6002" i="2"/>
  <c r="AC5986" i="2"/>
  <c r="Y6023" i="2"/>
  <c r="AB5829" i="2"/>
  <c r="AK5829" i="2" s="1"/>
  <c r="AB6495" i="2"/>
  <c r="AK6495" i="2" s="1"/>
  <c r="Y5864" i="2"/>
  <c r="Y5701" i="2"/>
  <c r="R127" i="3"/>
  <c r="T127" i="3" s="1"/>
  <c r="U127" i="3" s="1"/>
  <c r="V127" i="3" s="1"/>
  <c r="Y3967" i="2"/>
  <c r="Y3975" i="2"/>
  <c r="Y3983" i="2"/>
  <c r="Y3991" i="2"/>
  <c r="Y3999" i="2"/>
  <c r="Y4015" i="2"/>
  <c r="Y4023" i="2"/>
  <c r="Y4031" i="2"/>
  <c r="Y4039" i="2"/>
  <c r="Y4047" i="2"/>
  <c r="Y4055" i="2"/>
  <c r="Y4063" i="2"/>
  <c r="Y4071" i="2"/>
  <c r="Y4079" i="2"/>
  <c r="Y4089" i="2"/>
  <c r="Y4097" i="2"/>
  <c r="Y4110" i="2"/>
  <c r="Y4118" i="2"/>
  <c r="Y4126" i="2"/>
  <c r="Y4134" i="2"/>
  <c r="Y4142" i="2"/>
  <c r="Y4150" i="2"/>
  <c r="Y4158" i="2"/>
  <c r="Y4166" i="2"/>
  <c r="Y4174" i="2"/>
  <c r="Y4182" i="2"/>
  <c r="Y4190" i="2"/>
  <c r="Y4206" i="2"/>
  <c r="Y4214" i="2"/>
  <c r="Y4222" i="2"/>
  <c r="Y4230" i="2"/>
  <c r="Y4246" i="2"/>
  <c r="Y4254" i="2"/>
  <c r="Y4262" i="2"/>
  <c r="Y4275" i="2"/>
  <c r="Y4283" i="2"/>
  <c r="Y4299" i="2"/>
  <c r="Y4315" i="2"/>
  <c r="Y4323" i="2"/>
  <c r="Y4336" i="2"/>
  <c r="Y4349" i="2"/>
  <c r="Y4357" i="2"/>
  <c r="Y4373" i="2"/>
  <c r="Y4381" i="2"/>
  <c r="Y4389" i="2"/>
  <c r="Y4399" i="2"/>
  <c r="Y4415" i="2"/>
  <c r="Y4423" i="2"/>
  <c r="Y4431" i="2"/>
  <c r="Y4439" i="2"/>
  <c r="Y4447" i="2"/>
  <c r="Y4455" i="2"/>
  <c r="Y4463" i="2"/>
  <c r="Y4471" i="2"/>
  <c r="Y4479" i="2"/>
  <c r="Y4487" i="2"/>
  <c r="Y4495" i="2"/>
  <c r="Y4503" i="2"/>
  <c r="Y4508" i="2"/>
  <c r="Y4510" i="2"/>
  <c r="Y4518" i="2"/>
  <c r="Y4534" i="2"/>
  <c r="Y4547" i="2"/>
  <c r="Y4552" i="2"/>
  <c r="Y4560" i="2"/>
  <c r="Y4565" i="2"/>
  <c r="Y4581" i="2"/>
  <c r="Y4589" i="2"/>
  <c r="Y4594" i="2"/>
  <c r="Y4618" i="2"/>
  <c r="Y4626" i="2"/>
  <c r="Y4634" i="2"/>
  <c r="Y4647" i="2"/>
  <c r="Y4689" i="2"/>
  <c r="AF6034" i="2"/>
  <c r="Y6448" i="2"/>
  <c r="Y5885" i="2"/>
  <c r="AC5914" i="2"/>
  <c r="AC5882" i="2"/>
  <c r="Y6535" i="2"/>
  <c r="Y6436" i="2"/>
  <c r="Y5837" i="2"/>
  <c r="Y6549" i="2"/>
  <c r="AF5925" i="2"/>
  <c r="Y5970" i="2"/>
  <c r="R92" i="3"/>
  <c r="AB5821" i="2"/>
  <c r="AK5821" i="2" s="1"/>
  <c r="Y5962" i="2"/>
  <c r="Y5906" i="2"/>
  <c r="Y5845" i="2"/>
  <c r="AB5986" i="2"/>
  <c r="AK5986" i="2" s="1"/>
  <c r="Y5840" i="2"/>
  <c r="Y564" i="2"/>
  <c r="Y190" i="2"/>
  <c r="Y760" i="2"/>
  <c r="Y722" i="2"/>
  <c r="Y668" i="2"/>
  <c r="Y165" i="2"/>
  <c r="AB249" i="2"/>
  <c r="AK249" i="2" s="1"/>
  <c r="Y249" i="2"/>
  <c r="AF255" i="2"/>
  <c r="Y255" i="2"/>
  <c r="Y284" i="2"/>
  <c r="Y296" i="2"/>
  <c r="Y300" i="2"/>
  <c r="AF312" i="2"/>
  <c r="Y312" i="2"/>
  <c r="AF503" i="2"/>
  <c r="Y503" i="2"/>
  <c r="AF529" i="2"/>
  <c r="Y529" i="2"/>
  <c r="AB772" i="2"/>
  <c r="AK772" i="2" s="1"/>
  <c r="Y772" i="2"/>
  <c r="Y774" i="2"/>
  <c r="Y778" i="2"/>
  <c r="Y792" i="2"/>
  <c r="AB792" i="2"/>
  <c r="AK792" i="2" s="1"/>
  <c r="Y812" i="2"/>
  <c r="AB812" i="2"/>
  <c r="AK812" i="2" s="1"/>
  <c r="Y878" i="2"/>
  <c r="Y902" i="2"/>
  <c r="Y922" i="2"/>
  <c r="Y988" i="2"/>
  <c r="Y1011" i="2"/>
  <c r="AB212" i="2"/>
  <c r="AK212" i="2" s="1"/>
  <c r="Y212" i="2"/>
  <c r="Y220" i="2"/>
  <c r="AB220" i="2"/>
  <c r="AK220" i="2" s="1"/>
  <c r="AC220" i="2"/>
  <c r="AK228" i="2"/>
  <c r="Y228" i="2"/>
  <c r="Y230" i="2"/>
  <c r="AB230" i="2"/>
  <c r="AK230" i="2" s="1"/>
  <c r="AB232" i="2"/>
  <c r="AK232" i="2" s="1"/>
  <c r="Y232" i="2"/>
  <c r="Y240" i="2"/>
  <c r="AB240" i="2"/>
  <c r="AK240" i="2" s="1"/>
  <c r="AC240" i="2"/>
  <c r="Y272" i="2"/>
  <c r="AB272" i="2"/>
  <c r="AK272" i="2" s="1"/>
  <c r="Y276" i="2"/>
  <c r="AB276" i="2"/>
  <c r="AK276" i="2" s="1"/>
  <c r="AC276" i="2"/>
  <c r="Y576" i="2"/>
  <c r="AB576" i="2"/>
  <c r="AK576" i="2" s="1"/>
  <c r="Y580" i="2"/>
  <c r="AB580" i="2"/>
  <c r="AK580" i="2" s="1"/>
  <c r="Y582" i="2"/>
  <c r="AB582" i="2"/>
  <c r="AK582" i="2" s="1"/>
  <c r="AC582" i="2"/>
  <c r="AK586" i="2"/>
  <c r="Y586" i="2"/>
  <c r="AB590" i="2"/>
  <c r="AK590" i="2" s="1"/>
  <c r="Y590" i="2"/>
  <c r="AB592" i="2"/>
  <c r="AK592" i="2" s="1"/>
  <c r="Y592" i="2"/>
  <c r="AB594" i="2"/>
  <c r="AK594" i="2" s="1"/>
  <c r="Y594" i="2"/>
  <c r="AB596" i="2"/>
  <c r="AK596" i="2" s="1"/>
  <c r="Y596" i="2"/>
  <c r="Y600" i="2"/>
  <c r="AB600" i="2"/>
  <c r="AK600" i="2" s="1"/>
  <c r="AB606" i="2"/>
  <c r="AK606" i="2" s="1"/>
  <c r="Y606" i="2"/>
  <c r="AB608" i="2"/>
  <c r="AK608" i="2" s="1"/>
  <c r="Y608" i="2"/>
  <c r="Y616" i="2"/>
  <c r="AB616" i="2"/>
  <c r="AK616" i="2" s="1"/>
  <c r="AB618" i="2"/>
  <c r="AK618" i="2" s="1"/>
  <c r="Y618" i="2"/>
  <c r="Y620" i="2"/>
  <c r="AB620" i="2"/>
  <c r="AK620" i="2" s="1"/>
  <c r="Y624" i="2"/>
  <c r="AB624" i="2"/>
  <c r="AK624" i="2" s="1"/>
  <c r="Y626" i="2"/>
  <c r="AB626" i="2"/>
  <c r="AK626" i="2" s="1"/>
  <c r="AB628" i="2"/>
  <c r="AK628" i="2" s="1"/>
  <c r="Y628" i="2"/>
  <c r="AB630" i="2"/>
  <c r="AK630" i="2" s="1"/>
  <c r="Y630" i="2"/>
  <c r="AK634" i="2"/>
  <c r="Y634" i="2"/>
  <c r="AK636" i="2"/>
  <c r="AC636" i="2"/>
  <c r="AK638" i="2"/>
  <c r="Y638" i="2"/>
  <c r="AC638" i="2"/>
  <c r="AK646" i="2"/>
  <c r="Y646" i="2"/>
  <c r="AK648" i="2"/>
  <c r="Y648" i="2"/>
  <c r="AK652" i="2"/>
  <c r="Y652" i="2"/>
  <c r="AC652" i="2"/>
  <c r="Y656" i="2"/>
  <c r="AB656" i="2"/>
  <c r="AK656" i="2" s="1"/>
  <c r="Y658" i="2"/>
  <c r="AB658" i="2"/>
  <c r="AK658" i="2" s="1"/>
  <c r="AB660" i="2"/>
  <c r="AK660" i="2" s="1"/>
  <c r="Y660" i="2"/>
  <c r="AB664" i="2"/>
  <c r="AK664" i="2" s="1"/>
  <c r="Y664" i="2"/>
  <c r="Y666" i="2"/>
  <c r="AB666" i="2"/>
  <c r="AK666" i="2" s="1"/>
  <c r="Y672" i="2"/>
  <c r="AB672" i="2"/>
  <c r="AK672" i="2" s="1"/>
  <c r="AB674" i="2"/>
  <c r="AK674" i="2" s="1"/>
  <c r="Y674" i="2"/>
  <c r="Y676" i="2"/>
  <c r="AB676" i="2"/>
  <c r="AK676" i="2" s="1"/>
  <c r="AB678" i="2"/>
  <c r="AK678" i="2" s="1"/>
  <c r="Y678" i="2"/>
  <c r="Y680" i="2"/>
  <c r="AB680" i="2"/>
  <c r="AK680" i="2" s="1"/>
  <c r="AB684" i="2"/>
  <c r="AK684" i="2" s="1"/>
  <c r="Y684" i="2"/>
  <c r="AB690" i="2"/>
  <c r="AK690" i="2" s="1"/>
  <c r="Y690" i="2"/>
  <c r="Y692" i="2"/>
  <c r="AB692" i="2"/>
  <c r="AK692" i="2" s="1"/>
  <c r="AB696" i="2"/>
  <c r="AK696" i="2" s="1"/>
  <c r="Y696" i="2"/>
  <c r="AB700" i="2"/>
  <c r="AK700" i="2" s="1"/>
  <c r="Y700" i="2"/>
  <c r="Y704" i="2"/>
  <c r="AB704" i="2"/>
  <c r="AK704" i="2" s="1"/>
  <c r="AK706" i="2"/>
  <c r="Y706" i="2"/>
  <c r="AC706" i="2"/>
  <c r="Y712" i="2"/>
  <c r="AB712" i="2"/>
  <c r="AK712" i="2" s="1"/>
  <c r="AB716" i="2"/>
  <c r="AK716" i="2" s="1"/>
  <c r="Y716" i="2"/>
  <c r="Y718" i="2"/>
  <c r="AB718" i="2"/>
  <c r="AK718" i="2" s="1"/>
  <c r="AK720" i="2"/>
  <c r="Y720" i="2"/>
  <c r="AB724" i="2"/>
  <c r="AK724" i="2" s="1"/>
  <c r="Y724" i="2"/>
  <c r="Y726" i="2"/>
  <c r="AB726" i="2"/>
  <c r="AK726" i="2" s="1"/>
  <c r="Y732" i="2"/>
  <c r="AB732" i="2"/>
  <c r="AK732" i="2" s="1"/>
  <c r="AB734" i="2"/>
  <c r="AK734" i="2" s="1"/>
  <c r="Y734" i="2"/>
  <c r="AB736" i="2"/>
  <c r="AK736" i="2" s="1"/>
  <c r="Y736" i="2"/>
  <c r="Y744" i="2"/>
  <c r="AB744" i="2"/>
  <c r="AK744" i="2" s="1"/>
  <c r="AB748" i="2"/>
  <c r="AK748" i="2" s="1"/>
  <c r="Y748" i="2"/>
  <c r="Y750" i="2"/>
  <c r="AB750" i="2"/>
  <c r="AK750" i="2" s="1"/>
  <c r="AB752" i="2"/>
  <c r="AK752" i="2" s="1"/>
  <c r="Y752" i="2"/>
  <c r="AB764" i="2"/>
  <c r="AK764" i="2" s="1"/>
  <c r="Y764" i="2"/>
  <c r="AF852" i="2"/>
  <c r="Y852" i="2"/>
  <c r="AF886" i="2"/>
  <c r="Y886" i="2"/>
  <c r="AF908" i="2"/>
  <c r="Y908" i="2"/>
  <c r="AF952" i="2"/>
  <c r="Y952" i="2"/>
  <c r="AF958" i="2"/>
  <c r="Y958" i="2"/>
  <c r="AF976" i="2"/>
  <c r="Y976" i="2"/>
  <c r="AB993" i="2"/>
  <c r="AK993" i="2" s="1"/>
  <c r="Y993" i="2"/>
  <c r="AB995" i="2"/>
  <c r="AK995" i="2" s="1"/>
  <c r="Y995" i="2"/>
  <c r="Y999" i="2"/>
  <c r="AB999" i="2"/>
  <c r="AK999" i="2" s="1"/>
  <c r="Y1003" i="2"/>
  <c r="AB1003" i="2"/>
  <c r="AK1003" i="2" s="1"/>
  <c r="AB1005" i="2"/>
  <c r="AK1005" i="2" s="1"/>
  <c r="Y1005" i="2"/>
  <c r="Y1070" i="2"/>
  <c r="AB1070" i="2"/>
  <c r="AK1070" i="2" s="1"/>
  <c r="Y1074" i="2"/>
  <c r="AC1074" i="2"/>
  <c r="Y1082" i="2"/>
  <c r="AB1082" i="2"/>
  <c r="AK1082" i="2" s="1"/>
  <c r="Y1092" i="2"/>
  <c r="AB1092" i="2"/>
  <c r="AK1092" i="2" s="1"/>
  <c r="Y1098" i="2"/>
  <c r="AB1098" i="2"/>
  <c r="AK1098" i="2" s="1"/>
  <c r="Y1102" i="2"/>
  <c r="AB1102" i="2"/>
  <c r="AK1102" i="2" s="1"/>
  <c r="Y1110" i="2"/>
  <c r="AC1110" i="2"/>
  <c r="Y1114" i="2"/>
  <c r="AB1114" i="2"/>
  <c r="AK1114" i="2" s="1"/>
  <c r="AB1124" i="2"/>
  <c r="AK1124" i="2" s="1"/>
  <c r="Y1124" i="2"/>
  <c r="AK1128" i="2"/>
  <c r="Y1128" i="2"/>
  <c r="AC1128" i="2"/>
  <c r="AB1132" i="2"/>
  <c r="AK1132" i="2" s="1"/>
  <c r="Y1132" i="2"/>
  <c r="Y1136" i="2"/>
  <c r="AB1136" i="2"/>
  <c r="AK1136" i="2" s="1"/>
  <c r="Y1148" i="2"/>
  <c r="AB1148" i="2"/>
  <c r="AK1148" i="2" s="1"/>
  <c r="Y1158" i="2"/>
  <c r="AB1158" i="2"/>
  <c r="AK1158" i="2" s="1"/>
  <c r="AC430" i="2"/>
  <c r="AC590" i="2"/>
  <c r="AC147" i="2"/>
  <c r="Y1240" i="2"/>
  <c r="Y746" i="2"/>
  <c r="Y698" i="2"/>
  <c r="AF245" i="2"/>
  <c r="Y245" i="2"/>
  <c r="AF266" i="2"/>
  <c r="Y266" i="2"/>
  <c r="AK502" i="2"/>
  <c r="AC502" i="2"/>
  <c r="AF566" i="2"/>
  <c r="Y566" i="2"/>
  <c r="AF570" i="2"/>
  <c r="Y570" i="2"/>
  <c r="AB1028" i="2"/>
  <c r="AK1028" i="2" s="1"/>
  <c r="AC1028" i="2"/>
  <c r="AF1234" i="2"/>
  <c r="Y1234" i="2"/>
  <c r="AF1242" i="2"/>
  <c r="Y1242" i="2"/>
  <c r="AF1244" i="2"/>
  <c r="Y1244" i="2"/>
  <c r="AF1248" i="2"/>
  <c r="Y1248" i="2"/>
  <c r="AF1276" i="2"/>
  <c r="Y1276" i="2"/>
  <c r="AF1288" i="2"/>
  <c r="Y1288" i="2"/>
  <c r="AF1294" i="2"/>
  <c r="Y1294" i="2"/>
  <c r="AF1587" i="2"/>
  <c r="Y1587" i="2"/>
  <c r="AF1624" i="2"/>
  <c r="Y1624" i="2"/>
  <c r="AF1632" i="2"/>
  <c r="Y1632" i="2"/>
  <c r="AF1644" i="2"/>
  <c r="Y1644" i="2"/>
  <c r="AF1648" i="2"/>
  <c r="Y1648" i="2"/>
  <c r="AF1654" i="2"/>
  <c r="Y1654" i="2"/>
  <c r="AF1660" i="2"/>
  <c r="Y1660" i="2"/>
  <c r="AF1662" i="2"/>
  <c r="Y1662" i="2"/>
  <c r="Y1695" i="2"/>
  <c r="AB1695" i="2"/>
  <c r="AK1695" i="2" s="1"/>
  <c r="Y1697" i="2"/>
  <c r="AC1697" i="2"/>
  <c r="Y1705" i="2"/>
  <c r="AB1705" i="2"/>
  <c r="AK1705" i="2" s="1"/>
  <c r="Y1713" i="2"/>
  <c r="AB1713" i="2"/>
  <c r="AK1713" i="2" s="1"/>
  <c r="Y1723" i="2"/>
  <c r="AB1723" i="2"/>
  <c r="AK1723" i="2" s="1"/>
  <c r="Y1727" i="2"/>
  <c r="AC1727" i="2"/>
  <c r="Y1737" i="2"/>
  <c r="AB1737" i="2"/>
  <c r="AK1737" i="2" s="1"/>
  <c r="Y1741" i="2"/>
  <c r="AB1741" i="2"/>
  <c r="AK1741" i="2" s="1"/>
  <c r="AB1747" i="2"/>
  <c r="AK1747" i="2" s="1"/>
  <c r="AC1747" i="2"/>
  <c r="R21" i="3"/>
  <c r="T21" i="3" s="1"/>
  <c r="U21" i="3" s="1"/>
  <c r="V21" i="3" s="1"/>
  <c r="AC1026" i="2"/>
  <c r="AC1036" i="2"/>
  <c r="AC720" i="2"/>
  <c r="AC327" i="2"/>
  <c r="AB1443" i="2"/>
  <c r="AK1443" i="2" s="1"/>
  <c r="Y1250" i="2"/>
  <c r="Y568" i="2"/>
  <c r="Y264" i="2"/>
  <c r="Y740" i="2"/>
  <c r="Y686" i="2"/>
  <c r="Y612" i="2"/>
  <c r="Y936" i="2"/>
  <c r="Y898" i="2"/>
  <c r="AC17" i="2"/>
  <c r="AC45" i="2"/>
  <c r="AC372" i="2"/>
  <c r="Y372" i="2" s="1"/>
  <c r="AC710" i="2"/>
  <c r="AC323" i="2"/>
  <c r="AC174" i="2"/>
  <c r="AC1044" i="2"/>
  <c r="Y1236" i="2"/>
  <c r="Y728" i="2"/>
  <c r="AB682" i="2"/>
  <c r="AK682" i="2" s="1"/>
  <c r="Y610" i="2"/>
  <c r="AC1024" i="2"/>
  <c r="AC708" i="2"/>
  <c r="AC648" i="2"/>
  <c r="AA17" i="2"/>
  <c r="AB17" i="2" s="1"/>
  <c r="AK17" i="2" s="1"/>
  <c r="AC1040" i="2"/>
  <c r="Y670" i="2"/>
  <c r="AB602" i="2"/>
  <c r="AK602" i="2" s="1"/>
  <c r="AB2348" i="2"/>
  <c r="AK2348" i="2" s="1"/>
  <c r="AB1777" i="2"/>
  <c r="AK1777" i="2" s="1"/>
  <c r="AB1759" i="2"/>
  <c r="AK1759" i="2" s="1"/>
  <c r="AB1214" i="2"/>
  <c r="AK1214" i="2" s="1"/>
  <c r="AB1206" i="2"/>
  <c r="AK1206" i="2" s="1"/>
  <c r="AB1198" i="2"/>
  <c r="AK1198" i="2" s="1"/>
  <c r="AB1190" i="2"/>
  <c r="AK1190" i="2" s="1"/>
  <c r="AB1168" i="2"/>
  <c r="AK1168" i="2" s="1"/>
  <c r="Y2029" i="2"/>
  <c r="Y2019" i="2"/>
  <c r="Y2001" i="2"/>
  <c r="Y1975" i="2"/>
  <c r="AB1270" i="2"/>
  <c r="AK1270" i="2" s="1"/>
  <c r="Y1682" i="2"/>
  <c r="Y1589" i="2"/>
  <c r="Y1356" i="2"/>
  <c r="AB1338" i="2"/>
  <c r="AK1338" i="2" s="1"/>
  <c r="AB1318" i="2"/>
  <c r="AK1318" i="2" s="1"/>
  <c r="AB1011" i="2"/>
  <c r="AK1011" i="2" s="1"/>
  <c r="Y972" i="2"/>
  <c r="AB878" i="2"/>
  <c r="AK878" i="2" s="1"/>
  <c r="Y850" i="2"/>
  <c r="AC2676" i="2"/>
  <c r="Y2537" i="2"/>
  <c r="AB824" i="2"/>
  <c r="AK824" i="2" s="1"/>
  <c r="Y824" i="2"/>
  <c r="AB840" i="2"/>
  <c r="AK840" i="2" s="1"/>
  <c r="Y840" i="2"/>
  <c r="AB848" i="2"/>
  <c r="AK848" i="2" s="1"/>
  <c r="Y848" i="2"/>
  <c r="AB856" i="2"/>
  <c r="AK856" i="2" s="1"/>
  <c r="Y856" i="2"/>
  <c r="Y868" i="2"/>
  <c r="AB870" i="2"/>
  <c r="AK870" i="2" s="1"/>
  <c r="Y870" i="2"/>
  <c r="Y876" i="2"/>
  <c r="AB876" i="2"/>
  <c r="AK876" i="2" s="1"/>
  <c r="AB900" i="2"/>
  <c r="AK900" i="2" s="1"/>
  <c r="Y900" i="2"/>
  <c r="Y906" i="2"/>
  <c r="AB906" i="2"/>
  <c r="AK906" i="2" s="1"/>
  <c r="AB910" i="2"/>
  <c r="AK910" i="2" s="1"/>
  <c r="Y910" i="2"/>
  <c r="Y914" i="2"/>
  <c r="Y924" i="2"/>
  <c r="AB924" i="2"/>
  <c r="AK924" i="2" s="1"/>
  <c r="AB926" i="2"/>
  <c r="AK926" i="2" s="1"/>
  <c r="Y926" i="2"/>
  <c r="Y930" i="2"/>
  <c r="AB932" i="2"/>
  <c r="AK932" i="2" s="1"/>
  <c r="Y932" i="2"/>
  <c r="Y934" i="2"/>
  <c r="AB938" i="2"/>
  <c r="AK938" i="2" s="1"/>
  <c r="Y938" i="2"/>
  <c r="Y940" i="2"/>
  <c r="AB942" i="2"/>
  <c r="AK942" i="2" s="1"/>
  <c r="Y942" i="2"/>
  <c r="Y946" i="2"/>
  <c r="Y948" i="2"/>
  <c r="AB950" i="2"/>
  <c r="AK950" i="2" s="1"/>
  <c r="Y950" i="2"/>
  <c r="Y954" i="2"/>
  <c r="AB954" i="2"/>
  <c r="AK954" i="2" s="1"/>
  <c r="AB956" i="2"/>
  <c r="AK956" i="2" s="1"/>
  <c r="Y956" i="2"/>
  <c r="AB964" i="2"/>
  <c r="AK964" i="2" s="1"/>
  <c r="Y964" i="2"/>
  <c r="Y968" i="2"/>
  <c r="AB970" i="2"/>
  <c r="AK970" i="2" s="1"/>
  <c r="Y970" i="2"/>
  <c r="Y978" i="2"/>
  <c r="AB978" i="2"/>
  <c r="AK978" i="2" s="1"/>
  <c r="Y980" i="2"/>
  <c r="Y984" i="2"/>
  <c r="AB984" i="2"/>
  <c r="AK984" i="2" s="1"/>
  <c r="Y986" i="2"/>
  <c r="AB986" i="2"/>
  <c r="AK986" i="2" s="1"/>
  <c r="Y1007" i="2"/>
  <c r="Y1009" i="2"/>
  <c r="AB1009" i="2"/>
  <c r="AK1009" i="2" s="1"/>
  <c r="AF1013" i="2"/>
  <c r="Y1013" i="2"/>
  <c r="AF1017" i="2"/>
  <c r="Y1017" i="2"/>
  <c r="AF1019" i="2"/>
  <c r="Y1019" i="2"/>
  <c r="AF1025" i="2"/>
  <c r="Y1025" i="2"/>
  <c r="AF1033" i="2"/>
  <c r="Y1033" i="2"/>
  <c r="AF1035" i="2"/>
  <c r="Y1035" i="2"/>
  <c r="AF1037" i="2"/>
  <c r="Y1037" i="2"/>
  <c r="Y1374" i="2"/>
  <c r="AB1374" i="2"/>
  <c r="AK1374" i="2" s="1"/>
  <c r="AB1378" i="2"/>
  <c r="AK1378" i="2" s="1"/>
  <c r="Y1378" i="2"/>
  <c r="Y1380" i="2"/>
  <c r="AB1380" i="2"/>
  <c r="AK1380" i="2" s="1"/>
  <c r="Y1384" i="2"/>
  <c r="Y1386" i="2"/>
  <c r="AB1388" i="2"/>
  <c r="AK1388" i="2" s="1"/>
  <c r="Y1388" i="2"/>
  <c r="Y1390" i="2"/>
  <c r="Y1392" i="2"/>
  <c r="Y1394" i="2"/>
  <c r="AB1394" i="2"/>
  <c r="AK1394" i="2" s="1"/>
  <c r="Y1396" i="2"/>
  <c r="Y1400" i="2"/>
  <c r="AF1408" i="2"/>
  <c r="Y1408" i="2"/>
  <c r="AF1416" i="2"/>
  <c r="Y1416" i="2"/>
  <c r="AF1424" i="2"/>
  <c r="Y1424" i="2"/>
  <c r="AF1428" i="2"/>
  <c r="Y1428" i="2"/>
  <c r="AF1442" i="2"/>
  <c r="Y1442" i="2"/>
  <c r="AF1446" i="2"/>
  <c r="Y1446" i="2"/>
  <c r="AF1454" i="2"/>
  <c r="Y1454" i="2"/>
  <c r="AF1462" i="2"/>
  <c r="Y1462" i="2"/>
  <c r="AF1470" i="2"/>
  <c r="Y1470" i="2"/>
  <c r="AF1472" i="2"/>
  <c r="Y1472" i="2"/>
  <c r="AF1476" i="2"/>
  <c r="Y1476" i="2"/>
  <c r="AF1478" i="2"/>
  <c r="Y1478" i="2"/>
  <c r="AF1486" i="2"/>
  <c r="Y1486" i="2"/>
  <c r="AF1490" i="2"/>
  <c r="Y1490" i="2"/>
  <c r="AF1496" i="2"/>
  <c r="Y1496" i="2"/>
  <c r="AF1498" i="2"/>
  <c r="Y1498" i="2"/>
  <c r="AF1506" i="2"/>
  <c r="Y1506" i="2"/>
  <c r="AF1508" i="2"/>
  <c r="Y1508" i="2"/>
  <c r="AF1512" i="2"/>
  <c r="Y1512" i="2"/>
  <c r="AF1520" i="2"/>
  <c r="Y1520" i="2"/>
  <c r="AF1534" i="2"/>
  <c r="Y1534" i="2"/>
  <c r="AF1538" i="2"/>
  <c r="Y1538" i="2"/>
  <c r="AF1540" i="2"/>
  <c r="Y1540" i="2"/>
  <c r="AF1544" i="2"/>
  <c r="Y1544" i="2"/>
  <c r="AF1548" i="2"/>
  <c r="Y1548" i="2"/>
  <c r="AF1554" i="2"/>
  <c r="Y1554" i="2"/>
  <c r="AF1558" i="2"/>
  <c r="Y1558" i="2"/>
  <c r="AF1562" i="2"/>
  <c r="Y1562" i="2"/>
  <c r="AF1564" i="2"/>
  <c r="Y1564" i="2"/>
  <c r="AF1566" i="2"/>
  <c r="Y1566" i="2"/>
  <c r="AF1576" i="2"/>
  <c r="Y1576" i="2"/>
  <c r="AF1582" i="2"/>
  <c r="Y1582" i="2"/>
  <c r="AF1584" i="2"/>
  <c r="Y1584" i="2"/>
  <c r="AF1607" i="2"/>
  <c r="Y1607" i="2"/>
  <c r="AF1609" i="2"/>
  <c r="Y1609" i="2"/>
  <c r="AF1611" i="2"/>
  <c r="Y1611" i="2"/>
  <c r="AF1615" i="2"/>
  <c r="Y1615" i="2"/>
  <c r="AB1686" i="2"/>
  <c r="AK1686" i="2" s="1"/>
  <c r="Y1686" i="2"/>
  <c r="Y1688" i="2"/>
  <c r="AB1688" i="2"/>
  <c r="AK1688" i="2" s="1"/>
  <c r="AK1182" i="2"/>
  <c r="Y1182" i="2"/>
  <c r="Y1312" i="2"/>
  <c r="AB1312" i="2"/>
  <c r="AK1312" i="2" s="1"/>
  <c r="AB1324" i="2"/>
  <c r="AK1324" i="2" s="1"/>
  <c r="Y1324" i="2"/>
  <c r="AK1334" i="2"/>
  <c r="Y1334" i="2"/>
  <c r="Y1336" i="2"/>
  <c r="AB1336" i="2"/>
  <c r="AK1336" i="2" s="1"/>
  <c r="Y1342" i="2"/>
  <c r="AB1342" i="2"/>
  <c r="AK1342" i="2" s="1"/>
  <c r="Y1346" i="2"/>
  <c r="AB1346" i="2"/>
  <c r="AK1346" i="2" s="1"/>
  <c r="AK1348" i="2"/>
  <c r="Y1348" i="2"/>
  <c r="Y1360" i="2"/>
  <c r="AB1360" i="2"/>
  <c r="AK1360" i="2" s="1"/>
  <c r="AB1366" i="2"/>
  <c r="AK1366" i="2" s="1"/>
  <c r="Y1366" i="2"/>
  <c r="AB1370" i="2"/>
  <c r="AK1370" i="2" s="1"/>
  <c r="Y1370" i="2"/>
  <c r="AB1597" i="2"/>
  <c r="AK1597" i="2" s="1"/>
  <c r="Y1597" i="2"/>
  <c r="AF2079" i="2"/>
  <c r="Y2079" i="2"/>
  <c r="AF2083" i="2"/>
  <c r="Y2083" i="2"/>
  <c r="AF2087" i="2"/>
  <c r="Y2087" i="2"/>
  <c r="AF2091" i="2"/>
  <c r="Y2091" i="2"/>
  <c r="AF2095" i="2"/>
  <c r="Y2095" i="2"/>
  <c r="AF2099" i="2"/>
  <c r="Y2099" i="2"/>
  <c r="AF2103" i="2"/>
  <c r="Y2103" i="2"/>
  <c r="AF2107" i="2"/>
  <c r="Y2107" i="2"/>
  <c r="AF2111" i="2"/>
  <c r="Y2111" i="2"/>
  <c r="AC2115" i="2"/>
  <c r="Y2115" i="2"/>
  <c r="AC2117" i="2"/>
  <c r="AB2117" i="2"/>
  <c r="AK2117" i="2" s="1"/>
  <c r="AC2119" i="2"/>
  <c r="Y2119" i="2"/>
  <c r="AB2121" i="2"/>
  <c r="AK2121" i="2" s="1"/>
  <c r="Y2121" i="2"/>
  <c r="AC2125" i="2"/>
  <c r="AB2125" i="2"/>
  <c r="AK2125" i="2" s="1"/>
  <c r="AF2151" i="2"/>
  <c r="Y2151" i="2"/>
  <c r="AF2155" i="2"/>
  <c r="Y2155" i="2"/>
  <c r="AF2161" i="2"/>
  <c r="Y2161" i="2"/>
  <c r="AF2163" i="2"/>
  <c r="Y2163" i="2"/>
  <c r="AF2185" i="2"/>
  <c r="Y2185" i="2"/>
  <c r="AF2203" i="2"/>
  <c r="Y2203" i="2"/>
  <c r="AF2213" i="2"/>
  <c r="Y2213" i="2"/>
  <c r="AF2225" i="2"/>
  <c r="Y2225" i="2"/>
  <c r="AF2239" i="2"/>
  <c r="Y2239" i="2"/>
  <c r="AF2249" i="2"/>
  <c r="Y2249" i="2"/>
  <c r="AF2275" i="2"/>
  <c r="Y2275" i="2"/>
  <c r="AF2319" i="2"/>
  <c r="Y2319" i="2"/>
  <c r="AF2406" i="2"/>
  <c r="Y2406" i="2"/>
  <c r="Y2627" i="2"/>
  <c r="AH2627" i="2"/>
  <c r="AC1761" i="2"/>
  <c r="AC1176" i="2"/>
  <c r="AC1354" i="2"/>
  <c r="AC1314" i="2"/>
  <c r="AB1164" i="2"/>
  <c r="AK1164" i="2" s="1"/>
  <c r="Y2057" i="2"/>
  <c r="Y2015" i="2"/>
  <c r="Y1997" i="2"/>
  <c r="Y1985" i="2"/>
  <c r="Y1350" i="2"/>
  <c r="AB1328" i="2"/>
  <c r="AK1328" i="2" s="1"/>
  <c r="Y962" i="2"/>
  <c r="AB940" i="2"/>
  <c r="AK940" i="2" s="1"/>
  <c r="AB868" i="2"/>
  <c r="AK868" i="2" s="1"/>
  <c r="Y834" i="2"/>
  <c r="AB1384" i="2"/>
  <c r="AK1384" i="2" s="1"/>
  <c r="Y1420" i="2"/>
  <c r="Y2553" i="2"/>
  <c r="AF1967" i="2"/>
  <c r="Y1967" i="2"/>
  <c r="AF1983" i="2"/>
  <c r="Y1983" i="2"/>
  <c r="AF1995" i="2"/>
  <c r="Y1995" i="2"/>
  <c r="AF2005" i="2"/>
  <c r="Y2005" i="2"/>
  <c r="AF2021" i="2"/>
  <c r="Y2021" i="2"/>
  <c r="AF2045" i="2"/>
  <c r="Y2045" i="2"/>
  <c r="AF2051" i="2"/>
  <c r="Y2051" i="2"/>
  <c r="AC2451" i="2"/>
  <c r="AB2451" i="2"/>
  <c r="AK2451" i="2" s="1"/>
  <c r="AF2477" i="2"/>
  <c r="Y2477" i="2"/>
  <c r="AF2543" i="2"/>
  <c r="Y2543" i="2"/>
  <c r="AF2592" i="2"/>
  <c r="Y2592" i="2"/>
  <c r="AF2596" i="2"/>
  <c r="Y2596" i="2"/>
  <c r="AF2598" i="2"/>
  <c r="Y2598" i="2"/>
  <c r="AB2620" i="2"/>
  <c r="AK2620" i="2" s="1"/>
  <c r="AC2620" i="2"/>
  <c r="Y2633" i="2"/>
  <c r="AF2633" i="2"/>
  <c r="AB2660" i="2"/>
  <c r="AK2660" i="2" s="1"/>
  <c r="Y2660" i="2"/>
  <c r="Y2668" i="2"/>
  <c r="AB2668" i="2"/>
  <c r="AK2668" i="2" s="1"/>
  <c r="AC2683" i="2"/>
  <c r="AB2683" i="2"/>
  <c r="AK2683" i="2" s="1"/>
  <c r="Y2687" i="2"/>
  <c r="AC2687" i="2"/>
  <c r="AB2687" i="2"/>
  <c r="AK2687" i="2" s="1"/>
  <c r="AC2691" i="2"/>
  <c r="Y2691" i="2"/>
  <c r="Y2702" i="2"/>
  <c r="AC2702" i="2"/>
  <c r="Y828" i="2"/>
  <c r="AB1769" i="2"/>
  <c r="AK1769" i="2" s="1"/>
  <c r="Y1180" i="2"/>
  <c r="Y2053" i="2"/>
  <c r="Y2011" i="2"/>
  <c r="Y2003" i="2"/>
  <c r="Y1965" i="2"/>
  <c r="Y1955" i="2"/>
  <c r="Y1260" i="2"/>
  <c r="AB1591" i="2"/>
  <c r="AK1591" i="2" s="1"/>
  <c r="Y1358" i="2"/>
  <c r="AB1320" i="2"/>
  <c r="AK1320" i="2" s="1"/>
  <c r="Y974" i="2"/>
  <c r="Y928" i="2"/>
  <c r="Y1452" i="2"/>
  <c r="Y1410" i="2"/>
  <c r="AB2676" i="2"/>
  <c r="AK2676" i="2" s="1"/>
  <c r="Y2600" i="2"/>
  <c r="Y2541" i="2"/>
  <c r="Y4165" i="2"/>
  <c r="AB2802" i="2"/>
  <c r="AK2802" i="2" s="1"/>
  <c r="AC2802" i="2"/>
  <c r="AB2876" i="2"/>
  <c r="AK2876" i="2" s="1"/>
  <c r="AC2876" i="2"/>
  <c r="AB2948" i="2"/>
  <c r="AK2948" i="2" s="1"/>
  <c r="AC2948" i="2"/>
  <c r="AB2972" i="2"/>
  <c r="AK2972" i="2" s="1"/>
  <c r="Y2972" i="2"/>
  <c r="AC2972" i="2"/>
  <c r="AB3047" i="2"/>
  <c r="AC3047" i="2"/>
  <c r="AB3465" i="2"/>
  <c r="AK3465" i="2" s="1"/>
  <c r="AC3465" i="2"/>
  <c r="AB3537" i="2"/>
  <c r="AK3537" i="2" s="1"/>
  <c r="AC3537" i="2"/>
  <c r="Y1429" i="2"/>
  <c r="Y1529" i="2"/>
  <c r="Y1537" i="2"/>
  <c r="Y1545" i="2"/>
  <c r="Y1553" i="2"/>
  <c r="Y2330" i="2"/>
  <c r="Y2334" i="2"/>
  <c r="Y2338" i="2"/>
  <c r="Y2342" i="2"/>
  <c r="Y2350" i="2"/>
  <c r="Y2352" i="2"/>
  <c r="Y2360" i="2"/>
  <c r="Y2620" i="2"/>
  <c r="AC3785" i="2"/>
  <c r="AB4006" i="2"/>
  <c r="AK4006" i="2" s="1"/>
  <c r="AB4658" i="2"/>
  <c r="AK4658" i="2" s="1"/>
  <c r="Y105" i="2"/>
  <c r="Y162" i="2"/>
  <c r="Y1133" i="2"/>
  <c r="Y1149" i="2"/>
  <c r="Y1155" i="2"/>
  <c r="Y1157" i="2"/>
  <c r="Y1177" i="2"/>
  <c r="Y1187" i="2"/>
  <c r="Y1189" i="2"/>
  <c r="Y1191" i="2"/>
  <c r="Y1197" i="2"/>
  <c r="Y1215" i="2"/>
  <c r="Y1219" i="2"/>
  <c r="Y1255" i="2"/>
  <c r="Y1311" i="2"/>
  <c r="Y1323" i="2"/>
  <c r="Y1329" i="2"/>
  <c r="Y1365" i="2"/>
  <c r="Y1590" i="2"/>
  <c r="AF3559" i="2"/>
  <c r="AF3367" i="2"/>
  <c r="AF3315" i="2"/>
  <c r="AF3458" i="2"/>
  <c r="AF3660" i="2"/>
  <c r="AF3317" i="2"/>
  <c r="AH3379" i="2"/>
  <c r="AF3361" i="2"/>
  <c r="AC2978" i="2"/>
  <c r="AC4388" i="2"/>
  <c r="AC4078" i="2"/>
  <c r="AC4780" i="2"/>
  <c r="AC4760" i="2"/>
  <c r="AC4742" i="2"/>
  <c r="AC4724" i="2"/>
  <c r="AC4706" i="2"/>
  <c r="AC4609" i="2"/>
  <c r="AC4470" i="2"/>
  <c r="AC2916" i="2"/>
  <c r="AC2834" i="2"/>
  <c r="AC3966" i="2"/>
  <c r="AC3041" i="2"/>
  <c r="AB4609" i="2"/>
  <c r="AK4609" i="2" s="1"/>
  <c r="Y567" i="2"/>
  <c r="AF3343" i="2"/>
  <c r="AF3383" i="2"/>
  <c r="AF3405" i="2"/>
  <c r="AF3309" i="2"/>
  <c r="AF3313" i="2"/>
  <c r="AF3379" i="2"/>
  <c r="AF3772" i="2"/>
  <c r="AF3764" i="2"/>
  <c r="AC2898" i="2"/>
  <c r="AC4306" i="2"/>
  <c r="AC4165" i="2"/>
  <c r="AC4062" i="2"/>
  <c r="AC3942" i="2"/>
  <c r="AC3862" i="2"/>
  <c r="AC3681" i="2"/>
  <c r="Y4470" i="2"/>
  <c r="AF3351" i="2"/>
  <c r="AF3652" i="2"/>
  <c r="AF3353" i="2"/>
  <c r="AC4298" i="2"/>
  <c r="AC4229" i="2"/>
  <c r="AC4157" i="2"/>
  <c r="AC4030" i="2"/>
  <c r="AC3934" i="2"/>
  <c r="AC3854" i="2"/>
  <c r="AC3657" i="2"/>
  <c r="AB4438" i="2"/>
  <c r="AK4438" i="2" s="1"/>
  <c r="AB4728" i="2"/>
  <c r="AK4728" i="2" s="1"/>
  <c r="Y2131" i="2"/>
  <c r="Y2137" i="2"/>
  <c r="Y2175" i="2"/>
  <c r="Y2181" i="2"/>
  <c r="Y2187" i="2"/>
  <c r="Y2199" i="2"/>
  <c r="Y2205" i="2"/>
  <c r="Y2211" i="2"/>
  <c r="Y2217" i="2"/>
  <c r="Y2229" i="2"/>
  <c r="Y2247" i="2"/>
  <c r="AC4006" i="2"/>
  <c r="AC3926" i="2"/>
  <c r="AC3846" i="2"/>
  <c r="R67" i="3"/>
  <c r="T67" i="3" s="1"/>
  <c r="U67" i="3" s="1"/>
  <c r="V67" i="3" s="1"/>
  <c r="Y4388" i="2"/>
  <c r="Y4702" i="2"/>
  <c r="R66" i="3"/>
  <c r="T66" i="3" s="1"/>
  <c r="U66" i="3" s="1"/>
  <c r="V66" i="3" s="1"/>
  <c r="AC3020" i="2"/>
  <c r="AH3305" i="2"/>
  <c r="AF3305" i="2"/>
  <c r="AH3319" i="2"/>
  <c r="AF3319" i="2"/>
  <c r="AH3327" i="2"/>
  <c r="AF3327" i="2"/>
  <c r="AH3347" i="2"/>
  <c r="AF3347" i="2"/>
  <c r="AC3447" i="2"/>
  <c r="AB3447" i="2"/>
  <c r="AK3447" i="2" s="1"/>
  <c r="Y3538" i="2"/>
  <c r="AF3538" i="2"/>
  <c r="Y3628" i="2"/>
  <c r="AF3628" i="2"/>
  <c r="AK3753" i="2"/>
  <c r="Y3753" i="2"/>
  <c r="AB3769" i="2"/>
  <c r="AK3769" i="2" s="1"/>
  <c r="Y3769" i="2"/>
  <c r="Y3780" i="2"/>
  <c r="AF3780" i="2"/>
  <c r="Y3788" i="2"/>
  <c r="AF3788" i="2"/>
  <c r="AB3793" i="2"/>
  <c r="AK3793" i="2" s="1"/>
  <c r="AC3793" i="2"/>
  <c r="Y3804" i="2"/>
  <c r="AF3804" i="2"/>
  <c r="Y3820" i="2"/>
  <c r="AF3820" i="2"/>
  <c r="Y3825" i="2"/>
  <c r="AB3825" i="2"/>
  <c r="AK3825" i="2" s="1"/>
  <c r="AB3870" i="2"/>
  <c r="AK3870" i="2" s="1"/>
  <c r="Y3870" i="2"/>
  <c r="AB3878" i="2"/>
  <c r="AK3878" i="2" s="1"/>
  <c r="AC3878" i="2"/>
  <c r="AB3902" i="2"/>
  <c r="AK3902" i="2" s="1"/>
  <c r="Y3902" i="2"/>
  <c r="Y3937" i="2"/>
  <c r="AF3937" i="2"/>
  <c r="Y3958" i="2"/>
  <c r="AB3958" i="2"/>
  <c r="AK3958" i="2" s="1"/>
  <c r="AC3958" i="2"/>
  <c r="Y4001" i="2"/>
  <c r="AF4001" i="2"/>
  <c r="AC4014" i="2"/>
  <c r="AB4014" i="2"/>
  <c r="AK4014" i="2" s="1"/>
  <c r="Y4025" i="2"/>
  <c r="AF4025" i="2"/>
  <c r="AB4038" i="2"/>
  <c r="AK4038" i="2" s="1"/>
  <c r="AC4038" i="2"/>
  <c r="R75" i="3"/>
  <c r="T75" i="3" s="1"/>
  <c r="U75" i="3" s="1"/>
  <c r="V75" i="3" s="1"/>
  <c r="Y4046" i="2"/>
  <c r="AC4046" i="2"/>
  <c r="AB4054" i="2"/>
  <c r="AK4054" i="2" s="1"/>
  <c r="Y4054" i="2"/>
  <c r="Y4088" i="2"/>
  <c r="AB4088" i="2"/>
  <c r="AK4088" i="2" s="1"/>
  <c r="AB4096" i="2"/>
  <c r="AK4096" i="2" s="1"/>
  <c r="Y4096" i="2"/>
  <c r="AB4125" i="2"/>
  <c r="AK4125" i="2" s="1"/>
  <c r="Y4125" i="2"/>
  <c r="Y4141" i="2"/>
  <c r="AB4141" i="2"/>
  <c r="AK4141" i="2" s="1"/>
  <c r="AB4149" i="2"/>
  <c r="AK4149" i="2" s="1"/>
  <c r="AC4149" i="2"/>
  <c r="AB4173" i="2"/>
  <c r="AK4173" i="2" s="1"/>
  <c r="Y4173" i="2"/>
  <c r="Y4205" i="2"/>
  <c r="AB4205" i="2"/>
  <c r="AK4205" i="2" s="1"/>
  <c r="Y4213" i="2"/>
  <c r="AC4213" i="2"/>
  <c r="AB4237" i="2"/>
  <c r="AK4237" i="2" s="1"/>
  <c r="Y4237" i="2"/>
  <c r="AB4245" i="2"/>
  <c r="AK4245" i="2" s="1"/>
  <c r="Y4245" i="2"/>
  <c r="Y4256" i="2"/>
  <c r="AF4256" i="2"/>
  <c r="AB4274" i="2"/>
  <c r="AK4274" i="2" s="1"/>
  <c r="Y4274" i="2"/>
  <c r="AC4274" i="2"/>
  <c r="AB4282" i="2"/>
  <c r="AK4282" i="2" s="1"/>
  <c r="Y4282" i="2"/>
  <c r="Y4314" i="2"/>
  <c r="AB4314" i="2"/>
  <c r="AK4314" i="2" s="1"/>
  <c r="Y4322" i="2"/>
  <c r="AB4322" i="2"/>
  <c r="AK4322" i="2" s="1"/>
  <c r="AB4335" i="2"/>
  <c r="AK4335" i="2" s="1"/>
  <c r="AC4335" i="2"/>
  <c r="Y4348" i="2"/>
  <c r="AB4348" i="2"/>
  <c r="AK4348" i="2" s="1"/>
  <c r="Y4359" i="2"/>
  <c r="AF4359" i="2"/>
  <c r="AB4380" i="2"/>
  <c r="AK4380" i="2" s="1"/>
  <c r="Y4380" i="2"/>
  <c r="AB4398" i="2"/>
  <c r="AK4398" i="2" s="1"/>
  <c r="Y4398" i="2"/>
  <c r="AB4414" i="2"/>
  <c r="AK4414" i="2" s="1"/>
  <c r="AC4414" i="2"/>
  <c r="AB4422" i="2"/>
  <c r="AK4422" i="2" s="1"/>
  <c r="Y4422" i="2"/>
  <c r="Y4449" i="2"/>
  <c r="AF4449" i="2"/>
  <c r="AB4462" i="2"/>
  <c r="AK4462" i="2" s="1"/>
  <c r="Y4462" i="2"/>
  <c r="Y4465" i="2"/>
  <c r="AF4465" i="2"/>
  <c r="AB4478" i="2"/>
  <c r="AK4478" i="2" s="1"/>
  <c r="AC4478" i="2"/>
  <c r="AB4502" i="2"/>
  <c r="AK4502" i="2" s="1"/>
  <c r="Y4502" i="2"/>
  <c r="AB4507" i="2"/>
  <c r="AK4507" i="2" s="1"/>
  <c r="Y4507" i="2"/>
  <c r="Y4541" i="2"/>
  <c r="R73" i="3"/>
  <c r="T73" i="3" s="1"/>
  <c r="U73" i="3" s="1"/>
  <c r="V73" i="3" s="1"/>
  <c r="AC4541" i="2"/>
  <c r="AB4541" i="2"/>
  <c r="AK4541" i="2" s="1"/>
  <c r="Y4546" i="2"/>
  <c r="AB4546" i="2"/>
  <c r="AK4546" i="2" s="1"/>
  <c r="AB4564" i="2"/>
  <c r="AK4564" i="2" s="1"/>
  <c r="Y4564" i="2"/>
  <c r="Y4567" i="2"/>
  <c r="AF4567" i="2"/>
  <c r="AB4572" i="2"/>
  <c r="AK4572" i="2" s="1"/>
  <c r="Y4572" i="2"/>
  <c r="Y4583" i="2"/>
  <c r="AF4583" i="2"/>
  <c r="AB4593" i="2"/>
  <c r="AK4593" i="2" s="1"/>
  <c r="AC4593" i="2"/>
  <c r="Y4601" i="2"/>
  <c r="AB4601" i="2"/>
  <c r="AK4601" i="2" s="1"/>
  <c r="Y4628" i="2"/>
  <c r="AF4628" i="2"/>
  <c r="AB4633" i="2"/>
  <c r="AK4633" i="2" s="1"/>
  <c r="Y4633" i="2"/>
  <c r="Y4646" i="2"/>
  <c r="AB4646" i="2"/>
  <c r="AK4646" i="2" s="1"/>
  <c r="AB4654" i="2"/>
  <c r="AK4654" i="2" s="1"/>
  <c r="AC4654" i="2"/>
  <c r="AB4660" i="2"/>
  <c r="AK4660" i="2" s="1"/>
  <c r="Y4660" i="2"/>
  <c r="Y4668" i="2"/>
  <c r="AH4668" i="2"/>
  <c r="AH4670" i="2"/>
  <c r="Y4670" i="2"/>
  <c r="AH4676" i="2"/>
  <c r="AF4676" i="2"/>
  <c r="AH4682" i="2"/>
  <c r="Y4682" i="2"/>
  <c r="Y4700" i="2"/>
  <c r="AB4700" i="2"/>
  <c r="AK4700" i="2" s="1"/>
  <c r="Y4712" i="2"/>
  <c r="AB4712" i="2"/>
  <c r="AK4712" i="2" s="1"/>
  <c r="Y4714" i="2"/>
  <c r="AB4714" i="2"/>
  <c r="AK4714" i="2" s="1"/>
  <c r="AC4714" i="2"/>
  <c r="AB4722" i="2"/>
  <c r="AK4722" i="2" s="1"/>
  <c r="Y4722" i="2"/>
  <c r="AB4730" i="2"/>
  <c r="AK4730" i="2" s="1"/>
  <c r="AC4730" i="2"/>
  <c r="AB4736" i="2"/>
  <c r="AK4736" i="2" s="1"/>
  <c r="Y4736" i="2"/>
  <c r="AB4738" i="2"/>
  <c r="AK4738" i="2" s="1"/>
  <c r="Y4738" i="2"/>
  <c r="AB4746" i="2"/>
  <c r="AK4746" i="2" s="1"/>
  <c r="AC4746" i="2"/>
  <c r="AB4762" i="2"/>
  <c r="AK4762" i="2" s="1"/>
  <c r="AC4762" i="2"/>
  <c r="Y4770" i="2"/>
  <c r="AB4770" i="2"/>
  <c r="AK4770" i="2" s="1"/>
  <c r="AB4778" i="2"/>
  <c r="AK4778" i="2" s="1"/>
  <c r="AC4778" i="2"/>
  <c r="AH4796" i="2"/>
  <c r="AF4796" i="2"/>
  <c r="AH4804" i="2"/>
  <c r="Y4804" i="2"/>
  <c r="AH4806" i="2"/>
  <c r="Y4806" i="2"/>
  <c r="AH4814" i="2"/>
  <c r="Y4814" i="2"/>
  <c r="Y2521" i="2"/>
  <c r="AF3363" i="2"/>
  <c r="AF3335" i="2"/>
  <c r="AF3325" i="2"/>
  <c r="AF3474" i="2"/>
  <c r="AF3387" i="2"/>
  <c r="AH3401" i="2"/>
  <c r="AH3361" i="2"/>
  <c r="AF3644" i="2"/>
  <c r="R69" i="3"/>
  <c r="T69" i="3" s="1"/>
  <c r="U69" i="3" s="1"/>
  <c r="V69" i="3" s="1"/>
  <c r="AC4070" i="2"/>
  <c r="AC4348" i="2"/>
  <c r="AA4266" i="2"/>
  <c r="AC4197" i="2"/>
  <c r="AC4125" i="2"/>
  <c r="AC3990" i="2"/>
  <c r="AC3910" i="2"/>
  <c r="AC3825" i="2"/>
  <c r="AB4213" i="2"/>
  <c r="AK4213" i="2" s="1"/>
  <c r="AB6846" i="2"/>
  <c r="AK6846" i="2"/>
  <c r="R89" i="3"/>
  <c r="T89" i="3" s="1"/>
  <c r="U89" i="3" s="1"/>
  <c r="V89" i="3" s="1"/>
  <c r="Y5014" i="2"/>
  <c r="AB4939" i="2"/>
  <c r="AK4939" i="2" s="1"/>
  <c r="Y4923" i="2"/>
  <c r="Y3054" i="2"/>
  <c r="AB3054" i="2"/>
  <c r="AK3054" i="2" s="1"/>
  <c r="Y3066" i="2"/>
  <c r="AB3066" i="2"/>
  <c r="AK3066" i="2" s="1"/>
  <c r="R122" i="3"/>
  <c r="T122" i="3" s="1"/>
  <c r="U122" i="3" s="1"/>
  <c r="V122" i="3" s="1"/>
  <c r="AB5300" i="2"/>
  <c r="AK5300" i="2" s="1"/>
  <c r="Y5246" i="2"/>
  <c r="AB4947" i="2"/>
  <c r="AK4947" i="2" s="1"/>
  <c r="AB4935" i="2"/>
  <c r="AK4935" i="2" s="1"/>
  <c r="Y5190" i="2"/>
  <c r="Y5016" i="2"/>
  <c r="AB5276" i="2"/>
  <c r="AK5276" i="2" s="1"/>
  <c r="AB5176" i="2"/>
  <c r="AK5176" i="2" s="1"/>
  <c r="AB5008" i="2"/>
  <c r="AK5008" i="2" s="1"/>
  <c r="Y4931" i="2"/>
  <c r="Y5024" i="2"/>
  <c r="AF5020" i="2"/>
  <c r="Y5020" i="2"/>
  <c r="AF5028" i="2"/>
  <c r="Y5028" i="2"/>
  <c r="AB5178" i="2"/>
  <c r="AK5178" i="2" s="1"/>
  <c r="R93" i="3"/>
  <c r="T93" i="3" s="1"/>
  <c r="U93" i="3" s="1"/>
  <c r="V93" i="3" s="1"/>
  <c r="AF5192" i="2"/>
  <c r="Y5192" i="2"/>
  <c r="AB5292" i="2"/>
  <c r="AK5292" i="2" s="1"/>
  <c r="Y5186" i="2"/>
  <c r="AB5004" i="2"/>
  <c r="AK5004" i="2" s="1"/>
  <c r="AB4943" i="2"/>
  <c r="AK4943" i="2" s="1"/>
  <c r="Y5022" i="2"/>
  <c r="AB3134" i="2"/>
  <c r="AK3134" i="2" s="1"/>
  <c r="Y5861" i="2"/>
  <c r="AB5610" i="2"/>
  <c r="AK5610" i="2" s="1"/>
  <c r="AB5970" i="2"/>
  <c r="AK5970" i="2" s="1"/>
  <c r="Y6553" i="2"/>
  <c r="Y6521" i="2"/>
  <c r="AC6491" i="2"/>
  <c r="AB5991" i="2"/>
  <c r="AK5991" i="2" s="1"/>
  <c r="AB5906" i="2"/>
  <c r="AK5906" i="2" s="1"/>
  <c r="AC5772" i="2"/>
  <c r="Y5437" i="2"/>
  <c r="AB6507" i="2"/>
  <c r="AK6507" i="2" s="1"/>
  <c r="Y5669" i="2"/>
  <c r="Y6611" i="2"/>
  <c r="Y6595" i="2"/>
  <c r="AC6565" i="2"/>
  <c r="Y5877" i="2"/>
  <c r="R149" i="3"/>
  <c r="T149" i="3" s="1"/>
  <c r="U149" i="3" s="1"/>
  <c r="V149" i="3" s="1"/>
  <c r="Y5853" i="2"/>
  <c r="AB5882" i="2"/>
  <c r="AK5882" i="2" s="1"/>
  <c r="Y5581" i="2"/>
  <c r="AB5453" i="2"/>
  <c r="AK5453" i="2" s="1"/>
  <c r="AB5746" i="2"/>
  <c r="AK5746" i="2" s="1"/>
  <c r="AB3621" i="2"/>
  <c r="AK3621" i="2" s="1"/>
  <c r="Y3539" i="2"/>
  <c r="Y6052" i="2"/>
  <c r="AB6015" i="2"/>
  <c r="AK6015" i="2" s="1"/>
  <c r="AC5898" i="2"/>
  <c r="Y5946" i="2"/>
  <c r="Y5922" i="2"/>
  <c r="Y6533" i="2"/>
  <c r="Y5965" i="2"/>
  <c r="AC5432" i="2"/>
  <c r="AC5392" i="2"/>
  <c r="Y5613" i="2"/>
  <c r="AF5725" i="2"/>
  <c r="AF5994" i="2"/>
  <c r="AB6509" i="2"/>
  <c r="AK6509" i="2" s="1"/>
  <c r="AB6493" i="2"/>
  <c r="AK6493" i="2" s="1"/>
  <c r="AF5788" i="2"/>
  <c r="AB6007" i="2"/>
  <c r="AK6007" i="2" s="1"/>
  <c r="AC5922" i="2"/>
  <c r="AF5832" i="2"/>
  <c r="Y6537" i="2"/>
  <c r="AC6507" i="2"/>
  <c r="Y6170" i="2"/>
  <c r="AB5845" i="2"/>
  <c r="AK5845" i="2" s="1"/>
  <c r="Y6428" i="2"/>
  <c r="AC5837" i="2"/>
  <c r="AC5501" i="2"/>
  <c r="Y6603" i="2"/>
  <c r="Y6587" i="2"/>
  <c r="AC6573" i="2"/>
  <c r="AC6557" i="2"/>
  <c r="AB6060" i="2"/>
  <c r="AK6060" i="2" s="1"/>
  <c r="AB6573" i="2"/>
  <c r="AK6573" i="2" s="1"/>
  <c r="Y6434" i="2"/>
  <c r="Y4816" i="2"/>
  <c r="Y4822" i="2"/>
  <c r="Y4826" i="2"/>
  <c r="Y4828" i="2"/>
  <c r="Y4846" i="2"/>
  <c r="Y4860" i="2"/>
  <c r="Y4864" i="2"/>
  <c r="Y4866" i="2"/>
  <c r="Y4870" i="2"/>
  <c r="Y4880" i="2"/>
  <c r="Y4882" i="2"/>
  <c r="Y4886" i="2"/>
  <c r="Y4890" i="2"/>
  <c r="Y4898" i="2"/>
  <c r="Y4967" i="2"/>
  <c r="Y4975" i="2"/>
  <c r="Y4977" i="2"/>
  <c r="Y4983" i="2"/>
  <c r="Y5049" i="2"/>
  <c r="Y5051" i="2"/>
  <c r="Y5057" i="2"/>
  <c r="Y5061" i="2"/>
  <c r="Y5065" i="2"/>
  <c r="Y5071" i="2"/>
  <c r="Y5081" i="2"/>
  <c r="Y5089" i="2"/>
  <c r="Y5091" i="2"/>
  <c r="Y5093" i="2"/>
  <c r="Y5097" i="2"/>
  <c r="Y5119" i="2"/>
  <c r="Y5125" i="2"/>
  <c r="Y5143" i="2"/>
  <c r="Y5194" i="2"/>
  <c r="Y5212" i="2"/>
  <c r="Y5230" i="2"/>
  <c r="AK6772" i="2"/>
  <c r="Y6505" i="2"/>
  <c r="Y6489" i="2"/>
  <c r="Y6547" i="2"/>
  <c r="Y6515" i="2"/>
  <c r="Y6440" i="2"/>
  <c r="Y6424" i="2"/>
  <c r="Y6609" i="2"/>
  <c r="Y6593" i="2"/>
  <c r="Y6569" i="2"/>
  <c r="AB6170" i="2"/>
  <c r="AK6170" i="2" s="1"/>
  <c r="AB5938" i="2"/>
  <c r="AK5938" i="2" s="1"/>
  <c r="AC5813" i="2"/>
  <c r="AB5813" i="2"/>
  <c r="AK5813" i="2" s="1"/>
  <c r="Y6543" i="2"/>
  <c r="Y6511" i="2"/>
  <c r="Y6047" i="2"/>
  <c r="AC5785" i="2"/>
  <c r="Y5757" i="2"/>
  <c r="Y6565" i="2"/>
  <c r="Y6517" i="2"/>
  <c r="AK2907" i="2"/>
  <c r="AB3781" i="2"/>
  <c r="AK3781" i="2" s="1"/>
  <c r="Y3693" i="2"/>
  <c r="Y3888" i="2"/>
  <c r="Y5954" i="2"/>
  <c r="Y5890" i="2"/>
  <c r="AC5400" i="2"/>
  <c r="Y6444" i="2"/>
  <c r="AB6047" i="2"/>
  <c r="AB5424" i="2"/>
  <c r="AK5424" i="2" s="1"/>
  <c r="Y6450" i="2"/>
  <c r="Y5770" i="2"/>
  <c r="AB5706" i="2"/>
  <c r="AK5706" i="2" s="1"/>
  <c r="AF5653" i="2"/>
  <c r="AB155" i="2"/>
  <c r="AK155" i="2" s="1"/>
  <c r="Y155" i="2"/>
  <c r="AF395" i="2"/>
  <c r="Y395" i="2"/>
  <c r="AF553" i="2"/>
  <c r="Y553" i="2"/>
  <c r="R118" i="3"/>
  <c r="T118" i="3" s="1"/>
  <c r="U118" i="3" s="1"/>
  <c r="V118" i="3" s="1"/>
  <c r="Y36" i="2"/>
  <c r="Y810" i="2"/>
  <c r="Y790" i="2"/>
  <c r="Y770" i="2"/>
  <c r="Y171" i="2"/>
  <c r="Y561" i="2"/>
  <c r="Y549" i="2"/>
  <c r="Y447" i="2"/>
  <c r="Y130" i="2"/>
  <c r="AF818" i="2"/>
  <c r="Y818" i="2"/>
  <c r="AF832" i="2"/>
  <c r="Y832" i="2"/>
  <c r="AF882" i="2"/>
  <c r="Y882" i="2"/>
  <c r="AF892" i="2"/>
  <c r="Y892" i="2"/>
  <c r="AF918" i="2"/>
  <c r="Y918" i="2"/>
  <c r="AF1426" i="2"/>
  <c r="Y1426" i="2"/>
  <c r="AF1436" i="2"/>
  <c r="Y1436" i="2"/>
  <c r="AF1448" i="2"/>
  <c r="Y1448" i="2"/>
  <c r="AF1480" i="2"/>
  <c r="Y1480" i="2"/>
  <c r="AF1502" i="2"/>
  <c r="Y1502" i="2"/>
  <c r="AF1514" i="2"/>
  <c r="Y1514" i="2"/>
  <c r="AF1524" i="2"/>
  <c r="Y1524" i="2"/>
  <c r="AF1536" i="2"/>
  <c r="Y1536" i="2"/>
  <c r="AF1568" i="2"/>
  <c r="Y1568" i="2"/>
  <c r="AF1578" i="2"/>
  <c r="Y1578" i="2"/>
  <c r="R30" i="3"/>
  <c r="T30" i="3" s="1"/>
  <c r="U30" i="3" s="1"/>
  <c r="V30" i="3" s="1"/>
  <c r="AF507" i="2"/>
  <c r="AC286" i="2"/>
  <c r="Y373" i="2"/>
  <c r="AC808" i="2"/>
  <c r="AC782" i="2"/>
  <c r="AC776" i="2"/>
  <c r="AC650" i="2"/>
  <c r="AC586" i="2"/>
  <c r="AC11" i="2"/>
  <c r="AC339" i="2"/>
  <c r="AC228" i="2"/>
  <c r="Y654" i="2"/>
  <c r="Y238" i="2"/>
  <c r="Y224" i="2"/>
  <c r="Y1045" i="2"/>
  <c r="Y1027" i="2"/>
  <c r="Y890" i="2"/>
  <c r="Y842" i="2"/>
  <c r="Y826" i="2"/>
  <c r="Y808" i="2"/>
  <c r="Y788" i="2"/>
  <c r="Y766" i="2"/>
  <c r="AB165" i="2"/>
  <c r="AK165" i="2" s="1"/>
  <c r="AB1396" i="2"/>
  <c r="AK1396" i="2" s="1"/>
  <c r="Y537" i="2"/>
  <c r="Y459" i="2"/>
  <c r="Y403" i="2"/>
  <c r="Y1613" i="2"/>
  <c r="Y1603" i="2"/>
  <c r="Y1574" i="2"/>
  <c r="Y1528" i="2"/>
  <c r="Y1516" i="2"/>
  <c r="Y1468" i="2"/>
  <c r="Y1444" i="2"/>
  <c r="Y1430" i="2"/>
  <c r="Y1418" i="2"/>
  <c r="Y1406" i="2"/>
  <c r="AF175" i="2"/>
  <c r="Y30" i="2"/>
  <c r="Y222" i="2"/>
  <c r="Y786" i="2"/>
  <c r="AB300" i="2"/>
  <c r="AK300" i="2" s="1"/>
  <c r="AB153" i="2"/>
  <c r="AK153" i="2" s="1"/>
  <c r="Y471" i="2"/>
  <c r="Y381" i="2"/>
  <c r="AC300" i="2"/>
  <c r="AC806" i="2"/>
  <c r="AC210" i="2"/>
  <c r="AC104" i="2"/>
  <c r="Y82" i="2"/>
  <c r="Y650" i="2"/>
  <c r="Y636" i="2"/>
  <c r="Y598" i="2"/>
  <c r="Y588" i="2"/>
  <c r="Y236" i="2"/>
  <c r="Y804" i="2"/>
  <c r="Y782" i="2"/>
  <c r="AB296" i="2"/>
  <c r="AK296" i="2" s="1"/>
  <c r="Y557" i="2"/>
  <c r="Y545" i="2"/>
  <c r="Y523" i="2"/>
  <c r="Y443" i="2"/>
  <c r="Y429" i="2"/>
  <c r="Y347" i="2"/>
  <c r="Y320" i="2"/>
  <c r="Y183" i="2"/>
  <c r="Y1060" i="2"/>
  <c r="AC788" i="2"/>
  <c r="AC100" i="2"/>
  <c r="Y800" i="2"/>
  <c r="Y780" i="2"/>
  <c r="Y290" i="2"/>
  <c r="AB102" i="2"/>
  <c r="AK102" i="2" s="1"/>
  <c r="Y533" i="2"/>
  <c r="Y425" i="2"/>
  <c r="R27" i="3"/>
  <c r="T27" i="3" s="1"/>
  <c r="U27" i="3" s="1"/>
  <c r="V27" i="3" s="1"/>
  <c r="Y893" i="2"/>
  <c r="Y927" i="2"/>
  <c r="Y939" i="2"/>
  <c r="Y1010" i="2"/>
  <c r="Y1014" i="2"/>
  <c r="AF84" i="2"/>
  <c r="AF511" i="2"/>
  <c r="AC810" i="2"/>
  <c r="AC812" i="2"/>
  <c r="AC151" i="2"/>
  <c r="AC768" i="2"/>
  <c r="Y22" i="2"/>
  <c r="Y614" i="2"/>
  <c r="Y604" i="2"/>
  <c r="Y584" i="2"/>
  <c r="Y278" i="2"/>
  <c r="AB268" i="2"/>
  <c r="AK268" i="2" s="1"/>
  <c r="Y218" i="2"/>
  <c r="Y24" i="2"/>
  <c r="Y798" i="2"/>
  <c r="Y776" i="2"/>
  <c r="Y288" i="2"/>
  <c r="Y177" i="2"/>
  <c r="AB48" i="2"/>
  <c r="AK48" i="2" s="1"/>
  <c r="Y48" i="2"/>
  <c r="AB1002" i="2"/>
  <c r="AK1002" i="2" s="1"/>
  <c r="Y1002" i="2"/>
  <c r="Y1069" i="2"/>
  <c r="AB1069" i="2"/>
  <c r="AK1069" i="2" s="1"/>
  <c r="Y1085" i="2"/>
  <c r="AB1085" i="2"/>
  <c r="AK1085" i="2" s="1"/>
  <c r="AB1101" i="2"/>
  <c r="AK1101" i="2" s="1"/>
  <c r="Y1101" i="2"/>
  <c r="Y1123" i="2"/>
  <c r="AB1123" i="2"/>
  <c r="AK1123" i="2" s="1"/>
  <c r="AB1151" i="2"/>
  <c r="AK1151" i="2" s="1"/>
  <c r="Y1151" i="2"/>
  <c r="Y1165" i="2"/>
  <c r="AB1165" i="2"/>
  <c r="AK1165" i="2" s="1"/>
  <c r="AB1175" i="2"/>
  <c r="AK1175" i="2" s="1"/>
  <c r="Y1175" i="2"/>
  <c r="AF26" i="2"/>
  <c r="AC112" i="2"/>
  <c r="AC282" i="2"/>
  <c r="AC298" i="2"/>
  <c r="AC165" i="2"/>
  <c r="AC802" i="2"/>
  <c r="AC800" i="2"/>
  <c r="AC766" i="2"/>
  <c r="R29" i="3"/>
  <c r="T29" i="3" s="1"/>
  <c r="U29" i="3" s="1"/>
  <c r="V29" i="3" s="1"/>
  <c r="Y754" i="2"/>
  <c r="Y694" i="2"/>
  <c r="Y644" i="2"/>
  <c r="Y622" i="2"/>
  <c r="Y46" i="2"/>
  <c r="Y1021" i="2"/>
  <c r="Y894" i="2"/>
  <c r="Y884" i="2"/>
  <c r="Y858" i="2"/>
  <c r="Y816" i="2"/>
  <c r="Y794" i="2"/>
  <c r="AB774" i="2"/>
  <c r="AK774" i="2" s="1"/>
  <c r="AB284" i="2"/>
  <c r="AK284" i="2" s="1"/>
  <c r="Y541" i="2"/>
  <c r="Y519" i="2"/>
  <c r="Y491" i="2"/>
  <c r="Y437" i="2"/>
  <c r="Y415" i="2"/>
  <c r="Y357" i="2"/>
  <c r="Y332" i="2"/>
  <c r="Y89" i="2"/>
  <c r="Y195" i="2"/>
  <c r="Y2770" i="2"/>
  <c r="AC2770" i="2"/>
  <c r="AB2786" i="2"/>
  <c r="AK2786" i="2" s="1"/>
  <c r="R95" i="3"/>
  <c r="T95" i="3" s="1"/>
  <c r="U95" i="3" s="1"/>
  <c r="V95" i="3" s="1"/>
  <c r="AC2786" i="2"/>
  <c r="AB2792" i="2"/>
  <c r="AK2792" i="2" s="1"/>
  <c r="AC2792" i="2"/>
  <c r="AB2800" i="2"/>
  <c r="AK2800" i="2" s="1"/>
  <c r="AC2800" i="2"/>
  <c r="AB2808" i="2"/>
  <c r="AK2808" i="2" s="1"/>
  <c r="AC2808" i="2"/>
  <c r="AK2824" i="2"/>
  <c r="AC2824" i="2"/>
  <c r="AB2840" i="2"/>
  <c r="AK2840" i="2" s="1"/>
  <c r="AC2840" i="2"/>
  <c r="AB2848" i="2"/>
  <c r="AK2848" i="2" s="1"/>
  <c r="AC2848" i="2"/>
  <c r="AB2866" i="2"/>
  <c r="AK2866" i="2" s="1"/>
  <c r="AC2866" i="2"/>
  <c r="AB2874" i="2"/>
  <c r="AK2874" i="2" s="1"/>
  <c r="AC2874" i="2"/>
  <c r="AB2062" i="2"/>
  <c r="AK2062" i="2" s="1"/>
  <c r="Y2062" i="2"/>
  <c r="Y2162" i="2"/>
  <c r="AB2162" i="2"/>
  <c r="AK2162" i="2" s="1"/>
  <c r="AF2441" i="2"/>
  <c r="Y2441" i="2"/>
  <c r="Y2507" i="2"/>
  <c r="AB2507" i="2"/>
  <c r="AK2507" i="2" s="1"/>
  <c r="AB1207" i="2"/>
  <c r="AK1207" i="2" s="1"/>
  <c r="Y1207" i="2"/>
  <c r="AB1335" i="2"/>
  <c r="AK1335" i="2" s="1"/>
  <c r="Y1335" i="2"/>
  <c r="AB1588" i="2"/>
  <c r="AK1588" i="2" s="1"/>
  <c r="Y1588" i="2"/>
  <c r="Y2353" i="2"/>
  <c r="Y1227" i="2"/>
  <c r="Y1273" i="2"/>
  <c r="Y1257" i="2"/>
  <c r="Y1596" i="2"/>
  <c r="Y1361" i="2"/>
  <c r="Y1337" i="2"/>
  <c r="Y1317" i="2"/>
  <c r="AB2604" i="2"/>
  <c r="AK2604" i="2" s="1"/>
  <c r="Y2604" i="2"/>
  <c r="Y2705" i="2"/>
  <c r="AB2705" i="2"/>
  <c r="AK2705" i="2" s="1"/>
  <c r="AB2922" i="2"/>
  <c r="AK2922" i="2" s="1"/>
  <c r="AC2922" i="2"/>
  <c r="AB3010" i="2"/>
  <c r="AK3010" i="2" s="1"/>
  <c r="AC3010" i="2"/>
  <c r="Y3055" i="2"/>
  <c r="AC3055" i="2"/>
  <c r="Y3057" i="2"/>
  <c r="AC3057" i="2"/>
  <c r="AB3059" i="2"/>
  <c r="AK3059" i="2" s="1"/>
  <c r="AC3059" i="2"/>
  <c r="AB3067" i="2"/>
  <c r="AK3067" i="2" s="1"/>
  <c r="AC3067" i="2"/>
  <c r="Y3083" i="2"/>
  <c r="AB3083" i="2"/>
  <c r="AK3083" i="2" s="1"/>
  <c r="AB3087" i="2"/>
  <c r="AK3087" i="2" s="1"/>
  <c r="Y3087" i="2"/>
  <c r="AB3131" i="2"/>
  <c r="AK3131" i="2" s="1"/>
  <c r="AC3131" i="2"/>
  <c r="AH3355" i="2"/>
  <c r="Y3355" i="2"/>
  <c r="AH3359" i="2"/>
  <c r="Y3359" i="2"/>
  <c r="AH3369" i="2"/>
  <c r="Y3369" i="2"/>
  <c r="AH3371" i="2"/>
  <c r="Y3371" i="2"/>
  <c r="AH3375" i="2"/>
  <c r="Y3375" i="2"/>
  <c r="AH3381" i="2"/>
  <c r="Y3381" i="2"/>
  <c r="AH3389" i="2"/>
  <c r="Y3389" i="2"/>
  <c r="AB3422" i="2"/>
  <c r="AK3422" i="2" s="1"/>
  <c r="AC3422" i="2"/>
  <c r="R97" i="3"/>
  <c r="T97" i="3" s="1"/>
  <c r="U97" i="3" s="1"/>
  <c r="V97" i="3" s="1"/>
  <c r="AB3426" i="2"/>
  <c r="AK3426" i="2" s="1"/>
  <c r="Y3426" i="2"/>
  <c r="AB3439" i="2"/>
  <c r="AK3439" i="2" s="1"/>
  <c r="AB3455" i="2"/>
  <c r="AK3455" i="2" s="1"/>
  <c r="Y3455" i="2"/>
  <c r="Y3471" i="2"/>
  <c r="AB3471" i="2"/>
  <c r="AK3471" i="2" s="1"/>
  <c r="AC3471" i="2"/>
  <c r="AK3487" i="2"/>
  <c r="Y3487" i="2"/>
  <c r="Y3495" i="2"/>
  <c r="AB3495" i="2"/>
  <c r="AK3495" i="2" s="1"/>
  <c r="AB3503" i="2"/>
  <c r="AK3503" i="2" s="1"/>
  <c r="Y3503" i="2"/>
  <c r="Y3511" i="2"/>
  <c r="AC3511" i="2"/>
  <c r="AB3527" i="2"/>
  <c r="AK3527" i="2" s="1"/>
  <c r="Y3527" i="2"/>
  <c r="AB3535" i="2"/>
  <c r="AK3535" i="2" s="1"/>
  <c r="AC3535" i="2"/>
  <c r="Y3535" i="2"/>
  <c r="AB3543" i="2"/>
  <c r="AK3543" i="2" s="1"/>
  <c r="Y3543" i="2"/>
  <c r="AB3548" i="2"/>
  <c r="AK3548" i="2" s="1"/>
  <c r="AC3548" i="2"/>
  <c r="Y3548" i="2"/>
  <c r="AB3564" i="2"/>
  <c r="AK3564" i="2" s="1"/>
  <c r="Y3564" i="2"/>
  <c r="AC3564" i="2"/>
  <c r="Y3572" i="2"/>
  <c r="AC3572" i="2"/>
  <c r="AB3577" i="2"/>
  <c r="AK3577" i="2" s="1"/>
  <c r="AC3577" i="2"/>
  <c r="AB3585" i="2"/>
  <c r="AK3585" i="2" s="1"/>
  <c r="Y3585" i="2"/>
  <c r="AC3585" i="2"/>
  <c r="AB3593" i="2"/>
  <c r="AK3593" i="2" s="1"/>
  <c r="Y3593" i="2"/>
  <c r="AB3601" i="2"/>
  <c r="AK3601" i="2" s="1"/>
  <c r="Y3601" i="2"/>
  <c r="Y3609" i="2"/>
  <c r="AC3609" i="2"/>
  <c r="Y3625" i="2"/>
  <c r="AB3625" i="2"/>
  <c r="AK3625" i="2" s="1"/>
  <c r="AC3625" i="2"/>
  <c r="AK3633" i="2"/>
  <c r="Y3633" i="2"/>
  <c r="AC3633" i="2"/>
  <c r="AB3641" i="2"/>
  <c r="AK3641" i="2" s="1"/>
  <c r="AC3641" i="2"/>
  <c r="AB3649" i="2"/>
  <c r="AK3649" i="2" s="1"/>
  <c r="AC3649" i="2"/>
  <c r="AB3689" i="2"/>
  <c r="AK3689" i="2" s="1"/>
  <c r="AC3689" i="2"/>
  <c r="AK3697" i="2"/>
  <c r="AC3697" i="2"/>
  <c r="Y3705" i="2"/>
  <c r="AC3705" i="2"/>
  <c r="AB3713" i="2"/>
  <c r="AK3713" i="2" s="1"/>
  <c r="AC3713" i="2"/>
  <c r="AB3737" i="2"/>
  <c r="AK3737" i="2" s="1"/>
  <c r="AC3737" i="2"/>
  <c r="AB3745" i="2"/>
  <c r="AK3745" i="2" s="1"/>
  <c r="Y3745" i="2"/>
  <c r="Y2255" i="2"/>
  <c r="Y2259" i="2"/>
  <c r="Y2261" i="2"/>
  <c r="Y2263" i="2"/>
  <c r="Y2265" i="2"/>
  <c r="Y2267" i="2"/>
  <c r="Y2273" i="2"/>
  <c r="Y2279" i="2"/>
  <c r="Y2285" i="2"/>
  <c r="Y2289" i="2"/>
  <c r="Y2291" i="2"/>
  <c r="Y2293" i="2"/>
  <c r="Y2295" i="2"/>
  <c r="Y2303" i="2"/>
  <c r="Y2305" i="2"/>
  <c r="Y2307" i="2"/>
  <c r="Y2309" i="2"/>
  <c r="Y2311" i="2"/>
  <c r="Y2315" i="2"/>
  <c r="Y2317" i="2"/>
  <c r="AF3588" i="2"/>
  <c r="AF3490" i="2"/>
  <c r="AF3522" i="2"/>
  <c r="AF3716" i="2"/>
  <c r="AF3620" i="2"/>
  <c r="AF3636" i="2"/>
  <c r="AF3692" i="2"/>
  <c r="AF3684" i="2"/>
  <c r="AF3708" i="2"/>
  <c r="AF3724" i="2"/>
  <c r="AC2970" i="2"/>
  <c r="AC2890" i="2"/>
  <c r="AC3495" i="2"/>
  <c r="AC3424" i="2"/>
  <c r="AC3065" i="2"/>
  <c r="AC3665" i="2"/>
  <c r="AB3673" i="2"/>
  <c r="AK3673" i="2" s="1"/>
  <c r="Y3431" i="2"/>
  <c r="AC2962" i="2"/>
  <c r="AC3053" i="2"/>
  <c r="Y3617" i="2"/>
  <c r="Y1425" i="2"/>
  <c r="Y1441" i="2"/>
  <c r="Y1451" i="2"/>
  <c r="Y1481" i="2"/>
  <c r="Y1489" i="2"/>
  <c r="Y1531" i="2"/>
  <c r="Y1555" i="2"/>
  <c r="Y1565" i="2"/>
  <c r="Y1618" i="2"/>
  <c r="Y1626" i="2"/>
  <c r="Y1628" i="2"/>
  <c r="Y1634" i="2"/>
  <c r="R63" i="3"/>
  <c r="T63" i="3" s="1"/>
  <c r="U63" i="3" s="1"/>
  <c r="V63" i="3" s="1"/>
  <c r="AC3022" i="2"/>
  <c r="AC2954" i="2"/>
  <c r="AC3479" i="2"/>
  <c r="AC3617" i="2"/>
  <c r="AB3609" i="2"/>
  <c r="AK3609" i="2" s="1"/>
  <c r="AC3089" i="2"/>
  <c r="AB3572" i="2"/>
  <c r="AK3572" i="2" s="1"/>
  <c r="AC2930" i="2"/>
  <c r="AC3061" i="2"/>
  <c r="Y3556" i="2"/>
  <c r="Y3397" i="2"/>
  <c r="AC3002" i="2"/>
  <c r="AC2914" i="2"/>
  <c r="AC3527" i="2"/>
  <c r="AC3439" i="2"/>
  <c r="AC3729" i="2"/>
  <c r="AC3556" i="2"/>
  <c r="AC3133" i="2"/>
  <c r="AC3051" i="2"/>
  <c r="Y3519" i="2"/>
  <c r="Y822" i="2"/>
  <c r="Y830" i="2"/>
  <c r="Y836" i="2"/>
  <c r="Y838" i="2"/>
  <c r="Y844" i="2"/>
  <c r="Y846" i="2"/>
  <c r="Y854" i="2"/>
  <c r="Y862" i="2"/>
  <c r="Y866" i="2"/>
  <c r="Y872" i="2"/>
  <c r="Y874" i="2"/>
  <c r="Y880" i="2"/>
  <c r="Y888" i="2"/>
  <c r="Y896" i="2"/>
  <c r="Y904" i="2"/>
  <c r="Y912" i="2"/>
  <c r="Y920" i="2"/>
  <c r="Y1015" i="2"/>
  <c r="Y1023" i="2"/>
  <c r="Y1031" i="2"/>
  <c r="Y1039" i="2"/>
  <c r="Y1402" i="2"/>
  <c r="Y1412" i="2"/>
  <c r="Y1440" i="2"/>
  <c r="Y1450" i="2"/>
  <c r="Y1458" i="2"/>
  <c r="Y1464" i="2"/>
  <c r="Y1466" i="2"/>
  <c r="Y1484" i="2"/>
  <c r="Y1492" i="2"/>
  <c r="Y1494" i="2"/>
  <c r="Y1500" i="2"/>
  <c r="Y1522" i="2"/>
  <c r="Y1542" i="2"/>
  <c r="Y1570" i="2"/>
  <c r="Y1605" i="2"/>
  <c r="Y1663" i="2"/>
  <c r="AF3329" i="2"/>
  <c r="AF3391" i="2"/>
  <c r="AF3373" i="2"/>
  <c r="AF3377" i="2"/>
  <c r="AF3321" i="2"/>
  <c r="AF3612" i="2"/>
  <c r="AC3030" i="2"/>
  <c r="AC2994" i="2"/>
  <c r="AC3519" i="2"/>
  <c r="AC3431" i="2"/>
  <c r="AC3721" i="2"/>
  <c r="AB3511" i="2"/>
  <c r="AK3511" i="2" s="1"/>
  <c r="AK4494" i="2"/>
  <c r="Y4494" i="2"/>
  <c r="AH4672" i="2"/>
  <c r="Y4672" i="2"/>
  <c r="AH4680" i="2"/>
  <c r="Y4680" i="2"/>
  <c r="AB4698" i="2"/>
  <c r="AK4698" i="2" s="1"/>
  <c r="Y4698" i="2"/>
  <c r="AB4716" i="2"/>
  <c r="AK4716" i="2" s="1"/>
  <c r="Y4716" i="2"/>
  <c r="AB4726" i="2"/>
  <c r="AK4726" i="2" s="1"/>
  <c r="Y4726" i="2"/>
  <c r="AB4734" i="2"/>
  <c r="AK4734" i="2" s="1"/>
  <c r="Y4734" i="2"/>
  <c r="AB4744" i="2"/>
  <c r="AK4744" i="2" s="1"/>
  <c r="Y4744" i="2"/>
  <c r="AK4772" i="2"/>
  <c r="Y4772" i="2"/>
  <c r="AH4782" i="2"/>
  <c r="Y4782" i="2"/>
  <c r="Y4335" i="2"/>
  <c r="Y4306" i="2"/>
  <c r="Y4197" i="2"/>
  <c r="Y4157" i="2"/>
  <c r="Y4078" i="2"/>
  <c r="AB4046" i="2"/>
  <c r="AK4046" i="2" s="1"/>
  <c r="Y3950" i="2"/>
  <c r="AB3854" i="2"/>
  <c r="AK3854" i="2" s="1"/>
  <c r="AB3801" i="2"/>
  <c r="AK3801" i="2" s="1"/>
  <c r="Y4656" i="2"/>
  <c r="Y4593" i="2"/>
  <c r="Y4533" i="2"/>
  <c r="Y4454" i="2"/>
  <c r="Y3044" i="2"/>
  <c r="AB2896" i="2"/>
  <c r="AK2896" i="2" s="1"/>
  <c r="AB4780" i="2"/>
  <c r="AK4780" i="2" s="1"/>
  <c r="Y4762" i="2"/>
  <c r="Y4746" i="2"/>
  <c r="Y4732" i="2"/>
  <c r="Y4710" i="2"/>
  <c r="Y4696" i="2"/>
  <c r="Y4678" i="2"/>
  <c r="Y4155" i="2"/>
  <c r="Y4068" i="2"/>
  <c r="AB3860" i="2"/>
  <c r="AK3860" i="2" s="1"/>
  <c r="AB3575" i="2"/>
  <c r="AK3575" i="2" s="1"/>
  <c r="Y4794" i="2"/>
  <c r="AC3777" i="2"/>
  <c r="Y4372" i="2"/>
  <c r="Y4229" i="2"/>
  <c r="Y4189" i="2"/>
  <c r="Y4117" i="2"/>
  <c r="Y4038" i="2"/>
  <c r="Y3990" i="2"/>
  <c r="AB3950" i="2"/>
  <c r="AK3950" i="2" s="1"/>
  <c r="AB3894" i="2"/>
  <c r="AK3894" i="2" s="1"/>
  <c r="Y3793" i="2"/>
  <c r="Y4664" i="2"/>
  <c r="Y4625" i="2"/>
  <c r="Y4559" i="2"/>
  <c r="Y4486" i="2"/>
  <c r="Y4414" i="2"/>
  <c r="Y3485" i="2"/>
  <c r="Y4720" i="2"/>
  <c r="Y4708" i="2"/>
  <c r="Y4362" i="2"/>
  <c r="AB4296" i="2"/>
  <c r="AK4296" i="2" s="1"/>
  <c r="AB4227" i="2"/>
  <c r="AK4227" i="2" s="1"/>
  <c r="Y4036" i="2"/>
  <c r="Y3836" i="2"/>
  <c r="Y4812" i="2"/>
  <c r="Y4652" i="2"/>
  <c r="Y4586" i="2"/>
  <c r="Y4515" i="2"/>
  <c r="AB4436" i="2"/>
  <c r="AK4436" i="2" s="1"/>
  <c r="AB3120" i="2"/>
  <c r="AK3120" i="2" s="1"/>
  <c r="AB3052" i="2"/>
  <c r="AK3052" i="2" s="1"/>
  <c r="AC3769" i="2"/>
  <c r="AC3469" i="2"/>
  <c r="AC3533" i="2"/>
  <c r="Y4330" i="2"/>
  <c r="Y4298" i="2"/>
  <c r="Y4261" i="2"/>
  <c r="Y4221" i="2"/>
  <c r="Y4149" i="2"/>
  <c r="Y4070" i="2"/>
  <c r="Y3886" i="2"/>
  <c r="Y3838" i="2"/>
  <c r="Y4654" i="2"/>
  <c r="Y4588" i="2"/>
  <c r="AB4525" i="2"/>
  <c r="AK4525" i="2" s="1"/>
  <c r="Y4446" i="2"/>
  <c r="Y3042" i="2"/>
  <c r="Y3461" i="2"/>
  <c r="Y4776" i="2"/>
  <c r="Y4758" i="2"/>
  <c r="Y4742" i="2"/>
  <c r="Y4730" i="2"/>
  <c r="AB4706" i="2"/>
  <c r="AK4706" i="2" s="1"/>
  <c r="Y4694" i="2"/>
  <c r="Y4676" i="2"/>
  <c r="Y4288" i="2"/>
  <c r="AB4219" i="2"/>
  <c r="AK4219" i="2" s="1"/>
  <c r="AB4139" i="2"/>
  <c r="AK4139" i="2" s="1"/>
  <c r="Y4012" i="2"/>
  <c r="AB3815" i="2"/>
  <c r="AK3815" i="2" s="1"/>
  <c r="Y4810" i="2"/>
  <c r="Y4790" i="2"/>
  <c r="Y4578" i="2"/>
  <c r="AB4420" i="2"/>
  <c r="AK4420" i="2" s="1"/>
  <c r="AB3114" i="2"/>
  <c r="AK3114" i="2" s="1"/>
  <c r="Y4896" i="2"/>
  <c r="AB4866" i="2"/>
  <c r="AK4866" i="2" s="1"/>
  <c r="AB4822" i="2"/>
  <c r="AK4822" i="2" s="1"/>
  <c r="AC3761" i="2"/>
  <c r="Y4393" i="2"/>
  <c r="Y4364" i="2"/>
  <c r="Y4253" i="2"/>
  <c r="Y4181" i="2"/>
  <c r="Y4104" i="2"/>
  <c r="Y3974" i="2"/>
  <c r="Y3926" i="2"/>
  <c r="AB3886" i="2"/>
  <c r="AK3886" i="2" s="1"/>
  <c r="Y4662" i="2"/>
  <c r="Y4617" i="2"/>
  <c r="AB4551" i="2"/>
  <c r="AK4551" i="2" s="1"/>
  <c r="Y4517" i="2"/>
  <c r="Y4478" i="2"/>
  <c r="Y4406" i="2"/>
  <c r="AB3429" i="2"/>
  <c r="AK3429" i="2" s="1"/>
  <c r="Y4740" i="2"/>
  <c r="Y4718" i="2"/>
  <c r="Y4704" i="2"/>
  <c r="Y4666" i="2"/>
  <c r="AB4341" i="2"/>
  <c r="AK4341" i="2" s="1"/>
  <c r="AB4211" i="2"/>
  <c r="AK4211" i="2" s="1"/>
  <c r="AB4115" i="2"/>
  <c r="AK4115" i="2" s="1"/>
  <c r="AB4004" i="2"/>
  <c r="AK4004" i="2" s="1"/>
  <c r="Y3791" i="2"/>
  <c r="AB4570" i="2"/>
  <c r="AK4570" i="2" s="1"/>
  <c r="AB4484" i="2"/>
  <c r="AK4484" i="2" s="1"/>
  <c r="AB4412" i="2"/>
  <c r="AK4412" i="2" s="1"/>
  <c r="AB3025" i="2"/>
  <c r="AK3025" i="2" s="1"/>
  <c r="Y3025" i="2"/>
  <c r="AB3076" i="2"/>
  <c r="AK3076" i="2" s="1"/>
  <c r="Y3076" i="2"/>
  <c r="AB3088" i="2"/>
  <c r="AK3088" i="2" s="1"/>
  <c r="Y3088" i="2"/>
  <c r="AC3817" i="2"/>
  <c r="AC3753" i="2"/>
  <c r="AC3000" i="2"/>
  <c r="AC3453" i="2"/>
  <c r="AB4290" i="2"/>
  <c r="AK4290" i="2" s="1"/>
  <c r="Y4062" i="2"/>
  <c r="AB4022" i="2"/>
  <c r="AK4022" i="2" s="1"/>
  <c r="AB4580" i="2"/>
  <c r="AK4580" i="2" s="1"/>
  <c r="AB4754" i="2"/>
  <c r="AK4754" i="2" s="1"/>
  <c r="Y4674" i="2"/>
  <c r="Y4203" i="2"/>
  <c r="Y4102" i="2"/>
  <c r="Y3996" i="2"/>
  <c r="Y3767" i="2"/>
  <c r="Y4798" i="2"/>
  <c r="Y4788" i="2"/>
  <c r="AB3122" i="2"/>
  <c r="AK3122" i="2" s="1"/>
  <c r="Y3122" i="2"/>
  <c r="AB3124" i="2"/>
  <c r="AK3124" i="2" s="1"/>
  <c r="Y3124" i="2"/>
  <c r="AB3038" i="2"/>
  <c r="AK3038" i="2" s="1"/>
  <c r="Y3038" i="2"/>
  <c r="Y3040" i="2"/>
  <c r="AB3040" i="2"/>
  <c r="AK3040" i="2" s="1"/>
  <c r="AB3570" i="2"/>
  <c r="AK3570" i="2" s="1"/>
  <c r="Y3570" i="2"/>
  <c r="AB3687" i="2"/>
  <c r="AK3687" i="2" s="1"/>
  <c r="Y3687" i="2"/>
  <c r="AB3711" i="2"/>
  <c r="AK3711" i="2" s="1"/>
  <c r="Y3711" i="2"/>
  <c r="AB3735" i="2"/>
  <c r="AK3735" i="2" s="1"/>
  <c r="Y3735" i="2"/>
  <c r="AB3900" i="2"/>
  <c r="AK3900" i="2" s="1"/>
  <c r="Y3900" i="2"/>
  <c r="Y3932" i="2"/>
  <c r="AB3932" i="2"/>
  <c r="AK3932" i="2" s="1"/>
  <c r="AB3956" i="2"/>
  <c r="AK3956" i="2" s="1"/>
  <c r="Y3956" i="2"/>
  <c r="AB4044" i="2"/>
  <c r="AK4044" i="2" s="1"/>
  <c r="Y4044" i="2"/>
  <c r="Y4052" i="2"/>
  <c r="AB4052" i="2"/>
  <c r="AK4052" i="2" s="1"/>
  <c r="AB4123" i="2"/>
  <c r="AK4123" i="2" s="1"/>
  <c r="Y4123" i="2"/>
  <c r="AK4131" i="2"/>
  <c r="Y4131" i="2"/>
  <c r="AK4171" i="2"/>
  <c r="Y4171" i="2"/>
  <c r="Y4195" i="2"/>
  <c r="AB4195" i="2"/>
  <c r="AK4195" i="2" s="1"/>
  <c r="AB4243" i="2"/>
  <c r="AK4243" i="2" s="1"/>
  <c r="Y4243" i="2"/>
  <c r="Y4304" i="2"/>
  <c r="AB4304" i="2"/>
  <c r="AK4304" i="2" s="1"/>
  <c r="AB4312" i="2"/>
  <c r="AK4312" i="2" s="1"/>
  <c r="Y4312" i="2"/>
  <c r="Y4346" i="2"/>
  <c r="AB4346" i="2"/>
  <c r="AK4346" i="2" s="1"/>
  <c r="AK4354" i="2"/>
  <c r="Y4354" i="2"/>
  <c r="AB4391" i="2"/>
  <c r="AK4391" i="2" s="1"/>
  <c r="Y4391" i="2"/>
  <c r="Y4492" i="2"/>
  <c r="AB4492" i="2"/>
  <c r="AK4492" i="2" s="1"/>
  <c r="AB4557" i="2"/>
  <c r="AK4557" i="2" s="1"/>
  <c r="Y4557" i="2"/>
  <c r="Y4607" i="2"/>
  <c r="AB4607" i="2"/>
  <c r="AK4607" i="2" s="1"/>
  <c r="AH4687" i="2"/>
  <c r="Y4687" i="2"/>
  <c r="Y4818" i="2"/>
  <c r="AB4818" i="2"/>
  <c r="AK4818" i="2" s="1"/>
  <c r="AB4838" i="2"/>
  <c r="AK4838" i="2" s="1"/>
  <c r="Y4838" i="2"/>
  <c r="AB4840" i="2"/>
  <c r="AK4840" i="2" s="1"/>
  <c r="Y4840" i="2"/>
  <c r="AB4850" i="2"/>
  <c r="AK4850" i="2" s="1"/>
  <c r="Y4850" i="2"/>
  <c r="AK4856" i="2"/>
  <c r="Y4856" i="2"/>
  <c r="Y4872" i="2"/>
  <c r="AB4872" i="2"/>
  <c r="AK4872" i="2" s="1"/>
  <c r="AB4884" i="2"/>
  <c r="AK4884" i="2" s="1"/>
  <c r="Y4884" i="2"/>
  <c r="AB4894" i="2"/>
  <c r="AK4894" i="2" s="1"/>
  <c r="Y4894" i="2"/>
  <c r="Y4904" i="2"/>
  <c r="AB4904" i="2"/>
  <c r="AK4904" i="2" s="1"/>
  <c r="Y4906" i="2"/>
  <c r="AB4906" i="2"/>
  <c r="AK4906" i="2" s="1"/>
  <c r="Y4959" i="2"/>
  <c r="AB4959" i="2"/>
  <c r="AK4959" i="2" s="1"/>
  <c r="AB4961" i="2"/>
  <c r="AK4961" i="2" s="1"/>
  <c r="Y4961" i="2"/>
  <c r="AB4971" i="2"/>
  <c r="AK4971" i="2" s="1"/>
  <c r="Y4971" i="2"/>
  <c r="AB4981" i="2"/>
  <c r="AK4981" i="2" s="1"/>
  <c r="Y4981" i="2"/>
  <c r="AF4985" i="2"/>
  <c r="Y4985" i="2"/>
  <c r="AF4989" i="2"/>
  <c r="Y4989" i="2"/>
  <c r="AF4993" i="2"/>
  <c r="Y4993" i="2"/>
  <c r="AF4997" i="2"/>
  <c r="Y4997" i="2"/>
  <c r="AB5040" i="2"/>
  <c r="AK5040" i="2" s="1"/>
  <c r="Y5040" i="2"/>
  <c r="Y5063" i="2"/>
  <c r="AB5063" i="2"/>
  <c r="AK5063" i="2" s="1"/>
  <c r="Y5073" i="2"/>
  <c r="AB5073" i="2"/>
  <c r="AK5073" i="2" s="1"/>
  <c r="AB5083" i="2"/>
  <c r="AK5083" i="2" s="1"/>
  <c r="Y5083" i="2"/>
  <c r="AK5101" i="2"/>
  <c r="Y5101" i="2"/>
  <c r="AB5105" i="2"/>
  <c r="AK5105" i="2" s="1"/>
  <c r="Y5105" i="2"/>
  <c r="AB5115" i="2"/>
  <c r="AK5115" i="2" s="1"/>
  <c r="Y5115" i="2"/>
  <c r="AB5135" i="2"/>
  <c r="AK5135" i="2" s="1"/>
  <c r="Y5135" i="2"/>
  <c r="AB5145" i="2"/>
  <c r="AK5145" i="2" s="1"/>
  <c r="Y5145" i="2"/>
  <c r="AB5153" i="2"/>
  <c r="AK5153" i="2" s="1"/>
  <c r="Y5153" i="2"/>
  <c r="AB5163" i="2"/>
  <c r="AK5163" i="2" s="1"/>
  <c r="Y5163" i="2"/>
  <c r="AB5204" i="2"/>
  <c r="AK5204" i="2" s="1"/>
  <c r="Y5204" i="2"/>
  <c r="AB5222" i="2"/>
  <c r="AK5222" i="2" s="1"/>
  <c r="Y5222" i="2"/>
  <c r="AB5232" i="2"/>
  <c r="AK5232" i="2" s="1"/>
  <c r="Y5232" i="2"/>
  <c r="AB5240" i="2"/>
  <c r="AK5240" i="2" s="1"/>
  <c r="Y5240" i="2"/>
  <c r="AB5275" i="2"/>
  <c r="AK5275" i="2" s="1"/>
  <c r="Y5275" i="2"/>
  <c r="R72" i="3"/>
  <c r="T72" i="3" s="1"/>
  <c r="U72" i="3" s="1"/>
  <c r="V72" i="3" s="1"/>
  <c r="Y4133" i="2"/>
  <c r="Y3817" i="2"/>
  <c r="AB4641" i="2"/>
  <c r="AK4641" i="2" s="1"/>
  <c r="Y4430" i="2"/>
  <c r="AB2992" i="2"/>
  <c r="AK2992" i="2" s="1"/>
  <c r="AB4766" i="2"/>
  <c r="AK4766" i="2" s="1"/>
  <c r="AB4750" i="2"/>
  <c r="AK4750" i="2" s="1"/>
  <c r="AB4724" i="2"/>
  <c r="AK4724" i="2" s="1"/>
  <c r="AB4251" i="2"/>
  <c r="AK4251" i="2" s="1"/>
  <c r="AB4084" i="2"/>
  <c r="AK4084" i="2" s="1"/>
  <c r="AB3964" i="2"/>
  <c r="AK3964" i="2" s="1"/>
  <c r="AB3639" i="2"/>
  <c r="AK3639" i="2" s="1"/>
  <c r="Y4796" i="2"/>
  <c r="AB4615" i="2"/>
  <c r="AK4615" i="2" s="1"/>
  <c r="AB4539" i="2"/>
  <c r="AK4539" i="2" s="1"/>
  <c r="AB4460" i="2"/>
  <c r="AK4460" i="2" s="1"/>
  <c r="AB4396" i="2"/>
  <c r="AK4396" i="2" s="1"/>
  <c r="Y3078" i="2"/>
  <c r="Y4830" i="2"/>
  <c r="AH3324" i="2"/>
  <c r="Y3324" i="2"/>
  <c r="AB3459" i="2"/>
  <c r="AK3459" i="2" s="1"/>
  <c r="Y3459" i="2"/>
  <c r="Y5829" i="2"/>
  <c r="Y5610" i="2"/>
  <c r="AC5549" i="2"/>
  <c r="Y5909" i="2"/>
  <c r="Y5541" i="2"/>
  <c r="AF6055" i="2"/>
  <c r="AC5525" i="2"/>
  <c r="AF5403" i="2"/>
  <c r="AB5581" i="2"/>
  <c r="AK5581" i="2" s="1"/>
  <c r="Y5517" i="2"/>
  <c r="Y5981" i="2"/>
  <c r="AB5877" i="2"/>
  <c r="AK5877" i="2" s="1"/>
  <c r="AB5805" i="2"/>
  <c r="AK5805" i="2" s="1"/>
  <c r="Y5785" i="2"/>
  <c r="AC5424" i="2"/>
  <c r="Y6541" i="2"/>
  <c r="Y6426" i="2"/>
  <c r="Y5746" i="2"/>
  <c r="Y5706" i="2"/>
  <c r="Y5690" i="2"/>
  <c r="Y5650" i="2"/>
  <c r="AB5634" i="2"/>
  <c r="AK5634" i="2" s="1"/>
  <c r="AF5824" i="2"/>
  <c r="AF5848" i="2"/>
  <c r="AB5376" i="2"/>
  <c r="AK5376" i="2" s="1"/>
  <c r="AC5477" i="2"/>
  <c r="Y5461" i="2"/>
  <c r="Y5488" i="2"/>
  <c r="AB5437" i="2"/>
  <c r="AK5437" i="2" s="1"/>
  <c r="AB5493" i="2"/>
  <c r="AK5493" i="2" s="1"/>
  <c r="AB5461" i="2"/>
  <c r="AK5461" i="2" s="1"/>
  <c r="AB5445" i="2"/>
  <c r="AK5445" i="2" s="1"/>
  <c r="AC6705" i="2"/>
  <c r="Y3428" i="2"/>
  <c r="Y3476" i="2"/>
  <c r="Y3492" i="2"/>
  <c r="Y3508" i="2"/>
  <c r="Y3590" i="2"/>
  <c r="Y3606" i="2"/>
  <c r="Y3614" i="2"/>
  <c r="Y3630" i="2"/>
  <c r="Y3883" i="2"/>
  <c r="Y3963" i="2"/>
  <c r="Y4067" i="2"/>
  <c r="Y4075" i="2"/>
  <c r="Y4083" i="2"/>
  <c r="Y4093" i="2"/>
  <c r="Y4101" i="2"/>
  <c r="Y4130" i="2"/>
  <c r="Y4138" i="2"/>
  <c r="Y4170" i="2"/>
  <c r="Y4178" i="2"/>
  <c r="Y4186" i="2"/>
  <c r="Y4194" i="2"/>
  <c r="Y4210" i="2"/>
  <c r="Y4234" i="2"/>
  <c r="Y4258" i="2"/>
  <c r="Y4279" i="2"/>
  <c r="Y4303" i="2"/>
  <c r="Y4327" i="2"/>
  <c r="Y4340" i="2"/>
  <c r="Y4353" i="2"/>
  <c r="Y4385" i="2"/>
  <c r="Y5978" i="2"/>
  <c r="Y5557" i="2"/>
  <c r="Y5893" i="2"/>
  <c r="Y5408" i="2"/>
  <c r="Y5999" i="2"/>
  <c r="Y5914" i="2"/>
  <c r="Y5576" i="2"/>
  <c r="Y5772" i="2"/>
  <c r="AB5416" i="2"/>
  <c r="AK5416" i="2" s="1"/>
  <c r="Y6039" i="2"/>
  <c r="AB5869" i="2"/>
  <c r="AK5869" i="2" s="1"/>
  <c r="Y5549" i="2"/>
  <c r="Y6418" i="2"/>
  <c r="AB5770" i="2"/>
  <c r="AK5770" i="2" s="1"/>
  <c r="Y5754" i="2"/>
  <c r="Y5682" i="2"/>
  <c r="Y5666" i="2"/>
  <c r="Y5384" i="2"/>
  <c r="AF5733" i="2"/>
  <c r="R134" i="3"/>
  <c r="T134" i="3" s="1"/>
  <c r="U134" i="3" s="1"/>
  <c r="V134" i="3" s="1"/>
  <c r="AB5978" i="2"/>
  <c r="AK5978" i="2" s="1"/>
  <c r="Y5602" i="2"/>
  <c r="AB5557" i="2"/>
  <c r="AK5557" i="2" s="1"/>
  <c r="AC5930" i="2"/>
  <c r="AC5890" i="2"/>
  <c r="AB5408" i="2"/>
  <c r="AK5408" i="2" s="1"/>
  <c r="Y5930" i="2"/>
  <c r="Y5469" i="2"/>
  <c r="AB6039" i="2"/>
  <c r="AK6039" i="2" s="1"/>
  <c r="Y6557" i="2"/>
  <c r="Y6525" i="2"/>
  <c r="AB5754" i="2"/>
  <c r="AK5754" i="2" s="1"/>
  <c r="AB5682" i="2"/>
  <c r="AK5682" i="2" s="1"/>
  <c r="AC5384" i="2"/>
  <c r="Y5392" i="2"/>
  <c r="Y5400" i="2"/>
  <c r="AB5469" i="2"/>
  <c r="AK5469" i="2" s="1"/>
  <c r="Y5589" i="2"/>
  <c r="Y5698" i="2"/>
  <c r="R131" i="3"/>
  <c r="T131" i="3" s="1"/>
  <c r="U131" i="3" s="1"/>
  <c r="V131" i="3" s="1"/>
  <c r="R124" i="3"/>
  <c r="T124" i="3" s="1"/>
  <c r="U124" i="3" s="1"/>
  <c r="V124" i="3" s="1"/>
  <c r="Y5594" i="2"/>
  <c r="Y5432" i="2"/>
  <c r="Y5765" i="2"/>
  <c r="Y5501" i="2"/>
  <c r="Y5453" i="2"/>
  <c r="AB5777" i="2"/>
  <c r="AF847" i="2"/>
  <c r="AC105" i="2"/>
  <c r="AC585" i="2"/>
  <c r="R31" i="3"/>
  <c r="T31" i="3" s="1"/>
  <c r="U31" i="3" s="1"/>
  <c r="V31" i="3" s="1"/>
  <c r="Y1604" i="2"/>
  <c r="Y1507" i="2"/>
  <c r="Y1471" i="2"/>
  <c r="Y67" i="2"/>
  <c r="Y18" i="2"/>
  <c r="Y1296" i="2"/>
  <c r="Y1278" i="2"/>
  <c r="Y806" i="2"/>
  <c r="Y796" i="2"/>
  <c r="AB778" i="2"/>
  <c r="AK778" i="2" s="1"/>
  <c r="Y555" i="2"/>
  <c r="Y547" i="2"/>
  <c r="Y539" i="2"/>
  <c r="Y531" i="2"/>
  <c r="Y479" i="2"/>
  <c r="Y383" i="2"/>
  <c r="Y355" i="2"/>
  <c r="Y181" i="2"/>
  <c r="Y126" i="2"/>
  <c r="Y87" i="2"/>
  <c r="Y2505" i="2"/>
  <c r="Y2397" i="2"/>
  <c r="Y2375" i="2"/>
  <c r="Y1283" i="2"/>
  <c r="Y2463" i="2"/>
  <c r="Y2439" i="2"/>
  <c r="AC2615" i="2"/>
  <c r="AB1135" i="2"/>
  <c r="AK1135" i="2" s="1"/>
  <c r="Y1135" i="2"/>
  <c r="AB1147" i="2"/>
  <c r="AK1147" i="2" s="1"/>
  <c r="Y1147" i="2"/>
  <c r="Y1343" i="2"/>
  <c r="AB1343" i="2"/>
  <c r="AK1343" i="2" s="1"/>
  <c r="AC246" i="2"/>
  <c r="AF162" i="2"/>
  <c r="AC338" i="2"/>
  <c r="AC205" i="2"/>
  <c r="AC959" i="2"/>
  <c r="AC749" i="2"/>
  <c r="AC723" i="2"/>
  <c r="AC909" i="2"/>
  <c r="AC763" i="2"/>
  <c r="AC1687" i="2"/>
  <c r="AC751" i="2"/>
  <c r="AC869" i="2"/>
  <c r="AC99" i="2"/>
  <c r="AC1016" i="2"/>
  <c r="Y2346" i="2"/>
  <c r="Y1577" i="2"/>
  <c r="Y137" i="2"/>
  <c r="Y32" i="2"/>
  <c r="Y2025" i="2"/>
  <c r="Y1991" i="2"/>
  <c r="Y1979" i="2"/>
  <c r="Y1969" i="2"/>
  <c r="Y1961" i="2"/>
  <c r="Y1656" i="2"/>
  <c r="Y1646" i="2"/>
  <c r="Y1304" i="2"/>
  <c r="Y1286" i="2"/>
  <c r="Y210" i="2"/>
  <c r="Y42" i="2"/>
  <c r="Y814" i="2"/>
  <c r="Y768" i="2"/>
  <c r="Y1063" i="2"/>
  <c r="Y1055" i="2"/>
  <c r="Y1047" i="2"/>
  <c r="Y499" i="2"/>
  <c r="Y455" i="2"/>
  <c r="Y435" i="2"/>
  <c r="Y419" i="2"/>
  <c r="Y343" i="2"/>
  <c r="Y324" i="2"/>
  <c r="Y308" i="2"/>
  <c r="Y1710" i="2"/>
  <c r="Y1552" i="2"/>
  <c r="Y1504" i="2"/>
  <c r="Y1474" i="2"/>
  <c r="Y1243" i="2"/>
  <c r="Y1089" i="2"/>
  <c r="AB1079" i="2"/>
  <c r="AK1079" i="2" s="1"/>
  <c r="Y992" i="2"/>
  <c r="AB2415" i="2"/>
  <c r="AK2415" i="2" s="1"/>
  <c r="Y1651" i="2"/>
  <c r="Y1293" i="2"/>
  <c r="AB745" i="2"/>
  <c r="AK745" i="2" s="1"/>
  <c r="Y2683" i="2"/>
  <c r="Y2461" i="2"/>
  <c r="AB2254" i="2"/>
  <c r="AK2254" i="2" s="1"/>
  <c r="AC1377" i="2"/>
  <c r="AC759" i="2"/>
  <c r="AC765" i="2"/>
  <c r="AC747" i="2"/>
  <c r="AC235" i="2"/>
  <c r="AC951" i="2"/>
  <c r="Y2252" i="2"/>
  <c r="Y1375" i="2"/>
  <c r="AF1245" i="2"/>
  <c r="Y1245" i="2"/>
  <c r="AF1275" i="2"/>
  <c r="Y1275" i="2"/>
  <c r="AF1297" i="2"/>
  <c r="Y1297" i="2"/>
  <c r="AF1299" i="2"/>
  <c r="Y1299" i="2"/>
  <c r="AF1309" i="2"/>
  <c r="Y1309" i="2"/>
  <c r="AK1432" i="2"/>
  <c r="Y1432" i="2"/>
  <c r="AF1627" i="2"/>
  <c r="Y1627" i="2"/>
  <c r="AF1637" i="2"/>
  <c r="Y1637" i="2"/>
  <c r="AF1639" i="2"/>
  <c r="Y1639" i="2"/>
  <c r="AF1659" i="2"/>
  <c r="Y1659" i="2"/>
  <c r="AF1661" i="2"/>
  <c r="Y1661" i="2"/>
  <c r="AF1960" i="2"/>
  <c r="Y1960" i="2"/>
  <c r="AF1966" i="2"/>
  <c r="Y1966" i="2"/>
  <c r="AF1976" i="2"/>
  <c r="Y1976" i="2"/>
  <c r="AF1986" i="2"/>
  <c r="Y1986" i="2"/>
  <c r="AF1998" i="2"/>
  <c r="Y1998" i="2"/>
  <c r="AF2004" i="2"/>
  <c r="Y2004" i="2"/>
  <c r="AF2008" i="2"/>
  <c r="Y2008" i="2"/>
  <c r="AF2014" i="2"/>
  <c r="Y2014" i="2"/>
  <c r="AF2022" i="2"/>
  <c r="Y2022" i="2"/>
  <c r="AF2028" i="2"/>
  <c r="Y2028" i="2"/>
  <c r="AF2030" i="2"/>
  <c r="Y2030" i="2"/>
  <c r="AF2042" i="2"/>
  <c r="Y2042" i="2"/>
  <c r="AF2052" i="2"/>
  <c r="Y2052" i="2"/>
  <c r="AC237" i="2"/>
  <c r="AC207" i="2"/>
  <c r="AC613" i="2"/>
  <c r="AC629" i="2"/>
  <c r="AC741" i="2"/>
  <c r="AC162" i="2"/>
  <c r="AC607" i="2"/>
  <c r="AC683" i="2"/>
  <c r="AC955" i="2"/>
  <c r="AC977" i="2"/>
  <c r="AC651" i="2"/>
  <c r="AC231" i="2"/>
  <c r="AC108" i="2"/>
  <c r="AC943" i="2"/>
  <c r="Y2344" i="2"/>
  <c r="Y2336" i="2"/>
  <c r="Y2328" i="2"/>
  <c r="Y1585" i="2"/>
  <c r="Y1573" i="2"/>
  <c r="Y1563" i="2"/>
  <c r="Y1541" i="2"/>
  <c r="Y1515" i="2"/>
  <c r="Y1479" i="2"/>
  <c r="Y1423" i="2"/>
  <c r="Y1407" i="2"/>
  <c r="Y1302" i="2"/>
  <c r="Y1284" i="2"/>
  <c r="Y820" i="2"/>
  <c r="Y802" i="2"/>
  <c r="Y784" i="2"/>
  <c r="Y341" i="2"/>
  <c r="Y475" i="2"/>
  <c r="Y463" i="2"/>
  <c r="Y441" i="2"/>
  <c r="Y433" i="2"/>
  <c r="Y391" i="2"/>
  <c r="Y351" i="2"/>
  <c r="Y173" i="2"/>
  <c r="AB2663" i="2"/>
  <c r="AK2663" i="2" s="1"/>
  <c r="Y2488" i="2"/>
  <c r="Y2389" i="2"/>
  <c r="AB605" i="2"/>
  <c r="AK605" i="2" s="1"/>
  <c r="Y2453" i="2"/>
  <c r="Y2431" i="2"/>
  <c r="Y2098" i="2"/>
  <c r="Y2310" i="2"/>
  <c r="Y2206" i="2"/>
  <c r="AC221" i="2"/>
  <c r="AC733" i="2"/>
  <c r="AC277" i="2"/>
  <c r="AC107" i="2"/>
  <c r="AC79" i="2"/>
  <c r="AC945" i="2"/>
  <c r="AC597" i="2"/>
  <c r="AC695" i="2"/>
  <c r="AC739" i="2"/>
  <c r="AC843" i="2"/>
  <c r="Y1246" i="2"/>
  <c r="Y1238" i="2"/>
  <c r="Y1230" i="2"/>
  <c r="Y44" i="2"/>
  <c r="Y1292" i="2"/>
  <c r="Y292" i="2"/>
  <c r="Y282" i="2"/>
  <c r="Y559" i="2"/>
  <c r="Y551" i="2"/>
  <c r="Y543" i="2"/>
  <c r="Y535" i="2"/>
  <c r="Y527" i="2"/>
  <c r="Y495" i="2"/>
  <c r="Y451" i="2"/>
  <c r="Y349" i="2"/>
  <c r="Y330" i="2"/>
  <c r="Y304" i="2"/>
  <c r="Y120" i="2"/>
  <c r="Y2655" i="2"/>
  <c r="AB2407" i="2"/>
  <c r="AK2407" i="2" s="1"/>
  <c r="Y2429" i="2"/>
  <c r="Y2090" i="2"/>
  <c r="AC601" i="2"/>
  <c r="AC753" i="2"/>
  <c r="AC745" i="2"/>
  <c r="AC835" i="2"/>
  <c r="Y2326" i="2"/>
  <c r="Y1608" i="2"/>
  <c r="Y1571" i="2"/>
  <c r="Y1549" i="2"/>
  <c r="Y1539" i="2"/>
  <c r="Y1499" i="2"/>
  <c r="Y1463" i="2"/>
  <c r="Y1433" i="2"/>
  <c r="Y1405" i="2"/>
  <c r="Y40" i="2"/>
  <c r="Y1310" i="2"/>
  <c r="Y1300" i="2"/>
  <c r="Y28" i="2"/>
  <c r="Y483" i="2"/>
  <c r="Y439" i="2"/>
  <c r="Y409" i="2"/>
  <c r="Y328" i="2"/>
  <c r="AB2615" i="2"/>
  <c r="AK2615" i="2" s="1"/>
  <c r="AB2425" i="2"/>
  <c r="AK2425" i="2" s="1"/>
  <c r="Y2405" i="2"/>
  <c r="AB2383" i="2"/>
  <c r="AK2383" i="2" s="1"/>
  <c r="Y2515" i="2"/>
  <c r="Y2449" i="2"/>
  <c r="Y2088" i="2"/>
  <c r="Y2202" i="2"/>
  <c r="Y90" i="2"/>
  <c r="Y83" i="2"/>
  <c r="Y769" i="2"/>
  <c r="AB2457" i="2"/>
  <c r="AK2457" i="2" s="1"/>
  <c r="AC2457" i="2"/>
  <c r="AF2527" i="2"/>
  <c r="Y2527" i="2"/>
  <c r="AF2555" i="2"/>
  <c r="Y2555" i="2"/>
  <c r="AC2586" i="2"/>
  <c r="Y2586" i="2"/>
  <c r="AC2612" i="2"/>
  <c r="AB2612" i="2"/>
  <c r="AK2612" i="2" s="1"/>
  <c r="AC2679" i="2"/>
  <c r="Y2679" i="2"/>
  <c r="R48" i="3"/>
  <c r="T48" i="3" s="1"/>
  <c r="U48" i="3" s="1"/>
  <c r="V48" i="3" s="1"/>
  <c r="AB2702" i="2"/>
  <c r="AK2702" i="2" s="1"/>
  <c r="AB2154" i="2"/>
  <c r="AK2154" i="2" s="1"/>
  <c r="Y2154" i="2"/>
  <c r="AB2158" i="2"/>
  <c r="AK2158" i="2" s="1"/>
  <c r="Y2158" i="2"/>
  <c r="Y2282" i="2"/>
  <c r="AB2282" i="2"/>
  <c r="AK2282" i="2" s="1"/>
  <c r="AC2373" i="2"/>
  <c r="Y2373" i="2"/>
  <c r="AB2486" i="2"/>
  <c r="AK2486" i="2" s="1"/>
  <c r="Y2486" i="2"/>
  <c r="Y2490" i="2"/>
  <c r="AB2490" i="2"/>
  <c r="AK2490" i="2" s="1"/>
  <c r="Y2607" i="2"/>
  <c r="AB2607" i="2"/>
  <c r="AK2607" i="2" s="1"/>
  <c r="Y2718" i="2"/>
  <c r="AB2718" i="2"/>
  <c r="AK2718" i="2" s="1"/>
  <c r="AB1359" i="2"/>
  <c r="AK1359" i="2" s="1"/>
  <c r="Y1359" i="2"/>
  <c r="AB2114" i="2"/>
  <c r="AK2114" i="2" s="1"/>
  <c r="Y2114" i="2"/>
  <c r="AH2607" i="2"/>
  <c r="AF2607" i="2"/>
  <c r="AB1590" i="2"/>
  <c r="AK1590" i="2" s="1"/>
  <c r="Y261" i="2"/>
  <c r="Y375" i="2"/>
  <c r="Y1586" i="2"/>
  <c r="Y1625" i="2"/>
  <c r="Y1629" i="2"/>
  <c r="Y1633" i="2"/>
  <c r="Y1641" i="2"/>
  <c r="Y1647" i="2"/>
  <c r="Y1649" i="2"/>
  <c r="Y2923" i="2"/>
  <c r="Y2971" i="2"/>
  <c r="Y3118" i="2"/>
  <c r="AB3107" i="2"/>
  <c r="AK3107" i="2" s="1"/>
  <c r="Y3111" i="2"/>
  <c r="Y2904" i="2"/>
  <c r="Y2920" i="2"/>
  <c r="Y2936" i="2"/>
  <c r="Y2944" i="2"/>
  <c r="Y2952" i="2"/>
  <c r="Y2960" i="2"/>
  <c r="Y3424" i="2"/>
  <c r="Y3365" i="2"/>
  <c r="Y3323" i="2"/>
  <c r="AB3509" i="2"/>
  <c r="AK3509" i="2" s="1"/>
  <c r="Y3090" i="2"/>
  <c r="Y3064" i="2"/>
  <c r="AB3043" i="2"/>
  <c r="AK3043" i="2" s="1"/>
  <c r="Y3061" i="2"/>
  <c r="AF2876" i="2"/>
  <c r="AF2884" i="2"/>
  <c r="AK2951" i="2"/>
  <c r="AC721" i="2"/>
  <c r="AC223" i="2"/>
  <c r="AC645" i="2"/>
  <c r="R28" i="3"/>
  <c r="T28" i="3" s="1"/>
  <c r="U28" i="3" s="1"/>
  <c r="V28" i="3" s="1"/>
  <c r="Y1569" i="2"/>
  <c r="Y1561" i="2"/>
  <c r="Y1495" i="2"/>
  <c r="Y1467" i="2"/>
  <c r="Y1449" i="2"/>
  <c r="Y1439" i="2"/>
  <c r="Y1421" i="2"/>
  <c r="Y1411" i="2"/>
  <c r="AB655" i="2"/>
  <c r="AK655" i="2" s="1"/>
  <c r="Y269" i="2"/>
  <c r="AB2112" i="2"/>
  <c r="AK2112" i="2" s="1"/>
  <c r="Y2084" i="2"/>
  <c r="Y1016" i="2"/>
  <c r="AB2298" i="2"/>
  <c r="AK2298" i="2" s="1"/>
  <c r="AB2270" i="2"/>
  <c r="AK2270" i="2" s="1"/>
  <c r="Y2234" i="2"/>
  <c r="Y2142" i="2"/>
  <c r="Y1391" i="2"/>
  <c r="Y556" i="2"/>
  <c r="AC711" i="2"/>
  <c r="AF66" i="2"/>
  <c r="AC643" i="2"/>
  <c r="R33" i="3"/>
  <c r="T33" i="3" s="1"/>
  <c r="U33" i="3" s="1"/>
  <c r="V33" i="3" s="1"/>
  <c r="Y1535" i="2"/>
  <c r="Y1527" i="2"/>
  <c r="Y1519" i="2"/>
  <c r="Y1511" i="2"/>
  <c r="Y1503" i="2"/>
  <c r="Y1475" i="2"/>
  <c r="Y1457" i="2"/>
  <c r="Y1447" i="2"/>
  <c r="Y1419" i="2"/>
  <c r="Y1401" i="2"/>
  <c r="AB641" i="2"/>
  <c r="AK641" i="2" s="1"/>
  <c r="AB2076" i="2"/>
  <c r="AK2076" i="2" s="1"/>
  <c r="Y2296" i="2"/>
  <c r="Y2226" i="2"/>
  <c r="Y2180" i="2"/>
  <c r="AC599" i="2"/>
  <c r="AC713" i="2"/>
  <c r="AC967" i="2"/>
  <c r="AC709" i="2"/>
  <c r="AC633" i="2"/>
  <c r="Y1575" i="2"/>
  <c r="Y1567" i="2"/>
  <c r="Y1559" i="2"/>
  <c r="Y1551" i="2"/>
  <c r="Y1543" i="2"/>
  <c r="Y1483" i="2"/>
  <c r="Y1465" i="2"/>
  <c r="Y1437" i="2"/>
  <c r="Y1427" i="2"/>
  <c r="Y1409" i="2"/>
  <c r="Y723" i="2"/>
  <c r="Y2074" i="2"/>
  <c r="Y989" i="2"/>
  <c r="Y885" i="2"/>
  <c r="Y2292" i="2"/>
  <c r="Y2266" i="2"/>
  <c r="Y2178" i="2"/>
  <c r="Y2134" i="2"/>
  <c r="Y1387" i="2"/>
  <c r="AC707" i="2"/>
  <c r="AC589" i="2"/>
  <c r="Y1614" i="2"/>
  <c r="Y1606" i="2"/>
  <c r="Y1583" i="2"/>
  <c r="Y1533" i="2"/>
  <c r="Y1525" i="2"/>
  <c r="Y1517" i="2"/>
  <c r="Y1509" i="2"/>
  <c r="Y1491" i="2"/>
  <c r="Y1473" i="2"/>
  <c r="Y1455" i="2"/>
  <c r="Y1445" i="2"/>
  <c r="Y1435" i="2"/>
  <c r="Y1417" i="2"/>
  <c r="Y2100" i="2"/>
  <c r="Y945" i="2"/>
  <c r="Y871" i="2"/>
  <c r="Y775" i="2"/>
  <c r="Y2224" i="2"/>
  <c r="Y2172" i="2"/>
  <c r="AB1387" i="2"/>
  <c r="AK1387" i="2" s="1"/>
  <c r="Y366" i="2"/>
  <c r="AC587" i="2"/>
  <c r="R18" i="3"/>
  <c r="T18" i="3" s="1"/>
  <c r="U18" i="3" s="1"/>
  <c r="V18" i="3" s="1"/>
  <c r="Y699" i="2"/>
  <c r="Y2072" i="2"/>
  <c r="Y1038" i="2"/>
  <c r="Y933" i="2"/>
  <c r="AB1687" i="2"/>
  <c r="AK1687" i="2" s="1"/>
  <c r="Y1377" i="2"/>
  <c r="Y3" i="2"/>
  <c r="AB3" i="2"/>
  <c r="AK3" i="2" s="1"/>
  <c r="Y127" i="2"/>
  <c r="Y180" i="2"/>
  <c r="AF194" i="2"/>
  <c r="Y194" i="2"/>
  <c r="Y1052" i="2"/>
  <c r="Y68" i="2"/>
  <c r="AF68" i="2"/>
  <c r="Y823" i="2"/>
  <c r="AB837" i="2"/>
  <c r="AK837" i="2" s="1"/>
  <c r="AB851" i="2"/>
  <c r="AK851" i="2" s="1"/>
  <c r="AB855" i="2"/>
  <c r="AK855" i="2" s="1"/>
  <c r="Y855" i="2"/>
  <c r="AB923" i="2"/>
  <c r="AK923" i="2" s="1"/>
  <c r="Y923" i="2"/>
  <c r="AF1062" i="2"/>
  <c r="Y1062" i="2"/>
  <c r="AF1274" i="2"/>
  <c r="Y1274" i="2"/>
  <c r="AF1282" i="2"/>
  <c r="Y1282" i="2"/>
  <c r="AF1290" i="2"/>
  <c r="Y1290" i="2"/>
  <c r="AF1298" i="2"/>
  <c r="Y1298" i="2"/>
  <c r="AF1306" i="2"/>
  <c r="Y1306" i="2"/>
  <c r="Y1453" i="2"/>
  <c r="Y1461" i="2"/>
  <c r="Y1469" i="2"/>
  <c r="Y1477" i="2"/>
  <c r="Y1485" i="2"/>
  <c r="Y1493" i="2"/>
  <c r="Y1501" i="2"/>
  <c r="AF1642" i="2"/>
  <c r="Y1642" i="2"/>
  <c r="AF1650" i="2"/>
  <c r="Y1650" i="2"/>
  <c r="AF1652" i="2"/>
  <c r="Y1652" i="2"/>
  <c r="AF1658" i="2"/>
  <c r="Y1658" i="2"/>
  <c r="Y2433" i="2"/>
  <c r="AB273" i="2"/>
  <c r="AK273" i="2" s="1"/>
  <c r="Y273" i="2"/>
  <c r="AB577" i="2"/>
  <c r="AK577" i="2" s="1"/>
  <c r="Y577" i="2"/>
  <c r="AB619" i="2"/>
  <c r="AK619" i="2" s="1"/>
  <c r="Y619" i="2"/>
  <c r="AB627" i="2"/>
  <c r="AK627" i="2" s="1"/>
  <c r="Y627" i="2"/>
  <c r="AB681" i="2"/>
  <c r="AK681" i="2" s="1"/>
  <c r="Y681" i="2"/>
  <c r="AB755" i="2"/>
  <c r="AK755" i="2" s="1"/>
  <c r="Y755" i="2"/>
  <c r="Y953" i="2"/>
  <c r="AB953" i="2"/>
  <c r="AK953" i="2" s="1"/>
  <c r="Y971" i="2"/>
  <c r="AB971" i="2"/>
  <c r="AK971" i="2" s="1"/>
  <c r="AB979" i="2"/>
  <c r="AK979" i="2" s="1"/>
  <c r="Y979" i="2"/>
  <c r="AC1381" i="2"/>
  <c r="AB1381" i="2"/>
  <c r="AK1381" i="2" s="1"/>
  <c r="AB1383" i="2"/>
  <c r="AK1383" i="2" s="1"/>
  <c r="Y1383" i="2"/>
  <c r="AC1385" i="2"/>
  <c r="AB1385" i="2"/>
  <c r="AK1385" i="2" s="1"/>
  <c r="AB1395" i="2"/>
  <c r="AK1395" i="2" s="1"/>
  <c r="Y1395" i="2"/>
  <c r="Y1397" i="2"/>
  <c r="AC1397" i="2"/>
  <c r="AB1397" i="2"/>
  <c r="AK1397" i="2" s="1"/>
  <c r="AB1689" i="2"/>
  <c r="AK1689" i="2" s="1"/>
  <c r="Y1689" i="2"/>
  <c r="AB2064" i="2"/>
  <c r="AK2064" i="2" s="1"/>
  <c r="Y2064" i="2"/>
  <c r="AB2066" i="2"/>
  <c r="AK2066" i="2" s="1"/>
  <c r="Y2066" i="2"/>
  <c r="Y2070" i="2"/>
  <c r="AB2070" i="2"/>
  <c r="AK2070" i="2" s="1"/>
  <c r="AB2080" i="2"/>
  <c r="AK2080" i="2" s="1"/>
  <c r="Y2080" i="2"/>
  <c r="Y2082" i="2"/>
  <c r="AB2082" i="2"/>
  <c r="AK2082" i="2" s="1"/>
  <c r="AB2092" i="2"/>
  <c r="AK2092" i="2" s="1"/>
  <c r="Y2092" i="2"/>
  <c r="AB2096" i="2"/>
  <c r="AK2096" i="2" s="1"/>
  <c r="Y2096" i="2"/>
  <c r="AB2106" i="2"/>
  <c r="AK2106" i="2" s="1"/>
  <c r="Y2106" i="2"/>
  <c r="AB2108" i="2"/>
  <c r="AK2108" i="2" s="1"/>
  <c r="Y2108" i="2"/>
  <c r="AB2144" i="2"/>
  <c r="AK2144" i="2" s="1"/>
  <c r="Y2144" i="2"/>
  <c r="AB2150" i="2"/>
  <c r="AK2150" i="2" s="1"/>
  <c r="Y2150" i="2"/>
  <c r="AK2164" i="2"/>
  <c r="Y2164" i="2"/>
  <c r="AB2170" i="2"/>
  <c r="AK2170" i="2" s="1"/>
  <c r="Y2170" i="2"/>
  <c r="AB2188" i="2"/>
  <c r="AK2188" i="2" s="1"/>
  <c r="Y2188" i="2"/>
  <c r="AB2192" i="2"/>
  <c r="AK2192" i="2" s="1"/>
  <c r="Y2192" i="2"/>
  <c r="AB2198" i="2"/>
  <c r="AK2198" i="2" s="1"/>
  <c r="Y2198" i="2"/>
  <c r="AB2216" i="2"/>
  <c r="AK2216" i="2" s="1"/>
  <c r="Y2216" i="2"/>
  <c r="AB2218" i="2"/>
  <c r="AK2218" i="2" s="1"/>
  <c r="Y2218" i="2"/>
  <c r="AB2220" i="2"/>
  <c r="AK2220" i="2" s="1"/>
  <c r="Y2220" i="2"/>
  <c r="AK2236" i="2"/>
  <c r="Y2236" i="2"/>
  <c r="Y2238" i="2"/>
  <c r="AB2238" i="2"/>
  <c r="AK2238" i="2" s="1"/>
  <c r="AB2244" i="2"/>
  <c r="AK2244" i="2" s="1"/>
  <c r="Y2244" i="2"/>
  <c r="AB2256" i="2"/>
  <c r="AK2256" i="2" s="1"/>
  <c r="Y2256" i="2"/>
  <c r="AK2258" i="2"/>
  <c r="Y2258" i="2"/>
  <c r="AB2260" i="2"/>
  <c r="AK2260" i="2" s="1"/>
  <c r="Y2260" i="2"/>
  <c r="AB2274" i="2"/>
  <c r="AK2274" i="2" s="1"/>
  <c r="Y2274" i="2"/>
  <c r="AB2276" i="2"/>
  <c r="AK2276" i="2" s="1"/>
  <c r="Y2276" i="2"/>
  <c r="AB2288" i="2"/>
  <c r="AK2288" i="2" s="1"/>
  <c r="Y2288" i="2"/>
  <c r="AB2290" i="2"/>
  <c r="AK2290" i="2" s="1"/>
  <c r="Y2290" i="2"/>
  <c r="AB2294" i="2"/>
  <c r="AK2294" i="2" s="1"/>
  <c r="Y2294" i="2"/>
  <c r="AB2302" i="2"/>
  <c r="AK2302" i="2" s="1"/>
  <c r="Y2302" i="2"/>
  <c r="AB2312" i="2"/>
  <c r="AK2312" i="2" s="1"/>
  <c r="Y2312" i="2"/>
  <c r="Y2318" i="2"/>
  <c r="AB2318" i="2"/>
  <c r="AK2318" i="2" s="1"/>
  <c r="AB2367" i="2"/>
  <c r="AK2367" i="2" s="1"/>
  <c r="Y2367" i="2"/>
  <c r="AB2369" i="2"/>
  <c r="AK2369" i="2" s="1"/>
  <c r="Y2369" i="2"/>
  <c r="AB2377" i="2"/>
  <c r="AK2377" i="2" s="1"/>
  <c r="Y2377" i="2"/>
  <c r="AC2379" i="2"/>
  <c r="AB2379" i="2"/>
  <c r="AK2379" i="2" s="1"/>
  <c r="Y2379" i="2"/>
  <c r="AB2385" i="2"/>
  <c r="AK2385" i="2" s="1"/>
  <c r="Y2385" i="2"/>
  <c r="AC2387" i="2"/>
  <c r="AB2387" i="2"/>
  <c r="AK2387" i="2" s="1"/>
  <c r="Y2387" i="2"/>
  <c r="AB2393" i="2"/>
  <c r="AK2393" i="2" s="1"/>
  <c r="Y2393" i="2"/>
  <c r="AB2395" i="2"/>
  <c r="AK2395" i="2" s="1"/>
  <c r="Y2395" i="2"/>
  <c r="AB2401" i="2"/>
  <c r="AK2401" i="2" s="1"/>
  <c r="Y2401" i="2"/>
  <c r="AB2403" i="2"/>
  <c r="AK2403" i="2" s="1"/>
  <c r="Y2403" i="2"/>
  <c r="AB2409" i="2"/>
  <c r="AK2409" i="2" s="1"/>
  <c r="Y2409" i="2"/>
  <c r="AC2411" i="2"/>
  <c r="AB2411" i="2"/>
  <c r="AK2411" i="2" s="1"/>
  <c r="Y2411" i="2"/>
  <c r="AB2417" i="2"/>
  <c r="AK2417" i="2" s="1"/>
  <c r="Y2417" i="2"/>
  <c r="AC2419" i="2"/>
  <c r="AB2419" i="2"/>
  <c r="AK2419" i="2" s="1"/>
  <c r="Y2419" i="2"/>
  <c r="AB2427" i="2"/>
  <c r="AK2427" i="2" s="1"/>
  <c r="Y2427" i="2"/>
  <c r="AF2437" i="2"/>
  <c r="Y2437" i="2"/>
  <c r="AF2447" i="2"/>
  <c r="Y2447" i="2"/>
  <c r="AF2455" i="2"/>
  <c r="Y2455" i="2"/>
  <c r="AF2467" i="2"/>
  <c r="Y2467" i="2"/>
  <c r="AF2471" i="2"/>
  <c r="Y2471" i="2"/>
  <c r="AB2492" i="2"/>
  <c r="AK2492" i="2" s="1"/>
  <c r="Y2492" i="2"/>
  <c r="AA2503" i="2"/>
  <c r="AC2503" i="2"/>
  <c r="AC2509" i="2"/>
  <c r="Y2509" i="2"/>
  <c r="AB2511" i="2"/>
  <c r="AK2511" i="2" s="1"/>
  <c r="Y2511" i="2"/>
  <c r="AF2517" i="2"/>
  <c r="Y2517" i="2"/>
  <c r="Y2623" i="2"/>
  <c r="AB2623" i="2"/>
  <c r="AK2623" i="2" s="1"/>
  <c r="Y2639" i="2"/>
  <c r="AB2639" i="2"/>
  <c r="AK2639" i="2" s="1"/>
  <c r="Y2644" i="2"/>
  <c r="AB2644" i="2"/>
  <c r="AK2644" i="2" s="1"/>
  <c r="Y2695" i="2"/>
  <c r="R47" i="3"/>
  <c r="T47" i="3" s="1"/>
  <c r="U47" i="3" s="1"/>
  <c r="V47" i="3" s="1"/>
  <c r="AB2699" i="2"/>
  <c r="AK2699" i="2" s="1"/>
  <c r="Y2699" i="2"/>
  <c r="AB2706" i="2"/>
  <c r="AK2706" i="2" s="1"/>
  <c r="Y2706" i="2"/>
  <c r="AB2725" i="2"/>
  <c r="AK2725" i="2" s="1"/>
  <c r="Y2725" i="2"/>
  <c r="AB2727" i="2"/>
  <c r="AK2727" i="2" s="1"/>
  <c r="Y2727" i="2"/>
  <c r="Y1610" i="2"/>
  <c r="Y1602" i="2"/>
  <c r="Y1579" i="2"/>
  <c r="Y1521" i="2"/>
  <c r="Y1513" i="2"/>
  <c r="Y1505" i="2"/>
  <c r="Y1487" i="2"/>
  <c r="Y1459" i="2"/>
  <c r="Y1431" i="2"/>
  <c r="Y1413" i="2"/>
  <c r="Y1403" i="2"/>
  <c r="AB685" i="2"/>
  <c r="AK685" i="2" s="1"/>
  <c r="AB601" i="2"/>
  <c r="AK601" i="2" s="1"/>
  <c r="Y1018" i="2"/>
  <c r="Y899" i="2"/>
  <c r="Y2278" i="2"/>
  <c r="Y2248" i="2"/>
  <c r="Y2152" i="2"/>
  <c r="Y494" i="2"/>
  <c r="Y335" i="2"/>
  <c r="Y64" i="2"/>
  <c r="Y573" i="2"/>
  <c r="AB2691" i="2"/>
  <c r="AK2691" i="2" s="1"/>
  <c r="AB2679" i="2"/>
  <c r="AK2679" i="2" s="1"/>
  <c r="Y2652" i="2"/>
  <c r="Y2519" i="2"/>
  <c r="Y2457" i="2"/>
  <c r="Y2549" i="2"/>
  <c r="Y2479" i="2"/>
  <c r="AB1052" i="2"/>
  <c r="AK1052" i="2" s="1"/>
  <c r="Y474" i="2"/>
  <c r="Y497" i="2"/>
  <c r="AB567" i="2"/>
  <c r="AK567" i="2" s="1"/>
  <c r="Y2469" i="2"/>
  <c r="Y2445" i="2"/>
  <c r="Y2617" i="2"/>
  <c r="Y382" i="2"/>
  <c r="Y997" i="2"/>
  <c r="Y400" i="2"/>
  <c r="Y456" i="2"/>
  <c r="Y470" i="2"/>
  <c r="Y524" i="2"/>
  <c r="AB530" i="2"/>
  <c r="AK530" i="2" s="1"/>
  <c r="Y530" i="2"/>
  <c r="Y2602" i="2"/>
  <c r="AC2673" i="2"/>
  <c r="Y2673" i="2"/>
  <c r="Y2473" i="2"/>
  <c r="Y2584" i="2"/>
  <c r="Y3191" i="2"/>
  <c r="Y3179" i="2"/>
  <c r="AB3143" i="2"/>
  <c r="AK3143" i="2" s="1"/>
  <c r="AB3121" i="2"/>
  <c r="AK3121" i="2" s="1"/>
  <c r="Y3439" i="2"/>
  <c r="AF2837" i="2"/>
  <c r="AF2967" i="2"/>
  <c r="AF2975" i="2"/>
  <c r="AF3007" i="2"/>
  <c r="Y3012" i="2"/>
  <c r="AF3015" i="2"/>
  <c r="AF5376" i="2"/>
  <c r="AF5384" i="2"/>
  <c r="AF5419" i="2"/>
  <c r="AF5437" i="2"/>
  <c r="Y5445" i="2"/>
  <c r="Y5466" i="2"/>
  <c r="AF5469" i="2"/>
  <c r="AF5493" i="2"/>
  <c r="Y5522" i="2"/>
  <c r="Y5525" i="2"/>
  <c r="Y5533" i="2"/>
  <c r="Y5554" i="2"/>
  <c r="AF5568" i="2"/>
  <c r="Y5570" i="2"/>
  <c r="AF5594" i="2"/>
  <c r="Y5626" i="2"/>
  <c r="AF5629" i="2"/>
  <c r="Y5671" i="2"/>
  <c r="AF5682" i="2"/>
  <c r="Y5714" i="2"/>
  <c r="AF5741" i="2"/>
  <c r="AF5749" i="2"/>
  <c r="Y5777" i="2"/>
  <c r="AF5795" i="2"/>
  <c r="AF5901" i="2"/>
  <c r="AF5991" i="2"/>
  <c r="AF6015" i="2"/>
  <c r="Y3422" i="2"/>
  <c r="Y3385" i="2"/>
  <c r="Y3373" i="2"/>
  <c r="Y3245" i="2"/>
  <c r="Y3213" i="2"/>
  <c r="Y3199" i="2"/>
  <c r="AB3165" i="2"/>
  <c r="AK3165" i="2" s="1"/>
  <c r="Y3153" i="2"/>
  <c r="AB3139" i="2"/>
  <c r="AK3139" i="2" s="1"/>
  <c r="Y3533" i="2"/>
  <c r="Y3041" i="2"/>
  <c r="Y2862" i="2"/>
  <c r="Y3320" i="2"/>
  <c r="Y3326" i="2"/>
  <c r="Y3336" i="2"/>
  <c r="Y3518" i="2"/>
  <c r="Y3534" i="2"/>
  <c r="Y3547" i="2"/>
  <c r="Y3576" i="2"/>
  <c r="Y3640" i="2"/>
  <c r="Y3648" i="2"/>
  <c r="Y3672" i="2"/>
  <c r="Y3728" i="2"/>
  <c r="Y3768" i="2"/>
  <c r="Y94" i="2"/>
  <c r="Y147" i="2"/>
  <c r="Y149" i="2"/>
  <c r="Y204" i="2"/>
  <c r="Y206" i="2"/>
  <c r="Y208" i="2"/>
  <c r="Y214" i="2"/>
  <c r="Y216" i="2"/>
  <c r="Y226" i="2"/>
  <c r="Y234" i="2"/>
  <c r="Y247" i="2"/>
  <c r="Y274" i="2"/>
  <c r="Y578" i="2"/>
  <c r="Y640" i="2"/>
  <c r="Y714" i="2"/>
  <c r="Y730" i="2"/>
  <c r="Y738" i="2"/>
  <c r="Y762" i="2"/>
  <c r="Y1422" i="2"/>
  <c r="Y3253" i="2"/>
  <c r="Y3243" i="2"/>
  <c r="Y3233" i="2"/>
  <c r="Y3223" i="2"/>
  <c r="AB3211" i="2"/>
  <c r="AK3211" i="2" s="1"/>
  <c r="Y3187" i="2"/>
  <c r="Y3175" i="2"/>
  <c r="Y3163" i="2"/>
  <c r="Y3137" i="2"/>
  <c r="Y3105" i="2"/>
  <c r="R132" i="3"/>
  <c r="T132" i="3" s="1"/>
  <c r="U132" i="3" s="1"/>
  <c r="V132" i="3" s="1"/>
  <c r="Y3221" i="2"/>
  <c r="AB3209" i="2"/>
  <c r="AK3209" i="2" s="1"/>
  <c r="Y3151" i="2"/>
  <c r="Y3101" i="2"/>
  <c r="Y2893" i="2"/>
  <c r="Y2901" i="2"/>
  <c r="Y2957" i="2"/>
  <c r="Y2965" i="2"/>
  <c r="Y3333" i="2"/>
  <c r="Y3377" i="2"/>
  <c r="Y3387" i="2"/>
  <c r="Y5427" i="2"/>
  <c r="AF5451" i="2"/>
  <c r="AF5491" i="2"/>
  <c r="AF5499" i="2"/>
  <c r="AF5523" i="2"/>
  <c r="Y143" i="2"/>
  <c r="AB226" i="2"/>
  <c r="AK226" i="2" s="1"/>
  <c r="Y319" i="2"/>
  <c r="AB180" i="2"/>
  <c r="AK180" i="2" s="1"/>
  <c r="AB69" i="2"/>
  <c r="AK69" i="2" s="1"/>
  <c r="Y69" i="2"/>
  <c r="AC37" i="2"/>
  <c r="R32" i="3"/>
  <c r="T32" i="3" s="1"/>
  <c r="U32" i="3" s="1"/>
  <c r="V32" i="3" s="1"/>
  <c r="Y200" i="2"/>
  <c r="AB234" i="2"/>
  <c r="AK234" i="2" s="1"/>
  <c r="Y43" i="2"/>
  <c r="Y480" i="2"/>
  <c r="AB400" i="2"/>
  <c r="AK400" i="2" s="1"/>
  <c r="Y100" i="2"/>
  <c r="Y280" i="2"/>
  <c r="Y15" i="2"/>
  <c r="Y159" i="2"/>
  <c r="Y110" i="2"/>
  <c r="AB9" i="2"/>
  <c r="AK9" i="2" s="1"/>
  <c r="AB470" i="2"/>
  <c r="AK470" i="2" s="1"/>
  <c r="Y378" i="2"/>
  <c r="AB41" i="2"/>
  <c r="AK41" i="2" s="1"/>
  <c r="Y41" i="2"/>
  <c r="AB243" i="2"/>
  <c r="AK243" i="2" s="1"/>
  <c r="AB321" i="2"/>
  <c r="AK321" i="2" s="1"/>
  <c r="Y321" i="2"/>
  <c r="AF337" i="2"/>
  <c r="Y337" i="2"/>
  <c r="Y360" i="2"/>
  <c r="AB360" i="2"/>
  <c r="Y396" i="2"/>
  <c r="AB396" i="2"/>
  <c r="AK396" i="2" s="1"/>
  <c r="AB414" i="2"/>
  <c r="AK414" i="2" s="1"/>
  <c r="Y414" i="2"/>
  <c r="AB426" i="2"/>
  <c r="AK426" i="2" s="1"/>
  <c r="Y426" i="2"/>
  <c r="AB452" i="2"/>
  <c r="AK452" i="2" s="1"/>
  <c r="Y452" i="2"/>
  <c r="Y462" i="2"/>
  <c r="AB462" i="2"/>
  <c r="AK462" i="2" s="1"/>
  <c r="AB482" i="2"/>
  <c r="AK482" i="2" s="1"/>
  <c r="Y482" i="2"/>
  <c r="AB520" i="2"/>
  <c r="AK520" i="2" s="1"/>
  <c r="Y520" i="2"/>
  <c r="AK536" i="2"/>
  <c r="Y536" i="2"/>
  <c r="AB558" i="2"/>
  <c r="AK558" i="2" s="1"/>
  <c r="Y558" i="2"/>
  <c r="Y562" i="2"/>
  <c r="AB562" i="2"/>
  <c r="AK562" i="2" s="1"/>
  <c r="Y61" i="2"/>
  <c r="AB524" i="2"/>
  <c r="AK524" i="2" s="1"/>
  <c r="Y440" i="2"/>
  <c r="Y358" i="2"/>
  <c r="AK344" i="2"/>
  <c r="AF101" i="2"/>
  <c r="Y101" i="2"/>
  <c r="AF164" i="2"/>
  <c r="Y164" i="2"/>
  <c r="Y60" i="2"/>
  <c r="Y62" i="2"/>
  <c r="Y75" i="2"/>
  <c r="Y144" i="2"/>
  <c r="Y191" i="2"/>
  <c r="Y201" i="2"/>
  <c r="Y336" i="2"/>
  <c r="AB571" i="2"/>
  <c r="AK571" i="2" s="1"/>
  <c r="Y571" i="2"/>
  <c r="Y695" i="2"/>
  <c r="Y697" i="2"/>
  <c r="Y703" i="2"/>
  <c r="Y705" i="2"/>
  <c r="Y709" i="2"/>
  <c r="Y711" i="2"/>
  <c r="Y715" i="2"/>
  <c r="Y719" i="2"/>
  <c r="Y721" i="2"/>
  <c r="Y759" i="2"/>
  <c r="Y931" i="2"/>
  <c r="AB931" i="2"/>
  <c r="AK931" i="2" s="1"/>
  <c r="Y965" i="2"/>
  <c r="AB965" i="2"/>
  <c r="AK965" i="2" s="1"/>
  <c r="Y34" i="2"/>
  <c r="Y96" i="2"/>
  <c r="Y102" i="2"/>
  <c r="Y104" i="2"/>
  <c r="Y106" i="2"/>
  <c r="Y108" i="2"/>
  <c r="Y112" i="2"/>
  <c r="Y114" i="2"/>
  <c r="Y151" i="2"/>
  <c r="Y153" i="2"/>
  <c r="Y157" i="2"/>
  <c r="Y161" i="2"/>
  <c r="Y167" i="2"/>
  <c r="Y169" i="2"/>
  <c r="Y286" i="2"/>
  <c r="Y294" i="2"/>
  <c r="Y298" i="2"/>
  <c r="Y339" i="2"/>
  <c r="AF1097" i="2"/>
  <c r="Y1097" i="2"/>
  <c r="AF1115" i="2"/>
  <c r="Y1115" i="2"/>
  <c r="AF1127" i="2"/>
  <c r="Y1127" i="2"/>
  <c r="AF1145" i="2"/>
  <c r="Y1145" i="2"/>
  <c r="AF1163" i="2"/>
  <c r="Y1163" i="2"/>
  <c r="AF1171" i="2"/>
  <c r="Y1171" i="2"/>
  <c r="AF1179" i="2"/>
  <c r="Y1179" i="2"/>
  <c r="AF1223" i="2"/>
  <c r="Y1223" i="2"/>
  <c r="AF1259" i="2"/>
  <c r="Y1259" i="2"/>
  <c r="Y1277" i="2"/>
  <c r="Y1279" i="2"/>
  <c r="Y1287" i="2"/>
  <c r="AB1287" i="2"/>
  <c r="AK1287" i="2" s="1"/>
  <c r="Y1295" i="2"/>
  <c r="Y1303" i="2"/>
  <c r="Y1305" i="2"/>
  <c r="AF1327" i="2"/>
  <c r="Y1327" i="2"/>
  <c r="AF1351" i="2"/>
  <c r="Y1351" i="2"/>
  <c r="AF1600" i="2"/>
  <c r="Y1600" i="2"/>
  <c r="Y1657" i="2"/>
  <c r="AB1657" i="2"/>
  <c r="AK1657" i="2" s="1"/>
  <c r="AB1667" i="2"/>
  <c r="AK1667" i="2" s="1"/>
  <c r="Y1667" i="2"/>
  <c r="AB1834" i="2"/>
  <c r="AK1834" i="2" s="1"/>
  <c r="Y1834" i="2"/>
  <c r="Y1888" i="2"/>
  <c r="AB1888" i="2"/>
  <c r="AK1888" i="2" s="1"/>
  <c r="AK1414" i="2"/>
  <c r="Y1414" i="2"/>
  <c r="AF1962" i="2"/>
  <c r="Y1962" i="2"/>
  <c r="AF1994" i="2"/>
  <c r="Y1994" i="2"/>
  <c r="AF2002" i="2"/>
  <c r="Y2002" i="2"/>
  <c r="AF2010" i="2"/>
  <c r="Y2010" i="2"/>
  <c r="AF2038" i="2"/>
  <c r="Y2038" i="2"/>
  <c r="AF2046" i="2"/>
  <c r="Y2046" i="2"/>
  <c r="Y49" i="2"/>
  <c r="Y702" i="2"/>
  <c r="Y990" i="2"/>
  <c r="AB161" i="2"/>
  <c r="AK161" i="2" s="1"/>
  <c r="Y467" i="2"/>
  <c r="Y399" i="2"/>
  <c r="Y385" i="2"/>
  <c r="Y185" i="2"/>
  <c r="Y1301" i="2"/>
  <c r="Y1291" i="2"/>
  <c r="Y1281" i="2"/>
  <c r="Y1261" i="2"/>
  <c r="Y593" i="2"/>
  <c r="Y609" i="2"/>
  <c r="AB609" i="2"/>
  <c r="AK609" i="2" s="1"/>
  <c r="Y661" i="2"/>
  <c r="AB661" i="2"/>
  <c r="AK661" i="2" s="1"/>
  <c r="Y735" i="2"/>
  <c r="AB735" i="2"/>
  <c r="AK735" i="2" s="1"/>
  <c r="AF773" i="2"/>
  <c r="Y773" i="2"/>
  <c r="AH2620" i="2"/>
  <c r="AF2620" i="2"/>
  <c r="AB1952" i="2"/>
  <c r="AK1952" i="2" s="1"/>
  <c r="Y994" i="2"/>
  <c r="Y2465" i="2"/>
  <c r="Y911" i="2"/>
  <c r="Y2590" i="2"/>
  <c r="Y2531" i="2"/>
  <c r="AB1020" i="2"/>
  <c r="AK1020" i="2" s="1"/>
  <c r="Y1020" i="2"/>
  <c r="AF1054" i="2"/>
  <c r="Y1054" i="2"/>
  <c r="AF1064" i="2"/>
  <c r="Y1064" i="2"/>
  <c r="Y2362" i="2"/>
  <c r="Y2408" i="2"/>
  <c r="Y2414" i="2"/>
  <c r="Y2422" i="2"/>
  <c r="Y2426" i="2"/>
  <c r="Y2476" i="2"/>
  <c r="Y2499" i="2"/>
  <c r="Y2597" i="2"/>
  <c r="Y2605" i="2"/>
  <c r="AK1379" i="2"/>
  <c r="Y1379" i="2"/>
  <c r="AC1389" i="2"/>
  <c r="AB1389" i="2"/>
  <c r="AK1389" i="2" s="1"/>
  <c r="AB1393" i="2"/>
  <c r="AK1393" i="2" s="1"/>
  <c r="AC1393" i="2"/>
  <c r="AB2068" i="2"/>
  <c r="AK2068" i="2" s="1"/>
  <c r="Y2068" i="2"/>
  <c r="Y2078" i="2"/>
  <c r="Y2094" i="2"/>
  <c r="Y2102" i="2"/>
  <c r="Y2104" i="2"/>
  <c r="Y2110" i="2"/>
  <c r="AB2110" i="2"/>
  <c r="AK2110" i="2" s="1"/>
  <c r="Y2130" i="2"/>
  <c r="Y2136" i="2"/>
  <c r="AK2352" i="2"/>
  <c r="AC2352" i="2"/>
  <c r="Y1093" i="2"/>
  <c r="Y1263" i="2"/>
  <c r="Y1271" i="2"/>
  <c r="Y1315" i="2"/>
  <c r="Y1325" i="2"/>
  <c r="Y1347" i="2"/>
  <c r="Y1353" i="2"/>
  <c r="Y1355" i="2"/>
  <c r="Y1592" i="2"/>
  <c r="Y1681" i="2"/>
  <c r="AB1681" i="2"/>
  <c r="AK1681" i="2" s="1"/>
  <c r="Y2184" i="2"/>
  <c r="Y2190" i="2"/>
  <c r="Y2210" i="2"/>
  <c r="Y2230" i="2"/>
  <c r="AB2230" i="2"/>
  <c r="AK2230" i="2" s="1"/>
  <c r="Y2240" i="2"/>
  <c r="AB2250" i="2"/>
  <c r="AK2250" i="2" s="1"/>
  <c r="Y2250" i="2"/>
  <c r="Y2262" i="2"/>
  <c r="Y2264" i="2"/>
  <c r="Y2268" i="2"/>
  <c r="Y2272" i="2"/>
  <c r="Y2280" i="2"/>
  <c r="AK2284" i="2"/>
  <c r="Y2284" i="2"/>
  <c r="Y2304" i="2"/>
  <c r="AB2304" i="2"/>
  <c r="AK2304" i="2" s="1"/>
  <c r="AB2314" i="2"/>
  <c r="AK2314" i="2" s="1"/>
  <c r="Y2314" i="2"/>
  <c r="Y2322" i="2"/>
  <c r="Y2435" i="2"/>
  <c r="AB2435" i="2"/>
  <c r="AK2435" i="2" s="1"/>
  <c r="Y2443" i="2"/>
  <c r="Y2451" i="2"/>
  <c r="AC2455" i="2"/>
  <c r="AB2455" i="2"/>
  <c r="AK2455" i="2" s="1"/>
  <c r="Y2498" i="2"/>
  <c r="Y2523" i="2"/>
  <c r="Y2529" i="2"/>
  <c r="Y2539" i="2"/>
  <c r="Y2547" i="2"/>
  <c r="Y2588" i="2"/>
  <c r="Y3212" i="2"/>
  <c r="Y3168" i="2"/>
  <c r="AB3410" i="2"/>
  <c r="AK3410" i="2" s="1"/>
  <c r="Y3410" i="2"/>
  <c r="AB3416" i="2"/>
  <c r="AK3416" i="2" s="1"/>
  <c r="Y3416" i="2"/>
  <c r="AB3009" i="2"/>
  <c r="AK3009" i="2" s="1"/>
  <c r="Y3009" i="2"/>
  <c r="AB3154" i="2"/>
  <c r="AK3154" i="2" s="1"/>
  <c r="Y3154" i="2"/>
  <c r="AB3156" i="2"/>
  <c r="AK3156" i="2" s="1"/>
  <c r="Y3156" i="2"/>
  <c r="Y3176" i="2"/>
  <c r="AB3176" i="2"/>
  <c r="AK3176" i="2" s="1"/>
  <c r="AB3178" i="2"/>
  <c r="AK3178" i="2" s="1"/>
  <c r="Y3178" i="2"/>
  <c r="AB3182" i="2"/>
  <c r="AK3182" i="2" s="1"/>
  <c r="Y3182" i="2"/>
  <c r="AB3184" i="2"/>
  <c r="AK3184" i="2" s="1"/>
  <c r="Y3184" i="2"/>
  <c r="Y3204" i="2"/>
  <c r="AB3204" i="2"/>
  <c r="AK3204" i="2" s="1"/>
  <c r="AB3206" i="2"/>
  <c r="AK3206" i="2" s="1"/>
  <c r="Y3206" i="2"/>
  <c r="AB3208" i="2"/>
  <c r="AK3208" i="2" s="1"/>
  <c r="Y3208" i="2"/>
  <c r="Y3244" i="2"/>
  <c r="AB3244" i="2"/>
  <c r="AK3244" i="2" s="1"/>
  <c r="AB3252" i="2"/>
  <c r="AK3252" i="2" s="1"/>
  <c r="Y3252" i="2"/>
  <c r="AB3408" i="2"/>
  <c r="AK3408" i="2" s="1"/>
  <c r="Y3408" i="2"/>
  <c r="Y3651" i="2"/>
  <c r="AB3651" i="2"/>
  <c r="AK3651" i="2" s="1"/>
  <c r="AK3755" i="2"/>
  <c r="Y3755" i="2"/>
  <c r="AB3771" i="2"/>
  <c r="AK3771" i="2" s="1"/>
  <c r="Y3771" i="2"/>
  <c r="Y3856" i="2"/>
  <c r="AB3856" i="2"/>
  <c r="AK3856" i="2" s="1"/>
  <c r="AB3200" i="2"/>
  <c r="AK3200" i="2" s="1"/>
  <c r="Y3164" i="2"/>
  <c r="Y2774" i="2"/>
  <c r="AA2774" i="2"/>
  <c r="AB2774" i="2" s="1"/>
  <c r="AK2774" i="2" s="1"/>
  <c r="Y2881" i="2"/>
  <c r="Y2921" i="2"/>
  <c r="Y2961" i="2"/>
  <c r="AB3014" i="2"/>
  <c r="AK3014" i="2" s="1"/>
  <c r="AC3014" i="2"/>
  <c r="Y3029" i="2"/>
  <c r="AB3029" i="2"/>
  <c r="AK3029" i="2" s="1"/>
  <c r="AB3060" i="2"/>
  <c r="AK3060" i="2" s="1"/>
  <c r="Y3060" i="2"/>
  <c r="AB3256" i="2"/>
  <c r="AK3256" i="2" s="1"/>
  <c r="Y3256" i="2"/>
  <c r="Y3266" i="2"/>
  <c r="AB3266" i="2"/>
  <c r="AK3266" i="2" s="1"/>
  <c r="Y3268" i="2"/>
  <c r="AB3268" i="2"/>
  <c r="AK3268" i="2" s="1"/>
  <c r="AB3278" i="2"/>
  <c r="AK3278" i="2" s="1"/>
  <c r="Y3278" i="2"/>
  <c r="AB3280" i="2"/>
  <c r="AK3280" i="2" s="1"/>
  <c r="Y3280" i="2"/>
  <c r="AB3286" i="2"/>
  <c r="AK3286" i="2" s="1"/>
  <c r="Y3286" i="2"/>
  <c r="AB3290" i="2"/>
  <c r="AK3290" i="2" s="1"/>
  <c r="Y3290" i="2"/>
  <c r="AB3292" i="2"/>
  <c r="AK3292" i="2" s="1"/>
  <c r="Y3292" i="2"/>
  <c r="AB3332" i="2"/>
  <c r="AK3332" i="2" s="1"/>
  <c r="Y3332" i="2"/>
  <c r="AB3352" i="2"/>
  <c r="AK3352" i="2" s="1"/>
  <c r="Y3352" i="2"/>
  <c r="AF3012" i="2"/>
  <c r="AC2985" i="2"/>
  <c r="AC2921" i="2"/>
  <c r="AC3513" i="2"/>
  <c r="AC3449" i="2"/>
  <c r="AC3252" i="2"/>
  <c r="AC3236" i="2"/>
  <c r="AC3220" i="2"/>
  <c r="AC3204" i="2"/>
  <c r="AC3188" i="2"/>
  <c r="AC3172" i="2"/>
  <c r="AC3156" i="2"/>
  <c r="AC3140" i="2"/>
  <c r="AC2884" i="2"/>
  <c r="AC2958" i="2"/>
  <c r="AC2850" i="2"/>
  <c r="AC2804" i="2"/>
  <c r="AB2862" i="2"/>
  <c r="AK2862" i="2" s="1"/>
  <c r="AB3062" i="2"/>
  <c r="AK3062" i="2" s="1"/>
  <c r="Y3021" i="2"/>
  <c r="Y3033" i="2"/>
  <c r="Y3196" i="2"/>
  <c r="Y3162" i="2"/>
  <c r="Y2769" i="2"/>
  <c r="AC2769" i="2"/>
  <c r="AB2825" i="2"/>
  <c r="AC2825" i="2"/>
  <c r="AB2899" i="2"/>
  <c r="AC2899" i="2"/>
  <c r="R52" i="3"/>
  <c r="T52" i="3" s="1"/>
  <c r="U52" i="3" s="1"/>
  <c r="V52" i="3" s="1"/>
  <c r="R17" i="3"/>
  <c r="T17" i="3" s="1"/>
  <c r="U17" i="3" s="1"/>
  <c r="V17" i="3" s="1"/>
  <c r="Y3094" i="2"/>
  <c r="Y3084" i="2"/>
  <c r="Y3074" i="2"/>
  <c r="Y3058" i="2"/>
  <c r="AB3021" i="2"/>
  <c r="AK3021" i="2" s="1"/>
  <c r="AB3152" i="2"/>
  <c r="AK3152" i="2" s="1"/>
  <c r="AB2814" i="2"/>
  <c r="AC2814" i="2"/>
  <c r="Y3072" i="2"/>
  <c r="Y3236" i="2"/>
  <c r="Y3194" i="2"/>
  <c r="Y3150" i="2"/>
  <c r="Y3699" i="2"/>
  <c r="Y3092" i="2"/>
  <c r="Y3082" i="2"/>
  <c r="AB3070" i="2"/>
  <c r="AK3070" i="2" s="1"/>
  <c r="Y3056" i="2"/>
  <c r="Y3216" i="2"/>
  <c r="AB3186" i="2"/>
  <c r="AK3186" i="2" s="1"/>
  <c r="Y3140" i="2"/>
  <c r="AB3675" i="2"/>
  <c r="AK3675" i="2" s="1"/>
  <c r="Y3080" i="2"/>
  <c r="AB3068" i="2"/>
  <c r="AK3068" i="2" s="1"/>
  <c r="Y2785" i="2"/>
  <c r="Y3214" i="2"/>
  <c r="Y3172" i="2"/>
  <c r="Y3603" i="2"/>
  <c r="AB3500" i="2"/>
  <c r="AK3500" i="2" s="1"/>
  <c r="Y3500" i="2"/>
  <c r="Y3561" i="2"/>
  <c r="Y3984" i="2"/>
  <c r="AB3984" i="2"/>
  <c r="AK3984" i="2" s="1"/>
  <c r="Y4480" i="2"/>
  <c r="AB4480" i="2"/>
  <c r="AK4480" i="2" s="1"/>
  <c r="AB4519" i="2"/>
  <c r="AK4519" i="2" s="1"/>
  <c r="Y4519" i="2"/>
  <c r="Y4603" i="2"/>
  <c r="AB4603" i="2"/>
  <c r="AK4603" i="2" s="1"/>
  <c r="Y3003" i="2"/>
  <c r="Y3433" i="2"/>
  <c r="Y3441" i="2"/>
  <c r="Y3457" i="2"/>
  <c r="Y3465" i="2"/>
  <c r="Y3473" i="2"/>
  <c r="Y3489" i="2"/>
  <c r="Y3497" i="2"/>
  <c r="Y3505" i="2"/>
  <c r="Y3521" i="2"/>
  <c r="Y3529" i="2"/>
  <c r="Y3537" i="2"/>
  <c r="Y3558" i="2"/>
  <c r="Y3566" i="2"/>
  <c r="Y3688" i="2"/>
  <c r="Y3760" i="2"/>
  <c r="Y3792" i="2"/>
  <c r="Y3824" i="2"/>
  <c r="Y3853" i="2"/>
  <c r="Y3885" i="2"/>
  <c r="Y3577" i="2"/>
  <c r="Y4692" i="2"/>
  <c r="AB3279" i="2"/>
  <c r="AK3279" i="2" s="1"/>
  <c r="Y3046" i="2"/>
  <c r="Y3525" i="2"/>
  <c r="AB3453" i="2"/>
  <c r="AK3453" i="2" s="1"/>
  <c r="Y3110" i="2"/>
  <c r="Y3483" i="2"/>
  <c r="Y3696" i="2"/>
  <c r="AB3099" i="2"/>
  <c r="AK3099" i="2" s="1"/>
  <c r="Y4223" i="2"/>
  <c r="AB4098" i="2"/>
  <c r="AK4098" i="2" s="1"/>
  <c r="Y3936" i="2"/>
  <c r="AB4561" i="2"/>
  <c r="AK4561" i="2" s="1"/>
  <c r="Y3353" i="2"/>
  <c r="AB4064" i="2"/>
  <c r="AK4064" i="2" s="1"/>
  <c r="Y3912" i="2"/>
  <c r="Y2837" i="2"/>
  <c r="AB2991" i="2"/>
  <c r="AK2991" i="2" s="1"/>
  <c r="Y2991" i="2"/>
  <c r="Y3007" i="2"/>
  <c r="AB3007" i="2"/>
  <c r="AK3007" i="2" s="1"/>
  <c r="Y3357" i="2"/>
  <c r="Y3363" i="2"/>
  <c r="Y3383" i="2"/>
  <c r="Y3391" i="2"/>
  <c r="Y4405" i="2"/>
  <c r="Y2872" i="2"/>
  <c r="Y2888" i="2"/>
  <c r="Y2928" i="2"/>
  <c r="Y2968" i="2"/>
  <c r="Y2984" i="2"/>
  <c r="Y3008" i="2"/>
  <c r="Y3016" i="2"/>
  <c r="Y3581" i="2"/>
  <c r="Y3605" i="2"/>
  <c r="Y3613" i="2"/>
  <c r="AC5663" i="2"/>
  <c r="Y5586" i="2"/>
  <c r="Y5376" i="2"/>
  <c r="AB5421" i="2"/>
  <c r="AK5421" i="2" s="1"/>
  <c r="AF5626" i="2"/>
  <c r="AF2271" i="2"/>
  <c r="Y2271" i="2"/>
  <c r="AF2283" i="2"/>
  <c r="Y2283" i="2"/>
  <c r="AF2297" i="2"/>
  <c r="Y2297" i="2"/>
  <c r="AF2370" i="2"/>
  <c r="Y2370" i="2"/>
  <c r="AF2394" i="2"/>
  <c r="Y2394" i="2"/>
  <c r="AF2398" i="2"/>
  <c r="Y2398" i="2"/>
  <c r="AF2402" i="2"/>
  <c r="Y2402" i="2"/>
  <c r="AF2430" i="2"/>
  <c r="Y2430" i="2"/>
  <c r="AF2434" i="2"/>
  <c r="Y2434" i="2"/>
  <c r="AF2438" i="2"/>
  <c r="Y2438" i="2"/>
  <c r="AF2442" i="2"/>
  <c r="Y2442" i="2"/>
  <c r="AF2446" i="2"/>
  <c r="Y2446" i="2"/>
  <c r="AF2450" i="2"/>
  <c r="Y2450" i="2"/>
  <c r="AA2460" i="2"/>
  <c r="AB2460" i="2" s="1"/>
  <c r="AK2460" i="2" s="1"/>
  <c r="AF2480" i="2"/>
  <c r="Y2480" i="2"/>
  <c r="AF2482" i="2"/>
  <c r="Y2482" i="2"/>
  <c r="AF2501" i="2"/>
  <c r="Y2501" i="2"/>
  <c r="AF2574" i="2"/>
  <c r="Y2574" i="2"/>
  <c r="AF2578" i="2"/>
  <c r="Y2578" i="2"/>
  <c r="AH2618" i="2"/>
  <c r="Y2618" i="2"/>
  <c r="AF2265" i="2"/>
  <c r="AF2291" i="2"/>
  <c r="AF2259" i="2"/>
  <c r="AF2311" i="2"/>
  <c r="R6" i="3"/>
  <c r="T6" i="3" s="1"/>
  <c r="U6" i="3" s="1"/>
  <c r="V6" i="3" s="1"/>
  <c r="AF2634" i="2"/>
  <c r="Y2424" i="2"/>
  <c r="AB2416" i="2"/>
  <c r="AK2416" i="2" s="1"/>
  <c r="Y2396" i="2"/>
  <c r="Y2388" i="2"/>
  <c r="Y2380" i="2"/>
  <c r="Y2454" i="2"/>
  <c r="Y2432" i="2"/>
  <c r="AB2707" i="2"/>
  <c r="AK2707" i="2" s="1"/>
  <c r="AC2653" i="2"/>
  <c r="Y2603" i="2"/>
  <c r="AC2597" i="2"/>
  <c r="Y2589" i="2"/>
  <c r="AC2499" i="2"/>
  <c r="AB2476" i="2"/>
  <c r="AK2476" i="2" s="1"/>
  <c r="Y2287" i="2"/>
  <c r="Y2281" i="2"/>
  <c r="Y2257" i="2"/>
  <c r="Y2251" i="2"/>
  <c r="Y2576" i="2"/>
  <c r="AF93" i="2"/>
  <c r="Y93" i="2"/>
  <c r="AB134" i="2"/>
  <c r="AK134" i="2" s="1"/>
  <c r="Y134" i="2"/>
  <c r="AF205" i="2"/>
  <c r="Y205" i="2"/>
  <c r="AF217" i="2"/>
  <c r="Y217" i="2"/>
  <c r="AB265" i="2"/>
  <c r="AK265" i="2" s="1"/>
  <c r="Y265" i="2"/>
  <c r="AF275" i="2"/>
  <c r="Y275" i="2"/>
  <c r="AF575" i="2"/>
  <c r="Y575" i="2"/>
  <c r="AF585" i="2"/>
  <c r="Y585" i="2"/>
  <c r="AF591" i="2"/>
  <c r="Y591" i="2"/>
  <c r="AF599" i="2"/>
  <c r="Y599" i="2"/>
  <c r="AF613" i="2"/>
  <c r="Y613" i="2"/>
  <c r="AF617" i="2"/>
  <c r="Y617" i="2"/>
  <c r="AF633" i="2"/>
  <c r="Y633" i="2"/>
  <c r="AF637" i="2"/>
  <c r="Y637" i="2"/>
  <c r="AF645" i="2"/>
  <c r="Y645" i="2"/>
  <c r="AF649" i="2"/>
  <c r="Y649" i="2"/>
  <c r="AF663" i="2"/>
  <c r="Y663" i="2"/>
  <c r="AF669" i="2"/>
  <c r="Y669" i="2"/>
  <c r="AF687" i="2"/>
  <c r="Y687" i="2"/>
  <c r="AF689" i="2"/>
  <c r="Y689" i="2"/>
  <c r="AF693" i="2"/>
  <c r="Y693" i="2"/>
  <c r="AF725" i="2"/>
  <c r="Y725" i="2"/>
  <c r="AF727" i="2"/>
  <c r="Y727" i="2"/>
  <c r="AF729" i="2"/>
  <c r="Y729" i="2"/>
  <c r="AF731" i="2"/>
  <c r="Y731" i="2"/>
  <c r="AF739" i="2"/>
  <c r="Y739" i="2"/>
  <c r="AF761" i="2"/>
  <c r="Y761" i="2"/>
  <c r="AF781" i="2"/>
  <c r="Y781" i="2"/>
  <c r="AF793" i="2"/>
  <c r="Y793" i="2"/>
  <c r="AF797" i="2"/>
  <c r="Y797" i="2"/>
  <c r="AF809" i="2"/>
  <c r="Y809" i="2"/>
  <c r="AF811" i="2"/>
  <c r="Y811" i="2"/>
  <c r="AF815" i="2"/>
  <c r="Y815" i="2"/>
  <c r="AF817" i="2"/>
  <c r="Y817" i="2"/>
  <c r="AF825" i="2"/>
  <c r="Y825" i="2"/>
  <c r="AF837" i="2"/>
  <c r="Y837" i="2"/>
  <c r="AF843" i="2"/>
  <c r="Y843" i="2"/>
  <c r="AF845" i="2"/>
  <c r="Y845" i="2"/>
  <c r="AF849" i="2"/>
  <c r="Y849" i="2"/>
  <c r="AF851" i="2"/>
  <c r="Y851" i="2"/>
  <c r="AF859" i="2"/>
  <c r="Y859" i="2"/>
  <c r="AF863" i="2"/>
  <c r="Y863" i="2"/>
  <c r="AF887" i="2"/>
  <c r="Y887" i="2"/>
  <c r="AF891" i="2"/>
  <c r="Y891" i="2"/>
  <c r="AF905" i="2"/>
  <c r="Y905" i="2"/>
  <c r="AF913" i="2"/>
  <c r="Y913" i="2"/>
  <c r="Y925" i="2"/>
  <c r="AB925" i="2"/>
  <c r="AK925" i="2" s="1"/>
  <c r="Y929" i="2"/>
  <c r="AB929" i="2"/>
  <c r="AK929" i="2" s="1"/>
  <c r="Y937" i="2"/>
  <c r="AB937" i="2"/>
  <c r="AK937" i="2" s="1"/>
  <c r="AB941" i="2"/>
  <c r="AK941" i="2" s="1"/>
  <c r="Y941" i="2"/>
  <c r="Y947" i="2"/>
  <c r="AB947" i="2"/>
  <c r="AK947" i="2" s="1"/>
  <c r="AB957" i="2"/>
  <c r="AK957" i="2" s="1"/>
  <c r="Y957" i="2"/>
  <c r="Y961" i="2"/>
  <c r="AB961" i="2"/>
  <c r="AK961" i="2" s="1"/>
  <c r="Y963" i="2"/>
  <c r="AB963" i="2"/>
  <c r="AK963" i="2" s="1"/>
  <c r="Y969" i="2"/>
  <c r="AB969" i="2"/>
  <c r="AK969" i="2" s="1"/>
  <c r="AB973" i="2"/>
  <c r="AK973" i="2" s="1"/>
  <c r="Y973" i="2"/>
  <c r="AB981" i="2"/>
  <c r="AK981" i="2" s="1"/>
  <c r="Y981" i="2"/>
  <c r="AF991" i="2"/>
  <c r="Y991" i="2"/>
  <c r="Y1008" i="2"/>
  <c r="AB1008" i="2"/>
  <c r="AK1008" i="2" s="1"/>
  <c r="AF1026" i="2"/>
  <c r="Y1026" i="2"/>
  <c r="AF1028" i="2"/>
  <c r="Y1028" i="2"/>
  <c r="AF1036" i="2"/>
  <c r="Y1036" i="2"/>
  <c r="AF1044" i="2"/>
  <c r="Y1044" i="2"/>
  <c r="AF1046" i="2"/>
  <c r="Y1046" i="2"/>
  <c r="AF1308" i="2"/>
  <c r="Y1308" i="2"/>
  <c r="Y1012" i="2"/>
  <c r="AC1012" i="2"/>
  <c r="AC2426" i="2"/>
  <c r="AC2420" i="2"/>
  <c r="AC2428" i="2"/>
  <c r="AC2715" i="2"/>
  <c r="AC2669" i="2"/>
  <c r="AF2317" i="2"/>
  <c r="AF2285" i="2"/>
  <c r="AF2255" i="2"/>
  <c r="AC2414" i="2"/>
  <c r="AC2696" i="2"/>
  <c r="AH2634" i="2"/>
  <c r="AB2414" i="2"/>
  <c r="AK2414" i="2" s="1"/>
  <c r="Y2462" i="2"/>
  <c r="Y2452" i="2"/>
  <c r="AB60" i="2"/>
  <c r="AK60" i="2" s="1"/>
  <c r="Y2723" i="2"/>
  <c r="Y2696" i="2"/>
  <c r="Y2621" i="2"/>
  <c r="AC2603" i="2"/>
  <c r="Y2595" i="2"/>
  <c r="AB2589" i="2"/>
  <c r="AK2589" i="2" s="1"/>
  <c r="Y2497" i="2"/>
  <c r="AC2476" i="2"/>
  <c r="Y2299" i="2"/>
  <c r="Y77" i="2"/>
  <c r="AB191" i="2"/>
  <c r="AK191" i="2" s="1"/>
  <c r="Y765" i="2"/>
  <c r="Y673" i="2"/>
  <c r="Y883" i="2"/>
  <c r="Y869" i="2"/>
  <c r="AF2279" i="2"/>
  <c r="AC2422" i="2"/>
  <c r="AC2719" i="2"/>
  <c r="AC2460" i="2"/>
  <c r="AB2422" i="2"/>
  <c r="AK2422" i="2" s="1"/>
  <c r="Y2412" i="2"/>
  <c r="Y2404" i="2"/>
  <c r="Y2386" i="2"/>
  <c r="Y2378" i="2"/>
  <c r="Y2366" i="2"/>
  <c r="AB2462" i="2"/>
  <c r="AK2462" i="2" s="1"/>
  <c r="Y2440" i="2"/>
  <c r="AB2723" i="2"/>
  <c r="AK2723" i="2" s="1"/>
  <c r="Y2677" i="2"/>
  <c r="AB2621" i="2"/>
  <c r="AK2621" i="2" s="1"/>
  <c r="Y2601" i="2"/>
  <c r="AC2595" i="2"/>
  <c r="AC2497" i="2"/>
  <c r="Y2474" i="2"/>
  <c r="Y2642" i="2"/>
  <c r="AB336" i="2"/>
  <c r="AK336" i="2" s="1"/>
  <c r="Y753" i="2"/>
  <c r="Y743" i="2"/>
  <c r="Y691" i="2"/>
  <c r="Y587" i="2"/>
  <c r="Y209" i="2"/>
  <c r="Y829" i="2"/>
  <c r="AF20" i="2"/>
  <c r="Y20" i="2"/>
  <c r="AB98" i="2"/>
  <c r="AK98" i="2" s="1"/>
  <c r="Y98" i="2"/>
  <c r="AF2307" i="2"/>
  <c r="AF2309" i="2"/>
  <c r="AC2408" i="2"/>
  <c r="R46" i="3"/>
  <c r="T46" i="3" s="1"/>
  <c r="U46" i="3" s="1"/>
  <c r="V46" i="3" s="1"/>
  <c r="AC2707" i="2"/>
  <c r="AC2711" i="2"/>
  <c r="Y2420" i="2"/>
  <c r="AB2412" i="2"/>
  <c r="AK2412" i="2" s="1"/>
  <c r="Y2392" i="2"/>
  <c r="Y2460" i="2"/>
  <c r="Y2719" i="2"/>
  <c r="Y2613" i="2"/>
  <c r="AB2601" i="2"/>
  <c r="AK2601" i="2" s="1"/>
  <c r="Y2593" i="2"/>
  <c r="Y2495" i="2"/>
  <c r="AC2474" i="2"/>
  <c r="Y763" i="2"/>
  <c r="Y581" i="2"/>
  <c r="Y955" i="2"/>
  <c r="Y839" i="2"/>
  <c r="R37" i="3"/>
  <c r="T37" i="3" s="1"/>
  <c r="U37" i="3" s="1"/>
  <c r="V37" i="3" s="1"/>
  <c r="AF2305" i="2"/>
  <c r="R5" i="3"/>
  <c r="T5" i="3" s="1"/>
  <c r="U5" i="3" s="1"/>
  <c r="V5" i="3" s="1"/>
  <c r="AC2661" i="2"/>
  <c r="AF2618" i="2"/>
  <c r="Y2428" i="2"/>
  <c r="Y2410" i="2"/>
  <c r="Y2384" i="2"/>
  <c r="Y2376" i="2"/>
  <c r="AB2362" i="2"/>
  <c r="AK2362" i="2" s="1"/>
  <c r="Y2458" i="2"/>
  <c r="Y2448" i="2"/>
  <c r="Y2715" i="2"/>
  <c r="Y2669" i="2"/>
  <c r="AB2613" i="2"/>
  <c r="AK2613" i="2" s="1"/>
  <c r="Y2599" i="2"/>
  <c r="AB2593" i="2"/>
  <c r="AK2593" i="2" s="1"/>
  <c r="Y2522" i="2"/>
  <c r="AB2495" i="2"/>
  <c r="AK2495" i="2" s="1"/>
  <c r="Y2321" i="2"/>
  <c r="Y2277" i="2"/>
  <c r="AB201" i="2"/>
  <c r="AK201" i="2" s="1"/>
  <c r="AB144" i="2"/>
  <c r="AK144" i="2" s="1"/>
  <c r="AH2610" i="2"/>
  <c r="Y2418" i="2"/>
  <c r="AB2410" i="2"/>
  <c r="AK2410" i="2" s="1"/>
  <c r="Y2400" i="2"/>
  <c r="Y2436" i="2"/>
  <c r="Y2661" i="2"/>
  <c r="AB2599" i="2"/>
  <c r="AK2599" i="2" s="1"/>
  <c r="Y2591" i="2"/>
  <c r="AB2522" i="2"/>
  <c r="AK2522" i="2" s="1"/>
  <c r="Y2478" i="2"/>
  <c r="Y2253" i="2"/>
  <c r="Y2610" i="2"/>
  <c r="Y140" i="2"/>
  <c r="AF2582" i="2"/>
  <c r="Y2582" i="2"/>
  <c r="AH2612" i="2"/>
  <c r="Y2612" i="2"/>
  <c r="AC2695" i="2"/>
  <c r="AK2695" i="2"/>
  <c r="AC2710" i="2"/>
  <c r="R57" i="3"/>
  <c r="T57" i="3" s="1"/>
  <c r="U57" i="3" s="1"/>
  <c r="V57" i="3" s="1"/>
  <c r="AB2710" i="2"/>
  <c r="AK2710" i="2" s="1"/>
  <c r="AF2368" i="2"/>
  <c r="AF2295" i="2"/>
  <c r="AF2263" i="2"/>
  <c r="R44" i="3"/>
  <c r="T44" i="3" s="1"/>
  <c r="U44" i="3" s="1"/>
  <c r="V44" i="3" s="1"/>
  <c r="AH2626" i="2"/>
  <c r="Y2390" i="2"/>
  <c r="Y2382" i="2"/>
  <c r="Y2374" i="2"/>
  <c r="Y2711" i="2"/>
  <c r="AB2605" i="2"/>
  <c r="AK2605" i="2" s="1"/>
  <c r="AK2591" i="2"/>
  <c r="Y2301" i="2"/>
  <c r="Y2484" i="2"/>
  <c r="Y569" i="2"/>
  <c r="Y199" i="2"/>
  <c r="Y747" i="2"/>
  <c r="Y651" i="2"/>
  <c r="AB939" i="2"/>
  <c r="AK939" i="2" s="1"/>
  <c r="Y835" i="2"/>
  <c r="Y779" i="2"/>
  <c r="AB114" i="2"/>
  <c r="AK114" i="2" s="1"/>
  <c r="Y517" i="2"/>
  <c r="Y509" i="2"/>
  <c r="Y501" i="2"/>
  <c r="Y493" i="2"/>
  <c r="Y485" i="2"/>
  <c r="Y477" i="2"/>
  <c r="Y469" i="2"/>
  <c r="Y461" i="2"/>
  <c r="Y453" i="2"/>
  <c r="Y445" i="2"/>
  <c r="Y423" i="2"/>
  <c r="Y401" i="2"/>
  <c r="Y389" i="2"/>
  <c r="Y369" i="2"/>
  <c r="Y322" i="2"/>
  <c r="Y263" i="2"/>
  <c r="Y253" i="2"/>
  <c r="Y179" i="2"/>
  <c r="Y221" i="2"/>
  <c r="Y207" i="2"/>
  <c r="Y244" i="2"/>
  <c r="Y251" i="2"/>
  <c r="Y259" i="2"/>
  <c r="Y306" i="2"/>
  <c r="Y314" i="2"/>
  <c r="Y1385" i="2"/>
  <c r="AB1399" i="2"/>
  <c r="AK1399" i="2" s="1"/>
  <c r="AC1399" i="2"/>
  <c r="Y1363" i="2"/>
  <c r="AB1363" i="2"/>
  <c r="AK1363" i="2" s="1"/>
  <c r="AB1373" i="2"/>
  <c r="AK1373" i="2" s="1"/>
  <c r="Y1373" i="2"/>
  <c r="AB1691" i="2"/>
  <c r="AK1691" i="2" s="1"/>
  <c r="Y1691" i="2"/>
  <c r="Y2086" i="2"/>
  <c r="AB2086" i="2"/>
  <c r="AK2086" i="2" s="1"/>
  <c r="Y2160" i="2"/>
  <c r="AB2160" i="2"/>
  <c r="AK2160" i="2" s="1"/>
  <c r="AB2174" i="2"/>
  <c r="AK2174" i="2" s="1"/>
  <c r="Y2174" i="2"/>
  <c r="AB2124" i="2"/>
  <c r="AK2124" i="2" s="1"/>
  <c r="Y2124" i="2"/>
  <c r="Y2186" i="2"/>
  <c r="AB2186" i="2"/>
  <c r="AK2186" i="2" s="1"/>
  <c r="AB2200" i="2"/>
  <c r="AK2200" i="2" s="1"/>
  <c r="Y2200" i="2"/>
  <c r="Y2212" i="2"/>
  <c r="AB2212" i="2"/>
  <c r="AK2212" i="2" s="1"/>
  <c r="AB2214" i="2"/>
  <c r="AK2214" i="2" s="1"/>
  <c r="Y2214" i="2"/>
  <c r="AB2228" i="2"/>
  <c r="AK2228" i="2" s="1"/>
  <c r="Y2228" i="2"/>
  <c r="AB2246" i="2"/>
  <c r="AK2246" i="2" s="1"/>
  <c r="Y2246" i="2"/>
  <c r="Y2365" i="2"/>
  <c r="AF2365" i="2"/>
  <c r="Y163" i="2"/>
  <c r="Y521" i="2"/>
  <c r="Y513" i="2"/>
  <c r="Y505" i="2"/>
  <c r="Y489" i="2"/>
  <c r="Y481" i="2"/>
  <c r="Y473" i="2"/>
  <c r="Y465" i="2"/>
  <c r="Y457" i="2"/>
  <c r="Y449" i="2"/>
  <c r="Y353" i="2"/>
  <c r="Y345" i="2"/>
  <c r="Y316" i="2"/>
  <c r="Y257" i="2"/>
  <c r="Y242" i="2"/>
  <c r="Y643" i="2"/>
  <c r="Y589" i="2"/>
  <c r="Y213" i="2"/>
  <c r="Y7" i="2"/>
  <c r="AB7" i="2"/>
  <c r="AK7" i="2" s="1"/>
  <c r="AB444" i="2"/>
  <c r="AK444" i="2" s="1"/>
  <c r="Y444" i="2"/>
  <c r="AB464" i="2"/>
  <c r="AK464" i="2" s="1"/>
  <c r="Y464" i="2"/>
  <c r="AB490" i="2"/>
  <c r="AK490" i="2" s="1"/>
  <c r="Y490" i="2"/>
  <c r="Y203" i="2"/>
  <c r="Y211" i="2"/>
  <c r="Y215" i="2"/>
  <c r="AB229" i="2"/>
  <c r="AK229" i="2" s="1"/>
  <c r="Y229" i="2"/>
  <c r="Y246" i="2"/>
  <c r="Y271" i="2"/>
  <c r="Y338" i="2"/>
  <c r="Y579" i="2"/>
  <c r="AB595" i="2"/>
  <c r="AK595" i="2" s="1"/>
  <c r="Y595" i="2"/>
  <c r="Y607" i="2"/>
  <c r="Y625" i="2"/>
  <c r="Y635" i="2"/>
  <c r="Y639" i="2"/>
  <c r="Y821" i="2"/>
  <c r="Y827" i="2"/>
  <c r="AK831" i="2"/>
  <c r="Y833" i="2"/>
  <c r="Y841" i="2"/>
  <c r="AB841" i="2"/>
  <c r="AK841" i="2" s="1"/>
  <c r="Y867" i="2"/>
  <c r="Y879" i="2"/>
  <c r="Y901" i="2"/>
  <c r="AK917" i="2"/>
  <c r="AF1066" i="2"/>
  <c r="Y1066" i="2"/>
  <c r="AK2454" i="2"/>
  <c r="AC2454" i="2"/>
  <c r="Y2551" i="2"/>
  <c r="Y2978" i="2"/>
  <c r="AB3053" i="2"/>
  <c r="AK3053" i="2" s="1"/>
  <c r="AB2886" i="2"/>
  <c r="AK2886" i="2" s="1"/>
  <c r="AC3083" i="2"/>
  <c r="AC3081" i="2"/>
  <c r="Y3321" i="2"/>
  <c r="Y3293" i="2"/>
  <c r="Y3285" i="2"/>
  <c r="Y3277" i="2"/>
  <c r="Y3269" i="2"/>
  <c r="Y3517" i="2"/>
  <c r="Y4147" i="2"/>
  <c r="Y4094" i="2"/>
  <c r="Y4028" i="2"/>
  <c r="Y3948" i="2"/>
  <c r="Y3852" i="2"/>
  <c r="Y3807" i="2"/>
  <c r="Y3759" i="2"/>
  <c r="Y3583" i="2"/>
  <c r="Y2914" i="2"/>
  <c r="Y2974" i="2"/>
  <c r="Y3106" i="2"/>
  <c r="AB3106" i="2"/>
  <c r="AK3106" i="2" s="1"/>
  <c r="AK3364" i="2"/>
  <c r="AC3069" i="2"/>
  <c r="AC3087" i="2"/>
  <c r="AB3353" i="2"/>
  <c r="AK3353" i="2" s="1"/>
  <c r="Y3313" i="2"/>
  <c r="Y3259" i="2"/>
  <c r="AB3201" i="2"/>
  <c r="AK3201" i="2" s="1"/>
  <c r="Y3477" i="2"/>
  <c r="AB4259" i="2"/>
  <c r="AK4259" i="2" s="1"/>
  <c r="Y4060" i="2"/>
  <c r="AB3988" i="2"/>
  <c r="AK3988" i="2" s="1"/>
  <c r="AB3940" i="2"/>
  <c r="AK3940" i="2" s="1"/>
  <c r="Y3892" i="2"/>
  <c r="Y3703" i="2"/>
  <c r="AB3655" i="2"/>
  <c r="AK3655" i="2" s="1"/>
  <c r="Y3469" i="2"/>
  <c r="Y4623" i="2"/>
  <c r="AB4500" i="2"/>
  <c r="AK4500" i="2" s="1"/>
  <c r="Y3128" i="2"/>
  <c r="AB3098" i="2"/>
  <c r="AK3098" i="2" s="1"/>
  <c r="Y3198" i="2"/>
  <c r="AB3160" i="2"/>
  <c r="AK3160" i="2" s="1"/>
  <c r="AB3089" i="2"/>
  <c r="AK3089" i="2" s="1"/>
  <c r="Y3133" i="2"/>
  <c r="Y3460" i="2"/>
  <c r="Y3109" i="2"/>
  <c r="AB4020" i="2"/>
  <c r="AK4020" i="2" s="1"/>
  <c r="Y3980" i="2"/>
  <c r="AB3844" i="2"/>
  <c r="AK3844" i="2" s="1"/>
  <c r="AB3799" i="2"/>
  <c r="AK3799" i="2" s="1"/>
  <c r="Y3743" i="2"/>
  <c r="Y3695" i="2"/>
  <c r="Y2844" i="2"/>
  <c r="Y3067" i="2"/>
  <c r="AH2764" i="2"/>
  <c r="Y2764" i="2"/>
  <c r="Y2909" i="2"/>
  <c r="Y3193" i="2"/>
  <c r="AB3193" i="2"/>
  <c r="AK3193" i="2" s="1"/>
  <c r="Y3417" i="2"/>
  <c r="AB3417" i="2"/>
  <c r="AK3417" i="2" s="1"/>
  <c r="AB3085" i="2"/>
  <c r="AK3085" i="2" s="1"/>
  <c r="Y3085" i="2"/>
  <c r="Y3091" i="2"/>
  <c r="AB3091" i="2"/>
  <c r="AK3091" i="2" s="1"/>
  <c r="Y3541" i="2"/>
  <c r="AB3541" i="2"/>
  <c r="AK3541" i="2" s="1"/>
  <c r="Y3647" i="2"/>
  <c r="AB3647" i="2"/>
  <c r="AK3647" i="2" s="1"/>
  <c r="Y3868" i="2"/>
  <c r="AB3868" i="2"/>
  <c r="AK3868" i="2" s="1"/>
  <c r="Y3908" i="2"/>
  <c r="AB3908" i="2"/>
  <c r="AK3908" i="2" s="1"/>
  <c r="Y4428" i="2"/>
  <c r="AB4428" i="2"/>
  <c r="AK4428" i="2" s="1"/>
  <c r="AH4691" i="2"/>
  <c r="Y4691" i="2"/>
  <c r="Y3131" i="2"/>
  <c r="Y3303" i="2"/>
  <c r="Y3289" i="2"/>
  <c r="Y3281" i="2"/>
  <c r="Y3273" i="2"/>
  <c r="Y3265" i="2"/>
  <c r="Y3501" i="2"/>
  <c r="Y3924" i="2"/>
  <c r="Y3831" i="2"/>
  <c r="AB3783" i="2"/>
  <c r="AK3783" i="2" s="1"/>
  <c r="AB3679" i="2"/>
  <c r="AK3679" i="2" s="1"/>
  <c r="Y3631" i="2"/>
  <c r="Y3562" i="2"/>
  <c r="Y3437" i="2"/>
  <c r="Y3065" i="2"/>
  <c r="Y2898" i="2"/>
  <c r="Y2922" i="2"/>
  <c r="Y3103" i="2"/>
  <c r="AB3103" i="2"/>
  <c r="AK3103" i="2" s="1"/>
  <c r="Y248" i="2"/>
  <c r="Y283" i="2"/>
  <c r="Y362" i="2"/>
  <c r="Y368" i="2"/>
  <c r="Y410" i="2"/>
  <c r="AK3399" i="2"/>
  <c r="AC3265" i="2"/>
  <c r="Y3263" i="2"/>
  <c r="Y3554" i="2"/>
  <c r="Y3445" i="2"/>
  <c r="Y4163" i="2"/>
  <c r="AB3876" i="2"/>
  <c r="AK3876" i="2" s="1"/>
  <c r="Y3823" i="2"/>
  <c r="Y3775" i="2"/>
  <c r="Y3727" i="2"/>
  <c r="Y3671" i="2"/>
  <c r="Y3615" i="2"/>
  <c r="Y3546" i="2"/>
  <c r="Y3059" i="2"/>
  <c r="AB3069" i="2"/>
  <c r="AK3069" i="2" s="1"/>
  <c r="Y3037" i="2"/>
  <c r="AB3037" i="2"/>
  <c r="AK3037" i="2" s="1"/>
  <c r="Y3493" i="2"/>
  <c r="Y3916" i="2"/>
  <c r="Y3719" i="2"/>
  <c r="Y3051" i="2"/>
  <c r="AB3057" i="2"/>
  <c r="AK3057" i="2" s="1"/>
  <c r="AB2969" i="2"/>
  <c r="AK2969" i="2" s="1"/>
  <c r="Y2969" i="2"/>
  <c r="Y3035" i="2"/>
  <c r="AB3035" i="2"/>
  <c r="AK3035" i="2" s="1"/>
  <c r="Y3190" i="2"/>
  <c r="AB3190" i="2"/>
  <c r="AK3190" i="2" s="1"/>
  <c r="AB3228" i="2"/>
  <c r="AK3228" i="2" s="1"/>
  <c r="Y3228" i="2"/>
  <c r="Y3420" i="2"/>
  <c r="AB3420" i="2"/>
  <c r="AK3420" i="2" s="1"/>
  <c r="AH3340" i="2"/>
  <c r="Y3340" i="2"/>
  <c r="Y3346" i="2"/>
  <c r="Y3328" i="2"/>
  <c r="Y3594" i="2"/>
  <c r="Y3602" i="2"/>
  <c r="Y3626" i="2"/>
  <c r="Y3642" i="2"/>
  <c r="Y3447" i="2"/>
  <c r="Y3463" i="2"/>
  <c r="Y3479" i="2"/>
  <c r="Y3514" i="2"/>
  <c r="Y3530" i="2"/>
  <c r="Y3551" i="2"/>
  <c r="Y3567" i="2"/>
  <c r="Y3580" i="2"/>
  <c r="Y3591" i="2"/>
  <c r="Y3599" i="2"/>
  <c r="Y3604" i="2"/>
  <c r="Y3607" i="2"/>
  <c r="Y3623" i="2"/>
  <c r="AF5378" i="2"/>
  <c r="Y3641" i="2"/>
  <c r="Y3649" i="2"/>
  <c r="Y3657" i="2"/>
  <c r="Y3665" i="2"/>
  <c r="Y3673" i="2"/>
  <c r="Y3681" i="2"/>
  <c r="Y3689" i="2"/>
  <c r="Y3697" i="2"/>
  <c r="Y3713" i="2"/>
  <c r="Y3721" i="2"/>
  <c r="Y3729" i="2"/>
  <c r="Y3737" i="2"/>
  <c r="Y3761" i="2"/>
  <c r="Y3777" i="2"/>
  <c r="Y3785" i="2"/>
  <c r="Y3801" i="2"/>
  <c r="Y3809" i="2"/>
  <c r="Y3132" i="2"/>
  <c r="Y3491" i="2"/>
  <c r="Y3507" i="2"/>
  <c r="Y3531" i="2"/>
  <c r="Y3573" i="2"/>
  <c r="Y3608" i="2"/>
  <c r="Y5398" i="2"/>
  <c r="AF5470" i="2"/>
  <c r="AF5510" i="2"/>
  <c r="Y3677" i="2"/>
  <c r="Y3717" i="2"/>
  <c r="Y3749" i="2"/>
  <c r="Y5419" i="2"/>
  <c r="Y5440" i="2"/>
  <c r="Y5472" i="2"/>
  <c r="Y5480" i="2"/>
  <c r="Y5493" i="2"/>
  <c r="AF5496" i="2"/>
  <c r="Y5504" i="2"/>
  <c r="AF5507" i="2"/>
  <c r="Y5509" i="2"/>
  <c r="Y5512" i="2"/>
  <c r="Y5528" i="2"/>
  <c r="AF5536" i="2"/>
  <c r="Y5544" i="2"/>
  <c r="Y5552" i="2"/>
  <c r="AF5563" i="2"/>
  <c r="Y5573" i="2"/>
  <c r="AF5584" i="2"/>
  <c r="AF5597" i="2"/>
  <c r="AF5600" i="2"/>
  <c r="Y5605" i="2"/>
  <c r="AF5608" i="2"/>
  <c r="AF5616" i="2"/>
  <c r="Y5618" i="2"/>
  <c r="AF5621" i="2"/>
  <c r="AF5637" i="2"/>
  <c r="Y5645" i="2"/>
  <c r="AF5661" i="2"/>
  <c r="AF5677" i="2"/>
  <c r="AF5685" i="2"/>
  <c r="AF5693" i="2"/>
  <c r="AF5709" i="2"/>
  <c r="AF5712" i="2"/>
  <c r="AF5717" i="2"/>
  <c r="Y5741" i="2"/>
  <c r="Y5780" i="2"/>
  <c r="Y5795" i="2"/>
  <c r="Y5800" i="2"/>
  <c r="AF5803" i="2"/>
  <c r="Y5805" i="2"/>
  <c r="AF5808" i="2"/>
  <c r="AF5819" i="2"/>
  <c r="Y5869" i="2"/>
  <c r="AF5872" i="2"/>
  <c r="Y5901" i="2"/>
  <c r="AF5912" i="2"/>
  <c r="AF5917" i="2"/>
  <c r="Y5933" i="2"/>
  <c r="AF5936" i="2"/>
  <c r="AF5944" i="2"/>
  <c r="AF5960" i="2"/>
  <c r="Y6031" i="2"/>
  <c r="Y6042" i="2"/>
  <c r="AF6045" i="2"/>
  <c r="Y6073" i="2"/>
  <c r="AF5408" i="2"/>
  <c r="Y5442" i="2"/>
  <c r="AF5445" i="2"/>
  <c r="Y5490" i="2"/>
  <c r="AF5501" i="2"/>
  <c r="AB935" i="2"/>
  <c r="AK935" i="2" s="1"/>
  <c r="Y935" i="2"/>
  <c r="AB983" i="2"/>
  <c r="AK983" i="2" s="1"/>
  <c r="Y983" i="2"/>
  <c r="Y2182" i="2"/>
  <c r="AB2182" i="2"/>
  <c r="AK2182" i="2" s="1"/>
  <c r="AB2196" i="2"/>
  <c r="AK2196" i="2" s="1"/>
  <c r="Y2196" i="2"/>
  <c r="AB2208" i="2"/>
  <c r="AK2208" i="2" s="1"/>
  <c r="Y2208" i="2"/>
  <c r="Y118" i="2"/>
  <c r="Y334" i="2"/>
  <c r="Y1034" i="2"/>
  <c r="Y1022" i="2"/>
  <c r="Y985" i="2"/>
  <c r="Y525" i="2"/>
  <c r="AB259" i="2"/>
  <c r="AK259" i="2" s="1"/>
  <c r="AB244" i="2"/>
  <c r="AK244" i="2" s="1"/>
  <c r="Y267" i="2"/>
  <c r="Y603" i="2"/>
  <c r="AB1010" i="2"/>
  <c r="AK1010" i="2" s="1"/>
  <c r="AB927" i="2"/>
  <c r="AK927" i="2" s="1"/>
  <c r="Y99" i="2"/>
  <c r="Y58" i="2"/>
  <c r="AB538" i="2"/>
  <c r="AK538" i="2" s="1"/>
  <c r="Y538" i="2"/>
  <c r="AF1313" i="2"/>
  <c r="Y1313" i="2"/>
  <c r="AF1339" i="2"/>
  <c r="Y1339" i="2"/>
  <c r="AF1381" i="2"/>
  <c r="Y1381" i="2"/>
  <c r="AF2513" i="2"/>
  <c r="Y2513" i="2"/>
  <c r="AC2584" i="2"/>
  <c r="AB2584" i="2"/>
  <c r="AK2584" i="2" s="1"/>
  <c r="Y37" i="2"/>
  <c r="Y57" i="2"/>
  <c r="Y80" i="2"/>
  <c r="Y701" i="2"/>
  <c r="Y713" i="2"/>
  <c r="Y717" i="2"/>
  <c r="AB853" i="2"/>
  <c r="AK853" i="2" s="1"/>
  <c r="AB875" i="2"/>
  <c r="AK875" i="2" s="1"/>
  <c r="Y875" i="2"/>
  <c r="Y19" i="2"/>
  <c r="AK3751" i="2"/>
  <c r="Y3751" i="2"/>
  <c r="Y2853" i="2"/>
  <c r="Y2912" i="2"/>
  <c r="Y2995" i="2"/>
  <c r="AB3146" i="2"/>
  <c r="AK3146" i="2" s="1"/>
  <c r="Y3146" i="2"/>
  <c r="AB3158" i="2"/>
  <c r="AK3158" i="2" s="1"/>
  <c r="Y3158" i="2"/>
  <c r="Y3170" i="2"/>
  <c r="AB3170" i="2"/>
  <c r="AK3170" i="2" s="1"/>
  <c r="AB3218" i="2"/>
  <c r="AK3218" i="2" s="1"/>
  <c r="Y3218" i="2"/>
  <c r="Y3434" i="2"/>
  <c r="Y3450" i="2"/>
  <c r="Y3466" i="2"/>
  <c r="Y3482" i="2"/>
  <c r="Y3498" i="2"/>
  <c r="Y2979" i="2"/>
  <c r="AB2775" i="2"/>
  <c r="AK2775" i="2" s="1"/>
  <c r="Y2775" i="2"/>
  <c r="Y3304" i="2"/>
  <c r="Y3308" i="2"/>
  <c r="Y3310" i="2"/>
  <c r="Y3312" i="2"/>
  <c r="Y3314" i="2"/>
  <c r="Y3318" i="2"/>
  <c r="Y3414" i="2"/>
  <c r="AB3414" i="2"/>
  <c r="AK3414" i="2" s="1"/>
  <c r="Y3524" i="2"/>
  <c r="Y3077" i="2"/>
  <c r="AB3077" i="2"/>
  <c r="AK3077" i="2" s="1"/>
  <c r="AB3079" i="2"/>
  <c r="AK3079" i="2" s="1"/>
  <c r="Y3079" i="2"/>
  <c r="Y3330" i="2"/>
  <c r="AB3330" i="2"/>
  <c r="AK3330" i="2" s="1"/>
  <c r="Y3338" i="2"/>
  <c r="AB3344" i="2"/>
  <c r="AK3344" i="2" s="1"/>
  <c r="Y3344" i="2"/>
  <c r="Y307" i="2"/>
  <c r="Y889" i="2"/>
  <c r="Y917" i="2"/>
  <c r="Y919" i="2"/>
  <c r="Y921" i="2"/>
  <c r="Y1048" i="2"/>
  <c r="Y1050" i="2"/>
  <c r="Y1056" i="2"/>
  <c r="Y1058" i="2"/>
  <c r="Y3117" i="2"/>
  <c r="AB3117" i="2"/>
  <c r="AK3117" i="2" s="1"/>
  <c r="Y3635" i="2"/>
  <c r="AK3635" i="2"/>
  <c r="Y299" i="2"/>
  <c r="Y301" i="2"/>
  <c r="Y472" i="2"/>
  <c r="Y478" i="2"/>
  <c r="Y488" i="2"/>
  <c r="Y492" i="2"/>
  <c r="Y496" i="2"/>
  <c r="Y3048" i="2"/>
  <c r="AB3039" i="2"/>
  <c r="AK3039" i="2" s="1"/>
  <c r="Y3039" i="2"/>
  <c r="Y3370" i="2"/>
  <c r="Y3372" i="2"/>
  <c r="Y3388" i="2"/>
  <c r="Y3454" i="2"/>
  <c r="Y3467" i="2"/>
  <c r="AB3467" i="2"/>
  <c r="AK3467" i="2" s="1"/>
  <c r="Y3560" i="2"/>
  <c r="AB3560" i="2"/>
  <c r="AK3560" i="2" s="1"/>
  <c r="Y3600" i="2"/>
  <c r="AB3600" i="2"/>
  <c r="AK3600" i="2" s="1"/>
  <c r="R24" i="3"/>
  <c r="T24" i="3" s="1"/>
  <c r="U24" i="3" s="1"/>
  <c r="V24" i="3" s="1"/>
  <c r="Y2917" i="2"/>
  <c r="Y2609" i="2"/>
  <c r="AB478" i="2"/>
  <c r="AK478" i="2" s="1"/>
  <c r="Y434" i="2"/>
  <c r="Y333" i="2"/>
  <c r="Y128" i="2"/>
  <c r="Y949" i="2"/>
  <c r="Y1004" i="2"/>
  <c r="Y2594" i="2"/>
  <c r="AB3003" i="2"/>
  <c r="AK3003" i="2" s="1"/>
  <c r="AK2902" i="2"/>
  <c r="Y3349" i="2"/>
  <c r="Y3436" i="2"/>
  <c r="Y3484" i="2"/>
  <c r="Y3516" i="2"/>
  <c r="Y3532" i="2"/>
  <c r="Y3553" i="2"/>
  <c r="Y3574" i="2"/>
  <c r="Y3595" i="2"/>
  <c r="Y3627" i="2"/>
  <c r="Y3646" i="2"/>
  <c r="Y3678" i="2"/>
  <c r="Y3726" i="2"/>
  <c r="Y3758" i="2"/>
  <c r="Y3835" i="2"/>
  <c r="Y3846" i="2"/>
  <c r="Y3862" i="2"/>
  <c r="Y3878" i="2"/>
  <c r="Y3891" i="2"/>
  <c r="Y3907" i="2"/>
  <c r="Y3910" i="2"/>
  <c r="Y3918" i="2"/>
  <c r="AB3923" i="2"/>
  <c r="AK3923" i="2" s="1"/>
  <c r="Y3923" i="2"/>
  <c r="Y3934" i="2"/>
  <c r="Y3942" i="2"/>
  <c r="Y3966" i="2"/>
  <c r="Y3979" i="2"/>
  <c r="Y3982" i="2"/>
  <c r="Y3987" i="2"/>
  <c r="Y3998" i="2"/>
  <c r="Y4011" i="2"/>
  <c r="Y4014" i="2"/>
  <c r="Y4030" i="2"/>
  <c r="AB3848" i="2"/>
  <c r="AK3848" i="2" s="1"/>
  <c r="Y3848" i="2"/>
  <c r="AB3952" i="2"/>
  <c r="AK3952" i="2" s="1"/>
  <c r="Y3952" i="2"/>
  <c r="AB4255" i="2"/>
  <c r="AK4255" i="2" s="1"/>
  <c r="Y4255" i="2"/>
  <c r="AB4400" i="2"/>
  <c r="AK4400" i="2" s="1"/>
  <c r="Y4400" i="2"/>
  <c r="Y3747" i="2"/>
  <c r="AB3484" i="2"/>
  <c r="AK3484" i="2" s="1"/>
  <c r="AH4809" i="2"/>
  <c r="Y4809" i="2"/>
  <c r="R178" i="3"/>
  <c r="T178" i="3" s="1"/>
  <c r="U178" i="3" s="1"/>
  <c r="V178" i="3" s="1"/>
  <c r="Y4752" i="2"/>
  <c r="Y4760" i="2"/>
  <c r="AC5690" i="2"/>
  <c r="R184" i="3"/>
  <c r="T184" i="3" s="1"/>
  <c r="U184" i="3" s="1"/>
  <c r="V184" i="3" s="1"/>
  <c r="Y5428" i="2"/>
  <c r="Y5446" i="2"/>
  <c r="AF5484" i="2"/>
  <c r="AF5524" i="2"/>
  <c r="Y2836" i="2"/>
  <c r="Y2915" i="2"/>
  <c r="Y2934" i="2"/>
  <c r="Y2942" i="2"/>
  <c r="Y2955" i="2"/>
  <c r="Y2977" i="2"/>
  <c r="Y2985" i="2"/>
  <c r="Y2990" i="2"/>
  <c r="Y2993" i="2"/>
  <c r="Y3001" i="2"/>
  <c r="Y3017" i="2"/>
  <c r="Y3307" i="2"/>
  <c r="Y3309" i="2"/>
  <c r="Y3311" i="2"/>
  <c r="Y3317" i="2"/>
  <c r="Y3319" i="2"/>
  <c r="AC5533" i="2"/>
  <c r="AB5509" i="2"/>
  <c r="AK5509" i="2" s="1"/>
  <c r="Y5477" i="2"/>
  <c r="AB5442" i="2"/>
  <c r="AK5442" i="2" s="1"/>
  <c r="AB5698" i="2"/>
  <c r="AK5698" i="2" s="1"/>
  <c r="AB5626" i="2"/>
  <c r="AK5626" i="2" s="1"/>
  <c r="AF5605" i="2"/>
  <c r="R152" i="3"/>
  <c r="T152" i="3" s="1"/>
  <c r="U152" i="3" s="1"/>
  <c r="V152" i="3" s="1"/>
  <c r="AC2521" i="2"/>
  <c r="AB2521" i="2"/>
  <c r="AK2521" i="2" s="1"/>
  <c r="AC2494" i="2"/>
  <c r="AB2494" i="2"/>
  <c r="AK2494" i="2" s="1"/>
  <c r="Y2494" i="2"/>
  <c r="Y279" i="2"/>
  <c r="Y258" i="2"/>
  <c r="AK647" i="2"/>
  <c r="Y647" i="2"/>
  <c r="AF1369" i="2"/>
  <c r="Y1369" i="2"/>
  <c r="AF2459" i="2"/>
  <c r="Y2459" i="2"/>
  <c r="Y297" i="2"/>
  <c r="AK248" i="2"/>
  <c r="Y432" i="2"/>
  <c r="AB123" i="2"/>
  <c r="AK123" i="2" s="1"/>
  <c r="AB127" i="2"/>
  <c r="AK127" i="2" s="1"/>
  <c r="AF759" i="2"/>
  <c r="Y777" i="2"/>
  <c r="Y783" i="2"/>
  <c r="Y785" i="2"/>
  <c r="Y801" i="2"/>
  <c r="Y803" i="2"/>
  <c r="AB803" i="2"/>
  <c r="AK803" i="2" s="1"/>
  <c r="AB805" i="2"/>
  <c r="AK805" i="2" s="1"/>
  <c r="Y805" i="2"/>
  <c r="Y807" i="2"/>
  <c r="AB252" i="2"/>
  <c r="AK252" i="2" s="1"/>
  <c r="Y252" i="2"/>
  <c r="AB303" i="2"/>
  <c r="AK303" i="2" s="1"/>
  <c r="Y303" i="2"/>
  <c r="AB819" i="2"/>
  <c r="AK819" i="2" s="1"/>
  <c r="Y819" i="2"/>
  <c r="AF2128" i="2"/>
  <c r="Y2128" i="2"/>
  <c r="AF2132" i="2"/>
  <c r="Y2132" i="2"/>
  <c r="AF2138" i="2"/>
  <c r="Y2138" i="2"/>
  <c r="AF2140" i="2"/>
  <c r="Y2140" i="2"/>
  <c r="AF2146" i="2"/>
  <c r="Y2146" i="2"/>
  <c r="AF2148" i="2"/>
  <c r="Y2148" i="2"/>
  <c r="AF2156" i="2"/>
  <c r="Y2156" i="2"/>
  <c r="AF2166" i="2"/>
  <c r="Y2166" i="2"/>
  <c r="AF2168" i="2"/>
  <c r="Y2168" i="2"/>
  <c r="AF2176" i="2"/>
  <c r="Y2176" i="2"/>
  <c r="AK2194" i="2"/>
  <c r="Y2194" i="2"/>
  <c r="AB2204" i="2"/>
  <c r="AK2204" i="2" s="1"/>
  <c r="Y2204" i="2"/>
  <c r="AB2222" i="2"/>
  <c r="AK2222" i="2" s="1"/>
  <c r="Y2222" i="2"/>
  <c r="AB2232" i="2"/>
  <c r="AK2232" i="2" s="1"/>
  <c r="Y2232" i="2"/>
  <c r="AB2242" i="2"/>
  <c r="AK2242" i="2" s="1"/>
  <c r="Y2242" i="2"/>
  <c r="AH2615" i="2"/>
  <c r="AF2615" i="2"/>
  <c r="AH2623" i="2"/>
  <c r="AF2623" i="2"/>
  <c r="Y2631" i="2"/>
  <c r="AF2631" i="2"/>
  <c r="AF428" i="2"/>
  <c r="Y428" i="2"/>
  <c r="AF430" i="2"/>
  <c r="Y430" i="2"/>
  <c r="AB442" i="2"/>
  <c r="AK442" i="2" s="1"/>
  <c r="Y442" i="2"/>
  <c r="Y460" i="2"/>
  <c r="AB460" i="2"/>
  <c r="AK460" i="2" s="1"/>
  <c r="AB486" i="2"/>
  <c r="AK486" i="2" s="1"/>
  <c r="Y486" i="2"/>
  <c r="AB498" i="2"/>
  <c r="AK498" i="2" s="1"/>
  <c r="Y498" i="2"/>
  <c r="AK516" i="2"/>
  <c r="AB518" i="2"/>
  <c r="AK518" i="2" s="1"/>
  <c r="Y518" i="2"/>
  <c r="AF877" i="2"/>
  <c r="Y877" i="2"/>
  <c r="AB897" i="2"/>
  <c r="AK897" i="2" s="1"/>
  <c r="Y897" i="2"/>
  <c r="Y295" i="2"/>
  <c r="Y909" i="2"/>
  <c r="Y197" i="2"/>
  <c r="AB307" i="2"/>
  <c r="AK307" i="2" s="1"/>
  <c r="AK583" i="2"/>
  <c r="Y583" i="2"/>
  <c r="Y629" i="2"/>
  <c r="Y631" i="2"/>
  <c r="AF977" i="2"/>
  <c r="Y977" i="2"/>
  <c r="Y987" i="2"/>
  <c r="AF1030" i="2"/>
  <c r="Y1030" i="2"/>
  <c r="AC2665" i="2"/>
  <c r="AB2665" i="2"/>
  <c r="AK2665" i="2" s="1"/>
  <c r="Y2709" i="2"/>
  <c r="Y2545" i="2"/>
  <c r="Y2535" i="2"/>
  <c r="AC2709" i="2"/>
  <c r="AF154" i="2"/>
  <c r="Y154" i="2"/>
  <c r="Y310" i="2"/>
  <c r="Y318" i="2"/>
  <c r="Y326" i="2"/>
  <c r="AF532" i="2"/>
  <c r="Y532" i="2"/>
  <c r="Y857" i="2"/>
  <c r="Y861" i="2"/>
  <c r="Y865" i="2"/>
  <c r="Y873" i="2"/>
  <c r="Y405" i="2"/>
  <c r="Y411" i="2"/>
  <c r="Y413" i="2"/>
  <c r="Y417" i="2"/>
  <c r="Y421" i="2"/>
  <c r="Y431" i="2"/>
  <c r="Y881" i="2"/>
  <c r="R2" i="3"/>
  <c r="T2" i="3" s="1"/>
  <c r="U2" i="3" s="1"/>
  <c r="V2" i="3" s="1"/>
  <c r="Y342" i="2"/>
  <c r="Y348" i="2"/>
  <c r="Y370" i="2"/>
  <c r="Y388" i="2"/>
  <c r="Y667" i="2"/>
  <c r="Y671" i="2"/>
  <c r="Y675" i="2"/>
  <c r="AK677" i="2"/>
  <c r="R53" i="3"/>
  <c r="T53" i="3" s="1"/>
  <c r="U53" i="3" s="1"/>
  <c r="V53" i="3" s="1"/>
  <c r="Y27" i="2"/>
  <c r="Y33" i="2"/>
  <c r="Y35" i="2"/>
  <c r="Y78" i="2"/>
  <c r="Y145" i="2"/>
  <c r="Y223" i="2"/>
  <c r="Y402" i="2"/>
  <c r="Y404" i="2"/>
  <c r="Y416" i="2"/>
  <c r="Y424" i="2"/>
  <c r="AF2300" i="2"/>
  <c r="Y2300" i="2"/>
  <c r="AF2308" i="2"/>
  <c r="Y2308" i="2"/>
  <c r="AF2316" i="2"/>
  <c r="Y2316" i="2"/>
  <c r="Y2475" i="2"/>
  <c r="Y2496" i="2"/>
  <c r="Y2525" i="2"/>
  <c r="Y2533" i="2"/>
  <c r="AK3335" i="2"/>
  <c r="Y2907" i="2"/>
  <c r="Y3443" i="2"/>
  <c r="AH3372" i="2"/>
  <c r="Y3376" i="2"/>
  <c r="Y3394" i="2"/>
  <c r="Y3400" i="2"/>
  <c r="Y3404" i="2"/>
  <c r="AB3319" i="2"/>
  <c r="AK3319" i="2" s="1"/>
  <c r="Y3299" i="2"/>
  <c r="Y2931" i="2"/>
  <c r="Y3014" i="2"/>
  <c r="Y3362" i="2"/>
  <c r="Y113" i="2"/>
  <c r="Y168" i="2"/>
  <c r="Y170" i="2"/>
  <c r="Y172" i="2"/>
  <c r="Y514" i="2"/>
  <c r="Y528" i="2"/>
  <c r="Y548" i="2"/>
  <c r="Y550" i="2"/>
  <c r="Y552" i="2"/>
  <c r="Y749" i="2"/>
  <c r="Y751" i="2"/>
  <c r="Y757" i="2"/>
  <c r="Y771" i="2"/>
  <c r="AB2772" i="2"/>
  <c r="AK2772" i="2" s="1"/>
  <c r="Y2939" i="2"/>
  <c r="AB2939" i="2"/>
  <c r="AK2939" i="2" s="1"/>
  <c r="AB2947" i="2"/>
  <c r="AK2947" i="2" s="1"/>
  <c r="Y2947" i="2"/>
  <c r="AB2963" i="2"/>
  <c r="AK2963" i="2" s="1"/>
  <c r="Y2963" i="2"/>
  <c r="AB2981" i="2"/>
  <c r="AK2981" i="2" s="1"/>
  <c r="Y2981" i="2"/>
  <c r="AB2982" i="2"/>
  <c r="AK2982" i="2" s="1"/>
  <c r="Y2982" i="2"/>
  <c r="AB2994" i="2"/>
  <c r="AK2994" i="2" s="1"/>
  <c r="AB3018" i="2"/>
  <c r="Y3018" i="2"/>
  <c r="AB3019" i="2"/>
  <c r="AK3019" i="2" s="1"/>
  <c r="Y3019" i="2"/>
  <c r="AB3023" i="2"/>
  <c r="AK3023" i="2" s="1"/>
  <c r="Y3023" i="2"/>
  <c r="Y3024" i="2"/>
  <c r="AB3024" i="2"/>
  <c r="AK3024" i="2" s="1"/>
  <c r="AB3027" i="2"/>
  <c r="AK3027" i="2" s="1"/>
  <c r="Y3027" i="2"/>
  <c r="Y3028" i="2"/>
  <c r="AB3028" i="2"/>
  <c r="AK3028" i="2" s="1"/>
  <c r="AB3031" i="2"/>
  <c r="AK3031" i="2" s="1"/>
  <c r="Y3031" i="2"/>
  <c r="Y3036" i="2"/>
  <c r="AB3036" i="2"/>
  <c r="AK3036" i="2" s="1"/>
  <c r="Y3100" i="2"/>
  <c r="AB3100" i="2"/>
  <c r="AK3100" i="2" s="1"/>
  <c r="AB3104" i="2"/>
  <c r="AK3104" i="2" s="1"/>
  <c r="AB3108" i="2"/>
  <c r="AK3108" i="2" s="1"/>
  <c r="Y3108" i="2"/>
  <c r="AB3112" i="2"/>
  <c r="AK3112" i="2" s="1"/>
  <c r="Y3112" i="2"/>
  <c r="AB3116" i="2"/>
  <c r="AK3116" i="2" s="1"/>
  <c r="Y3116" i="2"/>
  <c r="Y3123" i="2"/>
  <c r="AB3123" i="2"/>
  <c r="AK3123" i="2" s="1"/>
  <c r="AB3126" i="2"/>
  <c r="AK3126" i="2" s="1"/>
  <c r="Y3126" i="2"/>
  <c r="AB3130" i="2"/>
  <c r="AK3130" i="2" s="1"/>
  <c r="Y3130" i="2"/>
  <c r="AB3135" i="2"/>
  <c r="AK3135" i="2" s="1"/>
  <c r="Y3135" i="2"/>
  <c r="AB3138" i="2"/>
  <c r="AK3138" i="2" s="1"/>
  <c r="Y3138" i="2"/>
  <c r="AB3142" i="2"/>
  <c r="AK3142" i="2" s="1"/>
  <c r="Y3142" i="2"/>
  <c r="AB3257" i="2"/>
  <c r="AK3257" i="2" s="1"/>
  <c r="Y3257" i="2"/>
  <c r="Y3296" i="2"/>
  <c r="AB3296" i="2"/>
  <c r="AK3296" i="2" s="1"/>
  <c r="AB3297" i="2"/>
  <c r="AK3297" i="2" s="1"/>
  <c r="Y3297" i="2"/>
  <c r="AB3298" i="2"/>
  <c r="AK3298" i="2" s="1"/>
  <c r="Y3298" i="2"/>
  <c r="AB3301" i="2"/>
  <c r="AK3301" i="2" s="1"/>
  <c r="Y3301" i="2"/>
  <c r="AB3305" i="2"/>
  <c r="AK3305" i="2" s="1"/>
  <c r="Y3305" i="2"/>
  <c r="AB3306" i="2"/>
  <c r="AK3306" i="2" s="1"/>
  <c r="Y3306" i="2"/>
  <c r="AB3315" i="2"/>
  <c r="AK3315" i="2" s="1"/>
  <c r="Y3315" i="2"/>
  <c r="AH3354" i="2"/>
  <c r="Y3354" i="2"/>
  <c r="AH3358" i="2"/>
  <c r="Y3358" i="2"/>
  <c r="AH3360" i="2"/>
  <c r="Y3360" i="2"/>
  <c r="AH3368" i="2"/>
  <c r="Y3368" i="2"/>
  <c r="AH3393" i="2"/>
  <c r="Y3393" i="2"/>
  <c r="AH3395" i="2"/>
  <c r="Y3395" i="2"/>
  <c r="AH3399" i="2"/>
  <c r="Y3399" i="2"/>
  <c r="AH3403" i="2"/>
  <c r="Y3403" i="2"/>
  <c r="AB3421" i="2"/>
  <c r="AK3421" i="2" s="1"/>
  <c r="Y3421" i="2"/>
  <c r="AB3427" i="2"/>
  <c r="AK3427" i="2" s="1"/>
  <c r="Y3427" i="2"/>
  <c r="AB3451" i="2"/>
  <c r="AK3451" i="2" s="1"/>
  <c r="Y3451" i="2"/>
  <c r="AB3475" i="2"/>
  <c r="AK3475" i="2" s="1"/>
  <c r="Y3475" i="2"/>
  <c r="AB3502" i="2"/>
  <c r="AK3502" i="2" s="1"/>
  <c r="Y3502" i="2"/>
  <c r="AB3515" i="2"/>
  <c r="AK3515" i="2" s="1"/>
  <c r="Y3515" i="2"/>
  <c r="AB3542" i="2"/>
  <c r="AK3542" i="2" s="1"/>
  <c r="Y3542" i="2"/>
  <c r="AB3592" i="2"/>
  <c r="AK3592" i="2" s="1"/>
  <c r="Y3592" i="2"/>
  <c r="AB3596" i="2"/>
  <c r="AK3596" i="2" s="1"/>
  <c r="Y3596" i="2"/>
  <c r="AB3616" i="2"/>
  <c r="AK3616" i="2" s="1"/>
  <c r="Y3616" i="2"/>
  <c r="AK3632" i="2"/>
  <c r="Y3632" i="2"/>
  <c r="AB3643" i="2"/>
  <c r="AK3643" i="2" s="1"/>
  <c r="Y3643" i="2"/>
  <c r="AB3659" i="2"/>
  <c r="AK3659" i="2" s="1"/>
  <c r="Y3659" i="2"/>
  <c r="AB3667" i="2"/>
  <c r="AK3667" i="2" s="1"/>
  <c r="Y3667" i="2"/>
  <c r="AK3683" i="2"/>
  <c r="Y3683" i="2"/>
  <c r="AK3691" i="2"/>
  <c r="Y3691" i="2"/>
  <c r="AB3715" i="2"/>
  <c r="AK3715" i="2" s="1"/>
  <c r="Y3715" i="2"/>
  <c r="Y3723" i="2"/>
  <c r="AB3723" i="2"/>
  <c r="AK3723" i="2" s="1"/>
  <c r="AB3731" i="2"/>
  <c r="AK3731" i="2" s="1"/>
  <c r="Y3731" i="2"/>
  <c r="AB3763" i="2"/>
  <c r="AK3763" i="2" s="1"/>
  <c r="Y3763" i="2"/>
  <c r="Y3779" i="2"/>
  <c r="AB3779" i="2"/>
  <c r="AK3779" i="2" s="1"/>
  <c r="AB3787" i="2"/>
  <c r="AK3787" i="2" s="1"/>
  <c r="Y3787" i="2"/>
  <c r="AB3790" i="2"/>
  <c r="AK3790" i="2" s="1"/>
  <c r="Y3790" i="2"/>
  <c r="AB3795" i="2"/>
  <c r="AK3795" i="2" s="1"/>
  <c r="Y3795" i="2"/>
  <c r="AK3811" i="2"/>
  <c r="Y3811" i="2"/>
  <c r="Y3827" i="2"/>
  <c r="AB3827" i="2"/>
  <c r="AK3827" i="2" s="1"/>
  <c r="AB3830" i="2"/>
  <c r="AK3830" i="2" s="1"/>
  <c r="Y3830" i="2"/>
  <c r="Y3840" i="2"/>
  <c r="AB3840" i="2"/>
  <c r="AK3840" i="2" s="1"/>
  <c r="AB3843" i="2"/>
  <c r="AK3843" i="2" s="1"/>
  <c r="Y3843" i="2"/>
  <c r="Y3864" i="2"/>
  <c r="AB3864" i="2"/>
  <c r="AK3864" i="2" s="1"/>
  <c r="Y3880" i="2"/>
  <c r="AB3880" i="2"/>
  <c r="AK3880" i="2" s="1"/>
  <c r="AB3899" i="2"/>
  <c r="AK3899" i="2" s="1"/>
  <c r="Y3899" i="2"/>
  <c r="Y3904" i="2"/>
  <c r="AB3904" i="2"/>
  <c r="AK3904" i="2" s="1"/>
  <c r="AB3915" i="2"/>
  <c r="AK3915" i="2" s="1"/>
  <c r="Y3915" i="2"/>
  <c r="Y3920" i="2"/>
  <c r="AB3920" i="2"/>
  <c r="AK3920" i="2" s="1"/>
  <c r="AB3928" i="2"/>
  <c r="AK3928" i="2" s="1"/>
  <c r="Y3928" i="2"/>
  <c r="AB3931" i="2"/>
  <c r="AK3931" i="2" s="1"/>
  <c r="Y3931" i="2"/>
  <c r="AB3944" i="2"/>
  <c r="AK3944" i="2" s="1"/>
  <c r="Y3944" i="2"/>
  <c r="AB3955" i="2"/>
  <c r="AK3955" i="2" s="1"/>
  <c r="Y3955" i="2"/>
  <c r="AB3960" i="2"/>
  <c r="AK3960" i="2" s="1"/>
  <c r="Y3960" i="2"/>
  <c r="AB3968" i="2"/>
  <c r="AK3968" i="2" s="1"/>
  <c r="Y3968" i="2"/>
  <c r="Y3971" i="2"/>
  <c r="AB3971" i="2"/>
  <c r="AK3971" i="2" s="1"/>
  <c r="AB3992" i="2"/>
  <c r="AK3992" i="2" s="1"/>
  <c r="Y3992" i="2"/>
  <c r="AB3995" i="2"/>
  <c r="AK3995" i="2" s="1"/>
  <c r="Y3995" i="2"/>
  <c r="AB4008" i="2"/>
  <c r="AK4008" i="2" s="1"/>
  <c r="Y4008" i="2"/>
  <c r="Y4016" i="2"/>
  <c r="AB4016" i="2"/>
  <c r="AK4016" i="2" s="1"/>
  <c r="AB4019" i="2"/>
  <c r="AK4019" i="2" s="1"/>
  <c r="Y4019" i="2"/>
  <c r="AB4027" i="2"/>
  <c r="AK4027" i="2" s="1"/>
  <c r="Y4027" i="2"/>
  <c r="AB4032" i="2"/>
  <c r="AK4032" i="2" s="1"/>
  <c r="Y4032" i="2"/>
  <c r="Y4035" i="2"/>
  <c r="AB4035" i="2"/>
  <c r="AK4035" i="2" s="1"/>
  <c r="Y4048" i="2"/>
  <c r="AB4048" i="2"/>
  <c r="AK4048" i="2" s="1"/>
  <c r="AB4056" i="2"/>
  <c r="AK4056" i="2" s="1"/>
  <c r="Y4056" i="2"/>
  <c r="AB4072" i="2"/>
  <c r="AK4072" i="2" s="1"/>
  <c r="Y4072" i="2"/>
  <c r="Y4085" i="2"/>
  <c r="AB4085" i="2"/>
  <c r="AK4085" i="2" s="1"/>
  <c r="AB4090" i="2"/>
  <c r="AK4090" i="2" s="1"/>
  <c r="Y4090" i="2"/>
  <c r="AK4106" i="2"/>
  <c r="Y4106" i="2"/>
  <c r="AB4111" i="2"/>
  <c r="AK4111" i="2" s="1"/>
  <c r="Y4111" i="2"/>
  <c r="Y4127" i="2"/>
  <c r="AB4127" i="2"/>
  <c r="AK4127" i="2" s="1"/>
  <c r="AB4151" i="2"/>
  <c r="AK4151" i="2" s="1"/>
  <c r="Y4151" i="2"/>
  <c r="Y4167" i="2"/>
  <c r="AB4167" i="2"/>
  <c r="AK4167" i="2" s="1"/>
  <c r="AB4175" i="2"/>
  <c r="AK4175" i="2" s="1"/>
  <c r="Y4175" i="2"/>
  <c r="Y4191" i="2"/>
  <c r="AB4191" i="2"/>
  <c r="AK4191" i="2" s="1"/>
  <c r="AH4748" i="2"/>
  <c r="Y4748" i="2"/>
  <c r="AH4756" i="2"/>
  <c r="Y4756" i="2"/>
  <c r="AH4764" i="2"/>
  <c r="Y4764" i="2"/>
  <c r="AH4768" i="2"/>
  <c r="Y4768" i="2"/>
  <c r="AH4774" i="2"/>
  <c r="Y4774" i="2"/>
  <c r="AH4778" i="2"/>
  <c r="Y4778" i="2"/>
  <c r="Y2966" i="2"/>
  <c r="Y3097" i="2"/>
  <c r="AB3097" i="2"/>
  <c r="AK3097" i="2" s="1"/>
  <c r="Y4308" i="2"/>
  <c r="Y2856" i="2"/>
  <c r="AB3412" i="2"/>
  <c r="AK3412" i="2" s="1"/>
  <c r="Y3412" i="2"/>
  <c r="AK2825" i="2"/>
  <c r="Y4231" i="2"/>
  <c r="AB6742" i="2"/>
  <c r="AK6742" i="2" s="1"/>
  <c r="AK4464" i="2"/>
  <c r="Y4464" i="2"/>
  <c r="AB4292" i="2"/>
  <c r="AK4292" i="2" s="1"/>
  <c r="Y4215" i="2"/>
  <c r="AB3063" i="2"/>
  <c r="AK3063" i="2" s="1"/>
  <c r="Y3063" i="2"/>
  <c r="Y3148" i="2"/>
  <c r="AB3148" i="2"/>
  <c r="AK3148" i="2" s="1"/>
  <c r="AB4324" i="2"/>
  <c r="AK4324" i="2" s="1"/>
  <c r="Y2796" i="2"/>
  <c r="Y2820" i="2"/>
  <c r="Y2831" i="2"/>
  <c r="Y2996" i="2"/>
  <c r="Y3045" i="2"/>
  <c r="AB3045" i="2"/>
  <c r="AK3045" i="2" s="1"/>
  <c r="Y3093" i="2"/>
  <c r="AB3093" i="2"/>
  <c r="AK3093" i="2" s="1"/>
  <c r="AB3095" i="2"/>
  <c r="AK3095" i="2" s="1"/>
  <c r="Y3095" i="2"/>
  <c r="AB3192" i="2"/>
  <c r="AK3192" i="2" s="1"/>
  <c r="Y3192" i="2"/>
  <c r="AB3202" i="2"/>
  <c r="AK3202" i="2" s="1"/>
  <c r="Y3202" i="2"/>
  <c r="Y3331" i="2"/>
  <c r="Y3345" i="2"/>
  <c r="Y4059" i="2"/>
  <c r="Y4122" i="2"/>
  <c r="Y4146" i="2"/>
  <c r="Y4218" i="2"/>
  <c r="Y4250" i="2"/>
  <c r="Y4287" i="2"/>
  <c r="Y4295" i="2"/>
  <c r="Y4319" i="2"/>
  <c r="Y4361" i="2"/>
  <c r="Y2879" i="2"/>
  <c r="Y2887" i="2"/>
  <c r="Y2933" i="2"/>
  <c r="Y2941" i="2"/>
  <c r="Y2987" i="2"/>
  <c r="Y2998" i="2"/>
  <c r="Y3006" i="2"/>
  <c r="Y3645" i="2"/>
  <c r="Y3350" i="2"/>
  <c r="AH8151" i="2"/>
  <c r="Y5973" i="2"/>
  <c r="AF5976" i="2"/>
  <c r="AK6047" i="2"/>
  <c r="AC5726" i="2"/>
  <c r="Y5416" i="2"/>
  <c r="AF5448" i="2"/>
  <c r="AF6789" i="2"/>
  <c r="Y3444" i="2"/>
  <c r="Y71" i="2"/>
  <c r="Y52" i="2"/>
  <c r="Y393" i="2"/>
  <c r="Y377" i="2"/>
  <c r="Y367" i="2"/>
  <c r="Y359" i="2"/>
  <c r="Y79" i="2"/>
  <c r="AB675" i="2"/>
  <c r="AK675" i="2" s="1"/>
  <c r="AB172" i="2"/>
  <c r="AK172" i="2" s="1"/>
  <c r="AF146" i="2"/>
  <c r="Y146" i="2"/>
  <c r="AK839" i="2"/>
  <c r="AF122" i="2"/>
  <c r="Y122" i="2"/>
  <c r="AF189" i="2"/>
  <c r="Y189" i="2"/>
  <c r="AB203" i="2"/>
  <c r="AK203" i="2" s="1"/>
  <c r="Y56" i="2"/>
  <c r="Y365" i="2"/>
  <c r="AB671" i="2"/>
  <c r="AK671" i="2" s="1"/>
  <c r="AB59" i="2"/>
  <c r="AK59" i="2" s="1"/>
  <c r="Y59" i="2"/>
  <c r="AB70" i="2"/>
  <c r="AK70" i="2" s="1"/>
  <c r="Y70" i="2"/>
  <c r="AB74" i="2"/>
  <c r="AK74" i="2" s="1"/>
  <c r="AB239" i="2"/>
  <c r="AK239" i="2" s="1"/>
  <c r="Y239" i="2"/>
  <c r="AF241" i="2"/>
  <c r="Y241" i="2"/>
  <c r="AB915" i="2"/>
  <c r="AK915" i="2" s="1"/>
  <c r="Y915" i="2"/>
  <c r="AK39" i="2"/>
  <c r="Y39" i="2"/>
  <c r="AB47" i="2"/>
  <c r="AK47" i="2" s="1"/>
  <c r="Y47" i="2"/>
  <c r="AF219" i="2"/>
  <c r="Y219" i="2"/>
  <c r="AF231" i="2"/>
  <c r="Y231" i="2"/>
  <c r="AF655" i="2"/>
  <c r="Y655" i="2"/>
  <c r="AF659" i="2"/>
  <c r="Y659" i="2"/>
  <c r="AB679" i="2"/>
  <c r="AK679" i="2" s="1"/>
  <c r="Y679" i="2"/>
  <c r="AF907" i="2"/>
  <c r="Y907" i="2"/>
  <c r="Y138" i="2"/>
  <c r="Y657" i="2"/>
  <c r="AB88" i="2"/>
  <c r="AK88" i="2" s="1"/>
  <c r="Y88" i="2"/>
  <c r="AB145" i="2"/>
  <c r="AK145" i="2" s="1"/>
  <c r="Y407" i="2"/>
  <c r="Y397" i="2"/>
  <c r="Y387" i="2"/>
  <c r="Y379" i="2"/>
  <c r="Y677" i="2"/>
  <c r="AB667" i="2"/>
  <c r="AK667" i="2" s="1"/>
  <c r="Y233" i="2"/>
  <c r="Y45" i="2"/>
  <c r="AB35" i="2"/>
  <c r="AK35" i="2" s="1"/>
  <c r="Y903" i="2"/>
  <c r="AB176" i="2"/>
  <c r="AK176" i="2" s="1"/>
  <c r="Y176" i="2"/>
  <c r="AF502" i="2"/>
  <c r="Y502" i="2"/>
  <c r="AF506" i="2"/>
  <c r="Y506" i="2"/>
  <c r="AF516" i="2"/>
  <c r="Y516" i="2"/>
  <c r="Y522" i="2"/>
  <c r="AB522" i="2"/>
  <c r="AK522" i="2" s="1"/>
  <c r="Y554" i="2"/>
  <c r="AB554" i="2"/>
  <c r="AK554" i="2" s="1"/>
  <c r="Y73" i="2"/>
  <c r="Y427" i="2"/>
  <c r="AB417" i="2"/>
  <c r="AK417" i="2" s="1"/>
  <c r="AB405" i="2"/>
  <c r="AK405" i="2" s="1"/>
  <c r="Y361" i="2"/>
  <c r="Y51" i="2"/>
  <c r="Y136" i="2"/>
  <c r="Y665" i="2"/>
  <c r="AB33" i="2"/>
  <c r="AK33" i="2" s="1"/>
  <c r="AF109" i="2"/>
  <c r="Y109" i="2"/>
  <c r="AF111" i="2"/>
  <c r="Y111" i="2"/>
  <c r="AF156" i="2"/>
  <c r="Y156" i="2"/>
  <c r="Y791" i="2"/>
  <c r="AK791" i="2"/>
  <c r="AB795" i="2"/>
  <c r="AK795" i="2" s="1"/>
  <c r="Y795" i="2"/>
  <c r="Y799" i="2"/>
  <c r="AB799" i="2"/>
  <c r="AK799" i="2" s="1"/>
  <c r="AB813" i="2"/>
  <c r="AK813" i="2" s="1"/>
  <c r="Y813" i="2"/>
  <c r="Y91" i="2"/>
  <c r="AB91" i="2"/>
  <c r="AK91" i="2" s="1"/>
  <c r="AB142" i="2"/>
  <c r="AK142" i="2" s="1"/>
  <c r="Y142" i="2"/>
  <c r="AF363" i="2"/>
  <c r="Y363" i="2"/>
  <c r="AF787" i="2"/>
  <c r="Y787" i="2"/>
  <c r="Y563" i="2"/>
  <c r="Y81" i="2"/>
  <c r="Y996" i="2"/>
  <c r="Y975" i="2"/>
  <c r="Y967" i="2"/>
  <c r="Y959" i="2"/>
  <c r="Y951" i="2"/>
  <c r="Y943" i="2"/>
  <c r="Y831" i="2"/>
  <c r="Y291" i="2"/>
  <c r="Y182" i="2"/>
  <c r="Y95" i="2"/>
  <c r="Y107" i="2"/>
  <c r="AB119" i="2"/>
  <c r="AK119" i="2" s="1"/>
  <c r="Y119" i="2"/>
  <c r="Y187" i="2"/>
  <c r="Y741" i="2"/>
  <c r="Y1000" i="2"/>
  <c r="AB631" i="2"/>
  <c r="AK631" i="2" s="1"/>
  <c r="Y621" i="2"/>
  <c r="Y605" i="2"/>
  <c r="Y1042" i="2"/>
  <c r="Y287" i="2"/>
  <c r="Y408" i="2"/>
  <c r="Y394" i="2"/>
  <c r="AK352" i="2"/>
  <c r="Y737" i="2"/>
  <c r="Y611" i="2"/>
  <c r="Y597" i="2"/>
  <c r="Y853" i="2"/>
  <c r="Y767" i="2"/>
  <c r="Y390" i="2"/>
  <c r="Y376" i="2"/>
  <c r="Y350" i="2"/>
  <c r="Y29" i="2"/>
  <c r="Y789" i="2"/>
  <c r="R43" i="3"/>
  <c r="T43" i="3" s="1"/>
  <c r="U43" i="3" s="1"/>
  <c r="V43" i="3" s="1"/>
  <c r="AC2658" i="2"/>
  <c r="Y2371" i="2"/>
  <c r="AF2371" i="2"/>
  <c r="Y293" i="2"/>
  <c r="Y323" i="2"/>
  <c r="Y132" i="2"/>
  <c r="Y285" i="2"/>
  <c r="Y289" i="2"/>
  <c r="Y683" i="2"/>
  <c r="AH3382" i="2"/>
  <c r="Y3382" i="2"/>
  <c r="AB3406" i="2"/>
  <c r="AK3406" i="2" s="1"/>
  <c r="Y3406" i="2"/>
  <c r="AB3638" i="2"/>
  <c r="AK3638" i="2" s="1"/>
  <c r="Y3638" i="2"/>
  <c r="AB3859" i="2"/>
  <c r="AK3859" i="2" s="1"/>
  <c r="Y3859" i="2"/>
  <c r="Y3867" i="2"/>
  <c r="AB3867" i="2"/>
  <c r="AK3867" i="2" s="1"/>
  <c r="Y3939" i="2"/>
  <c r="AB3939" i="2"/>
  <c r="AK3939" i="2" s="1"/>
  <c r="AB3947" i="2"/>
  <c r="AK3947" i="2" s="1"/>
  <c r="Y3947" i="2"/>
  <c r="AK3963" i="2"/>
  <c r="Y4109" i="2"/>
  <c r="AB4109" i="2"/>
  <c r="AK4109" i="2" s="1"/>
  <c r="Y3351" i="2"/>
  <c r="Y3341" i="2"/>
  <c r="Y2800" i="2"/>
  <c r="AB3576" i="2"/>
  <c r="AK3576" i="2" s="1"/>
  <c r="Y3494" i="2"/>
  <c r="Y3446" i="2"/>
  <c r="Y3402" i="2"/>
  <c r="AB3595" i="2"/>
  <c r="AK3595" i="2" s="1"/>
  <c r="AB3552" i="2"/>
  <c r="AK3552" i="2" s="1"/>
  <c r="Y3552" i="2"/>
  <c r="Y3611" i="2"/>
  <c r="Y25" i="2"/>
  <c r="Y260" i="2"/>
  <c r="Y418" i="2"/>
  <c r="Y1040" i="2"/>
  <c r="AK4812" i="2"/>
  <c r="Y3367" i="2"/>
  <c r="Y3329" i="2"/>
  <c r="AB2770" i="2"/>
  <c r="AK2770" i="2" s="1"/>
  <c r="Y2873" i="2"/>
  <c r="AB3423" i="2"/>
  <c r="AK3423" i="2" s="1"/>
  <c r="Y3571" i="2"/>
  <c r="AB3534" i="2"/>
  <c r="AK3534" i="2" s="1"/>
  <c r="AB3400" i="2"/>
  <c r="AK3400" i="2" s="1"/>
  <c r="Y3374" i="2"/>
  <c r="AB3304" i="2"/>
  <c r="AK3304" i="2" s="1"/>
  <c r="Y3587" i="2"/>
  <c r="Y3750" i="2"/>
  <c r="Y2871" i="2"/>
  <c r="AK2871" i="2"/>
  <c r="AB2938" i="2"/>
  <c r="AK2938" i="2" s="1"/>
  <c r="Y2938" i="2"/>
  <c r="Y2946" i="2"/>
  <c r="AB2946" i="2"/>
  <c r="AK2946" i="2" s="1"/>
  <c r="Y3339" i="2"/>
  <c r="Y3327" i="2"/>
  <c r="Y3563" i="2"/>
  <c r="Y3526" i="2"/>
  <c r="Y3478" i="2"/>
  <c r="Y3438" i="2"/>
  <c r="Y3398" i="2"/>
  <c r="Y3316" i="2"/>
  <c r="Y3302" i="2"/>
  <c r="AB2820" i="2"/>
  <c r="AK2820" i="2" s="1"/>
  <c r="Y2865" i="2"/>
  <c r="Y2876" i="2"/>
  <c r="Y2884" i="2"/>
  <c r="Y2892" i="2"/>
  <c r="AB2892" i="2"/>
  <c r="AK2892" i="2" s="1"/>
  <c r="Y2951" i="2"/>
  <c r="Y2973" i="2"/>
  <c r="Y2976" i="2"/>
  <c r="AK3155" i="2"/>
  <c r="Y3347" i="2"/>
  <c r="Y3325" i="2"/>
  <c r="Y3384" i="2"/>
  <c r="AK3302" i="2"/>
  <c r="AB3627" i="2"/>
  <c r="AK3627" i="2" s="1"/>
  <c r="AB3678" i="2"/>
  <c r="AK3678" i="2" s="1"/>
  <c r="AB2812" i="2"/>
  <c r="AK2812" i="2" s="1"/>
  <c r="Y2812" i="2"/>
  <c r="AB2854" i="2"/>
  <c r="AK2854" i="2" s="1"/>
  <c r="Y2854" i="2"/>
  <c r="Y3337" i="2"/>
  <c r="Y3555" i="2"/>
  <c r="AB3518" i="2"/>
  <c r="AK3518" i="2" s="1"/>
  <c r="Y3470" i="2"/>
  <c r="Y3430" i="2"/>
  <c r="Y3396" i="2"/>
  <c r="Y3619" i="2"/>
  <c r="Y2889" i="2"/>
  <c r="Y2948" i="2"/>
  <c r="Y2989" i="2"/>
  <c r="AB3026" i="2"/>
  <c r="AK3026" i="2" s="1"/>
  <c r="Y3026" i="2"/>
  <c r="Y3510" i="2"/>
  <c r="Y3380" i="2"/>
  <c r="Y3300" i="2"/>
  <c r="AB2796" i="2"/>
  <c r="AK2796" i="2" s="1"/>
  <c r="AK3619" i="2"/>
  <c r="Y2793" i="2"/>
  <c r="Y2801" i="2"/>
  <c r="AF2804" i="2"/>
  <c r="Y2809" i="2"/>
  <c r="Y2817" i="2"/>
  <c r="AF2820" i="2"/>
  <c r="Y2825" i="2"/>
  <c r="Y2833" i="2"/>
  <c r="Y2867" i="2"/>
  <c r="Y2870" i="2"/>
  <c r="AB2918" i="2"/>
  <c r="AK2918" i="2" s="1"/>
  <c r="Y2918" i="2"/>
  <c r="AB2926" i="2"/>
  <c r="AK2926" i="2" s="1"/>
  <c r="Y2926" i="2"/>
  <c r="Y3343" i="2"/>
  <c r="Y3335" i="2"/>
  <c r="AB3547" i="2"/>
  <c r="AK3547" i="2" s="1"/>
  <c r="Y3462" i="2"/>
  <c r="Y3390" i="2"/>
  <c r="Y3378" i="2"/>
  <c r="AB2843" i="2"/>
  <c r="AK2843" i="2" s="1"/>
  <c r="Y3049" i="2"/>
  <c r="AK3049" i="2"/>
  <c r="AB3075" i="2"/>
  <c r="AK3075" i="2" s="1"/>
  <c r="Y3075" i="2"/>
  <c r="AK4345" i="2"/>
  <c r="Y4345" i="2"/>
  <c r="AK4377" i="2"/>
  <c r="Y4377" i="2"/>
  <c r="AK5055" i="2"/>
  <c r="AF5038" i="2"/>
  <c r="Y5038" i="2"/>
  <c r="AF5047" i="2"/>
  <c r="Y5047" i="2"/>
  <c r="Y2899" i="2"/>
  <c r="Y2980" i="2"/>
  <c r="Y3180" i="2"/>
  <c r="AB3180" i="2"/>
  <c r="AK3180" i="2" s="1"/>
  <c r="AB4218" i="2"/>
  <c r="AK4218" i="2" s="1"/>
  <c r="AH3356" i="2"/>
  <c r="Y3356" i="2"/>
  <c r="AH3364" i="2"/>
  <c r="Y3364" i="2"/>
  <c r="Y3129" i="2"/>
  <c r="AB3129" i="2"/>
  <c r="AK3129" i="2" s="1"/>
  <c r="Y3449" i="2"/>
  <c r="Y3481" i="2"/>
  <c r="Y3513" i="2"/>
  <c r="AK3558" i="2"/>
  <c r="Y3582" i="2"/>
  <c r="Y2818" i="2"/>
  <c r="Y2826" i="2"/>
  <c r="Y2842" i="2"/>
  <c r="Y2851" i="2"/>
  <c r="Y2949" i="2"/>
  <c r="AB5861" i="2"/>
  <c r="AK5861" i="2" s="1"/>
  <c r="AB5602" i="2"/>
  <c r="AK5602" i="2" s="1"/>
  <c r="AB5853" i="2"/>
  <c r="AK5853" i="2" s="1"/>
  <c r="Y5821" i="2"/>
  <c r="AB5541" i="2"/>
  <c r="AK5541" i="2" s="1"/>
  <c r="AB5962" i="2"/>
  <c r="AK5962" i="2" s="1"/>
  <c r="AB5946" i="2"/>
  <c r="AK5946" i="2" s="1"/>
  <c r="AC5573" i="2"/>
  <c r="AB5517" i="2"/>
  <c r="AK5517" i="2" s="1"/>
  <c r="AK5777" i="2"/>
  <c r="Y5738" i="2"/>
  <c r="AB5650" i="2"/>
  <c r="AK5650" i="2" s="1"/>
  <c r="Y5634" i="2"/>
  <c r="Y3452" i="2"/>
  <c r="Y3468" i="2"/>
  <c r="R157" i="3"/>
  <c r="T157" i="3" s="1"/>
  <c r="U157" i="3" s="1"/>
  <c r="V157" i="3" s="1"/>
  <c r="AB5666" i="2"/>
  <c r="AK5666" i="2" s="1"/>
  <c r="R150" i="3"/>
  <c r="T150" i="3" s="1"/>
  <c r="U150" i="3" s="1"/>
  <c r="V150" i="3" s="1"/>
  <c r="R158" i="3"/>
  <c r="T158" i="3" s="1"/>
  <c r="U158" i="3" s="1"/>
  <c r="V158" i="3" s="1"/>
  <c r="AB6892" i="2"/>
  <c r="AK6892" i="2" s="1"/>
  <c r="AC5738" i="2"/>
  <c r="AK5485" i="2"/>
  <c r="AC5485" i="2"/>
  <c r="AK5549" i="2"/>
  <c r="AC5565" i="2"/>
  <c r="Y5565" i="2"/>
  <c r="AC5618" i="2"/>
  <c r="AB5618" i="2"/>
  <c r="AK5618" i="2" s="1"/>
  <c r="AC5642" i="2"/>
  <c r="Y5642" i="2"/>
  <c r="AK5658" i="2"/>
  <c r="AC5658" i="2"/>
  <c r="Y5658" i="2"/>
  <c r="AC5674" i="2"/>
  <c r="AB5674" i="2"/>
  <c r="AK5674" i="2" s="1"/>
  <c r="AC5714" i="2"/>
  <c r="AK5714" i="2"/>
  <c r="AC5722" i="2"/>
  <c r="AB5722" i="2"/>
  <c r="AK5722" i="2" s="1"/>
  <c r="AC5730" i="2"/>
  <c r="AK5730" i="2"/>
  <c r="AC5762" i="2"/>
  <c r="Y5762" i="2"/>
  <c r="Y5017" i="2"/>
  <c r="Y6474" i="2"/>
  <c r="AB6423" i="2"/>
  <c r="AK6423" i="2" s="1"/>
  <c r="AF5373" i="2"/>
  <c r="AF5458" i="2"/>
  <c r="AF5471" i="2"/>
  <c r="Y5482" i="2"/>
  <c r="AF5530" i="2"/>
  <c r="AK1978" i="2"/>
  <c r="Y329" i="2"/>
  <c r="AF615" i="2"/>
  <c r="Y615" i="2"/>
  <c r="AF623" i="2"/>
  <c r="Y623" i="2"/>
  <c r="Y5" i="2"/>
  <c r="AB5" i="2"/>
  <c r="Y13" i="2"/>
  <c r="AB13" i="2"/>
  <c r="AK13" i="2" s="1"/>
  <c r="AF317" i="2"/>
  <c r="Y317" i="2"/>
  <c r="AK340" i="2"/>
  <c r="Y340" i="2"/>
  <c r="Y354" i="2"/>
  <c r="AK356" i="2"/>
  <c r="Y356" i="2"/>
  <c r="Y526" i="2"/>
  <c r="AK653" i="2"/>
  <c r="Y653" i="2"/>
  <c r="Y262" i="2"/>
  <c r="AB262" i="2"/>
  <c r="AK262" i="2" s="1"/>
  <c r="AB364" i="2"/>
  <c r="AK364" i="2" s="1"/>
  <c r="Y364" i="2"/>
  <c r="AB374" i="2"/>
  <c r="AK374" i="2" s="1"/>
  <c r="Y374" i="2"/>
  <c r="AB398" i="2"/>
  <c r="AK398" i="2" s="1"/>
  <c r="Y398" i="2"/>
  <c r="AB534" i="2"/>
  <c r="AK534" i="2" s="1"/>
  <c r="Y534" i="2"/>
  <c r="AB546" i="2"/>
  <c r="AK546" i="2" s="1"/>
  <c r="Y546" i="2"/>
  <c r="AB55" i="2"/>
  <c r="AK55" i="2" s="1"/>
  <c r="Y55" i="2"/>
  <c r="AF76" i="2"/>
  <c r="Y76" i="2"/>
  <c r="AF116" i="2"/>
  <c r="Y116" i="2"/>
  <c r="AB152" i="2"/>
  <c r="AK152" i="2" s="1"/>
  <c r="Y152" i="2"/>
  <c r="AB158" i="2"/>
  <c r="AK158" i="2" s="1"/>
  <c r="Y158" i="2"/>
  <c r="Y160" i="2"/>
  <c r="AK227" i="2"/>
  <c r="Y227" i="2"/>
  <c r="Y235" i="2"/>
  <c r="Y254" i="2"/>
  <c r="Y302" i="2"/>
  <c r="AC86" i="2"/>
  <c r="AB86" i="2"/>
  <c r="AK86" i="2" s="1"/>
  <c r="R26" i="3"/>
  <c r="T26" i="3" s="1"/>
  <c r="U26" i="3" s="1"/>
  <c r="V26" i="3" s="1"/>
  <c r="AB168" i="2"/>
  <c r="AK168" i="2" s="1"/>
  <c r="AB184" i="2"/>
  <c r="AK184" i="2" s="1"/>
  <c r="Y184" i="2"/>
  <c r="Y97" i="2"/>
  <c r="AB97" i="2"/>
  <c r="AK97" i="2" s="1"/>
  <c r="AB438" i="2"/>
  <c r="AK438" i="2" s="1"/>
  <c r="Y438" i="2"/>
  <c r="AB446" i="2"/>
  <c r="AK446" i="2" s="1"/>
  <c r="Y446" i="2"/>
  <c r="Y458" i="2"/>
  <c r="AB458" i="2"/>
  <c r="AK458" i="2" s="1"/>
  <c r="Y484" i="2"/>
  <c r="AB484" i="2"/>
  <c r="AK484" i="2" s="1"/>
  <c r="AB125" i="2"/>
  <c r="AK125" i="2" s="1"/>
  <c r="Y125" i="2"/>
  <c r="AF371" i="2"/>
  <c r="Y371" i="2"/>
  <c r="Y281" i="2"/>
  <c r="Y386" i="2"/>
  <c r="Y2361" i="2"/>
  <c r="Y733" i="2"/>
  <c r="Y707" i="2"/>
  <c r="Y1032" i="2"/>
  <c r="Y1024" i="2"/>
  <c r="Y560" i="2"/>
  <c r="Y512" i="2"/>
  <c r="Y476" i="2"/>
  <c r="Y468" i="2"/>
  <c r="Y420" i="2"/>
  <c r="Y895" i="2"/>
  <c r="Y344" i="2"/>
  <c r="Y133" i="2"/>
  <c r="AB4265" i="2"/>
  <c r="AK4265" i="2" s="1"/>
  <c r="R71" i="3"/>
  <c r="T71" i="3" s="1"/>
  <c r="U71" i="3" s="1"/>
  <c r="V71" i="3" s="1"/>
  <c r="AB2912" i="2"/>
  <c r="AK2912" i="2" s="1"/>
  <c r="AB3254" i="2"/>
  <c r="AK3254" i="2" s="1"/>
  <c r="AB3238" i="2"/>
  <c r="AK3238" i="2" s="1"/>
  <c r="AB3230" i="2"/>
  <c r="AB3220" i="2"/>
  <c r="AK3220" i="2" s="1"/>
  <c r="AB4083" i="2"/>
  <c r="AK4083" i="2" s="1"/>
  <c r="Y4043" i="2"/>
  <c r="AB4011" i="2"/>
  <c r="AK4011" i="2" s="1"/>
  <c r="AB3907" i="2"/>
  <c r="AK3907" i="2" s="1"/>
  <c r="AB3835" i="2"/>
  <c r="AK3835" i="2" s="1"/>
  <c r="Y3798" i="2"/>
  <c r="AB3758" i="2"/>
  <c r="AK3758" i="2" s="1"/>
  <c r="AB3726" i="2"/>
  <c r="AK3726" i="2" s="1"/>
  <c r="AB3646" i="2"/>
  <c r="AK3646" i="2" s="1"/>
  <c r="AK3694" i="2"/>
  <c r="Y3694" i="2"/>
  <c r="AK4101" i="2"/>
  <c r="Y3242" i="2"/>
  <c r="Y3822" i="2"/>
  <c r="AK3750" i="2"/>
  <c r="Y3710" i="2"/>
  <c r="Y3670" i="2"/>
  <c r="AB6740" i="2"/>
  <c r="AK6740" i="2" s="1"/>
  <c r="AB3250" i="2"/>
  <c r="AK3250" i="2" s="1"/>
  <c r="Y3234" i="2"/>
  <c r="Y3226" i="2"/>
  <c r="Y3851" i="2"/>
  <c r="Y3782" i="2"/>
  <c r="Y2811" i="2"/>
  <c r="Y2846" i="2"/>
  <c r="Y2891" i="2"/>
  <c r="Y2902" i="2"/>
  <c r="Y2910" i="2"/>
  <c r="Y3248" i="2"/>
  <c r="Y3240" i="2"/>
  <c r="Y3224" i="2"/>
  <c r="AB3891" i="2"/>
  <c r="AK3891" i="2" s="1"/>
  <c r="Y3814" i="2"/>
  <c r="Y3742" i="2"/>
  <c r="Y3702" i="2"/>
  <c r="Y3662" i="2"/>
  <c r="Y2808" i="2"/>
  <c r="Y2840" i="2"/>
  <c r="Y2848" i="2"/>
  <c r="Y3232" i="2"/>
  <c r="Y3222" i="2"/>
  <c r="Y3774" i="2"/>
  <c r="Y3654" i="2"/>
  <c r="Y3246" i="2"/>
  <c r="Y3238" i="2"/>
  <c r="Y3806" i="2"/>
  <c r="Y3734" i="2"/>
  <c r="Y3686" i="2"/>
  <c r="Y2784" i="2"/>
  <c r="AF2824" i="2"/>
  <c r="AB2882" i="2"/>
  <c r="AK2882" i="2" s="1"/>
  <c r="Y2882" i="2"/>
  <c r="Y2762" i="2"/>
  <c r="Y3342" i="2"/>
  <c r="AK3230" i="2"/>
  <c r="AB3979" i="2"/>
  <c r="AK3979" i="2" s="1"/>
  <c r="Y3875" i="2"/>
  <c r="Y3766" i="2"/>
  <c r="Y2791" i="2"/>
  <c r="Y2799" i="2"/>
  <c r="AF5334" i="2"/>
  <c r="AF5479" i="2"/>
  <c r="AF5559" i="2"/>
  <c r="AF5604" i="2"/>
  <c r="AF5612" i="2"/>
  <c r="AF5620" i="2"/>
  <c r="AF5628" i="2"/>
  <c r="AF5636" i="2"/>
  <c r="Y3011" i="2"/>
  <c r="Y6677" i="2"/>
  <c r="AK5662" i="2"/>
  <c r="AK5972" i="2"/>
  <c r="Y2895" i="2"/>
  <c r="Y2903" i="2"/>
  <c r="Y2911" i="2"/>
  <c r="Y2919" i="2"/>
  <c r="Y2927" i="2"/>
  <c r="Y2935" i="2"/>
  <c r="Y2943" i="2"/>
  <c r="Y2954" i="2"/>
  <c r="Y2962" i="2"/>
  <c r="Y2970" i="2"/>
  <c r="AB6677" i="2"/>
  <c r="AK6677" i="2" s="1"/>
  <c r="Y2894" i="2"/>
  <c r="Y2905" i="2"/>
  <c r="Y2986" i="2"/>
  <c r="Y3010" i="2"/>
  <c r="Y3579" i="2"/>
  <c r="Y3622" i="2"/>
  <c r="AC5359" i="2"/>
  <c r="Y5372" i="2"/>
  <c r="AK6743" i="2"/>
  <c r="AK5771" i="2"/>
  <c r="AK5964" i="2"/>
  <c r="Y2950" i="2"/>
  <c r="AB5362" i="2"/>
  <c r="AK5362" i="2" s="1"/>
  <c r="Y5431" i="2"/>
  <c r="AK6569" i="2"/>
  <c r="AB5357" i="2"/>
  <c r="AK5357" i="2" s="1"/>
  <c r="AB5361" i="2"/>
  <c r="AK5361" i="2" s="1"/>
  <c r="Y225" i="2"/>
  <c r="AK360" i="2"/>
  <c r="Y436" i="2"/>
  <c r="Y21" i="2"/>
  <c r="Y65" i="2"/>
  <c r="AB80" i="2"/>
  <c r="AK80" i="2" s="1"/>
  <c r="Y380" i="2"/>
  <c r="AK392" i="2"/>
  <c r="Y392" i="2"/>
  <c r="Y454" i="2"/>
  <c r="AF315" i="2"/>
  <c r="Y315" i="2"/>
  <c r="AK327" i="2"/>
  <c r="Y174" i="2"/>
  <c r="Y325" i="2"/>
  <c r="AB331" i="2"/>
  <c r="AK331" i="2" s="1"/>
  <c r="Y331" i="2"/>
  <c r="Y346" i="2"/>
  <c r="Y129" i="2"/>
  <c r="AB129" i="2"/>
  <c r="AK129" i="2" s="1"/>
  <c r="AK430" i="2"/>
  <c r="AB3365" i="2"/>
  <c r="AK3365" i="2" s="1"/>
  <c r="Y311" i="2"/>
  <c r="Y313" i="2"/>
  <c r="Y466" i="2"/>
  <c r="Y500" i="2"/>
  <c r="Y504" i="2"/>
  <c r="Y510" i="2"/>
  <c r="AB2061" i="2"/>
  <c r="AK2061" i="2" s="1"/>
  <c r="Y2061" i="2"/>
  <c r="Y2758" i="2"/>
  <c r="AB2758" i="2"/>
  <c r="AK3307" i="2"/>
  <c r="Y115" i="2"/>
  <c r="Y117" i="2"/>
  <c r="Y121" i="2"/>
  <c r="Y406" i="2"/>
  <c r="Y412" i="2"/>
  <c r="Y450" i="2"/>
  <c r="Y542" i="2"/>
  <c r="Y544" i="2"/>
  <c r="AC2757" i="2"/>
  <c r="Y2757" i="2"/>
  <c r="Y2883" i="2"/>
  <c r="Y2886" i="2"/>
  <c r="Y3392" i="2"/>
  <c r="AB2986" i="2"/>
  <c r="AK2986" i="2" s="1"/>
  <c r="Y2798" i="2"/>
  <c r="AB3125" i="2"/>
  <c r="AK3125" i="2" s="1"/>
  <c r="AB3034" i="2"/>
  <c r="AK3034" i="2" s="1"/>
  <c r="AB3127" i="2"/>
  <c r="AK3127" i="2" s="1"/>
  <c r="Y2843" i="2"/>
  <c r="AK2894" i="2"/>
  <c r="Y2916" i="2"/>
  <c r="Y2940" i="2"/>
  <c r="Y2959" i="2"/>
  <c r="Y2967" i="2"/>
  <c r="Y2786" i="2"/>
  <c r="Y2773" i="2"/>
  <c r="Y2835" i="2"/>
  <c r="Y2795" i="2"/>
  <c r="Y2803" i="2"/>
  <c r="Y2819" i="2"/>
  <c r="AB3418" i="2"/>
  <c r="AK3418" i="2" s="1"/>
  <c r="AK2773" i="2"/>
  <c r="AB2799" i="2"/>
  <c r="AK2799" i="2" s="1"/>
  <c r="Y2897" i="2"/>
  <c r="Y2875" i="2"/>
  <c r="AK2819" i="2"/>
  <c r="Y2822" i="2"/>
  <c r="Y2760" i="2"/>
  <c r="R85" i="3"/>
  <c r="T85" i="3" s="1"/>
  <c r="U85" i="3" s="1"/>
  <c r="V85" i="3" s="1"/>
  <c r="AB2769" i="2"/>
  <c r="AK2769" i="2" s="1"/>
  <c r="Y3386" i="2"/>
  <c r="AB3188" i="2"/>
  <c r="AK3188" i="2" s="1"/>
  <c r="AB2940" i="2"/>
  <c r="AK2940" i="2" s="1"/>
  <c r="Y2814" i="2"/>
  <c r="AB2967" i="2"/>
  <c r="AK2967" i="2" s="1"/>
  <c r="Y3418" i="2"/>
  <c r="AC5343" i="2"/>
  <c r="AC5363" i="2"/>
  <c r="R154" i="3"/>
  <c r="T154" i="3" s="1"/>
  <c r="U154" i="3" s="1"/>
  <c r="V154" i="3" s="1"/>
  <c r="Y3707" i="2"/>
  <c r="Y3718" i="2"/>
  <c r="AC5334" i="2"/>
  <c r="AC5345" i="2"/>
  <c r="R159" i="3"/>
  <c r="T159" i="3" s="1"/>
  <c r="U159" i="3" s="1"/>
  <c r="V159" i="3" s="1"/>
  <c r="AK5599" i="2"/>
  <c r="AF3680" i="2"/>
  <c r="Y5347" i="2"/>
  <c r="Y5358" i="2"/>
  <c r="AB5372" i="2"/>
  <c r="AK5372" i="2" s="1"/>
  <c r="R148" i="3"/>
  <c r="T148" i="3" s="1"/>
  <c r="U148" i="3" s="1"/>
  <c r="V148" i="3" s="1"/>
  <c r="AK6835" i="2"/>
  <c r="AK5718" i="2"/>
  <c r="AK5977" i="2"/>
  <c r="AK5596" i="2"/>
  <c r="Y2913" i="2"/>
  <c r="AF2916" i="2"/>
  <c r="Y2929" i="2"/>
  <c r="Y2937" i="2"/>
  <c r="Y2945" i="2"/>
  <c r="Y2956" i="2"/>
  <c r="Y2964" i="2"/>
  <c r="Y2975" i="2"/>
  <c r="Y2994" i="2"/>
  <c r="Y3002" i="2"/>
  <c r="Y3005" i="2"/>
  <c r="Y3013" i="2"/>
  <c r="Y3550" i="2"/>
  <c r="Y3569" i="2"/>
  <c r="AC5347" i="2"/>
  <c r="Y5351" i="2"/>
  <c r="AC5358" i="2"/>
  <c r="AK6766" i="2"/>
  <c r="Y3486" i="2"/>
  <c r="AK2014" i="2"/>
  <c r="AK390" i="2"/>
  <c r="AK1982" i="2"/>
  <c r="AK2049" i="2"/>
  <c r="AK422" i="2"/>
  <c r="Y277" i="2"/>
  <c r="Y237" i="2"/>
  <c r="Y23" i="2"/>
  <c r="AK542" i="2"/>
  <c r="AK510" i="2"/>
  <c r="AK450" i="2"/>
  <c r="AB388" i="2"/>
  <c r="AK388" i="2" s="1"/>
  <c r="Y327" i="2"/>
  <c r="Y243" i="2"/>
  <c r="AF281" i="2"/>
  <c r="AF418" i="2"/>
  <c r="AB29" i="2"/>
  <c r="AK29" i="2" s="1"/>
  <c r="Y103" i="2"/>
  <c r="Y540" i="2"/>
  <c r="Y508" i="2"/>
  <c r="Y448" i="2"/>
  <c r="Y422" i="2"/>
  <c r="Y256" i="2"/>
  <c r="Y186" i="2"/>
  <c r="AB121" i="2"/>
  <c r="AK121" i="2" s="1"/>
  <c r="AK76" i="2"/>
  <c r="Y131" i="2"/>
  <c r="Y250" i="2"/>
  <c r="Y352" i="2"/>
  <c r="Y178" i="2"/>
  <c r="Y74" i="2"/>
  <c r="Y384" i="2"/>
  <c r="AB133" i="2"/>
  <c r="AK133" i="2" s="1"/>
  <c r="AK117" i="2"/>
  <c r="Y72" i="2"/>
  <c r="R84" i="3"/>
  <c r="T84" i="3" s="1"/>
  <c r="U84" i="3" s="1"/>
  <c r="V84" i="3" s="1"/>
  <c r="AB4356" i="2"/>
  <c r="AK4356" i="2" s="1"/>
  <c r="AB4263" i="2"/>
  <c r="AK4263" i="2" s="1"/>
  <c r="R83" i="3"/>
  <c r="T83" i="3" s="1"/>
  <c r="U83" i="3" s="1"/>
  <c r="V83" i="3" s="1"/>
  <c r="AB4828" i="2"/>
  <c r="AK4828" i="2" s="1"/>
  <c r="AK3323" i="2"/>
  <c r="AK3318" i="2"/>
  <c r="AK2758" i="2"/>
  <c r="AC2762" i="2"/>
  <c r="AB2364" i="2"/>
  <c r="AK2364" i="2" s="1"/>
  <c r="AB2762" i="2"/>
  <c r="AK2762" i="2" s="1"/>
  <c r="AB3311" i="2"/>
  <c r="AK3311" i="2" s="1"/>
  <c r="AK4813" i="2"/>
  <c r="Y2782" i="2"/>
  <c r="AK2803" i="2"/>
  <c r="AK2810" i="2"/>
  <c r="Y2364" i="2"/>
  <c r="AK2361" i="2"/>
  <c r="AB2778" i="2"/>
  <c r="AK2778" i="2" s="1"/>
  <c r="Y2778" i="2"/>
  <c r="Y2783" i="2"/>
  <c r="AB2783" i="2"/>
  <c r="AK2783" i="2" s="1"/>
  <c r="AB2788" i="2"/>
  <c r="AK2788" i="2" s="1"/>
  <c r="Y2788" i="2"/>
  <c r="AB2790" i="2"/>
  <c r="AK2790" i="2" s="1"/>
  <c r="Y2790" i="2"/>
  <c r="Y2849" i="2"/>
  <c r="AB2849" i="2"/>
  <c r="AK2849" i="2" s="1"/>
  <c r="AB2864" i="2"/>
  <c r="AK2864" i="2" s="1"/>
  <c r="Y2864" i="2"/>
  <c r="AK2924" i="2"/>
  <c r="AK3378" i="2"/>
  <c r="AK2780" i="2"/>
  <c r="AK2765" i="2"/>
  <c r="AB2781" i="2"/>
  <c r="AK2781" i="2" s="1"/>
  <c r="AB2827" i="2"/>
  <c r="AK2827" i="2" s="1"/>
  <c r="Y2827" i="2"/>
  <c r="AB2861" i="2"/>
  <c r="AK2861" i="2" s="1"/>
  <c r="AK3333" i="2"/>
  <c r="AB2816" i="2"/>
  <c r="AK2816" i="2" s="1"/>
  <c r="AB2832" i="2"/>
  <c r="AK2832" i="2" s="1"/>
  <c r="Y2832" i="2"/>
  <c r="AB2852" i="2"/>
  <c r="AK2852" i="2" s="1"/>
  <c r="Y2852" i="2"/>
  <c r="AK2798" i="2"/>
  <c r="AK2771" i="2"/>
  <c r="AB2821" i="2"/>
  <c r="AK2821" i="2" s="1"/>
  <c r="AB2860" i="2"/>
  <c r="AK2860" i="2" s="1"/>
  <c r="Y2860" i="2"/>
  <c r="Y2953" i="2"/>
  <c r="AK3081" i="2"/>
  <c r="Y3081" i="2"/>
  <c r="Y2869" i="2"/>
  <c r="AK2934" i="2"/>
  <c r="AB2983" i="2"/>
  <c r="AK2983" i="2" s="1"/>
  <c r="Y2983" i="2"/>
  <c r="AB3020" i="2"/>
  <c r="AK3020" i="2" s="1"/>
  <c r="Y3020" i="2"/>
  <c r="AB3022" i="2"/>
  <c r="AK3022" i="2" s="1"/>
  <c r="Y3030" i="2"/>
  <c r="AK3030" i="2"/>
  <c r="Y3032" i="2"/>
  <c r="AB3032" i="2"/>
  <c r="AK3032" i="2" s="1"/>
  <c r="AB3739" i="2"/>
  <c r="AK3739" i="2" s="1"/>
  <c r="Y3739" i="2"/>
  <c r="Y2863" i="2"/>
  <c r="Y2877" i="2"/>
  <c r="Y2885" i="2"/>
  <c r="Y2958" i="2"/>
  <c r="Y2988" i="2"/>
  <c r="AB2996" i="2"/>
  <c r="AK2996" i="2" s="1"/>
  <c r="AK3166" i="2"/>
  <c r="Y3166" i="2"/>
  <c r="AB3174" i="2"/>
  <c r="AK3174" i="2" s="1"/>
  <c r="Y2890" i="2"/>
  <c r="AB2959" i="2"/>
  <c r="AK2959" i="2" s="1"/>
  <c r="AB2953" i="2"/>
  <c r="AK2953" i="2" s="1"/>
  <c r="AK2823" i="2"/>
  <c r="Y2823" i="2"/>
  <c r="Y2924" i="2"/>
  <c r="AK3047" i="2"/>
  <c r="Y3047" i="2"/>
  <c r="AB3055" i="2"/>
  <c r="AK3055" i="2" s="1"/>
  <c r="Y3113" i="2"/>
  <c r="AB3113" i="2"/>
  <c r="AK3113" i="2" s="1"/>
  <c r="AB3598" i="2"/>
  <c r="AK3598" i="2" s="1"/>
  <c r="Y3598" i="2"/>
  <c r="AB2910" i="2"/>
  <c r="AK2910" i="2" s="1"/>
  <c r="Y2874" i="2"/>
  <c r="AB3144" i="2"/>
  <c r="AK3144" i="2" s="1"/>
  <c r="Y3144" i="2"/>
  <c r="AB2878" i="2"/>
  <c r="AK2878" i="2" s="1"/>
  <c r="Y2878" i="2"/>
  <c r="AB2900" i="2"/>
  <c r="AK2900" i="2" s="1"/>
  <c r="Y2900" i="2"/>
  <c r="Y2908" i="2"/>
  <c r="AB2908" i="2"/>
  <c r="AK2908" i="2" s="1"/>
  <c r="Y2932" i="2"/>
  <c r="AB2997" i="2"/>
  <c r="AK2997" i="2" s="1"/>
  <c r="Y2997" i="2"/>
  <c r="AB3071" i="2"/>
  <c r="AK3071" i="2" s="1"/>
  <c r="Y3071" i="2"/>
  <c r="AB3073" i="2"/>
  <c r="AK3073" i="2" s="1"/>
  <c r="Y3073" i="2"/>
  <c r="Y3119" i="2"/>
  <c r="AB3119" i="2"/>
  <c r="AK3119" i="2" s="1"/>
  <c r="Y5337" i="2"/>
  <c r="Y1677" i="2"/>
  <c r="Y5334" i="2"/>
  <c r="Y5349" i="2"/>
  <c r="AC5342" i="2"/>
  <c r="AB5352" i="2"/>
  <c r="AK5352" i="2" s="1"/>
  <c r="AC5337" i="2"/>
  <c r="AK5654" i="2"/>
  <c r="AF5796" i="2"/>
  <c r="AC5594" i="2"/>
  <c r="AK5598" i="2"/>
  <c r="AF5489" i="2"/>
  <c r="AF5513" i="2"/>
  <c r="AF5540" i="2"/>
  <c r="AF5548" i="2"/>
  <c r="AF5556" i="2"/>
  <c r="AF5478" i="2"/>
  <c r="AF5657" i="2"/>
  <c r="AF5716" i="2"/>
  <c r="Y2789" i="2"/>
  <c r="Y2805" i="2"/>
  <c r="AB2805" i="2"/>
  <c r="AK2805" i="2" s="1"/>
  <c r="Y2821" i="2"/>
  <c r="Y2845" i="2"/>
  <c r="AF2861" i="2"/>
  <c r="Y2866" i="2"/>
  <c r="AF2956" i="2"/>
  <c r="AK2988" i="2"/>
  <c r="AB3015" i="2"/>
  <c r="AK3015" i="2" s="1"/>
  <c r="Y3015" i="2"/>
  <c r="Y2766" i="2"/>
  <c r="AB2766" i="2"/>
  <c r="AK2766" i="2" s="1"/>
  <c r="AF2942" i="2"/>
  <c r="AF2950" i="2"/>
  <c r="AF2983" i="2"/>
  <c r="AF2999" i="2"/>
  <c r="Y2824" i="2"/>
  <c r="AB2842" i="2"/>
  <c r="AK2842" i="2" s="1"/>
  <c r="Y2855" i="2"/>
  <c r="Y2776" i="2"/>
  <c r="AB2885" i="2"/>
  <c r="AK2885" i="2" s="1"/>
  <c r="AF2789" i="2"/>
  <c r="Y2794" i="2"/>
  <c r="AF2797" i="2"/>
  <c r="Y2802" i="2"/>
  <c r="AB2807" i="2"/>
  <c r="AK2807" i="2" s="1"/>
  <c r="AB2857" i="2"/>
  <c r="AK2857" i="2" s="1"/>
  <c r="Y2857" i="2"/>
  <c r="AF2899" i="2"/>
  <c r="AF2907" i="2"/>
  <c r="AF2915" i="2"/>
  <c r="AK2941" i="2"/>
  <c r="Y2829" i="2"/>
  <c r="Y2880" i="2"/>
  <c r="Y2816" i="2"/>
  <c r="Y2792" i="2"/>
  <c r="AK2942" i="2"/>
  <c r="Y2807" i="2"/>
  <c r="AK2822" i="2"/>
  <c r="AK2855" i="2"/>
  <c r="Y2768" i="2"/>
  <c r="AB2877" i="2"/>
  <c r="AK2877" i="2" s="1"/>
  <c r="Y2777" i="2"/>
  <c r="AK2804" i="2"/>
  <c r="AB2828" i="2"/>
  <c r="AK2828" i="2" s="1"/>
  <c r="Y2828" i="2"/>
  <c r="AF2842" i="2"/>
  <c r="Y2847" i="2"/>
  <c r="AF2851" i="2"/>
  <c r="Y3004" i="2"/>
  <c r="Y2868" i="2"/>
  <c r="Y2804" i="2"/>
  <c r="Y2787" i="2"/>
  <c r="AB2818" i="2"/>
  <c r="AK2818" i="2" s="1"/>
  <c r="Y2999" i="2"/>
  <c r="AK2847" i="2"/>
  <c r="AB2845" i="2"/>
  <c r="AK2845" i="2" s="1"/>
  <c r="AK2777" i="2"/>
  <c r="AB3115" i="2"/>
  <c r="AK3115" i="2" s="1"/>
  <c r="AB2826" i="2"/>
  <c r="AK2826" i="2" s="1"/>
  <c r="Y2771" i="2"/>
  <c r="AK2794" i="2"/>
  <c r="Y2813" i="2"/>
  <c r="AB2806" i="2"/>
  <c r="AK2806" i="2" s="1"/>
  <c r="Y2806" i="2"/>
  <c r="AB2879" i="2"/>
  <c r="AK2879" i="2" s="1"/>
  <c r="AB2853" i="2"/>
  <c r="AK2853" i="2" s="1"/>
  <c r="AB2851" i="2"/>
  <c r="AK2851" i="2" s="1"/>
  <c r="AK2814" i="2"/>
  <c r="Y2834" i="2"/>
  <c r="AK2813" i="2"/>
  <c r="AK2899" i="2"/>
  <c r="AK3232" i="2"/>
  <c r="AK2768" i="2"/>
  <c r="AB2858" i="2"/>
  <c r="AK2858" i="2" s="1"/>
  <c r="Y2858" i="2"/>
  <c r="AK3018" i="2"/>
  <c r="AF3435" i="2"/>
  <c r="AB2949" i="2"/>
  <c r="AK2949" i="2" s="1"/>
  <c r="AB2989" i="2"/>
  <c r="AK2989" i="2" s="1"/>
  <c r="AF3470" i="2"/>
  <c r="AF3561" i="2"/>
  <c r="AK1677" i="2"/>
  <c r="AF3432" i="2"/>
  <c r="AF3459" i="2"/>
  <c r="AF3467" i="2"/>
  <c r="AF3494" i="2"/>
  <c r="AF3502" i="2"/>
  <c r="AF3510" i="2"/>
  <c r="AB5337" i="2"/>
  <c r="AK5337" i="2" s="1"/>
  <c r="AB5371" i="2"/>
  <c r="AK5371" i="2" s="1"/>
  <c r="Y5356" i="2"/>
  <c r="Y2841" i="2"/>
  <c r="Y2859" i="2"/>
  <c r="Y2930" i="2"/>
  <c r="AF3835" i="2"/>
  <c r="Y5355" i="2"/>
  <c r="Y5363" i="2"/>
  <c r="Y5044" i="2"/>
  <c r="AK5359" i="2"/>
  <c r="Y5369" i="2"/>
  <c r="AB6777" i="2"/>
  <c r="AK6777" i="2" s="1"/>
  <c r="AB7276" i="2"/>
  <c r="AK7276" i="2" s="1"/>
  <c r="R161" i="3"/>
  <c r="T161" i="3" s="1"/>
  <c r="U161" i="3" s="1"/>
  <c r="V161" i="3" s="1"/>
  <c r="AK2839" i="2"/>
  <c r="AF5361" i="2"/>
  <c r="Y5361" i="2"/>
  <c r="Y5371" i="2"/>
  <c r="AB6790" i="2"/>
  <c r="AK6790" i="2" s="1"/>
  <c r="AF2817" i="2"/>
  <c r="Y2861" i="2"/>
  <c r="AF3341" i="2"/>
  <c r="AB4952" i="2"/>
  <c r="AK4952" i="2" s="1"/>
  <c r="AB5338" i="2"/>
  <c r="AK5338" i="2" s="1"/>
  <c r="AC5338" i="2"/>
  <c r="AC5350" i="2"/>
  <c r="AB5350" i="2"/>
  <c r="AK5350" i="2" s="1"/>
  <c r="AC5360" i="2"/>
  <c r="AK5366" i="2"/>
  <c r="AB5369" i="2"/>
  <c r="AK5369" i="2" s="1"/>
  <c r="AC5339" i="2"/>
  <c r="Y5339" i="2"/>
  <c r="Y5350" i="2"/>
  <c r="Y5362" i="2"/>
  <c r="AK5368" i="2"/>
  <c r="R138" i="3"/>
  <c r="T138" i="3" s="1"/>
  <c r="U138" i="3" s="1"/>
  <c r="V138" i="3" s="1"/>
  <c r="AB7274" i="2"/>
  <c r="AK7274" i="2" s="1"/>
  <c r="AK5367" i="2"/>
  <c r="AK6817" i="2"/>
  <c r="AK6753" i="2"/>
  <c r="AK6750" i="2"/>
  <c r="AK6851" i="2"/>
  <c r="AF5490" i="2"/>
  <c r="AF5506" i="2"/>
  <c r="AF5514" i="2"/>
  <c r="AF5522" i="2"/>
  <c r="AF5541" i="2"/>
  <c r="AF5557" i="2"/>
  <c r="AF5560" i="2"/>
  <c r="AF5571" i="2"/>
  <c r="AF5579" i="2"/>
  <c r="AF5587" i="2"/>
  <c r="AF5933" i="2"/>
  <c r="AF5941" i="2"/>
  <c r="AF5949" i="2"/>
  <c r="AF5957" i="2"/>
  <c r="AF5898" i="2"/>
  <c r="AF5906" i="2"/>
  <c r="AK5563" i="2"/>
  <c r="AK5431" i="2"/>
  <c r="AF5680" i="2"/>
  <c r="AF5688" i="2"/>
  <c r="AF5696" i="2"/>
  <c r="AF5704" i="2"/>
  <c r="AF6737" i="2"/>
  <c r="AF6769" i="2"/>
  <c r="AF6777" i="2"/>
  <c r="AF6793" i="2"/>
  <c r="AF6841" i="2"/>
  <c r="R182" i="3"/>
  <c r="T182" i="3" s="1"/>
  <c r="U182" i="3" s="1"/>
  <c r="V182" i="3" s="1"/>
  <c r="AF5379" i="2"/>
  <c r="AF5387" i="2"/>
  <c r="AF5395" i="2"/>
  <c r="AF5411" i="2"/>
  <c r="AF5438" i="2"/>
  <c r="AF5804" i="2"/>
  <c r="AF5844" i="2"/>
  <c r="AF5860" i="2"/>
  <c r="AF5881" i="2"/>
  <c r="AF5889" i="2"/>
  <c r="AF5381" i="2"/>
  <c r="AF5389" i="2"/>
  <c r="AF5397" i="2"/>
  <c r="AF5405" i="2"/>
  <c r="AF5416" i="2"/>
  <c r="AF5435" i="2"/>
  <c r="AF5440" i="2"/>
  <c r="AF5456" i="2"/>
  <c r="AF5464" i="2"/>
  <c r="R180" i="3"/>
  <c r="T180" i="3" s="1"/>
  <c r="U180" i="3" s="1"/>
  <c r="V180" i="3" s="1"/>
  <c r="AF5719" i="2"/>
  <c r="AF5738" i="2"/>
  <c r="AF5746" i="2"/>
  <c r="AF5762" i="2"/>
  <c r="AF5770" i="2"/>
  <c r="AF5974" i="2"/>
  <c r="AF5987" i="2"/>
  <c r="AF5995" i="2"/>
  <c r="AF6003" i="2"/>
  <c r="AF6011" i="2"/>
  <c r="AF6030" i="2"/>
  <c r="AF6046" i="2"/>
  <c r="AF6051" i="2"/>
  <c r="AF6072" i="2"/>
  <c r="AF2728" i="2"/>
  <c r="Y2728" i="2"/>
  <c r="T8" i="3"/>
  <c r="U8" i="3" s="1"/>
  <c r="V8" i="3" s="1"/>
  <c r="R34" i="3"/>
  <c r="T34" i="3" s="1"/>
  <c r="U34" i="3" s="1"/>
  <c r="V34" i="3" s="1"/>
  <c r="AK1958" i="2"/>
  <c r="AK1352" i="2"/>
  <c r="AK1967" i="2"/>
  <c r="AK1990" i="2"/>
  <c r="AK148" i="2"/>
  <c r="AK53" i="2"/>
  <c r="Y53" i="2"/>
  <c r="Y148" i="2"/>
  <c r="AK107" i="2"/>
  <c r="Y150" i="2"/>
  <c r="AB150" i="2"/>
  <c r="AK150" i="2" s="1"/>
  <c r="Y166" i="2"/>
  <c r="AF166" i="2"/>
  <c r="AK65" i="2"/>
  <c r="Y124" i="2"/>
  <c r="Y309" i="2"/>
  <c r="Y305" i="2"/>
  <c r="Y123" i="2"/>
  <c r="AB2126" i="2"/>
  <c r="AK2126" i="2" s="1"/>
  <c r="AB4262" i="2"/>
  <c r="AK4262" i="2" s="1"/>
  <c r="Y2126" i="2"/>
  <c r="AK90" i="2"/>
  <c r="AB3322" i="2"/>
  <c r="AK3322" i="2" s="1"/>
  <c r="AB2060" i="2"/>
  <c r="AK2060" i="2" s="1"/>
  <c r="AB3331" i="2"/>
  <c r="AK3331" i="2" s="1"/>
  <c r="Y2759" i="2"/>
  <c r="AC2759" i="2"/>
  <c r="AB2759" i="2"/>
  <c r="AK2759" i="2" s="1"/>
  <c r="AK2761" i="2"/>
  <c r="Y2761" i="2"/>
  <c r="AB3314" i="2"/>
  <c r="AK3314" i="2" s="1"/>
  <c r="AB1012" i="2"/>
  <c r="AK1012" i="2" s="1"/>
  <c r="R94" i="3"/>
  <c r="T94" i="3" s="1"/>
  <c r="U94" i="3" s="1"/>
  <c r="V94" i="3" s="1"/>
  <c r="AB3310" i="2"/>
  <c r="AK3310" i="2" s="1"/>
  <c r="AB4266" i="2"/>
  <c r="AK4266" i="2" s="1"/>
  <c r="AB2905" i="2"/>
  <c r="AK2905" i="2" s="1"/>
  <c r="AK3324" i="2"/>
  <c r="Y2763" i="2"/>
  <c r="Y2850" i="2"/>
  <c r="AB2797" i="2"/>
  <c r="AK2797" i="2" s="1"/>
  <c r="Y2797" i="2"/>
  <c r="AB2767" i="2"/>
  <c r="AK2767" i="2" s="1"/>
  <c r="AK2763" i="2"/>
  <c r="Y2810" i="2"/>
  <c r="T92" i="3"/>
  <c r="U92" i="3" s="1"/>
  <c r="V92" i="3" s="1"/>
  <c r="AK2815" i="2"/>
  <c r="AK2831" i="2"/>
  <c r="AK2909" i="2"/>
  <c r="AK2925" i="2"/>
  <c r="AK2933" i="2"/>
  <c r="AK2844" i="2"/>
  <c r="AK2850" i="2"/>
  <c r="AF2890" i="2"/>
  <c r="AK2898" i="2"/>
  <c r="AB2906" i="2"/>
  <c r="AK2906" i="2" s="1"/>
  <c r="Y2906" i="2"/>
  <c r="AK2791" i="2"/>
  <c r="AK2830" i="2"/>
  <c r="AF2836" i="2"/>
  <c r="AK2838" i="2"/>
  <c r="Y2838" i="2"/>
  <c r="AK2795" i="2"/>
  <c r="AK2869" i="2"/>
  <c r="Y2781" i="2"/>
  <c r="Y2815" i="2"/>
  <c r="AB2779" i="2"/>
  <c r="AK2779" i="2" s="1"/>
  <c r="Y2925" i="2"/>
  <c r="Y2830" i="2"/>
  <c r="AF2784" i="2"/>
  <c r="AF2814" i="2"/>
  <c r="AF2822" i="2"/>
  <c r="AF2844" i="2"/>
  <c r="AF2854" i="2"/>
  <c r="AF2879" i="2"/>
  <c r="AF2920" i="2"/>
  <c r="AF2928" i="2"/>
  <c r="AF2944" i="2"/>
  <c r="AF2980" i="2"/>
  <c r="AF3429" i="2"/>
  <c r="AF3507" i="2"/>
  <c r="AF3534" i="2"/>
  <c r="AF3558" i="2"/>
  <c r="AF3743" i="2"/>
  <c r="AF3918" i="2"/>
  <c r="AF3942" i="2"/>
  <c r="Y5344" i="2"/>
  <c r="AC5344" i="2"/>
  <c r="AB5344" i="2"/>
  <c r="AK5344" i="2" s="1"/>
  <c r="AB5341" i="2"/>
  <c r="AK5341" i="2" s="1"/>
  <c r="Y5341" i="2"/>
  <c r="AC5341" i="2"/>
  <c r="AB5348" i="2"/>
  <c r="AK5348" i="2" s="1"/>
  <c r="Y5348" i="2"/>
  <c r="AC5348" i="2"/>
  <c r="AB5353" i="2"/>
  <c r="AK5353" i="2" s="1"/>
  <c r="AC5353" i="2"/>
  <c r="Y5353" i="2"/>
  <c r="AB68" i="2"/>
  <c r="AK68" i="2" s="1"/>
  <c r="AF3339" i="2"/>
  <c r="AK5335" i="2"/>
  <c r="Y5335" i="2"/>
  <c r="AC5335" i="2"/>
  <c r="AB5346" i="2"/>
  <c r="AK5346" i="2" s="1"/>
  <c r="AC5346" i="2"/>
  <c r="Y5346" i="2"/>
  <c r="AB5370" i="2"/>
  <c r="AK5370" i="2" s="1"/>
  <c r="Y5370" i="2"/>
  <c r="AC5370" i="2"/>
  <c r="AF2791" i="2"/>
  <c r="AF2799" i="2"/>
  <c r="AF2807" i="2"/>
  <c r="AF2815" i="2"/>
  <c r="AF2823" i="2"/>
  <c r="AF2826" i="2"/>
  <c r="AF2834" i="2"/>
  <c r="AF2845" i="2"/>
  <c r="AF2855" i="2"/>
  <c r="AF2863" i="2"/>
  <c r="AF2872" i="2"/>
  <c r="AF2880" i="2"/>
  <c r="AF2888" i="2"/>
  <c r="AF2902" i="2"/>
  <c r="AF2929" i="2"/>
  <c r="AF2997" i="2"/>
  <c r="AF3008" i="2"/>
  <c r="AF3016" i="2"/>
  <c r="AF3304" i="2"/>
  <c r="AF3311" i="2"/>
  <c r="AF3326" i="2"/>
  <c r="AF3356" i="2"/>
  <c r="AF3449" i="2"/>
  <c r="AB5299" i="2"/>
  <c r="AK5299" i="2" s="1"/>
  <c r="Y5299" i="2"/>
  <c r="AB5340" i="2"/>
  <c r="AK5340" i="2" s="1"/>
  <c r="Y5340" i="2"/>
  <c r="AC5340" i="2"/>
  <c r="AK5364" i="2"/>
  <c r="Y5364" i="2"/>
  <c r="AC5364" i="2"/>
  <c r="AB3407" i="2"/>
  <c r="AK3407" i="2" s="1"/>
  <c r="Y3407" i="2"/>
  <c r="AB3545" i="2"/>
  <c r="AK3545" i="2" s="1"/>
  <c r="Y5338" i="2"/>
  <c r="AF5338" i="2"/>
  <c r="Y3136" i="2"/>
  <c r="Y5345" i="2"/>
  <c r="AK5349" i="2"/>
  <c r="AB5351" i="2"/>
  <c r="AK5351" i="2" s="1"/>
  <c r="AC5355" i="2"/>
  <c r="AK5355" i="2"/>
  <c r="AB5044" i="2"/>
  <c r="AK5044" i="2" s="1"/>
  <c r="AC5365" i="2"/>
  <c r="AC5366" i="2"/>
  <c r="AC5367" i="2"/>
  <c r="AK6812" i="2"/>
  <c r="AB6788" i="2"/>
  <c r="AK6788" i="2" s="1"/>
  <c r="AF5335" i="2"/>
  <c r="AK4983" i="2"/>
  <c r="AK3136" i="2"/>
  <c r="AK5345" i="2"/>
  <c r="Y5342" i="2"/>
  <c r="AC5349" i="2"/>
  <c r="Y5352" i="2"/>
  <c r="AC5356" i="2"/>
  <c r="AC5044" i="2"/>
  <c r="Y5365" i="2"/>
  <c r="AC5368" i="2"/>
  <c r="AK84" i="2"/>
  <c r="AK5342" i="2"/>
  <c r="Y5357" i="2"/>
  <c r="Y5360" i="2"/>
  <c r="Y5359" i="2"/>
  <c r="AK5365" i="2"/>
  <c r="Y5366" i="2"/>
  <c r="Y5367" i="2"/>
  <c r="Y5368" i="2"/>
  <c r="Y5336" i="2"/>
  <c r="Y5343" i="2"/>
  <c r="Y5354" i="2"/>
  <c r="AB5336" i="2"/>
  <c r="AK5336" i="2" s="1"/>
  <c r="AK5347" i="2"/>
  <c r="AB5354" i="2"/>
  <c r="AK5354" i="2" s="1"/>
  <c r="AF5380" i="2"/>
  <c r="AF5388" i="2"/>
  <c r="AF5396" i="2"/>
  <c r="AF5404" i="2"/>
  <c r="AF5412" i="2"/>
  <c r="AF5415" i="2"/>
  <c r="AF5423" i="2"/>
  <c r="AF5374" i="2"/>
  <c r="AF5382" i="2"/>
  <c r="AF5390" i="2"/>
  <c r="AF5398" i="2"/>
  <c r="AF5417" i="2"/>
  <c r="AF5425" i="2"/>
  <c r="AF5436" i="2"/>
  <c r="AF5441" i="2"/>
  <c r="AF5449" i="2"/>
  <c r="AF5457" i="2"/>
  <c r="AF5465" i="2"/>
  <c r="AF5473" i="2"/>
  <c r="AF5476" i="2"/>
  <c r="AF5431" i="2"/>
  <c r="AF5434" i="2"/>
  <c r="AF5439" i="2"/>
  <c r="AF5447" i="2"/>
  <c r="AF5455" i="2"/>
  <c r="AF5477" i="2"/>
  <c r="AF5520" i="2"/>
  <c r="AF5531" i="2"/>
  <c r="AF5547" i="2"/>
  <c r="AF5555" i="2"/>
  <c r="AF6881" i="2"/>
  <c r="AF6894" i="2"/>
  <c r="AF6902" i="2"/>
  <c r="AF6910" i="2"/>
  <c r="AF6923" i="2"/>
  <c r="AF6931" i="2"/>
  <c r="AF6939" i="2"/>
  <c r="AF6945" i="2"/>
  <c r="AF6953" i="2"/>
  <c r="AF6961" i="2"/>
  <c r="AF6967" i="2"/>
  <c r="AF6983" i="2"/>
  <c r="AF6991" i="2"/>
  <c r="AF7007" i="2"/>
  <c r="AF7018" i="2"/>
  <c r="AF7026" i="2"/>
  <c r="AF7034" i="2"/>
  <c r="AF7037" i="2"/>
  <c r="AF7045" i="2"/>
  <c r="AF7053" i="2"/>
  <c r="AF7056" i="2"/>
  <c r="AF7064" i="2"/>
  <c r="AF7072" i="2"/>
  <c r="AF7083" i="2"/>
  <c r="AF7091" i="2"/>
  <c r="AF7096" i="2"/>
  <c r="AF7101" i="2"/>
  <c r="AF7112" i="2"/>
  <c r="AF7134" i="2"/>
  <c r="AF7174" i="2"/>
  <c r="AF7182" i="2"/>
  <c r="AF7214" i="2"/>
  <c r="AF7238" i="2"/>
  <c r="AF7246" i="2"/>
  <c r="AF7254" i="2"/>
  <c r="AF7257" i="2"/>
  <c r="AF7273" i="2"/>
  <c r="AF7281" i="2"/>
  <c r="AF7289" i="2"/>
  <c r="AF7313" i="2"/>
  <c r="AF7321" i="2"/>
  <c r="AF7340" i="2"/>
  <c r="AF7351" i="2"/>
  <c r="AF7359" i="2"/>
  <c r="AF7370" i="2"/>
  <c r="AF7378" i="2"/>
  <c r="AF5562" i="2"/>
  <c r="AF5570" i="2"/>
  <c r="AF5586" i="2"/>
  <c r="AF5603" i="2"/>
  <c r="AF5611" i="2"/>
  <c r="AF5619" i="2"/>
  <c r="AF5627" i="2"/>
  <c r="AF5635" i="2"/>
  <c r="AF5643" i="2"/>
  <c r="AF5659" i="2"/>
  <c r="AF5679" i="2"/>
  <c r="AF5687" i="2"/>
  <c r="AF5695" i="2"/>
  <c r="AF5811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7381" i="2"/>
  <c r="AF7397" i="2"/>
  <c r="AF7405" i="2"/>
  <c r="AF7421" i="2"/>
  <c r="AF7429" i="2"/>
  <c r="AF7448" i="2"/>
  <c r="AF7453" i="2"/>
  <c r="AF7469" i="2"/>
  <c r="AF7493" i="2"/>
  <c r="AF7501" i="2"/>
  <c r="AF7530" i="2"/>
  <c r="AF7554" i="2"/>
  <c r="AF7570" i="2"/>
  <c r="AF7578" i="2"/>
  <c r="AF7586" i="2"/>
  <c r="AF7619" i="2"/>
  <c r="AF7627" i="2"/>
  <c r="AF7659" i="2"/>
  <c r="AF7667" i="2"/>
  <c r="AF7695" i="2"/>
  <c r="AF7714" i="2"/>
  <c r="AF7730" i="2"/>
  <c r="AF7741" i="2"/>
  <c r="AF7774" i="2"/>
  <c r="AF7785" i="2"/>
  <c r="AF7804" i="2"/>
  <c r="AF7807" i="2"/>
  <c r="AF7815" i="2"/>
  <c r="AF7823" i="2"/>
  <c r="AF7875" i="2"/>
  <c r="AF7883" i="2"/>
  <c r="AF7944" i="2"/>
  <c r="R186" i="3"/>
  <c r="T186" i="3" s="1"/>
  <c r="U186" i="3" s="1"/>
  <c r="V186" i="3" s="1"/>
  <c r="R189" i="3"/>
  <c r="T189" i="3" s="1"/>
  <c r="U189" i="3" s="1"/>
  <c r="V189" i="3" s="1"/>
  <c r="O92" i="3"/>
  <c r="T133" i="3"/>
  <c r="U133" i="3" s="1"/>
  <c r="V133" i="3" s="1"/>
  <c r="R25" i="3" l="1"/>
  <c r="T25" i="3" s="1"/>
  <c r="U25" i="3" s="1"/>
  <c r="V25" i="3" s="1"/>
  <c r="AB2503" i="2"/>
  <c r="AK2503" i="2" s="1"/>
  <c r="AL1" i="2"/>
  <c r="AK5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<sst xmlns="http://schemas.openxmlformats.org/spreadsheetml/2006/main" count="118444" uniqueCount="4236">
  <si>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</si>
  <si>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</si>
  <si>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</si>
  <si>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</si>
  <si>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</si>
  <si>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</si>
  <si>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</si>
  <si>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</si>
  <si>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</si>
  <si>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</si>
  <si>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</si>
  <si>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</si>
  <si>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</si>
  <si>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</si>
  <si>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</si>
  <si>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</si>
  <si>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</si>
  <si>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</si>
  <si>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</si>
  <si>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</si>
  <si>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</si>
  <si>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</si>
  <si>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</si>
  <si>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</si>
  <si>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</si>
  <si>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</si>
  <si>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</si>
  <si>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</si>
  <si>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</si>
  <si>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</si>
  <si>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</si>
  <si>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</si>
  <si>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</si>
  <si>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</si>
  <si>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</si>
  <si>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</si>
  <si>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</si>
  <si>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</si>
  <si>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</si>
  <si>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</si>
  <si>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</si>
  <si>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</si>
  <si>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</si>
  <si>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</si>
  <si>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</si>
  <si>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</si>
  <si>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</si>
  <si>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</si>
  <si>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</si>
  <si>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</si>
  <si>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</si>
  <si>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</si>
  <si>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</si>
  <si>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</si>
  <si>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</si>
  <si>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</si>
  <si>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</si>
  <si>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</si>
  <si>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</si>
  <si>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</si>
  <si>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</si>
  <si>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</si>
  <si>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</si>
  <si>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</si>
  <si>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</si>
  <si>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</si>
  <si>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</si>
  <si>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</si>
  <si>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</si>
  <si>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</si>
  <si>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</si>
  <si>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</si>
  <si>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</si>
  <si>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</si>
  <si>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</si>
  <si>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</si>
  <si>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</si>
  <si>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</si>
  <si>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</si>
  <si>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</si>
  <si>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</si>
  <si>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</si>
  <si>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</si>
  <si>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</si>
  <si>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</si>
  <si>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</si>
  <si>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</si>
  <si>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</si>
  <si>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</si>
  <si>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</si>
  <si>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</si>
  <si>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</si>
  <si>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</si>
  <si>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</si>
  <si>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</si>
  <si>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</si>
  <si>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</si>
  <si>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</si>
  <si>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</si>
  <si>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</si>
  <si>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</si>
  <si>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</si>
  <si>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</si>
  <si>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</si>
  <si>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</si>
  <si>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</si>
  <si>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</si>
  <si>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</si>
  <si>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</si>
  <si>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</si>
  <si>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</si>
  <si>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</si>
  <si>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</si>
  <si>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</si>
  <si>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</si>
  <si>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</si>
  <si>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</si>
  <si>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</si>
  <si>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</si>
  <si>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</si>
  <si>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</si>
  <si>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</si>
  <si>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</si>
  <si>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</si>
  <si>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</si>
  <si>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</si>
  <si>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</si>
  <si>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</si>
  <si>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</si>
  <si>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</si>
  <si>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</si>
  <si>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</si>
  <si>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</si>
  <si>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</si>
  <si>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</si>
  <si>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</si>
  <si>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</si>
  <si>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</si>
  <si>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</si>
  <si>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</si>
  <si>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</si>
  <si>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</si>
  <si>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</si>
  <si>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</si>
  <si>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</si>
  <si>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</si>
  <si>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</si>
  <si>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</si>
  <si>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</si>
  <si>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</si>
  <si>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</si>
  <si>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</si>
  <si>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</si>
  <si>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</si>
  <si>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</si>
  <si>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</si>
  <si>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</si>
  <si>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</si>
  <si>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</si>
  <si>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</si>
  <si>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</si>
  <si>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</si>
  <si>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</si>
  <si>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</si>
  <si>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</si>
  <si>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</si>
  <si>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</si>
  <si>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</si>
  <si>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</si>
  <si>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</si>
  <si>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</si>
  <si>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</si>
  <si>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</si>
  <si>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</si>
  <si>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</si>
  <si>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</si>
  <si>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</si>
  <si>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</si>
  <si>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</si>
  <si>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</si>
  <si>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</si>
  <si>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</si>
  <si>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</si>
  <si>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</si>
  <si>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</si>
  <si>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</si>
  <si>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</si>
  <si>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</si>
  <si>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</si>
  <si>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</si>
  <si>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</si>
  <si>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</si>
  <si>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</si>
  <si>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</si>
  <si>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</si>
  <si>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</si>
  <si>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</si>
  <si>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</si>
  <si>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</si>
  <si>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</si>
  <si>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</si>
  <si>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</si>
  <si>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</si>
  <si>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</si>
  <si>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</si>
  <si>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</si>
  <si>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</si>
  <si>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</si>
  <si>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</si>
  <si>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</si>
  <si>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</si>
  <si>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</si>
  <si>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</si>
  <si>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</si>
  <si>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</si>
  <si>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</si>
  <si>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</si>
  <si>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</si>
  <si>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</si>
  <si>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</si>
  <si>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</si>
  <si>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</si>
  <si>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</si>
  <si>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</si>
  <si>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</si>
  <si>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</si>
  <si>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</si>
  <si>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</si>
  <si>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</si>
  <si>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</si>
  <si>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</si>
  <si>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</si>
  <si>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</si>
  <si>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</si>
  <si>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</si>
  <si>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</si>
  <si>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</si>
  <si>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</si>
  <si>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</si>
  <si>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</si>
  <si>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</si>
  <si>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</si>
  <si>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</si>
  <si>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</si>
  <si>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</si>
  <si>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</si>
  <si>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</si>
  <si>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</si>
  <si>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</si>
  <si>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</si>
  <si>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</si>
  <si>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</si>
  <si>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</si>
  <si>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</si>
  <si>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</si>
  <si>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</si>
  <si>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</si>
  <si>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</si>
  <si>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</si>
  <si>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</si>
  <si>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</si>
  <si>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</si>
  <si>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</si>
  <si>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</si>
  <si>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</si>
  <si>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</si>
  <si>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</si>
  <si>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</si>
  <si>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</si>
  <si>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</si>
  <si>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</si>
  <si>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</si>
  <si>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</si>
  <si>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</si>
  <si>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</si>
  <si>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</si>
  <si>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</si>
  <si>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</si>
  <si>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</si>
  <si>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</si>
  <si>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</si>
  <si>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</si>
  <si>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</si>
  <si>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</si>
  <si>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</si>
  <si>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</si>
  <si>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</si>
  <si>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</si>
  <si>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</si>
  <si>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</si>
  <si>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</si>
  <si>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</si>
  <si>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</si>
  <si>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</si>
  <si>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</si>
  <si>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</si>
  <si>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</si>
  <si>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</si>
  <si>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</si>
  <si>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</si>
  <si>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</si>
  <si>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</si>
  <si>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</si>
  <si>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</si>
  <si>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</si>
  <si>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</si>
  <si>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</si>
  <si>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</si>
  <si>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</si>
  <si>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</si>
  <si>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</si>
  <si>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</si>
  <si>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</si>
  <si>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</si>
  <si>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</si>
  <si>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</si>
  <si>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</si>
  <si>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</si>
  <si>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</si>
  <si>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</si>
  <si>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</si>
  <si>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</si>
  <si>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</si>
  <si>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</si>
  <si>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</si>
  <si>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</si>
  <si>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</si>
  <si>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</si>
  <si>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</si>
  <si>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</si>
  <si>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</si>
  <si>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</si>
  <si>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</si>
  <si>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</si>
  <si>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</si>
  <si>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</si>
  <si>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</si>
  <si>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</si>
  <si>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</si>
  <si>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</si>
  <si>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</si>
  <si>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</si>
  <si>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</si>
  <si>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</si>
  <si>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</si>
  <si>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</si>
  <si>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</si>
  <si>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</si>
  <si>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</si>
  <si>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</si>
  <si>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</si>
  <si>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</si>
  <si>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</si>
  <si>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</si>
  <si>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</si>
  <si>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</si>
  <si>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</si>
  <si>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</si>
  <si>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</si>
  <si>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</si>
  <si>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</si>
  <si>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</si>
  <si>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</si>
  <si>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</si>
  <si>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</si>
  <si>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</si>
  <si>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</si>
  <si>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</si>
  <si>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</si>
  <si>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</si>
  <si>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</si>
  <si>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</si>
  <si>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</si>
  <si>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</si>
  <si>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</si>
  <si>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</si>
  <si>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</si>
  <si>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</si>
  <si>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</si>
  <si>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</si>
  <si>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</si>
  <si>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</si>
  <si>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</si>
  <si>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</si>
  <si>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</si>
  <si>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</si>
  <si>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</si>
  <si>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</si>
  <si>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</si>
  <si>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</si>
  <si>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</si>
  <si>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</si>
  <si>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</si>
  <si>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</si>
  <si>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</si>
  <si>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</si>
  <si>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</si>
  <si>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</si>
  <si>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</si>
  <si>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</si>
  <si>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</si>
  <si>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</si>
  <si>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</si>
  <si>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</si>
  <si>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</si>
  <si>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</si>
  <si>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</si>
  <si>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</si>
  <si>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</si>
  <si>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</si>
  <si>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</si>
  <si>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</si>
  <si>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</si>
  <si>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</si>
  <si>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</si>
  <si>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</si>
  <si>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</si>
  <si>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</si>
  <si>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</si>
  <si>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</si>
  <si>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</si>
  <si>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</si>
  <si>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</si>
  <si>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</si>
  <si>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</si>
  <si>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</si>
  <si>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</si>
  <si>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</si>
  <si>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</si>
  <si>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</si>
  <si>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</si>
  <si>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</si>
  <si>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</si>
  <si>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</si>
  <si>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</si>
  <si>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</si>
  <si>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</si>
  <si>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</si>
  <si>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</si>
  <si>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</si>
  <si>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</si>
  <si>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</si>
  <si>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</si>
  <si>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</si>
  <si>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</si>
  <si>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</si>
  <si>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</si>
  <si>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</si>
  <si>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</si>
  <si>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</si>
  <si>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</si>
  <si>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</si>
  <si>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</si>
  <si>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</si>
  <si>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</si>
  <si>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</si>
  <si>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</si>
  <si>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</si>
  <si>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</si>
  <si>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</si>
  <si>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</si>
  <si>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</si>
  <si>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</si>
  <si>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</si>
  <si>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</si>
  <si>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</si>
  <si>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</si>
  <si>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</si>
  <si>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</si>
  <si>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</si>
  <si>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</si>
  <si>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</si>
  <si>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</si>
  <si>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</si>
  <si>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</si>
  <si>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</si>
  <si>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</si>
  <si>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</si>
  <si>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</si>
  <si>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</si>
  <si>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</si>
  <si>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</si>
  <si>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</si>
  <si>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</si>
  <si>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</si>
  <si>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</si>
  <si>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</si>
  <si>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</si>
  <si>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</si>
  <si>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</si>
  <si>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</si>
  <si>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</si>
  <si>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</si>
  <si>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</si>
  <si>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</si>
  <si>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</si>
  <si>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</si>
  <si>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</si>
  <si>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</si>
  <si>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</si>
  <si>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</si>
  <si>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</si>
  <si>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</si>
  <si>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</si>
  <si>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</si>
  <si>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</si>
  <si>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</si>
  <si>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</si>
  <si>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</si>
  <si>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</si>
  <si>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</si>
  <si>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</si>
  <si>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</si>
  <si>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</si>
  <si>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</si>
  <si>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</si>
  <si>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</si>
  <si>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</si>
  <si>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</si>
  <si>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</si>
  <si>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</si>
  <si>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</si>
  <si>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</si>
  <si>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</si>
  <si>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</si>
  <si>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</si>
  <si>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</si>
  <si>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</si>
  <si>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</si>
  <si>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</si>
  <si>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</si>
  <si>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</si>
  <si>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</si>
  <si>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</si>
  <si>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</si>
  <si>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</si>
  <si>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</si>
  <si>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</si>
  <si>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</si>
  <si>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</si>
  <si>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</si>
  <si>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</si>
  <si>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</si>
  <si>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</si>
  <si>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</si>
  <si>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</si>
  <si>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</si>
  <si>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</si>
  <si>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</si>
  <si>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</si>
  <si>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</si>
  <si>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</si>
  <si>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</si>
  <si>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</si>
  <si>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</si>
  <si>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</si>
  <si>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</si>
  <si>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</si>
  <si>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</si>
  <si>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</si>
  <si>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</si>
  <si>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</si>
  <si>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</si>
  <si>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</si>
  <si>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</si>
  <si>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</si>
  <si>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</si>
  <si>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</si>
  <si>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</si>
  <si>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</si>
  <si>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</si>
  <si>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</si>
  <si>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</si>
  <si>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</si>
  <si>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</si>
  <si>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</si>
  <si>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</si>
  <si>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</si>
  <si>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</si>
  <si>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</si>
  <si>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</si>
  <si>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</si>
  <si>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</si>
  <si>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</si>
  <si>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</si>
  <si>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</si>
  <si>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</si>
  <si>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</si>
  <si>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</si>
  <si>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</si>
  <si>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</si>
  <si>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</si>
  <si>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</si>
  <si>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</si>
  <si>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</si>
  <si>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</si>
  <si>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</si>
  <si>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</si>
  <si>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</si>
  <si>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</si>
  <si>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</si>
  <si>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</si>
  <si>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</si>
  <si>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</si>
  <si>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</si>
  <si>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</si>
  <si>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</si>
  <si>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</si>
  <si>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</si>
  <si>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</si>
  <si>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</si>
  <si>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</si>
  <si>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</si>
  <si>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</si>
  <si>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</si>
  <si>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</si>
  <si>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</si>
  <si>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</si>
  <si>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</si>
  <si>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</si>
  <si>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</si>
  <si>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</si>
  <si>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</si>
  <si>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</si>
  <si>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</si>
  <si>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</si>
  <si>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</si>
  <si>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</si>
  <si>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</si>
  <si>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</si>
  <si>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</si>
  <si>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</si>
  <si>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</si>
  <si>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</si>
  <si>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</si>
  <si>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</si>
  <si>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</si>
  <si>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</si>
  <si>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</si>
  <si>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</si>
  <si>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</si>
  <si>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</si>
  <si>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</si>
  <si>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</si>
  <si>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</si>
  <si>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</si>
  <si>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</si>
  <si>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</si>
  <si>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</si>
  <si>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</si>
  <si>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</si>
  <si>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</si>
  <si>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</si>
  <si>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</si>
  <si>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</si>
  <si>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</si>
  <si>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</si>
  <si>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</si>
  <si>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</si>
  <si>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</si>
  <si>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</si>
  <si>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</si>
  <si>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</si>
  <si>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</si>
  <si>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</si>
  <si>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</si>
  <si>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</si>
  <si>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</si>
  <si>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</si>
  <si>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</si>
  <si>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</si>
  <si>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</si>
  <si>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</si>
  <si>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</si>
  <si>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</si>
  <si>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</si>
  <si>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</si>
  <si>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</si>
  <si>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</si>
  <si>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</si>
  <si>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</si>
  <si>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</si>
  <si>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</si>
  <si>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</si>
  <si>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</si>
  <si>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</si>
  <si>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</si>
  <si>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</si>
  <si>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</si>
  <si>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</si>
  <si>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</si>
  <si>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</si>
  <si>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</si>
  <si>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</si>
  <si>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</si>
  <si>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</si>
  <si>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</si>
  <si>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</si>
  <si>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</si>
  <si>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</si>
  <si>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</si>
  <si>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</si>
  <si>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</si>
  <si>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</si>
  <si>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</si>
  <si>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</si>
  <si>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</si>
  <si>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</si>
  <si>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</si>
  <si>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</si>
  <si>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</si>
  <si>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</si>
  <si>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</si>
  <si>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</si>
  <si>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</si>
  <si>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</si>
  <si>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</si>
  <si>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</si>
  <si>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</si>
  <si>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</si>
  <si>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</si>
  <si>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</si>
  <si>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</si>
  <si>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</si>
  <si>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</si>
  <si>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</si>
  <si>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</si>
  <si>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</si>
  <si>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</si>
  <si>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</si>
  <si>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</si>
  <si>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</si>
  <si>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</si>
  <si>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</si>
  <si>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</si>
  <si>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</si>
  <si>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</si>
  <si>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</si>
  <si>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</si>
  <si>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</si>
  <si>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</si>
  <si>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</si>
  <si>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</si>
  <si>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</si>
  <si>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</si>
  <si>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</si>
  <si>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</si>
  <si>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</si>
  <si>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</si>
  <si>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</si>
  <si>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</si>
  <si>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</si>
  <si>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</si>
  <si>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</si>
  <si>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</si>
  <si>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</si>
  <si>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</si>
  <si>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</si>
  <si>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</si>
  <si>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</si>
  <si>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</si>
  <si>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</si>
  <si>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</si>
  <si>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</si>
  <si>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</si>
  <si>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</si>
  <si>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</si>
  <si>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</si>
  <si>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</si>
  <si>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</si>
  <si>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</si>
  <si>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</si>
  <si>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</si>
  <si>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</si>
  <si>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</si>
  <si>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</si>
  <si>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</si>
  <si>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</si>
  <si>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</si>
  <si>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</si>
  <si>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</si>
  <si>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</si>
  <si>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</si>
  <si>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</si>
  <si>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</si>
  <si>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</si>
  <si>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</si>
  <si>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</si>
  <si>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</si>
  <si>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</si>
  <si>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</si>
  <si>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</si>
  <si>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</si>
  <si>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</si>
  <si>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</si>
  <si>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</si>
  <si>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</si>
  <si>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</si>
  <si>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</si>
  <si>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</si>
  <si>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</si>
  <si>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</si>
  <si>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</si>
  <si>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</si>
  <si>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</si>
  <si>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</si>
  <si>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</si>
  <si>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</si>
  <si>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</si>
  <si>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</si>
  <si>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</si>
  <si>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</si>
  <si>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</si>
  <si>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</si>
  <si>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</si>
  <si>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</si>
  <si>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</si>
  <si>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</si>
  <si>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</si>
  <si>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</si>
  <si>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</si>
  <si>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</si>
  <si>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</si>
  <si>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</si>
  <si>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</si>
  <si>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</si>
  <si>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</si>
  <si>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</si>
  <si>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</si>
  <si>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</si>
  <si>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</si>
  <si>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</si>
  <si>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</si>
  <si>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</si>
  <si>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</si>
  <si>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</si>
  <si>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</si>
  <si>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</si>
  <si>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</si>
  <si>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</si>
  <si>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</si>
  <si>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</si>
  <si>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</si>
  <si>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</si>
  <si>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</si>
  <si>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</si>
  <si>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</si>
  <si>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</si>
  <si>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</si>
  <si>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</si>
  <si>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</si>
  <si>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</si>
  <si>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</si>
  <si>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</si>
  <si>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</si>
  <si>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</si>
  <si>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</si>
  <si>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</si>
  <si>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</si>
  <si>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</si>
  <si>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</si>
  <si>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</si>
  <si>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</si>
  <si>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</si>
  <si>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</si>
  <si>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</si>
  <si>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</si>
  <si>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</si>
  <si>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</si>
  <si>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</si>
  <si>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</si>
  <si>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</si>
  <si>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</si>
  <si>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</si>
  <si>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</si>
  <si>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</si>
  <si>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</si>
  <si>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</si>
  <si>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</si>
  <si>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</si>
  <si>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</si>
  <si>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</si>
  <si>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</si>
  <si>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</si>
  <si>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</si>
  <si>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</si>
  <si>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</si>
  <si>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</si>
  <si>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</si>
  <si>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</si>
  <si>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</si>
  <si>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</si>
  <si>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</si>
  <si>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</si>
  <si>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</si>
  <si>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</si>
  <si>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</si>
  <si>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</si>
  <si>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</si>
  <si>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</si>
  <si>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</si>
  <si>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</si>
  <si>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</si>
  <si>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</si>
  <si>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</si>
  <si>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</si>
  <si>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</si>
  <si>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</si>
  <si>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</si>
  <si>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</si>
  <si>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</si>
  <si>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</si>
  <si>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</si>
  <si>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</si>
  <si>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</si>
  <si>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</si>
  <si>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</si>
  <si>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</si>
  <si>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</si>
  <si>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</si>
  <si>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</si>
  <si>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</si>
  <si>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</si>
  <si>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</si>
  <si>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</si>
  <si>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</si>
  <si>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</si>
  <si>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</si>
  <si>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</si>
  <si>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</si>
  <si>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</si>
  <si>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</si>
  <si>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</si>
  <si>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</si>
  <si>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</si>
  <si>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</si>
  <si>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</si>
  <si>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</si>
  <si>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</si>
  <si>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</si>
  <si>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</si>
  <si>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</si>
  <si>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</si>
  <si>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</si>
  <si>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</si>
  <si>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</si>
  <si>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</si>
  <si>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</si>
  <si>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</si>
  <si>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</si>
  <si>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</si>
  <si>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</si>
  <si>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</si>
  <si>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</si>
  <si>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</si>
  <si>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</si>
  <si>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</si>
  <si>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</si>
  <si>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</si>
  <si>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</si>
  <si>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</si>
  <si>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</si>
  <si>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</si>
  <si>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</si>
  <si>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</si>
  <si>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</si>
  <si>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</si>
  <si>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</si>
  <si>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</si>
  <si>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</si>
  <si>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</si>
  <si>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</si>
  <si>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</si>
  <si>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</si>
  <si>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</si>
  <si>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</si>
  <si>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</si>
  <si>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</si>
  <si>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</si>
  <si>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</si>
  <si>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</si>
  <si>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</si>
  <si>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</si>
  <si>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</si>
  <si>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</si>
  <si>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</si>
  <si>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</si>
  <si>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</si>
  <si>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</si>
  <si>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</si>
  <si>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</si>
  <si>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</si>
  <si>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</si>
  <si>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</si>
  <si>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</si>
  <si>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</si>
  <si>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</si>
  <si>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</si>
  <si>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</si>
  <si>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</si>
  <si>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</si>
  <si>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</si>
  <si>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</si>
  <si>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</si>
  <si>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</si>
  <si>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</si>
  <si>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</si>
  <si>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</si>
  <si>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</si>
  <si>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</si>
  <si>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</si>
  <si>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</si>
  <si>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</si>
  <si>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</si>
  <si>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</si>
  <si>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</si>
  <si>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</si>
  <si>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</si>
  <si>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</si>
  <si>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</si>
  <si>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</si>
  <si>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</si>
  <si>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</si>
  <si>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</si>
  <si>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</si>
  <si>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</si>
  <si>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</si>
  <si>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</si>
  <si>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</si>
  <si>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</si>
  <si>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</si>
  <si>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</si>
  <si>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</si>
  <si>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</si>
  <si>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</si>
  <si>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</si>
  <si>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</si>
  <si>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</si>
  <si>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</si>
  <si>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</si>
  <si>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</si>
  <si>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</si>
  <si>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</si>
  <si>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</si>
  <si>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</si>
  <si>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</si>
  <si>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</si>
  <si>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</si>
  <si>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</si>
  <si>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</si>
  <si>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</si>
  <si>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</si>
  <si>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</si>
  <si>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</si>
  <si>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</si>
  <si>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</si>
  <si>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</si>
  <si>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</si>
  <si>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</si>
  <si>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</si>
  <si>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</si>
  <si>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</si>
  <si>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</si>
  <si>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</si>
  <si>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</si>
  <si>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</si>
  <si>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</si>
  <si>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</si>
  <si>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</si>
  <si>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</si>
  <si>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</si>
  <si>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</si>
  <si>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</si>
  <si>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</si>
  <si>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</si>
  <si>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</si>
  <si>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</si>
  <si>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</si>
  <si>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</si>
  <si>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</si>
  <si>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</si>
  <si>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</si>
  <si>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</si>
  <si>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</si>
  <si>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</si>
  <si>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</si>
  <si>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</si>
  <si>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</si>
  <si>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</si>
  <si>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</si>
  <si>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</si>
  <si>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</si>
  <si>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</si>
  <si>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</si>
  <si>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</si>
  <si>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</si>
  <si>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</si>
  <si>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</si>
  <si>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</si>
  <si>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</si>
  <si>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</si>
  <si>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</si>
  <si>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</si>
  <si>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</si>
  <si>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</si>
  <si>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</si>
  <si>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</si>
  <si>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</si>
  <si>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</si>
  <si>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</si>
  <si>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</si>
  <si>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</si>
  <si>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</si>
  <si>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</si>
  <si>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</si>
  <si>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</si>
  <si>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</si>
  <si>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</si>
  <si>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</si>
  <si>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</si>
  <si>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</si>
  <si>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</si>
  <si>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</si>
  <si>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</si>
  <si>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</si>
  <si>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</si>
  <si>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</si>
  <si>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</si>
  <si>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</si>
  <si>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</si>
  <si>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</si>
  <si>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</si>
  <si>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</si>
  <si>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</si>
  <si>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</si>
  <si>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</si>
  <si>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</si>
  <si>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</si>
  <si>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</si>
  <si>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</si>
  <si>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</si>
  <si>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</si>
  <si>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</si>
  <si>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</si>
  <si>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</si>
  <si>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</si>
  <si>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</si>
  <si>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</si>
  <si>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</si>
  <si>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</si>
  <si>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</si>
  <si>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</si>
  <si>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</si>
  <si>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</si>
  <si>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</si>
  <si>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</si>
  <si>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</si>
  <si>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</si>
  <si>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</si>
  <si>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</si>
  <si>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</si>
  <si>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</si>
  <si>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</si>
  <si>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</si>
  <si>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</si>
  <si>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</si>
  <si>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</si>
  <si>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</si>
  <si>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</si>
  <si>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</si>
  <si>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</si>
  <si>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</si>
  <si>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</si>
  <si>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</si>
  <si>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</si>
  <si>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</si>
  <si>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</si>
  <si>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</si>
  <si>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</si>
  <si>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</si>
  <si>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</si>
  <si>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</si>
  <si>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</si>
  <si>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</si>
  <si>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</si>
  <si>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</si>
  <si>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</si>
  <si>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</si>
  <si>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</si>
  <si>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</si>
  <si>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</si>
  <si>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</si>
  <si>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</si>
  <si>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</si>
  <si>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</si>
  <si>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</si>
  <si>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</si>
  <si>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</si>
  <si>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</si>
  <si>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</si>
  <si>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</si>
  <si>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</si>
  <si>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</si>
  <si>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</si>
  <si>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</si>
  <si>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</si>
  <si>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</si>
  <si>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</si>
  <si>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</si>
  <si>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</si>
  <si>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</si>
  <si>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</si>
  <si>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</si>
  <si>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</si>
  <si>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</si>
  <si>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</si>
  <si>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</si>
  <si>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</si>
  <si>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</si>
  <si>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</si>
  <si>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</si>
  <si>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</si>
  <si>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</si>
  <si>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</si>
  <si>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</si>
  <si>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</si>
  <si>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</si>
  <si>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</si>
  <si>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</si>
  <si>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</si>
  <si>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</si>
  <si>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</si>
  <si>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</si>
  <si>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</si>
  <si>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</si>
  <si>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</si>
  <si>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</si>
  <si>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</si>
  <si>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</si>
  <si>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</si>
  <si>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</si>
  <si>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</si>
  <si>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</si>
  <si>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</si>
  <si>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</si>
  <si>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</si>
  <si>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</si>
  <si>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</si>
  <si>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</si>
  <si>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</si>
  <si>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</si>
  <si>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</si>
  <si>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</si>
  <si>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</si>
  <si>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</si>
  <si>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</si>
  <si>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</si>
  <si>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</si>
  <si>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</si>
  <si>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</si>
  <si>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</si>
  <si>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</si>
  <si>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</si>
  <si>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</si>
  <si>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</si>
  <si>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</si>
  <si>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</si>
  <si>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</si>
  <si>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</si>
  <si>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</si>
  <si>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</si>
  <si>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</si>
  <si>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</si>
  <si>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</si>
  <si>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</si>
  <si>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</si>
  <si>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</si>
  <si>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</si>
  <si>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</si>
  <si>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</si>
  <si>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</si>
  <si>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</si>
  <si>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</si>
  <si>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</si>
  <si>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</si>
  <si>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</si>
  <si>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</si>
  <si>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</si>
  <si>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</si>
  <si>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</si>
  <si>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</si>
  <si>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</si>
  <si>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</si>
  <si>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</si>
  <si>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</si>
  <si>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</si>
  <si>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</si>
  <si>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</si>
  <si>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</si>
  <si>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</si>
  <si>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</si>
  <si>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</si>
  <si>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</si>
  <si>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</si>
  <si>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</si>
  <si>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</si>
  <si>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</si>
  <si>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</si>
  <si>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</si>
  <si>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</si>
  <si>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</si>
  <si>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</si>
  <si>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</si>
  <si>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</si>
  <si>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</si>
  <si>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</si>
  <si>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</si>
  <si>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</si>
  <si>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</si>
  <si>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</si>
  <si>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</si>
  <si>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</si>
  <si>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</si>
  <si>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</si>
  <si>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</si>
  <si>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</si>
  <si>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</si>
  <si>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</si>
  <si>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</si>
  <si>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</si>
  <si>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</si>
  <si>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</si>
  <si>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</si>
  <si>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</si>
  <si>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</si>
  <si>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</si>
  <si>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</si>
  <si>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</si>
  <si>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</si>
  <si>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</si>
  <si>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</si>
  <si>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</si>
  <si>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</si>
  <si>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</si>
  <si>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</si>
  <si>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</si>
  <si>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</si>
  <si>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</si>
  <si>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</si>
  <si>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</si>
  <si>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</si>
  <si>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</si>
  <si>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</si>
  <si>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</si>
  <si>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</si>
  <si>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</si>
  <si>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</si>
  <si>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</si>
  <si>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</si>
  <si>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</si>
  <si>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</si>
  <si>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</si>
  <si>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</si>
  <si>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</si>
  <si>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</si>
  <si>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</si>
  <si>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</si>
  <si>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</si>
  <si>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</si>
  <si>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</si>
  <si>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</si>
  <si>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</si>
  <si>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</si>
  <si>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</si>
  <si>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</si>
  <si>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</si>
  <si>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</si>
  <si>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</si>
  <si>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</si>
  <si>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</si>
  <si>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</si>
  <si>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</si>
  <si>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</si>
  <si>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</si>
  <si>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</si>
  <si>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</si>
  <si>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</si>
  <si>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</si>
  <si>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</si>
  <si>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</si>
  <si>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</si>
  <si>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</si>
  <si>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</si>
  <si>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</si>
  <si>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</si>
  <si>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</si>
  <si>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</si>
  <si>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</si>
  <si>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</si>
  <si>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</si>
  <si>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</si>
  <si>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</si>
  <si>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</si>
  <si>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</si>
  <si>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</si>
  <si>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</si>
  <si>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</si>
  <si>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</si>
  <si>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</si>
  <si>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</si>
  <si>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</si>
  <si>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</si>
  <si>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</si>
  <si>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</si>
  <si>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</si>
  <si>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</si>
  <si>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</si>
  <si>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</si>
  <si>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</si>
  <si>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</si>
  <si>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</si>
  <si>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</si>
  <si>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</si>
  <si>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</si>
  <si>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</si>
  <si>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</si>
  <si>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</si>
  <si>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</si>
  <si>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</si>
  <si>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</si>
  <si>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</si>
  <si>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</si>
  <si>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</si>
  <si>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</si>
  <si>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</si>
  <si>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</si>
  <si>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</si>
  <si>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</si>
  <si>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</si>
  <si>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</si>
  <si>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</si>
  <si>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</si>
  <si>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</si>
  <si>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</si>
  <si>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</si>
  <si>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</si>
  <si>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</si>
  <si>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</si>
  <si>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</si>
  <si>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</si>
  <si>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</si>
  <si>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</si>
  <si>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</si>
  <si>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</si>
  <si>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</si>
  <si>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</si>
  <si>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</si>
  <si>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</si>
  <si>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</si>
  <si>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</si>
  <si>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</si>
  <si>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</si>
  <si>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</si>
  <si>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</si>
  <si>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</si>
  <si>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</si>
  <si>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</si>
  <si>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</si>
  <si>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</si>
  <si>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</si>
  <si>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</si>
  <si>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</si>
  <si>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</si>
  <si>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</si>
  <si>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</si>
  <si>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</si>
  <si>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</si>
  <si>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</si>
  <si>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</si>
  <si>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</si>
  <si>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</si>
  <si>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</si>
  <si>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</si>
  <si>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</si>
  <si>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</si>
  <si>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</si>
  <si>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</si>
  <si>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</si>
  <si>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</si>
  <si>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</si>
  <si>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</si>
  <si>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</si>
  <si>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</si>
  <si>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</si>
  <si>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</si>
  <si>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</si>
  <si>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</si>
  <si>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</si>
  <si>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</si>
  <si>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</si>
  <si>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</si>
  <si>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</si>
  <si>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</si>
  <si>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</si>
  <si>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</si>
  <si>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</si>
  <si>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</si>
  <si>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</si>
  <si>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</si>
  <si>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</si>
  <si>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</si>
  <si>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</si>
  <si>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</si>
  <si>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</si>
  <si>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</si>
  <si>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</si>
  <si>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</si>
  <si>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</si>
  <si>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</si>
  <si>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</si>
  <si>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</si>
  <si>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</si>
  <si>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</si>
  <si>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</si>
  <si>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</si>
  <si>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</si>
  <si>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</si>
  <si>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</si>
  <si>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</si>
  <si>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</si>
  <si>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</si>
  <si>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</si>
  <si>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</si>
  <si>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</si>
  <si>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</si>
  <si>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</si>
  <si>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</si>
  <si>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</si>
  <si>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</si>
  <si>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</si>
  <si>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</si>
  <si>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</si>
  <si>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</si>
  <si>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</si>
  <si>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</si>
  <si>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</si>
  <si>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</si>
  <si>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</si>
  <si>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</si>
  <si>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</si>
  <si>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</si>
  <si>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</si>
  <si>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</si>
  <si>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</si>
  <si>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</si>
  <si>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</si>
  <si>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</si>
  <si>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</si>
  <si>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</si>
  <si>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</si>
  <si>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</si>
  <si>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</si>
  <si>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</si>
  <si>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</si>
  <si>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</si>
  <si>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</si>
  <si>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</si>
  <si>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</si>
  <si>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</si>
  <si>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</si>
  <si>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</si>
  <si>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</si>
  <si>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</si>
  <si>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</si>
  <si>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</si>
  <si>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</si>
  <si>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</si>
  <si>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</si>
  <si>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</si>
  <si>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</si>
  <si>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</si>
  <si>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</si>
  <si>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</si>
  <si>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</si>
  <si>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</si>
  <si>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</si>
  <si>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</si>
  <si>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</si>
  <si>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</si>
  <si>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</si>
  <si>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</si>
  <si>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</si>
  <si>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</si>
  <si>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</si>
  <si>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</si>
  <si>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</si>
  <si>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</si>
  <si>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</si>
  <si>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</si>
  <si>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</si>
  <si>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</si>
  <si>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</si>
  <si>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</si>
  <si>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</si>
  <si>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</si>
  <si>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</si>
  <si>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</si>
  <si>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</si>
  <si>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</si>
  <si>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</si>
  <si>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</si>
  <si>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</si>
  <si>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</si>
  <si>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</si>
  <si>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</si>
  <si>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</si>
  <si>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</si>
  <si>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</si>
  <si>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</si>
  <si>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</si>
  <si>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</si>
  <si>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</si>
  <si>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</si>
  <si>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</si>
  <si>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</si>
  <si>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</si>
  <si>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</si>
  <si>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</si>
  <si>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</si>
  <si>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</si>
  <si>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</si>
  <si>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</si>
  <si>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</si>
  <si>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</si>
  <si>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</si>
  <si>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</si>
  <si>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</si>
  <si>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</si>
  <si>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</si>
  <si>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</si>
  <si>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</si>
  <si>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</si>
  <si>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</si>
  <si>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</si>
  <si>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</si>
  <si>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</si>
  <si>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</si>
  <si>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</si>
  <si>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</si>
  <si>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</si>
  <si>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</si>
  <si>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</si>
  <si>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</si>
  <si>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</si>
  <si>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</si>
  <si>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</si>
  <si>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</si>
  <si>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</si>
  <si>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</si>
  <si>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</si>
  <si>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</si>
  <si>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</si>
  <si>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</si>
  <si>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</si>
  <si>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</si>
  <si>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</si>
  <si>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</si>
  <si>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</si>
  <si>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</si>
  <si>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</si>
  <si>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</si>
  <si>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</si>
  <si>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</si>
  <si>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</si>
  <si>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</si>
  <si>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</si>
  <si>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</si>
  <si>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</si>
  <si>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</si>
  <si>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</si>
  <si>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</si>
  <si>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</si>
  <si>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</si>
  <si>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</si>
  <si>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</si>
  <si>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</si>
  <si>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</si>
  <si>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</si>
  <si>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</si>
  <si>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</si>
  <si>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</si>
  <si>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</si>
  <si>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</si>
  <si>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</si>
  <si>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</si>
  <si>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</si>
  <si>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</si>
  <si>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</si>
  <si>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</si>
  <si>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</si>
  <si>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</si>
  <si>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</si>
  <si>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</si>
  <si>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</si>
  <si>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</si>
  <si>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</si>
  <si>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</si>
  <si>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</si>
  <si>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</si>
  <si>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</si>
  <si>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</si>
  <si>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</si>
  <si>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</si>
  <si>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</si>
  <si>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</si>
  <si>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</si>
  <si>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</si>
  <si>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</si>
  <si>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</si>
  <si>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</si>
  <si>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</si>
  <si>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</si>
  <si>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</si>
  <si>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</si>
  <si>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</si>
  <si>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</si>
  <si>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</si>
  <si>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</si>
  <si>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</si>
  <si>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</si>
  <si>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</si>
  <si>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</si>
  <si>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</si>
  <si>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</si>
  <si>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</si>
  <si>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</si>
  <si>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</si>
  <si>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</si>
  <si>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</si>
  <si>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</si>
  <si>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</si>
  <si>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</si>
  <si>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</si>
  <si>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</si>
  <si>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</si>
  <si>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</si>
  <si>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</si>
  <si>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</si>
  <si>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</si>
  <si>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</si>
  <si>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</si>
  <si>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</si>
  <si>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</si>
  <si>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</si>
  <si>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</si>
  <si>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</si>
  <si>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</si>
  <si>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</si>
  <si>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</si>
  <si>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</si>
  <si>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</si>
  <si>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</si>
  <si>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</si>
  <si>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</si>
  <si>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</si>
  <si>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</si>
  <si>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</si>
  <si>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</si>
  <si>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</si>
  <si>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</si>
  <si>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</si>
  <si>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</si>
  <si>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</si>
  <si>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</si>
  <si>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</si>
  <si>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</si>
  <si>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</si>
  <si>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</si>
  <si>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</si>
  <si>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</si>
  <si>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</si>
  <si>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</si>
  <si>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</si>
  <si>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</si>
  <si>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</si>
  <si>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</si>
  <si>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</si>
  <si>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</si>
  <si>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</si>
  <si>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</si>
  <si>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</si>
  <si>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</si>
  <si>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</si>
  <si>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</si>
  <si>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</si>
  <si>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</si>
  <si>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</si>
  <si>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</si>
  <si>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</si>
  <si>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</si>
  <si>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</si>
  <si>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</si>
  <si>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</si>
  <si>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</si>
  <si>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</si>
  <si>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</si>
  <si>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</si>
  <si>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</si>
  <si>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</si>
  <si>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</si>
  <si>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</si>
  <si>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</si>
  <si>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</si>
  <si>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</si>
  <si>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</si>
  <si>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</si>
  <si>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</si>
  <si>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</si>
  <si>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</si>
  <si>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</si>
  <si>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</si>
  <si>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</si>
  <si>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</si>
  <si>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</si>
  <si>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</si>
  <si>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</si>
  <si>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</si>
  <si>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</si>
  <si>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</si>
  <si>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</si>
  <si>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</si>
  <si>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</si>
  <si>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</si>
  <si>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</si>
  <si>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</si>
  <si>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</si>
  <si>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</si>
  <si>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</si>
  <si>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</si>
  <si>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</si>
  <si>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</si>
  <si>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</si>
  <si>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</si>
  <si>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</si>
  <si>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</si>
  <si>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</si>
  <si>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</si>
  <si>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</si>
  <si>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</si>
  <si>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</si>
  <si>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</si>
  <si>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</si>
  <si>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</si>
  <si>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</si>
  <si>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</si>
  <si>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</si>
  <si>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</si>
  <si>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</si>
  <si>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</si>
  <si>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</si>
  <si>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</si>
  <si>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</si>
  <si>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</si>
  <si>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</si>
  <si>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</si>
  <si>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</si>
  <si>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</si>
  <si>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</si>
  <si>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</si>
  <si>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</si>
  <si>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</si>
  <si>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</si>
  <si>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</si>
  <si>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</si>
  <si>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</si>
  <si>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</si>
  <si>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</si>
  <si>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</si>
  <si>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</si>
  <si>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</si>
  <si>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</si>
  <si>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</si>
  <si>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</si>
  <si>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</si>
  <si>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</si>
  <si>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</si>
  <si>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</si>
  <si>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</si>
  <si>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</si>
  <si>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</si>
  <si>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</si>
  <si>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</si>
  <si>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</si>
  <si>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</si>
  <si>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</si>
  <si>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</si>
  <si>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</si>
  <si>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</si>
  <si>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</si>
  <si>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</si>
  <si>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</si>
  <si>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</si>
  <si>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</si>
  <si>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</si>
  <si>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</si>
  <si>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</si>
  <si>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</si>
  <si>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</si>
  <si>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</si>
  <si>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</si>
  <si>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</si>
  <si>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</si>
  <si>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</si>
  <si>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</si>
  <si>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</si>
  <si>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</si>
  <si>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</si>
  <si>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</si>
  <si>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</si>
  <si>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</si>
  <si>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</si>
  <si>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</si>
  <si>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</si>
  <si>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</si>
  <si>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</si>
  <si>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</si>
  <si>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</si>
  <si>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</si>
  <si>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</si>
  <si>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</si>
  <si>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</si>
  <si>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</si>
  <si>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</si>
  <si>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</si>
  <si>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</si>
  <si>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</si>
  <si>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</si>
  <si>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</si>
  <si>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</si>
  <si>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</si>
  <si>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</si>
  <si>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</si>
  <si>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</si>
  <si>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</si>
  <si>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</si>
  <si>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</si>
  <si>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</si>
  <si>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</si>
  <si>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</si>
  <si>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</si>
  <si>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</si>
  <si>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</si>
  <si>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</si>
  <si>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</si>
  <si>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</si>
  <si>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</si>
  <si>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</si>
  <si>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</si>
  <si>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</si>
  <si>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</si>
  <si>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</si>
  <si>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</si>
  <si>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</si>
  <si>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</si>
  <si>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</si>
  <si>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</si>
  <si>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</si>
  <si>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</si>
  <si>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</si>
  <si>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</si>
  <si>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</si>
  <si>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</si>
  <si>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</si>
  <si>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</si>
  <si>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</si>
  <si>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</si>
  <si>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</si>
  <si>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</si>
  <si>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</si>
  <si>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</si>
  <si>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</si>
  <si>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</si>
  <si>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</si>
  <si>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</si>
  <si>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</si>
  <si>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</si>
  <si>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</si>
  <si>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</si>
  <si>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</si>
  <si>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</si>
  <si>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</si>
  <si>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</si>
  <si>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</si>
  <si>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</si>
  <si>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</si>
  <si>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</si>
  <si>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</si>
  <si>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</si>
  <si>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</si>
  <si>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</si>
  <si>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</si>
  <si>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</si>
  <si>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</si>
  <si>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</si>
  <si>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</si>
  <si>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</si>
  <si>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</si>
  <si>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</si>
  <si>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</si>
  <si>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</si>
  <si>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</si>
  <si>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</si>
  <si>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</si>
  <si>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</si>
  <si>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</si>
  <si>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</si>
  <si>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</si>
  <si>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</si>
  <si>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</si>
  <si>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</si>
  <si>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</si>
  <si>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</si>
  <si>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</si>
  <si>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</si>
  <si>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</si>
  <si>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</si>
  <si>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</si>
  <si>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</si>
  <si>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</si>
  <si>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</si>
  <si>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</si>
  <si>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</si>
  <si>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</si>
  <si>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</si>
  <si>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</si>
  <si>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</si>
  <si>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</si>
  <si>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</si>
  <si>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</si>
  <si>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</si>
  <si>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</si>
  <si>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</si>
  <si>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</si>
  <si>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</si>
  <si>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</si>
  <si>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</si>
  <si>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</si>
  <si>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</si>
  <si>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</si>
  <si>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</si>
  <si>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</si>
  <si>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</si>
  <si>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</si>
  <si>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</si>
  <si>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</si>
  <si>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</si>
  <si>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</si>
  <si>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</si>
  <si>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</si>
  <si>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</si>
  <si>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</si>
  <si>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</si>
  <si>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</si>
  <si>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</si>
  <si>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</si>
  <si>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</si>
  <si>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</si>
  <si>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</si>
  <si>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</si>
  <si>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</si>
  <si>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</si>
  <si>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</si>
  <si>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</si>
  <si>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</si>
  <si>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</si>
  <si>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</si>
  <si>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</si>
  <si>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</si>
  <si>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</si>
  <si>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</si>
  <si>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</si>
  <si>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</si>
  <si>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</si>
  <si>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</si>
  <si>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</si>
  <si>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</si>
  <si>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</si>
  <si>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</si>
  <si>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</si>
  <si>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</si>
  <si>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</si>
  <si>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</si>
  <si>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</si>
  <si>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</si>
  <si>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</si>
  <si>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</si>
  <si>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</si>
  <si>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</si>
  <si>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</si>
  <si>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</si>
  <si>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</si>
  <si>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</si>
  <si>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</si>
  <si>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</si>
  <si>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</si>
  <si>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</si>
  <si>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</si>
  <si>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</si>
  <si>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</si>
  <si>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</si>
  <si>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</si>
  <si>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</si>
  <si>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</si>
  <si>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</si>
  <si>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</si>
  <si>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</si>
  <si>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</si>
  <si>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</si>
  <si>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</si>
  <si>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</si>
  <si>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</si>
  <si>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</si>
  <si>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</si>
  <si>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</si>
  <si>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</si>
  <si>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</si>
  <si>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</si>
  <si>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</si>
  <si>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</si>
  <si>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</si>
  <si>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</si>
  <si>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</si>
  <si>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</si>
  <si>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</si>
  <si>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</si>
  <si>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</si>
  <si>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</si>
  <si>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</si>
  <si>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</si>
  <si>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</si>
  <si>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</si>
  <si>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</si>
  <si>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</si>
  <si>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</si>
  <si>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</si>
  <si>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</si>
  <si>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</si>
  <si>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</si>
  <si>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</si>
  <si>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</si>
  <si>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</si>
  <si>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</si>
  <si>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</si>
  <si>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</si>
  <si>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</si>
  <si>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</si>
  <si>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</si>
  <si>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</si>
  <si>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</si>
  <si>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</si>
  <si>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</si>
  <si>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</si>
  <si>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</si>
  <si>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</si>
  <si>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</si>
  <si>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</si>
  <si>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</si>
  <si>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</si>
  <si>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</si>
  <si>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</si>
  <si>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</si>
  <si>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</si>
  <si>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</si>
  <si>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</si>
  <si>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</si>
  <si>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</si>
  <si>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</si>
  <si>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</si>
  <si>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</si>
  <si>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</si>
  <si>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</si>
  <si>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</si>
  <si>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</si>
  <si>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</si>
  <si>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</si>
  <si>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</si>
  <si>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</si>
  <si>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</si>
  <si>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</si>
  <si>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</si>
  <si>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</si>
  <si>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</si>
  <si>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</si>
  <si>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</si>
  <si>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</si>
  <si>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</si>
  <si>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</si>
  <si>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</si>
  <si>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</si>
  <si>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</si>
  <si>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</si>
  <si>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</si>
  <si>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</si>
  <si>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</si>
  <si>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</si>
  <si>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</si>
  <si>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</si>
  <si>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</si>
  <si>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</si>
  <si>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</si>
  <si>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</si>
  <si>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</si>
  <si>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</si>
  <si>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</si>
  <si>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</si>
  <si>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</si>
  <si>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</si>
  <si>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</si>
  <si>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</si>
  <si>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</si>
  <si>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</si>
  <si>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</si>
  <si>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</si>
  <si>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</si>
  <si>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</si>
  <si>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</si>
  <si>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</si>
  <si>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</si>
  <si>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</si>
  <si>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</si>
  <si>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</si>
  <si>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</si>
  <si>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</si>
  <si>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</si>
  <si>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</si>
  <si>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</si>
  <si>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</si>
  <si>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</si>
  <si>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</si>
  <si>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</si>
  <si>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</si>
  <si>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</si>
  <si>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</si>
  <si>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</si>
  <si>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</si>
  <si>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</si>
  <si>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</si>
  <si>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</si>
  <si>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</si>
  <si>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</si>
  <si>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</si>
  <si>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</si>
  <si>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</si>
  <si>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</si>
  <si>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</si>
  <si>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</si>
  <si>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</si>
  <si>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</si>
  <si>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</si>
  <si>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</si>
  <si>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</si>
  <si>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</si>
  <si>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</si>
  <si>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</si>
  <si>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</si>
  <si>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</si>
  <si>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</si>
  <si>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</si>
  <si>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</si>
  <si>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</si>
  <si>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</si>
  <si>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</si>
  <si>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</si>
  <si>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</si>
  <si>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</si>
  <si>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</si>
  <si>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</si>
  <si>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</si>
  <si>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</si>
  <si>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</si>
  <si>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</si>
  <si>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</si>
  <si>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</si>
  <si>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</si>
  <si>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</si>
  <si>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</si>
  <si>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</si>
  <si>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</si>
  <si>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</si>
  <si>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</si>
  <si>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</si>
  <si>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</si>
  <si>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</si>
  <si>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</si>
  <si>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</si>
  <si>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</si>
  <si>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</si>
  <si>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</si>
  <si>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</si>
  <si>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</si>
  <si>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</si>
  <si>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</si>
  <si>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</si>
  <si>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</si>
  <si>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</si>
  <si>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</si>
  <si>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</si>
  <si>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</si>
  <si>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</si>
  <si>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</si>
  <si>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</si>
  <si>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</si>
  <si>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</si>
  <si>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</si>
  <si>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</si>
  <si>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</si>
  <si>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</si>
  <si>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</si>
  <si>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</si>
  <si>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</si>
  <si>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</si>
  <si>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</si>
  <si>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</si>
  <si>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</si>
  <si>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</si>
  <si>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</si>
  <si>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</si>
  <si>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</si>
  <si>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</si>
  <si>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</si>
  <si>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</si>
  <si>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</si>
  <si>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</si>
  <si>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</si>
  <si>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</si>
  <si>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</si>
  <si>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</si>
  <si>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</si>
  <si>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</si>
  <si>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</si>
  <si>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</si>
  <si>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</si>
  <si>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</si>
  <si>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</si>
  <si>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</si>
  <si>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</si>
  <si>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</si>
  <si>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</si>
  <si>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</si>
  <si>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</si>
  <si>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</si>
  <si>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</si>
  <si>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</si>
  <si>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</si>
  <si>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</si>
  <si>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</si>
  <si>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</si>
  <si>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</si>
  <si>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</si>
  <si>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</si>
  <si>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</si>
  <si>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</si>
  <si>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</si>
  <si>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</si>
  <si>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</si>
  <si>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</si>
  <si>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</si>
  <si>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</si>
  <si>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</si>
  <si>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</si>
  <si>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</si>
  <si>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</si>
  <si>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</si>
  <si>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</si>
  <si>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</si>
  <si>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</si>
  <si>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</si>
  <si>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</si>
  <si>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</si>
  <si>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</si>
  <si>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</si>
  <si>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</si>
  <si>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</si>
  <si>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</si>
  <si>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</si>
  <si>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</si>
  <si>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</si>
  <si>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</si>
  <si>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</si>
  <si>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</si>
  <si>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</si>
  <si>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</si>
  <si>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</si>
  <si>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</si>
  <si>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</si>
  <si>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</si>
  <si>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</si>
  <si>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</si>
  <si>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</si>
  <si>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</si>
  <si>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</si>
  <si>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</si>
  <si>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</si>
  <si>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</si>
  <si>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</si>
  <si>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</si>
  <si>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</si>
  <si>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</si>
  <si>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</si>
  <si>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</si>
  <si>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</si>
  <si>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</si>
  <si>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</si>
  <si>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</si>
  <si>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</si>
  <si>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</si>
  <si>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</si>
  <si>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</si>
  <si>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</si>
  <si>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</si>
  <si>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</si>
  <si>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</si>
  <si>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</si>
  <si>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</si>
  <si>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</si>
  <si>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</si>
  <si>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</si>
  <si>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</si>
  <si>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</si>
  <si>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</si>
  <si>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</si>
  <si>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</si>
  <si>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</si>
  <si>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</si>
  <si>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</si>
  <si>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</si>
  <si>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</si>
  <si>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</si>
  <si>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</si>
  <si>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</si>
  <si>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</si>
  <si>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</si>
  <si>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</si>
  <si>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</si>
  <si>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</si>
  <si>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</si>
  <si>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</si>
  <si>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</si>
  <si>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</si>
  <si>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</si>
  <si>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</si>
  <si>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</si>
  <si>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</si>
  <si>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</si>
  <si>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</si>
  <si>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</si>
  <si>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</si>
  <si>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</si>
  <si>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</si>
  <si>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</si>
  <si>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</si>
  <si>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</si>
  <si>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</si>
  <si>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</si>
  <si>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</si>
  <si>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</si>
  <si>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</si>
  <si>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</si>
  <si>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</si>
  <si>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</si>
  <si>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</si>
  <si>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</si>
  <si>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</si>
  <si>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</si>
  <si>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</si>
  <si>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</si>
  <si>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</si>
  <si>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</si>
  <si>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</si>
  <si>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</si>
  <si>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</si>
  <si>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</si>
  <si>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</si>
  <si>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</si>
  <si>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</si>
  <si>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</si>
  <si>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</si>
  <si>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</si>
  <si>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</si>
  <si>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</si>
  <si>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</si>
  <si>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</si>
  <si>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</si>
  <si>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</si>
  <si>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</si>
  <si>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</si>
  <si>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</si>
  <si>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</si>
  <si>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</si>
  <si>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</si>
  <si>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</si>
  <si>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</si>
  <si>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</si>
  <si>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</si>
  <si>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</si>
  <si>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</si>
  <si>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</si>
  <si>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</si>
  <si>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</si>
  <si>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</si>
  <si>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</si>
  <si>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</si>
  <si>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</si>
  <si>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</si>
  <si>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</si>
  <si>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</si>
  <si>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</si>
  <si>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</si>
  <si>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</si>
  <si>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</si>
  <si>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</si>
  <si>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</si>
  <si>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</si>
  <si>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</si>
  <si>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</si>
  <si>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</si>
  <si>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</si>
  <si>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</si>
  <si>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</si>
  <si>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</si>
  <si>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</si>
  <si>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</si>
  <si>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</si>
  <si>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</si>
  <si>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</si>
  <si>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</si>
  <si>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</si>
  <si>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</si>
  <si>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</si>
  <si>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</si>
  <si>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</si>
  <si>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</si>
  <si>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</si>
  <si>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</si>
  <si>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</si>
  <si>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</si>
  <si>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</si>
  <si>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</si>
  <si>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</si>
  <si>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</si>
  <si>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</si>
  <si>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</si>
  <si>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</si>
  <si>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</si>
  <si>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</si>
  <si>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</si>
  <si>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</si>
  <si>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</si>
  <si>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</si>
  <si>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</si>
  <si>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</si>
  <si>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</si>
  <si>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</si>
  <si>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</si>
  <si>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</si>
  <si>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</si>
  <si>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</si>
  <si>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</si>
  <si>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</si>
  <si>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</si>
  <si>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</si>
  <si>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</si>
  <si>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</si>
  <si>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</si>
  <si>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</si>
  <si>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</si>
  <si>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</si>
  <si>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</si>
  <si>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</si>
  <si>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</si>
  <si>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</si>
  <si>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</si>
  <si>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</si>
  <si>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</si>
  <si>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</si>
  <si>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</si>
  <si>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</si>
  <si>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</si>
  <si>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</si>
  <si>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</si>
  <si>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</si>
  <si>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</si>
  <si>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</si>
  <si>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</si>
  <si>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</si>
  <si>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</si>
  <si>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</si>
  <si>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</si>
  <si>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</si>
  <si>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</si>
  <si>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</si>
  <si>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</si>
  <si>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</si>
  <si>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</si>
  <si>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</si>
  <si>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</si>
  <si>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</si>
  <si>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</si>
  <si>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</si>
  <si>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</si>
  <si>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</si>
  <si>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</si>
  <si>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</si>
  <si>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</si>
  <si>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</si>
  <si>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</si>
  <si>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</si>
  <si>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</si>
  <si>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</si>
  <si>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</si>
  <si>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</si>
  <si>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</si>
  <si>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</si>
  <si>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</si>
  <si>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</si>
  <si>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</si>
  <si>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</si>
  <si>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</si>
  <si>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</si>
  <si>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</si>
  <si>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</si>
  <si>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</si>
  <si>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</si>
  <si>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</si>
  <si>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</si>
  <si>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</si>
  <si>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</si>
  <si>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</si>
  <si>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</si>
  <si>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</si>
  <si>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</si>
  <si>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</si>
  <si>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</si>
  <si>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</si>
  <si>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</si>
  <si>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</si>
  <si>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</si>
  <si>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</si>
  <si>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</si>
  <si>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</si>
  <si>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</si>
  <si>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</si>
  <si>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</si>
  <si>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</si>
  <si>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</si>
  <si>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</si>
  <si>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</si>
  <si>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</si>
  <si>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</si>
  <si>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</si>
  <si>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</si>
  <si>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</si>
  <si>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</si>
  <si>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</si>
  <si>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</si>
  <si>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</si>
  <si>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</si>
  <si>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</si>
  <si>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</si>
  <si>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</si>
  <si>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</si>
  <si>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</si>
  <si>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</si>
  <si>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</si>
  <si>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</si>
  <si>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</si>
  <si>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</si>
  <si>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</si>
  <si>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</si>
  <si>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</si>
  <si>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</si>
  <si>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</si>
  <si>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</si>
  <si>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</si>
  <si>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</si>
  <si>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</si>
  <si>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</si>
  <si>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</si>
  <si>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</si>
  <si>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</si>
  <si>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</si>
  <si>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</si>
  <si>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</si>
  <si>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</si>
  <si>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</si>
  <si>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</si>
  <si>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</si>
  <si>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</si>
  <si>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</si>
  <si>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</si>
  <si>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</si>
  <si>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</si>
  <si>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</si>
  <si>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</si>
  <si>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</si>
  <si>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</si>
  <si>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</si>
  <si>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</si>
  <si>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</si>
  <si>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</si>
  <si>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</si>
  <si>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</si>
  <si>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</si>
  <si>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</si>
  <si>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</si>
  <si>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</si>
  <si>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</si>
  <si>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</si>
  <si>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</si>
  <si>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</si>
  <si>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</si>
  <si>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</si>
  <si>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</si>
  <si>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</si>
  <si>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</si>
  <si>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</si>
  <si>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</si>
  <si>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</si>
  <si>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</si>
  <si>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</si>
  <si>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</si>
  <si>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</si>
  <si>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</si>
  <si>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</si>
  <si>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</si>
  <si>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</si>
  <si>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</si>
  <si>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</si>
  <si>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</si>
  <si>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</si>
  <si>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</si>
  <si>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</si>
  <si>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</si>
  <si>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</si>
  <si>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</si>
  <si>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</si>
  <si>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</si>
  <si>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</si>
  <si>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</si>
  <si>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</si>
  <si>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</si>
  <si>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</si>
  <si>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</si>
  <si>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</si>
  <si>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</si>
  <si>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</si>
  <si>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</si>
  <si>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</si>
  <si>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</si>
  <si>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</si>
  <si>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</si>
  <si>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</si>
  <si>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</si>
  <si>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</si>
  <si>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</si>
  <si>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</si>
  <si>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</si>
  <si>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</si>
  <si>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</si>
  <si>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</si>
  <si>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</si>
  <si>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</si>
  <si>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</si>
  <si>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</si>
  <si>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</si>
  <si>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</si>
  <si>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</si>
  <si>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</si>
  <si>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</si>
  <si>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</si>
  <si>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</si>
  <si>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</si>
  <si>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</si>
  <si>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</si>
  <si>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</si>
  <si>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</si>
  <si>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</si>
  <si>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</si>
  <si>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</si>
  <si>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</si>
  <si>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</si>
  <si>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</si>
  <si>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</si>
  <si>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</si>
  <si>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</si>
  <si>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</si>
  <si>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</si>
  <si>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</si>
  <si>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</si>
  <si>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</si>
  <si>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</si>
  <si>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</si>
  <si>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</si>
  <si>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</si>
  <si>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</si>
  <si>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</si>
  <si>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</si>
  <si>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</si>
  <si>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</si>
  <si>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</si>
  <si>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</si>
  <si>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</si>
  <si>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</si>
  <si>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</si>
  <si>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</si>
  <si>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</si>
  <si>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</si>
  <si>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</si>
  <si>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</si>
  <si>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</si>
  <si>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</si>
  <si>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</si>
  <si>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</si>
  <si>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</si>
  <si>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</si>
  <si>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</si>
  <si>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</si>
  <si>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</si>
  <si>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</si>
  <si>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</si>
  <si>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</si>
  <si>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</si>
  <si>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</si>
  <si>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</si>
  <si>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</si>
  <si>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</si>
  <si>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</si>
  <si>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</si>
  <si>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</si>
  <si>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</si>
  <si>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</si>
  <si>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</si>
  <si>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</si>
  <si>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</si>
  <si>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</si>
  <si>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</si>
  <si>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</si>
  <si>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</si>
  <si>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</si>
  <si>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</si>
  <si>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</si>
  <si>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</si>
  <si>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</si>
  <si>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</si>
  <si>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</si>
  <si>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</si>
  <si>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</si>
  <si>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</si>
  <si>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</si>
  <si>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</si>
  <si>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</si>
  <si>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</si>
  <si>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</si>
  <si>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</si>
  <si>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</si>
  <si>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</si>
  <si>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</si>
  <si>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</si>
  <si>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</si>
  <si>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</si>
  <si>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</si>
  <si>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</si>
  <si>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</si>
  <si>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</si>
  <si>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</si>
  <si>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</si>
  <si>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</si>
  <si>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</si>
  <si>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</si>
  <si>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</si>
  <si>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</si>
  <si>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</si>
  <si>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</si>
  <si>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</si>
  <si>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</si>
  <si>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</si>
  <si>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</si>
  <si>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</si>
  <si>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</si>
  <si>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</si>
  <si>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</si>
  <si>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</si>
  <si>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</si>
  <si>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</si>
  <si>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</si>
  <si>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</si>
  <si>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</si>
  <si>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</si>
  <si>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</si>
  <si>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</si>
  <si>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</si>
  <si>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</si>
  <si>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</si>
  <si>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</si>
  <si>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</si>
  <si>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</si>
  <si>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</si>
  <si>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</si>
  <si>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</si>
  <si>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</si>
  <si>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</si>
  <si>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</si>
  <si>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</si>
  <si>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</si>
  <si>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</si>
  <si>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</si>
  <si>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</si>
  <si>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</si>
  <si>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</si>
  <si>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</si>
  <si>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</si>
  <si>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</si>
  <si>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</si>
  <si>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</si>
  <si>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</si>
  <si>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</si>
  <si>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</si>
  <si>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</si>
  <si>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</si>
  <si>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</si>
  <si>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</si>
  <si>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</si>
  <si>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</si>
  <si>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</si>
  <si>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</si>
  <si>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</si>
  <si>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</si>
  <si>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</si>
  <si>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</si>
  <si>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</si>
  <si>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</si>
  <si>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</si>
  <si>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</si>
  <si>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</si>
  <si>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</si>
  <si>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</si>
  <si>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</si>
  <si>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</si>
  <si>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</si>
  <si>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</si>
  <si>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</si>
  <si>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</si>
  <si>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</si>
  <si>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</si>
  <si>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</si>
  <si>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</si>
  <si>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</si>
  <si>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</si>
  <si>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</si>
  <si>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</si>
  <si>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</si>
  <si>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</si>
  <si>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</si>
  <si>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</si>
  <si>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</si>
  <si>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</si>
  <si>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</si>
  <si>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</si>
  <si>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</si>
  <si>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</si>
  <si>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</si>
  <si>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</si>
  <si>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</si>
  <si>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</si>
  <si>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</si>
  <si>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</si>
  <si>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</si>
  <si>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</si>
  <si>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</si>
  <si>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</si>
  <si>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</si>
  <si>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</si>
  <si>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</si>
  <si>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</si>
  <si>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</si>
  <si>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</si>
  <si>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</si>
  <si>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</si>
  <si>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</si>
  <si>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</si>
  <si>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</si>
  <si>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</si>
  <si>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</si>
  <si>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</si>
  <si>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</si>
  <si>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</si>
  <si>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</si>
  <si>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</si>
  <si>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</si>
  <si>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</si>
  <si>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</si>
  <si>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</si>
  <si>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</si>
  <si>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</si>
  <si>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</si>
  <si>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</si>
  <si>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</si>
  <si>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</si>
  <si>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</si>
  <si>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</si>
  <si>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</si>
  <si>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</si>
  <si>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</si>
  <si>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</si>
  <si>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</si>
  <si>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</si>
  <si>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</si>
  <si>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</si>
  <si>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</si>
  <si>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</si>
  <si>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</si>
  <si>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</si>
  <si>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</si>
  <si>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</si>
  <si>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</si>
  <si>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</si>
  <si>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</si>
  <si>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</si>
  <si>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</si>
  <si>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</si>
  <si>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</si>
  <si>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</si>
  <si>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</si>
  <si>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</si>
  <si>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</si>
  <si>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</si>
  <si>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</si>
  <si>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</si>
  <si>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</si>
  <si>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</si>
  <si>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</si>
  <si>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</si>
  <si>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</si>
  <si>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</si>
  <si>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</si>
  <si>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</si>
  <si>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</si>
  <si>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</si>
  <si>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</si>
  <si>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</si>
  <si>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</si>
  <si>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</si>
  <si>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</si>
  <si>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</si>
  <si>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</si>
  <si>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</si>
  <si>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</si>
  <si>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</si>
  <si>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</si>
  <si>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</si>
  <si>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</si>
  <si>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</si>
  <si>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</si>
  <si>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</si>
  <si>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</si>
  <si>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</si>
  <si>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</si>
  <si>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</si>
  <si>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</si>
  <si>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</si>
  <si>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</si>
  <si>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</si>
  <si>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</si>
  <si>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</si>
  <si>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</si>
  <si>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</si>
  <si>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</si>
  <si>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</si>
  <si>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</si>
  <si>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</si>
  <si>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</si>
  <si>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</si>
  <si>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</si>
  <si>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</si>
  <si>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</si>
  <si>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</si>
  <si>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</si>
  <si>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</si>
  <si>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</si>
  <si>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</si>
  <si>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</si>
  <si>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</si>
  <si>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</si>
  <si>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</si>
  <si>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</si>
  <si>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</si>
  <si>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</si>
  <si>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</si>
  <si>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</si>
  <si>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</si>
  <si>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</si>
  <si>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</si>
  <si>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</si>
  <si>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</si>
  <si>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</si>
  <si>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</si>
  <si>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</si>
  <si>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</si>
  <si>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</si>
  <si>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</si>
  <si>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</si>
  <si>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</si>
  <si>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</si>
  <si>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</si>
  <si>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</si>
  <si>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</si>
  <si>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</si>
  <si>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</si>
  <si>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</si>
  <si>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</si>
  <si>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</si>
  <si>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</si>
  <si>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</si>
  <si>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</si>
  <si>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</si>
  <si>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</si>
  <si>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</si>
  <si>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</si>
  <si>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</si>
  <si>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</si>
  <si>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</si>
  <si>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</si>
  <si>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</si>
  <si>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</si>
  <si>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</si>
  <si>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</si>
  <si>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</si>
  <si>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</si>
  <si>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</si>
  <si>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</si>
  <si>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</si>
  <si>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</si>
  <si>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</si>
  <si>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</si>
  <si>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</si>
  <si>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</si>
  <si>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</si>
  <si>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</si>
  <si>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</si>
  <si>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</si>
  <si>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</si>
  <si>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</si>
  <si>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</si>
  <si>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</si>
  <si>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</si>
  <si>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</si>
  <si>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</si>
  <si>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</si>
  <si>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</si>
  <si>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</si>
  <si>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</si>
  <si>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</si>
  <si>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</si>
  <si>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</si>
  <si>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</si>
  <si>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</si>
  <si>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</si>
  <si>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</si>
  <si>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</si>
  <si>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</si>
  <si>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</si>
  <si>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</si>
  <si>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</si>
  <si>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</si>
  <si>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</si>
  <si>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</si>
  <si>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</si>
  <si>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</si>
  <si>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</si>
  <si>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</si>
  <si>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</si>
  <si>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</si>
  <si>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</si>
  <si>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</si>
  <si>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</si>
  <si>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</si>
  <si>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</si>
  <si>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</si>
  <si>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</si>
  <si>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</si>
  <si>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</si>
  <si>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</si>
  <si>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</si>
  <si>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</si>
  <si>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</si>
  <si>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</si>
  <si>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</si>
  <si>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</si>
  <si>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</si>
  <si>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</si>
  <si>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</si>
  <si>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</si>
  <si>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</si>
  <si>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</si>
  <si>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</si>
  <si>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</si>
  <si>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</si>
  <si>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</si>
  <si>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</si>
  <si>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</si>
  <si>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</si>
  <si>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</si>
  <si>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</si>
  <si>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</si>
  <si>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</si>
  <si>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</si>
  <si>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</si>
  <si>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</si>
  <si>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</si>
  <si>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</si>
  <si>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</si>
  <si>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</si>
  <si>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</si>
  <si>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</si>
  <si>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</si>
  <si>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</si>
  <si>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</si>
  <si>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</si>
  <si>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</si>
  <si>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</si>
  <si>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</si>
  <si>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</si>
  <si>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</si>
  <si>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</si>
  <si>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</si>
  <si>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</si>
  <si>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</si>
  <si>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</si>
  <si>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</si>
  <si>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</si>
  <si>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</si>
  <si>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</si>
  <si>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</si>
  <si>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</si>
  <si>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</si>
  <si>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</si>
  <si>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</si>
  <si>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</si>
  <si>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</si>
  <si>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</si>
  <si>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</si>
  <si>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</si>
  <si>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</si>
  <si>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</si>
  <si>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</si>
  <si>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</si>
  <si>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</si>
  <si>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</si>
  <si>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</si>
  <si>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</si>
  <si>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</si>
  <si>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</si>
  <si>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</si>
  <si>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</si>
  <si>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</si>
  <si>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</si>
  <si>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</si>
  <si>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</si>
  <si>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</si>
  <si>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</si>
  <si>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</si>
  <si>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</si>
  <si>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</si>
  <si>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</si>
  <si>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</si>
  <si>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</si>
  <si>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</si>
  <si>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</si>
  <si>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</si>
  <si>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</si>
  <si>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</si>
  <si>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</si>
  <si>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</si>
  <si>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</si>
  <si>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</si>
  <si>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</si>
  <si>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</si>
  <si>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</si>
  <si>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</si>
  <si>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</si>
  <si>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</si>
  <si>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</si>
  <si>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</si>
  <si>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</si>
  <si>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</si>
  <si>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</si>
  <si>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</si>
  <si>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</si>
  <si>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</si>
  <si>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</si>
  <si>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</si>
  <si>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</si>
  <si>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</si>
  <si>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</si>
  <si>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</si>
  <si>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</si>
  <si>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</si>
  <si>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</si>
  <si>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</si>
  <si>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</si>
  <si>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</si>
  <si>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</si>
  <si>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</si>
  <si>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</si>
  <si>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</si>
  <si>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</si>
  <si>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</si>
  <si>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</si>
  <si>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</si>
  <si>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</si>
  <si>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</si>
  <si>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</si>
  <si>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</si>
  <si>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</si>
  <si>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</si>
  <si>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</si>
  <si>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</si>
  <si>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</si>
  <si>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</si>
  <si>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</si>
  <si>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</si>
  <si>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</si>
  <si>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</si>
  <si>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</si>
  <si>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</si>
  <si>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</si>
  <si>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</si>
  <si>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</si>
  <si>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</si>
  <si>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</si>
  <si>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</si>
  <si>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</si>
  <si>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</si>
  <si>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</si>
  <si>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</si>
  <si>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</si>
  <si>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</si>
  <si>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</si>
  <si>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</si>
  <si>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</si>
  <si>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</si>
  <si>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</si>
  <si>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</si>
  <si>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</si>
  <si>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</si>
  <si>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</si>
  <si>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</si>
  <si>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</si>
  <si>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</si>
  <si>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</si>
  <si>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</si>
  <si>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</si>
  <si>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</si>
  <si>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</si>
  <si>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</si>
  <si>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</si>
  <si>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</si>
  <si>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</si>
  <si>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</si>
  <si>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</si>
  <si>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</si>
  <si>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</si>
  <si>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</si>
  <si>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</si>
  <si>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</si>
  <si>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</si>
  <si>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</si>
  <si>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</si>
  <si>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</si>
  <si>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</si>
  <si>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</si>
  <si>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</si>
  <si>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</si>
  <si>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</si>
  <si>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</si>
  <si>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</si>
  <si>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</si>
  <si>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</si>
  <si>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</si>
  <si>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</si>
  <si>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</si>
  <si>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</si>
  <si>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</si>
  <si>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</si>
  <si>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</si>
  <si>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</si>
  <si>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</si>
  <si>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</si>
  <si>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</si>
  <si>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</si>
  <si>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</si>
  <si>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</si>
  <si>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</si>
  <si>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</si>
  <si>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</si>
  <si>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</si>
  <si>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</si>
  <si>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</si>
  <si>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</si>
  <si>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</si>
  <si>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</si>
  <si>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</si>
  <si>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</si>
  <si>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</si>
  <si>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</si>
  <si>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</si>
  <si>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</si>
  <si>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</si>
  <si>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</si>
  <si>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</si>
  <si>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</si>
  <si>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</si>
  <si>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</si>
  <si>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</si>
  <si>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</si>
  <si>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</si>
  <si>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</si>
  <si>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</si>
  <si>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</si>
  <si>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</si>
  <si>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</si>
  <si>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</si>
  <si>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</si>
  <si>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</si>
  <si>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</si>
  <si>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</si>
  <si>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</si>
  <si>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</si>
  <si>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</si>
  <si>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</si>
  <si>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</si>
  <si>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</si>
  <si>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</si>
  <si>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</si>
  <si>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</si>
  <si>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</si>
  <si>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</si>
  <si>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</si>
  <si>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</si>
  <si>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</si>
  <si>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</si>
  <si>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</si>
  <si>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</si>
  <si>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</si>
  <si>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</si>
  <si>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</si>
  <si>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</si>
  <si>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</si>
  <si>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</si>
  <si>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</si>
  <si>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</si>
  <si>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</si>
  <si>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</si>
  <si>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</si>
  <si>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</si>
  <si>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</si>
  <si>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</si>
  <si>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</si>
  <si>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</si>
  <si>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</si>
  <si>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</si>
  <si>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</si>
  <si>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</si>
  <si>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</si>
  <si>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</si>
  <si>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</si>
  <si>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</si>
  <si>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</si>
  <si>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</si>
  <si>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</si>
  <si>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</si>
  <si>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</si>
  <si>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</si>
  <si>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</si>
  <si>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</si>
  <si>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</si>
  <si>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</si>
  <si>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</si>
  <si>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</si>
  <si>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</si>
  <si>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</si>
  <si>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</si>
  <si>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</si>
  <si>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</si>
  <si>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</si>
  <si>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</si>
  <si>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</si>
  <si>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</si>
  <si>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</si>
  <si>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</si>
  <si>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</si>
  <si>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</si>
  <si>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</si>
  <si>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</si>
  <si>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</si>
  <si>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</si>
  <si>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</si>
  <si>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</si>
  <si>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</si>
  <si>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</si>
  <si>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</si>
  <si>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</si>
  <si>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</si>
  <si>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</si>
  <si>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</si>
  <si>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</si>
  <si>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</si>
  <si>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</si>
  <si>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</si>
  <si>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</si>
  <si>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</si>
  <si>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</si>
  <si>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</si>
  <si>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</si>
  <si>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</si>
  <si>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</si>
  <si>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</si>
  <si>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</si>
  <si>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</si>
  <si>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</si>
  <si>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</si>
  <si>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</si>
  <si>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</si>
  <si>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</si>
  <si>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</si>
  <si>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</si>
  <si>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</si>
  <si>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</si>
  <si>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</si>
  <si>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</si>
  <si>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</si>
  <si>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</si>
  <si>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</si>
  <si>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</si>
  <si>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</si>
  <si>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</si>
  <si>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</si>
  <si>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</si>
  <si>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</si>
  <si>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</si>
  <si>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</si>
  <si>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</si>
  <si>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</si>
  <si>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</si>
  <si>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</si>
  <si>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</si>
  <si>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</si>
  <si>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</si>
  <si>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</si>
  <si>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</si>
  <si>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</si>
  <si>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</si>
  <si>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</si>
  <si>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</si>
  <si>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</si>
  <si>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</si>
  <si>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</si>
  <si>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</si>
  <si>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</si>
  <si>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</si>
  <si>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</si>
  <si>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</si>
  <si>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</si>
  <si>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</si>
  <si>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</si>
  <si>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</si>
  <si>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</si>
  <si>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</si>
  <si>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</si>
  <si>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</si>
  <si>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</si>
  <si>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</si>
  <si>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</si>
  <si>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</si>
  <si>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</si>
  <si>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</si>
  <si>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</si>
  <si>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</si>
  <si>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</si>
  <si>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</si>
  <si>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</si>
  <si>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</si>
  <si>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</si>
  <si>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</si>
  <si>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</si>
  <si>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</si>
  <si>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</si>
  <si>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</si>
  <si>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</si>
  <si>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</si>
  <si>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</si>
  <si>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</si>
  <si>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</si>
  <si>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</si>
  <si>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</si>
  <si>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</si>
  <si>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</si>
  <si>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</si>
  <si>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</si>
  <si>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</si>
  <si>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</si>
  <si>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</si>
  <si>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</si>
  <si>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</si>
  <si>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</si>
  <si>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</si>
  <si>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</si>
  <si>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</si>
  <si>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</si>
  <si>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</si>
  <si>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</si>
  <si>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</si>
  <si>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</si>
  <si>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</si>
  <si>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</si>
  <si>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</si>
  <si>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</si>
  <si>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</si>
  <si>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</si>
  <si>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</si>
  <si>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</si>
  <si>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</si>
  <si>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</si>
  <si>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</si>
  <si>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</si>
  <si>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</si>
  <si>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</si>
  <si>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</si>
  <si>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</si>
  <si>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</si>
  <si>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</si>
  <si>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</si>
  <si>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</si>
  <si>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</si>
  <si>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</si>
  <si>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</si>
  <si>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</si>
  <si>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</si>
  <si>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</si>
  <si>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</si>
  <si>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</si>
  <si>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</si>
  <si>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</si>
  <si>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</si>
  <si>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</si>
  <si>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</si>
  <si>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</si>
  <si>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</si>
  <si>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</si>
  <si>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</si>
  <si>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</si>
  <si>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</si>
  <si>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</si>
  <si>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</si>
  <si>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</si>
  <si>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</si>
  <si>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</si>
  <si>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</si>
  <si>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</si>
  <si>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</si>
  <si>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</si>
  <si>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</si>
  <si>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</si>
  <si>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</si>
  <si>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</si>
  <si>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</si>
  <si>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</si>
  <si>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</si>
  <si>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</si>
  <si>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</si>
  <si>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</si>
  <si>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</si>
  <si>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</si>
  <si>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</si>
  <si>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</si>
  <si>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</si>
  <si>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</si>
  <si>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</si>
  <si>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</si>
  <si>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</si>
  <si>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</si>
  <si>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</si>
  <si>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</si>
  <si>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</si>
  <si>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</si>
  <si>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</si>
  <si>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</si>
  <si>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</si>
  <si>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</si>
  <si>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</si>
  <si>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</si>
  <si>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</si>
  <si>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</si>
  <si>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</si>
  <si>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</si>
  <si>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</si>
  <si>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</si>
  <si>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</si>
  <si>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</si>
  <si>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</si>
  <si>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</si>
  <si>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</si>
  <si>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</si>
  <si>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</si>
  <si>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</si>
  <si>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</si>
  <si>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</si>
  <si>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</si>
  <si>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</si>
  <si>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</si>
  <si>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</si>
  <si>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</si>
  <si>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</si>
  <si>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</si>
  <si>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</si>
  <si>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</si>
  <si>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</si>
  <si>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</si>
  <si>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</si>
  <si>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</si>
  <si>
    <t>巨量引擎-二类</t>
    <phoneticPr fontId="4" type="noConversion"/>
  </si>
  <si>
    <t>巨量引擎-一类</t>
    <phoneticPr fontId="4" type="noConversion"/>
  </si>
  <si>
    <t>CPT</t>
    <phoneticPr fontId="4" type="noConversion"/>
  </si>
  <si>
    <t>搜索</t>
    <phoneticPr fontId="4" type="noConversion"/>
  </si>
  <si>
    <t>巨量引擎-二类</t>
    <phoneticPr fontId="4" type="noConversion"/>
  </si>
  <si>
    <t>巨量引擎-三类</t>
    <phoneticPr fontId="4" type="noConversion"/>
  </si>
  <si>
    <t>巨量引擎-一类平台/电商</t>
    <phoneticPr fontId="4" type="noConversion"/>
  </si>
  <si>
    <t>巨量引擎-一类</t>
    <phoneticPr fontId="4" type="noConversion"/>
  </si>
  <si>
    <t>巨量引擎-二类</t>
    <phoneticPr fontId="4" type="noConversion"/>
  </si>
  <si>
    <t>巨量引擎-一类平台/电商</t>
    <phoneticPr fontId="4" type="noConversion"/>
  </si>
  <si>
    <t>巨量引擎-三类</t>
    <phoneticPr fontId="4" type="noConversion"/>
  </si>
  <si>
    <t>巨量引擎-游戏</t>
    <phoneticPr fontId="4" type="noConversion"/>
  </si>
  <si>
    <t>巨量引擎-一类</t>
    <phoneticPr fontId="4" type="noConversion"/>
  </si>
  <si>
    <t>巨量引擎-二类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</si>
  <si>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</si>
  <si>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</si>
  <si>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</si>
  <si>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</si>
  <si>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</si>
  <si>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</si>
  <si>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</si>
  <si>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</si>
  <si>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</si>
  <si>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</si>
  <si>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</si>
  <si>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</si>
  <si>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</si>
  <si>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</si>
  <si>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</si>
  <si>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</si>
  <si>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</si>
  <si>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</si>
  <si>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</si>
  <si>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</si>
  <si>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</si>
  <si>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</si>
  <si>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</si>
  <si>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</si>
  <si>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</si>
  <si>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</si>
  <si>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</si>
  <si>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</si>
  <si>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</si>
  <si>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</si>
  <si>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</si>
  <si>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</si>
  <si>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</si>
  <si>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</si>
  <si>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</si>
  <si>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</si>
  <si>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</si>
  <si>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</si>
  <si>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</si>
  <si>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</si>
  <si>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</si>
  <si>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</si>
  <si>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</si>
  <si>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</si>
  <si>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</si>
  <si>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</si>
  <si>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</si>
  <si>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</si>
  <si>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</si>
  <si>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</si>
  <si>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</si>
  <si>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</si>
  <si>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</si>
  <si>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</si>
  <si>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</si>
  <si>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</si>
  <si>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</si>
  <si>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</si>
  <si>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</si>
  <si>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</si>
  <si>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</si>
  <si>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</si>
  <si>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</si>
  <si>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</si>
  <si>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</si>
  <si>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</si>
  <si>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</si>
  <si>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</si>
  <si>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</si>
  <si>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</si>
  <si>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</si>
  <si>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</si>
  <si>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</si>
  <si>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</si>
  <si>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</si>
  <si>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</si>
  <si>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</si>
  <si>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</si>
  <si>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</si>
  <si>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</si>
  <si>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</si>
  <si>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</si>
  <si>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</si>
  <si>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</si>
  <si>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</si>
  <si>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</si>
  <si>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</si>
  <si>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</si>
  <si>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</si>
  <si>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</si>
  <si>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</si>
  <si>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</si>
  <si>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</si>
  <si>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</si>
  <si>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</si>
  <si>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</si>
  <si>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</si>
  <si>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</si>
  <si>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</si>
  <si>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</si>
  <si>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</si>
  <si>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</si>
  <si>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</si>
  <si>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</si>
  <si>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</si>
  <si>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</si>
  <si>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</si>
  <si>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</si>
  <si>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</si>
  <si>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</si>
  <si>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</si>
  <si>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</si>
  <si>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</si>
  <si>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</si>
  <si>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</si>
  <si>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</si>
  <si>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</si>
  <si>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</si>
  <si>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</si>
  <si>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</si>
  <si>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</si>
  <si>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</si>
  <si>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</si>
  <si>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</si>
  <si>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</si>
  <si>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</si>
  <si>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</si>
  <si>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</si>
  <si>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</si>
  <si>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</si>
  <si>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</si>
  <si>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</si>
  <si>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</si>
  <si>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</si>
  <si>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</si>
  <si>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</si>
  <si>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</si>
  <si>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</si>
  <si>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</si>
  <si>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</si>
  <si>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</si>
  <si>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</si>
  <si>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</si>
  <si>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</si>
  <si>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</si>
  <si>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</si>
  <si>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</si>
  <si>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</si>
  <si>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</si>
  <si>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</si>
  <si>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</si>
  <si>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</si>
  <si>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</si>
  <si>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</si>
  <si>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</si>
  <si>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</si>
  <si>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</si>
  <si>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</si>
  <si>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</si>
  <si>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</si>
  <si>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</si>
  <si>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</si>
  <si>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</si>
  <si>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</si>
  <si>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</si>
  <si>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</si>
  <si>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</si>
  <si>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</si>
  <si>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</si>
  <si>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</si>
  <si>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</si>
  <si>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</si>
  <si>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</si>
  <si>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</si>
  <si>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</si>
  <si>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</si>
  <si>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</si>
  <si>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</si>
  <si>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</si>
  <si>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</si>
  <si>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</si>
  <si>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</si>
  <si>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巨量引擎-二类</t>
    <phoneticPr fontId="5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</si>
  <si>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</si>
  <si>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</si>
  <si>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</si>
  <si>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</si>
  <si>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</si>
  <si>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</si>
  <si>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巨量引擎-一类</t>
    <phoneticPr fontId="4" type="noConversion"/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</si>
  <si>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</si>
  <si>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</si>
  <si>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</si>
  <si>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</si>
  <si>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</si>
  <si>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巨量引擎-三类</t>
    <phoneticPr fontId="4" type="noConversion"/>
  </si>
  <si>
    <t>巨量引擎-三类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</si>
  <si>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</si>
  <si>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</si>
  <si>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</si>
  <si>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</si>
  <si>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</si>
  <si>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</si>
  <si>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</si>
  <si>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</si>
  <si>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</si>
  <si>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</si>
  <si>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</si>
  <si>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</si>
  <si>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</si>
  <si>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</si>
  <si>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巨量引擎-一类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</si>
  <si>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</si>
  <si>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</si>
  <si>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</si>
  <si>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</si>
  <si>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</si>
  <si>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</si>
  <si>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</si>
  <si>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</si>
  <si>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</si>
  <si>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巨量引擎-一类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</si>
  <si>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</si>
  <si>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</si>
  <si>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</si>
  <si>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</si>
  <si>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</si>
  <si>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</si>
  <si>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</si>
  <si>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</si>
  <si>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</si>
  <si>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</si>
  <si>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</si>
  <si>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</si>
  <si>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</si>
  <si>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</si>
  <si>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</si>
  <si>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</si>
  <si>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</si>
  <si>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</si>
  <si>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</si>
  <si>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</si>
  <si>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</si>
  <si>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</si>
  <si>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</si>
  <si>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</si>
  <si>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</si>
  <si>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</si>
  <si>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</si>
  <si>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</si>
  <si>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</si>
  <si>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</si>
  <si>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</si>
  <si>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</si>
  <si>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</si>
  <si>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</si>
  <si>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</si>
  <si>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</si>
  <si>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</si>
  <si>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</si>
  <si>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</si>
  <si>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</si>
  <si>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</si>
  <si>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</si>
  <si>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</si>
  <si>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</si>
  <si>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</si>
  <si>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</si>
  <si>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</si>
  <si>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</si>
  <si>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</si>
  <si>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</si>
  <si>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</si>
  <si>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</si>
  <si>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</si>
  <si>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</si>
  <si>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</si>
  <si>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</si>
  <si>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</si>
  <si>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</si>
  <si>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</si>
  <si>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</si>
  <si>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</si>
  <si>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</si>
  <si>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</si>
  <si>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</si>
  <si>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</si>
  <si>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</si>
  <si>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</si>
  <si>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</si>
  <si>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</si>
  <si>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</si>
  <si>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</si>
  <si>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</si>
  <si>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</si>
  <si>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</si>
  <si>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</si>
  <si>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</si>
  <si>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</si>
  <si>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</si>
  <si>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</si>
  <si>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</si>
  <si>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</si>
  <si>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</si>
  <si>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</si>
  <si>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</si>
  <si>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</si>
  <si>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</si>
  <si>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</si>
  <si>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</si>
  <si>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</si>
  <si>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</si>
  <si>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</si>
  <si>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</si>
  <si>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</si>
  <si>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</si>
  <si>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</si>
  <si>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</si>
  <si>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</si>
  <si>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</si>
  <si>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</si>
  <si>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</si>
  <si>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</si>
  <si>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</si>
  <si>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</si>
  <si>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</si>
  <si>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</si>
  <si>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</si>
  <si>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</si>
  <si>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</si>
  <si>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</si>
  <si>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</si>
  <si>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</si>
  <si>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</si>
  <si>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</si>
  <si>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</si>
  <si>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</si>
  <si>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</si>
  <si>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</si>
  <si>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</si>
  <si>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</si>
  <si>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</si>
  <si>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</si>
  <si>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</si>
  <si>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</si>
  <si>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</si>
  <si>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</si>
  <si>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</si>
  <si>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</si>
  <si>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</si>
  <si>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</si>
  <si>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</si>
  <si>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</si>
  <si>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</si>
  <si>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</si>
  <si>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</si>
  <si>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</si>
  <si>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</si>
  <si>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</si>
  <si>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</si>
  <si>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</si>
  <si>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</si>
  <si>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</si>
  <si>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</si>
  <si>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</si>
  <si>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</si>
  <si>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</si>
  <si>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</si>
  <si>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</si>
  <si>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</si>
  <si>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</si>
  <si>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</si>
  <si>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</si>
  <si>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</si>
  <si>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</si>
  <si>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</si>
  <si>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</si>
  <si>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</si>
  <si>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</si>
  <si>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</si>
  <si>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</si>
  <si>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巨量引擎-一类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</si>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</sst>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59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8188"/>
  <sheetViews>
    <sheetView tabSelected="1" topLeftCell="R1" zoomScale="80" zoomScaleNormal="80" workbookViewId="0">
      <pane ySplit="1" topLeftCell="A2" activePane="bottomLeft" state="frozen"/>
      <selection pane="bottomLeft" activeCell="X8190" sqref="X8190"/>
    </sheetView>
  </sheetViews>
  <sheetFormatPr defaultColWidth="8.6640625" defaultRowHeight="13" x14ac:dyDescent="0.3"/>
  <cols>
    <col min="1" max="1" width="8.4140625" style="128" customWidth="1"/>
    <col min="2" max="2" width="8.6640625" style="3"/>
    <col min="3" max="4" width="8.6640625" style="3" customWidth="1"/>
    <col min="5" max="5" width="20.75" style="3" customWidth="1"/>
    <col min="6" max="6" width="28.25" style="3" customWidth="1"/>
    <col min="7" max="7" width="25.33203125" style="3" customWidth="1"/>
    <col min="8" max="8" width="5.4140625" style="153" customWidth="1"/>
    <col min="9" max="9" width="29.4140625" style="3" customWidth="1"/>
    <col min="10" max="10" width="5.08203125" style="1" customWidth="1"/>
    <col min="11" max="11" width="12.75" style="1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5.08203125" style="85" customWidth="1"/>
    <col min="19" max="19" width="23.9140625" style="3" customWidth="1"/>
    <col min="20" max="20" width="16.332031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8.66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38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11949215.409999998</v>
      </c>
      <c r="AM1" s="124">
        <f>SUBTOTAL(9,AK:AK)</f>
        <v>0</v>
      </c>
      <c r="AN1" s="123">
        <f>AL1+AM1-媒体表!W1</f>
        <v>-1994774859.3285038</v>
      </c>
    </row>
    <row r="2" spans="1:40" hidden="1" x14ac:dyDescent="0.3">
      <c r="A2" s="85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38</v>
      </c>
      <c r="G2" s="3" t="s">
        <v>38</v>
      </c>
      <c r="H2" s="138"/>
      <c r="I2" s="3" t="s">
        <v>39</v>
      </c>
      <c r="J2" s="1" t="s">
        <v>3671</v>
      </c>
      <c r="L2" s="1" t="s">
        <v>3388</v>
      </c>
      <c r="M2" s="3" t="s">
        <v>38</v>
      </c>
      <c r="O2" s="1" t="s">
        <v>40</v>
      </c>
      <c r="P2" s="1" t="s">
        <v>41</v>
      </c>
      <c r="Q2" s="2">
        <v>0</v>
      </c>
      <c r="R2" s="138">
        <v>1000000850</v>
      </c>
      <c r="T2" s="4">
        <v>0</v>
      </c>
      <c r="U2" s="4">
        <v>-5559.39</v>
      </c>
      <c r="V2" s="4">
        <v>0</v>
      </c>
      <c r="W2" s="13">
        <f t="shared" ref="W2:W17" si="0">T2+U2-V2</f>
        <v>-5559.39</v>
      </c>
      <c r="X2" s="13">
        <f t="shared" ref="X2:X17" si="1">IF(P2="折扣",V2*Q2,IF(P2="返现",V2,V2/(1+Q2)))</f>
        <v>0</v>
      </c>
      <c r="Y2" s="13">
        <f>IF(X2-AD2&lt;=0,0,IF(P2="返现",MAX(X2-AC2-AD2,0),MAX(X2-AD2)))</f>
        <v>0</v>
      </c>
      <c r="Z2" s="2">
        <v>0.02</v>
      </c>
      <c r="AA2" s="4">
        <f>X2*Z2</f>
        <v>0</v>
      </c>
      <c r="AB2" s="4">
        <f>X2+AA2</f>
        <v>0</v>
      </c>
      <c r="AC2" s="6">
        <f>IF(P2="返现",X2*Q2,V2-X2)</f>
        <v>0</v>
      </c>
      <c r="AD2" s="4">
        <v>0</v>
      </c>
      <c r="AE2" s="2">
        <v>0</v>
      </c>
      <c r="AF2" s="5">
        <f>AD2*AE2</f>
        <v>0</v>
      </c>
      <c r="AG2" s="2">
        <v>0</v>
      </c>
      <c r="AH2" s="4">
        <f>AD2</f>
        <v>0</v>
      </c>
      <c r="AJ2" s="126" t="e">
        <v>#N/A</v>
      </c>
      <c r="AK2" s="80">
        <f>X2+AA2-AB2</f>
        <v>0</v>
      </c>
      <c r="AM2" s="85"/>
    </row>
    <row r="3" spans="1:40" hidden="1" x14ac:dyDescent="0.3">
      <c r="A3" s="85" t="s">
        <v>34</v>
      </c>
      <c r="B3" s="3" t="s">
        <v>35</v>
      </c>
      <c r="C3" s="3" t="s">
        <v>36</v>
      </c>
      <c r="D3" s="3" t="s">
        <v>37</v>
      </c>
      <c r="E3" s="3" t="s">
        <v>42</v>
      </c>
      <c r="F3" s="3" t="s">
        <v>43</v>
      </c>
      <c r="G3" s="3" t="s">
        <v>42</v>
      </c>
      <c r="H3" s="138"/>
      <c r="I3" s="3" t="s">
        <v>44</v>
      </c>
      <c r="J3" s="1" t="s">
        <v>3671</v>
      </c>
      <c r="L3" s="1" t="s">
        <v>3388</v>
      </c>
      <c r="M3" s="3" t="s">
        <v>42</v>
      </c>
      <c r="O3" s="1" t="s">
        <v>45</v>
      </c>
      <c r="P3" s="1" t="s">
        <v>46</v>
      </c>
      <c r="Q3" s="2">
        <v>0.2</v>
      </c>
      <c r="R3" s="138">
        <v>362335</v>
      </c>
      <c r="T3" s="4">
        <v>145.93900000000758</v>
      </c>
      <c r="U3" s="4">
        <v>-1124.4100000000001</v>
      </c>
      <c r="V3" s="4">
        <v>0</v>
      </c>
      <c r="W3" s="13">
        <f t="shared" si="0"/>
        <v>-978.4709999999925</v>
      </c>
      <c r="X3" s="13">
        <f t="shared" si="1"/>
        <v>0</v>
      </c>
      <c r="Y3" s="13">
        <f t="shared" ref="Y3:Y66" si="2">IF(X3-AD3&lt;=0,0,IF(P3="返现",MAX(X3-AC3-AD3,0),MAX(X3-AD3)))</f>
        <v>0</v>
      </c>
      <c r="Z3" s="2">
        <v>0</v>
      </c>
      <c r="AA3" s="4">
        <v>0</v>
      </c>
      <c r="AB3" s="4">
        <f t="shared" ref="AB3:AB66" si="3">X3+AA3</f>
        <v>0</v>
      </c>
      <c r="AC3" s="6">
        <f t="shared" ref="AC3:AC66" si="4">IF(P3="返现",X3*Q3,V3-X3)</f>
        <v>0</v>
      </c>
      <c r="AD3" s="4">
        <v>0</v>
      </c>
      <c r="AE3" s="2">
        <v>0</v>
      </c>
      <c r="AF3" s="5">
        <f t="shared" ref="AF3:AF66" si="5">AD3*AE3</f>
        <v>0</v>
      </c>
      <c r="AG3" s="2">
        <v>0</v>
      </c>
      <c r="AH3" s="4">
        <f t="shared" ref="AH3:AH17" si="6">AD3</f>
        <v>0</v>
      </c>
      <c r="AJ3" s="126" t="e">
        <v>#N/A</v>
      </c>
      <c r="AK3" s="80">
        <f t="shared" ref="AK3:AK66" si="7">X3+AA3-AB3</f>
        <v>0</v>
      </c>
      <c r="AM3" s="85"/>
    </row>
    <row r="4" spans="1:40" hidden="1" x14ac:dyDescent="0.3">
      <c r="A4" s="85" t="s">
        <v>34</v>
      </c>
      <c r="B4" s="3" t="s">
        <v>35</v>
      </c>
      <c r="C4" s="3" t="s">
        <v>47</v>
      </c>
      <c r="D4" s="3" t="s">
        <v>48</v>
      </c>
      <c r="E4" s="3" t="s">
        <v>49</v>
      </c>
      <c r="F4" s="3" t="s">
        <v>49</v>
      </c>
      <c r="G4" s="3" t="s">
        <v>49</v>
      </c>
      <c r="H4" s="138"/>
      <c r="I4" s="3" t="s">
        <v>39</v>
      </c>
      <c r="J4" s="1" t="s">
        <v>3671</v>
      </c>
      <c r="L4" s="1" t="s">
        <v>3388</v>
      </c>
      <c r="M4" s="3" t="s">
        <v>49</v>
      </c>
      <c r="O4" s="1" t="s">
        <v>40</v>
      </c>
      <c r="P4" s="1" t="s">
        <v>41</v>
      </c>
      <c r="Q4" s="2">
        <v>0</v>
      </c>
      <c r="R4" s="138">
        <v>2000100879</v>
      </c>
      <c r="T4" s="4">
        <v>15.5599999999995</v>
      </c>
      <c r="U4" s="4">
        <v>-15.55</v>
      </c>
      <c r="V4" s="4">
        <v>0</v>
      </c>
      <c r="W4" s="13">
        <f t="shared" si="0"/>
        <v>9.9999999994988542E-3</v>
      </c>
      <c r="X4" s="13">
        <f t="shared" si="1"/>
        <v>0</v>
      </c>
      <c r="Y4" s="13">
        <f t="shared" si="2"/>
        <v>0</v>
      </c>
      <c r="Z4" s="2">
        <v>0</v>
      </c>
      <c r="AA4" s="4">
        <v>0</v>
      </c>
      <c r="AB4" s="4">
        <f t="shared" si="3"/>
        <v>0</v>
      </c>
      <c r="AC4" s="6">
        <f t="shared" si="4"/>
        <v>0</v>
      </c>
      <c r="AD4" s="4">
        <v>0</v>
      </c>
      <c r="AE4" s="2">
        <v>0</v>
      </c>
      <c r="AF4" s="5">
        <f t="shared" si="5"/>
        <v>0</v>
      </c>
      <c r="AG4" s="2">
        <v>0</v>
      </c>
      <c r="AH4" s="4">
        <f t="shared" si="6"/>
        <v>0</v>
      </c>
      <c r="AJ4" s="126" t="e">
        <v>#N/A</v>
      </c>
      <c r="AK4" s="80">
        <f t="shared" si="7"/>
        <v>0</v>
      </c>
      <c r="AM4" s="85"/>
    </row>
    <row r="5" spans="1:40" hidden="1" x14ac:dyDescent="0.3">
      <c r="A5" s="85" t="s">
        <v>34</v>
      </c>
      <c r="B5" s="3" t="s">
        <v>35</v>
      </c>
      <c r="C5" s="3" t="s">
        <v>47</v>
      </c>
      <c r="D5" s="3" t="s">
        <v>48</v>
      </c>
      <c r="E5" s="3" t="s">
        <v>50</v>
      </c>
      <c r="F5" s="3" t="s">
        <v>50</v>
      </c>
      <c r="G5" s="3" t="s">
        <v>50</v>
      </c>
      <c r="H5" s="138"/>
      <c r="I5" s="3" t="s">
        <v>44</v>
      </c>
      <c r="J5" s="1" t="s">
        <v>3671</v>
      </c>
      <c r="L5" s="1" t="s">
        <v>3388</v>
      </c>
      <c r="M5" s="3" t="s">
        <v>51</v>
      </c>
      <c r="O5" s="1" t="s">
        <v>45</v>
      </c>
      <c r="P5" s="1" t="s">
        <v>46</v>
      </c>
      <c r="Q5" s="2">
        <v>0.3</v>
      </c>
      <c r="R5" s="138">
        <v>350831</v>
      </c>
      <c r="T5" s="4">
        <v>48010.701000000015</v>
      </c>
      <c r="U5" s="4">
        <v>-36931.31</v>
      </c>
      <c r="V5" s="4">
        <v>0</v>
      </c>
      <c r="W5" s="13">
        <f t="shared" si="0"/>
        <v>11079.391000000018</v>
      </c>
      <c r="X5" s="13">
        <f t="shared" si="1"/>
        <v>0</v>
      </c>
      <c r="Y5" s="13">
        <f t="shared" si="2"/>
        <v>0</v>
      </c>
      <c r="Z5" s="2">
        <v>0</v>
      </c>
      <c r="AA5" s="4">
        <v>0</v>
      </c>
      <c r="AB5" s="4">
        <f t="shared" si="3"/>
        <v>0</v>
      </c>
      <c r="AC5" s="6">
        <f t="shared" si="4"/>
        <v>0</v>
      </c>
      <c r="AD5" s="4">
        <v>0</v>
      </c>
      <c r="AE5" s="2">
        <v>0</v>
      </c>
      <c r="AF5" s="5">
        <f t="shared" si="5"/>
        <v>0</v>
      </c>
      <c r="AG5" s="2">
        <v>0</v>
      </c>
      <c r="AH5" s="4">
        <f t="shared" si="6"/>
        <v>0</v>
      </c>
      <c r="AJ5" s="126" t="e">
        <v>#N/A</v>
      </c>
      <c r="AK5" s="80">
        <f t="shared" si="7"/>
        <v>0</v>
      </c>
      <c r="AM5" s="85"/>
    </row>
    <row r="6" spans="1:40" hidden="1" x14ac:dyDescent="0.3">
      <c r="A6" s="85" t="s">
        <v>34</v>
      </c>
      <c r="B6" s="3" t="s">
        <v>35</v>
      </c>
      <c r="C6" s="3" t="s">
        <v>47</v>
      </c>
      <c r="D6" s="3" t="s">
        <v>48</v>
      </c>
      <c r="E6" s="3" t="s">
        <v>50</v>
      </c>
      <c r="F6" s="3" t="s">
        <v>50</v>
      </c>
      <c r="G6" s="3" t="s">
        <v>50</v>
      </c>
      <c r="H6" s="138"/>
      <c r="I6" s="3" t="s">
        <v>44</v>
      </c>
      <c r="J6" s="1" t="s">
        <v>3671</v>
      </c>
      <c r="L6" s="1" t="s">
        <v>3388</v>
      </c>
      <c r="M6" s="3" t="s">
        <v>52</v>
      </c>
      <c r="O6" s="1" t="s">
        <v>45</v>
      </c>
      <c r="P6" s="1" t="s">
        <v>46</v>
      </c>
      <c r="Q6" s="2">
        <v>0.3</v>
      </c>
      <c r="R6" s="138">
        <v>354326</v>
      </c>
      <c r="T6" s="4">
        <v>63362.181000000011</v>
      </c>
      <c r="U6" s="4">
        <v>-48740.14</v>
      </c>
      <c r="V6" s="4">
        <v>0</v>
      </c>
      <c r="W6" s="13">
        <f t="shared" si="0"/>
        <v>14622.041000000012</v>
      </c>
      <c r="X6" s="13">
        <f t="shared" si="1"/>
        <v>0</v>
      </c>
      <c r="Y6" s="13">
        <f t="shared" si="2"/>
        <v>0</v>
      </c>
      <c r="Z6" s="2">
        <v>0</v>
      </c>
      <c r="AA6" s="4">
        <v>0</v>
      </c>
      <c r="AB6" s="4">
        <f t="shared" si="3"/>
        <v>0</v>
      </c>
      <c r="AC6" s="6">
        <f t="shared" si="4"/>
        <v>0</v>
      </c>
      <c r="AD6" s="4">
        <v>0</v>
      </c>
      <c r="AE6" s="2">
        <v>0</v>
      </c>
      <c r="AF6" s="5">
        <f t="shared" si="5"/>
        <v>0</v>
      </c>
      <c r="AG6" s="2">
        <v>0</v>
      </c>
      <c r="AH6" s="4">
        <f t="shared" si="6"/>
        <v>0</v>
      </c>
      <c r="AJ6" s="126" t="e">
        <v>#N/A</v>
      </c>
      <c r="AK6" s="80">
        <f t="shared" si="7"/>
        <v>0</v>
      </c>
      <c r="AM6" s="85"/>
    </row>
    <row r="7" spans="1:40" hidden="1" x14ac:dyDescent="0.3">
      <c r="A7" s="85" t="s">
        <v>34</v>
      </c>
      <c r="B7" s="15" t="s">
        <v>35</v>
      </c>
      <c r="C7" s="15" t="s">
        <v>53</v>
      </c>
      <c r="D7" s="15" t="s">
        <v>54</v>
      </c>
      <c r="E7" s="15" t="s">
        <v>55</v>
      </c>
      <c r="F7" s="15" t="s">
        <v>55</v>
      </c>
      <c r="G7" s="15" t="s">
        <v>55</v>
      </c>
      <c r="H7" s="139"/>
      <c r="I7" s="3" t="s">
        <v>39</v>
      </c>
      <c r="J7" s="1" t="s">
        <v>3671</v>
      </c>
      <c r="L7" s="1" t="s">
        <v>3388</v>
      </c>
      <c r="M7" s="15" t="s">
        <v>55</v>
      </c>
      <c r="N7" s="15"/>
      <c r="O7" s="8" t="s">
        <v>56</v>
      </c>
      <c r="P7" s="8" t="s">
        <v>41</v>
      </c>
      <c r="Q7" s="9">
        <v>0</v>
      </c>
      <c r="R7" s="139">
        <v>1000000947</v>
      </c>
      <c r="T7" s="18">
        <v>1698653.26229</v>
      </c>
      <c r="U7" s="4">
        <v>0</v>
      </c>
      <c r="V7" s="4">
        <v>0</v>
      </c>
      <c r="W7" s="13">
        <f t="shared" si="0"/>
        <v>1698653.26229</v>
      </c>
      <c r="X7" s="13">
        <f t="shared" si="1"/>
        <v>0</v>
      </c>
      <c r="Y7" s="13">
        <f t="shared" si="2"/>
        <v>0</v>
      </c>
      <c r="Z7" s="2">
        <v>0</v>
      </c>
      <c r="AA7" s="4">
        <v>0</v>
      </c>
      <c r="AB7" s="4">
        <f t="shared" si="3"/>
        <v>0</v>
      </c>
      <c r="AC7" s="6">
        <f t="shared" si="4"/>
        <v>0</v>
      </c>
      <c r="AD7" s="4">
        <v>0</v>
      </c>
      <c r="AE7" s="2">
        <v>0</v>
      </c>
      <c r="AF7" s="5">
        <f t="shared" si="5"/>
        <v>0</v>
      </c>
      <c r="AG7" s="2">
        <v>0</v>
      </c>
      <c r="AH7" s="4">
        <f t="shared" si="6"/>
        <v>0</v>
      </c>
      <c r="AJ7" s="126" t="e">
        <v>#N/A</v>
      </c>
      <c r="AK7" s="80">
        <f t="shared" si="7"/>
        <v>0</v>
      </c>
      <c r="AM7" s="85"/>
    </row>
    <row r="8" spans="1:40" hidden="1" x14ac:dyDescent="0.3">
      <c r="A8" s="85" t="s">
        <v>34</v>
      </c>
      <c r="B8" s="15" t="s">
        <v>35</v>
      </c>
      <c r="C8" s="15" t="s">
        <v>53</v>
      </c>
      <c r="D8" s="15" t="s">
        <v>37</v>
      </c>
      <c r="E8" s="15" t="s">
        <v>57</v>
      </c>
      <c r="F8" s="15" t="s">
        <v>58</v>
      </c>
      <c r="G8" s="15" t="s">
        <v>57</v>
      </c>
      <c r="H8" s="139"/>
      <c r="I8" s="3" t="s">
        <v>39</v>
      </c>
      <c r="J8" s="1" t="s">
        <v>3671</v>
      </c>
      <c r="L8" s="1" t="s">
        <v>3388</v>
      </c>
      <c r="M8" s="15" t="s">
        <v>57</v>
      </c>
      <c r="N8" s="15"/>
      <c r="O8" s="8" t="s">
        <v>40</v>
      </c>
      <c r="P8" s="8" t="s">
        <v>46</v>
      </c>
      <c r="Q8" s="9">
        <v>0.03</v>
      </c>
      <c r="R8" s="139">
        <v>2000100456</v>
      </c>
      <c r="T8" s="18">
        <v>1.0000000000218279E-2</v>
      </c>
      <c r="U8" s="4">
        <v>0</v>
      </c>
      <c r="V8" s="4">
        <v>0</v>
      </c>
      <c r="W8" s="13">
        <f t="shared" si="0"/>
        <v>1.0000000000218279E-2</v>
      </c>
      <c r="X8" s="13">
        <f t="shared" si="1"/>
        <v>0</v>
      </c>
      <c r="Y8" s="13">
        <f t="shared" si="2"/>
        <v>0</v>
      </c>
      <c r="Z8" s="2">
        <v>0</v>
      </c>
      <c r="AA8" s="4">
        <v>0</v>
      </c>
      <c r="AB8" s="4">
        <f t="shared" si="3"/>
        <v>0</v>
      </c>
      <c r="AC8" s="6">
        <f t="shared" si="4"/>
        <v>0</v>
      </c>
      <c r="AD8" s="4">
        <v>0</v>
      </c>
      <c r="AE8" s="2">
        <v>0</v>
      </c>
      <c r="AF8" s="5">
        <f t="shared" si="5"/>
        <v>0</v>
      </c>
      <c r="AG8" s="2">
        <v>0</v>
      </c>
      <c r="AH8" s="4">
        <f t="shared" si="6"/>
        <v>0</v>
      </c>
      <c r="AJ8" s="126" t="e">
        <v>#N/A</v>
      </c>
      <c r="AK8" s="80">
        <f t="shared" si="7"/>
        <v>0</v>
      </c>
      <c r="AM8" s="85"/>
    </row>
    <row r="9" spans="1:40" hidden="1" x14ac:dyDescent="0.3">
      <c r="A9" s="85" t="s">
        <v>34</v>
      </c>
      <c r="B9" s="15" t="s">
        <v>35</v>
      </c>
      <c r="C9" s="15" t="s">
        <v>59</v>
      </c>
      <c r="D9" s="15" t="s">
        <v>60</v>
      </c>
      <c r="E9" s="15" t="s">
        <v>61</v>
      </c>
      <c r="F9" s="15" t="s">
        <v>62</v>
      </c>
      <c r="G9" s="15" t="s">
        <v>61</v>
      </c>
      <c r="H9" s="139"/>
      <c r="I9" s="3" t="s">
        <v>39</v>
      </c>
      <c r="J9" s="1" t="s">
        <v>3671</v>
      </c>
      <c r="L9" s="1" t="s">
        <v>3388</v>
      </c>
      <c r="M9" s="15" t="s">
        <v>61</v>
      </c>
      <c r="N9" s="15"/>
      <c r="O9" s="8" t="s">
        <v>40</v>
      </c>
      <c r="P9" s="8" t="s">
        <v>41</v>
      </c>
      <c r="Q9" s="9">
        <v>0</v>
      </c>
      <c r="R9" s="139">
        <v>1100000117</v>
      </c>
      <c r="T9" s="18">
        <v>7284.76</v>
      </c>
      <c r="U9" s="4">
        <v>0</v>
      </c>
      <c r="V9" s="4">
        <v>0</v>
      </c>
      <c r="W9" s="13">
        <f t="shared" si="0"/>
        <v>7284.76</v>
      </c>
      <c r="X9" s="13">
        <f t="shared" si="1"/>
        <v>0</v>
      </c>
      <c r="Y9" s="13">
        <f t="shared" si="2"/>
        <v>0</v>
      </c>
      <c r="Z9" s="2">
        <v>0</v>
      </c>
      <c r="AA9" s="4">
        <v>0</v>
      </c>
      <c r="AB9" s="4">
        <f t="shared" si="3"/>
        <v>0</v>
      </c>
      <c r="AC9" s="6">
        <f t="shared" si="4"/>
        <v>0</v>
      </c>
      <c r="AD9" s="4">
        <v>0</v>
      </c>
      <c r="AE9" s="2">
        <v>0</v>
      </c>
      <c r="AF9" s="5">
        <f t="shared" si="5"/>
        <v>0</v>
      </c>
      <c r="AG9" s="2">
        <v>0</v>
      </c>
      <c r="AH9" s="4">
        <f t="shared" si="6"/>
        <v>0</v>
      </c>
      <c r="AJ9" s="126" t="e">
        <v>#N/A</v>
      </c>
      <c r="AK9" s="80">
        <f t="shared" si="7"/>
        <v>0</v>
      </c>
      <c r="AM9" s="85"/>
    </row>
    <row r="10" spans="1:40" hidden="1" x14ac:dyDescent="0.3">
      <c r="A10" s="85" t="s">
        <v>34</v>
      </c>
      <c r="B10" s="15" t="s">
        <v>35</v>
      </c>
      <c r="C10" s="15" t="s">
        <v>59</v>
      </c>
      <c r="D10" s="15" t="s">
        <v>60</v>
      </c>
      <c r="E10" s="15" t="s">
        <v>61</v>
      </c>
      <c r="F10" s="15" t="s">
        <v>62</v>
      </c>
      <c r="G10" s="15" t="s">
        <v>61</v>
      </c>
      <c r="H10" s="139"/>
      <c r="I10" s="3" t="s">
        <v>39</v>
      </c>
      <c r="J10" s="1" t="s">
        <v>3671</v>
      </c>
      <c r="L10" s="1" t="s">
        <v>3388</v>
      </c>
      <c r="M10" s="15" t="s">
        <v>61</v>
      </c>
      <c r="N10" s="15"/>
      <c r="O10" s="8" t="s">
        <v>56</v>
      </c>
      <c r="P10" s="8" t="s">
        <v>41</v>
      </c>
      <c r="Q10" s="9">
        <v>0</v>
      </c>
      <c r="R10" s="139">
        <v>1100000117</v>
      </c>
      <c r="T10" s="18">
        <v>-7203.2599999999984</v>
      </c>
      <c r="U10" s="4">
        <v>0</v>
      </c>
      <c r="V10" s="4">
        <v>0</v>
      </c>
      <c r="W10" s="13">
        <f t="shared" si="0"/>
        <v>-7203.2599999999984</v>
      </c>
      <c r="X10" s="13">
        <f t="shared" si="1"/>
        <v>0</v>
      </c>
      <c r="Y10" s="13">
        <f t="shared" si="2"/>
        <v>0</v>
      </c>
      <c r="Z10" s="2">
        <v>0</v>
      </c>
      <c r="AA10" s="4">
        <v>0</v>
      </c>
      <c r="AB10" s="4">
        <f t="shared" si="3"/>
        <v>0</v>
      </c>
      <c r="AC10" s="6">
        <f t="shared" si="4"/>
        <v>0</v>
      </c>
      <c r="AD10" s="4">
        <v>0</v>
      </c>
      <c r="AE10" s="2">
        <v>0</v>
      </c>
      <c r="AF10" s="5">
        <f t="shared" si="5"/>
        <v>0</v>
      </c>
      <c r="AG10" s="2">
        <v>0</v>
      </c>
      <c r="AH10" s="4">
        <f t="shared" si="6"/>
        <v>0</v>
      </c>
      <c r="AJ10" s="126" t="e">
        <v>#N/A</v>
      </c>
      <c r="AK10" s="80">
        <f t="shared" si="7"/>
        <v>0</v>
      </c>
      <c r="AM10" s="85"/>
    </row>
    <row r="11" spans="1:40" hidden="1" x14ac:dyDescent="0.3">
      <c r="A11" s="85" t="s">
        <v>34</v>
      </c>
      <c r="B11" s="15" t="s">
        <v>35</v>
      </c>
      <c r="C11" s="15" t="s">
        <v>53</v>
      </c>
      <c r="D11" s="15" t="s">
        <v>37</v>
      </c>
      <c r="E11" s="15" t="s">
        <v>38</v>
      </c>
      <c r="F11" s="15" t="s">
        <v>38</v>
      </c>
      <c r="G11" s="15" t="s">
        <v>38</v>
      </c>
      <c r="H11" s="139"/>
      <c r="I11" s="3" t="s">
        <v>39</v>
      </c>
      <c r="J11" s="1" t="s">
        <v>3671</v>
      </c>
      <c r="L11" s="1" t="s">
        <v>3388</v>
      </c>
      <c r="M11" s="15" t="s">
        <v>38</v>
      </c>
      <c r="N11" s="15"/>
      <c r="O11" s="8" t="s">
        <v>56</v>
      </c>
      <c r="P11" s="8" t="s">
        <v>41</v>
      </c>
      <c r="Q11" s="9">
        <v>0</v>
      </c>
      <c r="R11" s="139">
        <v>1000000850</v>
      </c>
      <c r="T11" s="18">
        <v>25818.397659999999</v>
      </c>
      <c r="U11" s="4">
        <v>0</v>
      </c>
      <c r="V11" s="4">
        <v>0</v>
      </c>
      <c r="W11" s="13">
        <f t="shared" si="0"/>
        <v>25818.397659999999</v>
      </c>
      <c r="X11" s="13">
        <f t="shared" si="1"/>
        <v>0</v>
      </c>
      <c r="Y11" s="13">
        <f t="shared" si="2"/>
        <v>0</v>
      </c>
      <c r="Z11" s="2">
        <v>0.02</v>
      </c>
      <c r="AA11" s="4">
        <f>X11*Z11</f>
        <v>0</v>
      </c>
      <c r="AB11" s="4">
        <f t="shared" si="3"/>
        <v>0</v>
      </c>
      <c r="AC11" s="6">
        <f t="shared" si="4"/>
        <v>0</v>
      </c>
      <c r="AD11" s="4">
        <v>0</v>
      </c>
      <c r="AE11" s="2">
        <v>0</v>
      </c>
      <c r="AF11" s="5">
        <f t="shared" si="5"/>
        <v>0</v>
      </c>
      <c r="AG11" s="2">
        <v>0</v>
      </c>
      <c r="AH11" s="4">
        <f t="shared" si="6"/>
        <v>0</v>
      </c>
      <c r="AJ11" s="126" t="e">
        <v>#N/A</v>
      </c>
      <c r="AK11" s="80">
        <f t="shared" si="7"/>
        <v>0</v>
      </c>
      <c r="AM11" s="85"/>
    </row>
    <row r="12" spans="1:40" hidden="1" x14ac:dyDescent="0.3">
      <c r="A12" s="85" t="s">
        <v>34</v>
      </c>
      <c r="B12" s="15" t="s">
        <v>35</v>
      </c>
      <c r="C12" s="15" t="s">
        <v>47</v>
      </c>
      <c r="D12" s="15" t="s">
        <v>63</v>
      </c>
      <c r="E12" s="15" t="s">
        <v>64</v>
      </c>
      <c r="F12" s="15" t="s">
        <v>64</v>
      </c>
      <c r="G12" s="15" t="s">
        <v>64</v>
      </c>
      <c r="H12" s="139"/>
      <c r="I12" s="3" t="s">
        <v>39</v>
      </c>
      <c r="J12" s="1" t="s">
        <v>3671</v>
      </c>
      <c r="L12" s="1" t="s">
        <v>3388</v>
      </c>
      <c r="M12" s="15" t="s">
        <v>64</v>
      </c>
      <c r="N12" s="15"/>
      <c r="O12" s="8" t="s">
        <v>40</v>
      </c>
      <c r="P12" s="8" t="s">
        <v>41</v>
      </c>
      <c r="Q12" s="9">
        <v>0</v>
      </c>
      <c r="R12" s="139">
        <v>1000000800</v>
      </c>
      <c r="T12" s="18">
        <v>1137087.5482300001</v>
      </c>
      <c r="U12" s="4">
        <v>0</v>
      </c>
      <c r="V12" s="4">
        <v>0</v>
      </c>
      <c r="W12" s="13">
        <f t="shared" si="0"/>
        <v>1137087.5482300001</v>
      </c>
      <c r="X12" s="13">
        <f t="shared" si="1"/>
        <v>0</v>
      </c>
      <c r="Y12" s="13">
        <f t="shared" si="2"/>
        <v>0</v>
      </c>
      <c r="Z12" s="2">
        <v>0</v>
      </c>
      <c r="AA12" s="4">
        <v>0</v>
      </c>
      <c r="AB12" s="4">
        <f t="shared" si="3"/>
        <v>0</v>
      </c>
      <c r="AC12" s="6">
        <f t="shared" si="4"/>
        <v>0</v>
      </c>
      <c r="AD12" s="4">
        <v>0</v>
      </c>
      <c r="AE12" s="2">
        <v>0</v>
      </c>
      <c r="AF12" s="5">
        <f t="shared" si="5"/>
        <v>0</v>
      </c>
      <c r="AG12" s="2">
        <v>0</v>
      </c>
      <c r="AH12" s="4">
        <f t="shared" si="6"/>
        <v>0</v>
      </c>
      <c r="AJ12" s="126" t="e">
        <v>#N/A</v>
      </c>
      <c r="AK12" s="80">
        <f t="shared" si="7"/>
        <v>0</v>
      </c>
      <c r="AM12" s="85"/>
    </row>
    <row r="13" spans="1:40" hidden="1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64</v>
      </c>
      <c r="F13" s="15" t="s">
        <v>64</v>
      </c>
      <c r="G13" s="15" t="s">
        <v>64</v>
      </c>
      <c r="H13" s="139"/>
      <c r="I13" s="3" t="s">
        <v>39</v>
      </c>
      <c r="J13" s="1" t="s">
        <v>3671</v>
      </c>
      <c r="L13" s="1" t="s">
        <v>3388</v>
      </c>
      <c r="M13" s="15" t="s">
        <v>64</v>
      </c>
      <c r="N13" s="15"/>
      <c r="O13" s="8" t="s">
        <v>56</v>
      </c>
      <c r="P13" s="8" t="s">
        <v>41</v>
      </c>
      <c r="Q13" s="9">
        <v>0</v>
      </c>
      <c r="R13" s="139">
        <v>1000000800</v>
      </c>
      <c r="T13" s="18">
        <v>-1135040.31</v>
      </c>
      <c r="U13" s="4">
        <v>0</v>
      </c>
      <c r="V13" s="4">
        <v>0</v>
      </c>
      <c r="W13" s="13">
        <f t="shared" si="0"/>
        <v>-1135040.31</v>
      </c>
      <c r="X13" s="13">
        <f t="shared" si="1"/>
        <v>0</v>
      </c>
      <c r="Y13" s="13">
        <f t="shared" si="2"/>
        <v>0</v>
      </c>
      <c r="Z13" s="2">
        <v>0</v>
      </c>
      <c r="AA13" s="4">
        <v>0</v>
      </c>
      <c r="AB13" s="4">
        <f t="shared" si="3"/>
        <v>0</v>
      </c>
      <c r="AC13" s="6">
        <f t="shared" si="4"/>
        <v>0</v>
      </c>
      <c r="AD13" s="4">
        <v>0</v>
      </c>
      <c r="AE13" s="2">
        <v>0</v>
      </c>
      <c r="AF13" s="5">
        <f t="shared" si="5"/>
        <v>0</v>
      </c>
      <c r="AG13" s="2">
        <v>0</v>
      </c>
      <c r="AH13" s="4">
        <f t="shared" si="6"/>
        <v>0</v>
      </c>
      <c r="AJ13" s="126" t="e">
        <v>#N/A</v>
      </c>
      <c r="AK13" s="80">
        <f t="shared" si="7"/>
        <v>0</v>
      </c>
      <c r="AM13" s="85"/>
    </row>
    <row r="14" spans="1:40" hidden="1" x14ac:dyDescent="0.3">
      <c r="A14" s="85" t="s">
        <v>34</v>
      </c>
      <c r="B14" s="15" t="s">
        <v>35</v>
      </c>
      <c r="C14" s="15" t="s">
        <v>53</v>
      </c>
      <c r="D14" s="15" t="s">
        <v>54</v>
      </c>
      <c r="E14" s="15" t="s">
        <v>55</v>
      </c>
      <c r="F14" s="15" t="s">
        <v>55</v>
      </c>
      <c r="G14" s="15" t="s">
        <v>55</v>
      </c>
      <c r="H14" s="139"/>
      <c r="I14" s="3" t="s">
        <v>39</v>
      </c>
      <c r="J14" s="1" t="s">
        <v>3671</v>
      </c>
      <c r="L14" s="1" t="s">
        <v>3388</v>
      </c>
      <c r="M14" s="15" t="s">
        <v>55</v>
      </c>
      <c r="N14" s="15"/>
      <c r="O14" s="8" t="s">
        <v>40</v>
      </c>
      <c r="P14" s="8" t="s">
        <v>41</v>
      </c>
      <c r="Q14" s="9">
        <v>0</v>
      </c>
      <c r="R14" s="139">
        <v>1000000947</v>
      </c>
      <c r="T14" s="18">
        <v>-1697896.06</v>
      </c>
      <c r="U14" s="4">
        <v>0</v>
      </c>
      <c r="V14" s="4">
        <v>0</v>
      </c>
      <c r="W14" s="13">
        <f t="shared" si="0"/>
        <v>-1697896.06</v>
      </c>
      <c r="X14" s="13">
        <f t="shared" si="1"/>
        <v>0</v>
      </c>
      <c r="Y14" s="13">
        <f t="shared" si="2"/>
        <v>0</v>
      </c>
      <c r="Z14" s="2">
        <v>0</v>
      </c>
      <c r="AA14" s="4">
        <v>0</v>
      </c>
      <c r="AB14" s="4">
        <f t="shared" si="3"/>
        <v>0</v>
      </c>
      <c r="AC14" s="6">
        <f t="shared" si="4"/>
        <v>0</v>
      </c>
      <c r="AD14" s="4">
        <v>0</v>
      </c>
      <c r="AE14" s="2">
        <v>0</v>
      </c>
      <c r="AF14" s="5">
        <f t="shared" si="5"/>
        <v>0</v>
      </c>
      <c r="AG14" s="2">
        <v>0</v>
      </c>
      <c r="AH14" s="4">
        <f t="shared" si="6"/>
        <v>0</v>
      </c>
      <c r="AJ14" s="126" t="e">
        <v>#N/A</v>
      </c>
      <c r="AK14" s="80">
        <f t="shared" si="7"/>
        <v>0</v>
      </c>
      <c r="AM14" s="85"/>
    </row>
    <row r="15" spans="1:40" hidden="1" x14ac:dyDescent="0.3">
      <c r="A15" s="85" t="s">
        <v>34</v>
      </c>
      <c r="B15" s="15" t="s">
        <v>35</v>
      </c>
      <c r="C15" s="15" t="s">
        <v>65</v>
      </c>
      <c r="D15" s="15" t="s">
        <v>66</v>
      </c>
      <c r="E15" s="15" t="s">
        <v>67</v>
      </c>
      <c r="F15" s="15" t="s">
        <v>67</v>
      </c>
      <c r="G15" s="15" t="s">
        <v>67</v>
      </c>
      <c r="H15" s="139"/>
      <c r="I15" s="3" t="s">
        <v>39</v>
      </c>
      <c r="J15" s="1" t="s">
        <v>3671</v>
      </c>
      <c r="L15" s="1" t="s">
        <v>3388</v>
      </c>
      <c r="M15" s="15" t="s">
        <v>68</v>
      </c>
      <c r="N15" s="15"/>
      <c r="O15" s="8" t="s">
        <v>40</v>
      </c>
      <c r="P15" s="8" t="s">
        <v>46</v>
      </c>
      <c r="Q15" s="9">
        <v>0.02</v>
      </c>
      <c r="R15" s="139">
        <v>1000000598</v>
      </c>
      <c r="T15" s="18">
        <v>986.86000000000104</v>
      </c>
      <c r="U15" s="4">
        <v>0</v>
      </c>
      <c r="V15" s="4">
        <v>0</v>
      </c>
      <c r="W15" s="13">
        <f t="shared" si="0"/>
        <v>986.86000000000104</v>
      </c>
      <c r="X15" s="13">
        <f t="shared" si="1"/>
        <v>0</v>
      </c>
      <c r="Y15" s="13">
        <f t="shared" si="2"/>
        <v>0</v>
      </c>
      <c r="Z15" s="2">
        <v>0</v>
      </c>
      <c r="AA15" s="4">
        <v>0</v>
      </c>
      <c r="AB15" s="4">
        <f t="shared" si="3"/>
        <v>0</v>
      </c>
      <c r="AC15" s="6">
        <f t="shared" si="4"/>
        <v>0</v>
      </c>
      <c r="AD15" s="4">
        <v>0</v>
      </c>
      <c r="AE15" s="2">
        <v>0</v>
      </c>
      <c r="AF15" s="5">
        <f t="shared" si="5"/>
        <v>0</v>
      </c>
      <c r="AG15" s="2">
        <v>0</v>
      </c>
      <c r="AH15" s="4">
        <f t="shared" si="6"/>
        <v>0</v>
      </c>
      <c r="AJ15" s="126" t="e">
        <v>#N/A</v>
      </c>
      <c r="AK15" s="80">
        <f t="shared" si="7"/>
        <v>0</v>
      </c>
      <c r="AM15" s="85"/>
    </row>
    <row r="16" spans="1:40" hidden="1" x14ac:dyDescent="0.3">
      <c r="A16" s="85" t="s">
        <v>34</v>
      </c>
      <c r="B16" s="15" t="s">
        <v>35</v>
      </c>
      <c r="C16" s="15" t="s">
        <v>47</v>
      </c>
      <c r="D16" s="15" t="s">
        <v>63</v>
      </c>
      <c r="E16" s="15" t="s">
        <v>69</v>
      </c>
      <c r="F16" s="15" t="s">
        <v>69</v>
      </c>
      <c r="G16" s="15" t="s">
        <v>69</v>
      </c>
      <c r="H16" s="139"/>
      <c r="I16" s="3" t="s">
        <v>39</v>
      </c>
      <c r="J16" s="1" t="s">
        <v>3671</v>
      </c>
      <c r="L16" s="1" t="s">
        <v>3388</v>
      </c>
      <c r="M16" s="15" t="s">
        <v>70</v>
      </c>
      <c r="N16" s="15"/>
      <c r="O16" s="8" t="s">
        <v>56</v>
      </c>
      <c r="P16" s="8" t="s">
        <v>41</v>
      </c>
      <c r="Q16" s="9">
        <v>0</v>
      </c>
      <c r="R16" s="139">
        <v>1000000633</v>
      </c>
      <c r="T16" s="18">
        <v>145.4</v>
      </c>
      <c r="U16" s="4">
        <v>0</v>
      </c>
      <c r="V16" s="4">
        <v>0</v>
      </c>
      <c r="W16" s="13">
        <f t="shared" si="0"/>
        <v>145.4</v>
      </c>
      <c r="X16" s="13">
        <f t="shared" si="1"/>
        <v>0</v>
      </c>
      <c r="Y16" s="13">
        <f t="shared" si="2"/>
        <v>0</v>
      </c>
      <c r="Z16" s="2">
        <v>0</v>
      </c>
      <c r="AA16" s="4">
        <v>0</v>
      </c>
      <c r="AB16" s="4">
        <f t="shared" si="3"/>
        <v>0</v>
      </c>
      <c r="AC16" s="6">
        <f t="shared" si="4"/>
        <v>0</v>
      </c>
      <c r="AD16" s="4">
        <v>0</v>
      </c>
      <c r="AE16" s="2">
        <v>0</v>
      </c>
      <c r="AF16" s="5">
        <f t="shared" si="5"/>
        <v>0</v>
      </c>
      <c r="AG16" s="2">
        <v>0</v>
      </c>
      <c r="AH16" s="4">
        <f t="shared" si="6"/>
        <v>0</v>
      </c>
      <c r="AJ16" s="126" t="e">
        <v>#N/A</v>
      </c>
      <c r="AK16" s="80">
        <f t="shared" si="7"/>
        <v>0</v>
      </c>
      <c r="AM16" s="85"/>
    </row>
    <row r="17" spans="1:39" hidden="1" x14ac:dyDescent="0.3">
      <c r="A17" s="85" t="s">
        <v>34</v>
      </c>
      <c r="B17" s="15" t="s">
        <v>35</v>
      </c>
      <c r="C17" s="15" t="s">
        <v>53</v>
      </c>
      <c r="D17" s="15" t="s">
        <v>54</v>
      </c>
      <c r="E17" s="15" t="s">
        <v>71</v>
      </c>
      <c r="F17" s="15" t="s">
        <v>72</v>
      </c>
      <c r="G17" s="15" t="s">
        <v>71</v>
      </c>
      <c r="H17" s="139"/>
      <c r="I17" s="3" t="s">
        <v>3339</v>
      </c>
      <c r="J17" s="1" t="s">
        <v>3671</v>
      </c>
      <c r="L17" s="1" t="s">
        <v>3388</v>
      </c>
      <c r="M17" s="15" t="s">
        <v>73</v>
      </c>
      <c r="N17" s="15"/>
      <c r="O17" s="8" t="s">
        <v>40</v>
      </c>
      <c r="P17" s="8" t="s">
        <v>41</v>
      </c>
      <c r="Q17" s="9">
        <v>0</v>
      </c>
      <c r="R17" s="139">
        <v>1000000208</v>
      </c>
      <c r="T17" s="18">
        <v>57356.7</v>
      </c>
      <c r="U17" s="4">
        <v>0</v>
      </c>
      <c r="V17" s="4">
        <v>0</v>
      </c>
      <c r="W17" s="13">
        <f t="shared" si="0"/>
        <v>57356.7</v>
      </c>
      <c r="X17" s="13">
        <f t="shared" si="1"/>
        <v>0</v>
      </c>
      <c r="Y17" s="13">
        <f t="shared" si="2"/>
        <v>0</v>
      </c>
      <c r="Z17" s="2">
        <v>5.5E-2</v>
      </c>
      <c r="AA17" s="4">
        <f>X17*Z17</f>
        <v>0</v>
      </c>
      <c r="AB17" s="4">
        <f t="shared" si="3"/>
        <v>0</v>
      </c>
      <c r="AC17" s="6">
        <f t="shared" si="4"/>
        <v>0</v>
      </c>
      <c r="AD17" s="4">
        <v>0</v>
      </c>
      <c r="AE17" s="2">
        <v>0</v>
      </c>
      <c r="AF17" s="5">
        <f t="shared" si="5"/>
        <v>0</v>
      </c>
      <c r="AG17" s="2">
        <v>0</v>
      </c>
      <c r="AH17" s="4">
        <f t="shared" si="6"/>
        <v>0</v>
      </c>
      <c r="AJ17" s="126" t="e">
        <v>#N/A</v>
      </c>
      <c r="AK17" s="80">
        <f t="shared" si="7"/>
        <v>0</v>
      </c>
      <c r="AM17" s="85"/>
    </row>
    <row r="18" spans="1:39" hidden="1" x14ac:dyDescent="0.3">
      <c r="A18" s="85" t="s">
        <v>34</v>
      </c>
      <c r="B18" s="3" t="s">
        <v>35</v>
      </c>
      <c r="C18" s="3" t="s">
        <v>59</v>
      </c>
      <c r="D18" s="3" t="s">
        <v>60</v>
      </c>
      <c r="E18" s="3" t="s">
        <v>74</v>
      </c>
      <c r="F18" s="3" t="s">
        <v>74</v>
      </c>
      <c r="G18" s="3" t="s">
        <v>74</v>
      </c>
      <c r="I18" s="3" t="s">
        <v>3356</v>
      </c>
      <c r="J18" s="1" t="s">
        <v>3326</v>
      </c>
      <c r="K18" s="1" t="s">
        <v>3707</v>
      </c>
      <c r="L18" s="1" t="s">
        <v>35</v>
      </c>
      <c r="N18" s="3" t="s">
        <v>3709</v>
      </c>
      <c r="O18" s="1" t="s">
        <v>45</v>
      </c>
      <c r="P18" s="1" t="s">
        <v>75</v>
      </c>
      <c r="Q18" s="2">
        <v>0.06</v>
      </c>
      <c r="R18" s="138"/>
      <c r="T18" s="4">
        <v>0</v>
      </c>
      <c r="U18" s="4">
        <v>530000</v>
      </c>
      <c r="V18" s="4">
        <v>172622.53000000073</v>
      </c>
      <c r="W18" s="13">
        <f>T18+U18-V18</f>
        <v>357377.46999999927</v>
      </c>
      <c r="X18" s="13">
        <f>IF(P18="折扣",V18*Q18,IF(P18="返现",V18,V18/(1+Q18)))</f>
        <v>172622.53000000073</v>
      </c>
      <c r="Y18" s="13">
        <f t="shared" si="2"/>
        <v>0</v>
      </c>
      <c r="Z18" s="2">
        <v>0</v>
      </c>
      <c r="AA18" s="4">
        <v>0</v>
      </c>
      <c r="AB18" s="4">
        <f t="shared" si="3"/>
        <v>172622.53000000073</v>
      </c>
      <c r="AC18" s="6">
        <f t="shared" si="4"/>
        <v>10357.351800000044</v>
      </c>
      <c r="AD18" s="13">
        <f>V18</f>
        <v>172622.53000000073</v>
      </c>
      <c r="AE18" s="2">
        <v>0.05</v>
      </c>
      <c r="AF18" s="5">
        <f t="shared" si="5"/>
        <v>8631.1265000000367</v>
      </c>
      <c r="AG18" s="2">
        <v>0</v>
      </c>
      <c r="AH18" s="5">
        <f>V18</f>
        <v>172622.53000000073</v>
      </c>
      <c r="AJ18" s="126" t="e">
        <v>#N/A</v>
      </c>
      <c r="AK18" s="80">
        <f t="shared" si="7"/>
        <v>0</v>
      </c>
      <c r="AM18" s="85"/>
    </row>
    <row r="19" spans="1:39" hidden="1" x14ac:dyDescent="0.3">
      <c r="A19" s="85" t="s">
        <v>34</v>
      </c>
      <c r="B19" s="3" t="s">
        <v>35</v>
      </c>
      <c r="C19" s="3" t="s">
        <v>59</v>
      </c>
      <c r="D19" s="3" t="s">
        <v>60</v>
      </c>
      <c r="E19" s="3" t="s">
        <v>76</v>
      </c>
      <c r="F19" s="3" t="s">
        <v>76</v>
      </c>
      <c r="G19" s="3" t="s">
        <v>76</v>
      </c>
      <c r="I19" s="3" t="s">
        <v>3356</v>
      </c>
      <c r="J19" s="1" t="s">
        <v>3326</v>
      </c>
      <c r="K19" s="1" t="s">
        <v>3712</v>
      </c>
      <c r="L19" s="1" t="s">
        <v>35</v>
      </c>
      <c r="N19" s="3" t="s">
        <v>3712</v>
      </c>
      <c r="O19" s="1" t="s">
        <v>45</v>
      </c>
      <c r="P19" s="1" t="s">
        <v>75</v>
      </c>
      <c r="Q19" s="2">
        <v>0.06</v>
      </c>
      <c r="R19" s="138"/>
      <c r="T19" s="4">
        <v>0</v>
      </c>
      <c r="U19" s="4">
        <v>1760000</v>
      </c>
      <c r="V19" s="4">
        <v>1470305.9999999998</v>
      </c>
      <c r="W19" s="13">
        <f t="shared" ref="W19:W82" si="8">T19+U19-V19</f>
        <v>289694.00000000023</v>
      </c>
      <c r="X19" s="13">
        <f t="shared" ref="X19:X82" si="9">IF(P19="折扣",V19*Q19,IF(P19="返现",V19,V19/(1+Q19)))</f>
        <v>1470305.9999999998</v>
      </c>
      <c r="Y19" s="13">
        <f t="shared" si="2"/>
        <v>0</v>
      </c>
      <c r="Z19" s="2">
        <v>0</v>
      </c>
      <c r="AA19" s="4">
        <v>0</v>
      </c>
      <c r="AB19" s="4">
        <f t="shared" si="3"/>
        <v>1470305.9999999998</v>
      </c>
      <c r="AC19" s="6">
        <f t="shared" si="4"/>
        <v>88218.359999999986</v>
      </c>
      <c r="AD19" s="13">
        <f t="shared" ref="AD19:AD82" si="10">V19</f>
        <v>1470305.9999999998</v>
      </c>
      <c r="AE19" s="2">
        <v>0.05</v>
      </c>
      <c r="AF19" s="5">
        <f t="shared" si="5"/>
        <v>73515.299999999988</v>
      </c>
      <c r="AG19" s="2">
        <v>0</v>
      </c>
      <c r="AH19" s="5">
        <f t="shared" ref="AH19:AH82" si="11">V19</f>
        <v>1470305.9999999998</v>
      </c>
      <c r="AJ19" s="126" t="e">
        <v>#N/A</v>
      </c>
      <c r="AK19" s="80">
        <f t="shared" si="7"/>
        <v>0</v>
      </c>
      <c r="AM19" s="85"/>
    </row>
    <row r="20" spans="1:39" hidden="1" x14ac:dyDescent="0.3">
      <c r="A20" s="85" t="s">
        <v>34</v>
      </c>
      <c r="B20" s="3" t="s">
        <v>35</v>
      </c>
      <c r="C20" s="3" t="s">
        <v>59</v>
      </c>
      <c r="D20" s="3" t="s">
        <v>60</v>
      </c>
      <c r="E20" s="3" t="s">
        <v>77</v>
      </c>
      <c r="F20" s="3" t="s">
        <v>77</v>
      </c>
      <c r="G20" s="3" t="s">
        <v>77</v>
      </c>
      <c r="I20" s="3" t="s">
        <v>3356</v>
      </c>
      <c r="J20" s="1" t="s">
        <v>3326</v>
      </c>
      <c r="K20" s="1" t="s">
        <v>3712</v>
      </c>
      <c r="L20" s="1" t="s">
        <v>35</v>
      </c>
      <c r="N20" s="3" t="s">
        <v>3713</v>
      </c>
      <c r="O20" s="1" t="s">
        <v>45</v>
      </c>
      <c r="P20" s="1" t="s">
        <v>75</v>
      </c>
      <c r="Q20" s="2">
        <v>0.06</v>
      </c>
      <c r="R20" s="138"/>
      <c r="T20" s="4">
        <v>0</v>
      </c>
      <c r="U20" s="4">
        <v>9000000</v>
      </c>
      <c r="V20" s="4">
        <v>4558128.2399999993</v>
      </c>
      <c r="W20" s="13">
        <f t="shared" si="8"/>
        <v>4441871.7600000007</v>
      </c>
      <c r="X20" s="13">
        <f t="shared" si="9"/>
        <v>4558128.2399999993</v>
      </c>
      <c r="Y20" s="13">
        <f t="shared" si="2"/>
        <v>0</v>
      </c>
      <c r="Z20" s="2">
        <v>0</v>
      </c>
      <c r="AA20" s="4">
        <v>0</v>
      </c>
      <c r="AB20" s="4">
        <f t="shared" si="3"/>
        <v>4558128.2399999993</v>
      </c>
      <c r="AC20" s="6">
        <f t="shared" si="4"/>
        <v>273487.69439999992</v>
      </c>
      <c r="AD20" s="13">
        <f t="shared" si="10"/>
        <v>4558128.2399999993</v>
      </c>
      <c r="AE20" s="2">
        <v>0.05</v>
      </c>
      <c r="AF20" s="5">
        <f t="shared" si="5"/>
        <v>227906.41199999998</v>
      </c>
      <c r="AG20" s="2">
        <v>0</v>
      </c>
      <c r="AH20" s="5">
        <f t="shared" si="11"/>
        <v>4558128.2399999993</v>
      </c>
      <c r="AJ20" s="126" t="e">
        <v>#N/A</v>
      </c>
      <c r="AK20" s="80">
        <f t="shared" si="7"/>
        <v>0</v>
      </c>
      <c r="AM20" s="85"/>
    </row>
    <row r="21" spans="1:39" hidden="1" x14ac:dyDescent="0.3">
      <c r="A21" s="85" t="s">
        <v>34</v>
      </c>
      <c r="B21" s="3" t="s">
        <v>35</v>
      </c>
      <c r="C21" s="3" t="s">
        <v>59</v>
      </c>
      <c r="D21" s="3" t="s">
        <v>60</v>
      </c>
      <c r="E21" s="3" t="s">
        <v>78</v>
      </c>
      <c r="F21" s="3" t="s">
        <v>79</v>
      </c>
      <c r="G21" s="3" t="s">
        <v>78</v>
      </c>
      <c r="I21" s="3" t="s">
        <v>3356</v>
      </c>
      <c r="J21" s="1" t="s">
        <v>3326</v>
      </c>
      <c r="K21" s="1" t="s">
        <v>3283</v>
      </c>
      <c r="L21" s="1" t="s">
        <v>35</v>
      </c>
      <c r="N21" s="3" t="s">
        <v>80</v>
      </c>
      <c r="O21" s="1" t="s">
        <v>45</v>
      </c>
      <c r="P21" s="1" t="s">
        <v>46</v>
      </c>
      <c r="Q21" s="2">
        <v>0.06</v>
      </c>
      <c r="R21" s="138"/>
      <c r="T21" s="4">
        <v>1968138.129999999</v>
      </c>
      <c r="U21" s="4">
        <v>4910000</v>
      </c>
      <c r="V21" s="4">
        <v>5271475.6500000032</v>
      </c>
      <c r="W21" s="13">
        <f t="shared" si="8"/>
        <v>1606662.4799999958</v>
      </c>
      <c r="X21" s="13">
        <f t="shared" si="9"/>
        <v>4973090.2358490592</v>
      </c>
      <c r="Y21" s="13">
        <f t="shared" si="2"/>
        <v>0</v>
      </c>
      <c r="Z21" s="2">
        <v>0</v>
      </c>
      <c r="AA21" s="4">
        <v>0</v>
      </c>
      <c r="AB21" s="4">
        <f t="shared" si="3"/>
        <v>4973090.2358490592</v>
      </c>
      <c r="AC21" s="6">
        <f t="shared" si="4"/>
        <v>298385.41415094398</v>
      </c>
      <c r="AD21" s="13">
        <f t="shared" si="10"/>
        <v>5271475.6500000032</v>
      </c>
      <c r="AE21" s="2">
        <v>0.05</v>
      </c>
      <c r="AF21" s="5">
        <f t="shared" si="5"/>
        <v>263573.78250000015</v>
      </c>
      <c r="AG21" s="2">
        <v>0</v>
      </c>
      <c r="AH21" s="5">
        <f t="shared" si="11"/>
        <v>5271475.6500000032</v>
      </c>
      <c r="AJ21" s="126" t="e">
        <v>#N/A</v>
      </c>
      <c r="AK21" s="80">
        <f t="shared" si="7"/>
        <v>0</v>
      </c>
      <c r="AM21" s="85"/>
    </row>
    <row r="22" spans="1:39" hidden="1" x14ac:dyDescent="0.3">
      <c r="A22" s="85" t="s">
        <v>34</v>
      </c>
      <c r="B22" s="3" t="s">
        <v>35</v>
      </c>
      <c r="C22" s="3" t="s">
        <v>59</v>
      </c>
      <c r="D22" s="3" t="s">
        <v>60</v>
      </c>
      <c r="E22" s="3" t="s">
        <v>78</v>
      </c>
      <c r="F22" s="3" t="s">
        <v>81</v>
      </c>
      <c r="G22" s="3" t="s">
        <v>78</v>
      </c>
      <c r="I22" s="3" t="s">
        <v>3356</v>
      </c>
      <c r="J22" s="1" t="s">
        <v>3326</v>
      </c>
      <c r="K22" s="1" t="s">
        <v>3712</v>
      </c>
      <c r="L22" s="1" t="s">
        <v>35</v>
      </c>
      <c r="N22" s="3" t="s">
        <v>3717</v>
      </c>
      <c r="O22" s="1" t="s">
        <v>45</v>
      </c>
      <c r="P22" s="1" t="s">
        <v>46</v>
      </c>
      <c r="Q22" s="2">
        <v>7.0000000000000007E-2</v>
      </c>
      <c r="R22" s="138"/>
      <c r="T22" s="4">
        <v>0</v>
      </c>
      <c r="U22" s="4">
        <v>56886.18</v>
      </c>
      <c r="V22" s="4">
        <v>26876.720000000001</v>
      </c>
      <c r="W22" s="13">
        <f t="shared" si="8"/>
        <v>30009.46</v>
      </c>
      <c r="X22" s="13">
        <f t="shared" si="9"/>
        <v>25118.429906542056</v>
      </c>
      <c r="Y22" s="13">
        <f t="shared" si="2"/>
        <v>0</v>
      </c>
      <c r="Z22" s="2">
        <v>0</v>
      </c>
      <c r="AA22" s="4">
        <v>0</v>
      </c>
      <c r="AB22" s="4">
        <f t="shared" si="3"/>
        <v>25118.429906542056</v>
      </c>
      <c r="AC22" s="6">
        <f t="shared" si="4"/>
        <v>1758.2900934579447</v>
      </c>
      <c r="AD22" s="13">
        <f t="shared" si="10"/>
        <v>26876.720000000001</v>
      </c>
      <c r="AE22" s="2">
        <v>0.05</v>
      </c>
      <c r="AF22" s="5">
        <f t="shared" si="5"/>
        <v>1343.8360000000002</v>
      </c>
      <c r="AG22" s="2">
        <v>0</v>
      </c>
      <c r="AH22" s="5">
        <f t="shared" si="11"/>
        <v>26876.720000000001</v>
      </c>
      <c r="AJ22" s="126" t="e">
        <v>#N/A</v>
      </c>
      <c r="AK22" s="80">
        <f t="shared" si="7"/>
        <v>0</v>
      </c>
      <c r="AM22" s="85"/>
    </row>
    <row r="23" spans="1:39" hidden="1" x14ac:dyDescent="0.3">
      <c r="A23" s="85" t="s">
        <v>34</v>
      </c>
      <c r="B23" s="3" t="s">
        <v>35</v>
      </c>
      <c r="C23" s="3" t="s">
        <v>59</v>
      </c>
      <c r="D23" s="3" t="s">
        <v>60</v>
      </c>
      <c r="E23" s="3" t="s">
        <v>82</v>
      </c>
      <c r="F23" s="3" t="s">
        <v>83</v>
      </c>
      <c r="G23" s="3" t="s">
        <v>82</v>
      </c>
      <c r="I23" s="3" t="s">
        <v>3356</v>
      </c>
      <c r="J23" s="1" t="s">
        <v>3326</v>
      </c>
      <c r="K23" s="1" t="s">
        <v>3707</v>
      </c>
      <c r="L23" s="1" t="s">
        <v>35</v>
      </c>
      <c r="N23" s="3" t="s">
        <v>3707</v>
      </c>
      <c r="O23" s="1" t="s">
        <v>45</v>
      </c>
      <c r="P23" s="1" t="s">
        <v>75</v>
      </c>
      <c r="Q23" s="2">
        <v>0.06</v>
      </c>
      <c r="R23" s="138"/>
      <c r="S23" s="3" t="s">
        <v>84</v>
      </c>
      <c r="T23" s="4">
        <v>0</v>
      </c>
      <c r="U23" s="4">
        <v>5689738.1400000006</v>
      </c>
      <c r="V23" s="4">
        <v>4571697.7</v>
      </c>
      <c r="W23" s="13">
        <f t="shared" si="8"/>
        <v>1118040.4400000004</v>
      </c>
      <c r="X23" s="13">
        <f t="shared" si="9"/>
        <v>4571697.7</v>
      </c>
      <c r="Y23" s="13">
        <f t="shared" si="2"/>
        <v>0</v>
      </c>
      <c r="Z23" s="2">
        <v>0</v>
      </c>
      <c r="AA23" s="4">
        <v>0</v>
      </c>
      <c r="AB23" s="4">
        <f t="shared" si="3"/>
        <v>4571697.7</v>
      </c>
      <c r="AC23" s="6">
        <f t="shared" si="4"/>
        <v>274301.86200000002</v>
      </c>
      <c r="AD23" s="13">
        <f t="shared" si="10"/>
        <v>4571697.7</v>
      </c>
      <c r="AE23" s="2">
        <v>0.05</v>
      </c>
      <c r="AF23" s="5">
        <f t="shared" si="5"/>
        <v>228584.88500000001</v>
      </c>
      <c r="AG23" s="2">
        <v>0</v>
      </c>
      <c r="AH23" s="5">
        <f t="shared" si="11"/>
        <v>4571697.7</v>
      </c>
      <c r="AJ23" s="126" t="e">
        <v>#N/A</v>
      </c>
      <c r="AK23" s="80">
        <f t="shared" si="7"/>
        <v>0</v>
      </c>
      <c r="AM23" s="85"/>
    </row>
    <row r="24" spans="1:39" hidden="1" x14ac:dyDescent="0.3">
      <c r="A24" s="85" t="s">
        <v>34</v>
      </c>
      <c r="B24" s="3" t="s">
        <v>35</v>
      </c>
      <c r="C24" s="3" t="s">
        <v>59</v>
      </c>
      <c r="D24" s="3" t="s">
        <v>60</v>
      </c>
      <c r="E24" s="3" t="s">
        <v>85</v>
      </c>
      <c r="F24" s="3" t="s">
        <v>86</v>
      </c>
      <c r="G24" s="3" t="s">
        <v>85</v>
      </c>
      <c r="I24" s="3" t="s">
        <v>3356</v>
      </c>
      <c r="J24" s="1" t="s">
        <v>3326</v>
      </c>
      <c r="K24" s="1" t="s">
        <v>3707</v>
      </c>
      <c r="L24" s="1" t="s">
        <v>35</v>
      </c>
      <c r="N24" s="3" t="s">
        <v>3708</v>
      </c>
      <c r="O24" s="1" t="s">
        <v>45</v>
      </c>
      <c r="P24" s="1" t="s">
        <v>75</v>
      </c>
      <c r="Q24" s="2">
        <v>0.06</v>
      </c>
      <c r="R24" s="138"/>
      <c r="S24" s="3" t="s">
        <v>87</v>
      </c>
      <c r="T24" s="4">
        <v>0</v>
      </c>
      <c r="U24" s="4">
        <v>7400000</v>
      </c>
      <c r="V24" s="4">
        <v>454277.5999999987</v>
      </c>
      <c r="W24" s="13">
        <f t="shared" si="8"/>
        <v>6945722.4000000013</v>
      </c>
      <c r="X24" s="13">
        <f t="shared" si="9"/>
        <v>454277.5999999987</v>
      </c>
      <c r="Y24" s="13">
        <f t="shared" si="2"/>
        <v>0</v>
      </c>
      <c r="Z24" s="2">
        <v>0</v>
      </c>
      <c r="AA24" s="4">
        <v>0</v>
      </c>
      <c r="AB24" s="4">
        <f t="shared" si="3"/>
        <v>454277.5999999987</v>
      </c>
      <c r="AC24" s="6">
        <f t="shared" si="4"/>
        <v>27256.655999999919</v>
      </c>
      <c r="AD24" s="13">
        <f t="shared" si="10"/>
        <v>454277.5999999987</v>
      </c>
      <c r="AE24" s="2">
        <v>0.05</v>
      </c>
      <c r="AF24" s="5">
        <f t="shared" si="5"/>
        <v>22713.879999999936</v>
      </c>
      <c r="AG24" s="2">
        <v>0</v>
      </c>
      <c r="AH24" s="5">
        <f t="shared" si="11"/>
        <v>454277.5999999987</v>
      </c>
      <c r="AJ24" s="126" t="e">
        <v>#N/A</v>
      </c>
      <c r="AK24" s="80">
        <f t="shared" si="7"/>
        <v>0</v>
      </c>
      <c r="AM24" s="85"/>
    </row>
    <row r="25" spans="1:39" hidden="1" x14ac:dyDescent="0.3">
      <c r="A25" s="85" t="s">
        <v>34</v>
      </c>
      <c r="B25" s="3" t="s">
        <v>35</v>
      </c>
      <c r="C25" s="3" t="s">
        <v>59</v>
      </c>
      <c r="D25" s="3" t="s">
        <v>60</v>
      </c>
      <c r="E25" s="3" t="s">
        <v>85</v>
      </c>
      <c r="F25" s="3" t="s">
        <v>86</v>
      </c>
      <c r="G25" s="3" t="s">
        <v>85</v>
      </c>
      <c r="I25" s="3" t="s">
        <v>3356</v>
      </c>
      <c r="J25" s="1" t="s">
        <v>3326</v>
      </c>
      <c r="K25" s="1" t="s">
        <v>3707</v>
      </c>
      <c r="L25" s="1" t="s">
        <v>35</v>
      </c>
      <c r="N25" s="3" t="s">
        <v>3708</v>
      </c>
      <c r="O25" s="1" t="s">
        <v>88</v>
      </c>
      <c r="P25" s="1" t="s">
        <v>75</v>
      </c>
      <c r="Q25" s="2">
        <v>0.06</v>
      </c>
      <c r="R25" s="138"/>
      <c r="S25" s="3" t="s">
        <v>87</v>
      </c>
      <c r="T25" s="4">
        <v>0</v>
      </c>
      <c r="U25" s="4">
        <v>2400000</v>
      </c>
      <c r="V25" s="4">
        <v>2400000</v>
      </c>
      <c r="W25" s="13">
        <f t="shared" si="8"/>
        <v>0</v>
      </c>
      <c r="X25" s="13">
        <f t="shared" si="9"/>
        <v>2400000</v>
      </c>
      <c r="Y25" s="13">
        <f t="shared" si="2"/>
        <v>0</v>
      </c>
      <c r="Z25" s="2">
        <v>0</v>
      </c>
      <c r="AA25" s="4">
        <v>0</v>
      </c>
      <c r="AB25" s="4">
        <f t="shared" si="3"/>
        <v>2400000</v>
      </c>
      <c r="AC25" s="6">
        <f t="shared" si="4"/>
        <v>144000</v>
      </c>
      <c r="AD25" s="13">
        <f t="shared" si="10"/>
        <v>2400000</v>
      </c>
      <c r="AE25" s="2">
        <v>0.05</v>
      </c>
      <c r="AF25" s="5">
        <f t="shared" si="5"/>
        <v>120000</v>
      </c>
      <c r="AG25" s="2">
        <v>0</v>
      </c>
      <c r="AH25" s="5">
        <f t="shared" si="11"/>
        <v>2400000</v>
      </c>
      <c r="AJ25" s="126" t="e">
        <v>#N/A</v>
      </c>
      <c r="AK25" s="80">
        <f t="shared" si="7"/>
        <v>0</v>
      </c>
      <c r="AM25" s="85"/>
    </row>
    <row r="26" spans="1:39" hidden="1" x14ac:dyDescent="0.3">
      <c r="A26" s="85" t="s">
        <v>34</v>
      </c>
      <c r="B26" s="3" t="s">
        <v>35</v>
      </c>
      <c r="C26" s="3" t="s">
        <v>59</v>
      </c>
      <c r="D26" s="3" t="s">
        <v>60</v>
      </c>
      <c r="E26" s="3" t="s">
        <v>89</v>
      </c>
      <c r="F26" s="3" t="s">
        <v>89</v>
      </c>
      <c r="G26" s="3" t="s">
        <v>89</v>
      </c>
      <c r="I26" s="3" t="s">
        <v>3356</v>
      </c>
      <c r="J26" s="1" t="s">
        <v>3326</v>
      </c>
      <c r="K26" s="1" t="s">
        <v>3707</v>
      </c>
      <c r="L26" s="1" t="s">
        <v>35</v>
      </c>
      <c r="N26" s="3" t="s">
        <v>3708</v>
      </c>
      <c r="O26" s="1" t="s">
        <v>45</v>
      </c>
      <c r="P26" s="1" t="s">
        <v>75</v>
      </c>
      <c r="Q26" s="2">
        <v>0.06</v>
      </c>
      <c r="R26" s="138"/>
      <c r="T26" s="4">
        <v>0</v>
      </c>
      <c r="U26" s="4">
        <v>7500000</v>
      </c>
      <c r="V26" s="4">
        <v>3830276.4699999969</v>
      </c>
      <c r="W26" s="13">
        <f t="shared" si="8"/>
        <v>3669723.5300000031</v>
      </c>
      <c r="X26" s="13">
        <f t="shared" si="9"/>
        <v>3830276.4699999969</v>
      </c>
      <c r="Y26" s="13">
        <f t="shared" si="2"/>
        <v>0</v>
      </c>
      <c r="Z26" s="2">
        <v>0</v>
      </c>
      <c r="AA26" s="4">
        <v>0</v>
      </c>
      <c r="AB26" s="4">
        <f t="shared" si="3"/>
        <v>3830276.4699999969</v>
      </c>
      <c r="AC26" s="6">
        <f t="shared" si="4"/>
        <v>229816.58819999979</v>
      </c>
      <c r="AD26" s="13">
        <f t="shared" si="10"/>
        <v>3830276.4699999969</v>
      </c>
      <c r="AE26" s="2">
        <v>0.05</v>
      </c>
      <c r="AF26" s="5">
        <f t="shared" si="5"/>
        <v>191513.82349999985</v>
      </c>
      <c r="AG26" s="2">
        <v>0</v>
      </c>
      <c r="AH26" s="5">
        <f t="shared" si="11"/>
        <v>3830276.4699999969</v>
      </c>
      <c r="AJ26" s="126" t="e">
        <v>#N/A</v>
      </c>
      <c r="AK26" s="80">
        <f t="shared" si="7"/>
        <v>0</v>
      </c>
      <c r="AM26" s="85"/>
    </row>
    <row r="27" spans="1:39" hidden="1" x14ac:dyDescent="0.3">
      <c r="A27" s="85" t="s">
        <v>34</v>
      </c>
      <c r="B27" s="3" t="s">
        <v>35</v>
      </c>
      <c r="C27" s="3" t="s">
        <v>59</v>
      </c>
      <c r="D27" s="3" t="s">
        <v>60</v>
      </c>
      <c r="E27" s="3" t="s">
        <v>90</v>
      </c>
      <c r="F27" s="3" t="s">
        <v>91</v>
      </c>
      <c r="G27" s="3" t="s">
        <v>90</v>
      </c>
      <c r="I27" s="3" t="s">
        <v>3356</v>
      </c>
      <c r="J27" s="1" t="s">
        <v>3326</v>
      </c>
      <c r="K27" s="1" t="s">
        <v>3707</v>
      </c>
      <c r="L27" s="1" t="s">
        <v>35</v>
      </c>
      <c r="N27" s="3" t="s">
        <v>3708</v>
      </c>
      <c r="O27" s="1" t="s">
        <v>45</v>
      </c>
      <c r="P27" s="1" t="s">
        <v>92</v>
      </c>
      <c r="Q27" s="2">
        <v>0.94</v>
      </c>
      <c r="R27" s="138"/>
      <c r="S27" s="3" t="s">
        <v>87</v>
      </c>
      <c r="T27" s="4">
        <v>8497657.9600000009</v>
      </c>
      <c r="U27" s="4">
        <f>-1800000</f>
        <v>-1800000</v>
      </c>
      <c r="V27" s="4">
        <v>6695865.040000001</v>
      </c>
      <c r="W27" s="13">
        <v>0</v>
      </c>
      <c r="X27" s="13">
        <f t="shared" si="9"/>
        <v>6294113.1376000009</v>
      </c>
      <c r="Y27" s="13">
        <f t="shared" si="2"/>
        <v>0</v>
      </c>
      <c r="Z27" s="2">
        <v>0</v>
      </c>
      <c r="AA27" s="4">
        <v>0</v>
      </c>
      <c r="AB27" s="4">
        <f t="shared" si="3"/>
        <v>6294113.1376000009</v>
      </c>
      <c r="AC27" s="6">
        <f t="shared" si="4"/>
        <v>401751.90240000002</v>
      </c>
      <c r="AD27" s="13">
        <f t="shared" si="10"/>
        <v>6695865.040000001</v>
      </c>
      <c r="AE27" s="2">
        <v>0.05</v>
      </c>
      <c r="AF27" s="5">
        <f t="shared" si="5"/>
        <v>334793.25200000009</v>
      </c>
      <c r="AG27" s="2">
        <v>0</v>
      </c>
      <c r="AH27" s="5">
        <f t="shared" si="11"/>
        <v>6695865.040000001</v>
      </c>
      <c r="AJ27" s="126" t="e">
        <v>#N/A</v>
      </c>
      <c r="AK27" s="80">
        <f t="shared" si="7"/>
        <v>0</v>
      </c>
      <c r="AM27" s="85"/>
    </row>
    <row r="28" spans="1:39" hidden="1" x14ac:dyDescent="0.3">
      <c r="A28" s="85" t="s">
        <v>34</v>
      </c>
      <c r="B28" s="3" t="s">
        <v>35</v>
      </c>
      <c r="C28" s="3" t="s">
        <v>59</v>
      </c>
      <c r="D28" s="3" t="s">
        <v>60</v>
      </c>
      <c r="E28" s="3" t="s">
        <v>93</v>
      </c>
      <c r="F28" s="3" t="s">
        <v>94</v>
      </c>
      <c r="G28" s="3" t="s">
        <v>93</v>
      </c>
      <c r="H28" s="138"/>
      <c r="I28" s="3" t="s">
        <v>3356</v>
      </c>
      <c r="J28" s="1" t="s">
        <v>3326</v>
      </c>
      <c r="K28" s="1" t="s">
        <v>3712</v>
      </c>
      <c r="L28" s="1" t="s">
        <v>35</v>
      </c>
      <c r="N28" s="3" t="s">
        <v>3729</v>
      </c>
      <c r="O28" s="1" t="s">
        <v>45</v>
      </c>
      <c r="P28" s="1" t="s">
        <v>46</v>
      </c>
      <c r="Q28" s="2">
        <v>7.0000000000000007E-2</v>
      </c>
      <c r="R28" s="138"/>
      <c r="T28" s="4">
        <v>2475959.3999999994</v>
      </c>
      <c r="U28" s="4">
        <v>-2472185.3600000003</v>
      </c>
      <c r="V28" s="4">
        <v>0</v>
      </c>
      <c r="W28" s="13">
        <f t="shared" si="8"/>
        <v>3774.0399999991059</v>
      </c>
      <c r="X28" s="13">
        <f t="shared" si="9"/>
        <v>0</v>
      </c>
      <c r="Y28" s="13">
        <f t="shared" si="2"/>
        <v>0</v>
      </c>
      <c r="Z28" s="2">
        <v>0</v>
      </c>
      <c r="AA28" s="4">
        <v>0</v>
      </c>
      <c r="AB28" s="4">
        <f t="shared" si="3"/>
        <v>0</v>
      </c>
      <c r="AC28" s="6">
        <f t="shared" si="4"/>
        <v>0</v>
      </c>
      <c r="AD28" s="13">
        <f t="shared" si="10"/>
        <v>0</v>
      </c>
      <c r="AE28" s="2">
        <v>0.05</v>
      </c>
      <c r="AF28" s="5">
        <f t="shared" si="5"/>
        <v>0</v>
      </c>
      <c r="AG28" s="2">
        <v>0</v>
      </c>
      <c r="AH28" s="5">
        <f t="shared" si="11"/>
        <v>0</v>
      </c>
      <c r="AJ28" s="126" t="e">
        <v>#N/A</v>
      </c>
      <c r="AK28" s="80">
        <f t="shared" si="7"/>
        <v>0</v>
      </c>
      <c r="AM28" s="85"/>
    </row>
    <row r="29" spans="1:39" hidden="1" x14ac:dyDescent="0.3">
      <c r="A29" s="85" t="s">
        <v>34</v>
      </c>
      <c r="B29" s="3" t="s">
        <v>35</v>
      </c>
      <c r="C29" s="3" t="s">
        <v>59</v>
      </c>
      <c r="D29" s="3" t="s">
        <v>60</v>
      </c>
      <c r="E29" s="3" t="s">
        <v>93</v>
      </c>
      <c r="F29" s="3" t="s">
        <v>94</v>
      </c>
      <c r="G29" s="3" t="s">
        <v>93</v>
      </c>
      <c r="H29" s="138"/>
      <c r="I29" s="3" t="s">
        <v>3356</v>
      </c>
      <c r="J29" s="1" t="s">
        <v>3326</v>
      </c>
      <c r="K29" s="1" t="s">
        <v>3712</v>
      </c>
      <c r="L29" s="1" t="s">
        <v>35</v>
      </c>
      <c r="N29" s="3" t="s">
        <v>3729</v>
      </c>
      <c r="O29" s="1" t="s">
        <v>45</v>
      </c>
      <c r="P29" s="1" t="s">
        <v>41</v>
      </c>
      <c r="Q29" s="2">
        <v>0</v>
      </c>
      <c r="R29" s="138"/>
      <c r="T29" s="4">
        <v>0</v>
      </c>
      <c r="U29" s="4">
        <v>0</v>
      </c>
      <c r="V29" s="4">
        <v>0</v>
      </c>
      <c r="W29" s="13">
        <f t="shared" si="8"/>
        <v>0</v>
      </c>
      <c r="X29" s="13">
        <f t="shared" si="9"/>
        <v>0</v>
      </c>
      <c r="Y29" s="13">
        <f t="shared" si="2"/>
        <v>0</v>
      </c>
      <c r="Z29" s="2">
        <v>0</v>
      </c>
      <c r="AA29" s="4">
        <v>0</v>
      </c>
      <c r="AB29" s="4">
        <f t="shared" si="3"/>
        <v>0</v>
      </c>
      <c r="AC29" s="6">
        <f t="shared" si="4"/>
        <v>0</v>
      </c>
      <c r="AD29" s="13">
        <f t="shared" si="10"/>
        <v>0</v>
      </c>
      <c r="AE29" s="2">
        <v>0.05</v>
      </c>
      <c r="AF29" s="5">
        <f t="shared" si="5"/>
        <v>0</v>
      </c>
      <c r="AG29" s="2">
        <v>0</v>
      </c>
      <c r="AH29" s="5">
        <f t="shared" si="11"/>
        <v>0</v>
      </c>
      <c r="AJ29" s="126" t="e">
        <v>#N/A</v>
      </c>
      <c r="AK29" s="80">
        <f t="shared" si="7"/>
        <v>0</v>
      </c>
      <c r="AM29" s="85"/>
    </row>
    <row r="30" spans="1:39" hidden="1" x14ac:dyDescent="0.3">
      <c r="A30" s="85" t="s">
        <v>34</v>
      </c>
      <c r="B30" s="3" t="s">
        <v>35</v>
      </c>
      <c r="C30" s="3" t="s">
        <v>59</v>
      </c>
      <c r="D30" s="3" t="s">
        <v>60</v>
      </c>
      <c r="E30" s="3" t="s">
        <v>95</v>
      </c>
      <c r="F30" s="3" t="s">
        <v>95</v>
      </c>
      <c r="G30" s="3" t="s">
        <v>95</v>
      </c>
      <c r="I30" s="3" t="s">
        <v>3356</v>
      </c>
      <c r="J30" s="1" t="s">
        <v>3326</v>
      </c>
      <c r="K30" s="1" t="s">
        <v>3712</v>
      </c>
      <c r="L30" s="1" t="s">
        <v>35</v>
      </c>
      <c r="N30" s="3" t="s">
        <v>3726</v>
      </c>
      <c r="O30" s="1" t="s">
        <v>45</v>
      </c>
      <c r="P30" s="1" t="s">
        <v>46</v>
      </c>
      <c r="Q30" s="2">
        <v>0.05</v>
      </c>
      <c r="R30" s="138"/>
      <c r="T30" s="4">
        <v>0</v>
      </c>
      <c r="U30" s="4">
        <v>4250491.8100000005</v>
      </c>
      <c r="V30" s="4">
        <v>155596.87</v>
      </c>
      <c r="W30" s="13">
        <f t="shared" si="8"/>
        <v>4094894.9400000004</v>
      </c>
      <c r="X30" s="13">
        <f t="shared" si="9"/>
        <v>148187.49523809523</v>
      </c>
      <c r="Y30" s="13">
        <f t="shared" si="2"/>
        <v>0</v>
      </c>
      <c r="Z30" s="2">
        <v>0</v>
      </c>
      <c r="AA30" s="4">
        <v>0</v>
      </c>
      <c r="AB30" s="4">
        <f t="shared" si="3"/>
        <v>148187.49523809523</v>
      </c>
      <c r="AC30" s="6">
        <f t="shared" si="4"/>
        <v>7409.3747619047645</v>
      </c>
      <c r="AD30" s="13">
        <f t="shared" si="10"/>
        <v>155596.87</v>
      </c>
      <c r="AE30" s="2">
        <v>0.05</v>
      </c>
      <c r="AF30" s="5">
        <f t="shared" si="5"/>
        <v>7779.8434999999999</v>
      </c>
      <c r="AG30" s="2">
        <v>0</v>
      </c>
      <c r="AH30" s="5">
        <f t="shared" si="11"/>
        <v>155596.87</v>
      </c>
      <c r="AJ30" s="126" t="e">
        <v>#N/A</v>
      </c>
      <c r="AK30" s="80">
        <f t="shared" si="7"/>
        <v>0</v>
      </c>
      <c r="AM30" s="85"/>
    </row>
    <row r="31" spans="1:39" hidden="1" x14ac:dyDescent="0.3">
      <c r="A31" s="85" t="s">
        <v>34</v>
      </c>
      <c r="B31" s="3" t="s">
        <v>35</v>
      </c>
      <c r="C31" s="3" t="s">
        <v>96</v>
      </c>
      <c r="D31" s="3" t="s">
        <v>97</v>
      </c>
      <c r="E31" s="3" t="s">
        <v>98</v>
      </c>
      <c r="F31" s="3" t="s">
        <v>98</v>
      </c>
      <c r="G31" s="3" t="s">
        <v>98</v>
      </c>
      <c r="H31" s="138"/>
      <c r="I31" s="3" t="s">
        <v>3356</v>
      </c>
      <c r="J31" s="1" t="s">
        <v>3326</v>
      </c>
      <c r="K31" s="1" t="s">
        <v>3712</v>
      </c>
      <c r="L31" s="1" t="s">
        <v>35</v>
      </c>
      <c r="N31" s="3" t="s">
        <v>3712</v>
      </c>
      <c r="O31" s="1" t="s">
        <v>45</v>
      </c>
      <c r="P31" s="1" t="s">
        <v>41</v>
      </c>
      <c r="Q31" s="2">
        <v>0</v>
      </c>
      <c r="R31" s="138"/>
      <c r="S31" s="3" t="s">
        <v>99</v>
      </c>
      <c r="T31" s="4">
        <v>7719.9599999999955</v>
      </c>
      <c r="U31" s="4">
        <v>20000</v>
      </c>
      <c r="V31" s="4">
        <v>22842.529999999995</v>
      </c>
      <c r="W31" s="13">
        <f t="shared" si="8"/>
        <v>4877.43</v>
      </c>
      <c r="X31" s="13">
        <v>0</v>
      </c>
      <c r="Y31" s="13">
        <f t="shared" si="2"/>
        <v>0</v>
      </c>
      <c r="Z31" s="2">
        <v>0</v>
      </c>
      <c r="AA31" s="4">
        <v>0</v>
      </c>
      <c r="AB31" s="4">
        <f t="shared" si="3"/>
        <v>0</v>
      </c>
      <c r="AC31" s="6">
        <f t="shared" si="4"/>
        <v>22842.529999999995</v>
      </c>
      <c r="AD31" s="13">
        <f t="shared" si="10"/>
        <v>22842.529999999995</v>
      </c>
      <c r="AE31" s="2">
        <v>0.05</v>
      </c>
      <c r="AF31" s="5">
        <f t="shared" si="5"/>
        <v>1142.1264999999999</v>
      </c>
      <c r="AG31" s="2">
        <v>0</v>
      </c>
      <c r="AH31" s="5">
        <f t="shared" si="11"/>
        <v>22842.529999999995</v>
      </c>
      <c r="AJ31" s="126" t="e">
        <v>#N/A</v>
      </c>
      <c r="AK31" s="80">
        <f t="shared" si="7"/>
        <v>0</v>
      </c>
      <c r="AM31" s="85"/>
    </row>
    <row r="32" spans="1:39" hidden="1" x14ac:dyDescent="0.3">
      <c r="A32" s="85" t="s">
        <v>34</v>
      </c>
      <c r="B32" s="3" t="s">
        <v>35</v>
      </c>
      <c r="C32" s="3" t="s">
        <v>36</v>
      </c>
      <c r="D32" s="3" t="s">
        <v>54</v>
      </c>
      <c r="E32" s="3" t="s">
        <v>100</v>
      </c>
      <c r="F32" s="3" t="s">
        <v>100</v>
      </c>
      <c r="G32" s="3" t="s">
        <v>101</v>
      </c>
      <c r="I32" s="3" t="s">
        <v>3356</v>
      </c>
      <c r="J32" s="1" t="s">
        <v>3326</v>
      </c>
      <c r="K32" s="1" t="s">
        <v>3707</v>
      </c>
      <c r="L32" s="1" t="s">
        <v>35</v>
      </c>
      <c r="N32" s="3" t="s">
        <v>3715</v>
      </c>
      <c r="O32" s="1" t="s">
        <v>45</v>
      </c>
      <c r="P32" s="1" t="s">
        <v>41</v>
      </c>
      <c r="Q32" s="2">
        <v>0</v>
      </c>
      <c r="R32" s="138"/>
      <c r="T32" s="4">
        <v>0</v>
      </c>
      <c r="U32" s="4">
        <v>7500000</v>
      </c>
      <c r="V32" s="4">
        <v>5550122.9100000001</v>
      </c>
      <c r="W32" s="13">
        <f t="shared" si="8"/>
        <v>1949877.0899999999</v>
      </c>
      <c r="X32" s="13">
        <f t="shared" si="9"/>
        <v>5550122.9100000001</v>
      </c>
      <c r="Y32" s="13">
        <f t="shared" si="2"/>
        <v>0</v>
      </c>
      <c r="Z32" s="2">
        <v>0</v>
      </c>
      <c r="AA32" s="4">
        <v>0</v>
      </c>
      <c r="AB32" s="4">
        <f t="shared" si="3"/>
        <v>5550122.9100000001</v>
      </c>
      <c r="AC32" s="6">
        <f t="shared" si="4"/>
        <v>0</v>
      </c>
      <c r="AD32" s="13">
        <f t="shared" si="10"/>
        <v>5550122.9100000001</v>
      </c>
      <c r="AE32" s="2">
        <v>0.05</v>
      </c>
      <c r="AF32" s="5">
        <f t="shared" si="5"/>
        <v>277506.14550000004</v>
      </c>
      <c r="AG32" s="2">
        <v>0</v>
      </c>
      <c r="AH32" s="5">
        <f t="shared" si="11"/>
        <v>5550122.9100000001</v>
      </c>
      <c r="AJ32" s="126" t="e">
        <v>#N/A</v>
      </c>
      <c r="AK32" s="80">
        <f t="shared" si="7"/>
        <v>0</v>
      </c>
      <c r="AM32" s="85"/>
    </row>
    <row r="33" spans="1:39" hidden="1" x14ac:dyDescent="0.3">
      <c r="A33" s="85" t="s">
        <v>34</v>
      </c>
      <c r="B33" s="3" t="s">
        <v>35</v>
      </c>
      <c r="C33" s="3" t="s">
        <v>36</v>
      </c>
      <c r="D33" s="3" t="s">
        <v>54</v>
      </c>
      <c r="E33" s="3" t="s">
        <v>71</v>
      </c>
      <c r="F33" s="3" t="s">
        <v>102</v>
      </c>
      <c r="G33" s="3" t="s">
        <v>71</v>
      </c>
      <c r="I33" s="3" t="s">
        <v>3356</v>
      </c>
      <c r="J33" s="1" t="s">
        <v>3326</v>
      </c>
      <c r="K33" s="1" t="s">
        <v>3718</v>
      </c>
      <c r="L33" s="1" t="s">
        <v>35</v>
      </c>
      <c r="N33" s="3" t="s">
        <v>3718</v>
      </c>
      <c r="O33" s="1" t="s">
        <v>45</v>
      </c>
      <c r="P33" s="1" t="s">
        <v>41</v>
      </c>
      <c r="Q33" s="2">
        <v>0</v>
      </c>
      <c r="R33" s="138"/>
      <c r="T33" s="4">
        <v>447863.09000000032</v>
      </c>
      <c r="U33" s="4">
        <v>-428020.36</v>
      </c>
      <c r="V33" s="4">
        <v>14.35</v>
      </c>
      <c r="W33" s="13">
        <f t="shared" si="8"/>
        <v>19828.380000000332</v>
      </c>
      <c r="X33" s="13">
        <f t="shared" si="9"/>
        <v>14.35</v>
      </c>
      <c r="Y33" s="13">
        <f t="shared" si="2"/>
        <v>0</v>
      </c>
      <c r="Z33" s="2">
        <v>0</v>
      </c>
      <c r="AA33" s="4">
        <v>0</v>
      </c>
      <c r="AB33" s="4">
        <f t="shared" si="3"/>
        <v>14.35</v>
      </c>
      <c r="AC33" s="6">
        <f t="shared" si="4"/>
        <v>0</v>
      </c>
      <c r="AD33" s="13">
        <f t="shared" si="10"/>
        <v>14.35</v>
      </c>
      <c r="AE33" s="2">
        <v>0.05</v>
      </c>
      <c r="AF33" s="5">
        <f t="shared" si="5"/>
        <v>0.71750000000000003</v>
      </c>
      <c r="AG33" s="2">
        <v>0</v>
      </c>
      <c r="AH33" s="5">
        <f t="shared" si="11"/>
        <v>14.35</v>
      </c>
      <c r="AJ33" s="126" t="e">
        <v>#N/A</v>
      </c>
      <c r="AK33" s="80">
        <f t="shared" si="7"/>
        <v>0</v>
      </c>
      <c r="AM33" s="85"/>
    </row>
    <row r="34" spans="1:39" hidden="1" x14ac:dyDescent="0.3">
      <c r="A34" s="85" t="s">
        <v>34</v>
      </c>
      <c r="B34" s="3" t="s">
        <v>35</v>
      </c>
      <c r="C34" s="3" t="s">
        <v>36</v>
      </c>
      <c r="D34" s="3" t="s">
        <v>54</v>
      </c>
      <c r="E34" s="3" t="s">
        <v>103</v>
      </c>
      <c r="F34" s="3" t="s">
        <v>104</v>
      </c>
      <c r="G34" s="3" t="s">
        <v>103</v>
      </c>
      <c r="I34" s="3" t="s">
        <v>3356</v>
      </c>
      <c r="J34" s="1" t="s">
        <v>3326</v>
      </c>
      <c r="K34" s="1" t="s">
        <v>3718</v>
      </c>
      <c r="L34" s="1" t="s">
        <v>35</v>
      </c>
      <c r="N34" s="3" t="s">
        <v>3718</v>
      </c>
      <c r="O34" s="1" t="s">
        <v>45</v>
      </c>
      <c r="P34" s="1" t="s">
        <v>41</v>
      </c>
      <c r="Q34" s="2">
        <v>0</v>
      </c>
      <c r="R34" s="138"/>
      <c r="T34" s="4">
        <v>3929336.4899999835</v>
      </c>
      <c r="U34" s="4">
        <v>12571000</v>
      </c>
      <c r="V34" s="4">
        <v>14026140.370000001</v>
      </c>
      <c r="W34" s="13">
        <f t="shared" si="8"/>
        <v>2474196.1199999824</v>
      </c>
      <c r="X34" s="13">
        <f t="shared" si="9"/>
        <v>14026140.370000001</v>
      </c>
      <c r="Y34" s="13">
        <f t="shared" si="2"/>
        <v>0</v>
      </c>
      <c r="Z34" s="2">
        <v>0</v>
      </c>
      <c r="AA34" s="4">
        <v>0</v>
      </c>
      <c r="AB34" s="4">
        <f t="shared" si="3"/>
        <v>14026140.370000001</v>
      </c>
      <c r="AC34" s="6">
        <f t="shared" si="4"/>
        <v>0</v>
      </c>
      <c r="AD34" s="13">
        <f t="shared" si="10"/>
        <v>14026140.370000001</v>
      </c>
      <c r="AE34" s="2">
        <v>0.05</v>
      </c>
      <c r="AF34" s="5">
        <f t="shared" si="5"/>
        <v>701307.01850000012</v>
      </c>
      <c r="AG34" s="2">
        <v>0</v>
      </c>
      <c r="AH34" s="5">
        <f t="shared" si="11"/>
        <v>14026140.370000001</v>
      </c>
      <c r="AJ34" s="126" t="e">
        <v>#N/A</v>
      </c>
      <c r="AK34" s="80">
        <f t="shared" si="7"/>
        <v>0</v>
      </c>
      <c r="AM34" s="85"/>
    </row>
    <row r="35" spans="1:39" hidden="1" x14ac:dyDescent="0.3">
      <c r="A35" s="85" t="s">
        <v>34</v>
      </c>
      <c r="B35" s="3" t="s">
        <v>35</v>
      </c>
      <c r="C35" s="3" t="s">
        <v>36</v>
      </c>
      <c r="D35" s="3" t="s">
        <v>54</v>
      </c>
      <c r="E35" s="3" t="s">
        <v>103</v>
      </c>
      <c r="F35" s="3" t="s">
        <v>104</v>
      </c>
      <c r="G35" s="3" t="s">
        <v>103</v>
      </c>
      <c r="I35" s="3" t="s">
        <v>3356</v>
      </c>
      <c r="J35" s="1" t="s">
        <v>3326</v>
      </c>
      <c r="K35" s="1" t="s">
        <v>3718</v>
      </c>
      <c r="L35" s="1" t="s">
        <v>35</v>
      </c>
      <c r="N35" s="3" t="s">
        <v>3718</v>
      </c>
      <c r="O35" s="1" t="s">
        <v>105</v>
      </c>
      <c r="P35" s="1" t="s">
        <v>41</v>
      </c>
      <c r="Q35" s="2">
        <v>0</v>
      </c>
      <c r="R35" s="138"/>
      <c r="T35" s="4">
        <v>-6010.08</v>
      </c>
      <c r="U35" s="4">
        <v>215000</v>
      </c>
      <c r="V35" s="4">
        <v>272555.65000000002</v>
      </c>
      <c r="W35" s="13">
        <f t="shared" si="8"/>
        <v>-63565.73000000001</v>
      </c>
      <c r="X35" s="13">
        <f t="shared" si="9"/>
        <v>272555.65000000002</v>
      </c>
      <c r="Y35" s="13">
        <f t="shared" si="2"/>
        <v>0</v>
      </c>
      <c r="Z35" s="2">
        <v>0</v>
      </c>
      <c r="AA35" s="4">
        <v>0</v>
      </c>
      <c r="AB35" s="4">
        <f t="shared" si="3"/>
        <v>272555.65000000002</v>
      </c>
      <c r="AC35" s="6">
        <f t="shared" si="4"/>
        <v>0</v>
      </c>
      <c r="AD35" s="13">
        <f t="shared" si="10"/>
        <v>272555.65000000002</v>
      </c>
      <c r="AE35" s="2">
        <v>0.05</v>
      </c>
      <c r="AF35" s="5">
        <f t="shared" si="5"/>
        <v>13627.782500000001</v>
      </c>
      <c r="AG35" s="2">
        <v>0</v>
      </c>
      <c r="AH35" s="5">
        <f t="shared" si="11"/>
        <v>272555.65000000002</v>
      </c>
      <c r="AJ35" s="126" t="e">
        <v>#N/A</v>
      </c>
      <c r="AK35" s="80">
        <f t="shared" si="7"/>
        <v>0</v>
      </c>
      <c r="AM35" s="85"/>
    </row>
    <row r="36" spans="1:39" hidden="1" x14ac:dyDescent="0.3">
      <c r="A36" s="85" t="s">
        <v>34</v>
      </c>
      <c r="B36" s="3" t="s">
        <v>35</v>
      </c>
      <c r="C36" s="3" t="s">
        <v>36</v>
      </c>
      <c r="D36" s="3" t="s">
        <v>54</v>
      </c>
      <c r="E36" s="3" t="s">
        <v>106</v>
      </c>
      <c r="F36" s="3" t="s">
        <v>106</v>
      </c>
      <c r="G36" s="3" t="s">
        <v>107</v>
      </c>
      <c r="I36" s="3" t="s">
        <v>3356</v>
      </c>
      <c r="J36" s="1" t="s">
        <v>3326</v>
      </c>
      <c r="K36" s="1" t="s">
        <v>3707</v>
      </c>
      <c r="L36" s="1" t="s">
        <v>35</v>
      </c>
      <c r="N36" s="3" t="s">
        <v>3707</v>
      </c>
      <c r="O36" s="1" t="s">
        <v>45</v>
      </c>
      <c r="P36" s="1" t="s">
        <v>41</v>
      </c>
      <c r="Q36" s="2">
        <v>0</v>
      </c>
      <c r="R36" s="138"/>
      <c r="T36" s="4">
        <v>437359.06000000029</v>
      </c>
      <c r="U36" s="4">
        <v>1500000</v>
      </c>
      <c r="V36" s="4">
        <v>1642384.3399999999</v>
      </c>
      <c r="W36" s="13">
        <f t="shared" si="8"/>
        <v>294974.72000000044</v>
      </c>
      <c r="X36" s="13">
        <f t="shared" si="9"/>
        <v>1642384.3399999999</v>
      </c>
      <c r="Y36" s="13">
        <f t="shared" si="2"/>
        <v>0</v>
      </c>
      <c r="Z36" s="2">
        <v>0</v>
      </c>
      <c r="AA36" s="4">
        <v>0</v>
      </c>
      <c r="AB36" s="4">
        <f t="shared" si="3"/>
        <v>1642384.3399999999</v>
      </c>
      <c r="AC36" s="6">
        <f t="shared" si="4"/>
        <v>0</v>
      </c>
      <c r="AD36" s="13">
        <f t="shared" si="10"/>
        <v>1642384.3399999999</v>
      </c>
      <c r="AE36" s="2">
        <v>0.05</v>
      </c>
      <c r="AF36" s="5">
        <f t="shared" si="5"/>
        <v>82119.217000000004</v>
      </c>
      <c r="AG36" s="2">
        <v>0</v>
      </c>
      <c r="AH36" s="5">
        <f t="shared" si="11"/>
        <v>1642384.3399999999</v>
      </c>
      <c r="AJ36" s="126" t="e">
        <v>#N/A</v>
      </c>
      <c r="AK36" s="80">
        <f t="shared" si="7"/>
        <v>0</v>
      </c>
      <c r="AM36" s="85"/>
    </row>
    <row r="37" spans="1:39" hidden="1" x14ac:dyDescent="0.3">
      <c r="A37" s="85" t="s">
        <v>34</v>
      </c>
      <c r="B37" s="3" t="s">
        <v>35</v>
      </c>
      <c r="C37" s="3" t="s">
        <v>36</v>
      </c>
      <c r="D37" s="3" t="s">
        <v>54</v>
      </c>
      <c r="E37" s="3" t="s">
        <v>108</v>
      </c>
      <c r="F37" s="3" t="s">
        <v>108</v>
      </c>
      <c r="G37" s="3" t="s">
        <v>108</v>
      </c>
      <c r="I37" s="3" t="s">
        <v>3356</v>
      </c>
      <c r="J37" s="1" t="s">
        <v>3326</v>
      </c>
      <c r="K37" s="1" t="s">
        <v>3712</v>
      </c>
      <c r="L37" s="1" t="s">
        <v>35</v>
      </c>
      <c r="N37" s="3" t="s">
        <v>3713</v>
      </c>
      <c r="O37" s="1" t="s">
        <v>45</v>
      </c>
      <c r="P37" s="1" t="s">
        <v>41</v>
      </c>
      <c r="Q37" s="2">
        <v>0</v>
      </c>
      <c r="R37" s="138"/>
      <c r="T37" s="4">
        <v>1827788.9599999995</v>
      </c>
      <c r="U37" s="4">
        <v>702289.21</v>
      </c>
      <c r="V37" s="4">
        <v>1442875.17</v>
      </c>
      <c r="W37" s="13">
        <f t="shared" si="8"/>
        <v>1087202.9999999995</v>
      </c>
      <c r="X37" s="13">
        <f t="shared" si="9"/>
        <v>1442875.17</v>
      </c>
      <c r="Y37" s="13">
        <f t="shared" si="2"/>
        <v>0</v>
      </c>
      <c r="Z37" s="2">
        <v>0</v>
      </c>
      <c r="AA37" s="4">
        <v>0</v>
      </c>
      <c r="AB37" s="4">
        <f t="shared" si="3"/>
        <v>1442875.17</v>
      </c>
      <c r="AC37" s="6">
        <f t="shared" si="4"/>
        <v>0</v>
      </c>
      <c r="AD37" s="13">
        <f t="shared" si="10"/>
        <v>1442875.17</v>
      </c>
      <c r="AE37" s="2">
        <v>0.05</v>
      </c>
      <c r="AF37" s="5">
        <f t="shared" si="5"/>
        <v>72143.758499999996</v>
      </c>
      <c r="AG37" s="2">
        <v>0</v>
      </c>
      <c r="AH37" s="5">
        <f t="shared" si="11"/>
        <v>1442875.17</v>
      </c>
      <c r="AJ37" s="126" t="e">
        <v>#N/A</v>
      </c>
      <c r="AK37" s="80">
        <f t="shared" si="7"/>
        <v>0</v>
      </c>
      <c r="AM37" s="85"/>
    </row>
    <row r="38" spans="1:39" hidden="1" x14ac:dyDescent="0.3">
      <c r="A38" s="85" t="s">
        <v>34</v>
      </c>
      <c r="B38" s="3" t="s">
        <v>35</v>
      </c>
      <c r="C38" s="3" t="s">
        <v>36</v>
      </c>
      <c r="D38" s="3" t="s">
        <v>54</v>
      </c>
      <c r="E38" s="3" t="s">
        <v>108</v>
      </c>
      <c r="F38" s="3" t="s">
        <v>108</v>
      </c>
      <c r="G38" s="3" t="s">
        <v>108</v>
      </c>
      <c r="I38" s="3" t="s">
        <v>3356</v>
      </c>
      <c r="J38" s="1" t="s">
        <v>3326</v>
      </c>
      <c r="K38" s="1" t="s">
        <v>3712</v>
      </c>
      <c r="L38" s="1" t="s">
        <v>35</v>
      </c>
      <c r="N38" s="3" t="s">
        <v>3713</v>
      </c>
      <c r="O38" s="1" t="s">
        <v>88</v>
      </c>
      <c r="P38" s="1" t="s">
        <v>41</v>
      </c>
      <c r="Q38" s="2">
        <v>0</v>
      </c>
      <c r="R38" s="138"/>
      <c r="T38" s="4">
        <v>0</v>
      </c>
      <c r="U38" s="4">
        <v>-159889.21</v>
      </c>
      <c r="V38" s="4">
        <v>-159889.21</v>
      </c>
      <c r="W38" s="13">
        <f t="shared" si="8"/>
        <v>0</v>
      </c>
      <c r="X38" s="13">
        <f t="shared" si="9"/>
        <v>-159889.21</v>
      </c>
      <c r="Y38" s="13">
        <f t="shared" si="2"/>
        <v>0</v>
      </c>
      <c r="Z38" s="2">
        <v>0</v>
      </c>
      <c r="AA38" s="4">
        <v>0</v>
      </c>
      <c r="AB38" s="4">
        <f t="shared" si="3"/>
        <v>-159889.21</v>
      </c>
      <c r="AC38" s="6">
        <f t="shared" si="4"/>
        <v>0</v>
      </c>
      <c r="AD38" s="13">
        <f t="shared" si="10"/>
        <v>-159889.21</v>
      </c>
      <c r="AE38" s="2">
        <v>0.05</v>
      </c>
      <c r="AF38" s="5">
        <f t="shared" si="5"/>
        <v>-7994.4605000000001</v>
      </c>
      <c r="AG38" s="2">
        <v>0</v>
      </c>
      <c r="AH38" s="5">
        <f t="shared" si="11"/>
        <v>-159889.21</v>
      </c>
      <c r="AJ38" s="126" t="e">
        <v>#N/A</v>
      </c>
      <c r="AK38" s="80">
        <f t="shared" si="7"/>
        <v>0</v>
      </c>
      <c r="AM38" s="85"/>
    </row>
    <row r="39" spans="1:39" hidden="1" x14ac:dyDescent="0.3">
      <c r="A39" s="85" t="s">
        <v>34</v>
      </c>
      <c r="B39" s="3" t="s">
        <v>35</v>
      </c>
      <c r="C39" s="3" t="s">
        <v>36</v>
      </c>
      <c r="D39" s="3" t="s">
        <v>54</v>
      </c>
      <c r="E39" s="3" t="s">
        <v>109</v>
      </c>
      <c r="F39" s="3" t="s">
        <v>109</v>
      </c>
      <c r="G39" s="3" t="s">
        <v>109</v>
      </c>
      <c r="I39" s="3" t="s">
        <v>3356</v>
      </c>
      <c r="J39" s="1" t="s">
        <v>3326</v>
      </c>
      <c r="K39" s="1" t="s">
        <v>3718</v>
      </c>
      <c r="L39" s="1" t="s">
        <v>35</v>
      </c>
      <c r="N39" s="3" t="s">
        <v>3718</v>
      </c>
      <c r="O39" s="1" t="s">
        <v>45</v>
      </c>
      <c r="P39" s="1" t="s">
        <v>41</v>
      </c>
      <c r="Q39" s="2">
        <v>0</v>
      </c>
      <c r="R39" s="138"/>
      <c r="T39" s="4">
        <v>3658816.5699999966</v>
      </c>
      <c r="U39" s="4">
        <v>4250000</v>
      </c>
      <c r="V39" s="4">
        <v>6259305.6900000004</v>
      </c>
      <c r="W39" s="13">
        <f t="shared" si="8"/>
        <v>1649510.8799999962</v>
      </c>
      <c r="X39" s="13">
        <f t="shared" si="9"/>
        <v>6259305.6900000004</v>
      </c>
      <c r="Y39" s="13">
        <f t="shared" si="2"/>
        <v>0</v>
      </c>
      <c r="Z39" s="2">
        <v>0</v>
      </c>
      <c r="AA39" s="4">
        <v>0</v>
      </c>
      <c r="AB39" s="4">
        <f t="shared" si="3"/>
        <v>6259305.6900000004</v>
      </c>
      <c r="AC39" s="6">
        <f t="shared" si="4"/>
        <v>0</v>
      </c>
      <c r="AD39" s="13">
        <f t="shared" si="10"/>
        <v>6259305.6900000004</v>
      </c>
      <c r="AE39" s="2">
        <v>0.05</v>
      </c>
      <c r="AF39" s="5">
        <f t="shared" si="5"/>
        <v>312965.28450000001</v>
      </c>
      <c r="AG39" s="2">
        <v>0</v>
      </c>
      <c r="AH39" s="5">
        <f t="shared" si="11"/>
        <v>6259305.6900000004</v>
      </c>
      <c r="AJ39" s="126" t="e">
        <v>#N/A</v>
      </c>
      <c r="AK39" s="80">
        <f t="shared" si="7"/>
        <v>0</v>
      </c>
      <c r="AM39" s="85"/>
    </row>
    <row r="40" spans="1:39" hidden="1" x14ac:dyDescent="0.3">
      <c r="A40" s="85" t="s">
        <v>34</v>
      </c>
      <c r="B40" s="3" t="s">
        <v>35</v>
      </c>
      <c r="C40" s="3" t="s">
        <v>36</v>
      </c>
      <c r="D40" s="3" t="s">
        <v>54</v>
      </c>
      <c r="E40" s="3" t="s">
        <v>109</v>
      </c>
      <c r="F40" s="3" t="s">
        <v>109</v>
      </c>
      <c r="G40" s="3" t="s">
        <v>109</v>
      </c>
      <c r="I40" s="3" t="s">
        <v>3356</v>
      </c>
      <c r="J40" s="1" t="s">
        <v>3326</v>
      </c>
      <c r="K40" s="1" t="s">
        <v>3718</v>
      </c>
      <c r="L40" s="1" t="s">
        <v>35</v>
      </c>
      <c r="N40" s="3" t="s">
        <v>3718</v>
      </c>
      <c r="O40" s="1" t="s">
        <v>105</v>
      </c>
      <c r="P40" s="1" t="s">
        <v>41</v>
      </c>
      <c r="Q40" s="2">
        <v>0</v>
      </c>
      <c r="R40" s="138"/>
      <c r="T40" s="4">
        <v>0</v>
      </c>
      <c r="U40" s="4">
        <v>1100000</v>
      </c>
      <c r="V40" s="4">
        <v>908738.18000000028</v>
      </c>
      <c r="W40" s="13">
        <f t="shared" si="8"/>
        <v>191261.81999999972</v>
      </c>
      <c r="X40" s="13">
        <f t="shared" si="9"/>
        <v>908738.18000000028</v>
      </c>
      <c r="Y40" s="13">
        <f t="shared" si="2"/>
        <v>0</v>
      </c>
      <c r="Z40" s="2">
        <v>0</v>
      </c>
      <c r="AA40" s="4">
        <v>0</v>
      </c>
      <c r="AB40" s="4">
        <f t="shared" si="3"/>
        <v>908738.18000000028</v>
      </c>
      <c r="AC40" s="6">
        <f t="shared" si="4"/>
        <v>0</v>
      </c>
      <c r="AD40" s="13">
        <f t="shared" si="10"/>
        <v>908738.18000000028</v>
      </c>
      <c r="AE40" s="2">
        <v>0.05</v>
      </c>
      <c r="AF40" s="5">
        <f t="shared" si="5"/>
        <v>45436.909000000014</v>
      </c>
      <c r="AG40" s="2">
        <v>0</v>
      </c>
      <c r="AH40" s="5">
        <f t="shared" si="11"/>
        <v>908738.18000000028</v>
      </c>
      <c r="AJ40" s="126" t="e">
        <v>#N/A</v>
      </c>
      <c r="AK40" s="80">
        <f t="shared" si="7"/>
        <v>0</v>
      </c>
      <c r="AM40" s="85"/>
    </row>
    <row r="41" spans="1:39" hidden="1" x14ac:dyDescent="0.3">
      <c r="A41" s="85" t="s">
        <v>34</v>
      </c>
      <c r="B41" s="3" t="s">
        <v>35</v>
      </c>
      <c r="C41" s="3" t="s">
        <v>36</v>
      </c>
      <c r="D41" s="3" t="s">
        <v>54</v>
      </c>
      <c r="E41" s="3" t="s">
        <v>110</v>
      </c>
      <c r="F41" s="3" t="s">
        <v>110</v>
      </c>
      <c r="G41" s="3" t="s">
        <v>110</v>
      </c>
      <c r="I41" s="3" t="s">
        <v>3356</v>
      </c>
      <c r="J41" s="1" t="s">
        <v>3326</v>
      </c>
      <c r="K41" s="1" t="s">
        <v>3712</v>
      </c>
      <c r="L41" s="1" t="s">
        <v>35</v>
      </c>
      <c r="N41" s="3" t="s">
        <v>3712</v>
      </c>
      <c r="O41" s="1" t="s">
        <v>45</v>
      </c>
      <c r="P41" s="1" t="s">
        <v>41</v>
      </c>
      <c r="Q41" s="2">
        <v>0</v>
      </c>
      <c r="R41" s="138"/>
      <c r="T41" s="4">
        <v>318072.89999999991</v>
      </c>
      <c r="U41" s="4">
        <v>700000</v>
      </c>
      <c r="V41" s="4">
        <v>294972.18</v>
      </c>
      <c r="W41" s="13">
        <f t="shared" si="8"/>
        <v>723100.72</v>
      </c>
      <c r="X41" s="13">
        <f t="shared" si="9"/>
        <v>294972.18</v>
      </c>
      <c r="Y41" s="13">
        <f t="shared" si="2"/>
        <v>0</v>
      </c>
      <c r="Z41" s="2">
        <v>0</v>
      </c>
      <c r="AA41" s="4">
        <v>0</v>
      </c>
      <c r="AB41" s="4">
        <f t="shared" si="3"/>
        <v>294972.18</v>
      </c>
      <c r="AC41" s="6">
        <f t="shared" si="4"/>
        <v>0</v>
      </c>
      <c r="AD41" s="13">
        <f t="shared" si="10"/>
        <v>294972.18</v>
      </c>
      <c r="AE41" s="2">
        <v>0.05</v>
      </c>
      <c r="AF41" s="5">
        <f t="shared" si="5"/>
        <v>14748.609</v>
      </c>
      <c r="AG41" s="2">
        <v>0</v>
      </c>
      <c r="AH41" s="5">
        <f t="shared" si="11"/>
        <v>294972.18</v>
      </c>
      <c r="AJ41" s="126" t="e">
        <v>#N/A</v>
      </c>
      <c r="AK41" s="80">
        <f t="shared" si="7"/>
        <v>0</v>
      </c>
      <c r="AM41" s="85"/>
    </row>
    <row r="42" spans="1:39" hidden="1" x14ac:dyDescent="0.3">
      <c r="A42" s="85" t="s">
        <v>34</v>
      </c>
      <c r="B42" s="3" t="s">
        <v>35</v>
      </c>
      <c r="C42" s="3" t="s">
        <v>36</v>
      </c>
      <c r="D42" s="3" t="s">
        <v>54</v>
      </c>
      <c r="E42" s="3" t="s">
        <v>111</v>
      </c>
      <c r="F42" s="3" t="s">
        <v>111</v>
      </c>
      <c r="G42" s="3" t="s">
        <v>111</v>
      </c>
      <c r="H42" s="138"/>
      <c r="I42" s="3" t="s">
        <v>3356</v>
      </c>
      <c r="J42" s="1" t="s">
        <v>3326</v>
      </c>
      <c r="K42" s="1" t="s">
        <v>3712</v>
      </c>
      <c r="L42" s="1" t="s">
        <v>35</v>
      </c>
      <c r="N42" s="3" t="s">
        <v>3729</v>
      </c>
      <c r="O42" s="1" t="s">
        <v>45</v>
      </c>
      <c r="P42" s="1" t="s">
        <v>41</v>
      </c>
      <c r="Q42" s="2">
        <v>0</v>
      </c>
      <c r="R42" s="138"/>
      <c r="T42" s="4">
        <v>140328.62</v>
      </c>
      <c r="U42" s="4">
        <v>-137743.64000000001</v>
      </c>
      <c r="V42" s="4">
        <v>0</v>
      </c>
      <c r="W42" s="13">
        <f t="shared" si="8"/>
        <v>2584.9799999999814</v>
      </c>
      <c r="X42" s="13">
        <f t="shared" si="9"/>
        <v>0</v>
      </c>
      <c r="Y42" s="13">
        <f t="shared" si="2"/>
        <v>0</v>
      </c>
      <c r="Z42" s="2">
        <v>0</v>
      </c>
      <c r="AA42" s="4">
        <v>0</v>
      </c>
      <c r="AB42" s="4">
        <f t="shared" si="3"/>
        <v>0</v>
      </c>
      <c r="AC42" s="6">
        <f t="shared" si="4"/>
        <v>0</v>
      </c>
      <c r="AD42" s="13">
        <f t="shared" si="10"/>
        <v>0</v>
      </c>
      <c r="AE42" s="2">
        <v>0.05</v>
      </c>
      <c r="AF42" s="5">
        <f t="shared" si="5"/>
        <v>0</v>
      </c>
      <c r="AG42" s="2">
        <v>0</v>
      </c>
      <c r="AH42" s="5">
        <f t="shared" si="11"/>
        <v>0</v>
      </c>
      <c r="AJ42" s="126" t="e">
        <v>#N/A</v>
      </c>
      <c r="AK42" s="80">
        <f t="shared" si="7"/>
        <v>0</v>
      </c>
      <c r="AM42" s="85"/>
    </row>
    <row r="43" spans="1:39" hidden="1" x14ac:dyDescent="0.3">
      <c r="A43" s="85" t="s">
        <v>34</v>
      </c>
      <c r="B43" s="3" t="s">
        <v>35</v>
      </c>
      <c r="C43" s="3" t="s">
        <v>36</v>
      </c>
      <c r="D43" s="3" t="s">
        <v>54</v>
      </c>
      <c r="E43" s="3" t="s">
        <v>112</v>
      </c>
      <c r="F43" s="3" t="s">
        <v>113</v>
      </c>
      <c r="G43" s="3" t="s">
        <v>112</v>
      </c>
      <c r="I43" s="3" t="s">
        <v>3356</v>
      </c>
      <c r="J43" s="1" t="s">
        <v>3326</v>
      </c>
      <c r="K43" s="1" t="s">
        <v>3712</v>
      </c>
      <c r="L43" s="1" t="s">
        <v>35</v>
      </c>
      <c r="N43" s="3" t="s">
        <v>3712</v>
      </c>
      <c r="O43" s="1" t="s">
        <v>45</v>
      </c>
      <c r="P43" s="1" t="s">
        <v>41</v>
      </c>
      <c r="Q43" s="2">
        <v>0</v>
      </c>
      <c r="R43" s="138"/>
      <c r="T43" s="4">
        <v>90715.810000000027</v>
      </c>
      <c r="U43" s="4">
        <v>100000</v>
      </c>
      <c r="V43" s="4">
        <v>151181.81000000003</v>
      </c>
      <c r="W43" s="13">
        <f t="shared" si="8"/>
        <v>39534</v>
      </c>
      <c r="X43" s="13">
        <f t="shared" si="9"/>
        <v>151181.81000000003</v>
      </c>
      <c r="Y43" s="13">
        <f t="shared" si="2"/>
        <v>0</v>
      </c>
      <c r="Z43" s="2">
        <v>0</v>
      </c>
      <c r="AA43" s="4">
        <v>0</v>
      </c>
      <c r="AB43" s="4">
        <f t="shared" si="3"/>
        <v>151181.81000000003</v>
      </c>
      <c r="AC43" s="6">
        <f t="shared" si="4"/>
        <v>0</v>
      </c>
      <c r="AD43" s="13">
        <f t="shared" si="10"/>
        <v>151181.81000000003</v>
      </c>
      <c r="AE43" s="2">
        <v>0.05</v>
      </c>
      <c r="AF43" s="5">
        <f t="shared" si="5"/>
        <v>7559.0905000000021</v>
      </c>
      <c r="AG43" s="2">
        <v>0</v>
      </c>
      <c r="AH43" s="5">
        <f t="shared" si="11"/>
        <v>151181.81000000003</v>
      </c>
      <c r="AJ43" s="126" t="e">
        <v>#N/A</v>
      </c>
      <c r="AK43" s="80">
        <f t="shared" si="7"/>
        <v>0</v>
      </c>
      <c r="AM43" s="85"/>
    </row>
    <row r="44" spans="1:39" hidden="1" x14ac:dyDescent="0.3">
      <c r="A44" s="85" t="s">
        <v>34</v>
      </c>
      <c r="B44" s="3" t="s">
        <v>35</v>
      </c>
      <c r="C44" s="3" t="s">
        <v>36</v>
      </c>
      <c r="D44" s="3" t="s">
        <v>54</v>
      </c>
      <c r="E44" s="3" t="s">
        <v>114</v>
      </c>
      <c r="F44" s="3" t="s">
        <v>114</v>
      </c>
      <c r="G44" s="3" t="s">
        <v>114</v>
      </c>
      <c r="I44" s="3" t="s">
        <v>3356</v>
      </c>
      <c r="J44" s="1" t="s">
        <v>3326</v>
      </c>
      <c r="K44" s="1" t="s">
        <v>3712</v>
      </c>
      <c r="L44" s="1" t="s">
        <v>35</v>
      </c>
      <c r="N44" s="3" t="s">
        <v>3712</v>
      </c>
      <c r="O44" s="1" t="s">
        <v>45</v>
      </c>
      <c r="P44" s="1" t="s">
        <v>46</v>
      </c>
      <c r="Q44" s="2">
        <v>0.02</v>
      </c>
      <c r="R44" s="138"/>
      <c r="T44" s="4">
        <v>136335.69</v>
      </c>
      <c r="U44" s="4">
        <v>100000</v>
      </c>
      <c r="V44" s="4">
        <v>168984.15999999995</v>
      </c>
      <c r="W44" s="13">
        <f t="shared" si="8"/>
        <v>67351.530000000057</v>
      </c>
      <c r="X44" s="13">
        <f t="shared" si="9"/>
        <v>165670.74509803916</v>
      </c>
      <c r="Y44" s="13">
        <f t="shared" si="2"/>
        <v>0</v>
      </c>
      <c r="Z44" s="2">
        <v>0</v>
      </c>
      <c r="AA44" s="4">
        <v>0</v>
      </c>
      <c r="AB44" s="4">
        <f t="shared" si="3"/>
        <v>165670.74509803916</v>
      </c>
      <c r="AC44" s="6">
        <f t="shared" si="4"/>
        <v>3313.4149019607867</v>
      </c>
      <c r="AD44" s="13">
        <f t="shared" si="10"/>
        <v>168984.15999999995</v>
      </c>
      <c r="AE44" s="2">
        <v>0.05</v>
      </c>
      <c r="AF44" s="5">
        <f t="shared" si="5"/>
        <v>8449.2079999999969</v>
      </c>
      <c r="AG44" s="2">
        <v>0</v>
      </c>
      <c r="AH44" s="5">
        <f t="shared" si="11"/>
        <v>168984.15999999995</v>
      </c>
      <c r="AJ44" s="126" t="e">
        <v>#N/A</v>
      </c>
      <c r="AK44" s="80">
        <f t="shared" si="7"/>
        <v>0</v>
      </c>
      <c r="AM44" s="85"/>
    </row>
    <row r="45" spans="1:39" hidden="1" x14ac:dyDescent="0.3">
      <c r="A45" s="85" t="s">
        <v>34</v>
      </c>
      <c r="B45" s="3" t="s">
        <v>35</v>
      </c>
      <c r="C45" s="3" t="s">
        <v>36</v>
      </c>
      <c r="D45" s="3" t="s">
        <v>37</v>
      </c>
      <c r="E45" s="3" t="s">
        <v>115</v>
      </c>
      <c r="F45" s="3" t="s">
        <v>115</v>
      </c>
      <c r="G45" s="3" t="s">
        <v>115</v>
      </c>
      <c r="H45" s="138"/>
      <c r="I45" s="3" t="s">
        <v>3356</v>
      </c>
      <c r="J45" s="1" t="s">
        <v>3326</v>
      </c>
      <c r="K45" s="1" t="s">
        <v>3710</v>
      </c>
      <c r="L45" s="1" t="s">
        <v>35</v>
      </c>
      <c r="N45" s="3" t="s">
        <v>3711</v>
      </c>
      <c r="O45" s="1" t="s">
        <v>45</v>
      </c>
      <c r="P45" s="1" t="s">
        <v>46</v>
      </c>
      <c r="Q45" s="2">
        <v>0.01</v>
      </c>
      <c r="R45" s="138"/>
      <c r="T45" s="4">
        <v>231080.97999999998</v>
      </c>
      <c r="U45" s="4">
        <v>-231080.97999999998</v>
      </c>
      <c r="V45" s="4">
        <v>0</v>
      </c>
      <c r="W45" s="13">
        <f t="shared" si="8"/>
        <v>0</v>
      </c>
      <c r="X45" s="13">
        <f t="shared" si="9"/>
        <v>0</v>
      </c>
      <c r="Y45" s="13">
        <f t="shared" si="2"/>
        <v>0</v>
      </c>
      <c r="Z45" s="2">
        <v>0</v>
      </c>
      <c r="AA45" s="4">
        <v>0</v>
      </c>
      <c r="AB45" s="4">
        <f t="shared" si="3"/>
        <v>0</v>
      </c>
      <c r="AC45" s="6">
        <f t="shared" si="4"/>
        <v>0</v>
      </c>
      <c r="AD45" s="13">
        <f t="shared" si="10"/>
        <v>0</v>
      </c>
      <c r="AE45" s="2">
        <v>0.05</v>
      </c>
      <c r="AF45" s="5">
        <f t="shared" si="5"/>
        <v>0</v>
      </c>
      <c r="AG45" s="2">
        <v>0</v>
      </c>
      <c r="AH45" s="5">
        <f t="shared" si="11"/>
        <v>0</v>
      </c>
      <c r="AJ45" s="126" t="e">
        <v>#N/A</v>
      </c>
      <c r="AK45" s="80">
        <f t="shared" si="7"/>
        <v>0</v>
      </c>
      <c r="AM45" s="85"/>
    </row>
    <row r="46" spans="1:39" hidden="1" x14ac:dyDescent="0.3">
      <c r="A46" s="85" t="s">
        <v>34</v>
      </c>
      <c r="B46" s="3" t="s">
        <v>35</v>
      </c>
      <c r="C46" s="3" t="s">
        <v>36</v>
      </c>
      <c r="D46" s="3" t="s">
        <v>37</v>
      </c>
      <c r="E46" s="3" t="s">
        <v>115</v>
      </c>
      <c r="F46" s="3" t="s">
        <v>115</v>
      </c>
      <c r="G46" s="3" t="s">
        <v>115</v>
      </c>
      <c r="H46" s="138"/>
      <c r="I46" s="3" t="s">
        <v>3356</v>
      </c>
      <c r="J46" s="1" t="s">
        <v>3326</v>
      </c>
      <c r="K46" s="1" t="s">
        <v>3710</v>
      </c>
      <c r="L46" s="1" t="s">
        <v>35</v>
      </c>
      <c r="N46" s="3" t="s">
        <v>3711</v>
      </c>
      <c r="O46" s="1" t="s">
        <v>45</v>
      </c>
      <c r="P46" s="1" t="s">
        <v>41</v>
      </c>
      <c r="Q46" s="2">
        <v>0</v>
      </c>
      <c r="R46" s="138"/>
      <c r="T46" s="4">
        <v>1612918.12</v>
      </c>
      <c r="U46" s="4">
        <v>-1612918.12</v>
      </c>
      <c r="V46" s="4">
        <v>0</v>
      </c>
      <c r="W46" s="13">
        <f t="shared" si="8"/>
        <v>0</v>
      </c>
      <c r="X46" s="13">
        <f t="shared" si="9"/>
        <v>0</v>
      </c>
      <c r="Y46" s="13">
        <f t="shared" si="2"/>
        <v>0</v>
      </c>
      <c r="Z46" s="2">
        <v>0</v>
      </c>
      <c r="AA46" s="4">
        <v>0</v>
      </c>
      <c r="AB46" s="4">
        <f t="shared" si="3"/>
        <v>0</v>
      </c>
      <c r="AC46" s="6">
        <f t="shared" si="4"/>
        <v>0</v>
      </c>
      <c r="AD46" s="13">
        <f t="shared" si="10"/>
        <v>0</v>
      </c>
      <c r="AE46" s="2">
        <v>0.05</v>
      </c>
      <c r="AF46" s="5">
        <f t="shared" si="5"/>
        <v>0</v>
      </c>
      <c r="AG46" s="2">
        <v>0</v>
      </c>
      <c r="AH46" s="5">
        <f t="shared" si="11"/>
        <v>0</v>
      </c>
      <c r="AJ46" s="126" t="e">
        <v>#N/A</v>
      </c>
      <c r="AK46" s="80">
        <f t="shared" si="7"/>
        <v>0</v>
      </c>
      <c r="AM46" s="85"/>
    </row>
    <row r="47" spans="1:39" hidden="1" x14ac:dyDescent="0.3">
      <c r="A47" s="85" t="s">
        <v>34</v>
      </c>
      <c r="B47" s="3" t="s">
        <v>35</v>
      </c>
      <c r="C47" s="3" t="s">
        <v>65</v>
      </c>
      <c r="D47" s="3" t="s">
        <v>116</v>
      </c>
      <c r="E47" s="3" t="s">
        <v>117</v>
      </c>
      <c r="F47" s="3" t="s">
        <v>117</v>
      </c>
      <c r="G47" s="3" t="s">
        <v>117</v>
      </c>
      <c r="I47" s="3" t="s">
        <v>3356</v>
      </c>
      <c r="J47" s="1" t="s">
        <v>3326</v>
      </c>
      <c r="K47" s="1" t="s">
        <v>3283</v>
      </c>
      <c r="L47" s="1" t="s">
        <v>35</v>
      </c>
      <c r="N47" s="3" t="s">
        <v>80</v>
      </c>
      <c r="O47" s="1" t="s">
        <v>45</v>
      </c>
      <c r="P47" s="1" t="s">
        <v>46</v>
      </c>
      <c r="Q47" s="2">
        <v>0.06</v>
      </c>
      <c r="R47" s="138"/>
      <c r="T47" s="4">
        <v>0</v>
      </c>
      <c r="U47" s="4">
        <v>200000</v>
      </c>
      <c r="V47" s="4">
        <v>84200.239999999991</v>
      </c>
      <c r="W47" s="13">
        <f t="shared" si="8"/>
        <v>115799.76000000001</v>
      </c>
      <c r="X47" s="13">
        <f t="shared" si="9"/>
        <v>79434.188679245271</v>
      </c>
      <c r="Y47" s="13">
        <f t="shared" si="2"/>
        <v>0</v>
      </c>
      <c r="Z47" s="2">
        <v>0</v>
      </c>
      <c r="AA47" s="4">
        <v>0</v>
      </c>
      <c r="AB47" s="4">
        <f t="shared" si="3"/>
        <v>79434.188679245271</v>
      </c>
      <c r="AC47" s="6">
        <f t="shared" si="4"/>
        <v>4766.0513207547192</v>
      </c>
      <c r="AD47" s="13">
        <f t="shared" si="10"/>
        <v>84200.239999999991</v>
      </c>
      <c r="AE47" s="2">
        <v>0.05</v>
      </c>
      <c r="AF47" s="5">
        <f t="shared" si="5"/>
        <v>4210.0119999999997</v>
      </c>
      <c r="AG47" s="2">
        <v>0</v>
      </c>
      <c r="AH47" s="5">
        <f t="shared" si="11"/>
        <v>84200.239999999991</v>
      </c>
      <c r="AJ47" s="126" t="e">
        <v>#N/A</v>
      </c>
      <c r="AK47" s="80">
        <f t="shared" si="7"/>
        <v>0</v>
      </c>
      <c r="AM47" s="85"/>
    </row>
    <row r="48" spans="1:39" hidden="1" x14ac:dyDescent="0.3">
      <c r="A48" s="85" t="s">
        <v>34</v>
      </c>
      <c r="B48" s="3" t="s">
        <v>35</v>
      </c>
      <c r="C48" s="3" t="s">
        <v>65</v>
      </c>
      <c r="D48" s="3" t="s">
        <v>66</v>
      </c>
      <c r="E48" s="3" t="s">
        <v>118</v>
      </c>
      <c r="F48" s="3" t="s">
        <v>118</v>
      </c>
      <c r="G48" s="3" t="s">
        <v>118</v>
      </c>
      <c r="I48" s="3" t="s">
        <v>3356</v>
      </c>
      <c r="J48" s="1" t="s">
        <v>3326</v>
      </c>
      <c r="K48" s="1" t="s">
        <v>3707</v>
      </c>
      <c r="L48" s="1" t="s">
        <v>35</v>
      </c>
      <c r="N48" s="3" t="s">
        <v>3716</v>
      </c>
      <c r="O48" s="1" t="s">
        <v>45</v>
      </c>
      <c r="P48" s="1" t="s">
        <v>46</v>
      </c>
      <c r="Q48" s="2">
        <v>0.03</v>
      </c>
      <c r="R48" s="138"/>
      <c r="T48" s="4">
        <v>2348741.6599999983</v>
      </c>
      <c r="U48" s="4">
        <v>2437130.08</v>
      </c>
      <c r="V48" s="4">
        <v>4612288.3299999982</v>
      </c>
      <c r="W48" s="13">
        <v>0</v>
      </c>
      <c r="X48" s="13">
        <f t="shared" si="9"/>
        <v>4477949.8349514548</v>
      </c>
      <c r="Y48" s="13">
        <f t="shared" si="2"/>
        <v>0</v>
      </c>
      <c r="Z48" s="2">
        <v>0</v>
      </c>
      <c r="AA48" s="4">
        <v>0</v>
      </c>
      <c r="AB48" s="4">
        <f t="shared" si="3"/>
        <v>4477949.8349514548</v>
      </c>
      <c r="AC48" s="6">
        <f t="shared" si="4"/>
        <v>134338.49504854344</v>
      </c>
      <c r="AD48" s="13">
        <f t="shared" si="10"/>
        <v>4612288.3299999982</v>
      </c>
      <c r="AE48" s="2">
        <v>0.05</v>
      </c>
      <c r="AF48" s="5">
        <f t="shared" si="5"/>
        <v>230614.41649999993</v>
      </c>
      <c r="AG48" s="2">
        <v>0</v>
      </c>
      <c r="AH48" s="5">
        <f t="shared" si="11"/>
        <v>4612288.3299999982</v>
      </c>
      <c r="AJ48" s="126" t="e">
        <v>#N/A</v>
      </c>
      <c r="AK48" s="80">
        <f t="shared" si="7"/>
        <v>0</v>
      </c>
      <c r="AM48" s="85"/>
    </row>
    <row r="49" spans="1:39" hidden="1" x14ac:dyDescent="0.3">
      <c r="A49" s="85" t="s">
        <v>34</v>
      </c>
      <c r="B49" s="3" t="s">
        <v>35</v>
      </c>
      <c r="C49" s="3" t="s">
        <v>65</v>
      </c>
      <c r="D49" s="3" t="s">
        <v>66</v>
      </c>
      <c r="E49" s="3" t="s">
        <v>119</v>
      </c>
      <c r="F49" s="3" t="s">
        <v>119</v>
      </c>
      <c r="G49" s="3" t="s">
        <v>119</v>
      </c>
      <c r="I49" s="3" t="s">
        <v>3356</v>
      </c>
      <c r="J49" s="1" t="s">
        <v>3326</v>
      </c>
      <c r="K49" s="1" t="s">
        <v>3707</v>
      </c>
      <c r="L49" s="1" t="s">
        <v>35</v>
      </c>
      <c r="N49" s="3" t="s">
        <v>3707</v>
      </c>
      <c r="O49" s="1" t="s">
        <v>45</v>
      </c>
      <c r="P49" s="1" t="s">
        <v>46</v>
      </c>
      <c r="Q49" s="2">
        <v>0.05</v>
      </c>
      <c r="R49" s="138"/>
      <c r="T49" s="4">
        <v>0</v>
      </c>
      <c r="U49" s="4">
        <v>-103890.89</v>
      </c>
      <c r="V49" s="4">
        <v>-103890.88999999998</v>
      </c>
      <c r="W49" s="13">
        <f t="shared" si="8"/>
        <v>0</v>
      </c>
      <c r="X49" s="13">
        <f t="shared" si="9"/>
        <v>-98943.704761904737</v>
      </c>
      <c r="Y49" s="13">
        <f t="shared" si="2"/>
        <v>4947.1852380952478</v>
      </c>
      <c r="Z49" s="2">
        <v>0</v>
      </c>
      <c r="AA49" s="4">
        <v>0</v>
      </c>
      <c r="AB49" s="4">
        <f t="shared" si="3"/>
        <v>-98943.704761904737</v>
      </c>
      <c r="AC49" s="6">
        <f t="shared" si="4"/>
        <v>-4947.1852380952478</v>
      </c>
      <c r="AD49" s="13">
        <f t="shared" si="10"/>
        <v>-103890.88999999998</v>
      </c>
      <c r="AE49" s="2">
        <v>0.05</v>
      </c>
      <c r="AF49" s="5">
        <f t="shared" si="5"/>
        <v>-5194.5445</v>
      </c>
      <c r="AG49" s="2">
        <v>0</v>
      </c>
      <c r="AH49" s="5">
        <f t="shared" si="11"/>
        <v>-103890.88999999998</v>
      </c>
      <c r="AJ49" s="126" t="e">
        <v>#N/A</v>
      </c>
      <c r="AK49" s="80">
        <f t="shared" si="7"/>
        <v>0</v>
      </c>
      <c r="AM49" s="85"/>
    </row>
    <row r="50" spans="1:39" hidden="1" x14ac:dyDescent="0.3">
      <c r="A50" s="85" t="s">
        <v>34</v>
      </c>
      <c r="B50" s="3" t="s">
        <v>35</v>
      </c>
      <c r="C50" s="3" t="s">
        <v>65</v>
      </c>
      <c r="D50" s="3" t="s">
        <v>66</v>
      </c>
      <c r="E50" s="3" t="s">
        <v>120</v>
      </c>
      <c r="F50" s="3" t="s">
        <v>120</v>
      </c>
      <c r="G50" s="3" t="s">
        <v>120</v>
      </c>
      <c r="I50" s="3" t="s">
        <v>3356</v>
      </c>
      <c r="J50" s="1" t="s">
        <v>3326</v>
      </c>
      <c r="K50" s="1" t="s">
        <v>3712</v>
      </c>
      <c r="L50" s="1" t="s">
        <v>35</v>
      </c>
      <c r="N50" s="3" t="s">
        <v>3712</v>
      </c>
      <c r="O50" s="1" t="s">
        <v>45</v>
      </c>
      <c r="P50" s="1" t="s">
        <v>41</v>
      </c>
      <c r="Q50" s="2">
        <v>0</v>
      </c>
      <c r="R50" s="138"/>
      <c r="T50" s="4">
        <v>254066.11999999988</v>
      </c>
      <c r="U50" s="4">
        <v>200000</v>
      </c>
      <c r="V50" s="4">
        <v>328314.91999999987</v>
      </c>
      <c r="W50" s="13">
        <f t="shared" si="8"/>
        <v>125751.20000000001</v>
      </c>
      <c r="X50" s="13">
        <f t="shared" si="9"/>
        <v>328314.91999999987</v>
      </c>
      <c r="Y50" s="13">
        <f t="shared" si="2"/>
        <v>0</v>
      </c>
      <c r="Z50" s="2">
        <v>0</v>
      </c>
      <c r="AA50" s="4">
        <v>0</v>
      </c>
      <c r="AB50" s="4">
        <f t="shared" si="3"/>
        <v>328314.91999999987</v>
      </c>
      <c r="AC50" s="6">
        <f t="shared" si="4"/>
        <v>0</v>
      </c>
      <c r="AD50" s="13">
        <f t="shared" si="10"/>
        <v>328314.91999999987</v>
      </c>
      <c r="AE50" s="2">
        <v>0.05</v>
      </c>
      <c r="AF50" s="5">
        <f t="shared" si="5"/>
        <v>16415.745999999996</v>
      </c>
      <c r="AG50" s="2">
        <v>0</v>
      </c>
      <c r="AH50" s="5">
        <f t="shared" si="11"/>
        <v>328314.91999999987</v>
      </c>
      <c r="AJ50" s="126" t="e">
        <v>#N/A</v>
      </c>
      <c r="AK50" s="80">
        <f t="shared" si="7"/>
        <v>0</v>
      </c>
      <c r="AM50" s="85"/>
    </row>
    <row r="51" spans="1:39" hidden="1" x14ac:dyDescent="0.3">
      <c r="A51" s="85" t="s">
        <v>34</v>
      </c>
      <c r="B51" s="3" t="s">
        <v>35</v>
      </c>
      <c r="C51" s="3" t="s">
        <v>65</v>
      </c>
      <c r="D51" s="3" t="s">
        <v>66</v>
      </c>
      <c r="E51" s="3" t="s">
        <v>121</v>
      </c>
      <c r="F51" s="3" t="s">
        <v>121</v>
      </c>
      <c r="G51" s="3" t="s">
        <v>121</v>
      </c>
      <c r="I51" s="3" t="s">
        <v>3356</v>
      </c>
      <c r="J51" s="1" t="s">
        <v>3326</v>
      </c>
      <c r="K51" s="1" t="s">
        <v>3707</v>
      </c>
      <c r="L51" s="1" t="s">
        <v>35</v>
      </c>
      <c r="N51" s="3" t="s">
        <v>3716</v>
      </c>
      <c r="O51" s="1" t="s">
        <v>45</v>
      </c>
      <c r="P51" s="1" t="s">
        <v>46</v>
      </c>
      <c r="Q51" s="2">
        <v>0.03</v>
      </c>
      <c r="R51" s="138"/>
      <c r="T51" s="4">
        <v>0</v>
      </c>
      <c r="U51" s="4">
        <v>10510399.09</v>
      </c>
      <c r="V51" s="4">
        <v>8293485.9500000011</v>
      </c>
      <c r="W51" s="13">
        <f t="shared" si="8"/>
        <v>2216913.1399999987</v>
      </c>
      <c r="X51" s="13">
        <f t="shared" si="9"/>
        <v>8051928.1067961175</v>
      </c>
      <c r="Y51" s="13">
        <f t="shared" si="2"/>
        <v>0</v>
      </c>
      <c r="Z51" s="2">
        <v>0</v>
      </c>
      <c r="AA51" s="4">
        <v>0</v>
      </c>
      <c r="AB51" s="4">
        <f t="shared" si="3"/>
        <v>8051928.1067961175</v>
      </c>
      <c r="AC51" s="6">
        <f t="shared" si="4"/>
        <v>241557.84320388362</v>
      </c>
      <c r="AD51" s="13">
        <f t="shared" si="10"/>
        <v>8293485.9500000011</v>
      </c>
      <c r="AE51" s="2">
        <v>0.05</v>
      </c>
      <c r="AF51" s="5">
        <f t="shared" si="5"/>
        <v>414674.2975000001</v>
      </c>
      <c r="AG51" s="2">
        <v>0</v>
      </c>
      <c r="AH51" s="5">
        <f t="shared" si="11"/>
        <v>8293485.9500000011</v>
      </c>
      <c r="AJ51" s="126" t="e">
        <v>#N/A</v>
      </c>
      <c r="AK51" s="80">
        <f t="shared" si="7"/>
        <v>0</v>
      </c>
      <c r="AM51" s="85"/>
    </row>
    <row r="52" spans="1:39" hidden="1" x14ac:dyDescent="0.3">
      <c r="A52" s="85" t="s">
        <v>34</v>
      </c>
      <c r="B52" s="3" t="s">
        <v>35</v>
      </c>
      <c r="C52" s="3" t="s">
        <v>65</v>
      </c>
      <c r="D52" s="3" t="s">
        <v>122</v>
      </c>
      <c r="E52" s="3" t="s">
        <v>123</v>
      </c>
      <c r="F52" s="3" t="s">
        <v>123</v>
      </c>
      <c r="G52" s="3" t="s">
        <v>123</v>
      </c>
      <c r="I52" s="3" t="s">
        <v>3356</v>
      </c>
      <c r="J52" s="1" t="s">
        <v>3326</v>
      </c>
      <c r="K52" s="1" t="s">
        <v>3707</v>
      </c>
      <c r="L52" s="1" t="s">
        <v>35</v>
      </c>
      <c r="N52" s="3" t="s">
        <v>3707</v>
      </c>
      <c r="O52" s="1" t="s">
        <v>45</v>
      </c>
      <c r="P52" s="1" t="s">
        <v>41</v>
      </c>
      <c r="Q52" s="2">
        <v>0</v>
      </c>
      <c r="R52" s="138"/>
      <c r="T52" s="4">
        <v>0</v>
      </c>
      <c r="U52" s="4">
        <v>900000</v>
      </c>
      <c r="V52" s="4">
        <v>378917.37999999989</v>
      </c>
      <c r="W52" s="13">
        <f t="shared" si="8"/>
        <v>521082.62000000011</v>
      </c>
      <c r="X52" s="13">
        <f t="shared" si="9"/>
        <v>378917.37999999989</v>
      </c>
      <c r="Y52" s="13">
        <f t="shared" si="2"/>
        <v>0</v>
      </c>
      <c r="Z52" s="2">
        <v>0</v>
      </c>
      <c r="AA52" s="4">
        <v>0</v>
      </c>
      <c r="AB52" s="4">
        <f t="shared" si="3"/>
        <v>378917.37999999989</v>
      </c>
      <c r="AC52" s="6">
        <f t="shared" si="4"/>
        <v>0</v>
      </c>
      <c r="AD52" s="13">
        <f t="shared" si="10"/>
        <v>378917.37999999989</v>
      </c>
      <c r="AE52" s="2">
        <v>0.05</v>
      </c>
      <c r="AF52" s="5">
        <f t="shared" si="5"/>
        <v>18945.868999999995</v>
      </c>
      <c r="AG52" s="2">
        <v>0</v>
      </c>
      <c r="AH52" s="5">
        <f t="shared" si="11"/>
        <v>378917.37999999989</v>
      </c>
      <c r="AJ52" s="126" t="e">
        <v>#N/A</v>
      </c>
      <c r="AK52" s="80">
        <f t="shared" si="7"/>
        <v>0</v>
      </c>
      <c r="AM52" s="85"/>
    </row>
    <row r="53" spans="1:39" hidden="1" x14ac:dyDescent="0.3">
      <c r="A53" s="85" t="s">
        <v>34</v>
      </c>
      <c r="B53" s="3" t="s">
        <v>35</v>
      </c>
      <c r="C53" s="3" t="s">
        <v>65</v>
      </c>
      <c r="D53" s="3" t="s">
        <v>122</v>
      </c>
      <c r="E53" s="3" t="s">
        <v>124</v>
      </c>
      <c r="F53" s="3" t="s">
        <v>124</v>
      </c>
      <c r="G53" s="3" t="s">
        <v>124</v>
      </c>
      <c r="I53" s="3" t="s">
        <v>3356</v>
      </c>
      <c r="J53" s="1" t="s">
        <v>3326</v>
      </c>
      <c r="K53" s="1" t="s">
        <v>3712</v>
      </c>
      <c r="L53" s="1" t="s">
        <v>35</v>
      </c>
      <c r="N53" s="3" t="s">
        <v>3712</v>
      </c>
      <c r="O53" s="1" t="s">
        <v>45</v>
      </c>
      <c r="P53" s="1" t="s">
        <v>46</v>
      </c>
      <c r="Q53" s="2">
        <v>0</v>
      </c>
      <c r="R53" s="138"/>
      <c r="T53" s="4">
        <v>54799.450000000012</v>
      </c>
      <c r="U53" s="4">
        <v>-41723.509999999995</v>
      </c>
      <c r="V53" s="4">
        <v>12775.679999999997</v>
      </c>
      <c r="W53" s="13">
        <f t="shared" si="8"/>
        <v>300.26000000002023</v>
      </c>
      <c r="X53" s="13">
        <f t="shared" si="9"/>
        <v>12775.679999999997</v>
      </c>
      <c r="Y53" s="13">
        <f t="shared" si="2"/>
        <v>0</v>
      </c>
      <c r="Z53" s="2">
        <v>0</v>
      </c>
      <c r="AA53" s="4">
        <v>0</v>
      </c>
      <c r="AB53" s="4">
        <f t="shared" si="3"/>
        <v>12775.679999999997</v>
      </c>
      <c r="AC53" s="6">
        <f t="shared" si="4"/>
        <v>0</v>
      </c>
      <c r="AD53" s="13">
        <f t="shared" si="10"/>
        <v>12775.679999999997</v>
      </c>
      <c r="AE53" s="2">
        <v>0.05</v>
      </c>
      <c r="AF53" s="5">
        <f t="shared" si="5"/>
        <v>638.78399999999988</v>
      </c>
      <c r="AG53" s="2">
        <v>0</v>
      </c>
      <c r="AH53" s="5">
        <f t="shared" si="11"/>
        <v>12775.679999999997</v>
      </c>
      <c r="AJ53" s="126" t="e">
        <v>#N/A</v>
      </c>
      <c r="AK53" s="80">
        <f t="shared" si="7"/>
        <v>0</v>
      </c>
      <c r="AM53" s="85"/>
    </row>
    <row r="54" spans="1:39" hidden="1" x14ac:dyDescent="0.3">
      <c r="A54" s="85" t="s">
        <v>34</v>
      </c>
      <c r="B54" s="3" t="s">
        <v>35</v>
      </c>
      <c r="C54" s="3" t="s">
        <v>65</v>
      </c>
      <c r="D54" s="3" t="s">
        <v>125</v>
      </c>
      <c r="E54" s="3" t="s">
        <v>126</v>
      </c>
      <c r="F54" s="3" t="s">
        <v>126</v>
      </c>
      <c r="G54" s="3" t="s">
        <v>126</v>
      </c>
      <c r="I54" s="3" t="s">
        <v>3356</v>
      </c>
      <c r="J54" s="1" t="s">
        <v>3326</v>
      </c>
      <c r="K54" s="1" t="s">
        <v>3710</v>
      </c>
      <c r="L54" s="1" t="s">
        <v>35</v>
      </c>
      <c r="N54" s="3" t="s">
        <v>3710</v>
      </c>
      <c r="O54" s="1" t="s">
        <v>45</v>
      </c>
      <c r="P54" s="1" t="s">
        <v>41</v>
      </c>
      <c r="Q54" s="2">
        <v>0</v>
      </c>
      <c r="R54" s="138"/>
      <c r="T54" s="4">
        <v>240055.63999999998</v>
      </c>
      <c r="U54" s="4">
        <v>1600000</v>
      </c>
      <c r="V54" s="4">
        <v>1839587.45</v>
      </c>
      <c r="W54" s="13">
        <f t="shared" si="8"/>
        <v>468.18999999994412</v>
      </c>
      <c r="X54" s="13">
        <f t="shared" si="9"/>
        <v>1839587.45</v>
      </c>
      <c r="Y54" s="13">
        <f t="shared" si="2"/>
        <v>0</v>
      </c>
      <c r="Z54" s="2">
        <v>0</v>
      </c>
      <c r="AA54" s="4">
        <v>0</v>
      </c>
      <c r="AB54" s="4">
        <f t="shared" si="3"/>
        <v>1839587.45</v>
      </c>
      <c r="AC54" s="6">
        <f t="shared" si="4"/>
        <v>0</v>
      </c>
      <c r="AD54" s="13">
        <f t="shared" si="10"/>
        <v>1839587.45</v>
      </c>
      <c r="AE54" s="2">
        <v>0.05</v>
      </c>
      <c r="AF54" s="5">
        <f t="shared" si="5"/>
        <v>91979.372499999998</v>
      </c>
      <c r="AG54" s="2">
        <v>0</v>
      </c>
      <c r="AH54" s="5">
        <f t="shared" si="11"/>
        <v>1839587.45</v>
      </c>
      <c r="AJ54" s="126" t="e">
        <v>#N/A</v>
      </c>
      <c r="AK54" s="80">
        <f t="shared" si="7"/>
        <v>0</v>
      </c>
      <c r="AM54" s="85"/>
    </row>
    <row r="55" spans="1:39" hidden="1" x14ac:dyDescent="0.3">
      <c r="A55" s="85" t="s">
        <v>34</v>
      </c>
      <c r="B55" s="3" t="s">
        <v>35</v>
      </c>
      <c r="C55" s="3" t="s">
        <v>47</v>
      </c>
      <c r="D55" s="3" t="s">
        <v>63</v>
      </c>
      <c r="E55" s="3" t="s">
        <v>127</v>
      </c>
      <c r="F55" s="3" t="s">
        <v>127</v>
      </c>
      <c r="G55" s="3" t="s">
        <v>127</v>
      </c>
      <c r="I55" s="3" t="s">
        <v>3356</v>
      </c>
      <c r="J55" s="1" t="s">
        <v>3326</v>
      </c>
      <c r="K55" s="1" t="s">
        <v>3710</v>
      </c>
      <c r="L55" s="1" t="s">
        <v>35</v>
      </c>
      <c r="N55" s="3" t="s">
        <v>3710</v>
      </c>
      <c r="O55" s="1" t="s">
        <v>45</v>
      </c>
      <c r="P55" s="1" t="s">
        <v>41</v>
      </c>
      <c r="Q55" s="2">
        <v>0</v>
      </c>
      <c r="R55" s="138"/>
      <c r="T55" s="4">
        <v>1606117.8499999992</v>
      </c>
      <c r="U55" s="4">
        <v>7400000</v>
      </c>
      <c r="V55" s="4">
        <v>7057732.459999999</v>
      </c>
      <c r="W55" s="13">
        <f t="shared" si="8"/>
        <v>1948385.3900000006</v>
      </c>
      <c r="X55" s="13">
        <f t="shared" si="9"/>
        <v>7057732.459999999</v>
      </c>
      <c r="Y55" s="13">
        <f t="shared" si="2"/>
        <v>0</v>
      </c>
      <c r="Z55" s="2">
        <v>0</v>
      </c>
      <c r="AA55" s="4">
        <v>0</v>
      </c>
      <c r="AB55" s="4">
        <f t="shared" si="3"/>
        <v>7057732.459999999</v>
      </c>
      <c r="AC55" s="6">
        <f t="shared" si="4"/>
        <v>0</v>
      </c>
      <c r="AD55" s="13">
        <f t="shared" si="10"/>
        <v>7057732.459999999</v>
      </c>
      <c r="AE55" s="2">
        <v>0.05</v>
      </c>
      <c r="AF55" s="5">
        <f t="shared" si="5"/>
        <v>352886.62299999996</v>
      </c>
      <c r="AG55" s="2">
        <v>0</v>
      </c>
      <c r="AH55" s="5">
        <f t="shared" si="11"/>
        <v>7057732.459999999</v>
      </c>
      <c r="AJ55" s="126" t="e">
        <v>#N/A</v>
      </c>
      <c r="AK55" s="80">
        <f t="shared" si="7"/>
        <v>0</v>
      </c>
      <c r="AM55" s="85"/>
    </row>
    <row r="56" spans="1:39" hidden="1" x14ac:dyDescent="0.3">
      <c r="A56" s="85" t="s">
        <v>34</v>
      </c>
      <c r="B56" s="3" t="s">
        <v>35</v>
      </c>
      <c r="C56" s="3" t="s">
        <v>47</v>
      </c>
      <c r="D56" s="3" t="s">
        <v>63</v>
      </c>
      <c r="E56" s="3" t="s">
        <v>128</v>
      </c>
      <c r="F56" s="3" t="s">
        <v>128</v>
      </c>
      <c r="G56" s="3" t="s">
        <v>128</v>
      </c>
      <c r="I56" s="3" t="s">
        <v>3356</v>
      </c>
      <c r="J56" s="1" t="s">
        <v>3326</v>
      </c>
      <c r="K56" s="1" t="s">
        <v>3710</v>
      </c>
      <c r="L56" s="1" t="s">
        <v>35</v>
      </c>
      <c r="N56" s="3" t="s">
        <v>3711</v>
      </c>
      <c r="O56" s="1" t="s">
        <v>45</v>
      </c>
      <c r="P56" s="1" t="s">
        <v>92</v>
      </c>
      <c r="Q56" s="2">
        <v>0.99</v>
      </c>
      <c r="R56" s="138"/>
      <c r="T56" s="4">
        <v>0</v>
      </c>
      <c r="U56" s="4">
        <v>12820314.65</v>
      </c>
      <c r="V56" s="4">
        <v>13358179.909999996</v>
      </c>
      <c r="W56" s="13">
        <f t="shared" si="8"/>
        <v>-537865.25999999605</v>
      </c>
      <c r="X56" s="13">
        <f t="shared" si="9"/>
        <v>13224598.110899996</v>
      </c>
      <c r="Y56" s="13">
        <f t="shared" si="2"/>
        <v>0</v>
      </c>
      <c r="Z56" s="2">
        <v>0</v>
      </c>
      <c r="AA56" s="4">
        <v>0</v>
      </c>
      <c r="AB56" s="4">
        <f t="shared" si="3"/>
        <v>13224598.110899996</v>
      </c>
      <c r="AC56" s="6">
        <f t="shared" si="4"/>
        <v>133581.79910000041</v>
      </c>
      <c r="AD56" s="13">
        <f t="shared" si="10"/>
        <v>13358179.909999996</v>
      </c>
      <c r="AE56" s="2">
        <v>0.05</v>
      </c>
      <c r="AF56" s="5">
        <f t="shared" si="5"/>
        <v>667908.99549999984</v>
      </c>
      <c r="AG56" s="2">
        <v>0</v>
      </c>
      <c r="AH56" s="5">
        <f t="shared" si="11"/>
        <v>13358179.909999996</v>
      </c>
      <c r="AJ56" s="126" t="e">
        <v>#N/A</v>
      </c>
      <c r="AK56" s="80">
        <f t="shared" si="7"/>
        <v>0</v>
      </c>
      <c r="AM56" s="85"/>
    </row>
    <row r="57" spans="1:39" hidden="1" x14ac:dyDescent="0.3">
      <c r="A57" s="85" t="s">
        <v>34</v>
      </c>
      <c r="B57" s="3" t="s">
        <v>35</v>
      </c>
      <c r="C57" s="3" t="s">
        <v>47</v>
      </c>
      <c r="D57" s="3" t="s">
        <v>63</v>
      </c>
      <c r="E57" s="3" t="s">
        <v>129</v>
      </c>
      <c r="F57" s="3" t="s">
        <v>129</v>
      </c>
      <c r="G57" s="3" t="s">
        <v>129</v>
      </c>
      <c r="H57" s="138"/>
      <c r="I57" s="3" t="s">
        <v>3356</v>
      </c>
      <c r="J57" s="1" t="s">
        <v>3326</v>
      </c>
      <c r="K57" s="1" t="s">
        <v>3710</v>
      </c>
      <c r="L57" s="1" t="s">
        <v>35</v>
      </c>
      <c r="N57" s="3" t="s">
        <v>3710</v>
      </c>
      <c r="O57" s="1" t="s">
        <v>45</v>
      </c>
      <c r="P57" s="1" t="s">
        <v>41</v>
      </c>
      <c r="Q57" s="2">
        <v>0</v>
      </c>
      <c r="R57" s="138"/>
      <c r="T57" s="4">
        <v>0</v>
      </c>
      <c r="U57" s="4">
        <v>0</v>
      </c>
      <c r="V57" s="4">
        <v>0</v>
      </c>
      <c r="W57" s="13">
        <f t="shared" si="8"/>
        <v>0</v>
      </c>
      <c r="X57" s="13">
        <f t="shared" si="9"/>
        <v>0</v>
      </c>
      <c r="Y57" s="13">
        <f t="shared" si="2"/>
        <v>0</v>
      </c>
      <c r="Z57" s="2">
        <v>0</v>
      </c>
      <c r="AA57" s="4">
        <v>0</v>
      </c>
      <c r="AB57" s="4">
        <f t="shared" si="3"/>
        <v>0</v>
      </c>
      <c r="AC57" s="6">
        <f t="shared" si="4"/>
        <v>0</v>
      </c>
      <c r="AD57" s="13">
        <f t="shared" si="10"/>
        <v>0</v>
      </c>
      <c r="AE57" s="2">
        <v>0.05</v>
      </c>
      <c r="AF57" s="5">
        <f t="shared" si="5"/>
        <v>0</v>
      </c>
      <c r="AG57" s="2">
        <v>0</v>
      </c>
      <c r="AH57" s="5">
        <f t="shared" si="11"/>
        <v>0</v>
      </c>
      <c r="AJ57" s="126" t="e">
        <v>#N/A</v>
      </c>
      <c r="AK57" s="80">
        <f t="shared" si="7"/>
        <v>0</v>
      </c>
      <c r="AM57" s="85"/>
    </row>
    <row r="58" spans="1:39" hidden="1" x14ac:dyDescent="0.3">
      <c r="A58" s="85" t="s">
        <v>34</v>
      </c>
      <c r="B58" s="3" t="s">
        <v>35</v>
      </c>
      <c r="C58" s="3" t="s">
        <v>47</v>
      </c>
      <c r="D58" s="3" t="s">
        <v>63</v>
      </c>
      <c r="E58" s="3" t="s">
        <v>129</v>
      </c>
      <c r="F58" s="3" t="s">
        <v>129</v>
      </c>
      <c r="G58" s="3" t="s">
        <v>129</v>
      </c>
      <c r="H58" s="138"/>
      <c r="I58" s="3" t="s">
        <v>3356</v>
      </c>
      <c r="J58" s="1" t="s">
        <v>3326</v>
      </c>
      <c r="K58" s="1" t="s">
        <v>3710</v>
      </c>
      <c r="L58" s="1" t="s">
        <v>35</v>
      </c>
      <c r="N58" s="3" t="s">
        <v>3710</v>
      </c>
      <c r="O58" s="1" t="s">
        <v>45</v>
      </c>
      <c r="P58" s="1" t="s">
        <v>92</v>
      </c>
      <c r="Q58" s="2">
        <v>0.99</v>
      </c>
      <c r="R58" s="138"/>
      <c r="T58" s="4">
        <v>2861753.820000005</v>
      </c>
      <c r="U58" s="4">
        <v>455448.41999999993</v>
      </c>
      <c r="V58" s="4">
        <v>0</v>
      </c>
      <c r="W58" s="13">
        <f t="shared" si="8"/>
        <v>3317202.2400000049</v>
      </c>
      <c r="X58" s="13">
        <f t="shared" si="9"/>
        <v>0</v>
      </c>
      <c r="Y58" s="13">
        <f t="shared" si="2"/>
        <v>0</v>
      </c>
      <c r="Z58" s="2">
        <v>0</v>
      </c>
      <c r="AA58" s="4">
        <v>0</v>
      </c>
      <c r="AB58" s="4">
        <f t="shared" si="3"/>
        <v>0</v>
      </c>
      <c r="AC58" s="6">
        <f t="shared" si="4"/>
        <v>0</v>
      </c>
      <c r="AD58" s="13">
        <f t="shared" si="10"/>
        <v>0</v>
      </c>
      <c r="AE58" s="2">
        <v>0.05</v>
      </c>
      <c r="AF58" s="5">
        <f t="shared" si="5"/>
        <v>0</v>
      </c>
      <c r="AG58" s="2">
        <v>0</v>
      </c>
      <c r="AH58" s="5">
        <f t="shared" si="11"/>
        <v>0</v>
      </c>
      <c r="AJ58" s="126" t="e">
        <v>#N/A</v>
      </c>
      <c r="AK58" s="80">
        <f t="shared" si="7"/>
        <v>0</v>
      </c>
      <c r="AM58" s="85"/>
    </row>
    <row r="59" spans="1:39" hidden="1" x14ac:dyDescent="0.3">
      <c r="A59" s="85" t="s">
        <v>34</v>
      </c>
      <c r="B59" s="3" t="s">
        <v>35</v>
      </c>
      <c r="C59" s="3" t="s">
        <v>47</v>
      </c>
      <c r="D59" s="3" t="s">
        <v>63</v>
      </c>
      <c r="E59" s="3" t="s">
        <v>130</v>
      </c>
      <c r="F59" s="3" t="s">
        <v>130</v>
      </c>
      <c r="G59" s="3" t="s">
        <v>130</v>
      </c>
      <c r="H59" s="138"/>
      <c r="I59" s="3" t="s">
        <v>3356</v>
      </c>
      <c r="J59" s="1" t="s">
        <v>3326</v>
      </c>
      <c r="K59" s="1" t="s">
        <v>3712</v>
      </c>
      <c r="L59" s="1" t="s">
        <v>35</v>
      </c>
      <c r="N59" s="3" t="s">
        <v>3729</v>
      </c>
      <c r="O59" s="1" t="s">
        <v>45</v>
      </c>
      <c r="P59" s="1" t="s">
        <v>41</v>
      </c>
      <c r="Q59" s="2">
        <v>0</v>
      </c>
      <c r="R59" s="138"/>
      <c r="T59" s="4">
        <v>655225.46999999671</v>
      </c>
      <c r="U59" s="4">
        <v>-459951.29</v>
      </c>
      <c r="V59" s="4">
        <v>0</v>
      </c>
      <c r="W59" s="13">
        <f t="shared" si="8"/>
        <v>195274.17999999673</v>
      </c>
      <c r="X59" s="13">
        <f t="shared" si="9"/>
        <v>0</v>
      </c>
      <c r="Y59" s="13">
        <f t="shared" si="2"/>
        <v>0</v>
      </c>
      <c r="Z59" s="2">
        <v>0</v>
      </c>
      <c r="AA59" s="4">
        <v>0</v>
      </c>
      <c r="AB59" s="4">
        <f t="shared" si="3"/>
        <v>0</v>
      </c>
      <c r="AC59" s="6">
        <f t="shared" si="4"/>
        <v>0</v>
      </c>
      <c r="AD59" s="13">
        <f t="shared" si="10"/>
        <v>0</v>
      </c>
      <c r="AE59" s="2">
        <v>0.05</v>
      </c>
      <c r="AF59" s="5">
        <f t="shared" si="5"/>
        <v>0</v>
      </c>
      <c r="AG59" s="2">
        <v>0</v>
      </c>
      <c r="AH59" s="5">
        <f t="shared" si="11"/>
        <v>0</v>
      </c>
      <c r="AJ59" s="126" t="e">
        <v>#N/A</v>
      </c>
      <c r="AK59" s="80">
        <f t="shared" si="7"/>
        <v>0</v>
      </c>
      <c r="AM59" s="85"/>
    </row>
    <row r="60" spans="1:39" hidden="1" x14ac:dyDescent="0.3">
      <c r="A60" s="85" t="s">
        <v>34</v>
      </c>
      <c r="B60" s="3" t="s">
        <v>35</v>
      </c>
      <c r="C60" s="3" t="s">
        <v>47</v>
      </c>
      <c r="D60" s="3" t="s">
        <v>63</v>
      </c>
      <c r="E60" s="3" t="s">
        <v>131</v>
      </c>
      <c r="F60" s="3" t="s">
        <v>131</v>
      </c>
      <c r="G60" s="3" t="s">
        <v>131</v>
      </c>
      <c r="I60" s="3" t="s">
        <v>3356</v>
      </c>
      <c r="J60" s="1" t="s">
        <v>3326</v>
      </c>
      <c r="K60" s="1" t="s">
        <v>3712</v>
      </c>
      <c r="L60" s="1" t="s">
        <v>35</v>
      </c>
      <c r="N60" s="3" t="s">
        <v>3713</v>
      </c>
      <c r="O60" s="1" t="s">
        <v>45</v>
      </c>
      <c r="P60" s="1" t="s">
        <v>41</v>
      </c>
      <c r="Q60" s="2">
        <v>0</v>
      </c>
      <c r="R60" s="138"/>
      <c r="T60" s="4">
        <v>82526.099999999919</v>
      </c>
      <c r="U60" s="4">
        <v>995000</v>
      </c>
      <c r="V60" s="4">
        <v>496576.87</v>
      </c>
      <c r="W60" s="13">
        <f t="shared" si="8"/>
        <v>580949.22999999986</v>
      </c>
      <c r="X60" s="13">
        <f t="shared" si="9"/>
        <v>496576.87</v>
      </c>
      <c r="Y60" s="13">
        <f t="shared" si="2"/>
        <v>0</v>
      </c>
      <c r="Z60" s="2">
        <v>0</v>
      </c>
      <c r="AA60" s="4">
        <v>0</v>
      </c>
      <c r="AB60" s="4">
        <f t="shared" si="3"/>
        <v>496576.87</v>
      </c>
      <c r="AC60" s="6">
        <f t="shared" si="4"/>
        <v>0</v>
      </c>
      <c r="AD60" s="13">
        <f t="shared" si="10"/>
        <v>496576.87</v>
      </c>
      <c r="AE60" s="2">
        <v>0.05</v>
      </c>
      <c r="AF60" s="5">
        <f t="shared" si="5"/>
        <v>24828.843500000003</v>
      </c>
      <c r="AG60" s="2">
        <v>0</v>
      </c>
      <c r="AH60" s="5">
        <f t="shared" si="11"/>
        <v>496576.87</v>
      </c>
      <c r="AJ60" s="126" t="e">
        <v>#N/A</v>
      </c>
      <c r="AK60" s="80">
        <f t="shared" si="7"/>
        <v>0</v>
      </c>
      <c r="AM60" s="85"/>
    </row>
    <row r="61" spans="1:39" hidden="1" x14ac:dyDescent="0.3">
      <c r="A61" s="85" t="s">
        <v>34</v>
      </c>
      <c r="B61" s="3" t="s">
        <v>35</v>
      </c>
      <c r="C61" s="3" t="s">
        <v>47</v>
      </c>
      <c r="D61" s="3" t="s">
        <v>63</v>
      </c>
      <c r="E61" s="3" t="s">
        <v>132</v>
      </c>
      <c r="F61" s="3" t="s">
        <v>133</v>
      </c>
      <c r="G61" s="3" t="s">
        <v>132</v>
      </c>
      <c r="I61" s="3" t="s">
        <v>3356</v>
      </c>
      <c r="J61" s="1" t="s">
        <v>3326</v>
      </c>
      <c r="K61" s="1" t="s">
        <v>3707</v>
      </c>
      <c r="L61" s="1" t="s">
        <v>35</v>
      </c>
      <c r="N61" s="3" t="s">
        <v>3707</v>
      </c>
      <c r="O61" s="1" t="s">
        <v>45</v>
      </c>
      <c r="P61" s="1" t="s">
        <v>46</v>
      </c>
      <c r="Q61" s="2">
        <v>1.4999999999999999E-2</v>
      </c>
      <c r="R61" s="138"/>
      <c r="T61" s="4">
        <v>1600676.5600000005</v>
      </c>
      <c r="U61" s="4">
        <v>7010000</v>
      </c>
      <c r="V61" s="4">
        <v>5729651.0999999996</v>
      </c>
      <c r="W61" s="13">
        <f t="shared" si="8"/>
        <v>2881025.4600000009</v>
      </c>
      <c r="X61" s="13">
        <f t="shared" si="9"/>
        <v>5644976.453201971</v>
      </c>
      <c r="Y61" s="13">
        <f t="shared" si="2"/>
        <v>0</v>
      </c>
      <c r="Z61" s="2">
        <v>0</v>
      </c>
      <c r="AA61" s="4">
        <v>0</v>
      </c>
      <c r="AB61" s="4">
        <f t="shared" si="3"/>
        <v>5644976.453201971</v>
      </c>
      <c r="AC61" s="6">
        <f t="shared" si="4"/>
        <v>84674.646798028611</v>
      </c>
      <c r="AD61" s="13">
        <f t="shared" si="10"/>
        <v>5729651.0999999996</v>
      </c>
      <c r="AE61" s="2">
        <v>0.05</v>
      </c>
      <c r="AF61" s="5">
        <f t="shared" si="5"/>
        <v>286482.55499999999</v>
      </c>
      <c r="AG61" s="2">
        <v>0</v>
      </c>
      <c r="AH61" s="5">
        <f t="shared" si="11"/>
        <v>5729651.0999999996</v>
      </c>
      <c r="AJ61" s="126" t="e">
        <v>#N/A</v>
      </c>
      <c r="AK61" s="80">
        <f t="shared" si="7"/>
        <v>0</v>
      </c>
      <c r="AM61" s="85"/>
    </row>
    <row r="62" spans="1:39" hidden="1" x14ac:dyDescent="0.3">
      <c r="A62" s="85" t="s">
        <v>34</v>
      </c>
      <c r="B62" s="3" t="s">
        <v>35</v>
      </c>
      <c r="C62" s="3" t="s">
        <v>47</v>
      </c>
      <c r="D62" s="3" t="s">
        <v>63</v>
      </c>
      <c r="E62" s="3" t="s">
        <v>134</v>
      </c>
      <c r="F62" s="3" t="s">
        <v>135</v>
      </c>
      <c r="G62" s="3" t="s">
        <v>134</v>
      </c>
      <c r="I62" s="3" t="s">
        <v>3356</v>
      </c>
      <c r="J62" s="1" t="s">
        <v>3326</v>
      </c>
      <c r="K62" s="1" t="s">
        <v>3707</v>
      </c>
      <c r="L62" s="1" t="s">
        <v>35</v>
      </c>
      <c r="N62" s="3" t="s">
        <v>3707</v>
      </c>
      <c r="O62" s="1" t="s">
        <v>45</v>
      </c>
      <c r="P62" s="1" t="s">
        <v>41</v>
      </c>
      <c r="Q62" s="2">
        <v>0</v>
      </c>
      <c r="R62" s="138"/>
      <c r="T62" s="4">
        <v>0</v>
      </c>
      <c r="U62" s="4">
        <v>450000</v>
      </c>
      <c r="V62" s="4">
        <v>375859.29000000004</v>
      </c>
      <c r="W62" s="13">
        <f t="shared" si="8"/>
        <v>74140.709999999963</v>
      </c>
      <c r="X62" s="13">
        <f t="shared" si="9"/>
        <v>375859.29000000004</v>
      </c>
      <c r="Y62" s="13">
        <f t="shared" si="2"/>
        <v>0</v>
      </c>
      <c r="Z62" s="2">
        <v>0</v>
      </c>
      <c r="AA62" s="4">
        <v>0</v>
      </c>
      <c r="AB62" s="4">
        <f t="shared" si="3"/>
        <v>375859.29000000004</v>
      </c>
      <c r="AC62" s="6">
        <f t="shared" si="4"/>
        <v>0</v>
      </c>
      <c r="AD62" s="13">
        <f t="shared" si="10"/>
        <v>375859.29000000004</v>
      </c>
      <c r="AE62" s="2">
        <v>0.05</v>
      </c>
      <c r="AF62" s="5">
        <f t="shared" si="5"/>
        <v>18792.964500000002</v>
      </c>
      <c r="AG62" s="2">
        <v>0</v>
      </c>
      <c r="AH62" s="5">
        <f t="shared" si="11"/>
        <v>375859.29000000004</v>
      </c>
      <c r="AJ62" s="126" t="e">
        <v>#N/A</v>
      </c>
      <c r="AK62" s="80">
        <f t="shared" si="7"/>
        <v>0</v>
      </c>
      <c r="AM62" s="85"/>
    </row>
    <row r="63" spans="1:39" hidden="1" x14ac:dyDescent="0.3">
      <c r="A63" s="85" t="s">
        <v>34</v>
      </c>
      <c r="B63" s="3" t="s">
        <v>35</v>
      </c>
      <c r="C63" s="3" t="s">
        <v>47</v>
      </c>
      <c r="D63" s="3" t="s">
        <v>63</v>
      </c>
      <c r="E63" s="3" t="s">
        <v>136</v>
      </c>
      <c r="F63" s="3" t="s">
        <v>136</v>
      </c>
      <c r="G63" s="3" t="s">
        <v>136</v>
      </c>
      <c r="I63" s="3" t="s">
        <v>3356</v>
      </c>
      <c r="J63" s="1" t="s">
        <v>3326</v>
      </c>
      <c r="K63" s="1" t="s">
        <v>3712</v>
      </c>
      <c r="L63" s="1" t="s">
        <v>35</v>
      </c>
      <c r="N63" s="3" t="s">
        <v>3712</v>
      </c>
      <c r="O63" s="1" t="s">
        <v>45</v>
      </c>
      <c r="P63" s="1" t="s">
        <v>41</v>
      </c>
      <c r="Q63" s="2">
        <v>0</v>
      </c>
      <c r="R63" s="138"/>
      <c r="T63" s="4">
        <v>0</v>
      </c>
      <c r="U63" s="4">
        <v>200000</v>
      </c>
      <c r="V63" s="4">
        <v>56060.320000000007</v>
      </c>
      <c r="W63" s="13">
        <f t="shared" si="8"/>
        <v>143939.68</v>
      </c>
      <c r="X63" s="13">
        <f t="shared" si="9"/>
        <v>56060.320000000007</v>
      </c>
      <c r="Y63" s="13">
        <f t="shared" si="2"/>
        <v>0</v>
      </c>
      <c r="Z63" s="2">
        <v>0</v>
      </c>
      <c r="AA63" s="4">
        <v>0</v>
      </c>
      <c r="AB63" s="4">
        <f t="shared" si="3"/>
        <v>56060.320000000007</v>
      </c>
      <c r="AC63" s="6">
        <f t="shared" si="4"/>
        <v>0</v>
      </c>
      <c r="AD63" s="13">
        <f t="shared" si="10"/>
        <v>56060.320000000007</v>
      </c>
      <c r="AE63" s="2">
        <v>0.05</v>
      </c>
      <c r="AF63" s="5">
        <f t="shared" si="5"/>
        <v>2803.0160000000005</v>
      </c>
      <c r="AG63" s="2">
        <v>0</v>
      </c>
      <c r="AH63" s="5">
        <f t="shared" si="11"/>
        <v>56060.320000000007</v>
      </c>
      <c r="AJ63" s="126" t="e">
        <v>#N/A</v>
      </c>
      <c r="AK63" s="80">
        <f t="shared" si="7"/>
        <v>0</v>
      </c>
      <c r="AM63" s="85"/>
    </row>
    <row r="64" spans="1:39" hidden="1" x14ac:dyDescent="0.3">
      <c r="A64" s="85" t="s">
        <v>34</v>
      </c>
      <c r="B64" s="3" t="s">
        <v>35</v>
      </c>
      <c r="C64" s="3" t="s">
        <v>47</v>
      </c>
      <c r="D64" s="3" t="s">
        <v>63</v>
      </c>
      <c r="E64" s="3" t="s">
        <v>137</v>
      </c>
      <c r="F64" s="3" t="s">
        <v>137</v>
      </c>
      <c r="G64" s="3" t="s">
        <v>137</v>
      </c>
      <c r="H64" s="138"/>
      <c r="I64" s="3" t="s">
        <v>3356</v>
      </c>
      <c r="J64" s="1" t="s">
        <v>3326</v>
      </c>
      <c r="K64" s="1" t="s">
        <v>3712</v>
      </c>
      <c r="L64" s="1" t="s">
        <v>35</v>
      </c>
      <c r="N64" s="3" t="s">
        <v>3729</v>
      </c>
      <c r="O64" s="1" t="s">
        <v>45</v>
      </c>
      <c r="P64" s="1" t="s">
        <v>41</v>
      </c>
      <c r="Q64" s="2">
        <v>0</v>
      </c>
      <c r="R64" s="138"/>
      <c r="T64" s="4">
        <v>47495.58</v>
      </c>
      <c r="U64" s="4">
        <v>-47495.58</v>
      </c>
      <c r="V64" s="4">
        <v>0</v>
      </c>
      <c r="W64" s="13">
        <f t="shared" si="8"/>
        <v>0</v>
      </c>
      <c r="X64" s="13">
        <f t="shared" si="9"/>
        <v>0</v>
      </c>
      <c r="Y64" s="13">
        <f t="shared" si="2"/>
        <v>0</v>
      </c>
      <c r="Z64" s="2">
        <v>0</v>
      </c>
      <c r="AA64" s="4">
        <v>0</v>
      </c>
      <c r="AB64" s="4">
        <f t="shared" si="3"/>
        <v>0</v>
      </c>
      <c r="AC64" s="6">
        <f t="shared" si="4"/>
        <v>0</v>
      </c>
      <c r="AD64" s="13">
        <f t="shared" si="10"/>
        <v>0</v>
      </c>
      <c r="AE64" s="2">
        <v>0.05</v>
      </c>
      <c r="AF64" s="5">
        <f t="shared" si="5"/>
        <v>0</v>
      </c>
      <c r="AG64" s="2">
        <v>0</v>
      </c>
      <c r="AH64" s="5">
        <f t="shared" si="11"/>
        <v>0</v>
      </c>
      <c r="AJ64" s="126" t="e">
        <v>#N/A</v>
      </c>
      <c r="AK64" s="80">
        <f t="shared" si="7"/>
        <v>0</v>
      </c>
      <c r="AM64" s="85"/>
    </row>
    <row r="65" spans="1:39" hidden="1" x14ac:dyDescent="0.3">
      <c r="A65" s="85" t="s">
        <v>34</v>
      </c>
      <c r="B65" s="3" t="s">
        <v>35</v>
      </c>
      <c r="C65" s="3" t="s">
        <v>47</v>
      </c>
      <c r="D65" s="3" t="s">
        <v>63</v>
      </c>
      <c r="E65" s="3" t="s">
        <v>138</v>
      </c>
      <c r="F65" s="3" t="s">
        <v>139</v>
      </c>
      <c r="G65" s="3" t="s">
        <v>138</v>
      </c>
      <c r="I65" s="3" t="s">
        <v>3356</v>
      </c>
      <c r="J65" s="1" t="s">
        <v>3326</v>
      </c>
      <c r="K65" s="1" t="s">
        <v>3707</v>
      </c>
      <c r="L65" s="1" t="s">
        <v>35</v>
      </c>
      <c r="N65" s="3" t="s">
        <v>3707</v>
      </c>
      <c r="O65" s="1" t="s">
        <v>45</v>
      </c>
      <c r="P65" s="1" t="s">
        <v>41</v>
      </c>
      <c r="Q65" s="2">
        <v>0</v>
      </c>
      <c r="R65" s="138"/>
      <c r="S65" s="3" t="s">
        <v>140</v>
      </c>
      <c r="T65" s="4">
        <v>2352311.0199999949</v>
      </c>
      <c r="U65" s="4">
        <v>8238586.7400000002</v>
      </c>
      <c r="V65" s="4">
        <v>8506774.6999999974</v>
      </c>
      <c r="W65" s="13">
        <f t="shared" si="8"/>
        <v>2084123.0599999968</v>
      </c>
      <c r="X65" s="13">
        <f>IF(P65="折扣",V65*Q65,IF(P65="返现",V65,V65/(1+Q65)))-238586.74</f>
        <v>8268187.9599999972</v>
      </c>
      <c r="Y65" s="13">
        <f t="shared" si="2"/>
        <v>0</v>
      </c>
      <c r="Z65" s="2">
        <v>0</v>
      </c>
      <c r="AA65" s="4">
        <v>0</v>
      </c>
      <c r="AB65" s="4">
        <f t="shared" si="3"/>
        <v>8268187.9599999972</v>
      </c>
      <c r="AC65" s="6">
        <f t="shared" si="4"/>
        <v>238586.74000000022</v>
      </c>
      <c r="AD65" s="13">
        <f t="shared" si="10"/>
        <v>8506774.6999999974</v>
      </c>
      <c r="AE65" s="2">
        <v>0.05</v>
      </c>
      <c r="AF65" s="5">
        <f t="shared" si="5"/>
        <v>425338.73499999987</v>
      </c>
      <c r="AG65" s="2">
        <v>0</v>
      </c>
      <c r="AH65" s="5">
        <f t="shared" si="11"/>
        <v>8506774.6999999974</v>
      </c>
      <c r="AJ65" s="126" t="e">
        <v>#N/A</v>
      </c>
      <c r="AK65" s="80">
        <f t="shared" si="7"/>
        <v>0</v>
      </c>
      <c r="AM65" s="85"/>
    </row>
    <row r="66" spans="1:39" hidden="1" x14ac:dyDescent="0.3">
      <c r="A66" s="85" t="s">
        <v>34</v>
      </c>
      <c r="B66" s="3" t="s">
        <v>35</v>
      </c>
      <c r="C66" s="3" t="s">
        <v>47</v>
      </c>
      <c r="D66" s="3" t="s">
        <v>63</v>
      </c>
      <c r="E66" s="3" t="s">
        <v>141</v>
      </c>
      <c r="F66" s="3" t="s">
        <v>142</v>
      </c>
      <c r="G66" s="3" t="s">
        <v>141</v>
      </c>
      <c r="I66" s="3" t="s">
        <v>3356</v>
      </c>
      <c r="J66" s="1" t="s">
        <v>3326</v>
      </c>
      <c r="K66" s="1" t="s">
        <v>3710</v>
      </c>
      <c r="L66" s="1" t="s">
        <v>35</v>
      </c>
      <c r="N66" s="3" t="s">
        <v>3710</v>
      </c>
      <c r="O66" s="1" t="s">
        <v>45</v>
      </c>
      <c r="P66" s="1" t="s">
        <v>46</v>
      </c>
      <c r="Q66" s="2">
        <v>0.01</v>
      </c>
      <c r="R66" s="138"/>
      <c r="S66" s="48" t="s">
        <v>3352</v>
      </c>
      <c r="T66" s="4">
        <v>3836768.9199999906</v>
      </c>
      <c r="U66" s="4">
        <v>2382138.6</v>
      </c>
      <c r="V66" s="4">
        <v>11074311.279999999</v>
      </c>
      <c r="W66" s="13">
        <f t="shared" si="8"/>
        <v>-4855403.7600000091</v>
      </c>
      <c r="X66" s="13">
        <f>IF(P66="折扣",V66*Q66,IF(P66="返现",V66,V66/(1+Q66)))-1211672.84</f>
        <v>9752991.7936633658</v>
      </c>
      <c r="Y66" s="13">
        <f t="shared" si="2"/>
        <v>0</v>
      </c>
      <c r="Z66" s="2">
        <v>0</v>
      </c>
      <c r="AA66" s="4">
        <v>0</v>
      </c>
      <c r="AB66" s="4">
        <f t="shared" si="3"/>
        <v>9752991.7936633658</v>
      </c>
      <c r="AC66" s="6">
        <f t="shared" si="4"/>
        <v>1321319.4863366336</v>
      </c>
      <c r="AD66" s="13">
        <f t="shared" si="10"/>
        <v>11074311.279999999</v>
      </c>
      <c r="AE66" s="2">
        <v>0.05</v>
      </c>
      <c r="AF66" s="5">
        <f t="shared" si="5"/>
        <v>553715.56400000001</v>
      </c>
      <c r="AG66" s="2">
        <v>0</v>
      </c>
      <c r="AH66" s="5">
        <f t="shared" si="11"/>
        <v>11074311.279999999</v>
      </c>
      <c r="AJ66" s="126" t="e">
        <v>#N/A</v>
      </c>
      <c r="AK66" s="80">
        <f t="shared" si="7"/>
        <v>0</v>
      </c>
      <c r="AM66" s="85"/>
    </row>
    <row r="67" spans="1:39" hidden="1" x14ac:dyDescent="0.3">
      <c r="A67" s="85" t="s">
        <v>34</v>
      </c>
      <c r="B67" s="3" t="s">
        <v>35</v>
      </c>
      <c r="C67" s="3" t="s">
        <v>47</v>
      </c>
      <c r="D67" s="3" t="s">
        <v>63</v>
      </c>
      <c r="E67" s="3" t="s">
        <v>141</v>
      </c>
      <c r="F67" s="3" t="s">
        <v>142</v>
      </c>
      <c r="G67" s="3" t="s">
        <v>141</v>
      </c>
      <c r="H67" s="138"/>
      <c r="I67" s="3" t="s">
        <v>3356</v>
      </c>
      <c r="J67" s="1" t="s">
        <v>3326</v>
      </c>
      <c r="K67" s="1" t="s">
        <v>3710</v>
      </c>
      <c r="L67" s="1" t="s">
        <v>35</v>
      </c>
      <c r="N67" s="3" t="s">
        <v>3710</v>
      </c>
      <c r="O67" s="1" t="s">
        <v>45</v>
      </c>
      <c r="P67" s="1" t="s">
        <v>46</v>
      </c>
      <c r="Q67" s="2">
        <v>0.01</v>
      </c>
      <c r="R67" s="138"/>
      <c r="T67" s="4">
        <v>0</v>
      </c>
      <c r="U67" s="4">
        <v>4955405.7399999993</v>
      </c>
      <c r="V67" s="4">
        <v>0</v>
      </c>
      <c r="W67" s="13">
        <f t="shared" si="8"/>
        <v>4955405.7399999993</v>
      </c>
      <c r="X67" s="13">
        <f t="shared" si="9"/>
        <v>0</v>
      </c>
      <c r="Y67" s="13">
        <f t="shared" ref="Y67:Y130" si="12">IF(X67-AD67&lt;=0,0,IF(P67="返现",MAX(X67-AC67-AD67,0),MAX(X67-AD67)))</f>
        <v>0</v>
      </c>
      <c r="Z67" s="2">
        <v>0</v>
      </c>
      <c r="AA67" s="4">
        <v>0</v>
      </c>
      <c r="AB67" s="4">
        <f t="shared" ref="AB67:AB130" si="13">X67+AA67</f>
        <v>0</v>
      </c>
      <c r="AC67" s="6">
        <f t="shared" ref="AC67:AC130" si="14">IF(P67="返现",X67*Q67,V67-X67)</f>
        <v>0</v>
      </c>
      <c r="AD67" s="13">
        <f t="shared" si="10"/>
        <v>0</v>
      </c>
      <c r="AE67" s="2">
        <v>0.05</v>
      </c>
      <c r="AF67" s="5">
        <f t="shared" ref="AF67:AF130" si="15">AD67*AE67</f>
        <v>0</v>
      </c>
      <c r="AG67" s="2">
        <v>0</v>
      </c>
      <c r="AH67" s="5">
        <f t="shared" si="11"/>
        <v>0</v>
      </c>
      <c r="AJ67" s="126" t="e">
        <v>#N/A</v>
      </c>
      <c r="AK67" s="80">
        <f t="shared" ref="AK67:AK130" si="16">X67+AA67-AB67</f>
        <v>0</v>
      </c>
      <c r="AM67" s="85"/>
    </row>
    <row r="68" spans="1:39" hidden="1" x14ac:dyDescent="0.3">
      <c r="A68" s="85" t="s">
        <v>34</v>
      </c>
      <c r="B68" s="3" t="s">
        <v>35</v>
      </c>
      <c r="C68" s="3" t="s">
        <v>47</v>
      </c>
      <c r="D68" s="3" t="s">
        <v>48</v>
      </c>
      <c r="E68" s="3" t="s">
        <v>50</v>
      </c>
      <c r="F68" s="3" t="s">
        <v>50</v>
      </c>
      <c r="G68" s="3" t="s">
        <v>50</v>
      </c>
      <c r="I68" s="3" t="s">
        <v>3356</v>
      </c>
      <c r="J68" s="1" t="s">
        <v>3326</v>
      </c>
      <c r="K68" s="1" t="s">
        <v>3710</v>
      </c>
      <c r="L68" s="1" t="s">
        <v>35</v>
      </c>
      <c r="N68" s="3" t="s">
        <v>3714</v>
      </c>
      <c r="O68" s="1" t="s">
        <v>45</v>
      </c>
      <c r="P68" s="1" t="s">
        <v>3753</v>
      </c>
      <c r="Q68" s="2">
        <v>0.01</v>
      </c>
      <c r="R68" s="138"/>
      <c r="S68" s="3" t="s">
        <v>143</v>
      </c>
      <c r="T68" s="4">
        <v>2310214.2299999744</v>
      </c>
      <c r="U68" s="4">
        <v>109404.91000000015</v>
      </c>
      <c r="V68" s="4">
        <v>6524003.3899999997</v>
      </c>
      <c r="W68" s="13">
        <f t="shared" si="8"/>
        <v>-4104384.2500000251</v>
      </c>
      <c r="X68" s="13">
        <f>(T68+T287+U68-23733.46)+(V68-T68-T287-U68)/1.01</f>
        <v>6459624.1987128705</v>
      </c>
      <c r="Y68" s="13">
        <f t="shared" si="12"/>
        <v>0</v>
      </c>
      <c r="Z68" s="2">
        <v>0</v>
      </c>
      <c r="AA68" s="4">
        <v>0</v>
      </c>
      <c r="AB68" s="4">
        <f t="shared" si="13"/>
        <v>6459624.1987128705</v>
      </c>
      <c r="AC68" s="6">
        <f t="shared" si="14"/>
        <v>64379.191287129186</v>
      </c>
      <c r="AD68" s="13">
        <f t="shared" si="10"/>
        <v>6524003.3899999997</v>
      </c>
      <c r="AE68" s="2">
        <v>0.05</v>
      </c>
      <c r="AF68" s="5">
        <f t="shared" si="15"/>
        <v>326200.16950000002</v>
      </c>
      <c r="AG68" s="2">
        <v>0</v>
      </c>
      <c r="AH68" s="5">
        <f t="shared" si="11"/>
        <v>6524003.3899999997</v>
      </c>
      <c r="AJ68" s="126" t="e">
        <v>#N/A</v>
      </c>
      <c r="AK68" s="80">
        <f t="shared" si="16"/>
        <v>0</v>
      </c>
      <c r="AM68" s="85"/>
    </row>
    <row r="69" spans="1:39" hidden="1" x14ac:dyDescent="0.3">
      <c r="A69" s="85" t="s">
        <v>34</v>
      </c>
      <c r="B69" s="3" t="s">
        <v>35</v>
      </c>
      <c r="C69" s="3" t="s">
        <v>144</v>
      </c>
      <c r="D69" s="3" t="s">
        <v>145</v>
      </c>
      <c r="E69" s="3" t="s">
        <v>146</v>
      </c>
      <c r="F69" s="3" t="s">
        <v>146</v>
      </c>
      <c r="G69" s="3" t="s">
        <v>146</v>
      </c>
      <c r="I69" s="3" t="s">
        <v>3356</v>
      </c>
      <c r="J69" s="1" t="s">
        <v>3326</v>
      </c>
      <c r="K69" s="1" t="s">
        <v>3712</v>
      </c>
      <c r="L69" s="1" t="s">
        <v>35</v>
      </c>
      <c r="N69" s="3" t="s">
        <v>3713</v>
      </c>
      <c r="O69" s="1" t="s">
        <v>45</v>
      </c>
      <c r="P69" s="1" t="s">
        <v>41</v>
      </c>
      <c r="Q69" s="2">
        <v>0</v>
      </c>
      <c r="R69" s="138"/>
      <c r="T69" s="4">
        <v>0</v>
      </c>
      <c r="U69" s="4">
        <v>2330000</v>
      </c>
      <c r="V69" s="4">
        <f>1134733.63+110147.86</f>
        <v>1244881.49</v>
      </c>
      <c r="W69" s="13">
        <f t="shared" si="8"/>
        <v>1085118.51</v>
      </c>
      <c r="X69" s="13">
        <f t="shared" si="9"/>
        <v>1244881.49</v>
      </c>
      <c r="Y69" s="13">
        <f t="shared" si="12"/>
        <v>0</v>
      </c>
      <c r="Z69" s="2">
        <v>0</v>
      </c>
      <c r="AA69" s="4">
        <v>0</v>
      </c>
      <c r="AB69" s="4">
        <f t="shared" si="13"/>
        <v>1244881.49</v>
      </c>
      <c r="AC69" s="6">
        <f t="shared" si="14"/>
        <v>0</v>
      </c>
      <c r="AD69" s="13">
        <f t="shared" si="10"/>
        <v>1244881.49</v>
      </c>
      <c r="AE69" s="2">
        <v>0.05</v>
      </c>
      <c r="AF69" s="5">
        <f t="shared" si="15"/>
        <v>62244.074500000002</v>
      </c>
      <c r="AG69" s="2">
        <v>0</v>
      </c>
      <c r="AH69" s="5">
        <f t="shared" si="11"/>
        <v>1244881.49</v>
      </c>
      <c r="AJ69" s="126" t="e">
        <v>#N/A</v>
      </c>
      <c r="AK69" s="80">
        <f t="shared" si="16"/>
        <v>0</v>
      </c>
      <c r="AM69" s="85"/>
    </row>
    <row r="70" spans="1:39" hidden="1" x14ac:dyDescent="0.3">
      <c r="A70" s="85" t="s">
        <v>34</v>
      </c>
      <c r="B70" s="3" t="s">
        <v>35</v>
      </c>
      <c r="C70" s="3" t="s">
        <v>144</v>
      </c>
      <c r="D70" s="3" t="s">
        <v>145</v>
      </c>
      <c r="E70" s="3" t="s">
        <v>147</v>
      </c>
      <c r="F70" s="3" t="s">
        <v>148</v>
      </c>
      <c r="G70" s="3" t="s">
        <v>147</v>
      </c>
      <c r="I70" s="3" t="s">
        <v>3356</v>
      </c>
      <c r="J70" s="1" t="s">
        <v>3326</v>
      </c>
      <c r="K70" s="1" t="s">
        <v>3707</v>
      </c>
      <c r="L70" s="1" t="s">
        <v>35</v>
      </c>
      <c r="N70" s="3" t="s">
        <v>3707</v>
      </c>
      <c r="O70" s="1" t="s">
        <v>45</v>
      </c>
      <c r="P70" s="1" t="s">
        <v>46</v>
      </c>
      <c r="Q70" s="2">
        <v>0.03</v>
      </c>
      <c r="R70" s="138"/>
      <c r="T70" s="4">
        <v>2038760.580000001</v>
      </c>
      <c r="U70" s="4">
        <v>1400000</v>
      </c>
      <c r="V70" s="4">
        <v>3301617.6500000008</v>
      </c>
      <c r="W70" s="13">
        <v>0</v>
      </c>
      <c r="X70" s="13">
        <f t="shared" si="9"/>
        <v>3205454.0291262143</v>
      </c>
      <c r="Y70" s="13">
        <f t="shared" si="12"/>
        <v>0</v>
      </c>
      <c r="Z70" s="2">
        <v>0</v>
      </c>
      <c r="AA70" s="4">
        <v>0</v>
      </c>
      <c r="AB70" s="4">
        <f t="shared" si="13"/>
        <v>3205454.0291262143</v>
      </c>
      <c r="AC70" s="6">
        <f t="shared" si="14"/>
        <v>96163.620873786509</v>
      </c>
      <c r="AD70" s="13">
        <f t="shared" si="10"/>
        <v>3301617.6500000008</v>
      </c>
      <c r="AE70" s="2">
        <v>0.05</v>
      </c>
      <c r="AF70" s="5">
        <f t="shared" si="15"/>
        <v>165080.88250000007</v>
      </c>
      <c r="AG70" s="2">
        <v>0</v>
      </c>
      <c r="AH70" s="5">
        <f t="shared" si="11"/>
        <v>3301617.6500000008</v>
      </c>
      <c r="AJ70" s="126" t="e">
        <v>#N/A</v>
      </c>
      <c r="AK70" s="80">
        <f t="shared" si="16"/>
        <v>0</v>
      </c>
      <c r="AM70" s="85"/>
    </row>
    <row r="71" spans="1:39" hidden="1" x14ac:dyDescent="0.3">
      <c r="A71" s="85" t="s">
        <v>34</v>
      </c>
      <c r="B71" s="3" t="s">
        <v>35</v>
      </c>
      <c r="C71" s="3" t="s">
        <v>144</v>
      </c>
      <c r="D71" s="3" t="s">
        <v>145</v>
      </c>
      <c r="E71" s="3" t="s">
        <v>147</v>
      </c>
      <c r="F71" s="3" t="s">
        <v>148</v>
      </c>
      <c r="G71" s="3" t="s">
        <v>147</v>
      </c>
      <c r="I71" s="3" t="s">
        <v>3356</v>
      </c>
      <c r="J71" s="1" t="s">
        <v>3326</v>
      </c>
      <c r="K71" s="1" t="s">
        <v>3707</v>
      </c>
      <c r="L71" s="1" t="s">
        <v>35</v>
      </c>
      <c r="N71" s="3" t="s">
        <v>3707</v>
      </c>
      <c r="O71" s="1" t="s">
        <v>45</v>
      </c>
      <c r="P71" s="1" t="s">
        <v>41</v>
      </c>
      <c r="Q71" s="2">
        <v>0</v>
      </c>
      <c r="R71" s="138"/>
      <c r="T71" s="4">
        <v>0</v>
      </c>
      <c r="U71" s="4">
        <v>6000000</v>
      </c>
      <c r="V71" s="4">
        <v>3778991.4799999991</v>
      </c>
      <c r="W71" s="13">
        <f t="shared" si="8"/>
        <v>2221008.5200000009</v>
      </c>
      <c r="X71" s="13">
        <f t="shared" si="9"/>
        <v>3778991.4799999991</v>
      </c>
      <c r="Y71" s="13">
        <f t="shared" si="12"/>
        <v>0</v>
      </c>
      <c r="Z71" s="2">
        <v>0</v>
      </c>
      <c r="AA71" s="4">
        <v>0</v>
      </c>
      <c r="AB71" s="4">
        <f t="shared" si="13"/>
        <v>3778991.4799999991</v>
      </c>
      <c r="AC71" s="6">
        <f t="shared" si="14"/>
        <v>0</v>
      </c>
      <c r="AD71" s="13">
        <f t="shared" si="10"/>
        <v>3778991.4799999991</v>
      </c>
      <c r="AE71" s="2">
        <v>0.05</v>
      </c>
      <c r="AF71" s="5">
        <f t="shared" si="15"/>
        <v>188949.57399999996</v>
      </c>
      <c r="AG71" s="2">
        <v>0</v>
      </c>
      <c r="AH71" s="5">
        <f t="shared" si="11"/>
        <v>3778991.4799999991</v>
      </c>
      <c r="AJ71" s="126" t="e">
        <v>#N/A</v>
      </c>
      <c r="AK71" s="80">
        <f t="shared" si="16"/>
        <v>0</v>
      </c>
      <c r="AM71" s="85"/>
    </row>
    <row r="72" spans="1:39" hidden="1" x14ac:dyDescent="0.3">
      <c r="A72" s="85" t="s">
        <v>34</v>
      </c>
      <c r="B72" s="3" t="s">
        <v>35</v>
      </c>
      <c r="C72" s="3" t="s">
        <v>144</v>
      </c>
      <c r="D72" s="3" t="s">
        <v>145</v>
      </c>
      <c r="E72" s="3" t="s">
        <v>149</v>
      </c>
      <c r="F72" s="3" t="s">
        <v>149</v>
      </c>
      <c r="G72" s="3" t="s">
        <v>149</v>
      </c>
      <c r="H72" s="138"/>
      <c r="I72" s="3" t="s">
        <v>3356</v>
      </c>
      <c r="J72" s="1" t="s">
        <v>3326</v>
      </c>
      <c r="K72" s="1" t="s">
        <v>3712</v>
      </c>
      <c r="L72" s="1" t="s">
        <v>35</v>
      </c>
      <c r="N72" s="3" t="s">
        <v>3729</v>
      </c>
      <c r="O72" s="1" t="s">
        <v>45</v>
      </c>
      <c r="P72" s="1" t="s">
        <v>41</v>
      </c>
      <c r="Q72" s="2">
        <v>0</v>
      </c>
      <c r="R72" s="138"/>
      <c r="T72" s="4">
        <v>0</v>
      </c>
      <c r="U72" s="4">
        <v>100000</v>
      </c>
      <c r="V72" s="4">
        <v>0</v>
      </c>
      <c r="W72" s="13">
        <f t="shared" si="8"/>
        <v>100000</v>
      </c>
      <c r="X72" s="13">
        <f t="shared" si="9"/>
        <v>0</v>
      </c>
      <c r="Y72" s="13">
        <f t="shared" si="12"/>
        <v>0</v>
      </c>
      <c r="Z72" s="2">
        <v>0</v>
      </c>
      <c r="AA72" s="4">
        <v>0</v>
      </c>
      <c r="AB72" s="4">
        <f t="shared" si="13"/>
        <v>0</v>
      </c>
      <c r="AC72" s="6">
        <f t="shared" si="14"/>
        <v>0</v>
      </c>
      <c r="AD72" s="13">
        <f t="shared" si="10"/>
        <v>0</v>
      </c>
      <c r="AE72" s="2">
        <v>0.05</v>
      </c>
      <c r="AF72" s="5">
        <f t="shared" si="15"/>
        <v>0</v>
      </c>
      <c r="AG72" s="2">
        <v>0</v>
      </c>
      <c r="AH72" s="5">
        <f t="shared" si="11"/>
        <v>0</v>
      </c>
      <c r="AJ72" s="126" t="e">
        <v>#N/A</v>
      </c>
      <c r="AK72" s="80">
        <f t="shared" si="16"/>
        <v>0</v>
      </c>
      <c r="AM72" s="85"/>
    </row>
    <row r="73" spans="1:39" hidden="1" x14ac:dyDescent="0.3">
      <c r="A73" s="85" t="s">
        <v>34</v>
      </c>
      <c r="B73" s="3" t="s">
        <v>35</v>
      </c>
      <c r="C73" s="3" t="s">
        <v>144</v>
      </c>
      <c r="D73" s="3" t="s">
        <v>145</v>
      </c>
      <c r="E73" s="3" t="s">
        <v>150</v>
      </c>
      <c r="F73" s="3" t="s">
        <v>151</v>
      </c>
      <c r="G73" s="3" t="s">
        <v>150</v>
      </c>
      <c r="I73" s="3" t="s">
        <v>3356</v>
      </c>
      <c r="J73" s="1" t="s">
        <v>3326</v>
      </c>
      <c r="K73" s="1" t="s">
        <v>3712</v>
      </c>
      <c r="L73" s="1" t="s">
        <v>35</v>
      </c>
      <c r="N73" s="3" t="s">
        <v>3712</v>
      </c>
      <c r="O73" s="1" t="s">
        <v>45</v>
      </c>
      <c r="P73" s="1" t="s">
        <v>41</v>
      </c>
      <c r="Q73" s="2">
        <v>0</v>
      </c>
      <c r="R73" s="138"/>
      <c r="T73" s="4">
        <v>2359398.5799999973</v>
      </c>
      <c r="U73" s="4">
        <v>3800000</v>
      </c>
      <c r="V73" s="4">
        <v>2961314.5399999996</v>
      </c>
      <c r="W73" s="13">
        <f t="shared" si="8"/>
        <v>3198084.0399999977</v>
      </c>
      <c r="X73" s="13">
        <f t="shared" si="9"/>
        <v>2961314.5399999996</v>
      </c>
      <c r="Y73" s="13">
        <f t="shared" si="12"/>
        <v>0</v>
      </c>
      <c r="Z73" s="2">
        <v>0</v>
      </c>
      <c r="AA73" s="4">
        <v>0</v>
      </c>
      <c r="AB73" s="4">
        <f t="shared" si="13"/>
        <v>2961314.5399999996</v>
      </c>
      <c r="AC73" s="6">
        <f t="shared" si="14"/>
        <v>0</v>
      </c>
      <c r="AD73" s="13">
        <f t="shared" si="10"/>
        <v>2961314.5399999996</v>
      </c>
      <c r="AE73" s="2">
        <v>0.05</v>
      </c>
      <c r="AF73" s="5">
        <f t="shared" si="15"/>
        <v>148065.72699999998</v>
      </c>
      <c r="AG73" s="2">
        <v>0</v>
      </c>
      <c r="AH73" s="5">
        <f t="shared" si="11"/>
        <v>2961314.5399999996</v>
      </c>
      <c r="AJ73" s="126" t="e">
        <v>#N/A</v>
      </c>
      <c r="AK73" s="80">
        <f t="shared" si="16"/>
        <v>0</v>
      </c>
      <c r="AM73" s="85"/>
    </row>
    <row r="74" spans="1:39" hidden="1" x14ac:dyDescent="0.3">
      <c r="A74" s="85" t="s">
        <v>34</v>
      </c>
      <c r="B74" s="3" t="s">
        <v>35</v>
      </c>
      <c r="C74" s="3" t="s">
        <v>144</v>
      </c>
      <c r="D74" s="3" t="s">
        <v>152</v>
      </c>
      <c r="E74" s="3" t="s">
        <v>153</v>
      </c>
      <c r="F74" s="3" t="s">
        <v>153</v>
      </c>
      <c r="G74" s="3" t="s">
        <v>153</v>
      </c>
      <c r="I74" s="3" t="s">
        <v>3356</v>
      </c>
      <c r="J74" s="1" t="s">
        <v>3326</v>
      </c>
      <c r="K74" s="1" t="s">
        <v>3710</v>
      </c>
      <c r="L74" s="1" t="s">
        <v>35</v>
      </c>
      <c r="N74" s="3" t="s">
        <v>3710</v>
      </c>
      <c r="O74" s="1" t="s">
        <v>105</v>
      </c>
      <c r="P74" s="1" t="s">
        <v>46</v>
      </c>
      <c r="Q74" s="2">
        <v>0.05</v>
      </c>
      <c r="R74" s="138"/>
      <c r="T74" s="4">
        <v>0</v>
      </c>
      <c r="U74" s="4">
        <v>332500</v>
      </c>
      <c r="V74" s="36">
        <v>265848.39000000007</v>
      </c>
      <c r="W74" s="13">
        <f t="shared" si="8"/>
        <v>66651.609999999928</v>
      </c>
      <c r="X74" s="13">
        <f t="shared" si="9"/>
        <v>253188.94285714292</v>
      </c>
      <c r="Y74" s="13">
        <f t="shared" si="12"/>
        <v>0</v>
      </c>
      <c r="Z74" s="2">
        <v>0</v>
      </c>
      <c r="AA74" s="4">
        <v>0</v>
      </c>
      <c r="AB74" s="4">
        <f t="shared" si="13"/>
        <v>253188.94285714292</v>
      </c>
      <c r="AC74" s="6">
        <f t="shared" si="14"/>
        <v>12659.447142857156</v>
      </c>
      <c r="AD74" s="13">
        <f t="shared" si="10"/>
        <v>265848.39000000007</v>
      </c>
      <c r="AE74" s="2">
        <v>0.05</v>
      </c>
      <c r="AF74" s="5">
        <f t="shared" si="15"/>
        <v>13292.419500000004</v>
      </c>
      <c r="AG74" s="2">
        <v>0</v>
      </c>
      <c r="AH74" s="5">
        <f t="shared" si="11"/>
        <v>265848.39000000007</v>
      </c>
      <c r="AJ74" s="126" t="e">
        <v>#N/A</v>
      </c>
      <c r="AK74" s="80">
        <f t="shared" si="16"/>
        <v>0</v>
      </c>
      <c r="AM74" s="85"/>
    </row>
    <row r="75" spans="1:39" hidden="1" x14ac:dyDescent="0.3">
      <c r="A75" s="85" t="s">
        <v>34</v>
      </c>
      <c r="B75" s="3" t="s">
        <v>35</v>
      </c>
      <c r="C75" s="3" t="s">
        <v>144</v>
      </c>
      <c r="D75" s="3" t="s">
        <v>152</v>
      </c>
      <c r="E75" s="3" t="s">
        <v>153</v>
      </c>
      <c r="F75" s="3" t="s">
        <v>153</v>
      </c>
      <c r="G75" s="3" t="s">
        <v>153</v>
      </c>
      <c r="I75" s="3" t="s">
        <v>3356</v>
      </c>
      <c r="J75" s="1" t="s">
        <v>3326</v>
      </c>
      <c r="K75" s="1" t="s">
        <v>3710</v>
      </c>
      <c r="L75" s="1" t="s">
        <v>35</v>
      </c>
      <c r="N75" s="3" t="s">
        <v>3710</v>
      </c>
      <c r="O75" s="1" t="s">
        <v>105</v>
      </c>
      <c r="P75" s="1" t="s">
        <v>46</v>
      </c>
      <c r="Q75" s="2">
        <v>7.0000000000000007E-2</v>
      </c>
      <c r="R75" s="138"/>
      <c r="T75" s="4">
        <v>3421.5099999999657</v>
      </c>
      <c r="U75" s="4">
        <v>50000</v>
      </c>
      <c r="V75" s="4">
        <v>53421.509999999966</v>
      </c>
      <c r="W75" s="13">
        <f t="shared" si="8"/>
        <v>0</v>
      </c>
      <c r="X75" s="13">
        <f t="shared" si="9"/>
        <v>49926.644859813052</v>
      </c>
      <c r="Y75" s="13">
        <f t="shared" si="12"/>
        <v>0</v>
      </c>
      <c r="Z75" s="2">
        <v>0</v>
      </c>
      <c r="AA75" s="4">
        <v>0</v>
      </c>
      <c r="AB75" s="4">
        <f t="shared" si="13"/>
        <v>49926.644859813052</v>
      </c>
      <c r="AC75" s="6">
        <f t="shared" si="14"/>
        <v>3494.8651401869138</v>
      </c>
      <c r="AD75" s="13">
        <f t="shared" si="10"/>
        <v>53421.509999999966</v>
      </c>
      <c r="AE75" s="2">
        <v>0.05</v>
      </c>
      <c r="AF75" s="5">
        <f t="shared" si="15"/>
        <v>2671.0754999999986</v>
      </c>
      <c r="AG75" s="2">
        <v>0</v>
      </c>
      <c r="AH75" s="5">
        <f t="shared" si="11"/>
        <v>53421.509999999966</v>
      </c>
      <c r="AJ75" s="126" t="e">
        <v>#N/A</v>
      </c>
      <c r="AK75" s="80">
        <f t="shared" si="16"/>
        <v>0</v>
      </c>
      <c r="AM75" s="85"/>
    </row>
    <row r="76" spans="1:39" hidden="1" x14ac:dyDescent="0.3">
      <c r="A76" s="85" t="s">
        <v>34</v>
      </c>
      <c r="B76" s="3" t="s">
        <v>35</v>
      </c>
      <c r="C76" s="3" t="s">
        <v>144</v>
      </c>
      <c r="D76" s="3" t="s">
        <v>152</v>
      </c>
      <c r="E76" s="3" t="s">
        <v>153</v>
      </c>
      <c r="F76" s="3" t="s">
        <v>153</v>
      </c>
      <c r="G76" s="3" t="s">
        <v>153</v>
      </c>
      <c r="I76" s="3" t="s">
        <v>3356</v>
      </c>
      <c r="J76" s="1" t="s">
        <v>3326</v>
      </c>
      <c r="K76" s="1" t="s">
        <v>3710</v>
      </c>
      <c r="L76" s="1" t="s">
        <v>35</v>
      </c>
      <c r="N76" s="3" t="s">
        <v>3710</v>
      </c>
      <c r="O76" s="1" t="s">
        <v>105</v>
      </c>
      <c r="P76" s="1" t="s">
        <v>41</v>
      </c>
      <c r="Q76" s="2">
        <v>0</v>
      </c>
      <c r="R76" s="138"/>
      <c r="T76" s="4">
        <v>0</v>
      </c>
      <c r="U76" s="4">
        <v>350000</v>
      </c>
      <c r="V76" s="4">
        <v>397559.16000000003</v>
      </c>
      <c r="W76" s="13">
        <v>0</v>
      </c>
      <c r="X76" s="13">
        <f t="shared" si="9"/>
        <v>397559.16000000003</v>
      </c>
      <c r="Y76" s="13">
        <f t="shared" si="12"/>
        <v>0</v>
      </c>
      <c r="Z76" s="2">
        <v>0</v>
      </c>
      <c r="AA76" s="4">
        <v>0</v>
      </c>
      <c r="AB76" s="4">
        <f t="shared" si="13"/>
        <v>397559.16000000003</v>
      </c>
      <c r="AC76" s="6">
        <f t="shared" si="14"/>
        <v>0</v>
      </c>
      <c r="AD76" s="13">
        <f t="shared" si="10"/>
        <v>397559.16000000003</v>
      </c>
      <c r="AE76" s="2">
        <v>0.05</v>
      </c>
      <c r="AF76" s="5">
        <f t="shared" si="15"/>
        <v>19877.958000000002</v>
      </c>
      <c r="AG76" s="2">
        <v>0</v>
      </c>
      <c r="AH76" s="5">
        <f t="shared" si="11"/>
        <v>397559.16000000003</v>
      </c>
      <c r="AJ76" s="126" t="e">
        <v>#N/A</v>
      </c>
      <c r="AK76" s="80">
        <f t="shared" si="16"/>
        <v>0</v>
      </c>
      <c r="AM76" s="85"/>
    </row>
    <row r="77" spans="1:39" hidden="1" x14ac:dyDescent="0.3">
      <c r="A77" s="85" t="s">
        <v>34</v>
      </c>
      <c r="B77" s="3" t="s">
        <v>35</v>
      </c>
      <c r="C77" s="3" t="s">
        <v>144</v>
      </c>
      <c r="D77" s="3" t="s">
        <v>152</v>
      </c>
      <c r="E77" s="3" t="s">
        <v>154</v>
      </c>
      <c r="F77" s="3" t="s">
        <v>154</v>
      </c>
      <c r="G77" s="3" t="s">
        <v>154</v>
      </c>
      <c r="H77" s="138"/>
      <c r="I77" s="3" t="s">
        <v>3356</v>
      </c>
      <c r="J77" s="1" t="s">
        <v>3326</v>
      </c>
      <c r="K77" s="1" t="s">
        <v>3712</v>
      </c>
      <c r="L77" s="1" t="s">
        <v>35</v>
      </c>
      <c r="N77" s="3" t="s">
        <v>3729</v>
      </c>
      <c r="O77" s="1" t="s">
        <v>45</v>
      </c>
      <c r="P77" s="1" t="s">
        <v>41</v>
      </c>
      <c r="Q77" s="2">
        <v>0</v>
      </c>
      <c r="R77" s="138"/>
      <c r="T77" s="4">
        <v>37271.479999999996</v>
      </c>
      <c r="U77" s="4">
        <v>-37271.480000000003</v>
      </c>
      <c r="V77" s="4">
        <v>0</v>
      </c>
      <c r="W77" s="13">
        <f t="shared" si="8"/>
        <v>-7.2759576141834259E-12</v>
      </c>
      <c r="X77" s="13">
        <f t="shared" si="9"/>
        <v>0</v>
      </c>
      <c r="Y77" s="13">
        <f t="shared" si="12"/>
        <v>0</v>
      </c>
      <c r="Z77" s="2">
        <v>0</v>
      </c>
      <c r="AA77" s="4">
        <v>0</v>
      </c>
      <c r="AB77" s="4">
        <f t="shared" si="13"/>
        <v>0</v>
      </c>
      <c r="AC77" s="6">
        <f t="shared" si="14"/>
        <v>0</v>
      </c>
      <c r="AD77" s="13">
        <f t="shared" si="10"/>
        <v>0</v>
      </c>
      <c r="AE77" s="2">
        <v>0.05</v>
      </c>
      <c r="AF77" s="5">
        <f t="shared" si="15"/>
        <v>0</v>
      </c>
      <c r="AG77" s="2">
        <v>0</v>
      </c>
      <c r="AH77" s="5">
        <f t="shared" si="11"/>
        <v>0</v>
      </c>
      <c r="AJ77" s="126" t="e">
        <v>#N/A</v>
      </c>
      <c r="AK77" s="80">
        <f t="shared" si="16"/>
        <v>0</v>
      </c>
      <c r="AM77" s="85"/>
    </row>
    <row r="78" spans="1:39" hidden="1" x14ac:dyDescent="0.3">
      <c r="A78" s="85" t="s">
        <v>34</v>
      </c>
      <c r="B78" s="3" t="s">
        <v>35</v>
      </c>
      <c r="C78" s="3" t="s">
        <v>144</v>
      </c>
      <c r="D78" s="3" t="s">
        <v>152</v>
      </c>
      <c r="E78" s="3" t="s">
        <v>155</v>
      </c>
      <c r="F78" s="3" t="s">
        <v>156</v>
      </c>
      <c r="G78" s="3" t="s">
        <v>155</v>
      </c>
      <c r="H78" s="138"/>
      <c r="I78" s="3" t="s">
        <v>3356</v>
      </c>
      <c r="J78" s="1" t="s">
        <v>3326</v>
      </c>
      <c r="K78" s="1" t="s">
        <v>3712</v>
      </c>
      <c r="L78" s="1" t="s">
        <v>35</v>
      </c>
      <c r="N78" s="3" t="s">
        <v>3729</v>
      </c>
      <c r="O78" s="1" t="s">
        <v>45</v>
      </c>
      <c r="P78" s="1" t="s">
        <v>46</v>
      </c>
      <c r="Q78" s="2">
        <v>0.03</v>
      </c>
      <c r="R78" s="138"/>
      <c r="T78" s="18">
        <v>89135.94</v>
      </c>
      <c r="U78" s="4">
        <v>-46916.78</v>
      </c>
      <c r="V78" s="4">
        <v>0</v>
      </c>
      <c r="W78" s="13">
        <f t="shared" si="8"/>
        <v>42219.16</v>
      </c>
      <c r="X78" s="13">
        <f t="shared" si="9"/>
        <v>0</v>
      </c>
      <c r="Y78" s="13">
        <f t="shared" si="12"/>
        <v>0</v>
      </c>
      <c r="Z78" s="2">
        <v>0</v>
      </c>
      <c r="AA78" s="4">
        <v>0</v>
      </c>
      <c r="AB78" s="4">
        <f t="shared" si="13"/>
        <v>0</v>
      </c>
      <c r="AC78" s="6">
        <f t="shared" si="14"/>
        <v>0</v>
      </c>
      <c r="AD78" s="13">
        <f t="shared" si="10"/>
        <v>0</v>
      </c>
      <c r="AE78" s="2">
        <v>0.05</v>
      </c>
      <c r="AF78" s="5">
        <f t="shared" si="15"/>
        <v>0</v>
      </c>
      <c r="AG78" s="2">
        <v>0</v>
      </c>
      <c r="AH78" s="5">
        <f t="shared" si="11"/>
        <v>0</v>
      </c>
      <c r="AJ78" s="126" t="e">
        <v>#N/A</v>
      </c>
      <c r="AK78" s="80">
        <f t="shared" si="16"/>
        <v>0</v>
      </c>
      <c r="AM78" s="85"/>
    </row>
    <row r="79" spans="1:39" hidden="1" x14ac:dyDescent="0.3">
      <c r="A79" s="85" t="s">
        <v>34</v>
      </c>
      <c r="B79" s="3" t="s">
        <v>35</v>
      </c>
      <c r="C79" s="3" t="s">
        <v>144</v>
      </c>
      <c r="D79" s="3" t="s">
        <v>152</v>
      </c>
      <c r="E79" s="3" t="s">
        <v>157</v>
      </c>
      <c r="F79" s="3" t="s">
        <v>157</v>
      </c>
      <c r="G79" s="3" t="s">
        <v>157</v>
      </c>
      <c r="I79" s="3" t="s">
        <v>3356</v>
      </c>
      <c r="J79" s="1" t="s">
        <v>3326</v>
      </c>
      <c r="K79" s="1" t="s">
        <v>3712</v>
      </c>
      <c r="L79" s="1" t="s">
        <v>35</v>
      </c>
      <c r="N79" s="3" t="s">
        <v>3712</v>
      </c>
      <c r="O79" s="1" t="s">
        <v>45</v>
      </c>
      <c r="P79" s="1" t="s">
        <v>41</v>
      </c>
      <c r="Q79" s="2">
        <v>0</v>
      </c>
      <c r="R79" s="138"/>
      <c r="S79" s="3" t="s">
        <v>158</v>
      </c>
      <c r="T79" s="4">
        <v>731742.51000000024</v>
      </c>
      <c r="U79" s="4">
        <v>1850000</v>
      </c>
      <c r="V79" s="4">
        <v>2256491.48</v>
      </c>
      <c r="W79" s="13">
        <f t="shared" si="8"/>
        <v>325251.03000000026</v>
      </c>
      <c r="X79" s="13">
        <f>IF(P79="折扣",V79*Q79,IF(P79="返现",V79,V79/(1+Q79)))-943.24</f>
        <v>2255548.2399999998</v>
      </c>
      <c r="Y79" s="13">
        <f t="shared" si="12"/>
        <v>0</v>
      </c>
      <c r="Z79" s="2">
        <v>0</v>
      </c>
      <c r="AA79" s="4">
        <v>0</v>
      </c>
      <c r="AB79" s="4">
        <f t="shared" si="13"/>
        <v>2255548.2399999998</v>
      </c>
      <c r="AC79" s="6">
        <f t="shared" si="14"/>
        <v>943.24000000022352</v>
      </c>
      <c r="AD79" s="13">
        <f t="shared" si="10"/>
        <v>2256491.48</v>
      </c>
      <c r="AE79" s="2">
        <v>0.05</v>
      </c>
      <c r="AF79" s="5">
        <f t="shared" si="15"/>
        <v>112824.57400000001</v>
      </c>
      <c r="AG79" s="2">
        <v>0</v>
      </c>
      <c r="AH79" s="5">
        <f t="shared" si="11"/>
        <v>2256491.48</v>
      </c>
      <c r="AJ79" s="126" t="e">
        <v>#N/A</v>
      </c>
      <c r="AK79" s="80">
        <f t="shared" si="16"/>
        <v>0</v>
      </c>
      <c r="AM79" s="85"/>
    </row>
    <row r="80" spans="1:39" hidden="1" x14ac:dyDescent="0.3">
      <c r="A80" s="85" t="s">
        <v>34</v>
      </c>
      <c r="B80" s="3" t="s">
        <v>35</v>
      </c>
      <c r="C80" s="3" t="s">
        <v>144</v>
      </c>
      <c r="D80" s="3" t="s">
        <v>152</v>
      </c>
      <c r="E80" s="3" t="s">
        <v>159</v>
      </c>
      <c r="F80" s="3" t="s">
        <v>159</v>
      </c>
      <c r="G80" s="3" t="s">
        <v>159</v>
      </c>
      <c r="I80" s="3" t="s">
        <v>3356</v>
      </c>
      <c r="J80" s="1" t="s">
        <v>3326</v>
      </c>
      <c r="K80" s="1" t="s">
        <v>3712</v>
      </c>
      <c r="L80" s="1" t="s">
        <v>35</v>
      </c>
      <c r="N80" s="3" t="s">
        <v>3712</v>
      </c>
      <c r="O80" s="1" t="s">
        <v>45</v>
      </c>
      <c r="P80" s="1" t="s">
        <v>41</v>
      </c>
      <c r="Q80" s="2">
        <v>0</v>
      </c>
      <c r="R80" s="138"/>
      <c r="T80" s="4">
        <v>0</v>
      </c>
      <c r="U80" s="4">
        <v>3555000</v>
      </c>
      <c r="V80" s="4">
        <v>2115275.529999997</v>
      </c>
      <c r="W80" s="13">
        <f t="shared" si="8"/>
        <v>1439724.470000003</v>
      </c>
      <c r="X80" s="13">
        <f t="shared" si="9"/>
        <v>2115275.529999997</v>
      </c>
      <c r="Y80" s="13">
        <f t="shared" si="12"/>
        <v>0</v>
      </c>
      <c r="Z80" s="2">
        <v>0</v>
      </c>
      <c r="AA80" s="4">
        <v>0</v>
      </c>
      <c r="AB80" s="4">
        <f t="shared" si="13"/>
        <v>2115275.529999997</v>
      </c>
      <c r="AC80" s="6">
        <f t="shared" si="14"/>
        <v>0</v>
      </c>
      <c r="AD80" s="13">
        <f t="shared" si="10"/>
        <v>2115275.529999997</v>
      </c>
      <c r="AE80" s="2">
        <v>0.05</v>
      </c>
      <c r="AF80" s="5">
        <f t="shared" si="15"/>
        <v>105763.77649999986</v>
      </c>
      <c r="AG80" s="2">
        <v>0</v>
      </c>
      <c r="AH80" s="5">
        <f t="shared" si="11"/>
        <v>2115275.529999997</v>
      </c>
      <c r="AJ80" s="126" t="e">
        <v>#N/A</v>
      </c>
      <c r="AK80" s="80">
        <f t="shared" si="16"/>
        <v>0</v>
      </c>
      <c r="AM80" s="85"/>
    </row>
    <row r="81" spans="1:39" hidden="1" x14ac:dyDescent="0.3">
      <c r="A81" s="85" t="s">
        <v>34</v>
      </c>
      <c r="B81" s="3" t="s">
        <v>35</v>
      </c>
      <c r="C81" s="3" t="s">
        <v>144</v>
      </c>
      <c r="D81" s="3" t="s">
        <v>152</v>
      </c>
      <c r="E81" s="3" t="s">
        <v>159</v>
      </c>
      <c r="F81" s="3" t="s">
        <v>159</v>
      </c>
      <c r="G81" s="3" t="s">
        <v>159</v>
      </c>
      <c r="I81" s="3" t="s">
        <v>3356</v>
      </c>
      <c r="J81" s="1" t="s">
        <v>3326</v>
      </c>
      <c r="K81" s="1" t="s">
        <v>3712</v>
      </c>
      <c r="L81" s="1" t="s">
        <v>35</v>
      </c>
      <c r="N81" s="3" t="s">
        <v>3712</v>
      </c>
      <c r="O81" s="1" t="s">
        <v>45</v>
      </c>
      <c r="P81" s="1" t="s">
        <v>46</v>
      </c>
      <c r="Q81" s="2">
        <v>0.01</v>
      </c>
      <c r="R81" s="138"/>
      <c r="T81" s="4">
        <v>1756711.8600000031</v>
      </c>
      <c r="U81" s="4">
        <v>2905.5299999999988</v>
      </c>
      <c r="V81" s="4">
        <v>1708145.2100000032</v>
      </c>
      <c r="W81" s="13">
        <v>0</v>
      </c>
      <c r="X81" s="13">
        <f t="shared" si="9"/>
        <v>1691232.8811881221</v>
      </c>
      <c r="Y81" s="13">
        <f t="shared" si="12"/>
        <v>0</v>
      </c>
      <c r="Z81" s="2">
        <v>0</v>
      </c>
      <c r="AA81" s="4">
        <v>0</v>
      </c>
      <c r="AB81" s="4">
        <f t="shared" si="13"/>
        <v>1691232.8811881221</v>
      </c>
      <c r="AC81" s="6">
        <f t="shared" si="14"/>
        <v>16912.328811881132</v>
      </c>
      <c r="AD81" s="13">
        <f t="shared" si="10"/>
        <v>1708145.2100000032</v>
      </c>
      <c r="AE81" s="2">
        <v>0.05</v>
      </c>
      <c r="AF81" s="5">
        <f t="shared" si="15"/>
        <v>85407.260500000164</v>
      </c>
      <c r="AG81" s="2">
        <v>0</v>
      </c>
      <c r="AH81" s="5">
        <f t="shared" si="11"/>
        <v>1708145.2100000032</v>
      </c>
      <c r="AJ81" s="126" t="e">
        <v>#N/A</v>
      </c>
      <c r="AK81" s="80">
        <f t="shared" si="16"/>
        <v>0</v>
      </c>
      <c r="AM81" s="85"/>
    </row>
    <row r="82" spans="1:39" hidden="1" x14ac:dyDescent="0.3">
      <c r="A82" s="85" t="s">
        <v>34</v>
      </c>
      <c r="B82" s="3" t="s">
        <v>35</v>
      </c>
      <c r="C82" s="3" t="s">
        <v>144</v>
      </c>
      <c r="D82" s="3" t="s">
        <v>152</v>
      </c>
      <c r="E82" s="3" t="s">
        <v>160</v>
      </c>
      <c r="F82" s="3" t="s">
        <v>160</v>
      </c>
      <c r="G82" s="3" t="s">
        <v>160</v>
      </c>
      <c r="I82" s="3" t="s">
        <v>3356</v>
      </c>
      <c r="J82" s="1" t="s">
        <v>3326</v>
      </c>
      <c r="K82" s="1" t="s">
        <v>3718</v>
      </c>
      <c r="L82" s="1" t="s">
        <v>35</v>
      </c>
      <c r="N82" s="3" t="s">
        <v>3718</v>
      </c>
      <c r="O82" s="1" t="s">
        <v>45</v>
      </c>
      <c r="P82" s="1" t="s">
        <v>41</v>
      </c>
      <c r="Q82" s="2">
        <v>0</v>
      </c>
      <c r="R82" s="138"/>
      <c r="T82" s="4">
        <v>122515.39999999991</v>
      </c>
      <c r="U82" s="4">
        <v>50000</v>
      </c>
      <c r="V82" s="4">
        <v>103122.28</v>
      </c>
      <c r="W82" s="13">
        <f t="shared" si="8"/>
        <v>69393.119999999908</v>
      </c>
      <c r="X82" s="13">
        <f t="shared" si="9"/>
        <v>103122.28</v>
      </c>
      <c r="Y82" s="13">
        <f t="shared" si="12"/>
        <v>0</v>
      </c>
      <c r="Z82" s="2">
        <v>0</v>
      </c>
      <c r="AA82" s="4">
        <v>0</v>
      </c>
      <c r="AB82" s="4">
        <f t="shared" si="13"/>
        <v>103122.28</v>
      </c>
      <c r="AC82" s="6">
        <f t="shared" si="14"/>
        <v>0</v>
      </c>
      <c r="AD82" s="13">
        <f t="shared" si="10"/>
        <v>103122.28</v>
      </c>
      <c r="AE82" s="2">
        <v>0.05</v>
      </c>
      <c r="AF82" s="5">
        <f t="shared" si="15"/>
        <v>5156.1140000000005</v>
      </c>
      <c r="AG82" s="2">
        <v>0</v>
      </c>
      <c r="AH82" s="5">
        <f t="shared" si="11"/>
        <v>103122.28</v>
      </c>
      <c r="AJ82" s="126" t="e">
        <v>#N/A</v>
      </c>
      <c r="AK82" s="80">
        <f t="shared" si="16"/>
        <v>0</v>
      </c>
      <c r="AM82" s="85"/>
    </row>
    <row r="83" spans="1:39" hidden="1" x14ac:dyDescent="0.3">
      <c r="A83" s="85" t="s">
        <v>34</v>
      </c>
      <c r="B83" s="3" t="s">
        <v>35</v>
      </c>
      <c r="C83" s="3" t="s">
        <v>144</v>
      </c>
      <c r="D83" s="3" t="s">
        <v>161</v>
      </c>
      <c r="E83" s="3" t="s">
        <v>162</v>
      </c>
      <c r="F83" s="3" t="s">
        <v>162</v>
      </c>
      <c r="G83" s="3" t="s">
        <v>162</v>
      </c>
      <c r="I83" s="3" t="s">
        <v>3356</v>
      </c>
      <c r="J83" s="1" t="s">
        <v>3326</v>
      </c>
      <c r="K83" s="1" t="s">
        <v>3707</v>
      </c>
      <c r="L83" s="1" t="s">
        <v>35</v>
      </c>
      <c r="N83" s="3" t="s">
        <v>3707</v>
      </c>
      <c r="O83" s="1" t="s">
        <v>45</v>
      </c>
      <c r="P83" s="1" t="s">
        <v>41</v>
      </c>
      <c r="Q83" s="2">
        <v>0</v>
      </c>
      <c r="R83" s="138"/>
      <c r="T83" s="4">
        <v>0</v>
      </c>
      <c r="U83" s="4">
        <v>50000</v>
      </c>
      <c r="V83" s="4">
        <v>476.22</v>
      </c>
      <c r="W83" s="13">
        <f t="shared" ref="W83:W146" si="17">T83+U83-V83</f>
        <v>49523.78</v>
      </c>
      <c r="X83" s="13">
        <f t="shared" ref="X83:X146" si="18">IF(P83="折扣",V83*Q83,IF(P83="返现",V83,V83/(1+Q83)))</f>
        <v>476.22</v>
      </c>
      <c r="Y83" s="13">
        <f t="shared" si="12"/>
        <v>0</v>
      </c>
      <c r="Z83" s="2">
        <v>0</v>
      </c>
      <c r="AA83" s="4">
        <v>0</v>
      </c>
      <c r="AB83" s="4">
        <f t="shared" si="13"/>
        <v>476.22</v>
      </c>
      <c r="AC83" s="6">
        <f t="shared" si="14"/>
        <v>0</v>
      </c>
      <c r="AD83" s="13">
        <f t="shared" ref="AD83:AD146" si="19">V83</f>
        <v>476.22</v>
      </c>
      <c r="AE83" s="2">
        <v>0.05</v>
      </c>
      <c r="AF83" s="5">
        <f t="shared" si="15"/>
        <v>23.811000000000003</v>
      </c>
      <c r="AG83" s="2">
        <v>0</v>
      </c>
      <c r="AH83" s="5">
        <f t="shared" ref="AH83:AH146" si="20">V83</f>
        <v>476.22</v>
      </c>
      <c r="AJ83" s="126" t="e">
        <v>#N/A</v>
      </c>
      <c r="AK83" s="80">
        <f t="shared" si="16"/>
        <v>0</v>
      </c>
      <c r="AM83" s="85"/>
    </row>
    <row r="84" spans="1:39" hidden="1" x14ac:dyDescent="0.3">
      <c r="A84" s="85" t="s">
        <v>34</v>
      </c>
      <c r="B84" s="3" t="s">
        <v>35</v>
      </c>
      <c r="C84" s="3" t="s">
        <v>144</v>
      </c>
      <c r="D84" s="3" t="s">
        <v>161</v>
      </c>
      <c r="E84" s="3" t="s">
        <v>163</v>
      </c>
      <c r="F84" s="3" t="s">
        <v>163</v>
      </c>
      <c r="G84" s="3" t="s">
        <v>163</v>
      </c>
      <c r="I84" s="3" t="s">
        <v>3356</v>
      </c>
      <c r="J84" s="1" t="s">
        <v>3326</v>
      </c>
      <c r="K84" s="1" t="s">
        <v>3712</v>
      </c>
      <c r="L84" s="1" t="s">
        <v>35</v>
      </c>
      <c r="N84" s="3" t="s">
        <v>3712</v>
      </c>
      <c r="O84" s="1" t="s">
        <v>45</v>
      </c>
      <c r="P84" s="1" t="s">
        <v>41</v>
      </c>
      <c r="Q84" s="2">
        <v>0</v>
      </c>
      <c r="R84" s="138"/>
      <c r="S84" s="3" t="s">
        <v>3680</v>
      </c>
      <c r="T84" s="4">
        <v>226035.47999999952</v>
      </c>
      <c r="U84" s="4">
        <v>850000</v>
      </c>
      <c r="V84" s="4">
        <v>708938.2699999999</v>
      </c>
      <c r="W84" s="13">
        <f t="shared" si="17"/>
        <v>367097.20999999961</v>
      </c>
      <c r="X84" s="13">
        <f>IF(P84="折扣",V84*Q84,IF(P84="返现",V84,(V84+400.62)/(1+Q84)))</f>
        <v>709338.8899999999</v>
      </c>
      <c r="Y84" s="13">
        <f t="shared" si="12"/>
        <v>400.61999999999534</v>
      </c>
      <c r="Z84" s="2">
        <v>0</v>
      </c>
      <c r="AA84" s="4">
        <v>0</v>
      </c>
      <c r="AB84" s="4">
        <f t="shared" si="13"/>
        <v>709338.8899999999</v>
      </c>
      <c r="AC84" s="6">
        <f t="shared" si="14"/>
        <v>-400.61999999999534</v>
      </c>
      <c r="AD84" s="13">
        <f t="shared" si="19"/>
        <v>708938.2699999999</v>
      </c>
      <c r="AE84" s="2">
        <v>0.05</v>
      </c>
      <c r="AF84" s="5">
        <f t="shared" si="15"/>
        <v>35446.913499999995</v>
      </c>
      <c r="AG84" s="2">
        <v>0</v>
      </c>
      <c r="AH84" s="5">
        <f t="shared" si="20"/>
        <v>708938.2699999999</v>
      </c>
      <c r="AJ84" s="126" t="e">
        <v>#N/A</v>
      </c>
      <c r="AK84" s="80">
        <f t="shared" si="16"/>
        <v>0</v>
      </c>
      <c r="AM84" s="85"/>
    </row>
    <row r="85" spans="1:39" hidden="1" x14ac:dyDescent="0.3">
      <c r="A85" s="85" t="s">
        <v>34</v>
      </c>
      <c r="B85" s="3" t="s">
        <v>35</v>
      </c>
      <c r="C85" s="3" t="s">
        <v>164</v>
      </c>
      <c r="D85" s="3" t="s">
        <v>165</v>
      </c>
      <c r="E85" s="3" t="s">
        <v>166</v>
      </c>
      <c r="F85" s="3" t="s">
        <v>166</v>
      </c>
      <c r="G85" s="3" t="s">
        <v>166</v>
      </c>
      <c r="I85" s="3" t="s">
        <v>3356</v>
      </c>
      <c r="J85" s="1" t="s">
        <v>3326</v>
      </c>
      <c r="K85" s="1" t="s">
        <v>3710</v>
      </c>
      <c r="L85" s="1" t="s">
        <v>35</v>
      </c>
      <c r="N85" s="3" t="s">
        <v>3714</v>
      </c>
      <c r="O85" s="1" t="s">
        <v>45</v>
      </c>
      <c r="P85" s="1" t="s">
        <v>41</v>
      </c>
      <c r="Q85" s="2">
        <v>0</v>
      </c>
      <c r="R85" s="138"/>
      <c r="T85" s="4">
        <v>418366.43999999901</v>
      </c>
      <c r="U85" s="4">
        <v>334158.45</v>
      </c>
      <c r="V85" s="4">
        <f>745244.839999999+7280.05</f>
        <v>752524.88999999908</v>
      </c>
      <c r="W85" s="13">
        <f t="shared" si="17"/>
        <v>0</v>
      </c>
      <c r="X85" s="13">
        <f t="shared" si="18"/>
        <v>752524.88999999908</v>
      </c>
      <c r="Y85" s="13">
        <f t="shared" si="12"/>
        <v>0</v>
      </c>
      <c r="Z85" s="2">
        <v>0</v>
      </c>
      <c r="AA85" s="4">
        <v>0</v>
      </c>
      <c r="AB85" s="4">
        <f t="shared" si="13"/>
        <v>752524.88999999908</v>
      </c>
      <c r="AC85" s="6">
        <f t="shared" si="14"/>
        <v>0</v>
      </c>
      <c r="AD85" s="13">
        <f t="shared" si="19"/>
        <v>752524.88999999908</v>
      </c>
      <c r="AE85" s="2">
        <v>0.05</v>
      </c>
      <c r="AF85" s="5">
        <f t="shared" si="15"/>
        <v>37626.244499999957</v>
      </c>
      <c r="AG85" s="2">
        <v>0</v>
      </c>
      <c r="AH85" s="5">
        <f t="shared" si="20"/>
        <v>752524.88999999908</v>
      </c>
      <c r="AJ85" s="126" t="e">
        <v>#N/A</v>
      </c>
      <c r="AK85" s="80">
        <f t="shared" si="16"/>
        <v>0</v>
      </c>
      <c r="AM85" s="85"/>
    </row>
    <row r="86" spans="1:39" hidden="1" x14ac:dyDescent="0.3">
      <c r="A86" s="85" t="s">
        <v>34</v>
      </c>
      <c r="B86" s="3" t="s">
        <v>35</v>
      </c>
      <c r="C86" s="3" t="s">
        <v>164</v>
      </c>
      <c r="D86" s="3" t="s">
        <v>165</v>
      </c>
      <c r="E86" s="3" t="s">
        <v>166</v>
      </c>
      <c r="F86" s="3" t="s">
        <v>166</v>
      </c>
      <c r="G86" s="3" t="s">
        <v>166</v>
      </c>
      <c r="I86" s="3" t="s">
        <v>3356</v>
      </c>
      <c r="J86" s="1" t="s">
        <v>3326</v>
      </c>
      <c r="K86" s="1" t="s">
        <v>3710</v>
      </c>
      <c r="L86" s="1" t="s">
        <v>35</v>
      </c>
      <c r="N86" s="3" t="s">
        <v>3714</v>
      </c>
      <c r="O86" s="1" t="s">
        <v>45</v>
      </c>
      <c r="P86" s="1" t="s">
        <v>41</v>
      </c>
      <c r="Q86" s="2">
        <v>0</v>
      </c>
      <c r="R86" s="138"/>
      <c r="T86" s="4">
        <v>0</v>
      </c>
      <c r="U86" s="4">
        <v>700000</v>
      </c>
      <c r="V86" s="4">
        <f>232627.110000001-7280.05</f>
        <v>225347.06000000102</v>
      </c>
      <c r="W86" s="13">
        <f t="shared" si="17"/>
        <v>474652.93999999901</v>
      </c>
      <c r="X86" s="13">
        <f t="shared" si="18"/>
        <v>225347.06000000102</v>
      </c>
      <c r="Y86" s="13">
        <f t="shared" si="12"/>
        <v>0</v>
      </c>
      <c r="Z86" s="2">
        <v>0</v>
      </c>
      <c r="AA86" s="4">
        <v>0</v>
      </c>
      <c r="AB86" s="4">
        <f t="shared" si="13"/>
        <v>225347.06000000102</v>
      </c>
      <c r="AC86" s="6">
        <f t="shared" si="14"/>
        <v>0</v>
      </c>
      <c r="AD86" s="13">
        <f t="shared" si="19"/>
        <v>225347.06000000102</v>
      </c>
      <c r="AE86" s="2">
        <v>0.05</v>
      </c>
      <c r="AF86" s="5">
        <f t="shared" si="15"/>
        <v>11267.353000000052</v>
      </c>
      <c r="AG86" s="2">
        <v>0</v>
      </c>
      <c r="AH86" s="5">
        <f t="shared" si="20"/>
        <v>225347.06000000102</v>
      </c>
      <c r="AJ86" s="126" t="e">
        <v>#N/A</v>
      </c>
      <c r="AK86" s="80">
        <f t="shared" si="16"/>
        <v>0</v>
      </c>
      <c r="AM86" s="85"/>
    </row>
    <row r="87" spans="1:39" hidden="1" x14ac:dyDescent="0.3">
      <c r="A87" s="85" t="s">
        <v>34</v>
      </c>
      <c r="B87" s="3" t="s">
        <v>35</v>
      </c>
      <c r="C87" s="3" t="s">
        <v>164</v>
      </c>
      <c r="D87" s="3" t="s">
        <v>165</v>
      </c>
      <c r="E87" s="3" t="s">
        <v>167</v>
      </c>
      <c r="F87" s="3" t="s">
        <v>167</v>
      </c>
      <c r="G87" s="3" t="s">
        <v>167</v>
      </c>
      <c r="H87" s="138"/>
      <c r="I87" s="3" t="s">
        <v>3356</v>
      </c>
      <c r="J87" s="1" t="s">
        <v>3326</v>
      </c>
      <c r="K87" s="1" t="s">
        <v>3712</v>
      </c>
      <c r="L87" s="1" t="s">
        <v>35</v>
      </c>
      <c r="N87" s="3" t="s">
        <v>3729</v>
      </c>
      <c r="O87" s="1" t="s">
        <v>45</v>
      </c>
      <c r="P87" s="1" t="s">
        <v>41</v>
      </c>
      <c r="Q87" s="2">
        <v>0</v>
      </c>
      <c r="R87" s="138"/>
      <c r="T87" s="4">
        <v>115750.84000000003</v>
      </c>
      <c r="U87" s="4">
        <v>-115750.84</v>
      </c>
      <c r="V87" s="4">
        <v>0</v>
      </c>
      <c r="W87" s="13">
        <f t="shared" si="17"/>
        <v>2.9103830456733704E-11</v>
      </c>
      <c r="X87" s="13">
        <f t="shared" si="18"/>
        <v>0</v>
      </c>
      <c r="Y87" s="13">
        <f t="shared" si="12"/>
        <v>0</v>
      </c>
      <c r="Z87" s="2">
        <v>0</v>
      </c>
      <c r="AA87" s="4">
        <v>0</v>
      </c>
      <c r="AB87" s="4">
        <f t="shared" si="13"/>
        <v>0</v>
      </c>
      <c r="AC87" s="6">
        <f t="shared" si="14"/>
        <v>0</v>
      </c>
      <c r="AD87" s="13">
        <f t="shared" si="19"/>
        <v>0</v>
      </c>
      <c r="AE87" s="2">
        <v>0.05</v>
      </c>
      <c r="AF87" s="5">
        <f t="shared" si="15"/>
        <v>0</v>
      </c>
      <c r="AG87" s="2">
        <v>0</v>
      </c>
      <c r="AH87" s="5">
        <f t="shared" si="20"/>
        <v>0</v>
      </c>
      <c r="AJ87" s="126" t="e">
        <v>#N/A</v>
      </c>
      <c r="AK87" s="80">
        <f t="shared" si="16"/>
        <v>0</v>
      </c>
      <c r="AM87" s="85"/>
    </row>
    <row r="88" spans="1:39" hidden="1" x14ac:dyDescent="0.3">
      <c r="A88" s="85" t="s">
        <v>34</v>
      </c>
      <c r="B88" s="3" t="s">
        <v>35</v>
      </c>
      <c r="C88" s="3" t="s">
        <v>164</v>
      </c>
      <c r="D88" s="3" t="s">
        <v>165</v>
      </c>
      <c r="E88" s="3" t="s">
        <v>168</v>
      </c>
      <c r="F88" s="3" t="s">
        <v>168</v>
      </c>
      <c r="G88" s="3" t="s">
        <v>168</v>
      </c>
      <c r="I88" s="3" t="s">
        <v>3356</v>
      </c>
      <c r="J88" s="1" t="s">
        <v>3326</v>
      </c>
      <c r="K88" s="1" t="s">
        <v>3710</v>
      </c>
      <c r="L88" s="1" t="s">
        <v>35</v>
      </c>
      <c r="N88" s="3" t="s">
        <v>3710</v>
      </c>
      <c r="O88" s="1" t="s">
        <v>45</v>
      </c>
      <c r="P88" s="1" t="s">
        <v>41</v>
      </c>
      <c r="Q88" s="2">
        <v>0</v>
      </c>
      <c r="R88" s="138"/>
      <c r="T88" s="4">
        <v>313635.37000000011</v>
      </c>
      <c r="U88" s="4">
        <v>250000</v>
      </c>
      <c r="V88" s="4">
        <v>404812.15999999992</v>
      </c>
      <c r="W88" s="13">
        <f t="shared" si="17"/>
        <v>158823.2100000002</v>
      </c>
      <c r="X88" s="13">
        <f t="shared" si="18"/>
        <v>404812.15999999992</v>
      </c>
      <c r="Y88" s="13">
        <f t="shared" si="12"/>
        <v>0</v>
      </c>
      <c r="Z88" s="2">
        <v>0</v>
      </c>
      <c r="AA88" s="4">
        <v>0</v>
      </c>
      <c r="AB88" s="4">
        <f t="shared" si="13"/>
        <v>404812.15999999992</v>
      </c>
      <c r="AC88" s="6">
        <f t="shared" si="14"/>
        <v>0</v>
      </c>
      <c r="AD88" s="13">
        <f t="shared" si="19"/>
        <v>404812.15999999992</v>
      </c>
      <c r="AE88" s="2">
        <v>0.05</v>
      </c>
      <c r="AF88" s="5">
        <f t="shared" si="15"/>
        <v>20240.607999999997</v>
      </c>
      <c r="AG88" s="2">
        <v>0</v>
      </c>
      <c r="AH88" s="5">
        <f t="shared" si="20"/>
        <v>404812.15999999992</v>
      </c>
      <c r="AJ88" s="126" t="e">
        <v>#N/A</v>
      </c>
      <c r="AK88" s="80">
        <f t="shared" si="16"/>
        <v>0</v>
      </c>
      <c r="AM88" s="85"/>
    </row>
    <row r="89" spans="1:39" hidden="1" x14ac:dyDescent="0.3">
      <c r="A89" s="85" t="s">
        <v>34</v>
      </c>
      <c r="B89" s="3" t="s">
        <v>35</v>
      </c>
      <c r="C89" s="3" t="s">
        <v>164</v>
      </c>
      <c r="D89" s="3" t="s">
        <v>169</v>
      </c>
      <c r="E89" s="3" t="s">
        <v>170</v>
      </c>
      <c r="F89" s="3" t="s">
        <v>170</v>
      </c>
      <c r="G89" s="3" t="s">
        <v>170</v>
      </c>
      <c r="I89" s="3" t="s">
        <v>3356</v>
      </c>
      <c r="J89" s="1" t="s">
        <v>3326</v>
      </c>
      <c r="K89" s="1" t="s">
        <v>3710</v>
      </c>
      <c r="L89" s="1" t="s">
        <v>35</v>
      </c>
      <c r="N89" s="3" t="s">
        <v>3710</v>
      </c>
      <c r="O89" s="1" t="s">
        <v>45</v>
      </c>
      <c r="P89" s="1" t="s">
        <v>75</v>
      </c>
      <c r="Q89" s="2">
        <v>0.06</v>
      </c>
      <c r="R89" s="138"/>
      <c r="T89" s="4">
        <v>9829318.1499999762</v>
      </c>
      <c r="U89" s="4">
        <v>13000000</v>
      </c>
      <c r="V89" s="4">
        <v>19338038.979999993</v>
      </c>
      <c r="W89" s="13">
        <f t="shared" si="17"/>
        <v>3491279.1699999832</v>
      </c>
      <c r="X89" s="13">
        <f t="shared" si="18"/>
        <v>19338038.979999993</v>
      </c>
      <c r="Y89" s="13">
        <f t="shared" si="12"/>
        <v>0</v>
      </c>
      <c r="Z89" s="2">
        <v>0</v>
      </c>
      <c r="AA89" s="4">
        <v>0</v>
      </c>
      <c r="AB89" s="4">
        <f t="shared" si="13"/>
        <v>19338038.979999993</v>
      </c>
      <c r="AC89" s="6">
        <f t="shared" si="14"/>
        <v>1160282.3387999996</v>
      </c>
      <c r="AD89" s="13">
        <f t="shared" si="19"/>
        <v>19338038.979999993</v>
      </c>
      <c r="AE89" s="2">
        <v>0.05</v>
      </c>
      <c r="AF89" s="5">
        <f t="shared" si="15"/>
        <v>966901.94899999967</v>
      </c>
      <c r="AG89" s="2">
        <v>0</v>
      </c>
      <c r="AH89" s="5">
        <f t="shared" si="20"/>
        <v>19338038.979999993</v>
      </c>
      <c r="AJ89" s="126" t="e">
        <v>#N/A</v>
      </c>
      <c r="AK89" s="80">
        <f t="shared" si="16"/>
        <v>0</v>
      </c>
      <c r="AM89" s="85"/>
    </row>
    <row r="90" spans="1:39" hidden="1" x14ac:dyDescent="0.3">
      <c r="A90" s="85" t="s">
        <v>34</v>
      </c>
      <c r="B90" s="3" t="s">
        <v>35</v>
      </c>
      <c r="C90" s="3" t="s">
        <v>164</v>
      </c>
      <c r="D90" s="3" t="s">
        <v>169</v>
      </c>
      <c r="E90" s="3" t="s">
        <v>170</v>
      </c>
      <c r="F90" s="3" t="s">
        <v>171</v>
      </c>
      <c r="G90" s="3" t="s">
        <v>170</v>
      </c>
      <c r="I90" s="3" t="s">
        <v>3356</v>
      </c>
      <c r="J90" s="1" t="s">
        <v>3326</v>
      </c>
      <c r="K90" s="1" t="s">
        <v>3710</v>
      </c>
      <c r="L90" s="1" t="s">
        <v>35</v>
      </c>
      <c r="N90" s="3" t="s">
        <v>3710</v>
      </c>
      <c r="O90" s="1" t="s">
        <v>45</v>
      </c>
      <c r="P90" s="1" t="s">
        <v>75</v>
      </c>
      <c r="Q90" s="2">
        <v>0.06</v>
      </c>
      <c r="R90" s="138"/>
      <c r="S90" s="3" t="s">
        <v>3353</v>
      </c>
      <c r="T90" s="4">
        <v>2123961.1999999918</v>
      </c>
      <c r="U90" s="4">
        <v>15817106.789999999</v>
      </c>
      <c r="V90" s="4">
        <v>16321813.160000002</v>
      </c>
      <c r="W90" s="13">
        <f t="shared" si="17"/>
        <v>1619254.8299999889</v>
      </c>
      <c r="X90" s="13">
        <f>IF(P90="折扣",V90*Q90,IF(P90="返现",V90,V90/(1+Q90)))-2003.18</f>
        <v>16319809.980000002</v>
      </c>
      <c r="Y90" s="13">
        <f t="shared" si="12"/>
        <v>0</v>
      </c>
      <c r="Z90" s="2">
        <v>0</v>
      </c>
      <c r="AA90" s="4">
        <v>0</v>
      </c>
      <c r="AB90" s="4">
        <f t="shared" si="13"/>
        <v>16319809.980000002</v>
      </c>
      <c r="AC90" s="6">
        <f t="shared" si="14"/>
        <v>979188.59880000015</v>
      </c>
      <c r="AD90" s="13">
        <f t="shared" si="19"/>
        <v>16321813.160000002</v>
      </c>
      <c r="AE90" s="2">
        <v>0.05</v>
      </c>
      <c r="AF90" s="5">
        <f t="shared" si="15"/>
        <v>816090.65800000017</v>
      </c>
      <c r="AG90" s="2">
        <v>0</v>
      </c>
      <c r="AH90" s="5">
        <f t="shared" si="20"/>
        <v>16321813.160000002</v>
      </c>
      <c r="AJ90" s="126" t="e">
        <v>#N/A</v>
      </c>
      <c r="AK90" s="80">
        <f t="shared" si="16"/>
        <v>0</v>
      </c>
      <c r="AM90" s="85"/>
    </row>
    <row r="91" spans="1:39" hidden="1" x14ac:dyDescent="0.3">
      <c r="A91" s="85" t="s">
        <v>34</v>
      </c>
      <c r="B91" s="3" t="s">
        <v>35</v>
      </c>
      <c r="C91" s="3" t="s">
        <v>164</v>
      </c>
      <c r="D91" s="3" t="s">
        <v>169</v>
      </c>
      <c r="E91" s="3" t="s">
        <v>172</v>
      </c>
      <c r="F91" s="3" t="s">
        <v>172</v>
      </c>
      <c r="G91" s="3" t="s">
        <v>172</v>
      </c>
      <c r="I91" s="3" t="s">
        <v>3356</v>
      </c>
      <c r="J91" s="1" t="s">
        <v>3326</v>
      </c>
      <c r="K91" s="1" t="s">
        <v>3710</v>
      </c>
      <c r="L91" s="1" t="s">
        <v>35</v>
      </c>
      <c r="N91" s="3" t="s">
        <v>3710</v>
      </c>
      <c r="O91" s="1" t="s">
        <v>45</v>
      </c>
      <c r="P91" s="1" t="s">
        <v>46</v>
      </c>
      <c r="Q91" s="2">
        <v>0.02</v>
      </c>
      <c r="R91" s="138"/>
      <c r="S91" s="3" t="s">
        <v>173</v>
      </c>
      <c r="T91" s="4">
        <v>11795950.17</v>
      </c>
      <c r="U91" s="4">
        <v>2500000</v>
      </c>
      <c r="V91" s="4">
        <v>10864041.200000009</v>
      </c>
      <c r="W91" s="13">
        <f t="shared" si="17"/>
        <v>3431908.9699999914</v>
      </c>
      <c r="X91" s="13">
        <f>(V91-8959.11)/(1+Q91)</f>
        <v>10642237.343137264</v>
      </c>
      <c r="Y91" s="13">
        <f t="shared" si="12"/>
        <v>0</v>
      </c>
      <c r="Z91" s="2">
        <v>0</v>
      </c>
      <c r="AA91" s="4">
        <v>0</v>
      </c>
      <c r="AB91" s="4">
        <f t="shared" si="13"/>
        <v>10642237.343137264</v>
      </c>
      <c r="AC91" s="6">
        <f t="shared" si="14"/>
        <v>221803.85686274432</v>
      </c>
      <c r="AD91" s="13">
        <f t="shared" si="19"/>
        <v>10864041.200000009</v>
      </c>
      <c r="AE91" s="2">
        <v>0.05</v>
      </c>
      <c r="AF91" s="5">
        <f t="shared" si="15"/>
        <v>543202.06000000041</v>
      </c>
      <c r="AG91" s="2">
        <v>0</v>
      </c>
      <c r="AH91" s="5">
        <f t="shared" si="20"/>
        <v>10864041.200000009</v>
      </c>
      <c r="AJ91" s="126" t="e">
        <v>#N/A</v>
      </c>
      <c r="AK91" s="80">
        <f t="shared" si="16"/>
        <v>0</v>
      </c>
      <c r="AM91" s="85"/>
    </row>
    <row r="92" spans="1:39" hidden="1" x14ac:dyDescent="0.3">
      <c r="A92" s="85" t="s">
        <v>34</v>
      </c>
      <c r="B92" s="3" t="s">
        <v>35</v>
      </c>
      <c r="C92" s="3" t="s">
        <v>164</v>
      </c>
      <c r="D92" s="3" t="s">
        <v>169</v>
      </c>
      <c r="E92" s="3" t="s">
        <v>172</v>
      </c>
      <c r="F92" s="3" t="s">
        <v>172</v>
      </c>
      <c r="G92" s="3" t="s">
        <v>172</v>
      </c>
      <c r="H92" s="138"/>
      <c r="I92" s="3" t="s">
        <v>3356</v>
      </c>
      <c r="J92" s="1" t="s">
        <v>3326</v>
      </c>
      <c r="K92" s="1" t="s">
        <v>3710</v>
      </c>
      <c r="L92" s="1" t="s">
        <v>35</v>
      </c>
      <c r="N92" s="3" t="s">
        <v>3710</v>
      </c>
      <c r="O92" s="1" t="s">
        <v>45</v>
      </c>
      <c r="P92" s="1" t="s">
        <v>41</v>
      </c>
      <c r="Q92" s="2">
        <v>0</v>
      </c>
      <c r="R92" s="138"/>
      <c r="T92" s="4">
        <v>0</v>
      </c>
      <c r="U92" s="4">
        <v>3148959.1100000003</v>
      </c>
      <c r="V92" s="4">
        <v>0</v>
      </c>
      <c r="W92" s="13">
        <f t="shared" si="17"/>
        <v>3148959.1100000003</v>
      </c>
      <c r="X92" s="13">
        <f t="shared" si="18"/>
        <v>0</v>
      </c>
      <c r="Y92" s="13">
        <f t="shared" si="12"/>
        <v>0</v>
      </c>
      <c r="Z92" s="2">
        <v>0</v>
      </c>
      <c r="AA92" s="4">
        <v>0</v>
      </c>
      <c r="AB92" s="4">
        <f t="shared" si="13"/>
        <v>0</v>
      </c>
      <c r="AC92" s="6">
        <f t="shared" si="14"/>
        <v>0</v>
      </c>
      <c r="AD92" s="13">
        <f t="shared" si="19"/>
        <v>0</v>
      </c>
      <c r="AE92" s="2">
        <v>0.05</v>
      </c>
      <c r="AF92" s="5">
        <f t="shared" si="15"/>
        <v>0</v>
      </c>
      <c r="AG92" s="2">
        <v>0</v>
      </c>
      <c r="AH92" s="5">
        <f t="shared" si="20"/>
        <v>0</v>
      </c>
      <c r="AJ92" s="126" t="e">
        <v>#N/A</v>
      </c>
      <c r="AK92" s="80">
        <f t="shared" si="16"/>
        <v>0</v>
      </c>
      <c r="AM92" s="85"/>
    </row>
    <row r="93" spans="1:39" hidden="1" x14ac:dyDescent="0.3">
      <c r="A93" s="85" t="s">
        <v>34</v>
      </c>
      <c r="B93" s="3" t="s">
        <v>35</v>
      </c>
      <c r="C93" s="3" t="s">
        <v>164</v>
      </c>
      <c r="D93" s="3" t="s">
        <v>174</v>
      </c>
      <c r="E93" s="3" t="s">
        <v>175</v>
      </c>
      <c r="F93" s="3" t="s">
        <v>175</v>
      </c>
      <c r="G93" s="3" t="s">
        <v>175</v>
      </c>
      <c r="I93" s="3" t="s">
        <v>3356</v>
      </c>
      <c r="J93" s="1" t="s">
        <v>3326</v>
      </c>
      <c r="K93" s="1" t="s">
        <v>3712</v>
      </c>
      <c r="L93" s="1" t="s">
        <v>35</v>
      </c>
      <c r="N93" s="3" t="s">
        <v>3713</v>
      </c>
      <c r="O93" s="1" t="s">
        <v>45</v>
      </c>
      <c r="P93" s="1" t="s">
        <v>46</v>
      </c>
      <c r="Q93" s="2">
        <v>0.02</v>
      </c>
      <c r="R93" s="138"/>
      <c r="T93" s="4">
        <v>572679.47000000044</v>
      </c>
      <c r="U93" s="4">
        <v>116000</v>
      </c>
      <c r="V93" s="4">
        <v>574437.39000000036</v>
      </c>
      <c r="W93" s="13">
        <v>0</v>
      </c>
      <c r="X93" s="13">
        <f t="shared" si="18"/>
        <v>563173.91176470625</v>
      </c>
      <c r="Y93" s="13">
        <f t="shared" si="12"/>
        <v>0</v>
      </c>
      <c r="Z93" s="2">
        <v>0</v>
      </c>
      <c r="AA93" s="4">
        <v>0</v>
      </c>
      <c r="AB93" s="4">
        <f t="shared" si="13"/>
        <v>563173.91176470625</v>
      </c>
      <c r="AC93" s="6">
        <f t="shared" si="14"/>
        <v>11263.478235294111</v>
      </c>
      <c r="AD93" s="13">
        <f t="shared" si="19"/>
        <v>574437.39000000036</v>
      </c>
      <c r="AE93" s="2">
        <v>0.05</v>
      </c>
      <c r="AF93" s="5">
        <f t="shared" si="15"/>
        <v>28721.869500000019</v>
      </c>
      <c r="AG93" s="2">
        <v>0</v>
      </c>
      <c r="AH93" s="5">
        <f t="shared" si="20"/>
        <v>574437.39000000036</v>
      </c>
      <c r="AJ93" s="126" t="e">
        <v>#N/A</v>
      </c>
      <c r="AK93" s="80">
        <f t="shared" si="16"/>
        <v>0</v>
      </c>
      <c r="AM93" s="85"/>
    </row>
    <row r="94" spans="1:39" hidden="1" x14ac:dyDescent="0.3">
      <c r="A94" s="85" t="s">
        <v>34</v>
      </c>
      <c r="B94" s="3" t="s">
        <v>35</v>
      </c>
      <c r="C94" s="3" t="s">
        <v>164</v>
      </c>
      <c r="D94" s="3" t="s">
        <v>174</v>
      </c>
      <c r="E94" s="3" t="s">
        <v>175</v>
      </c>
      <c r="F94" s="3" t="s">
        <v>175</v>
      </c>
      <c r="G94" s="3" t="s">
        <v>175</v>
      </c>
      <c r="H94" s="138"/>
      <c r="I94" s="3" t="s">
        <v>3356</v>
      </c>
      <c r="J94" s="1" t="s">
        <v>3326</v>
      </c>
      <c r="K94" s="1" t="s">
        <v>3712</v>
      </c>
      <c r="L94" s="1" t="s">
        <v>35</v>
      </c>
      <c r="N94" s="3" t="s">
        <v>3713</v>
      </c>
      <c r="O94" s="1" t="s">
        <v>45</v>
      </c>
      <c r="P94" s="1" t="s">
        <v>41</v>
      </c>
      <c r="Q94" s="2">
        <v>0</v>
      </c>
      <c r="R94" s="138"/>
      <c r="T94" s="4">
        <v>0</v>
      </c>
      <c r="U94" s="4">
        <v>0</v>
      </c>
      <c r="V94" s="4">
        <v>0</v>
      </c>
      <c r="W94" s="13">
        <f t="shared" si="17"/>
        <v>0</v>
      </c>
      <c r="X94" s="13">
        <f t="shared" si="18"/>
        <v>0</v>
      </c>
      <c r="Y94" s="13">
        <f t="shared" si="12"/>
        <v>0</v>
      </c>
      <c r="Z94" s="2">
        <v>0</v>
      </c>
      <c r="AA94" s="4">
        <v>0</v>
      </c>
      <c r="AB94" s="4">
        <f t="shared" si="13"/>
        <v>0</v>
      </c>
      <c r="AC94" s="6">
        <f t="shared" si="14"/>
        <v>0</v>
      </c>
      <c r="AD94" s="13">
        <f t="shared" si="19"/>
        <v>0</v>
      </c>
      <c r="AE94" s="2">
        <v>0.05</v>
      </c>
      <c r="AF94" s="5">
        <f t="shared" si="15"/>
        <v>0</v>
      </c>
      <c r="AG94" s="2">
        <v>0</v>
      </c>
      <c r="AH94" s="5">
        <f t="shared" si="20"/>
        <v>0</v>
      </c>
      <c r="AJ94" s="126" t="e">
        <v>#N/A</v>
      </c>
      <c r="AK94" s="80">
        <f t="shared" si="16"/>
        <v>0</v>
      </c>
      <c r="AM94" s="85"/>
    </row>
    <row r="95" spans="1:39" hidden="1" x14ac:dyDescent="0.3">
      <c r="A95" s="85" t="s">
        <v>34</v>
      </c>
      <c r="B95" s="3" t="s">
        <v>35</v>
      </c>
      <c r="C95" s="3" t="s">
        <v>164</v>
      </c>
      <c r="D95" s="3" t="s">
        <v>174</v>
      </c>
      <c r="E95" s="3" t="s">
        <v>176</v>
      </c>
      <c r="F95" s="3" t="s">
        <v>176</v>
      </c>
      <c r="G95" s="3" t="s">
        <v>176</v>
      </c>
      <c r="I95" s="3" t="s">
        <v>3356</v>
      </c>
      <c r="J95" s="1" t="s">
        <v>3326</v>
      </c>
      <c r="K95" s="1" t="s">
        <v>3710</v>
      </c>
      <c r="L95" s="1" t="s">
        <v>35</v>
      </c>
      <c r="N95" s="3" t="s">
        <v>3714</v>
      </c>
      <c r="O95" s="1" t="s">
        <v>45</v>
      </c>
      <c r="P95" s="1" t="s">
        <v>46</v>
      </c>
      <c r="Q95" s="2">
        <v>0.02</v>
      </c>
      <c r="R95" s="138"/>
      <c r="T95" s="4">
        <v>3620687.8600000003</v>
      </c>
      <c r="U95" s="4">
        <v>0</v>
      </c>
      <c r="V95" s="4">
        <v>3395303.5000000005</v>
      </c>
      <c r="W95" s="13">
        <v>0</v>
      </c>
      <c r="X95" s="13">
        <f t="shared" si="18"/>
        <v>3328728.9215686279</v>
      </c>
      <c r="Y95" s="13">
        <f t="shared" si="12"/>
        <v>0</v>
      </c>
      <c r="Z95" s="2">
        <v>0</v>
      </c>
      <c r="AA95" s="4">
        <v>0</v>
      </c>
      <c r="AB95" s="4">
        <f t="shared" si="13"/>
        <v>3328728.9215686279</v>
      </c>
      <c r="AC95" s="6">
        <f t="shared" si="14"/>
        <v>66574.578431372531</v>
      </c>
      <c r="AD95" s="13">
        <f t="shared" si="19"/>
        <v>3395303.5000000005</v>
      </c>
      <c r="AE95" s="2">
        <v>0.05</v>
      </c>
      <c r="AF95" s="5">
        <f t="shared" si="15"/>
        <v>169765.17500000005</v>
      </c>
      <c r="AG95" s="2">
        <v>0</v>
      </c>
      <c r="AH95" s="5">
        <f t="shared" si="20"/>
        <v>3395303.5000000005</v>
      </c>
      <c r="AJ95" s="126" t="e">
        <v>#N/A</v>
      </c>
      <c r="AK95" s="80">
        <f t="shared" si="16"/>
        <v>0</v>
      </c>
      <c r="AM95" s="85"/>
    </row>
    <row r="96" spans="1:39" hidden="1" x14ac:dyDescent="0.3">
      <c r="A96" s="85" t="s">
        <v>34</v>
      </c>
      <c r="B96" s="3" t="s">
        <v>35</v>
      </c>
      <c r="C96" s="3" t="s">
        <v>164</v>
      </c>
      <c r="D96" s="3" t="s">
        <v>174</v>
      </c>
      <c r="E96" s="3" t="s">
        <v>177</v>
      </c>
      <c r="F96" s="3" t="s">
        <v>177</v>
      </c>
      <c r="G96" s="3" t="s">
        <v>177</v>
      </c>
      <c r="I96" s="3" t="s">
        <v>3356</v>
      </c>
      <c r="J96" s="1" t="s">
        <v>3326</v>
      </c>
      <c r="K96" s="1" t="s">
        <v>3283</v>
      </c>
      <c r="L96" s="1" t="s">
        <v>35</v>
      </c>
      <c r="N96" s="3" t="s">
        <v>80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40000</v>
      </c>
      <c r="V96" s="4">
        <v>37935.320000000022</v>
      </c>
      <c r="W96" s="13">
        <f t="shared" si="17"/>
        <v>2064.6799999999785</v>
      </c>
      <c r="X96" s="13">
        <f t="shared" si="18"/>
        <v>37935.320000000022</v>
      </c>
      <c r="Y96" s="13">
        <f t="shared" si="12"/>
        <v>0</v>
      </c>
      <c r="Z96" s="2">
        <v>0</v>
      </c>
      <c r="AA96" s="4">
        <v>0</v>
      </c>
      <c r="AB96" s="4">
        <f t="shared" si="13"/>
        <v>37935.320000000022</v>
      </c>
      <c r="AC96" s="6">
        <f t="shared" si="14"/>
        <v>0</v>
      </c>
      <c r="AD96" s="13">
        <f t="shared" si="19"/>
        <v>37935.320000000022</v>
      </c>
      <c r="AE96" s="2">
        <v>0.05</v>
      </c>
      <c r="AF96" s="5">
        <f t="shared" si="15"/>
        <v>1896.7660000000012</v>
      </c>
      <c r="AG96" s="2">
        <v>0</v>
      </c>
      <c r="AH96" s="5">
        <f t="shared" si="20"/>
        <v>37935.320000000022</v>
      </c>
      <c r="AJ96" s="126" t="e">
        <v>#N/A</v>
      </c>
      <c r="AK96" s="80">
        <f t="shared" si="16"/>
        <v>0</v>
      </c>
      <c r="AM96" s="85"/>
    </row>
    <row r="97" spans="1:39" hidden="1" x14ac:dyDescent="0.3">
      <c r="A97" s="85" t="s">
        <v>34</v>
      </c>
      <c r="B97" s="3" t="s">
        <v>35</v>
      </c>
      <c r="C97" s="3" t="s">
        <v>164</v>
      </c>
      <c r="D97" s="3" t="s">
        <v>174</v>
      </c>
      <c r="E97" s="3" t="s">
        <v>178</v>
      </c>
      <c r="F97" s="3" t="s">
        <v>179</v>
      </c>
      <c r="G97" s="3" t="s">
        <v>178</v>
      </c>
      <c r="H97" s="138"/>
      <c r="I97" s="3" t="s">
        <v>3356</v>
      </c>
      <c r="J97" s="1" t="s">
        <v>3326</v>
      </c>
      <c r="K97" s="1" t="s">
        <v>3283</v>
      </c>
      <c r="L97" s="1" t="s">
        <v>35</v>
      </c>
      <c r="N97" s="3" t="s">
        <v>80</v>
      </c>
      <c r="O97" s="1" t="s">
        <v>45</v>
      </c>
      <c r="P97" s="1" t="s">
        <v>46</v>
      </c>
      <c r="Q97" s="2">
        <v>0.05</v>
      </c>
      <c r="R97" s="138"/>
      <c r="T97" s="4">
        <v>2796977.4600000018</v>
      </c>
      <c r="U97" s="4">
        <v>400000</v>
      </c>
      <c r="V97" s="4">
        <v>0</v>
      </c>
      <c r="W97" s="13">
        <f t="shared" si="17"/>
        <v>3196977.4600000018</v>
      </c>
      <c r="X97" s="13">
        <f t="shared" si="18"/>
        <v>0</v>
      </c>
      <c r="Y97" s="13">
        <f t="shared" si="12"/>
        <v>0</v>
      </c>
      <c r="Z97" s="2">
        <v>0</v>
      </c>
      <c r="AA97" s="4">
        <v>0</v>
      </c>
      <c r="AB97" s="4">
        <f t="shared" si="13"/>
        <v>0</v>
      </c>
      <c r="AC97" s="6">
        <f t="shared" si="14"/>
        <v>0</v>
      </c>
      <c r="AD97" s="13">
        <f t="shared" si="19"/>
        <v>0</v>
      </c>
      <c r="AE97" s="2">
        <v>0.05</v>
      </c>
      <c r="AF97" s="5">
        <f t="shared" si="15"/>
        <v>0</v>
      </c>
      <c r="AG97" s="2">
        <v>0</v>
      </c>
      <c r="AH97" s="5">
        <f t="shared" si="20"/>
        <v>0</v>
      </c>
      <c r="AJ97" s="126" t="e">
        <v>#N/A</v>
      </c>
      <c r="AK97" s="80">
        <f t="shared" si="16"/>
        <v>0</v>
      </c>
      <c r="AM97" s="85"/>
    </row>
    <row r="98" spans="1:39" hidden="1" x14ac:dyDescent="0.3">
      <c r="A98" s="85" t="s">
        <v>34</v>
      </c>
      <c r="B98" s="3" t="s">
        <v>35</v>
      </c>
      <c r="C98" s="3" t="s">
        <v>164</v>
      </c>
      <c r="D98" s="3" t="s">
        <v>174</v>
      </c>
      <c r="E98" s="3" t="s">
        <v>178</v>
      </c>
      <c r="F98" s="3" t="s">
        <v>179</v>
      </c>
      <c r="G98" s="3" t="s">
        <v>178</v>
      </c>
      <c r="I98" s="3" t="s">
        <v>3356</v>
      </c>
      <c r="J98" s="1" t="s">
        <v>3326</v>
      </c>
      <c r="K98" s="1" t="s">
        <v>3283</v>
      </c>
      <c r="L98" s="1" t="s">
        <v>35</v>
      </c>
      <c r="N98" s="3" t="s">
        <v>80</v>
      </c>
      <c r="O98" s="1" t="s">
        <v>45</v>
      </c>
      <c r="P98" s="1" t="s">
        <v>46</v>
      </c>
      <c r="Q98" s="2">
        <v>0.03</v>
      </c>
      <c r="R98" s="138"/>
      <c r="T98" s="4">
        <v>0</v>
      </c>
      <c r="U98" s="4">
        <v>3200000</v>
      </c>
      <c r="V98" s="4">
        <v>4392116.620000002</v>
      </c>
      <c r="W98" s="13">
        <f t="shared" si="17"/>
        <v>-1192116.620000002</v>
      </c>
      <c r="X98" s="13">
        <f t="shared" si="18"/>
        <v>4264190.8932038853</v>
      </c>
      <c r="Y98" s="13">
        <f t="shared" si="12"/>
        <v>0</v>
      </c>
      <c r="Z98" s="2">
        <v>0</v>
      </c>
      <c r="AA98" s="4">
        <v>0</v>
      </c>
      <c r="AB98" s="4">
        <f t="shared" si="13"/>
        <v>4264190.8932038853</v>
      </c>
      <c r="AC98" s="6">
        <f t="shared" si="14"/>
        <v>127925.72679611668</v>
      </c>
      <c r="AD98" s="13">
        <f t="shared" si="19"/>
        <v>4392116.620000002</v>
      </c>
      <c r="AE98" s="2">
        <v>0.05</v>
      </c>
      <c r="AF98" s="5">
        <f t="shared" si="15"/>
        <v>219605.83100000012</v>
      </c>
      <c r="AG98" s="2">
        <v>0</v>
      </c>
      <c r="AH98" s="5">
        <f t="shared" si="20"/>
        <v>4392116.620000002</v>
      </c>
      <c r="AJ98" s="126" t="e">
        <v>#N/A</v>
      </c>
      <c r="AK98" s="80">
        <f t="shared" si="16"/>
        <v>0</v>
      </c>
      <c r="AM98" s="85"/>
    </row>
    <row r="99" spans="1:39" hidden="1" x14ac:dyDescent="0.3">
      <c r="A99" s="85" t="s">
        <v>34</v>
      </c>
      <c r="B99" s="3" t="s">
        <v>35</v>
      </c>
      <c r="C99" s="3" t="s">
        <v>164</v>
      </c>
      <c r="D99" s="3" t="s">
        <v>174</v>
      </c>
      <c r="E99" s="3" t="s">
        <v>180</v>
      </c>
      <c r="F99" s="3" t="s">
        <v>180</v>
      </c>
      <c r="G99" s="3" t="s">
        <v>180</v>
      </c>
      <c r="H99" s="138"/>
      <c r="I99" s="3" t="s">
        <v>3356</v>
      </c>
      <c r="J99" s="1" t="s">
        <v>3326</v>
      </c>
      <c r="K99" s="1" t="s">
        <v>3712</v>
      </c>
      <c r="L99" s="1" t="s">
        <v>35</v>
      </c>
      <c r="N99" s="3" t="s">
        <v>3712</v>
      </c>
      <c r="O99" s="1" t="s">
        <v>45</v>
      </c>
      <c r="P99" s="1" t="s">
        <v>3355</v>
      </c>
      <c r="Q99" s="2">
        <v>0.01</v>
      </c>
      <c r="R99" s="138"/>
      <c r="T99" s="4">
        <v>294399.34999999998</v>
      </c>
      <c r="U99" s="4">
        <v>210000</v>
      </c>
      <c r="V99" s="4">
        <v>0</v>
      </c>
      <c r="W99" s="13">
        <f t="shared" si="17"/>
        <v>504399.35</v>
      </c>
      <c r="X99" s="13">
        <f t="shared" si="18"/>
        <v>0</v>
      </c>
      <c r="Y99" s="13">
        <f t="shared" si="12"/>
        <v>0</v>
      </c>
      <c r="Z99" s="2">
        <v>0</v>
      </c>
      <c r="AA99" s="4">
        <v>0</v>
      </c>
      <c r="AB99" s="4">
        <f t="shared" si="13"/>
        <v>0</v>
      </c>
      <c r="AC99" s="6">
        <f t="shared" si="14"/>
        <v>0</v>
      </c>
      <c r="AD99" s="13">
        <f t="shared" si="19"/>
        <v>0</v>
      </c>
      <c r="AE99" s="2">
        <v>0.05</v>
      </c>
      <c r="AF99" s="5">
        <f t="shared" si="15"/>
        <v>0</v>
      </c>
      <c r="AG99" s="2">
        <v>0</v>
      </c>
      <c r="AH99" s="5">
        <f t="shared" si="20"/>
        <v>0</v>
      </c>
      <c r="AJ99" s="126" t="e">
        <v>#N/A</v>
      </c>
      <c r="AK99" s="80">
        <f t="shared" si="16"/>
        <v>0</v>
      </c>
      <c r="AM99" s="85"/>
    </row>
    <row r="100" spans="1:39" hidden="1" x14ac:dyDescent="0.3">
      <c r="A100" s="85" t="s">
        <v>34</v>
      </c>
      <c r="B100" s="3" t="s">
        <v>35</v>
      </c>
      <c r="C100" s="3" t="s">
        <v>164</v>
      </c>
      <c r="D100" s="3" t="s">
        <v>181</v>
      </c>
      <c r="E100" s="3" t="s">
        <v>182</v>
      </c>
      <c r="F100" s="3" t="s">
        <v>183</v>
      </c>
      <c r="G100" s="3" t="s">
        <v>182</v>
      </c>
      <c r="I100" s="3" t="s">
        <v>3356</v>
      </c>
      <c r="J100" s="1" t="s">
        <v>3326</v>
      </c>
      <c r="K100" s="1" t="s">
        <v>3283</v>
      </c>
      <c r="L100" s="1" t="s">
        <v>35</v>
      </c>
      <c r="N100" s="3" t="s">
        <v>80</v>
      </c>
      <c r="O100" s="1" t="s">
        <v>45</v>
      </c>
      <c r="P100" s="1" t="s">
        <v>41</v>
      </c>
      <c r="Q100" s="2">
        <v>0</v>
      </c>
      <c r="R100" s="138"/>
      <c r="T100" s="4">
        <v>877538.39999999967</v>
      </c>
      <c r="U100" s="4">
        <v>127100</v>
      </c>
      <c r="V100" s="4">
        <v>121470.73999999999</v>
      </c>
      <c r="W100" s="13">
        <f t="shared" si="17"/>
        <v>883167.65999999968</v>
      </c>
      <c r="X100" s="13">
        <f t="shared" si="18"/>
        <v>121470.73999999999</v>
      </c>
      <c r="Y100" s="13">
        <f t="shared" si="12"/>
        <v>0</v>
      </c>
      <c r="Z100" s="2">
        <v>0</v>
      </c>
      <c r="AA100" s="4">
        <v>0</v>
      </c>
      <c r="AB100" s="4">
        <f t="shared" si="13"/>
        <v>121470.73999999999</v>
      </c>
      <c r="AC100" s="6">
        <f t="shared" si="14"/>
        <v>0</v>
      </c>
      <c r="AD100" s="13">
        <f t="shared" si="19"/>
        <v>121470.73999999999</v>
      </c>
      <c r="AE100" s="2">
        <v>0.05</v>
      </c>
      <c r="AF100" s="5">
        <f t="shared" si="15"/>
        <v>6073.5370000000003</v>
      </c>
      <c r="AG100" s="2">
        <v>0</v>
      </c>
      <c r="AH100" s="5">
        <f t="shared" si="20"/>
        <v>121470.73999999999</v>
      </c>
      <c r="AJ100" s="126" t="e">
        <v>#N/A</v>
      </c>
      <c r="AK100" s="80">
        <f t="shared" si="16"/>
        <v>0</v>
      </c>
      <c r="AM100" s="85"/>
    </row>
    <row r="101" spans="1:39" hidden="1" x14ac:dyDescent="0.3">
      <c r="A101" s="85" t="s">
        <v>34</v>
      </c>
      <c r="B101" s="3" t="s">
        <v>35</v>
      </c>
      <c r="C101" s="3" t="s">
        <v>184</v>
      </c>
      <c r="D101" s="3" t="s">
        <v>185</v>
      </c>
      <c r="E101" s="3" t="s">
        <v>186</v>
      </c>
      <c r="F101" s="3" t="s">
        <v>186</v>
      </c>
      <c r="G101" s="3" t="s">
        <v>186</v>
      </c>
      <c r="I101" s="3" t="s">
        <v>3356</v>
      </c>
      <c r="J101" s="1" t="s">
        <v>3326</v>
      </c>
      <c r="K101" s="1" t="s">
        <v>3712</v>
      </c>
      <c r="L101" s="1" t="s">
        <v>35</v>
      </c>
      <c r="N101" s="3" t="s">
        <v>3712</v>
      </c>
      <c r="O101" s="1" t="s">
        <v>45</v>
      </c>
      <c r="P101" s="1" t="s">
        <v>3753</v>
      </c>
      <c r="Q101" s="2">
        <v>0.01</v>
      </c>
      <c r="R101" s="138"/>
      <c r="T101" s="4">
        <v>450000</v>
      </c>
      <c r="U101" s="4">
        <v>5550000</v>
      </c>
      <c r="V101" s="4">
        <v>3916076.8200000008</v>
      </c>
      <c r="W101" s="13">
        <f t="shared" si="17"/>
        <v>2083923.1799999992</v>
      </c>
      <c r="X101" s="13">
        <f t="shared" si="18"/>
        <v>3877303.7821782185</v>
      </c>
      <c r="Y101" s="13">
        <f t="shared" si="12"/>
        <v>0</v>
      </c>
      <c r="Z101" s="2">
        <v>0</v>
      </c>
      <c r="AA101" s="4">
        <v>0</v>
      </c>
      <c r="AB101" s="4">
        <f t="shared" si="13"/>
        <v>3877303.7821782185</v>
      </c>
      <c r="AC101" s="6">
        <f t="shared" si="14"/>
        <v>38773.037821782287</v>
      </c>
      <c r="AD101" s="13">
        <f t="shared" si="19"/>
        <v>3916076.8200000008</v>
      </c>
      <c r="AE101" s="2">
        <v>0.05</v>
      </c>
      <c r="AF101" s="5">
        <f t="shared" si="15"/>
        <v>195803.84100000004</v>
      </c>
      <c r="AG101" s="2">
        <v>0</v>
      </c>
      <c r="AH101" s="5">
        <f t="shared" si="20"/>
        <v>3916076.8200000008</v>
      </c>
      <c r="AJ101" s="126" t="e">
        <v>#N/A</v>
      </c>
      <c r="AK101" s="80">
        <f t="shared" si="16"/>
        <v>0</v>
      </c>
      <c r="AM101" s="85"/>
    </row>
    <row r="102" spans="1:39" hidden="1" x14ac:dyDescent="0.3">
      <c r="A102" s="85" t="s">
        <v>34</v>
      </c>
      <c r="B102" s="3" t="s">
        <v>35</v>
      </c>
      <c r="C102" s="3" t="s">
        <v>187</v>
      </c>
      <c r="D102" s="3" t="s">
        <v>188</v>
      </c>
      <c r="E102" s="3" t="s">
        <v>189</v>
      </c>
      <c r="F102" s="3" t="s">
        <v>189</v>
      </c>
      <c r="G102" s="3" t="s">
        <v>189</v>
      </c>
      <c r="I102" s="3" t="s">
        <v>3356</v>
      </c>
      <c r="J102" s="1" t="s">
        <v>3326</v>
      </c>
      <c r="K102" s="1" t="s">
        <v>3283</v>
      </c>
      <c r="L102" s="1" t="s">
        <v>35</v>
      </c>
      <c r="N102" s="3" t="s">
        <v>80</v>
      </c>
      <c r="O102" s="1" t="s">
        <v>45</v>
      </c>
      <c r="P102" s="1" t="s">
        <v>46</v>
      </c>
      <c r="Q102" s="2">
        <v>0.03</v>
      </c>
      <c r="R102" s="138"/>
      <c r="T102" s="4">
        <v>0</v>
      </c>
      <c r="U102" s="4">
        <v>1328700</v>
      </c>
      <c r="V102" s="4">
        <v>833427.46999999951</v>
      </c>
      <c r="W102" s="13">
        <f t="shared" si="17"/>
        <v>495272.53000000049</v>
      </c>
      <c r="X102" s="13">
        <f t="shared" si="18"/>
        <v>809152.88349514513</v>
      </c>
      <c r="Y102" s="13">
        <f t="shared" si="12"/>
        <v>0</v>
      </c>
      <c r="Z102" s="2">
        <v>0</v>
      </c>
      <c r="AA102" s="4">
        <v>0</v>
      </c>
      <c r="AB102" s="4">
        <f t="shared" si="13"/>
        <v>809152.88349514513</v>
      </c>
      <c r="AC102" s="6">
        <f t="shared" si="14"/>
        <v>24274.586504854378</v>
      </c>
      <c r="AD102" s="13">
        <f t="shared" si="19"/>
        <v>833427.46999999951</v>
      </c>
      <c r="AE102" s="2">
        <v>0.05</v>
      </c>
      <c r="AF102" s="5">
        <f t="shared" si="15"/>
        <v>41671.37349999998</v>
      </c>
      <c r="AG102" s="2">
        <v>0</v>
      </c>
      <c r="AH102" s="5">
        <f t="shared" si="20"/>
        <v>833427.46999999951</v>
      </c>
      <c r="AJ102" s="126" t="e">
        <v>#N/A</v>
      </c>
      <c r="AK102" s="80">
        <f t="shared" si="16"/>
        <v>0</v>
      </c>
      <c r="AM102" s="85"/>
    </row>
    <row r="103" spans="1:39" hidden="1" x14ac:dyDescent="0.3">
      <c r="A103" s="85" t="s">
        <v>34</v>
      </c>
      <c r="B103" s="3" t="s">
        <v>35</v>
      </c>
      <c r="C103" s="3" t="s">
        <v>187</v>
      </c>
      <c r="D103" s="3" t="s">
        <v>188</v>
      </c>
      <c r="E103" s="3" t="s">
        <v>190</v>
      </c>
      <c r="F103" s="3" t="s">
        <v>190</v>
      </c>
      <c r="G103" s="3" t="s">
        <v>190</v>
      </c>
      <c r="H103" s="138"/>
      <c r="I103" s="3" t="s">
        <v>3356</v>
      </c>
      <c r="J103" s="1" t="s">
        <v>3326</v>
      </c>
      <c r="K103" s="1" t="s">
        <v>3283</v>
      </c>
      <c r="L103" s="1" t="s">
        <v>35</v>
      </c>
      <c r="N103" s="3" t="s">
        <v>80</v>
      </c>
      <c r="O103" s="1" t="s">
        <v>45</v>
      </c>
      <c r="P103" s="8" t="s">
        <v>46</v>
      </c>
      <c r="Q103" s="9">
        <v>0.06</v>
      </c>
      <c r="R103" s="138"/>
      <c r="T103" s="4">
        <v>0</v>
      </c>
      <c r="U103" s="4">
        <v>660000</v>
      </c>
      <c r="V103" s="4">
        <v>0</v>
      </c>
      <c r="W103" s="13">
        <f t="shared" si="17"/>
        <v>660000</v>
      </c>
      <c r="X103" s="13">
        <f t="shared" si="18"/>
        <v>0</v>
      </c>
      <c r="Y103" s="13">
        <f t="shared" si="12"/>
        <v>0</v>
      </c>
      <c r="Z103" s="2">
        <v>0</v>
      </c>
      <c r="AA103" s="4">
        <v>0</v>
      </c>
      <c r="AB103" s="4">
        <f t="shared" si="13"/>
        <v>0</v>
      </c>
      <c r="AC103" s="6">
        <f t="shared" si="14"/>
        <v>0</v>
      </c>
      <c r="AD103" s="13">
        <f t="shared" si="19"/>
        <v>0</v>
      </c>
      <c r="AE103" s="2">
        <v>0.05</v>
      </c>
      <c r="AF103" s="5">
        <f t="shared" si="15"/>
        <v>0</v>
      </c>
      <c r="AG103" s="2">
        <v>0</v>
      </c>
      <c r="AH103" s="5">
        <f t="shared" si="20"/>
        <v>0</v>
      </c>
      <c r="AJ103" s="126" t="e">
        <v>#N/A</v>
      </c>
      <c r="AK103" s="80">
        <f t="shared" si="16"/>
        <v>0</v>
      </c>
      <c r="AM103" s="85"/>
    </row>
    <row r="104" spans="1:39" hidden="1" x14ac:dyDescent="0.3">
      <c r="A104" s="85" t="s">
        <v>34</v>
      </c>
      <c r="B104" s="3" t="s">
        <v>35</v>
      </c>
      <c r="C104" s="3" t="s">
        <v>187</v>
      </c>
      <c r="D104" s="3" t="s">
        <v>188</v>
      </c>
      <c r="E104" s="3" t="s">
        <v>191</v>
      </c>
      <c r="F104" s="3" t="s">
        <v>191</v>
      </c>
      <c r="G104" s="3" t="s">
        <v>191</v>
      </c>
      <c r="I104" s="3" t="s">
        <v>3356</v>
      </c>
      <c r="J104" s="1" t="s">
        <v>3326</v>
      </c>
      <c r="K104" s="1" t="s">
        <v>3283</v>
      </c>
      <c r="L104" s="1" t="s">
        <v>35</v>
      </c>
      <c r="N104" s="3" t="s">
        <v>80</v>
      </c>
      <c r="O104" s="1" t="s">
        <v>45</v>
      </c>
      <c r="P104" s="1" t="s">
        <v>46</v>
      </c>
      <c r="Q104" s="2">
        <v>0.03</v>
      </c>
      <c r="R104" s="138"/>
      <c r="T104" s="4">
        <v>0</v>
      </c>
      <c r="U104" s="4">
        <v>154500</v>
      </c>
      <c r="V104" s="4">
        <v>66762.12000000001</v>
      </c>
      <c r="W104" s="13">
        <f t="shared" si="17"/>
        <v>87737.87999999999</v>
      </c>
      <c r="X104" s="13">
        <f t="shared" si="18"/>
        <v>64817.592233009716</v>
      </c>
      <c r="Y104" s="13">
        <f t="shared" si="12"/>
        <v>0</v>
      </c>
      <c r="Z104" s="2">
        <v>0</v>
      </c>
      <c r="AA104" s="4">
        <v>0</v>
      </c>
      <c r="AB104" s="4">
        <f t="shared" si="13"/>
        <v>64817.592233009716</v>
      </c>
      <c r="AC104" s="6">
        <f t="shared" si="14"/>
        <v>1944.5277669902935</v>
      </c>
      <c r="AD104" s="13">
        <f t="shared" si="19"/>
        <v>66762.12000000001</v>
      </c>
      <c r="AE104" s="2">
        <v>0.05</v>
      </c>
      <c r="AF104" s="5">
        <f t="shared" si="15"/>
        <v>3338.1060000000007</v>
      </c>
      <c r="AG104" s="2">
        <v>0</v>
      </c>
      <c r="AH104" s="5">
        <f t="shared" si="20"/>
        <v>66762.12000000001</v>
      </c>
      <c r="AJ104" s="126" t="e">
        <v>#N/A</v>
      </c>
      <c r="AK104" s="80">
        <f t="shared" si="16"/>
        <v>0</v>
      </c>
      <c r="AM104" s="85"/>
    </row>
    <row r="105" spans="1:39" hidden="1" x14ac:dyDescent="0.3">
      <c r="A105" s="85" t="s">
        <v>34</v>
      </c>
      <c r="B105" s="3" t="s">
        <v>35</v>
      </c>
      <c r="C105" s="3" t="s">
        <v>187</v>
      </c>
      <c r="D105" s="3" t="s">
        <v>188</v>
      </c>
      <c r="E105" s="3" t="s">
        <v>192</v>
      </c>
      <c r="F105" s="3" t="s">
        <v>192</v>
      </c>
      <c r="G105" s="3" t="s">
        <v>192</v>
      </c>
      <c r="I105" s="3" t="s">
        <v>3356</v>
      </c>
      <c r="J105" s="1" t="s">
        <v>3326</v>
      </c>
      <c r="K105" s="1" t="s">
        <v>3283</v>
      </c>
      <c r="L105" s="1" t="s">
        <v>35</v>
      </c>
      <c r="N105" s="3" t="s">
        <v>80</v>
      </c>
      <c r="O105" s="1" t="s">
        <v>45</v>
      </c>
      <c r="P105" s="1" t="s">
        <v>46</v>
      </c>
      <c r="Q105" s="2">
        <v>0.06</v>
      </c>
      <c r="R105" s="138"/>
      <c r="T105" s="4">
        <v>1371870.5699999998</v>
      </c>
      <c r="U105" s="4">
        <v>50000000</v>
      </c>
      <c r="V105" s="4">
        <v>20473156.90000001</v>
      </c>
      <c r="W105" s="13">
        <f t="shared" si="17"/>
        <v>30898713.669999991</v>
      </c>
      <c r="X105" s="13">
        <f t="shared" si="18"/>
        <v>19314298.962264158</v>
      </c>
      <c r="Y105" s="13">
        <f t="shared" si="12"/>
        <v>0</v>
      </c>
      <c r="Z105" s="2">
        <v>0</v>
      </c>
      <c r="AA105" s="4">
        <v>0</v>
      </c>
      <c r="AB105" s="4">
        <f t="shared" si="13"/>
        <v>19314298.962264158</v>
      </c>
      <c r="AC105" s="6">
        <f t="shared" si="14"/>
        <v>1158857.9377358519</v>
      </c>
      <c r="AD105" s="13">
        <f t="shared" si="19"/>
        <v>20473156.90000001</v>
      </c>
      <c r="AE105" s="2">
        <v>0.05</v>
      </c>
      <c r="AF105" s="5">
        <f t="shared" si="15"/>
        <v>1023657.8450000006</v>
      </c>
      <c r="AG105" s="2">
        <v>0</v>
      </c>
      <c r="AH105" s="5">
        <f t="shared" si="20"/>
        <v>20473156.90000001</v>
      </c>
      <c r="AJ105" s="126" t="e">
        <v>#N/A</v>
      </c>
      <c r="AK105" s="80">
        <f t="shared" si="16"/>
        <v>0</v>
      </c>
      <c r="AM105" s="85"/>
    </row>
    <row r="106" spans="1:39" hidden="1" x14ac:dyDescent="0.3">
      <c r="A106" s="85" t="s">
        <v>34</v>
      </c>
      <c r="B106" s="3" t="s">
        <v>35</v>
      </c>
      <c r="C106" s="3" t="s">
        <v>187</v>
      </c>
      <c r="D106" s="3" t="s">
        <v>188</v>
      </c>
      <c r="E106" s="3" t="s">
        <v>192</v>
      </c>
      <c r="F106" s="3" t="s">
        <v>192</v>
      </c>
      <c r="G106" s="3" t="s">
        <v>192</v>
      </c>
      <c r="H106" s="138"/>
      <c r="I106" s="3" t="s">
        <v>3356</v>
      </c>
      <c r="J106" s="1" t="s">
        <v>3326</v>
      </c>
      <c r="K106" s="1" t="s">
        <v>3283</v>
      </c>
      <c r="L106" s="1" t="s">
        <v>35</v>
      </c>
      <c r="N106" s="3" t="s">
        <v>80</v>
      </c>
      <c r="O106" s="1" t="s">
        <v>45</v>
      </c>
      <c r="P106" s="1" t="s">
        <v>41</v>
      </c>
      <c r="Q106" s="2">
        <v>0</v>
      </c>
      <c r="R106" s="138"/>
      <c r="T106" s="4">
        <v>0</v>
      </c>
      <c r="U106" s="4">
        <v>8000000</v>
      </c>
      <c r="V106" s="4">
        <v>0</v>
      </c>
      <c r="W106" s="13">
        <f t="shared" si="17"/>
        <v>8000000</v>
      </c>
      <c r="X106" s="13">
        <f t="shared" si="18"/>
        <v>0</v>
      </c>
      <c r="Y106" s="13">
        <f t="shared" si="12"/>
        <v>0</v>
      </c>
      <c r="Z106" s="2">
        <v>0</v>
      </c>
      <c r="AA106" s="4">
        <v>0</v>
      </c>
      <c r="AB106" s="4">
        <f t="shared" si="13"/>
        <v>0</v>
      </c>
      <c r="AC106" s="6">
        <f t="shared" si="14"/>
        <v>0</v>
      </c>
      <c r="AD106" s="13">
        <f t="shared" si="19"/>
        <v>0</v>
      </c>
      <c r="AE106" s="2">
        <v>0.05</v>
      </c>
      <c r="AF106" s="5">
        <f t="shared" si="15"/>
        <v>0</v>
      </c>
      <c r="AG106" s="2">
        <v>0</v>
      </c>
      <c r="AH106" s="5">
        <f t="shared" si="20"/>
        <v>0</v>
      </c>
      <c r="AJ106" s="126" t="e">
        <v>#N/A</v>
      </c>
      <c r="AK106" s="80">
        <f t="shared" si="16"/>
        <v>0</v>
      </c>
      <c r="AM106" s="85"/>
    </row>
    <row r="107" spans="1:39" hidden="1" x14ac:dyDescent="0.3">
      <c r="A107" s="85" t="s">
        <v>34</v>
      </c>
      <c r="B107" s="3" t="s">
        <v>35</v>
      </c>
      <c r="C107" s="3" t="s">
        <v>187</v>
      </c>
      <c r="D107" s="3" t="s">
        <v>188</v>
      </c>
      <c r="E107" s="3" t="s">
        <v>193</v>
      </c>
      <c r="F107" s="3" t="s">
        <v>194</v>
      </c>
      <c r="G107" s="3" t="s">
        <v>193</v>
      </c>
      <c r="I107" s="3" t="s">
        <v>3356</v>
      </c>
      <c r="J107" s="1" t="s">
        <v>3326</v>
      </c>
      <c r="K107" s="1" t="s">
        <v>3283</v>
      </c>
      <c r="L107" s="1" t="s">
        <v>35</v>
      </c>
      <c r="N107" s="3" t="s">
        <v>80</v>
      </c>
      <c r="O107" s="1" t="s">
        <v>45</v>
      </c>
      <c r="P107" s="1" t="s">
        <v>46</v>
      </c>
      <c r="Q107" s="2">
        <v>0.04</v>
      </c>
      <c r="R107" s="138"/>
      <c r="T107" s="4">
        <v>0</v>
      </c>
      <c r="U107" s="4">
        <v>1404000</v>
      </c>
      <c r="V107" s="4">
        <v>851230.57</v>
      </c>
      <c r="W107" s="13">
        <f t="shared" si="17"/>
        <v>552769.43000000005</v>
      </c>
      <c r="X107" s="13">
        <f t="shared" si="18"/>
        <v>818490.93269230763</v>
      </c>
      <c r="Y107" s="13">
        <f t="shared" si="12"/>
        <v>0</v>
      </c>
      <c r="Z107" s="2">
        <v>0</v>
      </c>
      <c r="AA107" s="4">
        <v>0</v>
      </c>
      <c r="AB107" s="4">
        <f t="shared" si="13"/>
        <v>818490.93269230763</v>
      </c>
      <c r="AC107" s="6">
        <f t="shared" si="14"/>
        <v>32739.637307692319</v>
      </c>
      <c r="AD107" s="13">
        <f t="shared" si="19"/>
        <v>851230.57</v>
      </c>
      <c r="AE107" s="2">
        <v>0.05</v>
      </c>
      <c r="AF107" s="5">
        <f t="shared" si="15"/>
        <v>42561.5285</v>
      </c>
      <c r="AG107" s="2">
        <v>0</v>
      </c>
      <c r="AH107" s="5">
        <f t="shared" si="20"/>
        <v>851230.57</v>
      </c>
      <c r="AJ107" s="126" t="e">
        <v>#N/A</v>
      </c>
      <c r="AK107" s="80">
        <f t="shared" si="16"/>
        <v>0</v>
      </c>
      <c r="AM107" s="85"/>
    </row>
    <row r="108" spans="1:39" hidden="1" x14ac:dyDescent="0.3">
      <c r="A108" s="85" t="s">
        <v>34</v>
      </c>
      <c r="B108" s="3" t="s">
        <v>35</v>
      </c>
      <c r="C108" s="3" t="s">
        <v>187</v>
      </c>
      <c r="D108" s="3" t="s">
        <v>188</v>
      </c>
      <c r="E108" s="3" t="s">
        <v>195</v>
      </c>
      <c r="F108" s="3" t="s">
        <v>195</v>
      </c>
      <c r="G108" s="3" t="s">
        <v>195</v>
      </c>
      <c r="I108" s="3" t="s">
        <v>3356</v>
      </c>
      <c r="J108" s="1" t="s">
        <v>3326</v>
      </c>
      <c r="K108" s="1" t="s">
        <v>3283</v>
      </c>
      <c r="L108" s="1" t="s">
        <v>35</v>
      </c>
      <c r="N108" s="3" t="s">
        <v>80</v>
      </c>
      <c r="O108" s="1" t="s">
        <v>45</v>
      </c>
      <c r="P108" s="1" t="s">
        <v>3360</v>
      </c>
      <c r="Q108" s="2">
        <v>0.03</v>
      </c>
      <c r="R108" s="138"/>
      <c r="T108" s="4">
        <v>0</v>
      </c>
      <c r="U108" s="4">
        <v>5346225.0199999996</v>
      </c>
      <c r="V108" s="4">
        <v>4662254.1299999943</v>
      </c>
      <c r="W108" s="13">
        <f t="shared" si="17"/>
        <v>683970.89000000525</v>
      </c>
      <c r="X108" s="13">
        <f t="shared" si="18"/>
        <v>4526460.3203883441</v>
      </c>
      <c r="Y108" s="13">
        <f t="shared" si="12"/>
        <v>0</v>
      </c>
      <c r="Z108" s="2">
        <v>0</v>
      </c>
      <c r="AA108" s="4">
        <v>0</v>
      </c>
      <c r="AB108" s="4">
        <f t="shared" si="13"/>
        <v>4526460.3203883441</v>
      </c>
      <c r="AC108" s="6">
        <f t="shared" si="14"/>
        <v>135793.80961165018</v>
      </c>
      <c r="AD108" s="13">
        <f t="shared" si="19"/>
        <v>4662254.1299999943</v>
      </c>
      <c r="AE108" s="2">
        <v>0.05</v>
      </c>
      <c r="AF108" s="5">
        <f t="shared" si="15"/>
        <v>233112.70649999974</v>
      </c>
      <c r="AG108" s="2">
        <v>0</v>
      </c>
      <c r="AH108" s="5">
        <f t="shared" si="20"/>
        <v>4662254.1299999943</v>
      </c>
      <c r="AJ108" s="126" t="e">
        <v>#N/A</v>
      </c>
      <c r="AK108" s="80">
        <f t="shared" si="16"/>
        <v>0</v>
      </c>
      <c r="AM108" s="85"/>
    </row>
    <row r="109" spans="1:39" hidden="1" x14ac:dyDescent="0.3">
      <c r="A109" s="85" t="s">
        <v>34</v>
      </c>
      <c r="B109" s="3" t="s">
        <v>35</v>
      </c>
      <c r="C109" s="3" t="s">
        <v>187</v>
      </c>
      <c r="D109" s="3" t="s">
        <v>188</v>
      </c>
      <c r="E109" s="3" t="s">
        <v>196</v>
      </c>
      <c r="F109" s="3" t="s">
        <v>196</v>
      </c>
      <c r="G109" s="3" t="s">
        <v>196</v>
      </c>
      <c r="H109" s="138"/>
      <c r="I109" s="3" t="s">
        <v>3356</v>
      </c>
      <c r="J109" s="1" t="s">
        <v>3326</v>
      </c>
      <c r="K109" s="1" t="s">
        <v>3283</v>
      </c>
      <c r="L109" s="1" t="s">
        <v>35</v>
      </c>
      <c r="N109" s="3" t="s">
        <v>80</v>
      </c>
      <c r="O109" s="1" t="s">
        <v>45</v>
      </c>
      <c r="P109" s="1" t="s">
        <v>41</v>
      </c>
      <c r="Q109" s="2">
        <v>0</v>
      </c>
      <c r="R109" s="138"/>
      <c r="T109" s="4">
        <v>0</v>
      </c>
      <c r="U109" s="4">
        <v>200000</v>
      </c>
      <c r="V109" s="4">
        <v>0</v>
      </c>
      <c r="W109" s="13">
        <f t="shared" si="17"/>
        <v>200000</v>
      </c>
      <c r="X109" s="13">
        <f t="shared" si="18"/>
        <v>0</v>
      </c>
      <c r="Y109" s="13">
        <f t="shared" si="12"/>
        <v>0</v>
      </c>
      <c r="Z109" s="2">
        <v>0</v>
      </c>
      <c r="AA109" s="4">
        <v>0</v>
      </c>
      <c r="AB109" s="4">
        <f t="shared" si="13"/>
        <v>0</v>
      </c>
      <c r="AC109" s="6">
        <f t="shared" si="14"/>
        <v>0</v>
      </c>
      <c r="AD109" s="13">
        <f t="shared" si="19"/>
        <v>0</v>
      </c>
      <c r="AE109" s="2">
        <v>0.05</v>
      </c>
      <c r="AF109" s="5">
        <f t="shared" si="15"/>
        <v>0</v>
      </c>
      <c r="AG109" s="2">
        <v>0</v>
      </c>
      <c r="AH109" s="5">
        <f t="shared" si="20"/>
        <v>0</v>
      </c>
      <c r="AJ109" s="126" t="e">
        <v>#N/A</v>
      </c>
      <c r="AK109" s="80">
        <f t="shared" si="16"/>
        <v>0</v>
      </c>
      <c r="AM109" s="85"/>
    </row>
    <row r="110" spans="1:39" hidden="1" x14ac:dyDescent="0.3">
      <c r="A110" s="85" t="s">
        <v>34</v>
      </c>
      <c r="B110" s="3" t="s">
        <v>35</v>
      </c>
      <c r="C110" s="3" t="s">
        <v>187</v>
      </c>
      <c r="D110" s="3" t="s">
        <v>188</v>
      </c>
      <c r="E110" s="3" t="s">
        <v>197</v>
      </c>
      <c r="F110" s="3" t="s">
        <v>197</v>
      </c>
      <c r="G110" s="3" t="s">
        <v>197</v>
      </c>
      <c r="H110" s="138"/>
      <c r="I110" s="3" t="s">
        <v>3356</v>
      </c>
      <c r="J110" s="1" t="s">
        <v>3326</v>
      </c>
      <c r="K110" s="1" t="s">
        <v>3283</v>
      </c>
      <c r="L110" s="1" t="s">
        <v>35</v>
      </c>
      <c r="N110" s="3" t="s">
        <v>80</v>
      </c>
      <c r="O110" s="1" t="s">
        <v>45</v>
      </c>
      <c r="P110" s="1" t="s">
        <v>46</v>
      </c>
      <c r="Q110" s="2">
        <v>0.06</v>
      </c>
      <c r="R110" s="138"/>
      <c r="T110" s="4">
        <v>71592.3</v>
      </c>
      <c r="U110" s="4">
        <v>-71592.3</v>
      </c>
      <c r="V110" s="4">
        <v>0</v>
      </c>
      <c r="W110" s="13">
        <f t="shared" si="17"/>
        <v>0</v>
      </c>
      <c r="X110" s="13">
        <f t="shared" si="18"/>
        <v>0</v>
      </c>
      <c r="Y110" s="13">
        <f t="shared" si="12"/>
        <v>0</v>
      </c>
      <c r="Z110" s="2">
        <v>0</v>
      </c>
      <c r="AA110" s="4">
        <v>0</v>
      </c>
      <c r="AB110" s="4">
        <f t="shared" si="13"/>
        <v>0</v>
      </c>
      <c r="AC110" s="6">
        <f t="shared" si="14"/>
        <v>0</v>
      </c>
      <c r="AD110" s="13">
        <f t="shared" si="19"/>
        <v>0</v>
      </c>
      <c r="AE110" s="2">
        <v>0.05</v>
      </c>
      <c r="AF110" s="5">
        <f t="shared" si="15"/>
        <v>0</v>
      </c>
      <c r="AG110" s="2">
        <v>0</v>
      </c>
      <c r="AH110" s="5">
        <f t="shared" si="20"/>
        <v>0</v>
      </c>
      <c r="AJ110" s="126" t="e">
        <v>#N/A</v>
      </c>
      <c r="AK110" s="80">
        <f t="shared" si="16"/>
        <v>0</v>
      </c>
      <c r="AM110" s="85"/>
    </row>
    <row r="111" spans="1:39" hidden="1" x14ac:dyDescent="0.3">
      <c r="A111" s="85" t="s">
        <v>34</v>
      </c>
      <c r="B111" s="3" t="s">
        <v>35</v>
      </c>
      <c r="C111" s="3" t="s">
        <v>187</v>
      </c>
      <c r="D111" s="3" t="s">
        <v>188</v>
      </c>
      <c r="E111" s="3" t="s">
        <v>198</v>
      </c>
      <c r="F111" s="3" t="s">
        <v>198</v>
      </c>
      <c r="G111" s="3" t="s">
        <v>198</v>
      </c>
      <c r="I111" s="3" t="s">
        <v>3356</v>
      </c>
      <c r="J111" s="1" t="s">
        <v>3326</v>
      </c>
      <c r="K111" s="1" t="s">
        <v>3283</v>
      </c>
      <c r="L111" s="1" t="s">
        <v>35</v>
      </c>
      <c r="N111" s="3" t="s">
        <v>80</v>
      </c>
      <c r="O111" s="1" t="s">
        <v>45</v>
      </c>
      <c r="P111" s="1" t="s">
        <v>41</v>
      </c>
      <c r="Q111" s="2">
        <v>0</v>
      </c>
      <c r="R111" s="138"/>
      <c r="T111" s="4">
        <v>0</v>
      </c>
      <c r="U111" s="4">
        <v>425000</v>
      </c>
      <c r="V111" s="4">
        <v>382381.41000000038</v>
      </c>
      <c r="W111" s="13">
        <f t="shared" si="17"/>
        <v>42618.589999999618</v>
      </c>
      <c r="X111" s="13">
        <f t="shared" si="18"/>
        <v>382381.41000000038</v>
      </c>
      <c r="Y111" s="13">
        <f t="shared" si="12"/>
        <v>0</v>
      </c>
      <c r="Z111" s="2">
        <v>0</v>
      </c>
      <c r="AA111" s="4">
        <v>0</v>
      </c>
      <c r="AB111" s="4">
        <f t="shared" si="13"/>
        <v>382381.41000000038</v>
      </c>
      <c r="AC111" s="6">
        <f t="shared" si="14"/>
        <v>0</v>
      </c>
      <c r="AD111" s="13">
        <f t="shared" si="19"/>
        <v>382381.41000000038</v>
      </c>
      <c r="AE111" s="2">
        <v>0.05</v>
      </c>
      <c r="AF111" s="5">
        <f t="shared" si="15"/>
        <v>19119.07050000002</v>
      </c>
      <c r="AG111" s="2">
        <v>0</v>
      </c>
      <c r="AH111" s="5">
        <f t="shared" si="20"/>
        <v>382381.41000000038</v>
      </c>
      <c r="AJ111" s="126" t="e">
        <v>#N/A</v>
      </c>
      <c r="AK111" s="80">
        <f t="shared" si="16"/>
        <v>0</v>
      </c>
      <c r="AM111" s="85"/>
    </row>
    <row r="112" spans="1:39" hidden="1" x14ac:dyDescent="0.3">
      <c r="A112" s="85" t="s">
        <v>34</v>
      </c>
      <c r="B112" s="3" t="s">
        <v>35</v>
      </c>
      <c r="C112" s="3" t="s">
        <v>187</v>
      </c>
      <c r="D112" s="3" t="s">
        <v>188</v>
      </c>
      <c r="E112" s="3" t="s">
        <v>199</v>
      </c>
      <c r="F112" s="3" t="s">
        <v>199</v>
      </c>
      <c r="G112" s="3" t="s">
        <v>199</v>
      </c>
      <c r="I112" s="3" t="s">
        <v>3356</v>
      </c>
      <c r="J112" s="1" t="s">
        <v>3326</v>
      </c>
      <c r="K112" s="1" t="s">
        <v>3283</v>
      </c>
      <c r="L112" s="1" t="s">
        <v>35</v>
      </c>
      <c r="N112" s="3" t="s">
        <v>80</v>
      </c>
      <c r="O112" s="1" t="s">
        <v>45</v>
      </c>
      <c r="P112" s="1" t="s">
        <v>46</v>
      </c>
      <c r="Q112" s="2">
        <v>0.02</v>
      </c>
      <c r="R112" s="138"/>
      <c r="T112" s="4">
        <v>2224076.6899999911</v>
      </c>
      <c r="U112" s="4">
        <v>3445177.8</v>
      </c>
      <c r="V112" s="4">
        <v>5669254.4899999909</v>
      </c>
      <c r="W112" s="13">
        <f t="shared" si="17"/>
        <v>0</v>
      </c>
      <c r="X112" s="13">
        <f t="shared" si="18"/>
        <v>5558092.6372548928</v>
      </c>
      <c r="Y112" s="13">
        <f t="shared" si="12"/>
        <v>0</v>
      </c>
      <c r="Z112" s="2">
        <v>0</v>
      </c>
      <c r="AA112" s="4">
        <v>0</v>
      </c>
      <c r="AB112" s="4">
        <f t="shared" si="13"/>
        <v>5558092.6372548928</v>
      </c>
      <c r="AC112" s="6">
        <f t="shared" si="14"/>
        <v>111161.85274509806</v>
      </c>
      <c r="AD112" s="13">
        <f t="shared" si="19"/>
        <v>5669254.4899999909</v>
      </c>
      <c r="AE112" s="2">
        <v>0.05</v>
      </c>
      <c r="AF112" s="5">
        <f t="shared" si="15"/>
        <v>283462.72449999955</v>
      </c>
      <c r="AG112" s="2">
        <v>0</v>
      </c>
      <c r="AH112" s="5">
        <f t="shared" si="20"/>
        <v>5669254.4899999909</v>
      </c>
      <c r="AJ112" s="126" t="e">
        <v>#N/A</v>
      </c>
      <c r="AK112" s="80">
        <f t="shared" si="16"/>
        <v>0</v>
      </c>
      <c r="AM112" s="85"/>
    </row>
    <row r="113" spans="1:39" hidden="1" x14ac:dyDescent="0.3">
      <c r="A113" s="85" t="s">
        <v>34</v>
      </c>
      <c r="B113" s="3" t="s">
        <v>35</v>
      </c>
      <c r="C113" s="3" t="s">
        <v>187</v>
      </c>
      <c r="D113" s="3" t="s">
        <v>188</v>
      </c>
      <c r="E113" s="3" t="s">
        <v>199</v>
      </c>
      <c r="F113" s="3" t="s">
        <v>199</v>
      </c>
      <c r="G113" s="3" t="s">
        <v>199</v>
      </c>
      <c r="I113" s="3" t="s">
        <v>3356</v>
      </c>
      <c r="J113" s="1" t="s">
        <v>3326</v>
      </c>
      <c r="K113" s="1" t="s">
        <v>3283</v>
      </c>
      <c r="L113" s="1" t="s">
        <v>35</v>
      </c>
      <c r="N113" s="3" t="s">
        <v>80</v>
      </c>
      <c r="O113" s="1" t="s">
        <v>45</v>
      </c>
      <c r="P113" s="1" t="s">
        <v>41</v>
      </c>
      <c r="Q113" s="2">
        <v>0</v>
      </c>
      <c r="R113" s="138"/>
      <c r="S113" s="3" t="s">
        <v>200</v>
      </c>
      <c r="T113" s="4">
        <v>0</v>
      </c>
      <c r="U113" s="4">
        <v>2196500</v>
      </c>
      <c r="V113" s="4">
        <v>319079.05000000913</v>
      </c>
      <c r="W113" s="13">
        <f t="shared" si="17"/>
        <v>1877420.9499999909</v>
      </c>
      <c r="X113" s="13">
        <f>V113-21500</f>
        <v>297579.05000000913</v>
      </c>
      <c r="Y113" s="13">
        <f t="shared" si="12"/>
        <v>0</v>
      </c>
      <c r="Z113" s="2">
        <v>0</v>
      </c>
      <c r="AA113" s="4">
        <v>0</v>
      </c>
      <c r="AB113" s="4">
        <f t="shared" si="13"/>
        <v>297579.05000000913</v>
      </c>
      <c r="AC113" s="6">
        <f t="shared" si="14"/>
        <v>21500</v>
      </c>
      <c r="AD113" s="13">
        <f t="shared" si="19"/>
        <v>319079.05000000913</v>
      </c>
      <c r="AE113" s="2">
        <v>0.05</v>
      </c>
      <c r="AF113" s="5">
        <f t="shared" si="15"/>
        <v>15953.952500000458</v>
      </c>
      <c r="AG113" s="2">
        <v>0</v>
      </c>
      <c r="AH113" s="5">
        <f t="shared" si="20"/>
        <v>319079.05000000913</v>
      </c>
      <c r="AJ113" s="126" t="e">
        <v>#N/A</v>
      </c>
      <c r="AK113" s="80">
        <f t="shared" si="16"/>
        <v>0</v>
      </c>
      <c r="AM113" s="85"/>
    </row>
    <row r="114" spans="1:39" hidden="1" x14ac:dyDescent="0.3">
      <c r="A114" s="85" t="s">
        <v>34</v>
      </c>
      <c r="B114" s="3" t="s">
        <v>35</v>
      </c>
      <c r="C114" s="3" t="s">
        <v>187</v>
      </c>
      <c r="D114" s="3" t="s">
        <v>188</v>
      </c>
      <c r="E114" s="3" t="s">
        <v>201</v>
      </c>
      <c r="F114" s="3" t="s">
        <v>201</v>
      </c>
      <c r="G114" s="3" t="s">
        <v>201</v>
      </c>
      <c r="I114" s="3" t="s">
        <v>3356</v>
      </c>
      <c r="J114" s="1" t="s">
        <v>3326</v>
      </c>
      <c r="K114" s="1" t="s">
        <v>3283</v>
      </c>
      <c r="L114" s="1" t="s">
        <v>35</v>
      </c>
      <c r="N114" s="3" t="s">
        <v>80</v>
      </c>
      <c r="O114" s="1" t="s">
        <v>45</v>
      </c>
      <c r="P114" s="1" t="s">
        <v>41</v>
      </c>
      <c r="Q114" s="2">
        <v>0</v>
      </c>
      <c r="R114" s="138"/>
      <c r="T114" s="4">
        <v>0</v>
      </c>
      <c r="U114" s="4">
        <v>2500000</v>
      </c>
      <c r="V114" s="4">
        <v>1702516.6100000008</v>
      </c>
      <c r="W114" s="13">
        <f t="shared" si="17"/>
        <v>797483.3899999992</v>
      </c>
      <c r="X114" s="13">
        <f t="shared" si="18"/>
        <v>1702516.6100000008</v>
      </c>
      <c r="Y114" s="13">
        <f t="shared" si="12"/>
        <v>0</v>
      </c>
      <c r="Z114" s="2">
        <v>0</v>
      </c>
      <c r="AA114" s="4">
        <v>0</v>
      </c>
      <c r="AB114" s="4">
        <f t="shared" si="13"/>
        <v>1702516.6100000008</v>
      </c>
      <c r="AC114" s="6">
        <f t="shared" si="14"/>
        <v>0</v>
      </c>
      <c r="AD114" s="13">
        <f t="shared" si="19"/>
        <v>1702516.6100000008</v>
      </c>
      <c r="AE114" s="2">
        <v>0.05</v>
      </c>
      <c r="AF114" s="5">
        <f t="shared" si="15"/>
        <v>85125.83050000004</v>
      </c>
      <c r="AG114" s="2">
        <v>0</v>
      </c>
      <c r="AH114" s="5">
        <f t="shared" si="20"/>
        <v>1702516.6100000008</v>
      </c>
      <c r="AJ114" s="126" t="e">
        <v>#N/A</v>
      </c>
      <c r="AK114" s="80">
        <f t="shared" si="16"/>
        <v>0</v>
      </c>
      <c r="AM114" s="85"/>
    </row>
    <row r="115" spans="1:39" hidden="1" x14ac:dyDescent="0.3">
      <c r="A115" s="85" t="s">
        <v>34</v>
      </c>
      <c r="B115" s="3" t="s">
        <v>35</v>
      </c>
      <c r="C115" s="3" t="s">
        <v>187</v>
      </c>
      <c r="D115" s="3" t="s">
        <v>188</v>
      </c>
      <c r="E115" s="3" t="s">
        <v>202</v>
      </c>
      <c r="F115" s="3" t="s">
        <v>202</v>
      </c>
      <c r="G115" s="3" t="s">
        <v>202</v>
      </c>
      <c r="H115" s="138"/>
      <c r="I115" s="3" t="s">
        <v>3356</v>
      </c>
      <c r="J115" s="1" t="s">
        <v>3326</v>
      </c>
      <c r="K115" s="1" t="s">
        <v>3283</v>
      </c>
      <c r="L115" s="1" t="s">
        <v>35</v>
      </c>
      <c r="N115" s="3" t="s">
        <v>80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-675783.96999999974</v>
      </c>
      <c r="V115" s="4">
        <v>0</v>
      </c>
      <c r="W115" s="13">
        <f t="shared" si="17"/>
        <v>-675783.96999999974</v>
      </c>
      <c r="X115" s="13">
        <f t="shared" si="18"/>
        <v>0</v>
      </c>
      <c r="Y115" s="13">
        <f t="shared" si="12"/>
        <v>0</v>
      </c>
      <c r="Z115" s="2">
        <v>0</v>
      </c>
      <c r="AA115" s="4">
        <v>0</v>
      </c>
      <c r="AB115" s="4">
        <f t="shared" si="13"/>
        <v>0</v>
      </c>
      <c r="AC115" s="6">
        <f t="shared" si="14"/>
        <v>0</v>
      </c>
      <c r="AD115" s="13">
        <f t="shared" si="19"/>
        <v>0</v>
      </c>
      <c r="AE115" s="2">
        <v>0.05</v>
      </c>
      <c r="AF115" s="5">
        <f t="shared" si="15"/>
        <v>0</v>
      </c>
      <c r="AG115" s="2">
        <v>0</v>
      </c>
      <c r="AH115" s="5">
        <f t="shared" si="20"/>
        <v>0</v>
      </c>
      <c r="AJ115" s="126" t="e">
        <v>#N/A</v>
      </c>
      <c r="AK115" s="80">
        <f t="shared" si="16"/>
        <v>0</v>
      </c>
      <c r="AM115" s="85"/>
    </row>
    <row r="116" spans="1:39" hidden="1" x14ac:dyDescent="0.3">
      <c r="A116" s="85" t="s">
        <v>34</v>
      </c>
      <c r="B116" s="3" t="s">
        <v>35</v>
      </c>
      <c r="C116" s="3" t="s">
        <v>187</v>
      </c>
      <c r="D116" s="3" t="s">
        <v>188</v>
      </c>
      <c r="E116" s="3" t="s">
        <v>203</v>
      </c>
      <c r="F116" s="3" t="s">
        <v>203</v>
      </c>
      <c r="G116" s="3" t="s">
        <v>203</v>
      </c>
      <c r="H116" s="138"/>
      <c r="I116" s="3" t="s">
        <v>3356</v>
      </c>
      <c r="J116" s="1" t="s">
        <v>3326</v>
      </c>
      <c r="K116" s="1" t="s">
        <v>3283</v>
      </c>
      <c r="L116" s="1" t="s">
        <v>35</v>
      </c>
      <c r="N116" s="3" t="s">
        <v>80</v>
      </c>
      <c r="O116" s="1" t="s">
        <v>45</v>
      </c>
      <c r="P116" s="1" t="s">
        <v>46</v>
      </c>
      <c r="Q116" s="2">
        <v>0.04</v>
      </c>
      <c r="R116" s="138"/>
      <c r="T116" s="4">
        <v>8903167.7800000086</v>
      </c>
      <c r="U116" s="4">
        <v>-8885721.5899999999</v>
      </c>
      <c r="V116" s="4">
        <v>0</v>
      </c>
      <c r="W116" s="13">
        <v>0</v>
      </c>
      <c r="X116" s="13">
        <f t="shared" si="18"/>
        <v>0</v>
      </c>
      <c r="Y116" s="13">
        <f t="shared" si="12"/>
        <v>0</v>
      </c>
      <c r="Z116" s="2">
        <v>0</v>
      </c>
      <c r="AA116" s="4">
        <v>0</v>
      </c>
      <c r="AB116" s="4">
        <f t="shared" si="13"/>
        <v>0</v>
      </c>
      <c r="AC116" s="6">
        <f t="shared" si="14"/>
        <v>0</v>
      </c>
      <c r="AD116" s="13">
        <f t="shared" si="19"/>
        <v>0</v>
      </c>
      <c r="AE116" s="2">
        <v>0.05</v>
      </c>
      <c r="AF116" s="5">
        <f t="shared" si="15"/>
        <v>0</v>
      </c>
      <c r="AG116" s="2">
        <v>0</v>
      </c>
      <c r="AH116" s="5">
        <f t="shared" si="20"/>
        <v>0</v>
      </c>
      <c r="AJ116" s="126" t="e">
        <v>#N/A</v>
      </c>
      <c r="AK116" s="80">
        <f t="shared" si="16"/>
        <v>0</v>
      </c>
      <c r="AM116" s="85"/>
    </row>
    <row r="117" spans="1:39" hidden="1" x14ac:dyDescent="0.3">
      <c r="A117" s="85" t="s">
        <v>34</v>
      </c>
      <c r="B117" s="3" t="s">
        <v>35</v>
      </c>
      <c r="C117" s="3" t="s">
        <v>187</v>
      </c>
      <c r="D117" s="3" t="s">
        <v>188</v>
      </c>
      <c r="E117" s="3" t="s">
        <v>204</v>
      </c>
      <c r="F117" s="3" t="s">
        <v>204</v>
      </c>
      <c r="G117" s="3" t="s">
        <v>204</v>
      </c>
      <c r="I117" s="3" t="s">
        <v>3356</v>
      </c>
      <c r="J117" s="1" t="s">
        <v>3326</v>
      </c>
      <c r="K117" s="1" t="s">
        <v>3283</v>
      </c>
      <c r="L117" s="1" t="s">
        <v>35</v>
      </c>
      <c r="N117" s="3" t="s">
        <v>80</v>
      </c>
      <c r="O117" s="1" t="s">
        <v>45</v>
      </c>
      <c r="P117" s="8" t="s">
        <v>46</v>
      </c>
      <c r="Q117" s="2">
        <v>0.03</v>
      </c>
      <c r="R117" s="138"/>
      <c r="T117" s="4">
        <v>0</v>
      </c>
      <c r="U117" s="4">
        <v>350000</v>
      </c>
      <c r="V117" s="4">
        <v>140074.21000000002</v>
      </c>
      <c r="W117" s="13">
        <f t="shared" si="17"/>
        <v>209925.78999999998</v>
      </c>
      <c r="X117" s="13">
        <f t="shared" si="18"/>
        <v>135994.3786407767</v>
      </c>
      <c r="Y117" s="13">
        <f t="shared" si="12"/>
        <v>0</v>
      </c>
      <c r="Z117" s="2">
        <v>0</v>
      </c>
      <c r="AA117" s="4">
        <v>0</v>
      </c>
      <c r="AB117" s="4">
        <f t="shared" si="13"/>
        <v>135994.3786407767</v>
      </c>
      <c r="AC117" s="6">
        <f t="shared" si="14"/>
        <v>4079.8313592233171</v>
      </c>
      <c r="AD117" s="13">
        <f t="shared" si="19"/>
        <v>140074.21000000002</v>
      </c>
      <c r="AE117" s="2">
        <v>0.05</v>
      </c>
      <c r="AF117" s="5">
        <f t="shared" si="15"/>
        <v>7003.710500000001</v>
      </c>
      <c r="AG117" s="2">
        <v>0</v>
      </c>
      <c r="AH117" s="5">
        <f t="shared" si="20"/>
        <v>140074.21000000002</v>
      </c>
      <c r="AJ117" s="126" t="e">
        <v>#N/A</v>
      </c>
      <c r="AK117" s="80">
        <f t="shared" si="16"/>
        <v>0</v>
      </c>
      <c r="AM117" s="85"/>
    </row>
    <row r="118" spans="1:39" hidden="1" x14ac:dyDescent="0.3">
      <c r="A118" s="85" t="s">
        <v>34</v>
      </c>
      <c r="B118" s="3" t="s">
        <v>35</v>
      </c>
      <c r="C118" s="3" t="s">
        <v>187</v>
      </c>
      <c r="D118" s="3" t="s">
        <v>188</v>
      </c>
      <c r="E118" s="3" t="s">
        <v>205</v>
      </c>
      <c r="F118" s="3" t="s">
        <v>205</v>
      </c>
      <c r="G118" s="3" t="s">
        <v>205</v>
      </c>
      <c r="I118" s="3" t="s">
        <v>3356</v>
      </c>
      <c r="J118" s="1" t="s">
        <v>3326</v>
      </c>
      <c r="K118" s="1" t="s">
        <v>3283</v>
      </c>
      <c r="L118" s="1" t="s">
        <v>35</v>
      </c>
      <c r="N118" s="3" t="s">
        <v>80</v>
      </c>
      <c r="O118" s="1" t="s">
        <v>45</v>
      </c>
      <c r="P118" s="1" t="s">
        <v>41</v>
      </c>
      <c r="Q118" s="2">
        <v>0</v>
      </c>
      <c r="R118" s="138"/>
      <c r="T118" s="4">
        <v>0</v>
      </c>
      <c r="U118" s="4">
        <v>8850000</v>
      </c>
      <c r="V118" s="4">
        <v>2841555.0299999821</v>
      </c>
      <c r="W118" s="13">
        <f t="shared" si="17"/>
        <v>6008444.9700000174</v>
      </c>
      <c r="X118" s="13">
        <f t="shared" si="18"/>
        <v>2841555.0299999821</v>
      </c>
      <c r="Y118" s="13">
        <f t="shared" si="12"/>
        <v>0</v>
      </c>
      <c r="Z118" s="2">
        <v>0</v>
      </c>
      <c r="AA118" s="4">
        <v>0</v>
      </c>
      <c r="AB118" s="4">
        <f t="shared" si="13"/>
        <v>2841555.0299999821</v>
      </c>
      <c r="AC118" s="6">
        <f t="shared" si="14"/>
        <v>0</v>
      </c>
      <c r="AD118" s="13">
        <f t="shared" si="19"/>
        <v>2841555.0299999821</v>
      </c>
      <c r="AE118" s="2">
        <v>0.05</v>
      </c>
      <c r="AF118" s="5">
        <f t="shared" si="15"/>
        <v>142077.75149999911</v>
      </c>
      <c r="AG118" s="2">
        <v>0</v>
      </c>
      <c r="AH118" s="5">
        <f t="shared" si="20"/>
        <v>2841555.0299999821</v>
      </c>
      <c r="AJ118" s="126" t="e">
        <v>#N/A</v>
      </c>
      <c r="AK118" s="80">
        <f t="shared" si="16"/>
        <v>0</v>
      </c>
      <c r="AM118" s="85"/>
    </row>
    <row r="119" spans="1:39" hidden="1" x14ac:dyDescent="0.3">
      <c r="A119" s="85" t="s">
        <v>34</v>
      </c>
      <c r="B119" s="3" t="s">
        <v>35</v>
      </c>
      <c r="C119" s="3" t="s">
        <v>187</v>
      </c>
      <c r="D119" s="3" t="s">
        <v>188</v>
      </c>
      <c r="E119" s="3" t="s">
        <v>206</v>
      </c>
      <c r="F119" s="3" t="s">
        <v>206</v>
      </c>
      <c r="G119" s="3" t="s">
        <v>206</v>
      </c>
      <c r="H119" s="138"/>
      <c r="I119" s="3" t="s">
        <v>3356</v>
      </c>
      <c r="J119" s="1" t="s">
        <v>3326</v>
      </c>
      <c r="K119" s="1" t="s">
        <v>3283</v>
      </c>
      <c r="L119" s="1" t="s">
        <v>35</v>
      </c>
      <c r="N119" s="3" t="s">
        <v>80</v>
      </c>
      <c r="O119" s="1" t="s">
        <v>45</v>
      </c>
      <c r="P119" s="1" t="s">
        <v>41</v>
      </c>
      <c r="Q119" s="2">
        <v>0</v>
      </c>
      <c r="R119" s="138"/>
      <c r="T119" s="4">
        <v>0</v>
      </c>
      <c r="U119" s="4">
        <v>200000</v>
      </c>
      <c r="V119" s="4">
        <v>0</v>
      </c>
      <c r="W119" s="13">
        <f t="shared" si="17"/>
        <v>200000</v>
      </c>
      <c r="X119" s="13">
        <f t="shared" si="18"/>
        <v>0</v>
      </c>
      <c r="Y119" s="13">
        <f t="shared" si="12"/>
        <v>0</v>
      </c>
      <c r="Z119" s="2">
        <v>0</v>
      </c>
      <c r="AA119" s="4">
        <v>0</v>
      </c>
      <c r="AB119" s="4">
        <f t="shared" si="13"/>
        <v>0</v>
      </c>
      <c r="AC119" s="6">
        <f t="shared" si="14"/>
        <v>0</v>
      </c>
      <c r="AD119" s="13">
        <f t="shared" si="19"/>
        <v>0</v>
      </c>
      <c r="AE119" s="2">
        <v>0.05</v>
      </c>
      <c r="AF119" s="5">
        <f t="shared" si="15"/>
        <v>0</v>
      </c>
      <c r="AG119" s="2">
        <v>0</v>
      </c>
      <c r="AH119" s="5">
        <f t="shared" si="20"/>
        <v>0</v>
      </c>
      <c r="AJ119" s="126" t="s">
        <v>4218</v>
      </c>
      <c r="AK119" s="80">
        <f t="shared" si="16"/>
        <v>0</v>
      </c>
      <c r="AL119" s="150"/>
      <c r="AM119" s="85"/>
    </row>
    <row r="120" spans="1:39" hidden="1" x14ac:dyDescent="0.3">
      <c r="A120" s="85" t="s">
        <v>34</v>
      </c>
      <c r="B120" s="3" t="s">
        <v>35</v>
      </c>
      <c r="C120" s="3" t="s">
        <v>187</v>
      </c>
      <c r="D120" s="3" t="s">
        <v>188</v>
      </c>
      <c r="E120" s="3" t="s">
        <v>207</v>
      </c>
      <c r="F120" s="3" t="s">
        <v>207</v>
      </c>
      <c r="G120" s="3" t="s">
        <v>207</v>
      </c>
      <c r="I120" s="3" t="s">
        <v>3356</v>
      </c>
      <c r="J120" s="1" t="s">
        <v>3326</v>
      </c>
      <c r="K120" s="1" t="s">
        <v>3283</v>
      </c>
      <c r="L120" s="1" t="s">
        <v>35</v>
      </c>
      <c r="N120" s="3" t="s">
        <v>80</v>
      </c>
      <c r="O120" s="1" t="s">
        <v>45</v>
      </c>
      <c r="P120" s="1" t="s">
        <v>46</v>
      </c>
      <c r="Q120" s="2">
        <v>0.06</v>
      </c>
      <c r="R120" s="138"/>
      <c r="T120" s="4">
        <v>953170.52</v>
      </c>
      <c r="U120" s="4">
        <v>-915538.83</v>
      </c>
      <c r="V120" s="4">
        <v>37631.690000000061</v>
      </c>
      <c r="W120" s="13">
        <f t="shared" si="17"/>
        <v>0</v>
      </c>
      <c r="X120" s="13">
        <f t="shared" si="18"/>
        <v>35501.594339622694</v>
      </c>
      <c r="Y120" s="13">
        <f t="shared" si="12"/>
        <v>0</v>
      </c>
      <c r="Z120" s="2">
        <v>0</v>
      </c>
      <c r="AA120" s="4">
        <v>0</v>
      </c>
      <c r="AB120" s="4">
        <f t="shared" si="13"/>
        <v>35501.594339622694</v>
      </c>
      <c r="AC120" s="6">
        <f t="shared" si="14"/>
        <v>2130.0956603773666</v>
      </c>
      <c r="AD120" s="13">
        <f t="shared" si="19"/>
        <v>37631.690000000061</v>
      </c>
      <c r="AE120" s="2">
        <v>0.05</v>
      </c>
      <c r="AF120" s="5">
        <f t="shared" si="15"/>
        <v>1881.5845000000031</v>
      </c>
      <c r="AG120" s="2">
        <v>0</v>
      </c>
      <c r="AH120" s="5">
        <f t="shared" si="20"/>
        <v>37631.690000000061</v>
      </c>
      <c r="AJ120" s="126" t="e">
        <v>#N/A</v>
      </c>
      <c r="AK120" s="80">
        <f t="shared" si="16"/>
        <v>0</v>
      </c>
      <c r="AM120" s="85"/>
    </row>
    <row r="121" spans="1:39" hidden="1" x14ac:dyDescent="0.3">
      <c r="A121" s="85" t="s">
        <v>34</v>
      </c>
      <c r="B121" s="3" t="s">
        <v>35</v>
      </c>
      <c r="C121" s="3" t="s">
        <v>187</v>
      </c>
      <c r="D121" s="3" t="s">
        <v>208</v>
      </c>
      <c r="E121" s="3" t="s">
        <v>209</v>
      </c>
      <c r="F121" s="3" t="s">
        <v>209</v>
      </c>
      <c r="G121" s="3" t="s">
        <v>209</v>
      </c>
      <c r="H121" s="138"/>
      <c r="I121" s="3" t="s">
        <v>3356</v>
      </c>
      <c r="J121" s="1" t="s">
        <v>3326</v>
      </c>
      <c r="K121" s="1" t="s">
        <v>3283</v>
      </c>
      <c r="L121" s="1" t="s">
        <v>35</v>
      </c>
      <c r="N121" s="3" t="s">
        <v>80</v>
      </c>
      <c r="O121" s="1" t="s">
        <v>45</v>
      </c>
      <c r="P121" s="1" t="s">
        <v>41</v>
      </c>
      <c r="Q121" s="2">
        <v>0</v>
      </c>
      <c r="R121" s="138"/>
      <c r="T121" s="4">
        <v>9944.73</v>
      </c>
      <c r="U121" s="4">
        <v>-9944.73</v>
      </c>
      <c r="V121" s="4">
        <v>0</v>
      </c>
      <c r="W121" s="13">
        <f t="shared" si="17"/>
        <v>0</v>
      </c>
      <c r="X121" s="13">
        <f t="shared" si="18"/>
        <v>0</v>
      </c>
      <c r="Y121" s="13">
        <f t="shared" si="12"/>
        <v>0</v>
      </c>
      <c r="Z121" s="2">
        <v>0</v>
      </c>
      <c r="AA121" s="4">
        <v>0</v>
      </c>
      <c r="AB121" s="4">
        <f t="shared" si="13"/>
        <v>0</v>
      </c>
      <c r="AC121" s="6">
        <f t="shared" si="14"/>
        <v>0</v>
      </c>
      <c r="AD121" s="13">
        <f t="shared" si="19"/>
        <v>0</v>
      </c>
      <c r="AE121" s="2">
        <v>0.05</v>
      </c>
      <c r="AF121" s="5">
        <f t="shared" si="15"/>
        <v>0</v>
      </c>
      <c r="AG121" s="2">
        <v>0</v>
      </c>
      <c r="AH121" s="5">
        <f t="shared" si="20"/>
        <v>0</v>
      </c>
      <c r="AJ121" s="126" t="e">
        <v>#N/A</v>
      </c>
      <c r="AK121" s="80">
        <f t="shared" si="16"/>
        <v>0</v>
      </c>
      <c r="AM121" s="85"/>
    </row>
    <row r="122" spans="1:39" hidden="1" x14ac:dyDescent="0.3">
      <c r="A122" s="85" t="s">
        <v>34</v>
      </c>
      <c r="B122" s="3" t="s">
        <v>35</v>
      </c>
      <c r="C122" s="3" t="s">
        <v>187</v>
      </c>
      <c r="D122" s="3" t="s">
        <v>208</v>
      </c>
      <c r="E122" s="3" t="s">
        <v>210</v>
      </c>
      <c r="F122" s="3" t="s">
        <v>210</v>
      </c>
      <c r="G122" s="3" t="s">
        <v>210</v>
      </c>
      <c r="I122" s="3" t="s">
        <v>3356</v>
      </c>
      <c r="J122" s="1" t="s">
        <v>3326</v>
      </c>
      <c r="K122" s="1" t="s">
        <v>3283</v>
      </c>
      <c r="L122" s="1" t="s">
        <v>35</v>
      </c>
      <c r="N122" s="3" t="s">
        <v>80</v>
      </c>
      <c r="O122" s="1" t="s">
        <v>45</v>
      </c>
      <c r="P122" s="1" t="s">
        <v>3360</v>
      </c>
      <c r="Q122" s="2">
        <v>0.03</v>
      </c>
      <c r="R122" s="138"/>
      <c r="T122" s="4">
        <v>0</v>
      </c>
      <c r="U122" s="4">
        <v>79111.56</v>
      </c>
      <c r="V122" s="4">
        <f>62782.4599999999+78.63</f>
        <v>62861.089999999895</v>
      </c>
      <c r="W122" s="13">
        <f t="shared" si="17"/>
        <v>16250.470000000103</v>
      </c>
      <c r="X122" s="13">
        <f t="shared" si="18"/>
        <v>61030.184466019316</v>
      </c>
      <c r="Y122" s="13">
        <f t="shared" si="12"/>
        <v>0</v>
      </c>
      <c r="Z122" s="2">
        <v>0</v>
      </c>
      <c r="AA122" s="4">
        <v>0</v>
      </c>
      <c r="AB122" s="4">
        <f t="shared" si="13"/>
        <v>61030.184466019316</v>
      </c>
      <c r="AC122" s="6">
        <f t="shared" si="14"/>
        <v>1830.9055339805782</v>
      </c>
      <c r="AD122" s="13">
        <f t="shared" si="19"/>
        <v>62861.089999999895</v>
      </c>
      <c r="AE122" s="2">
        <v>0.05</v>
      </c>
      <c r="AF122" s="5">
        <f t="shared" si="15"/>
        <v>3143.0544999999947</v>
      </c>
      <c r="AG122" s="2">
        <v>0</v>
      </c>
      <c r="AH122" s="5">
        <f t="shared" si="20"/>
        <v>62861.089999999895</v>
      </c>
      <c r="AJ122" s="126" t="e">
        <v>#N/A</v>
      </c>
      <c r="AK122" s="80">
        <f t="shared" si="16"/>
        <v>0</v>
      </c>
      <c r="AM122" s="85"/>
    </row>
    <row r="123" spans="1:39" hidden="1" x14ac:dyDescent="0.3">
      <c r="A123" s="85" t="s">
        <v>34</v>
      </c>
      <c r="B123" s="3" t="s">
        <v>35</v>
      </c>
      <c r="C123" s="3" t="s">
        <v>187</v>
      </c>
      <c r="D123" s="3" t="s">
        <v>208</v>
      </c>
      <c r="E123" s="3" t="s">
        <v>211</v>
      </c>
      <c r="F123" s="3" t="s">
        <v>211</v>
      </c>
      <c r="G123" s="3" t="s">
        <v>211</v>
      </c>
      <c r="I123" s="3" t="s">
        <v>3356</v>
      </c>
      <c r="J123" s="1" t="s">
        <v>3326</v>
      </c>
      <c r="K123" s="1" t="s">
        <v>3283</v>
      </c>
      <c r="L123" s="1" t="s">
        <v>35</v>
      </c>
      <c r="N123" s="3" t="s">
        <v>80</v>
      </c>
      <c r="O123" s="1" t="s">
        <v>45</v>
      </c>
      <c r="P123" s="8" t="s">
        <v>46</v>
      </c>
      <c r="Q123" s="2">
        <v>0.04</v>
      </c>
      <c r="R123" s="138"/>
      <c r="T123" s="4">
        <v>0</v>
      </c>
      <c r="U123" s="4">
        <v>800000</v>
      </c>
      <c r="V123" s="4">
        <v>539195.11</v>
      </c>
      <c r="W123" s="13">
        <f t="shared" si="17"/>
        <v>260804.89</v>
      </c>
      <c r="X123" s="13">
        <f t="shared" si="18"/>
        <v>518456.8365384615</v>
      </c>
      <c r="Y123" s="13">
        <f t="shared" si="12"/>
        <v>0</v>
      </c>
      <c r="Z123" s="2">
        <v>0</v>
      </c>
      <c r="AA123" s="4">
        <v>0</v>
      </c>
      <c r="AB123" s="4">
        <f t="shared" si="13"/>
        <v>518456.8365384615</v>
      </c>
      <c r="AC123" s="6">
        <f t="shared" si="14"/>
        <v>20738.273461538483</v>
      </c>
      <c r="AD123" s="13">
        <f t="shared" si="19"/>
        <v>539195.11</v>
      </c>
      <c r="AE123" s="2">
        <v>0.05</v>
      </c>
      <c r="AF123" s="5">
        <f t="shared" si="15"/>
        <v>26959.755499999999</v>
      </c>
      <c r="AG123" s="2">
        <v>0</v>
      </c>
      <c r="AH123" s="5">
        <f t="shared" si="20"/>
        <v>539195.11</v>
      </c>
      <c r="AJ123" s="126" t="e">
        <v>#N/A</v>
      </c>
      <c r="AK123" s="80">
        <f t="shared" si="16"/>
        <v>0</v>
      </c>
      <c r="AM123" s="85"/>
    </row>
    <row r="124" spans="1:39" hidden="1" x14ac:dyDescent="0.3">
      <c r="A124" s="85" t="s">
        <v>34</v>
      </c>
      <c r="B124" s="3" t="s">
        <v>35</v>
      </c>
      <c r="C124" s="3" t="s">
        <v>187</v>
      </c>
      <c r="D124" s="3" t="s">
        <v>208</v>
      </c>
      <c r="E124" s="3" t="s">
        <v>212</v>
      </c>
      <c r="F124" s="3" t="s">
        <v>212</v>
      </c>
      <c r="G124" s="3" t="s">
        <v>212</v>
      </c>
      <c r="I124" s="3" t="s">
        <v>3356</v>
      </c>
      <c r="J124" s="1" t="s">
        <v>3326</v>
      </c>
      <c r="K124" s="1" t="s">
        <v>3283</v>
      </c>
      <c r="L124" s="1" t="s">
        <v>35</v>
      </c>
      <c r="N124" s="3" t="s">
        <v>80</v>
      </c>
      <c r="O124" s="1" t="s">
        <v>45</v>
      </c>
      <c r="P124" s="8" t="s">
        <v>46</v>
      </c>
      <c r="Q124" s="9">
        <v>0.04</v>
      </c>
      <c r="R124" s="138"/>
      <c r="T124" s="4">
        <v>0</v>
      </c>
      <c r="U124" s="4">
        <v>4496597.26</v>
      </c>
      <c r="V124" s="4">
        <v>4342020.2000000011</v>
      </c>
      <c r="W124" s="13">
        <f t="shared" si="17"/>
        <v>154577.05999999866</v>
      </c>
      <c r="X124" s="13">
        <f t="shared" si="18"/>
        <v>4175019.4230769239</v>
      </c>
      <c r="Y124" s="13">
        <f t="shared" si="12"/>
        <v>0</v>
      </c>
      <c r="Z124" s="2">
        <v>0</v>
      </c>
      <c r="AA124" s="4">
        <v>0</v>
      </c>
      <c r="AB124" s="4">
        <f t="shared" si="13"/>
        <v>4175019.4230769239</v>
      </c>
      <c r="AC124" s="6">
        <f t="shared" si="14"/>
        <v>167000.77692307718</v>
      </c>
      <c r="AD124" s="13">
        <f t="shared" si="19"/>
        <v>4342020.2000000011</v>
      </c>
      <c r="AE124" s="2">
        <v>0.05</v>
      </c>
      <c r="AF124" s="5">
        <f t="shared" si="15"/>
        <v>217101.01000000007</v>
      </c>
      <c r="AG124" s="2">
        <v>0</v>
      </c>
      <c r="AH124" s="5">
        <f t="shared" si="20"/>
        <v>4342020.2000000011</v>
      </c>
      <c r="AJ124" s="126" t="e">
        <v>#N/A</v>
      </c>
      <c r="AK124" s="80">
        <f t="shared" si="16"/>
        <v>0</v>
      </c>
      <c r="AM124" s="85"/>
    </row>
    <row r="125" spans="1:39" hidden="1" x14ac:dyDescent="0.3">
      <c r="A125" s="85" t="s">
        <v>34</v>
      </c>
      <c r="B125" s="3" t="s">
        <v>35</v>
      </c>
      <c r="C125" s="3" t="s">
        <v>187</v>
      </c>
      <c r="D125" s="3" t="s">
        <v>208</v>
      </c>
      <c r="E125" s="3" t="s">
        <v>213</v>
      </c>
      <c r="F125" s="3" t="s">
        <v>213</v>
      </c>
      <c r="G125" s="3" t="s">
        <v>213</v>
      </c>
      <c r="I125" s="3" t="s">
        <v>3356</v>
      </c>
      <c r="J125" s="1" t="s">
        <v>3326</v>
      </c>
      <c r="K125" s="1" t="s">
        <v>3283</v>
      </c>
      <c r="L125" s="1" t="s">
        <v>35</v>
      </c>
      <c r="N125" s="3" t="s">
        <v>80</v>
      </c>
      <c r="O125" s="1" t="s">
        <v>45</v>
      </c>
      <c r="P125" s="1" t="s">
        <v>41</v>
      </c>
      <c r="Q125" s="2">
        <v>0</v>
      </c>
      <c r="R125" s="138"/>
      <c r="T125" s="4">
        <v>0</v>
      </c>
      <c r="U125" s="4">
        <v>500000</v>
      </c>
      <c r="V125" s="4">
        <v>238498.2699999999</v>
      </c>
      <c r="W125" s="13">
        <f t="shared" si="17"/>
        <v>261501.7300000001</v>
      </c>
      <c r="X125" s="13">
        <f t="shared" si="18"/>
        <v>238498.2699999999</v>
      </c>
      <c r="Y125" s="13">
        <f t="shared" si="12"/>
        <v>0</v>
      </c>
      <c r="Z125" s="2">
        <v>0</v>
      </c>
      <c r="AA125" s="4">
        <v>0</v>
      </c>
      <c r="AB125" s="4">
        <f t="shared" si="13"/>
        <v>238498.2699999999</v>
      </c>
      <c r="AC125" s="6">
        <f t="shared" si="14"/>
        <v>0</v>
      </c>
      <c r="AD125" s="13">
        <f t="shared" si="19"/>
        <v>238498.2699999999</v>
      </c>
      <c r="AE125" s="2">
        <v>0.05</v>
      </c>
      <c r="AF125" s="5">
        <f t="shared" si="15"/>
        <v>11924.913499999995</v>
      </c>
      <c r="AG125" s="2">
        <v>0</v>
      </c>
      <c r="AH125" s="5">
        <f t="shared" si="20"/>
        <v>238498.2699999999</v>
      </c>
      <c r="AJ125" s="126" t="e">
        <v>#N/A</v>
      </c>
      <c r="AK125" s="80">
        <f t="shared" si="16"/>
        <v>0</v>
      </c>
      <c r="AM125" s="85"/>
    </row>
    <row r="126" spans="1:39" hidden="1" x14ac:dyDescent="0.3">
      <c r="A126" s="85" t="s">
        <v>34</v>
      </c>
      <c r="B126" s="3" t="s">
        <v>35</v>
      </c>
      <c r="C126" s="3" t="s">
        <v>187</v>
      </c>
      <c r="D126" s="3" t="s">
        <v>208</v>
      </c>
      <c r="E126" s="3" t="s">
        <v>214</v>
      </c>
      <c r="F126" s="3" t="s">
        <v>214</v>
      </c>
      <c r="G126" s="3" t="s">
        <v>214</v>
      </c>
      <c r="I126" s="3" t="s">
        <v>3356</v>
      </c>
      <c r="J126" s="1" t="s">
        <v>3326</v>
      </c>
      <c r="K126" s="1" t="s">
        <v>3283</v>
      </c>
      <c r="L126" s="1" t="s">
        <v>35</v>
      </c>
      <c r="N126" s="3" t="s">
        <v>80</v>
      </c>
      <c r="O126" s="1" t="s">
        <v>45</v>
      </c>
      <c r="P126" s="1" t="s">
        <v>41</v>
      </c>
      <c r="Q126" s="2">
        <v>0</v>
      </c>
      <c r="R126" s="138"/>
      <c r="T126" s="4">
        <v>0</v>
      </c>
      <c r="U126" s="4">
        <v>70000</v>
      </c>
      <c r="V126" s="4">
        <v>765.67</v>
      </c>
      <c r="W126" s="13">
        <f t="shared" si="17"/>
        <v>69234.33</v>
      </c>
      <c r="X126" s="13">
        <f t="shared" si="18"/>
        <v>765.67</v>
      </c>
      <c r="Y126" s="13">
        <f t="shared" si="12"/>
        <v>0</v>
      </c>
      <c r="Z126" s="2">
        <v>0</v>
      </c>
      <c r="AA126" s="4">
        <v>0</v>
      </c>
      <c r="AB126" s="4">
        <f t="shared" si="13"/>
        <v>765.67</v>
      </c>
      <c r="AC126" s="6">
        <f t="shared" si="14"/>
        <v>0</v>
      </c>
      <c r="AD126" s="13">
        <f t="shared" si="19"/>
        <v>765.67</v>
      </c>
      <c r="AE126" s="2">
        <v>0.05</v>
      </c>
      <c r="AF126" s="5">
        <f t="shared" si="15"/>
        <v>38.283499999999997</v>
      </c>
      <c r="AG126" s="2">
        <v>0</v>
      </c>
      <c r="AH126" s="5">
        <f t="shared" si="20"/>
        <v>765.67</v>
      </c>
      <c r="AJ126" s="126" t="e">
        <v>#N/A</v>
      </c>
      <c r="AK126" s="80">
        <f t="shared" si="16"/>
        <v>0</v>
      </c>
      <c r="AM126" s="85"/>
    </row>
    <row r="127" spans="1:39" hidden="1" x14ac:dyDescent="0.3">
      <c r="A127" s="85" t="s">
        <v>34</v>
      </c>
      <c r="B127" s="3" t="s">
        <v>35</v>
      </c>
      <c r="C127" s="3" t="s">
        <v>187</v>
      </c>
      <c r="D127" s="3" t="s">
        <v>208</v>
      </c>
      <c r="E127" s="3" t="s">
        <v>215</v>
      </c>
      <c r="F127" s="3" t="s">
        <v>216</v>
      </c>
      <c r="G127" s="3" t="s">
        <v>215</v>
      </c>
      <c r="I127" s="3" t="s">
        <v>3356</v>
      </c>
      <c r="J127" s="1" t="s">
        <v>3326</v>
      </c>
      <c r="K127" s="1" t="s">
        <v>3283</v>
      </c>
      <c r="L127" s="1" t="s">
        <v>35</v>
      </c>
      <c r="N127" s="3" t="s">
        <v>80</v>
      </c>
      <c r="O127" s="1" t="s">
        <v>45</v>
      </c>
      <c r="P127" s="8" t="s">
        <v>46</v>
      </c>
      <c r="Q127" s="9">
        <v>0.04</v>
      </c>
      <c r="R127" s="138"/>
      <c r="T127" s="4">
        <v>0</v>
      </c>
      <c r="U127" s="4">
        <v>4100000</v>
      </c>
      <c r="V127" s="4">
        <v>3381267.7799999993</v>
      </c>
      <c r="W127" s="13">
        <f t="shared" si="17"/>
        <v>718732.22000000067</v>
      </c>
      <c r="X127" s="13">
        <f t="shared" si="18"/>
        <v>3251219.0192307686</v>
      </c>
      <c r="Y127" s="13">
        <f t="shared" si="12"/>
        <v>0</v>
      </c>
      <c r="Z127" s="2">
        <v>0</v>
      </c>
      <c r="AA127" s="4">
        <v>0</v>
      </c>
      <c r="AB127" s="4">
        <f t="shared" si="13"/>
        <v>3251219.0192307686</v>
      </c>
      <c r="AC127" s="6">
        <f t="shared" si="14"/>
        <v>130048.76076923078</v>
      </c>
      <c r="AD127" s="13">
        <f t="shared" si="19"/>
        <v>3381267.7799999993</v>
      </c>
      <c r="AE127" s="2">
        <v>0.05</v>
      </c>
      <c r="AF127" s="5">
        <f t="shared" si="15"/>
        <v>169063.38899999997</v>
      </c>
      <c r="AG127" s="2">
        <v>0</v>
      </c>
      <c r="AH127" s="5">
        <f t="shared" si="20"/>
        <v>3381267.7799999993</v>
      </c>
      <c r="AJ127" s="126" t="e">
        <v>#N/A</v>
      </c>
      <c r="AK127" s="80">
        <f t="shared" si="16"/>
        <v>0</v>
      </c>
      <c r="AM127" s="85"/>
    </row>
    <row r="128" spans="1:39" hidden="1" x14ac:dyDescent="0.3">
      <c r="A128" s="85" t="s">
        <v>34</v>
      </c>
      <c r="B128" s="3" t="s">
        <v>35</v>
      </c>
      <c r="C128" s="3" t="s">
        <v>187</v>
      </c>
      <c r="D128" s="3" t="s">
        <v>208</v>
      </c>
      <c r="E128" s="3" t="s">
        <v>217</v>
      </c>
      <c r="F128" s="3" t="s">
        <v>217</v>
      </c>
      <c r="G128" s="3" t="s">
        <v>217</v>
      </c>
      <c r="H128" s="138"/>
      <c r="I128" s="3" t="s">
        <v>3356</v>
      </c>
      <c r="J128" s="1" t="s">
        <v>3326</v>
      </c>
      <c r="K128" s="1" t="s">
        <v>3283</v>
      </c>
      <c r="L128" s="1" t="s">
        <v>35</v>
      </c>
      <c r="N128" s="3" t="s">
        <v>80</v>
      </c>
      <c r="O128" s="1" t="s">
        <v>45</v>
      </c>
      <c r="P128" s="1" t="s">
        <v>41</v>
      </c>
      <c r="Q128" s="2">
        <v>0</v>
      </c>
      <c r="R128" s="138"/>
      <c r="T128" s="4">
        <v>0</v>
      </c>
      <c r="U128" s="4">
        <v>300000</v>
      </c>
      <c r="V128" s="4">
        <v>0</v>
      </c>
      <c r="W128" s="13">
        <f t="shared" si="17"/>
        <v>300000</v>
      </c>
      <c r="X128" s="13">
        <f t="shared" si="18"/>
        <v>0</v>
      </c>
      <c r="Y128" s="13">
        <f t="shared" si="12"/>
        <v>0</v>
      </c>
      <c r="Z128" s="2">
        <v>0</v>
      </c>
      <c r="AA128" s="4">
        <v>0</v>
      </c>
      <c r="AB128" s="4">
        <f t="shared" si="13"/>
        <v>0</v>
      </c>
      <c r="AC128" s="6">
        <f t="shared" si="14"/>
        <v>0</v>
      </c>
      <c r="AD128" s="13">
        <f t="shared" si="19"/>
        <v>0</v>
      </c>
      <c r="AE128" s="2">
        <v>0.05</v>
      </c>
      <c r="AF128" s="5">
        <f t="shared" si="15"/>
        <v>0</v>
      </c>
      <c r="AG128" s="2">
        <v>0</v>
      </c>
      <c r="AH128" s="5">
        <f t="shared" si="20"/>
        <v>0</v>
      </c>
      <c r="AJ128" s="126" t="e">
        <v>#N/A</v>
      </c>
      <c r="AK128" s="80">
        <f t="shared" si="16"/>
        <v>0</v>
      </c>
      <c r="AM128" s="85"/>
    </row>
    <row r="129" spans="1:39" hidden="1" x14ac:dyDescent="0.3">
      <c r="A129" s="85" t="s">
        <v>34</v>
      </c>
      <c r="B129" s="3" t="s">
        <v>35</v>
      </c>
      <c r="C129" s="3" t="s">
        <v>187</v>
      </c>
      <c r="D129" s="3" t="s">
        <v>208</v>
      </c>
      <c r="E129" s="3" t="s">
        <v>218</v>
      </c>
      <c r="F129" s="3" t="s">
        <v>218</v>
      </c>
      <c r="G129" s="3" t="s">
        <v>218</v>
      </c>
      <c r="I129" s="3" t="s">
        <v>3356</v>
      </c>
      <c r="J129" s="1" t="s">
        <v>3326</v>
      </c>
      <c r="K129" s="1" t="s">
        <v>3283</v>
      </c>
      <c r="L129" s="1" t="s">
        <v>35</v>
      </c>
      <c r="N129" s="3" t="s">
        <v>80</v>
      </c>
      <c r="O129" s="1" t="s">
        <v>45</v>
      </c>
      <c r="P129" s="1" t="s">
        <v>41</v>
      </c>
      <c r="Q129" s="2">
        <v>0</v>
      </c>
      <c r="R129" s="138"/>
      <c r="T129" s="4">
        <v>0</v>
      </c>
      <c r="U129" s="4">
        <v>130000</v>
      </c>
      <c r="V129" s="4">
        <v>36824.69</v>
      </c>
      <c r="W129" s="13">
        <f t="shared" si="17"/>
        <v>93175.31</v>
      </c>
      <c r="X129" s="13">
        <f t="shared" si="18"/>
        <v>36824.69</v>
      </c>
      <c r="Y129" s="13">
        <f t="shared" si="12"/>
        <v>0</v>
      </c>
      <c r="Z129" s="2">
        <v>0</v>
      </c>
      <c r="AA129" s="4">
        <v>0</v>
      </c>
      <c r="AB129" s="4">
        <f t="shared" si="13"/>
        <v>36824.69</v>
      </c>
      <c r="AC129" s="6">
        <f t="shared" si="14"/>
        <v>0</v>
      </c>
      <c r="AD129" s="13">
        <f t="shared" si="19"/>
        <v>36824.69</v>
      </c>
      <c r="AE129" s="2">
        <v>0.05</v>
      </c>
      <c r="AF129" s="5">
        <f t="shared" si="15"/>
        <v>1841.2345000000003</v>
      </c>
      <c r="AG129" s="2">
        <v>0</v>
      </c>
      <c r="AH129" s="5">
        <f t="shared" si="20"/>
        <v>36824.69</v>
      </c>
      <c r="AJ129" s="126" t="e">
        <v>#N/A</v>
      </c>
      <c r="AK129" s="80">
        <f t="shared" si="16"/>
        <v>0</v>
      </c>
      <c r="AM129" s="85"/>
    </row>
    <row r="130" spans="1:39" hidden="1" x14ac:dyDescent="0.3">
      <c r="A130" s="85" t="s">
        <v>34</v>
      </c>
      <c r="B130" s="3" t="s">
        <v>35</v>
      </c>
      <c r="C130" s="3" t="s">
        <v>187</v>
      </c>
      <c r="D130" s="3" t="s">
        <v>208</v>
      </c>
      <c r="E130" s="3" t="s">
        <v>219</v>
      </c>
      <c r="F130" s="3" t="s">
        <v>219</v>
      </c>
      <c r="G130" s="3" t="s">
        <v>219</v>
      </c>
      <c r="I130" s="3" t="s">
        <v>3356</v>
      </c>
      <c r="J130" s="1" t="s">
        <v>3326</v>
      </c>
      <c r="K130" s="1" t="s">
        <v>3283</v>
      </c>
      <c r="L130" s="1" t="s">
        <v>35</v>
      </c>
      <c r="N130" s="3" t="s">
        <v>80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v>198414.40000000002</v>
      </c>
      <c r="W130" s="13">
        <f t="shared" si="17"/>
        <v>501585.6</v>
      </c>
      <c r="X130" s="13">
        <f t="shared" si="18"/>
        <v>198414.40000000002</v>
      </c>
      <c r="Y130" s="13">
        <f t="shared" si="12"/>
        <v>0</v>
      </c>
      <c r="Z130" s="2">
        <v>0</v>
      </c>
      <c r="AA130" s="4">
        <v>0</v>
      </c>
      <c r="AB130" s="4">
        <f t="shared" si="13"/>
        <v>198414.40000000002</v>
      </c>
      <c r="AC130" s="6">
        <f t="shared" si="14"/>
        <v>0</v>
      </c>
      <c r="AD130" s="13">
        <f t="shared" si="19"/>
        <v>198414.40000000002</v>
      </c>
      <c r="AE130" s="2">
        <v>0.05</v>
      </c>
      <c r="AF130" s="5">
        <f t="shared" si="15"/>
        <v>9920.7200000000012</v>
      </c>
      <c r="AG130" s="2">
        <v>0</v>
      </c>
      <c r="AH130" s="5">
        <f t="shared" si="20"/>
        <v>198414.40000000002</v>
      </c>
      <c r="AJ130" s="126" t="e">
        <v>#N/A</v>
      </c>
      <c r="AK130" s="80">
        <f t="shared" si="16"/>
        <v>0</v>
      </c>
      <c r="AM130" s="85"/>
    </row>
    <row r="131" spans="1:39" hidden="1" x14ac:dyDescent="0.3">
      <c r="A131" s="85" t="s">
        <v>34</v>
      </c>
      <c r="B131" s="15" t="s">
        <v>35</v>
      </c>
      <c r="C131" s="15" t="s">
        <v>59</v>
      </c>
      <c r="D131" s="15" t="s">
        <v>60</v>
      </c>
      <c r="E131" s="15" t="s">
        <v>220</v>
      </c>
      <c r="F131" s="15" t="s">
        <v>221</v>
      </c>
      <c r="G131" s="15" t="s">
        <v>220</v>
      </c>
      <c r="H131" s="139"/>
      <c r="I131" s="3" t="s">
        <v>3356</v>
      </c>
      <c r="J131" s="1" t="s">
        <v>3326</v>
      </c>
      <c r="K131" s="1" t="s">
        <v>3712</v>
      </c>
      <c r="L131" s="1" t="s">
        <v>35</v>
      </c>
      <c r="M131" s="95"/>
      <c r="N131" s="3" t="s">
        <v>3729</v>
      </c>
      <c r="O131" s="8" t="s">
        <v>45</v>
      </c>
      <c r="P131" s="8" t="s">
        <v>92</v>
      </c>
      <c r="Q131" s="9">
        <v>0.94</v>
      </c>
      <c r="R131" s="138"/>
      <c r="S131" s="3" t="s">
        <v>84</v>
      </c>
      <c r="T131" s="18">
        <v>666843.31000000006</v>
      </c>
      <c r="U131" s="4">
        <f>-389738.14</f>
        <v>-389738.14</v>
      </c>
      <c r="V131" s="4">
        <v>0</v>
      </c>
      <c r="W131" s="13">
        <v>0</v>
      </c>
      <c r="X131" s="13">
        <f t="shared" si="18"/>
        <v>0</v>
      </c>
      <c r="Y131" s="13">
        <f t="shared" ref="Y131:Y194" si="21">IF(X131-AD131&lt;=0,0,IF(P131="返现",MAX(X131-AC131-AD131,0),MAX(X131-AD131)))</f>
        <v>0</v>
      </c>
      <c r="Z131" s="2">
        <v>0</v>
      </c>
      <c r="AA131" s="4">
        <v>0</v>
      </c>
      <c r="AB131" s="4">
        <f t="shared" ref="AB131:AB194" si="22">X131+AA131</f>
        <v>0</v>
      </c>
      <c r="AC131" s="6">
        <f t="shared" ref="AC131:AC194" si="23">IF(P131="返现",X131*Q131,V131-X131)</f>
        <v>0</v>
      </c>
      <c r="AD131" s="13">
        <f t="shared" si="19"/>
        <v>0</v>
      </c>
      <c r="AE131" s="2">
        <v>0.05</v>
      </c>
      <c r="AF131" s="5">
        <f t="shared" ref="AF131:AF194" si="24">AD131*AE131</f>
        <v>0</v>
      </c>
      <c r="AG131" s="2">
        <v>0</v>
      </c>
      <c r="AH131" s="5">
        <f t="shared" si="20"/>
        <v>0</v>
      </c>
      <c r="AJ131" s="126" t="e">
        <v>#N/A</v>
      </c>
      <c r="AK131" s="80">
        <f t="shared" ref="AK131:AK194" si="25">X131+AA131-AB131</f>
        <v>0</v>
      </c>
      <c r="AM131" s="85"/>
    </row>
    <row r="132" spans="1:39" hidden="1" x14ac:dyDescent="0.3">
      <c r="A132" s="85" t="s">
        <v>34</v>
      </c>
      <c r="B132" s="15" t="s">
        <v>35</v>
      </c>
      <c r="C132" s="15" t="s">
        <v>59</v>
      </c>
      <c r="D132" s="15" t="s">
        <v>60</v>
      </c>
      <c r="E132" s="15" t="s">
        <v>222</v>
      </c>
      <c r="F132" s="15" t="s">
        <v>223</v>
      </c>
      <c r="G132" s="15" t="s">
        <v>222</v>
      </c>
      <c r="H132" s="139"/>
      <c r="I132" s="3" t="s">
        <v>3356</v>
      </c>
      <c r="J132" s="1" t="s">
        <v>3326</v>
      </c>
      <c r="K132" s="1" t="s">
        <v>3712</v>
      </c>
      <c r="L132" s="1" t="s">
        <v>35</v>
      </c>
      <c r="M132" s="95"/>
      <c r="N132" s="3" t="s">
        <v>3729</v>
      </c>
      <c r="O132" s="8" t="s">
        <v>45</v>
      </c>
      <c r="P132" s="8" t="s">
        <v>41</v>
      </c>
      <c r="Q132" s="9">
        <v>0</v>
      </c>
      <c r="R132" s="138"/>
      <c r="T132" s="18">
        <v>9989.83</v>
      </c>
      <c r="U132" s="4">
        <v>0</v>
      </c>
      <c r="V132" s="4">
        <v>0</v>
      </c>
      <c r="W132" s="13">
        <f t="shared" si="17"/>
        <v>9989.83</v>
      </c>
      <c r="X132" s="13">
        <f t="shared" si="18"/>
        <v>0</v>
      </c>
      <c r="Y132" s="13">
        <f t="shared" si="21"/>
        <v>0</v>
      </c>
      <c r="Z132" s="2">
        <v>0</v>
      </c>
      <c r="AA132" s="4">
        <v>0</v>
      </c>
      <c r="AB132" s="4">
        <f t="shared" si="22"/>
        <v>0</v>
      </c>
      <c r="AC132" s="6">
        <f t="shared" si="23"/>
        <v>0</v>
      </c>
      <c r="AD132" s="13">
        <f t="shared" si="19"/>
        <v>0</v>
      </c>
      <c r="AE132" s="2">
        <v>0.05</v>
      </c>
      <c r="AF132" s="5">
        <f t="shared" si="24"/>
        <v>0</v>
      </c>
      <c r="AG132" s="2">
        <v>0</v>
      </c>
      <c r="AH132" s="5">
        <f t="shared" si="20"/>
        <v>0</v>
      </c>
      <c r="AJ132" s="126" t="e">
        <v>#N/A</v>
      </c>
      <c r="AK132" s="80">
        <f t="shared" si="25"/>
        <v>0</v>
      </c>
      <c r="AM132" s="85"/>
    </row>
    <row r="133" spans="1:39" hidden="1" x14ac:dyDescent="0.3">
      <c r="A133" s="85" t="s">
        <v>34</v>
      </c>
      <c r="B133" s="15" t="s">
        <v>35</v>
      </c>
      <c r="C133" s="15" t="s">
        <v>59</v>
      </c>
      <c r="D133" s="15" t="s">
        <v>60</v>
      </c>
      <c r="E133" s="15" t="s">
        <v>78</v>
      </c>
      <c r="F133" s="15" t="s">
        <v>81</v>
      </c>
      <c r="G133" s="15" t="s">
        <v>78</v>
      </c>
      <c r="H133" s="139"/>
      <c r="I133" s="3" t="s">
        <v>3356</v>
      </c>
      <c r="J133" s="1" t="s">
        <v>3326</v>
      </c>
      <c r="K133" s="1" t="s">
        <v>3712</v>
      </c>
      <c r="L133" s="1" t="s">
        <v>35</v>
      </c>
      <c r="M133" s="95"/>
      <c r="N133" s="3" t="s">
        <v>3717</v>
      </c>
      <c r="O133" s="8" t="s">
        <v>45</v>
      </c>
      <c r="P133" s="8" t="s">
        <v>92</v>
      </c>
      <c r="Q133" s="9">
        <v>0.93</v>
      </c>
      <c r="R133" s="138"/>
      <c r="T133" s="18">
        <v>67081.169999999984</v>
      </c>
      <c r="U133" s="4">
        <v>0</v>
      </c>
      <c r="V133" s="4">
        <v>0</v>
      </c>
      <c r="W133" s="13">
        <f t="shared" si="17"/>
        <v>67081.169999999984</v>
      </c>
      <c r="X133" s="13">
        <f t="shared" si="18"/>
        <v>0</v>
      </c>
      <c r="Y133" s="13">
        <f t="shared" si="21"/>
        <v>0</v>
      </c>
      <c r="Z133" s="2">
        <v>0</v>
      </c>
      <c r="AA133" s="4">
        <v>0</v>
      </c>
      <c r="AB133" s="4">
        <f t="shared" si="22"/>
        <v>0</v>
      </c>
      <c r="AC133" s="6">
        <f t="shared" si="23"/>
        <v>0</v>
      </c>
      <c r="AD133" s="13">
        <f t="shared" si="19"/>
        <v>0</v>
      </c>
      <c r="AE133" s="2">
        <v>0.05</v>
      </c>
      <c r="AF133" s="5">
        <f t="shared" si="24"/>
        <v>0</v>
      </c>
      <c r="AG133" s="2">
        <v>0</v>
      </c>
      <c r="AH133" s="5">
        <f t="shared" si="20"/>
        <v>0</v>
      </c>
      <c r="AJ133" s="126" t="e">
        <v>#N/A</v>
      </c>
      <c r="AK133" s="80">
        <f t="shared" si="25"/>
        <v>0</v>
      </c>
      <c r="AM133" s="85"/>
    </row>
    <row r="134" spans="1:39" hidden="1" x14ac:dyDescent="0.3">
      <c r="A134" s="85" t="s">
        <v>34</v>
      </c>
      <c r="B134" s="15" t="s">
        <v>35</v>
      </c>
      <c r="C134" s="15" t="s">
        <v>59</v>
      </c>
      <c r="D134" s="15" t="s">
        <v>60</v>
      </c>
      <c r="E134" s="15" t="s">
        <v>89</v>
      </c>
      <c r="F134" s="15" t="s">
        <v>89</v>
      </c>
      <c r="G134" s="15" t="s">
        <v>89</v>
      </c>
      <c r="H134" s="154"/>
      <c r="I134" s="3" t="s">
        <v>3356</v>
      </c>
      <c r="J134" s="1" t="s">
        <v>3326</v>
      </c>
      <c r="K134" s="1" t="s">
        <v>3707</v>
      </c>
      <c r="L134" s="1" t="s">
        <v>35</v>
      </c>
      <c r="M134" s="95"/>
      <c r="N134" s="3" t="s">
        <v>3708</v>
      </c>
      <c r="O134" s="8" t="s">
        <v>45</v>
      </c>
      <c r="P134" s="8" t="s">
        <v>92</v>
      </c>
      <c r="Q134" s="9">
        <v>0.94</v>
      </c>
      <c r="R134" s="138"/>
      <c r="T134" s="18">
        <v>4368835.2700000033</v>
      </c>
      <c r="U134" s="4">
        <v>0</v>
      </c>
      <c r="V134" s="4">
        <v>4268099.4300000034</v>
      </c>
      <c r="W134" s="13">
        <v>0</v>
      </c>
      <c r="X134" s="13">
        <f t="shared" si="18"/>
        <v>4012013.4642000031</v>
      </c>
      <c r="Y134" s="13">
        <f t="shared" si="21"/>
        <v>0</v>
      </c>
      <c r="Z134" s="2">
        <v>0</v>
      </c>
      <c r="AA134" s="4">
        <v>0</v>
      </c>
      <c r="AB134" s="4">
        <f t="shared" si="22"/>
        <v>4012013.4642000031</v>
      </c>
      <c r="AC134" s="6">
        <f t="shared" si="23"/>
        <v>256085.96580000035</v>
      </c>
      <c r="AD134" s="13">
        <f t="shared" si="19"/>
        <v>4268099.4300000034</v>
      </c>
      <c r="AE134" s="2">
        <v>0.05</v>
      </c>
      <c r="AF134" s="5">
        <f t="shared" si="24"/>
        <v>213404.97150000019</v>
      </c>
      <c r="AG134" s="2">
        <v>0</v>
      </c>
      <c r="AH134" s="5">
        <f t="shared" si="20"/>
        <v>4268099.4300000034</v>
      </c>
      <c r="AJ134" s="126" t="e">
        <v>#N/A</v>
      </c>
      <c r="AK134" s="80">
        <f t="shared" si="25"/>
        <v>0</v>
      </c>
      <c r="AM134" s="85"/>
    </row>
    <row r="135" spans="1:39" hidden="1" x14ac:dyDescent="0.3">
      <c r="A135" s="85" t="s">
        <v>34</v>
      </c>
      <c r="B135" s="15" t="s">
        <v>35</v>
      </c>
      <c r="C135" s="15" t="s">
        <v>36</v>
      </c>
      <c r="D135" s="15" t="s">
        <v>224</v>
      </c>
      <c r="E135" s="15" t="s">
        <v>225</v>
      </c>
      <c r="F135" s="15" t="s">
        <v>226</v>
      </c>
      <c r="G135" s="15" t="s">
        <v>225</v>
      </c>
      <c r="H135" s="154"/>
      <c r="I135" s="3" t="s">
        <v>3356</v>
      </c>
      <c r="J135" s="1" t="s">
        <v>3326</v>
      </c>
      <c r="K135" s="1" t="s">
        <v>3707</v>
      </c>
      <c r="L135" s="1" t="s">
        <v>35</v>
      </c>
      <c r="M135" s="95"/>
      <c r="N135" s="3" t="s">
        <v>3709</v>
      </c>
      <c r="O135" s="8" t="s">
        <v>45</v>
      </c>
      <c r="P135" s="8" t="s">
        <v>46</v>
      </c>
      <c r="Q135" s="9">
        <v>0.08</v>
      </c>
      <c r="R135" s="138"/>
      <c r="T135" s="18">
        <v>921034.61999999918</v>
      </c>
      <c r="U135" s="4">
        <v>0</v>
      </c>
      <c r="V135" s="18">
        <v>921034.61999999918</v>
      </c>
      <c r="W135" s="13">
        <f t="shared" si="17"/>
        <v>0</v>
      </c>
      <c r="X135" s="13">
        <f t="shared" si="18"/>
        <v>852809.83333333256</v>
      </c>
      <c r="Y135" s="13">
        <f t="shared" si="21"/>
        <v>0</v>
      </c>
      <c r="Z135" s="2">
        <v>0</v>
      </c>
      <c r="AA135" s="4">
        <v>0</v>
      </c>
      <c r="AB135" s="4">
        <f t="shared" si="22"/>
        <v>852809.83333333256</v>
      </c>
      <c r="AC135" s="6">
        <f t="shared" si="23"/>
        <v>68224.786666666623</v>
      </c>
      <c r="AD135" s="13">
        <f t="shared" si="19"/>
        <v>921034.61999999918</v>
      </c>
      <c r="AE135" s="2">
        <v>0.05</v>
      </c>
      <c r="AF135" s="5">
        <f t="shared" si="24"/>
        <v>46051.730999999963</v>
      </c>
      <c r="AG135" s="2">
        <v>0</v>
      </c>
      <c r="AH135" s="5">
        <f t="shared" si="20"/>
        <v>921034.61999999918</v>
      </c>
      <c r="AJ135" s="126" t="e">
        <v>#N/A</v>
      </c>
      <c r="AK135" s="80">
        <f t="shared" si="25"/>
        <v>0</v>
      </c>
      <c r="AM135" s="85"/>
    </row>
    <row r="136" spans="1:39" hidden="1" x14ac:dyDescent="0.3">
      <c r="A136" s="85" t="s">
        <v>34</v>
      </c>
      <c r="B136" s="15" t="s">
        <v>35</v>
      </c>
      <c r="C136" s="15" t="s">
        <v>36</v>
      </c>
      <c r="D136" s="15" t="s">
        <v>54</v>
      </c>
      <c r="E136" s="15" t="s">
        <v>109</v>
      </c>
      <c r="F136" s="15" t="s">
        <v>109</v>
      </c>
      <c r="G136" s="15" t="s">
        <v>109</v>
      </c>
      <c r="H136" s="154"/>
      <c r="I136" s="3" t="s">
        <v>3356</v>
      </c>
      <c r="J136" s="1" t="s">
        <v>3326</v>
      </c>
      <c r="K136" s="1" t="s">
        <v>3718</v>
      </c>
      <c r="L136" s="1" t="s">
        <v>35</v>
      </c>
      <c r="M136" s="95"/>
      <c r="N136" s="3" t="s">
        <v>3718</v>
      </c>
      <c r="O136" s="8" t="s">
        <v>105</v>
      </c>
      <c r="P136" s="8" t="s">
        <v>46</v>
      </c>
      <c r="Q136" s="9">
        <v>7.0000000000000007E-2</v>
      </c>
      <c r="R136" s="138"/>
      <c r="T136" s="18">
        <v>60476.389999999665</v>
      </c>
      <c r="U136" s="4">
        <v>0</v>
      </c>
      <c r="V136" s="18">
        <v>60476.389999999665</v>
      </c>
      <c r="W136" s="13">
        <f t="shared" si="17"/>
        <v>0</v>
      </c>
      <c r="X136" s="13">
        <f t="shared" si="18"/>
        <v>56519.990654205292</v>
      </c>
      <c r="Y136" s="13">
        <f t="shared" si="21"/>
        <v>0</v>
      </c>
      <c r="Z136" s="2">
        <v>0</v>
      </c>
      <c r="AA136" s="4">
        <v>0</v>
      </c>
      <c r="AB136" s="4">
        <f t="shared" si="22"/>
        <v>56519.990654205292</v>
      </c>
      <c r="AC136" s="6">
        <f t="shared" si="23"/>
        <v>3956.3993457943725</v>
      </c>
      <c r="AD136" s="13">
        <f t="shared" si="19"/>
        <v>60476.389999999665</v>
      </c>
      <c r="AE136" s="2">
        <v>0.05</v>
      </c>
      <c r="AF136" s="5">
        <f t="shared" si="24"/>
        <v>3023.8194999999832</v>
      </c>
      <c r="AG136" s="2">
        <v>0</v>
      </c>
      <c r="AH136" s="5">
        <f t="shared" si="20"/>
        <v>60476.389999999665</v>
      </c>
      <c r="AJ136" s="126" t="e">
        <v>#N/A</v>
      </c>
      <c r="AK136" s="80">
        <f t="shared" si="25"/>
        <v>0</v>
      </c>
      <c r="AM136" s="85"/>
    </row>
    <row r="137" spans="1:39" hidden="1" x14ac:dyDescent="0.3">
      <c r="A137" s="85" t="s">
        <v>34</v>
      </c>
      <c r="B137" s="15" t="s">
        <v>35</v>
      </c>
      <c r="C137" s="15" t="s">
        <v>36</v>
      </c>
      <c r="D137" s="15" t="s">
        <v>54</v>
      </c>
      <c r="E137" s="15" t="s">
        <v>227</v>
      </c>
      <c r="F137" s="15" t="s">
        <v>227</v>
      </c>
      <c r="G137" s="15" t="s">
        <v>227</v>
      </c>
      <c r="H137" s="154"/>
      <c r="I137" s="3" t="s">
        <v>3356</v>
      </c>
      <c r="J137" s="1" t="s">
        <v>3326</v>
      </c>
      <c r="K137" s="1" t="s">
        <v>3712</v>
      </c>
      <c r="L137" s="1" t="s">
        <v>35</v>
      </c>
      <c r="M137" s="95"/>
      <c r="N137" s="3" t="s">
        <v>3712</v>
      </c>
      <c r="O137" s="8" t="s">
        <v>45</v>
      </c>
      <c r="P137" s="8" t="s">
        <v>41</v>
      </c>
      <c r="Q137" s="9">
        <v>0</v>
      </c>
      <c r="R137" s="138"/>
      <c r="T137" s="18">
        <v>24938.939999999886</v>
      </c>
      <c r="U137" s="4">
        <v>0</v>
      </c>
      <c r="V137" s="4">
        <v>25810.03</v>
      </c>
      <c r="W137" s="13">
        <f t="shared" si="17"/>
        <v>-871.09000000011292</v>
      </c>
      <c r="X137" s="13">
        <f t="shared" si="18"/>
        <v>25810.03</v>
      </c>
      <c r="Y137" s="13">
        <f t="shared" si="21"/>
        <v>0</v>
      </c>
      <c r="Z137" s="2">
        <v>0</v>
      </c>
      <c r="AA137" s="4">
        <v>0</v>
      </c>
      <c r="AB137" s="4">
        <f t="shared" si="22"/>
        <v>25810.03</v>
      </c>
      <c r="AC137" s="6">
        <f t="shared" si="23"/>
        <v>0</v>
      </c>
      <c r="AD137" s="13">
        <f t="shared" si="19"/>
        <v>25810.03</v>
      </c>
      <c r="AE137" s="2">
        <v>0.05</v>
      </c>
      <c r="AF137" s="5">
        <f t="shared" si="24"/>
        <v>1290.5015000000001</v>
      </c>
      <c r="AG137" s="2">
        <v>0</v>
      </c>
      <c r="AH137" s="5">
        <f t="shared" si="20"/>
        <v>25810.03</v>
      </c>
      <c r="AJ137" s="126" t="e">
        <v>#N/A</v>
      </c>
      <c r="AK137" s="80">
        <f t="shared" si="25"/>
        <v>0</v>
      </c>
      <c r="AM137" s="85"/>
    </row>
    <row r="138" spans="1:39" hidden="1" x14ac:dyDescent="0.3">
      <c r="A138" s="85" t="s">
        <v>34</v>
      </c>
      <c r="B138" s="15" t="s">
        <v>35</v>
      </c>
      <c r="C138" s="15" t="s">
        <v>36</v>
      </c>
      <c r="D138" s="15" t="s">
        <v>37</v>
      </c>
      <c r="E138" s="15" t="s">
        <v>228</v>
      </c>
      <c r="F138" s="15" t="s">
        <v>228</v>
      </c>
      <c r="G138" s="15" t="s">
        <v>228</v>
      </c>
      <c r="H138" s="154"/>
      <c r="I138" s="3" t="s">
        <v>3356</v>
      </c>
      <c r="J138" s="1" t="s">
        <v>3326</v>
      </c>
      <c r="K138" s="1" t="s">
        <v>3712</v>
      </c>
      <c r="L138" s="1" t="s">
        <v>35</v>
      </c>
      <c r="M138" s="95"/>
      <c r="N138" s="3" t="s">
        <v>3712</v>
      </c>
      <c r="O138" s="8" t="s">
        <v>45</v>
      </c>
      <c r="P138" s="8" t="s">
        <v>41</v>
      </c>
      <c r="Q138" s="9">
        <v>0</v>
      </c>
      <c r="R138" s="138"/>
      <c r="T138" s="18">
        <v>324800.75000000017</v>
      </c>
      <c r="U138" s="4">
        <v>0</v>
      </c>
      <c r="V138" s="4">
        <v>129826.57999999999</v>
      </c>
      <c r="W138" s="13">
        <f t="shared" si="17"/>
        <v>194974.17000000019</v>
      </c>
      <c r="X138" s="13">
        <f t="shared" si="18"/>
        <v>129826.57999999999</v>
      </c>
      <c r="Y138" s="13">
        <f t="shared" si="21"/>
        <v>0</v>
      </c>
      <c r="Z138" s="2">
        <v>0</v>
      </c>
      <c r="AA138" s="4">
        <v>0</v>
      </c>
      <c r="AB138" s="4">
        <f t="shared" si="22"/>
        <v>129826.57999999999</v>
      </c>
      <c r="AC138" s="6">
        <f t="shared" si="23"/>
        <v>0</v>
      </c>
      <c r="AD138" s="13">
        <f t="shared" si="19"/>
        <v>129826.57999999999</v>
      </c>
      <c r="AE138" s="2">
        <v>0.05</v>
      </c>
      <c r="AF138" s="5">
        <f t="shared" si="24"/>
        <v>6491.3289999999997</v>
      </c>
      <c r="AG138" s="2">
        <v>0</v>
      </c>
      <c r="AH138" s="5">
        <f t="shared" si="20"/>
        <v>129826.57999999999</v>
      </c>
      <c r="AJ138" s="126" t="e">
        <v>#N/A</v>
      </c>
      <c r="AK138" s="80">
        <f t="shared" si="25"/>
        <v>0</v>
      </c>
      <c r="AM138" s="85"/>
    </row>
    <row r="139" spans="1:39" hidden="1" x14ac:dyDescent="0.3">
      <c r="A139" s="85" t="s">
        <v>34</v>
      </c>
      <c r="B139" s="15" t="s">
        <v>35</v>
      </c>
      <c r="C139" s="15" t="s">
        <v>65</v>
      </c>
      <c r="D139" s="15" t="s">
        <v>66</v>
      </c>
      <c r="E139" s="15" t="s">
        <v>229</v>
      </c>
      <c r="F139" s="15" t="s">
        <v>229</v>
      </c>
      <c r="G139" s="15" t="s">
        <v>229</v>
      </c>
      <c r="H139" s="154"/>
      <c r="I139" s="3" t="s">
        <v>3356</v>
      </c>
      <c r="J139" s="1" t="s">
        <v>3326</v>
      </c>
      <c r="K139" s="1" t="s">
        <v>3707</v>
      </c>
      <c r="L139" s="1" t="s">
        <v>35</v>
      </c>
      <c r="M139" s="95"/>
      <c r="N139" s="3" t="s">
        <v>3707</v>
      </c>
      <c r="O139" s="8" t="s">
        <v>45</v>
      </c>
      <c r="P139" s="8" t="s">
        <v>46</v>
      </c>
      <c r="Q139" s="9">
        <v>0.05</v>
      </c>
      <c r="R139" s="138"/>
      <c r="T139" s="18">
        <v>225603.00000000047</v>
      </c>
      <c r="U139" s="4">
        <v>0</v>
      </c>
      <c r="V139" s="4">
        <v>115980.69</v>
      </c>
      <c r="W139" s="13">
        <f t="shared" si="17"/>
        <v>109622.31000000046</v>
      </c>
      <c r="X139" s="13">
        <f t="shared" si="18"/>
        <v>110457.8</v>
      </c>
      <c r="Y139" s="13">
        <f t="shared" si="21"/>
        <v>0</v>
      </c>
      <c r="Z139" s="2">
        <v>0</v>
      </c>
      <c r="AA139" s="4">
        <v>0</v>
      </c>
      <c r="AB139" s="4">
        <f t="shared" si="22"/>
        <v>110457.8</v>
      </c>
      <c r="AC139" s="6">
        <f t="shared" si="23"/>
        <v>5522.8899999999994</v>
      </c>
      <c r="AD139" s="13">
        <f t="shared" si="19"/>
        <v>115980.69</v>
      </c>
      <c r="AE139" s="2">
        <v>0.05</v>
      </c>
      <c r="AF139" s="5">
        <f t="shared" si="24"/>
        <v>5799.0345000000007</v>
      </c>
      <c r="AG139" s="2">
        <v>0</v>
      </c>
      <c r="AH139" s="5">
        <f t="shared" si="20"/>
        <v>115980.69</v>
      </c>
      <c r="AJ139" s="126" t="e">
        <v>#N/A</v>
      </c>
      <c r="AK139" s="80">
        <f t="shared" si="25"/>
        <v>0</v>
      </c>
      <c r="AM139" s="85"/>
    </row>
    <row r="140" spans="1:39" hidden="1" x14ac:dyDescent="0.3">
      <c r="A140" s="85" t="s">
        <v>34</v>
      </c>
      <c r="B140" s="15" t="s">
        <v>35</v>
      </c>
      <c r="C140" s="15" t="s">
        <v>65</v>
      </c>
      <c r="D140" s="15" t="s">
        <v>66</v>
      </c>
      <c r="E140" s="15" t="s">
        <v>118</v>
      </c>
      <c r="F140" s="15" t="s">
        <v>230</v>
      </c>
      <c r="G140" s="15" t="s">
        <v>118</v>
      </c>
      <c r="H140" s="139"/>
      <c r="I140" s="3" t="s">
        <v>3356</v>
      </c>
      <c r="J140" s="1" t="s">
        <v>3326</v>
      </c>
      <c r="K140" s="1" t="s">
        <v>3707</v>
      </c>
      <c r="L140" s="1" t="s">
        <v>35</v>
      </c>
      <c r="M140" s="95"/>
      <c r="N140" s="3" t="s">
        <v>3716</v>
      </c>
      <c r="O140" s="8" t="s">
        <v>45</v>
      </c>
      <c r="P140" s="8" t="s">
        <v>46</v>
      </c>
      <c r="Q140" s="9">
        <v>0.03</v>
      </c>
      <c r="R140" s="138"/>
      <c r="T140" s="18">
        <v>0</v>
      </c>
      <c r="U140" s="4">
        <v>0</v>
      </c>
      <c r="V140" s="4">
        <v>0</v>
      </c>
      <c r="W140" s="13">
        <f t="shared" si="17"/>
        <v>0</v>
      </c>
      <c r="X140" s="13">
        <f t="shared" si="18"/>
        <v>0</v>
      </c>
      <c r="Y140" s="13">
        <f t="shared" si="21"/>
        <v>0</v>
      </c>
      <c r="Z140" s="2">
        <v>0</v>
      </c>
      <c r="AA140" s="4">
        <v>0</v>
      </c>
      <c r="AB140" s="4">
        <f t="shared" si="22"/>
        <v>0</v>
      </c>
      <c r="AC140" s="6">
        <f t="shared" si="23"/>
        <v>0</v>
      </c>
      <c r="AD140" s="13">
        <f t="shared" si="19"/>
        <v>0</v>
      </c>
      <c r="AE140" s="2">
        <v>0.05</v>
      </c>
      <c r="AF140" s="5">
        <f t="shared" si="24"/>
        <v>0</v>
      </c>
      <c r="AG140" s="2">
        <v>0</v>
      </c>
      <c r="AH140" s="5">
        <f t="shared" si="20"/>
        <v>0</v>
      </c>
      <c r="AJ140" s="126" t="e">
        <v>#N/A</v>
      </c>
      <c r="AK140" s="80">
        <f t="shared" si="25"/>
        <v>0</v>
      </c>
      <c r="AM140" s="85"/>
    </row>
    <row r="141" spans="1:39" hidden="1" x14ac:dyDescent="0.3">
      <c r="A141" s="85" t="s">
        <v>34</v>
      </c>
      <c r="B141" s="15" t="s">
        <v>35</v>
      </c>
      <c r="C141" s="15" t="s">
        <v>65</v>
      </c>
      <c r="D141" s="15" t="s">
        <v>66</v>
      </c>
      <c r="E141" s="15" t="s">
        <v>231</v>
      </c>
      <c r="F141" s="15" t="s">
        <v>231</v>
      </c>
      <c r="G141" s="15" t="s">
        <v>231</v>
      </c>
      <c r="H141" s="154"/>
      <c r="I141" s="3" t="s">
        <v>3356</v>
      </c>
      <c r="J141" s="1" t="s">
        <v>3326</v>
      </c>
      <c r="K141" s="1" t="s">
        <v>3710</v>
      </c>
      <c r="L141" s="1" t="s">
        <v>35</v>
      </c>
      <c r="M141" s="95"/>
      <c r="N141" s="3" t="s">
        <v>3710</v>
      </c>
      <c r="O141" s="8" t="s">
        <v>45</v>
      </c>
      <c r="P141" s="8" t="s">
        <v>41</v>
      </c>
      <c r="Q141" s="9">
        <v>0</v>
      </c>
      <c r="R141" s="138"/>
      <c r="T141" s="18">
        <v>58812.009999999776</v>
      </c>
      <c r="U141" s="4">
        <v>0</v>
      </c>
      <c r="V141" s="4">
        <v>7075.58</v>
      </c>
      <c r="W141" s="13">
        <f t="shared" si="17"/>
        <v>51736.429999999775</v>
      </c>
      <c r="X141" s="13">
        <f t="shared" si="18"/>
        <v>7075.58</v>
      </c>
      <c r="Y141" s="13">
        <f t="shared" si="21"/>
        <v>0</v>
      </c>
      <c r="Z141" s="2">
        <v>0</v>
      </c>
      <c r="AA141" s="4">
        <v>0</v>
      </c>
      <c r="AB141" s="4">
        <f t="shared" si="22"/>
        <v>7075.58</v>
      </c>
      <c r="AC141" s="6">
        <f t="shared" si="23"/>
        <v>0</v>
      </c>
      <c r="AD141" s="13">
        <f t="shared" si="19"/>
        <v>7075.58</v>
      </c>
      <c r="AE141" s="2">
        <v>0.05</v>
      </c>
      <c r="AF141" s="5">
        <f t="shared" si="24"/>
        <v>353.779</v>
      </c>
      <c r="AG141" s="2">
        <v>0</v>
      </c>
      <c r="AH141" s="5">
        <f t="shared" si="20"/>
        <v>7075.58</v>
      </c>
      <c r="AJ141" s="126" t="e">
        <v>#N/A</v>
      </c>
      <c r="AK141" s="80">
        <f t="shared" si="25"/>
        <v>0</v>
      </c>
      <c r="AM141" s="85"/>
    </row>
    <row r="142" spans="1:39" hidden="1" x14ac:dyDescent="0.3">
      <c r="A142" s="85" t="s">
        <v>34</v>
      </c>
      <c r="B142" s="15" t="s">
        <v>35</v>
      </c>
      <c r="C142" s="15" t="s">
        <v>65</v>
      </c>
      <c r="D142" s="15" t="s">
        <v>122</v>
      </c>
      <c r="E142" s="15" t="s">
        <v>123</v>
      </c>
      <c r="F142" s="15" t="s">
        <v>123</v>
      </c>
      <c r="G142" s="15" t="s">
        <v>123</v>
      </c>
      <c r="H142" s="139"/>
      <c r="I142" s="3" t="s">
        <v>3356</v>
      </c>
      <c r="J142" s="1" t="s">
        <v>3326</v>
      </c>
      <c r="K142" s="1" t="s">
        <v>3707</v>
      </c>
      <c r="L142" s="1" t="s">
        <v>35</v>
      </c>
      <c r="M142" s="95"/>
      <c r="N142" s="3" t="s">
        <v>3707</v>
      </c>
      <c r="O142" s="8" t="s">
        <v>45</v>
      </c>
      <c r="P142" s="8" t="s">
        <v>46</v>
      </c>
      <c r="Q142" s="9">
        <v>6.5000000000000002E-2</v>
      </c>
      <c r="R142" s="138"/>
      <c r="T142" s="18">
        <v>268419.61999999988</v>
      </c>
      <c r="U142" s="4">
        <v>0</v>
      </c>
      <c r="V142" s="18">
        <v>0</v>
      </c>
      <c r="W142" s="13">
        <f t="shared" si="17"/>
        <v>268419.61999999988</v>
      </c>
      <c r="X142" s="13">
        <f t="shared" si="18"/>
        <v>0</v>
      </c>
      <c r="Y142" s="13">
        <f t="shared" si="21"/>
        <v>0</v>
      </c>
      <c r="Z142" s="2">
        <v>0</v>
      </c>
      <c r="AA142" s="4">
        <v>0</v>
      </c>
      <c r="AB142" s="4">
        <f t="shared" si="22"/>
        <v>0</v>
      </c>
      <c r="AC142" s="6">
        <f t="shared" si="23"/>
        <v>0</v>
      </c>
      <c r="AD142" s="13">
        <f t="shared" si="19"/>
        <v>0</v>
      </c>
      <c r="AE142" s="2">
        <v>0.05</v>
      </c>
      <c r="AF142" s="5">
        <f t="shared" si="24"/>
        <v>0</v>
      </c>
      <c r="AG142" s="2">
        <v>0</v>
      </c>
      <c r="AH142" s="5">
        <f t="shared" si="20"/>
        <v>0</v>
      </c>
      <c r="AJ142" s="126" t="e">
        <v>#N/A</v>
      </c>
      <c r="AK142" s="80">
        <f t="shared" si="25"/>
        <v>0</v>
      </c>
      <c r="AM142" s="85"/>
    </row>
    <row r="143" spans="1:39" hidden="1" x14ac:dyDescent="0.3">
      <c r="A143" s="85" t="s">
        <v>34</v>
      </c>
      <c r="B143" s="15" t="s">
        <v>35</v>
      </c>
      <c r="C143" s="15" t="s">
        <v>65</v>
      </c>
      <c r="D143" s="86" t="s">
        <v>3351</v>
      </c>
      <c r="E143" s="15" t="s">
        <v>233</v>
      </c>
      <c r="F143" s="15" t="s">
        <v>233</v>
      </c>
      <c r="G143" s="15" t="s">
        <v>233</v>
      </c>
      <c r="H143" s="154"/>
      <c r="I143" s="3" t="s">
        <v>3356</v>
      </c>
      <c r="J143" s="1" t="s">
        <v>3326</v>
      </c>
      <c r="K143" s="1" t="s">
        <v>3712</v>
      </c>
      <c r="L143" s="1" t="s">
        <v>35</v>
      </c>
      <c r="M143" s="95"/>
      <c r="N143" s="3" t="s">
        <v>3712</v>
      </c>
      <c r="O143" s="8" t="s">
        <v>45</v>
      </c>
      <c r="P143" s="8" t="s">
        <v>41</v>
      </c>
      <c r="Q143" s="9">
        <v>0</v>
      </c>
      <c r="R143" s="138"/>
      <c r="T143" s="18">
        <v>17724.900000000001</v>
      </c>
      <c r="U143" s="4">
        <v>0</v>
      </c>
      <c r="V143" s="4">
        <v>17227.090000000004</v>
      </c>
      <c r="W143" s="13">
        <f t="shared" si="17"/>
        <v>497.80999999999767</v>
      </c>
      <c r="X143" s="13">
        <f t="shared" si="18"/>
        <v>17227.090000000004</v>
      </c>
      <c r="Y143" s="13">
        <f t="shared" si="21"/>
        <v>0</v>
      </c>
      <c r="Z143" s="2">
        <v>0</v>
      </c>
      <c r="AA143" s="4">
        <v>0</v>
      </c>
      <c r="AB143" s="4">
        <f t="shared" si="22"/>
        <v>17227.090000000004</v>
      </c>
      <c r="AC143" s="6">
        <f t="shared" si="23"/>
        <v>0</v>
      </c>
      <c r="AD143" s="13">
        <f t="shared" si="19"/>
        <v>17227.090000000004</v>
      </c>
      <c r="AE143" s="2">
        <v>0.05</v>
      </c>
      <c r="AF143" s="5">
        <f t="shared" si="24"/>
        <v>861.35450000000026</v>
      </c>
      <c r="AG143" s="2">
        <v>0</v>
      </c>
      <c r="AH143" s="5">
        <f t="shared" si="20"/>
        <v>17227.090000000004</v>
      </c>
      <c r="AJ143" s="126" t="e">
        <v>#N/A</v>
      </c>
      <c r="AK143" s="80">
        <f t="shared" si="25"/>
        <v>0</v>
      </c>
      <c r="AM143" s="85"/>
    </row>
    <row r="144" spans="1:39" hidden="1" x14ac:dyDescent="0.3">
      <c r="A144" s="85" t="s">
        <v>34</v>
      </c>
      <c r="B144" s="15" t="s">
        <v>35</v>
      </c>
      <c r="C144" s="15" t="s">
        <v>47</v>
      </c>
      <c r="D144" s="15" t="s">
        <v>63</v>
      </c>
      <c r="E144" s="15" t="s">
        <v>234</v>
      </c>
      <c r="F144" s="15" t="s">
        <v>234</v>
      </c>
      <c r="G144" s="15" t="s">
        <v>234</v>
      </c>
      <c r="H144" s="139"/>
      <c r="I144" s="3" t="s">
        <v>3356</v>
      </c>
      <c r="J144" s="1" t="s">
        <v>3326</v>
      </c>
      <c r="K144" s="1" t="s">
        <v>3712</v>
      </c>
      <c r="L144" s="1" t="s">
        <v>35</v>
      </c>
      <c r="M144" s="95"/>
      <c r="N144" s="3" t="s">
        <v>3729</v>
      </c>
      <c r="O144" s="8" t="s">
        <v>45</v>
      </c>
      <c r="P144" s="8" t="s">
        <v>41</v>
      </c>
      <c r="Q144" s="9">
        <v>0</v>
      </c>
      <c r="R144" s="138"/>
      <c r="T144" s="18">
        <v>3.5100000000020373</v>
      </c>
      <c r="U144" s="4">
        <v>0</v>
      </c>
      <c r="V144" s="4">
        <v>0</v>
      </c>
      <c r="W144" s="13">
        <f t="shared" si="17"/>
        <v>3.5100000000020373</v>
      </c>
      <c r="X144" s="13">
        <f t="shared" si="18"/>
        <v>0</v>
      </c>
      <c r="Y144" s="13">
        <f t="shared" si="21"/>
        <v>0</v>
      </c>
      <c r="Z144" s="2">
        <v>0</v>
      </c>
      <c r="AA144" s="4">
        <v>0</v>
      </c>
      <c r="AB144" s="4">
        <f t="shared" si="22"/>
        <v>0</v>
      </c>
      <c r="AC144" s="6">
        <f t="shared" si="23"/>
        <v>0</v>
      </c>
      <c r="AD144" s="13">
        <f t="shared" si="19"/>
        <v>0</v>
      </c>
      <c r="AE144" s="2">
        <v>0.05</v>
      </c>
      <c r="AF144" s="5">
        <f t="shared" si="24"/>
        <v>0</v>
      </c>
      <c r="AG144" s="2">
        <v>0</v>
      </c>
      <c r="AH144" s="5">
        <f t="shared" si="20"/>
        <v>0</v>
      </c>
      <c r="AJ144" s="126" t="e">
        <v>#N/A</v>
      </c>
      <c r="AK144" s="80">
        <f t="shared" si="25"/>
        <v>0</v>
      </c>
      <c r="AM144" s="85"/>
    </row>
    <row r="145" spans="1:39" hidden="1" x14ac:dyDescent="0.3">
      <c r="A145" s="85" t="s">
        <v>34</v>
      </c>
      <c r="B145" s="15" t="s">
        <v>35</v>
      </c>
      <c r="C145" s="15" t="s">
        <v>47</v>
      </c>
      <c r="D145" s="15" t="s">
        <v>48</v>
      </c>
      <c r="E145" s="15" t="s">
        <v>225</v>
      </c>
      <c r="F145" s="15" t="s">
        <v>235</v>
      </c>
      <c r="G145" s="15" t="s">
        <v>225</v>
      </c>
      <c r="H145" s="139"/>
      <c r="I145" s="3" t="s">
        <v>3356</v>
      </c>
      <c r="J145" s="1" t="s">
        <v>3326</v>
      </c>
      <c r="K145" s="1" t="s">
        <v>3707</v>
      </c>
      <c r="L145" s="1" t="s">
        <v>35</v>
      </c>
      <c r="M145" s="95"/>
      <c r="N145" s="3" t="s">
        <v>3709</v>
      </c>
      <c r="O145" s="8" t="s">
        <v>45</v>
      </c>
      <c r="P145" s="8" t="s">
        <v>46</v>
      </c>
      <c r="Q145" s="9">
        <v>0.01</v>
      </c>
      <c r="R145" s="138"/>
      <c r="T145" s="18">
        <v>382494.92000000039</v>
      </c>
      <c r="U145" s="4">
        <v>0</v>
      </c>
      <c r="V145" s="4">
        <v>0</v>
      </c>
      <c r="W145" s="13">
        <f t="shared" si="17"/>
        <v>382494.92000000039</v>
      </c>
      <c r="X145" s="13">
        <f t="shared" si="18"/>
        <v>0</v>
      </c>
      <c r="Y145" s="13">
        <f t="shared" si="21"/>
        <v>0</v>
      </c>
      <c r="Z145" s="2">
        <v>0</v>
      </c>
      <c r="AA145" s="4">
        <v>0</v>
      </c>
      <c r="AB145" s="4">
        <f t="shared" si="22"/>
        <v>0</v>
      </c>
      <c r="AC145" s="6">
        <f t="shared" si="23"/>
        <v>0</v>
      </c>
      <c r="AD145" s="13">
        <f t="shared" si="19"/>
        <v>0</v>
      </c>
      <c r="AE145" s="2">
        <v>0.05</v>
      </c>
      <c r="AF145" s="5">
        <f t="shared" si="24"/>
        <v>0</v>
      </c>
      <c r="AG145" s="2">
        <v>0</v>
      </c>
      <c r="AH145" s="5">
        <f t="shared" si="20"/>
        <v>0</v>
      </c>
      <c r="AJ145" s="126" t="e">
        <v>#N/A</v>
      </c>
      <c r="AK145" s="80">
        <f t="shared" si="25"/>
        <v>0</v>
      </c>
      <c r="AM145" s="85"/>
    </row>
    <row r="146" spans="1:39" hidden="1" x14ac:dyDescent="0.3">
      <c r="A146" s="85" t="s">
        <v>34</v>
      </c>
      <c r="B146" s="15" t="s">
        <v>35</v>
      </c>
      <c r="C146" s="15" t="s">
        <v>144</v>
      </c>
      <c r="D146" s="15" t="s">
        <v>145</v>
      </c>
      <c r="E146" s="15" t="s">
        <v>236</v>
      </c>
      <c r="F146" s="15" t="s">
        <v>236</v>
      </c>
      <c r="G146" s="15" t="s">
        <v>236</v>
      </c>
      <c r="H146" s="154"/>
      <c r="I146" s="3" t="s">
        <v>3356</v>
      </c>
      <c r="J146" s="1" t="s">
        <v>3326</v>
      </c>
      <c r="K146" s="1" t="s">
        <v>3712</v>
      </c>
      <c r="L146" s="1" t="s">
        <v>35</v>
      </c>
      <c r="M146" s="95"/>
      <c r="N146" s="3" t="s">
        <v>3713</v>
      </c>
      <c r="O146" s="8" t="s">
        <v>45</v>
      </c>
      <c r="P146" s="8" t="s">
        <v>41</v>
      </c>
      <c r="Q146" s="9">
        <v>0</v>
      </c>
      <c r="R146" s="138"/>
      <c r="T146" s="18">
        <v>1716156.3100000005</v>
      </c>
      <c r="U146" s="4">
        <v>0</v>
      </c>
      <c r="V146" s="18">
        <v>872041.24000000011</v>
      </c>
      <c r="W146" s="13">
        <f t="shared" si="17"/>
        <v>844115.07000000041</v>
      </c>
      <c r="X146" s="13">
        <f t="shared" si="18"/>
        <v>872041.24000000011</v>
      </c>
      <c r="Y146" s="13">
        <f t="shared" si="21"/>
        <v>0</v>
      </c>
      <c r="Z146" s="2">
        <v>0</v>
      </c>
      <c r="AA146" s="4">
        <v>0</v>
      </c>
      <c r="AB146" s="4">
        <f t="shared" si="22"/>
        <v>872041.24000000011</v>
      </c>
      <c r="AC146" s="6">
        <f t="shared" si="23"/>
        <v>0</v>
      </c>
      <c r="AD146" s="13">
        <f t="shared" si="19"/>
        <v>872041.24000000011</v>
      </c>
      <c r="AE146" s="2">
        <v>0.05</v>
      </c>
      <c r="AF146" s="5">
        <f t="shared" si="24"/>
        <v>43602.062000000005</v>
      </c>
      <c r="AG146" s="2">
        <v>0</v>
      </c>
      <c r="AH146" s="5">
        <f t="shared" si="20"/>
        <v>872041.24000000011</v>
      </c>
      <c r="AJ146" s="126" t="e">
        <v>#N/A</v>
      </c>
      <c r="AK146" s="80">
        <f t="shared" si="25"/>
        <v>0</v>
      </c>
      <c r="AM146" s="85"/>
    </row>
    <row r="147" spans="1:39" hidden="1" x14ac:dyDescent="0.3">
      <c r="A147" s="85" t="s">
        <v>34</v>
      </c>
      <c r="B147" s="15" t="s">
        <v>35</v>
      </c>
      <c r="C147" s="15" t="s">
        <v>144</v>
      </c>
      <c r="D147" s="15" t="s">
        <v>145</v>
      </c>
      <c r="E147" s="15" t="s">
        <v>237</v>
      </c>
      <c r="F147" s="15" t="s">
        <v>238</v>
      </c>
      <c r="G147" s="15" t="s">
        <v>239</v>
      </c>
      <c r="H147" s="154"/>
      <c r="I147" s="3" t="s">
        <v>3356</v>
      </c>
      <c r="J147" s="1" t="s">
        <v>3326</v>
      </c>
      <c r="K147" s="1" t="s">
        <v>3712</v>
      </c>
      <c r="L147" s="1" t="s">
        <v>35</v>
      </c>
      <c r="M147" s="95"/>
      <c r="N147" s="3" t="s">
        <v>3713</v>
      </c>
      <c r="O147" s="8" t="s">
        <v>45</v>
      </c>
      <c r="P147" s="8" t="s">
        <v>41</v>
      </c>
      <c r="Q147" s="9">
        <v>0</v>
      </c>
      <c r="R147" s="138"/>
      <c r="T147" s="18">
        <v>227907.27999999968</v>
      </c>
      <c r="U147" s="4">
        <v>0</v>
      </c>
      <c r="V147" s="4">
        <f>227902.22-110147.86</f>
        <v>117754.36</v>
      </c>
      <c r="W147" s="13">
        <f>T147+U147-V147</f>
        <v>110152.91999999968</v>
      </c>
      <c r="X147" s="13">
        <f t="shared" ref="X147:X210" si="26">IF(P147="折扣",V147*Q147,IF(P147="返现",V147,V147/(1+Q147)))</f>
        <v>117754.36</v>
      </c>
      <c r="Y147" s="13">
        <f t="shared" si="21"/>
        <v>0</v>
      </c>
      <c r="Z147" s="2">
        <v>0</v>
      </c>
      <c r="AA147" s="4">
        <v>0</v>
      </c>
      <c r="AB147" s="4">
        <f t="shared" si="22"/>
        <v>117754.36</v>
      </c>
      <c r="AC147" s="6">
        <f t="shared" si="23"/>
        <v>0</v>
      </c>
      <c r="AD147" s="13">
        <f t="shared" ref="AD147:AD210" si="27">V147</f>
        <v>117754.36</v>
      </c>
      <c r="AE147" s="2">
        <v>0.05</v>
      </c>
      <c r="AF147" s="5">
        <f t="shared" si="24"/>
        <v>5887.7180000000008</v>
      </c>
      <c r="AG147" s="2">
        <v>0</v>
      </c>
      <c r="AH147" s="5">
        <f t="shared" ref="AH147:AH210" si="28">V147</f>
        <v>117754.36</v>
      </c>
      <c r="AJ147" s="126" t="e">
        <v>#N/A</v>
      </c>
      <c r="AK147" s="80">
        <f t="shared" si="25"/>
        <v>0</v>
      </c>
      <c r="AM147" s="85"/>
    </row>
    <row r="148" spans="1:39" hidden="1" x14ac:dyDescent="0.3">
      <c r="A148" s="85" t="s">
        <v>34</v>
      </c>
      <c r="B148" s="15" t="s">
        <v>35</v>
      </c>
      <c r="C148" s="15" t="s">
        <v>144</v>
      </c>
      <c r="D148" s="15" t="s">
        <v>145</v>
      </c>
      <c r="E148" s="15" t="s">
        <v>240</v>
      </c>
      <c r="F148" s="15" t="s">
        <v>240</v>
      </c>
      <c r="G148" s="15" t="s">
        <v>240</v>
      </c>
      <c r="H148" s="139"/>
      <c r="I148" s="3" t="s">
        <v>3356</v>
      </c>
      <c r="J148" s="1" t="s">
        <v>3326</v>
      </c>
      <c r="K148" s="1" t="s">
        <v>3712</v>
      </c>
      <c r="L148" s="1" t="s">
        <v>35</v>
      </c>
      <c r="M148" s="95"/>
      <c r="N148" s="3" t="s">
        <v>3729</v>
      </c>
      <c r="O148" s="8" t="s">
        <v>45</v>
      </c>
      <c r="P148" s="8" t="s">
        <v>41</v>
      </c>
      <c r="Q148" s="9">
        <v>0</v>
      </c>
      <c r="R148" s="138"/>
      <c r="T148" s="18">
        <v>132865.17000000016</v>
      </c>
      <c r="U148" s="4">
        <v>0</v>
      </c>
      <c r="V148" s="4">
        <v>0</v>
      </c>
      <c r="W148" s="13">
        <f t="shared" ref="W148:W211" si="29">T148+U148-V148</f>
        <v>132865.17000000016</v>
      </c>
      <c r="X148" s="13">
        <f t="shared" si="26"/>
        <v>0</v>
      </c>
      <c r="Y148" s="13">
        <f t="shared" si="21"/>
        <v>0</v>
      </c>
      <c r="Z148" s="2">
        <v>0</v>
      </c>
      <c r="AA148" s="4">
        <v>0</v>
      </c>
      <c r="AB148" s="4">
        <f t="shared" si="22"/>
        <v>0</v>
      </c>
      <c r="AC148" s="6">
        <f t="shared" si="23"/>
        <v>0</v>
      </c>
      <c r="AD148" s="13">
        <f t="shared" si="27"/>
        <v>0</v>
      </c>
      <c r="AE148" s="2">
        <v>0.05</v>
      </c>
      <c r="AF148" s="5">
        <f t="shared" si="24"/>
        <v>0</v>
      </c>
      <c r="AG148" s="2">
        <v>0</v>
      </c>
      <c r="AH148" s="5">
        <f t="shared" si="28"/>
        <v>0</v>
      </c>
      <c r="AJ148" s="126" t="e">
        <v>#N/A</v>
      </c>
      <c r="AK148" s="80">
        <f t="shared" si="25"/>
        <v>0</v>
      </c>
      <c r="AM148" s="85"/>
    </row>
    <row r="149" spans="1:39" hidden="1" x14ac:dyDescent="0.3">
      <c r="A149" s="85" t="s">
        <v>34</v>
      </c>
      <c r="B149" s="15" t="s">
        <v>35</v>
      </c>
      <c r="C149" s="15" t="s">
        <v>144</v>
      </c>
      <c r="D149" s="15" t="s">
        <v>152</v>
      </c>
      <c r="E149" s="15" t="s">
        <v>153</v>
      </c>
      <c r="F149" s="15" t="s">
        <v>153</v>
      </c>
      <c r="G149" s="15" t="s">
        <v>153</v>
      </c>
      <c r="H149" s="139"/>
      <c r="I149" s="3" t="s">
        <v>3356</v>
      </c>
      <c r="J149" s="1" t="s">
        <v>3326</v>
      </c>
      <c r="K149" s="1" t="s">
        <v>3710</v>
      </c>
      <c r="L149" s="1" t="s">
        <v>35</v>
      </c>
      <c r="M149" s="95"/>
      <c r="N149" s="3" t="s">
        <v>3711</v>
      </c>
      <c r="O149" s="8" t="s">
        <v>45</v>
      </c>
      <c r="P149" s="8" t="s">
        <v>41</v>
      </c>
      <c r="Q149" s="9">
        <v>0</v>
      </c>
      <c r="R149" s="138"/>
      <c r="T149" s="18">
        <v>47559.160000000062</v>
      </c>
      <c r="U149" s="4">
        <v>0</v>
      </c>
      <c r="V149" s="4">
        <v>0</v>
      </c>
      <c r="W149" s="13">
        <v>0</v>
      </c>
      <c r="X149" s="13">
        <f t="shared" si="26"/>
        <v>0</v>
      </c>
      <c r="Y149" s="13">
        <f t="shared" si="21"/>
        <v>0</v>
      </c>
      <c r="Z149" s="2">
        <v>0</v>
      </c>
      <c r="AA149" s="4">
        <v>0</v>
      </c>
      <c r="AB149" s="4">
        <f t="shared" si="22"/>
        <v>0</v>
      </c>
      <c r="AC149" s="6">
        <f t="shared" si="23"/>
        <v>0</v>
      </c>
      <c r="AD149" s="13">
        <f t="shared" si="27"/>
        <v>0</v>
      </c>
      <c r="AE149" s="2">
        <v>0.05</v>
      </c>
      <c r="AF149" s="5">
        <f t="shared" si="24"/>
        <v>0</v>
      </c>
      <c r="AG149" s="2">
        <v>0</v>
      </c>
      <c r="AH149" s="5">
        <f t="shared" si="28"/>
        <v>0</v>
      </c>
      <c r="AJ149" s="126" t="e">
        <v>#N/A</v>
      </c>
      <c r="AK149" s="80">
        <f t="shared" si="25"/>
        <v>0</v>
      </c>
      <c r="AM149" s="85"/>
    </row>
    <row r="150" spans="1:39" hidden="1" x14ac:dyDescent="0.3">
      <c r="A150" s="85" t="s">
        <v>34</v>
      </c>
      <c r="B150" s="15" t="s">
        <v>35</v>
      </c>
      <c r="C150" s="15" t="s">
        <v>144</v>
      </c>
      <c r="D150" s="15" t="s">
        <v>152</v>
      </c>
      <c r="E150" s="15" t="s">
        <v>241</v>
      </c>
      <c r="F150" s="15" t="s">
        <v>241</v>
      </c>
      <c r="G150" s="15" t="s">
        <v>241</v>
      </c>
      <c r="H150" s="154"/>
      <c r="I150" s="3" t="s">
        <v>3356</v>
      </c>
      <c r="J150" s="1" t="s">
        <v>3326</v>
      </c>
      <c r="K150" s="1" t="s">
        <v>3710</v>
      </c>
      <c r="L150" s="1" t="s">
        <v>35</v>
      </c>
      <c r="M150" s="95"/>
      <c r="N150" s="3" t="s">
        <v>3710</v>
      </c>
      <c r="O150" s="8" t="s">
        <v>45</v>
      </c>
      <c r="P150" s="8" t="s">
        <v>41</v>
      </c>
      <c r="Q150" s="9">
        <v>0</v>
      </c>
      <c r="R150" s="138"/>
      <c r="T150" s="18">
        <v>50000</v>
      </c>
      <c r="U150" s="4">
        <v>0</v>
      </c>
      <c r="V150" s="4">
        <v>18593.340000000004</v>
      </c>
      <c r="W150" s="13">
        <f t="shared" si="29"/>
        <v>31406.659999999996</v>
      </c>
      <c r="X150" s="13">
        <f t="shared" si="26"/>
        <v>18593.340000000004</v>
      </c>
      <c r="Y150" s="13">
        <f t="shared" si="21"/>
        <v>0</v>
      </c>
      <c r="Z150" s="2">
        <v>0</v>
      </c>
      <c r="AA150" s="4">
        <v>0</v>
      </c>
      <c r="AB150" s="4">
        <f t="shared" si="22"/>
        <v>18593.340000000004</v>
      </c>
      <c r="AC150" s="6">
        <f t="shared" si="23"/>
        <v>0</v>
      </c>
      <c r="AD150" s="13">
        <f t="shared" si="27"/>
        <v>18593.340000000004</v>
      </c>
      <c r="AE150" s="2">
        <v>0.05</v>
      </c>
      <c r="AF150" s="5">
        <f t="shared" si="24"/>
        <v>929.66700000000026</v>
      </c>
      <c r="AG150" s="2">
        <v>0</v>
      </c>
      <c r="AH150" s="5">
        <f t="shared" si="28"/>
        <v>18593.340000000004</v>
      </c>
      <c r="AJ150" s="126" t="e">
        <v>#N/A</v>
      </c>
      <c r="AK150" s="80">
        <f t="shared" si="25"/>
        <v>0</v>
      </c>
      <c r="AM150" s="85"/>
    </row>
    <row r="151" spans="1:39" hidden="1" x14ac:dyDescent="0.3">
      <c r="A151" s="85" t="s">
        <v>34</v>
      </c>
      <c r="B151" s="15" t="s">
        <v>35</v>
      </c>
      <c r="C151" s="15" t="s">
        <v>144</v>
      </c>
      <c r="D151" s="15" t="s">
        <v>161</v>
      </c>
      <c r="E151" s="15" t="s">
        <v>242</v>
      </c>
      <c r="F151" s="15" t="s">
        <v>243</v>
      </c>
      <c r="G151" s="15" t="s">
        <v>242</v>
      </c>
      <c r="H151" s="139"/>
      <c r="I151" s="3" t="s">
        <v>3356</v>
      </c>
      <c r="J151" s="1" t="s">
        <v>3326</v>
      </c>
      <c r="K151" s="1" t="s">
        <v>3712</v>
      </c>
      <c r="L151" s="1" t="s">
        <v>35</v>
      </c>
      <c r="M151" s="95"/>
      <c r="N151" s="3" t="s">
        <v>3729</v>
      </c>
      <c r="O151" s="8" t="s">
        <v>45</v>
      </c>
      <c r="P151" s="8" t="s">
        <v>41</v>
      </c>
      <c r="Q151" s="9">
        <v>0</v>
      </c>
      <c r="R151" s="138"/>
      <c r="T151" s="18">
        <v>15439.349999999999</v>
      </c>
      <c r="U151" s="4">
        <v>0</v>
      </c>
      <c r="V151" s="4">
        <v>0</v>
      </c>
      <c r="W151" s="13">
        <f t="shared" si="29"/>
        <v>15439.349999999999</v>
      </c>
      <c r="X151" s="13">
        <f t="shared" si="26"/>
        <v>0</v>
      </c>
      <c r="Y151" s="13">
        <f t="shared" si="21"/>
        <v>0</v>
      </c>
      <c r="Z151" s="2">
        <v>0</v>
      </c>
      <c r="AA151" s="4">
        <v>0</v>
      </c>
      <c r="AB151" s="4">
        <f t="shared" si="22"/>
        <v>0</v>
      </c>
      <c r="AC151" s="6">
        <f t="shared" si="23"/>
        <v>0</v>
      </c>
      <c r="AD151" s="13">
        <f t="shared" si="27"/>
        <v>0</v>
      </c>
      <c r="AE151" s="2">
        <v>0.05</v>
      </c>
      <c r="AF151" s="5">
        <f t="shared" si="24"/>
        <v>0</v>
      </c>
      <c r="AG151" s="2">
        <v>0</v>
      </c>
      <c r="AH151" s="5">
        <f t="shared" si="28"/>
        <v>0</v>
      </c>
      <c r="AJ151" s="126" t="e">
        <v>#N/A</v>
      </c>
      <c r="AK151" s="80">
        <f t="shared" si="25"/>
        <v>0</v>
      </c>
      <c r="AM151" s="85"/>
    </row>
    <row r="152" spans="1:39" hidden="1" x14ac:dyDescent="0.3">
      <c r="A152" s="85" t="s">
        <v>34</v>
      </c>
      <c r="B152" s="15" t="s">
        <v>35</v>
      </c>
      <c r="C152" s="15" t="s">
        <v>144</v>
      </c>
      <c r="D152" s="15" t="s">
        <v>161</v>
      </c>
      <c r="E152" s="15" t="s">
        <v>244</v>
      </c>
      <c r="F152" s="15" t="s">
        <v>244</v>
      </c>
      <c r="G152" s="15" t="s">
        <v>244</v>
      </c>
      <c r="H152" s="139"/>
      <c r="I152" s="3" t="s">
        <v>3356</v>
      </c>
      <c r="J152" s="1" t="s">
        <v>3326</v>
      </c>
      <c r="K152" s="1" t="s">
        <v>3712</v>
      </c>
      <c r="L152" s="1" t="s">
        <v>35</v>
      </c>
      <c r="M152" s="95"/>
      <c r="N152" s="3" t="s">
        <v>3729</v>
      </c>
      <c r="O152" s="8" t="s">
        <v>45</v>
      </c>
      <c r="P152" s="8" t="s">
        <v>46</v>
      </c>
      <c r="Q152" s="9">
        <v>0.06</v>
      </c>
      <c r="R152" s="138"/>
      <c r="T152" s="18">
        <v>50000</v>
      </c>
      <c r="U152" s="4">
        <v>0</v>
      </c>
      <c r="V152" s="4">
        <v>0</v>
      </c>
      <c r="W152" s="13">
        <f t="shared" si="29"/>
        <v>50000</v>
      </c>
      <c r="X152" s="13">
        <f t="shared" si="26"/>
        <v>0</v>
      </c>
      <c r="Y152" s="13">
        <f t="shared" si="21"/>
        <v>0</v>
      </c>
      <c r="Z152" s="2">
        <v>0</v>
      </c>
      <c r="AA152" s="4">
        <v>0</v>
      </c>
      <c r="AB152" s="4">
        <f t="shared" si="22"/>
        <v>0</v>
      </c>
      <c r="AC152" s="6">
        <f t="shared" si="23"/>
        <v>0</v>
      </c>
      <c r="AD152" s="13">
        <f t="shared" si="27"/>
        <v>0</v>
      </c>
      <c r="AE152" s="2">
        <v>0.05</v>
      </c>
      <c r="AF152" s="5">
        <f t="shared" si="24"/>
        <v>0</v>
      </c>
      <c r="AG152" s="2">
        <v>0</v>
      </c>
      <c r="AH152" s="5">
        <f t="shared" si="28"/>
        <v>0</v>
      </c>
      <c r="AJ152" s="126" t="e">
        <v>#N/A</v>
      </c>
      <c r="AK152" s="80">
        <f t="shared" si="25"/>
        <v>0</v>
      </c>
      <c r="AM152" s="85"/>
    </row>
    <row r="153" spans="1:39" hidden="1" x14ac:dyDescent="0.3">
      <c r="A153" s="85" t="s">
        <v>34</v>
      </c>
      <c r="B153" s="15" t="s">
        <v>35</v>
      </c>
      <c r="C153" s="15" t="s">
        <v>164</v>
      </c>
      <c r="D153" s="15" t="s">
        <v>165</v>
      </c>
      <c r="E153" s="15" t="s">
        <v>166</v>
      </c>
      <c r="F153" s="15" t="s">
        <v>245</v>
      </c>
      <c r="G153" s="15" t="s">
        <v>166</v>
      </c>
      <c r="H153" s="154"/>
      <c r="I153" s="3" t="s">
        <v>3356</v>
      </c>
      <c r="J153" s="1" t="s">
        <v>3326</v>
      </c>
      <c r="K153" s="1" t="s">
        <v>3710</v>
      </c>
      <c r="L153" s="1" t="s">
        <v>35</v>
      </c>
      <c r="M153" s="95"/>
      <c r="N153" s="3" t="s">
        <v>3714</v>
      </c>
      <c r="O153" s="8" t="s">
        <v>45</v>
      </c>
      <c r="P153" s="8" t="s">
        <v>353</v>
      </c>
      <c r="Q153" s="9">
        <v>0.04</v>
      </c>
      <c r="R153" s="138"/>
      <c r="T153" s="18">
        <v>200000</v>
      </c>
      <c r="U153" s="4">
        <v>0</v>
      </c>
      <c r="V153" s="4">
        <v>274632.5</v>
      </c>
      <c r="W153" s="13">
        <f t="shared" si="29"/>
        <v>-74632.5</v>
      </c>
      <c r="X153" s="13">
        <f t="shared" si="26"/>
        <v>264069.7115384615</v>
      </c>
      <c r="Y153" s="13">
        <f t="shared" si="21"/>
        <v>0</v>
      </c>
      <c r="Z153" s="2">
        <v>0</v>
      </c>
      <c r="AA153" s="4">
        <v>0</v>
      </c>
      <c r="AB153" s="4">
        <f t="shared" si="22"/>
        <v>264069.7115384615</v>
      </c>
      <c r="AC153" s="6">
        <f t="shared" si="23"/>
        <v>10562.788461538497</v>
      </c>
      <c r="AD153" s="13">
        <f t="shared" si="27"/>
        <v>274632.5</v>
      </c>
      <c r="AE153" s="2">
        <v>0.05</v>
      </c>
      <c r="AF153" s="5">
        <f t="shared" si="24"/>
        <v>13731.625</v>
      </c>
      <c r="AG153" s="2">
        <v>0</v>
      </c>
      <c r="AH153" s="5">
        <f t="shared" si="28"/>
        <v>274632.5</v>
      </c>
      <c r="AJ153" s="126" t="e">
        <v>#N/A</v>
      </c>
      <c r="AK153" s="80">
        <f t="shared" si="25"/>
        <v>0</v>
      </c>
      <c r="AM153" s="85"/>
    </row>
    <row r="154" spans="1:39" hidden="1" x14ac:dyDescent="0.3">
      <c r="A154" s="85" t="s">
        <v>34</v>
      </c>
      <c r="B154" s="15" t="s">
        <v>35</v>
      </c>
      <c r="C154" s="15" t="s">
        <v>164</v>
      </c>
      <c r="D154" s="15" t="s">
        <v>169</v>
      </c>
      <c r="E154" s="15" t="s">
        <v>247</v>
      </c>
      <c r="F154" s="15" t="s">
        <v>247</v>
      </c>
      <c r="G154" s="15" t="s">
        <v>247</v>
      </c>
      <c r="H154" s="139"/>
      <c r="I154" s="3" t="s">
        <v>3356</v>
      </c>
      <c r="J154" s="1" t="s">
        <v>3326</v>
      </c>
      <c r="K154" s="1" t="s">
        <v>3710</v>
      </c>
      <c r="L154" s="1" t="s">
        <v>35</v>
      </c>
      <c r="M154" s="95"/>
      <c r="N154" s="3" t="s">
        <v>3710</v>
      </c>
      <c r="O154" s="8" t="s">
        <v>45</v>
      </c>
      <c r="P154" s="8" t="s">
        <v>41</v>
      </c>
      <c r="Q154" s="9">
        <v>0</v>
      </c>
      <c r="R154" s="138"/>
      <c r="T154" s="18">
        <v>626655.07999999996</v>
      </c>
      <c r="U154" s="4">
        <v>0</v>
      </c>
      <c r="V154" s="4">
        <v>0</v>
      </c>
      <c r="W154" s="13">
        <f t="shared" si="29"/>
        <v>626655.07999999996</v>
      </c>
      <c r="X154" s="13">
        <f t="shared" si="26"/>
        <v>0</v>
      </c>
      <c r="Y154" s="13">
        <f t="shared" si="21"/>
        <v>0</v>
      </c>
      <c r="Z154" s="2">
        <v>0</v>
      </c>
      <c r="AA154" s="4">
        <v>0</v>
      </c>
      <c r="AB154" s="4">
        <f t="shared" si="22"/>
        <v>0</v>
      </c>
      <c r="AC154" s="6">
        <f t="shared" si="23"/>
        <v>0</v>
      </c>
      <c r="AD154" s="13">
        <f t="shared" si="27"/>
        <v>0</v>
      </c>
      <c r="AE154" s="2">
        <v>0.05</v>
      </c>
      <c r="AF154" s="5">
        <f t="shared" si="24"/>
        <v>0</v>
      </c>
      <c r="AG154" s="2">
        <v>0</v>
      </c>
      <c r="AH154" s="5">
        <f t="shared" si="28"/>
        <v>0</v>
      </c>
      <c r="AJ154" s="126" t="e">
        <v>#N/A</v>
      </c>
      <c r="AK154" s="80">
        <f t="shared" si="25"/>
        <v>0</v>
      </c>
      <c r="AM154" s="85"/>
    </row>
    <row r="155" spans="1:39" hidden="1" x14ac:dyDescent="0.3">
      <c r="A155" s="85" t="s">
        <v>34</v>
      </c>
      <c r="B155" s="15" t="s">
        <v>35</v>
      </c>
      <c r="C155" s="15" t="s">
        <v>187</v>
      </c>
      <c r="D155" s="15" t="s">
        <v>188</v>
      </c>
      <c r="E155" s="15" t="s">
        <v>189</v>
      </c>
      <c r="F155" s="15" t="s">
        <v>189</v>
      </c>
      <c r="G155" s="15" t="s">
        <v>189</v>
      </c>
      <c r="H155" s="154"/>
      <c r="I155" s="3" t="s">
        <v>3356</v>
      </c>
      <c r="J155" s="1" t="s">
        <v>3326</v>
      </c>
      <c r="K155" s="1" t="s">
        <v>3283</v>
      </c>
      <c r="L155" s="1" t="s">
        <v>35</v>
      </c>
      <c r="M155" s="95"/>
      <c r="N155" s="3" t="s">
        <v>80</v>
      </c>
      <c r="O155" s="8" t="s">
        <v>45</v>
      </c>
      <c r="P155" s="8" t="s">
        <v>46</v>
      </c>
      <c r="Q155" s="9">
        <v>0.04</v>
      </c>
      <c r="R155" s="138"/>
      <c r="T155" s="18">
        <v>713776.1400000006</v>
      </c>
      <c r="U155" s="4">
        <v>0</v>
      </c>
      <c r="V155" s="18">
        <v>713776.1400000006</v>
      </c>
      <c r="W155" s="13">
        <f t="shared" si="29"/>
        <v>0</v>
      </c>
      <c r="X155" s="13">
        <f t="shared" si="26"/>
        <v>686323.21153846208</v>
      </c>
      <c r="Y155" s="13">
        <f t="shared" si="21"/>
        <v>0</v>
      </c>
      <c r="Z155" s="2">
        <v>0</v>
      </c>
      <c r="AA155" s="4">
        <v>0</v>
      </c>
      <c r="AB155" s="4">
        <f t="shared" si="22"/>
        <v>686323.21153846208</v>
      </c>
      <c r="AC155" s="6">
        <f t="shared" si="23"/>
        <v>27452.928461538511</v>
      </c>
      <c r="AD155" s="13">
        <f t="shared" si="27"/>
        <v>713776.1400000006</v>
      </c>
      <c r="AE155" s="2">
        <v>0.05</v>
      </c>
      <c r="AF155" s="5">
        <f t="shared" si="24"/>
        <v>35688.80700000003</v>
      </c>
      <c r="AG155" s="2">
        <v>0</v>
      </c>
      <c r="AH155" s="5">
        <f t="shared" si="28"/>
        <v>713776.1400000006</v>
      </c>
      <c r="AJ155" s="126" t="e">
        <v>#N/A</v>
      </c>
      <c r="AK155" s="80">
        <f t="shared" si="25"/>
        <v>0</v>
      </c>
      <c r="AM155" s="85"/>
    </row>
    <row r="156" spans="1:39" hidden="1" x14ac:dyDescent="0.3">
      <c r="A156" s="85" t="s">
        <v>34</v>
      </c>
      <c r="B156" s="15" t="s">
        <v>35</v>
      </c>
      <c r="C156" s="15" t="s">
        <v>187</v>
      </c>
      <c r="D156" s="15" t="s">
        <v>188</v>
      </c>
      <c r="E156" s="15" t="s">
        <v>190</v>
      </c>
      <c r="F156" s="15" t="s">
        <v>190</v>
      </c>
      <c r="G156" s="15" t="s">
        <v>190</v>
      </c>
      <c r="H156" s="139"/>
      <c r="I156" s="3" t="s">
        <v>3356</v>
      </c>
      <c r="J156" s="1" t="s">
        <v>3326</v>
      </c>
      <c r="K156" s="1" t="s">
        <v>3283</v>
      </c>
      <c r="L156" s="1" t="s">
        <v>35</v>
      </c>
      <c r="M156" s="95"/>
      <c r="N156" s="3" t="s">
        <v>80</v>
      </c>
      <c r="O156" s="8" t="s">
        <v>45</v>
      </c>
      <c r="P156" s="8" t="s">
        <v>46</v>
      </c>
      <c r="Q156" s="9">
        <v>0.06</v>
      </c>
      <c r="R156" s="138"/>
      <c r="T156" s="18">
        <v>89008.959999999905</v>
      </c>
      <c r="U156" s="4">
        <v>0</v>
      </c>
      <c r="V156" s="4">
        <v>0</v>
      </c>
      <c r="W156" s="13">
        <f t="shared" si="29"/>
        <v>89008.959999999905</v>
      </c>
      <c r="X156" s="13">
        <f t="shared" si="26"/>
        <v>0</v>
      </c>
      <c r="Y156" s="13">
        <f t="shared" si="21"/>
        <v>0</v>
      </c>
      <c r="Z156" s="2">
        <v>0</v>
      </c>
      <c r="AA156" s="4">
        <v>0</v>
      </c>
      <c r="AB156" s="4">
        <f t="shared" si="22"/>
        <v>0</v>
      </c>
      <c r="AC156" s="6">
        <f t="shared" si="23"/>
        <v>0</v>
      </c>
      <c r="AD156" s="13">
        <f t="shared" si="27"/>
        <v>0</v>
      </c>
      <c r="AE156" s="2">
        <v>0.05</v>
      </c>
      <c r="AF156" s="5">
        <f t="shared" si="24"/>
        <v>0</v>
      </c>
      <c r="AG156" s="2">
        <v>0</v>
      </c>
      <c r="AH156" s="5">
        <f t="shared" si="28"/>
        <v>0</v>
      </c>
      <c r="AJ156" s="126" t="e">
        <v>#N/A</v>
      </c>
      <c r="AK156" s="80">
        <f t="shared" si="25"/>
        <v>0</v>
      </c>
      <c r="AM156" s="85"/>
    </row>
    <row r="157" spans="1:39" hidden="1" x14ac:dyDescent="0.3">
      <c r="A157" s="85" t="s">
        <v>34</v>
      </c>
      <c r="B157" s="15" t="s">
        <v>35</v>
      </c>
      <c r="C157" s="15" t="s">
        <v>187</v>
      </c>
      <c r="D157" s="15" t="s">
        <v>188</v>
      </c>
      <c r="E157" s="15" t="s">
        <v>195</v>
      </c>
      <c r="F157" s="15" t="s">
        <v>195</v>
      </c>
      <c r="G157" s="15" t="s">
        <v>195</v>
      </c>
      <c r="H157" s="154"/>
      <c r="I157" s="3" t="s">
        <v>3356</v>
      </c>
      <c r="J157" s="1" t="s">
        <v>3326</v>
      </c>
      <c r="K157" s="1" t="s">
        <v>3283</v>
      </c>
      <c r="L157" s="1" t="s">
        <v>35</v>
      </c>
      <c r="M157" s="95"/>
      <c r="N157" s="3" t="s">
        <v>80</v>
      </c>
      <c r="O157" s="8" t="s">
        <v>45</v>
      </c>
      <c r="P157" s="8" t="s">
        <v>46</v>
      </c>
      <c r="Q157" s="9">
        <v>0.02</v>
      </c>
      <c r="R157" s="138"/>
      <c r="T157" s="18">
        <v>533944.93000000529</v>
      </c>
      <c r="U157" s="4">
        <v>0</v>
      </c>
      <c r="V157" s="18">
        <v>533944.93000000529</v>
      </c>
      <c r="W157" s="13">
        <f t="shared" si="29"/>
        <v>0</v>
      </c>
      <c r="X157" s="13">
        <f t="shared" si="26"/>
        <v>523475.42156863265</v>
      </c>
      <c r="Y157" s="13">
        <f t="shared" si="21"/>
        <v>0</v>
      </c>
      <c r="Z157" s="2">
        <v>0</v>
      </c>
      <c r="AA157" s="4">
        <v>0</v>
      </c>
      <c r="AB157" s="4">
        <f t="shared" si="22"/>
        <v>523475.42156863265</v>
      </c>
      <c r="AC157" s="6">
        <f t="shared" si="23"/>
        <v>10469.50843137264</v>
      </c>
      <c r="AD157" s="13">
        <f t="shared" si="27"/>
        <v>533944.93000000529</v>
      </c>
      <c r="AE157" s="2">
        <v>0.05</v>
      </c>
      <c r="AF157" s="5">
        <f t="shared" si="24"/>
        <v>26697.246500000267</v>
      </c>
      <c r="AG157" s="2">
        <v>0</v>
      </c>
      <c r="AH157" s="5">
        <f t="shared" si="28"/>
        <v>533944.93000000529</v>
      </c>
      <c r="AJ157" s="126" t="e">
        <v>#N/A</v>
      </c>
      <c r="AK157" s="80">
        <f t="shared" si="25"/>
        <v>0</v>
      </c>
      <c r="AM157" s="85"/>
    </row>
    <row r="158" spans="1:39" hidden="1" x14ac:dyDescent="0.3">
      <c r="A158" s="85" t="s">
        <v>34</v>
      </c>
      <c r="B158" s="15" t="s">
        <v>35</v>
      </c>
      <c r="C158" s="15" t="s">
        <v>187</v>
      </c>
      <c r="D158" s="15" t="s">
        <v>188</v>
      </c>
      <c r="E158" s="15" t="s">
        <v>198</v>
      </c>
      <c r="F158" s="15" t="s">
        <v>198</v>
      </c>
      <c r="G158" s="15" t="s">
        <v>198</v>
      </c>
      <c r="H158" s="154"/>
      <c r="I158" s="3" t="s">
        <v>3356</v>
      </c>
      <c r="J158" s="1" t="s">
        <v>3326</v>
      </c>
      <c r="K158" s="1" t="s">
        <v>3283</v>
      </c>
      <c r="L158" s="1" t="s">
        <v>35</v>
      </c>
      <c r="M158" s="95"/>
      <c r="N158" s="3" t="s">
        <v>80</v>
      </c>
      <c r="O158" s="8" t="s">
        <v>45</v>
      </c>
      <c r="P158" s="8" t="s">
        <v>46</v>
      </c>
      <c r="Q158" s="9">
        <v>0.02</v>
      </c>
      <c r="R158" s="138"/>
      <c r="T158" s="18">
        <v>47067.239999999641</v>
      </c>
      <c r="U158" s="4">
        <v>0</v>
      </c>
      <c r="V158" s="18">
        <v>47067.239999999641</v>
      </c>
      <c r="W158" s="13">
        <f t="shared" si="29"/>
        <v>0</v>
      </c>
      <c r="X158" s="13">
        <f t="shared" si="26"/>
        <v>46144.352941176119</v>
      </c>
      <c r="Y158" s="13">
        <f t="shared" si="21"/>
        <v>0</v>
      </c>
      <c r="Z158" s="2">
        <v>0</v>
      </c>
      <c r="AA158" s="4">
        <v>0</v>
      </c>
      <c r="AB158" s="4">
        <f t="shared" si="22"/>
        <v>46144.352941176119</v>
      </c>
      <c r="AC158" s="6">
        <f t="shared" si="23"/>
        <v>922.88705882352224</v>
      </c>
      <c r="AD158" s="13">
        <f t="shared" si="27"/>
        <v>47067.239999999641</v>
      </c>
      <c r="AE158" s="2">
        <v>0.05</v>
      </c>
      <c r="AF158" s="5">
        <f t="shared" si="24"/>
        <v>2353.3619999999823</v>
      </c>
      <c r="AG158" s="2">
        <v>0</v>
      </c>
      <c r="AH158" s="5">
        <f t="shared" si="28"/>
        <v>47067.239999999641</v>
      </c>
      <c r="AJ158" s="126" t="e">
        <v>#N/A</v>
      </c>
      <c r="AK158" s="80">
        <f t="shared" si="25"/>
        <v>0</v>
      </c>
      <c r="AM158" s="85"/>
    </row>
    <row r="159" spans="1:39" hidden="1" x14ac:dyDescent="0.3">
      <c r="A159" s="85" t="s">
        <v>34</v>
      </c>
      <c r="B159" s="15" t="s">
        <v>35</v>
      </c>
      <c r="C159" s="15" t="s">
        <v>187</v>
      </c>
      <c r="D159" s="15" t="s">
        <v>188</v>
      </c>
      <c r="E159" s="15" t="s">
        <v>201</v>
      </c>
      <c r="F159" s="15" t="s">
        <v>201</v>
      </c>
      <c r="G159" s="15" t="s">
        <v>201</v>
      </c>
      <c r="H159" s="154"/>
      <c r="I159" s="3" t="s">
        <v>3356</v>
      </c>
      <c r="J159" s="1" t="s">
        <v>3326</v>
      </c>
      <c r="K159" s="1" t="s">
        <v>3283</v>
      </c>
      <c r="L159" s="1" t="s">
        <v>35</v>
      </c>
      <c r="M159" s="95"/>
      <c r="N159" s="3" t="s">
        <v>80</v>
      </c>
      <c r="O159" s="8" t="s">
        <v>45</v>
      </c>
      <c r="P159" s="8" t="s">
        <v>46</v>
      </c>
      <c r="Q159" s="9">
        <v>0.04</v>
      </c>
      <c r="R159" s="138"/>
      <c r="T159" s="18">
        <v>968277.44999999925</v>
      </c>
      <c r="U159" s="4">
        <v>0</v>
      </c>
      <c r="V159" s="18">
        <v>968277.44999999925</v>
      </c>
      <c r="W159" s="13">
        <f t="shared" si="29"/>
        <v>0</v>
      </c>
      <c r="X159" s="13">
        <f t="shared" si="26"/>
        <v>931036.00961538381</v>
      </c>
      <c r="Y159" s="13">
        <f t="shared" si="21"/>
        <v>0</v>
      </c>
      <c r="Z159" s="2">
        <v>0</v>
      </c>
      <c r="AA159" s="4">
        <v>0</v>
      </c>
      <c r="AB159" s="4">
        <f t="shared" si="22"/>
        <v>931036.00961538381</v>
      </c>
      <c r="AC159" s="6">
        <f t="shared" si="23"/>
        <v>37241.440384615446</v>
      </c>
      <c r="AD159" s="13">
        <f t="shared" si="27"/>
        <v>968277.44999999925</v>
      </c>
      <c r="AE159" s="2">
        <v>0.05</v>
      </c>
      <c r="AF159" s="5">
        <f t="shared" si="24"/>
        <v>48413.872499999969</v>
      </c>
      <c r="AG159" s="2">
        <v>0</v>
      </c>
      <c r="AH159" s="5">
        <f t="shared" si="28"/>
        <v>968277.44999999925</v>
      </c>
      <c r="AJ159" s="126" t="e">
        <v>#N/A</v>
      </c>
      <c r="AK159" s="80">
        <f t="shared" si="25"/>
        <v>0</v>
      </c>
      <c r="AM159" s="85"/>
    </row>
    <row r="160" spans="1:39" hidden="1" x14ac:dyDescent="0.3">
      <c r="A160" s="85" t="s">
        <v>34</v>
      </c>
      <c r="B160" s="15" t="s">
        <v>35</v>
      </c>
      <c r="C160" s="15" t="s">
        <v>187</v>
      </c>
      <c r="D160" s="15" t="s">
        <v>188</v>
      </c>
      <c r="E160" s="15" t="s">
        <v>202</v>
      </c>
      <c r="F160" s="15" t="s">
        <v>202</v>
      </c>
      <c r="G160" s="15" t="s">
        <v>202</v>
      </c>
      <c r="H160" s="154"/>
      <c r="I160" s="3" t="s">
        <v>3356</v>
      </c>
      <c r="J160" s="1" t="s">
        <v>3326</v>
      </c>
      <c r="K160" s="1" t="s">
        <v>3283</v>
      </c>
      <c r="L160" s="1" t="s">
        <v>35</v>
      </c>
      <c r="M160" s="95"/>
      <c r="N160" s="3" t="s">
        <v>80</v>
      </c>
      <c r="O160" s="8" t="s">
        <v>45</v>
      </c>
      <c r="P160" s="8" t="s">
        <v>46</v>
      </c>
      <c r="Q160" s="9">
        <v>0.04</v>
      </c>
      <c r="R160" s="138"/>
      <c r="T160" s="18">
        <v>3558097.2200000118</v>
      </c>
      <c r="U160" s="4">
        <v>0</v>
      </c>
      <c r="V160" s="4">
        <v>1081274.6700000002</v>
      </c>
      <c r="W160" s="13">
        <f t="shared" si="29"/>
        <v>2476822.5500000119</v>
      </c>
      <c r="X160" s="13">
        <f t="shared" si="26"/>
        <v>1039687.1826923079</v>
      </c>
      <c r="Y160" s="13">
        <f t="shared" si="21"/>
        <v>0</v>
      </c>
      <c r="Z160" s="2">
        <v>0</v>
      </c>
      <c r="AA160" s="4">
        <v>0</v>
      </c>
      <c r="AB160" s="4">
        <f t="shared" si="22"/>
        <v>1039687.1826923079</v>
      </c>
      <c r="AC160" s="6">
        <f t="shared" si="23"/>
        <v>41587.487307692296</v>
      </c>
      <c r="AD160" s="13">
        <f t="shared" si="27"/>
        <v>1081274.6700000002</v>
      </c>
      <c r="AE160" s="2">
        <v>0.05</v>
      </c>
      <c r="AF160" s="5">
        <f t="shared" si="24"/>
        <v>54063.733500000009</v>
      </c>
      <c r="AG160" s="2">
        <v>0</v>
      </c>
      <c r="AH160" s="5">
        <f t="shared" si="28"/>
        <v>1081274.6700000002</v>
      </c>
      <c r="AJ160" s="126" t="e">
        <v>#N/A</v>
      </c>
      <c r="AK160" s="80">
        <f t="shared" si="25"/>
        <v>0</v>
      </c>
      <c r="AM160" s="85"/>
    </row>
    <row r="161" spans="1:39" hidden="1" x14ac:dyDescent="0.3">
      <c r="A161" s="85" t="s">
        <v>34</v>
      </c>
      <c r="B161" s="15" t="s">
        <v>35</v>
      </c>
      <c r="C161" s="15" t="s">
        <v>187</v>
      </c>
      <c r="D161" s="15" t="s">
        <v>188</v>
      </c>
      <c r="E161" s="15" t="s">
        <v>248</v>
      </c>
      <c r="F161" s="15" t="s">
        <v>248</v>
      </c>
      <c r="G161" s="15" t="s">
        <v>248</v>
      </c>
      <c r="H161" s="154"/>
      <c r="I161" s="3" t="s">
        <v>3356</v>
      </c>
      <c r="J161" s="1" t="s">
        <v>3326</v>
      </c>
      <c r="K161" s="1" t="s">
        <v>3283</v>
      </c>
      <c r="L161" s="1" t="s">
        <v>35</v>
      </c>
      <c r="M161" s="95"/>
      <c r="N161" s="3" t="s">
        <v>80</v>
      </c>
      <c r="O161" s="8" t="s">
        <v>45</v>
      </c>
      <c r="P161" s="8" t="s">
        <v>46</v>
      </c>
      <c r="Q161" s="9">
        <v>0.02</v>
      </c>
      <c r="R161" s="138"/>
      <c r="T161" s="18">
        <v>104092.73999999941</v>
      </c>
      <c r="U161" s="4">
        <v>0</v>
      </c>
      <c r="V161" s="4">
        <v>49134.82</v>
      </c>
      <c r="W161" s="13">
        <f t="shared" si="29"/>
        <v>54957.919999999409</v>
      </c>
      <c r="X161" s="13">
        <f t="shared" si="26"/>
        <v>48171.392156862741</v>
      </c>
      <c r="Y161" s="13">
        <f t="shared" si="21"/>
        <v>0</v>
      </c>
      <c r="Z161" s="2">
        <v>0</v>
      </c>
      <c r="AA161" s="4">
        <v>0</v>
      </c>
      <c r="AB161" s="4">
        <f t="shared" si="22"/>
        <v>48171.392156862741</v>
      </c>
      <c r="AC161" s="6">
        <f t="shared" si="23"/>
        <v>963.42784313725861</v>
      </c>
      <c r="AD161" s="13">
        <f t="shared" si="27"/>
        <v>49134.82</v>
      </c>
      <c r="AE161" s="2">
        <v>0.05</v>
      </c>
      <c r="AF161" s="5">
        <f t="shared" si="24"/>
        <v>2456.741</v>
      </c>
      <c r="AG161" s="2">
        <v>0</v>
      </c>
      <c r="AH161" s="5">
        <f t="shared" si="28"/>
        <v>49134.82</v>
      </c>
      <c r="AJ161" s="126" t="e">
        <v>#N/A</v>
      </c>
      <c r="AK161" s="80">
        <f t="shared" si="25"/>
        <v>0</v>
      </c>
      <c r="AM161" s="85"/>
    </row>
    <row r="162" spans="1:39" hidden="1" x14ac:dyDescent="0.3">
      <c r="A162" s="85" t="s">
        <v>34</v>
      </c>
      <c r="B162" s="15" t="s">
        <v>35</v>
      </c>
      <c r="C162" s="15" t="s">
        <v>187</v>
      </c>
      <c r="D162" s="15" t="s">
        <v>188</v>
      </c>
      <c r="E162" s="15" t="s">
        <v>204</v>
      </c>
      <c r="F162" s="15" t="s">
        <v>204</v>
      </c>
      <c r="G162" s="15" t="s">
        <v>204</v>
      </c>
      <c r="H162" s="154"/>
      <c r="I162" s="3" t="s">
        <v>3356</v>
      </c>
      <c r="J162" s="1" t="s">
        <v>3326</v>
      </c>
      <c r="K162" s="1" t="s">
        <v>3283</v>
      </c>
      <c r="L162" s="1" t="s">
        <v>35</v>
      </c>
      <c r="M162" s="95"/>
      <c r="N162" s="3" t="s">
        <v>80</v>
      </c>
      <c r="O162" s="8" t="s">
        <v>45</v>
      </c>
      <c r="P162" s="8" t="s">
        <v>46</v>
      </c>
      <c r="Q162" s="9">
        <v>0.03</v>
      </c>
      <c r="R162" s="138"/>
      <c r="T162" s="18">
        <v>228170.82999999996</v>
      </c>
      <c r="U162" s="4">
        <v>0</v>
      </c>
      <c r="V162" s="18">
        <v>228170.82999999996</v>
      </c>
      <c r="W162" s="13">
        <f t="shared" si="29"/>
        <v>0</v>
      </c>
      <c r="X162" s="13">
        <f t="shared" si="26"/>
        <v>221525.07766990288</v>
      </c>
      <c r="Y162" s="13">
        <f t="shared" si="21"/>
        <v>0</v>
      </c>
      <c r="Z162" s="2">
        <v>0</v>
      </c>
      <c r="AA162" s="4">
        <v>0</v>
      </c>
      <c r="AB162" s="4">
        <f t="shared" si="22"/>
        <v>221525.07766990288</v>
      </c>
      <c r="AC162" s="6">
        <f t="shared" si="23"/>
        <v>6645.7523300970788</v>
      </c>
      <c r="AD162" s="13">
        <f t="shared" si="27"/>
        <v>228170.82999999996</v>
      </c>
      <c r="AE162" s="2">
        <v>0.05</v>
      </c>
      <c r="AF162" s="5">
        <f t="shared" si="24"/>
        <v>11408.541499999999</v>
      </c>
      <c r="AG162" s="2">
        <v>0</v>
      </c>
      <c r="AH162" s="5">
        <f t="shared" si="28"/>
        <v>228170.82999999996</v>
      </c>
      <c r="AJ162" s="126" t="e">
        <v>#N/A</v>
      </c>
      <c r="AK162" s="80">
        <f t="shared" si="25"/>
        <v>0</v>
      </c>
      <c r="AM162" s="85"/>
    </row>
    <row r="163" spans="1:39" hidden="1" x14ac:dyDescent="0.3">
      <c r="A163" s="85" t="s">
        <v>34</v>
      </c>
      <c r="B163" s="15" t="s">
        <v>35</v>
      </c>
      <c r="C163" s="15" t="s">
        <v>187</v>
      </c>
      <c r="D163" s="15" t="s">
        <v>188</v>
      </c>
      <c r="E163" s="15" t="s">
        <v>205</v>
      </c>
      <c r="F163" s="15" t="s">
        <v>205</v>
      </c>
      <c r="G163" s="15" t="s">
        <v>205</v>
      </c>
      <c r="H163" s="154"/>
      <c r="I163" s="3" t="s">
        <v>3356</v>
      </c>
      <c r="J163" s="1" t="s">
        <v>3326</v>
      </c>
      <c r="K163" s="1" t="s">
        <v>3283</v>
      </c>
      <c r="L163" s="1" t="s">
        <v>35</v>
      </c>
      <c r="M163" s="95"/>
      <c r="N163" s="3" t="s">
        <v>80</v>
      </c>
      <c r="O163" s="8" t="s">
        <v>45</v>
      </c>
      <c r="P163" s="8" t="s">
        <v>46</v>
      </c>
      <c r="Q163" s="9">
        <v>0.04</v>
      </c>
      <c r="R163" s="138"/>
      <c r="T163" s="18">
        <v>1317572.310000008</v>
      </c>
      <c r="U163" s="4">
        <v>0</v>
      </c>
      <c r="V163" s="18">
        <v>1317572.310000008</v>
      </c>
      <c r="W163" s="13">
        <f t="shared" si="29"/>
        <v>0</v>
      </c>
      <c r="X163" s="13">
        <f t="shared" si="26"/>
        <v>1266896.4519230844</v>
      </c>
      <c r="Y163" s="13">
        <f t="shared" si="21"/>
        <v>0</v>
      </c>
      <c r="Z163" s="2">
        <v>0</v>
      </c>
      <c r="AA163" s="4">
        <v>0</v>
      </c>
      <c r="AB163" s="4">
        <f t="shared" si="22"/>
        <v>1266896.4519230844</v>
      </c>
      <c r="AC163" s="6">
        <f t="shared" si="23"/>
        <v>50675.858076923527</v>
      </c>
      <c r="AD163" s="13">
        <f t="shared" si="27"/>
        <v>1317572.310000008</v>
      </c>
      <c r="AE163" s="2">
        <v>0.05</v>
      </c>
      <c r="AF163" s="5">
        <f t="shared" si="24"/>
        <v>65878.615500000407</v>
      </c>
      <c r="AG163" s="2">
        <v>0</v>
      </c>
      <c r="AH163" s="5">
        <f t="shared" si="28"/>
        <v>1317572.310000008</v>
      </c>
      <c r="AJ163" s="126" t="e">
        <v>#N/A</v>
      </c>
      <c r="AK163" s="80">
        <f t="shared" si="25"/>
        <v>0</v>
      </c>
      <c r="AM163" s="85"/>
    </row>
    <row r="164" spans="1:39" hidden="1" x14ac:dyDescent="0.3">
      <c r="A164" s="85" t="s">
        <v>34</v>
      </c>
      <c r="B164" s="15" t="s">
        <v>35</v>
      </c>
      <c r="C164" s="15" t="s">
        <v>187</v>
      </c>
      <c r="D164" s="15" t="s">
        <v>188</v>
      </c>
      <c r="E164" s="15" t="s">
        <v>249</v>
      </c>
      <c r="F164" s="15" t="s">
        <v>249</v>
      </c>
      <c r="G164" s="15" t="s">
        <v>249</v>
      </c>
      <c r="H164" s="154"/>
      <c r="I164" s="3" t="s">
        <v>3356</v>
      </c>
      <c r="J164" s="1" t="s">
        <v>3326</v>
      </c>
      <c r="K164" s="1" t="s">
        <v>3283</v>
      </c>
      <c r="L164" s="1" t="s">
        <v>35</v>
      </c>
      <c r="M164" s="95"/>
      <c r="N164" s="3" t="s">
        <v>80</v>
      </c>
      <c r="O164" s="8" t="s">
        <v>45</v>
      </c>
      <c r="P164" s="8" t="s">
        <v>46</v>
      </c>
      <c r="Q164" s="9">
        <v>0.06</v>
      </c>
      <c r="R164" s="138"/>
      <c r="T164" s="18">
        <v>1898719.3099999991</v>
      </c>
      <c r="U164" s="4">
        <v>0</v>
      </c>
      <c r="V164" s="4">
        <v>1401212.3399999999</v>
      </c>
      <c r="W164" s="13">
        <f t="shared" si="29"/>
        <v>497506.96999999927</v>
      </c>
      <c r="X164" s="13">
        <f t="shared" si="26"/>
        <v>1321898.4339622639</v>
      </c>
      <c r="Y164" s="13">
        <f t="shared" si="21"/>
        <v>0</v>
      </c>
      <c r="Z164" s="2">
        <v>0</v>
      </c>
      <c r="AA164" s="4">
        <v>0</v>
      </c>
      <c r="AB164" s="4">
        <f t="shared" si="22"/>
        <v>1321898.4339622639</v>
      </c>
      <c r="AC164" s="6">
        <f t="shared" si="23"/>
        <v>79313.906037735986</v>
      </c>
      <c r="AD164" s="13">
        <f t="shared" si="27"/>
        <v>1401212.3399999999</v>
      </c>
      <c r="AE164" s="2">
        <v>0.05</v>
      </c>
      <c r="AF164" s="5">
        <f t="shared" si="24"/>
        <v>70060.616999999998</v>
      </c>
      <c r="AG164" s="2">
        <v>0</v>
      </c>
      <c r="AH164" s="5">
        <f t="shared" si="28"/>
        <v>1401212.3399999999</v>
      </c>
      <c r="AJ164" s="126" t="e">
        <v>#N/A</v>
      </c>
      <c r="AK164" s="80">
        <f t="shared" si="25"/>
        <v>0</v>
      </c>
      <c r="AM164" s="85"/>
    </row>
    <row r="165" spans="1:39" hidden="1" x14ac:dyDescent="0.3">
      <c r="A165" s="85" t="s">
        <v>34</v>
      </c>
      <c r="B165" s="15" t="s">
        <v>35</v>
      </c>
      <c r="C165" s="15" t="s">
        <v>187</v>
      </c>
      <c r="D165" s="15" t="s">
        <v>188</v>
      </c>
      <c r="E165" s="15" t="s">
        <v>206</v>
      </c>
      <c r="F165" s="15" t="s">
        <v>206</v>
      </c>
      <c r="G165" s="15" t="s">
        <v>206</v>
      </c>
      <c r="H165" s="154"/>
      <c r="I165" s="3" t="s">
        <v>3356</v>
      </c>
      <c r="J165" s="1" t="s">
        <v>3326</v>
      </c>
      <c r="K165" s="1" t="s">
        <v>3283</v>
      </c>
      <c r="L165" s="1" t="s">
        <v>35</v>
      </c>
      <c r="M165" s="95"/>
      <c r="N165" s="3" t="s">
        <v>80</v>
      </c>
      <c r="O165" s="8" t="s">
        <v>45</v>
      </c>
      <c r="P165" s="8" t="s">
        <v>46</v>
      </c>
      <c r="Q165" s="9">
        <v>0.04</v>
      </c>
      <c r="R165" s="138"/>
      <c r="T165" s="18">
        <v>324644.78000000585</v>
      </c>
      <c r="U165" s="4">
        <v>0</v>
      </c>
      <c r="V165" s="4">
        <v>284132.11</v>
      </c>
      <c r="W165" s="13">
        <f t="shared" si="29"/>
        <v>40512.670000005863</v>
      </c>
      <c r="X165" s="13">
        <f t="shared" si="26"/>
        <v>273203.95192307688</v>
      </c>
      <c r="Y165" s="13">
        <f t="shared" si="21"/>
        <v>0</v>
      </c>
      <c r="Z165" s="2">
        <v>0</v>
      </c>
      <c r="AA165" s="4">
        <v>0</v>
      </c>
      <c r="AB165" s="4">
        <f t="shared" si="22"/>
        <v>273203.95192307688</v>
      </c>
      <c r="AC165" s="6">
        <f t="shared" si="23"/>
        <v>10928.158076923108</v>
      </c>
      <c r="AD165" s="13">
        <f t="shared" si="27"/>
        <v>284132.11</v>
      </c>
      <c r="AE165" s="2">
        <v>0.05</v>
      </c>
      <c r="AF165" s="5">
        <f t="shared" si="24"/>
        <v>14206.6055</v>
      </c>
      <c r="AG165" s="2">
        <v>0</v>
      </c>
      <c r="AH165" s="5">
        <f t="shared" si="28"/>
        <v>284132.11</v>
      </c>
      <c r="AJ165" s="126" t="s">
        <v>4218</v>
      </c>
      <c r="AK165" s="80">
        <f t="shared" si="25"/>
        <v>0</v>
      </c>
      <c r="AL165" s="150"/>
      <c r="AM165" s="85"/>
    </row>
    <row r="166" spans="1:39" hidden="1" x14ac:dyDescent="0.3">
      <c r="A166" s="85" t="s">
        <v>34</v>
      </c>
      <c r="B166" s="15" t="s">
        <v>35</v>
      </c>
      <c r="C166" s="15" t="s">
        <v>187</v>
      </c>
      <c r="D166" s="15" t="s">
        <v>208</v>
      </c>
      <c r="E166" s="15" t="s">
        <v>210</v>
      </c>
      <c r="F166" s="15" t="s">
        <v>210</v>
      </c>
      <c r="G166" s="15" t="s">
        <v>210</v>
      </c>
      <c r="H166" s="154"/>
      <c r="I166" s="3" t="s">
        <v>3356</v>
      </c>
      <c r="J166" s="1" t="s">
        <v>3326</v>
      </c>
      <c r="K166" s="1" t="s">
        <v>3283</v>
      </c>
      <c r="L166" s="1" t="s">
        <v>35</v>
      </c>
      <c r="M166" s="95"/>
      <c r="N166" s="3" t="s">
        <v>80</v>
      </c>
      <c r="O166" s="8" t="s">
        <v>45</v>
      </c>
      <c r="P166" s="8" t="s">
        <v>46</v>
      </c>
      <c r="Q166" s="9">
        <v>0.02</v>
      </c>
      <c r="R166" s="138"/>
      <c r="T166" s="18">
        <v>190066.53</v>
      </c>
      <c r="U166" s="4">
        <v>0</v>
      </c>
      <c r="V166" s="18">
        <f>190145.16-78.63</f>
        <v>190066.53</v>
      </c>
      <c r="W166" s="13">
        <f t="shared" si="29"/>
        <v>0</v>
      </c>
      <c r="X166" s="13">
        <f t="shared" si="26"/>
        <v>186339.73529411765</v>
      </c>
      <c r="Y166" s="13">
        <f t="shared" si="21"/>
        <v>0</v>
      </c>
      <c r="Z166" s="2">
        <v>0</v>
      </c>
      <c r="AA166" s="4">
        <v>0</v>
      </c>
      <c r="AB166" s="4">
        <f t="shared" si="22"/>
        <v>186339.73529411765</v>
      </c>
      <c r="AC166" s="6">
        <f t="shared" si="23"/>
        <v>3726.7947058823484</v>
      </c>
      <c r="AD166" s="13">
        <f t="shared" si="27"/>
        <v>190066.53</v>
      </c>
      <c r="AE166" s="2">
        <v>0.05</v>
      </c>
      <c r="AF166" s="5">
        <f t="shared" si="24"/>
        <v>9503.326500000001</v>
      </c>
      <c r="AG166" s="2">
        <v>0</v>
      </c>
      <c r="AH166" s="5">
        <f t="shared" si="28"/>
        <v>190066.53</v>
      </c>
      <c r="AJ166" s="126" t="e">
        <v>#N/A</v>
      </c>
      <c r="AK166" s="80">
        <f t="shared" si="25"/>
        <v>0</v>
      </c>
      <c r="AM166" s="85"/>
    </row>
    <row r="167" spans="1:39" hidden="1" x14ac:dyDescent="0.3">
      <c r="A167" s="85" t="s">
        <v>34</v>
      </c>
      <c r="B167" s="15" t="s">
        <v>35</v>
      </c>
      <c r="C167" s="15" t="s">
        <v>187</v>
      </c>
      <c r="D167" s="15" t="s">
        <v>208</v>
      </c>
      <c r="E167" s="15" t="s">
        <v>250</v>
      </c>
      <c r="F167" s="15" t="s">
        <v>250</v>
      </c>
      <c r="G167" s="15" t="s">
        <v>250</v>
      </c>
      <c r="H167" s="154"/>
      <c r="I167" s="3" t="s">
        <v>3356</v>
      </c>
      <c r="J167" s="1" t="s">
        <v>3326</v>
      </c>
      <c r="K167" s="1" t="s">
        <v>3283</v>
      </c>
      <c r="L167" s="1" t="s">
        <v>35</v>
      </c>
      <c r="M167" s="95"/>
      <c r="N167" s="3" t="s">
        <v>80</v>
      </c>
      <c r="O167" s="8" t="s">
        <v>45</v>
      </c>
      <c r="P167" s="8" t="s">
        <v>46</v>
      </c>
      <c r="Q167" s="9">
        <v>0.03</v>
      </c>
      <c r="R167" s="138"/>
      <c r="T167" s="18">
        <v>73575.53999999995</v>
      </c>
      <c r="U167" s="4">
        <v>0</v>
      </c>
      <c r="V167" s="4">
        <v>33727.25</v>
      </c>
      <c r="W167" s="13">
        <f t="shared" si="29"/>
        <v>39848.28999999995</v>
      </c>
      <c r="X167" s="13">
        <f t="shared" si="26"/>
        <v>32744.902912621357</v>
      </c>
      <c r="Y167" s="13">
        <f t="shared" si="21"/>
        <v>0</v>
      </c>
      <c r="Z167" s="2">
        <v>0</v>
      </c>
      <c r="AA167" s="4">
        <v>0</v>
      </c>
      <c r="AB167" s="4">
        <f t="shared" si="22"/>
        <v>32744.902912621357</v>
      </c>
      <c r="AC167" s="6">
        <f t="shared" si="23"/>
        <v>982.34708737864275</v>
      </c>
      <c r="AD167" s="13">
        <f t="shared" si="27"/>
        <v>33727.25</v>
      </c>
      <c r="AE167" s="2">
        <v>0.05</v>
      </c>
      <c r="AF167" s="5">
        <f t="shared" si="24"/>
        <v>1686.3625000000002</v>
      </c>
      <c r="AG167" s="2">
        <v>0</v>
      </c>
      <c r="AH167" s="5">
        <f t="shared" si="28"/>
        <v>33727.25</v>
      </c>
      <c r="AJ167" s="126" t="e">
        <v>#N/A</v>
      </c>
      <c r="AK167" s="80">
        <f t="shared" si="25"/>
        <v>0</v>
      </c>
      <c r="AM167" s="85"/>
    </row>
    <row r="168" spans="1:39" hidden="1" x14ac:dyDescent="0.3">
      <c r="A168" s="85" t="s">
        <v>34</v>
      </c>
      <c r="B168" s="15" t="s">
        <v>35</v>
      </c>
      <c r="C168" s="15" t="s">
        <v>187</v>
      </c>
      <c r="D168" s="15" t="s">
        <v>208</v>
      </c>
      <c r="E168" s="15" t="s">
        <v>251</v>
      </c>
      <c r="F168" s="15" t="s">
        <v>251</v>
      </c>
      <c r="G168" s="15" t="s">
        <v>251</v>
      </c>
      <c r="H168" s="139"/>
      <c r="I168" s="3" t="s">
        <v>3356</v>
      </c>
      <c r="J168" s="1" t="s">
        <v>3326</v>
      </c>
      <c r="K168" s="1" t="s">
        <v>3283</v>
      </c>
      <c r="L168" s="1" t="s">
        <v>35</v>
      </c>
      <c r="M168" s="95"/>
      <c r="N168" s="3" t="s">
        <v>80</v>
      </c>
      <c r="O168" s="8" t="s">
        <v>45</v>
      </c>
      <c r="P168" s="8" t="s">
        <v>46</v>
      </c>
      <c r="Q168" s="9">
        <v>0.05</v>
      </c>
      <c r="R168" s="138"/>
      <c r="T168" s="18">
        <v>6845.3200000000006</v>
      </c>
      <c r="U168" s="4">
        <v>0</v>
      </c>
      <c r="V168" s="4">
        <v>0</v>
      </c>
      <c r="W168" s="13">
        <f t="shared" si="29"/>
        <v>6845.3200000000006</v>
      </c>
      <c r="X168" s="13">
        <f t="shared" si="26"/>
        <v>0</v>
      </c>
      <c r="Y168" s="13">
        <f t="shared" si="21"/>
        <v>0</v>
      </c>
      <c r="Z168" s="2">
        <v>0</v>
      </c>
      <c r="AA168" s="4">
        <v>0</v>
      </c>
      <c r="AB168" s="4">
        <f t="shared" si="22"/>
        <v>0</v>
      </c>
      <c r="AC168" s="6">
        <f t="shared" si="23"/>
        <v>0</v>
      </c>
      <c r="AD168" s="13">
        <f t="shared" si="27"/>
        <v>0</v>
      </c>
      <c r="AE168" s="2">
        <v>0.05</v>
      </c>
      <c r="AF168" s="5">
        <f t="shared" si="24"/>
        <v>0</v>
      </c>
      <c r="AG168" s="2">
        <v>0</v>
      </c>
      <c r="AH168" s="5">
        <f t="shared" si="28"/>
        <v>0</v>
      </c>
      <c r="AJ168" s="126" t="e">
        <v>#N/A</v>
      </c>
      <c r="AK168" s="80">
        <f t="shared" si="25"/>
        <v>0</v>
      </c>
      <c r="AM168" s="85"/>
    </row>
    <row r="169" spans="1:39" hidden="1" x14ac:dyDescent="0.3">
      <c r="A169" s="85" t="s">
        <v>34</v>
      </c>
      <c r="B169" s="15" t="s">
        <v>35</v>
      </c>
      <c r="C169" s="15" t="s">
        <v>187</v>
      </c>
      <c r="D169" s="15" t="s">
        <v>208</v>
      </c>
      <c r="E169" s="15" t="s">
        <v>211</v>
      </c>
      <c r="F169" s="15" t="s">
        <v>211</v>
      </c>
      <c r="G169" s="15" t="s">
        <v>211</v>
      </c>
      <c r="H169" s="139"/>
      <c r="I169" s="3" t="s">
        <v>3356</v>
      </c>
      <c r="J169" s="1" t="s">
        <v>3326</v>
      </c>
      <c r="K169" s="1" t="s">
        <v>3283</v>
      </c>
      <c r="L169" s="1" t="s">
        <v>35</v>
      </c>
      <c r="M169" s="95"/>
      <c r="N169" s="3" t="s">
        <v>80</v>
      </c>
      <c r="O169" s="8" t="s">
        <v>45</v>
      </c>
      <c r="P169" s="8" t="s">
        <v>46</v>
      </c>
      <c r="Q169" s="9">
        <v>0.03</v>
      </c>
      <c r="R169" s="138"/>
      <c r="T169" s="18">
        <v>1069828.1699999981</v>
      </c>
      <c r="U169" s="4">
        <v>0</v>
      </c>
      <c r="V169" s="4">
        <v>0</v>
      </c>
      <c r="W169" s="13">
        <f t="shared" si="29"/>
        <v>1069828.1699999981</v>
      </c>
      <c r="X169" s="13">
        <f t="shared" si="26"/>
        <v>0</v>
      </c>
      <c r="Y169" s="13">
        <f t="shared" si="21"/>
        <v>0</v>
      </c>
      <c r="Z169" s="2">
        <v>0</v>
      </c>
      <c r="AA169" s="4">
        <v>0</v>
      </c>
      <c r="AB169" s="4">
        <f t="shared" si="22"/>
        <v>0</v>
      </c>
      <c r="AC169" s="6">
        <f t="shared" si="23"/>
        <v>0</v>
      </c>
      <c r="AD169" s="13">
        <f t="shared" si="27"/>
        <v>0</v>
      </c>
      <c r="AE169" s="2">
        <v>0.05</v>
      </c>
      <c r="AF169" s="5">
        <f t="shared" si="24"/>
        <v>0</v>
      </c>
      <c r="AG169" s="2">
        <v>0</v>
      </c>
      <c r="AH169" s="5">
        <f t="shared" si="28"/>
        <v>0</v>
      </c>
      <c r="AJ169" s="126" t="e">
        <v>#N/A</v>
      </c>
      <c r="AK169" s="80">
        <f t="shared" si="25"/>
        <v>0</v>
      </c>
      <c r="AM169" s="85"/>
    </row>
    <row r="170" spans="1:39" hidden="1" x14ac:dyDescent="0.3">
      <c r="A170" s="85" t="s">
        <v>34</v>
      </c>
      <c r="B170" s="15" t="s">
        <v>35</v>
      </c>
      <c r="C170" s="15" t="s">
        <v>187</v>
      </c>
      <c r="D170" s="15" t="s">
        <v>208</v>
      </c>
      <c r="E170" s="15" t="s">
        <v>212</v>
      </c>
      <c r="F170" s="15" t="s">
        <v>212</v>
      </c>
      <c r="G170" s="15" t="s">
        <v>212</v>
      </c>
      <c r="H170" s="154"/>
      <c r="I170" s="3" t="s">
        <v>3356</v>
      </c>
      <c r="J170" s="1" t="s">
        <v>3326</v>
      </c>
      <c r="K170" s="1" t="s">
        <v>3283</v>
      </c>
      <c r="L170" s="1" t="s">
        <v>35</v>
      </c>
      <c r="M170" s="95"/>
      <c r="N170" s="3" t="s">
        <v>80</v>
      </c>
      <c r="O170" s="8" t="s">
        <v>45</v>
      </c>
      <c r="P170" s="8" t="s">
        <v>46</v>
      </c>
      <c r="Q170" s="9">
        <v>0.04</v>
      </c>
      <c r="R170" s="138"/>
      <c r="T170" s="18">
        <v>380576.98999999976</v>
      </c>
      <c r="U170" s="4">
        <v>0</v>
      </c>
      <c r="V170" s="18">
        <v>380576.98999999976</v>
      </c>
      <c r="W170" s="13">
        <f t="shared" si="29"/>
        <v>0</v>
      </c>
      <c r="X170" s="13">
        <f t="shared" si="26"/>
        <v>365939.41346153821</v>
      </c>
      <c r="Y170" s="13">
        <f t="shared" si="21"/>
        <v>0</v>
      </c>
      <c r="Z170" s="2">
        <v>0</v>
      </c>
      <c r="AA170" s="4">
        <v>0</v>
      </c>
      <c r="AB170" s="4">
        <f t="shared" si="22"/>
        <v>365939.41346153821</v>
      </c>
      <c r="AC170" s="6">
        <f t="shared" si="23"/>
        <v>14637.576538461552</v>
      </c>
      <c r="AD170" s="13">
        <f t="shared" si="27"/>
        <v>380576.98999999976</v>
      </c>
      <c r="AE170" s="2">
        <v>0.05</v>
      </c>
      <c r="AF170" s="5">
        <f t="shared" si="24"/>
        <v>19028.849499999989</v>
      </c>
      <c r="AG170" s="2">
        <v>0</v>
      </c>
      <c r="AH170" s="5">
        <f t="shared" si="28"/>
        <v>380576.98999999976</v>
      </c>
      <c r="AJ170" s="126" t="e">
        <v>#N/A</v>
      </c>
      <c r="AK170" s="80">
        <f t="shared" si="25"/>
        <v>0</v>
      </c>
      <c r="AM170" s="85"/>
    </row>
    <row r="171" spans="1:39" hidden="1" x14ac:dyDescent="0.3">
      <c r="A171" s="85" t="s">
        <v>34</v>
      </c>
      <c r="B171" s="15" t="s">
        <v>35</v>
      </c>
      <c r="C171" s="15" t="s">
        <v>187</v>
      </c>
      <c r="D171" s="15" t="s">
        <v>208</v>
      </c>
      <c r="E171" s="15" t="s">
        <v>252</v>
      </c>
      <c r="F171" s="15" t="s">
        <v>252</v>
      </c>
      <c r="G171" s="15" t="s">
        <v>252</v>
      </c>
      <c r="H171" s="154"/>
      <c r="I171" s="3" t="s">
        <v>3356</v>
      </c>
      <c r="J171" s="1" t="s">
        <v>3326</v>
      </c>
      <c r="K171" s="1" t="s">
        <v>3283</v>
      </c>
      <c r="L171" s="1" t="s">
        <v>35</v>
      </c>
      <c r="M171" s="95"/>
      <c r="N171" s="3" t="s">
        <v>80</v>
      </c>
      <c r="O171" s="8" t="s">
        <v>45</v>
      </c>
      <c r="P171" s="8" t="s">
        <v>46</v>
      </c>
      <c r="Q171" s="9">
        <v>0.03</v>
      </c>
      <c r="R171" s="138"/>
      <c r="T171" s="18">
        <v>372663.36999999976</v>
      </c>
      <c r="U171" s="4">
        <v>0</v>
      </c>
      <c r="V171" s="4">
        <v>130402.74999999999</v>
      </c>
      <c r="W171" s="13">
        <f t="shared" si="29"/>
        <v>242260.61999999976</v>
      </c>
      <c r="X171" s="13">
        <f t="shared" si="26"/>
        <v>126604.61165048541</v>
      </c>
      <c r="Y171" s="13">
        <f t="shared" si="21"/>
        <v>0</v>
      </c>
      <c r="Z171" s="2">
        <v>0</v>
      </c>
      <c r="AA171" s="4">
        <v>0</v>
      </c>
      <c r="AB171" s="4">
        <f t="shared" si="22"/>
        <v>126604.61165048541</v>
      </c>
      <c r="AC171" s="6">
        <f t="shared" si="23"/>
        <v>3798.138349514571</v>
      </c>
      <c r="AD171" s="13">
        <f t="shared" si="27"/>
        <v>130402.74999999999</v>
      </c>
      <c r="AE171" s="2">
        <v>0.05</v>
      </c>
      <c r="AF171" s="5">
        <f t="shared" si="24"/>
        <v>6520.1374999999998</v>
      </c>
      <c r="AG171" s="2">
        <v>0</v>
      </c>
      <c r="AH171" s="5">
        <f t="shared" si="28"/>
        <v>130402.74999999999</v>
      </c>
      <c r="AJ171" s="126" t="e">
        <v>#N/A</v>
      </c>
      <c r="AK171" s="80">
        <f t="shared" si="25"/>
        <v>0</v>
      </c>
      <c r="AM171" s="85"/>
    </row>
    <row r="172" spans="1:39" hidden="1" x14ac:dyDescent="0.3">
      <c r="A172" s="85" t="s">
        <v>34</v>
      </c>
      <c r="B172" s="15" t="s">
        <v>35</v>
      </c>
      <c r="C172" s="15" t="s">
        <v>187</v>
      </c>
      <c r="D172" s="15" t="s">
        <v>208</v>
      </c>
      <c r="E172" s="15" t="s">
        <v>253</v>
      </c>
      <c r="F172" s="15" t="s">
        <v>254</v>
      </c>
      <c r="G172" s="15" t="s">
        <v>253</v>
      </c>
      <c r="H172" s="154"/>
      <c r="I172" s="3" t="s">
        <v>3356</v>
      </c>
      <c r="J172" s="1" t="s">
        <v>3326</v>
      </c>
      <c r="K172" s="1" t="s">
        <v>3283</v>
      </c>
      <c r="L172" s="1" t="s">
        <v>35</v>
      </c>
      <c r="M172" s="95"/>
      <c r="N172" s="3" t="s">
        <v>80</v>
      </c>
      <c r="O172" s="8" t="s">
        <v>45</v>
      </c>
      <c r="P172" s="8" t="s">
        <v>46</v>
      </c>
      <c r="Q172" s="9">
        <v>7.0000000000000007E-2</v>
      </c>
      <c r="R172" s="138"/>
      <c r="T172" s="18">
        <v>5162488.9999999851</v>
      </c>
      <c r="U172" s="4">
        <v>0</v>
      </c>
      <c r="V172" s="4">
        <v>5162260.1099999854</v>
      </c>
      <c r="W172" s="13">
        <v>0</v>
      </c>
      <c r="X172" s="13">
        <f t="shared" si="26"/>
        <v>4824542.1588784903</v>
      </c>
      <c r="Y172" s="13">
        <f t="shared" si="21"/>
        <v>0</v>
      </c>
      <c r="Z172" s="2">
        <v>0</v>
      </c>
      <c r="AA172" s="4">
        <v>0</v>
      </c>
      <c r="AB172" s="4">
        <f t="shared" si="22"/>
        <v>4824542.1588784903</v>
      </c>
      <c r="AC172" s="6">
        <f t="shared" si="23"/>
        <v>337717.95112149511</v>
      </c>
      <c r="AD172" s="13">
        <f t="shared" si="27"/>
        <v>5162260.1099999854</v>
      </c>
      <c r="AE172" s="2">
        <v>0.05</v>
      </c>
      <c r="AF172" s="5">
        <f t="shared" si="24"/>
        <v>258113.00549999927</v>
      </c>
      <c r="AG172" s="2">
        <v>0</v>
      </c>
      <c r="AH172" s="5">
        <f t="shared" si="28"/>
        <v>5162260.1099999854</v>
      </c>
      <c r="AJ172" s="126" t="e">
        <v>#N/A</v>
      </c>
      <c r="AK172" s="80">
        <f t="shared" si="25"/>
        <v>0</v>
      </c>
      <c r="AM172" s="85"/>
    </row>
    <row r="173" spans="1:39" hidden="1" x14ac:dyDescent="0.3">
      <c r="A173" s="85" t="s">
        <v>34</v>
      </c>
      <c r="B173" s="15" t="s">
        <v>35</v>
      </c>
      <c r="C173" s="15" t="s">
        <v>187</v>
      </c>
      <c r="D173" s="15" t="s">
        <v>208</v>
      </c>
      <c r="E173" s="15" t="s">
        <v>215</v>
      </c>
      <c r="F173" s="15" t="s">
        <v>216</v>
      </c>
      <c r="G173" s="15" t="s">
        <v>215</v>
      </c>
      <c r="H173" s="154"/>
      <c r="I173" s="3" t="s">
        <v>3356</v>
      </c>
      <c r="J173" s="1" t="s">
        <v>3326</v>
      </c>
      <c r="K173" s="1" t="s">
        <v>3283</v>
      </c>
      <c r="L173" s="1" t="s">
        <v>35</v>
      </c>
      <c r="M173" s="95"/>
      <c r="N173" s="3" t="s">
        <v>80</v>
      </c>
      <c r="O173" s="8" t="s">
        <v>45</v>
      </c>
      <c r="P173" s="8" t="s">
        <v>46</v>
      </c>
      <c r="Q173" s="9">
        <v>0.04</v>
      </c>
      <c r="R173" s="138"/>
      <c r="T173" s="18">
        <v>630825.63000000082</v>
      </c>
      <c r="U173" s="4">
        <v>0</v>
      </c>
      <c r="V173" s="18">
        <v>630825.63000000082</v>
      </c>
      <c r="W173" s="13">
        <f t="shared" si="29"/>
        <v>0</v>
      </c>
      <c r="X173" s="13">
        <f t="shared" si="26"/>
        <v>606563.10576923157</v>
      </c>
      <c r="Y173" s="13">
        <f t="shared" si="21"/>
        <v>0</v>
      </c>
      <c r="Z173" s="2">
        <v>0</v>
      </c>
      <c r="AA173" s="4">
        <v>0</v>
      </c>
      <c r="AB173" s="4">
        <f t="shared" si="22"/>
        <v>606563.10576923157</v>
      </c>
      <c r="AC173" s="6">
        <f t="shared" si="23"/>
        <v>24262.524230769253</v>
      </c>
      <c r="AD173" s="13">
        <f t="shared" si="27"/>
        <v>630825.63000000082</v>
      </c>
      <c r="AE173" s="2">
        <v>0.05</v>
      </c>
      <c r="AF173" s="5">
        <f t="shared" si="24"/>
        <v>31541.281500000041</v>
      </c>
      <c r="AG173" s="2">
        <v>0</v>
      </c>
      <c r="AH173" s="5">
        <f t="shared" si="28"/>
        <v>630825.63000000082</v>
      </c>
      <c r="AJ173" s="126" t="e">
        <v>#N/A</v>
      </c>
      <c r="AK173" s="80">
        <f t="shared" si="25"/>
        <v>0</v>
      </c>
      <c r="AM173" s="85"/>
    </row>
    <row r="174" spans="1:39" hidden="1" x14ac:dyDescent="0.3">
      <c r="A174" s="85" t="s">
        <v>34</v>
      </c>
      <c r="B174" s="15" t="s">
        <v>35</v>
      </c>
      <c r="C174" s="15" t="s">
        <v>187</v>
      </c>
      <c r="D174" s="15" t="s">
        <v>208</v>
      </c>
      <c r="E174" s="15" t="s">
        <v>218</v>
      </c>
      <c r="F174" s="15" t="s">
        <v>218</v>
      </c>
      <c r="G174" s="15" t="s">
        <v>218</v>
      </c>
      <c r="H174" s="154"/>
      <c r="I174" s="3" t="s">
        <v>3356</v>
      </c>
      <c r="J174" s="1" t="s">
        <v>3326</v>
      </c>
      <c r="K174" s="1" t="s">
        <v>3283</v>
      </c>
      <c r="L174" s="1" t="s">
        <v>35</v>
      </c>
      <c r="M174" s="95"/>
      <c r="N174" s="3" t="s">
        <v>80</v>
      </c>
      <c r="O174" s="8" t="s">
        <v>45</v>
      </c>
      <c r="P174" s="8" t="s">
        <v>46</v>
      </c>
      <c r="Q174" s="9">
        <v>7.0000000000000007E-2</v>
      </c>
      <c r="R174" s="138"/>
      <c r="T174" s="18">
        <v>48765.22</v>
      </c>
      <c r="U174" s="4">
        <v>0</v>
      </c>
      <c r="V174" s="18">
        <v>48765.22</v>
      </c>
      <c r="W174" s="13">
        <f t="shared" si="29"/>
        <v>0</v>
      </c>
      <c r="X174" s="13">
        <f t="shared" si="26"/>
        <v>45574.971962616823</v>
      </c>
      <c r="Y174" s="13">
        <f t="shared" si="21"/>
        <v>0</v>
      </c>
      <c r="Z174" s="2">
        <v>0</v>
      </c>
      <c r="AA174" s="4">
        <v>0</v>
      </c>
      <c r="AB174" s="4">
        <f t="shared" si="22"/>
        <v>45574.971962616823</v>
      </c>
      <c r="AC174" s="6">
        <f t="shared" si="23"/>
        <v>3190.2480373831786</v>
      </c>
      <c r="AD174" s="13">
        <f t="shared" si="27"/>
        <v>48765.22</v>
      </c>
      <c r="AE174" s="2">
        <v>0.05</v>
      </c>
      <c r="AF174" s="5">
        <f t="shared" si="24"/>
        <v>2438.261</v>
      </c>
      <c r="AG174" s="2">
        <v>0</v>
      </c>
      <c r="AH174" s="5">
        <f t="shared" si="28"/>
        <v>48765.22</v>
      </c>
      <c r="AJ174" s="126" t="e">
        <v>#N/A</v>
      </c>
      <c r="AK174" s="80">
        <f t="shared" si="25"/>
        <v>0</v>
      </c>
      <c r="AM174" s="85"/>
    </row>
    <row r="175" spans="1:39" hidden="1" x14ac:dyDescent="0.3">
      <c r="A175" s="85" t="s">
        <v>34</v>
      </c>
      <c r="B175" s="15" t="s">
        <v>35</v>
      </c>
      <c r="C175" s="15" t="s">
        <v>96</v>
      </c>
      <c r="D175" s="15" t="s">
        <v>97</v>
      </c>
      <c r="E175" s="15" t="s">
        <v>255</v>
      </c>
      <c r="F175" s="15" t="s">
        <v>255</v>
      </c>
      <c r="G175" s="15" t="s">
        <v>255</v>
      </c>
      <c r="H175" s="139"/>
      <c r="I175" s="3" t="s">
        <v>3356</v>
      </c>
      <c r="J175" s="1" t="s">
        <v>3326</v>
      </c>
      <c r="K175" s="1" t="s">
        <v>3712</v>
      </c>
      <c r="L175" s="1" t="s">
        <v>35</v>
      </c>
      <c r="M175" s="95"/>
      <c r="N175" s="3" t="s">
        <v>3712</v>
      </c>
      <c r="O175" s="8" t="s">
        <v>45</v>
      </c>
      <c r="P175" s="8" t="s">
        <v>41</v>
      </c>
      <c r="Q175" s="9">
        <v>0</v>
      </c>
      <c r="R175" s="138"/>
      <c r="S175" s="3" t="s">
        <v>256</v>
      </c>
      <c r="T175" s="18">
        <v>35034.329999999987</v>
      </c>
      <c r="U175" s="4">
        <v>0</v>
      </c>
      <c r="V175" s="4">
        <v>25460.049999999996</v>
      </c>
      <c r="W175" s="13">
        <f t="shared" si="29"/>
        <v>9574.2799999999916</v>
      </c>
      <c r="X175" s="13">
        <v>0</v>
      </c>
      <c r="Y175" s="13">
        <f t="shared" si="21"/>
        <v>0</v>
      </c>
      <c r="Z175" s="2">
        <v>0</v>
      </c>
      <c r="AA175" s="4">
        <v>0</v>
      </c>
      <c r="AB175" s="4">
        <f t="shared" si="22"/>
        <v>0</v>
      </c>
      <c r="AC175" s="6">
        <f t="shared" si="23"/>
        <v>25460.049999999996</v>
      </c>
      <c r="AD175" s="13">
        <f t="shared" si="27"/>
        <v>25460.049999999996</v>
      </c>
      <c r="AE175" s="2">
        <v>0.05</v>
      </c>
      <c r="AF175" s="5">
        <f t="shared" si="24"/>
        <v>1273.0024999999998</v>
      </c>
      <c r="AG175" s="2">
        <v>0</v>
      </c>
      <c r="AH175" s="5">
        <f t="shared" si="28"/>
        <v>25460.049999999996</v>
      </c>
      <c r="AJ175" s="126" t="e">
        <v>#N/A</v>
      </c>
      <c r="AK175" s="80">
        <f t="shared" si="25"/>
        <v>0</v>
      </c>
      <c r="AM175" s="85"/>
    </row>
    <row r="176" spans="1:39" hidden="1" x14ac:dyDescent="0.3">
      <c r="A176" s="85" t="s">
        <v>34</v>
      </c>
      <c r="B176" s="15" t="s">
        <v>35</v>
      </c>
      <c r="C176" s="15" t="s">
        <v>65</v>
      </c>
      <c r="D176" s="15" t="s">
        <v>66</v>
      </c>
      <c r="E176" s="15" t="s">
        <v>119</v>
      </c>
      <c r="F176" s="15" t="s">
        <v>119</v>
      </c>
      <c r="G176" s="15" t="s">
        <v>119</v>
      </c>
      <c r="H176" s="154"/>
      <c r="I176" s="3" t="s">
        <v>3356</v>
      </c>
      <c r="J176" s="1" t="s">
        <v>3326</v>
      </c>
      <c r="K176" s="1" t="s">
        <v>3707</v>
      </c>
      <c r="L176" s="1" t="s">
        <v>35</v>
      </c>
      <c r="M176" s="95"/>
      <c r="N176" s="3" t="s">
        <v>3707</v>
      </c>
      <c r="O176" s="8" t="s">
        <v>45</v>
      </c>
      <c r="P176" s="8" t="s">
        <v>46</v>
      </c>
      <c r="Q176" s="9">
        <v>0.08</v>
      </c>
      <c r="R176" s="138"/>
      <c r="T176" s="18">
        <v>134082.99</v>
      </c>
      <c r="U176" s="4">
        <v>0</v>
      </c>
      <c r="V176" s="4">
        <v>134082.99</v>
      </c>
      <c r="W176" s="13">
        <f t="shared" si="29"/>
        <v>0</v>
      </c>
      <c r="X176" s="13">
        <f t="shared" si="26"/>
        <v>124150.91666666666</v>
      </c>
      <c r="Y176" s="13">
        <f t="shared" si="21"/>
        <v>0</v>
      </c>
      <c r="Z176" s="2">
        <v>0</v>
      </c>
      <c r="AA176" s="4">
        <v>0</v>
      </c>
      <c r="AB176" s="4">
        <f t="shared" si="22"/>
        <v>124150.91666666666</v>
      </c>
      <c r="AC176" s="6">
        <f t="shared" si="23"/>
        <v>9932.0733333333337</v>
      </c>
      <c r="AD176" s="13">
        <f t="shared" si="27"/>
        <v>134082.99</v>
      </c>
      <c r="AE176" s="2">
        <v>0.05</v>
      </c>
      <c r="AF176" s="5">
        <f t="shared" si="24"/>
        <v>6704.1494999999995</v>
      </c>
      <c r="AG176" s="2">
        <v>0</v>
      </c>
      <c r="AH176" s="5">
        <f t="shared" si="28"/>
        <v>134082.99</v>
      </c>
      <c r="AJ176" s="126" t="e">
        <v>#N/A</v>
      </c>
      <c r="AK176" s="80">
        <f t="shared" si="25"/>
        <v>0</v>
      </c>
      <c r="AM176" s="85"/>
    </row>
    <row r="177" spans="1:39" hidden="1" x14ac:dyDescent="0.3">
      <c r="A177" s="85" t="s">
        <v>34</v>
      </c>
      <c r="B177" s="15" t="s">
        <v>35</v>
      </c>
      <c r="C177" s="15" t="s">
        <v>47</v>
      </c>
      <c r="D177" s="15" t="s">
        <v>63</v>
      </c>
      <c r="E177" s="15" t="s">
        <v>257</v>
      </c>
      <c r="F177" s="15" t="s">
        <v>257</v>
      </c>
      <c r="G177" s="15" t="s">
        <v>257</v>
      </c>
      <c r="H177" s="154"/>
      <c r="I177" s="3" t="s">
        <v>3356</v>
      </c>
      <c r="J177" s="1" t="s">
        <v>3326</v>
      </c>
      <c r="K177" s="1" t="s">
        <v>3707</v>
      </c>
      <c r="L177" s="1" t="s">
        <v>35</v>
      </c>
      <c r="M177" s="95"/>
      <c r="N177" s="3" t="s">
        <v>3707</v>
      </c>
      <c r="O177" s="8" t="s">
        <v>45</v>
      </c>
      <c r="P177" s="8" t="s">
        <v>46</v>
      </c>
      <c r="Q177" s="9">
        <v>0.06</v>
      </c>
      <c r="R177" s="138"/>
      <c r="T177" s="18">
        <v>2875.9200000000019</v>
      </c>
      <c r="U177" s="4">
        <v>0</v>
      </c>
      <c r="V177" s="4">
        <v>1600</v>
      </c>
      <c r="W177" s="13">
        <f t="shared" si="29"/>
        <v>1275.9200000000019</v>
      </c>
      <c r="X177" s="13">
        <f t="shared" si="26"/>
        <v>1509.433962264151</v>
      </c>
      <c r="Y177" s="13">
        <f t="shared" si="21"/>
        <v>0</v>
      </c>
      <c r="Z177" s="2">
        <v>0</v>
      </c>
      <c r="AA177" s="4">
        <v>0</v>
      </c>
      <c r="AB177" s="4">
        <f t="shared" si="22"/>
        <v>1509.433962264151</v>
      </c>
      <c r="AC177" s="6">
        <f t="shared" si="23"/>
        <v>90.566037735849022</v>
      </c>
      <c r="AD177" s="13">
        <f t="shared" si="27"/>
        <v>1600</v>
      </c>
      <c r="AE177" s="2">
        <v>0.05</v>
      </c>
      <c r="AF177" s="5">
        <f t="shared" si="24"/>
        <v>80</v>
      </c>
      <c r="AG177" s="2">
        <v>0</v>
      </c>
      <c r="AH177" s="5">
        <f t="shared" si="28"/>
        <v>1600</v>
      </c>
      <c r="AJ177" s="126" t="e">
        <v>#N/A</v>
      </c>
      <c r="AK177" s="80">
        <f t="shared" si="25"/>
        <v>0</v>
      </c>
      <c r="AM177" s="85"/>
    </row>
    <row r="178" spans="1:39" hidden="1" x14ac:dyDescent="0.3">
      <c r="A178" s="85" t="s">
        <v>34</v>
      </c>
      <c r="B178" s="15" t="s">
        <v>35</v>
      </c>
      <c r="C178" s="15" t="s">
        <v>47</v>
      </c>
      <c r="D178" s="15" t="s">
        <v>63</v>
      </c>
      <c r="E178" s="15" t="s">
        <v>258</v>
      </c>
      <c r="F178" s="15" t="s">
        <v>258</v>
      </c>
      <c r="G178" s="15" t="s">
        <v>258</v>
      </c>
      <c r="H178" s="139"/>
      <c r="I178" s="3" t="s">
        <v>3356</v>
      </c>
      <c r="J178" s="1" t="s">
        <v>3326</v>
      </c>
      <c r="K178" s="1" t="s">
        <v>3712</v>
      </c>
      <c r="L178" s="1" t="s">
        <v>35</v>
      </c>
      <c r="M178" s="95"/>
      <c r="N178" s="3" t="s">
        <v>3729</v>
      </c>
      <c r="O178" s="8" t="s">
        <v>45</v>
      </c>
      <c r="P178" s="8" t="s">
        <v>46</v>
      </c>
      <c r="Q178" s="9">
        <v>0.03</v>
      </c>
      <c r="R178" s="138"/>
      <c r="T178" s="18">
        <v>13934.639999999985</v>
      </c>
      <c r="U178" s="4">
        <v>0</v>
      </c>
      <c r="V178" s="4">
        <v>0</v>
      </c>
      <c r="W178" s="13">
        <f t="shared" si="29"/>
        <v>13934.639999999985</v>
      </c>
      <c r="X178" s="13">
        <f t="shared" si="26"/>
        <v>0</v>
      </c>
      <c r="Y178" s="13">
        <f t="shared" si="21"/>
        <v>0</v>
      </c>
      <c r="Z178" s="2">
        <v>0</v>
      </c>
      <c r="AA178" s="4">
        <v>0</v>
      </c>
      <c r="AB178" s="4">
        <f t="shared" si="22"/>
        <v>0</v>
      </c>
      <c r="AC178" s="6">
        <f t="shared" si="23"/>
        <v>0</v>
      </c>
      <c r="AD178" s="13">
        <f t="shared" si="27"/>
        <v>0</v>
      </c>
      <c r="AE178" s="2">
        <v>0.05</v>
      </c>
      <c r="AF178" s="5">
        <f t="shared" si="24"/>
        <v>0</v>
      </c>
      <c r="AG178" s="2">
        <v>0</v>
      </c>
      <c r="AH178" s="5">
        <f t="shared" si="28"/>
        <v>0</v>
      </c>
      <c r="AJ178" s="126" t="e">
        <v>#N/A</v>
      </c>
      <c r="AK178" s="80">
        <f t="shared" si="25"/>
        <v>0</v>
      </c>
      <c r="AM178" s="85"/>
    </row>
    <row r="179" spans="1:39" hidden="1" x14ac:dyDescent="0.3">
      <c r="A179" s="85" t="s">
        <v>34</v>
      </c>
      <c r="B179" s="15" t="s">
        <v>35</v>
      </c>
      <c r="C179" s="15" t="s">
        <v>47</v>
      </c>
      <c r="D179" s="15" t="s">
        <v>63</v>
      </c>
      <c r="E179" s="15" t="s">
        <v>259</v>
      </c>
      <c r="F179" s="15" t="s">
        <v>259</v>
      </c>
      <c r="G179" s="15" t="s">
        <v>259</v>
      </c>
      <c r="H179" s="154"/>
      <c r="I179" s="3" t="s">
        <v>3356</v>
      </c>
      <c r="J179" s="1" t="s">
        <v>3326</v>
      </c>
      <c r="K179" s="1" t="s">
        <v>3712</v>
      </c>
      <c r="L179" s="1" t="s">
        <v>35</v>
      </c>
      <c r="M179" s="95"/>
      <c r="N179" s="3" t="s">
        <v>3712</v>
      </c>
      <c r="O179" s="8" t="s">
        <v>45</v>
      </c>
      <c r="P179" s="8" t="s">
        <v>41</v>
      </c>
      <c r="Q179" s="9">
        <v>0</v>
      </c>
      <c r="R179" s="138"/>
      <c r="T179" s="18">
        <v>44027.85</v>
      </c>
      <c r="U179" s="4">
        <v>0</v>
      </c>
      <c r="V179" s="4">
        <v>23389.79</v>
      </c>
      <c r="W179" s="13">
        <f t="shared" si="29"/>
        <v>20638.059999999998</v>
      </c>
      <c r="X179" s="13">
        <f t="shared" si="26"/>
        <v>23389.79</v>
      </c>
      <c r="Y179" s="13">
        <f t="shared" si="21"/>
        <v>0</v>
      </c>
      <c r="Z179" s="2">
        <v>0</v>
      </c>
      <c r="AA179" s="4">
        <v>0</v>
      </c>
      <c r="AB179" s="4">
        <f t="shared" si="22"/>
        <v>23389.79</v>
      </c>
      <c r="AC179" s="6">
        <f t="shared" si="23"/>
        <v>0</v>
      </c>
      <c r="AD179" s="13">
        <f t="shared" si="27"/>
        <v>23389.79</v>
      </c>
      <c r="AE179" s="2">
        <v>0.05</v>
      </c>
      <c r="AF179" s="5">
        <f t="shared" si="24"/>
        <v>1169.4895000000001</v>
      </c>
      <c r="AG179" s="2">
        <v>0</v>
      </c>
      <c r="AH179" s="5">
        <f t="shared" si="28"/>
        <v>23389.79</v>
      </c>
      <c r="AJ179" s="126" t="e">
        <v>#N/A</v>
      </c>
      <c r="AK179" s="80">
        <f t="shared" si="25"/>
        <v>0</v>
      </c>
      <c r="AM179" s="85"/>
    </row>
    <row r="180" spans="1:39" hidden="1" x14ac:dyDescent="0.3">
      <c r="A180" s="85" t="s">
        <v>34</v>
      </c>
      <c r="B180" s="15" t="s">
        <v>35</v>
      </c>
      <c r="C180" s="15" t="s">
        <v>47</v>
      </c>
      <c r="D180" s="15" t="s">
        <v>48</v>
      </c>
      <c r="E180" s="15" t="s">
        <v>50</v>
      </c>
      <c r="F180" s="15" t="s">
        <v>260</v>
      </c>
      <c r="G180" s="15" t="s">
        <v>50</v>
      </c>
      <c r="H180" s="154"/>
      <c r="I180" s="3" t="s">
        <v>3356</v>
      </c>
      <c r="J180" s="1" t="s">
        <v>3326</v>
      </c>
      <c r="K180" s="1" t="s">
        <v>3707</v>
      </c>
      <c r="L180" s="1" t="s">
        <v>35</v>
      </c>
      <c r="M180" s="95"/>
      <c r="N180" s="3" t="s">
        <v>3722</v>
      </c>
      <c r="O180" s="8" t="s">
        <v>105</v>
      </c>
      <c r="P180" s="8" t="s">
        <v>46</v>
      </c>
      <c r="Q180" s="9">
        <v>0.1</v>
      </c>
      <c r="R180" s="138"/>
      <c r="T180" s="18">
        <v>302937.10000000003</v>
      </c>
      <c r="U180" s="4">
        <v>0</v>
      </c>
      <c r="V180" s="4">
        <v>24729.170000000002</v>
      </c>
      <c r="W180" s="13">
        <f t="shared" si="29"/>
        <v>278207.93000000005</v>
      </c>
      <c r="X180" s="13">
        <f t="shared" si="26"/>
        <v>22481.063636363637</v>
      </c>
      <c r="Y180" s="13">
        <f t="shared" si="21"/>
        <v>0</v>
      </c>
      <c r="Z180" s="2">
        <v>0</v>
      </c>
      <c r="AA180" s="4">
        <v>0</v>
      </c>
      <c r="AB180" s="4">
        <f t="shared" si="22"/>
        <v>22481.063636363637</v>
      </c>
      <c r="AC180" s="6">
        <f t="shared" si="23"/>
        <v>2248.1063636363651</v>
      </c>
      <c r="AD180" s="13">
        <f t="shared" si="27"/>
        <v>24729.170000000002</v>
      </c>
      <c r="AE180" s="2">
        <v>0.05</v>
      </c>
      <c r="AF180" s="5">
        <f t="shared" si="24"/>
        <v>1236.4585000000002</v>
      </c>
      <c r="AG180" s="2">
        <v>0</v>
      </c>
      <c r="AH180" s="5">
        <f t="shared" si="28"/>
        <v>24729.170000000002</v>
      </c>
      <c r="AJ180" s="126" t="e">
        <v>#N/A</v>
      </c>
      <c r="AK180" s="80">
        <f t="shared" si="25"/>
        <v>0</v>
      </c>
      <c r="AM180" s="85"/>
    </row>
    <row r="181" spans="1:39" hidden="1" x14ac:dyDescent="0.3">
      <c r="A181" s="85" t="s">
        <v>34</v>
      </c>
      <c r="B181" s="15" t="s">
        <v>35</v>
      </c>
      <c r="C181" s="15" t="s">
        <v>144</v>
      </c>
      <c r="D181" s="15" t="s">
        <v>145</v>
      </c>
      <c r="E181" s="15" t="s">
        <v>261</v>
      </c>
      <c r="F181" s="15" t="s">
        <v>262</v>
      </c>
      <c r="G181" s="15" t="s">
        <v>261</v>
      </c>
      <c r="H181" s="139"/>
      <c r="I181" s="3" t="s">
        <v>3356</v>
      </c>
      <c r="J181" s="1" t="s">
        <v>3326</v>
      </c>
      <c r="K181" s="1" t="s">
        <v>3707</v>
      </c>
      <c r="L181" s="1" t="s">
        <v>35</v>
      </c>
      <c r="M181" s="95"/>
      <c r="N181" s="3" t="s">
        <v>3707</v>
      </c>
      <c r="O181" s="8" t="s">
        <v>45</v>
      </c>
      <c r="P181" s="8" t="s">
        <v>41</v>
      </c>
      <c r="Q181" s="9">
        <v>0</v>
      </c>
      <c r="R181" s="138"/>
      <c r="T181" s="18">
        <v>31610.540000000852</v>
      </c>
      <c r="U181" s="4">
        <v>0</v>
      </c>
      <c r="V181" s="4">
        <v>0</v>
      </c>
      <c r="W181" s="13">
        <f t="shared" si="29"/>
        <v>31610.540000000852</v>
      </c>
      <c r="X181" s="13">
        <f t="shared" si="26"/>
        <v>0</v>
      </c>
      <c r="Y181" s="13">
        <f t="shared" si="21"/>
        <v>0</v>
      </c>
      <c r="Z181" s="2">
        <v>0</v>
      </c>
      <c r="AA181" s="4">
        <v>0</v>
      </c>
      <c r="AB181" s="4">
        <f t="shared" si="22"/>
        <v>0</v>
      </c>
      <c r="AC181" s="6">
        <f t="shared" si="23"/>
        <v>0</v>
      </c>
      <c r="AD181" s="13">
        <f t="shared" si="27"/>
        <v>0</v>
      </c>
      <c r="AE181" s="2">
        <v>0.05</v>
      </c>
      <c r="AF181" s="5">
        <f t="shared" si="24"/>
        <v>0</v>
      </c>
      <c r="AG181" s="2">
        <v>0</v>
      </c>
      <c r="AH181" s="5">
        <f t="shared" si="28"/>
        <v>0</v>
      </c>
      <c r="AJ181" s="126" t="e">
        <v>#N/A</v>
      </c>
      <c r="AK181" s="80">
        <f t="shared" si="25"/>
        <v>0</v>
      </c>
      <c r="AM181" s="85"/>
    </row>
    <row r="182" spans="1:39" hidden="1" x14ac:dyDescent="0.3">
      <c r="A182" s="85" t="s">
        <v>34</v>
      </c>
      <c r="B182" s="15" t="s">
        <v>35</v>
      </c>
      <c r="C182" s="15" t="s">
        <v>164</v>
      </c>
      <c r="D182" s="15" t="s">
        <v>165</v>
      </c>
      <c r="E182" s="15" t="s">
        <v>263</v>
      </c>
      <c r="F182" s="15" t="s">
        <v>264</v>
      </c>
      <c r="G182" s="15" t="s">
        <v>263</v>
      </c>
      <c r="H182" s="139"/>
      <c r="I182" s="3" t="s">
        <v>3356</v>
      </c>
      <c r="J182" s="1" t="s">
        <v>3326</v>
      </c>
      <c r="K182" s="1" t="s">
        <v>3712</v>
      </c>
      <c r="L182" s="1" t="s">
        <v>35</v>
      </c>
      <c r="M182" s="95"/>
      <c r="N182" s="3" t="s">
        <v>3729</v>
      </c>
      <c r="O182" s="8" t="s">
        <v>45</v>
      </c>
      <c r="P182" s="8" t="s">
        <v>46</v>
      </c>
      <c r="Q182" s="9">
        <v>0.02</v>
      </c>
      <c r="R182" s="138"/>
      <c r="T182" s="18">
        <v>57337.81</v>
      </c>
      <c r="U182" s="4">
        <v>0</v>
      </c>
      <c r="V182" s="4">
        <v>0</v>
      </c>
      <c r="W182" s="13">
        <f t="shared" si="29"/>
        <v>57337.81</v>
      </c>
      <c r="X182" s="13">
        <f t="shared" si="26"/>
        <v>0</v>
      </c>
      <c r="Y182" s="13">
        <f t="shared" si="21"/>
        <v>0</v>
      </c>
      <c r="Z182" s="2">
        <v>0</v>
      </c>
      <c r="AA182" s="4">
        <v>0</v>
      </c>
      <c r="AB182" s="4">
        <f t="shared" si="22"/>
        <v>0</v>
      </c>
      <c r="AC182" s="6">
        <f t="shared" si="23"/>
        <v>0</v>
      </c>
      <c r="AD182" s="13">
        <f t="shared" si="27"/>
        <v>0</v>
      </c>
      <c r="AE182" s="2">
        <v>0.05</v>
      </c>
      <c r="AF182" s="5">
        <f t="shared" si="24"/>
        <v>0</v>
      </c>
      <c r="AG182" s="2">
        <v>0</v>
      </c>
      <c r="AH182" s="5">
        <f t="shared" si="28"/>
        <v>0</v>
      </c>
      <c r="AJ182" s="126" t="e">
        <v>#N/A</v>
      </c>
      <c r="AK182" s="80">
        <f t="shared" si="25"/>
        <v>0</v>
      </c>
      <c r="AM182" s="85"/>
    </row>
    <row r="183" spans="1:39" hidden="1" x14ac:dyDescent="0.3">
      <c r="A183" s="85" t="s">
        <v>34</v>
      </c>
      <c r="B183" s="15" t="s">
        <v>35</v>
      </c>
      <c r="C183" s="15" t="s">
        <v>53</v>
      </c>
      <c r="D183" s="15" t="s">
        <v>54</v>
      </c>
      <c r="E183" s="15" t="s">
        <v>265</v>
      </c>
      <c r="F183" s="15" t="s">
        <v>265</v>
      </c>
      <c r="G183" s="15" t="s">
        <v>265</v>
      </c>
      <c r="H183" s="139"/>
      <c r="I183" s="3" t="s">
        <v>3356</v>
      </c>
      <c r="J183" s="1" t="s">
        <v>3326</v>
      </c>
      <c r="K183" s="1" t="s">
        <v>3712</v>
      </c>
      <c r="L183" s="1" t="s">
        <v>35</v>
      </c>
      <c r="M183" s="95"/>
      <c r="N183" s="3" t="s">
        <v>3729</v>
      </c>
      <c r="O183" s="8" t="s">
        <v>45</v>
      </c>
      <c r="P183" s="8" t="s">
        <v>41</v>
      </c>
      <c r="Q183" s="9">
        <v>0</v>
      </c>
      <c r="R183" s="138"/>
      <c r="T183" s="18">
        <v>147006.94999999969</v>
      </c>
      <c r="U183" s="4">
        <v>0</v>
      </c>
      <c r="V183" s="4">
        <v>0</v>
      </c>
      <c r="W183" s="13">
        <f t="shared" si="29"/>
        <v>147006.94999999969</v>
      </c>
      <c r="X183" s="13">
        <f t="shared" si="26"/>
        <v>0</v>
      </c>
      <c r="Y183" s="13">
        <f t="shared" si="21"/>
        <v>0</v>
      </c>
      <c r="Z183" s="2">
        <v>0</v>
      </c>
      <c r="AA183" s="4">
        <v>0</v>
      </c>
      <c r="AB183" s="4">
        <f t="shared" si="22"/>
        <v>0</v>
      </c>
      <c r="AC183" s="6">
        <f t="shared" si="23"/>
        <v>0</v>
      </c>
      <c r="AD183" s="13">
        <f t="shared" si="27"/>
        <v>0</v>
      </c>
      <c r="AE183" s="2">
        <v>0.05</v>
      </c>
      <c r="AF183" s="5">
        <f t="shared" si="24"/>
        <v>0</v>
      </c>
      <c r="AG183" s="2">
        <v>0</v>
      </c>
      <c r="AH183" s="5">
        <f t="shared" si="28"/>
        <v>0</v>
      </c>
      <c r="AJ183" s="126" t="e">
        <v>#N/A</v>
      </c>
      <c r="AK183" s="80">
        <f t="shared" si="25"/>
        <v>0</v>
      </c>
      <c r="AM183" s="85"/>
    </row>
    <row r="184" spans="1:39" hidden="1" x14ac:dyDescent="0.3">
      <c r="A184" s="85" t="s">
        <v>34</v>
      </c>
      <c r="B184" s="15" t="s">
        <v>35</v>
      </c>
      <c r="C184" s="15" t="s">
        <v>187</v>
      </c>
      <c r="D184" s="15" t="s">
        <v>188</v>
      </c>
      <c r="E184" s="15" t="s">
        <v>266</v>
      </c>
      <c r="F184" s="15" t="s">
        <v>266</v>
      </c>
      <c r="G184" s="15" t="s">
        <v>266</v>
      </c>
      <c r="H184" s="139"/>
      <c r="I184" s="3" t="s">
        <v>3356</v>
      </c>
      <c r="J184" s="1" t="s">
        <v>3326</v>
      </c>
      <c r="K184" s="1" t="s">
        <v>3283</v>
      </c>
      <c r="L184" s="1" t="s">
        <v>35</v>
      </c>
      <c r="M184" s="95"/>
      <c r="N184" s="3" t="s">
        <v>80</v>
      </c>
      <c r="O184" s="8" t="s">
        <v>45</v>
      </c>
      <c r="P184" s="8" t="s">
        <v>46</v>
      </c>
      <c r="Q184" s="9">
        <v>0.03</v>
      </c>
      <c r="R184" s="138"/>
      <c r="T184" s="18">
        <v>991.68000000002212</v>
      </c>
      <c r="U184" s="4">
        <v>0</v>
      </c>
      <c r="V184" s="4">
        <v>0</v>
      </c>
      <c r="W184" s="13">
        <f t="shared" si="29"/>
        <v>991.68000000002212</v>
      </c>
      <c r="X184" s="13">
        <f t="shared" si="26"/>
        <v>0</v>
      </c>
      <c r="Y184" s="13">
        <f t="shared" si="21"/>
        <v>0</v>
      </c>
      <c r="Z184" s="2">
        <v>0</v>
      </c>
      <c r="AA184" s="4">
        <v>0</v>
      </c>
      <c r="AB184" s="4">
        <f t="shared" si="22"/>
        <v>0</v>
      </c>
      <c r="AC184" s="6">
        <f t="shared" si="23"/>
        <v>0</v>
      </c>
      <c r="AD184" s="13">
        <f t="shared" si="27"/>
        <v>0</v>
      </c>
      <c r="AE184" s="2">
        <v>0.05</v>
      </c>
      <c r="AF184" s="5">
        <f t="shared" si="24"/>
        <v>0</v>
      </c>
      <c r="AG184" s="2">
        <v>0</v>
      </c>
      <c r="AH184" s="5">
        <f t="shared" si="28"/>
        <v>0</v>
      </c>
      <c r="AJ184" s="126" t="e">
        <v>#N/A</v>
      </c>
      <c r="AK184" s="80">
        <f t="shared" si="25"/>
        <v>0</v>
      </c>
      <c r="AM184" s="85"/>
    </row>
    <row r="185" spans="1:39" hidden="1" x14ac:dyDescent="0.3">
      <c r="A185" s="85" t="s">
        <v>34</v>
      </c>
      <c r="B185" s="15" t="s">
        <v>35</v>
      </c>
      <c r="C185" s="15" t="s">
        <v>187</v>
      </c>
      <c r="D185" s="15" t="s">
        <v>188</v>
      </c>
      <c r="E185" s="15" t="s">
        <v>267</v>
      </c>
      <c r="F185" s="15" t="s">
        <v>267</v>
      </c>
      <c r="G185" s="15" t="s">
        <v>267</v>
      </c>
      <c r="H185" s="154"/>
      <c r="I185" s="3" t="s">
        <v>3356</v>
      </c>
      <c r="J185" s="1" t="s">
        <v>3326</v>
      </c>
      <c r="K185" s="1" t="s">
        <v>3283</v>
      </c>
      <c r="L185" s="1" t="s">
        <v>35</v>
      </c>
      <c r="M185" s="95"/>
      <c r="N185" s="3" t="s">
        <v>80</v>
      </c>
      <c r="O185" s="8" t="s">
        <v>45</v>
      </c>
      <c r="P185" s="8" t="s">
        <v>46</v>
      </c>
      <c r="Q185" s="9">
        <v>0.04</v>
      </c>
      <c r="R185" s="138"/>
      <c r="T185" s="18">
        <v>108049.07999999932</v>
      </c>
      <c r="U185" s="4">
        <v>0</v>
      </c>
      <c r="V185" s="4">
        <v>37189.139999999985</v>
      </c>
      <c r="W185" s="13">
        <f t="shared" si="29"/>
        <v>70859.939999999333</v>
      </c>
      <c r="X185" s="13">
        <f t="shared" si="26"/>
        <v>35758.788461538446</v>
      </c>
      <c r="Y185" s="13">
        <f t="shared" si="21"/>
        <v>0</v>
      </c>
      <c r="Z185" s="2">
        <v>0</v>
      </c>
      <c r="AA185" s="4">
        <v>0</v>
      </c>
      <c r="AB185" s="4">
        <f t="shared" si="22"/>
        <v>35758.788461538446</v>
      </c>
      <c r="AC185" s="6">
        <f t="shared" si="23"/>
        <v>1430.3515384615384</v>
      </c>
      <c r="AD185" s="13">
        <f t="shared" si="27"/>
        <v>37189.139999999985</v>
      </c>
      <c r="AE185" s="2">
        <v>0.05</v>
      </c>
      <c r="AF185" s="5">
        <f t="shared" si="24"/>
        <v>1859.4569999999994</v>
      </c>
      <c r="AG185" s="2">
        <v>0</v>
      </c>
      <c r="AH185" s="5">
        <f t="shared" si="28"/>
        <v>37189.139999999985</v>
      </c>
      <c r="AJ185" s="126" t="e">
        <v>#N/A</v>
      </c>
      <c r="AK185" s="80">
        <f t="shared" si="25"/>
        <v>0</v>
      </c>
      <c r="AM185" s="85"/>
    </row>
    <row r="186" spans="1:39" hidden="1" x14ac:dyDescent="0.3">
      <c r="A186" s="85" t="s">
        <v>34</v>
      </c>
      <c r="B186" s="15" t="s">
        <v>35</v>
      </c>
      <c r="C186" s="15" t="s">
        <v>187</v>
      </c>
      <c r="D186" s="15" t="s">
        <v>208</v>
      </c>
      <c r="E186" s="15" t="s">
        <v>268</v>
      </c>
      <c r="F186" s="15" t="s">
        <v>213</v>
      </c>
      <c r="G186" s="15" t="s">
        <v>213</v>
      </c>
      <c r="H186" s="154"/>
      <c r="I186" s="3" t="s">
        <v>3356</v>
      </c>
      <c r="J186" s="1" t="s">
        <v>3326</v>
      </c>
      <c r="K186" s="1" t="s">
        <v>3283</v>
      </c>
      <c r="L186" s="1" t="s">
        <v>35</v>
      </c>
      <c r="M186" s="95"/>
      <c r="N186" s="3" t="s">
        <v>80</v>
      </c>
      <c r="O186" s="8" t="s">
        <v>45</v>
      </c>
      <c r="P186" s="8" t="s">
        <v>46</v>
      </c>
      <c r="Q186" s="9">
        <v>0.04</v>
      </c>
      <c r="R186" s="138"/>
      <c r="T186" s="18">
        <v>256943.13000000012</v>
      </c>
      <c r="U186" s="4">
        <v>0</v>
      </c>
      <c r="V186" s="18">
        <v>256943.13000000012</v>
      </c>
      <c r="W186" s="13">
        <f t="shared" si="29"/>
        <v>0</v>
      </c>
      <c r="X186" s="13">
        <f t="shared" si="26"/>
        <v>247060.70192307702</v>
      </c>
      <c r="Y186" s="13">
        <f t="shared" si="21"/>
        <v>0</v>
      </c>
      <c r="Z186" s="2">
        <v>0</v>
      </c>
      <c r="AA186" s="4">
        <v>0</v>
      </c>
      <c r="AB186" s="4">
        <f t="shared" si="22"/>
        <v>247060.70192307702</v>
      </c>
      <c r="AC186" s="6">
        <f t="shared" si="23"/>
        <v>9882.4280769230973</v>
      </c>
      <c r="AD186" s="13">
        <f t="shared" si="27"/>
        <v>256943.13000000012</v>
      </c>
      <c r="AE186" s="2">
        <v>0.05</v>
      </c>
      <c r="AF186" s="5">
        <f t="shared" si="24"/>
        <v>12847.156500000006</v>
      </c>
      <c r="AG186" s="2">
        <v>0</v>
      </c>
      <c r="AH186" s="5">
        <f t="shared" si="28"/>
        <v>256943.13000000012</v>
      </c>
      <c r="AJ186" s="126" t="e">
        <v>#N/A</v>
      </c>
      <c r="AK186" s="80">
        <f t="shared" si="25"/>
        <v>0</v>
      </c>
      <c r="AM186" s="85"/>
    </row>
    <row r="187" spans="1:39" hidden="1" x14ac:dyDescent="0.3">
      <c r="A187" s="85" t="s">
        <v>34</v>
      </c>
      <c r="B187" s="15" t="s">
        <v>35</v>
      </c>
      <c r="C187" s="15" t="s">
        <v>59</v>
      </c>
      <c r="D187" s="15" t="s">
        <v>60</v>
      </c>
      <c r="E187" s="15" t="s">
        <v>220</v>
      </c>
      <c r="F187" s="15" t="s">
        <v>221</v>
      </c>
      <c r="G187" s="15" t="s">
        <v>220</v>
      </c>
      <c r="H187" s="139"/>
      <c r="I187" s="3" t="s">
        <v>3356</v>
      </c>
      <c r="J187" s="1" t="s">
        <v>3326</v>
      </c>
      <c r="K187" s="1" t="s">
        <v>3712</v>
      </c>
      <c r="L187" s="1" t="s">
        <v>35</v>
      </c>
      <c r="M187" s="95"/>
      <c r="N187" s="3" t="s">
        <v>3729</v>
      </c>
      <c r="O187" s="8" t="s">
        <v>105</v>
      </c>
      <c r="P187" s="8" t="s">
        <v>92</v>
      </c>
      <c r="Q187" s="9">
        <v>0.94</v>
      </c>
      <c r="R187" s="138"/>
      <c r="S187" s="3" t="s">
        <v>84</v>
      </c>
      <c r="T187" s="18">
        <v>-277105.17</v>
      </c>
      <c r="U187" s="4">
        <v>0</v>
      </c>
      <c r="V187" s="4">
        <v>0</v>
      </c>
      <c r="W187" s="13">
        <v>0</v>
      </c>
      <c r="X187" s="13">
        <f t="shared" si="26"/>
        <v>0</v>
      </c>
      <c r="Y187" s="13">
        <f t="shared" si="21"/>
        <v>0</v>
      </c>
      <c r="Z187" s="2">
        <v>0</v>
      </c>
      <c r="AA187" s="4">
        <v>0</v>
      </c>
      <c r="AB187" s="4">
        <f t="shared" si="22"/>
        <v>0</v>
      </c>
      <c r="AC187" s="6">
        <f t="shared" si="23"/>
        <v>0</v>
      </c>
      <c r="AD187" s="13">
        <f t="shared" si="27"/>
        <v>0</v>
      </c>
      <c r="AE187" s="2">
        <v>0.05</v>
      </c>
      <c r="AF187" s="5">
        <f t="shared" si="24"/>
        <v>0</v>
      </c>
      <c r="AG187" s="2">
        <v>0</v>
      </c>
      <c r="AH187" s="5">
        <f t="shared" si="28"/>
        <v>0</v>
      </c>
      <c r="AJ187" s="126" t="e">
        <v>#N/A</v>
      </c>
      <c r="AK187" s="80">
        <f t="shared" si="25"/>
        <v>0</v>
      </c>
      <c r="AM187" s="85"/>
    </row>
    <row r="188" spans="1:39" hidden="1" x14ac:dyDescent="0.3">
      <c r="A188" s="85" t="s">
        <v>34</v>
      </c>
      <c r="B188" s="15" t="s">
        <v>35</v>
      </c>
      <c r="C188" s="15" t="s">
        <v>164</v>
      </c>
      <c r="D188" s="15" t="s">
        <v>174</v>
      </c>
      <c r="E188" s="15" t="s">
        <v>269</v>
      </c>
      <c r="F188" s="15" t="s">
        <v>269</v>
      </c>
      <c r="G188" s="15" t="s">
        <v>269</v>
      </c>
      <c r="H188" s="139"/>
      <c r="I188" s="3" t="s">
        <v>3356</v>
      </c>
      <c r="J188" s="1" t="s">
        <v>3326</v>
      </c>
      <c r="K188" s="1" t="s">
        <v>3712</v>
      </c>
      <c r="L188" s="1" t="s">
        <v>35</v>
      </c>
      <c r="M188" s="95"/>
      <c r="N188" s="3" t="s">
        <v>3729</v>
      </c>
      <c r="O188" s="8" t="s">
        <v>45</v>
      </c>
      <c r="P188" s="8" t="s">
        <v>41</v>
      </c>
      <c r="Q188" s="9">
        <v>0</v>
      </c>
      <c r="R188" s="138"/>
      <c r="T188" s="18">
        <v>11077.229999999978</v>
      </c>
      <c r="U188" s="4">
        <v>0</v>
      </c>
      <c r="V188" s="4">
        <v>0</v>
      </c>
      <c r="W188" s="13">
        <f t="shared" si="29"/>
        <v>11077.229999999978</v>
      </c>
      <c r="X188" s="13">
        <f t="shared" si="26"/>
        <v>0</v>
      </c>
      <c r="Y188" s="13">
        <f t="shared" si="21"/>
        <v>0</v>
      </c>
      <c r="Z188" s="2">
        <v>0</v>
      </c>
      <c r="AA188" s="4">
        <v>0</v>
      </c>
      <c r="AB188" s="4">
        <f t="shared" si="22"/>
        <v>0</v>
      </c>
      <c r="AC188" s="6">
        <f t="shared" si="23"/>
        <v>0</v>
      </c>
      <c r="AD188" s="13">
        <f t="shared" si="27"/>
        <v>0</v>
      </c>
      <c r="AE188" s="2">
        <v>0.05</v>
      </c>
      <c r="AF188" s="5">
        <f t="shared" si="24"/>
        <v>0</v>
      </c>
      <c r="AG188" s="2">
        <v>0</v>
      </c>
      <c r="AH188" s="5">
        <f t="shared" si="28"/>
        <v>0</v>
      </c>
      <c r="AJ188" s="126" t="e">
        <v>#N/A</v>
      </c>
      <c r="AK188" s="80">
        <f t="shared" si="25"/>
        <v>0</v>
      </c>
      <c r="AM188" s="85"/>
    </row>
    <row r="189" spans="1:39" hidden="1" x14ac:dyDescent="0.3">
      <c r="A189" s="85" t="s">
        <v>34</v>
      </c>
      <c r="B189" s="15" t="s">
        <v>35</v>
      </c>
      <c r="C189" s="15" t="s">
        <v>53</v>
      </c>
      <c r="D189" s="15" t="s">
        <v>224</v>
      </c>
      <c r="E189" s="15" t="s">
        <v>270</v>
      </c>
      <c r="F189" s="15" t="s">
        <v>270</v>
      </c>
      <c r="G189" s="15" t="s">
        <v>270</v>
      </c>
      <c r="H189" s="139"/>
      <c r="I189" s="3" t="s">
        <v>3356</v>
      </c>
      <c r="J189" s="1" t="s">
        <v>3326</v>
      </c>
      <c r="K189" s="1" t="s">
        <v>3712</v>
      </c>
      <c r="L189" s="1" t="s">
        <v>35</v>
      </c>
      <c r="M189" s="95"/>
      <c r="N189" s="3" t="s">
        <v>3729</v>
      </c>
      <c r="O189" s="8" t="s">
        <v>45</v>
      </c>
      <c r="P189" s="8" t="s">
        <v>41</v>
      </c>
      <c r="Q189" s="9">
        <v>0</v>
      </c>
      <c r="R189" s="138"/>
      <c r="T189" s="18">
        <v>42453.569999999694</v>
      </c>
      <c r="U189" s="4">
        <v>0</v>
      </c>
      <c r="V189" s="4">
        <v>0</v>
      </c>
      <c r="W189" s="13">
        <f t="shared" si="29"/>
        <v>42453.569999999694</v>
      </c>
      <c r="X189" s="13">
        <f t="shared" si="26"/>
        <v>0</v>
      </c>
      <c r="Y189" s="13">
        <f t="shared" si="21"/>
        <v>0</v>
      </c>
      <c r="Z189" s="2">
        <v>0</v>
      </c>
      <c r="AA189" s="4">
        <v>0</v>
      </c>
      <c r="AB189" s="4">
        <f t="shared" si="22"/>
        <v>0</v>
      </c>
      <c r="AC189" s="6">
        <f t="shared" si="23"/>
        <v>0</v>
      </c>
      <c r="AD189" s="13">
        <f t="shared" si="27"/>
        <v>0</v>
      </c>
      <c r="AE189" s="2">
        <v>0.05</v>
      </c>
      <c r="AF189" s="5">
        <f t="shared" si="24"/>
        <v>0</v>
      </c>
      <c r="AG189" s="2">
        <v>0</v>
      </c>
      <c r="AH189" s="5">
        <f t="shared" si="28"/>
        <v>0</v>
      </c>
      <c r="AJ189" s="126" t="e">
        <v>#N/A</v>
      </c>
      <c r="AK189" s="80">
        <f t="shared" si="25"/>
        <v>0</v>
      </c>
      <c r="AM189" s="85"/>
    </row>
    <row r="190" spans="1:39" hidden="1" x14ac:dyDescent="0.3">
      <c r="A190" s="85" t="s">
        <v>34</v>
      </c>
      <c r="B190" s="15" t="s">
        <v>35</v>
      </c>
      <c r="C190" s="15" t="s">
        <v>53</v>
      </c>
      <c r="D190" s="15" t="s">
        <v>224</v>
      </c>
      <c r="E190" s="15" t="s">
        <v>225</v>
      </c>
      <c r="F190" s="15" t="s">
        <v>225</v>
      </c>
      <c r="G190" s="15" t="s">
        <v>225</v>
      </c>
      <c r="H190" s="154"/>
      <c r="I190" s="3" t="s">
        <v>3356</v>
      </c>
      <c r="J190" s="1" t="s">
        <v>3326</v>
      </c>
      <c r="K190" s="1" t="s">
        <v>3707</v>
      </c>
      <c r="L190" s="1" t="s">
        <v>35</v>
      </c>
      <c r="M190" s="95"/>
      <c r="N190" s="3" t="s">
        <v>3709</v>
      </c>
      <c r="O190" s="8" t="s">
        <v>45</v>
      </c>
      <c r="P190" s="8" t="s">
        <v>46</v>
      </c>
      <c r="Q190" s="9">
        <v>0.01</v>
      </c>
      <c r="R190" s="138"/>
      <c r="T190" s="18">
        <v>1093840.5099999995</v>
      </c>
      <c r="U190" s="4">
        <v>0</v>
      </c>
      <c r="V190" s="4">
        <v>57.49</v>
      </c>
      <c r="W190" s="13">
        <f t="shared" si="29"/>
        <v>1093783.0199999996</v>
      </c>
      <c r="X190" s="13">
        <f t="shared" si="26"/>
        <v>56.920792079207921</v>
      </c>
      <c r="Y190" s="13">
        <f t="shared" si="21"/>
        <v>0</v>
      </c>
      <c r="Z190" s="2">
        <v>0</v>
      </c>
      <c r="AA190" s="4">
        <v>0</v>
      </c>
      <c r="AB190" s="4">
        <f t="shared" si="22"/>
        <v>56.920792079207921</v>
      </c>
      <c r="AC190" s="6">
        <f t="shared" si="23"/>
        <v>0.56920792079208127</v>
      </c>
      <c r="AD190" s="13">
        <f t="shared" si="27"/>
        <v>57.49</v>
      </c>
      <c r="AE190" s="2">
        <v>0.05</v>
      </c>
      <c r="AF190" s="5">
        <f t="shared" si="24"/>
        <v>2.8745000000000003</v>
      </c>
      <c r="AG190" s="2">
        <v>0</v>
      </c>
      <c r="AH190" s="5">
        <f t="shared" si="28"/>
        <v>57.49</v>
      </c>
      <c r="AJ190" s="126" t="e">
        <v>#N/A</v>
      </c>
      <c r="AK190" s="80">
        <f t="shared" si="25"/>
        <v>0</v>
      </c>
      <c r="AM190" s="85"/>
    </row>
    <row r="191" spans="1:39" hidden="1" x14ac:dyDescent="0.3">
      <c r="A191" s="85" t="s">
        <v>34</v>
      </c>
      <c r="B191" s="15" t="s">
        <v>35</v>
      </c>
      <c r="C191" s="15" t="s">
        <v>53</v>
      </c>
      <c r="D191" s="15" t="s">
        <v>54</v>
      </c>
      <c r="E191" s="15" t="s">
        <v>271</v>
      </c>
      <c r="F191" s="15" t="s">
        <v>271</v>
      </c>
      <c r="G191" s="15" t="s">
        <v>271</v>
      </c>
      <c r="H191" s="139"/>
      <c r="I191" s="3" t="s">
        <v>3356</v>
      </c>
      <c r="J191" s="1" t="s">
        <v>3326</v>
      </c>
      <c r="K191" s="1" t="s">
        <v>3712</v>
      </c>
      <c r="L191" s="1" t="s">
        <v>35</v>
      </c>
      <c r="M191" s="95"/>
      <c r="N191" s="3" t="s">
        <v>3729</v>
      </c>
      <c r="O191" s="8" t="s">
        <v>45</v>
      </c>
      <c r="P191" s="8" t="s">
        <v>41</v>
      </c>
      <c r="Q191" s="9">
        <v>0</v>
      </c>
      <c r="R191" s="138"/>
      <c r="T191" s="18">
        <v>36436.51</v>
      </c>
      <c r="U191" s="4">
        <v>0</v>
      </c>
      <c r="V191" s="4">
        <v>0</v>
      </c>
      <c r="W191" s="13">
        <f t="shared" si="29"/>
        <v>36436.51</v>
      </c>
      <c r="X191" s="13">
        <f t="shared" si="26"/>
        <v>0</v>
      </c>
      <c r="Y191" s="13">
        <f t="shared" si="21"/>
        <v>0</v>
      </c>
      <c r="Z191" s="2">
        <v>0</v>
      </c>
      <c r="AA191" s="4">
        <v>0</v>
      </c>
      <c r="AB191" s="4">
        <f t="shared" si="22"/>
        <v>0</v>
      </c>
      <c r="AC191" s="6">
        <f t="shared" si="23"/>
        <v>0</v>
      </c>
      <c r="AD191" s="13">
        <f t="shared" si="27"/>
        <v>0</v>
      </c>
      <c r="AE191" s="2">
        <v>0.05</v>
      </c>
      <c r="AF191" s="5">
        <f t="shared" si="24"/>
        <v>0</v>
      </c>
      <c r="AG191" s="2">
        <v>0</v>
      </c>
      <c r="AH191" s="5">
        <f t="shared" si="28"/>
        <v>0</v>
      </c>
      <c r="AJ191" s="126" t="e">
        <v>#N/A</v>
      </c>
      <c r="AK191" s="80">
        <f t="shared" si="25"/>
        <v>0</v>
      </c>
      <c r="AM191" s="85"/>
    </row>
    <row r="192" spans="1:39" hidden="1" x14ac:dyDescent="0.3">
      <c r="A192" s="85" t="s">
        <v>34</v>
      </c>
      <c r="B192" s="15" t="s">
        <v>35</v>
      </c>
      <c r="C192" s="15" t="s">
        <v>53</v>
      </c>
      <c r="D192" s="15" t="s">
        <v>54</v>
      </c>
      <c r="E192" s="15" t="s">
        <v>272</v>
      </c>
      <c r="F192" s="15" t="s">
        <v>272</v>
      </c>
      <c r="G192" s="15" t="s">
        <v>272</v>
      </c>
      <c r="H192" s="139"/>
      <c r="I192" s="3" t="s">
        <v>3356</v>
      </c>
      <c r="J192" s="1" t="s">
        <v>3326</v>
      </c>
      <c r="K192" s="1" t="s">
        <v>3712</v>
      </c>
      <c r="L192" s="1" t="s">
        <v>35</v>
      </c>
      <c r="M192" s="95"/>
      <c r="N192" s="3" t="s">
        <v>3729</v>
      </c>
      <c r="O192" s="8" t="s">
        <v>45</v>
      </c>
      <c r="P192" s="8" t="s">
        <v>41</v>
      </c>
      <c r="Q192" s="9">
        <v>0</v>
      </c>
      <c r="R192" s="138"/>
      <c r="T192" s="18">
        <v>48801.06</v>
      </c>
      <c r="U192" s="4">
        <v>0</v>
      </c>
      <c r="V192" s="4">
        <v>0</v>
      </c>
      <c r="W192" s="13">
        <f t="shared" si="29"/>
        <v>48801.06</v>
      </c>
      <c r="X192" s="13">
        <f t="shared" si="26"/>
        <v>0</v>
      </c>
      <c r="Y192" s="13">
        <f t="shared" si="21"/>
        <v>0</v>
      </c>
      <c r="Z192" s="2">
        <v>0</v>
      </c>
      <c r="AA192" s="4">
        <v>0</v>
      </c>
      <c r="AB192" s="4">
        <f t="shared" si="22"/>
        <v>0</v>
      </c>
      <c r="AC192" s="6">
        <f t="shared" si="23"/>
        <v>0</v>
      </c>
      <c r="AD192" s="13">
        <f t="shared" si="27"/>
        <v>0</v>
      </c>
      <c r="AE192" s="2">
        <v>0.05</v>
      </c>
      <c r="AF192" s="5">
        <f t="shared" si="24"/>
        <v>0</v>
      </c>
      <c r="AG192" s="2">
        <v>0</v>
      </c>
      <c r="AH192" s="5">
        <f t="shared" si="28"/>
        <v>0</v>
      </c>
      <c r="AJ192" s="126" t="e">
        <v>#N/A</v>
      </c>
      <c r="AK192" s="80">
        <f t="shared" si="25"/>
        <v>0</v>
      </c>
      <c r="AM192" s="85"/>
    </row>
    <row r="193" spans="1:39" hidden="1" x14ac:dyDescent="0.3">
      <c r="A193" s="85" t="s">
        <v>34</v>
      </c>
      <c r="B193" s="15" t="s">
        <v>35</v>
      </c>
      <c r="C193" s="15" t="s">
        <v>53</v>
      </c>
      <c r="D193" s="15" t="s">
        <v>54</v>
      </c>
      <c r="E193" s="15" t="s">
        <v>225</v>
      </c>
      <c r="F193" s="15" t="s">
        <v>273</v>
      </c>
      <c r="G193" s="15" t="s">
        <v>225</v>
      </c>
      <c r="H193" s="139"/>
      <c r="I193" s="3" t="s">
        <v>3356</v>
      </c>
      <c r="J193" s="1" t="s">
        <v>3326</v>
      </c>
      <c r="K193" s="1" t="s">
        <v>3707</v>
      </c>
      <c r="L193" s="1" t="s">
        <v>35</v>
      </c>
      <c r="M193" s="95"/>
      <c r="N193" s="3" t="s">
        <v>3709</v>
      </c>
      <c r="O193" s="8" t="s">
        <v>45</v>
      </c>
      <c r="P193" s="8" t="s">
        <v>46</v>
      </c>
      <c r="Q193" s="9">
        <v>0.01</v>
      </c>
      <c r="R193" s="138"/>
      <c r="T193" s="18">
        <v>190115.95</v>
      </c>
      <c r="U193" s="4">
        <v>0</v>
      </c>
      <c r="V193" s="4">
        <v>0</v>
      </c>
      <c r="W193" s="13">
        <f t="shared" si="29"/>
        <v>190115.95</v>
      </c>
      <c r="X193" s="13">
        <f t="shared" si="26"/>
        <v>0</v>
      </c>
      <c r="Y193" s="13">
        <f t="shared" si="21"/>
        <v>0</v>
      </c>
      <c r="Z193" s="2">
        <v>0</v>
      </c>
      <c r="AA193" s="4">
        <v>0</v>
      </c>
      <c r="AB193" s="4">
        <f t="shared" si="22"/>
        <v>0</v>
      </c>
      <c r="AC193" s="6">
        <f t="shared" si="23"/>
        <v>0</v>
      </c>
      <c r="AD193" s="13">
        <f t="shared" si="27"/>
        <v>0</v>
      </c>
      <c r="AE193" s="2">
        <v>0.05</v>
      </c>
      <c r="AF193" s="5">
        <f t="shared" si="24"/>
        <v>0</v>
      </c>
      <c r="AG193" s="2">
        <v>0</v>
      </c>
      <c r="AH193" s="5">
        <f t="shared" si="28"/>
        <v>0</v>
      </c>
      <c r="AJ193" s="126" t="e">
        <v>#N/A</v>
      </c>
      <c r="AK193" s="80">
        <f t="shared" si="25"/>
        <v>0</v>
      </c>
      <c r="AM193" s="85"/>
    </row>
    <row r="194" spans="1:39" hidden="1" x14ac:dyDescent="0.3">
      <c r="A194" s="85" t="s">
        <v>34</v>
      </c>
      <c r="B194" s="15" t="s">
        <v>35</v>
      </c>
      <c r="C194" s="15" t="s">
        <v>53</v>
      </c>
      <c r="D194" s="15" t="s">
        <v>54</v>
      </c>
      <c r="E194" s="15" t="s">
        <v>274</v>
      </c>
      <c r="F194" s="15" t="s">
        <v>274</v>
      </c>
      <c r="G194" s="15" t="s">
        <v>274</v>
      </c>
      <c r="H194" s="139"/>
      <c r="I194" s="3" t="s">
        <v>3356</v>
      </c>
      <c r="J194" s="1" t="s">
        <v>3326</v>
      </c>
      <c r="K194" s="1" t="s">
        <v>3712</v>
      </c>
      <c r="L194" s="1" t="s">
        <v>35</v>
      </c>
      <c r="M194" s="95"/>
      <c r="N194" s="3" t="s">
        <v>3729</v>
      </c>
      <c r="O194" s="8" t="s">
        <v>45</v>
      </c>
      <c r="P194" s="8" t="s">
        <v>41</v>
      </c>
      <c r="Q194" s="9">
        <v>0</v>
      </c>
      <c r="R194" s="138"/>
      <c r="T194" s="18">
        <v>17494.22</v>
      </c>
      <c r="U194" s="4">
        <v>0</v>
      </c>
      <c r="V194" s="4">
        <v>0</v>
      </c>
      <c r="W194" s="13">
        <f t="shared" si="29"/>
        <v>17494.22</v>
      </c>
      <c r="X194" s="13">
        <f t="shared" si="26"/>
        <v>0</v>
      </c>
      <c r="Y194" s="13">
        <f t="shared" si="21"/>
        <v>0</v>
      </c>
      <c r="Z194" s="2">
        <v>0</v>
      </c>
      <c r="AA194" s="4">
        <v>0</v>
      </c>
      <c r="AB194" s="4">
        <f t="shared" si="22"/>
        <v>0</v>
      </c>
      <c r="AC194" s="6">
        <f t="shared" si="23"/>
        <v>0</v>
      </c>
      <c r="AD194" s="13">
        <f t="shared" si="27"/>
        <v>0</v>
      </c>
      <c r="AE194" s="2">
        <v>0.05</v>
      </c>
      <c r="AF194" s="5">
        <f t="shared" si="24"/>
        <v>0</v>
      </c>
      <c r="AG194" s="2">
        <v>0</v>
      </c>
      <c r="AH194" s="5">
        <f t="shared" si="28"/>
        <v>0</v>
      </c>
      <c r="AJ194" s="126" t="e">
        <v>#N/A</v>
      </c>
      <c r="AK194" s="80">
        <f t="shared" si="25"/>
        <v>0</v>
      </c>
      <c r="AM194" s="85"/>
    </row>
    <row r="195" spans="1:39" hidden="1" x14ac:dyDescent="0.3">
      <c r="A195" s="85" t="s">
        <v>34</v>
      </c>
      <c r="B195" s="15" t="s">
        <v>35</v>
      </c>
      <c r="C195" s="15" t="s">
        <v>187</v>
      </c>
      <c r="D195" s="15" t="s">
        <v>208</v>
      </c>
      <c r="E195" s="15" t="s">
        <v>275</v>
      </c>
      <c r="F195" s="15" t="s">
        <v>275</v>
      </c>
      <c r="G195" s="15" t="s">
        <v>275</v>
      </c>
      <c r="H195" s="139"/>
      <c r="I195" s="3" t="s">
        <v>3356</v>
      </c>
      <c r="J195" s="1" t="s">
        <v>3326</v>
      </c>
      <c r="K195" s="1" t="s">
        <v>3283</v>
      </c>
      <c r="L195" s="1" t="s">
        <v>35</v>
      </c>
      <c r="M195" s="95"/>
      <c r="N195" s="3" t="s">
        <v>80</v>
      </c>
      <c r="O195" s="8" t="s">
        <v>45</v>
      </c>
      <c r="P195" s="8" t="s">
        <v>46</v>
      </c>
      <c r="Q195" s="9">
        <v>0.02</v>
      </c>
      <c r="R195" s="138"/>
      <c r="T195" s="18">
        <v>60.99999999976626</v>
      </c>
      <c r="U195" s="4">
        <v>0</v>
      </c>
      <c r="V195" s="4">
        <v>0</v>
      </c>
      <c r="W195" s="13">
        <f t="shared" si="29"/>
        <v>60.99999999976626</v>
      </c>
      <c r="X195" s="13">
        <f t="shared" si="26"/>
        <v>0</v>
      </c>
      <c r="Y195" s="13">
        <f t="shared" ref="Y195:Y258" si="30">IF(X195-AD195&lt;=0,0,IF(P195="返现",MAX(X195-AC195-AD195,0),MAX(X195-AD195)))</f>
        <v>0</v>
      </c>
      <c r="Z195" s="2">
        <v>0</v>
      </c>
      <c r="AA195" s="4">
        <v>0</v>
      </c>
      <c r="AB195" s="4">
        <f t="shared" ref="AB195:AB258" si="31">X195+AA195</f>
        <v>0</v>
      </c>
      <c r="AC195" s="6">
        <f t="shared" ref="AC195:AC258" si="32">IF(P195="返现",X195*Q195,V195-X195)</f>
        <v>0</v>
      </c>
      <c r="AD195" s="13">
        <f t="shared" si="27"/>
        <v>0</v>
      </c>
      <c r="AE195" s="2">
        <v>0.05</v>
      </c>
      <c r="AF195" s="5">
        <f t="shared" ref="AF195:AF258" si="33">AD195*AE195</f>
        <v>0</v>
      </c>
      <c r="AG195" s="2">
        <v>0</v>
      </c>
      <c r="AH195" s="5">
        <f t="shared" si="28"/>
        <v>0</v>
      </c>
      <c r="AJ195" s="126" t="e">
        <v>#N/A</v>
      </c>
      <c r="AK195" s="80">
        <f t="shared" ref="AK195:AK258" si="34">X195+AA195-AB195</f>
        <v>0</v>
      </c>
      <c r="AM195" s="85"/>
    </row>
    <row r="196" spans="1:39" hidden="1" x14ac:dyDescent="0.3">
      <c r="A196" s="85" t="s">
        <v>34</v>
      </c>
      <c r="B196" s="15" t="s">
        <v>35</v>
      </c>
      <c r="C196" s="15" t="s">
        <v>65</v>
      </c>
      <c r="D196" s="15" t="s">
        <v>125</v>
      </c>
      <c r="E196" s="15" t="s">
        <v>276</v>
      </c>
      <c r="F196" s="15" t="s">
        <v>277</v>
      </c>
      <c r="G196" s="15" t="s">
        <v>276</v>
      </c>
      <c r="H196" s="154"/>
      <c r="I196" s="3" t="s">
        <v>3356</v>
      </c>
      <c r="J196" s="1" t="s">
        <v>3326</v>
      </c>
      <c r="K196" s="1" t="s">
        <v>3710</v>
      </c>
      <c r="L196" s="1" t="s">
        <v>35</v>
      </c>
      <c r="M196" s="95"/>
      <c r="N196" s="3" t="s">
        <v>3710</v>
      </c>
      <c r="O196" s="8" t="s">
        <v>45</v>
      </c>
      <c r="P196" s="8" t="s">
        <v>46</v>
      </c>
      <c r="Q196" s="9">
        <v>0.02</v>
      </c>
      <c r="R196" s="138"/>
      <c r="T196" s="18">
        <v>52593.180000000146</v>
      </c>
      <c r="U196" s="4">
        <v>0</v>
      </c>
      <c r="V196" s="4">
        <v>31718.65</v>
      </c>
      <c r="W196" s="13">
        <f t="shared" si="29"/>
        <v>20874.530000000144</v>
      </c>
      <c r="X196" s="13">
        <f t="shared" si="26"/>
        <v>31096.715686274511</v>
      </c>
      <c r="Y196" s="13">
        <f t="shared" si="30"/>
        <v>0</v>
      </c>
      <c r="Z196" s="2">
        <v>0</v>
      </c>
      <c r="AA196" s="4">
        <v>0</v>
      </c>
      <c r="AB196" s="4">
        <f t="shared" si="31"/>
        <v>31096.715686274511</v>
      </c>
      <c r="AC196" s="6">
        <f t="shared" si="32"/>
        <v>621.93431372549094</v>
      </c>
      <c r="AD196" s="13">
        <f t="shared" si="27"/>
        <v>31718.65</v>
      </c>
      <c r="AE196" s="2">
        <v>0.05</v>
      </c>
      <c r="AF196" s="5">
        <f t="shared" si="33"/>
        <v>1585.9325000000001</v>
      </c>
      <c r="AG196" s="2">
        <v>0</v>
      </c>
      <c r="AH196" s="5">
        <f t="shared" si="28"/>
        <v>31718.65</v>
      </c>
      <c r="AJ196" s="126" t="e">
        <v>#N/A</v>
      </c>
      <c r="AK196" s="80">
        <f t="shared" si="34"/>
        <v>0</v>
      </c>
      <c r="AM196" s="85"/>
    </row>
    <row r="197" spans="1:39" hidden="1" x14ac:dyDescent="0.3">
      <c r="A197" s="85" t="s">
        <v>34</v>
      </c>
      <c r="B197" s="15" t="s">
        <v>35</v>
      </c>
      <c r="C197" s="15" t="s">
        <v>164</v>
      </c>
      <c r="D197" s="15" t="s">
        <v>174</v>
      </c>
      <c r="E197" s="15" t="s">
        <v>177</v>
      </c>
      <c r="F197" s="15" t="s">
        <v>177</v>
      </c>
      <c r="G197" s="15" t="s">
        <v>177</v>
      </c>
      <c r="H197" s="154"/>
      <c r="I197" s="3" t="s">
        <v>3356</v>
      </c>
      <c r="J197" s="1" t="s">
        <v>3326</v>
      </c>
      <c r="K197" s="1" t="s">
        <v>3283</v>
      </c>
      <c r="L197" s="1" t="s">
        <v>35</v>
      </c>
      <c r="M197" s="95"/>
      <c r="N197" s="3" t="s">
        <v>80</v>
      </c>
      <c r="O197" s="8" t="s">
        <v>45</v>
      </c>
      <c r="P197" s="8" t="s">
        <v>46</v>
      </c>
      <c r="Q197" s="9">
        <v>0.02</v>
      </c>
      <c r="R197" s="138"/>
      <c r="T197" s="18">
        <v>57800.499999999993</v>
      </c>
      <c r="U197" s="4">
        <v>0</v>
      </c>
      <c r="V197" s="18">
        <v>57800.499999999993</v>
      </c>
      <c r="W197" s="13">
        <f t="shared" si="29"/>
        <v>0</v>
      </c>
      <c r="X197" s="13">
        <f t="shared" si="26"/>
        <v>56667.156862745091</v>
      </c>
      <c r="Y197" s="13">
        <f t="shared" si="30"/>
        <v>0</v>
      </c>
      <c r="Z197" s="2">
        <v>0</v>
      </c>
      <c r="AA197" s="4">
        <v>0</v>
      </c>
      <c r="AB197" s="4">
        <f t="shared" si="31"/>
        <v>56667.156862745091</v>
      </c>
      <c r="AC197" s="6">
        <f t="shared" si="32"/>
        <v>1133.3431372549021</v>
      </c>
      <c r="AD197" s="13">
        <f t="shared" si="27"/>
        <v>57800.499999999993</v>
      </c>
      <c r="AE197" s="2">
        <v>0.05</v>
      </c>
      <c r="AF197" s="5">
        <f t="shared" si="33"/>
        <v>2890.0249999999996</v>
      </c>
      <c r="AG197" s="2">
        <v>0</v>
      </c>
      <c r="AH197" s="5">
        <f t="shared" si="28"/>
        <v>57800.499999999993</v>
      </c>
      <c r="AJ197" s="126" t="e">
        <v>#N/A</v>
      </c>
      <c r="AK197" s="80">
        <f t="shared" si="34"/>
        <v>0</v>
      </c>
      <c r="AM197" s="85"/>
    </row>
    <row r="198" spans="1:39" hidden="1" x14ac:dyDescent="0.3">
      <c r="A198" s="85" t="s">
        <v>34</v>
      </c>
      <c r="B198" s="15" t="s">
        <v>35</v>
      </c>
      <c r="C198" s="15" t="s">
        <v>53</v>
      </c>
      <c r="D198" s="15" t="s">
        <v>54</v>
      </c>
      <c r="E198" s="15" t="s">
        <v>278</v>
      </c>
      <c r="F198" s="15" t="s">
        <v>278</v>
      </c>
      <c r="G198" s="15" t="s">
        <v>278</v>
      </c>
      <c r="H198" s="139"/>
      <c r="I198" s="3" t="s">
        <v>3356</v>
      </c>
      <c r="J198" s="1" t="s">
        <v>3326</v>
      </c>
      <c r="K198" s="1" t="s">
        <v>3712</v>
      </c>
      <c r="L198" s="1" t="s">
        <v>35</v>
      </c>
      <c r="M198" s="95"/>
      <c r="N198" s="3" t="s">
        <v>3729</v>
      </c>
      <c r="O198" s="8" t="s">
        <v>45</v>
      </c>
      <c r="P198" s="8" t="s">
        <v>46</v>
      </c>
      <c r="Q198" s="9">
        <v>0.03</v>
      </c>
      <c r="R198" s="138"/>
      <c r="T198" s="18">
        <v>917.43000000001666</v>
      </c>
      <c r="U198" s="4">
        <v>0</v>
      </c>
      <c r="V198" s="4">
        <v>0</v>
      </c>
      <c r="W198" s="13">
        <f t="shared" si="29"/>
        <v>917.43000000001666</v>
      </c>
      <c r="X198" s="13">
        <f t="shared" si="26"/>
        <v>0</v>
      </c>
      <c r="Y198" s="13">
        <f t="shared" si="30"/>
        <v>0</v>
      </c>
      <c r="Z198" s="2">
        <v>0</v>
      </c>
      <c r="AA198" s="4">
        <v>0</v>
      </c>
      <c r="AB198" s="4">
        <f t="shared" si="31"/>
        <v>0</v>
      </c>
      <c r="AC198" s="6">
        <f t="shared" si="32"/>
        <v>0</v>
      </c>
      <c r="AD198" s="13">
        <f t="shared" si="27"/>
        <v>0</v>
      </c>
      <c r="AE198" s="2">
        <v>0.05</v>
      </c>
      <c r="AF198" s="5">
        <f t="shared" si="33"/>
        <v>0</v>
      </c>
      <c r="AG198" s="2">
        <v>0</v>
      </c>
      <c r="AH198" s="5">
        <f t="shared" si="28"/>
        <v>0</v>
      </c>
      <c r="AJ198" s="126" t="e">
        <v>#N/A</v>
      </c>
      <c r="AK198" s="80">
        <f t="shared" si="34"/>
        <v>0</v>
      </c>
      <c r="AM198" s="85"/>
    </row>
    <row r="199" spans="1:39" hidden="1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279</v>
      </c>
      <c r="F199" s="15" t="s">
        <v>279</v>
      </c>
      <c r="G199" s="15" t="s">
        <v>279</v>
      </c>
      <c r="H199" s="139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0.03</v>
      </c>
      <c r="R199" s="138"/>
      <c r="T199" s="18">
        <v>39287.96999999979</v>
      </c>
      <c r="U199" s="4">
        <v>0</v>
      </c>
      <c r="V199" s="4">
        <v>0</v>
      </c>
      <c r="W199" s="13">
        <f t="shared" si="29"/>
        <v>39287.96999999979</v>
      </c>
      <c r="X199" s="13">
        <f t="shared" si="26"/>
        <v>0</v>
      </c>
      <c r="Y199" s="13">
        <f t="shared" si="30"/>
        <v>0</v>
      </c>
      <c r="Z199" s="2">
        <v>0</v>
      </c>
      <c r="AA199" s="4">
        <v>0</v>
      </c>
      <c r="AB199" s="4">
        <f t="shared" si="31"/>
        <v>0</v>
      </c>
      <c r="AC199" s="6">
        <f t="shared" si="32"/>
        <v>0</v>
      </c>
      <c r="AD199" s="13">
        <f t="shared" si="27"/>
        <v>0</v>
      </c>
      <c r="AE199" s="2">
        <v>0.05</v>
      </c>
      <c r="AF199" s="5">
        <f t="shared" si="33"/>
        <v>0</v>
      </c>
      <c r="AG199" s="2">
        <v>0</v>
      </c>
      <c r="AH199" s="5">
        <f t="shared" si="28"/>
        <v>0</v>
      </c>
      <c r="AJ199" s="126" t="e">
        <v>#N/A</v>
      </c>
      <c r="AK199" s="80">
        <f t="shared" si="34"/>
        <v>0</v>
      </c>
      <c r="AM199" s="85"/>
    </row>
    <row r="200" spans="1:39" hidden="1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280</v>
      </c>
      <c r="F200" s="15" t="s">
        <v>280</v>
      </c>
      <c r="G200" s="15" t="s">
        <v>280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0.03</v>
      </c>
      <c r="R200" s="138"/>
      <c r="T200" s="18">
        <v>1864.210000000021</v>
      </c>
      <c r="U200" s="4">
        <v>0</v>
      </c>
      <c r="V200" s="4">
        <v>0</v>
      </c>
      <c r="W200" s="13">
        <f t="shared" si="29"/>
        <v>1864.210000000021</v>
      </c>
      <c r="X200" s="13">
        <f t="shared" si="26"/>
        <v>0</v>
      </c>
      <c r="Y200" s="13">
        <f t="shared" si="30"/>
        <v>0</v>
      </c>
      <c r="Z200" s="2">
        <v>0</v>
      </c>
      <c r="AA200" s="4">
        <v>0</v>
      </c>
      <c r="AB200" s="4">
        <f t="shared" si="31"/>
        <v>0</v>
      </c>
      <c r="AC200" s="6">
        <f t="shared" si="32"/>
        <v>0</v>
      </c>
      <c r="AD200" s="13">
        <f t="shared" si="27"/>
        <v>0</v>
      </c>
      <c r="AE200" s="2">
        <v>0.05</v>
      </c>
      <c r="AF200" s="5">
        <f t="shared" si="33"/>
        <v>0</v>
      </c>
      <c r="AG200" s="2">
        <v>0</v>
      </c>
      <c r="AH200" s="5">
        <f t="shared" si="28"/>
        <v>0</v>
      </c>
      <c r="AJ200" s="126" t="e">
        <v>#N/A</v>
      </c>
      <c r="AK200" s="80">
        <f t="shared" si="34"/>
        <v>0</v>
      </c>
      <c r="AM200" s="85"/>
    </row>
    <row r="201" spans="1:39" hidden="1" x14ac:dyDescent="0.3">
      <c r="A201" s="85" t="s">
        <v>34</v>
      </c>
      <c r="B201" s="15" t="s">
        <v>35</v>
      </c>
      <c r="C201" s="15" t="s">
        <v>187</v>
      </c>
      <c r="D201" s="15" t="s">
        <v>208</v>
      </c>
      <c r="E201" s="15" t="s">
        <v>281</v>
      </c>
      <c r="F201" s="15" t="s">
        <v>281</v>
      </c>
      <c r="G201" s="15" t="s">
        <v>281</v>
      </c>
      <c r="H201" s="139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41</v>
      </c>
      <c r="Q201" s="9">
        <v>0</v>
      </c>
      <c r="R201" s="138"/>
      <c r="T201" s="18">
        <v>11757.100000000022</v>
      </c>
      <c r="U201" s="4">
        <v>0</v>
      </c>
      <c r="V201" s="4">
        <v>0</v>
      </c>
      <c r="W201" s="13">
        <f t="shared" si="29"/>
        <v>11757.100000000022</v>
      </c>
      <c r="X201" s="13">
        <f t="shared" si="26"/>
        <v>0</v>
      </c>
      <c r="Y201" s="13">
        <f t="shared" si="30"/>
        <v>0</v>
      </c>
      <c r="Z201" s="2">
        <v>0</v>
      </c>
      <c r="AA201" s="4">
        <v>0</v>
      </c>
      <c r="AB201" s="4">
        <f t="shared" si="31"/>
        <v>0</v>
      </c>
      <c r="AC201" s="6">
        <f t="shared" si="32"/>
        <v>0</v>
      </c>
      <c r="AD201" s="13">
        <f t="shared" si="27"/>
        <v>0</v>
      </c>
      <c r="AE201" s="2">
        <v>0.05</v>
      </c>
      <c r="AF201" s="5">
        <f t="shared" si="33"/>
        <v>0</v>
      </c>
      <c r="AG201" s="2">
        <v>0</v>
      </c>
      <c r="AH201" s="5">
        <f t="shared" si="28"/>
        <v>0</v>
      </c>
      <c r="AJ201" s="126" t="e">
        <v>#N/A</v>
      </c>
      <c r="AK201" s="80">
        <f t="shared" si="34"/>
        <v>0</v>
      </c>
      <c r="AM201" s="85"/>
    </row>
    <row r="202" spans="1:39" hidden="1" x14ac:dyDescent="0.3">
      <c r="A202" s="85" t="s">
        <v>34</v>
      </c>
      <c r="B202" s="15" t="s">
        <v>35</v>
      </c>
      <c r="C202" s="15" t="s">
        <v>187</v>
      </c>
      <c r="D202" s="15" t="s">
        <v>208</v>
      </c>
      <c r="E202" s="15" t="s">
        <v>282</v>
      </c>
      <c r="F202" s="15" t="s">
        <v>283</v>
      </c>
      <c r="G202" s="15" t="s">
        <v>282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0.05</v>
      </c>
      <c r="R202" s="138"/>
      <c r="T202" s="18">
        <v>23726.320000000003</v>
      </c>
      <c r="U202" s="4">
        <v>0</v>
      </c>
      <c r="V202" s="4">
        <v>877.56999999999994</v>
      </c>
      <c r="W202" s="13">
        <f t="shared" si="29"/>
        <v>22848.750000000004</v>
      </c>
      <c r="X202" s="13">
        <f t="shared" si="26"/>
        <v>835.78095238095227</v>
      </c>
      <c r="Y202" s="13">
        <f t="shared" si="30"/>
        <v>0</v>
      </c>
      <c r="Z202" s="2">
        <v>0</v>
      </c>
      <c r="AA202" s="4">
        <v>0</v>
      </c>
      <c r="AB202" s="4">
        <f t="shared" si="31"/>
        <v>835.78095238095227</v>
      </c>
      <c r="AC202" s="6">
        <f t="shared" si="32"/>
        <v>41.789047619047665</v>
      </c>
      <c r="AD202" s="13">
        <f t="shared" si="27"/>
        <v>877.56999999999994</v>
      </c>
      <c r="AE202" s="2">
        <v>0.05</v>
      </c>
      <c r="AF202" s="5">
        <f t="shared" si="33"/>
        <v>43.878500000000003</v>
      </c>
      <c r="AG202" s="2">
        <v>0</v>
      </c>
      <c r="AH202" s="5">
        <f t="shared" si="28"/>
        <v>877.56999999999994</v>
      </c>
      <c r="AJ202" s="126" t="e">
        <v>#N/A</v>
      </c>
      <c r="AK202" s="80">
        <f t="shared" si="34"/>
        <v>0</v>
      </c>
      <c r="AM202" s="85"/>
    </row>
    <row r="203" spans="1:39" hidden="1" x14ac:dyDescent="0.3">
      <c r="A203" s="85" t="s">
        <v>34</v>
      </c>
      <c r="B203" s="15" t="s">
        <v>35</v>
      </c>
      <c r="C203" s="15" t="s">
        <v>59</v>
      </c>
      <c r="D203" s="15" t="s">
        <v>60</v>
      </c>
      <c r="E203" s="15" t="s">
        <v>89</v>
      </c>
      <c r="F203" s="15" t="s">
        <v>89</v>
      </c>
      <c r="G203" s="15" t="s">
        <v>89</v>
      </c>
      <c r="H203" s="154"/>
      <c r="I203" s="3" t="s">
        <v>3356</v>
      </c>
      <c r="J203" s="1" t="s">
        <v>3326</v>
      </c>
      <c r="K203" s="1" t="s">
        <v>3707</v>
      </c>
      <c r="L203" s="1" t="s">
        <v>35</v>
      </c>
      <c r="M203" s="95"/>
      <c r="N203" s="3" t="s">
        <v>3708</v>
      </c>
      <c r="O203" s="8" t="s">
        <v>105</v>
      </c>
      <c r="P203" s="8" t="s">
        <v>92</v>
      </c>
      <c r="Q203" s="9">
        <v>0.94</v>
      </c>
      <c r="R203" s="138"/>
      <c r="T203" s="18">
        <v>-6232.41</v>
      </c>
      <c r="U203" s="4">
        <v>0</v>
      </c>
      <c r="V203" s="4">
        <v>94503.43</v>
      </c>
      <c r="W203" s="13">
        <v>0</v>
      </c>
      <c r="X203" s="13">
        <f t="shared" si="26"/>
        <v>88833.224199999982</v>
      </c>
      <c r="Y203" s="13">
        <f t="shared" si="30"/>
        <v>0</v>
      </c>
      <c r="Z203" s="2">
        <v>0</v>
      </c>
      <c r="AA203" s="4">
        <v>0</v>
      </c>
      <c r="AB203" s="4">
        <f t="shared" si="31"/>
        <v>88833.224199999982</v>
      </c>
      <c r="AC203" s="6">
        <f t="shared" si="32"/>
        <v>5670.2058000000106</v>
      </c>
      <c r="AD203" s="13">
        <f t="shared" si="27"/>
        <v>94503.43</v>
      </c>
      <c r="AE203" s="2">
        <v>0.05</v>
      </c>
      <c r="AF203" s="5">
        <f t="shared" si="33"/>
        <v>4725.1714999999995</v>
      </c>
      <c r="AG203" s="2">
        <v>0</v>
      </c>
      <c r="AH203" s="5">
        <f t="shared" si="28"/>
        <v>94503.43</v>
      </c>
      <c r="AJ203" s="126" t="e">
        <v>#N/A</v>
      </c>
      <c r="AK203" s="80">
        <f t="shared" si="34"/>
        <v>0</v>
      </c>
      <c r="AM203" s="85"/>
    </row>
    <row r="204" spans="1:39" hidden="1" x14ac:dyDescent="0.3">
      <c r="A204" s="85" t="s">
        <v>34</v>
      </c>
      <c r="B204" s="15" t="s">
        <v>35</v>
      </c>
      <c r="C204" s="15" t="s">
        <v>164</v>
      </c>
      <c r="D204" s="15" t="s">
        <v>174</v>
      </c>
      <c r="E204" s="15" t="s">
        <v>284</v>
      </c>
      <c r="F204" s="15" t="s">
        <v>284</v>
      </c>
      <c r="G204" s="15" t="s">
        <v>284</v>
      </c>
      <c r="H204" s="139"/>
      <c r="I204" s="3" t="s">
        <v>3356</v>
      </c>
      <c r="J204" s="1" t="s">
        <v>3326</v>
      </c>
      <c r="K204" s="1" t="s">
        <v>3712</v>
      </c>
      <c r="L204" s="1" t="s">
        <v>35</v>
      </c>
      <c r="M204" s="95"/>
      <c r="N204" s="3" t="s">
        <v>3729</v>
      </c>
      <c r="O204" s="8" t="s">
        <v>45</v>
      </c>
      <c r="P204" s="8" t="s">
        <v>46</v>
      </c>
      <c r="Q204" s="9">
        <v>0.04</v>
      </c>
      <c r="R204" s="138"/>
      <c r="T204" s="18">
        <v>8919.66</v>
      </c>
      <c r="U204" s="4">
        <v>0</v>
      </c>
      <c r="V204" s="4">
        <v>0</v>
      </c>
      <c r="W204" s="13">
        <f t="shared" si="29"/>
        <v>8919.66</v>
      </c>
      <c r="X204" s="13">
        <f t="shared" si="26"/>
        <v>0</v>
      </c>
      <c r="Y204" s="13">
        <f t="shared" si="30"/>
        <v>0</v>
      </c>
      <c r="Z204" s="2">
        <v>0</v>
      </c>
      <c r="AA204" s="4">
        <v>0</v>
      </c>
      <c r="AB204" s="4">
        <f t="shared" si="31"/>
        <v>0</v>
      </c>
      <c r="AC204" s="6">
        <f t="shared" si="32"/>
        <v>0</v>
      </c>
      <c r="AD204" s="13">
        <f t="shared" si="27"/>
        <v>0</v>
      </c>
      <c r="AE204" s="2">
        <v>0.05</v>
      </c>
      <c r="AF204" s="5">
        <f t="shared" si="33"/>
        <v>0</v>
      </c>
      <c r="AG204" s="2">
        <v>0</v>
      </c>
      <c r="AH204" s="5">
        <f t="shared" si="28"/>
        <v>0</v>
      </c>
      <c r="AJ204" s="126" t="e">
        <v>#N/A</v>
      </c>
      <c r="AK204" s="80">
        <f t="shared" si="34"/>
        <v>0</v>
      </c>
      <c r="AM204" s="85"/>
    </row>
    <row r="205" spans="1:39" hidden="1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285</v>
      </c>
      <c r="F205" s="15" t="s">
        <v>286</v>
      </c>
      <c r="G205" s="15" t="s">
        <v>285</v>
      </c>
      <c r="H205" s="139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41</v>
      </c>
      <c r="Q205" s="9">
        <v>0</v>
      </c>
      <c r="R205" s="138"/>
      <c r="T205" s="18">
        <v>6840.6500000000015</v>
      </c>
      <c r="U205" s="4">
        <v>0</v>
      </c>
      <c r="V205" s="4">
        <v>0</v>
      </c>
      <c r="W205" s="13">
        <f t="shared" si="29"/>
        <v>6840.6500000000015</v>
      </c>
      <c r="X205" s="13">
        <f t="shared" si="26"/>
        <v>0</v>
      </c>
      <c r="Y205" s="13">
        <f t="shared" si="30"/>
        <v>0</v>
      </c>
      <c r="Z205" s="2">
        <v>0</v>
      </c>
      <c r="AA205" s="4">
        <v>0</v>
      </c>
      <c r="AB205" s="4">
        <f t="shared" si="31"/>
        <v>0</v>
      </c>
      <c r="AC205" s="6">
        <f t="shared" si="32"/>
        <v>0</v>
      </c>
      <c r="AD205" s="13">
        <f t="shared" si="27"/>
        <v>0</v>
      </c>
      <c r="AE205" s="2">
        <v>0.05</v>
      </c>
      <c r="AF205" s="5">
        <f t="shared" si="33"/>
        <v>0</v>
      </c>
      <c r="AG205" s="2">
        <v>0</v>
      </c>
      <c r="AH205" s="5">
        <f t="shared" si="28"/>
        <v>0</v>
      </c>
      <c r="AJ205" s="126" t="e">
        <v>#N/A</v>
      </c>
      <c r="AK205" s="80">
        <f t="shared" si="34"/>
        <v>0</v>
      </c>
      <c r="AM205" s="85"/>
    </row>
    <row r="206" spans="1:39" hidden="1" x14ac:dyDescent="0.3">
      <c r="A206" s="85" t="s">
        <v>34</v>
      </c>
      <c r="B206" s="15" t="s">
        <v>35</v>
      </c>
      <c r="C206" s="15" t="s">
        <v>47</v>
      </c>
      <c r="D206" s="15" t="s">
        <v>48</v>
      </c>
      <c r="E206" s="15" t="s">
        <v>50</v>
      </c>
      <c r="F206" s="15" t="s">
        <v>287</v>
      </c>
      <c r="G206" s="15" t="s">
        <v>50</v>
      </c>
      <c r="H206" s="139"/>
      <c r="I206" s="3" t="s">
        <v>3356</v>
      </c>
      <c r="J206" s="1" t="s">
        <v>3326</v>
      </c>
      <c r="K206" s="1" t="s">
        <v>3710</v>
      </c>
      <c r="L206" s="1" t="s">
        <v>35</v>
      </c>
      <c r="M206" s="95"/>
      <c r="N206" s="3" t="s">
        <v>3723</v>
      </c>
      <c r="O206" s="8" t="s">
        <v>45</v>
      </c>
      <c r="P206" s="8" t="s">
        <v>41</v>
      </c>
      <c r="Q206" s="9">
        <v>0</v>
      </c>
      <c r="R206" s="138"/>
      <c r="T206" s="18">
        <v>52722.929999999978</v>
      </c>
      <c r="U206" s="4">
        <v>0</v>
      </c>
      <c r="V206" s="4">
        <v>0</v>
      </c>
      <c r="W206" s="13">
        <f t="shared" si="29"/>
        <v>52722.929999999978</v>
      </c>
      <c r="X206" s="13">
        <f t="shared" si="26"/>
        <v>0</v>
      </c>
      <c r="Y206" s="13">
        <f t="shared" si="30"/>
        <v>0</v>
      </c>
      <c r="Z206" s="2">
        <v>0</v>
      </c>
      <c r="AA206" s="4">
        <v>0</v>
      </c>
      <c r="AB206" s="4">
        <f t="shared" si="31"/>
        <v>0</v>
      </c>
      <c r="AC206" s="6">
        <f t="shared" si="32"/>
        <v>0</v>
      </c>
      <c r="AD206" s="13">
        <f t="shared" si="27"/>
        <v>0</v>
      </c>
      <c r="AE206" s="2">
        <v>0.05</v>
      </c>
      <c r="AF206" s="5">
        <f t="shared" si="33"/>
        <v>0</v>
      </c>
      <c r="AG206" s="2">
        <v>0</v>
      </c>
      <c r="AH206" s="5">
        <f t="shared" si="28"/>
        <v>0</v>
      </c>
      <c r="AJ206" s="126" t="e">
        <v>#N/A</v>
      </c>
      <c r="AK206" s="80">
        <f t="shared" si="34"/>
        <v>0</v>
      </c>
      <c r="AM206" s="85"/>
    </row>
    <row r="207" spans="1:39" hidden="1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196</v>
      </c>
      <c r="F207" s="15" t="s">
        <v>196</v>
      </c>
      <c r="G207" s="15" t="s">
        <v>196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5.0000000000000044E-2</v>
      </c>
      <c r="R207" s="138"/>
      <c r="T207" s="18">
        <v>299376.37</v>
      </c>
      <c r="U207" s="4">
        <v>0</v>
      </c>
      <c r="V207" s="4">
        <v>202100.54999999993</v>
      </c>
      <c r="W207" s="13">
        <f t="shared" si="29"/>
        <v>97275.820000000065</v>
      </c>
      <c r="X207" s="13">
        <f t="shared" si="26"/>
        <v>192476.7142857142</v>
      </c>
      <c r="Y207" s="13">
        <f t="shared" si="30"/>
        <v>0</v>
      </c>
      <c r="Z207" s="2">
        <v>0</v>
      </c>
      <c r="AA207" s="4">
        <v>0</v>
      </c>
      <c r="AB207" s="4">
        <f t="shared" si="31"/>
        <v>192476.7142857142</v>
      </c>
      <c r="AC207" s="6">
        <f t="shared" si="32"/>
        <v>9623.8357142857276</v>
      </c>
      <c r="AD207" s="13">
        <f t="shared" si="27"/>
        <v>202100.54999999993</v>
      </c>
      <c r="AE207" s="2">
        <v>0.05</v>
      </c>
      <c r="AF207" s="5">
        <f t="shared" si="33"/>
        <v>10105.027499999997</v>
      </c>
      <c r="AG207" s="2">
        <v>0</v>
      </c>
      <c r="AH207" s="5">
        <f t="shared" si="28"/>
        <v>202100.54999999993</v>
      </c>
      <c r="AJ207" s="126" t="e">
        <v>#N/A</v>
      </c>
      <c r="AK207" s="80">
        <f t="shared" si="34"/>
        <v>0</v>
      </c>
      <c r="AM207" s="85"/>
    </row>
    <row r="208" spans="1:39" hidden="1" x14ac:dyDescent="0.3">
      <c r="A208" s="85" t="s">
        <v>34</v>
      </c>
      <c r="B208" s="15" t="s">
        <v>35</v>
      </c>
      <c r="C208" s="15" t="s">
        <v>187</v>
      </c>
      <c r="D208" s="15" t="s">
        <v>208</v>
      </c>
      <c r="E208" s="15" t="s">
        <v>288</v>
      </c>
      <c r="F208" s="15" t="s">
        <v>288</v>
      </c>
      <c r="G208" s="15" t="s">
        <v>288</v>
      </c>
      <c r="H208" s="139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41</v>
      </c>
      <c r="Q208" s="9">
        <v>0</v>
      </c>
      <c r="R208" s="138"/>
      <c r="T208" s="18">
        <v>3138.33</v>
      </c>
      <c r="U208" s="4">
        <v>0</v>
      </c>
      <c r="V208" s="4">
        <v>0</v>
      </c>
      <c r="W208" s="13">
        <f t="shared" si="29"/>
        <v>3138.33</v>
      </c>
      <c r="X208" s="13">
        <f t="shared" si="26"/>
        <v>0</v>
      </c>
      <c r="Y208" s="13">
        <f t="shared" si="30"/>
        <v>0</v>
      </c>
      <c r="Z208" s="2">
        <v>0</v>
      </c>
      <c r="AA208" s="4">
        <v>0</v>
      </c>
      <c r="AB208" s="4">
        <f t="shared" si="31"/>
        <v>0</v>
      </c>
      <c r="AC208" s="6">
        <f t="shared" si="32"/>
        <v>0</v>
      </c>
      <c r="AD208" s="13">
        <f t="shared" si="27"/>
        <v>0</v>
      </c>
      <c r="AE208" s="2">
        <v>0.05</v>
      </c>
      <c r="AF208" s="5">
        <f t="shared" si="33"/>
        <v>0</v>
      </c>
      <c r="AG208" s="2">
        <v>0</v>
      </c>
      <c r="AH208" s="5">
        <f t="shared" si="28"/>
        <v>0</v>
      </c>
      <c r="AJ208" s="126" t="e">
        <v>#N/A</v>
      </c>
      <c r="AK208" s="80">
        <f t="shared" si="34"/>
        <v>0</v>
      </c>
      <c r="AM208" s="85"/>
    </row>
    <row r="209" spans="1:39" hidden="1" x14ac:dyDescent="0.3">
      <c r="A209" s="85" t="s">
        <v>34</v>
      </c>
      <c r="B209" s="15" t="s">
        <v>35</v>
      </c>
      <c r="C209" s="15" t="s">
        <v>53</v>
      </c>
      <c r="D209" s="15" t="s">
        <v>54</v>
      </c>
      <c r="E209" s="15" t="s">
        <v>289</v>
      </c>
      <c r="F209" s="15" t="s">
        <v>289</v>
      </c>
      <c r="G209" s="15" t="s">
        <v>289</v>
      </c>
      <c r="H209" s="139"/>
      <c r="I209" s="3" t="s">
        <v>3356</v>
      </c>
      <c r="J209" s="1" t="s">
        <v>3326</v>
      </c>
      <c r="K209" s="1" t="s">
        <v>3712</v>
      </c>
      <c r="L209" s="1" t="s">
        <v>35</v>
      </c>
      <c r="M209" s="95"/>
      <c r="N209" s="3" t="s">
        <v>3729</v>
      </c>
      <c r="O209" s="8" t="s">
        <v>45</v>
      </c>
      <c r="P209" s="8" t="s">
        <v>41</v>
      </c>
      <c r="Q209" s="9">
        <v>0</v>
      </c>
      <c r="R209" s="138"/>
      <c r="T209" s="18">
        <v>0.1000000000349246</v>
      </c>
      <c r="U209" s="4">
        <v>0</v>
      </c>
      <c r="V209" s="4">
        <v>0</v>
      </c>
      <c r="W209" s="13">
        <f t="shared" si="29"/>
        <v>0.1000000000349246</v>
      </c>
      <c r="X209" s="13">
        <f t="shared" si="26"/>
        <v>0</v>
      </c>
      <c r="Y209" s="13">
        <f t="shared" si="30"/>
        <v>0</v>
      </c>
      <c r="Z209" s="2">
        <v>0</v>
      </c>
      <c r="AA209" s="4">
        <v>0</v>
      </c>
      <c r="AB209" s="4">
        <f t="shared" si="31"/>
        <v>0</v>
      </c>
      <c r="AC209" s="6">
        <f t="shared" si="32"/>
        <v>0</v>
      </c>
      <c r="AD209" s="13">
        <f t="shared" si="27"/>
        <v>0</v>
      </c>
      <c r="AE209" s="2">
        <v>0.05</v>
      </c>
      <c r="AF209" s="5">
        <f t="shared" si="33"/>
        <v>0</v>
      </c>
      <c r="AG209" s="2">
        <v>0</v>
      </c>
      <c r="AH209" s="5">
        <f t="shared" si="28"/>
        <v>0</v>
      </c>
      <c r="AJ209" s="126" t="e">
        <v>#N/A</v>
      </c>
      <c r="AK209" s="80">
        <f t="shared" si="34"/>
        <v>0</v>
      </c>
      <c r="AM209" s="85"/>
    </row>
    <row r="210" spans="1:39" hidden="1" x14ac:dyDescent="0.3">
      <c r="A210" s="85" t="s">
        <v>34</v>
      </c>
      <c r="B210" s="15" t="s">
        <v>35</v>
      </c>
      <c r="C210" s="15" t="s">
        <v>53</v>
      </c>
      <c r="D210" s="15" t="s">
        <v>54</v>
      </c>
      <c r="E210" s="15" t="s">
        <v>290</v>
      </c>
      <c r="F210" s="15" t="s">
        <v>290</v>
      </c>
      <c r="G210" s="15" t="s">
        <v>290</v>
      </c>
      <c r="H210" s="139"/>
      <c r="I210" s="3" t="s">
        <v>3356</v>
      </c>
      <c r="J210" s="1" t="s">
        <v>3326</v>
      </c>
      <c r="K210" s="1" t="s">
        <v>3712</v>
      </c>
      <c r="L210" s="1" t="s">
        <v>35</v>
      </c>
      <c r="M210" s="95"/>
      <c r="N210" s="3" t="s">
        <v>3729</v>
      </c>
      <c r="O210" s="8" t="s">
        <v>45</v>
      </c>
      <c r="P210" s="8" t="s">
        <v>41</v>
      </c>
      <c r="Q210" s="9">
        <v>0</v>
      </c>
      <c r="R210" s="138"/>
      <c r="T210" s="18">
        <v>468.08000000000175</v>
      </c>
      <c r="U210" s="4">
        <v>0</v>
      </c>
      <c r="V210" s="4">
        <v>0</v>
      </c>
      <c r="W210" s="13">
        <f t="shared" si="29"/>
        <v>468.08000000000175</v>
      </c>
      <c r="X210" s="13">
        <f t="shared" si="26"/>
        <v>0</v>
      </c>
      <c r="Y210" s="13">
        <f t="shared" si="30"/>
        <v>0</v>
      </c>
      <c r="Z210" s="2">
        <v>0</v>
      </c>
      <c r="AA210" s="4">
        <v>0</v>
      </c>
      <c r="AB210" s="4"/>
      <c r="AC210" s="6">
        <f t="shared" si="32"/>
        <v>0</v>
      </c>
      <c r="AD210" s="13">
        <f t="shared" si="27"/>
        <v>0</v>
      </c>
      <c r="AE210" s="2">
        <v>0.05</v>
      </c>
      <c r="AF210" s="5">
        <f t="shared" si="33"/>
        <v>0</v>
      </c>
      <c r="AG210" s="2">
        <v>0</v>
      </c>
      <c r="AH210" s="5">
        <f t="shared" si="28"/>
        <v>0</v>
      </c>
      <c r="AJ210" s="126">
        <v>95</v>
      </c>
      <c r="AK210" s="80">
        <f t="shared" si="34"/>
        <v>0</v>
      </c>
      <c r="AM210" s="85"/>
    </row>
    <row r="211" spans="1:39" hidden="1" x14ac:dyDescent="0.3">
      <c r="A211" s="85" t="s">
        <v>34</v>
      </c>
      <c r="B211" s="15" t="s">
        <v>35</v>
      </c>
      <c r="C211" s="15" t="s">
        <v>53</v>
      </c>
      <c r="D211" s="15" t="s">
        <v>54</v>
      </c>
      <c r="E211" s="15" t="s">
        <v>291</v>
      </c>
      <c r="F211" s="15" t="s">
        <v>292</v>
      </c>
      <c r="G211" s="15" t="s">
        <v>291</v>
      </c>
      <c r="H211" s="139"/>
      <c r="I211" s="3" t="s">
        <v>3356</v>
      </c>
      <c r="J211" s="1" t="s">
        <v>3326</v>
      </c>
      <c r="K211" s="1" t="s">
        <v>3712</v>
      </c>
      <c r="L211" s="1" t="s">
        <v>35</v>
      </c>
      <c r="M211" s="95"/>
      <c r="N211" s="3" t="s">
        <v>3729</v>
      </c>
      <c r="O211" s="8" t="s">
        <v>45</v>
      </c>
      <c r="P211" s="8" t="s">
        <v>41</v>
      </c>
      <c r="Q211" s="9">
        <v>0</v>
      </c>
      <c r="R211" s="138"/>
      <c r="T211" s="18">
        <v>16146.760000000018</v>
      </c>
      <c r="U211" s="4">
        <v>0</v>
      </c>
      <c r="V211" s="4">
        <v>0</v>
      </c>
      <c r="W211" s="13">
        <f t="shared" si="29"/>
        <v>16146.760000000018</v>
      </c>
      <c r="X211" s="13">
        <f t="shared" ref="X211:X274" si="35">IF(P211="折扣",V211*Q211,IF(P211="返现",V211,V211/(1+Q211)))</f>
        <v>0</v>
      </c>
      <c r="Y211" s="13">
        <f t="shared" si="30"/>
        <v>0</v>
      </c>
      <c r="Z211" s="2">
        <v>0</v>
      </c>
      <c r="AA211" s="4">
        <v>0</v>
      </c>
      <c r="AB211" s="4">
        <f t="shared" si="31"/>
        <v>0</v>
      </c>
      <c r="AC211" s="6">
        <f t="shared" si="32"/>
        <v>0</v>
      </c>
      <c r="AD211" s="13">
        <f t="shared" ref="AD211:AD274" si="36">V211</f>
        <v>0</v>
      </c>
      <c r="AE211" s="2">
        <v>0.05</v>
      </c>
      <c r="AF211" s="5">
        <f t="shared" si="33"/>
        <v>0</v>
      </c>
      <c r="AG211" s="2">
        <v>0</v>
      </c>
      <c r="AH211" s="5">
        <f t="shared" ref="AH211:AH274" si="37">V211</f>
        <v>0</v>
      </c>
      <c r="AJ211" s="126" t="e">
        <v>#N/A</v>
      </c>
      <c r="AK211" s="80">
        <f t="shared" si="34"/>
        <v>0</v>
      </c>
      <c r="AM211" s="85"/>
    </row>
    <row r="212" spans="1:39" hidden="1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293</v>
      </c>
      <c r="F212" s="15" t="s">
        <v>293</v>
      </c>
      <c r="G212" s="15" t="s">
        <v>293</v>
      </c>
      <c r="H212" s="154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0.03</v>
      </c>
      <c r="R212" s="138"/>
      <c r="T212" s="18">
        <v>3.7700000000431828</v>
      </c>
      <c r="U212" s="4">
        <v>0</v>
      </c>
      <c r="V212" s="4">
        <v>3.77</v>
      </c>
      <c r="W212" s="13">
        <f t="shared" ref="W212:W275" si="38">T212+U212-V212</f>
        <v>4.3182790676610239E-11</v>
      </c>
      <c r="X212" s="13">
        <f t="shared" si="35"/>
        <v>3.6601941747572813</v>
      </c>
      <c r="Y212" s="13">
        <f t="shared" si="30"/>
        <v>0</v>
      </c>
      <c r="Z212" s="2">
        <v>0</v>
      </c>
      <c r="AA212" s="4">
        <v>0</v>
      </c>
      <c r="AB212" s="4">
        <f t="shared" si="31"/>
        <v>3.6601941747572813</v>
      </c>
      <c r="AC212" s="6">
        <f t="shared" si="32"/>
        <v>0.10980582524271876</v>
      </c>
      <c r="AD212" s="13">
        <f t="shared" si="36"/>
        <v>3.77</v>
      </c>
      <c r="AE212" s="2">
        <v>0.05</v>
      </c>
      <c r="AF212" s="5">
        <f t="shared" si="33"/>
        <v>0.1885</v>
      </c>
      <c r="AG212" s="2">
        <v>0</v>
      </c>
      <c r="AH212" s="5">
        <f t="shared" si="37"/>
        <v>3.77</v>
      </c>
      <c r="AJ212" s="126" t="e">
        <v>#N/A</v>
      </c>
      <c r="AK212" s="80">
        <f t="shared" si="34"/>
        <v>0</v>
      </c>
      <c r="AM212" s="85"/>
    </row>
    <row r="213" spans="1:39" hidden="1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294</v>
      </c>
      <c r="F213" s="15" t="s">
        <v>294</v>
      </c>
      <c r="G213" s="15" t="s">
        <v>294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41</v>
      </c>
      <c r="Q213" s="9">
        <v>0</v>
      </c>
      <c r="R213" s="138"/>
      <c r="T213" s="18">
        <v>25609.800000000287</v>
      </c>
      <c r="U213" s="4">
        <v>0</v>
      </c>
      <c r="V213" s="4">
        <v>0</v>
      </c>
      <c r="W213" s="13">
        <f t="shared" si="38"/>
        <v>25609.800000000287</v>
      </c>
      <c r="X213" s="13">
        <f t="shared" si="35"/>
        <v>0</v>
      </c>
      <c r="Y213" s="13">
        <f t="shared" si="30"/>
        <v>0</v>
      </c>
      <c r="Z213" s="2">
        <v>0</v>
      </c>
      <c r="AA213" s="4">
        <v>0</v>
      </c>
      <c r="AB213" s="4">
        <f t="shared" si="31"/>
        <v>0</v>
      </c>
      <c r="AC213" s="6">
        <f t="shared" si="32"/>
        <v>0</v>
      </c>
      <c r="AD213" s="13">
        <f t="shared" si="36"/>
        <v>0</v>
      </c>
      <c r="AE213" s="2">
        <v>0.05</v>
      </c>
      <c r="AF213" s="5">
        <f t="shared" si="33"/>
        <v>0</v>
      </c>
      <c r="AG213" s="2">
        <v>0</v>
      </c>
      <c r="AH213" s="5">
        <f t="shared" si="37"/>
        <v>0</v>
      </c>
      <c r="AJ213" s="126" t="e">
        <v>#N/A</v>
      </c>
      <c r="AK213" s="80">
        <f t="shared" si="34"/>
        <v>0</v>
      </c>
      <c r="AM213" s="85"/>
    </row>
    <row r="214" spans="1:39" hidden="1" x14ac:dyDescent="0.3">
      <c r="A214" s="85" t="s">
        <v>34</v>
      </c>
      <c r="B214" s="15" t="s">
        <v>35</v>
      </c>
      <c r="C214" s="15" t="s">
        <v>295</v>
      </c>
      <c r="D214" s="15" t="s">
        <v>185</v>
      </c>
      <c r="E214" s="15" t="s">
        <v>296</v>
      </c>
      <c r="F214" s="15" t="s">
        <v>296</v>
      </c>
      <c r="G214" s="15" t="s">
        <v>296</v>
      </c>
      <c r="H214" s="139"/>
      <c r="I214" s="3" t="s">
        <v>3356</v>
      </c>
      <c r="J214" s="1" t="s">
        <v>3326</v>
      </c>
      <c r="K214" s="1" t="s">
        <v>3712</v>
      </c>
      <c r="L214" s="1" t="s">
        <v>35</v>
      </c>
      <c r="M214" s="95"/>
      <c r="N214" s="3" t="s">
        <v>3729</v>
      </c>
      <c r="O214" s="8" t="s">
        <v>45</v>
      </c>
      <c r="P214" s="8" t="s">
        <v>46</v>
      </c>
      <c r="Q214" s="9">
        <v>0.03</v>
      </c>
      <c r="R214" s="138"/>
      <c r="T214" s="18">
        <v>6946.6599999999698</v>
      </c>
      <c r="U214" s="4">
        <v>0</v>
      </c>
      <c r="V214" s="4">
        <v>0</v>
      </c>
      <c r="W214" s="13">
        <f t="shared" si="38"/>
        <v>6946.6599999999698</v>
      </c>
      <c r="X214" s="13">
        <f t="shared" si="35"/>
        <v>0</v>
      </c>
      <c r="Y214" s="13">
        <f t="shared" si="30"/>
        <v>0</v>
      </c>
      <c r="Z214" s="2">
        <v>0</v>
      </c>
      <c r="AA214" s="4">
        <v>0</v>
      </c>
      <c r="AB214" s="4">
        <f t="shared" si="31"/>
        <v>0</v>
      </c>
      <c r="AC214" s="6">
        <f t="shared" si="32"/>
        <v>0</v>
      </c>
      <c r="AD214" s="13">
        <f t="shared" si="36"/>
        <v>0</v>
      </c>
      <c r="AE214" s="2">
        <v>0.05</v>
      </c>
      <c r="AF214" s="5">
        <f t="shared" si="33"/>
        <v>0</v>
      </c>
      <c r="AG214" s="2">
        <v>0</v>
      </c>
      <c r="AH214" s="5">
        <f t="shared" si="37"/>
        <v>0</v>
      </c>
      <c r="AJ214" s="126" t="e">
        <v>#N/A</v>
      </c>
      <c r="AK214" s="80">
        <f t="shared" si="34"/>
        <v>0</v>
      </c>
      <c r="AM214" s="85"/>
    </row>
    <row r="215" spans="1:39" hidden="1" x14ac:dyDescent="0.3">
      <c r="A215" s="85" t="s">
        <v>34</v>
      </c>
      <c r="B215" s="15" t="s">
        <v>35</v>
      </c>
      <c r="C215" s="15" t="s">
        <v>295</v>
      </c>
      <c r="D215" s="15" t="s">
        <v>185</v>
      </c>
      <c r="E215" s="15" t="s">
        <v>297</v>
      </c>
      <c r="F215" s="15" t="s">
        <v>297</v>
      </c>
      <c r="G215" s="15" t="s">
        <v>297</v>
      </c>
      <c r="H215" s="139"/>
      <c r="I215" s="3" t="s">
        <v>3356</v>
      </c>
      <c r="J215" s="1" t="s">
        <v>3326</v>
      </c>
      <c r="K215" s="1" t="s">
        <v>3712</v>
      </c>
      <c r="L215" s="1" t="s">
        <v>35</v>
      </c>
      <c r="M215" s="95"/>
      <c r="N215" s="3" t="s">
        <v>3729</v>
      </c>
      <c r="O215" s="8" t="s">
        <v>45</v>
      </c>
      <c r="P215" s="8" t="s">
        <v>46</v>
      </c>
      <c r="Q215" s="9">
        <v>0.03</v>
      </c>
      <c r="R215" s="138"/>
      <c r="T215" s="18">
        <v>53361.72</v>
      </c>
      <c r="U215" s="4">
        <v>0</v>
      </c>
      <c r="V215" s="4">
        <v>0</v>
      </c>
      <c r="W215" s="13">
        <f t="shared" si="38"/>
        <v>53361.72</v>
      </c>
      <c r="X215" s="13">
        <f t="shared" si="35"/>
        <v>0</v>
      </c>
      <c r="Y215" s="13">
        <f t="shared" si="30"/>
        <v>0</v>
      </c>
      <c r="Z215" s="2">
        <v>0</v>
      </c>
      <c r="AA215" s="4">
        <v>0</v>
      </c>
      <c r="AB215" s="4">
        <f t="shared" si="31"/>
        <v>0</v>
      </c>
      <c r="AC215" s="6">
        <f t="shared" si="32"/>
        <v>0</v>
      </c>
      <c r="AD215" s="13">
        <f t="shared" si="36"/>
        <v>0</v>
      </c>
      <c r="AE215" s="2">
        <v>0.05</v>
      </c>
      <c r="AF215" s="5">
        <f t="shared" si="33"/>
        <v>0</v>
      </c>
      <c r="AG215" s="2">
        <v>0</v>
      </c>
      <c r="AH215" s="5">
        <f t="shared" si="37"/>
        <v>0</v>
      </c>
      <c r="AJ215" s="126" t="e">
        <v>#N/A</v>
      </c>
      <c r="AK215" s="80">
        <f t="shared" si="34"/>
        <v>0</v>
      </c>
      <c r="AM215" s="85"/>
    </row>
    <row r="216" spans="1:39" hidden="1" x14ac:dyDescent="0.3">
      <c r="A216" s="85" t="s">
        <v>34</v>
      </c>
      <c r="B216" s="15" t="s">
        <v>35</v>
      </c>
      <c r="C216" s="15" t="s">
        <v>295</v>
      </c>
      <c r="D216" s="15" t="s">
        <v>298</v>
      </c>
      <c r="E216" s="15" t="s">
        <v>299</v>
      </c>
      <c r="F216" s="15" t="s">
        <v>299</v>
      </c>
      <c r="G216" s="15" t="s">
        <v>299</v>
      </c>
      <c r="H216" s="139"/>
      <c r="I216" s="3" t="s">
        <v>3356</v>
      </c>
      <c r="J216" s="1" t="s">
        <v>3326</v>
      </c>
      <c r="K216" s="1" t="s">
        <v>3712</v>
      </c>
      <c r="L216" s="1" t="s">
        <v>35</v>
      </c>
      <c r="M216" s="95"/>
      <c r="N216" s="3" t="s">
        <v>3729</v>
      </c>
      <c r="O216" s="8" t="s">
        <v>45</v>
      </c>
      <c r="P216" s="8" t="s">
        <v>41</v>
      </c>
      <c r="Q216" s="9">
        <v>0</v>
      </c>
      <c r="R216" s="138"/>
      <c r="T216" s="18">
        <v>1889.01999999999</v>
      </c>
      <c r="U216" s="4">
        <v>0</v>
      </c>
      <c r="V216" s="4">
        <v>0</v>
      </c>
      <c r="W216" s="13">
        <f t="shared" si="38"/>
        <v>1889.01999999999</v>
      </c>
      <c r="X216" s="13">
        <f t="shared" si="35"/>
        <v>0</v>
      </c>
      <c r="Y216" s="13">
        <f t="shared" si="30"/>
        <v>0</v>
      </c>
      <c r="Z216" s="2">
        <v>0</v>
      </c>
      <c r="AA216" s="4">
        <v>0</v>
      </c>
      <c r="AB216" s="4">
        <f t="shared" si="31"/>
        <v>0</v>
      </c>
      <c r="AC216" s="6">
        <f t="shared" si="32"/>
        <v>0</v>
      </c>
      <c r="AD216" s="13">
        <f t="shared" si="36"/>
        <v>0</v>
      </c>
      <c r="AE216" s="2">
        <v>0.05</v>
      </c>
      <c r="AF216" s="5">
        <f t="shared" si="33"/>
        <v>0</v>
      </c>
      <c r="AG216" s="2">
        <v>0</v>
      </c>
      <c r="AH216" s="5">
        <f t="shared" si="37"/>
        <v>0</v>
      </c>
      <c r="AJ216" s="126" t="e">
        <v>#N/A</v>
      </c>
      <c r="AK216" s="80">
        <f t="shared" si="34"/>
        <v>0</v>
      </c>
      <c r="AM216" s="85"/>
    </row>
    <row r="217" spans="1:39" hidden="1" x14ac:dyDescent="0.3">
      <c r="A217" s="85" t="s">
        <v>34</v>
      </c>
      <c r="B217" s="15" t="s">
        <v>35</v>
      </c>
      <c r="C217" s="15" t="s">
        <v>65</v>
      </c>
      <c r="D217" s="15" t="s">
        <v>232</v>
      </c>
      <c r="E217" s="15" t="s">
        <v>300</v>
      </c>
      <c r="F217" s="15" t="s">
        <v>300</v>
      </c>
      <c r="G217" s="15" t="s">
        <v>300</v>
      </c>
      <c r="H217" s="139"/>
      <c r="I217" s="3" t="s">
        <v>3356</v>
      </c>
      <c r="J217" s="1" t="s">
        <v>3326</v>
      </c>
      <c r="K217" s="1" t="s">
        <v>3712</v>
      </c>
      <c r="L217" s="1" t="s">
        <v>35</v>
      </c>
      <c r="M217" s="95"/>
      <c r="N217" s="3" t="s">
        <v>3729</v>
      </c>
      <c r="O217" s="8" t="s">
        <v>45</v>
      </c>
      <c r="P217" s="8" t="s">
        <v>41</v>
      </c>
      <c r="Q217" s="9">
        <v>0</v>
      </c>
      <c r="R217" s="138"/>
      <c r="T217" s="18">
        <v>11492.549999999996</v>
      </c>
      <c r="U217" s="4">
        <v>0</v>
      </c>
      <c r="V217" s="4">
        <v>0</v>
      </c>
      <c r="W217" s="13">
        <f t="shared" si="38"/>
        <v>11492.549999999996</v>
      </c>
      <c r="X217" s="13">
        <f t="shared" si="35"/>
        <v>0</v>
      </c>
      <c r="Y217" s="13">
        <f t="shared" si="30"/>
        <v>0</v>
      </c>
      <c r="Z217" s="2">
        <v>0</v>
      </c>
      <c r="AA217" s="4">
        <v>0</v>
      </c>
      <c r="AB217" s="4">
        <f t="shared" si="31"/>
        <v>0</v>
      </c>
      <c r="AC217" s="6">
        <f t="shared" si="32"/>
        <v>0</v>
      </c>
      <c r="AD217" s="13">
        <f t="shared" si="36"/>
        <v>0</v>
      </c>
      <c r="AE217" s="2">
        <v>0.05</v>
      </c>
      <c r="AF217" s="5">
        <f t="shared" si="33"/>
        <v>0</v>
      </c>
      <c r="AG217" s="2">
        <v>0</v>
      </c>
      <c r="AH217" s="5">
        <f t="shared" si="37"/>
        <v>0</v>
      </c>
      <c r="AJ217" s="126" t="e">
        <v>#N/A</v>
      </c>
      <c r="AK217" s="80">
        <f t="shared" si="34"/>
        <v>0</v>
      </c>
      <c r="AM217" s="85"/>
    </row>
    <row r="218" spans="1:39" hidden="1" x14ac:dyDescent="0.3">
      <c r="A218" s="85" t="s">
        <v>34</v>
      </c>
      <c r="B218" s="15" t="s">
        <v>35</v>
      </c>
      <c r="C218" s="3" t="s">
        <v>144</v>
      </c>
      <c r="D218" s="3" t="s">
        <v>152</v>
      </c>
      <c r="E218" s="15" t="s">
        <v>155</v>
      </c>
      <c r="F218" s="15" t="s">
        <v>155</v>
      </c>
      <c r="G218" s="15" t="s">
        <v>155</v>
      </c>
      <c r="H218" s="139"/>
      <c r="I218" s="3" t="s">
        <v>3356</v>
      </c>
      <c r="J218" s="1" t="s">
        <v>3326</v>
      </c>
      <c r="K218" s="1" t="s">
        <v>3712</v>
      </c>
      <c r="L218" s="1" t="s">
        <v>35</v>
      </c>
      <c r="M218" s="95"/>
      <c r="N218" s="3" t="s">
        <v>3729</v>
      </c>
      <c r="O218" s="8" t="s">
        <v>45</v>
      </c>
      <c r="P218" s="8" t="s">
        <v>41</v>
      </c>
      <c r="Q218" s="9">
        <v>0</v>
      </c>
      <c r="R218" s="138"/>
      <c r="T218" s="18">
        <v>0</v>
      </c>
      <c r="U218" s="4">
        <v>0</v>
      </c>
      <c r="V218" s="4">
        <v>0</v>
      </c>
      <c r="W218" s="13">
        <f t="shared" si="38"/>
        <v>0</v>
      </c>
      <c r="X218" s="13">
        <f t="shared" si="35"/>
        <v>0</v>
      </c>
      <c r="Y218" s="13">
        <f t="shared" si="30"/>
        <v>0</v>
      </c>
      <c r="Z218" s="2">
        <v>0</v>
      </c>
      <c r="AA218" s="4">
        <v>0</v>
      </c>
      <c r="AB218" s="4">
        <f t="shared" si="31"/>
        <v>0</v>
      </c>
      <c r="AC218" s="6">
        <f t="shared" si="32"/>
        <v>0</v>
      </c>
      <c r="AD218" s="13">
        <f t="shared" si="36"/>
        <v>0</v>
      </c>
      <c r="AE218" s="2">
        <v>0.05</v>
      </c>
      <c r="AF218" s="5">
        <f t="shared" si="33"/>
        <v>0</v>
      </c>
      <c r="AG218" s="2">
        <v>0</v>
      </c>
      <c r="AH218" s="5">
        <f t="shared" si="37"/>
        <v>0</v>
      </c>
      <c r="AJ218" s="126" t="e">
        <v>#N/A</v>
      </c>
      <c r="AK218" s="80">
        <f t="shared" si="34"/>
        <v>0</v>
      </c>
      <c r="AM218" s="85"/>
    </row>
    <row r="219" spans="1:39" hidden="1" x14ac:dyDescent="0.3">
      <c r="A219" s="85" t="s">
        <v>34</v>
      </c>
      <c r="B219" s="15" t="s">
        <v>35</v>
      </c>
      <c r="C219" s="15" t="s">
        <v>47</v>
      </c>
      <c r="D219" s="15" t="s">
        <v>63</v>
      </c>
      <c r="E219" s="15" t="s">
        <v>301</v>
      </c>
      <c r="F219" s="15" t="s">
        <v>301</v>
      </c>
      <c r="G219" s="15" t="s">
        <v>301</v>
      </c>
      <c r="H219" s="139"/>
      <c r="I219" s="3" t="s">
        <v>3356</v>
      </c>
      <c r="J219" s="1" t="s">
        <v>3326</v>
      </c>
      <c r="K219" s="1" t="s">
        <v>3712</v>
      </c>
      <c r="L219" s="1" t="s">
        <v>35</v>
      </c>
      <c r="M219" s="95"/>
      <c r="N219" s="3" t="s">
        <v>3729</v>
      </c>
      <c r="O219" s="8" t="s">
        <v>45</v>
      </c>
      <c r="P219" s="8" t="s">
        <v>92</v>
      </c>
      <c r="Q219" s="9">
        <v>0.97</v>
      </c>
      <c r="R219" s="138"/>
      <c r="T219" s="18">
        <v>0.60999999998603005</v>
      </c>
      <c r="U219" s="4">
        <v>0</v>
      </c>
      <c r="V219" s="4">
        <v>0</v>
      </c>
      <c r="W219" s="13">
        <f t="shared" si="38"/>
        <v>0.60999999998603005</v>
      </c>
      <c r="X219" s="13">
        <f t="shared" si="35"/>
        <v>0</v>
      </c>
      <c r="Y219" s="13">
        <f t="shared" si="30"/>
        <v>0</v>
      </c>
      <c r="Z219" s="2">
        <v>0</v>
      </c>
      <c r="AA219" s="4">
        <v>0</v>
      </c>
      <c r="AB219" s="4">
        <f t="shared" si="31"/>
        <v>0</v>
      </c>
      <c r="AC219" s="6">
        <f t="shared" si="32"/>
        <v>0</v>
      </c>
      <c r="AD219" s="13">
        <f t="shared" si="36"/>
        <v>0</v>
      </c>
      <c r="AE219" s="2">
        <v>0.05</v>
      </c>
      <c r="AF219" s="5">
        <f t="shared" si="33"/>
        <v>0</v>
      </c>
      <c r="AG219" s="2">
        <v>0</v>
      </c>
      <c r="AH219" s="5">
        <f t="shared" si="37"/>
        <v>0</v>
      </c>
      <c r="AJ219" s="126" t="e">
        <v>#N/A</v>
      </c>
      <c r="AK219" s="80">
        <f t="shared" si="34"/>
        <v>0</v>
      </c>
      <c r="AM219" s="85"/>
    </row>
    <row r="220" spans="1:39" hidden="1" x14ac:dyDescent="0.3">
      <c r="A220" s="85" t="s">
        <v>34</v>
      </c>
      <c r="B220" s="15" t="s">
        <v>35</v>
      </c>
      <c r="C220" s="15" t="s">
        <v>47</v>
      </c>
      <c r="D220" s="15" t="s">
        <v>48</v>
      </c>
      <c r="E220" s="15" t="s">
        <v>302</v>
      </c>
      <c r="F220" s="15" t="s">
        <v>302</v>
      </c>
      <c r="G220" s="15" t="s">
        <v>302</v>
      </c>
      <c r="H220" s="139"/>
      <c r="I220" s="3" t="s">
        <v>3356</v>
      </c>
      <c r="J220" s="1" t="s">
        <v>3326</v>
      </c>
      <c r="K220" s="1" t="s">
        <v>3712</v>
      </c>
      <c r="L220" s="1" t="s">
        <v>35</v>
      </c>
      <c r="M220" s="95"/>
      <c r="N220" s="3" t="s">
        <v>3729</v>
      </c>
      <c r="O220" s="8" t="s">
        <v>45</v>
      </c>
      <c r="P220" s="8" t="s">
        <v>46</v>
      </c>
      <c r="Q220" s="9">
        <v>0.03</v>
      </c>
      <c r="R220" s="138"/>
      <c r="T220" s="18">
        <v>46636.04</v>
      </c>
      <c r="U220" s="4">
        <v>0</v>
      </c>
      <c r="V220" s="4">
        <v>0</v>
      </c>
      <c r="W220" s="13">
        <f t="shared" si="38"/>
        <v>46636.04</v>
      </c>
      <c r="X220" s="13">
        <f t="shared" si="35"/>
        <v>0</v>
      </c>
      <c r="Y220" s="13">
        <f t="shared" si="30"/>
        <v>0</v>
      </c>
      <c r="Z220" s="2">
        <v>0</v>
      </c>
      <c r="AA220" s="4">
        <v>0</v>
      </c>
      <c r="AB220" s="4">
        <f t="shared" si="31"/>
        <v>0</v>
      </c>
      <c r="AC220" s="6">
        <f t="shared" si="32"/>
        <v>0</v>
      </c>
      <c r="AD220" s="13">
        <f t="shared" si="36"/>
        <v>0</v>
      </c>
      <c r="AE220" s="2">
        <v>0.05</v>
      </c>
      <c r="AF220" s="5">
        <f t="shared" si="33"/>
        <v>0</v>
      </c>
      <c r="AG220" s="2">
        <v>0</v>
      </c>
      <c r="AH220" s="5">
        <f t="shared" si="37"/>
        <v>0</v>
      </c>
      <c r="AJ220" s="126" t="e">
        <v>#N/A</v>
      </c>
      <c r="AK220" s="80">
        <f t="shared" si="34"/>
        <v>0</v>
      </c>
      <c r="AM220" s="85"/>
    </row>
    <row r="221" spans="1:39" hidden="1" x14ac:dyDescent="0.3">
      <c r="A221" s="85" t="s">
        <v>34</v>
      </c>
      <c r="B221" s="15" t="s">
        <v>35</v>
      </c>
      <c r="C221" s="15" t="s">
        <v>144</v>
      </c>
      <c r="D221" s="15" t="s">
        <v>303</v>
      </c>
      <c r="E221" s="15" t="s">
        <v>304</v>
      </c>
      <c r="F221" s="15" t="s">
        <v>304</v>
      </c>
      <c r="G221" s="15" t="s">
        <v>304</v>
      </c>
      <c r="H221" s="139"/>
      <c r="I221" s="3" t="s">
        <v>3356</v>
      </c>
      <c r="J221" s="1" t="s">
        <v>3326</v>
      </c>
      <c r="K221" s="1" t="s">
        <v>3712</v>
      </c>
      <c r="L221" s="1" t="s">
        <v>35</v>
      </c>
      <c r="M221" s="95"/>
      <c r="N221" s="3" t="s">
        <v>3729</v>
      </c>
      <c r="O221" s="8" t="s">
        <v>45</v>
      </c>
      <c r="P221" s="8" t="s">
        <v>46</v>
      </c>
      <c r="Q221" s="9">
        <v>0.03</v>
      </c>
      <c r="R221" s="138"/>
      <c r="T221" s="18">
        <v>21919.17</v>
      </c>
      <c r="U221" s="4">
        <v>0</v>
      </c>
      <c r="V221" s="4">
        <v>0</v>
      </c>
      <c r="W221" s="13">
        <f t="shared" si="38"/>
        <v>21919.17</v>
      </c>
      <c r="X221" s="13">
        <f t="shared" si="35"/>
        <v>0</v>
      </c>
      <c r="Y221" s="13">
        <f t="shared" si="30"/>
        <v>0</v>
      </c>
      <c r="Z221" s="2">
        <v>0</v>
      </c>
      <c r="AA221" s="4">
        <v>0</v>
      </c>
      <c r="AB221" s="4">
        <f t="shared" si="31"/>
        <v>0</v>
      </c>
      <c r="AC221" s="6">
        <f t="shared" si="32"/>
        <v>0</v>
      </c>
      <c r="AD221" s="13">
        <f t="shared" si="36"/>
        <v>0</v>
      </c>
      <c r="AE221" s="2">
        <v>0.05</v>
      </c>
      <c r="AF221" s="5">
        <f t="shared" si="33"/>
        <v>0</v>
      </c>
      <c r="AG221" s="2">
        <v>0</v>
      </c>
      <c r="AH221" s="5">
        <f t="shared" si="37"/>
        <v>0</v>
      </c>
      <c r="AJ221" s="126" t="e">
        <v>#N/A</v>
      </c>
      <c r="AK221" s="80">
        <f t="shared" si="34"/>
        <v>0</v>
      </c>
      <c r="AM221" s="85"/>
    </row>
    <row r="222" spans="1:39" hidden="1" x14ac:dyDescent="0.3">
      <c r="A222" s="85" t="s">
        <v>34</v>
      </c>
      <c r="B222" s="15" t="s">
        <v>35</v>
      </c>
      <c r="C222" s="15" t="s">
        <v>164</v>
      </c>
      <c r="D222" s="15" t="s">
        <v>305</v>
      </c>
      <c r="E222" s="15" t="s">
        <v>306</v>
      </c>
      <c r="F222" s="15" t="s">
        <v>306</v>
      </c>
      <c r="G222" s="15" t="s">
        <v>306</v>
      </c>
      <c r="H222" s="139"/>
      <c r="I222" s="3" t="s">
        <v>3356</v>
      </c>
      <c r="J222" s="1" t="s">
        <v>3326</v>
      </c>
      <c r="K222" s="1" t="s">
        <v>3712</v>
      </c>
      <c r="L222" s="1" t="s">
        <v>35</v>
      </c>
      <c r="M222" s="95"/>
      <c r="N222" s="3" t="s">
        <v>3729</v>
      </c>
      <c r="O222" s="8" t="s">
        <v>45</v>
      </c>
      <c r="P222" s="8" t="s">
        <v>46</v>
      </c>
      <c r="Q222" s="9">
        <v>0.03</v>
      </c>
      <c r="R222" s="138"/>
      <c r="T222" s="18">
        <v>18345.28</v>
      </c>
      <c r="U222" s="4">
        <v>0</v>
      </c>
      <c r="V222" s="4">
        <v>0</v>
      </c>
      <c r="W222" s="13">
        <f t="shared" si="38"/>
        <v>18345.28</v>
      </c>
      <c r="X222" s="13">
        <f t="shared" si="35"/>
        <v>0</v>
      </c>
      <c r="Y222" s="13">
        <f t="shared" si="30"/>
        <v>0</v>
      </c>
      <c r="Z222" s="2">
        <v>0</v>
      </c>
      <c r="AA222" s="4">
        <v>0</v>
      </c>
      <c r="AB222" s="4">
        <f t="shared" si="31"/>
        <v>0</v>
      </c>
      <c r="AC222" s="6">
        <f t="shared" si="32"/>
        <v>0</v>
      </c>
      <c r="AD222" s="13">
        <f t="shared" si="36"/>
        <v>0</v>
      </c>
      <c r="AE222" s="2">
        <v>0.05</v>
      </c>
      <c r="AF222" s="5">
        <f t="shared" si="33"/>
        <v>0</v>
      </c>
      <c r="AG222" s="2">
        <v>0</v>
      </c>
      <c r="AH222" s="5">
        <f t="shared" si="37"/>
        <v>0</v>
      </c>
      <c r="AJ222" s="126" t="e">
        <v>#N/A</v>
      </c>
      <c r="AK222" s="80">
        <f t="shared" si="34"/>
        <v>0</v>
      </c>
      <c r="AM222" s="85"/>
    </row>
    <row r="223" spans="1:39" hidden="1" x14ac:dyDescent="0.3">
      <c r="A223" s="85" t="s">
        <v>34</v>
      </c>
      <c r="B223" s="15" t="s">
        <v>35</v>
      </c>
      <c r="C223" s="15" t="s">
        <v>164</v>
      </c>
      <c r="D223" s="15" t="s">
        <v>174</v>
      </c>
      <c r="E223" s="15" t="s">
        <v>307</v>
      </c>
      <c r="F223" s="15" t="s">
        <v>307</v>
      </c>
      <c r="G223" s="15" t="s">
        <v>307</v>
      </c>
      <c r="H223" s="154"/>
      <c r="I223" s="3" t="s">
        <v>3356</v>
      </c>
      <c r="J223" s="1" t="s">
        <v>3326</v>
      </c>
      <c r="K223" s="1" t="s">
        <v>3710</v>
      </c>
      <c r="L223" s="1" t="s">
        <v>35</v>
      </c>
      <c r="M223" s="95"/>
      <c r="N223" s="3" t="s">
        <v>3714</v>
      </c>
      <c r="O223" s="8" t="s">
        <v>45</v>
      </c>
      <c r="P223" s="8" t="s">
        <v>46</v>
      </c>
      <c r="Q223" s="9">
        <v>0.05</v>
      </c>
      <c r="R223" s="138"/>
      <c r="T223" s="18">
        <v>1000</v>
      </c>
      <c r="U223" s="4">
        <v>0</v>
      </c>
      <c r="V223" s="18">
        <v>1000</v>
      </c>
      <c r="W223" s="13">
        <f t="shared" si="38"/>
        <v>0</v>
      </c>
      <c r="X223" s="13">
        <f t="shared" si="35"/>
        <v>952.38095238095229</v>
      </c>
      <c r="Y223" s="13">
        <f t="shared" si="30"/>
        <v>0</v>
      </c>
      <c r="Z223" s="2">
        <v>0</v>
      </c>
      <c r="AA223" s="4">
        <v>0</v>
      </c>
      <c r="AB223" s="4">
        <f t="shared" si="31"/>
        <v>952.38095238095229</v>
      </c>
      <c r="AC223" s="6">
        <f t="shared" si="32"/>
        <v>47.619047619047706</v>
      </c>
      <c r="AD223" s="13">
        <f t="shared" si="36"/>
        <v>1000</v>
      </c>
      <c r="AE223" s="2">
        <v>0.05</v>
      </c>
      <c r="AF223" s="5">
        <f t="shared" si="33"/>
        <v>50</v>
      </c>
      <c r="AG223" s="2">
        <v>0</v>
      </c>
      <c r="AH223" s="5">
        <f t="shared" si="37"/>
        <v>1000</v>
      </c>
      <c r="AJ223" s="126" t="e">
        <v>#N/A</v>
      </c>
      <c r="AK223" s="80">
        <f t="shared" si="34"/>
        <v>0</v>
      </c>
      <c r="AM223" s="85"/>
    </row>
    <row r="224" spans="1:39" hidden="1" x14ac:dyDescent="0.3">
      <c r="A224" s="85" t="s">
        <v>34</v>
      </c>
      <c r="B224" s="15" t="s">
        <v>35</v>
      </c>
      <c r="C224" s="15" t="s">
        <v>164</v>
      </c>
      <c r="D224" s="15" t="s">
        <v>174</v>
      </c>
      <c r="E224" s="15" t="s">
        <v>239</v>
      </c>
      <c r="F224" s="15" t="s">
        <v>308</v>
      </c>
      <c r="G224" s="15" t="s">
        <v>239</v>
      </c>
      <c r="H224" s="139"/>
      <c r="I224" s="3" t="s">
        <v>3356</v>
      </c>
      <c r="J224" s="1" t="s">
        <v>3326</v>
      </c>
      <c r="K224" s="1" t="s">
        <v>3712</v>
      </c>
      <c r="L224" s="1" t="s">
        <v>35</v>
      </c>
      <c r="M224" s="95"/>
      <c r="N224" s="3" t="s">
        <v>3713</v>
      </c>
      <c r="O224" s="8" t="s">
        <v>45</v>
      </c>
      <c r="P224" s="8" t="s">
        <v>41</v>
      </c>
      <c r="Q224" s="9">
        <v>0</v>
      </c>
      <c r="R224" s="138"/>
      <c r="T224" s="18">
        <v>68719.03</v>
      </c>
      <c r="U224" s="4">
        <v>0</v>
      </c>
      <c r="V224" s="4">
        <v>0</v>
      </c>
      <c r="W224" s="13">
        <f t="shared" si="38"/>
        <v>68719.03</v>
      </c>
      <c r="X224" s="13">
        <f t="shared" si="35"/>
        <v>0</v>
      </c>
      <c r="Y224" s="13">
        <f t="shared" si="30"/>
        <v>0</v>
      </c>
      <c r="Z224" s="2">
        <v>0</v>
      </c>
      <c r="AA224" s="4">
        <v>0</v>
      </c>
      <c r="AB224" s="4">
        <f t="shared" si="31"/>
        <v>0</v>
      </c>
      <c r="AC224" s="6">
        <f t="shared" si="32"/>
        <v>0</v>
      </c>
      <c r="AD224" s="13">
        <f t="shared" si="36"/>
        <v>0</v>
      </c>
      <c r="AE224" s="2">
        <v>0.05</v>
      </c>
      <c r="AF224" s="5">
        <f t="shared" si="33"/>
        <v>0</v>
      </c>
      <c r="AG224" s="2">
        <v>0</v>
      </c>
      <c r="AH224" s="5">
        <f t="shared" si="37"/>
        <v>0</v>
      </c>
      <c r="AJ224" s="126" t="e">
        <v>#N/A</v>
      </c>
      <c r="AK224" s="80">
        <f t="shared" si="34"/>
        <v>0</v>
      </c>
      <c r="AM224" s="85"/>
    </row>
    <row r="225" spans="1:39" hidden="1" x14ac:dyDescent="0.3">
      <c r="A225" s="85" t="s">
        <v>34</v>
      </c>
      <c r="B225" s="15" t="s">
        <v>35</v>
      </c>
      <c r="C225" s="15" t="s">
        <v>164</v>
      </c>
      <c r="D225" s="15" t="s">
        <v>174</v>
      </c>
      <c r="E225" s="15" t="s">
        <v>309</v>
      </c>
      <c r="F225" s="15" t="s">
        <v>309</v>
      </c>
      <c r="G225" s="15" t="s">
        <v>309</v>
      </c>
      <c r="H225" s="154"/>
      <c r="I225" s="3" t="s">
        <v>3356</v>
      </c>
      <c r="J225" s="1" t="s">
        <v>3326</v>
      </c>
      <c r="K225" s="1" t="s">
        <v>3710</v>
      </c>
      <c r="L225" s="1" t="s">
        <v>35</v>
      </c>
      <c r="M225" s="95"/>
      <c r="N225" s="3" t="s">
        <v>3714</v>
      </c>
      <c r="O225" s="8" t="s">
        <v>45</v>
      </c>
      <c r="P225" s="8" t="s">
        <v>41</v>
      </c>
      <c r="Q225" s="9">
        <v>0</v>
      </c>
      <c r="R225" s="138"/>
      <c r="T225" s="18">
        <v>600000</v>
      </c>
      <c r="U225" s="4">
        <v>0</v>
      </c>
      <c r="V225" s="18">
        <v>600000</v>
      </c>
      <c r="W225" s="13">
        <f t="shared" si="38"/>
        <v>0</v>
      </c>
      <c r="X225" s="13">
        <f t="shared" si="35"/>
        <v>600000</v>
      </c>
      <c r="Y225" s="13">
        <f t="shared" si="30"/>
        <v>0</v>
      </c>
      <c r="Z225" s="2">
        <v>0</v>
      </c>
      <c r="AA225" s="4">
        <v>0</v>
      </c>
      <c r="AB225" s="4">
        <f t="shared" si="31"/>
        <v>600000</v>
      </c>
      <c r="AC225" s="6">
        <f t="shared" si="32"/>
        <v>0</v>
      </c>
      <c r="AD225" s="13">
        <f t="shared" si="36"/>
        <v>600000</v>
      </c>
      <c r="AE225" s="2">
        <v>0.05</v>
      </c>
      <c r="AF225" s="5">
        <f t="shared" si="33"/>
        <v>30000</v>
      </c>
      <c r="AG225" s="2">
        <v>0</v>
      </c>
      <c r="AH225" s="5">
        <f t="shared" si="37"/>
        <v>600000</v>
      </c>
      <c r="AJ225" s="126" t="e">
        <v>#N/A</v>
      </c>
      <c r="AK225" s="80">
        <f t="shared" si="34"/>
        <v>0</v>
      </c>
      <c r="AM225" s="85"/>
    </row>
    <row r="226" spans="1:39" hidden="1" x14ac:dyDescent="0.3">
      <c r="A226" s="85" t="s">
        <v>34</v>
      </c>
      <c r="B226" s="15" t="s">
        <v>35</v>
      </c>
      <c r="C226" s="15" t="s">
        <v>53</v>
      </c>
      <c r="D226" s="15" t="s">
        <v>224</v>
      </c>
      <c r="E226" s="15" t="s">
        <v>310</v>
      </c>
      <c r="F226" s="15" t="s">
        <v>310</v>
      </c>
      <c r="G226" s="15" t="s">
        <v>310</v>
      </c>
      <c r="H226" s="139"/>
      <c r="I226" s="3" t="s">
        <v>3356</v>
      </c>
      <c r="J226" s="1" t="s">
        <v>3326</v>
      </c>
      <c r="K226" s="1" t="s">
        <v>3712</v>
      </c>
      <c r="L226" s="1" t="s">
        <v>35</v>
      </c>
      <c r="M226" s="95"/>
      <c r="N226" s="3" t="s">
        <v>3729</v>
      </c>
      <c r="O226" s="8" t="s">
        <v>45</v>
      </c>
      <c r="P226" s="8" t="s">
        <v>41</v>
      </c>
      <c r="Q226" s="9">
        <v>0</v>
      </c>
      <c r="R226" s="138"/>
      <c r="T226" s="18">
        <v>593579.56000000006</v>
      </c>
      <c r="U226" s="4">
        <v>0</v>
      </c>
      <c r="V226" s="4">
        <v>0</v>
      </c>
      <c r="W226" s="13">
        <f t="shared" si="38"/>
        <v>593579.56000000006</v>
      </c>
      <c r="X226" s="13">
        <f t="shared" si="35"/>
        <v>0</v>
      </c>
      <c r="Y226" s="13">
        <f t="shared" si="30"/>
        <v>0</v>
      </c>
      <c r="Z226" s="2">
        <v>0</v>
      </c>
      <c r="AA226" s="4">
        <v>0</v>
      </c>
      <c r="AB226" s="4">
        <f t="shared" si="31"/>
        <v>0</v>
      </c>
      <c r="AC226" s="6">
        <f t="shared" si="32"/>
        <v>0</v>
      </c>
      <c r="AD226" s="13">
        <f t="shared" si="36"/>
        <v>0</v>
      </c>
      <c r="AE226" s="2">
        <v>0.05</v>
      </c>
      <c r="AF226" s="5">
        <f t="shared" si="33"/>
        <v>0</v>
      </c>
      <c r="AG226" s="2">
        <v>0</v>
      </c>
      <c r="AH226" s="5">
        <f t="shared" si="37"/>
        <v>0</v>
      </c>
      <c r="AJ226" s="126" t="e">
        <v>#N/A</v>
      </c>
      <c r="AK226" s="80">
        <f t="shared" si="34"/>
        <v>0</v>
      </c>
      <c r="AM226" s="85"/>
    </row>
    <row r="227" spans="1:39" hidden="1" x14ac:dyDescent="0.3">
      <c r="A227" s="85" t="s">
        <v>34</v>
      </c>
      <c r="B227" s="15" t="s">
        <v>35</v>
      </c>
      <c r="C227" s="15" t="s">
        <v>53</v>
      </c>
      <c r="D227" s="15" t="s">
        <v>224</v>
      </c>
      <c r="E227" s="15" t="s">
        <v>311</v>
      </c>
      <c r="F227" s="15" t="s">
        <v>311</v>
      </c>
      <c r="G227" s="15" t="s">
        <v>311</v>
      </c>
      <c r="H227" s="139"/>
      <c r="I227" s="3" t="s">
        <v>3356</v>
      </c>
      <c r="J227" s="1" t="s">
        <v>3326</v>
      </c>
      <c r="K227" s="1" t="s">
        <v>3712</v>
      </c>
      <c r="L227" s="1" t="s">
        <v>35</v>
      </c>
      <c r="M227" s="95"/>
      <c r="N227" s="3" t="s">
        <v>3729</v>
      </c>
      <c r="O227" s="8" t="s">
        <v>45</v>
      </c>
      <c r="P227" s="8" t="s">
        <v>46</v>
      </c>
      <c r="Q227" s="9">
        <v>0.03</v>
      </c>
      <c r="R227" s="138"/>
      <c r="T227" s="18">
        <v>1035.29</v>
      </c>
      <c r="U227" s="4">
        <v>0</v>
      </c>
      <c r="V227" s="4">
        <v>0</v>
      </c>
      <c r="W227" s="13">
        <f t="shared" si="38"/>
        <v>1035.29</v>
      </c>
      <c r="X227" s="13">
        <f t="shared" si="35"/>
        <v>0</v>
      </c>
      <c r="Y227" s="13">
        <f t="shared" si="30"/>
        <v>0</v>
      </c>
      <c r="Z227" s="2">
        <v>0</v>
      </c>
      <c r="AA227" s="4">
        <v>0</v>
      </c>
      <c r="AB227" s="4"/>
      <c r="AC227" s="6">
        <f t="shared" si="32"/>
        <v>0</v>
      </c>
      <c r="AD227" s="13">
        <f t="shared" si="36"/>
        <v>0</v>
      </c>
      <c r="AE227" s="2">
        <v>0.05</v>
      </c>
      <c r="AF227" s="5">
        <f t="shared" si="33"/>
        <v>0</v>
      </c>
      <c r="AG227" s="2">
        <v>0</v>
      </c>
      <c r="AH227" s="5">
        <f t="shared" si="37"/>
        <v>0</v>
      </c>
      <c r="AJ227" s="126">
        <v>47</v>
      </c>
      <c r="AK227" s="80">
        <f t="shared" si="34"/>
        <v>0</v>
      </c>
      <c r="AM227" s="85"/>
    </row>
    <row r="228" spans="1:39" hidden="1" x14ac:dyDescent="0.3">
      <c r="A228" s="85" t="s">
        <v>34</v>
      </c>
      <c r="B228" s="15" t="s">
        <v>35</v>
      </c>
      <c r="C228" s="15" t="s">
        <v>53</v>
      </c>
      <c r="D228" s="15" t="s">
        <v>224</v>
      </c>
      <c r="E228" s="15" t="s">
        <v>312</v>
      </c>
      <c r="F228" s="15" t="s">
        <v>312</v>
      </c>
      <c r="G228" s="15" t="s">
        <v>312</v>
      </c>
      <c r="H228" s="139"/>
      <c r="I228" s="3" t="s">
        <v>3356</v>
      </c>
      <c r="J228" s="1" t="s">
        <v>3326</v>
      </c>
      <c r="K228" s="1" t="s">
        <v>3712</v>
      </c>
      <c r="L228" s="1" t="s">
        <v>35</v>
      </c>
      <c r="M228" s="95"/>
      <c r="N228" s="3" t="s">
        <v>3729</v>
      </c>
      <c r="O228" s="8" t="s">
        <v>45</v>
      </c>
      <c r="P228" s="8" t="s">
        <v>41</v>
      </c>
      <c r="Q228" s="9">
        <v>0</v>
      </c>
      <c r="R228" s="138"/>
      <c r="T228" s="18">
        <v>3723.67</v>
      </c>
      <c r="U228" s="4">
        <v>0</v>
      </c>
      <c r="V228" s="4">
        <v>0</v>
      </c>
      <c r="W228" s="13">
        <f t="shared" si="38"/>
        <v>3723.67</v>
      </c>
      <c r="X228" s="13">
        <f t="shared" si="35"/>
        <v>0</v>
      </c>
      <c r="Y228" s="13">
        <f t="shared" si="30"/>
        <v>0</v>
      </c>
      <c r="Z228" s="2">
        <v>0</v>
      </c>
      <c r="AA228" s="4">
        <v>0</v>
      </c>
      <c r="AB228" s="4"/>
      <c r="AC228" s="6">
        <f t="shared" si="32"/>
        <v>0</v>
      </c>
      <c r="AD228" s="13">
        <f t="shared" si="36"/>
        <v>0</v>
      </c>
      <c r="AE228" s="2">
        <v>0.05</v>
      </c>
      <c r="AF228" s="5">
        <f t="shared" si="33"/>
        <v>0</v>
      </c>
      <c r="AG228" s="2">
        <v>0</v>
      </c>
      <c r="AH228" s="5">
        <f t="shared" si="37"/>
        <v>0</v>
      </c>
      <c r="AJ228" s="126">
        <v>48</v>
      </c>
      <c r="AK228" s="80">
        <f t="shared" si="34"/>
        <v>0</v>
      </c>
      <c r="AM228" s="85"/>
    </row>
    <row r="229" spans="1:39" hidden="1" x14ac:dyDescent="0.3">
      <c r="A229" s="85" t="s">
        <v>34</v>
      </c>
      <c r="B229" s="15" t="s">
        <v>35</v>
      </c>
      <c r="C229" s="15" t="s">
        <v>53</v>
      </c>
      <c r="D229" s="15" t="s">
        <v>54</v>
      </c>
      <c r="E229" s="15" t="s">
        <v>313</v>
      </c>
      <c r="F229" s="15" t="s">
        <v>313</v>
      </c>
      <c r="G229" s="15" t="s">
        <v>313</v>
      </c>
      <c r="H229" s="139"/>
      <c r="I229" s="3" t="s">
        <v>3356</v>
      </c>
      <c r="J229" s="1" t="s">
        <v>3326</v>
      </c>
      <c r="K229" s="1" t="s">
        <v>3712</v>
      </c>
      <c r="L229" s="1" t="s">
        <v>35</v>
      </c>
      <c r="M229" s="95"/>
      <c r="N229" s="3" t="s">
        <v>3729</v>
      </c>
      <c r="O229" s="8" t="s">
        <v>45</v>
      </c>
      <c r="P229" s="8" t="s">
        <v>46</v>
      </c>
      <c r="Q229" s="9">
        <v>0.03</v>
      </c>
      <c r="R229" s="138"/>
      <c r="T229" s="18">
        <v>9</v>
      </c>
      <c r="U229" s="4">
        <v>0</v>
      </c>
      <c r="V229" s="4">
        <v>0</v>
      </c>
      <c r="W229" s="13">
        <f t="shared" si="38"/>
        <v>9</v>
      </c>
      <c r="X229" s="13">
        <f t="shared" si="35"/>
        <v>0</v>
      </c>
      <c r="Y229" s="13">
        <f t="shared" si="30"/>
        <v>0</v>
      </c>
      <c r="Z229" s="2">
        <v>0</v>
      </c>
      <c r="AA229" s="4">
        <v>0</v>
      </c>
      <c r="AB229" s="4">
        <f t="shared" si="31"/>
        <v>0</v>
      </c>
      <c r="AC229" s="6">
        <f t="shared" si="32"/>
        <v>0</v>
      </c>
      <c r="AD229" s="13">
        <f t="shared" si="36"/>
        <v>0</v>
      </c>
      <c r="AE229" s="2">
        <v>0.05</v>
      </c>
      <c r="AF229" s="5">
        <f t="shared" si="33"/>
        <v>0</v>
      </c>
      <c r="AG229" s="2">
        <v>0</v>
      </c>
      <c r="AH229" s="5">
        <f t="shared" si="37"/>
        <v>0</v>
      </c>
      <c r="AJ229" s="126" t="e">
        <v>#N/A</v>
      </c>
      <c r="AK229" s="80">
        <f t="shared" si="34"/>
        <v>0</v>
      </c>
      <c r="AM229" s="85"/>
    </row>
    <row r="230" spans="1:39" hidden="1" x14ac:dyDescent="0.3">
      <c r="A230" s="85" t="s">
        <v>34</v>
      </c>
      <c r="B230" s="15" t="s">
        <v>35</v>
      </c>
      <c r="C230" s="15" t="s">
        <v>187</v>
      </c>
      <c r="D230" s="15" t="s">
        <v>188</v>
      </c>
      <c r="E230" s="15" t="s">
        <v>314</v>
      </c>
      <c r="F230" s="15" t="s">
        <v>314</v>
      </c>
      <c r="G230" s="15" t="s">
        <v>314</v>
      </c>
      <c r="H230" s="139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0.03</v>
      </c>
      <c r="R230" s="138"/>
      <c r="T230" s="18">
        <v>31038.160000000102</v>
      </c>
      <c r="U230" s="4">
        <v>0</v>
      </c>
      <c r="V230" s="4">
        <v>0</v>
      </c>
      <c r="W230" s="13">
        <f t="shared" si="38"/>
        <v>31038.160000000102</v>
      </c>
      <c r="X230" s="13">
        <f t="shared" si="35"/>
        <v>0</v>
      </c>
      <c r="Y230" s="13">
        <f t="shared" si="30"/>
        <v>0</v>
      </c>
      <c r="Z230" s="2">
        <v>0</v>
      </c>
      <c r="AA230" s="4">
        <v>0</v>
      </c>
      <c r="AB230" s="4">
        <f t="shared" si="31"/>
        <v>0</v>
      </c>
      <c r="AC230" s="6">
        <f t="shared" si="32"/>
        <v>0</v>
      </c>
      <c r="AD230" s="13">
        <f t="shared" si="36"/>
        <v>0</v>
      </c>
      <c r="AE230" s="2">
        <v>0.05</v>
      </c>
      <c r="AF230" s="5">
        <f t="shared" si="33"/>
        <v>0</v>
      </c>
      <c r="AG230" s="2">
        <v>0</v>
      </c>
      <c r="AH230" s="5">
        <f t="shared" si="37"/>
        <v>0</v>
      </c>
      <c r="AJ230" s="126" t="e">
        <v>#N/A</v>
      </c>
      <c r="AK230" s="80">
        <f t="shared" si="34"/>
        <v>0</v>
      </c>
      <c r="AM230" s="85"/>
    </row>
    <row r="231" spans="1:39" hidden="1" x14ac:dyDescent="0.3">
      <c r="A231" s="85" t="s">
        <v>34</v>
      </c>
      <c r="B231" s="15" t="s">
        <v>35</v>
      </c>
      <c r="C231" s="15" t="s">
        <v>187</v>
      </c>
      <c r="D231" s="15" t="s">
        <v>188</v>
      </c>
      <c r="E231" s="15" t="s">
        <v>315</v>
      </c>
      <c r="F231" s="15" t="s">
        <v>315</v>
      </c>
      <c r="G231" s="15" t="s">
        <v>315</v>
      </c>
      <c r="H231" s="139"/>
      <c r="I231" s="3" t="s">
        <v>3356</v>
      </c>
      <c r="J231" s="1" t="s">
        <v>3326</v>
      </c>
      <c r="K231" s="1" t="s">
        <v>3283</v>
      </c>
      <c r="L231" s="1" t="s">
        <v>35</v>
      </c>
      <c r="M231" s="95"/>
      <c r="N231" s="3" t="s">
        <v>80</v>
      </c>
      <c r="O231" s="8" t="s">
        <v>45</v>
      </c>
      <c r="P231" s="8" t="s">
        <v>46</v>
      </c>
      <c r="Q231" s="9">
        <v>0.05</v>
      </c>
      <c r="R231" s="138"/>
      <c r="T231" s="18">
        <v>1049.2</v>
      </c>
      <c r="U231" s="4">
        <v>0</v>
      </c>
      <c r="V231" s="4">
        <v>0</v>
      </c>
      <c r="W231" s="13">
        <f t="shared" si="38"/>
        <v>1049.2</v>
      </c>
      <c r="X231" s="13">
        <f t="shared" si="35"/>
        <v>0</v>
      </c>
      <c r="Y231" s="13">
        <f t="shared" si="30"/>
        <v>0</v>
      </c>
      <c r="Z231" s="2">
        <v>0</v>
      </c>
      <c r="AA231" s="4">
        <v>0</v>
      </c>
      <c r="AB231" s="4">
        <f t="shared" si="31"/>
        <v>0</v>
      </c>
      <c r="AC231" s="6">
        <f t="shared" si="32"/>
        <v>0</v>
      </c>
      <c r="AD231" s="13">
        <f t="shared" si="36"/>
        <v>0</v>
      </c>
      <c r="AE231" s="2">
        <v>0.05</v>
      </c>
      <c r="AF231" s="5">
        <f t="shared" si="33"/>
        <v>0</v>
      </c>
      <c r="AG231" s="2">
        <v>0</v>
      </c>
      <c r="AH231" s="5">
        <f t="shared" si="37"/>
        <v>0</v>
      </c>
      <c r="AJ231" s="126" t="e">
        <v>#N/A</v>
      </c>
      <c r="AK231" s="80">
        <f t="shared" si="34"/>
        <v>0</v>
      </c>
      <c r="AM231" s="85"/>
    </row>
    <row r="232" spans="1:39" hidden="1" x14ac:dyDescent="0.3">
      <c r="A232" s="85" t="s">
        <v>34</v>
      </c>
      <c r="B232" s="15" t="s">
        <v>35</v>
      </c>
      <c r="C232" s="15" t="s">
        <v>187</v>
      </c>
      <c r="D232" s="15" t="s">
        <v>208</v>
      </c>
      <c r="E232" s="15" t="s">
        <v>316</v>
      </c>
      <c r="F232" s="15" t="s">
        <v>316</v>
      </c>
      <c r="G232" s="15" t="s">
        <v>316</v>
      </c>
      <c r="H232" s="139"/>
      <c r="I232" s="3" t="s">
        <v>3356</v>
      </c>
      <c r="J232" s="1" t="s">
        <v>3326</v>
      </c>
      <c r="K232" s="1" t="s">
        <v>3283</v>
      </c>
      <c r="L232" s="1" t="s">
        <v>35</v>
      </c>
      <c r="M232" s="95"/>
      <c r="N232" s="3" t="s">
        <v>80</v>
      </c>
      <c r="O232" s="8" t="s">
        <v>45</v>
      </c>
      <c r="P232" s="8" t="s">
        <v>46</v>
      </c>
      <c r="Q232" s="9">
        <v>0.06</v>
      </c>
      <c r="R232" s="138"/>
      <c r="T232" s="18">
        <v>1446.59</v>
      </c>
      <c r="U232" s="4">
        <v>0</v>
      </c>
      <c r="V232" s="4">
        <v>0</v>
      </c>
      <c r="W232" s="13">
        <f t="shared" si="38"/>
        <v>1446.59</v>
      </c>
      <c r="X232" s="13">
        <f t="shared" si="35"/>
        <v>0</v>
      </c>
      <c r="Y232" s="13">
        <f t="shared" si="30"/>
        <v>0</v>
      </c>
      <c r="Z232" s="2">
        <v>0</v>
      </c>
      <c r="AA232" s="4">
        <v>0</v>
      </c>
      <c r="AB232" s="4">
        <f t="shared" si="31"/>
        <v>0</v>
      </c>
      <c r="AC232" s="6">
        <f t="shared" si="32"/>
        <v>0</v>
      </c>
      <c r="AD232" s="13">
        <f t="shared" si="36"/>
        <v>0</v>
      </c>
      <c r="AE232" s="2">
        <v>0.05</v>
      </c>
      <c r="AF232" s="5">
        <f t="shared" si="33"/>
        <v>0</v>
      </c>
      <c r="AG232" s="2">
        <v>0</v>
      </c>
      <c r="AH232" s="5">
        <f t="shared" si="37"/>
        <v>0</v>
      </c>
      <c r="AJ232" s="126" t="e">
        <v>#N/A</v>
      </c>
      <c r="AK232" s="80">
        <f t="shared" si="34"/>
        <v>0</v>
      </c>
      <c r="AM232" s="85"/>
    </row>
    <row r="233" spans="1:39" hidden="1" x14ac:dyDescent="0.3">
      <c r="A233" s="85" t="s">
        <v>34</v>
      </c>
      <c r="B233" s="15" t="s">
        <v>35</v>
      </c>
      <c r="C233" s="15" t="s">
        <v>187</v>
      </c>
      <c r="D233" s="15" t="s">
        <v>208</v>
      </c>
      <c r="E233" s="15" t="s">
        <v>317</v>
      </c>
      <c r="F233" s="15" t="s">
        <v>318</v>
      </c>
      <c r="G233" s="15" t="s">
        <v>317</v>
      </c>
      <c r="H233" s="154"/>
      <c r="I233" s="3" t="s">
        <v>3356</v>
      </c>
      <c r="J233" s="1" t="s">
        <v>3326</v>
      </c>
      <c r="K233" s="1" t="s">
        <v>3283</v>
      </c>
      <c r="L233" s="1" t="s">
        <v>35</v>
      </c>
      <c r="M233" s="95"/>
      <c r="N233" s="3" t="s">
        <v>80</v>
      </c>
      <c r="O233" s="8" t="s">
        <v>45</v>
      </c>
      <c r="P233" s="8" t="s">
        <v>46</v>
      </c>
      <c r="Q233" s="9">
        <v>0.04</v>
      </c>
      <c r="R233" s="138"/>
      <c r="T233" s="18">
        <v>7127.3099999999931</v>
      </c>
      <c r="U233" s="4">
        <v>0</v>
      </c>
      <c r="V233" s="4">
        <v>12.75</v>
      </c>
      <c r="W233" s="13">
        <f t="shared" si="38"/>
        <v>7114.5599999999931</v>
      </c>
      <c r="X233" s="13">
        <f t="shared" si="35"/>
        <v>12.259615384615385</v>
      </c>
      <c r="Y233" s="13">
        <f t="shared" si="30"/>
        <v>0</v>
      </c>
      <c r="Z233" s="2">
        <v>0</v>
      </c>
      <c r="AA233" s="4">
        <v>0</v>
      </c>
      <c r="AB233" s="4">
        <f t="shared" si="31"/>
        <v>12.259615384615385</v>
      </c>
      <c r="AC233" s="6">
        <f t="shared" si="32"/>
        <v>0.49038461538461497</v>
      </c>
      <c r="AD233" s="13">
        <f t="shared" si="36"/>
        <v>12.75</v>
      </c>
      <c r="AE233" s="2">
        <v>0.05</v>
      </c>
      <c r="AF233" s="5">
        <f t="shared" si="33"/>
        <v>0.63750000000000007</v>
      </c>
      <c r="AG233" s="2">
        <v>0</v>
      </c>
      <c r="AH233" s="5">
        <f t="shared" si="37"/>
        <v>12.75</v>
      </c>
      <c r="AJ233" s="126" t="e">
        <v>#N/A</v>
      </c>
      <c r="AK233" s="80">
        <f t="shared" si="34"/>
        <v>0</v>
      </c>
      <c r="AM233" s="85"/>
    </row>
    <row r="234" spans="1:39" hidden="1" x14ac:dyDescent="0.3">
      <c r="A234" s="85" t="s">
        <v>34</v>
      </c>
      <c r="B234" s="15" t="s">
        <v>319</v>
      </c>
      <c r="C234" s="15" t="s">
        <v>53</v>
      </c>
      <c r="D234" s="15" t="s">
        <v>320</v>
      </c>
      <c r="E234" s="15" t="s">
        <v>321</v>
      </c>
      <c r="F234" s="15" t="s">
        <v>322</v>
      </c>
      <c r="G234" s="15" t="s">
        <v>323</v>
      </c>
      <c r="H234" s="139"/>
      <c r="I234" s="3" t="s">
        <v>3356</v>
      </c>
      <c r="J234" s="1" t="s">
        <v>3326</v>
      </c>
      <c r="K234" s="1" t="s">
        <v>3712</v>
      </c>
      <c r="L234" s="1" t="s">
        <v>35</v>
      </c>
      <c r="M234" s="95"/>
      <c r="N234" s="3" t="s">
        <v>3729</v>
      </c>
      <c r="O234" s="8" t="s">
        <v>45</v>
      </c>
      <c r="P234" s="8" t="s">
        <v>46</v>
      </c>
      <c r="Q234" s="9">
        <v>0.03</v>
      </c>
      <c r="R234" s="138"/>
      <c r="T234" s="18">
        <v>78.56</v>
      </c>
      <c r="U234" s="4">
        <v>0</v>
      </c>
      <c r="V234" s="4">
        <v>0</v>
      </c>
      <c r="W234" s="13">
        <f t="shared" si="38"/>
        <v>78.56</v>
      </c>
      <c r="X234" s="13">
        <f t="shared" si="35"/>
        <v>0</v>
      </c>
      <c r="Y234" s="13">
        <f t="shared" si="30"/>
        <v>0</v>
      </c>
      <c r="Z234" s="2">
        <v>0</v>
      </c>
      <c r="AA234" s="4">
        <v>0</v>
      </c>
      <c r="AB234" s="4">
        <f t="shared" si="31"/>
        <v>0</v>
      </c>
      <c r="AC234" s="6">
        <f t="shared" si="32"/>
        <v>0</v>
      </c>
      <c r="AD234" s="13">
        <f t="shared" si="36"/>
        <v>0</v>
      </c>
      <c r="AE234" s="2">
        <v>0.05</v>
      </c>
      <c r="AF234" s="5">
        <f t="shared" si="33"/>
        <v>0</v>
      </c>
      <c r="AG234" s="2">
        <v>0</v>
      </c>
      <c r="AH234" s="5">
        <f t="shared" si="37"/>
        <v>0</v>
      </c>
      <c r="AJ234" s="126" t="e">
        <v>#N/A</v>
      </c>
      <c r="AK234" s="80">
        <f t="shared" si="34"/>
        <v>0</v>
      </c>
      <c r="AM234" s="85"/>
    </row>
    <row r="235" spans="1:39" hidden="1" x14ac:dyDescent="0.3">
      <c r="A235" s="85" t="s">
        <v>34</v>
      </c>
      <c r="B235" s="15" t="s">
        <v>35</v>
      </c>
      <c r="C235" s="15" t="s">
        <v>59</v>
      </c>
      <c r="D235" s="15" t="s">
        <v>60</v>
      </c>
      <c r="E235" s="15" t="s">
        <v>78</v>
      </c>
      <c r="F235" s="15" t="s">
        <v>324</v>
      </c>
      <c r="G235" s="15" t="s">
        <v>78</v>
      </c>
      <c r="H235" s="139"/>
      <c r="I235" s="3" t="s">
        <v>3356</v>
      </c>
      <c r="J235" s="1" t="s">
        <v>3326</v>
      </c>
      <c r="K235" s="1" t="s">
        <v>3283</v>
      </c>
      <c r="L235" s="1" t="s">
        <v>35</v>
      </c>
      <c r="M235" s="95"/>
      <c r="N235" s="3" t="s">
        <v>80</v>
      </c>
      <c r="O235" s="8" t="s">
        <v>45</v>
      </c>
      <c r="P235" s="8" t="s">
        <v>46</v>
      </c>
      <c r="Q235" s="9">
        <v>0.06</v>
      </c>
      <c r="R235" s="138"/>
      <c r="T235" s="18">
        <v>214992.03999999995</v>
      </c>
      <c r="U235" s="4">
        <v>0</v>
      </c>
      <c r="V235" s="4">
        <v>0</v>
      </c>
      <c r="W235" s="13">
        <f t="shared" si="38"/>
        <v>214992.03999999995</v>
      </c>
      <c r="X235" s="13">
        <f t="shared" si="35"/>
        <v>0</v>
      </c>
      <c r="Y235" s="13">
        <f t="shared" si="30"/>
        <v>0</v>
      </c>
      <c r="Z235" s="2">
        <v>0</v>
      </c>
      <c r="AA235" s="4">
        <v>0</v>
      </c>
      <c r="AB235" s="4">
        <f t="shared" si="31"/>
        <v>0</v>
      </c>
      <c r="AC235" s="6">
        <f t="shared" si="32"/>
        <v>0</v>
      </c>
      <c r="AD235" s="13">
        <f t="shared" si="36"/>
        <v>0</v>
      </c>
      <c r="AE235" s="2">
        <v>0.05</v>
      </c>
      <c r="AF235" s="5">
        <f t="shared" si="33"/>
        <v>0</v>
      </c>
      <c r="AG235" s="2">
        <v>0</v>
      </c>
      <c r="AH235" s="5">
        <f t="shared" si="37"/>
        <v>0</v>
      </c>
      <c r="AJ235" s="126" t="e">
        <v>#N/A</v>
      </c>
      <c r="AK235" s="80">
        <f t="shared" si="34"/>
        <v>0</v>
      </c>
      <c r="AM235" s="85"/>
    </row>
    <row r="236" spans="1:39" hidden="1" x14ac:dyDescent="0.3">
      <c r="A236" s="85" t="s">
        <v>34</v>
      </c>
      <c r="B236" s="15" t="s">
        <v>35</v>
      </c>
      <c r="C236" s="15" t="s">
        <v>59</v>
      </c>
      <c r="D236" s="15" t="s">
        <v>60</v>
      </c>
      <c r="E236" s="15" t="s">
        <v>78</v>
      </c>
      <c r="F236" s="15" t="s">
        <v>325</v>
      </c>
      <c r="G236" s="15" t="s">
        <v>78</v>
      </c>
      <c r="H236" s="139"/>
      <c r="I236" s="3" t="s">
        <v>3356</v>
      </c>
      <c r="J236" s="1" t="s">
        <v>3326</v>
      </c>
      <c r="K236" s="1" t="s">
        <v>3283</v>
      </c>
      <c r="L236" s="1" t="s">
        <v>35</v>
      </c>
      <c r="M236" s="95"/>
      <c r="N236" s="3" t="s">
        <v>80</v>
      </c>
      <c r="O236" s="8" t="s">
        <v>45</v>
      </c>
      <c r="P236" s="8" t="s">
        <v>41</v>
      </c>
      <c r="Q236" s="9">
        <v>0</v>
      </c>
      <c r="R236" s="138"/>
      <c r="T236" s="18">
        <v>29636.910000000003</v>
      </c>
      <c r="U236" s="4">
        <v>0</v>
      </c>
      <c r="V236" s="4">
        <v>0</v>
      </c>
      <c r="W236" s="13">
        <f t="shared" si="38"/>
        <v>29636.910000000003</v>
      </c>
      <c r="X236" s="13">
        <f t="shared" si="35"/>
        <v>0</v>
      </c>
      <c r="Y236" s="13">
        <f t="shared" si="30"/>
        <v>0</v>
      </c>
      <c r="Z236" s="2">
        <v>0</v>
      </c>
      <c r="AA236" s="4">
        <v>0</v>
      </c>
      <c r="AB236" s="4">
        <f t="shared" si="31"/>
        <v>0</v>
      </c>
      <c r="AC236" s="6">
        <f t="shared" si="32"/>
        <v>0</v>
      </c>
      <c r="AD236" s="13">
        <f t="shared" si="36"/>
        <v>0</v>
      </c>
      <c r="AE236" s="2">
        <v>0.05</v>
      </c>
      <c r="AF236" s="5">
        <f t="shared" si="33"/>
        <v>0</v>
      </c>
      <c r="AG236" s="2">
        <v>0</v>
      </c>
      <c r="AH236" s="5">
        <f t="shared" si="37"/>
        <v>0</v>
      </c>
      <c r="AJ236" s="126" t="e">
        <v>#N/A</v>
      </c>
      <c r="AK236" s="80">
        <f t="shared" si="34"/>
        <v>0</v>
      </c>
      <c r="AM236" s="85"/>
    </row>
    <row r="237" spans="1:39" hidden="1" x14ac:dyDescent="0.3">
      <c r="A237" s="85" t="s">
        <v>34</v>
      </c>
      <c r="B237" s="15" t="s">
        <v>35</v>
      </c>
      <c r="C237" s="15" t="s">
        <v>59</v>
      </c>
      <c r="D237" s="15" t="s">
        <v>60</v>
      </c>
      <c r="E237" s="15" t="s">
        <v>78</v>
      </c>
      <c r="F237" s="15" t="s">
        <v>326</v>
      </c>
      <c r="G237" s="15" t="s">
        <v>78</v>
      </c>
      <c r="H237" s="139"/>
      <c r="I237" s="3" t="s">
        <v>3356</v>
      </c>
      <c r="J237" s="1" t="s">
        <v>3326</v>
      </c>
      <c r="K237" s="1" t="s">
        <v>3283</v>
      </c>
      <c r="L237" s="1" t="s">
        <v>35</v>
      </c>
      <c r="M237" s="95"/>
      <c r="N237" s="3" t="s">
        <v>80</v>
      </c>
      <c r="O237" s="8" t="s">
        <v>45</v>
      </c>
      <c r="P237" s="8" t="s">
        <v>41</v>
      </c>
      <c r="Q237" s="9">
        <v>0</v>
      </c>
      <c r="R237" s="138"/>
      <c r="T237" s="18">
        <v>37367.300000000003</v>
      </c>
      <c r="U237" s="4">
        <v>0</v>
      </c>
      <c r="V237" s="4">
        <v>0</v>
      </c>
      <c r="W237" s="13">
        <f t="shared" si="38"/>
        <v>37367.300000000003</v>
      </c>
      <c r="X237" s="13">
        <f t="shared" si="35"/>
        <v>0</v>
      </c>
      <c r="Y237" s="13">
        <f t="shared" si="30"/>
        <v>0</v>
      </c>
      <c r="Z237" s="2">
        <v>0</v>
      </c>
      <c r="AA237" s="4">
        <v>0</v>
      </c>
      <c r="AB237" s="4">
        <f t="shared" si="31"/>
        <v>0</v>
      </c>
      <c r="AC237" s="6">
        <f t="shared" si="32"/>
        <v>0</v>
      </c>
      <c r="AD237" s="13">
        <f t="shared" si="36"/>
        <v>0</v>
      </c>
      <c r="AE237" s="2">
        <v>0.05</v>
      </c>
      <c r="AF237" s="5">
        <f t="shared" si="33"/>
        <v>0</v>
      </c>
      <c r="AG237" s="2">
        <v>0</v>
      </c>
      <c r="AH237" s="5">
        <f t="shared" si="37"/>
        <v>0</v>
      </c>
      <c r="AJ237" s="126" t="e">
        <v>#N/A</v>
      </c>
      <c r="AK237" s="80">
        <f t="shared" si="34"/>
        <v>0</v>
      </c>
      <c r="AM237" s="85"/>
    </row>
    <row r="238" spans="1:39" hidden="1" x14ac:dyDescent="0.3">
      <c r="A238" s="85" t="s">
        <v>34</v>
      </c>
      <c r="B238" s="15" t="s">
        <v>35</v>
      </c>
      <c r="C238" s="15" t="s">
        <v>59</v>
      </c>
      <c r="D238" s="15" t="s">
        <v>60</v>
      </c>
      <c r="E238" s="15" t="s">
        <v>327</v>
      </c>
      <c r="F238" s="15" t="s">
        <v>328</v>
      </c>
      <c r="G238" s="15" t="s">
        <v>327</v>
      </c>
      <c r="H238" s="154"/>
      <c r="I238" s="3" t="s">
        <v>3356</v>
      </c>
      <c r="J238" s="1" t="s">
        <v>3326</v>
      </c>
      <c r="K238" s="1" t="s">
        <v>3283</v>
      </c>
      <c r="L238" s="1" t="s">
        <v>35</v>
      </c>
      <c r="M238" s="95"/>
      <c r="N238" s="3" t="s">
        <v>80</v>
      </c>
      <c r="O238" s="8" t="s">
        <v>45</v>
      </c>
      <c r="P238" s="8" t="s">
        <v>75</v>
      </c>
      <c r="Q238" s="9">
        <v>0.06</v>
      </c>
      <c r="R238" s="138"/>
      <c r="T238" s="18">
        <v>531305.58000000042</v>
      </c>
      <c r="U238" s="4">
        <v>0</v>
      </c>
      <c r="V238" s="4">
        <v>107859.56</v>
      </c>
      <c r="W238" s="13">
        <f t="shared" si="38"/>
        <v>423446.02000000043</v>
      </c>
      <c r="X238" s="13">
        <f t="shared" si="35"/>
        <v>107859.56</v>
      </c>
      <c r="Y238" s="13">
        <f t="shared" si="30"/>
        <v>0</v>
      </c>
      <c r="Z238" s="2">
        <v>0</v>
      </c>
      <c r="AA238" s="4">
        <v>0</v>
      </c>
      <c r="AB238" s="4">
        <f t="shared" si="31"/>
        <v>107859.56</v>
      </c>
      <c r="AC238" s="6">
        <f t="shared" si="32"/>
        <v>6471.5735999999997</v>
      </c>
      <c r="AD238" s="13">
        <f t="shared" si="36"/>
        <v>107859.56</v>
      </c>
      <c r="AE238" s="2">
        <v>0.05</v>
      </c>
      <c r="AF238" s="5">
        <f t="shared" si="33"/>
        <v>5392.9780000000001</v>
      </c>
      <c r="AG238" s="2">
        <v>0</v>
      </c>
      <c r="AH238" s="5">
        <f t="shared" si="37"/>
        <v>107859.56</v>
      </c>
      <c r="AJ238" s="126" t="e">
        <v>#N/A</v>
      </c>
      <c r="AK238" s="80">
        <f t="shared" si="34"/>
        <v>0</v>
      </c>
      <c r="AM238" s="85"/>
    </row>
    <row r="239" spans="1:39" hidden="1" x14ac:dyDescent="0.3">
      <c r="A239" s="85" t="s">
        <v>34</v>
      </c>
      <c r="B239" s="15" t="s">
        <v>35</v>
      </c>
      <c r="C239" s="15" t="s">
        <v>47</v>
      </c>
      <c r="D239" s="15" t="s">
        <v>63</v>
      </c>
      <c r="E239" s="15" t="s">
        <v>127</v>
      </c>
      <c r="F239" s="15" t="s">
        <v>127</v>
      </c>
      <c r="G239" s="15" t="s">
        <v>127</v>
      </c>
      <c r="H239" s="154"/>
      <c r="I239" s="3" t="s">
        <v>3356</v>
      </c>
      <c r="J239" s="1" t="s">
        <v>3326</v>
      </c>
      <c r="K239" s="1" t="s">
        <v>3710</v>
      </c>
      <c r="L239" s="1" t="s">
        <v>35</v>
      </c>
      <c r="M239" s="95"/>
      <c r="N239" s="3" t="s">
        <v>3710</v>
      </c>
      <c r="O239" s="8" t="s">
        <v>105</v>
      </c>
      <c r="P239" s="8" t="s">
        <v>41</v>
      </c>
      <c r="Q239" s="9">
        <v>0</v>
      </c>
      <c r="R239" s="138"/>
      <c r="T239" s="18">
        <v>-602626.83999999985</v>
      </c>
      <c r="U239" s="4">
        <v>0</v>
      </c>
      <c r="V239" s="4">
        <v>510782.7099999999</v>
      </c>
      <c r="W239" s="13">
        <f t="shared" si="38"/>
        <v>-1113409.5499999998</v>
      </c>
      <c r="X239" s="13">
        <f t="shared" si="35"/>
        <v>510782.7099999999</v>
      </c>
      <c r="Y239" s="13">
        <f t="shared" si="30"/>
        <v>0</v>
      </c>
      <c r="Z239" s="2">
        <v>0</v>
      </c>
      <c r="AA239" s="4">
        <v>0</v>
      </c>
      <c r="AB239" s="4">
        <f t="shared" si="31"/>
        <v>510782.7099999999</v>
      </c>
      <c r="AC239" s="6">
        <f t="shared" si="32"/>
        <v>0</v>
      </c>
      <c r="AD239" s="13">
        <f t="shared" si="36"/>
        <v>510782.7099999999</v>
      </c>
      <c r="AE239" s="2">
        <v>0.05</v>
      </c>
      <c r="AF239" s="5">
        <f t="shared" si="33"/>
        <v>25539.135499999997</v>
      </c>
      <c r="AG239" s="2">
        <v>0</v>
      </c>
      <c r="AH239" s="5">
        <f t="shared" si="37"/>
        <v>510782.7099999999</v>
      </c>
      <c r="AJ239" s="126" t="e">
        <v>#N/A</v>
      </c>
      <c r="AK239" s="80">
        <f t="shared" si="34"/>
        <v>0</v>
      </c>
      <c r="AM239" s="85"/>
    </row>
    <row r="240" spans="1:39" hidden="1" x14ac:dyDescent="0.3">
      <c r="A240" s="85" t="s">
        <v>34</v>
      </c>
      <c r="B240" s="15" t="s">
        <v>35</v>
      </c>
      <c r="C240" s="15" t="s">
        <v>187</v>
      </c>
      <c r="D240" s="15" t="s">
        <v>188</v>
      </c>
      <c r="E240" s="15" t="s">
        <v>280</v>
      </c>
      <c r="F240" s="15" t="s">
        <v>280</v>
      </c>
      <c r="G240" s="15" t="s">
        <v>280</v>
      </c>
      <c r="H240" s="139"/>
      <c r="I240" s="3" t="s">
        <v>3356</v>
      </c>
      <c r="J240" s="1" t="s">
        <v>3326</v>
      </c>
      <c r="K240" s="1" t="s">
        <v>3283</v>
      </c>
      <c r="L240" s="1" t="s">
        <v>35</v>
      </c>
      <c r="M240" s="95"/>
      <c r="N240" s="3" t="s">
        <v>80</v>
      </c>
      <c r="O240" s="8" t="s">
        <v>105</v>
      </c>
      <c r="P240" s="8" t="s">
        <v>46</v>
      </c>
      <c r="Q240" s="9">
        <v>0.03</v>
      </c>
      <c r="R240" s="138"/>
      <c r="T240" s="18">
        <v>-33.549999999999997</v>
      </c>
      <c r="U240" s="4">
        <v>0</v>
      </c>
      <c r="V240" s="4">
        <v>0</v>
      </c>
      <c r="W240" s="13">
        <f t="shared" si="38"/>
        <v>-33.549999999999997</v>
      </c>
      <c r="X240" s="13">
        <f t="shared" si="35"/>
        <v>0</v>
      </c>
      <c r="Y240" s="13">
        <f t="shared" si="30"/>
        <v>0</v>
      </c>
      <c r="Z240" s="2">
        <v>0</v>
      </c>
      <c r="AA240" s="4">
        <v>0</v>
      </c>
      <c r="AB240" s="4">
        <f t="shared" si="31"/>
        <v>0</v>
      </c>
      <c r="AC240" s="6">
        <f t="shared" si="32"/>
        <v>0</v>
      </c>
      <c r="AD240" s="13">
        <f t="shared" si="36"/>
        <v>0</v>
      </c>
      <c r="AE240" s="2">
        <v>0.05</v>
      </c>
      <c r="AF240" s="5">
        <f t="shared" si="33"/>
        <v>0</v>
      </c>
      <c r="AG240" s="2">
        <v>0</v>
      </c>
      <c r="AH240" s="5">
        <f t="shared" si="37"/>
        <v>0</v>
      </c>
      <c r="AJ240" s="126" t="e">
        <v>#N/A</v>
      </c>
      <c r="AK240" s="80">
        <f t="shared" si="34"/>
        <v>0</v>
      </c>
      <c r="AM240" s="85"/>
    </row>
    <row r="241" spans="1:39" hidden="1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176</v>
      </c>
      <c r="F241" s="15" t="s">
        <v>176</v>
      </c>
      <c r="G241" s="15" t="s">
        <v>176</v>
      </c>
      <c r="H241" s="139"/>
      <c r="I241" s="3" t="s">
        <v>3356</v>
      </c>
      <c r="J241" s="1" t="s">
        <v>3326</v>
      </c>
      <c r="K241" s="1" t="s">
        <v>3710</v>
      </c>
      <c r="L241" s="1" t="s">
        <v>35</v>
      </c>
      <c r="M241" s="95"/>
      <c r="N241" s="3" t="s">
        <v>3714</v>
      </c>
      <c r="O241" s="8" t="s">
        <v>105</v>
      </c>
      <c r="P241" s="8" t="s">
        <v>46</v>
      </c>
      <c r="Q241" s="9">
        <v>0.02</v>
      </c>
      <c r="R241" s="138"/>
      <c r="T241" s="18">
        <v>-220258.73</v>
      </c>
      <c r="U241" s="4">
        <v>0</v>
      </c>
      <c r="V241" s="4">
        <v>0</v>
      </c>
      <c r="W241" s="13">
        <v>0</v>
      </c>
      <c r="X241" s="13">
        <f t="shared" si="35"/>
        <v>0</v>
      </c>
      <c r="Y241" s="13">
        <f t="shared" si="30"/>
        <v>0</v>
      </c>
      <c r="Z241" s="2">
        <v>0</v>
      </c>
      <c r="AA241" s="4">
        <v>0</v>
      </c>
      <c r="AB241" s="4">
        <f t="shared" si="31"/>
        <v>0</v>
      </c>
      <c r="AC241" s="6">
        <f t="shared" si="32"/>
        <v>0</v>
      </c>
      <c r="AD241" s="13">
        <f t="shared" si="36"/>
        <v>0</v>
      </c>
      <c r="AE241" s="2">
        <v>0.05</v>
      </c>
      <c r="AF241" s="5">
        <f t="shared" si="33"/>
        <v>0</v>
      </c>
      <c r="AG241" s="2">
        <v>0</v>
      </c>
      <c r="AH241" s="5">
        <f t="shared" si="37"/>
        <v>0</v>
      </c>
      <c r="AJ241" s="126" t="e">
        <v>#N/A</v>
      </c>
      <c r="AK241" s="80">
        <f t="shared" si="34"/>
        <v>0</v>
      </c>
      <c r="AM241" s="85"/>
    </row>
    <row r="242" spans="1:39" hidden="1" x14ac:dyDescent="0.3">
      <c r="A242" s="85" t="s">
        <v>34</v>
      </c>
      <c r="B242" s="15" t="s">
        <v>35</v>
      </c>
      <c r="C242" s="15" t="s">
        <v>164</v>
      </c>
      <c r="D242" s="15" t="s">
        <v>174</v>
      </c>
      <c r="E242" s="15" t="s">
        <v>176</v>
      </c>
      <c r="F242" s="15" t="s">
        <v>176</v>
      </c>
      <c r="G242" s="15" t="s">
        <v>176</v>
      </c>
      <c r="H242" s="139"/>
      <c r="I242" s="3" t="s">
        <v>3356</v>
      </c>
      <c r="J242" s="1" t="s">
        <v>3326</v>
      </c>
      <c r="K242" s="1" t="s">
        <v>3710</v>
      </c>
      <c r="L242" s="1" t="s">
        <v>35</v>
      </c>
      <c r="M242" s="95"/>
      <c r="N242" s="3" t="s">
        <v>3714</v>
      </c>
      <c r="O242" s="8" t="s">
        <v>105</v>
      </c>
      <c r="P242" s="8" t="s">
        <v>46</v>
      </c>
      <c r="Q242" s="9">
        <v>0.02</v>
      </c>
      <c r="R242" s="138"/>
      <c r="T242" s="18">
        <v>-5125.630000000001</v>
      </c>
      <c r="U242" s="4">
        <v>0</v>
      </c>
      <c r="V242" s="4">
        <v>0</v>
      </c>
      <c r="W242" s="13">
        <v>0</v>
      </c>
      <c r="X242" s="13">
        <f t="shared" si="35"/>
        <v>0</v>
      </c>
      <c r="Y242" s="13">
        <f t="shared" si="30"/>
        <v>0</v>
      </c>
      <c r="Z242" s="2">
        <v>0</v>
      </c>
      <c r="AA242" s="4">
        <v>0</v>
      </c>
      <c r="AB242" s="4">
        <f t="shared" si="31"/>
        <v>0</v>
      </c>
      <c r="AC242" s="6">
        <f t="shared" si="32"/>
        <v>0</v>
      </c>
      <c r="AD242" s="13">
        <f t="shared" si="36"/>
        <v>0</v>
      </c>
      <c r="AE242" s="2">
        <v>0.05</v>
      </c>
      <c r="AF242" s="5">
        <f t="shared" si="33"/>
        <v>0</v>
      </c>
      <c r="AG242" s="2">
        <v>0</v>
      </c>
      <c r="AH242" s="5">
        <f t="shared" si="37"/>
        <v>0</v>
      </c>
      <c r="AJ242" s="126" t="e">
        <v>#N/A</v>
      </c>
      <c r="AK242" s="80">
        <f t="shared" si="34"/>
        <v>0</v>
      </c>
      <c r="AM242" s="85"/>
    </row>
    <row r="243" spans="1:39" hidden="1" x14ac:dyDescent="0.3">
      <c r="A243" s="85" t="s">
        <v>34</v>
      </c>
      <c r="B243" s="15" t="s">
        <v>35</v>
      </c>
      <c r="C243" s="15" t="s">
        <v>59</v>
      </c>
      <c r="D243" s="15" t="s">
        <v>60</v>
      </c>
      <c r="E243" s="15" t="s">
        <v>78</v>
      </c>
      <c r="F243" s="15" t="s">
        <v>329</v>
      </c>
      <c r="G243" s="15" t="s">
        <v>78</v>
      </c>
      <c r="H243" s="154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0.04</v>
      </c>
      <c r="R243" s="138"/>
      <c r="T243" s="18">
        <v>850618.7699999921</v>
      </c>
      <c r="U243" s="4">
        <v>0</v>
      </c>
      <c r="V243" s="18">
        <v>835942.95</v>
      </c>
      <c r="W243" s="13">
        <f t="shared" si="38"/>
        <v>14675.819999992149</v>
      </c>
      <c r="X243" s="13">
        <f t="shared" si="35"/>
        <v>803791.29807692301</v>
      </c>
      <c r="Y243" s="13">
        <f t="shared" si="30"/>
        <v>0</v>
      </c>
      <c r="Z243" s="2">
        <v>0</v>
      </c>
      <c r="AA243" s="4">
        <v>0</v>
      </c>
      <c r="AB243" s="4">
        <f t="shared" si="31"/>
        <v>803791.29807692301</v>
      </c>
      <c r="AC243" s="6">
        <f t="shared" si="32"/>
        <v>32151.651923076948</v>
      </c>
      <c r="AD243" s="13">
        <f t="shared" si="36"/>
        <v>835942.95</v>
      </c>
      <c r="AE243" s="2">
        <v>0.05</v>
      </c>
      <c r="AF243" s="5">
        <f t="shared" si="33"/>
        <v>41797.147499999999</v>
      </c>
      <c r="AG243" s="2">
        <v>0</v>
      </c>
      <c r="AH243" s="5">
        <f t="shared" si="37"/>
        <v>835942.95</v>
      </c>
      <c r="AJ243" s="126" t="e">
        <v>#N/A</v>
      </c>
      <c r="AK243" s="80">
        <f t="shared" si="34"/>
        <v>0</v>
      </c>
      <c r="AM243" s="85"/>
    </row>
    <row r="244" spans="1:39" hidden="1" x14ac:dyDescent="0.3">
      <c r="A244" s="85" t="s">
        <v>34</v>
      </c>
      <c r="B244" s="15" t="s">
        <v>35</v>
      </c>
      <c r="C244" s="15" t="s">
        <v>59</v>
      </c>
      <c r="D244" s="15" t="s">
        <v>60</v>
      </c>
      <c r="E244" s="15" t="s">
        <v>78</v>
      </c>
      <c r="F244" s="15" t="s">
        <v>330</v>
      </c>
      <c r="G244" s="15" t="s">
        <v>78</v>
      </c>
      <c r="H244" s="154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0.04</v>
      </c>
      <c r="R244" s="138"/>
      <c r="T244" s="18">
        <v>37480.945900001316</v>
      </c>
      <c r="U244" s="4">
        <v>48606.720000000001</v>
      </c>
      <c r="V244" s="4">
        <v>86085.290000000008</v>
      </c>
      <c r="W244" s="13">
        <f t="shared" si="38"/>
        <v>2.3759000013087643</v>
      </c>
      <c r="X244" s="13">
        <f t="shared" si="35"/>
        <v>82774.317307692312</v>
      </c>
      <c r="Y244" s="13">
        <f t="shared" si="30"/>
        <v>0</v>
      </c>
      <c r="Z244" s="2">
        <v>0</v>
      </c>
      <c r="AA244" s="4">
        <v>0</v>
      </c>
      <c r="AB244" s="4">
        <f t="shared" si="31"/>
        <v>82774.317307692312</v>
      </c>
      <c r="AC244" s="6">
        <f t="shared" si="32"/>
        <v>3310.972692307696</v>
      </c>
      <c r="AD244" s="13">
        <f t="shared" si="36"/>
        <v>86085.290000000008</v>
      </c>
      <c r="AE244" s="2">
        <v>0.05</v>
      </c>
      <c r="AF244" s="5">
        <f t="shared" si="33"/>
        <v>4304.2645000000002</v>
      </c>
      <c r="AG244" s="2">
        <v>0</v>
      </c>
      <c r="AH244" s="5">
        <f t="shared" si="37"/>
        <v>86085.290000000008</v>
      </c>
      <c r="AJ244" s="126" t="e">
        <v>#N/A</v>
      </c>
      <c r="AK244" s="80">
        <f t="shared" si="34"/>
        <v>0</v>
      </c>
      <c r="AM244" s="85"/>
    </row>
    <row r="245" spans="1:39" hidden="1" x14ac:dyDescent="0.3">
      <c r="A245" s="85" t="s">
        <v>34</v>
      </c>
      <c r="B245" s="15" t="s">
        <v>35</v>
      </c>
      <c r="C245" s="15" t="s">
        <v>164</v>
      </c>
      <c r="D245" s="15" t="s">
        <v>174</v>
      </c>
      <c r="E245" s="15" t="s">
        <v>175</v>
      </c>
      <c r="F245" s="15" t="s">
        <v>175</v>
      </c>
      <c r="G245" s="15" t="s">
        <v>175</v>
      </c>
      <c r="H245" s="139"/>
      <c r="I245" s="3" t="s">
        <v>3356</v>
      </c>
      <c r="J245" s="1" t="s">
        <v>3326</v>
      </c>
      <c r="K245" s="1" t="s">
        <v>3712</v>
      </c>
      <c r="L245" s="1" t="s">
        <v>35</v>
      </c>
      <c r="M245" s="95"/>
      <c r="N245" s="3" t="s">
        <v>3713</v>
      </c>
      <c r="O245" s="8" t="s">
        <v>105</v>
      </c>
      <c r="P245" s="8" t="s">
        <v>46</v>
      </c>
      <c r="Q245" s="9">
        <v>0.02</v>
      </c>
      <c r="R245" s="138"/>
      <c r="T245" s="18">
        <v>-114242.08</v>
      </c>
      <c r="U245" s="4">
        <v>0</v>
      </c>
      <c r="V245" s="4">
        <v>0</v>
      </c>
      <c r="W245" s="13">
        <v>0</v>
      </c>
      <c r="X245" s="13">
        <f t="shared" si="35"/>
        <v>0</v>
      </c>
      <c r="Y245" s="13">
        <f t="shared" si="30"/>
        <v>0</v>
      </c>
      <c r="Z245" s="2">
        <v>0</v>
      </c>
      <c r="AA245" s="4">
        <v>0</v>
      </c>
      <c r="AB245" s="4">
        <f t="shared" si="31"/>
        <v>0</v>
      </c>
      <c r="AC245" s="6">
        <f t="shared" si="32"/>
        <v>0</v>
      </c>
      <c r="AD245" s="13">
        <f t="shared" si="36"/>
        <v>0</v>
      </c>
      <c r="AE245" s="2">
        <v>0.05</v>
      </c>
      <c r="AF245" s="5">
        <f t="shared" si="33"/>
        <v>0</v>
      </c>
      <c r="AG245" s="2">
        <v>0</v>
      </c>
      <c r="AH245" s="5">
        <f t="shared" si="37"/>
        <v>0</v>
      </c>
      <c r="AJ245" s="126" t="e">
        <v>#N/A</v>
      </c>
      <c r="AK245" s="80">
        <f t="shared" si="34"/>
        <v>0</v>
      </c>
      <c r="AM245" s="85"/>
    </row>
    <row r="246" spans="1:39" hidden="1" x14ac:dyDescent="0.3">
      <c r="A246" s="85" t="s">
        <v>34</v>
      </c>
      <c r="B246" s="15" t="s">
        <v>35</v>
      </c>
      <c r="C246" s="15" t="s">
        <v>65</v>
      </c>
      <c r="D246" s="15" t="s">
        <v>66</v>
      </c>
      <c r="E246" s="15" t="s">
        <v>118</v>
      </c>
      <c r="F246" s="15" t="s">
        <v>118</v>
      </c>
      <c r="G246" s="15" t="s">
        <v>118</v>
      </c>
      <c r="H246" s="139"/>
      <c r="I246" s="3" t="s">
        <v>3356</v>
      </c>
      <c r="J246" s="1" t="s">
        <v>3326</v>
      </c>
      <c r="K246" s="1" t="s">
        <v>3707</v>
      </c>
      <c r="L246" s="1" t="s">
        <v>35</v>
      </c>
      <c r="M246" s="95"/>
      <c r="N246" s="3" t="s">
        <v>3716</v>
      </c>
      <c r="O246" s="8" t="s">
        <v>105</v>
      </c>
      <c r="P246" s="8" t="s">
        <v>46</v>
      </c>
      <c r="Q246" s="9">
        <v>0.03</v>
      </c>
      <c r="R246" s="138"/>
      <c r="T246" s="18">
        <v>-173583.40999999997</v>
      </c>
      <c r="U246" s="4">
        <v>0</v>
      </c>
      <c r="V246" s="4">
        <v>0</v>
      </c>
      <c r="W246" s="13">
        <v>0</v>
      </c>
      <c r="X246" s="13">
        <f t="shared" si="35"/>
        <v>0</v>
      </c>
      <c r="Y246" s="13">
        <f t="shared" si="30"/>
        <v>0</v>
      </c>
      <c r="Z246" s="2">
        <v>0</v>
      </c>
      <c r="AA246" s="4">
        <v>0</v>
      </c>
      <c r="AB246" s="4">
        <f t="shared" si="31"/>
        <v>0</v>
      </c>
      <c r="AC246" s="6">
        <f t="shared" si="32"/>
        <v>0</v>
      </c>
      <c r="AD246" s="13">
        <f t="shared" si="36"/>
        <v>0</v>
      </c>
      <c r="AE246" s="2">
        <v>0.05</v>
      </c>
      <c r="AF246" s="5">
        <f t="shared" si="33"/>
        <v>0</v>
      </c>
      <c r="AG246" s="2">
        <v>0</v>
      </c>
      <c r="AH246" s="5">
        <f t="shared" si="37"/>
        <v>0</v>
      </c>
      <c r="AJ246" s="126" t="e">
        <v>#N/A</v>
      </c>
      <c r="AK246" s="80">
        <f t="shared" si="34"/>
        <v>0</v>
      </c>
      <c r="AM246" s="85"/>
    </row>
    <row r="247" spans="1:39" hidden="1" x14ac:dyDescent="0.3">
      <c r="A247" s="85" t="s">
        <v>34</v>
      </c>
      <c r="B247" s="15" t="s">
        <v>35</v>
      </c>
      <c r="C247" s="15" t="s">
        <v>47</v>
      </c>
      <c r="D247" s="15" t="s">
        <v>63</v>
      </c>
      <c r="E247" s="15" t="s">
        <v>131</v>
      </c>
      <c r="F247" s="15" t="s">
        <v>131</v>
      </c>
      <c r="G247" s="15" t="s">
        <v>131</v>
      </c>
      <c r="H247" s="154"/>
      <c r="I247" s="3" t="s">
        <v>3356</v>
      </c>
      <c r="J247" s="1" t="s">
        <v>3326</v>
      </c>
      <c r="K247" s="1" t="s">
        <v>3712</v>
      </c>
      <c r="L247" s="1" t="s">
        <v>35</v>
      </c>
      <c r="M247" s="95"/>
      <c r="N247" s="3" t="s">
        <v>3713</v>
      </c>
      <c r="O247" s="8" t="s">
        <v>105</v>
      </c>
      <c r="P247" s="8" t="s">
        <v>41</v>
      </c>
      <c r="Q247" s="9">
        <v>0</v>
      </c>
      <c r="R247" s="138"/>
      <c r="T247" s="18">
        <v>-7302.9900000000007</v>
      </c>
      <c r="U247" s="4">
        <v>0</v>
      </c>
      <c r="V247" s="4">
        <v>850.76</v>
      </c>
      <c r="W247" s="13">
        <f t="shared" si="38"/>
        <v>-8153.7500000000009</v>
      </c>
      <c r="X247" s="13">
        <f t="shared" si="35"/>
        <v>850.76</v>
      </c>
      <c r="Y247" s="13">
        <f t="shared" si="30"/>
        <v>0</v>
      </c>
      <c r="Z247" s="2">
        <v>0</v>
      </c>
      <c r="AA247" s="4">
        <v>0</v>
      </c>
      <c r="AB247" s="4">
        <f t="shared" si="31"/>
        <v>850.76</v>
      </c>
      <c r="AC247" s="6">
        <f t="shared" si="32"/>
        <v>0</v>
      </c>
      <c r="AD247" s="13">
        <f t="shared" si="36"/>
        <v>850.76</v>
      </c>
      <c r="AE247" s="2">
        <v>0.05</v>
      </c>
      <c r="AF247" s="5">
        <f t="shared" si="33"/>
        <v>42.538000000000004</v>
      </c>
      <c r="AG247" s="2">
        <v>0</v>
      </c>
      <c r="AH247" s="5">
        <f t="shared" si="37"/>
        <v>850.76</v>
      </c>
      <c r="AJ247" s="126" t="e">
        <v>#N/A</v>
      </c>
      <c r="AK247" s="80">
        <f t="shared" si="34"/>
        <v>0</v>
      </c>
      <c r="AM247" s="85"/>
    </row>
    <row r="248" spans="1:39" hidden="1" x14ac:dyDescent="0.3">
      <c r="A248" s="85" t="s">
        <v>34</v>
      </c>
      <c r="B248" s="15" t="s">
        <v>35</v>
      </c>
      <c r="C248" s="15" t="s">
        <v>144</v>
      </c>
      <c r="D248" s="15" t="s">
        <v>152</v>
      </c>
      <c r="E248" s="15" t="s">
        <v>159</v>
      </c>
      <c r="F248" s="15" t="s">
        <v>159</v>
      </c>
      <c r="G248" s="15" t="s">
        <v>159</v>
      </c>
      <c r="H248" s="154"/>
      <c r="I248" s="3" t="s">
        <v>3356</v>
      </c>
      <c r="J248" s="1" t="s">
        <v>3326</v>
      </c>
      <c r="K248" s="1" t="s">
        <v>3712</v>
      </c>
      <c r="L248" s="1" t="s">
        <v>35</v>
      </c>
      <c r="M248" s="95"/>
      <c r="N248" s="3" t="s">
        <v>3712</v>
      </c>
      <c r="O248" s="8" t="s">
        <v>105</v>
      </c>
      <c r="P248" s="8" t="s">
        <v>46</v>
      </c>
      <c r="Q248" s="9">
        <v>0.01</v>
      </c>
      <c r="R248" s="138"/>
      <c r="T248" s="18">
        <v>-32951.909999999996</v>
      </c>
      <c r="U248" s="4">
        <v>0</v>
      </c>
      <c r="V248" s="4">
        <v>18520.269999999997</v>
      </c>
      <c r="W248" s="13">
        <v>0</v>
      </c>
      <c r="X248" s="13">
        <f t="shared" si="35"/>
        <v>18336.900990099006</v>
      </c>
      <c r="Y248" s="13">
        <f t="shared" si="30"/>
        <v>0</v>
      </c>
      <c r="Z248" s="2">
        <v>0</v>
      </c>
      <c r="AA248" s="4">
        <v>0</v>
      </c>
      <c r="AB248" s="4">
        <f t="shared" si="31"/>
        <v>18336.900990099006</v>
      </c>
      <c r="AC248" s="6">
        <f t="shared" si="32"/>
        <v>183.36900990099093</v>
      </c>
      <c r="AD248" s="13">
        <f t="shared" si="36"/>
        <v>18520.269999999997</v>
      </c>
      <c r="AE248" s="2">
        <v>0.05</v>
      </c>
      <c r="AF248" s="5">
        <f t="shared" si="33"/>
        <v>926.01349999999991</v>
      </c>
      <c r="AG248" s="2">
        <v>0</v>
      </c>
      <c r="AH248" s="5">
        <f t="shared" si="37"/>
        <v>18520.269999999997</v>
      </c>
      <c r="AJ248" s="126" t="e">
        <v>#N/A</v>
      </c>
      <c r="AK248" s="80">
        <f t="shared" si="34"/>
        <v>0</v>
      </c>
      <c r="AM248" s="85"/>
    </row>
    <row r="249" spans="1:39" hidden="1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206</v>
      </c>
      <c r="F249" s="15" t="s">
        <v>206</v>
      </c>
      <c r="G249" s="15" t="s">
        <v>206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105</v>
      </c>
      <c r="P249" s="8" t="s">
        <v>46</v>
      </c>
      <c r="Q249" s="9">
        <v>0.04</v>
      </c>
      <c r="R249" s="138"/>
      <c r="T249" s="18">
        <v>-30330.33</v>
      </c>
      <c r="U249" s="4">
        <v>0</v>
      </c>
      <c r="V249" s="4">
        <v>0</v>
      </c>
      <c r="W249" s="13">
        <f t="shared" si="38"/>
        <v>-30330.33</v>
      </c>
      <c r="X249" s="13">
        <f t="shared" si="35"/>
        <v>0</v>
      </c>
      <c r="Y249" s="13">
        <f t="shared" si="30"/>
        <v>0</v>
      </c>
      <c r="Z249" s="2">
        <v>0</v>
      </c>
      <c r="AA249" s="4">
        <v>0</v>
      </c>
      <c r="AB249" s="4">
        <f t="shared" si="31"/>
        <v>0</v>
      </c>
      <c r="AC249" s="6">
        <f t="shared" si="32"/>
        <v>0</v>
      </c>
      <c r="AD249" s="13">
        <f t="shared" si="36"/>
        <v>0</v>
      </c>
      <c r="AE249" s="2">
        <v>0.05</v>
      </c>
      <c r="AF249" s="5">
        <f t="shared" si="33"/>
        <v>0</v>
      </c>
      <c r="AG249" s="2">
        <v>0</v>
      </c>
      <c r="AH249" s="5">
        <f t="shared" si="37"/>
        <v>0</v>
      </c>
      <c r="AJ249" s="126" t="s">
        <v>4218</v>
      </c>
      <c r="AK249" s="80">
        <f t="shared" si="34"/>
        <v>0</v>
      </c>
      <c r="AL249" s="150"/>
      <c r="AM249" s="85"/>
    </row>
    <row r="250" spans="1:39" hidden="1" x14ac:dyDescent="0.3">
      <c r="A250" s="85" t="s">
        <v>34</v>
      </c>
      <c r="B250" s="15" t="s">
        <v>35</v>
      </c>
      <c r="C250" s="15" t="s">
        <v>59</v>
      </c>
      <c r="D250" s="15" t="s">
        <v>60</v>
      </c>
      <c r="E250" s="15" t="s">
        <v>78</v>
      </c>
      <c r="F250" s="15" t="s">
        <v>331</v>
      </c>
      <c r="G250" s="15" t="s">
        <v>78</v>
      </c>
      <c r="H250" s="154"/>
      <c r="I250" s="3" t="s">
        <v>3356</v>
      </c>
      <c r="J250" s="1" t="s">
        <v>3326</v>
      </c>
      <c r="K250" s="1" t="s">
        <v>3283</v>
      </c>
      <c r="L250" s="1" t="s">
        <v>35</v>
      </c>
      <c r="M250" s="95"/>
      <c r="N250" s="3" t="s">
        <v>80</v>
      </c>
      <c r="O250" s="8" t="s">
        <v>45</v>
      </c>
      <c r="P250" s="8" t="s">
        <v>46</v>
      </c>
      <c r="Q250" s="9">
        <v>0.04</v>
      </c>
      <c r="R250" s="138"/>
      <c r="T250" s="18">
        <v>554611.05999997444</v>
      </c>
      <c r="U250" s="4">
        <v>0</v>
      </c>
      <c r="V250" s="18">
        <v>546944.33999999985</v>
      </c>
      <c r="W250" s="13">
        <f t="shared" si="38"/>
        <v>7666.7199999745935</v>
      </c>
      <c r="X250" s="13">
        <f t="shared" si="35"/>
        <v>525908.01923076902</v>
      </c>
      <c r="Y250" s="13">
        <f t="shared" si="30"/>
        <v>0</v>
      </c>
      <c r="Z250" s="2">
        <v>0</v>
      </c>
      <c r="AA250" s="4">
        <v>0</v>
      </c>
      <c r="AB250" s="4">
        <f t="shared" si="31"/>
        <v>525908.01923076902</v>
      </c>
      <c r="AC250" s="6">
        <f t="shared" si="32"/>
        <v>21036.320769230835</v>
      </c>
      <c r="AD250" s="13">
        <f t="shared" si="36"/>
        <v>546944.33999999985</v>
      </c>
      <c r="AE250" s="2">
        <v>0.05</v>
      </c>
      <c r="AF250" s="5">
        <f t="shared" si="33"/>
        <v>27347.216999999993</v>
      </c>
      <c r="AG250" s="2">
        <v>0</v>
      </c>
      <c r="AH250" s="5">
        <f t="shared" si="37"/>
        <v>546944.33999999985</v>
      </c>
      <c r="AJ250" s="126" t="e">
        <v>#N/A</v>
      </c>
      <c r="AK250" s="80">
        <f t="shared" si="34"/>
        <v>0</v>
      </c>
      <c r="AM250" s="85"/>
    </row>
    <row r="251" spans="1:39" hidden="1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203</v>
      </c>
      <c r="F251" s="15" t="s">
        <v>203</v>
      </c>
      <c r="G251" s="15" t="s">
        <v>203</v>
      </c>
      <c r="H251" s="139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105</v>
      </c>
      <c r="P251" s="8" t="s">
        <v>46</v>
      </c>
      <c r="Q251" s="9">
        <v>0.04</v>
      </c>
      <c r="R251" s="138"/>
      <c r="T251" s="18">
        <v>-17446.189999999999</v>
      </c>
      <c r="U251" s="4">
        <v>0</v>
      </c>
      <c r="V251" s="4">
        <v>0</v>
      </c>
      <c r="W251" s="13">
        <v>0</v>
      </c>
      <c r="X251" s="13">
        <f t="shared" si="35"/>
        <v>0</v>
      </c>
      <c r="Y251" s="13">
        <f t="shared" si="30"/>
        <v>0</v>
      </c>
      <c r="Z251" s="2">
        <v>0</v>
      </c>
      <c r="AA251" s="4">
        <v>0</v>
      </c>
      <c r="AB251" s="4">
        <f t="shared" si="31"/>
        <v>0</v>
      </c>
      <c r="AC251" s="6">
        <f t="shared" si="32"/>
        <v>0</v>
      </c>
      <c r="AD251" s="13">
        <f t="shared" si="36"/>
        <v>0</v>
      </c>
      <c r="AE251" s="2">
        <v>0.05</v>
      </c>
      <c r="AF251" s="5">
        <f t="shared" si="33"/>
        <v>0</v>
      </c>
      <c r="AG251" s="2">
        <v>0</v>
      </c>
      <c r="AH251" s="5">
        <f t="shared" si="37"/>
        <v>0</v>
      </c>
      <c r="AJ251" s="126" t="e">
        <v>#N/A</v>
      </c>
      <c r="AK251" s="80">
        <f t="shared" si="34"/>
        <v>0</v>
      </c>
      <c r="AM251" s="85"/>
    </row>
    <row r="252" spans="1:39" hidden="1" x14ac:dyDescent="0.3">
      <c r="A252" s="85" t="s">
        <v>34</v>
      </c>
      <c r="B252" s="15" t="s">
        <v>35</v>
      </c>
      <c r="C252" s="15" t="s">
        <v>164</v>
      </c>
      <c r="D252" s="15" t="s">
        <v>174</v>
      </c>
      <c r="E252" s="15" t="s">
        <v>177</v>
      </c>
      <c r="F252" s="15" t="s">
        <v>177</v>
      </c>
      <c r="G252" s="15" t="s">
        <v>177</v>
      </c>
      <c r="H252" s="154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46</v>
      </c>
      <c r="Q252" s="9">
        <v>0.02</v>
      </c>
      <c r="R252" s="138"/>
      <c r="T252" s="18">
        <v>-54073.770000000011</v>
      </c>
      <c r="U252" s="4">
        <v>0</v>
      </c>
      <c r="V252" s="18">
        <v>-54073.770000000011</v>
      </c>
      <c r="W252" s="13">
        <f t="shared" si="38"/>
        <v>0</v>
      </c>
      <c r="X252" s="13">
        <f t="shared" si="35"/>
        <v>-53013.500000000007</v>
      </c>
      <c r="Y252" s="13">
        <f t="shared" si="30"/>
        <v>1060.2700000000041</v>
      </c>
      <c r="Z252" s="2">
        <v>0</v>
      </c>
      <c r="AA252" s="4">
        <v>0</v>
      </c>
      <c r="AB252" s="4">
        <f t="shared" si="31"/>
        <v>-53013.500000000007</v>
      </c>
      <c r="AC252" s="6">
        <f t="shared" si="32"/>
        <v>-1060.2700000000041</v>
      </c>
      <c r="AD252" s="13">
        <f t="shared" si="36"/>
        <v>-54073.770000000011</v>
      </c>
      <c r="AE252" s="2">
        <v>0.05</v>
      </c>
      <c r="AF252" s="5">
        <f t="shared" si="33"/>
        <v>-2703.6885000000007</v>
      </c>
      <c r="AG252" s="2">
        <v>0</v>
      </c>
      <c r="AH252" s="5">
        <f t="shared" si="37"/>
        <v>-54073.770000000011</v>
      </c>
      <c r="AJ252" s="126" t="e">
        <v>#N/A</v>
      </c>
      <c r="AK252" s="80">
        <f t="shared" si="34"/>
        <v>0</v>
      </c>
      <c r="AM252" s="85"/>
    </row>
    <row r="253" spans="1:39" hidden="1" x14ac:dyDescent="0.3">
      <c r="A253" s="85" t="s">
        <v>34</v>
      </c>
      <c r="B253" s="15" t="s">
        <v>35</v>
      </c>
      <c r="C253" s="15" t="s">
        <v>59</v>
      </c>
      <c r="D253" s="15" t="s">
        <v>60</v>
      </c>
      <c r="E253" s="15" t="s">
        <v>78</v>
      </c>
      <c r="F253" s="15" t="s">
        <v>332</v>
      </c>
      <c r="G253" s="15" t="s">
        <v>78</v>
      </c>
      <c r="H253" s="154"/>
      <c r="I253" s="3" t="s">
        <v>3356</v>
      </c>
      <c r="J253" s="1" t="s">
        <v>3326</v>
      </c>
      <c r="K253" s="1" t="s">
        <v>3283</v>
      </c>
      <c r="L253" s="1" t="s">
        <v>35</v>
      </c>
      <c r="M253" s="95"/>
      <c r="N253" s="3" t="s">
        <v>80</v>
      </c>
      <c r="O253" s="8" t="s">
        <v>45</v>
      </c>
      <c r="P253" s="8" t="s">
        <v>46</v>
      </c>
      <c r="Q253" s="9">
        <v>0.03</v>
      </c>
      <c r="R253" s="138"/>
      <c r="T253" s="18">
        <v>1662141.1599999983</v>
      </c>
      <c r="U253" s="4">
        <v>0</v>
      </c>
      <c r="V253" s="18">
        <v>1662141.1599999983</v>
      </c>
      <c r="W253" s="13">
        <f t="shared" si="38"/>
        <v>0</v>
      </c>
      <c r="X253" s="13">
        <f t="shared" si="35"/>
        <v>1613729.2815533963</v>
      </c>
      <c r="Y253" s="13">
        <f t="shared" si="30"/>
        <v>0</v>
      </c>
      <c r="Z253" s="2">
        <v>0</v>
      </c>
      <c r="AA253" s="4">
        <v>0</v>
      </c>
      <c r="AB253" s="4">
        <f t="shared" si="31"/>
        <v>1613729.2815533963</v>
      </c>
      <c r="AC253" s="6">
        <f t="shared" si="32"/>
        <v>48411.87844660203</v>
      </c>
      <c r="AD253" s="13">
        <f t="shared" si="36"/>
        <v>1662141.1599999983</v>
      </c>
      <c r="AE253" s="2">
        <v>0.05</v>
      </c>
      <c r="AF253" s="5">
        <f t="shared" si="33"/>
        <v>83107.057999999917</v>
      </c>
      <c r="AG253" s="2">
        <v>0</v>
      </c>
      <c r="AH253" s="5">
        <f t="shared" si="37"/>
        <v>1662141.1599999983</v>
      </c>
      <c r="AJ253" s="126" t="e">
        <v>#N/A</v>
      </c>
      <c r="AK253" s="80">
        <f t="shared" si="34"/>
        <v>0</v>
      </c>
      <c r="AM253" s="85"/>
    </row>
    <row r="254" spans="1:39" hidden="1" x14ac:dyDescent="0.3">
      <c r="A254" s="85" t="s">
        <v>34</v>
      </c>
      <c r="B254" s="15" t="s">
        <v>35</v>
      </c>
      <c r="C254" s="15" t="s">
        <v>59</v>
      </c>
      <c r="D254" s="15" t="s">
        <v>60</v>
      </c>
      <c r="E254" s="15" t="s">
        <v>78</v>
      </c>
      <c r="F254" s="15" t="s">
        <v>333</v>
      </c>
      <c r="G254" s="15" t="s">
        <v>78</v>
      </c>
      <c r="H254" s="154"/>
      <c r="I254" s="3" t="s">
        <v>3356</v>
      </c>
      <c r="J254" s="1" t="s">
        <v>3326</v>
      </c>
      <c r="K254" s="1" t="s">
        <v>3283</v>
      </c>
      <c r="L254" s="1" t="s">
        <v>35</v>
      </c>
      <c r="M254" s="95"/>
      <c r="N254" s="3" t="s">
        <v>80</v>
      </c>
      <c r="O254" s="8" t="s">
        <v>45</v>
      </c>
      <c r="P254" s="8" t="s">
        <v>46</v>
      </c>
      <c r="Q254" s="9">
        <v>0.04</v>
      </c>
      <c r="R254" s="138"/>
      <c r="T254" s="18">
        <v>1184321.399999999</v>
      </c>
      <c r="U254" s="4">
        <v>0</v>
      </c>
      <c r="V254" s="4">
        <v>70874.8</v>
      </c>
      <c r="W254" s="13">
        <f t="shared" si="38"/>
        <v>1113446.5999999989</v>
      </c>
      <c r="X254" s="13">
        <f t="shared" si="35"/>
        <v>68148.846153846156</v>
      </c>
      <c r="Y254" s="13">
        <f t="shared" si="30"/>
        <v>0</v>
      </c>
      <c r="Z254" s="2">
        <v>0</v>
      </c>
      <c r="AA254" s="4">
        <v>0</v>
      </c>
      <c r="AB254" s="4">
        <f t="shared" si="31"/>
        <v>68148.846153846156</v>
      </c>
      <c r="AC254" s="6">
        <f t="shared" si="32"/>
        <v>2725.9538461538468</v>
      </c>
      <c r="AD254" s="13">
        <f t="shared" si="36"/>
        <v>70874.8</v>
      </c>
      <c r="AE254" s="2">
        <v>0.05</v>
      </c>
      <c r="AF254" s="5">
        <f t="shared" si="33"/>
        <v>3543.7400000000002</v>
      </c>
      <c r="AG254" s="2">
        <v>0</v>
      </c>
      <c r="AH254" s="5">
        <f t="shared" si="37"/>
        <v>70874.8</v>
      </c>
      <c r="AJ254" s="126" t="e">
        <v>#N/A</v>
      </c>
      <c r="AK254" s="80">
        <f t="shared" si="34"/>
        <v>0</v>
      </c>
      <c r="AM254" s="85"/>
    </row>
    <row r="255" spans="1:39" hidden="1" x14ac:dyDescent="0.3">
      <c r="A255" s="85" t="s">
        <v>34</v>
      </c>
      <c r="B255" s="15" t="s">
        <v>35</v>
      </c>
      <c r="C255" s="15" t="s">
        <v>59</v>
      </c>
      <c r="D255" s="15" t="s">
        <v>60</v>
      </c>
      <c r="E255" s="15" t="s">
        <v>78</v>
      </c>
      <c r="F255" s="15" t="s">
        <v>334</v>
      </c>
      <c r="G255" s="15" t="s">
        <v>78</v>
      </c>
      <c r="H255" s="154"/>
      <c r="I255" s="3" t="s">
        <v>3356</v>
      </c>
      <c r="J255" s="1" t="s">
        <v>3326</v>
      </c>
      <c r="K255" s="1" t="s">
        <v>3283</v>
      </c>
      <c r="L255" s="1" t="s">
        <v>35</v>
      </c>
      <c r="M255" s="95"/>
      <c r="N255" s="3" t="s">
        <v>80</v>
      </c>
      <c r="O255" s="8" t="s">
        <v>45</v>
      </c>
      <c r="P255" s="8" t="s">
        <v>46</v>
      </c>
      <c r="Q255" s="9">
        <v>0.04</v>
      </c>
      <c r="R255" s="138"/>
      <c r="T255" s="18">
        <v>2189241.2900000014</v>
      </c>
      <c r="U255" s="4">
        <v>0</v>
      </c>
      <c r="V255" s="18">
        <v>2139413.21</v>
      </c>
      <c r="W255" s="13">
        <f t="shared" si="38"/>
        <v>49828.080000001471</v>
      </c>
      <c r="X255" s="13">
        <f t="shared" si="35"/>
        <v>2057128.0865384615</v>
      </c>
      <c r="Y255" s="13">
        <f t="shared" si="30"/>
        <v>0</v>
      </c>
      <c r="Z255" s="2">
        <v>0</v>
      </c>
      <c r="AA255" s="4">
        <v>0</v>
      </c>
      <c r="AB255" s="4">
        <f t="shared" si="31"/>
        <v>2057128.0865384615</v>
      </c>
      <c r="AC255" s="6">
        <f t="shared" si="32"/>
        <v>82285.12346153846</v>
      </c>
      <c r="AD255" s="13">
        <f t="shared" si="36"/>
        <v>2139413.21</v>
      </c>
      <c r="AE255" s="2">
        <v>0.05</v>
      </c>
      <c r="AF255" s="5">
        <f t="shared" si="33"/>
        <v>106970.6605</v>
      </c>
      <c r="AG255" s="2">
        <v>0</v>
      </c>
      <c r="AH255" s="5">
        <f t="shared" si="37"/>
        <v>2139413.21</v>
      </c>
      <c r="AJ255" s="126" t="e">
        <v>#N/A</v>
      </c>
      <c r="AK255" s="80">
        <f t="shared" si="34"/>
        <v>0</v>
      </c>
      <c r="AM255" s="85"/>
    </row>
    <row r="256" spans="1:39" hidden="1" x14ac:dyDescent="0.3">
      <c r="A256" s="85" t="s">
        <v>34</v>
      </c>
      <c r="B256" s="15" t="s">
        <v>35</v>
      </c>
      <c r="C256" s="15" t="s">
        <v>59</v>
      </c>
      <c r="D256" s="15" t="s">
        <v>60</v>
      </c>
      <c r="E256" s="15" t="s">
        <v>78</v>
      </c>
      <c r="F256" s="15" t="s">
        <v>335</v>
      </c>
      <c r="G256" s="15" t="s">
        <v>78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0.04</v>
      </c>
      <c r="R256" s="138"/>
      <c r="T256" s="18">
        <v>50737.640000000363</v>
      </c>
      <c r="U256" s="4">
        <v>0</v>
      </c>
      <c r="V256" s="4">
        <v>46606.41</v>
      </c>
      <c r="W256" s="13">
        <f t="shared" si="38"/>
        <v>4131.2300000003597</v>
      </c>
      <c r="X256" s="13">
        <f t="shared" si="35"/>
        <v>44813.855769230773</v>
      </c>
      <c r="Y256" s="13">
        <f t="shared" si="30"/>
        <v>0</v>
      </c>
      <c r="Z256" s="2">
        <v>0</v>
      </c>
      <c r="AA256" s="4">
        <v>0</v>
      </c>
      <c r="AB256" s="4">
        <f t="shared" si="31"/>
        <v>44813.855769230773</v>
      </c>
      <c r="AC256" s="6">
        <f t="shared" si="32"/>
        <v>1792.5542307692303</v>
      </c>
      <c r="AD256" s="13">
        <f t="shared" si="36"/>
        <v>46606.41</v>
      </c>
      <c r="AE256" s="2">
        <v>0.05</v>
      </c>
      <c r="AF256" s="5">
        <f t="shared" si="33"/>
        <v>2330.3205000000003</v>
      </c>
      <c r="AG256" s="2">
        <v>0</v>
      </c>
      <c r="AH256" s="5">
        <f t="shared" si="37"/>
        <v>46606.41</v>
      </c>
      <c r="AJ256" s="126" t="e">
        <v>#N/A</v>
      </c>
      <c r="AK256" s="80">
        <f t="shared" si="34"/>
        <v>0</v>
      </c>
      <c r="AM256" s="85"/>
    </row>
    <row r="257" spans="1:39" hidden="1" x14ac:dyDescent="0.3">
      <c r="A257" s="85" t="s">
        <v>34</v>
      </c>
      <c r="B257" s="15" t="s">
        <v>35</v>
      </c>
      <c r="C257" s="15" t="s">
        <v>59</v>
      </c>
      <c r="D257" s="15" t="s">
        <v>60</v>
      </c>
      <c r="E257" s="15" t="s">
        <v>78</v>
      </c>
      <c r="F257" s="15" t="s">
        <v>336</v>
      </c>
      <c r="G257" s="15" t="s">
        <v>78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46</v>
      </c>
      <c r="Q257" s="9">
        <v>0.03</v>
      </c>
      <c r="R257" s="138"/>
      <c r="T257" s="18">
        <v>-1.8500000000494765</v>
      </c>
      <c r="U257" s="4">
        <v>0</v>
      </c>
      <c r="V257" s="4">
        <v>0</v>
      </c>
      <c r="W257" s="13">
        <f t="shared" si="38"/>
        <v>-1.8500000000494765</v>
      </c>
      <c r="X257" s="13">
        <f t="shared" si="35"/>
        <v>0</v>
      </c>
      <c r="Y257" s="13">
        <f t="shared" si="30"/>
        <v>0</v>
      </c>
      <c r="Z257" s="2">
        <v>0</v>
      </c>
      <c r="AA257" s="4">
        <v>0</v>
      </c>
      <c r="AB257" s="4">
        <f t="shared" si="31"/>
        <v>0</v>
      </c>
      <c r="AC257" s="6">
        <f t="shared" si="32"/>
        <v>0</v>
      </c>
      <c r="AD257" s="13">
        <f t="shared" si="36"/>
        <v>0</v>
      </c>
      <c r="AE257" s="2">
        <v>0.05</v>
      </c>
      <c r="AF257" s="5">
        <f t="shared" si="33"/>
        <v>0</v>
      </c>
      <c r="AG257" s="2">
        <v>0</v>
      </c>
      <c r="AH257" s="5">
        <f t="shared" si="37"/>
        <v>0</v>
      </c>
      <c r="AJ257" s="126" t="e">
        <v>#N/A</v>
      </c>
      <c r="AK257" s="80">
        <f t="shared" si="34"/>
        <v>0</v>
      </c>
      <c r="AM257" s="85"/>
    </row>
    <row r="258" spans="1:39" hidden="1" x14ac:dyDescent="0.3">
      <c r="A258" s="85" t="s">
        <v>34</v>
      </c>
      <c r="B258" s="15" t="s">
        <v>35</v>
      </c>
      <c r="C258" s="15" t="s">
        <v>59</v>
      </c>
      <c r="D258" s="15" t="s">
        <v>60</v>
      </c>
      <c r="E258" s="15" t="s">
        <v>78</v>
      </c>
      <c r="F258" s="15" t="s">
        <v>337</v>
      </c>
      <c r="G258" s="15" t="s">
        <v>78</v>
      </c>
      <c r="H258" s="154"/>
      <c r="I258" s="3" t="s">
        <v>3356</v>
      </c>
      <c r="J258" s="1" t="s">
        <v>3326</v>
      </c>
      <c r="K258" s="1" t="s">
        <v>3283</v>
      </c>
      <c r="L258" s="1" t="s">
        <v>35</v>
      </c>
      <c r="M258" s="95"/>
      <c r="N258" s="3" t="s">
        <v>80</v>
      </c>
      <c r="O258" s="8" t="s">
        <v>45</v>
      </c>
      <c r="P258" s="8" t="s">
        <v>46</v>
      </c>
      <c r="Q258" s="9">
        <v>0.02</v>
      </c>
      <c r="R258" s="138"/>
      <c r="T258" s="18">
        <v>1691810.0299998829</v>
      </c>
      <c r="U258" s="4">
        <v>2550000</v>
      </c>
      <c r="V258" s="4">
        <v>2892794.23</v>
      </c>
      <c r="W258" s="13">
        <f t="shared" si="38"/>
        <v>1349015.7999998829</v>
      </c>
      <c r="X258" s="13">
        <f t="shared" si="35"/>
        <v>2836072.7745098039</v>
      </c>
      <c r="Y258" s="13">
        <f t="shared" si="30"/>
        <v>0</v>
      </c>
      <c r="Z258" s="2">
        <v>0</v>
      </c>
      <c r="AA258" s="4">
        <v>0</v>
      </c>
      <c r="AB258" s="4">
        <f t="shared" si="31"/>
        <v>2836072.7745098039</v>
      </c>
      <c r="AC258" s="6">
        <f t="shared" si="32"/>
        <v>56721.455490196124</v>
      </c>
      <c r="AD258" s="13">
        <f t="shared" si="36"/>
        <v>2892794.23</v>
      </c>
      <c r="AE258" s="2">
        <v>0.05</v>
      </c>
      <c r="AF258" s="5">
        <f t="shared" si="33"/>
        <v>144639.7115</v>
      </c>
      <c r="AG258" s="2">
        <v>0</v>
      </c>
      <c r="AH258" s="5">
        <f t="shared" si="37"/>
        <v>2892794.23</v>
      </c>
      <c r="AJ258" s="126" t="e">
        <v>#N/A</v>
      </c>
      <c r="AK258" s="80">
        <f t="shared" si="34"/>
        <v>0</v>
      </c>
      <c r="AM258" s="85"/>
    </row>
    <row r="259" spans="1:39" hidden="1" x14ac:dyDescent="0.3">
      <c r="A259" s="85" t="s">
        <v>34</v>
      </c>
      <c r="B259" s="15" t="s">
        <v>35</v>
      </c>
      <c r="C259" s="15" t="s">
        <v>65</v>
      </c>
      <c r="D259" s="15" t="s">
        <v>66</v>
      </c>
      <c r="E259" s="15" t="s">
        <v>118</v>
      </c>
      <c r="F259" s="15" t="s">
        <v>230</v>
      </c>
      <c r="G259" s="15" t="s">
        <v>118</v>
      </c>
      <c r="H259" s="154"/>
      <c r="I259" s="3" t="s">
        <v>3356</v>
      </c>
      <c r="J259" s="1" t="s">
        <v>3326</v>
      </c>
      <c r="K259" s="1" t="s">
        <v>3707</v>
      </c>
      <c r="L259" s="1" t="s">
        <v>35</v>
      </c>
      <c r="M259" s="95"/>
      <c r="N259" s="3" t="s">
        <v>3716</v>
      </c>
      <c r="O259" s="8" t="s">
        <v>105</v>
      </c>
      <c r="P259" s="8" t="s">
        <v>46</v>
      </c>
      <c r="Q259" s="9">
        <v>0.03</v>
      </c>
      <c r="R259" s="138"/>
      <c r="T259" s="18">
        <v>279878.42</v>
      </c>
      <c r="U259" s="4">
        <v>0</v>
      </c>
      <c r="V259" s="4">
        <v>107625.55000000002</v>
      </c>
      <c r="W259" s="13">
        <f t="shared" si="38"/>
        <v>172252.86999999997</v>
      </c>
      <c r="X259" s="13">
        <f t="shared" si="35"/>
        <v>104490.82524271846</v>
      </c>
      <c r="Y259" s="13">
        <f t="shared" ref="Y259:Y322" si="39">IF(X259-AD259&lt;=0,0,IF(P259="返现",MAX(X259-AC259-AD259,0),MAX(X259-AD259)))</f>
        <v>0</v>
      </c>
      <c r="Z259" s="2">
        <v>0</v>
      </c>
      <c r="AA259" s="4">
        <v>0</v>
      </c>
      <c r="AB259" s="4">
        <f t="shared" ref="AB259:AB322" si="40">X259+AA259</f>
        <v>104490.82524271846</v>
      </c>
      <c r="AC259" s="6">
        <f t="shared" ref="AC259:AC322" si="41">IF(P259="返现",X259*Q259,V259-X259)</f>
        <v>3134.724757281554</v>
      </c>
      <c r="AD259" s="13">
        <f t="shared" si="36"/>
        <v>107625.55000000002</v>
      </c>
      <c r="AE259" s="2">
        <v>0.05</v>
      </c>
      <c r="AF259" s="5">
        <f t="shared" ref="AF259:AF322" si="42">AD259*AE259</f>
        <v>5381.2775000000011</v>
      </c>
      <c r="AG259" s="2">
        <v>0</v>
      </c>
      <c r="AH259" s="5">
        <f t="shared" si="37"/>
        <v>107625.55000000002</v>
      </c>
      <c r="AJ259" s="126" t="e">
        <v>#N/A</v>
      </c>
      <c r="AK259" s="80">
        <f t="shared" ref="AK259:AK322" si="43">X259+AA259-AB259</f>
        <v>0</v>
      </c>
      <c r="AM259" s="85"/>
    </row>
    <row r="260" spans="1:39" hidden="1" x14ac:dyDescent="0.3">
      <c r="A260" s="85" t="s">
        <v>34</v>
      </c>
      <c r="B260" s="15" t="s">
        <v>35</v>
      </c>
      <c r="C260" s="15" t="s">
        <v>144</v>
      </c>
      <c r="D260" s="15" t="s">
        <v>152</v>
      </c>
      <c r="E260" s="15" t="s">
        <v>157</v>
      </c>
      <c r="F260" s="15" t="s">
        <v>157</v>
      </c>
      <c r="G260" s="15" t="s">
        <v>157</v>
      </c>
      <c r="H260" s="154"/>
      <c r="I260" s="3" t="s">
        <v>3356</v>
      </c>
      <c r="J260" s="1" t="s">
        <v>3326</v>
      </c>
      <c r="K260" s="1" t="s">
        <v>3712</v>
      </c>
      <c r="L260" s="1" t="s">
        <v>35</v>
      </c>
      <c r="M260" s="95"/>
      <c r="N260" s="3" t="s">
        <v>3712</v>
      </c>
      <c r="O260" s="8" t="s">
        <v>105</v>
      </c>
      <c r="P260" s="8" t="s">
        <v>41</v>
      </c>
      <c r="Q260" s="9">
        <v>0</v>
      </c>
      <c r="R260" s="138"/>
      <c r="T260" s="18">
        <v>-1375.71</v>
      </c>
      <c r="U260" s="4">
        <v>0</v>
      </c>
      <c r="V260" s="4">
        <v>25676.35</v>
      </c>
      <c r="W260" s="13">
        <f t="shared" si="38"/>
        <v>-27052.059999999998</v>
      </c>
      <c r="X260" s="13">
        <f t="shared" si="35"/>
        <v>25676.35</v>
      </c>
      <c r="Y260" s="13">
        <f t="shared" si="39"/>
        <v>0</v>
      </c>
      <c r="Z260" s="2">
        <v>0</v>
      </c>
      <c r="AA260" s="4">
        <v>0</v>
      </c>
      <c r="AB260" s="4">
        <f t="shared" si="40"/>
        <v>25676.35</v>
      </c>
      <c r="AC260" s="6">
        <f t="shared" si="41"/>
        <v>0</v>
      </c>
      <c r="AD260" s="13">
        <f t="shared" si="36"/>
        <v>25676.35</v>
      </c>
      <c r="AE260" s="2">
        <v>0.05</v>
      </c>
      <c r="AF260" s="5">
        <f t="shared" si="42"/>
        <v>1283.8175000000001</v>
      </c>
      <c r="AG260" s="2">
        <v>0</v>
      </c>
      <c r="AH260" s="5">
        <f t="shared" si="37"/>
        <v>25676.35</v>
      </c>
      <c r="AJ260" s="126" t="e">
        <v>#N/A</v>
      </c>
      <c r="AK260" s="80">
        <f t="shared" si="43"/>
        <v>0</v>
      </c>
      <c r="AM260" s="85"/>
    </row>
    <row r="261" spans="1:39" hidden="1" x14ac:dyDescent="0.3">
      <c r="A261" s="85" t="s">
        <v>34</v>
      </c>
      <c r="B261" s="15" t="s">
        <v>35</v>
      </c>
      <c r="C261" s="15" t="s">
        <v>164</v>
      </c>
      <c r="D261" s="15" t="s">
        <v>181</v>
      </c>
      <c r="E261" s="15" t="s">
        <v>182</v>
      </c>
      <c r="F261" s="15" t="s">
        <v>183</v>
      </c>
      <c r="G261" s="15" t="s">
        <v>182</v>
      </c>
      <c r="H261" s="139"/>
      <c r="I261" s="3" t="s">
        <v>3356</v>
      </c>
      <c r="J261" s="1" t="s">
        <v>3326</v>
      </c>
      <c r="K261" s="1" t="s">
        <v>3283</v>
      </c>
      <c r="L261" s="1" t="s">
        <v>35</v>
      </c>
      <c r="M261" s="95"/>
      <c r="N261" s="3" t="s">
        <v>80</v>
      </c>
      <c r="O261" s="8" t="s">
        <v>105</v>
      </c>
      <c r="P261" s="8" t="s">
        <v>41</v>
      </c>
      <c r="Q261" s="9">
        <v>0</v>
      </c>
      <c r="R261" s="138"/>
      <c r="T261" s="18">
        <v>-23679.42</v>
      </c>
      <c r="U261" s="4">
        <v>0</v>
      </c>
      <c r="V261" s="4">
        <v>0</v>
      </c>
      <c r="W261" s="13">
        <f t="shared" si="38"/>
        <v>-23679.42</v>
      </c>
      <c r="X261" s="13">
        <f t="shared" si="35"/>
        <v>0</v>
      </c>
      <c r="Y261" s="13">
        <f t="shared" si="39"/>
        <v>0</v>
      </c>
      <c r="Z261" s="2">
        <v>0</v>
      </c>
      <c r="AA261" s="4">
        <v>0</v>
      </c>
      <c r="AB261" s="4">
        <f t="shared" si="40"/>
        <v>0</v>
      </c>
      <c r="AC261" s="6">
        <f t="shared" si="41"/>
        <v>0</v>
      </c>
      <c r="AD261" s="13">
        <f t="shared" si="36"/>
        <v>0</v>
      </c>
      <c r="AE261" s="2">
        <v>0.05</v>
      </c>
      <c r="AF261" s="5">
        <f t="shared" si="42"/>
        <v>0</v>
      </c>
      <c r="AG261" s="2">
        <v>0</v>
      </c>
      <c r="AH261" s="5">
        <f t="shared" si="37"/>
        <v>0</v>
      </c>
      <c r="AJ261" s="126" t="e">
        <v>#N/A</v>
      </c>
      <c r="AK261" s="80">
        <f t="shared" si="43"/>
        <v>0</v>
      </c>
      <c r="AM261" s="85"/>
    </row>
    <row r="262" spans="1:39" hidden="1" x14ac:dyDescent="0.3">
      <c r="A262" s="85" t="s">
        <v>34</v>
      </c>
      <c r="B262" s="15" t="s">
        <v>35</v>
      </c>
      <c r="C262" s="15" t="s">
        <v>47</v>
      </c>
      <c r="D262" s="15" t="s">
        <v>63</v>
      </c>
      <c r="E262" s="15" t="s">
        <v>259</v>
      </c>
      <c r="F262" s="15" t="s">
        <v>259</v>
      </c>
      <c r="G262" s="15" t="s">
        <v>259</v>
      </c>
      <c r="H262" s="154"/>
      <c r="I262" s="3" t="s">
        <v>3356</v>
      </c>
      <c r="J262" s="1" t="s">
        <v>3326</v>
      </c>
      <c r="K262" s="1" t="s">
        <v>3712</v>
      </c>
      <c r="L262" s="1" t="s">
        <v>35</v>
      </c>
      <c r="M262" s="95"/>
      <c r="N262" s="3" t="s">
        <v>3712</v>
      </c>
      <c r="O262" s="8" t="s">
        <v>105</v>
      </c>
      <c r="P262" s="8" t="s">
        <v>41</v>
      </c>
      <c r="Q262" s="9">
        <v>0</v>
      </c>
      <c r="R262" s="138"/>
      <c r="T262" s="18">
        <v>-40.450000000000003</v>
      </c>
      <c r="U262" s="4">
        <v>0</v>
      </c>
      <c r="V262" s="4">
        <v>55.92</v>
      </c>
      <c r="W262" s="13">
        <f t="shared" si="38"/>
        <v>-96.37</v>
      </c>
      <c r="X262" s="13">
        <f t="shared" si="35"/>
        <v>55.92</v>
      </c>
      <c r="Y262" s="13">
        <f t="shared" si="39"/>
        <v>0</v>
      </c>
      <c r="Z262" s="2">
        <v>0</v>
      </c>
      <c r="AA262" s="4">
        <v>0</v>
      </c>
      <c r="AB262" s="4">
        <f t="shared" si="40"/>
        <v>55.92</v>
      </c>
      <c r="AC262" s="6">
        <f t="shared" si="41"/>
        <v>0</v>
      </c>
      <c r="AD262" s="13">
        <f t="shared" si="36"/>
        <v>55.92</v>
      </c>
      <c r="AE262" s="2">
        <v>0.05</v>
      </c>
      <c r="AF262" s="5">
        <f t="shared" si="42"/>
        <v>2.7960000000000003</v>
      </c>
      <c r="AG262" s="2">
        <v>0</v>
      </c>
      <c r="AH262" s="5">
        <f t="shared" si="37"/>
        <v>55.92</v>
      </c>
      <c r="AJ262" s="126" t="e">
        <v>#N/A</v>
      </c>
      <c r="AK262" s="80">
        <f t="shared" si="43"/>
        <v>0</v>
      </c>
      <c r="AM262" s="85"/>
    </row>
    <row r="263" spans="1:39" hidden="1" x14ac:dyDescent="0.3">
      <c r="A263" s="85" t="s">
        <v>34</v>
      </c>
      <c r="B263" s="15" t="s">
        <v>35</v>
      </c>
      <c r="C263" s="15" t="s">
        <v>53</v>
      </c>
      <c r="D263" s="15" t="s">
        <v>54</v>
      </c>
      <c r="E263" s="15" t="s">
        <v>71</v>
      </c>
      <c r="F263" s="15" t="s">
        <v>102</v>
      </c>
      <c r="G263" s="15" t="s">
        <v>71</v>
      </c>
      <c r="H263" s="154"/>
      <c r="I263" s="3" t="s">
        <v>3356</v>
      </c>
      <c r="J263" s="1" t="s">
        <v>3326</v>
      </c>
      <c r="K263" s="1" t="s">
        <v>3718</v>
      </c>
      <c r="L263" s="1" t="s">
        <v>35</v>
      </c>
      <c r="M263" s="95"/>
      <c r="N263" s="3" t="s">
        <v>3718</v>
      </c>
      <c r="O263" s="8" t="s">
        <v>105</v>
      </c>
      <c r="P263" s="8" t="s">
        <v>41</v>
      </c>
      <c r="Q263" s="9">
        <v>0</v>
      </c>
      <c r="R263" s="138"/>
      <c r="T263" s="18">
        <v>-19823.419999999998</v>
      </c>
      <c r="U263" s="4">
        <v>0</v>
      </c>
      <c r="V263" s="4">
        <v>4.96</v>
      </c>
      <c r="W263" s="13">
        <f t="shared" si="38"/>
        <v>-19828.379999999997</v>
      </c>
      <c r="X263" s="13">
        <f t="shared" si="35"/>
        <v>4.96</v>
      </c>
      <c r="Y263" s="13">
        <f t="shared" si="39"/>
        <v>0</v>
      </c>
      <c r="Z263" s="2">
        <v>0</v>
      </c>
      <c r="AA263" s="4">
        <v>0</v>
      </c>
      <c r="AB263" s="4">
        <f t="shared" si="40"/>
        <v>4.96</v>
      </c>
      <c r="AC263" s="6">
        <f t="shared" si="41"/>
        <v>0</v>
      </c>
      <c r="AD263" s="13">
        <f t="shared" si="36"/>
        <v>4.96</v>
      </c>
      <c r="AE263" s="2">
        <v>0.05</v>
      </c>
      <c r="AF263" s="5">
        <f t="shared" si="42"/>
        <v>0.248</v>
      </c>
      <c r="AG263" s="2">
        <v>0</v>
      </c>
      <c r="AH263" s="5">
        <f t="shared" si="37"/>
        <v>4.96</v>
      </c>
      <c r="AJ263" s="126" t="e">
        <v>#N/A</v>
      </c>
      <c r="AK263" s="80">
        <f t="shared" si="43"/>
        <v>0</v>
      </c>
      <c r="AM263" s="85"/>
    </row>
    <row r="264" spans="1:39" hidden="1" x14ac:dyDescent="0.3">
      <c r="A264" s="85" t="s">
        <v>34</v>
      </c>
      <c r="B264" s="15" t="s">
        <v>35</v>
      </c>
      <c r="C264" s="15" t="s">
        <v>59</v>
      </c>
      <c r="D264" s="15" t="s">
        <v>60</v>
      </c>
      <c r="E264" s="15" t="s">
        <v>78</v>
      </c>
      <c r="F264" s="15" t="s">
        <v>338</v>
      </c>
      <c r="G264" s="15" t="s">
        <v>78</v>
      </c>
      <c r="H264" s="154"/>
      <c r="I264" s="3" t="s">
        <v>3356</v>
      </c>
      <c r="J264" s="1" t="s">
        <v>3326</v>
      </c>
      <c r="K264" s="1" t="s">
        <v>3283</v>
      </c>
      <c r="L264" s="1" t="s">
        <v>35</v>
      </c>
      <c r="M264" s="95"/>
      <c r="N264" s="3" t="s">
        <v>80</v>
      </c>
      <c r="O264" s="8" t="s">
        <v>45</v>
      </c>
      <c r="P264" s="8" t="s">
        <v>46</v>
      </c>
      <c r="Q264" s="9">
        <v>0.03</v>
      </c>
      <c r="R264" s="138"/>
      <c r="T264" s="18">
        <v>590038.33999999799</v>
      </c>
      <c r="U264" s="4">
        <v>0</v>
      </c>
      <c r="V264" s="18">
        <v>590036.20000000007</v>
      </c>
      <c r="W264" s="13">
        <f>T264+U264-V264</f>
        <v>2.139999997918494</v>
      </c>
      <c r="X264" s="13">
        <f t="shared" si="35"/>
        <v>572850.67961165053</v>
      </c>
      <c r="Y264" s="13">
        <f t="shared" si="39"/>
        <v>0</v>
      </c>
      <c r="Z264" s="2">
        <v>0</v>
      </c>
      <c r="AA264" s="4">
        <v>0</v>
      </c>
      <c r="AB264" s="4">
        <f t="shared" si="40"/>
        <v>572850.67961165053</v>
      </c>
      <c r="AC264" s="6">
        <f t="shared" si="41"/>
        <v>17185.520388349541</v>
      </c>
      <c r="AD264" s="13">
        <f t="shared" si="36"/>
        <v>590036.20000000007</v>
      </c>
      <c r="AE264" s="2">
        <v>0.05</v>
      </c>
      <c r="AF264" s="5">
        <f t="shared" si="42"/>
        <v>29501.810000000005</v>
      </c>
      <c r="AG264" s="2">
        <v>0</v>
      </c>
      <c r="AH264" s="5">
        <f t="shared" si="37"/>
        <v>590036.20000000007</v>
      </c>
      <c r="AJ264" s="126" t="e">
        <v>#N/A</v>
      </c>
      <c r="AK264" s="80">
        <f t="shared" si="43"/>
        <v>0</v>
      </c>
      <c r="AM264" s="85"/>
    </row>
    <row r="265" spans="1:39" hidden="1" x14ac:dyDescent="0.3">
      <c r="A265" s="85" t="s">
        <v>34</v>
      </c>
      <c r="B265" s="15" t="s">
        <v>35</v>
      </c>
      <c r="C265" s="15" t="s">
        <v>59</v>
      </c>
      <c r="D265" s="15" t="s">
        <v>60</v>
      </c>
      <c r="E265" s="15" t="s">
        <v>78</v>
      </c>
      <c r="F265" s="15" t="s">
        <v>336</v>
      </c>
      <c r="G265" s="15" t="s">
        <v>78</v>
      </c>
      <c r="H265" s="154"/>
      <c r="I265" s="3" t="s">
        <v>3356</v>
      </c>
      <c r="J265" s="1" t="s">
        <v>3326</v>
      </c>
      <c r="K265" s="1" t="s">
        <v>3283</v>
      </c>
      <c r="L265" s="1" t="s">
        <v>35</v>
      </c>
      <c r="M265" s="95"/>
      <c r="N265" s="3" t="s">
        <v>80</v>
      </c>
      <c r="O265" s="8" t="s">
        <v>45</v>
      </c>
      <c r="P265" s="8" t="s">
        <v>46</v>
      </c>
      <c r="Q265" s="9">
        <v>0.06</v>
      </c>
      <c r="R265" s="138"/>
      <c r="T265" s="18">
        <v>1355040.06</v>
      </c>
      <c r="U265" s="4">
        <v>0</v>
      </c>
      <c r="V265" s="4">
        <v>296908.17</v>
      </c>
      <c r="W265" s="13">
        <f t="shared" si="38"/>
        <v>1058131.8900000001</v>
      </c>
      <c r="X265" s="13">
        <f t="shared" si="35"/>
        <v>280102.04716981127</v>
      </c>
      <c r="Y265" s="13">
        <f t="shared" si="39"/>
        <v>0</v>
      </c>
      <c r="Z265" s="2">
        <v>0</v>
      </c>
      <c r="AA265" s="4">
        <v>0</v>
      </c>
      <c r="AB265" s="4">
        <f t="shared" si="40"/>
        <v>280102.04716981127</v>
      </c>
      <c r="AC265" s="6">
        <f t="shared" si="41"/>
        <v>16806.122830188717</v>
      </c>
      <c r="AD265" s="13">
        <f t="shared" si="36"/>
        <v>296908.17</v>
      </c>
      <c r="AE265" s="2">
        <v>0.05</v>
      </c>
      <c r="AF265" s="5">
        <f t="shared" si="42"/>
        <v>14845.4085</v>
      </c>
      <c r="AG265" s="2">
        <v>0</v>
      </c>
      <c r="AH265" s="5">
        <f t="shared" si="37"/>
        <v>296908.17</v>
      </c>
      <c r="AJ265" s="126" t="e">
        <v>#N/A</v>
      </c>
      <c r="AK265" s="80">
        <f t="shared" si="43"/>
        <v>0</v>
      </c>
      <c r="AM265" s="85"/>
    </row>
    <row r="266" spans="1:39" hidden="1" x14ac:dyDescent="0.3">
      <c r="A266" s="85" t="s">
        <v>34</v>
      </c>
      <c r="B266" s="15" t="s">
        <v>35</v>
      </c>
      <c r="C266" s="15" t="s">
        <v>59</v>
      </c>
      <c r="D266" s="15" t="s">
        <v>60</v>
      </c>
      <c r="E266" s="15" t="s">
        <v>78</v>
      </c>
      <c r="F266" s="15" t="s">
        <v>339</v>
      </c>
      <c r="G266" s="15" t="s">
        <v>78</v>
      </c>
      <c r="H266" s="154"/>
      <c r="I266" s="3" t="s">
        <v>3356</v>
      </c>
      <c r="J266" s="1" t="s">
        <v>3326</v>
      </c>
      <c r="K266" s="1" t="s">
        <v>3283</v>
      </c>
      <c r="L266" s="1" t="s">
        <v>35</v>
      </c>
      <c r="M266" s="95"/>
      <c r="N266" s="3" t="s">
        <v>80</v>
      </c>
      <c r="O266" s="8" t="s">
        <v>45</v>
      </c>
      <c r="P266" s="8" t="s">
        <v>46</v>
      </c>
      <c r="Q266" s="12">
        <v>0.06</v>
      </c>
      <c r="R266" s="138"/>
      <c r="T266" s="18">
        <v>83042.910000000105</v>
      </c>
      <c r="U266" s="4">
        <v>0</v>
      </c>
      <c r="V266" s="18">
        <v>78807.31</v>
      </c>
      <c r="W266" s="13">
        <f t="shared" si="38"/>
        <v>4235.6000000001077</v>
      </c>
      <c r="X266" s="13">
        <f t="shared" si="35"/>
        <v>74346.518867924518</v>
      </c>
      <c r="Y266" s="13">
        <f t="shared" si="39"/>
        <v>0</v>
      </c>
      <c r="Z266" s="2">
        <v>0</v>
      </c>
      <c r="AA266" s="4">
        <v>0</v>
      </c>
      <c r="AB266" s="4">
        <f t="shared" si="40"/>
        <v>74346.518867924518</v>
      </c>
      <c r="AC266" s="6">
        <f t="shared" si="41"/>
        <v>4460.7911320754793</v>
      </c>
      <c r="AD266" s="13">
        <f t="shared" si="36"/>
        <v>78807.31</v>
      </c>
      <c r="AE266" s="2">
        <v>0.05</v>
      </c>
      <c r="AF266" s="5">
        <f t="shared" si="42"/>
        <v>3940.3654999999999</v>
      </c>
      <c r="AG266" s="2">
        <v>0</v>
      </c>
      <c r="AH266" s="5">
        <f t="shared" si="37"/>
        <v>78807.31</v>
      </c>
      <c r="AJ266" s="126" t="e">
        <v>#N/A</v>
      </c>
      <c r="AK266" s="80">
        <f t="shared" si="43"/>
        <v>0</v>
      </c>
      <c r="AM266" s="85"/>
    </row>
    <row r="267" spans="1:39" hidden="1" x14ac:dyDescent="0.3">
      <c r="A267" s="85" t="s">
        <v>34</v>
      </c>
      <c r="B267" s="15" t="s">
        <v>35</v>
      </c>
      <c r="C267" s="15" t="s">
        <v>59</v>
      </c>
      <c r="D267" s="15" t="s">
        <v>60</v>
      </c>
      <c r="E267" s="3" t="s">
        <v>340</v>
      </c>
      <c r="F267" s="15" t="s">
        <v>341</v>
      </c>
      <c r="G267" s="15" t="s">
        <v>327</v>
      </c>
      <c r="H267" s="154"/>
      <c r="I267" s="3" t="s">
        <v>3356</v>
      </c>
      <c r="J267" s="1" t="s">
        <v>3326</v>
      </c>
      <c r="K267" s="1" t="s">
        <v>3283</v>
      </c>
      <c r="L267" s="1" t="s">
        <v>35</v>
      </c>
      <c r="M267" s="95"/>
      <c r="N267" s="3" t="s">
        <v>80</v>
      </c>
      <c r="O267" s="8" t="s">
        <v>342</v>
      </c>
      <c r="P267" s="8" t="s">
        <v>343</v>
      </c>
      <c r="Q267" s="12">
        <v>0.06</v>
      </c>
      <c r="R267" s="138"/>
      <c r="T267" s="18">
        <v>0</v>
      </c>
      <c r="U267" s="4">
        <v>0</v>
      </c>
      <c r="V267" s="4">
        <v>81.19</v>
      </c>
      <c r="W267" s="13">
        <f t="shared" si="38"/>
        <v>-81.19</v>
      </c>
      <c r="X267" s="13">
        <f t="shared" si="35"/>
        <v>81.19</v>
      </c>
      <c r="Y267" s="13">
        <f t="shared" si="39"/>
        <v>0</v>
      </c>
      <c r="Z267" s="2">
        <v>0</v>
      </c>
      <c r="AA267" s="4">
        <v>0</v>
      </c>
      <c r="AB267" s="4">
        <f t="shared" si="40"/>
        <v>81.19</v>
      </c>
      <c r="AC267" s="6">
        <f t="shared" si="41"/>
        <v>4.8713999999999995</v>
      </c>
      <c r="AD267" s="13">
        <f t="shared" si="36"/>
        <v>81.19</v>
      </c>
      <c r="AE267" s="2">
        <v>0.05</v>
      </c>
      <c r="AF267" s="5">
        <f t="shared" si="42"/>
        <v>4.0594999999999999</v>
      </c>
      <c r="AG267" s="2">
        <v>0</v>
      </c>
      <c r="AH267" s="5">
        <f t="shared" si="37"/>
        <v>81.19</v>
      </c>
      <c r="AJ267" s="126" t="e">
        <v>#N/A</v>
      </c>
      <c r="AK267" s="80">
        <f t="shared" si="43"/>
        <v>0</v>
      </c>
      <c r="AM267" s="85"/>
    </row>
    <row r="268" spans="1:39" hidden="1" x14ac:dyDescent="0.3">
      <c r="A268" s="85" t="s">
        <v>34</v>
      </c>
      <c r="B268" s="15" t="s">
        <v>35</v>
      </c>
      <c r="C268" s="15" t="s">
        <v>59</v>
      </c>
      <c r="D268" s="15" t="s">
        <v>60</v>
      </c>
      <c r="E268" s="3" t="s">
        <v>90</v>
      </c>
      <c r="F268" s="3" t="s">
        <v>91</v>
      </c>
      <c r="G268" s="3" t="s">
        <v>90</v>
      </c>
      <c r="H268" s="138"/>
      <c r="I268" s="3" t="s">
        <v>3356</v>
      </c>
      <c r="J268" s="1" t="s">
        <v>3326</v>
      </c>
      <c r="K268" s="1" t="s">
        <v>3707</v>
      </c>
      <c r="L268" s="1" t="s">
        <v>35</v>
      </c>
      <c r="M268" s="95"/>
      <c r="N268" s="3" t="s">
        <v>3708</v>
      </c>
      <c r="O268" s="8" t="s">
        <v>105</v>
      </c>
      <c r="P268" s="8" t="s">
        <v>92</v>
      </c>
      <c r="Q268" s="9">
        <v>0.94</v>
      </c>
      <c r="R268" s="138"/>
      <c r="T268" s="18">
        <v>-1792.92</v>
      </c>
      <c r="U268" s="4">
        <v>0</v>
      </c>
      <c r="V268" s="4">
        <v>0</v>
      </c>
      <c r="W268" s="13">
        <v>0</v>
      </c>
      <c r="X268" s="13">
        <f t="shared" si="35"/>
        <v>0</v>
      </c>
      <c r="Y268" s="13">
        <f t="shared" si="39"/>
        <v>0</v>
      </c>
      <c r="Z268" s="2">
        <v>0</v>
      </c>
      <c r="AA268" s="4">
        <v>0</v>
      </c>
      <c r="AB268" s="4">
        <f t="shared" si="40"/>
        <v>0</v>
      </c>
      <c r="AC268" s="6">
        <f t="shared" si="41"/>
        <v>0</v>
      </c>
      <c r="AD268" s="13">
        <f t="shared" si="36"/>
        <v>0</v>
      </c>
      <c r="AE268" s="2">
        <v>0.05</v>
      </c>
      <c r="AF268" s="5">
        <f t="shared" si="42"/>
        <v>0</v>
      </c>
      <c r="AG268" s="2">
        <v>0</v>
      </c>
      <c r="AH268" s="5">
        <f t="shared" si="37"/>
        <v>0</v>
      </c>
      <c r="AJ268" s="126" t="e">
        <v>#N/A</v>
      </c>
      <c r="AK268" s="80">
        <f t="shared" si="43"/>
        <v>0</v>
      </c>
      <c r="AM268" s="85"/>
    </row>
    <row r="269" spans="1:39" hidden="1" x14ac:dyDescent="0.3">
      <c r="A269" s="85" t="s">
        <v>34</v>
      </c>
      <c r="B269" s="15" t="s">
        <v>35</v>
      </c>
      <c r="C269" s="15" t="s">
        <v>47</v>
      </c>
      <c r="D269" s="15" t="s">
        <v>63</v>
      </c>
      <c r="E269" s="15" t="s">
        <v>129</v>
      </c>
      <c r="F269" s="15" t="s">
        <v>129</v>
      </c>
      <c r="G269" s="15" t="s">
        <v>129</v>
      </c>
      <c r="H269" s="139"/>
      <c r="I269" s="3" t="s">
        <v>3356</v>
      </c>
      <c r="J269" s="1" t="s">
        <v>3326</v>
      </c>
      <c r="K269" s="1" t="s">
        <v>3710</v>
      </c>
      <c r="L269" s="1" t="s">
        <v>35</v>
      </c>
      <c r="M269" s="95"/>
      <c r="N269" s="3" t="s">
        <v>3710</v>
      </c>
      <c r="O269" s="8" t="s">
        <v>105</v>
      </c>
      <c r="P269" s="8" t="s">
        <v>92</v>
      </c>
      <c r="Q269" s="9">
        <v>0.99</v>
      </c>
      <c r="R269" s="138"/>
      <c r="T269" s="18">
        <v>-0.13</v>
      </c>
      <c r="U269" s="4">
        <v>0</v>
      </c>
      <c r="V269" s="4">
        <v>0</v>
      </c>
      <c r="W269" s="13">
        <f t="shared" si="38"/>
        <v>-0.13</v>
      </c>
      <c r="X269" s="13">
        <f t="shared" si="35"/>
        <v>0</v>
      </c>
      <c r="Y269" s="13">
        <f t="shared" si="39"/>
        <v>0</v>
      </c>
      <c r="Z269" s="2">
        <v>0</v>
      </c>
      <c r="AA269" s="4">
        <v>0</v>
      </c>
      <c r="AB269" s="4">
        <f t="shared" si="40"/>
        <v>0</v>
      </c>
      <c r="AC269" s="6">
        <f t="shared" si="41"/>
        <v>0</v>
      </c>
      <c r="AD269" s="13">
        <f t="shared" si="36"/>
        <v>0</v>
      </c>
      <c r="AE269" s="2">
        <v>0.05</v>
      </c>
      <c r="AF269" s="5">
        <f t="shared" si="42"/>
        <v>0</v>
      </c>
      <c r="AG269" s="2">
        <v>0</v>
      </c>
      <c r="AH269" s="5">
        <f t="shared" si="37"/>
        <v>0</v>
      </c>
      <c r="AJ269" s="126" t="e">
        <v>#N/A</v>
      </c>
      <c r="AK269" s="80">
        <f t="shared" si="43"/>
        <v>0</v>
      </c>
      <c r="AM269" s="85"/>
    </row>
    <row r="270" spans="1:39" hidden="1" x14ac:dyDescent="0.3">
      <c r="A270" s="85" t="s">
        <v>34</v>
      </c>
      <c r="B270" s="15" t="s">
        <v>35</v>
      </c>
      <c r="C270" s="15" t="s">
        <v>164</v>
      </c>
      <c r="D270" s="15" t="s">
        <v>169</v>
      </c>
      <c r="E270" s="15" t="s">
        <v>172</v>
      </c>
      <c r="F270" s="15" t="s">
        <v>172</v>
      </c>
      <c r="G270" s="15" t="s">
        <v>172</v>
      </c>
      <c r="H270" s="154"/>
      <c r="I270" s="3" t="s">
        <v>3356</v>
      </c>
      <c r="J270" s="1" t="s">
        <v>3326</v>
      </c>
      <c r="K270" s="1" t="s">
        <v>3710</v>
      </c>
      <c r="L270" s="1" t="s">
        <v>35</v>
      </c>
      <c r="M270" s="95"/>
      <c r="N270" s="3" t="s">
        <v>3710</v>
      </c>
      <c r="O270" s="1" t="s">
        <v>3733</v>
      </c>
      <c r="P270" s="1" t="s">
        <v>41</v>
      </c>
      <c r="Q270" s="9">
        <v>0.02</v>
      </c>
      <c r="R270" s="138"/>
      <c r="T270" s="18">
        <v>0</v>
      </c>
      <c r="U270" s="4">
        <v>0</v>
      </c>
      <c r="V270" s="4">
        <v>45527.760000000009</v>
      </c>
      <c r="W270" s="13">
        <f t="shared" si="38"/>
        <v>-45527.760000000009</v>
      </c>
      <c r="X270" s="13">
        <f t="shared" si="35"/>
        <v>44635.05882352942</v>
      </c>
      <c r="Y270" s="13">
        <f t="shared" si="39"/>
        <v>0</v>
      </c>
      <c r="Z270" s="2">
        <v>0</v>
      </c>
      <c r="AA270" s="4">
        <v>0</v>
      </c>
      <c r="AB270" s="4">
        <f t="shared" si="40"/>
        <v>44635.05882352942</v>
      </c>
      <c r="AC270" s="6">
        <f t="shared" si="41"/>
        <v>892.70117647058942</v>
      </c>
      <c r="AD270" s="13">
        <f t="shared" si="36"/>
        <v>45527.760000000009</v>
      </c>
      <c r="AE270" s="2">
        <v>0.05</v>
      </c>
      <c r="AF270" s="5">
        <f t="shared" si="42"/>
        <v>2276.3880000000004</v>
      </c>
      <c r="AG270" s="2">
        <v>0</v>
      </c>
      <c r="AH270" s="5">
        <f t="shared" si="37"/>
        <v>45527.760000000009</v>
      </c>
      <c r="AJ270" s="126" t="e">
        <v>#N/A</v>
      </c>
      <c r="AK270" s="80">
        <f t="shared" si="43"/>
        <v>0</v>
      </c>
      <c r="AM270" s="85"/>
    </row>
    <row r="271" spans="1:39" hidden="1" x14ac:dyDescent="0.3">
      <c r="A271" s="85" t="s">
        <v>34</v>
      </c>
      <c r="B271" s="15" t="s">
        <v>35</v>
      </c>
      <c r="C271" s="15" t="s">
        <v>164</v>
      </c>
      <c r="D271" s="15" t="s">
        <v>169</v>
      </c>
      <c r="E271" s="15" t="s">
        <v>170</v>
      </c>
      <c r="F271" s="15" t="s">
        <v>170</v>
      </c>
      <c r="G271" s="15" t="s">
        <v>170</v>
      </c>
      <c r="H271" s="154"/>
      <c r="I271" s="3" t="s">
        <v>3356</v>
      </c>
      <c r="J271" s="1" t="s">
        <v>3326</v>
      </c>
      <c r="K271" s="1" t="s">
        <v>3710</v>
      </c>
      <c r="L271" s="1" t="s">
        <v>35</v>
      </c>
      <c r="M271" s="95"/>
      <c r="N271" s="3" t="s">
        <v>3710</v>
      </c>
      <c r="O271" s="8" t="s">
        <v>105</v>
      </c>
      <c r="P271" s="8" t="s">
        <v>75</v>
      </c>
      <c r="Q271" s="9">
        <v>0.06</v>
      </c>
      <c r="R271" s="138"/>
      <c r="T271" s="18">
        <v>-7436.16</v>
      </c>
      <c r="U271" s="4">
        <v>0</v>
      </c>
      <c r="V271" s="4">
        <v>457678.65</v>
      </c>
      <c r="W271" s="13">
        <f t="shared" si="38"/>
        <v>-465114.81</v>
      </c>
      <c r="X271" s="13">
        <f t="shared" si="35"/>
        <v>457678.65</v>
      </c>
      <c r="Y271" s="13">
        <f t="shared" si="39"/>
        <v>0</v>
      </c>
      <c r="Z271" s="2">
        <v>0</v>
      </c>
      <c r="AA271" s="4">
        <v>0</v>
      </c>
      <c r="AB271" s="4">
        <f t="shared" si="40"/>
        <v>457678.65</v>
      </c>
      <c r="AC271" s="6">
        <f t="shared" si="41"/>
        <v>27460.719000000001</v>
      </c>
      <c r="AD271" s="13">
        <f t="shared" si="36"/>
        <v>457678.65</v>
      </c>
      <c r="AE271" s="2">
        <v>0.05</v>
      </c>
      <c r="AF271" s="5">
        <f t="shared" si="42"/>
        <v>22883.932500000003</v>
      </c>
      <c r="AG271" s="2">
        <v>0</v>
      </c>
      <c r="AH271" s="5">
        <f t="shared" si="37"/>
        <v>457678.65</v>
      </c>
      <c r="AJ271" s="126" t="e">
        <v>#N/A</v>
      </c>
      <c r="AK271" s="80">
        <f t="shared" si="43"/>
        <v>0</v>
      </c>
      <c r="AM271" s="85"/>
    </row>
    <row r="272" spans="1:39" hidden="1" x14ac:dyDescent="0.3">
      <c r="A272" s="85" t="s">
        <v>34</v>
      </c>
      <c r="B272" s="15" t="s">
        <v>35</v>
      </c>
      <c r="C272" s="15" t="s">
        <v>164</v>
      </c>
      <c r="D272" s="15" t="s">
        <v>169</v>
      </c>
      <c r="E272" s="15" t="s">
        <v>170</v>
      </c>
      <c r="F272" s="15" t="s">
        <v>171</v>
      </c>
      <c r="G272" s="15" t="s">
        <v>170</v>
      </c>
      <c r="H272" s="154"/>
      <c r="I272" s="3" t="s">
        <v>3356</v>
      </c>
      <c r="J272" s="1" t="s">
        <v>3326</v>
      </c>
      <c r="K272" s="1" t="s">
        <v>3710</v>
      </c>
      <c r="L272" s="1" t="s">
        <v>35</v>
      </c>
      <c r="M272" s="95"/>
      <c r="N272" s="3" t="s">
        <v>3710</v>
      </c>
      <c r="O272" s="8" t="s">
        <v>105</v>
      </c>
      <c r="P272" s="8" t="s">
        <v>75</v>
      </c>
      <c r="Q272" s="9">
        <v>0.06</v>
      </c>
      <c r="R272" s="138"/>
      <c r="T272" s="18">
        <v>-1670.6</v>
      </c>
      <c r="U272" s="4">
        <v>0</v>
      </c>
      <c r="V272" s="4">
        <v>69819.39</v>
      </c>
      <c r="W272" s="13">
        <f t="shared" si="38"/>
        <v>-71489.990000000005</v>
      </c>
      <c r="X272" s="13">
        <f t="shared" si="35"/>
        <v>69819.39</v>
      </c>
      <c r="Y272" s="13">
        <f t="shared" si="39"/>
        <v>0</v>
      </c>
      <c r="Z272" s="2">
        <v>0</v>
      </c>
      <c r="AA272" s="4">
        <v>0</v>
      </c>
      <c r="AB272" s="4">
        <f t="shared" si="40"/>
        <v>69819.39</v>
      </c>
      <c r="AC272" s="6">
        <f t="shared" si="41"/>
        <v>4189.1633999999995</v>
      </c>
      <c r="AD272" s="13">
        <f t="shared" si="36"/>
        <v>69819.39</v>
      </c>
      <c r="AE272" s="2">
        <v>0.05</v>
      </c>
      <c r="AF272" s="5">
        <f t="shared" si="42"/>
        <v>3490.9695000000002</v>
      </c>
      <c r="AG272" s="2">
        <v>0</v>
      </c>
      <c r="AH272" s="5">
        <f t="shared" si="37"/>
        <v>69819.39</v>
      </c>
      <c r="AJ272" s="126" t="e">
        <v>#N/A</v>
      </c>
      <c r="AK272" s="80">
        <f t="shared" si="43"/>
        <v>0</v>
      </c>
      <c r="AM272" s="85"/>
    </row>
    <row r="273" spans="1:39" hidden="1" x14ac:dyDescent="0.3">
      <c r="A273" s="85" t="s">
        <v>34</v>
      </c>
      <c r="B273" s="15" t="s">
        <v>35</v>
      </c>
      <c r="C273" s="15" t="s">
        <v>59</v>
      </c>
      <c r="D273" s="15" t="s">
        <v>60</v>
      </c>
      <c r="E273" s="15" t="s">
        <v>93</v>
      </c>
      <c r="F273" s="15" t="s">
        <v>94</v>
      </c>
      <c r="G273" s="15" t="s">
        <v>93</v>
      </c>
      <c r="H273" s="139"/>
      <c r="I273" s="3" t="s">
        <v>3356</v>
      </c>
      <c r="J273" s="1" t="s">
        <v>3326</v>
      </c>
      <c r="K273" s="1" t="s">
        <v>3712</v>
      </c>
      <c r="L273" s="1" t="s">
        <v>35</v>
      </c>
      <c r="M273" s="95"/>
      <c r="N273" s="3" t="s">
        <v>3729</v>
      </c>
      <c r="O273" s="8" t="s">
        <v>105</v>
      </c>
      <c r="P273" s="8" t="s">
        <v>46</v>
      </c>
      <c r="Q273" s="9">
        <v>7.0000000000000007E-2</v>
      </c>
      <c r="R273" s="138"/>
      <c r="T273" s="18">
        <v>-979.81999999999994</v>
      </c>
      <c r="U273" s="4">
        <v>0</v>
      </c>
      <c r="V273" s="4">
        <v>0</v>
      </c>
      <c r="W273" s="13">
        <f t="shared" si="38"/>
        <v>-979.81999999999994</v>
      </c>
      <c r="X273" s="13">
        <f t="shared" si="35"/>
        <v>0</v>
      </c>
      <c r="Y273" s="13">
        <f t="shared" si="39"/>
        <v>0</v>
      </c>
      <c r="Z273" s="2">
        <v>0</v>
      </c>
      <c r="AA273" s="4">
        <v>0</v>
      </c>
      <c r="AB273" s="4">
        <f t="shared" si="40"/>
        <v>0</v>
      </c>
      <c r="AC273" s="6">
        <f t="shared" si="41"/>
        <v>0</v>
      </c>
      <c r="AD273" s="13">
        <f t="shared" si="36"/>
        <v>0</v>
      </c>
      <c r="AE273" s="2">
        <v>0.05</v>
      </c>
      <c r="AF273" s="5">
        <f t="shared" si="42"/>
        <v>0</v>
      </c>
      <c r="AG273" s="2">
        <v>0</v>
      </c>
      <c r="AH273" s="5">
        <f t="shared" si="37"/>
        <v>0</v>
      </c>
      <c r="AJ273" s="126" t="e">
        <v>#N/A</v>
      </c>
      <c r="AK273" s="80">
        <f t="shared" si="43"/>
        <v>0</v>
      </c>
      <c r="AM273" s="85"/>
    </row>
    <row r="274" spans="1:39" hidden="1" x14ac:dyDescent="0.3">
      <c r="A274" s="85" t="s">
        <v>34</v>
      </c>
      <c r="B274" s="15" t="s">
        <v>35</v>
      </c>
      <c r="C274" s="15" t="s">
        <v>187</v>
      </c>
      <c r="D274" s="15" t="s">
        <v>208</v>
      </c>
      <c r="E274" s="15" t="s">
        <v>210</v>
      </c>
      <c r="F274" s="15" t="s">
        <v>210</v>
      </c>
      <c r="G274" s="15" t="s">
        <v>210</v>
      </c>
      <c r="H274" s="154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105</v>
      </c>
      <c r="P274" s="1" t="s">
        <v>3360</v>
      </c>
      <c r="Q274" s="2">
        <v>0.03</v>
      </c>
      <c r="R274" s="138"/>
      <c r="T274" s="18">
        <v>0</v>
      </c>
      <c r="U274" s="4">
        <v>0</v>
      </c>
      <c r="V274" s="4">
        <v>9.0300000000000011</v>
      </c>
      <c r="W274" s="13">
        <f t="shared" si="38"/>
        <v>-9.0300000000000011</v>
      </c>
      <c r="X274" s="13">
        <f t="shared" si="35"/>
        <v>8.766990291262136</v>
      </c>
      <c r="Y274" s="13">
        <f t="shared" si="39"/>
        <v>0</v>
      </c>
      <c r="Z274" s="2">
        <v>0</v>
      </c>
      <c r="AA274" s="4">
        <v>0</v>
      </c>
      <c r="AB274" s="4">
        <f t="shared" si="40"/>
        <v>8.766990291262136</v>
      </c>
      <c r="AC274" s="6">
        <f t="shared" si="41"/>
        <v>0.26300970873786511</v>
      </c>
      <c r="AD274" s="13">
        <f t="shared" si="36"/>
        <v>9.0300000000000011</v>
      </c>
      <c r="AE274" s="2">
        <v>0.05</v>
      </c>
      <c r="AF274" s="5">
        <f t="shared" si="42"/>
        <v>0.45150000000000007</v>
      </c>
      <c r="AG274" s="2">
        <v>0</v>
      </c>
      <c r="AH274" s="5">
        <f t="shared" si="37"/>
        <v>9.0300000000000011</v>
      </c>
      <c r="AJ274" s="126" t="e">
        <v>#N/A</v>
      </c>
      <c r="AK274" s="80">
        <f t="shared" si="43"/>
        <v>0</v>
      </c>
      <c r="AM274" s="85"/>
    </row>
    <row r="275" spans="1:39" hidden="1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192</v>
      </c>
      <c r="F275" s="15" t="s">
        <v>192</v>
      </c>
      <c r="G275" s="15" t="s">
        <v>192</v>
      </c>
      <c r="H275" s="154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105</v>
      </c>
      <c r="P275" s="8" t="s">
        <v>46</v>
      </c>
      <c r="Q275" s="9">
        <v>0.06</v>
      </c>
      <c r="R275" s="138"/>
      <c r="T275" s="18">
        <v>-51.17</v>
      </c>
      <c r="U275" s="4">
        <v>0</v>
      </c>
      <c r="V275" s="4">
        <v>32893.660000000003</v>
      </c>
      <c r="W275" s="13">
        <f t="shared" si="38"/>
        <v>-32944.83</v>
      </c>
      <c r="X275" s="13">
        <f t="shared" ref="X275:X338" si="44">IF(P275="折扣",V275*Q275,IF(P275="返现",V275,V275/(1+Q275)))</f>
        <v>31031.754716981133</v>
      </c>
      <c r="Y275" s="13">
        <f t="shared" si="39"/>
        <v>0</v>
      </c>
      <c r="Z275" s="2">
        <v>0</v>
      </c>
      <c r="AA275" s="4">
        <v>0</v>
      </c>
      <c r="AB275" s="4">
        <f t="shared" si="40"/>
        <v>31031.754716981133</v>
      </c>
      <c r="AC275" s="6">
        <f t="shared" si="41"/>
        <v>1861.9052830188703</v>
      </c>
      <c r="AD275" s="13">
        <f t="shared" ref="AD275:AD338" si="45">V275</f>
        <v>32893.660000000003</v>
      </c>
      <c r="AE275" s="2">
        <v>0.05</v>
      </c>
      <c r="AF275" s="5">
        <f t="shared" si="42"/>
        <v>1644.6830000000002</v>
      </c>
      <c r="AG275" s="2">
        <v>0</v>
      </c>
      <c r="AH275" s="5">
        <f t="shared" ref="AH275:AH338" si="46">V275</f>
        <v>32893.660000000003</v>
      </c>
      <c r="AJ275" s="126" t="e">
        <v>#N/A</v>
      </c>
      <c r="AK275" s="80">
        <f t="shared" si="43"/>
        <v>0</v>
      </c>
      <c r="AM275" s="85"/>
    </row>
    <row r="276" spans="1:39" hidden="1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252</v>
      </c>
      <c r="F276" s="15" t="s">
        <v>252</v>
      </c>
      <c r="G276" s="15" t="s">
        <v>252</v>
      </c>
      <c r="H276" s="154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105</v>
      </c>
      <c r="P276" s="8" t="s">
        <v>46</v>
      </c>
      <c r="Q276" s="9">
        <v>0.03</v>
      </c>
      <c r="R276" s="138"/>
      <c r="T276" s="18">
        <v>-4.25</v>
      </c>
      <c r="U276" s="4">
        <v>0</v>
      </c>
      <c r="V276" s="4">
        <v>18.850000000000001</v>
      </c>
      <c r="W276" s="13">
        <f t="shared" ref="W276:W337" si="47">T276+U276-V276</f>
        <v>-23.1</v>
      </c>
      <c r="X276" s="13">
        <f t="shared" si="44"/>
        <v>18.300970873786408</v>
      </c>
      <c r="Y276" s="13">
        <f t="shared" si="39"/>
        <v>0</v>
      </c>
      <c r="Z276" s="2">
        <v>0</v>
      </c>
      <c r="AA276" s="4">
        <v>0</v>
      </c>
      <c r="AB276" s="4">
        <f t="shared" si="40"/>
        <v>18.300970873786408</v>
      </c>
      <c r="AC276" s="6">
        <f t="shared" si="41"/>
        <v>0.54902912621359334</v>
      </c>
      <c r="AD276" s="13">
        <f t="shared" si="45"/>
        <v>18.850000000000001</v>
      </c>
      <c r="AE276" s="2">
        <v>0.05</v>
      </c>
      <c r="AF276" s="5">
        <f t="shared" si="42"/>
        <v>0.94250000000000012</v>
      </c>
      <c r="AG276" s="2">
        <v>0</v>
      </c>
      <c r="AH276" s="5">
        <f t="shared" si="46"/>
        <v>18.850000000000001</v>
      </c>
      <c r="AJ276" s="126" t="e">
        <v>#N/A</v>
      </c>
      <c r="AK276" s="80">
        <f t="shared" si="43"/>
        <v>0</v>
      </c>
      <c r="AM276" s="85"/>
    </row>
    <row r="277" spans="1:39" hidden="1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250</v>
      </c>
      <c r="F277" s="15" t="s">
        <v>250</v>
      </c>
      <c r="G277" s="15" t="s">
        <v>250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105</v>
      </c>
      <c r="P277" s="8" t="s">
        <v>46</v>
      </c>
      <c r="Q277" s="9">
        <v>0.03</v>
      </c>
      <c r="R277" s="138"/>
      <c r="T277" s="18">
        <v>-3182.81</v>
      </c>
      <c r="U277" s="4">
        <v>0</v>
      </c>
      <c r="V277" s="4">
        <v>10858.32</v>
      </c>
      <c r="W277" s="13">
        <f t="shared" si="47"/>
        <v>-14041.13</v>
      </c>
      <c r="X277" s="13">
        <f t="shared" si="44"/>
        <v>10542.058252427183</v>
      </c>
      <c r="Y277" s="13">
        <f t="shared" si="39"/>
        <v>0</v>
      </c>
      <c r="Z277" s="2">
        <v>0</v>
      </c>
      <c r="AA277" s="4">
        <v>0</v>
      </c>
      <c r="AB277" s="4">
        <f t="shared" si="40"/>
        <v>10542.058252427183</v>
      </c>
      <c r="AC277" s="6">
        <f t="shared" si="41"/>
        <v>316.2617475728166</v>
      </c>
      <c r="AD277" s="13">
        <f t="shared" si="45"/>
        <v>10858.32</v>
      </c>
      <c r="AE277" s="2">
        <v>0.05</v>
      </c>
      <c r="AF277" s="5">
        <f t="shared" si="42"/>
        <v>542.91600000000005</v>
      </c>
      <c r="AG277" s="2">
        <v>0</v>
      </c>
      <c r="AH277" s="5">
        <f t="shared" si="46"/>
        <v>10858.32</v>
      </c>
      <c r="AJ277" s="126" t="e">
        <v>#N/A</v>
      </c>
      <c r="AK277" s="80">
        <f t="shared" si="43"/>
        <v>0</v>
      </c>
      <c r="AM277" s="85"/>
    </row>
    <row r="278" spans="1:39" hidden="1" x14ac:dyDescent="0.3">
      <c r="A278" s="85" t="s">
        <v>34</v>
      </c>
      <c r="B278" s="15" t="s">
        <v>35</v>
      </c>
      <c r="C278" s="15" t="s">
        <v>59</v>
      </c>
      <c r="D278" s="15" t="s">
        <v>60</v>
      </c>
      <c r="E278" s="15" t="s">
        <v>78</v>
      </c>
      <c r="F278" s="15" t="s">
        <v>79</v>
      </c>
      <c r="G278" s="15" t="s">
        <v>78</v>
      </c>
      <c r="H278" s="154"/>
      <c r="I278" s="3" t="s">
        <v>3356</v>
      </c>
      <c r="J278" s="1" t="s">
        <v>3326</v>
      </c>
      <c r="K278" s="1" t="s">
        <v>3283</v>
      </c>
      <c r="L278" s="1" t="s">
        <v>35</v>
      </c>
      <c r="M278" s="95"/>
      <c r="N278" s="3" t="s">
        <v>80</v>
      </c>
      <c r="O278" s="8" t="s">
        <v>105</v>
      </c>
      <c r="P278" s="8" t="s">
        <v>46</v>
      </c>
      <c r="Q278" s="9">
        <v>0.06</v>
      </c>
      <c r="R278" s="138"/>
      <c r="T278" s="18">
        <v>-2.29</v>
      </c>
      <c r="U278" s="4">
        <v>0</v>
      </c>
      <c r="V278" s="4">
        <v>1533.82</v>
      </c>
      <c r="W278" s="13">
        <f t="shared" si="47"/>
        <v>-1536.11</v>
      </c>
      <c r="X278" s="13">
        <f t="shared" si="44"/>
        <v>1446.9999999999998</v>
      </c>
      <c r="Y278" s="13">
        <f t="shared" si="39"/>
        <v>0</v>
      </c>
      <c r="Z278" s="2">
        <v>0</v>
      </c>
      <c r="AA278" s="4">
        <v>0</v>
      </c>
      <c r="AB278" s="4">
        <f t="shared" si="40"/>
        <v>1446.9999999999998</v>
      </c>
      <c r="AC278" s="6">
        <f t="shared" si="41"/>
        <v>86.820000000000164</v>
      </c>
      <c r="AD278" s="13">
        <f t="shared" si="45"/>
        <v>1533.82</v>
      </c>
      <c r="AE278" s="2">
        <v>0.05</v>
      </c>
      <c r="AF278" s="5">
        <f t="shared" si="42"/>
        <v>76.691000000000003</v>
      </c>
      <c r="AG278" s="2">
        <v>0</v>
      </c>
      <c r="AH278" s="5">
        <f t="shared" si="46"/>
        <v>1533.82</v>
      </c>
      <c r="AJ278" s="126" t="e">
        <v>#N/A</v>
      </c>
      <c r="AK278" s="80">
        <f t="shared" si="43"/>
        <v>0</v>
      </c>
      <c r="AM278" s="85"/>
    </row>
    <row r="279" spans="1:39" hidden="1" x14ac:dyDescent="0.3">
      <c r="A279" s="85" t="s">
        <v>34</v>
      </c>
      <c r="B279" s="15" t="s">
        <v>35</v>
      </c>
      <c r="C279" s="15" t="s">
        <v>187</v>
      </c>
      <c r="D279" s="15" t="s">
        <v>208</v>
      </c>
      <c r="E279" s="15" t="s">
        <v>253</v>
      </c>
      <c r="F279" s="15" t="s">
        <v>254</v>
      </c>
      <c r="G279" s="15" t="s">
        <v>253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105</v>
      </c>
      <c r="P279" s="8" t="s">
        <v>46</v>
      </c>
      <c r="Q279" s="9">
        <v>7.0000000000000007E-2</v>
      </c>
      <c r="R279" s="138"/>
      <c r="T279" s="18">
        <v>-228.89</v>
      </c>
      <c r="U279" s="4">
        <v>0</v>
      </c>
      <c r="V279" s="4">
        <v>0</v>
      </c>
      <c r="W279" s="13">
        <v>0</v>
      </c>
      <c r="X279" s="13">
        <f t="shared" si="44"/>
        <v>0</v>
      </c>
      <c r="Y279" s="13">
        <f t="shared" si="39"/>
        <v>0</v>
      </c>
      <c r="Z279" s="2">
        <v>0</v>
      </c>
      <c r="AA279" s="4">
        <v>0</v>
      </c>
      <c r="AB279" s="4">
        <f t="shared" si="40"/>
        <v>0</v>
      </c>
      <c r="AC279" s="6">
        <f t="shared" si="41"/>
        <v>0</v>
      </c>
      <c r="AD279" s="13">
        <f t="shared" si="45"/>
        <v>0</v>
      </c>
      <c r="AE279" s="2">
        <v>0.05</v>
      </c>
      <c r="AF279" s="5">
        <f t="shared" si="42"/>
        <v>0</v>
      </c>
      <c r="AG279" s="2">
        <v>0</v>
      </c>
      <c r="AH279" s="5">
        <f t="shared" si="46"/>
        <v>0</v>
      </c>
      <c r="AJ279" s="126" t="e">
        <v>#N/A</v>
      </c>
      <c r="AK279" s="80">
        <f t="shared" si="43"/>
        <v>0</v>
      </c>
      <c r="AM279" s="85"/>
    </row>
    <row r="280" spans="1:39" hidden="1" x14ac:dyDescent="0.3">
      <c r="A280" s="85" t="s">
        <v>34</v>
      </c>
      <c r="B280" s="15" t="s">
        <v>35</v>
      </c>
      <c r="C280" s="15" t="s">
        <v>187</v>
      </c>
      <c r="D280" s="15" t="s">
        <v>188</v>
      </c>
      <c r="E280" s="15" t="s">
        <v>201</v>
      </c>
      <c r="F280" s="15" t="s">
        <v>201</v>
      </c>
      <c r="G280" s="15" t="s">
        <v>201</v>
      </c>
      <c r="H280" s="154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105</v>
      </c>
      <c r="P280" s="8" t="s">
        <v>46</v>
      </c>
      <c r="Q280" s="9">
        <v>0.04</v>
      </c>
      <c r="R280" s="138"/>
      <c r="T280" s="18">
        <v>-2078.94</v>
      </c>
      <c r="U280" s="4">
        <v>0</v>
      </c>
      <c r="V280" s="4">
        <v>8923.0500000000011</v>
      </c>
      <c r="W280" s="13">
        <f t="shared" si="47"/>
        <v>-11001.990000000002</v>
      </c>
      <c r="X280" s="13">
        <f t="shared" si="44"/>
        <v>8579.8557692307695</v>
      </c>
      <c r="Y280" s="13">
        <f t="shared" si="39"/>
        <v>0</v>
      </c>
      <c r="Z280" s="2">
        <v>0</v>
      </c>
      <c r="AA280" s="4">
        <v>0</v>
      </c>
      <c r="AB280" s="4">
        <f t="shared" si="40"/>
        <v>8579.8557692307695</v>
      </c>
      <c r="AC280" s="6">
        <f t="shared" si="41"/>
        <v>343.19423076923158</v>
      </c>
      <c r="AD280" s="13">
        <f t="shared" si="45"/>
        <v>8923.0500000000011</v>
      </c>
      <c r="AE280" s="2">
        <v>0.05</v>
      </c>
      <c r="AF280" s="5">
        <f t="shared" si="42"/>
        <v>446.15250000000009</v>
      </c>
      <c r="AG280" s="2">
        <v>0</v>
      </c>
      <c r="AH280" s="5">
        <f t="shared" si="46"/>
        <v>8923.0500000000011</v>
      </c>
      <c r="AJ280" s="126" t="e">
        <v>#N/A</v>
      </c>
      <c r="AK280" s="80">
        <f t="shared" si="43"/>
        <v>0</v>
      </c>
      <c r="AM280" s="85"/>
    </row>
    <row r="281" spans="1:39" hidden="1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220</v>
      </c>
      <c r="F281" s="15" t="s">
        <v>344</v>
      </c>
      <c r="G281" s="15" t="s">
        <v>220</v>
      </c>
      <c r="H281" s="139"/>
      <c r="I281" s="3" t="s">
        <v>3356</v>
      </c>
      <c r="J281" s="1" t="s">
        <v>3326</v>
      </c>
      <c r="K281" s="1" t="s">
        <v>3712</v>
      </c>
      <c r="L281" s="1" t="s">
        <v>35</v>
      </c>
      <c r="M281" s="95"/>
      <c r="N281" s="3" t="s">
        <v>3729</v>
      </c>
      <c r="O281" s="8" t="s">
        <v>45</v>
      </c>
      <c r="P281" s="8" t="s">
        <v>92</v>
      </c>
      <c r="Q281" s="9">
        <v>0.94</v>
      </c>
      <c r="R281" s="138"/>
      <c r="T281" s="18">
        <v>0</v>
      </c>
      <c r="U281" s="4">
        <v>0</v>
      </c>
      <c r="V281" s="4">
        <v>0</v>
      </c>
      <c r="W281" s="13">
        <f t="shared" si="47"/>
        <v>0</v>
      </c>
      <c r="X281" s="13">
        <f t="shared" si="44"/>
        <v>0</v>
      </c>
      <c r="Y281" s="13">
        <f t="shared" si="39"/>
        <v>0</v>
      </c>
      <c r="Z281" s="2">
        <v>0</v>
      </c>
      <c r="AA281" s="4">
        <v>0</v>
      </c>
      <c r="AB281" s="4">
        <f t="shared" si="40"/>
        <v>0</v>
      </c>
      <c r="AC281" s="6">
        <f t="shared" si="41"/>
        <v>0</v>
      </c>
      <c r="AD281" s="13">
        <f t="shared" si="45"/>
        <v>0</v>
      </c>
      <c r="AE281" s="2">
        <v>0.05</v>
      </c>
      <c r="AF281" s="5">
        <f t="shared" si="42"/>
        <v>0</v>
      </c>
      <c r="AG281" s="2">
        <v>0</v>
      </c>
      <c r="AH281" s="5">
        <f t="shared" si="46"/>
        <v>0</v>
      </c>
      <c r="AJ281" s="126" t="e">
        <v>#N/A</v>
      </c>
      <c r="AK281" s="80">
        <f t="shared" si="43"/>
        <v>0</v>
      </c>
      <c r="AM281" s="85"/>
    </row>
    <row r="282" spans="1:39" hidden="1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220</v>
      </c>
      <c r="F282" s="15" t="s">
        <v>344</v>
      </c>
      <c r="G282" s="15" t="s">
        <v>220</v>
      </c>
      <c r="H282" s="139"/>
      <c r="I282" s="3" t="s">
        <v>3356</v>
      </c>
      <c r="J282" s="1" t="s">
        <v>3326</v>
      </c>
      <c r="K282" s="1" t="s">
        <v>3712</v>
      </c>
      <c r="L282" s="1" t="s">
        <v>35</v>
      </c>
      <c r="M282" s="95"/>
      <c r="N282" s="3" t="s">
        <v>3729</v>
      </c>
      <c r="O282" s="8" t="s">
        <v>105</v>
      </c>
      <c r="P282" s="8" t="s">
        <v>92</v>
      </c>
      <c r="Q282" s="9">
        <v>0.94</v>
      </c>
      <c r="R282" s="138"/>
      <c r="T282" s="18">
        <v>0</v>
      </c>
      <c r="U282" s="4">
        <v>0</v>
      </c>
      <c r="V282" s="4">
        <v>0</v>
      </c>
      <c r="W282" s="13">
        <f t="shared" si="47"/>
        <v>0</v>
      </c>
      <c r="X282" s="13">
        <f t="shared" si="44"/>
        <v>0</v>
      </c>
      <c r="Y282" s="13">
        <f t="shared" si="39"/>
        <v>0</v>
      </c>
      <c r="Z282" s="2">
        <v>0</v>
      </c>
      <c r="AA282" s="4">
        <v>0</v>
      </c>
      <c r="AB282" s="4">
        <f t="shared" si="40"/>
        <v>0</v>
      </c>
      <c r="AC282" s="6">
        <f t="shared" si="41"/>
        <v>0</v>
      </c>
      <c r="AD282" s="13">
        <f t="shared" si="45"/>
        <v>0</v>
      </c>
      <c r="AE282" s="2">
        <v>0.05</v>
      </c>
      <c r="AF282" s="5">
        <f t="shared" si="42"/>
        <v>0</v>
      </c>
      <c r="AG282" s="2">
        <v>0</v>
      </c>
      <c r="AH282" s="5">
        <f t="shared" si="46"/>
        <v>0</v>
      </c>
      <c r="AJ282" s="126" t="e">
        <v>#N/A</v>
      </c>
      <c r="AK282" s="80">
        <f t="shared" si="43"/>
        <v>0</v>
      </c>
      <c r="AM282" s="85"/>
    </row>
    <row r="283" spans="1:39" hidden="1" x14ac:dyDescent="0.3">
      <c r="A283" s="85" t="s">
        <v>34</v>
      </c>
      <c r="B283" s="15" t="s">
        <v>35</v>
      </c>
      <c r="C283" s="15" t="s">
        <v>59</v>
      </c>
      <c r="D283" s="15" t="s">
        <v>60</v>
      </c>
      <c r="E283" s="15" t="s">
        <v>93</v>
      </c>
      <c r="F283" s="15" t="s">
        <v>94</v>
      </c>
      <c r="G283" s="15" t="s">
        <v>93</v>
      </c>
      <c r="H283" s="139"/>
      <c r="I283" s="3" t="s">
        <v>3356</v>
      </c>
      <c r="J283" s="1" t="s">
        <v>3326</v>
      </c>
      <c r="K283" s="1" t="s">
        <v>3712</v>
      </c>
      <c r="L283" s="1" t="s">
        <v>35</v>
      </c>
      <c r="M283" s="95"/>
      <c r="N283" s="3" t="s">
        <v>3729</v>
      </c>
      <c r="O283" s="8" t="s">
        <v>105</v>
      </c>
      <c r="P283" s="8" t="s">
        <v>46</v>
      </c>
      <c r="Q283" s="9">
        <v>7.0000000000000007E-2</v>
      </c>
      <c r="R283" s="138"/>
      <c r="T283" s="18">
        <v>-225.07</v>
      </c>
      <c r="U283" s="4">
        <v>0</v>
      </c>
      <c r="V283" s="4">
        <v>0</v>
      </c>
      <c r="W283" s="13">
        <f t="shared" si="47"/>
        <v>-225.07</v>
      </c>
      <c r="X283" s="13">
        <f t="shared" si="44"/>
        <v>0</v>
      </c>
      <c r="Y283" s="13">
        <f t="shared" si="39"/>
        <v>0</v>
      </c>
      <c r="Z283" s="2">
        <v>0</v>
      </c>
      <c r="AA283" s="4">
        <v>0</v>
      </c>
      <c r="AB283" s="4">
        <f t="shared" si="40"/>
        <v>0</v>
      </c>
      <c r="AC283" s="6">
        <f t="shared" si="41"/>
        <v>0</v>
      </c>
      <c r="AD283" s="13">
        <f t="shared" si="45"/>
        <v>0</v>
      </c>
      <c r="AE283" s="2">
        <v>0.05</v>
      </c>
      <c r="AF283" s="5">
        <f t="shared" si="42"/>
        <v>0</v>
      </c>
      <c r="AG283" s="2">
        <v>0</v>
      </c>
      <c r="AH283" s="5">
        <f t="shared" si="46"/>
        <v>0</v>
      </c>
      <c r="AJ283" s="126" t="e">
        <v>#N/A</v>
      </c>
      <c r="AK283" s="80">
        <f t="shared" si="43"/>
        <v>0</v>
      </c>
      <c r="AM283" s="85"/>
    </row>
    <row r="284" spans="1:39" hidden="1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249</v>
      </c>
      <c r="F284" s="15" t="s">
        <v>249</v>
      </c>
      <c r="G284" s="15" t="s">
        <v>249</v>
      </c>
      <c r="H284" s="154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0.06</v>
      </c>
      <c r="R284" s="138"/>
      <c r="T284" s="18">
        <v>-176.67000000000002</v>
      </c>
      <c r="U284" s="4">
        <v>0</v>
      </c>
      <c r="V284" s="4">
        <v>10152.880000000001</v>
      </c>
      <c r="W284" s="13">
        <f t="shared" si="47"/>
        <v>-10329.550000000001</v>
      </c>
      <c r="X284" s="13">
        <f t="shared" si="44"/>
        <v>9578.1886792452842</v>
      </c>
      <c r="Y284" s="13">
        <f t="shared" si="39"/>
        <v>0</v>
      </c>
      <c r="Z284" s="2">
        <v>0</v>
      </c>
      <c r="AA284" s="4">
        <v>0</v>
      </c>
      <c r="AB284" s="4">
        <f t="shared" si="40"/>
        <v>9578.1886792452842</v>
      </c>
      <c r="AC284" s="6">
        <f t="shared" si="41"/>
        <v>574.6913207547168</v>
      </c>
      <c r="AD284" s="13">
        <f t="shared" si="45"/>
        <v>10152.880000000001</v>
      </c>
      <c r="AE284" s="2">
        <v>0.05</v>
      </c>
      <c r="AF284" s="5">
        <f t="shared" si="42"/>
        <v>507.64400000000006</v>
      </c>
      <c r="AG284" s="2">
        <v>0</v>
      </c>
      <c r="AH284" s="5">
        <f t="shared" si="46"/>
        <v>10152.880000000001</v>
      </c>
      <c r="AJ284" s="126" t="e">
        <v>#N/A</v>
      </c>
      <c r="AK284" s="80">
        <f t="shared" si="43"/>
        <v>0</v>
      </c>
      <c r="AM284" s="85"/>
    </row>
    <row r="285" spans="1:39" hidden="1" x14ac:dyDescent="0.3">
      <c r="A285" s="85" t="s">
        <v>34</v>
      </c>
      <c r="B285" s="15" t="s">
        <v>35</v>
      </c>
      <c r="C285" s="15" t="s">
        <v>144</v>
      </c>
      <c r="D285" s="15" t="s">
        <v>145</v>
      </c>
      <c r="E285" s="15" t="s">
        <v>150</v>
      </c>
      <c r="F285" s="15" t="s">
        <v>151</v>
      </c>
      <c r="G285" s="15" t="s">
        <v>150</v>
      </c>
      <c r="H285" s="154"/>
      <c r="I285" s="3" t="s">
        <v>3356</v>
      </c>
      <c r="J285" s="1" t="s">
        <v>3326</v>
      </c>
      <c r="K285" s="1" t="s">
        <v>3712</v>
      </c>
      <c r="L285" s="1" t="s">
        <v>35</v>
      </c>
      <c r="M285" s="95"/>
      <c r="N285" s="3" t="s">
        <v>3712</v>
      </c>
      <c r="O285" s="8" t="s">
        <v>105</v>
      </c>
      <c r="P285" s="8" t="s">
        <v>246</v>
      </c>
      <c r="Q285" s="9">
        <v>0</v>
      </c>
      <c r="R285" s="138"/>
      <c r="T285" s="18">
        <v>-1.7000000000000002</v>
      </c>
      <c r="U285" s="4">
        <v>0</v>
      </c>
      <c r="V285" s="4">
        <v>1317.57</v>
      </c>
      <c r="W285" s="13">
        <f t="shared" si="47"/>
        <v>-1319.27</v>
      </c>
      <c r="X285" s="13">
        <f t="shared" si="44"/>
        <v>1317.57</v>
      </c>
      <c r="Y285" s="13">
        <f t="shared" si="39"/>
        <v>0</v>
      </c>
      <c r="Z285" s="2">
        <v>0</v>
      </c>
      <c r="AA285" s="4">
        <v>0</v>
      </c>
      <c r="AB285" s="4">
        <f t="shared" si="40"/>
        <v>1317.57</v>
      </c>
      <c r="AC285" s="6">
        <f t="shared" si="41"/>
        <v>0</v>
      </c>
      <c r="AD285" s="13">
        <f t="shared" si="45"/>
        <v>1317.57</v>
      </c>
      <c r="AE285" s="2">
        <v>0.05</v>
      </c>
      <c r="AF285" s="5">
        <f t="shared" si="42"/>
        <v>65.878500000000003</v>
      </c>
      <c r="AG285" s="2">
        <v>0</v>
      </c>
      <c r="AH285" s="5">
        <f t="shared" si="46"/>
        <v>1317.57</v>
      </c>
      <c r="AJ285" s="126" t="e">
        <v>#N/A</v>
      </c>
      <c r="AK285" s="80">
        <f t="shared" si="43"/>
        <v>0</v>
      </c>
      <c r="AM285" s="85"/>
    </row>
    <row r="286" spans="1:39" hidden="1" x14ac:dyDescent="0.3">
      <c r="A286" s="85" t="s">
        <v>34</v>
      </c>
      <c r="B286" s="15" t="s">
        <v>35</v>
      </c>
      <c r="C286" s="15" t="s">
        <v>164</v>
      </c>
      <c r="D286" s="15" t="s">
        <v>165</v>
      </c>
      <c r="E286" s="15" t="s">
        <v>168</v>
      </c>
      <c r="F286" s="15" t="s">
        <v>168</v>
      </c>
      <c r="G286" s="15" t="s">
        <v>168</v>
      </c>
      <c r="H286" s="154"/>
      <c r="I286" s="3" t="s">
        <v>3356</v>
      </c>
      <c r="J286" s="1" t="s">
        <v>3326</v>
      </c>
      <c r="K286" s="1" t="s">
        <v>3710</v>
      </c>
      <c r="L286" s="1" t="s">
        <v>35</v>
      </c>
      <c r="M286" s="95"/>
      <c r="N286" s="3" t="s">
        <v>3710</v>
      </c>
      <c r="O286" s="8" t="s">
        <v>105</v>
      </c>
      <c r="P286" s="8" t="s">
        <v>246</v>
      </c>
      <c r="Q286" s="9">
        <v>0</v>
      </c>
      <c r="R286" s="138"/>
      <c r="T286" s="18">
        <v>-47.72</v>
      </c>
      <c r="U286" s="4">
        <v>0</v>
      </c>
      <c r="V286" s="4">
        <v>1840.02</v>
      </c>
      <c r="W286" s="13">
        <f t="shared" si="47"/>
        <v>-1887.74</v>
      </c>
      <c r="X286" s="13">
        <f t="shared" si="44"/>
        <v>1840.02</v>
      </c>
      <c r="Y286" s="13">
        <f t="shared" si="39"/>
        <v>0</v>
      </c>
      <c r="Z286" s="2">
        <v>0</v>
      </c>
      <c r="AA286" s="4">
        <v>0</v>
      </c>
      <c r="AB286" s="4">
        <f t="shared" si="40"/>
        <v>1840.02</v>
      </c>
      <c r="AC286" s="6">
        <f t="shared" si="41"/>
        <v>0</v>
      </c>
      <c r="AD286" s="13">
        <f t="shared" si="45"/>
        <v>1840.02</v>
      </c>
      <c r="AE286" s="2">
        <v>0.05</v>
      </c>
      <c r="AF286" s="5">
        <f t="shared" si="42"/>
        <v>92.001000000000005</v>
      </c>
      <c r="AG286" s="2">
        <v>0</v>
      </c>
      <c r="AH286" s="5">
        <f t="shared" si="46"/>
        <v>1840.02</v>
      </c>
      <c r="AJ286" s="126" t="e">
        <v>#N/A</v>
      </c>
      <c r="AK286" s="80">
        <f t="shared" si="43"/>
        <v>0</v>
      </c>
      <c r="AM286" s="85"/>
    </row>
    <row r="287" spans="1:39" hidden="1" x14ac:dyDescent="0.3">
      <c r="A287" s="85" t="s">
        <v>34</v>
      </c>
      <c r="B287" s="15" t="s">
        <v>35</v>
      </c>
      <c r="C287" s="15" t="s">
        <v>47</v>
      </c>
      <c r="D287" s="15" t="s">
        <v>48</v>
      </c>
      <c r="E287" s="15" t="s">
        <v>50</v>
      </c>
      <c r="F287" s="15" t="s">
        <v>50</v>
      </c>
      <c r="G287" s="15" t="s">
        <v>50</v>
      </c>
      <c r="H287" s="154"/>
      <c r="I287" s="3" t="s">
        <v>3356</v>
      </c>
      <c r="J287" s="1" t="s">
        <v>3326</v>
      </c>
      <c r="K287" s="1" t="s">
        <v>3710</v>
      </c>
      <c r="L287" s="1" t="s">
        <v>35</v>
      </c>
      <c r="M287" s="95"/>
      <c r="N287" s="3" t="s">
        <v>3723</v>
      </c>
      <c r="O287" s="8" t="s">
        <v>105</v>
      </c>
      <c r="P287" s="1" t="s">
        <v>3753</v>
      </c>
      <c r="Q287" s="2">
        <v>0.01</v>
      </c>
      <c r="R287" s="138"/>
      <c r="T287" s="18">
        <v>-834.61</v>
      </c>
      <c r="U287" s="4">
        <v>0</v>
      </c>
      <c r="V287" s="4">
        <v>3195.3999999999992</v>
      </c>
      <c r="W287" s="13">
        <f t="shared" si="47"/>
        <v>-4030.0099999999993</v>
      </c>
      <c r="X287" s="13">
        <f t="shared" si="44"/>
        <v>3163.7623762376229</v>
      </c>
      <c r="Y287" s="13">
        <f t="shared" si="39"/>
        <v>0</v>
      </c>
      <c r="Z287" s="2">
        <v>0</v>
      </c>
      <c r="AA287" s="4">
        <v>0</v>
      </c>
      <c r="AB287" s="4">
        <f t="shared" si="40"/>
        <v>3163.7623762376229</v>
      </c>
      <c r="AC287" s="6">
        <f t="shared" si="41"/>
        <v>31.637623762376279</v>
      </c>
      <c r="AD287" s="13">
        <f t="shared" si="45"/>
        <v>3195.3999999999992</v>
      </c>
      <c r="AE287" s="2">
        <v>0.05</v>
      </c>
      <c r="AF287" s="5">
        <f t="shared" si="42"/>
        <v>159.76999999999998</v>
      </c>
      <c r="AG287" s="2">
        <v>0</v>
      </c>
      <c r="AH287" s="5">
        <f t="shared" si="46"/>
        <v>3195.3999999999992</v>
      </c>
      <c r="AJ287" s="126" t="e">
        <v>#N/A</v>
      </c>
      <c r="AK287" s="80">
        <f t="shared" si="43"/>
        <v>0</v>
      </c>
      <c r="AM287" s="85"/>
    </row>
    <row r="288" spans="1:39" hidden="1" x14ac:dyDescent="0.3">
      <c r="A288" s="85" t="s">
        <v>34</v>
      </c>
      <c r="B288" s="15" t="s">
        <v>35</v>
      </c>
      <c r="C288" s="15" t="s">
        <v>36</v>
      </c>
      <c r="D288" s="15" t="s">
        <v>54</v>
      </c>
      <c r="E288" s="15" t="s">
        <v>106</v>
      </c>
      <c r="F288" s="15" t="s">
        <v>106</v>
      </c>
      <c r="G288" s="15" t="s">
        <v>107</v>
      </c>
      <c r="H288" s="154"/>
      <c r="I288" s="3" t="s">
        <v>3356</v>
      </c>
      <c r="J288" s="1" t="s">
        <v>3326</v>
      </c>
      <c r="K288" s="1" t="s">
        <v>3707</v>
      </c>
      <c r="L288" s="1" t="s">
        <v>35</v>
      </c>
      <c r="M288" s="95"/>
      <c r="N288" s="3" t="s">
        <v>3707</v>
      </c>
      <c r="O288" s="8" t="s">
        <v>105</v>
      </c>
      <c r="P288" s="8" t="s">
        <v>246</v>
      </c>
      <c r="Q288" s="9">
        <v>0</v>
      </c>
      <c r="R288" s="138"/>
      <c r="T288" s="18">
        <v>-21.830000000000002</v>
      </c>
      <c r="U288" s="4">
        <v>0</v>
      </c>
      <c r="V288" s="4">
        <v>0.39</v>
      </c>
      <c r="W288" s="13">
        <f t="shared" si="47"/>
        <v>-22.220000000000002</v>
      </c>
      <c r="X288" s="13">
        <f t="shared" si="44"/>
        <v>0.39</v>
      </c>
      <c r="Y288" s="13">
        <f t="shared" si="39"/>
        <v>0</v>
      </c>
      <c r="Z288" s="2">
        <v>0</v>
      </c>
      <c r="AA288" s="4">
        <v>0</v>
      </c>
      <c r="AB288" s="4">
        <f t="shared" si="40"/>
        <v>0.39</v>
      </c>
      <c r="AC288" s="6">
        <f t="shared" si="41"/>
        <v>0</v>
      </c>
      <c r="AD288" s="13">
        <f t="shared" si="45"/>
        <v>0.39</v>
      </c>
      <c r="AE288" s="2">
        <v>0.05</v>
      </c>
      <c r="AF288" s="5">
        <f t="shared" si="42"/>
        <v>1.9500000000000003E-2</v>
      </c>
      <c r="AG288" s="2">
        <v>0</v>
      </c>
      <c r="AH288" s="5">
        <f t="shared" si="46"/>
        <v>0.39</v>
      </c>
      <c r="AJ288" s="126" t="e">
        <v>#N/A</v>
      </c>
      <c r="AK288" s="80">
        <f t="shared" si="43"/>
        <v>0</v>
      </c>
      <c r="AM288" s="85"/>
    </row>
    <row r="289" spans="1:39" hidden="1" x14ac:dyDescent="0.3">
      <c r="A289" s="85" t="s">
        <v>34</v>
      </c>
      <c r="B289" s="15" t="s">
        <v>35</v>
      </c>
      <c r="C289" s="15" t="s">
        <v>59</v>
      </c>
      <c r="D289" s="15" t="s">
        <v>60</v>
      </c>
      <c r="E289" s="15" t="s">
        <v>78</v>
      </c>
      <c r="F289" s="15" t="s">
        <v>345</v>
      </c>
      <c r="G289" s="15" t="s">
        <v>78</v>
      </c>
      <c r="H289" s="139"/>
      <c r="I289" s="3" t="s">
        <v>3356</v>
      </c>
      <c r="J289" s="1" t="s">
        <v>3326</v>
      </c>
      <c r="K289" s="1" t="s">
        <v>3283</v>
      </c>
      <c r="L289" s="1" t="s">
        <v>35</v>
      </c>
      <c r="M289" s="95"/>
      <c r="N289" s="3" t="s">
        <v>80</v>
      </c>
      <c r="O289" s="8" t="s">
        <v>45</v>
      </c>
      <c r="P289" s="8" t="s">
        <v>46</v>
      </c>
      <c r="Q289" s="9">
        <v>7.0000000000000007E-2</v>
      </c>
      <c r="R289" s="138"/>
      <c r="T289" s="18">
        <v>10000</v>
      </c>
      <c r="U289" s="4">
        <v>0</v>
      </c>
      <c r="V289" s="4">
        <v>0</v>
      </c>
      <c r="W289" s="13">
        <f t="shared" si="47"/>
        <v>10000</v>
      </c>
      <c r="X289" s="13">
        <f t="shared" si="44"/>
        <v>0</v>
      </c>
      <c r="Y289" s="13">
        <f t="shared" si="39"/>
        <v>0</v>
      </c>
      <c r="Z289" s="2">
        <v>0</v>
      </c>
      <c r="AA289" s="4">
        <v>0</v>
      </c>
      <c r="AB289" s="4">
        <f t="shared" si="40"/>
        <v>0</v>
      </c>
      <c r="AC289" s="6">
        <f t="shared" si="41"/>
        <v>0</v>
      </c>
      <c r="AD289" s="13">
        <f t="shared" si="45"/>
        <v>0</v>
      </c>
      <c r="AE289" s="2">
        <v>0.05</v>
      </c>
      <c r="AF289" s="5">
        <f t="shared" si="42"/>
        <v>0</v>
      </c>
      <c r="AG289" s="2">
        <v>0</v>
      </c>
      <c r="AH289" s="5">
        <f t="shared" si="46"/>
        <v>0</v>
      </c>
      <c r="AJ289" s="126" t="e">
        <v>#N/A</v>
      </c>
      <c r="AK289" s="80">
        <f t="shared" si="43"/>
        <v>0</v>
      </c>
      <c r="AM289" s="85"/>
    </row>
    <row r="290" spans="1:39" hidden="1" x14ac:dyDescent="0.3">
      <c r="A290" s="85" t="s">
        <v>34</v>
      </c>
      <c r="B290" s="15" t="s">
        <v>35</v>
      </c>
      <c r="C290" s="15" t="s">
        <v>59</v>
      </c>
      <c r="D290" s="15" t="s">
        <v>60</v>
      </c>
      <c r="E290" s="15" t="s">
        <v>78</v>
      </c>
      <c r="F290" s="15" t="s">
        <v>346</v>
      </c>
      <c r="G290" s="15" t="s">
        <v>78</v>
      </c>
      <c r="H290" s="139"/>
      <c r="I290" s="3" t="s">
        <v>3356</v>
      </c>
      <c r="J290" s="1" t="s">
        <v>3326</v>
      </c>
      <c r="K290" s="1" t="s">
        <v>3283</v>
      </c>
      <c r="L290" s="1" t="s">
        <v>35</v>
      </c>
      <c r="M290" s="95"/>
      <c r="N290" s="3" t="s">
        <v>80</v>
      </c>
      <c r="O290" s="8" t="s">
        <v>45</v>
      </c>
      <c r="P290" s="8" t="s">
        <v>246</v>
      </c>
      <c r="Q290" s="9">
        <v>0</v>
      </c>
      <c r="R290" s="138"/>
      <c r="T290" s="18">
        <v>102101452.24999635</v>
      </c>
      <c r="U290" s="4">
        <v>-102101452.24999635</v>
      </c>
      <c r="V290" s="4">
        <v>0</v>
      </c>
      <c r="W290" s="13">
        <f t="shared" si="47"/>
        <v>0</v>
      </c>
      <c r="X290" s="13">
        <f t="shared" si="44"/>
        <v>0</v>
      </c>
      <c r="Y290" s="13">
        <f t="shared" si="39"/>
        <v>0</v>
      </c>
      <c r="Z290" s="2">
        <v>0</v>
      </c>
      <c r="AA290" s="4">
        <v>0</v>
      </c>
      <c r="AB290" s="4">
        <f t="shared" si="40"/>
        <v>0</v>
      </c>
      <c r="AC290" s="6">
        <f t="shared" si="41"/>
        <v>0</v>
      </c>
      <c r="AD290" s="13">
        <f t="shared" si="45"/>
        <v>0</v>
      </c>
      <c r="AE290" s="2">
        <v>0.05</v>
      </c>
      <c r="AF290" s="5">
        <f t="shared" si="42"/>
        <v>0</v>
      </c>
      <c r="AG290" s="2">
        <v>0</v>
      </c>
      <c r="AH290" s="5">
        <f t="shared" si="46"/>
        <v>0</v>
      </c>
      <c r="AJ290" s="126" t="e">
        <v>#N/A</v>
      </c>
      <c r="AK290" s="80">
        <f t="shared" si="43"/>
        <v>0</v>
      </c>
      <c r="AM290" s="85"/>
    </row>
    <row r="291" spans="1:39" hidden="1" x14ac:dyDescent="0.3">
      <c r="A291" s="85" t="s">
        <v>34</v>
      </c>
      <c r="B291" s="15" t="s">
        <v>35</v>
      </c>
      <c r="C291" s="15" t="s">
        <v>59</v>
      </c>
      <c r="D291" s="15" t="s">
        <v>60</v>
      </c>
      <c r="E291" s="15" t="s">
        <v>76</v>
      </c>
      <c r="F291" s="15" t="s">
        <v>347</v>
      </c>
      <c r="G291" s="15" t="s">
        <v>76</v>
      </c>
      <c r="H291" s="154"/>
      <c r="I291" s="3" t="s">
        <v>3356</v>
      </c>
      <c r="J291" s="1" t="s">
        <v>3326</v>
      </c>
      <c r="K291" s="1" t="s">
        <v>3712</v>
      </c>
      <c r="L291" s="1" t="s">
        <v>35</v>
      </c>
      <c r="M291" s="95"/>
      <c r="N291" s="3" t="s">
        <v>3712</v>
      </c>
      <c r="O291" s="8" t="s">
        <v>105</v>
      </c>
      <c r="P291" s="8" t="s">
        <v>343</v>
      </c>
      <c r="Q291" s="9">
        <v>0.06</v>
      </c>
      <c r="R291" s="138"/>
      <c r="T291" s="18">
        <v>0</v>
      </c>
      <c r="U291" s="4">
        <v>0</v>
      </c>
      <c r="V291" s="4">
        <v>15828.030000000004</v>
      </c>
      <c r="W291" s="13">
        <f t="shared" si="47"/>
        <v>-15828.030000000004</v>
      </c>
      <c r="X291" s="13">
        <f t="shared" si="44"/>
        <v>15828.030000000004</v>
      </c>
      <c r="Y291" s="13">
        <f t="shared" si="39"/>
        <v>0</v>
      </c>
      <c r="Z291" s="2">
        <v>0</v>
      </c>
      <c r="AA291" s="4">
        <v>0</v>
      </c>
      <c r="AB291" s="4">
        <f t="shared" si="40"/>
        <v>15828.030000000004</v>
      </c>
      <c r="AC291" s="6">
        <f t="shared" si="41"/>
        <v>949.68180000000018</v>
      </c>
      <c r="AD291" s="13">
        <f t="shared" si="45"/>
        <v>15828.030000000004</v>
      </c>
      <c r="AE291" s="2">
        <v>0.05</v>
      </c>
      <c r="AF291" s="5">
        <f t="shared" si="42"/>
        <v>791.40150000000028</v>
      </c>
      <c r="AG291" s="2">
        <v>0</v>
      </c>
      <c r="AH291" s="5">
        <f t="shared" si="46"/>
        <v>15828.030000000004</v>
      </c>
      <c r="AJ291" s="126" t="e">
        <v>#N/A</v>
      </c>
      <c r="AK291" s="80">
        <f t="shared" si="43"/>
        <v>0</v>
      </c>
      <c r="AM291" s="85"/>
    </row>
    <row r="292" spans="1:39" hidden="1" x14ac:dyDescent="0.3">
      <c r="A292" s="85" t="s">
        <v>34</v>
      </c>
      <c r="B292" s="15" t="s">
        <v>35</v>
      </c>
      <c r="C292" s="15" t="s">
        <v>59</v>
      </c>
      <c r="D292" s="15" t="s">
        <v>60</v>
      </c>
      <c r="E292" s="15" t="s">
        <v>77</v>
      </c>
      <c r="F292" s="15" t="s">
        <v>348</v>
      </c>
      <c r="G292" s="15" t="s">
        <v>77</v>
      </c>
      <c r="H292" s="154"/>
      <c r="I292" s="3" t="s">
        <v>3356</v>
      </c>
      <c r="J292" s="1" t="s">
        <v>3326</v>
      </c>
      <c r="K292" s="1" t="s">
        <v>3710</v>
      </c>
      <c r="L292" s="1" t="s">
        <v>35</v>
      </c>
      <c r="M292" s="95"/>
      <c r="N292" s="3" t="s">
        <v>3711</v>
      </c>
      <c r="O292" s="8" t="s">
        <v>45</v>
      </c>
      <c r="P292" s="8" t="s">
        <v>343</v>
      </c>
      <c r="Q292" s="9">
        <v>0.06</v>
      </c>
      <c r="R292" s="138"/>
      <c r="T292" s="18">
        <v>0</v>
      </c>
      <c r="U292" s="4">
        <v>0</v>
      </c>
      <c r="V292" s="4">
        <v>663050.96999999927</v>
      </c>
      <c r="W292" s="13">
        <f t="shared" si="47"/>
        <v>-663050.96999999927</v>
      </c>
      <c r="X292" s="13">
        <f t="shared" si="44"/>
        <v>663050.96999999927</v>
      </c>
      <c r="Y292" s="13">
        <f t="shared" si="39"/>
        <v>0</v>
      </c>
      <c r="Z292" s="2">
        <v>0</v>
      </c>
      <c r="AA292" s="4">
        <v>0</v>
      </c>
      <c r="AB292" s="4">
        <f t="shared" si="40"/>
        <v>663050.96999999927</v>
      </c>
      <c r="AC292" s="6">
        <f t="shared" si="41"/>
        <v>39783.058199999956</v>
      </c>
      <c r="AD292" s="13">
        <f t="shared" si="45"/>
        <v>663050.96999999927</v>
      </c>
      <c r="AE292" s="2">
        <v>0.05</v>
      </c>
      <c r="AF292" s="5">
        <f t="shared" si="42"/>
        <v>33152.548499999968</v>
      </c>
      <c r="AG292" s="2">
        <v>0</v>
      </c>
      <c r="AH292" s="5">
        <f t="shared" si="46"/>
        <v>663050.96999999927</v>
      </c>
      <c r="AJ292" s="126" t="e">
        <v>#N/A</v>
      </c>
      <c r="AK292" s="80">
        <f t="shared" si="43"/>
        <v>0</v>
      </c>
      <c r="AM292" s="85"/>
    </row>
    <row r="293" spans="1:39" hidden="1" x14ac:dyDescent="0.3">
      <c r="A293" s="85" t="s">
        <v>34</v>
      </c>
      <c r="B293" s="15" t="s">
        <v>35</v>
      </c>
      <c r="C293" s="15" t="s">
        <v>59</v>
      </c>
      <c r="D293" s="15" t="s">
        <v>60</v>
      </c>
      <c r="E293" s="15" t="s">
        <v>77</v>
      </c>
      <c r="F293" s="15" t="s">
        <v>348</v>
      </c>
      <c r="G293" s="15" t="s">
        <v>77</v>
      </c>
      <c r="H293" s="154"/>
      <c r="I293" s="3" t="s">
        <v>3356</v>
      </c>
      <c r="J293" s="1" t="s">
        <v>3326</v>
      </c>
      <c r="K293" s="1" t="s">
        <v>3710</v>
      </c>
      <c r="L293" s="1" t="s">
        <v>35</v>
      </c>
      <c r="M293" s="95"/>
      <c r="N293" s="3" t="s">
        <v>3714</v>
      </c>
      <c r="O293" s="8" t="s">
        <v>105</v>
      </c>
      <c r="P293" s="8" t="s">
        <v>343</v>
      </c>
      <c r="Q293" s="9">
        <v>0.06</v>
      </c>
      <c r="R293" s="138"/>
      <c r="T293" s="18">
        <v>0</v>
      </c>
      <c r="U293" s="4">
        <v>0</v>
      </c>
      <c r="V293" s="4">
        <v>109503.73999999999</v>
      </c>
      <c r="W293" s="13">
        <f t="shared" si="47"/>
        <v>-109503.73999999999</v>
      </c>
      <c r="X293" s="13">
        <f t="shared" si="44"/>
        <v>109503.73999999999</v>
      </c>
      <c r="Y293" s="13">
        <f t="shared" si="39"/>
        <v>0</v>
      </c>
      <c r="Z293" s="2">
        <v>0</v>
      </c>
      <c r="AA293" s="4">
        <v>0</v>
      </c>
      <c r="AB293" s="4">
        <f t="shared" si="40"/>
        <v>109503.73999999999</v>
      </c>
      <c r="AC293" s="6">
        <f t="shared" si="41"/>
        <v>6570.2243999999992</v>
      </c>
      <c r="AD293" s="13">
        <f t="shared" si="45"/>
        <v>109503.73999999999</v>
      </c>
      <c r="AE293" s="2">
        <v>0.05</v>
      </c>
      <c r="AF293" s="5">
        <f t="shared" si="42"/>
        <v>5475.1869999999999</v>
      </c>
      <c r="AG293" s="2">
        <v>0</v>
      </c>
      <c r="AH293" s="5">
        <f t="shared" si="46"/>
        <v>109503.73999999999</v>
      </c>
      <c r="AJ293" s="126" t="e">
        <v>#N/A</v>
      </c>
      <c r="AK293" s="80">
        <f t="shared" si="43"/>
        <v>0</v>
      </c>
      <c r="AM293" s="85"/>
    </row>
    <row r="294" spans="1:39" hidden="1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77</v>
      </c>
      <c r="F294" s="15" t="s">
        <v>348</v>
      </c>
      <c r="G294" s="15" t="s">
        <v>77</v>
      </c>
      <c r="H294" s="154"/>
      <c r="I294" s="3" t="s">
        <v>3356</v>
      </c>
      <c r="J294" s="1" t="s">
        <v>3326</v>
      </c>
      <c r="K294" s="1" t="s">
        <v>3712</v>
      </c>
      <c r="L294" s="1" t="s">
        <v>35</v>
      </c>
      <c r="M294" s="95"/>
      <c r="N294" s="3" t="s">
        <v>3713</v>
      </c>
      <c r="O294" s="8" t="s">
        <v>105</v>
      </c>
      <c r="P294" s="8" t="s">
        <v>343</v>
      </c>
      <c r="Q294" s="9">
        <v>0.06</v>
      </c>
      <c r="R294" s="138"/>
      <c r="T294" s="18">
        <v>0</v>
      </c>
      <c r="U294" s="4">
        <v>0</v>
      </c>
      <c r="V294" s="4">
        <v>98646.849999999977</v>
      </c>
      <c r="W294" s="13">
        <f t="shared" si="47"/>
        <v>-98646.849999999977</v>
      </c>
      <c r="X294" s="13">
        <f t="shared" si="44"/>
        <v>98646.849999999977</v>
      </c>
      <c r="Y294" s="13">
        <f t="shared" si="39"/>
        <v>0</v>
      </c>
      <c r="Z294" s="2">
        <v>0</v>
      </c>
      <c r="AA294" s="4">
        <v>0</v>
      </c>
      <c r="AB294" s="4">
        <f t="shared" si="40"/>
        <v>98646.849999999977</v>
      </c>
      <c r="AC294" s="6">
        <f t="shared" si="41"/>
        <v>5918.8109999999988</v>
      </c>
      <c r="AD294" s="13">
        <f t="shared" si="45"/>
        <v>98646.849999999977</v>
      </c>
      <c r="AE294" s="2">
        <v>0.05</v>
      </c>
      <c r="AF294" s="5">
        <f t="shared" si="42"/>
        <v>4932.3424999999988</v>
      </c>
      <c r="AG294" s="2">
        <v>0</v>
      </c>
      <c r="AH294" s="5">
        <f t="shared" si="46"/>
        <v>98646.849999999977</v>
      </c>
      <c r="AJ294" s="126" t="e">
        <v>#N/A</v>
      </c>
      <c r="AK294" s="80">
        <f t="shared" si="43"/>
        <v>0</v>
      </c>
      <c r="AM294" s="85"/>
    </row>
    <row r="295" spans="1:39" hidden="1" x14ac:dyDescent="0.3">
      <c r="A295" s="85" t="s">
        <v>34</v>
      </c>
      <c r="B295" s="15" t="s">
        <v>35</v>
      </c>
      <c r="C295" s="15" t="s">
        <v>59</v>
      </c>
      <c r="D295" s="15" t="s">
        <v>60</v>
      </c>
      <c r="E295" s="15" t="s">
        <v>78</v>
      </c>
      <c r="F295" s="15" t="s">
        <v>349</v>
      </c>
      <c r="G295" s="15" t="s">
        <v>78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45</v>
      </c>
      <c r="P295" s="8" t="s">
        <v>246</v>
      </c>
      <c r="Q295" s="9">
        <v>0</v>
      </c>
      <c r="R295" s="138"/>
      <c r="T295" s="18">
        <v>0</v>
      </c>
      <c r="U295" s="4">
        <v>0</v>
      </c>
      <c r="V295" s="4">
        <v>0</v>
      </c>
      <c r="W295" s="13">
        <f t="shared" si="47"/>
        <v>0</v>
      </c>
      <c r="X295" s="13">
        <f t="shared" si="44"/>
        <v>0</v>
      </c>
      <c r="Y295" s="13">
        <f t="shared" si="39"/>
        <v>0</v>
      </c>
      <c r="Z295" s="2">
        <v>0</v>
      </c>
      <c r="AA295" s="4">
        <v>0</v>
      </c>
      <c r="AB295" s="4">
        <f t="shared" si="40"/>
        <v>0</v>
      </c>
      <c r="AC295" s="6">
        <f t="shared" si="41"/>
        <v>0</v>
      </c>
      <c r="AD295" s="13">
        <f t="shared" si="45"/>
        <v>0</v>
      </c>
      <c r="AE295" s="2">
        <v>0.05</v>
      </c>
      <c r="AF295" s="5">
        <f t="shared" si="42"/>
        <v>0</v>
      </c>
      <c r="AG295" s="2">
        <v>0</v>
      </c>
      <c r="AH295" s="5">
        <f t="shared" si="46"/>
        <v>0</v>
      </c>
      <c r="AJ295" s="126" t="e">
        <v>#N/A</v>
      </c>
      <c r="AK295" s="80">
        <f t="shared" si="43"/>
        <v>0</v>
      </c>
      <c r="AM295" s="85"/>
    </row>
    <row r="296" spans="1:39" hidden="1" x14ac:dyDescent="0.3">
      <c r="A296" s="85" t="s">
        <v>34</v>
      </c>
      <c r="B296" s="15" t="s">
        <v>35</v>
      </c>
      <c r="C296" s="15" t="s">
        <v>59</v>
      </c>
      <c r="D296" s="15" t="s">
        <v>60</v>
      </c>
      <c r="E296" s="3" t="s">
        <v>327</v>
      </c>
      <c r="F296" s="15" t="s">
        <v>350</v>
      </c>
      <c r="G296" s="15" t="s">
        <v>327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105</v>
      </c>
      <c r="P296" s="8" t="s">
        <v>343</v>
      </c>
      <c r="Q296" s="9">
        <v>0.06</v>
      </c>
      <c r="R296" s="138"/>
      <c r="T296" s="18">
        <v>0</v>
      </c>
      <c r="U296" s="4">
        <v>0</v>
      </c>
      <c r="V296" s="4">
        <v>67.059999999999988</v>
      </c>
      <c r="W296" s="13">
        <f t="shared" si="47"/>
        <v>-67.059999999999988</v>
      </c>
      <c r="X296" s="13">
        <f t="shared" si="44"/>
        <v>67.059999999999988</v>
      </c>
      <c r="Y296" s="13">
        <f t="shared" si="39"/>
        <v>0</v>
      </c>
      <c r="Z296" s="2">
        <v>0</v>
      </c>
      <c r="AA296" s="4">
        <v>0</v>
      </c>
      <c r="AB296" s="4">
        <f t="shared" si="40"/>
        <v>67.059999999999988</v>
      </c>
      <c r="AC296" s="6">
        <f t="shared" si="41"/>
        <v>4.0235999999999992</v>
      </c>
      <c r="AD296" s="13">
        <f t="shared" si="45"/>
        <v>67.059999999999988</v>
      </c>
      <c r="AE296" s="2">
        <v>0.05</v>
      </c>
      <c r="AF296" s="5">
        <f t="shared" si="42"/>
        <v>3.3529999999999998</v>
      </c>
      <c r="AG296" s="2">
        <v>0</v>
      </c>
      <c r="AH296" s="5">
        <f t="shared" si="46"/>
        <v>67.059999999999988</v>
      </c>
      <c r="AJ296" s="126" t="e">
        <v>#N/A</v>
      </c>
      <c r="AK296" s="80">
        <f t="shared" si="43"/>
        <v>0</v>
      </c>
      <c r="AM296" s="85"/>
    </row>
    <row r="297" spans="1:39" hidden="1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3" t="s">
        <v>327</v>
      </c>
      <c r="F297" s="15" t="s">
        <v>351</v>
      </c>
      <c r="G297" s="15" t="s">
        <v>327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105</v>
      </c>
      <c r="P297" s="8" t="s">
        <v>343</v>
      </c>
      <c r="Q297" s="9">
        <v>0.06</v>
      </c>
      <c r="R297" s="138"/>
      <c r="T297" s="18">
        <v>0</v>
      </c>
      <c r="U297" s="4">
        <v>0</v>
      </c>
      <c r="V297" s="4">
        <v>2132.9499999999998</v>
      </c>
      <c r="W297" s="13">
        <f t="shared" si="47"/>
        <v>-2132.9499999999998</v>
      </c>
      <c r="X297" s="13">
        <f t="shared" si="44"/>
        <v>2132.9499999999998</v>
      </c>
      <c r="Y297" s="13">
        <f t="shared" si="39"/>
        <v>0</v>
      </c>
      <c r="Z297" s="2">
        <v>0</v>
      </c>
      <c r="AA297" s="4">
        <v>0</v>
      </c>
      <c r="AB297" s="4">
        <f t="shared" si="40"/>
        <v>2132.9499999999998</v>
      </c>
      <c r="AC297" s="6">
        <f t="shared" si="41"/>
        <v>127.97699999999999</v>
      </c>
      <c r="AD297" s="13">
        <f t="shared" si="45"/>
        <v>2132.9499999999998</v>
      </c>
      <c r="AE297" s="2">
        <v>0.05</v>
      </c>
      <c r="AF297" s="5">
        <f t="shared" si="42"/>
        <v>106.64749999999999</v>
      </c>
      <c r="AG297" s="2">
        <v>0</v>
      </c>
      <c r="AH297" s="5">
        <f t="shared" si="46"/>
        <v>2132.9499999999998</v>
      </c>
      <c r="AJ297" s="126" t="e">
        <v>#N/A</v>
      </c>
      <c r="AK297" s="80">
        <f t="shared" si="43"/>
        <v>0</v>
      </c>
      <c r="AM297" s="85"/>
    </row>
    <row r="298" spans="1:39" hidden="1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352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105</v>
      </c>
      <c r="P298" s="8" t="s">
        <v>353</v>
      </c>
      <c r="Q298" s="9">
        <v>0.02</v>
      </c>
      <c r="R298" s="138"/>
      <c r="T298" s="18">
        <v>0</v>
      </c>
      <c r="U298" s="4">
        <v>0</v>
      </c>
      <c r="V298" s="4">
        <v>1833.5099999999998</v>
      </c>
      <c r="W298" s="13">
        <f t="shared" si="47"/>
        <v>-1833.5099999999998</v>
      </c>
      <c r="X298" s="13">
        <f t="shared" si="44"/>
        <v>1797.5588235294115</v>
      </c>
      <c r="Y298" s="13">
        <f t="shared" si="39"/>
        <v>0</v>
      </c>
      <c r="Z298" s="2">
        <v>0</v>
      </c>
      <c r="AA298" s="4">
        <v>0</v>
      </c>
      <c r="AB298" s="4">
        <f t="shared" si="40"/>
        <v>1797.5588235294115</v>
      </c>
      <c r="AC298" s="6">
        <f t="shared" si="41"/>
        <v>35.95117647058828</v>
      </c>
      <c r="AD298" s="13">
        <f t="shared" si="45"/>
        <v>1833.5099999999998</v>
      </c>
      <c r="AE298" s="2">
        <v>0.05</v>
      </c>
      <c r="AF298" s="5">
        <f t="shared" si="42"/>
        <v>91.6755</v>
      </c>
      <c r="AG298" s="2">
        <v>0</v>
      </c>
      <c r="AH298" s="5">
        <f t="shared" si="46"/>
        <v>1833.5099999999998</v>
      </c>
      <c r="AJ298" s="126" t="e">
        <v>#N/A</v>
      </c>
      <c r="AK298" s="80">
        <f t="shared" si="43"/>
        <v>0</v>
      </c>
      <c r="AM298" s="85"/>
    </row>
    <row r="299" spans="1:39" hidden="1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3" t="s">
        <v>340</v>
      </c>
      <c r="F299" s="15" t="s">
        <v>354</v>
      </c>
      <c r="G299" s="15" t="s">
        <v>327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105</v>
      </c>
      <c r="P299" s="8" t="s">
        <v>343</v>
      </c>
      <c r="Q299" s="9">
        <v>0.06</v>
      </c>
      <c r="R299" s="138"/>
      <c r="T299" s="18">
        <v>0</v>
      </c>
      <c r="U299" s="4">
        <v>0</v>
      </c>
      <c r="V299" s="4">
        <v>236.93999999999997</v>
      </c>
      <c r="W299" s="13">
        <f t="shared" si="47"/>
        <v>-236.93999999999997</v>
      </c>
      <c r="X299" s="13">
        <f t="shared" si="44"/>
        <v>236.93999999999997</v>
      </c>
      <c r="Y299" s="13">
        <f t="shared" si="39"/>
        <v>0</v>
      </c>
      <c r="Z299" s="2">
        <v>0</v>
      </c>
      <c r="AA299" s="4">
        <v>0</v>
      </c>
      <c r="AB299" s="4">
        <f t="shared" si="40"/>
        <v>236.93999999999997</v>
      </c>
      <c r="AC299" s="6">
        <f t="shared" si="41"/>
        <v>14.216399999999998</v>
      </c>
      <c r="AD299" s="13">
        <f t="shared" si="45"/>
        <v>236.93999999999997</v>
      </c>
      <c r="AE299" s="2">
        <v>0.05</v>
      </c>
      <c r="AF299" s="5">
        <f t="shared" si="42"/>
        <v>11.847</v>
      </c>
      <c r="AG299" s="2">
        <v>0</v>
      </c>
      <c r="AH299" s="5">
        <f t="shared" si="46"/>
        <v>236.93999999999997</v>
      </c>
      <c r="AJ299" s="126" t="e">
        <v>#N/A</v>
      </c>
      <c r="AK299" s="80">
        <f t="shared" si="43"/>
        <v>0</v>
      </c>
      <c r="AM299" s="85"/>
    </row>
    <row r="300" spans="1:39" hidden="1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355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0</v>
      </c>
      <c r="U300" s="4">
        <v>59885721.590000004</v>
      </c>
      <c r="V300" s="4">
        <v>49602599.76000002</v>
      </c>
      <c r="W300" s="13">
        <f t="shared" si="47"/>
        <v>10283121.829999983</v>
      </c>
      <c r="X300" s="13">
        <f t="shared" si="44"/>
        <v>47694807.461538479</v>
      </c>
      <c r="Y300" s="13">
        <f t="shared" si="39"/>
        <v>0</v>
      </c>
      <c r="Z300" s="2">
        <v>0</v>
      </c>
      <c r="AA300" s="4">
        <v>0</v>
      </c>
      <c r="AB300" s="4">
        <f t="shared" si="40"/>
        <v>47694807.461538479</v>
      </c>
      <c r="AC300" s="6">
        <f t="shared" si="41"/>
        <v>1907792.2984615415</v>
      </c>
      <c r="AD300" s="13">
        <f t="shared" si="45"/>
        <v>49602599.76000002</v>
      </c>
      <c r="AE300" s="2">
        <v>0.05</v>
      </c>
      <c r="AF300" s="5">
        <f t="shared" si="42"/>
        <v>2480129.9880000013</v>
      </c>
      <c r="AG300" s="2">
        <v>0</v>
      </c>
      <c r="AH300" s="5">
        <f t="shared" si="46"/>
        <v>49602599.76000002</v>
      </c>
      <c r="AJ300" s="126" t="e">
        <v>#N/A</v>
      </c>
      <c r="AK300" s="80">
        <f t="shared" si="43"/>
        <v>0</v>
      </c>
      <c r="AM300" s="85"/>
    </row>
    <row r="301" spans="1:39" hidden="1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355</v>
      </c>
      <c r="G301" s="15" t="s">
        <v>78</v>
      </c>
      <c r="H301" s="154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105</v>
      </c>
      <c r="P301" s="8" t="s">
        <v>46</v>
      </c>
      <c r="Q301" s="9">
        <v>0.04</v>
      </c>
      <c r="R301" s="138"/>
      <c r="T301" s="18">
        <v>0</v>
      </c>
      <c r="U301" s="4">
        <v>0</v>
      </c>
      <c r="V301" s="4">
        <v>49729.930000000008</v>
      </c>
      <c r="W301" s="13">
        <f t="shared" si="47"/>
        <v>-49729.930000000008</v>
      </c>
      <c r="X301" s="13">
        <f t="shared" si="44"/>
        <v>47817.24038461539</v>
      </c>
      <c r="Y301" s="13">
        <f t="shared" si="39"/>
        <v>0</v>
      </c>
      <c r="Z301" s="2">
        <v>0</v>
      </c>
      <c r="AA301" s="4">
        <v>0</v>
      </c>
      <c r="AB301" s="4">
        <f t="shared" si="40"/>
        <v>47817.24038461539</v>
      </c>
      <c r="AC301" s="6">
        <f t="shared" si="41"/>
        <v>1912.6896153846174</v>
      </c>
      <c r="AD301" s="13">
        <f t="shared" si="45"/>
        <v>49729.930000000008</v>
      </c>
      <c r="AE301" s="2">
        <v>0.05</v>
      </c>
      <c r="AF301" s="5">
        <f t="shared" si="42"/>
        <v>2486.4965000000007</v>
      </c>
      <c r="AG301" s="2">
        <v>0</v>
      </c>
      <c r="AH301" s="5">
        <f t="shared" si="46"/>
        <v>49729.930000000008</v>
      </c>
      <c r="AJ301" s="126" t="e">
        <v>#N/A</v>
      </c>
      <c r="AK301" s="80">
        <f t="shared" si="43"/>
        <v>0</v>
      </c>
      <c r="AM301" s="85"/>
    </row>
    <row r="302" spans="1:39" hidden="1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3703</v>
      </c>
      <c r="F302" s="15" t="s">
        <v>357</v>
      </c>
      <c r="G302" s="15" t="s">
        <v>356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343</v>
      </c>
      <c r="Q302" s="9">
        <v>0.06</v>
      </c>
      <c r="R302" s="138"/>
      <c r="T302" s="18">
        <v>0</v>
      </c>
      <c r="U302" s="4">
        <v>19645920</v>
      </c>
      <c r="V302" s="4">
        <v>12251909.580000002</v>
      </c>
      <c r="W302" s="13">
        <f>T302+U302-V302</f>
        <v>7394010.4199999981</v>
      </c>
      <c r="X302" s="13">
        <f t="shared" si="44"/>
        <v>12251909.580000002</v>
      </c>
      <c r="Y302" s="13">
        <f t="shared" si="39"/>
        <v>0</v>
      </c>
      <c r="Z302" s="2">
        <v>0</v>
      </c>
      <c r="AA302" s="4">
        <v>0</v>
      </c>
      <c r="AB302" s="4">
        <f t="shared" si="40"/>
        <v>12251909.580000002</v>
      </c>
      <c r="AC302" s="6">
        <f t="shared" si="41"/>
        <v>735114.57480000006</v>
      </c>
      <c r="AD302" s="13">
        <f t="shared" si="45"/>
        <v>12251909.580000002</v>
      </c>
      <c r="AE302" s="2">
        <v>0.05</v>
      </c>
      <c r="AF302" s="5">
        <f t="shared" si="42"/>
        <v>612595.47900000017</v>
      </c>
      <c r="AG302" s="2">
        <v>0</v>
      </c>
      <c r="AH302" s="5">
        <f t="shared" si="46"/>
        <v>12251909.580000002</v>
      </c>
      <c r="AJ302" s="126" t="e">
        <v>#N/A</v>
      </c>
      <c r="AK302" s="80">
        <f t="shared" si="43"/>
        <v>0</v>
      </c>
      <c r="AM302" s="85"/>
    </row>
    <row r="303" spans="1:39" hidden="1" x14ac:dyDescent="0.3">
      <c r="A303" s="85" t="s">
        <v>34</v>
      </c>
      <c r="B303" s="15" t="s">
        <v>35</v>
      </c>
      <c r="C303" s="15" t="s">
        <v>59</v>
      </c>
      <c r="D303" s="15" t="s">
        <v>60</v>
      </c>
      <c r="E303" s="15" t="s">
        <v>356</v>
      </c>
      <c r="F303" s="15" t="s">
        <v>357</v>
      </c>
      <c r="G303" s="15" t="s">
        <v>356</v>
      </c>
      <c r="H303" s="154"/>
      <c r="I303" s="3" t="s">
        <v>3356</v>
      </c>
      <c r="J303" s="1" t="s">
        <v>3326</v>
      </c>
      <c r="K303" s="1" t="s">
        <v>3283</v>
      </c>
      <c r="L303" s="1" t="s">
        <v>35</v>
      </c>
      <c r="M303" s="95"/>
      <c r="N303" s="3" t="s">
        <v>80</v>
      </c>
      <c r="O303" s="8" t="s">
        <v>105</v>
      </c>
      <c r="P303" s="8" t="s">
        <v>343</v>
      </c>
      <c r="Q303" s="9">
        <v>0.06</v>
      </c>
      <c r="R303" s="138"/>
      <c r="T303" s="18">
        <v>0</v>
      </c>
      <c r="U303" s="4">
        <v>0</v>
      </c>
      <c r="V303" s="4">
        <v>687.09</v>
      </c>
      <c r="W303" s="13">
        <f t="shared" si="47"/>
        <v>-687.09</v>
      </c>
      <c r="X303" s="13">
        <f t="shared" si="44"/>
        <v>687.09</v>
      </c>
      <c r="Y303" s="13">
        <f t="shared" si="39"/>
        <v>0</v>
      </c>
      <c r="Z303" s="2">
        <v>0</v>
      </c>
      <c r="AA303" s="4">
        <v>0</v>
      </c>
      <c r="AB303" s="4">
        <f t="shared" si="40"/>
        <v>687.09</v>
      </c>
      <c r="AC303" s="6">
        <f t="shared" si="41"/>
        <v>41.2254</v>
      </c>
      <c r="AD303" s="13">
        <f t="shared" si="45"/>
        <v>687.09</v>
      </c>
      <c r="AE303" s="2">
        <v>0.05</v>
      </c>
      <c r="AF303" s="5">
        <f t="shared" si="42"/>
        <v>34.354500000000002</v>
      </c>
      <c r="AG303" s="2">
        <v>0</v>
      </c>
      <c r="AH303" s="5">
        <f t="shared" si="46"/>
        <v>687.09</v>
      </c>
      <c r="AJ303" s="126" t="e">
        <v>#N/A</v>
      </c>
      <c r="AK303" s="80">
        <f t="shared" si="43"/>
        <v>0</v>
      </c>
      <c r="AM303" s="85"/>
    </row>
    <row r="304" spans="1:39" hidden="1" x14ac:dyDescent="0.3">
      <c r="A304" s="85" t="s">
        <v>34</v>
      </c>
      <c r="B304" s="15" t="s">
        <v>35</v>
      </c>
      <c r="C304" s="15" t="s">
        <v>59</v>
      </c>
      <c r="D304" s="15" t="s">
        <v>60</v>
      </c>
      <c r="E304" s="15" t="s">
        <v>78</v>
      </c>
      <c r="F304" s="15" t="s">
        <v>358</v>
      </c>
      <c r="G304" s="15" t="s">
        <v>78</v>
      </c>
      <c r="H304" s="154"/>
      <c r="I304" s="3" t="s">
        <v>3356</v>
      </c>
      <c r="J304" s="1" t="s">
        <v>3326</v>
      </c>
      <c r="K304" s="1" t="s">
        <v>3283</v>
      </c>
      <c r="L304" s="1" t="s">
        <v>35</v>
      </c>
      <c r="M304" s="95"/>
      <c r="N304" s="3" t="s">
        <v>80</v>
      </c>
      <c r="O304" s="8" t="s">
        <v>105</v>
      </c>
      <c r="P304" s="8" t="s">
        <v>353</v>
      </c>
      <c r="Q304" s="9">
        <v>0.06</v>
      </c>
      <c r="R304" s="138"/>
      <c r="T304" s="18">
        <v>0</v>
      </c>
      <c r="U304" s="4">
        <v>0</v>
      </c>
      <c r="V304" s="4">
        <v>9441.3799999999992</v>
      </c>
      <c r="W304" s="13">
        <f t="shared" si="47"/>
        <v>-9441.3799999999992</v>
      </c>
      <c r="X304" s="13">
        <f t="shared" si="44"/>
        <v>8906.9622641509413</v>
      </c>
      <c r="Y304" s="13">
        <f t="shared" si="39"/>
        <v>0</v>
      </c>
      <c r="Z304" s="2">
        <v>0</v>
      </c>
      <c r="AA304" s="4">
        <v>0</v>
      </c>
      <c r="AB304" s="4">
        <f t="shared" si="40"/>
        <v>8906.9622641509413</v>
      </c>
      <c r="AC304" s="6">
        <f t="shared" si="41"/>
        <v>534.41773584905786</v>
      </c>
      <c r="AD304" s="13">
        <f t="shared" si="45"/>
        <v>9441.3799999999992</v>
      </c>
      <c r="AE304" s="2">
        <v>0.05</v>
      </c>
      <c r="AF304" s="5">
        <f t="shared" si="42"/>
        <v>472.06899999999996</v>
      </c>
      <c r="AG304" s="2">
        <v>0</v>
      </c>
      <c r="AH304" s="5">
        <f t="shared" si="46"/>
        <v>9441.3799999999992</v>
      </c>
      <c r="AJ304" s="126" t="e">
        <v>#N/A</v>
      </c>
      <c r="AK304" s="80">
        <f t="shared" si="43"/>
        <v>0</v>
      </c>
      <c r="AM304" s="85"/>
    </row>
    <row r="305" spans="1:39" hidden="1" x14ac:dyDescent="0.3">
      <c r="A305" s="85" t="s">
        <v>34</v>
      </c>
      <c r="B305" s="15" t="s">
        <v>35</v>
      </c>
      <c r="C305" s="15" t="s">
        <v>59</v>
      </c>
      <c r="D305" s="15" t="s">
        <v>60</v>
      </c>
      <c r="E305" s="15" t="s">
        <v>78</v>
      </c>
      <c r="F305" s="15" t="s">
        <v>359</v>
      </c>
      <c r="G305" s="15" t="s">
        <v>78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45</v>
      </c>
      <c r="P305" s="8" t="s">
        <v>246</v>
      </c>
      <c r="Q305" s="9">
        <v>0</v>
      </c>
      <c r="R305" s="138"/>
      <c r="T305" s="18">
        <v>0</v>
      </c>
      <c r="U305" s="13">
        <v>560000</v>
      </c>
      <c r="V305" s="13">
        <v>0</v>
      </c>
      <c r="W305" s="13">
        <f t="shared" si="47"/>
        <v>560000</v>
      </c>
      <c r="X305" s="13">
        <f t="shared" si="44"/>
        <v>0</v>
      </c>
      <c r="Y305" s="13">
        <f t="shared" si="39"/>
        <v>0</v>
      </c>
      <c r="Z305" s="2">
        <v>0</v>
      </c>
      <c r="AA305" s="4">
        <v>0</v>
      </c>
      <c r="AB305" s="4">
        <f t="shared" si="40"/>
        <v>0</v>
      </c>
      <c r="AC305" s="6">
        <f t="shared" si="41"/>
        <v>0</v>
      </c>
      <c r="AD305" s="13">
        <f t="shared" si="45"/>
        <v>0</v>
      </c>
      <c r="AE305" s="2">
        <v>0.05</v>
      </c>
      <c r="AF305" s="5">
        <f t="shared" si="42"/>
        <v>0</v>
      </c>
      <c r="AG305" s="2">
        <v>0</v>
      </c>
      <c r="AH305" s="5">
        <f t="shared" si="46"/>
        <v>0</v>
      </c>
      <c r="AJ305" s="126" t="e">
        <v>#N/A</v>
      </c>
      <c r="AK305" s="80">
        <f t="shared" si="43"/>
        <v>0</v>
      </c>
      <c r="AM305" s="85"/>
    </row>
    <row r="306" spans="1:39" hidden="1" x14ac:dyDescent="0.3">
      <c r="A306" s="85" t="s">
        <v>34</v>
      </c>
      <c r="B306" s="15" t="s">
        <v>35</v>
      </c>
      <c r="C306" s="15" t="s">
        <v>59</v>
      </c>
      <c r="D306" s="15" t="s">
        <v>60</v>
      </c>
      <c r="E306" s="15" t="s">
        <v>78</v>
      </c>
      <c r="F306" s="15" t="s">
        <v>359</v>
      </c>
      <c r="G306" s="15" t="s">
        <v>78</v>
      </c>
      <c r="H306" s="139"/>
      <c r="I306" s="3" t="s">
        <v>3356</v>
      </c>
      <c r="J306" s="1" t="s">
        <v>3326</v>
      </c>
      <c r="K306" s="1" t="s">
        <v>3283</v>
      </c>
      <c r="L306" s="1" t="s">
        <v>35</v>
      </c>
      <c r="M306" s="95"/>
      <c r="N306" s="3" t="s">
        <v>80</v>
      </c>
      <c r="O306" s="8" t="s">
        <v>105</v>
      </c>
      <c r="P306" s="8" t="s">
        <v>246</v>
      </c>
      <c r="Q306" s="9">
        <v>0</v>
      </c>
      <c r="R306" s="138"/>
      <c r="T306" s="18">
        <v>0</v>
      </c>
      <c r="U306" s="4">
        <v>0</v>
      </c>
      <c r="V306" s="4">
        <v>0</v>
      </c>
      <c r="W306" s="13">
        <f t="shared" si="47"/>
        <v>0</v>
      </c>
      <c r="X306" s="13">
        <f t="shared" si="44"/>
        <v>0</v>
      </c>
      <c r="Y306" s="13">
        <f t="shared" si="39"/>
        <v>0</v>
      </c>
      <c r="Z306" s="2">
        <v>0</v>
      </c>
      <c r="AA306" s="4">
        <v>0</v>
      </c>
      <c r="AB306" s="4">
        <f t="shared" si="40"/>
        <v>0</v>
      </c>
      <c r="AC306" s="6">
        <f t="shared" si="41"/>
        <v>0</v>
      </c>
      <c r="AD306" s="13">
        <f t="shared" si="45"/>
        <v>0</v>
      </c>
      <c r="AE306" s="2">
        <v>0.05</v>
      </c>
      <c r="AF306" s="5">
        <f t="shared" si="42"/>
        <v>0</v>
      </c>
      <c r="AG306" s="2">
        <v>0</v>
      </c>
      <c r="AH306" s="5">
        <f t="shared" si="46"/>
        <v>0</v>
      </c>
      <c r="AJ306" s="126" t="e">
        <v>#N/A</v>
      </c>
      <c r="AK306" s="80">
        <f t="shared" si="43"/>
        <v>0</v>
      </c>
      <c r="AM306" s="85"/>
    </row>
    <row r="307" spans="1:39" hidden="1" x14ac:dyDescent="0.3">
      <c r="A307" s="85" t="s">
        <v>34</v>
      </c>
      <c r="B307" s="15" t="s">
        <v>35</v>
      </c>
      <c r="C307" s="15" t="s">
        <v>59</v>
      </c>
      <c r="D307" s="15" t="s">
        <v>60</v>
      </c>
      <c r="E307" s="15" t="s">
        <v>78</v>
      </c>
      <c r="F307" s="15" t="s">
        <v>360</v>
      </c>
      <c r="G307" s="15" t="s">
        <v>78</v>
      </c>
      <c r="H307" s="154"/>
      <c r="I307" s="3" t="s">
        <v>3356</v>
      </c>
      <c r="J307" s="1" t="s">
        <v>3326</v>
      </c>
      <c r="K307" s="1" t="s">
        <v>3283</v>
      </c>
      <c r="L307" s="1" t="s">
        <v>35</v>
      </c>
      <c r="M307" s="95"/>
      <c r="N307" s="3" t="s">
        <v>80</v>
      </c>
      <c r="O307" s="8" t="s">
        <v>45</v>
      </c>
      <c r="P307" s="8" t="s">
        <v>353</v>
      </c>
      <c r="Q307" s="9">
        <v>0.06</v>
      </c>
      <c r="R307" s="138"/>
      <c r="T307" s="18">
        <v>0</v>
      </c>
      <c r="U307" s="4">
        <v>3339000</v>
      </c>
      <c r="V307" s="4">
        <v>1451215.6</v>
      </c>
      <c r="W307" s="13">
        <f t="shared" si="47"/>
        <v>1887784.4</v>
      </c>
      <c r="X307" s="13">
        <f t="shared" si="44"/>
        <v>1369071.3207547171</v>
      </c>
      <c r="Y307" s="13">
        <f t="shared" si="39"/>
        <v>0</v>
      </c>
      <c r="Z307" s="2">
        <v>0</v>
      </c>
      <c r="AA307" s="4">
        <v>0</v>
      </c>
      <c r="AB307" s="4">
        <f t="shared" si="40"/>
        <v>1369071.3207547171</v>
      </c>
      <c r="AC307" s="6">
        <f t="shared" si="41"/>
        <v>82144.279245282989</v>
      </c>
      <c r="AD307" s="13">
        <f t="shared" si="45"/>
        <v>1451215.6</v>
      </c>
      <c r="AE307" s="2">
        <v>0.05</v>
      </c>
      <c r="AF307" s="5">
        <f t="shared" si="42"/>
        <v>72560.780000000013</v>
      </c>
      <c r="AG307" s="2">
        <v>0</v>
      </c>
      <c r="AH307" s="5">
        <f t="shared" si="46"/>
        <v>1451215.6</v>
      </c>
      <c r="AJ307" s="126" t="e">
        <v>#N/A</v>
      </c>
      <c r="AK307" s="80">
        <f t="shared" si="43"/>
        <v>0</v>
      </c>
      <c r="AM307" s="85"/>
    </row>
    <row r="308" spans="1:39" hidden="1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360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105</v>
      </c>
      <c r="P308" s="8" t="s">
        <v>353</v>
      </c>
      <c r="Q308" s="9">
        <v>0.06</v>
      </c>
      <c r="R308" s="138"/>
      <c r="T308" s="18">
        <v>0</v>
      </c>
      <c r="U308" s="4">
        <v>0</v>
      </c>
      <c r="V308" s="4">
        <v>19002.559999999998</v>
      </c>
      <c r="W308" s="13">
        <f t="shared" si="47"/>
        <v>-19002.559999999998</v>
      </c>
      <c r="X308" s="13">
        <f t="shared" si="44"/>
        <v>17926.943396226412</v>
      </c>
      <c r="Y308" s="13">
        <f t="shared" si="39"/>
        <v>0</v>
      </c>
      <c r="Z308" s="2">
        <v>0</v>
      </c>
      <c r="AA308" s="4">
        <v>0</v>
      </c>
      <c r="AB308" s="4">
        <f t="shared" si="40"/>
        <v>17926.943396226412</v>
      </c>
      <c r="AC308" s="6">
        <f t="shared" si="41"/>
        <v>1075.6166037735857</v>
      </c>
      <c r="AD308" s="13">
        <f t="shared" si="45"/>
        <v>19002.559999999998</v>
      </c>
      <c r="AE308" s="2">
        <v>0.05</v>
      </c>
      <c r="AF308" s="5">
        <f t="shared" si="42"/>
        <v>950.12799999999993</v>
      </c>
      <c r="AG308" s="2">
        <v>0</v>
      </c>
      <c r="AH308" s="5">
        <f t="shared" si="46"/>
        <v>19002.559999999998</v>
      </c>
      <c r="AJ308" s="126" t="e">
        <v>#N/A</v>
      </c>
      <c r="AK308" s="80">
        <f t="shared" si="43"/>
        <v>0</v>
      </c>
      <c r="AM308" s="85"/>
    </row>
    <row r="309" spans="1:39" hidden="1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82</v>
      </c>
      <c r="F309" s="15" t="s">
        <v>361</v>
      </c>
      <c r="G309" s="15" t="s">
        <v>82</v>
      </c>
      <c r="H309" s="154"/>
      <c r="I309" s="3" t="s">
        <v>3356</v>
      </c>
      <c r="J309" s="1" t="s">
        <v>3326</v>
      </c>
      <c r="K309" s="1" t="s">
        <v>3707</v>
      </c>
      <c r="L309" s="1" t="s">
        <v>35</v>
      </c>
      <c r="M309" s="95"/>
      <c r="N309" s="3" t="s">
        <v>3707</v>
      </c>
      <c r="O309" s="8" t="s">
        <v>105</v>
      </c>
      <c r="P309" s="8" t="s">
        <v>343</v>
      </c>
      <c r="Q309" s="9">
        <v>0.06</v>
      </c>
      <c r="R309" s="138"/>
      <c r="S309" s="3" t="s">
        <v>84</v>
      </c>
      <c r="T309" s="18">
        <v>0</v>
      </c>
      <c r="U309" s="4">
        <v>0</v>
      </c>
      <c r="V309" s="4">
        <v>58759.740000000005</v>
      </c>
      <c r="W309" s="13">
        <f t="shared" si="47"/>
        <v>-58759.740000000005</v>
      </c>
      <c r="X309" s="13">
        <f t="shared" si="44"/>
        <v>58759.740000000005</v>
      </c>
      <c r="Y309" s="13">
        <f t="shared" si="39"/>
        <v>0</v>
      </c>
      <c r="Z309" s="2">
        <v>0</v>
      </c>
      <c r="AA309" s="4">
        <v>0</v>
      </c>
      <c r="AB309" s="4">
        <f t="shared" si="40"/>
        <v>58759.740000000005</v>
      </c>
      <c r="AC309" s="6">
        <f t="shared" si="41"/>
        <v>3525.5844000000002</v>
      </c>
      <c r="AD309" s="13">
        <f t="shared" si="45"/>
        <v>58759.740000000005</v>
      </c>
      <c r="AE309" s="2">
        <v>0.05</v>
      </c>
      <c r="AF309" s="5">
        <f t="shared" si="42"/>
        <v>2937.9870000000005</v>
      </c>
      <c r="AG309" s="2">
        <v>0</v>
      </c>
      <c r="AH309" s="5">
        <f t="shared" si="46"/>
        <v>58759.740000000005</v>
      </c>
      <c r="AJ309" s="126" t="e">
        <v>#N/A</v>
      </c>
      <c r="AK309" s="80">
        <f t="shared" si="43"/>
        <v>0</v>
      </c>
      <c r="AM309" s="85"/>
    </row>
    <row r="310" spans="1:39" hidden="1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85</v>
      </c>
      <c r="F310" s="15" t="s">
        <v>362</v>
      </c>
      <c r="G310" s="15" t="s">
        <v>85</v>
      </c>
      <c r="H310" s="154"/>
      <c r="I310" s="3" t="s">
        <v>3356</v>
      </c>
      <c r="J310" s="1" t="s">
        <v>3326</v>
      </c>
      <c r="K310" s="1" t="s">
        <v>3707</v>
      </c>
      <c r="L310" s="1" t="s">
        <v>35</v>
      </c>
      <c r="M310" s="95"/>
      <c r="N310" s="3" t="s">
        <v>3708</v>
      </c>
      <c r="O310" s="8" t="s">
        <v>45</v>
      </c>
      <c r="P310" s="8" t="s">
        <v>343</v>
      </c>
      <c r="Q310" s="9">
        <v>0.06</v>
      </c>
      <c r="R310" s="138"/>
      <c r="S310" s="3" t="s">
        <v>87</v>
      </c>
      <c r="T310" s="18">
        <v>0</v>
      </c>
      <c r="U310" s="4">
        <v>0</v>
      </c>
      <c r="V310" s="4">
        <v>1507041.33</v>
      </c>
      <c r="W310" s="13">
        <f t="shared" si="47"/>
        <v>-1507041.33</v>
      </c>
      <c r="X310" s="13">
        <f t="shared" si="44"/>
        <v>1507041.33</v>
      </c>
      <c r="Y310" s="13">
        <f t="shared" si="39"/>
        <v>0</v>
      </c>
      <c r="Z310" s="2">
        <v>0</v>
      </c>
      <c r="AA310" s="4">
        <v>0</v>
      </c>
      <c r="AB310" s="4">
        <f t="shared" si="40"/>
        <v>1507041.33</v>
      </c>
      <c r="AC310" s="6">
        <f t="shared" si="41"/>
        <v>90422.479800000001</v>
      </c>
      <c r="AD310" s="13">
        <f t="shared" si="45"/>
        <v>1507041.33</v>
      </c>
      <c r="AE310" s="2">
        <v>0.05</v>
      </c>
      <c r="AF310" s="5">
        <f t="shared" si="42"/>
        <v>75352.066500000001</v>
      </c>
      <c r="AG310" s="2">
        <v>0</v>
      </c>
      <c r="AH310" s="5">
        <f t="shared" si="46"/>
        <v>1507041.33</v>
      </c>
      <c r="AJ310" s="126" t="e">
        <v>#N/A</v>
      </c>
      <c r="AK310" s="80">
        <f t="shared" si="43"/>
        <v>0</v>
      </c>
      <c r="AM310" s="85"/>
    </row>
    <row r="311" spans="1:39" hidden="1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15" t="s">
        <v>85</v>
      </c>
      <c r="F311" s="15" t="s">
        <v>362</v>
      </c>
      <c r="G311" s="15" t="s">
        <v>85</v>
      </c>
      <c r="H311" s="154"/>
      <c r="I311" s="3" t="s">
        <v>3356</v>
      </c>
      <c r="J311" s="1" t="s">
        <v>3326</v>
      </c>
      <c r="K311" s="1" t="s">
        <v>3707</v>
      </c>
      <c r="L311" s="1" t="s">
        <v>35</v>
      </c>
      <c r="M311" s="95"/>
      <c r="N311" s="3" t="s">
        <v>3708</v>
      </c>
      <c r="O311" s="8" t="s">
        <v>105</v>
      </c>
      <c r="P311" s="8" t="s">
        <v>343</v>
      </c>
      <c r="Q311" s="9">
        <v>0.06</v>
      </c>
      <c r="R311" s="138"/>
      <c r="S311" s="3" t="s">
        <v>87</v>
      </c>
      <c r="T311" s="18">
        <v>0</v>
      </c>
      <c r="U311" s="4">
        <v>0</v>
      </c>
      <c r="V311" s="4">
        <v>0.33</v>
      </c>
      <c r="W311" s="13">
        <f t="shared" si="47"/>
        <v>-0.33</v>
      </c>
      <c r="X311" s="13">
        <f t="shared" si="44"/>
        <v>0.33</v>
      </c>
      <c r="Y311" s="13">
        <f t="shared" si="39"/>
        <v>0</v>
      </c>
      <c r="Z311" s="2">
        <v>0</v>
      </c>
      <c r="AA311" s="4">
        <v>0</v>
      </c>
      <c r="AB311" s="4">
        <f t="shared" si="40"/>
        <v>0.33</v>
      </c>
      <c r="AC311" s="6">
        <f t="shared" si="41"/>
        <v>1.9800000000000002E-2</v>
      </c>
      <c r="AD311" s="13">
        <f t="shared" si="45"/>
        <v>0.33</v>
      </c>
      <c r="AE311" s="2">
        <v>0.05</v>
      </c>
      <c r="AF311" s="5">
        <f t="shared" si="42"/>
        <v>1.6500000000000001E-2</v>
      </c>
      <c r="AG311" s="2">
        <v>0</v>
      </c>
      <c r="AH311" s="5">
        <f t="shared" si="46"/>
        <v>0.33</v>
      </c>
      <c r="AJ311" s="126" t="e">
        <v>#N/A</v>
      </c>
      <c r="AK311" s="80">
        <f t="shared" si="43"/>
        <v>0</v>
      </c>
      <c r="AM311" s="85"/>
    </row>
    <row r="312" spans="1:39" hidden="1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15" t="s">
        <v>85</v>
      </c>
      <c r="F312" s="15" t="s">
        <v>362</v>
      </c>
      <c r="G312" s="15" t="s">
        <v>85</v>
      </c>
      <c r="H312" s="154"/>
      <c r="I312" s="3" t="s">
        <v>3356</v>
      </c>
      <c r="J312" s="1" t="s">
        <v>3326</v>
      </c>
      <c r="K312" s="1" t="s">
        <v>3707</v>
      </c>
      <c r="L312" s="1" t="s">
        <v>35</v>
      </c>
      <c r="M312" s="95"/>
      <c r="N312" s="3" t="s">
        <v>3708</v>
      </c>
      <c r="O312" s="8" t="s">
        <v>105</v>
      </c>
      <c r="P312" s="8" t="s">
        <v>343</v>
      </c>
      <c r="Q312" s="9">
        <v>0.06</v>
      </c>
      <c r="R312" s="138"/>
      <c r="S312" s="3" t="s">
        <v>87</v>
      </c>
      <c r="T312" s="18">
        <v>0</v>
      </c>
      <c r="U312" s="4">
        <v>0</v>
      </c>
      <c r="V312" s="4">
        <v>115474.40999999999</v>
      </c>
      <c r="W312" s="13">
        <f t="shared" si="47"/>
        <v>-115474.40999999999</v>
      </c>
      <c r="X312" s="13">
        <f t="shared" si="44"/>
        <v>115474.40999999999</v>
      </c>
      <c r="Y312" s="13">
        <f t="shared" si="39"/>
        <v>0</v>
      </c>
      <c r="Z312" s="2">
        <v>0</v>
      </c>
      <c r="AA312" s="4">
        <v>0</v>
      </c>
      <c r="AB312" s="4">
        <f t="shared" si="40"/>
        <v>115474.40999999999</v>
      </c>
      <c r="AC312" s="6">
        <f t="shared" si="41"/>
        <v>6928.4645999999993</v>
      </c>
      <c r="AD312" s="13">
        <f t="shared" si="45"/>
        <v>115474.40999999999</v>
      </c>
      <c r="AE312" s="2">
        <v>0.05</v>
      </c>
      <c r="AF312" s="5">
        <f t="shared" si="42"/>
        <v>5773.7204999999994</v>
      </c>
      <c r="AG312" s="2">
        <v>0</v>
      </c>
      <c r="AH312" s="5">
        <f t="shared" si="46"/>
        <v>115474.40999999999</v>
      </c>
      <c r="AJ312" s="126" t="e">
        <v>#N/A</v>
      </c>
      <c r="AK312" s="80">
        <f t="shared" si="43"/>
        <v>0</v>
      </c>
      <c r="AM312" s="85"/>
    </row>
    <row r="313" spans="1:39" hidden="1" x14ac:dyDescent="0.3">
      <c r="A313" s="85" t="s">
        <v>34</v>
      </c>
      <c r="B313" s="15" t="s">
        <v>35</v>
      </c>
      <c r="C313" s="15" t="s">
        <v>59</v>
      </c>
      <c r="D313" s="15" t="s">
        <v>60</v>
      </c>
      <c r="E313" s="15" t="s">
        <v>89</v>
      </c>
      <c r="F313" s="15" t="s">
        <v>363</v>
      </c>
      <c r="G313" s="15" t="s">
        <v>89</v>
      </c>
      <c r="H313" s="154"/>
      <c r="I313" s="3" t="s">
        <v>3356</v>
      </c>
      <c r="J313" s="1" t="s">
        <v>3326</v>
      </c>
      <c r="K313" s="1" t="s">
        <v>3707</v>
      </c>
      <c r="L313" s="1" t="s">
        <v>35</v>
      </c>
      <c r="M313" s="95"/>
      <c r="N313" s="3" t="s">
        <v>3708</v>
      </c>
      <c r="O313" s="8" t="s">
        <v>45</v>
      </c>
      <c r="P313" s="8" t="s">
        <v>343</v>
      </c>
      <c r="Q313" s="9">
        <v>0.06</v>
      </c>
      <c r="R313" s="138"/>
      <c r="T313" s="18">
        <v>0</v>
      </c>
      <c r="U313" s="4">
        <v>0</v>
      </c>
      <c r="V313" s="4">
        <v>235.65999999999997</v>
      </c>
      <c r="W313" s="13">
        <f t="shared" si="47"/>
        <v>-235.65999999999997</v>
      </c>
      <c r="X313" s="13">
        <f t="shared" si="44"/>
        <v>235.65999999999997</v>
      </c>
      <c r="Y313" s="13">
        <f t="shared" si="39"/>
        <v>0</v>
      </c>
      <c r="Z313" s="2">
        <v>0</v>
      </c>
      <c r="AA313" s="4">
        <v>0</v>
      </c>
      <c r="AB313" s="4">
        <f t="shared" si="40"/>
        <v>235.65999999999997</v>
      </c>
      <c r="AC313" s="6">
        <f t="shared" si="41"/>
        <v>14.139599999999998</v>
      </c>
      <c r="AD313" s="13">
        <f t="shared" si="45"/>
        <v>235.65999999999997</v>
      </c>
      <c r="AE313" s="2">
        <v>0.05</v>
      </c>
      <c r="AF313" s="5">
        <f t="shared" si="42"/>
        <v>11.782999999999999</v>
      </c>
      <c r="AG313" s="2">
        <v>0</v>
      </c>
      <c r="AH313" s="5">
        <f t="shared" si="46"/>
        <v>235.65999999999997</v>
      </c>
      <c r="AJ313" s="126" t="e">
        <v>#N/A</v>
      </c>
      <c r="AK313" s="80">
        <f t="shared" si="43"/>
        <v>0</v>
      </c>
      <c r="AM313" s="85"/>
    </row>
    <row r="314" spans="1:39" hidden="1" x14ac:dyDescent="0.3">
      <c r="A314" s="85" t="s">
        <v>34</v>
      </c>
      <c r="B314" s="15" t="s">
        <v>35</v>
      </c>
      <c r="C314" s="15" t="s">
        <v>59</v>
      </c>
      <c r="D314" s="15" t="s">
        <v>60</v>
      </c>
      <c r="E314" s="15" t="s">
        <v>89</v>
      </c>
      <c r="F314" s="15" t="s">
        <v>363</v>
      </c>
      <c r="G314" s="15" t="s">
        <v>89</v>
      </c>
      <c r="H314" s="154"/>
      <c r="I314" s="3" t="s">
        <v>3356</v>
      </c>
      <c r="J314" s="1" t="s">
        <v>3326</v>
      </c>
      <c r="K314" s="1" t="s">
        <v>3707</v>
      </c>
      <c r="L314" s="1" t="s">
        <v>35</v>
      </c>
      <c r="M314" s="95"/>
      <c r="N314" s="3" t="s">
        <v>3708</v>
      </c>
      <c r="O314" s="8" t="s">
        <v>105</v>
      </c>
      <c r="P314" s="8" t="s">
        <v>343</v>
      </c>
      <c r="Q314" s="9">
        <v>0.06</v>
      </c>
      <c r="R314" s="138"/>
      <c r="T314" s="18">
        <v>0</v>
      </c>
      <c r="U314" s="4">
        <v>0</v>
      </c>
      <c r="V314" s="4">
        <v>639.47000000000014</v>
      </c>
      <c r="W314" s="13">
        <f t="shared" si="47"/>
        <v>-639.47000000000014</v>
      </c>
      <c r="X314" s="13">
        <f t="shared" si="44"/>
        <v>639.47000000000014</v>
      </c>
      <c r="Y314" s="13">
        <f t="shared" si="39"/>
        <v>0</v>
      </c>
      <c r="Z314" s="2">
        <v>0</v>
      </c>
      <c r="AA314" s="4">
        <v>0</v>
      </c>
      <c r="AB314" s="4">
        <f t="shared" si="40"/>
        <v>639.47000000000014</v>
      </c>
      <c r="AC314" s="6">
        <f t="shared" si="41"/>
        <v>38.368200000000009</v>
      </c>
      <c r="AD314" s="13">
        <f t="shared" si="45"/>
        <v>639.47000000000014</v>
      </c>
      <c r="AE314" s="2">
        <v>0.05</v>
      </c>
      <c r="AF314" s="5">
        <f t="shared" si="42"/>
        <v>31.973500000000008</v>
      </c>
      <c r="AG314" s="2">
        <v>0</v>
      </c>
      <c r="AH314" s="5">
        <f t="shared" si="46"/>
        <v>639.47000000000014</v>
      </c>
      <c r="AJ314" s="126" t="e">
        <v>#N/A</v>
      </c>
      <c r="AK314" s="80">
        <f t="shared" si="43"/>
        <v>0</v>
      </c>
      <c r="AM314" s="85"/>
    </row>
    <row r="315" spans="1:39" hidden="1" x14ac:dyDescent="0.3">
      <c r="A315" s="85" t="s">
        <v>34</v>
      </c>
      <c r="B315" s="15" t="s">
        <v>35</v>
      </c>
      <c r="C315" s="15" t="s">
        <v>59</v>
      </c>
      <c r="D315" s="15" t="s">
        <v>60</v>
      </c>
      <c r="E315" s="15" t="s">
        <v>95</v>
      </c>
      <c r="F315" s="15" t="s">
        <v>364</v>
      </c>
      <c r="G315" s="15" t="s">
        <v>95</v>
      </c>
      <c r="H315" s="154"/>
      <c r="I315" s="3" t="s">
        <v>3356</v>
      </c>
      <c r="J315" s="1" t="s">
        <v>3326</v>
      </c>
      <c r="K315" s="1" t="s">
        <v>3710</v>
      </c>
      <c r="L315" s="1" t="s">
        <v>35</v>
      </c>
      <c r="M315" s="95"/>
      <c r="N315" s="3" t="s">
        <v>3725</v>
      </c>
      <c r="O315" s="8" t="s">
        <v>45</v>
      </c>
      <c r="P315" s="8" t="s">
        <v>353</v>
      </c>
      <c r="Q315" s="9">
        <v>0.05</v>
      </c>
      <c r="R315" s="138"/>
      <c r="T315" s="18">
        <v>0</v>
      </c>
      <c r="U315" s="4">
        <v>0</v>
      </c>
      <c r="V315" s="4">
        <v>366684.35</v>
      </c>
      <c r="W315" s="13">
        <f t="shared" si="47"/>
        <v>-366684.35</v>
      </c>
      <c r="X315" s="13">
        <f t="shared" si="44"/>
        <v>349223.19047619042</v>
      </c>
      <c r="Y315" s="13">
        <f t="shared" si="39"/>
        <v>0</v>
      </c>
      <c r="Z315" s="2">
        <v>0</v>
      </c>
      <c r="AA315" s="4">
        <v>0</v>
      </c>
      <c r="AB315" s="4">
        <f t="shared" si="40"/>
        <v>349223.19047619042</v>
      </c>
      <c r="AC315" s="6">
        <f t="shared" si="41"/>
        <v>17461.159523809562</v>
      </c>
      <c r="AD315" s="13">
        <f t="shared" si="45"/>
        <v>366684.35</v>
      </c>
      <c r="AE315" s="2">
        <v>0.05</v>
      </c>
      <c r="AF315" s="5">
        <f t="shared" si="42"/>
        <v>18334.217499999999</v>
      </c>
      <c r="AG315" s="2">
        <v>0</v>
      </c>
      <c r="AH315" s="5">
        <f t="shared" si="46"/>
        <v>366684.35</v>
      </c>
      <c r="AJ315" s="126" t="e">
        <v>#N/A</v>
      </c>
      <c r="AK315" s="80">
        <f t="shared" si="43"/>
        <v>0</v>
      </c>
      <c r="AM315" s="85"/>
    </row>
    <row r="316" spans="1:39" hidden="1" x14ac:dyDescent="0.3">
      <c r="A316" s="85" t="s">
        <v>34</v>
      </c>
      <c r="B316" s="15" t="s">
        <v>35</v>
      </c>
      <c r="C316" s="15" t="s">
        <v>59</v>
      </c>
      <c r="D316" s="15" t="s">
        <v>60</v>
      </c>
      <c r="E316" s="15" t="s">
        <v>95</v>
      </c>
      <c r="F316" s="15" t="s">
        <v>364</v>
      </c>
      <c r="G316" s="15" t="s">
        <v>95</v>
      </c>
      <c r="H316" s="154"/>
      <c r="I316" s="3" t="s">
        <v>3356</v>
      </c>
      <c r="J316" s="1" t="s">
        <v>3326</v>
      </c>
      <c r="K316" s="1" t="s">
        <v>3710</v>
      </c>
      <c r="L316" s="1" t="s">
        <v>35</v>
      </c>
      <c r="M316" s="95"/>
      <c r="N316" s="3" t="s">
        <v>3710</v>
      </c>
      <c r="O316" s="8" t="s">
        <v>105</v>
      </c>
      <c r="P316" s="8" t="s">
        <v>353</v>
      </c>
      <c r="Q316" s="9">
        <v>0.05</v>
      </c>
      <c r="R316" s="138"/>
      <c r="T316" s="18">
        <v>0</v>
      </c>
      <c r="U316" s="4">
        <v>0</v>
      </c>
      <c r="V316" s="4">
        <v>708.51</v>
      </c>
      <c r="W316" s="13">
        <f t="shared" si="47"/>
        <v>-708.51</v>
      </c>
      <c r="X316" s="13">
        <f t="shared" si="44"/>
        <v>674.77142857142849</v>
      </c>
      <c r="Y316" s="13">
        <f t="shared" si="39"/>
        <v>0</v>
      </c>
      <c r="Z316" s="2">
        <v>0</v>
      </c>
      <c r="AA316" s="4">
        <v>0</v>
      </c>
      <c r="AB316" s="4">
        <f t="shared" si="40"/>
        <v>674.77142857142849</v>
      </c>
      <c r="AC316" s="6">
        <f t="shared" si="41"/>
        <v>33.738571428571504</v>
      </c>
      <c r="AD316" s="13">
        <f t="shared" si="45"/>
        <v>708.51</v>
      </c>
      <c r="AE316" s="2">
        <v>0.05</v>
      </c>
      <c r="AF316" s="5">
        <f t="shared" si="42"/>
        <v>35.4255</v>
      </c>
      <c r="AG316" s="2">
        <v>0</v>
      </c>
      <c r="AH316" s="5">
        <f t="shared" si="46"/>
        <v>708.51</v>
      </c>
      <c r="AJ316" s="126" t="e">
        <v>#N/A</v>
      </c>
      <c r="AK316" s="80">
        <f t="shared" si="43"/>
        <v>0</v>
      </c>
      <c r="AM316" s="85"/>
    </row>
    <row r="317" spans="1:39" hidden="1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95</v>
      </c>
      <c r="F317" s="15" t="s">
        <v>364</v>
      </c>
      <c r="G317" s="15" t="s">
        <v>95</v>
      </c>
      <c r="H317" s="154"/>
      <c r="I317" s="3" t="s">
        <v>3356</v>
      </c>
      <c r="J317" s="1" t="s">
        <v>3326</v>
      </c>
      <c r="K317" s="1" t="s">
        <v>3712</v>
      </c>
      <c r="L317" s="1" t="s">
        <v>35</v>
      </c>
      <c r="M317" s="95"/>
      <c r="N317" s="3" t="s">
        <v>3713</v>
      </c>
      <c r="O317" s="8" t="s">
        <v>105</v>
      </c>
      <c r="P317" s="8" t="s">
        <v>353</v>
      </c>
      <c r="Q317" s="9">
        <v>0.05</v>
      </c>
      <c r="R317" s="138"/>
      <c r="T317" s="18">
        <v>0</v>
      </c>
      <c r="U317" s="4">
        <v>0</v>
      </c>
      <c r="V317" s="4">
        <v>1036.8800000000001</v>
      </c>
      <c r="W317" s="13">
        <f t="shared" si="47"/>
        <v>-1036.8800000000001</v>
      </c>
      <c r="X317" s="13">
        <f t="shared" si="44"/>
        <v>987.50476190476195</v>
      </c>
      <c r="Y317" s="13">
        <f t="shared" si="39"/>
        <v>0</v>
      </c>
      <c r="Z317" s="2">
        <v>0</v>
      </c>
      <c r="AA317" s="4">
        <v>0</v>
      </c>
      <c r="AB317" s="4">
        <f t="shared" si="40"/>
        <v>987.50476190476195</v>
      </c>
      <c r="AC317" s="6">
        <f t="shared" si="41"/>
        <v>49.37523809523816</v>
      </c>
      <c r="AD317" s="13">
        <f t="shared" si="45"/>
        <v>1036.8800000000001</v>
      </c>
      <c r="AE317" s="2">
        <v>0.05</v>
      </c>
      <c r="AF317" s="5">
        <f t="shared" si="42"/>
        <v>51.844000000000008</v>
      </c>
      <c r="AG317" s="2">
        <v>0</v>
      </c>
      <c r="AH317" s="5">
        <f t="shared" si="46"/>
        <v>1036.8800000000001</v>
      </c>
      <c r="AJ317" s="126" t="e">
        <v>#N/A</v>
      </c>
      <c r="AK317" s="80">
        <f t="shared" si="43"/>
        <v>0</v>
      </c>
      <c r="AM317" s="85"/>
    </row>
    <row r="318" spans="1:39" hidden="1" x14ac:dyDescent="0.3">
      <c r="A318" s="85" t="s">
        <v>34</v>
      </c>
      <c r="B318" s="15" t="s">
        <v>35</v>
      </c>
      <c r="C318" s="15" t="s">
        <v>59</v>
      </c>
      <c r="D318" s="15" t="s">
        <v>60</v>
      </c>
      <c r="E318" s="15" t="s">
        <v>95</v>
      </c>
      <c r="F318" s="15" t="s">
        <v>364</v>
      </c>
      <c r="G318" s="15" t="s">
        <v>95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45</v>
      </c>
      <c r="P318" s="8" t="s">
        <v>353</v>
      </c>
      <c r="Q318" s="9">
        <v>0.05</v>
      </c>
      <c r="R318" s="138"/>
      <c r="T318" s="18">
        <v>0</v>
      </c>
      <c r="U318" s="4">
        <v>0</v>
      </c>
      <c r="V318" s="4">
        <v>5282.0900000000011</v>
      </c>
      <c r="W318" s="13">
        <f t="shared" si="47"/>
        <v>-5282.0900000000011</v>
      </c>
      <c r="X318" s="13">
        <f t="shared" si="44"/>
        <v>5030.5619047619057</v>
      </c>
      <c r="Y318" s="13">
        <f t="shared" si="39"/>
        <v>0</v>
      </c>
      <c r="Z318" s="2">
        <v>0</v>
      </c>
      <c r="AA318" s="4">
        <v>0</v>
      </c>
      <c r="AB318" s="4">
        <f t="shared" si="40"/>
        <v>5030.5619047619057</v>
      </c>
      <c r="AC318" s="6">
        <f t="shared" si="41"/>
        <v>251.52809523809537</v>
      </c>
      <c r="AD318" s="13">
        <f t="shared" si="45"/>
        <v>5282.0900000000011</v>
      </c>
      <c r="AE318" s="2">
        <v>0.05</v>
      </c>
      <c r="AF318" s="5">
        <f t="shared" si="42"/>
        <v>264.10450000000009</v>
      </c>
      <c r="AG318" s="2">
        <v>0</v>
      </c>
      <c r="AH318" s="5">
        <f t="shared" si="46"/>
        <v>5282.0900000000011</v>
      </c>
      <c r="AJ318" s="126" t="e">
        <v>#N/A</v>
      </c>
      <c r="AK318" s="80">
        <f t="shared" si="43"/>
        <v>0</v>
      </c>
      <c r="AM318" s="85"/>
    </row>
    <row r="319" spans="1:39" hidden="1" x14ac:dyDescent="0.3">
      <c r="A319" s="85" t="s">
        <v>34</v>
      </c>
      <c r="B319" s="15" t="s">
        <v>35</v>
      </c>
      <c r="C319" s="15" t="s">
        <v>36</v>
      </c>
      <c r="D319" s="15" t="s">
        <v>224</v>
      </c>
      <c r="E319" s="15" t="s">
        <v>225</v>
      </c>
      <c r="F319" s="15" t="s">
        <v>365</v>
      </c>
      <c r="G319" s="15" t="s">
        <v>225</v>
      </c>
      <c r="H319" s="154"/>
      <c r="I319" s="3" t="s">
        <v>3356</v>
      </c>
      <c r="J319" s="1" t="s">
        <v>3326</v>
      </c>
      <c r="K319" s="1" t="s">
        <v>3707</v>
      </c>
      <c r="L319" s="1" t="s">
        <v>35</v>
      </c>
      <c r="M319" s="95"/>
      <c r="N319" s="3" t="s">
        <v>3709</v>
      </c>
      <c r="O319" s="8" t="s">
        <v>105</v>
      </c>
      <c r="P319" s="8" t="s">
        <v>353</v>
      </c>
      <c r="Q319" s="9">
        <v>0.01</v>
      </c>
      <c r="R319" s="138"/>
      <c r="T319" s="18">
        <v>0</v>
      </c>
      <c r="U319" s="4">
        <v>0</v>
      </c>
      <c r="V319" s="4">
        <v>37.769999999999996</v>
      </c>
      <c r="W319" s="13">
        <f t="shared" si="47"/>
        <v>-37.769999999999996</v>
      </c>
      <c r="X319" s="13">
        <f t="shared" si="44"/>
        <v>37.396039603960389</v>
      </c>
      <c r="Y319" s="13">
        <f t="shared" si="39"/>
        <v>0</v>
      </c>
      <c r="Z319" s="2">
        <v>0</v>
      </c>
      <c r="AA319" s="4">
        <v>0</v>
      </c>
      <c r="AB319" s="4">
        <f t="shared" si="40"/>
        <v>37.396039603960389</v>
      </c>
      <c r="AC319" s="6">
        <f t="shared" si="41"/>
        <v>0.37396039603960674</v>
      </c>
      <c r="AD319" s="13">
        <f t="shared" si="45"/>
        <v>37.769999999999996</v>
      </c>
      <c r="AE319" s="2">
        <v>0.05</v>
      </c>
      <c r="AF319" s="5">
        <f t="shared" si="42"/>
        <v>1.8884999999999998</v>
      </c>
      <c r="AG319" s="2">
        <v>0</v>
      </c>
      <c r="AH319" s="5">
        <f t="shared" si="46"/>
        <v>37.769999999999996</v>
      </c>
      <c r="AJ319" s="126" t="e">
        <v>#N/A</v>
      </c>
      <c r="AK319" s="80">
        <f t="shared" si="43"/>
        <v>0</v>
      </c>
      <c r="AM319" s="85"/>
    </row>
    <row r="320" spans="1:39" hidden="1" x14ac:dyDescent="0.3">
      <c r="A320" s="85" t="s">
        <v>34</v>
      </c>
      <c r="B320" s="15" t="s">
        <v>35</v>
      </c>
      <c r="C320" s="15" t="s">
        <v>36</v>
      </c>
      <c r="D320" s="15" t="s">
        <v>54</v>
      </c>
      <c r="E320" s="3" t="s">
        <v>100</v>
      </c>
      <c r="F320" s="3" t="s">
        <v>100</v>
      </c>
      <c r="G320" s="3" t="s">
        <v>101</v>
      </c>
      <c r="I320" s="3" t="s">
        <v>3356</v>
      </c>
      <c r="J320" s="1" t="s">
        <v>3326</v>
      </c>
      <c r="K320" s="1" t="s">
        <v>3707</v>
      </c>
      <c r="L320" s="1" t="s">
        <v>35</v>
      </c>
      <c r="M320" s="95"/>
      <c r="N320" s="3" t="s">
        <v>3715</v>
      </c>
      <c r="O320" s="8" t="s">
        <v>105</v>
      </c>
      <c r="P320" s="8" t="s">
        <v>246</v>
      </c>
      <c r="Q320" s="9">
        <v>0</v>
      </c>
      <c r="R320" s="138"/>
      <c r="T320" s="18">
        <v>0</v>
      </c>
      <c r="U320" s="4">
        <v>0</v>
      </c>
      <c r="V320" s="4">
        <v>6189.54</v>
      </c>
      <c r="W320" s="13">
        <f t="shared" si="47"/>
        <v>-6189.54</v>
      </c>
      <c r="X320" s="13">
        <f t="shared" si="44"/>
        <v>6189.54</v>
      </c>
      <c r="Y320" s="13">
        <f t="shared" si="39"/>
        <v>0</v>
      </c>
      <c r="Z320" s="2">
        <v>0</v>
      </c>
      <c r="AA320" s="4">
        <v>0</v>
      </c>
      <c r="AB320" s="4">
        <f t="shared" si="40"/>
        <v>6189.54</v>
      </c>
      <c r="AC320" s="6">
        <f t="shared" si="41"/>
        <v>0</v>
      </c>
      <c r="AD320" s="13">
        <f t="shared" si="45"/>
        <v>6189.54</v>
      </c>
      <c r="AE320" s="2">
        <v>0.05</v>
      </c>
      <c r="AF320" s="5">
        <f t="shared" si="42"/>
        <v>309.47700000000003</v>
      </c>
      <c r="AG320" s="2">
        <v>0</v>
      </c>
      <c r="AH320" s="5">
        <f t="shared" si="46"/>
        <v>6189.54</v>
      </c>
      <c r="AJ320" s="126" t="e">
        <v>#N/A</v>
      </c>
      <c r="AK320" s="80">
        <f t="shared" si="43"/>
        <v>0</v>
      </c>
      <c r="AM320" s="85"/>
    </row>
    <row r="321" spans="1:39" hidden="1" x14ac:dyDescent="0.3">
      <c r="A321" s="85" t="s">
        <v>34</v>
      </c>
      <c r="B321" s="15" t="s">
        <v>35</v>
      </c>
      <c r="C321" s="15" t="s">
        <v>36</v>
      </c>
      <c r="D321" s="15" t="s">
        <v>54</v>
      </c>
      <c r="E321" s="15" t="s">
        <v>108</v>
      </c>
      <c r="F321" s="15" t="s">
        <v>366</v>
      </c>
      <c r="G321" s="15" t="s">
        <v>108</v>
      </c>
      <c r="H321" s="154"/>
      <c r="I321" s="3" t="s">
        <v>3356</v>
      </c>
      <c r="J321" s="1" t="s">
        <v>3326</v>
      </c>
      <c r="K321" s="1" t="s">
        <v>3712</v>
      </c>
      <c r="L321" s="1" t="s">
        <v>35</v>
      </c>
      <c r="M321" s="95"/>
      <c r="N321" s="3" t="s">
        <v>3713</v>
      </c>
      <c r="O321" s="8" t="s">
        <v>45</v>
      </c>
      <c r="P321" s="8" t="s">
        <v>246</v>
      </c>
      <c r="Q321" s="9">
        <v>0</v>
      </c>
      <c r="R321" s="138"/>
      <c r="T321" s="18">
        <v>0</v>
      </c>
      <c r="U321" s="4">
        <v>0</v>
      </c>
      <c r="V321" s="4">
        <v>5855.73</v>
      </c>
      <c r="W321" s="13">
        <f t="shared" si="47"/>
        <v>-5855.73</v>
      </c>
      <c r="X321" s="13">
        <f t="shared" si="44"/>
        <v>5855.73</v>
      </c>
      <c r="Y321" s="13">
        <f t="shared" si="39"/>
        <v>0</v>
      </c>
      <c r="Z321" s="2">
        <v>0</v>
      </c>
      <c r="AA321" s="4">
        <v>0</v>
      </c>
      <c r="AB321" s="4">
        <f t="shared" si="40"/>
        <v>5855.73</v>
      </c>
      <c r="AC321" s="6">
        <f t="shared" si="41"/>
        <v>0</v>
      </c>
      <c r="AD321" s="13">
        <f t="shared" si="45"/>
        <v>5855.73</v>
      </c>
      <c r="AE321" s="2">
        <v>0.05</v>
      </c>
      <c r="AF321" s="5">
        <f t="shared" si="42"/>
        <v>292.78649999999999</v>
      </c>
      <c r="AG321" s="2">
        <v>0</v>
      </c>
      <c r="AH321" s="5">
        <f t="shared" si="46"/>
        <v>5855.73</v>
      </c>
      <c r="AJ321" s="126" t="e">
        <v>#N/A</v>
      </c>
      <c r="AK321" s="80">
        <f t="shared" si="43"/>
        <v>0</v>
      </c>
      <c r="AM321" s="85"/>
    </row>
    <row r="322" spans="1:39" hidden="1" x14ac:dyDescent="0.3">
      <c r="A322" s="85" t="s">
        <v>34</v>
      </c>
      <c r="B322" s="15" t="s">
        <v>35</v>
      </c>
      <c r="C322" s="15" t="s">
        <v>36</v>
      </c>
      <c r="D322" s="15" t="s">
        <v>54</v>
      </c>
      <c r="E322" s="15" t="s">
        <v>108</v>
      </c>
      <c r="F322" s="15" t="s">
        <v>366</v>
      </c>
      <c r="G322" s="15" t="s">
        <v>108</v>
      </c>
      <c r="H322" s="154"/>
      <c r="I322" s="3" t="s">
        <v>3356</v>
      </c>
      <c r="J322" s="1" t="s">
        <v>3326</v>
      </c>
      <c r="K322" s="1" t="s">
        <v>3712</v>
      </c>
      <c r="L322" s="1" t="s">
        <v>35</v>
      </c>
      <c r="M322" s="95"/>
      <c r="N322" s="3" t="s">
        <v>3712</v>
      </c>
      <c r="O322" s="8" t="s">
        <v>105</v>
      </c>
      <c r="P322" s="8" t="s">
        <v>246</v>
      </c>
      <c r="Q322" s="9">
        <v>0</v>
      </c>
      <c r="R322" s="138"/>
      <c r="T322" s="18">
        <v>0</v>
      </c>
      <c r="U322" s="4">
        <v>0</v>
      </c>
      <c r="V322" s="4">
        <v>686.11000000000013</v>
      </c>
      <c r="W322" s="13">
        <f t="shared" si="47"/>
        <v>-686.11000000000013</v>
      </c>
      <c r="X322" s="13">
        <f t="shared" si="44"/>
        <v>686.11000000000013</v>
      </c>
      <c r="Y322" s="13">
        <f t="shared" si="39"/>
        <v>0</v>
      </c>
      <c r="Z322" s="2">
        <v>0</v>
      </c>
      <c r="AA322" s="4">
        <v>0</v>
      </c>
      <c r="AB322" s="4">
        <f t="shared" si="40"/>
        <v>686.11000000000013</v>
      </c>
      <c r="AC322" s="6">
        <f t="shared" si="41"/>
        <v>0</v>
      </c>
      <c r="AD322" s="13">
        <f t="shared" si="45"/>
        <v>686.11000000000013</v>
      </c>
      <c r="AE322" s="2">
        <v>0.05</v>
      </c>
      <c r="AF322" s="5">
        <f t="shared" si="42"/>
        <v>34.305500000000009</v>
      </c>
      <c r="AG322" s="2">
        <v>0</v>
      </c>
      <c r="AH322" s="5">
        <f t="shared" si="46"/>
        <v>686.11000000000013</v>
      </c>
      <c r="AJ322" s="126" t="e">
        <v>#N/A</v>
      </c>
      <c r="AK322" s="80">
        <f t="shared" si="43"/>
        <v>0</v>
      </c>
      <c r="AM322" s="85"/>
    </row>
    <row r="323" spans="1:39" hidden="1" x14ac:dyDescent="0.3">
      <c r="A323" s="85" t="s">
        <v>34</v>
      </c>
      <c r="B323" s="15" t="s">
        <v>35</v>
      </c>
      <c r="C323" s="15" t="s">
        <v>36</v>
      </c>
      <c r="D323" s="15" t="s">
        <v>37</v>
      </c>
      <c r="E323" s="15" t="s">
        <v>228</v>
      </c>
      <c r="F323" s="15" t="s">
        <v>367</v>
      </c>
      <c r="G323" s="15" t="s">
        <v>228</v>
      </c>
      <c r="H323" s="154"/>
      <c r="I323" s="3" t="s">
        <v>3356</v>
      </c>
      <c r="J323" s="1" t="s">
        <v>3326</v>
      </c>
      <c r="K323" s="1" t="s">
        <v>3712</v>
      </c>
      <c r="L323" s="1" t="s">
        <v>35</v>
      </c>
      <c r="M323" s="95"/>
      <c r="N323" s="3" t="s">
        <v>3712</v>
      </c>
      <c r="O323" s="8" t="s">
        <v>105</v>
      </c>
      <c r="P323" s="8" t="s">
        <v>246</v>
      </c>
      <c r="Q323" s="9">
        <v>0</v>
      </c>
      <c r="R323" s="138"/>
      <c r="T323" s="18">
        <v>0</v>
      </c>
      <c r="U323" s="4">
        <v>0</v>
      </c>
      <c r="V323" s="4">
        <v>95.180000000000021</v>
      </c>
      <c r="W323" s="13">
        <f t="shared" si="47"/>
        <v>-95.180000000000021</v>
      </c>
      <c r="X323" s="13">
        <f t="shared" si="44"/>
        <v>95.180000000000021</v>
      </c>
      <c r="Y323" s="13">
        <f t="shared" ref="Y323:Y386" si="48">IF(X323-AD323&lt;=0,0,IF(P323="返现",MAX(X323-AC323-AD323,0),MAX(X323-AD323)))</f>
        <v>0</v>
      </c>
      <c r="Z323" s="2">
        <v>0</v>
      </c>
      <c r="AA323" s="4">
        <v>0</v>
      </c>
      <c r="AB323" s="4">
        <f t="shared" ref="AB323:AB386" si="49">X323+AA323</f>
        <v>95.180000000000021</v>
      </c>
      <c r="AC323" s="6">
        <f t="shared" ref="AC323:AC386" si="50">IF(P323="返现",X323*Q323,V323-X323)</f>
        <v>0</v>
      </c>
      <c r="AD323" s="13">
        <f t="shared" si="45"/>
        <v>95.180000000000021</v>
      </c>
      <c r="AE323" s="2">
        <v>0.05</v>
      </c>
      <c r="AF323" s="5">
        <f t="shared" ref="AF323:AF386" si="51">AD323*AE323</f>
        <v>4.7590000000000012</v>
      </c>
      <c r="AG323" s="2">
        <v>0</v>
      </c>
      <c r="AH323" s="5">
        <f t="shared" si="46"/>
        <v>95.180000000000021</v>
      </c>
      <c r="AJ323" s="126" t="e">
        <v>#N/A</v>
      </c>
      <c r="AK323" s="80">
        <f t="shared" ref="AK323:AK386" si="52">X323+AA323-AB323</f>
        <v>0</v>
      </c>
      <c r="AM323" s="85"/>
    </row>
    <row r="324" spans="1:39" hidden="1" x14ac:dyDescent="0.3">
      <c r="A324" s="85" t="s">
        <v>34</v>
      </c>
      <c r="B324" s="15" t="s">
        <v>35</v>
      </c>
      <c r="C324" s="15" t="s">
        <v>65</v>
      </c>
      <c r="D324" s="15" t="s">
        <v>116</v>
      </c>
      <c r="E324" s="15" t="s">
        <v>117</v>
      </c>
      <c r="F324" s="15" t="s">
        <v>368</v>
      </c>
      <c r="G324" s="15" t="s">
        <v>117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353</v>
      </c>
      <c r="Q324" s="9">
        <v>0.06</v>
      </c>
      <c r="R324" s="138"/>
      <c r="T324" s="18">
        <v>0</v>
      </c>
      <c r="U324" s="4">
        <v>0</v>
      </c>
      <c r="V324" s="4">
        <v>122.30999999999999</v>
      </c>
      <c r="W324" s="13">
        <f t="shared" si="47"/>
        <v>-122.30999999999999</v>
      </c>
      <c r="X324" s="13">
        <f t="shared" si="44"/>
        <v>115.38679245283018</v>
      </c>
      <c r="Y324" s="13">
        <f t="shared" si="48"/>
        <v>0</v>
      </c>
      <c r="Z324" s="2">
        <v>0</v>
      </c>
      <c r="AA324" s="4">
        <v>0</v>
      </c>
      <c r="AB324" s="4">
        <f t="shared" si="49"/>
        <v>115.38679245283018</v>
      </c>
      <c r="AC324" s="6">
        <f t="shared" si="50"/>
        <v>6.9232075471698096</v>
      </c>
      <c r="AD324" s="13">
        <f t="shared" si="45"/>
        <v>122.30999999999999</v>
      </c>
      <c r="AE324" s="2">
        <v>0.05</v>
      </c>
      <c r="AF324" s="5">
        <f t="shared" si="51"/>
        <v>6.1154999999999999</v>
      </c>
      <c r="AG324" s="2">
        <v>0</v>
      </c>
      <c r="AH324" s="5">
        <f t="shared" si="46"/>
        <v>122.30999999999999</v>
      </c>
      <c r="AJ324" s="126" t="e">
        <v>#N/A</v>
      </c>
      <c r="AK324" s="80">
        <f t="shared" si="52"/>
        <v>0</v>
      </c>
      <c r="AM324" s="85"/>
    </row>
    <row r="325" spans="1:39" hidden="1" x14ac:dyDescent="0.3">
      <c r="A325" s="85" t="s">
        <v>34</v>
      </c>
      <c r="B325" s="15" t="s">
        <v>35</v>
      </c>
      <c r="C325" s="15" t="s">
        <v>65</v>
      </c>
      <c r="D325" s="15" t="s">
        <v>66</v>
      </c>
      <c r="E325" s="15" t="s">
        <v>121</v>
      </c>
      <c r="F325" s="15" t="s">
        <v>369</v>
      </c>
      <c r="G325" s="15" t="s">
        <v>121</v>
      </c>
      <c r="H325" s="154"/>
      <c r="I325" s="3" t="s">
        <v>3356</v>
      </c>
      <c r="J325" s="1" t="s">
        <v>3326</v>
      </c>
      <c r="K325" s="1" t="s">
        <v>3707</v>
      </c>
      <c r="L325" s="1" t="s">
        <v>35</v>
      </c>
      <c r="M325" s="95"/>
      <c r="N325" s="3" t="s">
        <v>3716</v>
      </c>
      <c r="O325" s="8" t="s">
        <v>105</v>
      </c>
      <c r="P325" s="8" t="s">
        <v>353</v>
      </c>
      <c r="Q325" s="9">
        <v>0.03</v>
      </c>
      <c r="R325" s="138"/>
      <c r="T325" s="18">
        <v>0</v>
      </c>
      <c r="U325" s="4">
        <v>0</v>
      </c>
      <c r="V325" s="4">
        <v>1307.04</v>
      </c>
      <c r="W325" s="13">
        <f t="shared" si="47"/>
        <v>-1307.04</v>
      </c>
      <c r="X325" s="13">
        <f t="shared" si="44"/>
        <v>1268.9708737864078</v>
      </c>
      <c r="Y325" s="13">
        <f t="shared" si="48"/>
        <v>0</v>
      </c>
      <c r="Z325" s="2">
        <v>0</v>
      </c>
      <c r="AA325" s="4">
        <v>0</v>
      </c>
      <c r="AB325" s="4">
        <f t="shared" si="49"/>
        <v>1268.9708737864078</v>
      </c>
      <c r="AC325" s="6">
        <f t="shared" si="50"/>
        <v>38.069126213592199</v>
      </c>
      <c r="AD325" s="13">
        <f t="shared" si="45"/>
        <v>1307.04</v>
      </c>
      <c r="AE325" s="2">
        <v>0.05</v>
      </c>
      <c r="AF325" s="5">
        <f t="shared" si="51"/>
        <v>65.352000000000004</v>
      </c>
      <c r="AG325" s="2">
        <v>0</v>
      </c>
      <c r="AH325" s="5">
        <f t="shared" si="46"/>
        <v>1307.04</v>
      </c>
      <c r="AJ325" s="126" t="e">
        <v>#N/A</v>
      </c>
      <c r="AK325" s="80">
        <f t="shared" si="52"/>
        <v>0</v>
      </c>
      <c r="AM325" s="85"/>
    </row>
    <row r="326" spans="1:39" hidden="1" x14ac:dyDescent="0.3">
      <c r="A326" s="85" t="s">
        <v>34</v>
      </c>
      <c r="B326" s="15" t="s">
        <v>35</v>
      </c>
      <c r="C326" s="15" t="s">
        <v>65</v>
      </c>
      <c r="D326" s="15" t="s">
        <v>122</v>
      </c>
      <c r="E326" s="15" t="s">
        <v>123</v>
      </c>
      <c r="F326" s="15" t="s">
        <v>370</v>
      </c>
      <c r="G326" s="15" t="s">
        <v>123</v>
      </c>
      <c r="H326" s="139"/>
      <c r="I326" s="3" t="s">
        <v>3356</v>
      </c>
      <c r="J326" s="1" t="s">
        <v>3326</v>
      </c>
      <c r="K326" s="1" t="s">
        <v>3707</v>
      </c>
      <c r="L326" s="1" t="s">
        <v>35</v>
      </c>
      <c r="M326" s="95"/>
      <c r="N326" s="3" t="s">
        <v>3707</v>
      </c>
      <c r="O326" s="8" t="s">
        <v>105</v>
      </c>
      <c r="P326" s="8" t="s">
        <v>246</v>
      </c>
      <c r="Q326" s="9">
        <v>0</v>
      </c>
      <c r="R326" s="138"/>
      <c r="T326" s="18">
        <v>0</v>
      </c>
      <c r="U326" s="4">
        <v>0</v>
      </c>
      <c r="V326" s="4">
        <v>0</v>
      </c>
      <c r="W326" s="13">
        <f t="shared" si="47"/>
        <v>0</v>
      </c>
      <c r="X326" s="13">
        <f t="shared" si="44"/>
        <v>0</v>
      </c>
      <c r="Y326" s="13">
        <f t="shared" si="48"/>
        <v>0</v>
      </c>
      <c r="Z326" s="2">
        <v>0</v>
      </c>
      <c r="AA326" s="4">
        <v>0</v>
      </c>
      <c r="AB326" s="4">
        <f t="shared" si="49"/>
        <v>0</v>
      </c>
      <c r="AC326" s="6">
        <f t="shared" si="50"/>
        <v>0</v>
      </c>
      <c r="AD326" s="13">
        <f t="shared" si="45"/>
        <v>0</v>
      </c>
      <c r="AE326" s="2">
        <v>0.05</v>
      </c>
      <c r="AF326" s="5">
        <f t="shared" si="51"/>
        <v>0</v>
      </c>
      <c r="AG326" s="2">
        <v>0</v>
      </c>
      <c r="AH326" s="5">
        <f t="shared" si="46"/>
        <v>0</v>
      </c>
      <c r="AJ326" s="126" t="e">
        <v>#N/A</v>
      </c>
      <c r="AK326" s="80">
        <f t="shared" si="52"/>
        <v>0</v>
      </c>
      <c r="AM326" s="85"/>
    </row>
    <row r="327" spans="1:39" hidden="1" x14ac:dyDescent="0.3">
      <c r="A327" s="85" t="s">
        <v>34</v>
      </c>
      <c r="B327" s="15" t="s">
        <v>35</v>
      </c>
      <c r="C327" s="15" t="s">
        <v>65</v>
      </c>
      <c r="D327" s="15" t="s">
        <v>122</v>
      </c>
      <c r="E327" s="15" t="s">
        <v>124</v>
      </c>
      <c r="F327" s="15" t="s">
        <v>371</v>
      </c>
      <c r="G327" s="15" t="s">
        <v>124</v>
      </c>
      <c r="H327" s="154"/>
      <c r="I327" s="3" t="s">
        <v>3356</v>
      </c>
      <c r="J327" s="1" t="s">
        <v>3326</v>
      </c>
      <c r="K327" s="1" t="s">
        <v>3712</v>
      </c>
      <c r="L327" s="1" t="s">
        <v>35</v>
      </c>
      <c r="M327" s="95"/>
      <c r="N327" s="3" t="s">
        <v>3712</v>
      </c>
      <c r="O327" s="8" t="s">
        <v>105</v>
      </c>
      <c r="P327" s="8" t="s">
        <v>353</v>
      </c>
      <c r="Q327" s="9">
        <v>0</v>
      </c>
      <c r="R327" s="138"/>
      <c r="T327" s="18">
        <v>0</v>
      </c>
      <c r="U327" s="4">
        <v>0</v>
      </c>
      <c r="V327" s="4">
        <v>300.26000000000005</v>
      </c>
      <c r="W327" s="13">
        <f t="shared" si="47"/>
        <v>-300.26000000000005</v>
      </c>
      <c r="X327" s="13">
        <f t="shared" si="44"/>
        <v>300.26000000000005</v>
      </c>
      <c r="Y327" s="13">
        <f t="shared" si="48"/>
        <v>0</v>
      </c>
      <c r="Z327" s="2">
        <v>0</v>
      </c>
      <c r="AA327" s="4">
        <v>0</v>
      </c>
      <c r="AB327" s="4">
        <f t="shared" si="49"/>
        <v>300.26000000000005</v>
      </c>
      <c r="AC327" s="6">
        <f t="shared" si="50"/>
        <v>0</v>
      </c>
      <c r="AD327" s="13">
        <f t="shared" si="45"/>
        <v>300.26000000000005</v>
      </c>
      <c r="AE327" s="2">
        <v>0.05</v>
      </c>
      <c r="AF327" s="5">
        <f t="shared" si="51"/>
        <v>15.013000000000003</v>
      </c>
      <c r="AG327" s="2">
        <v>0</v>
      </c>
      <c r="AH327" s="5">
        <f t="shared" si="46"/>
        <v>300.26000000000005</v>
      </c>
      <c r="AJ327" s="126" t="e">
        <v>#N/A</v>
      </c>
      <c r="AK327" s="80">
        <f t="shared" si="52"/>
        <v>0</v>
      </c>
      <c r="AM327" s="85"/>
    </row>
    <row r="328" spans="1:39" hidden="1" x14ac:dyDescent="0.3">
      <c r="A328" s="85" t="s">
        <v>34</v>
      </c>
      <c r="B328" s="15" t="s">
        <v>35</v>
      </c>
      <c r="C328" s="15" t="s">
        <v>65</v>
      </c>
      <c r="D328" s="15" t="s">
        <v>125</v>
      </c>
      <c r="E328" s="15" t="s">
        <v>126</v>
      </c>
      <c r="F328" s="15" t="s">
        <v>372</v>
      </c>
      <c r="G328" s="15" t="s">
        <v>126</v>
      </c>
      <c r="H328" s="154"/>
      <c r="I328" s="3" t="s">
        <v>3356</v>
      </c>
      <c r="J328" s="1" t="s">
        <v>3326</v>
      </c>
      <c r="K328" s="1" t="s">
        <v>3710</v>
      </c>
      <c r="L328" s="1" t="s">
        <v>35</v>
      </c>
      <c r="M328" s="95"/>
      <c r="N328" s="3" t="s">
        <v>3710</v>
      </c>
      <c r="O328" s="8" t="s">
        <v>105</v>
      </c>
      <c r="P328" s="8" t="s">
        <v>246</v>
      </c>
      <c r="Q328" s="9">
        <v>0</v>
      </c>
      <c r="R328" s="138"/>
      <c r="T328" s="18">
        <v>0</v>
      </c>
      <c r="U328" s="4">
        <v>0</v>
      </c>
      <c r="V328" s="4">
        <v>468.19</v>
      </c>
      <c r="W328" s="13">
        <f t="shared" si="47"/>
        <v>-468.19</v>
      </c>
      <c r="X328" s="13">
        <f t="shared" si="44"/>
        <v>468.19</v>
      </c>
      <c r="Y328" s="13">
        <f t="shared" si="48"/>
        <v>0</v>
      </c>
      <c r="Z328" s="2">
        <v>0</v>
      </c>
      <c r="AA328" s="4">
        <v>0</v>
      </c>
      <c r="AB328" s="4">
        <f t="shared" si="49"/>
        <v>468.19</v>
      </c>
      <c r="AC328" s="6">
        <f t="shared" si="50"/>
        <v>0</v>
      </c>
      <c r="AD328" s="13">
        <f t="shared" si="45"/>
        <v>468.19</v>
      </c>
      <c r="AE328" s="2">
        <v>0.05</v>
      </c>
      <c r="AF328" s="5">
        <f t="shared" si="51"/>
        <v>23.409500000000001</v>
      </c>
      <c r="AG328" s="2">
        <v>0</v>
      </c>
      <c r="AH328" s="5">
        <f t="shared" si="46"/>
        <v>468.19</v>
      </c>
      <c r="AJ328" s="126" t="e">
        <v>#N/A</v>
      </c>
      <c r="AK328" s="80">
        <f t="shared" si="52"/>
        <v>0</v>
      </c>
      <c r="AM328" s="85"/>
    </row>
    <row r="329" spans="1:39" hidden="1" x14ac:dyDescent="0.3">
      <c r="A329" s="85" t="s">
        <v>34</v>
      </c>
      <c r="B329" s="15" t="s">
        <v>35</v>
      </c>
      <c r="C329" s="15" t="s">
        <v>65</v>
      </c>
      <c r="D329" s="15" t="s">
        <v>125</v>
      </c>
      <c r="E329" s="15" t="s">
        <v>276</v>
      </c>
      <c r="F329" s="15" t="s">
        <v>373</v>
      </c>
      <c r="G329" s="15" t="s">
        <v>276</v>
      </c>
      <c r="H329" s="154"/>
      <c r="I329" s="3" t="s">
        <v>3356</v>
      </c>
      <c r="J329" s="1" t="s">
        <v>3326</v>
      </c>
      <c r="K329" s="1" t="s">
        <v>3710</v>
      </c>
      <c r="L329" s="1" t="s">
        <v>35</v>
      </c>
      <c r="M329" s="95"/>
      <c r="N329" s="3" t="s">
        <v>3710</v>
      </c>
      <c r="O329" s="8" t="s">
        <v>105</v>
      </c>
      <c r="P329" s="8" t="s">
        <v>353</v>
      </c>
      <c r="Q329" s="9">
        <v>0.02</v>
      </c>
      <c r="R329" s="138"/>
      <c r="T329" s="18">
        <v>0</v>
      </c>
      <c r="U329" s="4">
        <v>0</v>
      </c>
      <c r="V329" s="4">
        <v>18.57</v>
      </c>
      <c r="W329" s="13">
        <f t="shared" si="47"/>
        <v>-18.57</v>
      </c>
      <c r="X329" s="13">
        <f t="shared" si="44"/>
        <v>18.205882352941178</v>
      </c>
      <c r="Y329" s="13">
        <f t="shared" si="48"/>
        <v>0</v>
      </c>
      <c r="Z329" s="2">
        <v>0</v>
      </c>
      <c r="AA329" s="4">
        <v>0</v>
      </c>
      <c r="AB329" s="4">
        <f t="shared" si="49"/>
        <v>18.205882352941178</v>
      </c>
      <c r="AC329" s="6">
        <f t="shared" si="50"/>
        <v>0.36411764705882277</v>
      </c>
      <c r="AD329" s="13">
        <f t="shared" si="45"/>
        <v>18.57</v>
      </c>
      <c r="AE329" s="2">
        <v>0.05</v>
      </c>
      <c r="AF329" s="5">
        <f t="shared" si="51"/>
        <v>0.9285000000000001</v>
      </c>
      <c r="AG329" s="2">
        <v>0</v>
      </c>
      <c r="AH329" s="5">
        <f t="shared" si="46"/>
        <v>18.57</v>
      </c>
      <c r="AJ329" s="126" t="e">
        <v>#N/A</v>
      </c>
      <c r="AK329" s="80">
        <f t="shared" si="52"/>
        <v>0</v>
      </c>
      <c r="AM329" s="85"/>
    </row>
    <row r="330" spans="1:39" hidden="1" x14ac:dyDescent="0.3">
      <c r="A330" s="85" t="s">
        <v>34</v>
      </c>
      <c r="B330" s="15" t="s">
        <v>35</v>
      </c>
      <c r="C330" s="15" t="s">
        <v>47</v>
      </c>
      <c r="D330" s="15" t="s">
        <v>63</v>
      </c>
      <c r="E330" s="15" t="s">
        <v>128</v>
      </c>
      <c r="F330" s="15" t="s">
        <v>374</v>
      </c>
      <c r="G330" s="15" t="s">
        <v>128</v>
      </c>
      <c r="H330" s="154"/>
      <c r="I330" s="3" t="s">
        <v>3356</v>
      </c>
      <c r="J330" s="1" t="s">
        <v>3326</v>
      </c>
      <c r="K330" s="1" t="s">
        <v>3710</v>
      </c>
      <c r="L330" s="1" t="s">
        <v>35</v>
      </c>
      <c r="M330" s="95"/>
      <c r="N330" s="3" t="s">
        <v>3711</v>
      </c>
      <c r="O330" s="8" t="s">
        <v>105</v>
      </c>
      <c r="P330" s="8" t="s">
        <v>375</v>
      </c>
      <c r="Q330" s="9">
        <v>0.99</v>
      </c>
      <c r="R330" s="138"/>
      <c r="T330" s="18">
        <v>0</v>
      </c>
      <c r="U330" s="4">
        <v>0</v>
      </c>
      <c r="V330" s="4">
        <v>7354.72</v>
      </c>
      <c r="W330" s="13">
        <f t="shared" si="47"/>
        <v>-7354.72</v>
      </c>
      <c r="X330" s="13">
        <f t="shared" si="44"/>
        <v>7281.1728000000003</v>
      </c>
      <c r="Y330" s="13">
        <f t="shared" si="48"/>
        <v>0</v>
      </c>
      <c r="Z330" s="2">
        <v>0</v>
      </c>
      <c r="AA330" s="4">
        <v>0</v>
      </c>
      <c r="AB330" s="4">
        <f t="shared" si="49"/>
        <v>7281.1728000000003</v>
      </c>
      <c r="AC330" s="6">
        <f t="shared" si="50"/>
        <v>73.547199999999975</v>
      </c>
      <c r="AD330" s="13">
        <f t="shared" si="45"/>
        <v>7354.72</v>
      </c>
      <c r="AE330" s="2">
        <v>0.05</v>
      </c>
      <c r="AF330" s="5">
        <f t="shared" si="51"/>
        <v>367.73600000000005</v>
      </c>
      <c r="AG330" s="2">
        <v>0</v>
      </c>
      <c r="AH330" s="5">
        <f t="shared" si="46"/>
        <v>7354.72</v>
      </c>
      <c r="AJ330" s="126" t="e">
        <v>#N/A</v>
      </c>
      <c r="AK330" s="80">
        <f t="shared" si="52"/>
        <v>0</v>
      </c>
      <c r="AM330" s="85"/>
    </row>
    <row r="331" spans="1:39" hidden="1" x14ac:dyDescent="0.3">
      <c r="A331" s="85" t="s">
        <v>34</v>
      </c>
      <c r="B331" s="15" t="s">
        <v>35</v>
      </c>
      <c r="C331" s="15" t="s">
        <v>47</v>
      </c>
      <c r="D331" s="15" t="s">
        <v>63</v>
      </c>
      <c r="E331" s="15" t="s">
        <v>132</v>
      </c>
      <c r="F331" s="15" t="s">
        <v>376</v>
      </c>
      <c r="G331" s="15" t="s">
        <v>132</v>
      </c>
      <c r="H331" s="154"/>
      <c r="I331" s="3" t="s">
        <v>3356</v>
      </c>
      <c r="J331" s="1" t="s">
        <v>3326</v>
      </c>
      <c r="K331" s="1" t="s">
        <v>3707</v>
      </c>
      <c r="L331" s="1" t="s">
        <v>35</v>
      </c>
      <c r="M331" s="95"/>
      <c r="N331" s="3" t="s">
        <v>3707</v>
      </c>
      <c r="O331" s="8" t="s">
        <v>105</v>
      </c>
      <c r="P331" s="8" t="s">
        <v>353</v>
      </c>
      <c r="Q331" s="9">
        <v>1.4999999999999999E-2</v>
      </c>
      <c r="R331" s="138"/>
      <c r="T331" s="18">
        <v>0</v>
      </c>
      <c r="U331" s="4">
        <v>0</v>
      </c>
      <c r="V331" s="4">
        <v>2367.83</v>
      </c>
      <c r="W331" s="13">
        <f t="shared" si="47"/>
        <v>-2367.83</v>
      </c>
      <c r="X331" s="13">
        <f t="shared" si="44"/>
        <v>2332.8374384236454</v>
      </c>
      <c r="Y331" s="13">
        <f t="shared" si="48"/>
        <v>0</v>
      </c>
      <c r="Z331" s="2">
        <v>0</v>
      </c>
      <c r="AA331" s="4">
        <v>0</v>
      </c>
      <c r="AB331" s="4">
        <f t="shared" si="49"/>
        <v>2332.8374384236454</v>
      </c>
      <c r="AC331" s="6">
        <f t="shared" si="50"/>
        <v>34.992561576354547</v>
      </c>
      <c r="AD331" s="13">
        <f t="shared" si="45"/>
        <v>2367.83</v>
      </c>
      <c r="AE331" s="2">
        <v>0.05</v>
      </c>
      <c r="AF331" s="5">
        <f t="shared" si="51"/>
        <v>118.39150000000001</v>
      </c>
      <c r="AG331" s="2">
        <v>0</v>
      </c>
      <c r="AH331" s="5">
        <f t="shared" si="46"/>
        <v>2367.83</v>
      </c>
      <c r="AJ331" s="126" t="e">
        <v>#N/A</v>
      </c>
      <c r="AK331" s="80">
        <f t="shared" si="52"/>
        <v>0</v>
      </c>
      <c r="AM331" s="85"/>
    </row>
    <row r="332" spans="1:39" hidden="1" x14ac:dyDescent="0.3">
      <c r="A332" s="85" t="s">
        <v>34</v>
      </c>
      <c r="B332" s="15" t="s">
        <v>35</v>
      </c>
      <c r="C332" s="15" t="s">
        <v>47</v>
      </c>
      <c r="D332" s="15" t="s">
        <v>63</v>
      </c>
      <c r="E332" s="15" t="s">
        <v>136</v>
      </c>
      <c r="F332" s="15" t="s">
        <v>377</v>
      </c>
      <c r="G332" s="15" t="s">
        <v>136</v>
      </c>
      <c r="H332" s="154"/>
      <c r="I332" s="3" t="s">
        <v>3356</v>
      </c>
      <c r="J332" s="1" t="s">
        <v>3326</v>
      </c>
      <c r="K332" s="1" t="s">
        <v>3712</v>
      </c>
      <c r="L332" s="1" t="s">
        <v>35</v>
      </c>
      <c r="M332" s="95"/>
      <c r="N332" s="3" t="s">
        <v>3712</v>
      </c>
      <c r="O332" s="8" t="s">
        <v>105</v>
      </c>
      <c r="P332" s="8" t="s">
        <v>246</v>
      </c>
      <c r="Q332" s="9">
        <v>0</v>
      </c>
      <c r="R332" s="138"/>
      <c r="T332" s="18">
        <v>0</v>
      </c>
      <c r="U332" s="4">
        <v>0</v>
      </c>
      <c r="V332" s="4">
        <v>22.61</v>
      </c>
      <c r="W332" s="13">
        <f t="shared" si="47"/>
        <v>-22.61</v>
      </c>
      <c r="X332" s="13">
        <f t="shared" si="44"/>
        <v>22.61</v>
      </c>
      <c r="Y332" s="13">
        <f t="shared" si="48"/>
        <v>0</v>
      </c>
      <c r="Z332" s="2">
        <v>0</v>
      </c>
      <c r="AA332" s="4">
        <v>0</v>
      </c>
      <c r="AB332" s="4">
        <f t="shared" si="49"/>
        <v>22.61</v>
      </c>
      <c r="AC332" s="6">
        <f t="shared" si="50"/>
        <v>0</v>
      </c>
      <c r="AD332" s="13">
        <f t="shared" si="45"/>
        <v>22.61</v>
      </c>
      <c r="AE332" s="2">
        <v>0.05</v>
      </c>
      <c r="AF332" s="5">
        <f t="shared" si="51"/>
        <v>1.1305000000000001</v>
      </c>
      <c r="AG332" s="2">
        <v>0</v>
      </c>
      <c r="AH332" s="5">
        <f t="shared" si="46"/>
        <v>22.61</v>
      </c>
      <c r="AJ332" s="126" t="e">
        <v>#N/A</v>
      </c>
      <c r="AK332" s="80">
        <f t="shared" si="52"/>
        <v>0</v>
      </c>
      <c r="AM332" s="85"/>
    </row>
    <row r="333" spans="1:39" hidden="1" x14ac:dyDescent="0.3">
      <c r="A333" s="85" t="s">
        <v>34</v>
      </c>
      <c r="B333" s="15" t="s">
        <v>35</v>
      </c>
      <c r="C333" s="15" t="s">
        <v>47</v>
      </c>
      <c r="D333" s="15" t="s">
        <v>63</v>
      </c>
      <c r="E333" s="15" t="s">
        <v>138</v>
      </c>
      <c r="F333" s="15" t="s">
        <v>378</v>
      </c>
      <c r="G333" s="15" t="s">
        <v>138</v>
      </c>
      <c r="H333" s="154"/>
      <c r="I333" s="3" t="s">
        <v>3356</v>
      </c>
      <c r="J333" s="1" t="s">
        <v>3326</v>
      </c>
      <c r="K333" s="1" t="s">
        <v>3707</v>
      </c>
      <c r="L333" s="1" t="s">
        <v>35</v>
      </c>
      <c r="M333" s="95"/>
      <c r="N333" s="3" t="s">
        <v>3707</v>
      </c>
      <c r="O333" s="8" t="s">
        <v>105</v>
      </c>
      <c r="P333" s="8" t="s">
        <v>246</v>
      </c>
      <c r="Q333" s="9">
        <v>0</v>
      </c>
      <c r="R333" s="138"/>
      <c r="T333" s="18">
        <v>0</v>
      </c>
      <c r="U333" s="4">
        <v>0</v>
      </c>
      <c r="V333" s="4">
        <v>40619.18</v>
      </c>
      <c r="W333" s="13">
        <f t="shared" si="47"/>
        <v>-40619.18</v>
      </c>
      <c r="X333" s="13">
        <f t="shared" si="44"/>
        <v>40619.18</v>
      </c>
      <c r="Y333" s="13">
        <f t="shared" si="48"/>
        <v>0</v>
      </c>
      <c r="Z333" s="2">
        <v>0</v>
      </c>
      <c r="AA333" s="4">
        <v>0</v>
      </c>
      <c r="AB333" s="4">
        <f t="shared" si="49"/>
        <v>40619.18</v>
      </c>
      <c r="AC333" s="6">
        <f t="shared" si="50"/>
        <v>0</v>
      </c>
      <c r="AD333" s="13">
        <f t="shared" si="45"/>
        <v>40619.18</v>
      </c>
      <c r="AE333" s="2">
        <v>0.05</v>
      </c>
      <c r="AF333" s="5">
        <f t="shared" si="51"/>
        <v>2030.9590000000001</v>
      </c>
      <c r="AG333" s="2">
        <v>0</v>
      </c>
      <c r="AH333" s="5">
        <f t="shared" si="46"/>
        <v>40619.18</v>
      </c>
      <c r="AJ333" s="126" t="e">
        <v>#N/A</v>
      </c>
      <c r="AK333" s="80">
        <f t="shared" si="52"/>
        <v>0</v>
      </c>
      <c r="AM333" s="85"/>
    </row>
    <row r="334" spans="1:39" hidden="1" x14ac:dyDescent="0.3">
      <c r="A334" s="85" t="s">
        <v>34</v>
      </c>
      <c r="B334" s="15" t="s">
        <v>35</v>
      </c>
      <c r="C334" s="15" t="s">
        <v>47</v>
      </c>
      <c r="D334" s="15" t="s">
        <v>63</v>
      </c>
      <c r="E334" s="15" t="s">
        <v>141</v>
      </c>
      <c r="F334" s="15" t="s">
        <v>379</v>
      </c>
      <c r="G334" s="15" t="s">
        <v>141</v>
      </c>
      <c r="H334" s="154"/>
      <c r="I334" s="3" t="s">
        <v>3356</v>
      </c>
      <c r="J334" s="1" t="s">
        <v>3326</v>
      </c>
      <c r="K334" s="1" t="s">
        <v>3710</v>
      </c>
      <c r="L334" s="1" t="s">
        <v>35</v>
      </c>
      <c r="M334" s="95"/>
      <c r="N334" s="3" t="s">
        <v>3710</v>
      </c>
      <c r="O334" s="8" t="s">
        <v>105</v>
      </c>
      <c r="P334" s="8" t="s">
        <v>353</v>
      </c>
      <c r="Q334" s="9">
        <v>0.01</v>
      </c>
      <c r="R334" s="138"/>
      <c r="T334" s="18">
        <v>0</v>
      </c>
      <c r="U334" s="4">
        <v>0</v>
      </c>
      <c r="V334" s="4">
        <v>1.98</v>
      </c>
      <c r="W334" s="13">
        <f t="shared" si="47"/>
        <v>-1.98</v>
      </c>
      <c r="X334" s="13">
        <f t="shared" si="44"/>
        <v>1.9603960396039604</v>
      </c>
      <c r="Y334" s="13">
        <f t="shared" si="48"/>
        <v>0</v>
      </c>
      <c r="Z334" s="2">
        <v>0</v>
      </c>
      <c r="AA334" s="4">
        <v>0</v>
      </c>
      <c r="AB334" s="4">
        <f t="shared" si="49"/>
        <v>1.9603960396039604</v>
      </c>
      <c r="AC334" s="6">
        <f t="shared" si="50"/>
        <v>1.9603960396039621E-2</v>
      </c>
      <c r="AD334" s="13">
        <f t="shared" si="45"/>
        <v>1.98</v>
      </c>
      <c r="AE334" s="2">
        <v>0.05</v>
      </c>
      <c r="AF334" s="5">
        <f t="shared" si="51"/>
        <v>9.9000000000000005E-2</v>
      </c>
      <c r="AG334" s="2">
        <v>0</v>
      </c>
      <c r="AH334" s="5">
        <f t="shared" si="46"/>
        <v>1.98</v>
      </c>
      <c r="AJ334" s="126" t="e">
        <v>#N/A</v>
      </c>
      <c r="AK334" s="80">
        <f t="shared" si="52"/>
        <v>0</v>
      </c>
      <c r="AM334" s="85"/>
    </row>
    <row r="335" spans="1:39" hidden="1" x14ac:dyDescent="0.3">
      <c r="A335" s="85" t="s">
        <v>34</v>
      </c>
      <c r="B335" s="15" t="s">
        <v>35</v>
      </c>
      <c r="C335" s="15" t="s">
        <v>47</v>
      </c>
      <c r="D335" s="15" t="s">
        <v>48</v>
      </c>
      <c r="E335" s="15" t="s">
        <v>50</v>
      </c>
      <c r="F335" s="15" t="s">
        <v>380</v>
      </c>
      <c r="G335" s="15" t="s">
        <v>50</v>
      </c>
      <c r="H335" s="154"/>
      <c r="I335" s="3" t="s">
        <v>3356</v>
      </c>
      <c r="J335" s="1" t="s">
        <v>3326</v>
      </c>
      <c r="K335" s="1" t="s">
        <v>3707</v>
      </c>
      <c r="L335" s="1" t="s">
        <v>35</v>
      </c>
      <c r="M335" s="95"/>
      <c r="N335" s="3" t="s">
        <v>3708</v>
      </c>
      <c r="O335" s="8" t="s">
        <v>45</v>
      </c>
      <c r="P335" s="1" t="s">
        <v>3753</v>
      </c>
      <c r="Q335" s="2">
        <v>0.01</v>
      </c>
      <c r="R335" s="138"/>
      <c r="T335" s="18">
        <v>0</v>
      </c>
      <c r="U335" s="4">
        <v>12800000</v>
      </c>
      <c r="V335" s="4">
        <v>4782538.32</v>
      </c>
      <c r="W335" s="13">
        <f t="shared" si="47"/>
        <v>8017461.6799999997</v>
      </c>
      <c r="X335" s="13">
        <f t="shared" si="44"/>
        <v>4735186.4554455448</v>
      </c>
      <c r="Y335" s="13">
        <f t="shared" si="48"/>
        <v>0</v>
      </c>
      <c r="Z335" s="2">
        <v>0</v>
      </c>
      <c r="AA335" s="4">
        <v>0</v>
      </c>
      <c r="AB335" s="4">
        <f t="shared" si="49"/>
        <v>4735186.4554455448</v>
      </c>
      <c r="AC335" s="6">
        <f t="shared" si="50"/>
        <v>47351.864554455504</v>
      </c>
      <c r="AD335" s="13">
        <f t="shared" si="45"/>
        <v>4782538.32</v>
      </c>
      <c r="AE335" s="2">
        <v>0.05</v>
      </c>
      <c r="AF335" s="5">
        <f t="shared" si="51"/>
        <v>239126.91600000003</v>
      </c>
      <c r="AG335" s="2">
        <v>0</v>
      </c>
      <c r="AH335" s="5">
        <f t="shared" si="46"/>
        <v>4782538.32</v>
      </c>
      <c r="AJ335" s="126" t="e">
        <v>#N/A</v>
      </c>
      <c r="AK335" s="80">
        <f t="shared" si="52"/>
        <v>0</v>
      </c>
      <c r="AM335" s="85"/>
    </row>
    <row r="336" spans="1:39" hidden="1" x14ac:dyDescent="0.3">
      <c r="A336" s="85" t="s">
        <v>34</v>
      </c>
      <c r="B336" s="15" t="s">
        <v>35</v>
      </c>
      <c r="C336" s="15" t="s">
        <v>47</v>
      </c>
      <c r="D336" s="15" t="s">
        <v>48</v>
      </c>
      <c r="E336" s="15" t="s">
        <v>50</v>
      </c>
      <c r="F336" s="15" t="s">
        <v>380</v>
      </c>
      <c r="G336" s="15" t="s">
        <v>50</v>
      </c>
      <c r="H336" s="154"/>
      <c r="I336" s="3" t="s">
        <v>3356</v>
      </c>
      <c r="J336" s="1" t="s">
        <v>3326</v>
      </c>
      <c r="K336" s="1" t="s">
        <v>3707</v>
      </c>
      <c r="L336" s="1" t="s">
        <v>35</v>
      </c>
      <c r="M336" s="95"/>
      <c r="N336" s="3" t="s">
        <v>3708</v>
      </c>
      <c r="O336" s="8" t="s">
        <v>105</v>
      </c>
      <c r="P336" s="1" t="s">
        <v>3753</v>
      </c>
      <c r="Q336" s="2">
        <v>0.01</v>
      </c>
      <c r="R336" s="138"/>
      <c r="T336" s="18">
        <v>0</v>
      </c>
      <c r="U336" s="4">
        <v>0</v>
      </c>
      <c r="V336" s="4">
        <v>116.53</v>
      </c>
      <c r="W336" s="13">
        <f t="shared" si="47"/>
        <v>-116.53</v>
      </c>
      <c r="X336" s="13">
        <f t="shared" si="44"/>
        <v>115.37623762376238</v>
      </c>
      <c r="Y336" s="13">
        <f t="shared" si="48"/>
        <v>0</v>
      </c>
      <c r="Z336" s="2">
        <v>0</v>
      </c>
      <c r="AA336" s="4">
        <v>0</v>
      </c>
      <c r="AB336" s="4">
        <f t="shared" si="49"/>
        <v>115.37623762376238</v>
      </c>
      <c r="AC336" s="6">
        <f t="shared" si="50"/>
        <v>1.1537623762376228</v>
      </c>
      <c r="AD336" s="13">
        <f t="shared" si="45"/>
        <v>116.53</v>
      </c>
      <c r="AE336" s="2">
        <v>0.05</v>
      </c>
      <c r="AF336" s="5">
        <f t="shared" si="51"/>
        <v>5.8265000000000002</v>
      </c>
      <c r="AG336" s="2">
        <v>0</v>
      </c>
      <c r="AH336" s="5">
        <f t="shared" si="46"/>
        <v>116.53</v>
      </c>
      <c r="AJ336" s="126" t="e">
        <v>#N/A</v>
      </c>
      <c r="AK336" s="80">
        <f t="shared" si="52"/>
        <v>0</v>
      </c>
      <c r="AM336" s="85"/>
    </row>
    <row r="337" spans="1:39" hidden="1" x14ac:dyDescent="0.3">
      <c r="A337" s="85" t="s">
        <v>34</v>
      </c>
      <c r="B337" s="15" t="s">
        <v>35</v>
      </c>
      <c r="C337" s="15" t="s">
        <v>144</v>
      </c>
      <c r="D337" s="15" t="s">
        <v>145</v>
      </c>
      <c r="E337" s="15" t="s">
        <v>146</v>
      </c>
      <c r="F337" s="15" t="s">
        <v>381</v>
      </c>
      <c r="G337" s="15" t="s">
        <v>146</v>
      </c>
      <c r="H337" s="154"/>
      <c r="I337" s="3" t="s">
        <v>3356</v>
      </c>
      <c r="J337" s="1" t="s">
        <v>3326</v>
      </c>
      <c r="K337" s="1" t="s">
        <v>3712</v>
      </c>
      <c r="L337" s="1" t="s">
        <v>35</v>
      </c>
      <c r="M337" s="95"/>
      <c r="N337" s="3" t="s">
        <v>3713</v>
      </c>
      <c r="O337" s="8" t="s">
        <v>105</v>
      </c>
      <c r="P337" s="8" t="s">
        <v>246</v>
      </c>
      <c r="Q337" s="9">
        <v>0</v>
      </c>
      <c r="R337" s="138"/>
      <c r="T337" s="18">
        <v>0</v>
      </c>
      <c r="U337" s="4">
        <v>0</v>
      </c>
      <c r="V337" s="4">
        <v>45.23</v>
      </c>
      <c r="W337" s="13">
        <f t="shared" si="47"/>
        <v>-45.23</v>
      </c>
      <c r="X337" s="13">
        <f t="shared" si="44"/>
        <v>45.23</v>
      </c>
      <c r="Y337" s="13">
        <f t="shared" si="48"/>
        <v>0</v>
      </c>
      <c r="Z337" s="2">
        <v>0</v>
      </c>
      <c r="AA337" s="4">
        <v>0</v>
      </c>
      <c r="AB337" s="4">
        <f t="shared" si="49"/>
        <v>45.23</v>
      </c>
      <c r="AC337" s="6">
        <f t="shared" si="50"/>
        <v>0</v>
      </c>
      <c r="AD337" s="13">
        <f t="shared" si="45"/>
        <v>45.23</v>
      </c>
      <c r="AE337" s="2">
        <v>0.05</v>
      </c>
      <c r="AF337" s="5">
        <f t="shared" si="51"/>
        <v>2.2614999999999998</v>
      </c>
      <c r="AG337" s="2">
        <v>0</v>
      </c>
      <c r="AH337" s="5">
        <f t="shared" si="46"/>
        <v>45.23</v>
      </c>
      <c r="AJ337" s="126" t="e">
        <v>#N/A</v>
      </c>
      <c r="AK337" s="80">
        <f t="shared" si="52"/>
        <v>0</v>
      </c>
      <c r="AM337" s="85"/>
    </row>
    <row r="338" spans="1:39" hidden="1" x14ac:dyDescent="0.3">
      <c r="A338" s="85" t="s">
        <v>34</v>
      </c>
      <c r="B338" s="15" t="s">
        <v>35</v>
      </c>
      <c r="C338" s="15" t="s">
        <v>144</v>
      </c>
      <c r="D338" s="15" t="s">
        <v>145</v>
      </c>
      <c r="E338" s="15" t="s">
        <v>237</v>
      </c>
      <c r="F338" s="15" t="s">
        <v>382</v>
      </c>
      <c r="G338" s="15" t="s">
        <v>239</v>
      </c>
      <c r="H338" s="154"/>
      <c r="I338" s="3" t="s">
        <v>3356</v>
      </c>
      <c r="J338" s="1" t="s">
        <v>3326</v>
      </c>
      <c r="K338" s="1" t="s">
        <v>3712</v>
      </c>
      <c r="L338" s="1" t="s">
        <v>35</v>
      </c>
      <c r="M338" s="95"/>
      <c r="N338" s="3" t="s">
        <v>3713</v>
      </c>
      <c r="O338" s="8" t="s">
        <v>105</v>
      </c>
      <c r="P338" s="8" t="s">
        <v>246</v>
      </c>
      <c r="Q338" s="9">
        <v>0</v>
      </c>
      <c r="R338" s="138"/>
      <c r="T338" s="18">
        <v>0</v>
      </c>
      <c r="U338" s="4">
        <v>0</v>
      </c>
      <c r="V338" s="4">
        <v>0.06</v>
      </c>
      <c r="W338" s="13">
        <f>T338+U338-V338</f>
        <v>-0.06</v>
      </c>
      <c r="X338" s="13">
        <f t="shared" si="44"/>
        <v>0.06</v>
      </c>
      <c r="Y338" s="13">
        <f t="shared" si="48"/>
        <v>0</v>
      </c>
      <c r="Z338" s="2">
        <v>0</v>
      </c>
      <c r="AA338" s="4">
        <v>0</v>
      </c>
      <c r="AB338" s="4">
        <f t="shared" si="49"/>
        <v>0.06</v>
      </c>
      <c r="AC338" s="6">
        <f t="shared" si="50"/>
        <v>0</v>
      </c>
      <c r="AD338" s="13">
        <f t="shared" si="45"/>
        <v>0.06</v>
      </c>
      <c r="AE338" s="2">
        <v>0.05</v>
      </c>
      <c r="AF338" s="5">
        <f t="shared" si="51"/>
        <v>3.0000000000000001E-3</v>
      </c>
      <c r="AG338" s="2">
        <v>0</v>
      </c>
      <c r="AH338" s="5">
        <f t="shared" si="46"/>
        <v>0.06</v>
      </c>
      <c r="AJ338" s="126" t="e">
        <v>#N/A</v>
      </c>
      <c r="AK338" s="80">
        <f t="shared" si="52"/>
        <v>0</v>
      </c>
      <c r="AM338" s="85"/>
    </row>
    <row r="339" spans="1:39" hidden="1" x14ac:dyDescent="0.3">
      <c r="A339" s="85" t="s">
        <v>34</v>
      </c>
      <c r="B339" s="15" t="s">
        <v>35</v>
      </c>
      <c r="C339" s="15" t="s">
        <v>144</v>
      </c>
      <c r="D339" s="15" t="s">
        <v>145</v>
      </c>
      <c r="E339" s="15" t="s">
        <v>147</v>
      </c>
      <c r="F339" s="15" t="s">
        <v>383</v>
      </c>
      <c r="G339" s="15" t="s">
        <v>147</v>
      </c>
      <c r="H339" s="154"/>
      <c r="I339" s="3" t="s">
        <v>3356</v>
      </c>
      <c r="J339" s="1" t="s">
        <v>3326</v>
      </c>
      <c r="K339" s="1" t="s">
        <v>3707</v>
      </c>
      <c r="L339" s="1" t="s">
        <v>35</v>
      </c>
      <c r="M339" s="95"/>
      <c r="N339" s="3" t="s">
        <v>3707</v>
      </c>
      <c r="O339" s="8" t="s">
        <v>105</v>
      </c>
      <c r="P339" s="8" t="s">
        <v>353</v>
      </c>
      <c r="Q339" s="9">
        <v>0.03</v>
      </c>
      <c r="R339" s="138"/>
      <c r="T339" s="18">
        <v>0</v>
      </c>
      <c r="U339" s="4">
        <v>0</v>
      </c>
      <c r="V339" s="4">
        <v>137142.93</v>
      </c>
      <c r="W339" s="13">
        <v>0</v>
      </c>
      <c r="X339" s="13">
        <f t="shared" ref="X339:X402" si="53">IF(P339="折扣",V339*Q339,IF(P339="返现",V339,V339/(1+Q339)))</f>
        <v>133148.47572815532</v>
      </c>
      <c r="Y339" s="13">
        <f t="shared" si="48"/>
        <v>0</v>
      </c>
      <c r="Z339" s="2">
        <v>0</v>
      </c>
      <c r="AA339" s="4">
        <v>0</v>
      </c>
      <c r="AB339" s="4">
        <f t="shared" si="49"/>
        <v>133148.47572815532</v>
      </c>
      <c r="AC339" s="6">
        <f t="shared" si="50"/>
        <v>3994.4542718446755</v>
      </c>
      <c r="AD339" s="13">
        <f t="shared" ref="AD339:AD371" si="54">V339</f>
        <v>137142.93</v>
      </c>
      <c r="AE339" s="2">
        <v>0.05</v>
      </c>
      <c r="AF339" s="5">
        <f t="shared" si="51"/>
        <v>6857.1464999999998</v>
      </c>
      <c r="AG339" s="2">
        <v>0</v>
      </c>
      <c r="AH339" s="5">
        <f t="shared" ref="AH339:AH371" si="55">V339</f>
        <v>137142.93</v>
      </c>
      <c r="AJ339" s="126" t="e">
        <v>#N/A</v>
      </c>
      <c r="AK339" s="80">
        <f t="shared" si="52"/>
        <v>0</v>
      </c>
      <c r="AM339" s="85"/>
    </row>
    <row r="340" spans="1:39" hidden="1" x14ac:dyDescent="0.3">
      <c r="A340" s="85" t="s">
        <v>34</v>
      </c>
      <c r="B340" s="15" t="s">
        <v>35</v>
      </c>
      <c r="C340" s="15" t="s">
        <v>144</v>
      </c>
      <c r="D340" s="15" t="s">
        <v>152</v>
      </c>
      <c r="E340" s="15" t="s">
        <v>241</v>
      </c>
      <c r="F340" s="15" t="s">
        <v>384</v>
      </c>
      <c r="G340" s="15" t="s">
        <v>241</v>
      </c>
      <c r="H340" s="154"/>
      <c r="I340" s="3" t="s">
        <v>3356</v>
      </c>
      <c r="J340" s="1" t="s">
        <v>3326</v>
      </c>
      <c r="K340" s="1" t="s">
        <v>3710</v>
      </c>
      <c r="L340" s="1" t="s">
        <v>35</v>
      </c>
      <c r="M340" s="95"/>
      <c r="N340" s="3" t="s">
        <v>3710</v>
      </c>
      <c r="O340" s="8" t="s">
        <v>105</v>
      </c>
      <c r="P340" s="8" t="s">
        <v>246</v>
      </c>
      <c r="Q340" s="9">
        <v>0</v>
      </c>
      <c r="R340" s="138"/>
      <c r="T340" s="18">
        <v>0</v>
      </c>
      <c r="U340" s="4">
        <v>0</v>
      </c>
      <c r="V340" s="4">
        <v>238.92999999999998</v>
      </c>
      <c r="W340" s="13">
        <f t="shared" ref="W340:W403" si="56">T340+U340-V340</f>
        <v>-238.92999999999998</v>
      </c>
      <c r="X340" s="13">
        <f t="shared" si="53"/>
        <v>238.92999999999998</v>
      </c>
      <c r="Y340" s="13">
        <f t="shared" si="48"/>
        <v>0</v>
      </c>
      <c r="Z340" s="2">
        <v>0</v>
      </c>
      <c r="AA340" s="4">
        <v>0</v>
      </c>
      <c r="AB340" s="4">
        <f t="shared" si="49"/>
        <v>238.92999999999998</v>
      </c>
      <c r="AC340" s="6">
        <f t="shared" si="50"/>
        <v>0</v>
      </c>
      <c r="AD340" s="13">
        <f t="shared" si="54"/>
        <v>238.92999999999998</v>
      </c>
      <c r="AE340" s="2">
        <v>0.05</v>
      </c>
      <c r="AF340" s="5">
        <f t="shared" si="51"/>
        <v>11.9465</v>
      </c>
      <c r="AG340" s="2">
        <v>0</v>
      </c>
      <c r="AH340" s="5">
        <f t="shared" si="55"/>
        <v>238.92999999999998</v>
      </c>
      <c r="AJ340" s="126" t="e">
        <v>#N/A</v>
      </c>
      <c r="AK340" s="80">
        <f t="shared" si="52"/>
        <v>0</v>
      </c>
      <c r="AM340" s="85"/>
    </row>
    <row r="341" spans="1:39" hidden="1" x14ac:dyDescent="0.3">
      <c r="A341" s="85" t="s">
        <v>34</v>
      </c>
      <c r="B341" s="15" t="s">
        <v>35</v>
      </c>
      <c r="C341" s="15" t="s">
        <v>144</v>
      </c>
      <c r="D341" s="15" t="s">
        <v>161</v>
      </c>
      <c r="E341" s="15" t="s">
        <v>163</v>
      </c>
      <c r="F341" s="15" t="s">
        <v>385</v>
      </c>
      <c r="G341" s="15" t="s">
        <v>163</v>
      </c>
      <c r="H341" s="154"/>
      <c r="I341" s="3" t="s">
        <v>3356</v>
      </c>
      <c r="J341" s="1" t="s">
        <v>3326</v>
      </c>
      <c r="K341" s="1" t="s">
        <v>3712</v>
      </c>
      <c r="L341" s="1" t="s">
        <v>35</v>
      </c>
      <c r="M341" s="95"/>
      <c r="N341" s="3" t="s">
        <v>3712</v>
      </c>
      <c r="O341" s="8" t="s">
        <v>105</v>
      </c>
      <c r="P341" s="8" t="s">
        <v>246</v>
      </c>
      <c r="Q341" s="9">
        <v>0</v>
      </c>
      <c r="R341" s="138"/>
      <c r="S341" s="3" t="s">
        <v>3681</v>
      </c>
      <c r="T341" s="18">
        <v>0</v>
      </c>
      <c r="U341" s="4">
        <v>0</v>
      </c>
      <c r="V341" s="4">
        <v>283.64999999999998</v>
      </c>
      <c r="W341" s="13">
        <f t="shared" si="56"/>
        <v>-283.64999999999998</v>
      </c>
      <c r="X341" s="13">
        <f>IF(P341="折扣",V341*Q341,IF(P341="返现",V341,(V341+0.54)/(1+Q341)))</f>
        <v>284.19</v>
      </c>
      <c r="Y341" s="13">
        <f t="shared" si="48"/>
        <v>0.54000000000002046</v>
      </c>
      <c r="Z341" s="2">
        <v>0</v>
      </c>
      <c r="AA341" s="4">
        <v>0</v>
      </c>
      <c r="AB341" s="4">
        <f t="shared" si="49"/>
        <v>284.19</v>
      </c>
      <c r="AC341" s="6">
        <f t="shared" si="50"/>
        <v>-0.54000000000002046</v>
      </c>
      <c r="AD341" s="13">
        <f t="shared" si="54"/>
        <v>283.64999999999998</v>
      </c>
      <c r="AE341" s="2">
        <v>0.05</v>
      </c>
      <c r="AF341" s="5">
        <f t="shared" si="51"/>
        <v>14.182499999999999</v>
      </c>
      <c r="AG341" s="2">
        <v>0</v>
      </c>
      <c r="AH341" s="5">
        <f t="shared" si="55"/>
        <v>283.64999999999998</v>
      </c>
      <c r="AJ341" s="126" t="e">
        <v>#N/A</v>
      </c>
      <c r="AK341" s="80">
        <f t="shared" si="52"/>
        <v>0</v>
      </c>
      <c r="AM341" s="85"/>
    </row>
    <row r="342" spans="1:39" hidden="1" x14ac:dyDescent="0.3">
      <c r="A342" s="85" t="s">
        <v>34</v>
      </c>
      <c r="B342" s="15" t="s">
        <v>35</v>
      </c>
      <c r="C342" s="15" t="s">
        <v>164</v>
      </c>
      <c r="D342" s="15" t="s">
        <v>165</v>
      </c>
      <c r="E342" s="15" t="s">
        <v>166</v>
      </c>
      <c r="F342" s="15" t="s">
        <v>386</v>
      </c>
      <c r="G342" s="15" t="s">
        <v>166</v>
      </c>
      <c r="H342" s="139"/>
      <c r="I342" s="3" t="s">
        <v>3356</v>
      </c>
      <c r="J342" s="1" t="s">
        <v>3326</v>
      </c>
      <c r="K342" s="1" t="s">
        <v>3710</v>
      </c>
      <c r="L342" s="1" t="s">
        <v>35</v>
      </c>
      <c r="M342" s="95"/>
      <c r="N342" s="3" t="s">
        <v>3714</v>
      </c>
      <c r="O342" s="8" t="s">
        <v>105</v>
      </c>
      <c r="P342" s="8" t="s">
        <v>246</v>
      </c>
      <c r="Q342" s="9">
        <v>0</v>
      </c>
      <c r="R342" s="138"/>
      <c r="T342" s="18">
        <v>0</v>
      </c>
      <c r="U342" s="4">
        <v>0</v>
      </c>
      <c r="V342" s="4">
        <v>0</v>
      </c>
      <c r="W342" s="13">
        <f t="shared" si="56"/>
        <v>0</v>
      </c>
      <c r="X342" s="13">
        <f t="shared" si="53"/>
        <v>0</v>
      </c>
      <c r="Y342" s="13">
        <f t="shared" si="48"/>
        <v>0</v>
      </c>
      <c r="Z342" s="2">
        <v>0</v>
      </c>
      <c r="AA342" s="4">
        <v>0</v>
      </c>
      <c r="AB342" s="4">
        <f t="shared" si="49"/>
        <v>0</v>
      </c>
      <c r="AC342" s="6">
        <f t="shared" si="50"/>
        <v>0</v>
      </c>
      <c r="AD342" s="13">
        <f t="shared" si="54"/>
        <v>0</v>
      </c>
      <c r="AE342" s="2">
        <v>0.05</v>
      </c>
      <c r="AF342" s="5">
        <f t="shared" si="51"/>
        <v>0</v>
      </c>
      <c r="AG342" s="2">
        <v>0</v>
      </c>
      <c r="AH342" s="5">
        <f t="shared" si="55"/>
        <v>0</v>
      </c>
      <c r="AJ342" s="126" t="e">
        <v>#N/A</v>
      </c>
      <c r="AK342" s="80">
        <f t="shared" si="52"/>
        <v>0</v>
      </c>
      <c r="AM342" s="85"/>
    </row>
    <row r="343" spans="1:39" hidden="1" x14ac:dyDescent="0.3">
      <c r="A343" s="85" t="s">
        <v>34</v>
      </c>
      <c r="B343" s="15" t="s">
        <v>35</v>
      </c>
      <c r="C343" s="15" t="s">
        <v>164</v>
      </c>
      <c r="D343" s="15" t="s">
        <v>165</v>
      </c>
      <c r="E343" s="15" t="s">
        <v>166</v>
      </c>
      <c r="F343" s="15" t="s">
        <v>387</v>
      </c>
      <c r="G343" s="15" t="s">
        <v>166</v>
      </c>
      <c r="H343" s="154"/>
      <c r="I343" s="3" t="s">
        <v>3356</v>
      </c>
      <c r="J343" s="1" t="s">
        <v>3326</v>
      </c>
      <c r="K343" s="1" t="s">
        <v>3710</v>
      </c>
      <c r="L343" s="1" t="s">
        <v>35</v>
      </c>
      <c r="M343" s="95"/>
      <c r="N343" s="3" t="s">
        <v>3714</v>
      </c>
      <c r="O343" s="8" t="s">
        <v>105</v>
      </c>
      <c r="P343" s="8" t="s">
        <v>353</v>
      </c>
      <c r="Q343" s="9">
        <v>0.04</v>
      </c>
      <c r="R343" s="138"/>
      <c r="T343" s="18">
        <v>0</v>
      </c>
      <c r="U343" s="4">
        <v>0</v>
      </c>
      <c r="V343" s="4">
        <v>8743.7000000000007</v>
      </c>
      <c r="W343" s="13">
        <f t="shared" si="56"/>
        <v>-8743.7000000000007</v>
      </c>
      <c r="X343" s="13">
        <f t="shared" si="53"/>
        <v>8407.4038461538457</v>
      </c>
      <c r="Y343" s="13">
        <f t="shared" si="48"/>
        <v>0</v>
      </c>
      <c r="Z343" s="2">
        <v>0</v>
      </c>
      <c r="AA343" s="4">
        <v>0</v>
      </c>
      <c r="AB343" s="4">
        <f t="shared" si="49"/>
        <v>8407.4038461538457</v>
      </c>
      <c r="AC343" s="6">
        <f t="shared" si="50"/>
        <v>336.29615384615499</v>
      </c>
      <c r="AD343" s="13">
        <f t="shared" si="54"/>
        <v>8743.7000000000007</v>
      </c>
      <c r="AE343" s="2">
        <v>0.05</v>
      </c>
      <c r="AF343" s="5">
        <f t="shared" si="51"/>
        <v>437.18500000000006</v>
      </c>
      <c r="AG343" s="2">
        <v>0</v>
      </c>
      <c r="AH343" s="5">
        <f t="shared" si="55"/>
        <v>8743.7000000000007</v>
      </c>
      <c r="AJ343" s="126" t="e">
        <v>#N/A</v>
      </c>
      <c r="AK343" s="80">
        <f t="shared" si="52"/>
        <v>0</v>
      </c>
      <c r="AM343" s="85"/>
    </row>
    <row r="344" spans="1:39" hidden="1" x14ac:dyDescent="0.3">
      <c r="A344" s="85" t="s">
        <v>34</v>
      </c>
      <c r="B344" s="15" t="s">
        <v>35</v>
      </c>
      <c r="C344" s="15" t="s">
        <v>164</v>
      </c>
      <c r="D344" s="15" t="s">
        <v>174</v>
      </c>
      <c r="E344" s="15" t="s">
        <v>180</v>
      </c>
      <c r="F344" s="15" t="s">
        <v>388</v>
      </c>
      <c r="G344" s="15" t="s">
        <v>180</v>
      </c>
      <c r="H344" s="154"/>
      <c r="I344" s="3" t="s">
        <v>3356</v>
      </c>
      <c r="J344" s="1" t="s">
        <v>3326</v>
      </c>
      <c r="K344" s="1" t="s">
        <v>3712</v>
      </c>
      <c r="L344" s="1" t="s">
        <v>35</v>
      </c>
      <c r="M344" s="95"/>
      <c r="N344" s="3" t="s">
        <v>3712</v>
      </c>
      <c r="O344" s="8" t="s">
        <v>105</v>
      </c>
      <c r="P344" s="1" t="s">
        <v>3355</v>
      </c>
      <c r="Q344" s="2">
        <v>0.01</v>
      </c>
      <c r="R344" s="138"/>
      <c r="T344" s="18">
        <v>0</v>
      </c>
      <c r="U344" s="4">
        <v>0</v>
      </c>
      <c r="V344" s="4">
        <v>0.29000000000000004</v>
      </c>
      <c r="W344" s="13">
        <f t="shared" si="56"/>
        <v>-0.29000000000000004</v>
      </c>
      <c r="X344" s="13">
        <f t="shared" si="53"/>
        <v>0.28712871287128716</v>
      </c>
      <c r="Y344" s="13">
        <f t="shared" si="48"/>
        <v>0</v>
      </c>
      <c r="Z344" s="2">
        <v>0</v>
      </c>
      <c r="AA344" s="4">
        <v>0</v>
      </c>
      <c r="AB344" s="4">
        <f t="shared" si="49"/>
        <v>0.28712871287128716</v>
      </c>
      <c r="AC344" s="6">
        <f t="shared" si="50"/>
        <v>2.8712871287128738E-3</v>
      </c>
      <c r="AD344" s="13">
        <f t="shared" si="54"/>
        <v>0.29000000000000004</v>
      </c>
      <c r="AE344" s="2">
        <v>0.05</v>
      </c>
      <c r="AF344" s="5">
        <f t="shared" si="51"/>
        <v>1.4500000000000002E-2</v>
      </c>
      <c r="AG344" s="2">
        <v>0</v>
      </c>
      <c r="AH344" s="5">
        <f t="shared" si="55"/>
        <v>0.29000000000000004</v>
      </c>
      <c r="AJ344" s="126" t="e">
        <v>#N/A</v>
      </c>
      <c r="AK344" s="80">
        <f t="shared" si="52"/>
        <v>0</v>
      </c>
      <c r="AM344" s="85"/>
    </row>
    <row r="345" spans="1:39" hidden="1" x14ac:dyDescent="0.3">
      <c r="A345" s="85" t="s">
        <v>34</v>
      </c>
      <c r="B345" s="15" t="s">
        <v>35</v>
      </c>
      <c r="C345" s="15" t="s">
        <v>164</v>
      </c>
      <c r="D345" s="15" t="s">
        <v>181</v>
      </c>
      <c r="E345" s="15" t="s">
        <v>182</v>
      </c>
      <c r="F345" s="15" t="s">
        <v>389</v>
      </c>
      <c r="G345" s="15" t="s">
        <v>182</v>
      </c>
      <c r="H345" s="154"/>
      <c r="I345" s="3" t="s">
        <v>3356</v>
      </c>
      <c r="J345" s="1" t="s">
        <v>3326</v>
      </c>
      <c r="K345" s="1" t="s">
        <v>3712</v>
      </c>
      <c r="L345" s="1" t="s">
        <v>35</v>
      </c>
      <c r="M345" s="95"/>
      <c r="N345" s="3" t="s">
        <v>3712</v>
      </c>
      <c r="O345" s="8" t="s">
        <v>45</v>
      </c>
      <c r="P345" s="8" t="s">
        <v>246</v>
      </c>
      <c r="Q345" s="9">
        <v>0</v>
      </c>
      <c r="R345" s="138"/>
      <c r="T345" s="18">
        <v>0</v>
      </c>
      <c r="U345" s="4">
        <v>0</v>
      </c>
      <c r="V345" s="4">
        <v>380929.37999999995</v>
      </c>
      <c r="W345" s="13">
        <f t="shared" si="56"/>
        <v>-380929.37999999995</v>
      </c>
      <c r="X345" s="13">
        <f t="shared" si="53"/>
        <v>380929.37999999995</v>
      </c>
      <c r="Y345" s="13">
        <f t="shared" si="48"/>
        <v>0</v>
      </c>
      <c r="Z345" s="2">
        <v>0</v>
      </c>
      <c r="AA345" s="4">
        <v>0</v>
      </c>
      <c r="AB345" s="4">
        <f t="shared" si="49"/>
        <v>380929.37999999995</v>
      </c>
      <c r="AC345" s="6">
        <f t="shared" si="50"/>
        <v>0</v>
      </c>
      <c r="AD345" s="13">
        <f t="shared" si="54"/>
        <v>380929.37999999995</v>
      </c>
      <c r="AE345" s="2">
        <v>0.05</v>
      </c>
      <c r="AF345" s="5">
        <f t="shared" si="51"/>
        <v>19046.468999999997</v>
      </c>
      <c r="AG345" s="2">
        <v>0</v>
      </c>
      <c r="AH345" s="5">
        <f t="shared" si="55"/>
        <v>380929.37999999995</v>
      </c>
      <c r="AJ345" s="126" t="e">
        <v>#N/A</v>
      </c>
      <c r="AK345" s="80">
        <f t="shared" si="52"/>
        <v>0</v>
      </c>
      <c r="AM345" s="85"/>
    </row>
    <row r="346" spans="1:39" hidden="1" x14ac:dyDescent="0.3">
      <c r="A346" s="85" t="s">
        <v>34</v>
      </c>
      <c r="B346" s="15" t="s">
        <v>35</v>
      </c>
      <c r="C346" s="15" t="s">
        <v>164</v>
      </c>
      <c r="D346" s="15" t="s">
        <v>181</v>
      </c>
      <c r="E346" s="15" t="s">
        <v>182</v>
      </c>
      <c r="F346" s="15" t="s">
        <v>389</v>
      </c>
      <c r="G346" s="15" t="s">
        <v>182</v>
      </c>
      <c r="H346" s="154"/>
      <c r="I346" s="3" t="s">
        <v>3356</v>
      </c>
      <c r="J346" s="1" t="s">
        <v>3326</v>
      </c>
      <c r="K346" s="1" t="s">
        <v>3712</v>
      </c>
      <c r="L346" s="1" t="s">
        <v>35</v>
      </c>
      <c r="M346" s="95"/>
      <c r="N346" s="3" t="s">
        <v>3712</v>
      </c>
      <c r="O346" s="8" t="s">
        <v>105</v>
      </c>
      <c r="P346" s="8" t="s">
        <v>246</v>
      </c>
      <c r="Q346" s="9">
        <v>0</v>
      </c>
      <c r="R346" s="138"/>
      <c r="T346" s="18">
        <v>0</v>
      </c>
      <c r="U346" s="4">
        <v>0</v>
      </c>
      <c r="V346" s="4">
        <v>6774.1900000000005</v>
      </c>
      <c r="W346" s="13">
        <f t="shared" si="56"/>
        <v>-6774.1900000000005</v>
      </c>
      <c r="X346" s="13">
        <f t="shared" si="53"/>
        <v>6774.1900000000005</v>
      </c>
      <c r="Y346" s="13">
        <f t="shared" si="48"/>
        <v>0</v>
      </c>
      <c r="Z346" s="2">
        <v>0</v>
      </c>
      <c r="AA346" s="4">
        <v>0</v>
      </c>
      <c r="AB346" s="4">
        <f t="shared" si="49"/>
        <v>6774.1900000000005</v>
      </c>
      <c r="AC346" s="6">
        <f t="shared" si="50"/>
        <v>0</v>
      </c>
      <c r="AD346" s="13">
        <f t="shared" si="54"/>
        <v>6774.1900000000005</v>
      </c>
      <c r="AE346" s="2">
        <v>0.05</v>
      </c>
      <c r="AF346" s="5">
        <f t="shared" si="51"/>
        <v>338.70950000000005</v>
      </c>
      <c r="AG346" s="2">
        <v>0</v>
      </c>
      <c r="AH346" s="5">
        <f t="shared" si="55"/>
        <v>6774.1900000000005</v>
      </c>
      <c r="AJ346" s="126" t="e">
        <v>#N/A</v>
      </c>
      <c r="AK346" s="80">
        <f t="shared" si="52"/>
        <v>0</v>
      </c>
      <c r="AM346" s="85"/>
    </row>
    <row r="347" spans="1:39" hidden="1" x14ac:dyDescent="0.3">
      <c r="A347" s="85" t="s">
        <v>34</v>
      </c>
      <c r="B347" s="15" t="s">
        <v>35</v>
      </c>
      <c r="C347" s="15" t="s">
        <v>184</v>
      </c>
      <c r="D347" s="15" t="s">
        <v>185</v>
      </c>
      <c r="E347" s="15" t="s">
        <v>186</v>
      </c>
      <c r="F347" s="15" t="s">
        <v>390</v>
      </c>
      <c r="G347" s="15" t="s">
        <v>186</v>
      </c>
      <c r="H347" s="154"/>
      <c r="I347" s="3" t="s">
        <v>3356</v>
      </c>
      <c r="J347" s="1" t="s">
        <v>3326</v>
      </c>
      <c r="K347" s="1" t="s">
        <v>3712</v>
      </c>
      <c r="L347" s="1" t="s">
        <v>35</v>
      </c>
      <c r="M347" s="95"/>
      <c r="N347" s="3" t="s">
        <v>3712</v>
      </c>
      <c r="O347" s="8" t="s">
        <v>105</v>
      </c>
      <c r="P347" s="1" t="s">
        <v>3753</v>
      </c>
      <c r="Q347" s="2">
        <v>0.01</v>
      </c>
      <c r="R347" s="138"/>
      <c r="T347" s="18">
        <v>0</v>
      </c>
      <c r="U347" s="4">
        <v>0</v>
      </c>
      <c r="V347" s="4">
        <v>2558.84</v>
      </c>
      <c r="W347" s="13">
        <f t="shared" si="56"/>
        <v>-2558.84</v>
      </c>
      <c r="X347" s="13">
        <f t="shared" si="53"/>
        <v>2533.5049504950498</v>
      </c>
      <c r="Y347" s="13">
        <f t="shared" si="48"/>
        <v>0</v>
      </c>
      <c r="Z347" s="2">
        <v>0</v>
      </c>
      <c r="AA347" s="4">
        <v>0</v>
      </c>
      <c r="AB347" s="4">
        <f t="shared" si="49"/>
        <v>2533.5049504950498</v>
      </c>
      <c r="AC347" s="6">
        <f t="shared" si="50"/>
        <v>25.335049504950348</v>
      </c>
      <c r="AD347" s="13">
        <f t="shared" si="54"/>
        <v>2558.84</v>
      </c>
      <c r="AE347" s="2">
        <v>0.05</v>
      </c>
      <c r="AF347" s="5">
        <f t="shared" si="51"/>
        <v>127.94200000000001</v>
      </c>
      <c r="AG347" s="2">
        <v>0</v>
      </c>
      <c r="AH347" s="5">
        <f t="shared" si="55"/>
        <v>2558.84</v>
      </c>
      <c r="AJ347" s="126" t="e">
        <v>#N/A</v>
      </c>
      <c r="AK347" s="80">
        <f t="shared" si="52"/>
        <v>0</v>
      </c>
      <c r="AM347" s="85"/>
    </row>
    <row r="348" spans="1:39" hidden="1" x14ac:dyDescent="0.3">
      <c r="A348" s="85" t="s">
        <v>34</v>
      </c>
      <c r="B348" s="15" t="s">
        <v>35</v>
      </c>
      <c r="C348" s="15" t="s">
        <v>187</v>
      </c>
      <c r="D348" s="15" t="s">
        <v>188</v>
      </c>
      <c r="E348" s="15" t="s">
        <v>189</v>
      </c>
      <c r="F348" s="15" t="s">
        <v>391</v>
      </c>
      <c r="G348" s="15" t="s">
        <v>189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0.03</v>
      </c>
      <c r="R348" s="138"/>
      <c r="T348" s="18">
        <v>0</v>
      </c>
      <c r="U348" s="4">
        <v>0</v>
      </c>
      <c r="V348" s="4">
        <v>375.84000000000003</v>
      </c>
      <c r="W348" s="13">
        <f t="shared" si="56"/>
        <v>-375.84000000000003</v>
      </c>
      <c r="X348" s="13">
        <f t="shared" si="53"/>
        <v>364.89320388349518</v>
      </c>
      <c r="Y348" s="13">
        <f t="shared" si="48"/>
        <v>0</v>
      </c>
      <c r="Z348" s="2">
        <v>0</v>
      </c>
      <c r="AA348" s="4">
        <v>0</v>
      </c>
      <c r="AB348" s="4">
        <f t="shared" si="49"/>
        <v>364.89320388349518</v>
      </c>
      <c r="AC348" s="6">
        <f t="shared" si="50"/>
        <v>10.946796116504856</v>
      </c>
      <c r="AD348" s="13">
        <f t="shared" si="54"/>
        <v>375.84000000000003</v>
      </c>
      <c r="AE348" s="2">
        <v>0.05</v>
      </c>
      <c r="AF348" s="5">
        <f t="shared" si="51"/>
        <v>18.792000000000002</v>
      </c>
      <c r="AG348" s="2">
        <v>0</v>
      </c>
      <c r="AH348" s="5">
        <f t="shared" si="55"/>
        <v>375.84000000000003</v>
      </c>
      <c r="AJ348" s="126" t="e">
        <v>#N/A</v>
      </c>
      <c r="AK348" s="80">
        <f t="shared" si="52"/>
        <v>0</v>
      </c>
      <c r="AM348" s="85"/>
    </row>
    <row r="349" spans="1:39" hidden="1" x14ac:dyDescent="0.3">
      <c r="A349" s="85" t="s">
        <v>34</v>
      </c>
      <c r="B349" s="15" t="s">
        <v>35</v>
      </c>
      <c r="C349" s="15" t="s">
        <v>187</v>
      </c>
      <c r="D349" s="15" t="s">
        <v>188</v>
      </c>
      <c r="E349" s="15" t="s">
        <v>314</v>
      </c>
      <c r="F349" s="15" t="s">
        <v>392</v>
      </c>
      <c r="G349" s="15" t="s">
        <v>314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105</v>
      </c>
      <c r="P349" s="8" t="s">
        <v>353</v>
      </c>
      <c r="Q349" s="9">
        <v>0.03</v>
      </c>
      <c r="R349" s="138"/>
      <c r="T349" s="18">
        <v>0</v>
      </c>
      <c r="U349" s="4">
        <v>0</v>
      </c>
      <c r="V349" s="4">
        <v>0</v>
      </c>
      <c r="W349" s="13">
        <f t="shared" si="56"/>
        <v>0</v>
      </c>
      <c r="X349" s="13">
        <f t="shared" si="53"/>
        <v>0</v>
      </c>
      <c r="Y349" s="13">
        <f t="shared" si="48"/>
        <v>0</v>
      </c>
      <c r="Z349" s="2">
        <v>0</v>
      </c>
      <c r="AA349" s="4">
        <v>0</v>
      </c>
      <c r="AB349" s="4">
        <f t="shared" si="49"/>
        <v>0</v>
      </c>
      <c r="AC349" s="6">
        <f t="shared" si="50"/>
        <v>0</v>
      </c>
      <c r="AD349" s="13">
        <f t="shared" si="54"/>
        <v>0</v>
      </c>
      <c r="AE349" s="2">
        <v>0.05</v>
      </c>
      <c r="AF349" s="5">
        <f t="shared" si="51"/>
        <v>0</v>
      </c>
      <c r="AG349" s="2">
        <v>0</v>
      </c>
      <c r="AH349" s="5">
        <f t="shared" si="55"/>
        <v>0</v>
      </c>
      <c r="AJ349" s="126" t="e">
        <v>#N/A</v>
      </c>
      <c r="AK349" s="80">
        <f t="shared" si="52"/>
        <v>0</v>
      </c>
      <c r="AM349" s="85"/>
    </row>
    <row r="350" spans="1:39" hidden="1" x14ac:dyDescent="0.3">
      <c r="A350" s="85" t="s">
        <v>34</v>
      </c>
      <c r="B350" s="15" t="s">
        <v>35</v>
      </c>
      <c r="C350" s="15" t="s">
        <v>187</v>
      </c>
      <c r="D350" s="15" t="s">
        <v>188</v>
      </c>
      <c r="E350" s="15" t="s">
        <v>191</v>
      </c>
      <c r="F350" s="15" t="s">
        <v>393</v>
      </c>
      <c r="G350" s="15" t="s">
        <v>191</v>
      </c>
      <c r="H350" s="154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353</v>
      </c>
      <c r="Q350" s="9">
        <v>0.03</v>
      </c>
      <c r="R350" s="138"/>
      <c r="T350" s="18">
        <v>0</v>
      </c>
      <c r="U350" s="4">
        <v>0</v>
      </c>
      <c r="V350" s="4">
        <v>158.97999999999999</v>
      </c>
      <c r="W350" s="13">
        <f t="shared" si="56"/>
        <v>-158.97999999999999</v>
      </c>
      <c r="X350" s="13">
        <f t="shared" si="53"/>
        <v>154.34951456310679</v>
      </c>
      <c r="Y350" s="13">
        <f t="shared" si="48"/>
        <v>0</v>
      </c>
      <c r="Z350" s="2">
        <v>0</v>
      </c>
      <c r="AA350" s="4">
        <v>0</v>
      </c>
      <c r="AB350" s="4">
        <f t="shared" si="49"/>
        <v>154.34951456310679</v>
      </c>
      <c r="AC350" s="6">
        <f t="shared" si="50"/>
        <v>4.6304854368931956</v>
      </c>
      <c r="AD350" s="13">
        <f t="shared" si="54"/>
        <v>158.97999999999999</v>
      </c>
      <c r="AE350" s="2">
        <v>0.05</v>
      </c>
      <c r="AF350" s="5">
        <f t="shared" si="51"/>
        <v>7.9489999999999998</v>
      </c>
      <c r="AG350" s="2">
        <v>0</v>
      </c>
      <c r="AH350" s="5">
        <f t="shared" si="55"/>
        <v>158.97999999999999</v>
      </c>
      <c r="AJ350" s="126" t="e">
        <v>#N/A</v>
      </c>
      <c r="AK350" s="80">
        <f t="shared" si="52"/>
        <v>0</v>
      </c>
      <c r="AM350" s="85"/>
    </row>
    <row r="351" spans="1:39" hidden="1" x14ac:dyDescent="0.3">
      <c r="A351" s="85" t="s">
        <v>34</v>
      </c>
      <c r="B351" s="15" t="s">
        <v>35</v>
      </c>
      <c r="C351" s="15" t="s">
        <v>187</v>
      </c>
      <c r="D351" s="15" t="s">
        <v>188</v>
      </c>
      <c r="E351" s="15" t="s">
        <v>279</v>
      </c>
      <c r="F351" s="15" t="s">
        <v>394</v>
      </c>
      <c r="G351" s="15" t="s">
        <v>279</v>
      </c>
      <c r="H351" s="139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105</v>
      </c>
      <c r="P351" s="8" t="s">
        <v>353</v>
      </c>
      <c r="Q351" s="9">
        <v>0.03</v>
      </c>
      <c r="R351" s="138"/>
      <c r="T351" s="18">
        <v>0</v>
      </c>
      <c r="U351" s="4">
        <v>0</v>
      </c>
      <c r="V351" s="4">
        <v>0</v>
      </c>
      <c r="W351" s="13">
        <f t="shared" si="56"/>
        <v>0</v>
      </c>
      <c r="X351" s="13">
        <f t="shared" si="53"/>
        <v>0</v>
      </c>
      <c r="Y351" s="13">
        <f t="shared" si="48"/>
        <v>0</v>
      </c>
      <c r="Z351" s="2">
        <v>0</v>
      </c>
      <c r="AA351" s="4">
        <v>0</v>
      </c>
      <c r="AB351" s="4">
        <f t="shared" si="49"/>
        <v>0</v>
      </c>
      <c r="AC351" s="6">
        <f t="shared" si="50"/>
        <v>0</v>
      </c>
      <c r="AD351" s="13">
        <f t="shared" si="54"/>
        <v>0</v>
      </c>
      <c r="AE351" s="2">
        <v>0.05</v>
      </c>
      <c r="AF351" s="5">
        <f t="shared" si="51"/>
        <v>0</v>
      </c>
      <c r="AG351" s="2">
        <v>0</v>
      </c>
      <c r="AH351" s="5">
        <f t="shared" si="55"/>
        <v>0</v>
      </c>
      <c r="AJ351" s="126" t="e">
        <v>#N/A</v>
      </c>
      <c r="AK351" s="80">
        <f t="shared" si="52"/>
        <v>0</v>
      </c>
      <c r="AM351" s="85"/>
    </row>
    <row r="352" spans="1:39" hidden="1" x14ac:dyDescent="0.3">
      <c r="A352" s="85" t="s">
        <v>34</v>
      </c>
      <c r="B352" s="15" t="s">
        <v>35</v>
      </c>
      <c r="C352" s="15" t="s">
        <v>187</v>
      </c>
      <c r="D352" s="15" t="s">
        <v>188</v>
      </c>
      <c r="E352" s="3" t="s">
        <v>193</v>
      </c>
      <c r="F352" s="3" t="s">
        <v>194</v>
      </c>
      <c r="G352" s="3" t="s">
        <v>193</v>
      </c>
      <c r="H352" s="138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45</v>
      </c>
      <c r="P352" s="8" t="s">
        <v>353</v>
      </c>
      <c r="Q352" s="9">
        <v>0.04</v>
      </c>
      <c r="R352" s="138"/>
      <c r="T352" s="18">
        <v>0</v>
      </c>
      <c r="U352" s="4">
        <v>0</v>
      </c>
      <c r="V352" s="4">
        <v>0</v>
      </c>
      <c r="W352" s="13">
        <f t="shared" si="56"/>
        <v>0</v>
      </c>
      <c r="X352" s="13">
        <f t="shared" si="53"/>
        <v>0</v>
      </c>
      <c r="Y352" s="13">
        <f t="shared" si="48"/>
        <v>0</v>
      </c>
      <c r="Z352" s="2">
        <v>0</v>
      </c>
      <c r="AA352" s="4">
        <v>0</v>
      </c>
      <c r="AB352" s="4">
        <f t="shared" si="49"/>
        <v>0</v>
      </c>
      <c r="AC352" s="6">
        <f t="shared" si="50"/>
        <v>0</v>
      </c>
      <c r="AD352" s="13">
        <f t="shared" si="54"/>
        <v>0</v>
      </c>
      <c r="AE352" s="2">
        <v>0.05</v>
      </c>
      <c r="AF352" s="5">
        <f t="shared" si="51"/>
        <v>0</v>
      </c>
      <c r="AG352" s="2">
        <v>0</v>
      </c>
      <c r="AH352" s="5">
        <f t="shared" si="55"/>
        <v>0</v>
      </c>
      <c r="AJ352" s="126" t="e">
        <v>#N/A</v>
      </c>
      <c r="AK352" s="80">
        <f t="shared" si="52"/>
        <v>0</v>
      </c>
      <c r="AM352" s="85"/>
    </row>
    <row r="353" spans="1:39" hidden="1" x14ac:dyDescent="0.3">
      <c r="A353" s="85" t="s">
        <v>34</v>
      </c>
      <c r="B353" s="15" t="s">
        <v>35</v>
      </c>
      <c r="C353" s="15" t="s">
        <v>187</v>
      </c>
      <c r="D353" s="15" t="s">
        <v>188</v>
      </c>
      <c r="E353" s="3" t="s">
        <v>193</v>
      </c>
      <c r="F353" s="3" t="s">
        <v>194</v>
      </c>
      <c r="G353" s="3" t="s">
        <v>193</v>
      </c>
      <c r="I353" s="3" t="s">
        <v>3356</v>
      </c>
      <c r="J353" s="1" t="s">
        <v>3326</v>
      </c>
      <c r="K353" s="1" t="s">
        <v>3283</v>
      </c>
      <c r="L353" s="1" t="s">
        <v>35</v>
      </c>
      <c r="M353" s="95"/>
      <c r="N353" s="3" t="s">
        <v>80</v>
      </c>
      <c r="O353" s="8" t="s">
        <v>105</v>
      </c>
      <c r="P353" s="8" t="s">
        <v>353</v>
      </c>
      <c r="Q353" s="9">
        <v>0.04</v>
      </c>
      <c r="R353" s="138"/>
      <c r="T353" s="18">
        <v>0</v>
      </c>
      <c r="U353" s="4">
        <v>0</v>
      </c>
      <c r="V353" s="4">
        <v>881.52</v>
      </c>
      <c r="W353" s="13">
        <f t="shared" si="56"/>
        <v>-881.52</v>
      </c>
      <c r="X353" s="13">
        <f t="shared" si="53"/>
        <v>847.61538461538453</v>
      </c>
      <c r="Y353" s="13">
        <f t="shared" si="48"/>
        <v>0</v>
      </c>
      <c r="Z353" s="2">
        <v>0</v>
      </c>
      <c r="AA353" s="4">
        <v>0</v>
      </c>
      <c r="AB353" s="4">
        <f t="shared" si="49"/>
        <v>847.61538461538453</v>
      </c>
      <c r="AC353" s="6">
        <f t="shared" si="50"/>
        <v>33.904615384615454</v>
      </c>
      <c r="AD353" s="13">
        <f t="shared" si="54"/>
        <v>881.52</v>
      </c>
      <c r="AE353" s="2">
        <v>0.05</v>
      </c>
      <c r="AF353" s="5">
        <f t="shared" si="51"/>
        <v>44.076000000000001</v>
      </c>
      <c r="AG353" s="2">
        <v>0</v>
      </c>
      <c r="AH353" s="5">
        <f t="shared" si="55"/>
        <v>881.52</v>
      </c>
      <c r="AJ353" s="126" t="e">
        <v>#N/A</v>
      </c>
      <c r="AK353" s="80">
        <f t="shared" si="52"/>
        <v>0</v>
      </c>
      <c r="AM353" s="85"/>
    </row>
    <row r="354" spans="1:39" hidden="1" x14ac:dyDescent="0.3">
      <c r="A354" s="85" t="s">
        <v>34</v>
      </c>
      <c r="B354" s="15" t="s">
        <v>35</v>
      </c>
      <c r="C354" s="15" t="s">
        <v>187</v>
      </c>
      <c r="D354" s="15" t="s">
        <v>188</v>
      </c>
      <c r="E354" s="15" t="s">
        <v>195</v>
      </c>
      <c r="F354" s="15" t="s">
        <v>395</v>
      </c>
      <c r="G354" s="15" t="s">
        <v>195</v>
      </c>
      <c r="H354" s="154"/>
      <c r="I354" s="3" t="s">
        <v>3356</v>
      </c>
      <c r="J354" s="1" t="s">
        <v>3326</v>
      </c>
      <c r="K354" s="1" t="s">
        <v>3283</v>
      </c>
      <c r="L354" s="1" t="s">
        <v>35</v>
      </c>
      <c r="M354" s="95"/>
      <c r="N354" s="3" t="s">
        <v>80</v>
      </c>
      <c r="O354" s="8" t="s">
        <v>105</v>
      </c>
      <c r="P354" s="1" t="s">
        <v>3360</v>
      </c>
      <c r="Q354" s="2">
        <v>0.03</v>
      </c>
      <c r="R354" s="138"/>
      <c r="T354" s="18">
        <v>0</v>
      </c>
      <c r="U354" s="4">
        <v>0</v>
      </c>
      <c r="V354" s="4">
        <v>43.87</v>
      </c>
      <c r="W354" s="13">
        <f t="shared" si="56"/>
        <v>-43.87</v>
      </c>
      <c r="X354" s="13">
        <f t="shared" si="53"/>
        <v>42.592233009708735</v>
      </c>
      <c r="Y354" s="13">
        <f t="shared" si="48"/>
        <v>0</v>
      </c>
      <c r="Z354" s="2">
        <v>0</v>
      </c>
      <c r="AA354" s="4">
        <v>0</v>
      </c>
      <c r="AB354" s="4">
        <f t="shared" si="49"/>
        <v>42.592233009708735</v>
      </c>
      <c r="AC354" s="6">
        <f t="shared" si="50"/>
        <v>1.2777669902912621</v>
      </c>
      <c r="AD354" s="13">
        <f t="shared" si="54"/>
        <v>43.87</v>
      </c>
      <c r="AE354" s="2">
        <v>0.05</v>
      </c>
      <c r="AF354" s="5">
        <f t="shared" si="51"/>
        <v>2.1934999999999998</v>
      </c>
      <c r="AG354" s="2">
        <v>0</v>
      </c>
      <c r="AH354" s="5">
        <f t="shared" si="55"/>
        <v>43.87</v>
      </c>
      <c r="AJ354" s="126" t="e">
        <v>#N/A</v>
      </c>
      <c r="AK354" s="80">
        <f t="shared" si="52"/>
        <v>0</v>
      </c>
      <c r="AM354" s="85"/>
    </row>
    <row r="355" spans="1:39" hidden="1" x14ac:dyDescent="0.3">
      <c r="A355" s="85" t="s">
        <v>34</v>
      </c>
      <c r="B355" s="15" t="s">
        <v>35</v>
      </c>
      <c r="C355" s="15" t="s">
        <v>187</v>
      </c>
      <c r="D355" s="15" t="s">
        <v>188</v>
      </c>
      <c r="E355" s="15" t="s">
        <v>196</v>
      </c>
      <c r="F355" s="15" t="s">
        <v>396</v>
      </c>
      <c r="G355" s="15" t="s">
        <v>196</v>
      </c>
      <c r="H355" s="154"/>
      <c r="I355" s="3" t="s">
        <v>3356</v>
      </c>
      <c r="J355" s="1" t="s">
        <v>3326</v>
      </c>
      <c r="K355" s="1" t="s">
        <v>3283</v>
      </c>
      <c r="L355" s="1" t="s">
        <v>35</v>
      </c>
      <c r="M355" s="95"/>
      <c r="N355" s="3" t="s">
        <v>80</v>
      </c>
      <c r="O355" s="8" t="s">
        <v>105</v>
      </c>
      <c r="P355" s="8" t="s">
        <v>46</v>
      </c>
      <c r="Q355" s="9">
        <v>5.0000000000000044E-2</v>
      </c>
      <c r="R355" s="138"/>
      <c r="T355" s="18">
        <v>0</v>
      </c>
      <c r="U355" s="4">
        <v>0</v>
      </c>
      <c r="V355" s="4">
        <v>494.21000000000004</v>
      </c>
      <c r="W355" s="13">
        <f t="shared" si="56"/>
        <v>-494.21000000000004</v>
      </c>
      <c r="X355" s="13">
        <f t="shared" si="53"/>
        <v>470.67619047619047</v>
      </c>
      <c r="Y355" s="13">
        <f t="shared" si="48"/>
        <v>0</v>
      </c>
      <c r="Z355" s="2">
        <v>0</v>
      </c>
      <c r="AA355" s="4">
        <v>0</v>
      </c>
      <c r="AB355" s="4">
        <f t="shared" si="49"/>
        <v>470.67619047619047</v>
      </c>
      <c r="AC355" s="6">
        <f t="shared" si="50"/>
        <v>23.533809523809566</v>
      </c>
      <c r="AD355" s="13">
        <f t="shared" si="54"/>
        <v>494.21000000000004</v>
      </c>
      <c r="AE355" s="2">
        <v>0.05</v>
      </c>
      <c r="AF355" s="5">
        <f t="shared" si="51"/>
        <v>24.710500000000003</v>
      </c>
      <c r="AG355" s="2">
        <v>0</v>
      </c>
      <c r="AH355" s="5">
        <f t="shared" si="55"/>
        <v>494.21000000000004</v>
      </c>
      <c r="AJ355" s="126" t="e">
        <v>#N/A</v>
      </c>
      <c r="AK355" s="80">
        <f t="shared" si="52"/>
        <v>0</v>
      </c>
      <c r="AM355" s="85"/>
    </row>
    <row r="356" spans="1:39" hidden="1" x14ac:dyDescent="0.3">
      <c r="A356" s="85" t="s">
        <v>34</v>
      </c>
      <c r="B356" s="15" t="s">
        <v>35</v>
      </c>
      <c r="C356" s="15" t="s">
        <v>187</v>
      </c>
      <c r="D356" s="15" t="s">
        <v>188</v>
      </c>
      <c r="E356" s="15" t="s">
        <v>198</v>
      </c>
      <c r="F356" s="15" t="s">
        <v>397</v>
      </c>
      <c r="G356" s="15" t="s">
        <v>198</v>
      </c>
      <c r="H356" s="154"/>
      <c r="I356" s="3" t="s">
        <v>3356</v>
      </c>
      <c r="J356" s="1" t="s">
        <v>3326</v>
      </c>
      <c r="K356" s="1" t="s">
        <v>3283</v>
      </c>
      <c r="L356" s="1" t="s">
        <v>35</v>
      </c>
      <c r="M356" s="95"/>
      <c r="N356" s="3" t="s">
        <v>80</v>
      </c>
      <c r="O356" s="8" t="s">
        <v>105</v>
      </c>
      <c r="P356" s="8" t="s">
        <v>246</v>
      </c>
      <c r="Q356" s="9">
        <v>0</v>
      </c>
      <c r="R356" s="138"/>
      <c r="T356" s="18">
        <v>0</v>
      </c>
      <c r="U356" s="4">
        <v>0</v>
      </c>
      <c r="V356" s="4">
        <v>651.94999999999993</v>
      </c>
      <c r="W356" s="13">
        <f t="shared" si="56"/>
        <v>-651.94999999999993</v>
      </c>
      <c r="X356" s="13">
        <f t="shared" si="53"/>
        <v>651.94999999999993</v>
      </c>
      <c r="Y356" s="13">
        <f t="shared" si="48"/>
        <v>0</v>
      </c>
      <c r="Z356" s="2">
        <v>0</v>
      </c>
      <c r="AA356" s="4">
        <v>0</v>
      </c>
      <c r="AB356" s="4">
        <f t="shared" si="49"/>
        <v>651.94999999999993</v>
      </c>
      <c r="AC356" s="6">
        <f t="shared" si="50"/>
        <v>0</v>
      </c>
      <c r="AD356" s="13">
        <f t="shared" si="54"/>
        <v>651.94999999999993</v>
      </c>
      <c r="AE356" s="2">
        <v>0.05</v>
      </c>
      <c r="AF356" s="5">
        <f t="shared" si="51"/>
        <v>32.597499999999997</v>
      </c>
      <c r="AG356" s="2">
        <v>0</v>
      </c>
      <c r="AH356" s="5">
        <f t="shared" si="55"/>
        <v>651.94999999999993</v>
      </c>
      <c r="AJ356" s="126" t="e">
        <v>#N/A</v>
      </c>
      <c r="AK356" s="80">
        <f t="shared" si="52"/>
        <v>0</v>
      </c>
      <c r="AM356" s="85"/>
    </row>
    <row r="357" spans="1:39" hidden="1" x14ac:dyDescent="0.3">
      <c r="A357" s="85" t="s">
        <v>34</v>
      </c>
      <c r="B357" s="15" t="s">
        <v>35</v>
      </c>
      <c r="C357" s="15" t="s">
        <v>187</v>
      </c>
      <c r="D357" s="15" t="s">
        <v>188</v>
      </c>
      <c r="E357" s="15" t="s">
        <v>267</v>
      </c>
      <c r="F357" s="15" t="s">
        <v>398</v>
      </c>
      <c r="G357" s="15" t="s">
        <v>267</v>
      </c>
      <c r="H357" s="154"/>
      <c r="I357" s="3" t="s">
        <v>3356</v>
      </c>
      <c r="J357" s="1" t="s">
        <v>3326</v>
      </c>
      <c r="K357" s="1" t="s">
        <v>3283</v>
      </c>
      <c r="L357" s="1" t="s">
        <v>35</v>
      </c>
      <c r="M357" s="95"/>
      <c r="N357" s="3" t="s">
        <v>80</v>
      </c>
      <c r="O357" s="8" t="s">
        <v>105</v>
      </c>
      <c r="P357" s="8" t="s">
        <v>353</v>
      </c>
      <c r="Q357" s="9">
        <v>0.04</v>
      </c>
      <c r="R357" s="138"/>
      <c r="T357" s="18">
        <v>0</v>
      </c>
      <c r="U357" s="4">
        <v>0</v>
      </c>
      <c r="V357" s="4">
        <v>327.36999999999989</v>
      </c>
      <c r="W357" s="13">
        <f t="shared" si="56"/>
        <v>-327.36999999999989</v>
      </c>
      <c r="X357" s="13">
        <f t="shared" si="53"/>
        <v>314.77884615384602</v>
      </c>
      <c r="Y357" s="13">
        <f t="shared" si="48"/>
        <v>0</v>
      </c>
      <c r="Z357" s="2">
        <v>0</v>
      </c>
      <c r="AA357" s="4">
        <v>0</v>
      </c>
      <c r="AB357" s="4">
        <f t="shared" si="49"/>
        <v>314.77884615384602</v>
      </c>
      <c r="AC357" s="6">
        <f t="shared" si="50"/>
        <v>12.591153846153873</v>
      </c>
      <c r="AD357" s="13">
        <f t="shared" si="54"/>
        <v>327.36999999999989</v>
      </c>
      <c r="AE357" s="2">
        <v>0.05</v>
      </c>
      <c r="AF357" s="5">
        <f t="shared" si="51"/>
        <v>16.368499999999994</v>
      </c>
      <c r="AG357" s="2">
        <v>0</v>
      </c>
      <c r="AH357" s="5">
        <f t="shared" si="55"/>
        <v>327.36999999999989</v>
      </c>
      <c r="AJ357" s="126" t="e">
        <v>#N/A</v>
      </c>
      <c r="AK357" s="80">
        <f t="shared" si="52"/>
        <v>0</v>
      </c>
      <c r="AM357" s="85"/>
    </row>
    <row r="358" spans="1:39" hidden="1" x14ac:dyDescent="0.3">
      <c r="A358" s="85" t="s">
        <v>34</v>
      </c>
      <c r="B358" s="15" t="s">
        <v>35</v>
      </c>
      <c r="C358" s="15" t="s">
        <v>187</v>
      </c>
      <c r="D358" s="15" t="s">
        <v>188</v>
      </c>
      <c r="E358" s="15" t="s">
        <v>202</v>
      </c>
      <c r="F358" s="15" t="s">
        <v>399</v>
      </c>
      <c r="G358" s="15" t="s">
        <v>202</v>
      </c>
      <c r="H358" s="154"/>
      <c r="I358" s="3" t="s">
        <v>3356</v>
      </c>
      <c r="J358" s="1" t="s">
        <v>3326</v>
      </c>
      <c r="K358" s="1" t="s">
        <v>3283</v>
      </c>
      <c r="L358" s="1" t="s">
        <v>35</v>
      </c>
      <c r="M358" s="95"/>
      <c r="N358" s="3" t="s">
        <v>80</v>
      </c>
      <c r="O358" s="8" t="s">
        <v>105</v>
      </c>
      <c r="P358" s="8" t="s">
        <v>46</v>
      </c>
      <c r="Q358" s="9">
        <v>0.04</v>
      </c>
      <c r="R358" s="138"/>
      <c r="T358" s="18">
        <v>0</v>
      </c>
      <c r="U358" s="4">
        <v>0</v>
      </c>
      <c r="V358" s="4">
        <v>111.32000000000001</v>
      </c>
      <c r="W358" s="13">
        <f t="shared" si="56"/>
        <v>-111.32000000000001</v>
      </c>
      <c r="X358" s="13">
        <f t="shared" si="53"/>
        <v>107.03846153846155</v>
      </c>
      <c r="Y358" s="13">
        <f t="shared" si="48"/>
        <v>0</v>
      </c>
      <c r="Z358" s="2">
        <v>0</v>
      </c>
      <c r="AA358" s="4">
        <v>0</v>
      </c>
      <c r="AB358" s="4">
        <f t="shared" si="49"/>
        <v>107.03846153846155</v>
      </c>
      <c r="AC358" s="6">
        <f t="shared" si="50"/>
        <v>4.2815384615384602</v>
      </c>
      <c r="AD358" s="13">
        <f t="shared" si="54"/>
        <v>111.32000000000001</v>
      </c>
      <c r="AE358" s="2">
        <v>0.05</v>
      </c>
      <c r="AF358" s="5">
        <f t="shared" si="51"/>
        <v>5.5660000000000007</v>
      </c>
      <c r="AG358" s="2">
        <v>0</v>
      </c>
      <c r="AH358" s="5">
        <f t="shared" si="55"/>
        <v>111.32000000000001</v>
      </c>
      <c r="AJ358" s="126" t="e">
        <v>#N/A</v>
      </c>
      <c r="AK358" s="80">
        <f t="shared" si="52"/>
        <v>0</v>
      </c>
      <c r="AM358" s="85"/>
    </row>
    <row r="359" spans="1:39" hidden="1" x14ac:dyDescent="0.3">
      <c r="A359" s="85" t="s">
        <v>34</v>
      </c>
      <c r="B359" s="15" t="s">
        <v>35</v>
      </c>
      <c r="C359" s="15" t="s">
        <v>187</v>
      </c>
      <c r="D359" s="15" t="s">
        <v>188</v>
      </c>
      <c r="E359" s="15" t="s">
        <v>204</v>
      </c>
      <c r="F359" s="15" t="s">
        <v>400</v>
      </c>
      <c r="G359" s="15" t="s">
        <v>204</v>
      </c>
      <c r="H359" s="154"/>
      <c r="I359" s="3" t="s">
        <v>3356</v>
      </c>
      <c r="J359" s="1" t="s">
        <v>3326</v>
      </c>
      <c r="K359" s="1" t="s">
        <v>3283</v>
      </c>
      <c r="L359" s="1" t="s">
        <v>35</v>
      </c>
      <c r="M359" s="95"/>
      <c r="N359" s="3" t="s">
        <v>80</v>
      </c>
      <c r="O359" s="8" t="s">
        <v>105</v>
      </c>
      <c r="P359" s="8" t="s">
        <v>46</v>
      </c>
      <c r="Q359" s="9">
        <v>0.03</v>
      </c>
      <c r="R359" s="138"/>
      <c r="T359" s="18">
        <v>0</v>
      </c>
      <c r="U359" s="4">
        <v>0</v>
      </c>
      <c r="V359" s="4">
        <v>7683.9699999999993</v>
      </c>
      <c r="W359" s="13">
        <f t="shared" si="56"/>
        <v>-7683.9699999999993</v>
      </c>
      <c r="X359" s="13">
        <f t="shared" si="53"/>
        <v>7460.1650485436885</v>
      </c>
      <c r="Y359" s="13">
        <f t="shared" si="48"/>
        <v>0</v>
      </c>
      <c r="Z359" s="2">
        <v>0</v>
      </c>
      <c r="AA359" s="4">
        <v>0</v>
      </c>
      <c r="AB359" s="4">
        <f t="shared" si="49"/>
        <v>7460.1650485436885</v>
      </c>
      <c r="AC359" s="6">
        <f t="shared" si="50"/>
        <v>223.80495145631085</v>
      </c>
      <c r="AD359" s="13">
        <f t="shared" si="54"/>
        <v>7683.9699999999993</v>
      </c>
      <c r="AE359" s="2">
        <v>0.05</v>
      </c>
      <c r="AF359" s="5">
        <f t="shared" si="51"/>
        <v>384.19849999999997</v>
      </c>
      <c r="AG359" s="2">
        <v>0</v>
      </c>
      <c r="AH359" s="5">
        <f t="shared" si="55"/>
        <v>7683.9699999999993</v>
      </c>
      <c r="AJ359" s="126" t="e">
        <v>#N/A</v>
      </c>
      <c r="AK359" s="80">
        <f t="shared" si="52"/>
        <v>0</v>
      </c>
      <c r="AM359" s="85"/>
    </row>
    <row r="360" spans="1:39" hidden="1" x14ac:dyDescent="0.3">
      <c r="A360" s="85" t="s">
        <v>34</v>
      </c>
      <c r="B360" s="15" t="s">
        <v>35</v>
      </c>
      <c r="C360" s="15" t="s">
        <v>187</v>
      </c>
      <c r="D360" s="15" t="s">
        <v>188</v>
      </c>
      <c r="E360" s="15" t="s">
        <v>205</v>
      </c>
      <c r="F360" s="15" t="s">
        <v>401</v>
      </c>
      <c r="G360" s="15" t="s">
        <v>205</v>
      </c>
      <c r="H360" s="154"/>
      <c r="I360" s="3" t="s">
        <v>3356</v>
      </c>
      <c r="J360" s="1" t="s">
        <v>3326</v>
      </c>
      <c r="K360" s="1" t="s">
        <v>3283</v>
      </c>
      <c r="L360" s="1" t="s">
        <v>35</v>
      </c>
      <c r="M360" s="95"/>
      <c r="N360" s="3" t="s">
        <v>80</v>
      </c>
      <c r="O360" s="8" t="s">
        <v>105</v>
      </c>
      <c r="P360" s="8" t="s">
        <v>246</v>
      </c>
      <c r="Q360" s="9">
        <v>0</v>
      </c>
      <c r="R360" s="138"/>
      <c r="T360" s="18">
        <v>0</v>
      </c>
      <c r="U360" s="4">
        <v>0</v>
      </c>
      <c r="V360" s="4">
        <v>4470.3500000000004</v>
      </c>
      <c r="W360" s="13">
        <f t="shared" si="56"/>
        <v>-4470.3500000000004</v>
      </c>
      <c r="X360" s="13">
        <f t="shared" si="53"/>
        <v>4470.3500000000004</v>
      </c>
      <c r="Y360" s="13">
        <f t="shared" si="48"/>
        <v>0</v>
      </c>
      <c r="Z360" s="2">
        <v>0</v>
      </c>
      <c r="AA360" s="4">
        <v>0</v>
      </c>
      <c r="AB360" s="4">
        <f t="shared" si="49"/>
        <v>4470.3500000000004</v>
      </c>
      <c r="AC360" s="6">
        <f t="shared" si="50"/>
        <v>0</v>
      </c>
      <c r="AD360" s="13">
        <f t="shared" si="54"/>
        <v>4470.3500000000004</v>
      </c>
      <c r="AE360" s="2">
        <v>0.05</v>
      </c>
      <c r="AF360" s="5">
        <f t="shared" si="51"/>
        <v>223.51750000000004</v>
      </c>
      <c r="AG360" s="2">
        <v>0</v>
      </c>
      <c r="AH360" s="5">
        <f t="shared" si="55"/>
        <v>4470.3500000000004</v>
      </c>
      <c r="AJ360" s="126" t="e">
        <v>#N/A</v>
      </c>
      <c r="AK360" s="80">
        <f t="shared" si="52"/>
        <v>0</v>
      </c>
      <c r="AM360" s="85"/>
    </row>
    <row r="361" spans="1:39" hidden="1" x14ac:dyDescent="0.3">
      <c r="A361" s="85" t="s">
        <v>34</v>
      </c>
      <c r="B361" s="15" t="s">
        <v>35</v>
      </c>
      <c r="C361" s="15" t="s">
        <v>187</v>
      </c>
      <c r="D361" s="15" t="s">
        <v>188</v>
      </c>
      <c r="E361" s="15" t="s">
        <v>207</v>
      </c>
      <c r="F361" s="15" t="s">
        <v>396</v>
      </c>
      <c r="G361" s="15" t="s">
        <v>196</v>
      </c>
      <c r="H361" s="139"/>
      <c r="I361" s="3" t="s">
        <v>3356</v>
      </c>
      <c r="J361" s="1" t="s">
        <v>3326</v>
      </c>
      <c r="K361" s="1" t="s">
        <v>3283</v>
      </c>
      <c r="L361" s="1" t="s">
        <v>35</v>
      </c>
      <c r="M361" s="95"/>
      <c r="N361" s="3" t="s">
        <v>80</v>
      </c>
      <c r="O361" s="8" t="s">
        <v>105</v>
      </c>
      <c r="P361" s="8" t="s">
        <v>353</v>
      </c>
      <c r="Q361" s="9">
        <v>0.06</v>
      </c>
      <c r="R361" s="138"/>
      <c r="T361" s="18">
        <v>0</v>
      </c>
      <c r="U361" s="4">
        <v>0</v>
      </c>
      <c r="V361" s="4">
        <v>0</v>
      </c>
      <c r="W361" s="13">
        <f t="shared" si="56"/>
        <v>0</v>
      </c>
      <c r="X361" s="13">
        <f t="shared" si="53"/>
        <v>0</v>
      </c>
      <c r="Y361" s="13">
        <f t="shared" si="48"/>
        <v>0</v>
      </c>
      <c r="Z361" s="2">
        <v>0</v>
      </c>
      <c r="AA361" s="4">
        <v>0</v>
      </c>
      <c r="AB361" s="4">
        <f t="shared" si="49"/>
        <v>0</v>
      </c>
      <c r="AC361" s="6">
        <f t="shared" si="50"/>
        <v>0</v>
      </c>
      <c r="AD361" s="13">
        <f t="shared" si="54"/>
        <v>0</v>
      </c>
      <c r="AE361" s="2">
        <v>0.05</v>
      </c>
      <c r="AF361" s="5">
        <f t="shared" si="51"/>
        <v>0</v>
      </c>
      <c r="AG361" s="2">
        <v>0</v>
      </c>
      <c r="AH361" s="5">
        <f t="shared" si="55"/>
        <v>0</v>
      </c>
      <c r="AJ361" s="126" t="e">
        <v>#N/A</v>
      </c>
      <c r="AK361" s="80">
        <f t="shared" si="52"/>
        <v>0</v>
      </c>
      <c r="AM361" s="85"/>
    </row>
    <row r="362" spans="1:39" hidden="1" x14ac:dyDescent="0.3">
      <c r="A362" s="85" t="s">
        <v>34</v>
      </c>
      <c r="B362" s="15" t="s">
        <v>35</v>
      </c>
      <c r="C362" s="15" t="s">
        <v>187</v>
      </c>
      <c r="D362" s="15" t="s">
        <v>208</v>
      </c>
      <c r="E362" s="15" t="s">
        <v>211</v>
      </c>
      <c r="F362" s="15" t="s">
        <v>402</v>
      </c>
      <c r="G362" s="15" t="s">
        <v>211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105</v>
      </c>
      <c r="P362" s="8" t="s">
        <v>46</v>
      </c>
      <c r="Q362" s="2">
        <v>0.04</v>
      </c>
      <c r="R362" s="138"/>
      <c r="T362" s="18">
        <v>0</v>
      </c>
      <c r="U362" s="4">
        <v>0</v>
      </c>
      <c r="V362" s="4">
        <v>6.19</v>
      </c>
      <c r="W362" s="13">
        <f t="shared" si="56"/>
        <v>-6.19</v>
      </c>
      <c r="X362" s="13">
        <f t="shared" si="53"/>
        <v>5.9519230769230775</v>
      </c>
      <c r="Y362" s="13">
        <f t="shared" si="48"/>
        <v>0</v>
      </c>
      <c r="Z362" s="2">
        <v>0</v>
      </c>
      <c r="AA362" s="4">
        <v>0</v>
      </c>
      <c r="AB362" s="4">
        <f t="shared" si="49"/>
        <v>5.9519230769230775</v>
      </c>
      <c r="AC362" s="6">
        <f t="shared" si="50"/>
        <v>0.23807692307692285</v>
      </c>
      <c r="AD362" s="13">
        <f t="shared" si="54"/>
        <v>6.19</v>
      </c>
      <c r="AE362" s="2">
        <v>0.05</v>
      </c>
      <c r="AF362" s="5">
        <f t="shared" si="51"/>
        <v>0.30950000000000005</v>
      </c>
      <c r="AG362" s="2">
        <v>0</v>
      </c>
      <c r="AH362" s="5">
        <f t="shared" si="55"/>
        <v>6.19</v>
      </c>
      <c r="AJ362" s="126" t="e">
        <v>#N/A</v>
      </c>
      <c r="AK362" s="80">
        <f t="shared" si="52"/>
        <v>0</v>
      </c>
      <c r="AM362" s="85"/>
    </row>
    <row r="363" spans="1:39" hidden="1" x14ac:dyDescent="0.3">
      <c r="A363" s="85" t="s">
        <v>34</v>
      </c>
      <c r="B363" s="15" t="s">
        <v>35</v>
      </c>
      <c r="C363" s="15" t="s">
        <v>187</v>
      </c>
      <c r="D363" s="15" t="s">
        <v>208</v>
      </c>
      <c r="E363" s="15" t="s">
        <v>212</v>
      </c>
      <c r="F363" s="15" t="s">
        <v>403</v>
      </c>
      <c r="G363" s="15" t="s">
        <v>212</v>
      </c>
      <c r="H363" s="154"/>
      <c r="I363" s="3" t="s">
        <v>3356</v>
      </c>
      <c r="J363" s="1" t="s">
        <v>3326</v>
      </c>
      <c r="K363" s="1" t="s">
        <v>3283</v>
      </c>
      <c r="L363" s="1" t="s">
        <v>35</v>
      </c>
      <c r="M363" s="95"/>
      <c r="N363" s="3" t="s">
        <v>80</v>
      </c>
      <c r="O363" s="8" t="s">
        <v>105</v>
      </c>
      <c r="P363" s="8" t="s">
        <v>46</v>
      </c>
      <c r="Q363" s="9">
        <v>0.04</v>
      </c>
      <c r="R363" s="138"/>
      <c r="T363" s="18">
        <v>0</v>
      </c>
      <c r="U363" s="4">
        <v>0</v>
      </c>
      <c r="V363" s="4">
        <v>41.5</v>
      </c>
      <c r="W363" s="13">
        <f t="shared" si="56"/>
        <v>-41.5</v>
      </c>
      <c r="X363" s="13">
        <f t="shared" si="53"/>
        <v>39.903846153846153</v>
      </c>
      <c r="Y363" s="13">
        <f t="shared" si="48"/>
        <v>0</v>
      </c>
      <c r="Z363" s="2">
        <v>0</v>
      </c>
      <c r="AA363" s="4">
        <v>0</v>
      </c>
      <c r="AB363" s="4">
        <f t="shared" si="49"/>
        <v>39.903846153846153</v>
      </c>
      <c r="AC363" s="6">
        <f t="shared" si="50"/>
        <v>1.5961538461538467</v>
      </c>
      <c r="AD363" s="13">
        <f t="shared" si="54"/>
        <v>41.5</v>
      </c>
      <c r="AE363" s="2">
        <v>0.05</v>
      </c>
      <c r="AF363" s="5">
        <f t="shared" si="51"/>
        <v>2.0750000000000002</v>
      </c>
      <c r="AG363" s="2">
        <v>0</v>
      </c>
      <c r="AH363" s="5">
        <f t="shared" si="55"/>
        <v>41.5</v>
      </c>
      <c r="AJ363" s="126" t="e">
        <v>#N/A</v>
      </c>
      <c r="AK363" s="80">
        <f t="shared" si="52"/>
        <v>0</v>
      </c>
      <c r="AM363" s="85"/>
    </row>
    <row r="364" spans="1:39" hidden="1" x14ac:dyDescent="0.3">
      <c r="A364" s="85" t="s">
        <v>34</v>
      </c>
      <c r="B364" s="15" t="s">
        <v>35</v>
      </c>
      <c r="C364" s="15" t="s">
        <v>187</v>
      </c>
      <c r="D364" s="15" t="s">
        <v>208</v>
      </c>
      <c r="E364" s="15" t="s">
        <v>219</v>
      </c>
      <c r="F364" s="15" t="s">
        <v>404</v>
      </c>
      <c r="G364" s="15" t="s">
        <v>219</v>
      </c>
      <c r="H364" s="154"/>
      <c r="I364" s="3" t="s">
        <v>3356</v>
      </c>
      <c r="J364" s="1" t="s">
        <v>3326</v>
      </c>
      <c r="K364" s="1" t="s">
        <v>3283</v>
      </c>
      <c r="L364" s="1" t="s">
        <v>35</v>
      </c>
      <c r="M364" s="95"/>
      <c r="N364" s="3" t="s">
        <v>80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581.86</v>
      </c>
      <c r="W364" s="13">
        <f t="shared" si="56"/>
        <v>-581.86</v>
      </c>
      <c r="X364" s="13">
        <f t="shared" si="53"/>
        <v>581.86</v>
      </c>
      <c r="Y364" s="13">
        <f t="shared" si="48"/>
        <v>0</v>
      </c>
      <c r="Z364" s="2">
        <v>0</v>
      </c>
      <c r="AA364" s="4">
        <v>0</v>
      </c>
      <c r="AB364" s="4">
        <f t="shared" si="49"/>
        <v>581.86</v>
      </c>
      <c r="AC364" s="6">
        <f t="shared" si="50"/>
        <v>0</v>
      </c>
      <c r="AD364" s="13">
        <f t="shared" si="54"/>
        <v>581.86</v>
      </c>
      <c r="AE364" s="2">
        <v>0.05</v>
      </c>
      <c r="AF364" s="5">
        <f t="shared" si="51"/>
        <v>29.093000000000004</v>
      </c>
      <c r="AG364" s="2">
        <v>0</v>
      </c>
      <c r="AH364" s="5">
        <f t="shared" si="55"/>
        <v>581.86</v>
      </c>
      <c r="AJ364" s="126" t="e">
        <v>#N/A</v>
      </c>
      <c r="AK364" s="80">
        <f t="shared" si="52"/>
        <v>0</v>
      </c>
      <c r="AM364" s="85"/>
    </row>
    <row r="365" spans="1:39" hidden="1" x14ac:dyDescent="0.3">
      <c r="A365" s="85" t="s">
        <v>34</v>
      </c>
      <c r="B365" s="15" t="s">
        <v>35</v>
      </c>
      <c r="C365" s="15" t="s">
        <v>59</v>
      </c>
      <c r="D365" s="15" t="s">
        <v>60</v>
      </c>
      <c r="E365" s="3" t="s">
        <v>405</v>
      </c>
      <c r="F365" s="15" t="s">
        <v>406</v>
      </c>
      <c r="G365" s="15" t="s">
        <v>405</v>
      </c>
      <c r="H365" s="154"/>
      <c r="I365" s="3" t="s">
        <v>3356</v>
      </c>
      <c r="J365" s="1" t="s">
        <v>3326</v>
      </c>
      <c r="K365" s="1" t="s">
        <v>3283</v>
      </c>
      <c r="L365" s="1" t="s">
        <v>35</v>
      </c>
      <c r="M365" s="95"/>
      <c r="N365" s="3" t="s">
        <v>80</v>
      </c>
      <c r="O365" s="8" t="s">
        <v>45</v>
      </c>
      <c r="P365" s="8" t="s">
        <v>343</v>
      </c>
      <c r="Q365" s="9">
        <v>0.06</v>
      </c>
      <c r="R365" s="138"/>
      <c r="T365" s="18">
        <v>0</v>
      </c>
      <c r="U365" s="4">
        <v>21510000</v>
      </c>
      <c r="V365" s="4">
        <v>21500585.66</v>
      </c>
      <c r="W365" s="13">
        <f t="shared" si="56"/>
        <v>9414.339999999851</v>
      </c>
      <c r="X365" s="13">
        <f t="shared" si="53"/>
        <v>21500585.66</v>
      </c>
      <c r="Y365" s="13">
        <f t="shared" si="48"/>
        <v>0</v>
      </c>
      <c r="Z365" s="2">
        <v>0</v>
      </c>
      <c r="AA365" s="4">
        <v>0</v>
      </c>
      <c r="AB365" s="4">
        <f t="shared" si="49"/>
        <v>21500585.66</v>
      </c>
      <c r="AC365" s="6">
        <f t="shared" si="50"/>
        <v>1290035.1395999999</v>
      </c>
      <c r="AD365" s="13">
        <f t="shared" si="54"/>
        <v>21500585.66</v>
      </c>
      <c r="AE365" s="2">
        <v>0.05</v>
      </c>
      <c r="AF365" s="5">
        <f t="shared" si="51"/>
        <v>1075029.2830000001</v>
      </c>
      <c r="AG365" s="2">
        <v>0</v>
      </c>
      <c r="AH365" s="5">
        <f t="shared" si="55"/>
        <v>21500585.66</v>
      </c>
      <c r="AJ365" s="126" t="e">
        <v>#N/A</v>
      </c>
      <c r="AK365" s="80">
        <f t="shared" si="52"/>
        <v>0</v>
      </c>
      <c r="AM365" s="85"/>
    </row>
    <row r="366" spans="1:39" hidden="1" x14ac:dyDescent="0.3">
      <c r="A366" s="85" t="s">
        <v>34</v>
      </c>
      <c r="B366" s="15" t="s">
        <v>35</v>
      </c>
      <c r="C366" s="15" t="s">
        <v>59</v>
      </c>
      <c r="D366" s="15" t="s">
        <v>60</v>
      </c>
      <c r="E366" s="3" t="s">
        <v>327</v>
      </c>
      <c r="F366" s="15" t="s">
        <v>407</v>
      </c>
      <c r="G366" s="15" t="s">
        <v>327</v>
      </c>
      <c r="H366" s="154"/>
      <c r="I366" s="3" t="s">
        <v>3356</v>
      </c>
      <c r="J366" s="1" t="s">
        <v>3326</v>
      </c>
      <c r="K366" s="1" t="s">
        <v>3283</v>
      </c>
      <c r="L366" s="1" t="s">
        <v>35</v>
      </c>
      <c r="M366" s="95"/>
      <c r="N366" s="3" t="s">
        <v>80</v>
      </c>
      <c r="O366" s="8" t="s">
        <v>45</v>
      </c>
      <c r="P366" s="8" t="s">
        <v>343</v>
      </c>
      <c r="Q366" s="9">
        <v>0.06</v>
      </c>
      <c r="R366" s="138"/>
      <c r="T366" s="18">
        <v>0</v>
      </c>
      <c r="U366" s="4">
        <v>11128000</v>
      </c>
      <c r="V366" s="4">
        <v>10271278.810000001</v>
      </c>
      <c r="W366" s="13">
        <f t="shared" si="56"/>
        <v>856721.18999999948</v>
      </c>
      <c r="X366" s="13">
        <f t="shared" si="53"/>
        <v>10271278.810000001</v>
      </c>
      <c r="Y366" s="13">
        <f t="shared" si="48"/>
        <v>0</v>
      </c>
      <c r="Z366" s="2">
        <v>0</v>
      </c>
      <c r="AA366" s="4">
        <v>0</v>
      </c>
      <c r="AB366" s="4">
        <f t="shared" si="49"/>
        <v>10271278.810000001</v>
      </c>
      <c r="AC366" s="6">
        <f t="shared" si="50"/>
        <v>616276.72860000003</v>
      </c>
      <c r="AD366" s="13">
        <f t="shared" si="54"/>
        <v>10271278.810000001</v>
      </c>
      <c r="AE366" s="2">
        <v>0.05</v>
      </c>
      <c r="AF366" s="5">
        <f t="shared" si="51"/>
        <v>513563.94050000003</v>
      </c>
      <c r="AG366" s="2">
        <v>0</v>
      </c>
      <c r="AH366" s="5">
        <f t="shared" si="55"/>
        <v>10271278.810000001</v>
      </c>
      <c r="AJ366" s="126" t="e">
        <v>#N/A</v>
      </c>
      <c r="AK366" s="80">
        <f t="shared" si="52"/>
        <v>0</v>
      </c>
      <c r="AM366" s="85"/>
    </row>
    <row r="367" spans="1:39" hidden="1" x14ac:dyDescent="0.3">
      <c r="A367" s="85" t="s">
        <v>34</v>
      </c>
      <c r="B367" s="15" t="s">
        <v>35</v>
      </c>
      <c r="C367" s="15" t="s">
        <v>59</v>
      </c>
      <c r="D367" s="15" t="s">
        <v>60</v>
      </c>
      <c r="E367" s="3" t="s">
        <v>340</v>
      </c>
      <c r="F367" s="15" t="s">
        <v>350</v>
      </c>
      <c r="G367" s="15" t="s">
        <v>327</v>
      </c>
      <c r="H367" s="154"/>
      <c r="I367" s="3" t="s">
        <v>3356</v>
      </c>
      <c r="J367" s="1" t="s">
        <v>3326</v>
      </c>
      <c r="K367" s="1" t="s">
        <v>3283</v>
      </c>
      <c r="L367" s="1" t="s">
        <v>35</v>
      </c>
      <c r="M367" s="95"/>
      <c r="N367" s="3" t="s">
        <v>80</v>
      </c>
      <c r="O367" s="8" t="s">
        <v>45</v>
      </c>
      <c r="P367" s="8" t="s">
        <v>343</v>
      </c>
      <c r="Q367" s="9">
        <v>0.06</v>
      </c>
      <c r="R367" s="138"/>
      <c r="T367" s="18">
        <v>0</v>
      </c>
      <c r="U367" s="4">
        <v>1750000</v>
      </c>
      <c r="V367" s="4">
        <v>742966.57</v>
      </c>
      <c r="W367" s="13">
        <f t="shared" si="56"/>
        <v>1007033.43</v>
      </c>
      <c r="X367" s="13">
        <f t="shared" si="53"/>
        <v>742966.57</v>
      </c>
      <c r="Y367" s="13">
        <f t="shared" si="48"/>
        <v>0</v>
      </c>
      <c r="Z367" s="2">
        <v>0</v>
      </c>
      <c r="AA367" s="4">
        <v>0</v>
      </c>
      <c r="AB367" s="4">
        <f t="shared" si="49"/>
        <v>742966.57</v>
      </c>
      <c r="AC367" s="6">
        <f t="shared" si="50"/>
        <v>44577.994199999994</v>
      </c>
      <c r="AD367" s="13">
        <f t="shared" si="54"/>
        <v>742966.57</v>
      </c>
      <c r="AE367" s="2">
        <v>0.05</v>
      </c>
      <c r="AF367" s="5">
        <f t="shared" si="51"/>
        <v>37148.328499999996</v>
      </c>
      <c r="AG367" s="2">
        <v>0</v>
      </c>
      <c r="AH367" s="5">
        <f t="shared" si="55"/>
        <v>742966.57</v>
      </c>
      <c r="AJ367" s="126" t="e">
        <v>#N/A</v>
      </c>
      <c r="AK367" s="80">
        <f t="shared" si="52"/>
        <v>0</v>
      </c>
      <c r="AM367" s="85"/>
    </row>
    <row r="368" spans="1:39" hidden="1" x14ac:dyDescent="0.3">
      <c r="A368" s="85" t="s">
        <v>34</v>
      </c>
      <c r="B368" s="15" t="s">
        <v>35</v>
      </c>
      <c r="C368" s="15" t="s">
        <v>59</v>
      </c>
      <c r="D368" s="15" t="s">
        <v>60</v>
      </c>
      <c r="E368" s="3" t="s">
        <v>340</v>
      </c>
      <c r="F368" s="15" t="s">
        <v>351</v>
      </c>
      <c r="G368" s="15" t="s">
        <v>327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45</v>
      </c>
      <c r="P368" s="8" t="s">
        <v>343</v>
      </c>
      <c r="Q368" s="9">
        <v>0.06</v>
      </c>
      <c r="R368" s="138"/>
      <c r="T368" s="18">
        <v>0</v>
      </c>
      <c r="U368" s="4">
        <v>6000000</v>
      </c>
      <c r="V368" s="4">
        <v>5041346.6900000004</v>
      </c>
      <c r="W368" s="13">
        <f t="shared" si="56"/>
        <v>958653.30999999959</v>
      </c>
      <c r="X368" s="13">
        <f t="shared" si="53"/>
        <v>5041346.6900000004</v>
      </c>
      <c r="Y368" s="13">
        <f t="shared" si="48"/>
        <v>0</v>
      </c>
      <c r="Z368" s="2">
        <v>0</v>
      </c>
      <c r="AA368" s="4">
        <v>0</v>
      </c>
      <c r="AB368" s="4">
        <f t="shared" si="49"/>
        <v>5041346.6900000004</v>
      </c>
      <c r="AC368" s="6">
        <f t="shared" si="50"/>
        <v>302480.8014</v>
      </c>
      <c r="AD368" s="13">
        <f t="shared" si="54"/>
        <v>5041346.6900000004</v>
      </c>
      <c r="AE368" s="2">
        <v>0.05</v>
      </c>
      <c r="AF368" s="5">
        <f t="shared" si="51"/>
        <v>252067.33450000003</v>
      </c>
      <c r="AG368" s="2">
        <v>0</v>
      </c>
      <c r="AH368" s="5">
        <f t="shared" si="55"/>
        <v>5041346.6900000004</v>
      </c>
      <c r="AJ368" s="126" t="e">
        <v>#N/A</v>
      </c>
      <c r="AK368" s="80">
        <f t="shared" si="52"/>
        <v>0</v>
      </c>
      <c r="AM368" s="85"/>
    </row>
    <row r="369" spans="1:39" hidden="1" x14ac:dyDescent="0.3">
      <c r="A369" s="85" t="s">
        <v>34</v>
      </c>
      <c r="B369" s="15" t="s">
        <v>35</v>
      </c>
      <c r="C369" s="15" t="s">
        <v>59</v>
      </c>
      <c r="D369" s="15" t="s">
        <v>60</v>
      </c>
      <c r="E369" s="3" t="s">
        <v>327</v>
      </c>
      <c r="F369" s="15" t="s">
        <v>354</v>
      </c>
      <c r="G369" s="15" t="s">
        <v>327</v>
      </c>
      <c r="H369" s="154"/>
      <c r="I369" s="3" t="s">
        <v>3356</v>
      </c>
      <c r="J369" s="1" t="s">
        <v>3326</v>
      </c>
      <c r="K369" s="1" t="s">
        <v>3283</v>
      </c>
      <c r="L369" s="1" t="s">
        <v>35</v>
      </c>
      <c r="M369" s="95"/>
      <c r="N369" s="3" t="s">
        <v>80</v>
      </c>
      <c r="O369" s="8" t="s">
        <v>45</v>
      </c>
      <c r="P369" s="8" t="s">
        <v>343</v>
      </c>
      <c r="Q369" s="9">
        <v>0.06</v>
      </c>
      <c r="R369" s="138"/>
      <c r="T369" s="18">
        <v>0</v>
      </c>
      <c r="U369" s="4">
        <v>1653600</v>
      </c>
      <c r="V369" s="4">
        <v>78883.819999999832</v>
      </c>
      <c r="W369" s="13">
        <f t="shared" si="56"/>
        <v>1574716.1800000002</v>
      </c>
      <c r="X369" s="13">
        <f t="shared" si="53"/>
        <v>78883.819999999832</v>
      </c>
      <c r="Y369" s="13">
        <f t="shared" si="48"/>
        <v>0</v>
      </c>
      <c r="Z369" s="2">
        <v>0</v>
      </c>
      <c r="AA369" s="4">
        <v>0</v>
      </c>
      <c r="AB369" s="4">
        <f t="shared" si="49"/>
        <v>78883.819999999832</v>
      </c>
      <c r="AC369" s="6">
        <f t="shared" si="50"/>
        <v>4733.0291999999899</v>
      </c>
      <c r="AD369" s="13">
        <f t="shared" si="54"/>
        <v>78883.819999999832</v>
      </c>
      <c r="AE369" s="2">
        <v>0.05</v>
      </c>
      <c r="AF369" s="5">
        <f t="shared" si="51"/>
        <v>3944.1909999999916</v>
      </c>
      <c r="AG369" s="2">
        <v>0</v>
      </c>
      <c r="AH369" s="5">
        <f t="shared" si="55"/>
        <v>78883.819999999832</v>
      </c>
      <c r="AJ369" s="126" t="e">
        <v>#N/A</v>
      </c>
      <c r="AK369" s="80">
        <f t="shared" si="52"/>
        <v>0</v>
      </c>
      <c r="AM369" s="85"/>
    </row>
    <row r="370" spans="1:39" hidden="1" x14ac:dyDescent="0.3">
      <c r="A370" s="85" t="s">
        <v>34</v>
      </c>
      <c r="B370" s="15" t="s">
        <v>35</v>
      </c>
      <c r="C370" s="15" t="s">
        <v>59</v>
      </c>
      <c r="D370" s="15" t="s">
        <v>60</v>
      </c>
      <c r="E370" s="3" t="s">
        <v>327</v>
      </c>
      <c r="F370" s="15" t="s">
        <v>341</v>
      </c>
      <c r="G370" s="15" t="s">
        <v>327</v>
      </c>
      <c r="H370" s="154"/>
      <c r="I370" s="3" t="s">
        <v>3356</v>
      </c>
      <c r="J370" s="1" t="s">
        <v>3326</v>
      </c>
      <c r="K370" s="1" t="s">
        <v>3283</v>
      </c>
      <c r="L370" s="1" t="s">
        <v>35</v>
      </c>
      <c r="M370" s="95"/>
      <c r="N370" s="3" t="s">
        <v>80</v>
      </c>
      <c r="O370" s="8" t="s">
        <v>45</v>
      </c>
      <c r="P370" s="8" t="s">
        <v>343</v>
      </c>
      <c r="Q370" s="12">
        <v>0.06</v>
      </c>
      <c r="R370" s="138"/>
      <c r="T370" s="18">
        <v>0</v>
      </c>
      <c r="U370" s="4">
        <v>400000</v>
      </c>
      <c r="V370" s="4">
        <v>181267.76</v>
      </c>
      <c r="W370" s="13">
        <f t="shared" si="56"/>
        <v>218732.24</v>
      </c>
      <c r="X370" s="13">
        <f t="shared" si="53"/>
        <v>181267.76</v>
      </c>
      <c r="Y370" s="13">
        <f t="shared" si="48"/>
        <v>0</v>
      </c>
      <c r="Z370" s="2">
        <v>0</v>
      </c>
      <c r="AA370" s="4">
        <v>0</v>
      </c>
      <c r="AB370" s="4">
        <f t="shared" si="49"/>
        <v>181267.76</v>
      </c>
      <c r="AC370" s="6">
        <f t="shared" si="50"/>
        <v>10876.0656</v>
      </c>
      <c r="AD370" s="13">
        <f t="shared" si="54"/>
        <v>181267.76</v>
      </c>
      <c r="AE370" s="2">
        <v>0.05</v>
      </c>
      <c r="AF370" s="5">
        <f t="shared" si="51"/>
        <v>9063.3880000000008</v>
      </c>
      <c r="AG370" s="2">
        <v>0</v>
      </c>
      <c r="AH370" s="5">
        <f t="shared" si="55"/>
        <v>181267.76</v>
      </c>
      <c r="AJ370" s="126" t="e">
        <v>#N/A</v>
      </c>
      <c r="AK370" s="80">
        <f t="shared" si="52"/>
        <v>0</v>
      </c>
      <c r="AM370" s="85"/>
    </row>
    <row r="371" spans="1:39" hidden="1" x14ac:dyDescent="0.3">
      <c r="A371" s="85" t="s">
        <v>34</v>
      </c>
      <c r="B371" s="15" t="s">
        <v>35</v>
      </c>
      <c r="C371" s="15" t="s">
        <v>59</v>
      </c>
      <c r="D371" s="15" t="s">
        <v>60</v>
      </c>
      <c r="E371" s="15" t="s">
        <v>78</v>
      </c>
      <c r="F371" s="15" t="s">
        <v>332</v>
      </c>
      <c r="G371" s="15" t="s">
        <v>78</v>
      </c>
      <c r="H371" s="154"/>
      <c r="I371" s="3" t="s">
        <v>3356</v>
      </c>
      <c r="J371" s="1" t="s">
        <v>3326</v>
      </c>
      <c r="K371" s="1" t="s">
        <v>3283</v>
      </c>
      <c r="L371" s="1" t="s">
        <v>35</v>
      </c>
      <c r="M371" s="95"/>
      <c r="N371" s="3" t="s">
        <v>80</v>
      </c>
      <c r="O371" s="8" t="s">
        <v>45</v>
      </c>
      <c r="P371" s="8" t="s">
        <v>46</v>
      </c>
      <c r="Q371" s="9">
        <v>0.04</v>
      </c>
      <c r="R371" s="138"/>
      <c r="T371" s="18">
        <v>0</v>
      </c>
      <c r="U371" s="4">
        <v>5000000</v>
      </c>
      <c r="V371" s="4">
        <v>3716951.2600000016</v>
      </c>
      <c r="W371" s="13">
        <f t="shared" si="56"/>
        <v>1283048.7399999984</v>
      </c>
      <c r="X371" s="13">
        <f t="shared" si="53"/>
        <v>3573991.5961538474</v>
      </c>
      <c r="Y371" s="13">
        <f t="shared" si="48"/>
        <v>0</v>
      </c>
      <c r="Z371" s="2">
        <v>0</v>
      </c>
      <c r="AA371" s="4">
        <v>0</v>
      </c>
      <c r="AB371" s="4">
        <f t="shared" si="49"/>
        <v>3573991.5961538474</v>
      </c>
      <c r="AC371" s="6">
        <f t="shared" si="50"/>
        <v>142959.66384615423</v>
      </c>
      <c r="AD371" s="13">
        <f t="shared" si="54"/>
        <v>3716951.2600000016</v>
      </c>
      <c r="AE371" s="2">
        <v>0.05</v>
      </c>
      <c r="AF371" s="5">
        <f t="shared" si="51"/>
        <v>185847.56300000008</v>
      </c>
      <c r="AG371" s="2">
        <v>0</v>
      </c>
      <c r="AH371" s="5">
        <f t="shared" si="55"/>
        <v>3716951.2600000016</v>
      </c>
      <c r="AJ371" s="126" t="e">
        <v>#N/A</v>
      </c>
      <c r="AK371" s="80">
        <f t="shared" si="52"/>
        <v>0</v>
      </c>
      <c r="AM371" s="85"/>
    </row>
    <row r="372" spans="1:39" hidden="1" x14ac:dyDescent="0.3">
      <c r="A372" s="85" t="s">
        <v>34</v>
      </c>
      <c r="B372" s="15" t="s">
        <v>35</v>
      </c>
      <c r="C372" s="15" t="s">
        <v>59</v>
      </c>
      <c r="D372" s="15" t="s">
        <v>60</v>
      </c>
      <c r="E372" s="15" t="s">
        <v>74</v>
      </c>
      <c r="F372" s="15" t="s">
        <v>74</v>
      </c>
      <c r="G372" s="15" t="s">
        <v>74</v>
      </c>
      <c r="H372" s="154"/>
      <c r="I372" s="15" t="s">
        <v>408</v>
      </c>
      <c r="J372" s="1" t="s">
        <v>3324</v>
      </c>
      <c r="K372" s="1" t="s">
        <v>3278</v>
      </c>
      <c r="L372" s="1" t="s">
        <v>35</v>
      </c>
      <c r="M372" s="15" t="s">
        <v>409</v>
      </c>
      <c r="N372" s="15"/>
      <c r="O372" s="8" t="s">
        <v>410</v>
      </c>
      <c r="P372" s="8" t="s">
        <v>75</v>
      </c>
      <c r="Q372" s="14">
        <v>0.06</v>
      </c>
      <c r="R372" s="139">
        <v>1000083622</v>
      </c>
      <c r="S372" s="15"/>
      <c r="T372" s="6">
        <v>0</v>
      </c>
      <c r="U372" s="6">
        <v>50000</v>
      </c>
      <c r="V372" s="6">
        <v>15599.990000000005</v>
      </c>
      <c r="W372" s="18">
        <f t="shared" si="56"/>
        <v>34400.009999999995</v>
      </c>
      <c r="X372" s="18">
        <f t="shared" si="53"/>
        <v>15599.990000000005</v>
      </c>
      <c r="Y372" s="13">
        <f t="shared" si="48"/>
        <v>6129.0806775493165</v>
      </c>
      <c r="Z372" s="14">
        <v>0</v>
      </c>
      <c r="AA372" s="4">
        <v>0</v>
      </c>
      <c r="AB372" s="4">
        <f t="shared" si="49"/>
        <v>15599.990000000005</v>
      </c>
      <c r="AC372" s="6">
        <f t="shared" si="50"/>
        <v>935.99940000000026</v>
      </c>
      <c r="AD372" s="18">
        <f>V372*0.547109961125019</f>
        <v>8534.9099224506881</v>
      </c>
      <c r="AE372" s="2">
        <v>7.0000000000000007E-2</v>
      </c>
      <c r="AF372" s="5">
        <f t="shared" si="51"/>
        <v>597.44369457154824</v>
      </c>
      <c r="AG372" s="14">
        <v>0</v>
      </c>
      <c r="AH372" s="10">
        <f>V372</f>
        <v>15599.990000000005</v>
      </c>
      <c r="AI372" s="16"/>
      <c r="AJ372" s="126" t="e">
        <v>#N/A</v>
      </c>
      <c r="AK372" s="80">
        <f t="shared" si="52"/>
        <v>0</v>
      </c>
      <c r="AM372" s="85"/>
    </row>
    <row r="373" spans="1:39" hidden="1" x14ac:dyDescent="0.3">
      <c r="A373" s="85" t="s">
        <v>34</v>
      </c>
      <c r="B373" s="15" t="s">
        <v>35</v>
      </c>
      <c r="C373" s="15" t="s">
        <v>59</v>
      </c>
      <c r="D373" s="15" t="s">
        <v>60</v>
      </c>
      <c r="E373" s="15" t="s">
        <v>74</v>
      </c>
      <c r="F373" s="15" t="s">
        <v>74</v>
      </c>
      <c r="G373" s="15" t="s">
        <v>74</v>
      </c>
      <c r="H373" s="154"/>
      <c r="I373" s="15" t="s">
        <v>408</v>
      </c>
      <c r="J373" s="1" t="s">
        <v>3324</v>
      </c>
      <c r="K373" s="1" t="s">
        <v>3278</v>
      </c>
      <c r="L373" s="1" t="s">
        <v>35</v>
      </c>
      <c r="M373" s="15" t="s">
        <v>411</v>
      </c>
      <c r="N373" s="15"/>
      <c r="O373" s="8" t="s">
        <v>410</v>
      </c>
      <c r="P373" s="8" t="s">
        <v>75</v>
      </c>
      <c r="Q373" s="14">
        <v>0.06</v>
      </c>
      <c r="R373" s="139">
        <v>1000076496</v>
      </c>
      <c r="S373" s="15"/>
      <c r="T373" s="6">
        <v>0</v>
      </c>
      <c r="U373" s="6">
        <v>50000</v>
      </c>
      <c r="V373" s="6">
        <v>16920.989999999998</v>
      </c>
      <c r="W373" s="18">
        <f t="shared" si="56"/>
        <v>33079.01</v>
      </c>
      <c r="X373" s="18">
        <f t="shared" si="53"/>
        <v>16920.989999999998</v>
      </c>
      <c r="Y373" s="13">
        <f t="shared" si="48"/>
        <v>6648.0884189031658</v>
      </c>
      <c r="Z373" s="14">
        <v>0</v>
      </c>
      <c r="AA373" s="4">
        <v>0</v>
      </c>
      <c r="AB373" s="4">
        <f t="shared" si="49"/>
        <v>16920.989999999998</v>
      </c>
      <c r="AC373" s="6">
        <f t="shared" si="50"/>
        <v>1015.2593999999998</v>
      </c>
      <c r="AD373" s="18">
        <f t="shared" ref="AD373:AD436" si="57">V373*0.547109961125019</f>
        <v>9257.6421810968332</v>
      </c>
      <c r="AE373" s="2">
        <v>7.0000000000000007E-2</v>
      </c>
      <c r="AF373" s="5">
        <f t="shared" si="51"/>
        <v>648.0349526767784</v>
      </c>
      <c r="AG373" s="14">
        <v>0</v>
      </c>
      <c r="AH373" s="10">
        <f t="shared" ref="AH373:AH436" si="58">V373</f>
        <v>16920.989999999998</v>
      </c>
      <c r="AI373" s="16"/>
      <c r="AJ373" s="126" t="e">
        <v>#N/A</v>
      </c>
      <c r="AK373" s="80">
        <f t="shared" si="52"/>
        <v>0</v>
      </c>
      <c r="AM373" s="85"/>
    </row>
    <row r="374" spans="1:39" hidden="1" x14ac:dyDescent="0.3">
      <c r="A374" s="85" t="s">
        <v>34</v>
      </c>
      <c r="B374" s="15" t="s">
        <v>35</v>
      </c>
      <c r="C374" s="15" t="s">
        <v>59</v>
      </c>
      <c r="D374" s="15" t="s">
        <v>60</v>
      </c>
      <c r="E374" s="15" t="s">
        <v>412</v>
      </c>
      <c r="F374" s="15" t="s">
        <v>412</v>
      </c>
      <c r="G374" s="15" t="s">
        <v>412</v>
      </c>
      <c r="H374" s="154"/>
      <c r="I374" s="15" t="s">
        <v>408</v>
      </c>
      <c r="J374" s="1" t="s">
        <v>3324</v>
      </c>
      <c r="K374" s="1" t="s">
        <v>3278</v>
      </c>
      <c r="L374" s="1" t="s">
        <v>35</v>
      </c>
      <c r="M374" s="15" t="s">
        <v>413</v>
      </c>
      <c r="N374" s="15"/>
      <c r="O374" s="8" t="s">
        <v>410</v>
      </c>
      <c r="P374" s="8" t="s">
        <v>46</v>
      </c>
      <c r="Q374" s="14">
        <v>0.02</v>
      </c>
      <c r="R374" s="139">
        <v>1000098965</v>
      </c>
      <c r="S374" s="15"/>
      <c r="T374" s="6">
        <v>0</v>
      </c>
      <c r="U374" s="6">
        <v>40000</v>
      </c>
      <c r="V374" s="6">
        <v>30719.499999999993</v>
      </c>
      <c r="W374" s="18">
        <f t="shared" si="56"/>
        <v>9280.5000000000073</v>
      </c>
      <c r="X374" s="18">
        <f t="shared" si="53"/>
        <v>30117.156862745091</v>
      </c>
      <c r="Y374" s="13">
        <f t="shared" si="48"/>
        <v>13310.212411965073</v>
      </c>
      <c r="Z374" s="14">
        <v>0</v>
      </c>
      <c r="AA374" s="4">
        <v>0</v>
      </c>
      <c r="AB374" s="4">
        <f t="shared" si="49"/>
        <v>30117.156862745091</v>
      </c>
      <c r="AC374" s="6">
        <f t="shared" si="50"/>
        <v>602.3431372549021</v>
      </c>
      <c r="AD374" s="18">
        <f t="shared" si="57"/>
        <v>16806.944450780018</v>
      </c>
      <c r="AE374" s="2">
        <v>7.0000000000000007E-2</v>
      </c>
      <c r="AF374" s="5">
        <f t="shared" si="51"/>
        <v>1176.4861115546014</v>
      </c>
      <c r="AG374" s="14">
        <v>0</v>
      </c>
      <c r="AH374" s="10">
        <f t="shared" si="58"/>
        <v>30719.499999999993</v>
      </c>
      <c r="AI374" s="16"/>
      <c r="AJ374" s="126" t="e">
        <v>#N/A</v>
      </c>
      <c r="AK374" s="80">
        <f t="shared" si="52"/>
        <v>0</v>
      </c>
      <c r="AM374" s="85"/>
    </row>
    <row r="375" spans="1:39" hidden="1" x14ac:dyDescent="0.3">
      <c r="A375" s="85" t="s">
        <v>34</v>
      </c>
      <c r="B375" s="15" t="s">
        <v>35</v>
      </c>
      <c r="C375" s="15" t="s">
        <v>59</v>
      </c>
      <c r="D375" s="15" t="s">
        <v>60</v>
      </c>
      <c r="E375" s="15" t="s">
        <v>414</v>
      </c>
      <c r="F375" s="15" t="s">
        <v>414</v>
      </c>
      <c r="G375" s="15" t="s">
        <v>414</v>
      </c>
      <c r="H375" s="154"/>
      <c r="I375" s="15" t="s">
        <v>408</v>
      </c>
      <c r="J375" s="1" t="s">
        <v>3324</v>
      </c>
      <c r="K375" s="1" t="s">
        <v>3278</v>
      </c>
      <c r="L375" s="1" t="s">
        <v>35</v>
      </c>
      <c r="M375" s="15" t="s">
        <v>415</v>
      </c>
      <c r="N375" s="15"/>
      <c r="O375" s="8" t="s">
        <v>410</v>
      </c>
      <c r="P375" s="8" t="s">
        <v>92</v>
      </c>
      <c r="Q375" s="14">
        <v>0.98</v>
      </c>
      <c r="R375" s="139">
        <v>1000100612</v>
      </c>
      <c r="S375" s="15"/>
      <c r="T375" s="6">
        <v>0</v>
      </c>
      <c r="U375" s="6">
        <v>5000</v>
      </c>
      <c r="V375" s="6">
        <v>603</v>
      </c>
      <c r="W375" s="18">
        <f t="shared" si="56"/>
        <v>4397</v>
      </c>
      <c r="X375" s="18">
        <f t="shared" si="53"/>
        <v>590.93999999999994</v>
      </c>
      <c r="Y375" s="13">
        <f t="shared" si="48"/>
        <v>261.0326934416135</v>
      </c>
      <c r="Z375" s="14">
        <v>0</v>
      </c>
      <c r="AA375" s="4">
        <v>0</v>
      </c>
      <c r="AB375" s="4">
        <f t="shared" si="49"/>
        <v>590.93999999999994</v>
      </c>
      <c r="AC375" s="6">
        <f t="shared" si="50"/>
        <v>12.060000000000059</v>
      </c>
      <c r="AD375" s="18">
        <f t="shared" si="57"/>
        <v>329.90730655838644</v>
      </c>
      <c r="AE375" s="2">
        <v>7.0000000000000007E-2</v>
      </c>
      <c r="AF375" s="5">
        <f t="shared" si="51"/>
        <v>23.093511459087054</v>
      </c>
      <c r="AG375" s="14">
        <v>0</v>
      </c>
      <c r="AH375" s="10">
        <f t="shared" si="58"/>
        <v>603</v>
      </c>
      <c r="AI375" s="16"/>
      <c r="AJ375" s="126" t="e">
        <v>#N/A</v>
      </c>
      <c r="AK375" s="80">
        <f t="shared" si="52"/>
        <v>0</v>
      </c>
      <c r="AM375" s="85"/>
    </row>
    <row r="376" spans="1:39" hidden="1" x14ac:dyDescent="0.3">
      <c r="A376" s="85" t="s">
        <v>34</v>
      </c>
      <c r="B376" s="15" t="s">
        <v>35</v>
      </c>
      <c r="C376" s="15" t="s">
        <v>59</v>
      </c>
      <c r="D376" s="15" t="s">
        <v>60</v>
      </c>
      <c r="E376" s="15" t="s">
        <v>414</v>
      </c>
      <c r="F376" s="15" t="s">
        <v>414</v>
      </c>
      <c r="G376" s="15" t="s">
        <v>414</v>
      </c>
      <c r="H376" s="154"/>
      <c r="I376" s="15" t="s">
        <v>408</v>
      </c>
      <c r="J376" s="1" t="s">
        <v>3324</v>
      </c>
      <c r="K376" s="1" t="s">
        <v>3278</v>
      </c>
      <c r="L376" s="1" t="s">
        <v>35</v>
      </c>
      <c r="M376" s="15" t="s">
        <v>416</v>
      </c>
      <c r="N376" s="15"/>
      <c r="O376" s="8" t="s">
        <v>410</v>
      </c>
      <c r="P376" s="8" t="s">
        <v>92</v>
      </c>
      <c r="Q376" s="14">
        <v>0.98</v>
      </c>
      <c r="R376" s="139">
        <v>1000043663</v>
      </c>
      <c r="S376" s="15"/>
      <c r="T376" s="6">
        <v>0</v>
      </c>
      <c r="U376" s="6">
        <v>61730</v>
      </c>
      <c r="V376" s="6">
        <v>55030.7</v>
      </c>
      <c r="W376" s="18">
        <f t="shared" si="56"/>
        <v>6699.3000000000029</v>
      </c>
      <c r="X376" s="18">
        <f t="shared" si="53"/>
        <v>53930.085999999996</v>
      </c>
      <c r="Y376" s="13">
        <f t="shared" si="48"/>
        <v>23822.241862317416</v>
      </c>
      <c r="Z376" s="14">
        <v>0</v>
      </c>
      <c r="AA376" s="4">
        <v>0</v>
      </c>
      <c r="AB376" s="4">
        <f t="shared" si="49"/>
        <v>53930.085999999996</v>
      </c>
      <c r="AC376" s="6">
        <f t="shared" si="50"/>
        <v>1100.6140000000014</v>
      </c>
      <c r="AD376" s="18">
        <f t="shared" si="57"/>
        <v>30107.844137682579</v>
      </c>
      <c r="AE376" s="2">
        <v>7.0000000000000007E-2</v>
      </c>
      <c r="AF376" s="5">
        <f t="shared" si="51"/>
        <v>2107.549089637781</v>
      </c>
      <c r="AG376" s="14">
        <v>0</v>
      </c>
      <c r="AH376" s="10">
        <f t="shared" si="58"/>
        <v>55030.7</v>
      </c>
      <c r="AI376" s="16"/>
      <c r="AJ376" s="126" t="e">
        <v>#N/A</v>
      </c>
      <c r="AK376" s="80">
        <f t="shared" si="52"/>
        <v>0</v>
      </c>
      <c r="AM376" s="85"/>
    </row>
    <row r="377" spans="1:39" hidden="1" x14ac:dyDescent="0.3">
      <c r="A377" s="85" t="s">
        <v>34</v>
      </c>
      <c r="B377" s="15" t="s">
        <v>35</v>
      </c>
      <c r="C377" s="15" t="s">
        <v>59</v>
      </c>
      <c r="D377" s="15" t="s">
        <v>60</v>
      </c>
      <c r="E377" s="15" t="s">
        <v>417</v>
      </c>
      <c r="F377" s="15" t="s">
        <v>418</v>
      </c>
      <c r="G377" s="15" t="s">
        <v>417</v>
      </c>
      <c r="H377" s="154"/>
      <c r="I377" s="15" t="s">
        <v>408</v>
      </c>
      <c r="J377" s="1" t="s">
        <v>3324</v>
      </c>
      <c r="K377" s="1" t="s">
        <v>3278</v>
      </c>
      <c r="L377" s="1" t="s">
        <v>35</v>
      </c>
      <c r="M377" s="15" t="s">
        <v>417</v>
      </c>
      <c r="N377" s="15"/>
      <c r="O377" s="8" t="s">
        <v>410</v>
      </c>
      <c r="P377" s="8" t="s">
        <v>41</v>
      </c>
      <c r="Q377" s="14">
        <v>0</v>
      </c>
      <c r="R377" s="139">
        <v>1000048631</v>
      </c>
      <c r="S377" s="15"/>
      <c r="T377" s="6">
        <v>0</v>
      </c>
      <c r="U377" s="6">
        <v>120000</v>
      </c>
      <c r="V377" s="6">
        <v>100029.12000000002</v>
      </c>
      <c r="W377" s="18">
        <f t="shared" si="56"/>
        <v>19970.879999999976</v>
      </c>
      <c r="X377" s="18">
        <f t="shared" si="53"/>
        <v>100029.12000000002</v>
      </c>
      <c r="Y377" s="13">
        <f t="shared" si="48"/>
        <v>45302.192045430151</v>
      </c>
      <c r="Z377" s="14">
        <v>0</v>
      </c>
      <c r="AA377" s="4">
        <v>0</v>
      </c>
      <c r="AB377" s="4">
        <f t="shared" si="49"/>
        <v>100029.12000000002</v>
      </c>
      <c r="AC377" s="6">
        <f t="shared" si="50"/>
        <v>0</v>
      </c>
      <c r="AD377" s="18">
        <f t="shared" si="57"/>
        <v>54726.927954569874</v>
      </c>
      <c r="AE377" s="2">
        <v>7.0000000000000007E-2</v>
      </c>
      <c r="AF377" s="5">
        <f t="shared" si="51"/>
        <v>3830.8849568198916</v>
      </c>
      <c r="AG377" s="14">
        <v>0</v>
      </c>
      <c r="AH377" s="10">
        <f t="shared" si="58"/>
        <v>100029.12000000002</v>
      </c>
      <c r="AI377" s="16"/>
      <c r="AJ377" s="126" t="e">
        <v>#N/A</v>
      </c>
      <c r="AK377" s="80">
        <f t="shared" si="52"/>
        <v>0</v>
      </c>
      <c r="AM377" s="85"/>
    </row>
    <row r="378" spans="1:39" hidden="1" x14ac:dyDescent="0.3">
      <c r="A378" s="85" t="s">
        <v>34</v>
      </c>
      <c r="B378" s="15" t="s">
        <v>35</v>
      </c>
      <c r="C378" s="15" t="s">
        <v>59</v>
      </c>
      <c r="D378" s="15" t="s">
        <v>60</v>
      </c>
      <c r="E378" s="15" t="s">
        <v>419</v>
      </c>
      <c r="F378" s="15" t="s">
        <v>419</v>
      </c>
      <c r="G378" s="15" t="s">
        <v>419</v>
      </c>
      <c r="H378" s="139"/>
      <c r="I378" s="15" t="s">
        <v>408</v>
      </c>
      <c r="J378" s="1" t="s">
        <v>3324</v>
      </c>
      <c r="K378" s="1" t="s">
        <v>3278</v>
      </c>
      <c r="L378" s="1" t="s">
        <v>35</v>
      </c>
      <c r="M378" s="15" t="s">
        <v>420</v>
      </c>
      <c r="N378" s="15"/>
      <c r="O378" s="8" t="s">
        <v>410</v>
      </c>
      <c r="P378" s="8" t="s">
        <v>46</v>
      </c>
      <c r="Q378" s="14">
        <v>0.02</v>
      </c>
      <c r="R378" s="139">
        <v>1000101282</v>
      </c>
      <c r="S378" s="15"/>
      <c r="T378" s="6">
        <v>0</v>
      </c>
      <c r="U378" s="6">
        <v>20000</v>
      </c>
      <c r="V378" s="6">
        <v>0</v>
      </c>
      <c r="W378" s="18">
        <f t="shared" si="56"/>
        <v>20000</v>
      </c>
      <c r="X378" s="18">
        <f t="shared" si="53"/>
        <v>0</v>
      </c>
      <c r="Y378" s="13">
        <f t="shared" si="48"/>
        <v>0</v>
      </c>
      <c r="Z378" s="14">
        <v>0</v>
      </c>
      <c r="AA378" s="4">
        <v>0</v>
      </c>
      <c r="AB378" s="4">
        <f t="shared" si="49"/>
        <v>0</v>
      </c>
      <c r="AC378" s="6">
        <f t="shared" si="50"/>
        <v>0</v>
      </c>
      <c r="AD378" s="18">
        <f t="shared" si="57"/>
        <v>0</v>
      </c>
      <c r="AE378" s="2">
        <v>7.0000000000000007E-2</v>
      </c>
      <c r="AF378" s="5">
        <f t="shared" si="51"/>
        <v>0</v>
      </c>
      <c r="AG378" s="14">
        <v>0</v>
      </c>
      <c r="AH378" s="10">
        <f t="shared" si="58"/>
        <v>0</v>
      </c>
      <c r="AI378" s="16"/>
      <c r="AJ378" s="126" t="e">
        <v>#N/A</v>
      </c>
      <c r="AK378" s="80">
        <f t="shared" si="52"/>
        <v>0</v>
      </c>
      <c r="AM378" s="85"/>
    </row>
    <row r="379" spans="1:39" hidden="1" x14ac:dyDescent="0.3">
      <c r="A379" s="85" t="s">
        <v>34</v>
      </c>
      <c r="B379" s="15" t="s">
        <v>35</v>
      </c>
      <c r="C379" s="15" t="s">
        <v>59</v>
      </c>
      <c r="D379" s="15" t="s">
        <v>60</v>
      </c>
      <c r="E379" s="15" t="s">
        <v>421</v>
      </c>
      <c r="F379" s="15" t="s">
        <v>422</v>
      </c>
      <c r="G379" s="15" t="s">
        <v>421</v>
      </c>
      <c r="H379" s="154"/>
      <c r="I379" s="15" t="s">
        <v>408</v>
      </c>
      <c r="J379" s="1" t="s">
        <v>3324</v>
      </c>
      <c r="K379" s="1" t="s">
        <v>3278</v>
      </c>
      <c r="L379" s="1" t="s">
        <v>35</v>
      </c>
      <c r="M379" s="15" t="s">
        <v>423</v>
      </c>
      <c r="N379" s="15"/>
      <c r="O379" s="8" t="s">
        <v>410</v>
      </c>
      <c r="P379" s="8" t="s">
        <v>46</v>
      </c>
      <c r="Q379" s="14">
        <v>0.02</v>
      </c>
      <c r="R379" s="139">
        <v>1000098894</v>
      </c>
      <c r="S379" s="15"/>
      <c r="T379" s="6">
        <v>0</v>
      </c>
      <c r="U379" s="6">
        <v>85736.56</v>
      </c>
      <c r="V379" s="6">
        <v>85736.560000000012</v>
      </c>
      <c r="W379" s="18">
        <f t="shared" si="56"/>
        <v>0</v>
      </c>
      <c r="X379" s="18">
        <f t="shared" si="53"/>
        <v>84055.450980392168</v>
      </c>
      <c r="Y379" s="13">
        <f t="shared" si="48"/>
        <v>37148.124971799305</v>
      </c>
      <c r="Z379" s="14">
        <v>0</v>
      </c>
      <c r="AA379" s="4">
        <v>0</v>
      </c>
      <c r="AB379" s="4">
        <f t="shared" si="49"/>
        <v>84055.450980392168</v>
      </c>
      <c r="AC379" s="6">
        <f t="shared" si="50"/>
        <v>1681.1090196078439</v>
      </c>
      <c r="AD379" s="18">
        <f t="shared" si="57"/>
        <v>46907.326008592863</v>
      </c>
      <c r="AE379" s="2">
        <v>7.0000000000000007E-2</v>
      </c>
      <c r="AF379" s="5">
        <f t="shared" si="51"/>
        <v>3283.5128206015006</v>
      </c>
      <c r="AG379" s="14">
        <v>0</v>
      </c>
      <c r="AH379" s="10">
        <f t="shared" si="58"/>
        <v>85736.560000000012</v>
      </c>
      <c r="AI379" s="16"/>
      <c r="AJ379" s="126" t="e">
        <v>#N/A</v>
      </c>
      <c r="AK379" s="80">
        <f t="shared" si="52"/>
        <v>0</v>
      </c>
      <c r="AM379" s="85"/>
    </row>
    <row r="380" spans="1:39" hidden="1" x14ac:dyDescent="0.3">
      <c r="A380" s="85" t="s">
        <v>34</v>
      </c>
      <c r="B380" s="15" t="s">
        <v>35</v>
      </c>
      <c r="C380" s="15" t="s">
        <v>59</v>
      </c>
      <c r="D380" s="15" t="s">
        <v>60</v>
      </c>
      <c r="E380" s="15" t="s">
        <v>421</v>
      </c>
      <c r="F380" s="15" t="s">
        <v>422</v>
      </c>
      <c r="G380" s="15" t="s">
        <v>421</v>
      </c>
      <c r="H380" s="154"/>
      <c r="I380" s="15" t="s">
        <v>408</v>
      </c>
      <c r="J380" s="1" t="s">
        <v>3324</v>
      </c>
      <c r="K380" s="1" t="s">
        <v>3278</v>
      </c>
      <c r="L380" s="1" t="s">
        <v>35</v>
      </c>
      <c r="M380" s="15" t="s">
        <v>424</v>
      </c>
      <c r="N380" s="15"/>
      <c r="O380" s="8" t="s">
        <v>410</v>
      </c>
      <c r="P380" s="8" t="s">
        <v>46</v>
      </c>
      <c r="Q380" s="14">
        <v>0.02</v>
      </c>
      <c r="R380" s="139">
        <v>1000098898</v>
      </c>
      <c r="S380" s="15"/>
      <c r="T380" s="6">
        <v>0</v>
      </c>
      <c r="U380" s="6">
        <v>4390.5</v>
      </c>
      <c r="V380" s="6">
        <v>4390.5</v>
      </c>
      <c r="W380" s="18">
        <f t="shared" si="56"/>
        <v>0</v>
      </c>
      <c r="X380" s="18">
        <f t="shared" si="53"/>
        <v>4304.411764705882</v>
      </c>
      <c r="Y380" s="13">
        <f t="shared" si="48"/>
        <v>1902.3254803864861</v>
      </c>
      <c r="Z380" s="14">
        <v>0</v>
      </c>
      <c r="AA380" s="4">
        <v>0</v>
      </c>
      <c r="AB380" s="4">
        <f t="shared" si="49"/>
        <v>4304.411764705882</v>
      </c>
      <c r="AC380" s="6">
        <f t="shared" si="50"/>
        <v>86.088235294118022</v>
      </c>
      <c r="AD380" s="18">
        <f t="shared" si="57"/>
        <v>2402.0862843193959</v>
      </c>
      <c r="AE380" s="2">
        <v>7.0000000000000007E-2</v>
      </c>
      <c r="AF380" s="5">
        <f t="shared" si="51"/>
        <v>168.14603990235773</v>
      </c>
      <c r="AG380" s="14">
        <v>0</v>
      </c>
      <c r="AH380" s="10">
        <f t="shared" si="58"/>
        <v>4390.5</v>
      </c>
      <c r="AI380" s="16"/>
      <c r="AJ380" s="126" t="e">
        <v>#N/A</v>
      </c>
      <c r="AK380" s="80">
        <f t="shared" si="52"/>
        <v>0</v>
      </c>
      <c r="AM380" s="85"/>
    </row>
    <row r="381" spans="1:39" hidden="1" x14ac:dyDescent="0.3">
      <c r="A381" s="85" t="s">
        <v>34</v>
      </c>
      <c r="B381" s="15" t="s">
        <v>35</v>
      </c>
      <c r="C381" s="15" t="s">
        <v>59</v>
      </c>
      <c r="D381" s="15" t="s">
        <v>60</v>
      </c>
      <c r="E381" s="15" t="s">
        <v>425</v>
      </c>
      <c r="F381" s="15" t="s">
        <v>425</v>
      </c>
      <c r="G381" s="15" t="s">
        <v>425</v>
      </c>
      <c r="H381" s="154"/>
      <c r="I381" s="15" t="s">
        <v>408</v>
      </c>
      <c r="J381" s="1" t="s">
        <v>3324</v>
      </c>
      <c r="K381" s="1" t="s">
        <v>3278</v>
      </c>
      <c r="L381" s="1" t="s">
        <v>35</v>
      </c>
      <c r="M381" s="15" t="s">
        <v>426</v>
      </c>
      <c r="N381" s="15"/>
      <c r="O381" s="8" t="s">
        <v>410</v>
      </c>
      <c r="P381" s="8" t="s">
        <v>46</v>
      </c>
      <c r="Q381" s="14">
        <v>0.02</v>
      </c>
      <c r="R381" s="139">
        <v>1000069099</v>
      </c>
      <c r="S381" s="15"/>
      <c r="T381" s="6">
        <v>0</v>
      </c>
      <c r="U381" s="6">
        <v>80000</v>
      </c>
      <c r="V381" s="6">
        <v>27953.21</v>
      </c>
      <c r="W381" s="18">
        <f t="shared" si="56"/>
        <v>52046.79</v>
      </c>
      <c r="X381" s="18">
        <f t="shared" si="53"/>
        <v>27405.107843137255</v>
      </c>
      <c r="Y381" s="13">
        <f t="shared" si="48"/>
        <v>12111.628206717764</v>
      </c>
      <c r="Z381" s="14">
        <v>0</v>
      </c>
      <c r="AA381" s="4">
        <v>0</v>
      </c>
      <c r="AB381" s="4">
        <f t="shared" si="49"/>
        <v>27405.107843137255</v>
      </c>
      <c r="AC381" s="6">
        <f t="shared" si="50"/>
        <v>548.10215686274387</v>
      </c>
      <c r="AD381" s="18">
        <f t="shared" si="57"/>
        <v>15293.479636419492</v>
      </c>
      <c r="AE381" s="2">
        <v>7.0000000000000007E-2</v>
      </c>
      <c r="AF381" s="5">
        <f t="shared" si="51"/>
        <v>1070.5435745493646</v>
      </c>
      <c r="AG381" s="14">
        <v>0</v>
      </c>
      <c r="AH381" s="10">
        <f t="shared" si="58"/>
        <v>27953.21</v>
      </c>
      <c r="AI381" s="16"/>
      <c r="AJ381" s="126" t="e">
        <v>#N/A</v>
      </c>
      <c r="AK381" s="80">
        <f t="shared" si="52"/>
        <v>0</v>
      </c>
      <c r="AM381" s="85"/>
    </row>
    <row r="382" spans="1:39" hidden="1" x14ac:dyDescent="0.3">
      <c r="A382" s="85" t="s">
        <v>34</v>
      </c>
      <c r="B382" s="15" t="s">
        <v>35</v>
      </c>
      <c r="C382" s="15" t="s">
        <v>59</v>
      </c>
      <c r="D382" s="15" t="s">
        <v>60</v>
      </c>
      <c r="E382" s="15" t="s">
        <v>425</v>
      </c>
      <c r="F382" s="15" t="s">
        <v>425</v>
      </c>
      <c r="G382" s="15" t="s">
        <v>425</v>
      </c>
      <c r="H382" s="154"/>
      <c r="I382" s="15" t="s">
        <v>408</v>
      </c>
      <c r="J382" s="1" t="s">
        <v>3324</v>
      </c>
      <c r="K382" s="1" t="s">
        <v>3278</v>
      </c>
      <c r="L382" s="1" t="s">
        <v>35</v>
      </c>
      <c r="M382" s="15" t="s">
        <v>427</v>
      </c>
      <c r="N382" s="15"/>
      <c r="O382" s="8" t="s">
        <v>45</v>
      </c>
      <c r="P382" s="8" t="s">
        <v>46</v>
      </c>
      <c r="Q382" s="14">
        <v>0.04</v>
      </c>
      <c r="R382" s="139">
        <v>1000069101</v>
      </c>
      <c r="S382" s="15"/>
      <c r="T382" s="6">
        <v>0</v>
      </c>
      <c r="U382" s="6">
        <v>19981.28</v>
      </c>
      <c r="V382" s="6">
        <v>171.53</v>
      </c>
      <c r="W382" s="18">
        <f t="shared" si="56"/>
        <v>19809.75</v>
      </c>
      <c r="X382" s="18">
        <f t="shared" si="53"/>
        <v>164.93269230769229</v>
      </c>
      <c r="Y382" s="13">
        <f t="shared" si="48"/>
        <v>71.086920675917781</v>
      </c>
      <c r="Z382" s="14">
        <v>0</v>
      </c>
      <c r="AA382" s="4">
        <v>0</v>
      </c>
      <c r="AB382" s="4">
        <f t="shared" si="49"/>
        <v>164.93269230769229</v>
      </c>
      <c r="AC382" s="6">
        <f t="shared" si="50"/>
        <v>6.5973076923077087</v>
      </c>
      <c r="AD382" s="18">
        <f t="shared" si="57"/>
        <v>93.845771631774511</v>
      </c>
      <c r="AE382" s="2">
        <v>0.12</v>
      </c>
      <c r="AF382" s="5">
        <f t="shared" si="51"/>
        <v>11.261492595812941</v>
      </c>
      <c r="AG382" s="14">
        <v>0</v>
      </c>
      <c r="AH382" s="10">
        <f t="shared" si="58"/>
        <v>171.53</v>
      </c>
      <c r="AI382" s="16"/>
      <c r="AJ382" s="126" t="e">
        <v>#N/A</v>
      </c>
      <c r="AK382" s="80">
        <f t="shared" si="52"/>
        <v>0</v>
      </c>
      <c r="AM382" s="85"/>
    </row>
    <row r="383" spans="1:39" hidden="1" x14ac:dyDescent="0.3">
      <c r="A383" s="85" t="s">
        <v>34</v>
      </c>
      <c r="B383" s="15" t="s">
        <v>35</v>
      </c>
      <c r="C383" s="15" t="s">
        <v>36</v>
      </c>
      <c r="D383" s="15" t="s">
        <v>224</v>
      </c>
      <c r="E383" s="15" t="s">
        <v>428</v>
      </c>
      <c r="F383" s="15" t="s">
        <v>428</v>
      </c>
      <c r="G383" s="15" t="s">
        <v>428</v>
      </c>
      <c r="H383" s="154"/>
      <c r="I383" s="15" t="s">
        <v>408</v>
      </c>
      <c r="J383" s="1" t="s">
        <v>3324</v>
      </c>
      <c r="K383" s="1" t="s">
        <v>3278</v>
      </c>
      <c r="L383" s="1" t="s">
        <v>35</v>
      </c>
      <c r="M383" s="15" t="s">
        <v>429</v>
      </c>
      <c r="N383" s="15"/>
      <c r="O383" s="8" t="s">
        <v>410</v>
      </c>
      <c r="P383" s="8" t="s">
        <v>41</v>
      </c>
      <c r="Q383" s="14">
        <v>0</v>
      </c>
      <c r="R383" s="139">
        <v>1000094551</v>
      </c>
      <c r="S383" s="15"/>
      <c r="T383" s="6">
        <v>0</v>
      </c>
      <c r="U383" s="6">
        <v>40000</v>
      </c>
      <c r="V383" s="6">
        <v>33781.760000000002</v>
      </c>
      <c r="W383" s="18">
        <f t="shared" si="56"/>
        <v>6218.239999999998</v>
      </c>
      <c r="X383" s="18">
        <f t="shared" si="53"/>
        <v>33781.760000000002</v>
      </c>
      <c r="Y383" s="13">
        <f t="shared" si="48"/>
        <v>15299.422599665279</v>
      </c>
      <c r="Z383" s="14">
        <v>0</v>
      </c>
      <c r="AA383" s="4">
        <v>0</v>
      </c>
      <c r="AB383" s="4">
        <f t="shared" si="49"/>
        <v>33781.760000000002</v>
      </c>
      <c r="AC383" s="6">
        <f t="shared" si="50"/>
        <v>0</v>
      </c>
      <c r="AD383" s="18">
        <f t="shared" si="57"/>
        <v>18482.337400334723</v>
      </c>
      <c r="AE383" s="2">
        <v>7.0000000000000007E-2</v>
      </c>
      <c r="AF383" s="5">
        <f t="shared" si="51"/>
        <v>1293.7636180234308</v>
      </c>
      <c r="AG383" s="14">
        <v>0</v>
      </c>
      <c r="AH383" s="10">
        <f t="shared" si="58"/>
        <v>33781.760000000002</v>
      </c>
      <c r="AI383" s="16"/>
      <c r="AJ383" s="126" t="e">
        <v>#N/A</v>
      </c>
      <c r="AK383" s="80">
        <f t="shared" si="52"/>
        <v>0</v>
      </c>
      <c r="AM383" s="85"/>
    </row>
    <row r="384" spans="1:39" hidden="1" x14ac:dyDescent="0.3">
      <c r="A384" s="85" t="s">
        <v>34</v>
      </c>
      <c r="B384" s="15" t="s">
        <v>35</v>
      </c>
      <c r="C384" s="15" t="s">
        <v>36</v>
      </c>
      <c r="D384" s="15" t="s">
        <v>224</v>
      </c>
      <c r="E384" s="15" t="s">
        <v>428</v>
      </c>
      <c r="F384" s="15" t="s">
        <v>428</v>
      </c>
      <c r="G384" s="15" t="s">
        <v>428</v>
      </c>
      <c r="H384" s="154"/>
      <c r="I384" s="15" t="s">
        <v>408</v>
      </c>
      <c r="J384" s="1" t="s">
        <v>3324</v>
      </c>
      <c r="K384" s="1" t="s">
        <v>3278</v>
      </c>
      <c r="L384" s="1" t="s">
        <v>35</v>
      </c>
      <c r="M384" s="15" t="s">
        <v>430</v>
      </c>
      <c r="N384" s="15"/>
      <c r="O384" s="8" t="s">
        <v>410</v>
      </c>
      <c r="P384" s="8" t="s">
        <v>46</v>
      </c>
      <c r="Q384" s="14">
        <v>0.04</v>
      </c>
      <c r="R384" s="139">
        <v>1000094564</v>
      </c>
      <c r="S384" s="15"/>
      <c r="T384" s="6">
        <v>2059.6099999999969</v>
      </c>
      <c r="U384" s="6">
        <v>-1181.9900000000002</v>
      </c>
      <c r="V384" s="6">
        <v>877.61999999999671</v>
      </c>
      <c r="W384" s="18">
        <f t="shared" si="56"/>
        <v>0</v>
      </c>
      <c r="X384" s="18">
        <f t="shared" si="53"/>
        <v>843.86538461538146</v>
      </c>
      <c r="Y384" s="13">
        <f t="shared" si="48"/>
        <v>363.71074053284411</v>
      </c>
      <c r="Z384" s="14">
        <v>0</v>
      </c>
      <c r="AA384" s="4">
        <v>0</v>
      </c>
      <c r="AB384" s="4">
        <f t="shared" si="49"/>
        <v>843.86538461538146</v>
      </c>
      <c r="AC384" s="6">
        <f t="shared" si="50"/>
        <v>33.754615384615249</v>
      </c>
      <c r="AD384" s="18">
        <f t="shared" si="57"/>
        <v>480.15464408253735</v>
      </c>
      <c r="AE384" s="2">
        <v>7.0000000000000007E-2</v>
      </c>
      <c r="AF384" s="5">
        <f t="shared" si="51"/>
        <v>33.61082508577762</v>
      </c>
      <c r="AG384" s="14">
        <v>0</v>
      </c>
      <c r="AH384" s="10">
        <f t="shared" si="58"/>
        <v>877.61999999999671</v>
      </c>
      <c r="AI384" s="16"/>
      <c r="AJ384" s="126" t="e">
        <v>#N/A</v>
      </c>
      <c r="AK384" s="80">
        <f t="shared" si="52"/>
        <v>0</v>
      </c>
      <c r="AM384" s="85"/>
    </row>
    <row r="385" spans="1:39" hidden="1" x14ac:dyDescent="0.3">
      <c r="A385" s="85" t="s">
        <v>34</v>
      </c>
      <c r="B385" s="15" t="s">
        <v>35</v>
      </c>
      <c r="C385" s="15" t="s">
        <v>36</v>
      </c>
      <c r="D385" s="15" t="s">
        <v>224</v>
      </c>
      <c r="E385" s="15" t="s">
        <v>428</v>
      </c>
      <c r="F385" s="15" t="s">
        <v>428</v>
      </c>
      <c r="G385" s="15" t="s">
        <v>428</v>
      </c>
      <c r="H385" s="154"/>
      <c r="I385" s="15" t="s">
        <v>408</v>
      </c>
      <c r="J385" s="1" t="s">
        <v>3324</v>
      </c>
      <c r="K385" s="1" t="s">
        <v>3278</v>
      </c>
      <c r="L385" s="1" t="s">
        <v>35</v>
      </c>
      <c r="M385" s="15" t="s">
        <v>430</v>
      </c>
      <c r="N385" s="15"/>
      <c r="O385" s="8" t="s">
        <v>410</v>
      </c>
      <c r="P385" s="8" t="s">
        <v>41</v>
      </c>
      <c r="Q385" s="14">
        <v>0</v>
      </c>
      <c r="R385" s="139">
        <v>1000094564</v>
      </c>
      <c r="S385" s="15"/>
      <c r="T385" s="6">
        <v>0</v>
      </c>
      <c r="U385" s="6">
        <v>58059.61</v>
      </c>
      <c r="V385" s="6">
        <v>38321.290000000008</v>
      </c>
      <c r="W385" s="18">
        <f t="shared" si="56"/>
        <v>19738.319999999992</v>
      </c>
      <c r="X385" s="18">
        <f t="shared" si="53"/>
        <v>38321.290000000008</v>
      </c>
      <c r="Y385" s="13">
        <f t="shared" si="48"/>
        <v>17355.330517839426</v>
      </c>
      <c r="Z385" s="14">
        <v>0</v>
      </c>
      <c r="AA385" s="4">
        <v>0</v>
      </c>
      <c r="AB385" s="4">
        <f t="shared" si="49"/>
        <v>38321.290000000008</v>
      </c>
      <c r="AC385" s="6">
        <f t="shared" si="50"/>
        <v>0</v>
      </c>
      <c r="AD385" s="18">
        <f t="shared" si="57"/>
        <v>20965.959482160582</v>
      </c>
      <c r="AE385" s="2">
        <v>7.0000000000000007E-2</v>
      </c>
      <c r="AF385" s="5">
        <f t="shared" si="51"/>
        <v>1467.6171637512409</v>
      </c>
      <c r="AG385" s="14">
        <v>0</v>
      </c>
      <c r="AH385" s="10">
        <f t="shared" si="58"/>
        <v>38321.290000000008</v>
      </c>
      <c r="AI385" s="16"/>
      <c r="AJ385" s="126" t="e">
        <v>#N/A</v>
      </c>
      <c r="AK385" s="80">
        <f t="shared" si="52"/>
        <v>0</v>
      </c>
      <c r="AM385" s="85"/>
    </row>
    <row r="386" spans="1:39" hidden="1" x14ac:dyDescent="0.3">
      <c r="A386" s="85" t="s">
        <v>34</v>
      </c>
      <c r="B386" s="15" t="s">
        <v>35</v>
      </c>
      <c r="C386" s="15" t="s">
        <v>36</v>
      </c>
      <c r="D386" s="15" t="s">
        <v>224</v>
      </c>
      <c r="E386" s="15" t="s">
        <v>431</v>
      </c>
      <c r="F386" s="15" t="s">
        <v>431</v>
      </c>
      <c r="G386" s="15" t="s">
        <v>431</v>
      </c>
      <c r="H386" s="154"/>
      <c r="I386" s="15" t="s">
        <v>408</v>
      </c>
      <c r="J386" s="1" t="s">
        <v>3324</v>
      </c>
      <c r="K386" s="1" t="s">
        <v>3278</v>
      </c>
      <c r="L386" s="1" t="s">
        <v>35</v>
      </c>
      <c r="M386" s="15" t="s">
        <v>432</v>
      </c>
      <c r="N386" s="15"/>
      <c r="O386" s="8" t="s">
        <v>410</v>
      </c>
      <c r="P386" s="8" t="s">
        <v>41</v>
      </c>
      <c r="Q386" s="14">
        <v>0</v>
      </c>
      <c r="R386" s="139">
        <v>1000098625</v>
      </c>
      <c r="S386" s="15"/>
      <c r="T386" s="6">
        <v>0</v>
      </c>
      <c r="U386" s="6">
        <v>108792.33</v>
      </c>
      <c r="V386" s="6">
        <v>77511</v>
      </c>
      <c r="W386" s="18">
        <f t="shared" si="56"/>
        <v>31281.33</v>
      </c>
      <c r="X386" s="18">
        <f t="shared" si="53"/>
        <v>77511</v>
      </c>
      <c r="Y386" s="13">
        <f t="shared" si="48"/>
        <v>35103.959803238657</v>
      </c>
      <c r="Z386" s="14">
        <v>0</v>
      </c>
      <c r="AA386" s="4">
        <v>0</v>
      </c>
      <c r="AB386" s="4">
        <f t="shared" si="49"/>
        <v>77511</v>
      </c>
      <c r="AC386" s="6">
        <f t="shared" si="50"/>
        <v>0</v>
      </c>
      <c r="AD386" s="18">
        <f t="shared" si="57"/>
        <v>42407.040196761343</v>
      </c>
      <c r="AE386" s="2">
        <v>7.0000000000000007E-2</v>
      </c>
      <c r="AF386" s="5">
        <f t="shared" si="51"/>
        <v>2968.4928137732945</v>
      </c>
      <c r="AG386" s="14">
        <v>0</v>
      </c>
      <c r="AH386" s="10">
        <f t="shared" si="58"/>
        <v>77511</v>
      </c>
      <c r="AI386" s="16"/>
      <c r="AJ386" s="126" t="e">
        <v>#N/A</v>
      </c>
      <c r="AK386" s="80">
        <f t="shared" si="52"/>
        <v>0</v>
      </c>
      <c r="AM386" s="85"/>
    </row>
    <row r="387" spans="1:39" hidden="1" x14ac:dyDescent="0.3">
      <c r="A387" s="85" t="s">
        <v>34</v>
      </c>
      <c r="B387" s="15" t="s">
        <v>35</v>
      </c>
      <c r="C387" s="15" t="s">
        <v>36</v>
      </c>
      <c r="D387" s="15" t="s">
        <v>224</v>
      </c>
      <c r="E387" s="15" t="s">
        <v>433</v>
      </c>
      <c r="F387" s="15" t="s">
        <v>433</v>
      </c>
      <c r="G387" s="15" t="s">
        <v>433</v>
      </c>
      <c r="H387" s="154"/>
      <c r="I387" s="15" t="s">
        <v>408</v>
      </c>
      <c r="J387" s="1" t="s">
        <v>3324</v>
      </c>
      <c r="K387" s="1" t="s">
        <v>3278</v>
      </c>
      <c r="L387" s="1" t="s">
        <v>35</v>
      </c>
      <c r="M387" s="15" t="s">
        <v>434</v>
      </c>
      <c r="N387" s="15"/>
      <c r="O387" s="8" t="s">
        <v>410</v>
      </c>
      <c r="P387" s="8" t="s">
        <v>41</v>
      </c>
      <c r="Q387" s="14">
        <v>0</v>
      </c>
      <c r="R387" s="139">
        <v>1000009658</v>
      </c>
      <c r="S387" s="15"/>
      <c r="T387" s="6">
        <v>0</v>
      </c>
      <c r="U387" s="6">
        <v>2500000</v>
      </c>
      <c r="V387" s="6">
        <v>2152238.65</v>
      </c>
      <c r="W387" s="18">
        <f t="shared" si="56"/>
        <v>347761.35000000009</v>
      </c>
      <c r="X387" s="18">
        <f t="shared" si="53"/>
        <v>2152238.65</v>
      </c>
      <c r="Y387" s="13">
        <f t="shared" ref="Y387:Y450" si="59">IF(X387-AD387&lt;=0,0,IF(P387="返现",MAX(X387-AC387-AD387,0),MAX(X387-AD387)))</f>
        <v>974727.44586673658</v>
      </c>
      <c r="Z387" s="14">
        <v>0</v>
      </c>
      <c r="AA387" s="4">
        <v>0</v>
      </c>
      <c r="AB387" s="4">
        <f t="shared" ref="AB387:AB450" si="60">X387+AA387</f>
        <v>2152238.65</v>
      </c>
      <c r="AC387" s="6">
        <f t="shared" ref="AC387:AC450" si="61">IF(P387="返现",X387*Q387,V387-X387)</f>
        <v>0</v>
      </c>
      <c r="AD387" s="18">
        <f t="shared" si="57"/>
        <v>1177511.2041332633</v>
      </c>
      <c r="AE387" s="2">
        <v>7.0000000000000007E-2</v>
      </c>
      <c r="AF387" s="5">
        <f t="shared" ref="AF387:AF450" si="62">AD387*AE387</f>
        <v>82425.78428932844</v>
      </c>
      <c r="AG387" s="14">
        <v>0</v>
      </c>
      <c r="AH387" s="10">
        <f t="shared" si="58"/>
        <v>2152238.65</v>
      </c>
      <c r="AI387" s="16"/>
      <c r="AJ387" s="126" t="e">
        <v>#N/A</v>
      </c>
      <c r="AK387" s="80">
        <f t="shared" ref="AK387:AK450" si="63">X387+AA387-AB387</f>
        <v>0</v>
      </c>
      <c r="AM387" s="85"/>
    </row>
    <row r="388" spans="1:39" hidden="1" x14ac:dyDescent="0.3">
      <c r="A388" s="85" t="s">
        <v>34</v>
      </c>
      <c r="B388" s="15" t="s">
        <v>35</v>
      </c>
      <c r="C388" s="15" t="s">
        <v>36</v>
      </c>
      <c r="D388" s="15" t="s">
        <v>224</v>
      </c>
      <c r="E388" s="15" t="s">
        <v>435</v>
      </c>
      <c r="F388" s="15" t="s">
        <v>436</v>
      </c>
      <c r="G388" s="15" t="s">
        <v>435</v>
      </c>
      <c r="H388" s="154"/>
      <c r="I388" s="15" t="s">
        <v>408</v>
      </c>
      <c r="J388" s="1" t="s">
        <v>3324</v>
      </c>
      <c r="K388" s="1" t="s">
        <v>3278</v>
      </c>
      <c r="L388" s="1" t="s">
        <v>35</v>
      </c>
      <c r="M388" s="15" t="s">
        <v>437</v>
      </c>
      <c r="N388" s="15"/>
      <c r="O388" s="8" t="s">
        <v>410</v>
      </c>
      <c r="P388" s="8" t="s">
        <v>41</v>
      </c>
      <c r="Q388" s="14">
        <v>0</v>
      </c>
      <c r="R388" s="139">
        <v>1000094457</v>
      </c>
      <c r="S388" s="15"/>
      <c r="T388" s="6">
        <v>0</v>
      </c>
      <c r="U388" s="6">
        <v>10000</v>
      </c>
      <c r="V388" s="6">
        <v>5004.5</v>
      </c>
      <c r="W388" s="18">
        <f t="shared" si="56"/>
        <v>4995.5</v>
      </c>
      <c r="X388" s="18">
        <f t="shared" si="53"/>
        <v>5004.5</v>
      </c>
      <c r="Y388" s="13">
        <f t="shared" si="59"/>
        <v>2266.4881995498426</v>
      </c>
      <c r="Z388" s="14">
        <v>0</v>
      </c>
      <c r="AA388" s="4">
        <v>0</v>
      </c>
      <c r="AB388" s="4">
        <f t="shared" si="60"/>
        <v>5004.5</v>
      </c>
      <c r="AC388" s="6">
        <f t="shared" si="61"/>
        <v>0</v>
      </c>
      <c r="AD388" s="18">
        <f t="shared" si="57"/>
        <v>2738.0118004501574</v>
      </c>
      <c r="AE388" s="2">
        <v>7.0000000000000007E-2</v>
      </c>
      <c r="AF388" s="5">
        <f t="shared" si="62"/>
        <v>191.66082603151102</v>
      </c>
      <c r="AG388" s="14">
        <v>0</v>
      </c>
      <c r="AH388" s="10">
        <f t="shared" si="58"/>
        <v>5004.5</v>
      </c>
      <c r="AI388" s="16"/>
      <c r="AJ388" s="126" t="e">
        <v>#N/A</v>
      </c>
      <c r="AK388" s="80">
        <f t="shared" si="63"/>
        <v>0</v>
      </c>
      <c r="AM388" s="85"/>
    </row>
    <row r="389" spans="1:39" hidden="1" x14ac:dyDescent="0.3">
      <c r="A389" s="85" t="s">
        <v>34</v>
      </c>
      <c r="B389" s="15" t="s">
        <v>35</v>
      </c>
      <c r="C389" s="15" t="s">
        <v>36</v>
      </c>
      <c r="D389" s="15" t="s">
        <v>224</v>
      </c>
      <c r="E389" s="15" t="s">
        <v>435</v>
      </c>
      <c r="F389" s="15" t="s">
        <v>436</v>
      </c>
      <c r="G389" s="15" t="s">
        <v>435</v>
      </c>
      <c r="H389" s="139"/>
      <c r="I389" s="15" t="s">
        <v>408</v>
      </c>
      <c r="J389" s="1" t="s">
        <v>3324</v>
      </c>
      <c r="K389" s="1" t="s">
        <v>3278</v>
      </c>
      <c r="L389" s="1" t="s">
        <v>35</v>
      </c>
      <c r="M389" s="15" t="s">
        <v>438</v>
      </c>
      <c r="N389" s="15"/>
      <c r="O389" s="8" t="s">
        <v>410</v>
      </c>
      <c r="P389" s="8" t="s">
        <v>41</v>
      </c>
      <c r="Q389" s="14">
        <v>0</v>
      </c>
      <c r="R389" s="139">
        <v>1000070542</v>
      </c>
      <c r="S389" s="15"/>
      <c r="T389" s="6">
        <v>33384.61</v>
      </c>
      <c r="U389" s="6">
        <v>-10000</v>
      </c>
      <c r="V389" s="6">
        <v>0</v>
      </c>
      <c r="W389" s="18">
        <f t="shared" si="56"/>
        <v>23384.61</v>
      </c>
      <c r="X389" s="18">
        <f t="shared" si="53"/>
        <v>0</v>
      </c>
      <c r="Y389" s="13">
        <f t="shared" si="59"/>
        <v>0</v>
      </c>
      <c r="Z389" s="14">
        <v>0</v>
      </c>
      <c r="AA389" s="4">
        <v>0</v>
      </c>
      <c r="AB389" s="4">
        <f t="shared" si="60"/>
        <v>0</v>
      </c>
      <c r="AC389" s="6">
        <f t="shared" si="61"/>
        <v>0</v>
      </c>
      <c r="AD389" s="18">
        <f t="shared" si="57"/>
        <v>0</v>
      </c>
      <c r="AE389" s="2">
        <v>7.0000000000000007E-2</v>
      </c>
      <c r="AF389" s="5">
        <f t="shared" si="62"/>
        <v>0</v>
      </c>
      <c r="AG389" s="14">
        <v>0</v>
      </c>
      <c r="AH389" s="10">
        <f t="shared" si="58"/>
        <v>0</v>
      </c>
      <c r="AI389" s="16"/>
      <c r="AJ389" s="126" t="e">
        <v>#N/A</v>
      </c>
      <c r="AK389" s="80">
        <f t="shared" si="63"/>
        <v>0</v>
      </c>
      <c r="AM389" s="85"/>
    </row>
    <row r="390" spans="1:39" hidden="1" x14ac:dyDescent="0.3">
      <c r="A390" s="85" t="s">
        <v>34</v>
      </c>
      <c r="B390" s="15" t="s">
        <v>35</v>
      </c>
      <c r="C390" s="15" t="s">
        <v>36</v>
      </c>
      <c r="D390" s="15" t="s">
        <v>224</v>
      </c>
      <c r="E390" s="15" t="s">
        <v>439</v>
      </c>
      <c r="F390" s="15" t="s">
        <v>439</v>
      </c>
      <c r="G390" s="15" t="s">
        <v>439</v>
      </c>
      <c r="H390" s="154"/>
      <c r="I390" s="15" t="s">
        <v>408</v>
      </c>
      <c r="J390" s="1" t="s">
        <v>3324</v>
      </c>
      <c r="K390" s="1" t="s">
        <v>3278</v>
      </c>
      <c r="L390" s="1" t="s">
        <v>35</v>
      </c>
      <c r="M390" s="15" t="s">
        <v>440</v>
      </c>
      <c r="N390" s="15"/>
      <c r="O390" s="8" t="s">
        <v>410</v>
      </c>
      <c r="P390" s="8" t="s">
        <v>41</v>
      </c>
      <c r="Q390" s="14">
        <v>0</v>
      </c>
      <c r="R390" s="139">
        <v>1000099342</v>
      </c>
      <c r="S390" s="15"/>
      <c r="T390" s="6">
        <v>0</v>
      </c>
      <c r="U390" s="6">
        <v>10000</v>
      </c>
      <c r="V390" s="6">
        <v>9668.9199999999964</v>
      </c>
      <c r="W390" s="18">
        <f t="shared" si="56"/>
        <v>331.08000000000357</v>
      </c>
      <c r="X390" s="18">
        <f t="shared" si="53"/>
        <v>9668.9199999999964</v>
      </c>
      <c r="Y390" s="13">
        <f t="shared" si="59"/>
        <v>4378.9575546790802</v>
      </c>
      <c r="Z390" s="14">
        <v>0</v>
      </c>
      <c r="AA390" s="4">
        <v>0</v>
      </c>
      <c r="AB390" s="4">
        <f t="shared" si="60"/>
        <v>9668.9199999999964</v>
      </c>
      <c r="AC390" s="6">
        <f t="shared" si="61"/>
        <v>0</v>
      </c>
      <c r="AD390" s="18">
        <f t="shared" si="57"/>
        <v>5289.9624453209162</v>
      </c>
      <c r="AE390" s="2">
        <v>7.0000000000000007E-2</v>
      </c>
      <c r="AF390" s="5">
        <f t="shared" si="62"/>
        <v>370.29737117246418</v>
      </c>
      <c r="AG390" s="14">
        <v>0</v>
      </c>
      <c r="AH390" s="10">
        <f t="shared" si="58"/>
        <v>9668.9199999999964</v>
      </c>
      <c r="AI390" s="16"/>
      <c r="AJ390" s="126" t="e">
        <v>#N/A</v>
      </c>
      <c r="AK390" s="80">
        <f t="shared" si="63"/>
        <v>0</v>
      </c>
      <c r="AM390" s="85"/>
    </row>
    <row r="391" spans="1:39" hidden="1" x14ac:dyDescent="0.3">
      <c r="A391" s="85" t="s">
        <v>34</v>
      </c>
      <c r="B391" s="15" t="s">
        <v>35</v>
      </c>
      <c r="C391" s="15" t="s">
        <v>36</v>
      </c>
      <c r="D391" s="15" t="s">
        <v>224</v>
      </c>
      <c r="E391" s="15" t="s">
        <v>441</v>
      </c>
      <c r="F391" s="15" t="s">
        <v>441</v>
      </c>
      <c r="G391" s="15" t="s">
        <v>441</v>
      </c>
      <c r="H391" s="154"/>
      <c r="I391" s="15" t="s">
        <v>408</v>
      </c>
      <c r="J391" s="1" t="s">
        <v>3324</v>
      </c>
      <c r="K391" s="1" t="s">
        <v>3278</v>
      </c>
      <c r="L391" s="1" t="s">
        <v>35</v>
      </c>
      <c r="M391" s="15" t="s">
        <v>442</v>
      </c>
      <c r="N391" s="15"/>
      <c r="O391" s="8" t="s">
        <v>410</v>
      </c>
      <c r="P391" s="8" t="s">
        <v>41</v>
      </c>
      <c r="Q391" s="14">
        <v>0</v>
      </c>
      <c r="R391" s="139">
        <v>1000043129</v>
      </c>
      <c r="S391" s="15"/>
      <c r="T391" s="6">
        <v>0</v>
      </c>
      <c r="U391" s="6">
        <v>160000</v>
      </c>
      <c r="V391" s="6">
        <v>112538.16</v>
      </c>
      <c r="W391" s="18">
        <f t="shared" si="56"/>
        <v>47461.84</v>
      </c>
      <c r="X391" s="18">
        <f t="shared" si="53"/>
        <v>112538.16</v>
      </c>
      <c r="Y391" s="13">
        <f t="shared" si="59"/>
        <v>50967.411657318837</v>
      </c>
      <c r="Z391" s="14">
        <v>0</v>
      </c>
      <c r="AA391" s="4">
        <v>0</v>
      </c>
      <c r="AB391" s="4">
        <f t="shared" si="60"/>
        <v>112538.16</v>
      </c>
      <c r="AC391" s="6">
        <f t="shared" si="61"/>
        <v>0</v>
      </c>
      <c r="AD391" s="18">
        <f t="shared" si="57"/>
        <v>61570.748342681167</v>
      </c>
      <c r="AE391" s="2">
        <v>7.0000000000000007E-2</v>
      </c>
      <c r="AF391" s="5">
        <f t="shared" si="62"/>
        <v>4309.952383987682</v>
      </c>
      <c r="AG391" s="14">
        <v>0</v>
      </c>
      <c r="AH391" s="10">
        <f t="shared" si="58"/>
        <v>112538.16</v>
      </c>
      <c r="AI391" s="16"/>
      <c r="AJ391" s="126" t="e">
        <v>#N/A</v>
      </c>
      <c r="AK391" s="80">
        <f t="shared" si="63"/>
        <v>0</v>
      </c>
      <c r="AM391" s="85"/>
    </row>
    <row r="392" spans="1:39" hidden="1" x14ac:dyDescent="0.3">
      <c r="A392" s="85" t="s">
        <v>34</v>
      </c>
      <c r="B392" s="15" t="s">
        <v>35</v>
      </c>
      <c r="C392" s="15" t="s">
        <v>36</v>
      </c>
      <c r="D392" s="15" t="s">
        <v>224</v>
      </c>
      <c r="E392" s="15" t="s">
        <v>443</v>
      </c>
      <c r="F392" s="15" t="s">
        <v>444</v>
      </c>
      <c r="G392" s="15" t="s">
        <v>443</v>
      </c>
      <c r="H392" s="139"/>
      <c r="I392" s="15" t="s">
        <v>408</v>
      </c>
      <c r="J392" s="1" t="s">
        <v>3324</v>
      </c>
      <c r="K392" s="1" t="s">
        <v>3278</v>
      </c>
      <c r="L392" s="1" t="s">
        <v>35</v>
      </c>
      <c r="M392" s="15" t="s">
        <v>445</v>
      </c>
      <c r="N392" s="15"/>
      <c r="O392" s="8" t="s">
        <v>410</v>
      </c>
      <c r="P392" s="8" t="s">
        <v>46</v>
      </c>
      <c r="Q392" s="14">
        <v>0.02</v>
      </c>
      <c r="R392" s="139">
        <v>1000017361</v>
      </c>
      <c r="S392" s="15"/>
      <c r="T392" s="6">
        <v>-3.637978807091713E-12</v>
      </c>
      <c r="U392" s="6">
        <v>0</v>
      </c>
      <c r="V392" s="6">
        <v>0</v>
      </c>
      <c r="W392" s="18">
        <f t="shared" si="56"/>
        <v>-3.637978807091713E-12</v>
      </c>
      <c r="X392" s="18">
        <f t="shared" si="53"/>
        <v>0</v>
      </c>
      <c r="Y392" s="13">
        <f t="shared" si="59"/>
        <v>0</v>
      </c>
      <c r="Z392" s="14">
        <v>0</v>
      </c>
      <c r="AA392" s="4">
        <v>0</v>
      </c>
      <c r="AB392" s="4"/>
      <c r="AC392" s="6">
        <f t="shared" si="61"/>
        <v>0</v>
      </c>
      <c r="AD392" s="18">
        <f t="shared" si="57"/>
        <v>0</v>
      </c>
      <c r="AE392" s="2">
        <v>7.0000000000000007E-2</v>
      </c>
      <c r="AF392" s="5">
        <f t="shared" si="62"/>
        <v>0</v>
      </c>
      <c r="AG392" s="14">
        <v>0</v>
      </c>
      <c r="AH392" s="10">
        <f t="shared" si="58"/>
        <v>0</v>
      </c>
      <c r="AI392" s="16"/>
      <c r="AJ392" s="126" t="s">
        <v>4215</v>
      </c>
      <c r="AK392" s="80">
        <f t="shared" si="63"/>
        <v>0</v>
      </c>
      <c r="AM392" s="85"/>
    </row>
    <row r="393" spans="1:39" hidden="1" x14ac:dyDescent="0.3">
      <c r="A393" s="85" t="s">
        <v>34</v>
      </c>
      <c r="B393" s="15" t="s">
        <v>35</v>
      </c>
      <c r="C393" s="15" t="s">
        <v>36</v>
      </c>
      <c r="D393" s="15" t="s">
        <v>224</v>
      </c>
      <c r="E393" s="15" t="s">
        <v>443</v>
      </c>
      <c r="F393" s="15" t="s">
        <v>444</v>
      </c>
      <c r="G393" s="15" t="s">
        <v>443</v>
      </c>
      <c r="H393" s="139"/>
      <c r="I393" s="15" t="s">
        <v>408</v>
      </c>
      <c r="J393" s="1" t="s">
        <v>3324</v>
      </c>
      <c r="K393" s="1" t="s">
        <v>3278</v>
      </c>
      <c r="L393" s="1" t="s">
        <v>35</v>
      </c>
      <c r="M393" s="15" t="s">
        <v>446</v>
      </c>
      <c r="N393" s="15"/>
      <c r="O393" s="8" t="s">
        <v>410</v>
      </c>
      <c r="P393" s="8" t="s">
        <v>46</v>
      </c>
      <c r="Q393" s="14">
        <v>0.02</v>
      </c>
      <c r="R393" s="139">
        <v>1000017360</v>
      </c>
      <c r="S393" s="15"/>
      <c r="T393" s="6">
        <v>0</v>
      </c>
      <c r="U393" s="6">
        <v>0</v>
      </c>
      <c r="V393" s="6">
        <v>0</v>
      </c>
      <c r="W393" s="18">
        <f t="shared" si="56"/>
        <v>0</v>
      </c>
      <c r="X393" s="18">
        <f t="shared" si="53"/>
        <v>0</v>
      </c>
      <c r="Y393" s="13">
        <f t="shared" si="59"/>
        <v>0</v>
      </c>
      <c r="Z393" s="14">
        <v>0</v>
      </c>
      <c r="AA393" s="4">
        <v>0</v>
      </c>
      <c r="AB393" s="4"/>
      <c r="AC393" s="6">
        <f t="shared" si="61"/>
        <v>0</v>
      </c>
      <c r="AD393" s="18">
        <f t="shared" si="57"/>
        <v>0</v>
      </c>
      <c r="AE393" s="2">
        <v>7.0000000000000007E-2</v>
      </c>
      <c r="AF393" s="5">
        <f t="shared" si="62"/>
        <v>0</v>
      </c>
      <c r="AG393" s="14">
        <v>0</v>
      </c>
      <c r="AH393" s="10">
        <f t="shared" si="58"/>
        <v>0</v>
      </c>
      <c r="AI393" s="16"/>
      <c r="AJ393" s="126" t="s">
        <v>4215</v>
      </c>
      <c r="AK393" s="80">
        <f t="shared" si="63"/>
        <v>0</v>
      </c>
      <c r="AM393" s="85"/>
    </row>
    <row r="394" spans="1:39" hidden="1" x14ac:dyDescent="0.3">
      <c r="A394" s="85" t="s">
        <v>34</v>
      </c>
      <c r="B394" s="15" t="s">
        <v>35</v>
      </c>
      <c r="C394" s="15" t="s">
        <v>36</v>
      </c>
      <c r="D394" s="15" t="s">
        <v>54</v>
      </c>
      <c r="E394" s="15" t="s">
        <v>447</v>
      </c>
      <c r="F394" s="15" t="s">
        <v>447</v>
      </c>
      <c r="G394" s="15" t="s">
        <v>447</v>
      </c>
      <c r="H394" s="139"/>
      <c r="I394" s="15" t="s">
        <v>408</v>
      </c>
      <c r="J394" s="1" t="s">
        <v>3324</v>
      </c>
      <c r="K394" s="1" t="s">
        <v>3278</v>
      </c>
      <c r="L394" s="1" t="s">
        <v>35</v>
      </c>
      <c r="M394" s="15" t="s">
        <v>448</v>
      </c>
      <c r="N394" s="15"/>
      <c r="O394" s="8" t="s">
        <v>45</v>
      </c>
      <c r="P394" s="8" t="s">
        <v>41</v>
      </c>
      <c r="Q394" s="14">
        <v>0</v>
      </c>
      <c r="R394" s="139">
        <v>1000054739</v>
      </c>
      <c r="S394" s="15"/>
      <c r="T394" s="6">
        <v>9548.4800000000214</v>
      </c>
      <c r="U394" s="6">
        <v>10000</v>
      </c>
      <c r="V394" s="6">
        <v>10113.31</v>
      </c>
      <c r="W394" s="18">
        <f t="shared" si="56"/>
        <v>9435.1700000000219</v>
      </c>
      <c r="X394" s="18">
        <f t="shared" si="53"/>
        <v>10113.31</v>
      </c>
      <c r="Y394" s="13">
        <f t="shared" si="59"/>
        <v>4580.2173590547345</v>
      </c>
      <c r="Z394" s="14">
        <v>0</v>
      </c>
      <c r="AA394" s="4">
        <v>0</v>
      </c>
      <c r="AB394" s="4"/>
      <c r="AC394" s="6">
        <f t="shared" si="61"/>
        <v>0</v>
      </c>
      <c r="AD394" s="18">
        <f t="shared" si="57"/>
        <v>5533.092640945265</v>
      </c>
      <c r="AE394" s="2">
        <v>0.12</v>
      </c>
      <c r="AF394" s="5">
        <f t="shared" si="62"/>
        <v>663.97111691343173</v>
      </c>
      <c r="AG394" s="14">
        <v>0</v>
      </c>
      <c r="AH394" s="10">
        <f t="shared" si="58"/>
        <v>10113.31</v>
      </c>
      <c r="AI394" s="16"/>
      <c r="AJ394" s="126">
        <v>21</v>
      </c>
      <c r="AK394" s="80">
        <f t="shared" si="63"/>
        <v>10113.31</v>
      </c>
      <c r="AM394" s="85"/>
    </row>
    <row r="395" spans="1:39" hidden="1" x14ac:dyDescent="0.3">
      <c r="A395" s="85" t="s">
        <v>34</v>
      </c>
      <c r="B395" s="15" t="s">
        <v>35</v>
      </c>
      <c r="C395" s="15" t="s">
        <v>36</v>
      </c>
      <c r="D395" s="15" t="s">
        <v>54</v>
      </c>
      <c r="E395" s="15" t="s">
        <v>447</v>
      </c>
      <c r="F395" s="15" t="s">
        <v>447</v>
      </c>
      <c r="G395" s="15" t="s">
        <v>447</v>
      </c>
      <c r="H395" s="139"/>
      <c r="I395" s="15" t="s">
        <v>408</v>
      </c>
      <c r="J395" s="1" t="s">
        <v>3324</v>
      </c>
      <c r="K395" s="1" t="s">
        <v>3278</v>
      </c>
      <c r="L395" s="1" t="s">
        <v>35</v>
      </c>
      <c r="M395" s="15" t="s">
        <v>449</v>
      </c>
      <c r="N395" s="15"/>
      <c r="O395" s="8" t="s">
        <v>410</v>
      </c>
      <c r="P395" s="8" t="s">
        <v>41</v>
      </c>
      <c r="Q395" s="14">
        <v>0</v>
      </c>
      <c r="R395" s="139">
        <v>1000054738</v>
      </c>
      <c r="S395" s="15"/>
      <c r="T395" s="6">
        <v>754.56999999999789</v>
      </c>
      <c r="U395" s="6">
        <v>10000</v>
      </c>
      <c r="V395" s="6">
        <v>10068.089999999998</v>
      </c>
      <c r="W395" s="18">
        <f t="shared" si="56"/>
        <v>686.47999999999956</v>
      </c>
      <c r="X395" s="18">
        <f t="shared" si="53"/>
        <v>10068.089999999998</v>
      </c>
      <c r="Y395" s="13">
        <f t="shared" si="59"/>
        <v>4559.7376714968068</v>
      </c>
      <c r="Z395" s="14">
        <v>0</v>
      </c>
      <c r="AA395" s="4">
        <v>0</v>
      </c>
      <c r="AB395" s="4"/>
      <c r="AC395" s="6">
        <f t="shared" si="61"/>
        <v>0</v>
      </c>
      <c r="AD395" s="18">
        <f t="shared" si="57"/>
        <v>5508.3523285031915</v>
      </c>
      <c r="AE395" s="2">
        <v>7.0000000000000007E-2</v>
      </c>
      <c r="AF395" s="5">
        <f t="shared" si="62"/>
        <v>385.58466299522343</v>
      </c>
      <c r="AG395" s="14">
        <v>0</v>
      </c>
      <c r="AH395" s="10">
        <f t="shared" si="58"/>
        <v>10068.089999999998</v>
      </c>
      <c r="AI395" s="16"/>
      <c r="AJ395" s="126">
        <v>21</v>
      </c>
      <c r="AK395" s="80">
        <f t="shared" si="63"/>
        <v>10068.089999999998</v>
      </c>
      <c r="AM395" s="85"/>
    </row>
    <row r="396" spans="1:39" hidden="1" x14ac:dyDescent="0.3">
      <c r="A396" s="85" t="s">
        <v>34</v>
      </c>
      <c r="B396" s="15" t="s">
        <v>35</v>
      </c>
      <c r="C396" s="15" t="s">
        <v>36</v>
      </c>
      <c r="D396" s="15" t="s">
        <v>54</v>
      </c>
      <c r="E396" s="15" t="s">
        <v>450</v>
      </c>
      <c r="F396" s="15" t="s">
        <v>451</v>
      </c>
      <c r="G396" s="15" t="s">
        <v>451</v>
      </c>
      <c r="H396" s="139"/>
      <c r="I396" s="15" t="s">
        <v>408</v>
      </c>
      <c r="J396" s="1" t="s">
        <v>3324</v>
      </c>
      <c r="K396" s="1" t="s">
        <v>3278</v>
      </c>
      <c r="L396" s="1" t="s">
        <v>35</v>
      </c>
      <c r="M396" s="15" t="s">
        <v>452</v>
      </c>
      <c r="N396" s="15"/>
      <c r="O396" s="8" t="s">
        <v>410</v>
      </c>
      <c r="P396" s="8" t="s">
        <v>41</v>
      </c>
      <c r="Q396" s="14">
        <v>0</v>
      </c>
      <c r="R396" s="139">
        <v>1000069881</v>
      </c>
      <c r="S396" s="15"/>
      <c r="T396" s="6">
        <v>0</v>
      </c>
      <c r="U396" s="6">
        <v>0</v>
      </c>
      <c r="V396" s="6">
        <v>0</v>
      </c>
      <c r="W396" s="18">
        <f t="shared" si="56"/>
        <v>0</v>
      </c>
      <c r="X396" s="18">
        <f t="shared" si="53"/>
        <v>0</v>
      </c>
      <c r="Y396" s="13">
        <f t="shared" si="59"/>
        <v>0</v>
      </c>
      <c r="Z396" s="14">
        <v>0</v>
      </c>
      <c r="AA396" s="4">
        <v>0</v>
      </c>
      <c r="AB396" s="4">
        <f t="shared" si="60"/>
        <v>0</v>
      </c>
      <c r="AC396" s="6">
        <f t="shared" si="61"/>
        <v>0</v>
      </c>
      <c r="AD396" s="18">
        <f t="shared" si="57"/>
        <v>0</v>
      </c>
      <c r="AE396" s="2">
        <v>7.0000000000000007E-2</v>
      </c>
      <c r="AF396" s="5">
        <f t="shared" si="62"/>
        <v>0</v>
      </c>
      <c r="AG396" s="14">
        <v>0</v>
      </c>
      <c r="AH396" s="10">
        <f t="shared" si="58"/>
        <v>0</v>
      </c>
      <c r="AI396" s="16"/>
      <c r="AJ396" s="126" t="e">
        <v>#N/A</v>
      </c>
      <c r="AK396" s="80">
        <f t="shared" si="63"/>
        <v>0</v>
      </c>
      <c r="AM396" s="85"/>
    </row>
    <row r="397" spans="1:39" hidden="1" x14ac:dyDescent="0.3">
      <c r="A397" s="85" t="s">
        <v>34</v>
      </c>
      <c r="B397" s="15" t="s">
        <v>35</v>
      </c>
      <c r="C397" s="15" t="s">
        <v>36</v>
      </c>
      <c r="D397" s="15" t="s">
        <v>54</v>
      </c>
      <c r="E397" s="15" t="s">
        <v>453</v>
      </c>
      <c r="F397" s="15" t="s">
        <v>453</v>
      </c>
      <c r="G397" s="15" t="s">
        <v>453</v>
      </c>
      <c r="H397" s="154"/>
      <c r="I397" s="15" t="s">
        <v>408</v>
      </c>
      <c r="J397" s="1" t="s">
        <v>3324</v>
      </c>
      <c r="K397" s="1" t="s">
        <v>3278</v>
      </c>
      <c r="L397" s="1" t="s">
        <v>35</v>
      </c>
      <c r="M397" s="15" t="s">
        <v>454</v>
      </c>
      <c r="N397" s="15"/>
      <c r="O397" s="8" t="s">
        <v>410</v>
      </c>
      <c r="P397" s="8" t="s">
        <v>41</v>
      </c>
      <c r="Q397" s="14">
        <v>0</v>
      </c>
      <c r="R397" s="139">
        <v>1000081223</v>
      </c>
      <c r="S397" s="15"/>
      <c r="T397" s="6">
        <v>0</v>
      </c>
      <c r="U397" s="6">
        <v>60000</v>
      </c>
      <c r="V397" s="6">
        <v>41314.5</v>
      </c>
      <c r="W397" s="18">
        <f t="shared" si="56"/>
        <v>18685.5</v>
      </c>
      <c r="X397" s="18">
        <f t="shared" si="53"/>
        <v>41314.5</v>
      </c>
      <c r="Y397" s="13">
        <f t="shared" si="59"/>
        <v>18710.925511100402</v>
      </c>
      <c r="Z397" s="14">
        <v>0</v>
      </c>
      <c r="AA397" s="4">
        <v>0</v>
      </c>
      <c r="AB397" s="4">
        <f t="shared" si="60"/>
        <v>41314.5</v>
      </c>
      <c r="AC397" s="6">
        <f t="shared" si="61"/>
        <v>0</v>
      </c>
      <c r="AD397" s="18">
        <f t="shared" si="57"/>
        <v>22603.574488899598</v>
      </c>
      <c r="AE397" s="2">
        <v>7.0000000000000007E-2</v>
      </c>
      <c r="AF397" s="5">
        <f t="shared" si="62"/>
        <v>1582.2502142229721</v>
      </c>
      <c r="AG397" s="14">
        <v>0</v>
      </c>
      <c r="AH397" s="10">
        <f t="shared" si="58"/>
        <v>41314.5</v>
      </c>
      <c r="AI397" s="16"/>
      <c r="AJ397" s="126" t="e">
        <v>#N/A</v>
      </c>
      <c r="AK397" s="80">
        <f t="shared" si="63"/>
        <v>0</v>
      </c>
      <c r="AM397" s="85"/>
    </row>
    <row r="398" spans="1:39" hidden="1" x14ac:dyDescent="0.3">
      <c r="A398" s="85" t="s">
        <v>34</v>
      </c>
      <c r="B398" s="15" t="s">
        <v>35</v>
      </c>
      <c r="C398" s="15" t="s">
        <v>36</v>
      </c>
      <c r="D398" s="15" t="s">
        <v>54</v>
      </c>
      <c r="E398" s="15" t="s">
        <v>453</v>
      </c>
      <c r="F398" s="15" t="s">
        <v>453</v>
      </c>
      <c r="G398" s="15" t="s">
        <v>453</v>
      </c>
      <c r="H398" s="154"/>
      <c r="I398" s="15" t="s">
        <v>408</v>
      </c>
      <c r="J398" s="1" t="s">
        <v>3324</v>
      </c>
      <c r="K398" s="1" t="s">
        <v>3278</v>
      </c>
      <c r="L398" s="1" t="s">
        <v>35</v>
      </c>
      <c r="M398" s="15" t="s">
        <v>455</v>
      </c>
      <c r="N398" s="15"/>
      <c r="O398" s="8" t="s">
        <v>410</v>
      </c>
      <c r="P398" s="8" t="s">
        <v>41</v>
      </c>
      <c r="Q398" s="14">
        <v>0</v>
      </c>
      <c r="R398" s="139">
        <v>1000090665</v>
      </c>
      <c r="S398" s="15"/>
      <c r="T398" s="6">
        <v>0</v>
      </c>
      <c r="U398" s="6">
        <v>60000</v>
      </c>
      <c r="V398" s="6">
        <v>40915.5</v>
      </c>
      <c r="W398" s="18">
        <f t="shared" si="56"/>
        <v>19084.5</v>
      </c>
      <c r="X398" s="18">
        <f t="shared" si="53"/>
        <v>40915.5</v>
      </c>
      <c r="Y398" s="13">
        <f t="shared" si="59"/>
        <v>18530.222385589288</v>
      </c>
      <c r="Z398" s="14">
        <v>0</v>
      </c>
      <c r="AA398" s="4">
        <v>0</v>
      </c>
      <c r="AB398" s="4">
        <f t="shared" si="60"/>
        <v>40915.5</v>
      </c>
      <c r="AC398" s="6">
        <f t="shared" si="61"/>
        <v>0</v>
      </c>
      <c r="AD398" s="18">
        <f t="shared" si="57"/>
        <v>22385.277614410712</v>
      </c>
      <c r="AE398" s="2">
        <v>7.0000000000000007E-2</v>
      </c>
      <c r="AF398" s="5">
        <f t="shared" si="62"/>
        <v>1566.96943300875</v>
      </c>
      <c r="AG398" s="14">
        <v>0</v>
      </c>
      <c r="AH398" s="10">
        <f t="shared" si="58"/>
        <v>40915.5</v>
      </c>
      <c r="AI398" s="16"/>
      <c r="AJ398" s="126" t="e">
        <v>#N/A</v>
      </c>
      <c r="AK398" s="80">
        <f t="shared" si="63"/>
        <v>0</v>
      </c>
      <c r="AM398" s="85"/>
    </row>
    <row r="399" spans="1:39" hidden="1" x14ac:dyDescent="0.3">
      <c r="A399" s="85" t="s">
        <v>34</v>
      </c>
      <c r="B399" s="15" t="s">
        <v>35</v>
      </c>
      <c r="C399" s="15" t="s">
        <v>36</v>
      </c>
      <c r="D399" s="15" t="s">
        <v>54</v>
      </c>
      <c r="E399" s="15" t="s">
        <v>456</v>
      </c>
      <c r="F399" s="15" t="s">
        <v>456</v>
      </c>
      <c r="G399" s="15" t="s">
        <v>456</v>
      </c>
      <c r="H399" s="139"/>
      <c r="I399" s="15" t="s">
        <v>408</v>
      </c>
      <c r="J399" s="1" t="s">
        <v>3324</v>
      </c>
      <c r="K399" s="1" t="s">
        <v>3278</v>
      </c>
      <c r="L399" s="1" t="s">
        <v>35</v>
      </c>
      <c r="M399" s="15" t="s">
        <v>457</v>
      </c>
      <c r="N399" s="15"/>
      <c r="O399" s="8" t="s">
        <v>45</v>
      </c>
      <c r="P399" s="8" t="s">
        <v>46</v>
      </c>
      <c r="Q399" s="14">
        <v>0.02</v>
      </c>
      <c r="R399" s="139">
        <v>1000047851</v>
      </c>
      <c r="S399" s="15"/>
      <c r="T399" s="6">
        <v>16053.04</v>
      </c>
      <c r="U399" s="6">
        <v>-16053.04</v>
      </c>
      <c r="V399" s="6">
        <v>0</v>
      </c>
      <c r="W399" s="18">
        <f t="shared" si="56"/>
        <v>0</v>
      </c>
      <c r="X399" s="18">
        <f t="shared" si="53"/>
        <v>0</v>
      </c>
      <c r="Y399" s="13">
        <f t="shared" si="59"/>
        <v>0</v>
      </c>
      <c r="Z399" s="14">
        <v>0</v>
      </c>
      <c r="AA399" s="4">
        <v>0</v>
      </c>
      <c r="AB399" s="4">
        <f t="shared" si="60"/>
        <v>0</v>
      </c>
      <c r="AC399" s="6">
        <f t="shared" si="61"/>
        <v>0</v>
      </c>
      <c r="AD399" s="18">
        <f t="shared" si="57"/>
        <v>0</v>
      </c>
      <c r="AE399" s="2">
        <v>0.12</v>
      </c>
      <c r="AF399" s="5">
        <f t="shared" si="62"/>
        <v>0</v>
      </c>
      <c r="AG399" s="14">
        <v>0</v>
      </c>
      <c r="AH399" s="10">
        <f t="shared" si="58"/>
        <v>0</v>
      </c>
      <c r="AI399" s="16"/>
      <c r="AJ399" s="126" t="e">
        <v>#N/A</v>
      </c>
      <c r="AK399" s="80">
        <f t="shared" si="63"/>
        <v>0</v>
      </c>
      <c r="AM399" s="85"/>
    </row>
    <row r="400" spans="1:39" hidden="1" x14ac:dyDescent="0.3">
      <c r="A400" s="85" t="s">
        <v>34</v>
      </c>
      <c r="B400" s="15" t="s">
        <v>35</v>
      </c>
      <c r="C400" s="15" t="s">
        <v>36</v>
      </c>
      <c r="D400" s="15" t="s">
        <v>54</v>
      </c>
      <c r="E400" s="15" t="s">
        <v>458</v>
      </c>
      <c r="F400" s="15" t="s">
        <v>458</v>
      </c>
      <c r="G400" s="15" t="s">
        <v>458</v>
      </c>
      <c r="H400" s="154"/>
      <c r="I400" s="15" t="s">
        <v>408</v>
      </c>
      <c r="J400" s="1" t="s">
        <v>3324</v>
      </c>
      <c r="K400" s="1" t="s">
        <v>3278</v>
      </c>
      <c r="L400" s="1" t="s">
        <v>35</v>
      </c>
      <c r="M400" s="15" t="s">
        <v>459</v>
      </c>
      <c r="N400" s="15"/>
      <c r="O400" s="8" t="s">
        <v>410</v>
      </c>
      <c r="P400" s="8" t="s">
        <v>41</v>
      </c>
      <c r="Q400" s="14">
        <v>0</v>
      </c>
      <c r="R400" s="139">
        <v>1000043239</v>
      </c>
      <c r="S400" s="15"/>
      <c r="T400" s="6">
        <v>0</v>
      </c>
      <c r="U400" s="6">
        <v>500000</v>
      </c>
      <c r="V400" s="6">
        <v>375941.18000000011</v>
      </c>
      <c r="W400" s="18">
        <f t="shared" si="56"/>
        <v>124058.81999999989</v>
      </c>
      <c r="X400" s="18">
        <f t="shared" si="53"/>
        <v>375941.18000000011</v>
      </c>
      <c r="Y400" s="13">
        <f t="shared" si="59"/>
        <v>170260.01562490629</v>
      </c>
      <c r="Z400" s="14">
        <v>0</v>
      </c>
      <c r="AA400" s="4">
        <v>0</v>
      </c>
      <c r="AB400" s="4">
        <f t="shared" si="60"/>
        <v>375941.18000000011</v>
      </c>
      <c r="AC400" s="6">
        <f t="shared" si="61"/>
        <v>0</v>
      </c>
      <c r="AD400" s="18">
        <f t="shared" si="57"/>
        <v>205681.16437509382</v>
      </c>
      <c r="AE400" s="2">
        <v>7.0000000000000007E-2</v>
      </c>
      <c r="AF400" s="5">
        <f t="shared" si="62"/>
        <v>14397.681506256569</v>
      </c>
      <c r="AG400" s="14">
        <v>0</v>
      </c>
      <c r="AH400" s="10">
        <f t="shared" si="58"/>
        <v>375941.18000000011</v>
      </c>
      <c r="AI400" s="16"/>
      <c r="AJ400" s="126" t="e">
        <v>#N/A</v>
      </c>
      <c r="AK400" s="80">
        <f t="shared" si="63"/>
        <v>0</v>
      </c>
      <c r="AM400" s="85"/>
    </row>
    <row r="401" spans="1:39" hidden="1" x14ac:dyDescent="0.3">
      <c r="A401" s="85" t="s">
        <v>34</v>
      </c>
      <c r="B401" s="15" t="s">
        <v>35</v>
      </c>
      <c r="C401" s="15" t="s">
        <v>36</v>
      </c>
      <c r="D401" s="15" t="s">
        <v>37</v>
      </c>
      <c r="E401" s="15" t="s">
        <v>285</v>
      </c>
      <c r="F401" s="15" t="s">
        <v>460</v>
      </c>
      <c r="G401" s="15" t="s">
        <v>285</v>
      </c>
      <c r="H401" s="154"/>
      <c r="I401" s="15" t="s">
        <v>408</v>
      </c>
      <c r="J401" s="1" t="s">
        <v>3324</v>
      </c>
      <c r="K401" s="1" t="s">
        <v>3278</v>
      </c>
      <c r="L401" s="1" t="s">
        <v>35</v>
      </c>
      <c r="M401" s="15" t="s">
        <v>285</v>
      </c>
      <c r="N401" s="15"/>
      <c r="O401" s="8" t="s">
        <v>410</v>
      </c>
      <c r="P401" s="8" t="s">
        <v>41</v>
      </c>
      <c r="Q401" s="14">
        <v>0</v>
      </c>
      <c r="R401" s="139">
        <v>1000068980</v>
      </c>
      <c r="S401" s="15"/>
      <c r="T401" s="6">
        <v>0</v>
      </c>
      <c r="U401" s="6">
        <v>25000</v>
      </c>
      <c r="V401" s="6">
        <v>18119.82</v>
      </c>
      <c r="W401" s="18">
        <f t="shared" si="56"/>
        <v>6880.18</v>
      </c>
      <c r="X401" s="18">
        <f t="shared" si="53"/>
        <v>18119.82</v>
      </c>
      <c r="Y401" s="13">
        <f t="shared" si="59"/>
        <v>8206.2859842076577</v>
      </c>
      <c r="Z401" s="14">
        <v>0</v>
      </c>
      <c r="AA401" s="4">
        <v>0</v>
      </c>
      <c r="AB401" s="4">
        <f t="shared" si="60"/>
        <v>18119.82</v>
      </c>
      <c r="AC401" s="6">
        <f t="shared" si="61"/>
        <v>0</v>
      </c>
      <c r="AD401" s="18">
        <f t="shared" si="57"/>
        <v>9913.534015792342</v>
      </c>
      <c r="AE401" s="2">
        <v>7.0000000000000007E-2</v>
      </c>
      <c r="AF401" s="5">
        <f t="shared" si="62"/>
        <v>693.94738110546405</v>
      </c>
      <c r="AG401" s="14">
        <v>0</v>
      </c>
      <c r="AH401" s="10">
        <f t="shared" si="58"/>
        <v>18119.82</v>
      </c>
      <c r="AI401" s="16"/>
      <c r="AJ401" s="126" t="e">
        <v>#N/A</v>
      </c>
      <c r="AK401" s="80">
        <f t="shared" si="63"/>
        <v>0</v>
      </c>
      <c r="AM401" s="85"/>
    </row>
    <row r="402" spans="1:39" hidden="1" x14ac:dyDescent="0.3">
      <c r="A402" s="85" t="s">
        <v>34</v>
      </c>
      <c r="B402" s="15" t="s">
        <v>35</v>
      </c>
      <c r="C402" s="15" t="s">
        <v>36</v>
      </c>
      <c r="D402" s="15" t="s">
        <v>37</v>
      </c>
      <c r="E402" s="15" t="s">
        <v>222</v>
      </c>
      <c r="F402" s="15" t="s">
        <v>222</v>
      </c>
      <c r="G402" s="15" t="s">
        <v>222</v>
      </c>
      <c r="H402" s="154"/>
      <c r="I402" s="15" t="s">
        <v>408</v>
      </c>
      <c r="J402" s="1" t="s">
        <v>3324</v>
      </c>
      <c r="K402" s="1" t="s">
        <v>3278</v>
      </c>
      <c r="L402" s="1" t="s">
        <v>35</v>
      </c>
      <c r="M402" s="15" t="s">
        <v>461</v>
      </c>
      <c r="N402" s="15"/>
      <c r="O402" s="8" t="s">
        <v>410</v>
      </c>
      <c r="P402" s="8" t="s">
        <v>41</v>
      </c>
      <c r="Q402" s="14">
        <v>0</v>
      </c>
      <c r="R402" s="139">
        <v>1000093110</v>
      </c>
      <c r="S402" s="15"/>
      <c r="T402" s="6">
        <v>0</v>
      </c>
      <c r="U402" s="6">
        <v>107606.39999999999</v>
      </c>
      <c r="V402" s="6">
        <v>94973.700000000026</v>
      </c>
      <c r="W402" s="18">
        <f t="shared" si="56"/>
        <v>12632.699999999968</v>
      </c>
      <c r="X402" s="18">
        <f t="shared" si="53"/>
        <v>94973.700000000026</v>
      </c>
      <c r="Y402" s="13">
        <f t="shared" si="59"/>
        <v>43012.6426851008</v>
      </c>
      <c r="Z402" s="14">
        <v>0</v>
      </c>
      <c r="AA402" s="4">
        <v>0</v>
      </c>
      <c r="AB402" s="4">
        <f t="shared" si="60"/>
        <v>94973.700000000026</v>
      </c>
      <c r="AC402" s="6">
        <f t="shared" si="61"/>
        <v>0</v>
      </c>
      <c r="AD402" s="18">
        <f t="shared" si="57"/>
        <v>51961.057314899226</v>
      </c>
      <c r="AE402" s="2">
        <v>7.0000000000000007E-2</v>
      </c>
      <c r="AF402" s="5">
        <f t="shared" si="62"/>
        <v>3637.2740120429462</v>
      </c>
      <c r="AG402" s="14">
        <v>0</v>
      </c>
      <c r="AH402" s="10">
        <f t="shared" si="58"/>
        <v>94973.700000000026</v>
      </c>
      <c r="AI402" s="16"/>
      <c r="AJ402" s="126" t="e">
        <v>#N/A</v>
      </c>
      <c r="AK402" s="80">
        <f t="shared" si="63"/>
        <v>0</v>
      </c>
      <c r="AM402" s="85"/>
    </row>
    <row r="403" spans="1:39" hidden="1" x14ac:dyDescent="0.3">
      <c r="A403" s="85" t="s">
        <v>34</v>
      </c>
      <c r="B403" s="15" t="s">
        <v>35</v>
      </c>
      <c r="C403" s="15" t="s">
        <v>36</v>
      </c>
      <c r="D403" s="15" t="s">
        <v>37</v>
      </c>
      <c r="E403" s="15" t="s">
        <v>222</v>
      </c>
      <c r="F403" s="15" t="s">
        <v>462</v>
      </c>
      <c r="G403" s="15" t="s">
        <v>222</v>
      </c>
      <c r="H403" s="154"/>
      <c r="I403" s="15" t="s">
        <v>408</v>
      </c>
      <c r="J403" s="1" t="s">
        <v>3324</v>
      </c>
      <c r="K403" s="1" t="s">
        <v>3278</v>
      </c>
      <c r="L403" s="1" t="s">
        <v>35</v>
      </c>
      <c r="M403" s="15" t="s">
        <v>463</v>
      </c>
      <c r="N403" s="15"/>
      <c r="O403" s="8" t="s">
        <v>410</v>
      </c>
      <c r="P403" s="8" t="s">
        <v>46</v>
      </c>
      <c r="Q403" s="14">
        <v>0.02</v>
      </c>
      <c r="R403" s="139">
        <v>1000099143</v>
      </c>
      <c r="S403" s="15"/>
      <c r="T403" s="6">
        <v>0</v>
      </c>
      <c r="U403" s="6">
        <v>115000</v>
      </c>
      <c r="V403" s="6">
        <v>104800.89</v>
      </c>
      <c r="W403" s="18">
        <f t="shared" si="56"/>
        <v>10199.11</v>
      </c>
      <c r="X403" s="18">
        <f t="shared" ref="X403:X466" si="64">IF(P403="折扣",V403*Q403,IF(P403="返现",V403,V403/(1+Q403)))</f>
        <v>102745.97058823529</v>
      </c>
      <c r="Y403" s="13">
        <f t="shared" si="59"/>
        <v>45408.3597344679</v>
      </c>
      <c r="Z403" s="14">
        <v>0</v>
      </c>
      <c r="AA403" s="4">
        <v>0</v>
      </c>
      <c r="AB403" s="4">
        <f t="shared" si="60"/>
        <v>102745.97058823529</v>
      </c>
      <c r="AC403" s="6">
        <f t="shared" si="61"/>
        <v>2054.919411764713</v>
      </c>
      <c r="AD403" s="18">
        <f t="shared" si="57"/>
        <v>57337.610853767386</v>
      </c>
      <c r="AE403" s="2">
        <v>7.0000000000000007E-2</v>
      </c>
      <c r="AF403" s="5">
        <f t="shared" si="62"/>
        <v>4013.6327597637173</v>
      </c>
      <c r="AG403" s="14">
        <v>0</v>
      </c>
      <c r="AH403" s="10">
        <f t="shared" si="58"/>
        <v>104800.89</v>
      </c>
      <c r="AI403" s="16"/>
      <c r="AJ403" s="126" t="e">
        <v>#N/A</v>
      </c>
      <c r="AK403" s="80">
        <f t="shared" si="63"/>
        <v>0</v>
      </c>
      <c r="AM403" s="85"/>
    </row>
    <row r="404" spans="1:39" hidden="1" x14ac:dyDescent="0.3">
      <c r="A404" s="85" t="s">
        <v>34</v>
      </c>
      <c r="B404" s="15" t="s">
        <v>35</v>
      </c>
      <c r="C404" s="15" t="s">
        <v>36</v>
      </c>
      <c r="D404" s="15" t="s">
        <v>37</v>
      </c>
      <c r="E404" s="15" t="s">
        <v>222</v>
      </c>
      <c r="F404" s="15" t="s">
        <v>462</v>
      </c>
      <c r="G404" s="15" t="s">
        <v>222</v>
      </c>
      <c r="H404" s="154"/>
      <c r="I404" s="15" t="s">
        <v>408</v>
      </c>
      <c r="J404" s="1" t="s">
        <v>3324</v>
      </c>
      <c r="K404" s="1" t="s">
        <v>3278</v>
      </c>
      <c r="L404" s="1" t="s">
        <v>35</v>
      </c>
      <c r="M404" s="15" t="s">
        <v>463</v>
      </c>
      <c r="N404" s="15"/>
      <c r="O404" s="8" t="s">
        <v>410</v>
      </c>
      <c r="P404" s="8" t="s">
        <v>41</v>
      </c>
      <c r="Q404" s="14">
        <v>0</v>
      </c>
      <c r="R404" s="139">
        <v>1000099143</v>
      </c>
      <c r="S404" s="15"/>
      <c r="T404" s="6">
        <v>0</v>
      </c>
      <c r="U404" s="6">
        <v>20000</v>
      </c>
      <c r="V404" s="6">
        <v>20000</v>
      </c>
      <c r="W404" s="18">
        <f t="shared" ref="W404:W467" si="65">T404+U404-V404</f>
        <v>0</v>
      </c>
      <c r="X404" s="18">
        <f t="shared" si="64"/>
        <v>20000</v>
      </c>
      <c r="Y404" s="13">
        <f t="shared" si="59"/>
        <v>9057.8007774996204</v>
      </c>
      <c r="Z404" s="14">
        <v>0</v>
      </c>
      <c r="AA404" s="4">
        <v>0</v>
      </c>
      <c r="AB404" s="4">
        <f t="shared" si="60"/>
        <v>20000</v>
      </c>
      <c r="AC404" s="6">
        <f t="shared" si="61"/>
        <v>0</v>
      </c>
      <c r="AD404" s="18">
        <f t="shared" si="57"/>
        <v>10942.19922250038</v>
      </c>
      <c r="AE404" s="2">
        <v>7.0000000000000007E-2</v>
      </c>
      <c r="AF404" s="5">
        <f t="shared" si="62"/>
        <v>765.95394557502664</v>
      </c>
      <c r="AG404" s="14">
        <v>0</v>
      </c>
      <c r="AH404" s="10">
        <f t="shared" si="58"/>
        <v>20000</v>
      </c>
      <c r="AI404" s="16"/>
      <c r="AJ404" s="126" t="e">
        <v>#N/A</v>
      </c>
      <c r="AK404" s="80">
        <f t="shared" si="63"/>
        <v>0</v>
      </c>
      <c r="AM404" s="85"/>
    </row>
    <row r="405" spans="1:39" hidden="1" x14ac:dyDescent="0.3">
      <c r="A405" s="85" t="s">
        <v>34</v>
      </c>
      <c r="B405" s="15" t="s">
        <v>35</v>
      </c>
      <c r="C405" s="15" t="s">
        <v>36</v>
      </c>
      <c r="D405" s="15" t="s">
        <v>37</v>
      </c>
      <c r="E405" s="15" t="s">
        <v>464</v>
      </c>
      <c r="F405" s="15" t="s">
        <v>464</v>
      </c>
      <c r="G405" s="15" t="s">
        <v>464</v>
      </c>
      <c r="H405" s="154"/>
      <c r="I405" s="15" t="s">
        <v>408</v>
      </c>
      <c r="J405" s="1" t="s">
        <v>3324</v>
      </c>
      <c r="K405" s="1" t="s">
        <v>3278</v>
      </c>
      <c r="L405" s="1" t="s">
        <v>35</v>
      </c>
      <c r="M405" s="15" t="s">
        <v>465</v>
      </c>
      <c r="N405" s="15"/>
      <c r="O405" s="8" t="s">
        <v>410</v>
      </c>
      <c r="P405" s="8" t="s">
        <v>41</v>
      </c>
      <c r="Q405" s="14">
        <v>0</v>
      </c>
      <c r="R405" s="139">
        <v>1000100117</v>
      </c>
      <c r="S405" s="15"/>
      <c r="T405" s="6">
        <v>0</v>
      </c>
      <c r="U405" s="6">
        <v>20000</v>
      </c>
      <c r="V405" s="6">
        <v>13874.939999999999</v>
      </c>
      <c r="W405" s="18">
        <f t="shared" si="65"/>
        <v>6125.0600000000013</v>
      </c>
      <c r="X405" s="18">
        <f t="shared" si="64"/>
        <v>13874.939999999999</v>
      </c>
      <c r="Y405" s="13">
        <f t="shared" si="59"/>
        <v>6283.8221159880286</v>
      </c>
      <c r="Z405" s="14">
        <v>0</v>
      </c>
      <c r="AA405" s="4">
        <v>0</v>
      </c>
      <c r="AB405" s="4">
        <f t="shared" si="60"/>
        <v>13874.939999999999</v>
      </c>
      <c r="AC405" s="6">
        <f t="shared" si="61"/>
        <v>0</v>
      </c>
      <c r="AD405" s="18">
        <f t="shared" si="57"/>
        <v>7591.1178840119701</v>
      </c>
      <c r="AE405" s="2">
        <v>7.0000000000000007E-2</v>
      </c>
      <c r="AF405" s="5">
        <f t="shared" si="62"/>
        <v>531.37825188083798</v>
      </c>
      <c r="AG405" s="14">
        <v>0</v>
      </c>
      <c r="AH405" s="10">
        <f t="shared" si="58"/>
        <v>13874.939999999999</v>
      </c>
      <c r="AI405" s="16"/>
      <c r="AJ405" s="126" t="e">
        <v>#N/A</v>
      </c>
      <c r="AK405" s="80">
        <f t="shared" si="63"/>
        <v>0</v>
      </c>
      <c r="AM405" s="85"/>
    </row>
    <row r="406" spans="1:39" hidden="1" x14ac:dyDescent="0.3">
      <c r="A406" s="85" t="s">
        <v>34</v>
      </c>
      <c r="B406" s="15" t="s">
        <v>35</v>
      </c>
      <c r="C406" s="15" t="s">
        <v>36</v>
      </c>
      <c r="D406" s="15" t="s">
        <v>37</v>
      </c>
      <c r="E406" s="15" t="s">
        <v>466</v>
      </c>
      <c r="F406" s="15" t="s">
        <v>466</v>
      </c>
      <c r="G406" s="15" t="s">
        <v>466</v>
      </c>
      <c r="H406" s="139"/>
      <c r="I406" s="15" t="s">
        <v>408</v>
      </c>
      <c r="J406" s="1" t="s">
        <v>3324</v>
      </c>
      <c r="K406" s="1" t="s">
        <v>3278</v>
      </c>
      <c r="L406" s="1" t="s">
        <v>35</v>
      </c>
      <c r="M406" s="15" t="s">
        <v>467</v>
      </c>
      <c r="N406" s="15"/>
      <c r="O406" s="8" t="s">
        <v>45</v>
      </c>
      <c r="P406" s="8" t="s">
        <v>246</v>
      </c>
      <c r="Q406" s="14">
        <v>0</v>
      </c>
      <c r="R406" s="139">
        <v>1000054997</v>
      </c>
      <c r="S406" s="15"/>
      <c r="T406" s="6">
        <v>0</v>
      </c>
      <c r="U406" s="6">
        <v>0</v>
      </c>
      <c r="V406" s="6">
        <v>0</v>
      </c>
      <c r="W406" s="18">
        <f t="shared" si="65"/>
        <v>0</v>
      </c>
      <c r="X406" s="18">
        <f t="shared" si="64"/>
        <v>0</v>
      </c>
      <c r="Y406" s="13">
        <f t="shared" si="59"/>
        <v>0</v>
      </c>
      <c r="Z406" s="14">
        <v>0</v>
      </c>
      <c r="AA406" s="4">
        <v>0</v>
      </c>
      <c r="AB406" s="4"/>
      <c r="AC406" s="6">
        <f t="shared" si="61"/>
        <v>0</v>
      </c>
      <c r="AD406" s="18">
        <f t="shared" si="57"/>
        <v>0</v>
      </c>
      <c r="AE406" s="2">
        <v>0.12</v>
      </c>
      <c r="AF406" s="5">
        <f t="shared" si="62"/>
        <v>0</v>
      </c>
      <c r="AG406" s="14">
        <v>0</v>
      </c>
      <c r="AH406" s="10">
        <f t="shared" si="58"/>
        <v>0</v>
      </c>
      <c r="AI406" s="16"/>
      <c r="AJ406" s="126">
        <v>96</v>
      </c>
      <c r="AK406" s="80">
        <f t="shared" si="63"/>
        <v>0</v>
      </c>
      <c r="AM406" s="85"/>
    </row>
    <row r="407" spans="1:39" hidden="1" x14ac:dyDescent="0.3">
      <c r="A407" s="85" t="s">
        <v>34</v>
      </c>
      <c r="B407" s="15" t="s">
        <v>35</v>
      </c>
      <c r="C407" s="15" t="s">
        <v>36</v>
      </c>
      <c r="D407" s="15" t="s">
        <v>37</v>
      </c>
      <c r="E407" s="15" t="s">
        <v>466</v>
      </c>
      <c r="F407" s="15" t="s">
        <v>466</v>
      </c>
      <c r="G407" s="15" t="s">
        <v>466</v>
      </c>
      <c r="H407" s="139"/>
      <c r="I407" s="15" t="s">
        <v>408</v>
      </c>
      <c r="J407" s="1" t="s">
        <v>3324</v>
      </c>
      <c r="K407" s="1" t="s">
        <v>3278</v>
      </c>
      <c r="L407" s="1" t="s">
        <v>35</v>
      </c>
      <c r="M407" s="15" t="s">
        <v>467</v>
      </c>
      <c r="N407" s="15"/>
      <c r="O407" s="8" t="s">
        <v>410</v>
      </c>
      <c r="P407" s="8" t="s">
        <v>246</v>
      </c>
      <c r="Q407" s="14">
        <v>0</v>
      </c>
      <c r="R407" s="139">
        <v>1000054997</v>
      </c>
      <c r="S407" s="15"/>
      <c r="T407" s="6">
        <v>0</v>
      </c>
      <c r="U407" s="6">
        <v>0</v>
      </c>
      <c r="V407" s="6">
        <v>0</v>
      </c>
      <c r="W407" s="18">
        <f t="shared" si="65"/>
        <v>0</v>
      </c>
      <c r="X407" s="18">
        <f t="shared" si="64"/>
        <v>0</v>
      </c>
      <c r="Y407" s="13">
        <f t="shared" si="59"/>
        <v>0</v>
      </c>
      <c r="Z407" s="14">
        <v>0</v>
      </c>
      <c r="AA407" s="4">
        <v>0</v>
      </c>
      <c r="AB407" s="4"/>
      <c r="AC407" s="6">
        <f t="shared" si="61"/>
        <v>0</v>
      </c>
      <c r="AD407" s="18">
        <f t="shared" si="57"/>
        <v>0</v>
      </c>
      <c r="AE407" s="2">
        <v>7.0000000000000007E-2</v>
      </c>
      <c r="AF407" s="5">
        <f t="shared" si="62"/>
        <v>0</v>
      </c>
      <c r="AG407" s="14">
        <v>0</v>
      </c>
      <c r="AH407" s="10">
        <f t="shared" si="58"/>
        <v>0</v>
      </c>
      <c r="AI407" s="16"/>
      <c r="AJ407" s="126">
        <v>96</v>
      </c>
      <c r="AK407" s="80">
        <f t="shared" si="63"/>
        <v>0</v>
      </c>
      <c r="AM407" s="85"/>
    </row>
    <row r="408" spans="1:39" hidden="1" x14ac:dyDescent="0.3">
      <c r="A408" s="85" t="s">
        <v>34</v>
      </c>
      <c r="B408" s="15" t="s">
        <v>35</v>
      </c>
      <c r="C408" s="15" t="s">
        <v>36</v>
      </c>
      <c r="D408" s="15" t="s">
        <v>37</v>
      </c>
      <c r="E408" s="15" t="s">
        <v>466</v>
      </c>
      <c r="F408" s="15" t="s">
        <v>466</v>
      </c>
      <c r="G408" s="15" t="s">
        <v>466</v>
      </c>
      <c r="H408" s="139"/>
      <c r="I408" s="15" t="s">
        <v>408</v>
      </c>
      <c r="J408" s="1" t="s">
        <v>3324</v>
      </c>
      <c r="K408" s="1" t="s">
        <v>3278</v>
      </c>
      <c r="L408" s="1" t="s">
        <v>35</v>
      </c>
      <c r="M408" s="15" t="s">
        <v>468</v>
      </c>
      <c r="N408" s="15"/>
      <c r="O408" s="8" t="s">
        <v>410</v>
      </c>
      <c r="P408" s="8" t="s">
        <v>246</v>
      </c>
      <c r="Q408" s="14">
        <v>0</v>
      </c>
      <c r="R408" s="139">
        <v>1000073642</v>
      </c>
      <c r="S408" s="15"/>
      <c r="T408" s="6">
        <v>27258.1</v>
      </c>
      <c r="U408" s="6">
        <v>-7258.0999999999995</v>
      </c>
      <c r="V408" s="6">
        <v>0</v>
      </c>
      <c r="W408" s="18">
        <f t="shared" si="65"/>
        <v>20000</v>
      </c>
      <c r="X408" s="18">
        <f t="shared" si="64"/>
        <v>0</v>
      </c>
      <c r="Y408" s="13">
        <f t="shared" si="59"/>
        <v>0</v>
      </c>
      <c r="Z408" s="14">
        <v>0</v>
      </c>
      <c r="AA408" s="4">
        <v>0</v>
      </c>
      <c r="AB408" s="4"/>
      <c r="AC408" s="6">
        <f t="shared" si="61"/>
        <v>0</v>
      </c>
      <c r="AD408" s="18">
        <f t="shared" si="57"/>
        <v>0</v>
      </c>
      <c r="AE408" s="2">
        <v>7.0000000000000007E-2</v>
      </c>
      <c r="AF408" s="5">
        <f t="shared" si="62"/>
        <v>0</v>
      </c>
      <c r="AG408" s="14">
        <v>0</v>
      </c>
      <c r="AH408" s="10">
        <f t="shared" si="58"/>
        <v>0</v>
      </c>
      <c r="AI408" s="16"/>
      <c r="AJ408" s="126">
        <v>96</v>
      </c>
      <c r="AK408" s="80">
        <f t="shared" si="63"/>
        <v>0</v>
      </c>
      <c r="AM408" s="85"/>
    </row>
    <row r="409" spans="1:39" hidden="1" x14ac:dyDescent="0.3">
      <c r="A409" s="85" t="s">
        <v>34</v>
      </c>
      <c r="B409" s="15" t="s">
        <v>35</v>
      </c>
      <c r="C409" s="15" t="s">
        <v>65</v>
      </c>
      <c r="D409" s="15" t="s">
        <v>66</v>
      </c>
      <c r="E409" s="15" t="s">
        <v>469</v>
      </c>
      <c r="F409" s="15" t="s">
        <v>469</v>
      </c>
      <c r="G409" s="15" t="s">
        <v>469</v>
      </c>
      <c r="H409" s="154"/>
      <c r="I409" s="15" t="s">
        <v>408</v>
      </c>
      <c r="J409" s="1" t="s">
        <v>3324</v>
      </c>
      <c r="K409" s="1" t="s">
        <v>3278</v>
      </c>
      <c r="L409" s="1" t="s">
        <v>35</v>
      </c>
      <c r="M409" s="15" t="s">
        <v>469</v>
      </c>
      <c r="N409" s="15"/>
      <c r="O409" s="8" t="s">
        <v>410</v>
      </c>
      <c r="P409" s="8" t="s">
        <v>41</v>
      </c>
      <c r="Q409" s="14">
        <v>0</v>
      </c>
      <c r="R409" s="139">
        <v>1000048227</v>
      </c>
      <c r="S409" s="15"/>
      <c r="T409" s="6">
        <v>0</v>
      </c>
      <c r="U409" s="6">
        <v>400000</v>
      </c>
      <c r="V409" s="6">
        <v>306458.95000000007</v>
      </c>
      <c r="W409" s="18">
        <f t="shared" si="65"/>
        <v>93541.04999999993</v>
      </c>
      <c r="X409" s="18">
        <f t="shared" si="64"/>
        <v>306458.95000000007</v>
      </c>
      <c r="Y409" s="13">
        <f t="shared" si="59"/>
        <v>138792.2057790859</v>
      </c>
      <c r="Z409" s="14">
        <v>0</v>
      </c>
      <c r="AA409" s="4">
        <v>0</v>
      </c>
      <c r="AB409" s="4">
        <f t="shared" si="60"/>
        <v>306458.95000000007</v>
      </c>
      <c r="AC409" s="6">
        <f t="shared" si="61"/>
        <v>0</v>
      </c>
      <c r="AD409" s="18">
        <f t="shared" si="57"/>
        <v>167666.74422091417</v>
      </c>
      <c r="AE409" s="2">
        <v>7.0000000000000007E-2</v>
      </c>
      <c r="AF409" s="5">
        <f t="shared" si="62"/>
        <v>11736.672095463993</v>
      </c>
      <c r="AG409" s="14">
        <v>0</v>
      </c>
      <c r="AH409" s="10">
        <f t="shared" si="58"/>
        <v>306458.95000000007</v>
      </c>
      <c r="AI409" s="16"/>
      <c r="AJ409" s="126" t="e">
        <v>#N/A</v>
      </c>
      <c r="AK409" s="80">
        <f t="shared" si="63"/>
        <v>0</v>
      </c>
      <c r="AM409" s="85"/>
    </row>
    <row r="410" spans="1:39" hidden="1" x14ac:dyDescent="0.3">
      <c r="A410" s="85" t="s">
        <v>34</v>
      </c>
      <c r="B410" s="15" t="s">
        <v>35</v>
      </c>
      <c r="C410" s="15" t="s">
        <v>65</v>
      </c>
      <c r="D410" s="15" t="s">
        <v>66</v>
      </c>
      <c r="E410" s="15" t="s">
        <v>470</v>
      </c>
      <c r="F410" s="15" t="s">
        <v>470</v>
      </c>
      <c r="G410" s="15" t="s">
        <v>470</v>
      </c>
      <c r="H410" s="154"/>
      <c r="I410" s="15" t="s">
        <v>408</v>
      </c>
      <c r="J410" s="1" t="s">
        <v>3324</v>
      </c>
      <c r="K410" s="1" t="s">
        <v>3278</v>
      </c>
      <c r="L410" s="1" t="s">
        <v>35</v>
      </c>
      <c r="M410" s="15" t="s">
        <v>471</v>
      </c>
      <c r="N410" s="15"/>
      <c r="O410" s="8" t="s">
        <v>45</v>
      </c>
      <c r="P410" s="8" t="s">
        <v>46</v>
      </c>
      <c r="Q410" s="14">
        <v>0.04</v>
      </c>
      <c r="R410" s="139">
        <v>1000094032</v>
      </c>
      <c r="S410" s="15"/>
      <c r="T410" s="6">
        <v>-534.72</v>
      </c>
      <c r="U410" s="6">
        <v>20400</v>
      </c>
      <c r="V410" s="6">
        <v>6081.619999999999</v>
      </c>
      <c r="W410" s="18">
        <f t="shared" si="65"/>
        <v>13783.66</v>
      </c>
      <c r="X410" s="18">
        <f t="shared" si="64"/>
        <v>5847.7115384615372</v>
      </c>
      <c r="Y410" s="13">
        <f t="shared" si="59"/>
        <v>2520.3966566843997</v>
      </c>
      <c r="Z410" s="14">
        <v>0</v>
      </c>
      <c r="AA410" s="4">
        <v>0</v>
      </c>
      <c r="AB410" s="4">
        <f t="shared" si="60"/>
        <v>5847.7115384615372</v>
      </c>
      <c r="AC410" s="6">
        <f t="shared" si="61"/>
        <v>233.90846153846178</v>
      </c>
      <c r="AD410" s="18">
        <f t="shared" si="57"/>
        <v>3327.3148817771375</v>
      </c>
      <c r="AE410" s="2">
        <v>0.12</v>
      </c>
      <c r="AF410" s="5">
        <f t="shared" si="62"/>
        <v>399.27778581325651</v>
      </c>
      <c r="AG410" s="14">
        <v>0</v>
      </c>
      <c r="AH410" s="10">
        <f t="shared" si="58"/>
        <v>6081.619999999999</v>
      </c>
      <c r="AI410" s="16"/>
      <c r="AJ410" s="126" t="e">
        <v>#N/A</v>
      </c>
      <c r="AK410" s="80">
        <f t="shared" si="63"/>
        <v>0</v>
      </c>
      <c r="AM410" s="85"/>
    </row>
    <row r="411" spans="1:39" hidden="1" x14ac:dyDescent="0.3">
      <c r="A411" s="85" t="s">
        <v>34</v>
      </c>
      <c r="B411" s="15" t="s">
        <v>35</v>
      </c>
      <c r="C411" s="15" t="s">
        <v>65</v>
      </c>
      <c r="D411" s="15" t="s">
        <v>66</v>
      </c>
      <c r="E411" s="15" t="s">
        <v>470</v>
      </c>
      <c r="F411" s="15" t="s">
        <v>470</v>
      </c>
      <c r="G411" s="15" t="s">
        <v>470</v>
      </c>
      <c r="H411" s="154"/>
      <c r="I411" s="15" t="s">
        <v>408</v>
      </c>
      <c r="J411" s="1" t="s">
        <v>3324</v>
      </c>
      <c r="K411" s="1" t="s">
        <v>3278</v>
      </c>
      <c r="L411" s="1" t="s">
        <v>35</v>
      </c>
      <c r="M411" s="15" t="s">
        <v>472</v>
      </c>
      <c r="N411" s="15"/>
      <c r="O411" s="8" t="s">
        <v>410</v>
      </c>
      <c r="P411" s="8" t="s">
        <v>46</v>
      </c>
      <c r="Q411" s="14">
        <v>0.02</v>
      </c>
      <c r="R411" s="139">
        <v>1000094031</v>
      </c>
      <c r="S411" s="15"/>
      <c r="T411" s="6">
        <v>8860.6299999999901</v>
      </c>
      <c r="U411" s="6">
        <v>200915.77000000002</v>
      </c>
      <c r="V411" s="6">
        <v>153551.81999999995</v>
      </c>
      <c r="W411" s="18">
        <f t="shared" si="65"/>
        <v>56224.580000000075</v>
      </c>
      <c r="X411" s="18">
        <f t="shared" si="64"/>
        <v>150540.99999999994</v>
      </c>
      <c r="Y411" s="13">
        <f t="shared" si="59"/>
        <v>66531.269729124062</v>
      </c>
      <c r="Z411" s="14">
        <v>0</v>
      </c>
      <c r="AA411" s="4">
        <v>0</v>
      </c>
      <c r="AB411" s="4">
        <f t="shared" si="60"/>
        <v>150540.99999999994</v>
      </c>
      <c r="AC411" s="6">
        <f t="shared" si="61"/>
        <v>3010.820000000007</v>
      </c>
      <c r="AD411" s="18">
        <f t="shared" si="57"/>
        <v>84009.73027087588</v>
      </c>
      <c r="AE411" s="2">
        <v>7.0000000000000007E-2</v>
      </c>
      <c r="AF411" s="5">
        <f t="shared" si="62"/>
        <v>5880.6811189613118</v>
      </c>
      <c r="AG411" s="14">
        <v>0</v>
      </c>
      <c r="AH411" s="10">
        <f t="shared" si="58"/>
        <v>153551.81999999995</v>
      </c>
      <c r="AI411" s="16"/>
      <c r="AJ411" s="126" t="e">
        <v>#N/A</v>
      </c>
      <c r="AK411" s="80">
        <f t="shared" si="63"/>
        <v>0</v>
      </c>
      <c r="AM411" s="85"/>
    </row>
    <row r="412" spans="1:39" hidden="1" x14ac:dyDescent="0.3">
      <c r="A412" s="85" t="s">
        <v>34</v>
      </c>
      <c r="B412" s="15" t="s">
        <v>35</v>
      </c>
      <c r="C412" s="15" t="s">
        <v>65</v>
      </c>
      <c r="D412" s="15" t="s">
        <v>66</v>
      </c>
      <c r="E412" s="15" t="s">
        <v>473</v>
      </c>
      <c r="F412" s="15" t="s">
        <v>473</v>
      </c>
      <c r="G412" s="15" t="s">
        <v>473</v>
      </c>
      <c r="H412" s="154"/>
      <c r="I412" s="15" t="s">
        <v>408</v>
      </c>
      <c r="J412" s="1" t="s">
        <v>3324</v>
      </c>
      <c r="K412" s="1" t="s">
        <v>3278</v>
      </c>
      <c r="L412" s="1" t="s">
        <v>35</v>
      </c>
      <c r="M412" s="15" t="s">
        <v>474</v>
      </c>
      <c r="N412" s="15"/>
      <c r="O412" s="8" t="s">
        <v>410</v>
      </c>
      <c r="P412" s="8" t="s">
        <v>41</v>
      </c>
      <c r="Q412" s="14">
        <v>0</v>
      </c>
      <c r="R412" s="139">
        <v>1000057798</v>
      </c>
      <c r="S412" s="15"/>
      <c r="T412" s="6">
        <v>0</v>
      </c>
      <c r="U412" s="6">
        <v>400000</v>
      </c>
      <c r="V412" s="6">
        <v>304597.10999999993</v>
      </c>
      <c r="W412" s="18">
        <f t="shared" si="65"/>
        <v>95402.890000000072</v>
      </c>
      <c r="X412" s="18">
        <f t="shared" si="64"/>
        <v>304597.10999999993</v>
      </c>
      <c r="Y412" s="13">
        <f t="shared" si="59"/>
        <v>137948.99698910685</v>
      </c>
      <c r="Z412" s="14">
        <v>0</v>
      </c>
      <c r="AA412" s="4">
        <v>0</v>
      </c>
      <c r="AB412" s="4">
        <f t="shared" si="60"/>
        <v>304597.10999999993</v>
      </c>
      <c r="AC412" s="6">
        <f t="shared" si="61"/>
        <v>0</v>
      </c>
      <c r="AD412" s="18">
        <f t="shared" si="57"/>
        <v>166648.11301089308</v>
      </c>
      <c r="AE412" s="2">
        <v>7.0000000000000007E-2</v>
      </c>
      <c r="AF412" s="5">
        <f t="shared" si="62"/>
        <v>11665.367910762518</v>
      </c>
      <c r="AG412" s="14">
        <v>0</v>
      </c>
      <c r="AH412" s="10">
        <f t="shared" si="58"/>
        <v>304597.10999999993</v>
      </c>
      <c r="AI412" s="16"/>
      <c r="AJ412" s="126" t="e">
        <v>#N/A</v>
      </c>
      <c r="AK412" s="80">
        <f t="shared" si="63"/>
        <v>0</v>
      </c>
      <c r="AM412" s="85"/>
    </row>
    <row r="413" spans="1:39" hidden="1" x14ac:dyDescent="0.3">
      <c r="A413" s="85" t="s">
        <v>34</v>
      </c>
      <c r="B413" s="15" t="s">
        <v>35</v>
      </c>
      <c r="C413" s="15" t="s">
        <v>65</v>
      </c>
      <c r="D413" s="15" t="s">
        <v>66</v>
      </c>
      <c r="E413" s="15" t="s">
        <v>473</v>
      </c>
      <c r="F413" s="15" t="s">
        <v>473</v>
      </c>
      <c r="G413" s="15" t="s">
        <v>473</v>
      </c>
      <c r="H413" s="154"/>
      <c r="I413" s="15" t="s">
        <v>408</v>
      </c>
      <c r="J413" s="1" t="s">
        <v>3324</v>
      </c>
      <c r="K413" s="1" t="s">
        <v>3278</v>
      </c>
      <c r="L413" s="1" t="s">
        <v>35</v>
      </c>
      <c r="M413" s="15" t="s">
        <v>475</v>
      </c>
      <c r="N413" s="15"/>
      <c r="O413" s="8" t="s">
        <v>410</v>
      </c>
      <c r="P413" s="8" t="s">
        <v>41</v>
      </c>
      <c r="Q413" s="14">
        <v>0</v>
      </c>
      <c r="R413" s="139">
        <v>1000054594</v>
      </c>
      <c r="S413" s="15"/>
      <c r="T413" s="6">
        <v>0</v>
      </c>
      <c r="U413" s="6">
        <v>500000</v>
      </c>
      <c r="V413" s="6">
        <v>473009.27</v>
      </c>
      <c r="W413" s="18">
        <f t="shared" si="65"/>
        <v>26990.729999999981</v>
      </c>
      <c r="X413" s="18">
        <f t="shared" si="64"/>
        <v>473009.27</v>
      </c>
      <c r="Y413" s="13">
        <f t="shared" si="59"/>
        <v>214221.1866785264</v>
      </c>
      <c r="Z413" s="14">
        <v>0</v>
      </c>
      <c r="AA413" s="4">
        <v>0</v>
      </c>
      <c r="AB413" s="4">
        <f t="shared" si="60"/>
        <v>473009.27</v>
      </c>
      <c r="AC413" s="6">
        <f t="shared" si="61"/>
        <v>0</v>
      </c>
      <c r="AD413" s="18">
        <f t="shared" si="57"/>
        <v>258788.08332147362</v>
      </c>
      <c r="AE413" s="2">
        <v>7.0000000000000007E-2</v>
      </c>
      <c r="AF413" s="5">
        <f t="shared" si="62"/>
        <v>18115.165832503157</v>
      </c>
      <c r="AG413" s="14">
        <v>0</v>
      </c>
      <c r="AH413" s="10">
        <f t="shared" si="58"/>
        <v>473009.27</v>
      </c>
      <c r="AI413" s="16"/>
      <c r="AJ413" s="126" t="e">
        <v>#N/A</v>
      </c>
      <c r="AK413" s="80">
        <f t="shared" si="63"/>
        <v>0</v>
      </c>
      <c r="AM413" s="85"/>
    </row>
    <row r="414" spans="1:39" hidden="1" x14ac:dyDescent="0.3">
      <c r="A414" s="85" t="s">
        <v>34</v>
      </c>
      <c r="B414" s="15" t="s">
        <v>35</v>
      </c>
      <c r="C414" s="15" t="s">
        <v>65</v>
      </c>
      <c r="D414" s="15" t="s">
        <v>66</v>
      </c>
      <c r="E414" s="15" t="s">
        <v>473</v>
      </c>
      <c r="F414" s="15" t="s">
        <v>473</v>
      </c>
      <c r="G414" s="15" t="s">
        <v>473</v>
      </c>
      <c r="H414" s="139"/>
      <c r="I414" s="15" t="s">
        <v>408</v>
      </c>
      <c r="J414" s="1" t="s">
        <v>3324</v>
      </c>
      <c r="K414" s="1" t="s">
        <v>3278</v>
      </c>
      <c r="L414" s="1" t="s">
        <v>35</v>
      </c>
      <c r="M414" s="15" t="s">
        <v>476</v>
      </c>
      <c r="N414" s="15"/>
      <c r="O414" s="8" t="s">
        <v>410</v>
      </c>
      <c r="P414" s="8" t="s">
        <v>41</v>
      </c>
      <c r="Q414" s="14">
        <v>0</v>
      </c>
      <c r="R414" s="139">
        <v>1000059941</v>
      </c>
      <c r="S414" s="15"/>
      <c r="T414" s="6">
        <v>0</v>
      </c>
      <c r="U414" s="6">
        <v>50000</v>
      </c>
      <c r="V414" s="6">
        <v>0</v>
      </c>
      <c r="W414" s="18">
        <f t="shared" si="65"/>
        <v>50000</v>
      </c>
      <c r="X414" s="18">
        <f t="shared" si="64"/>
        <v>0</v>
      </c>
      <c r="Y414" s="13">
        <f t="shared" si="59"/>
        <v>0</v>
      </c>
      <c r="Z414" s="14">
        <v>0</v>
      </c>
      <c r="AA414" s="4">
        <v>0</v>
      </c>
      <c r="AB414" s="4">
        <f t="shared" si="60"/>
        <v>0</v>
      </c>
      <c r="AC414" s="6">
        <f t="shared" si="61"/>
        <v>0</v>
      </c>
      <c r="AD414" s="18">
        <f t="shared" si="57"/>
        <v>0</v>
      </c>
      <c r="AE414" s="2">
        <v>7.0000000000000007E-2</v>
      </c>
      <c r="AF414" s="5">
        <f t="shared" si="62"/>
        <v>0</v>
      </c>
      <c r="AG414" s="14">
        <v>0</v>
      </c>
      <c r="AH414" s="10">
        <f t="shared" si="58"/>
        <v>0</v>
      </c>
      <c r="AI414" s="16"/>
      <c r="AJ414" s="126" t="e">
        <v>#N/A</v>
      </c>
      <c r="AK414" s="80">
        <f t="shared" si="63"/>
        <v>0</v>
      </c>
      <c r="AM414" s="85"/>
    </row>
    <row r="415" spans="1:39" hidden="1" x14ac:dyDescent="0.3">
      <c r="A415" s="85" t="s">
        <v>34</v>
      </c>
      <c r="B415" s="15" t="s">
        <v>35</v>
      </c>
      <c r="C415" s="15" t="s">
        <v>65</v>
      </c>
      <c r="D415" s="15" t="s">
        <v>66</v>
      </c>
      <c r="E415" s="15" t="s">
        <v>473</v>
      </c>
      <c r="F415" s="15" t="s">
        <v>473</v>
      </c>
      <c r="G415" s="15" t="s">
        <v>473</v>
      </c>
      <c r="H415" s="154"/>
      <c r="I415" s="15" t="s">
        <v>408</v>
      </c>
      <c r="J415" s="1" t="s">
        <v>3324</v>
      </c>
      <c r="K415" s="1" t="s">
        <v>3278</v>
      </c>
      <c r="L415" s="1" t="s">
        <v>35</v>
      </c>
      <c r="M415" s="15" t="s">
        <v>477</v>
      </c>
      <c r="N415" s="15"/>
      <c r="O415" s="8" t="s">
        <v>45</v>
      </c>
      <c r="P415" s="8" t="s">
        <v>41</v>
      </c>
      <c r="Q415" s="14">
        <v>0</v>
      </c>
      <c r="R415" s="139">
        <v>1000100635</v>
      </c>
      <c r="S415" s="15"/>
      <c r="T415" s="6">
        <v>0</v>
      </c>
      <c r="U415" s="6">
        <v>20000</v>
      </c>
      <c r="V415" s="6">
        <v>886.89</v>
      </c>
      <c r="W415" s="18">
        <f t="shared" si="65"/>
        <v>19113.11</v>
      </c>
      <c r="X415" s="18">
        <f t="shared" si="64"/>
        <v>886.89</v>
      </c>
      <c r="Y415" s="13">
        <f t="shared" si="59"/>
        <v>401.66364657783191</v>
      </c>
      <c r="Z415" s="14">
        <v>0</v>
      </c>
      <c r="AA415" s="4">
        <v>0</v>
      </c>
      <c r="AB415" s="4">
        <f t="shared" si="60"/>
        <v>886.89</v>
      </c>
      <c r="AC415" s="6">
        <f t="shared" si="61"/>
        <v>0</v>
      </c>
      <c r="AD415" s="18">
        <f t="shared" si="57"/>
        <v>485.22635342216807</v>
      </c>
      <c r="AE415" s="2">
        <v>0.12</v>
      </c>
      <c r="AF415" s="5">
        <f t="shared" si="62"/>
        <v>58.227162410660164</v>
      </c>
      <c r="AG415" s="14">
        <v>0</v>
      </c>
      <c r="AH415" s="10">
        <f t="shared" si="58"/>
        <v>886.89</v>
      </c>
      <c r="AI415" s="16"/>
      <c r="AJ415" s="126" t="e">
        <v>#N/A</v>
      </c>
      <c r="AK415" s="80">
        <f t="shared" si="63"/>
        <v>0</v>
      </c>
      <c r="AM415" s="85"/>
    </row>
    <row r="416" spans="1:39" hidden="1" x14ac:dyDescent="0.3">
      <c r="A416" s="85" t="s">
        <v>34</v>
      </c>
      <c r="B416" s="15" t="s">
        <v>35</v>
      </c>
      <c r="C416" s="15" t="s">
        <v>65</v>
      </c>
      <c r="D416" s="15" t="s">
        <v>66</v>
      </c>
      <c r="E416" s="15" t="s">
        <v>473</v>
      </c>
      <c r="F416" s="15" t="s">
        <v>473</v>
      </c>
      <c r="G416" s="15" t="s">
        <v>473</v>
      </c>
      <c r="H416" s="139"/>
      <c r="I416" s="15" t="s">
        <v>408</v>
      </c>
      <c r="J416" s="1" t="s">
        <v>3324</v>
      </c>
      <c r="K416" s="1" t="s">
        <v>3278</v>
      </c>
      <c r="L416" s="1" t="s">
        <v>35</v>
      </c>
      <c r="M416" s="15" t="s">
        <v>478</v>
      </c>
      <c r="N416" s="15"/>
      <c r="O416" s="8" t="s">
        <v>45</v>
      </c>
      <c r="P416" s="8" t="s">
        <v>41</v>
      </c>
      <c r="Q416" s="14">
        <v>0</v>
      </c>
      <c r="R416" s="139">
        <v>1000096814</v>
      </c>
      <c r="S416" s="15"/>
      <c r="T416" s="6">
        <v>20000</v>
      </c>
      <c r="U416" s="6">
        <v>-20000</v>
      </c>
      <c r="V416" s="6">
        <v>0</v>
      </c>
      <c r="W416" s="18">
        <f t="shared" si="65"/>
        <v>0</v>
      </c>
      <c r="X416" s="18">
        <f t="shared" si="64"/>
        <v>0</v>
      </c>
      <c r="Y416" s="13">
        <f t="shared" si="59"/>
        <v>0</v>
      </c>
      <c r="Z416" s="14">
        <v>0</v>
      </c>
      <c r="AA416" s="4">
        <v>0</v>
      </c>
      <c r="AB416" s="4">
        <f t="shared" si="60"/>
        <v>0</v>
      </c>
      <c r="AC416" s="6">
        <f t="shared" si="61"/>
        <v>0</v>
      </c>
      <c r="AD416" s="18">
        <f t="shared" si="57"/>
        <v>0</v>
      </c>
      <c r="AE416" s="2">
        <v>0.12</v>
      </c>
      <c r="AF416" s="5">
        <f t="shared" si="62"/>
        <v>0</v>
      </c>
      <c r="AG416" s="14">
        <v>0</v>
      </c>
      <c r="AH416" s="10">
        <f t="shared" si="58"/>
        <v>0</v>
      </c>
      <c r="AI416" s="16"/>
      <c r="AJ416" s="126" t="e">
        <v>#N/A</v>
      </c>
      <c r="AK416" s="80">
        <f t="shared" si="63"/>
        <v>0</v>
      </c>
      <c r="AM416" s="85"/>
    </row>
    <row r="417" spans="1:39" hidden="1" x14ac:dyDescent="0.3">
      <c r="A417" s="85" t="s">
        <v>34</v>
      </c>
      <c r="B417" s="15" t="s">
        <v>35</v>
      </c>
      <c r="C417" s="15" t="s">
        <v>65</v>
      </c>
      <c r="D417" s="15" t="s">
        <v>66</v>
      </c>
      <c r="E417" s="15" t="s">
        <v>473</v>
      </c>
      <c r="F417" s="15" t="s">
        <v>473</v>
      </c>
      <c r="G417" s="15" t="s">
        <v>473</v>
      </c>
      <c r="H417" s="139"/>
      <c r="I417" s="15" t="s">
        <v>408</v>
      </c>
      <c r="J417" s="1" t="s">
        <v>3324</v>
      </c>
      <c r="K417" s="1" t="s">
        <v>3278</v>
      </c>
      <c r="L417" s="1" t="s">
        <v>35</v>
      </c>
      <c r="M417" s="15" t="s">
        <v>479</v>
      </c>
      <c r="N417" s="15"/>
      <c r="O417" s="8" t="s">
        <v>45</v>
      </c>
      <c r="P417" s="8" t="s">
        <v>41</v>
      </c>
      <c r="Q417" s="14">
        <v>0</v>
      </c>
      <c r="R417" s="139">
        <v>1000100637</v>
      </c>
      <c r="S417" s="15"/>
      <c r="T417" s="6">
        <v>0</v>
      </c>
      <c r="U417" s="6">
        <v>10000</v>
      </c>
      <c r="V417" s="6">
        <v>0</v>
      </c>
      <c r="W417" s="18">
        <f t="shared" si="65"/>
        <v>10000</v>
      </c>
      <c r="X417" s="18">
        <f t="shared" si="64"/>
        <v>0</v>
      </c>
      <c r="Y417" s="13">
        <f t="shared" si="59"/>
        <v>0</v>
      </c>
      <c r="Z417" s="14">
        <v>0</v>
      </c>
      <c r="AA417" s="4">
        <v>0</v>
      </c>
      <c r="AB417" s="4">
        <f t="shared" si="60"/>
        <v>0</v>
      </c>
      <c r="AC417" s="6">
        <f t="shared" si="61"/>
        <v>0</v>
      </c>
      <c r="AD417" s="18">
        <f t="shared" si="57"/>
        <v>0</v>
      </c>
      <c r="AE417" s="2">
        <v>0.12</v>
      </c>
      <c r="AF417" s="5">
        <f t="shared" si="62"/>
        <v>0</v>
      </c>
      <c r="AG417" s="14">
        <v>0</v>
      </c>
      <c r="AH417" s="10">
        <f t="shared" si="58"/>
        <v>0</v>
      </c>
      <c r="AI417" s="16"/>
      <c r="AJ417" s="126" t="e">
        <v>#N/A</v>
      </c>
      <c r="AK417" s="80">
        <f t="shared" si="63"/>
        <v>0</v>
      </c>
      <c r="AM417" s="85"/>
    </row>
    <row r="418" spans="1:39" hidden="1" x14ac:dyDescent="0.3">
      <c r="A418" s="85" t="s">
        <v>34</v>
      </c>
      <c r="B418" s="15" t="s">
        <v>35</v>
      </c>
      <c r="C418" s="15" t="s">
        <v>65</v>
      </c>
      <c r="D418" s="15" t="s">
        <v>66</v>
      </c>
      <c r="E418" s="15" t="s">
        <v>473</v>
      </c>
      <c r="F418" s="15" t="s">
        <v>473</v>
      </c>
      <c r="G418" s="15" t="s">
        <v>473</v>
      </c>
      <c r="H418" s="139"/>
      <c r="I418" s="15" t="s">
        <v>408</v>
      </c>
      <c r="J418" s="1" t="s">
        <v>3324</v>
      </c>
      <c r="K418" s="1" t="s">
        <v>3278</v>
      </c>
      <c r="L418" s="1" t="s">
        <v>35</v>
      </c>
      <c r="M418" s="15" t="s">
        <v>480</v>
      </c>
      <c r="N418" s="15"/>
      <c r="O418" s="8" t="s">
        <v>45</v>
      </c>
      <c r="P418" s="8" t="s">
        <v>41</v>
      </c>
      <c r="Q418" s="14">
        <v>0</v>
      </c>
      <c r="R418" s="139">
        <v>1000100636</v>
      </c>
      <c r="S418" s="15"/>
      <c r="T418" s="6">
        <v>0</v>
      </c>
      <c r="U418" s="6">
        <v>10000</v>
      </c>
      <c r="V418" s="6">
        <v>0</v>
      </c>
      <c r="W418" s="18">
        <f t="shared" si="65"/>
        <v>10000</v>
      </c>
      <c r="X418" s="18">
        <f t="shared" si="64"/>
        <v>0</v>
      </c>
      <c r="Y418" s="13">
        <f t="shared" si="59"/>
        <v>0</v>
      </c>
      <c r="Z418" s="14">
        <v>0</v>
      </c>
      <c r="AA418" s="4">
        <v>0</v>
      </c>
      <c r="AB418" s="4">
        <f t="shared" si="60"/>
        <v>0</v>
      </c>
      <c r="AC418" s="6">
        <f t="shared" si="61"/>
        <v>0</v>
      </c>
      <c r="AD418" s="18">
        <f t="shared" si="57"/>
        <v>0</v>
      </c>
      <c r="AE418" s="2">
        <v>0.12</v>
      </c>
      <c r="AF418" s="5">
        <f t="shared" si="62"/>
        <v>0</v>
      </c>
      <c r="AG418" s="14">
        <v>0</v>
      </c>
      <c r="AH418" s="10">
        <f t="shared" si="58"/>
        <v>0</v>
      </c>
      <c r="AI418" s="16"/>
      <c r="AJ418" s="126" t="e">
        <v>#N/A</v>
      </c>
      <c r="AK418" s="80">
        <f t="shared" si="63"/>
        <v>0</v>
      </c>
      <c r="AM418" s="85"/>
    </row>
    <row r="419" spans="1:39" hidden="1" x14ac:dyDescent="0.3">
      <c r="A419" s="85" t="s">
        <v>34</v>
      </c>
      <c r="B419" s="15" t="s">
        <v>35</v>
      </c>
      <c r="C419" s="15" t="s">
        <v>65</v>
      </c>
      <c r="D419" s="15" t="s">
        <v>66</v>
      </c>
      <c r="E419" s="15" t="s">
        <v>473</v>
      </c>
      <c r="F419" s="15" t="s">
        <v>473</v>
      </c>
      <c r="G419" s="15" t="s">
        <v>473</v>
      </c>
      <c r="H419" s="139"/>
      <c r="I419" s="15" t="s">
        <v>408</v>
      </c>
      <c r="J419" s="1" t="s">
        <v>3324</v>
      </c>
      <c r="K419" s="1" t="s">
        <v>3278</v>
      </c>
      <c r="L419" s="1" t="s">
        <v>35</v>
      </c>
      <c r="M419" s="15" t="s">
        <v>481</v>
      </c>
      <c r="N419" s="15"/>
      <c r="O419" s="8" t="s">
        <v>45</v>
      </c>
      <c r="P419" s="8" t="s">
        <v>41</v>
      </c>
      <c r="Q419" s="14">
        <v>0</v>
      </c>
      <c r="R419" s="139">
        <v>1000100978</v>
      </c>
      <c r="S419" s="15"/>
      <c r="T419" s="6">
        <v>0</v>
      </c>
      <c r="U419" s="6">
        <v>20000</v>
      </c>
      <c r="V419" s="6">
        <v>0</v>
      </c>
      <c r="W419" s="18">
        <f t="shared" si="65"/>
        <v>20000</v>
      </c>
      <c r="X419" s="18">
        <f t="shared" si="64"/>
        <v>0</v>
      </c>
      <c r="Y419" s="13">
        <f t="shared" si="59"/>
        <v>0</v>
      </c>
      <c r="Z419" s="14">
        <v>0</v>
      </c>
      <c r="AA419" s="4">
        <v>0</v>
      </c>
      <c r="AB419" s="4">
        <f t="shared" si="60"/>
        <v>0</v>
      </c>
      <c r="AC419" s="6">
        <f t="shared" si="61"/>
        <v>0</v>
      </c>
      <c r="AD419" s="18">
        <f t="shared" si="57"/>
        <v>0</v>
      </c>
      <c r="AE419" s="2">
        <v>0.12</v>
      </c>
      <c r="AF419" s="5">
        <f t="shared" si="62"/>
        <v>0</v>
      </c>
      <c r="AG419" s="14">
        <v>0</v>
      </c>
      <c r="AH419" s="10">
        <f t="shared" si="58"/>
        <v>0</v>
      </c>
      <c r="AI419" s="16"/>
      <c r="AJ419" s="126" t="e">
        <v>#N/A</v>
      </c>
      <c r="AK419" s="80">
        <f t="shared" si="63"/>
        <v>0</v>
      </c>
      <c r="AM419" s="85"/>
    </row>
    <row r="420" spans="1:39" hidden="1" x14ac:dyDescent="0.3">
      <c r="A420" s="85" t="s">
        <v>34</v>
      </c>
      <c r="B420" s="15" t="s">
        <v>35</v>
      </c>
      <c r="C420" s="15" t="s">
        <v>65</v>
      </c>
      <c r="D420" s="15" t="s">
        <v>66</v>
      </c>
      <c r="E420" s="15" t="s">
        <v>473</v>
      </c>
      <c r="F420" s="15" t="s">
        <v>473</v>
      </c>
      <c r="G420" s="15" t="s">
        <v>473</v>
      </c>
      <c r="H420" s="154"/>
      <c r="I420" s="15" t="s">
        <v>408</v>
      </c>
      <c r="J420" s="1" t="s">
        <v>3324</v>
      </c>
      <c r="K420" s="1" t="s">
        <v>3278</v>
      </c>
      <c r="L420" s="1" t="s">
        <v>35</v>
      </c>
      <c r="M420" s="15" t="s">
        <v>482</v>
      </c>
      <c r="N420" s="15"/>
      <c r="O420" s="8" t="s">
        <v>410</v>
      </c>
      <c r="P420" s="8" t="s">
        <v>41</v>
      </c>
      <c r="Q420" s="14">
        <v>0</v>
      </c>
      <c r="R420" s="139">
        <v>1000043032</v>
      </c>
      <c r="S420" s="15"/>
      <c r="T420" s="6">
        <v>0</v>
      </c>
      <c r="U420" s="6">
        <v>1700000</v>
      </c>
      <c r="V420" s="6">
        <v>1500966.4</v>
      </c>
      <c r="W420" s="18">
        <f t="shared" si="65"/>
        <v>199033.60000000009</v>
      </c>
      <c r="X420" s="18">
        <f t="shared" si="64"/>
        <v>1500966.4</v>
      </c>
      <c r="Y420" s="13">
        <f t="shared" si="59"/>
        <v>679772.73124604032</v>
      </c>
      <c r="Z420" s="14">
        <v>0</v>
      </c>
      <c r="AA420" s="4">
        <v>0</v>
      </c>
      <c r="AB420" s="4">
        <f t="shared" si="60"/>
        <v>1500966.4</v>
      </c>
      <c r="AC420" s="6">
        <f t="shared" si="61"/>
        <v>0</v>
      </c>
      <c r="AD420" s="18">
        <f t="shared" si="57"/>
        <v>821193.66875395959</v>
      </c>
      <c r="AE420" s="2">
        <v>7.0000000000000007E-2</v>
      </c>
      <c r="AF420" s="5">
        <f t="shared" si="62"/>
        <v>57483.556812777177</v>
      </c>
      <c r="AG420" s="14">
        <v>0</v>
      </c>
      <c r="AH420" s="10">
        <f t="shared" si="58"/>
        <v>1500966.4</v>
      </c>
      <c r="AI420" s="16"/>
      <c r="AJ420" s="126" t="e">
        <v>#N/A</v>
      </c>
      <c r="AK420" s="80">
        <f t="shared" si="63"/>
        <v>0</v>
      </c>
      <c r="AM420" s="85"/>
    </row>
    <row r="421" spans="1:39" hidden="1" x14ac:dyDescent="0.3">
      <c r="A421" s="85" t="s">
        <v>34</v>
      </c>
      <c r="B421" s="15" t="s">
        <v>35</v>
      </c>
      <c r="C421" s="15" t="s">
        <v>65</v>
      </c>
      <c r="D421" s="15" t="s">
        <v>66</v>
      </c>
      <c r="E421" s="15" t="s">
        <v>473</v>
      </c>
      <c r="F421" s="15" t="s">
        <v>473</v>
      </c>
      <c r="G421" s="15" t="s">
        <v>473</v>
      </c>
      <c r="H421" s="139"/>
      <c r="I421" s="15" t="s">
        <v>408</v>
      </c>
      <c r="J421" s="1" t="s">
        <v>3324</v>
      </c>
      <c r="K421" s="1" t="s">
        <v>3278</v>
      </c>
      <c r="L421" s="1" t="s">
        <v>35</v>
      </c>
      <c r="M421" s="15" t="s">
        <v>483</v>
      </c>
      <c r="N421" s="15"/>
      <c r="O421" s="8" t="s">
        <v>410</v>
      </c>
      <c r="P421" s="8" t="s">
        <v>41</v>
      </c>
      <c r="Q421" s="14">
        <v>0</v>
      </c>
      <c r="R421" s="139">
        <v>1000043032</v>
      </c>
      <c r="S421" s="15"/>
      <c r="T421" s="6">
        <v>0</v>
      </c>
      <c r="U421" s="6">
        <v>0</v>
      </c>
      <c r="V421" s="6">
        <v>0</v>
      </c>
      <c r="W421" s="18">
        <f t="shared" si="65"/>
        <v>0</v>
      </c>
      <c r="X421" s="18">
        <f t="shared" si="64"/>
        <v>0</v>
      </c>
      <c r="Y421" s="13">
        <f t="shared" si="59"/>
        <v>0</v>
      </c>
      <c r="Z421" s="14">
        <v>0</v>
      </c>
      <c r="AA421" s="4">
        <v>0</v>
      </c>
      <c r="AB421" s="4">
        <f t="shared" si="60"/>
        <v>0</v>
      </c>
      <c r="AC421" s="6">
        <f t="shared" si="61"/>
        <v>0</v>
      </c>
      <c r="AD421" s="18">
        <f t="shared" si="57"/>
        <v>0</v>
      </c>
      <c r="AE421" s="2">
        <v>7.0000000000000007E-2</v>
      </c>
      <c r="AF421" s="5">
        <f t="shared" si="62"/>
        <v>0</v>
      </c>
      <c r="AG421" s="14">
        <v>0</v>
      </c>
      <c r="AH421" s="10">
        <f t="shared" si="58"/>
        <v>0</v>
      </c>
      <c r="AI421" s="16"/>
      <c r="AJ421" s="126" t="e">
        <v>#N/A</v>
      </c>
      <c r="AK421" s="80">
        <f t="shared" si="63"/>
        <v>0</v>
      </c>
      <c r="AM421" s="85"/>
    </row>
    <row r="422" spans="1:39" hidden="1" x14ac:dyDescent="0.3">
      <c r="A422" s="85" t="s">
        <v>34</v>
      </c>
      <c r="B422" s="15" t="s">
        <v>35</v>
      </c>
      <c r="C422" s="15" t="s">
        <v>65</v>
      </c>
      <c r="D422" s="15" t="s">
        <v>66</v>
      </c>
      <c r="E422" s="15" t="s">
        <v>473</v>
      </c>
      <c r="F422" s="15" t="s">
        <v>473</v>
      </c>
      <c r="G422" s="15" t="s">
        <v>473</v>
      </c>
      <c r="H422" s="154"/>
      <c r="I422" s="15" t="s">
        <v>408</v>
      </c>
      <c r="J422" s="1" t="s">
        <v>3324</v>
      </c>
      <c r="K422" s="1" t="s">
        <v>3278</v>
      </c>
      <c r="L422" s="1" t="s">
        <v>35</v>
      </c>
      <c r="M422" s="15" t="s">
        <v>484</v>
      </c>
      <c r="N422" s="15"/>
      <c r="O422" s="8" t="s">
        <v>410</v>
      </c>
      <c r="P422" s="8" t="s">
        <v>41</v>
      </c>
      <c r="Q422" s="14">
        <v>0</v>
      </c>
      <c r="R422" s="139">
        <v>1000043029</v>
      </c>
      <c r="S422" s="15"/>
      <c r="T422" s="6">
        <v>0</v>
      </c>
      <c r="U422" s="6">
        <v>400000</v>
      </c>
      <c r="V422" s="6">
        <v>369967.1</v>
      </c>
      <c r="W422" s="18">
        <f t="shared" si="65"/>
        <v>30032.900000000023</v>
      </c>
      <c r="X422" s="18">
        <f t="shared" si="64"/>
        <v>369967.1</v>
      </c>
      <c r="Y422" s="13">
        <f t="shared" si="59"/>
        <v>167554.41430146398</v>
      </c>
      <c r="Z422" s="14">
        <v>0</v>
      </c>
      <c r="AA422" s="4">
        <v>0</v>
      </c>
      <c r="AB422" s="4">
        <f t="shared" si="60"/>
        <v>369967.1</v>
      </c>
      <c r="AC422" s="6">
        <f t="shared" si="61"/>
        <v>0</v>
      </c>
      <c r="AD422" s="18">
        <f t="shared" si="57"/>
        <v>202412.68569853599</v>
      </c>
      <c r="AE422" s="2">
        <v>7.0000000000000007E-2</v>
      </c>
      <c r="AF422" s="5">
        <f t="shared" si="62"/>
        <v>14168.88799889752</v>
      </c>
      <c r="AG422" s="14">
        <v>0</v>
      </c>
      <c r="AH422" s="10">
        <f t="shared" si="58"/>
        <v>369967.1</v>
      </c>
      <c r="AI422" s="16"/>
      <c r="AJ422" s="126" t="e">
        <v>#N/A</v>
      </c>
      <c r="AK422" s="80">
        <f t="shared" si="63"/>
        <v>0</v>
      </c>
      <c r="AM422" s="85"/>
    </row>
    <row r="423" spans="1:39" hidden="1" x14ac:dyDescent="0.3">
      <c r="A423" s="85" t="s">
        <v>34</v>
      </c>
      <c r="B423" s="15" t="s">
        <v>35</v>
      </c>
      <c r="C423" s="15" t="s">
        <v>65</v>
      </c>
      <c r="D423" s="15" t="s">
        <v>66</v>
      </c>
      <c r="E423" s="15" t="s">
        <v>473</v>
      </c>
      <c r="F423" s="15" t="s">
        <v>473</v>
      </c>
      <c r="G423" s="15" t="s">
        <v>473</v>
      </c>
      <c r="H423" s="139"/>
      <c r="I423" s="15" t="s">
        <v>408</v>
      </c>
      <c r="J423" s="1" t="s">
        <v>3324</v>
      </c>
      <c r="K423" s="1" t="s">
        <v>3278</v>
      </c>
      <c r="L423" s="1" t="s">
        <v>35</v>
      </c>
      <c r="M423" s="15" t="s">
        <v>485</v>
      </c>
      <c r="N423" s="15"/>
      <c r="O423" s="8" t="s">
        <v>410</v>
      </c>
      <c r="P423" s="8" t="s">
        <v>41</v>
      </c>
      <c r="Q423" s="14">
        <v>0</v>
      </c>
      <c r="R423" s="139">
        <v>1000057798</v>
      </c>
      <c r="S423" s="15"/>
      <c r="T423" s="6">
        <v>0</v>
      </c>
      <c r="U423" s="6">
        <v>0</v>
      </c>
      <c r="V423" s="6">
        <v>0</v>
      </c>
      <c r="W423" s="18">
        <f t="shared" si="65"/>
        <v>0</v>
      </c>
      <c r="X423" s="18">
        <f t="shared" si="64"/>
        <v>0</v>
      </c>
      <c r="Y423" s="13">
        <f t="shared" si="59"/>
        <v>0</v>
      </c>
      <c r="Z423" s="14">
        <v>0</v>
      </c>
      <c r="AA423" s="4">
        <v>0</v>
      </c>
      <c r="AB423" s="4">
        <f t="shared" si="60"/>
        <v>0</v>
      </c>
      <c r="AC423" s="6">
        <f t="shared" si="61"/>
        <v>0</v>
      </c>
      <c r="AD423" s="18">
        <f t="shared" si="57"/>
        <v>0</v>
      </c>
      <c r="AE423" s="2">
        <v>7.0000000000000007E-2</v>
      </c>
      <c r="AF423" s="5">
        <f t="shared" si="62"/>
        <v>0</v>
      </c>
      <c r="AG423" s="14">
        <v>0</v>
      </c>
      <c r="AH423" s="10">
        <f t="shared" si="58"/>
        <v>0</v>
      </c>
      <c r="AI423" s="16"/>
      <c r="AJ423" s="126" t="e">
        <v>#N/A</v>
      </c>
      <c r="AK423" s="80">
        <f t="shared" si="63"/>
        <v>0</v>
      </c>
      <c r="AM423" s="85"/>
    </row>
    <row r="424" spans="1:39" hidden="1" x14ac:dyDescent="0.3">
      <c r="A424" s="85" t="s">
        <v>34</v>
      </c>
      <c r="B424" s="15" t="s">
        <v>35</v>
      </c>
      <c r="C424" s="15" t="s">
        <v>65</v>
      </c>
      <c r="D424" s="15" t="s">
        <v>66</v>
      </c>
      <c r="E424" s="15" t="s">
        <v>473</v>
      </c>
      <c r="F424" s="15" t="s">
        <v>473</v>
      </c>
      <c r="G424" s="15" t="s">
        <v>473</v>
      </c>
      <c r="H424" s="154"/>
      <c r="I424" s="15" t="s">
        <v>408</v>
      </c>
      <c r="J424" s="1" t="s">
        <v>3324</v>
      </c>
      <c r="K424" s="1" t="s">
        <v>3278</v>
      </c>
      <c r="L424" s="1" t="s">
        <v>35</v>
      </c>
      <c r="M424" s="15" t="s">
        <v>486</v>
      </c>
      <c r="N424" s="15"/>
      <c r="O424" s="8" t="s">
        <v>45</v>
      </c>
      <c r="P424" s="8" t="s">
        <v>41</v>
      </c>
      <c r="Q424" s="14">
        <v>0</v>
      </c>
      <c r="R424" s="139">
        <v>1000054589</v>
      </c>
      <c r="S424" s="15"/>
      <c r="T424" s="6">
        <v>0</v>
      </c>
      <c r="U424" s="6">
        <v>40000</v>
      </c>
      <c r="V424" s="6">
        <v>28314.010000000002</v>
      </c>
      <c r="W424" s="18">
        <f t="shared" si="65"/>
        <v>11685.989999999998</v>
      </c>
      <c r="X424" s="18">
        <f t="shared" si="64"/>
        <v>28314.010000000002</v>
      </c>
      <c r="Y424" s="13">
        <f t="shared" si="59"/>
        <v>12823.133089606603</v>
      </c>
      <c r="Z424" s="14">
        <v>0</v>
      </c>
      <c r="AA424" s="4">
        <v>0</v>
      </c>
      <c r="AB424" s="4">
        <f t="shared" si="60"/>
        <v>28314.010000000002</v>
      </c>
      <c r="AC424" s="6">
        <f t="shared" si="61"/>
        <v>0</v>
      </c>
      <c r="AD424" s="18">
        <f t="shared" si="57"/>
        <v>15490.876910393399</v>
      </c>
      <c r="AE424" s="2">
        <v>0.12</v>
      </c>
      <c r="AF424" s="5">
        <f t="shared" si="62"/>
        <v>1858.9052292472079</v>
      </c>
      <c r="AG424" s="14">
        <v>0</v>
      </c>
      <c r="AH424" s="10">
        <f t="shared" si="58"/>
        <v>28314.010000000002</v>
      </c>
      <c r="AI424" s="16"/>
      <c r="AJ424" s="126" t="e">
        <v>#N/A</v>
      </c>
      <c r="AK424" s="80">
        <f t="shared" si="63"/>
        <v>0</v>
      </c>
      <c r="AM424" s="85"/>
    </row>
    <row r="425" spans="1:39" hidden="1" x14ac:dyDescent="0.3">
      <c r="A425" s="85" t="s">
        <v>34</v>
      </c>
      <c r="B425" s="15" t="s">
        <v>35</v>
      </c>
      <c r="C425" s="15" t="s">
        <v>65</v>
      </c>
      <c r="D425" s="15" t="s">
        <v>66</v>
      </c>
      <c r="E425" s="15" t="s">
        <v>473</v>
      </c>
      <c r="F425" s="15" t="s">
        <v>473</v>
      </c>
      <c r="G425" s="15" t="s">
        <v>473</v>
      </c>
      <c r="H425" s="139"/>
      <c r="I425" s="15" t="s">
        <v>408</v>
      </c>
      <c r="J425" s="1" t="s">
        <v>3324</v>
      </c>
      <c r="K425" s="1" t="s">
        <v>3278</v>
      </c>
      <c r="L425" s="1" t="s">
        <v>35</v>
      </c>
      <c r="M425" s="15" t="s">
        <v>486</v>
      </c>
      <c r="N425" s="15"/>
      <c r="O425" s="8" t="s">
        <v>410</v>
      </c>
      <c r="P425" s="8" t="s">
        <v>41</v>
      </c>
      <c r="Q425" s="14">
        <v>0</v>
      </c>
      <c r="R425" s="139">
        <v>1000054594</v>
      </c>
      <c r="S425" s="15"/>
      <c r="T425" s="6">
        <v>0</v>
      </c>
      <c r="U425" s="6">
        <v>0</v>
      </c>
      <c r="V425" s="6">
        <v>0</v>
      </c>
      <c r="W425" s="18">
        <f t="shared" si="65"/>
        <v>0</v>
      </c>
      <c r="X425" s="18">
        <f t="shared" si="64"/>
        <v>0</v>
      </c>
      <c r="Y425" s="13">
        <f t="shared" si="59"/>
        <v>0</v>
      </c>
      <c r="Z425" s="14">
        <v>0</v>
      </c>
      <c r="AA425" s="4">
        <v>0</v>
      </c>
      <c r="AB425" s="4">
        <f t="shared" si="60"/>
        <v>0</v>
      </c>
      <c r="AC425" s="6">
        <f t="shared" si="61"/>
        <v>0</v>
      </c>
      <c r="AD425" s="18">
        <f t="shared" si="57"/>
        <v>0</v>
      </c>
      <c r="AE425" s="2">
        <v>7.0000000000000007E-2</v>
      </c>
      <c r="AF425" s="5">
        <f t="shared" si="62"/>
        <v>0</v>
      </c>
      <c r="AG425" s="14">
        <v>0</v>
      </c>
      <c r="AH425" s="10">
        <f t="shared" si="58"/>
        <v>0</v>
      </c>
      <c r="AI425" s="16"/>
      <c r="AJ425" s="126" t="e">
        <v>#N/A</v>
      </c>
      <c r="AK425" s="80">
        <f t="shared" si="63"/>
        <v>0</v>
      </c>
      <c r="AM425" s="85"/>
    </row>
    <row r="426" spans="1:39" hidden="1" x14ac:dyDescent="0.3">
      <c r="A426" s="85" t="s">
        <v>34</v>
      </c>
      <c r="B426" s="15" t="s">
        <v>35</v>
      </c>
      <c r="C426" s="15" t="s">
        <v>65</v>
      </c>
      <c r="D426" s="15" t="s">
        <v>66</v>
      </c>
      <c r="E426" s="15" t="s">
        <v>487</v>
      </c>
      <c r="F426" s="15" t="s">
        <v>487</v>
      </c>
      <c r="G426" s="15" t="s">
        <v>487</v>
      </c>
      <c r="H426" s="154"/>
      <c r="I426" s="15" t="s">
        <v>408</v>
      </c>
      <c r="J426" s="1" t="s">
        <v>3324</v>
      </c>
      <c r="K426" s="1" t="s">
        <v>3278</v>
      </c>
      <c r="L426" s="1" t="s">
        <v>35</v>
      </c>
      <c r="M426" s="15" t="s">
        <v>488</v>
      </c>
      <c r="N426" s="15"/>
      <c r="O426" s="8" t="s">
        <v>410</v>
      </c>
      <c r="P426" s="8" t="s">
        <v>41</v>
      </c>
      <c r="Q426" s="14">
        <v>0</v>
      </c>
      <c r="R426" s="139">
        <v>1000099505</v>
      </c>
      <c r="S426" s="15"/>
      <c r="T426" s="6">
        <v>0</v>
      </c>
      <c r="U426" s="6">
        <v>50000</v>
      </c>
      <c r="V426" s="6">
        <v>35508.599999999991</v>
      </c>
      <c r="W426" s="18">
        <f t="shared" si="65"/>
        <v>14491.400000000009</v>
      </c>
      <c r="X426" s="18">
        <f t="shared" si="64"/>
        <v>35508.599999999991</v>
      </c>
      <c r="Y426" s="13">
        <f t="shared" si="59"/>
        <v>16081.491234396148</v>
      </c>
      <c r="Z426" s="14">
        <v>0</v>
      </c>
      <c r="AA426" s="4">
        <v>0</v>
      </c>
      <c r="AB426" s="4">
        <f t="shared" si="60"/>
        <v>35508.599999999991</v>
      </c>
      <c r="AC426" s="6">
        <f t="shared" si="61"/>
        <v>0</v>
      </c>
      <c r="AD426" s="18">
        <f t="shared" si="57"/>
        <v>19427.108765603843</v>
      </c>
      <c r="AE426" s="2">
        <v>7.0000000000000007E-2</v>
      </c>
      <c r="AF426" s="5">
        <f t="shared" si="62"/>
        <v>1359.8976135922692</v>
      </c>
      <c r="AG426" s="14">
        <v>0</v>
      </c>
      <c r="AH426" s="10">
        <f t="shared" si="58"/>
        <v>35508.599999999991</v>
      </c>
      <c r="AI426" s="16"/>
      <c r="AJ426" s="126" t="e">
        <v>#N/A</v>
      </c>
      <c r="AK426" s="80">
        <f t="shared" si="63"/>
        <v>0</v>
      </c>
      <c r="AM426" s="85"/>
    </row>
    <row r="427" spans="1:39" hidden="1" x14ac:dyDescent="0.3">
      <c r="A427" s="85" t="s">
        <v>34</v>
      </c>
      <c r="B427" s="15" t="s">
        <v>35</v>
      </c>
      <c r="C427" s="15" t="s">
        <v>65</v>
      </c>
      <c r="D427" s="15" t="s">
        <v>66</v>
      </c>
      <c r="E427" s="15" t="s">
        <v>489</v>
      </c>
      <c r="F427" s="15" t="s">
        <v>489</v>
      </c>
      <c r="G427" s="15" t="s">
        <v>489</v>
      </c>
      <c r="H427" s="139"/>
      <c r="I427" s="15" t="s">
        <v>408</v>
      </c>
      <c r="J427" s="1" t="s">
        <v>3324</v>
      </c>
      <c r="K427" s="1" t="s">
        <v>3278</v>
      </c>
      <c r="L427" s="1" t="s">
        <v>35</v>
      </c>
      <c r="M427" s="15" t="s">
        <v>490</v>
      </c>
      <c r="N427" s="15"/>
      <c r="O427" s="8" t="s">
        <v>410</v>
      </c>
      <c r="P427" s="8" t="s">
        <v>46</v>
      </c>
      <c r="Q427" s="14">
        <v>0.04</v>
      </c>
      <c r="R427" s="139">
        <v>1000058961</v>
      </c>
      <c r="S427" s="15"/>
      <c r="T427" s="6">
        <v>35908.799999999916</v>
      </c>
      <c r="U427" s="6">
        <v>-35908.800000000003</v>
      </c>
      <c r="V427" s="6">
        <v>0</v>
      </c>
      <c r="W427" s="18">
        <f t="shared" si="65"/>
        <v>-8.7311491370201111E-11</v>
      </c>
      <c r="X427" s="18">
        <f t="shared" si="64"/>
        <v>0</v>
      </c>
      <c r="Y427" s="13">
        <f t="shared" si="59"/>
        <v>0</v>
      </c>
      <c r="Z427" s="14">
        <v>0</v>
      </c>
      <c r="AA427" s="4">
        <v>0</v>
      </c>
      <c r="AB427" s="4">
        <f t="shared" si="60"/>
        <v>0</v>
      </c>
      <c r="AC427" s="6">
        <f t="shared" si="61"/>
        <v>0</v>
      </c>
      <c r="AD427" s="18">
        <f t="shared" si="57"/>
        <v>0</v>
      </c>
      <c r="AE427" s="2">
        <v>7.0000000000000007E-2</v>
      </c>
      <c r="AF427" s="5">
        <f t="shared" si="62"/>
        <v>0</v>
      </c>
      <c r="AG427" s="14">
        <v>0</v>
      </c>
      <c r="AH427" s="10">
        <f t="shared" si="58"/>
        <v>0</v>
      </c>
      <c r="AI427" s="16"/>
      <c r="AJ427" s="126" t="e">
        <v>#N/A</v>
      </c>
      <c r="AK427" s="80">
        <f t="shared" si="63"/>
        <v>0</v>
      </c>
      <c r="AM427" s="85"/>
    </row>
    <row r="428" spans="1:39" hidden="1" x14ac:dyDescent="0.3">
      <c r="A428" s="85" t="s">
        <v>34</v>
      </c>
      <c r="B428" s="15" t="s">
        <v>35</v>
      </c>
      <c r="C428" s="15" t="s">
        <v>65</v>
      </c>
      <c r="D428" s="15" t="s">
        <v>66</v>
      </c>
      <c r="E428" s="15" t="s">
        <v>491</v>
      </c>
      <c r="F428" s="15" t="s">
        <v>491</v>
      </c>
      <c r="G428" s="15" t="s">
        <v>491</v>
      </c>
      <c r="H428" s="154"/>
      <c r="I428" s="15" t="s">
        <v>408</v>
      </c>
      <c r="J428" s="1" t="s">
        <v>3324</v>
      </c>
      <c r="K428" s="1" t="s">
        <v>3278</v>
      </c>
      <c r="L428" s="1" t="s">
        <v>35</v>
      </c>
      <c r="M428" s="15" t="s">
        <v>492</v>
      </c>
      <c r="N428" s="15"/>
      <c r="O428" s="8" t="s">
        <v>410</v>
      </c>
      <c r="P428" s="8" t="s">
        <v>46</v>
      </c>
      <c r="Q428" s="14">
        <v>0.02</v>
      </c>
      <c r="R428" s="139">
        <v>1000023983</v>
      </c>
      <c r="S428" s="15"/>
      <c r="T428" s="6">
        <v>0</v>
      </c>
      <c r="U428" s="6">
        <v>100000</v>
      </c>
      <c r="V428" s="6">
        <v>14297.22</v>
      </c>
      <c r="W428" s="18">
        <f t="shared" si="65"/>
        <v>85702.78</v>
      </c>
      <c r="X428" s="18">
        <f t="shared" si="64"/>
        <v>14016.882352941175</v>
      </c>
      <c r="Y428" s="13">
        <f t="shared" si="59"/>
        <v>6194.7308745453311</v>
      </c>
      <c r="Z428" s="14">
        <v>0</v>
      </c>
      <c r="AA428" s="4">
        <v>0</v>
      </c>
      <c r="AB428" s="4">
        <f t="shared" si="60"/>
        <v>14016.882352941175</v>
      </c>
      <c r="AC428" s="6">
        <f t="shared" si="61"/>
        <v>280.33764705882459</v>
      </c>
      <c r="AD428" s="18">
        <f t="shared" si="57"/>
        <v>7822.1514783958437</v>
      </c>
      <c r="AE428" s="2">
        <v>7.0000000000000007E-2</v>
      </c>
      <c r="AF428" s="5">
        <f t="shared" si="62"/>
        <v>547.55060348770905</v>
      </c>
      <c r="AG428" s="14">
        <v>0</v>
      </c>
      <c r="AH428" s="10">
        <f t="shared" si="58"/>
        <v>14297.22</v>
      </c>
      <c r="AI428" s="16"/>
      <c r="AJ428" s="126" t="e">
        <v>#N/A</v>
      </c>
      <c r="AK428" s="80">
        <f t="shared" si="63"/>
        <v>0</v>
      </c>
      <c r="AM428" s="85"/>
    </row>
    <row r="429" spans="1:39" hidden="1" x14ac:dyDescent="0.3">
      <c r="A429" s="85" t="s">
        <v>34</v>
      </c>
      <c r="B429" s="15" t="s">
        <v>35</v>
      </c>
      <c r="C429" s="15" t="s">
        <v>65</v>
      </c>
      <c r="D429" s="15" t="s">
        <v>66</v>
      </c>
      <c r="E429" s="15" t="s">
        <v>493</v>
      </c>
      <c r="F429" s="15" t="s">
        <v>493</v>
      </c>
      <c r="G429" s="15" t="s">
        <v>493</v>
      </c>
      <c r="H429" s="154"/>
      <c r="I429" s="15" t="s">
        <v>408</v>
      </c>
      <c r="J429" s="1" t="s">
        <v>3324</v>
      </c>
      <c r="K429" s="1" t="s">
        <v>3278</v>
      </c>
      <c r="L429" s="1" t="s">
        <v>35</v>
      </c>
      <c r="M429" s="15" t="s">
        <v>493</v>
      </c>
      <c r="N429" s="15"/>
      <c r="O429" s="8" t="s">
        <v>410</v>
      </c>
      <c r="P429" s="8" t="s">
        <v>46</v>
      </c>
      <c r="Q429" s="14">
        <v>0.01</v>
      </c>
      <c r="R429" s="139">
        <v>1000055864</v>
      </c>
      <c r="S429" s="15"/>
      <c r="T429" s="6">
        <v>0</v>
      </c>
      <c r="U429" s="6">
        <v>390000</v>
      </c>
      <c r="V429" s="6">
        <v>352427.94</v>
      </c>
      <c r="W429" s="18">
        <f t="shared" si="65"/>
        <v>37572.06</v>
      </c>
      <c r="X429" s="18">
        <f t="shared" si="64"/>
        <v>348938.55445544556</v>
      </c>
      <c r="Y429" s="13">
        <f t="shared" si="59"/>
        <v>156121.71790267504</v>
      </c>
      <c r="Z429" s="14">
        <v>0</v>
      </c>
      <c r="AA429" s="4">
        <v>0</v>
      </c>
      <c r="AB429" s="4">
        <f t="shared" si="60"/>
        <v>348938.55445544556</v>
      </c>
      <c r="AC429" s="6">
        <f t="shared" si="61"/>
        <v>3489.3855445544468</v>
      </c>
      <c r="AD429" s="18">
        <f t="shared" si="57"/>
        <v>192816.83655277052</v>
      </c>
      <c r="AE429" s="2">
        <v>7.0000000000000007E-2</v>
      </c>
      <c r="AF429" s="5">
        <f t="shared" si="62"/>
        <v>13497.178558693937</v>
      </c>
      <c r="AG429" s="14">
        <v>0</v>
      </c>
      <c r="AH429" s="10">
        <f t="shared" si="58"/>
        <v>352427.94</v>
      </c>
      <c r="AI429" s="16"/>
      <c r="AJ429" s="126" t="e">
        <v>#N/A</v>
      </c>
      <c r="AK429" s="80">
        <f t="shared" si="63"/>
        <v>0</v>
      </c>
      <c r="AM429" s="85"/>
    </row>
    <row r="430" spans="1:39" hidden="1" x14ac:dyDescent="0.3">
      <c r="A430" s="85" t="s">
        <v>34</v>
      </c>
      <c r="B430" s="15" t="s">
        <v>35</v>
      </c>
      <c r="C430" s="15" t="s">
        <v>65</v>
      </c>
      <c r="D430" s="15" t="s">
        <v>66</v>
      </c>
      <c r="E430" s="15" t="s">
        <v>494</v>
      </c>
      <c r="F430" s="15" t="s">
        <v>494</v>
      </c>
      <c r="G430" s="15" t="s">
        <v>494</v>
      </c>
      <c r="H430" s="154"/>
      <c r="I430" s="15" t="s">
        <v>408</v>
      </c>
      <c r="J430" s="1" t="s">
        <v>3324</v>
      </c>
      <c r="K430" s="1" t="s">
        <v>3278</v>
      </c>
      <c r="L430" s="1" t="s">
        <v>35</v>
      </c>
      <c r="M430" s="15" t="s">
        <v>495</v>
      </c>
      <c r="N430" s="15"/>
      <c r="O430" s="8" t="s">
        <v>410</v>
      </c>
      <c r="P430" s="8" t="s">
        <v>41</v>
      </c>
      <c r="Q430" s="14">
        <v>0</v>
      </c>
      <c r="R430" s="139">
        <v>1000018044</v>
      </c>
      <c r="S430" s="15"/>
      <c r="T430" s="6">
        <v>0</v>
      </c>
      <c r="U430" s="6">
        <v>1600000</v>
      </c>
      <c r="V430" s="6">
        <v>1374832.8900000004</v>
      </c>
      <c r="W430" s="18">
        <f t="shared" si="65"/>
        <v>225167.10999999964</v>
      </c>
      <c r="X430" s="18">
        <f t="shared" si="64"/>
        <v>1374832.8900000004</v>
      </c>
      <c r="Y430" s="13">
        <f t="shared" si="59"/>
        <v>622648.12099870271</v>
      </c>
      <c r="Z430" s="14">
        <v>0</v>
      </c>
      <c r="AA430" s="4">
        <v>0</v>
      </c>
      <c r="AB430" s="4">
        <f t="shared" si="60"/>
        <v>1374832.8900000004</v>
      </c>
      <c r="AC430" s="6">
        <f t="shared" si="61"/>
        <v>0</v>
      </c>
      <c r="AD430" s="18">
        <f t="shared" si="57"/>
        <v>752184.76900129765</v>
      </c>
      <c r="AE430" s="2">
        <v>7.0000000000000007E-2</v>
      </c>
      <c r="AF430" s="5">
        <f t="shared" si="62"/>
        <v>52652.933830090842</v>
      </c>
      <c r="AG430" s="14">
        <v>0</v>
      </c>
      <c r="AH430" s="10">
        <f t="shared" si="58"/>
        <v>1374832.8900000004</v>
      </c>
      <c r="AI430" s="16"/>
      <c r="AJ430" s="126" t="e">
        <v>#N/A</v>
      </c>
      <c r="AK430" s="80">
        <f t="shared" si="63"/>
        <v>0</v>
      </c>
      <c r="AM430" s="85"/>
    </row>
    <row r="431" spans="1:39" hidden="1" x14ac:dyDescent="0.3">
      <c r="A431" s="85" t="s">
        <v>34</v>
      </c>
      <c r="B431" s="15" t="s">
        <v>35</v>
      </c>
      <c r="C431" s="15" t="s">
        <v>65</v>
      </c>
      <c r="D431" s="15" t="s">
        <v>66</v>
      </c>
      <c r="E431" s="15" t="s">
        <v>496</v>
      </c>
      <c r="F431" s="15" t="s">
        <v>497</v>
      </c>
      <c r="G431" s="15" t="s">
        <v>496</v>
      </c>
      <c r="H431" s="154"/>
      <c r="I431" s="15" t="s">
        <v>408</v>
      </c>
      <c r="J431" s="1" t="s">
        <v>3324</v>
      </c>
      <c r="K431" s="1" t="s">
        <v>3278</v>
      </c>
      <c r="L431" s="1" t="s">
        <v>35</v>
      </c>
      <c r="M431" s="15" t="s">
        <v>498</v>
      </c>
      <c r="N431" s="15"/>
      <c r="O431" s="8" t="s">
        <v>410</v>
      </c>
      <c r="P431" s="8" t="s">
        <v>46</v>
      </c>
      <c r="Q431" s="14">
        <v>0.01</v>
      </c>
      <c r="R431" s="139">
        <v>1000050427</v>
      </c>
      <c r="S431" s="15"/>
      <c r="T431" s="6">
        <v>0</v>
      </c>
      <c r="U431" s="6">
        <v>540580.05000000005</v>
      </c>
      <c r="V431" s="6">
        <v>332096.63</v>
      </c>
      <c r="W431" s="18">
        <f t="shared" si="65"/>
        <v>208483.42000000004</v>
      </c>
      <c r="X431" s="18">
        <f t="shared" si="64"/>
        <v>328808.54455445544</v>
      </c>
      <c r="Y431" s="13">
        <f t="shared" si="59"/>
        <v>147115.17022540563</v>
      </c>
      <c r="Z431" s="14">
        <v>0</v>
      </c>
      <c r="AA431" s="4">
        <v>0</v>
      </c>
      <c r="AB431" s="4">
        <f t="shared" si="60"/>
        <v>328808.54455445544</v>
      </c>
      <c r="AC431" s="6">
        <f t="shared" si="61"/>
        <v>3288.085445544566</v>
      </c>
      <c r="AD431" s="18">
        <f t="shared" si="57"/>
        <v>181693.37432904981</v>
      </c>
      <c r="AE431" s="2">
        <v>7.0000000000000007E-2</v>
      </c>
      <c r="AF431" s="5">
        <f t="shared" si="62"/>
        <v>12718.536203033487</v>
      </c>
      <c r="AG431" s="14">
        <v>0</v>
      </c>
      <c r="AH431" s="10">
        <f t="shared" si="58"/>
        <v>332096.63</v>
      </c>
      <c r="AI431" s="16"/>
      <c r="AJ431" s="126" t="e">
        <v>#N/A</v>
      </c>
      <c r="AK431" s="80">
        <f t="shared" si="63"/>
        <v>0</v>
      </c>
      <c r="AM431" s="85"/>
    </row>
    <row r="432" spans="1:39" hidden="1" x14ac:dyDescent="0.3">
      <c r="A432" s="85" t="s">
        <v>34</v>
      </c>
      <c r="B432" s="15" t="s">
        <v>35</v>
      </c>
      <c r="C432" s="15" t="s">
        <v>65</v>
      </c>
      <c r="D432" s="15" t="s">
        <v>66</v>
      </c>
      <c r="E432" s="15" t="s">
        <v>496</v>
      </c>
      <c r="F432" s="15" t="s">
        <v>497</v>
      </c>
      <c r="G432" s="15" t="s">
        <v>496</v>
      </c>
      <c r="H432" s="139"/>
      <c r="I432" s="15" t="s">
        <v>408</v>
      </c>
      <c r="J432" s="1" t="s">
        <v>3324</v>
      </c>
      <c r="K432" s="1" t="s">
        <v>3278</v>
      </c>
      <c r="L432" s="1" t="s">
        <v>35</v>
      </c>
      <c r="M432" s="15" t="s">
        <v>498</v>
      </c>
      <c r="N432" s="15"/>
      <c r="O432" s="8" t="s">
        <v>410</v>
      </c>
      <c r="P432" s="8" t="s">
        <v>46</v>
      </c>
      <c r="Q432" s="14">
        <v>0.01</v>
      </c>
      <c r="R432" s="139">
        <v>1000050427</v>
      </c>
      <c r="S432" s="15"/>
      <c r="T432" s="6">
        <v>0</v>
      </c>
      <c r="U432" s="6">
        <v>0</v>
      </c>
      <c r="V432" s="6">
        <v>0</v>
      </c>
      <c r="W432" s="18">
        <f t="shared" si="65"/>
        <v>0</v>
      </c>
      <c r="X432" s="18">
        <f t="shared" si="64"/>
        <v>0</v>
      </c>
      <c r="Y432" s="13">
        <f t="shared" si="59"/>
        <v>0</v>
      </c>
      <c r="Z432" s="14">
        <v>0</v>
      </c>
      <c r="AA432" s="4">
        <v>0</v>
      </c>
      <c r="AB432" s="4">
        <f t="shared" si="60"/>
        <v>0</v>
      </c>
      <c r="AC432" s="6">
        <f t="shared" si="61"/>
        <v>0</v>
      </c>
      <c r="AD432" s="18">
        <f t="shared" si="57"/>
        <v>0</v>
      </c>
      <c r="AE432" s="2">
        <v>7.0000000000000007E-2</v>
      </c>
      <c r="AF432" s="5">
        <f t="shared" si="62"/>
        <v>0</v>
      </c>
      <c r="AG432" s="14">
        <v>0</v>
      </c>
      <c r="AH432" s="10">
        <f t="shared" si="58"/>
        <v>0</v>
      </c>
      <c r="AI432" s="16"/>
      <c r="AJ432" s="126" t="e">
        <v>#N/A</v>
      </c>
      <c r="AK432" s="80">
        <f t="shared" si="63"/>
        <v>0</v>
      </c>
      <c r="AM432" s="85"/>
    </row>
    <row r="433" spans="1:39" hidden="1" x14ac:dyDescent="0.3">
      <c r="A433" s="85" t="s">
        <v>34</v>
      </c>
      <c r="B433" s="15" t="s">
        <v>35</v>
      </c>
      <c r="C433" s="15" t="s">
        <v>65</v>
      </c>
      <c r="D433" s="15" t="s">
        <v>66</v>
      </c>
      <c r="E433" s="15" t="s">
        <v>499</v>
      </c>
      <c r="F433" s="15" t="s">
        <v>499</v>
      </c>
      <c r="G433" s="15" t="s">
        <v>499</v>
      </c>
      <c r="H433" s="154"/>
      <c r="I433" s="15" t="s">
        <v>408</v>
      </c>
      <c r="J433" s="1" t="s">
        <v>3324</v>
      </c>
      <c r="K433" s="1" t="s">
        <v>3278</v>
      </c>
      <c r="L433" s="1" t="s">
        <v>35</v>
      </c>
      <c r="M433" s="15" t="s">
        <v>500</v>
      </c>
      <c r="N433" s="15"/>
      <c r="O433" s="8" t="s">
        <v>410</v>
      </c>
      <c r="P433" s="8" t="s">
        <v>41</v>
      </c>
      <c r="Q433" s="14">
        <v>0</v>
      </c>
      <c r="R433" s="139">
        <v>1000098940</v>
      </c>
      <c r="S433" s="15"/>
      <c r="T433" s="6">
        <v>0</v>
      </c>
      <c r="U433" s="6">
        <v>40000</v>
      </c>
      <c r="V433" s="6">
        <v>36587.24</v>
      </c>
      <c r="W433" s="18">
        <f t="shared" si="65"/>
        <v>3412.760000000002</v>
      </c>
      <c r="X433" s="18">
        <f t="shared" si="64"/>
        <v>36587.24</v>
      </c>
      <c r="Y433" s="13">
        <f t="shared" si="59"/>
        <v>16569.996545928261</v>
      </c>
      <c r="Z433" s="14">
        <v>0</v>
      </c>
      <c r="AA433" s="4">
        <v>0</v>
      </c>
      <c r="AB433" s="4">
        <f t="shared" si="60"/>
        <v>36587.24</v>
      </c>
      <c r="AC433" s="6">
        <f t="shared" si="61"/>
        <v>0</v>
      </c>
      <c r="AD433" s="18">
        <f t="shared" si="57"/>
        <v>20017.243454071737</v>
      </c>
      <c r="AE433" s="2">
        <v>7.0000000000000007E-2</v>
      </c>
      <c r="AF433" s="5">
        <f t="shared" si="62"/>
        <v>1401.2070417850216</v>
      </c>
      <c r="AG433" s="14">
        <v>0</v>
      </c>
      <c r="AH433" s="10">
        <f t="shared" si="58"/>
        <v>36587.24</v>
      </c>
      <c r="AI433" s="16"/>
      <c r="AJ433" s="126" t="e">
        <v>#N/A</v>
      </c>
      <c r="AK433" s="80">
        <f t="shared" si="63"/>
        <v>0</v>
      </c>
      <c r="AM433" s="85"/>
    </row>
    <row r="434" spans="1:39" hidden="1" x14ac:dyDescent="0.3">
      <c r="A434" s="85" t="s">
        <v>34</v>
      </c>
      <c r="B434" s="15" t="s">
        <v>35</v>
      </c>
      <c r="C434" s="15" t="s">
        <v>65</v>
      </c>
      <c r="D434" s="15" t="s">
        <v>66</v>
      </c>
      <c r="E434" s="15" t="s">
        <v>501</v>
      </c>
      <c r="F434" s="15" t="s">
        <v>501</v>
      </c>
      <c r="G434" s="15" t="s">
        <v>501</v>
      </c>
      <c r="H434" s="154"/>
      <c r="I434" s="15" t="s">
        <v>408</v>
      </c>
      <c r="J434" s="1" t="s">
        <v>3324</v>
      </c>
      <c r="K434" s="1" t="s">
        <v>3278</v>
      </c>
      <c r="L434" s="1" t="s">
        <v>35</v>
      </c>
      <c r="M434" s="15" t="s">
        <v>501</v>
      </c>
      <c r="N434" s="15"/>
      <c r="O434" s="8" t="s">
        <v>410</v>
      </c>
      <c r="P434" s="8" t="s">
        <v>41</v>
      </c>
      <c r="Q434" s="14">
        <v>0</v>
      </c>
      <c r="R434" s="139">
        <v>1000048434</v>
      </c>
      <c r="S434" s="15"/>
      <c r="T434" s="6">
        <v>0</v>
      </c>
      <c r="U434" s="6">
        <v>300000</v>
      </c>
      <c r="V434" s="6">
        <v>234801.45</v>
      </c>
      <c r="W434" s="18">
        <f t="shared" si="65"/>
        <v>65198.549999999988</v>
      </c>
      <c r="X434" s="18">
        <f t="shared" si="64"/>
        <v>234801.45</v>
      </c>
      <c r="Y434" s="13">
        <f t="shared" si="59"/>
        <v>106339.23781840192</v>
      </c>
      <c r="Z434" s="14">
        <v>0</v>
      </c>
      <c r="AA434" s="4">
        <v>0</v>
      </c>
      <c r="AB434" s="4">
        <f t="shared" si="60"/>
        <v>234801.45</v>
      </c>
      <c r="AC434" s="6">
        <f t="shared" si="61"/>
        <v>0</v>
      </c>
      <c r="AD434" s="18">
        <f t="shared" si="57"/>
        <v>128462.21218159809</v>
      </c>
      <c r="AE434" s="2">
        <v>7.0000000000000007E-2</v>
      </c>
      <c r="AF434" s="5">
        <f t="shared" si="62"/>
        <v>8992.3548527118674</v>
      </c>
      <c r="AG434" s="14">
        <v>0</v>
      </c>
      <c r="AH434" s="10">
        <f t="shared" si="58"/>
        <v>234801.45</v>
      </c>
      <c r="AI434" s="16"/>
      <c r="AJ434" s="126" t="e">
        <v>#N/A</v>
      </c>
      <c r="AK434" s="80">
        <f t="shared" si="63"/>
        <v>0</v>
      </c>
      <c r="AM434" s="85"/>
    </row>
    <row r="435" spans="1:39" hidden="1" x14ac:dyDescent="0.3">
      <c r="A435" s="85" t="s">
        <v>34</v>
      </c>
      <c r="B435" s="15" t="s">
        <v>35</v>
      </c>
      <c r="C435" s="15" t="s">
        <v>65</v>
      </c>
      <c r="D435" s="15" t="s">
        <v>122</v>
      </c>
      <c r="E435" s="15" t="s">
        <v>502</v>
      </c>
      <c r="F435" s="15" t="s">
        <v>502</v>
      </c>
      <c r="G435" s="15" t="s">
        <v>502</v>
      </c>
      <c r="H435" s="154"/>
      <c r="I435" s="15" t="s">
        <v>408</v>
      </c>
      <c r="J435" s="1" t="s">
        <v>3324</v>
      </c>
      <c r="K435" s="1" t="s">
        <v>3278</v>
      </c>
      <c r="L435" s="1" t="s">
        <v>35</v>
      </c>
      <c r="M435" s="15" t="s">
        <v>503</v>
      </c>
      <c r="N435" s="15"/>
      <c r="O435" s="8" t="s">
        <v>410</v>
      </c>
      <c r="P435" s="8" t="s">
        <v>41</v>
      </c>
      <c r="Q435" s="14">
        <v>0</v>
      </c>
      <c r="R435" s="139">
        <v>1000083193</v>
      </c>
      <c r="S435" s="15"/>
      <c r="T435" s="6">
        <v>0</v>
      </c>
      <c r="U435" s="6">
        <v>210000</v>
      </c>
      <c r="V435" s="6">
        <v>197154.34999999995</v>
      </c>
      <c r="W435" s="18">
        <f t="shared" si="65"/>
        <v>12845.650000000052</v>
      </c>
      <c r="X435" s="18">
        <f t="shared" si="64"/>
        <v>197154.34999999995</v>
      </c>
      <c r="Y435" s="13">
        <f t="shared" si="59"/>
        <v>89289.241235871596</v>
      </c>
      <c r="Z435" s="14">
        <v>0</v>
      </c>
      <c r="AA435" s="4">
        <v>0</v>
      </c>
      <c r="AB435" s="4">
        <f t="shared" si="60"/>
        <v>197154.34999999995</v>
      </c>
      <c r="AC435" s="6">
        <f t="shared" si="61"/>
        <v>0</v>
      </c>
      <c r="AD435" s="18">
        <f t="shared" si="57"/>
        <v>107865.10876412835</v>
      </c>
      <c r="AE435" s="2">
        <v>7.0000000000000007E-2</v>
      </c>
      <c r="AF435" s="5">
        <f t="shared" si="62"/>
        <v>7550.5576134889852</v>
      </c>
      <c r="AG435" s="14">
        <v>0</v>
      </c>
      <c r="AH435" s="10">
        <f t="shared" si="58"/>
        <v>197154.34999999995</v>
      </c>
      <c r="AI435" s="16"/>
      <c r="AJ435" s="126" t="e">
        <v>#N/A</v>
      </c>
      <c r="AK435" s="80">
        <f t="shared" si="63"/>
        <v>0</v>
      </c>
      <c r="AM435" s="85"/>
    </row>
    <row r="436" spans="1:39" hidden="1" x14ac:dyDescent="0.3">
      <c r="A436" s="85" t="s">
        <v>34</v>
      </c>
      <c r="B436" s="15" t="s">
        <v>35</v>
      </c>
      <c r="C436" s="15" t="s">
        <v>65</v>
      </c>
      <c r="D436" s="15" t="s">
        <v>122</v>
      </c>
      <c r="E436" s="15" t="s">
        <v>502</v>
      </c>
      <c r="F436" s="15" t="s">
        <v>502</v>
      </c>
      <c r="G436" s="15" t="s">
        <v>502</v>
      </c>
      <c r="H436" s="139"/>
      <c r="I436" s="15" t="s">
        <v>408</v>
      </c>
      <c r="J436" s="1" t="s">
        <v>3324</v>
      </c>
      <c r="K436" s="1" t="s">
        <v>3278</v>
      </c>
      <c r="L436" s="1" t="s">
        <v>35</v>
      </c>
      <c r="M436" s="15" t="s">
        <v>504</v>
      </c>
      <c r="N436" s="15"/>
      <c r="O436" s="8" t="s">
        <v>45</v>
      </c>
      <c r="P436" s="8" t="s">
        <v>41</v>
      </c>
      <c r="Q436" s="14">
        <v>0</v>
      </c>
      <c r="R436" s="139">
        <v>1000099546</v>
      </c>
      <c r="S436" s="15"/>
      <c r="T436" s="6">
        <v>0</v>
      </c>
      <c r="U436" s="6">
        <v>10000</v>
      </c>
      <c r="V436" s="6">
        <v>0</v>
      </c>
      <c r="W436" s="18">
        <f t="shared" si="65"/>
        <v>10000</v>
      </c>
      <c r="X436" s="18">
        <f t="shared" si="64"/>
        <v>0</v>
      </c>
      <c r="Y436" s="13">
        <f t="shared" si="59"/>
        <v>0</v>
      </c>
      <c r="Z436" s="14">
        <v>0</v>
      </c>
      <c r="AA436" s="4">
        <v>0</v>
      </c>
      <c r="AB436" s="4">
        <f t="shared" si="60"/>
        <v>0</v>
      </c>
      <c r="AC436" s="6">
        <f t="shared" si="61"/>
        <v>0</v>
      </c>
      <c r="AD436" s="18">
        <f t="shared" si="57"/>
        <v>0</v>
      </c>
      <c r="AE436" s="2">
        <v>0.12</v>
      </c>
      <c r="AF436" s="5">
        <f t="shared" si="62"/>
        <v>0</v>
      </c>
      <c r="AG436" s="14">
        <v>0</v>
      </c>
      <c r="AH436" s="10">
        <f t="shared" si="58"/>
        <v>0</v>
      </c>
      <c r="AI436" s="16"/>
      <c r="AJ436" s="126" t="e">
        <v>#N/A</v>
      </c>
      <c r="AK436" s="80">
        <f t="shared" si="63"/>
        <v>0</v>
      </c>
      <c r="AM436" s="85"/>
    </row>
    <row r="437" spans="1:39" hidden="1" x14ac:dyDescent="0.3">
      <c r="A437" s="85" t="s">
        <v>34</v>
      </c>
      <c r="B437" s="15" t="s">
        <v>35</v>
      </c>
      <c r="C437" s="15" t="s">
        <v>65</v>
      </c>
      <c r="D437" s="15" t="s">
        <v>122</v>
      </c>
      <c r="E437" s="15" t="s">
        <v>505</v>
      </c>
      <c r="F437" s="15" t="s">
        <v>505</v>
      </c>
      <c r="G437" s="15" t="s">
        <v>505</v>
      </c>
      <c r="H437" s="139"/>
      <c r="I437" s="15" t="s">
        <v>408</v>
      </c>
      <c r="J437" s="1" t="s">
        <v>3324</v>
      </c>
      <c r="K437" s="1" t="s">
        <v>3278</v>
      </c>
      <c r="L437" s="1" t="s">
        <v>35</v>
      </c>
      <c r="M437" s="15" t="s">
        <v>506</v>
      </c>
      <c r="N437" s="15"/>
      <c r="O437" s="8" t="s">
        <v>410</v>
      </c>
      <c r="P437" s="8" t="s">
        <v>41</v>
      </c>
      <c r="Q437" s="14">
        <v>0</v>
      </c>
      <c r="R437" s="139">
        <v>1000098805</v>
      </c>
      <c r="S437" s="15"/>
      <c r="T437" s="6">
        <v>0</v>
      </c>
      <c r="U437" s="6">
        <v>20000</v>
      </c>
      <c r="V437" s="6">
        <v>0</v>
      </c>
      <c r="W437" s="18">
        <f t="shared" si="65"/>
        <v>20000</v>
      </c>
      <c r="X437" s="18">
        <f t="shared" si="64"/>
        <v>0</v>
      </c>
      <c r="Y437" s="13">
        <f t="shared" si="59"/>
        <v>0</v>
      </c>
      <c r="Z437" s="14">
        <v>0</v>
      </c>
      <c r="AA437" s="4">
        <v>0</v>
      </c>
      <c r="AB437" s="4">
        <f t="shared" si="60"/>
        <v>0</v>
      </c>
      <c r="AC437" s="6">
        <f t="shared" si="61"/>
        <v>0</v>
      </c>
      <c r="AD437" s="18">
        <f t="shared" ref="AD437:AD500" si="66">V437*0.547109961125019</f>
        <v>0</v>
      </c>
      <c r="AE437" s="2">
        <v>7.0000000000000007E-2</v>
      </c>
      <c r="AF437" s="5">
        <f t="shared" si="62"/>
        <v>0</v>
      </c>
      <c r="AG437" s="14">
        <v>0</v>
      </c>
      <c r="AH437" s="10">
        <f t="shared" ref="AH437:AH500" si="67">V437</f>
        <v>0</v>
      </c>
      <c r="AI437" s="16"/>
      <c r="AJ437" s="126" t="e">
        <v>#N/A</v>
      </c>
      <c r="AK437" s="80">
        <f t="shared" si="63"/>
        <v>0</v>
      </c>
      <c r="AM437" s="85"/>
    </row>
    <row r="438" spans="1:39" hidden="1" x14ac:dyDescent="0.3">
      <c r="A438" s="85" t="s">
        <v>34</v>
      </c>
      <c r="B438" s="15" t="s">
        <v>35</v>
      </c>
      <c r="C438" s="15" t="s">
        <v>65</v>
      </c>
      <c r="D438" s="15" t="s">
        <v>122</v>
      </c>
      <c r="E438" s="15" t="s">
        <v>507</v>
      </c>
      <c r="F438" s="15" t="s">
        <v>507</v>
      </c>
      <c r="G438" s="15" t="s">
        <v>507</v>
      </c>
      <c r="H438" s="139"/>
      <c r="I438" s="15" t="s">
        <v>408</v>
      </c>
      <c r="J438" s="1" t="s">
        <v>3324</v>
      </c>
      <c r="K438" s="1" t="s">
        <v>3278</v>
      </c>
      <c r="L438" s="1" t="s">
        <v>35</v>
      </c>
      <c r="M438" s="15" t="s">
        <v>508</v>
      </c>
      <c r="N438" s="15"/>
      <c r="O438" s="8" t="s">
        <v>410</v>
      </c>
      <c r="P438" s="8" t="s">
        <v>41</v>
      </c>
      <c r="Q438" s="14">
        <v>0</v>
      </c>
      <c r="R438" s="139">
        <v>1000101280</v>
      </c>
      <c r="S438" s="15"/>
      <c r="T438" s="6">
        <v>0</v>
      </c>
      <c r="U438" s="6">
        <v>5000</v>
      </c>
      <c r="V438" s="6">
        <v>0</v>
      </c>
      <c r="W438" s="18">
        <f t="shared" si="65"/>
        <v>5000</v>
      </c>
      <c r="X438" s="18">
        <f t="shared" si="64"/>
        <v>0</v>
      </c>
      <c r="Y438" s="13">
        <f t="shared" si="59"/>
        <v>0</v>
      </c>
      <c r="Z438" s="14">
        <v>0</v>
      </c>
      <c r="AA438" s="4">
        <v>0</v>
      </c>
      <c r="AB438" s="4">
        <f t="shared" si="60"/>
        <v>0</v>
      </c>
      <c r="AC438" s="6">
        <f t="shared" si="61"/>
        <v>0</v>
      </c>
      <c r="AD438" s="18">
        <f t="shared" si="66"/>
        <v>0</v>
      </c>
      <c r="AE438" s="2">
        <v>7.0000000000000007E-2</v>
      </c>
      <c r="AF438" s="5">
        <f t="shared" si="62"/>
        <v>0</v>
      </c>
      <c r="AG438" s="14">
        <v>0</v>
      </c>
      <c r="AH438" s="10">
        <f t="shared" si="67"/>
        <v>0</v>
      </c>
      <c r="AI438" s="16"/>
      <c r="AJ438" s="126" t="e">
        <v>#N/A</v>
      </c>
      <c r="AK438" s="80">
        <f t="shared" si="63"/>
        <v>0</v>
      </c>
      <c r="AM438" s="85"/>
    </row>
    <row r="439" spans="1:39" hidden="1" x14ac:dyDescent="0.3">
      <c r="A439" s="85" t="s">
        <v>34</v>
      </c>
      <c r="B439" s="15" t="s">
        <v>35</v>
      </c>
      <c r="C439" s="15" t="s">
        <v>65</v>
      </c>
      <c r="D439" s="15" t="s">
        <v>122</v>
      </c>
      <c r="E439" s="15" t="s">
        <v>507</v>
      </c>
      <c r="F439" s="15" t="s">
        <v>507</v>
      </c>
      <c r="G439" s="15" t="s">
        <v>507</v>
      </c>
      <c r="H439" s="139"/>
      <c r="I439" s="15" t="s">
        <v>408</v>
      </c>
      <c r="J439" s="1" t="s">
        <v>3324</v>
      </c>
      <c r="K439" s="1" t="s">
        <v>3278</v>
      </c>
      <c r="L439" s="1" t="s">
        <v>35</v>
      </c>
      <c r="M439" s="15" t="s">
        <v>509</v>
      </c>
      <c r="N439" s="15"/>
      <c r="O439" s="8" t="s">
        <v>410</v>
      </c>
      <c r="P439" s="8" t="s">
        <v>41</v>
      </c>
      <c r="Q439" s="14">
        <v>0</v>
      </c>
      <c r="R439" s="139">
        <v>1000101348</v>
      </c>
      <c r="S439" s="15"/>
      <c r="T439" s="6">
        <v>0</v>
      </c>
      <c r="U439" s="6">
        <v>5000</v>
      </c>
      <c r="V439" s="6">
        <v>0</v>
      </c>
      <c r="W439" s="18">
        <f t="shared" si="65"/>
        <v>5000</v>
      </c>
      <c r="X439" s="18">
        <f t="shared" si="64"/>
        <v>0</v>
      </c>
      <c r="Y439" s="13">
        <f t="shared" si="59"/>
        <v>0</v>
      </c>
      <c r="Z439" s="14">
        <v>0</v>
      </c>
      <c r="AA439" s="4">
        <v>0</v>
      </c>
      <c r="AB439" s="4">
        <f t="shared" si="60"/>
        <v>0</v>
      </c>
      <c r="AC439" s="6">
        <f t="shared" si="61"/>
        <v>0</v>
      </c>
      <c r="AD439" s="18">
        <f t="shared" si="66"/>
        <v>0</v>
      </c>
      <c r="AE439" s="2">
        <v>7.0000000000000007E-2</v>
      </c>
      <c r="AF439" s="5">
        <f t="shared" si="62"/>
        <v>0</v>
      </c>
      <c r="AG439" s="14">
        <v>0</v>
      </c>
      <c r="AH439" s="10">
        <f t="shared" si="67"/>
        <v>0</v>
      </c>
      <c r="AI439" s="16"/>
      <c r="AJ439" s="126" t="e">
        <v>#N/A</v>
      </c>
      <c r="AK439" s="80">
        <f t="shared" si="63"/>
        <v>0</v>
      </c>
      <c r="AM439" s="85"/>
    </row>
    <row r="440" spans="1:39" hidden="1" x14ac:dyDescent="0.3">
      <c r="A440" s="85" t="s">
        <v>34</v>
      </c>
      <c r="B440" s="15" t="s">
        <v>35</v>
      </c>
      <c r="C440" s="15" t="s">
        <v>65</v>
      </c>
      <c r="D440" s="15" t="s">
        <v>122</v>
      </c>
      <c r="E440" s="15" t="s">
        <v>507</v>
      </c>
      <c r="F440" s="15" t="s">
        <v>507</v>
      </c>
      <c r="G440" s="15" t="s">
        <v>507</v>
      </c>
      <c r="H440" s="154"/>
      <c r="I440" s="15" t="s">
        <v>408</v>
      </c>
      <c r="J440" s="1" t="s">
        <v>3324</v>
      </c>
      <c r="K440" s="1" t="s">
        <v>3278</v>
      </c>
      <c r="L440" s="1" t="s">
        <v>35</v>
      </c>
      <c r="M440" s="15" t="s">
        <v>510</v>
      </c>
      <c r="N440" s="15"/>
      <c r="O440" s="8" t="s">
        <v>410</v>
      </c>
      <c r="P440" s="8" t="s">
        <v>41</v>
      </c>
      <c r="Q440" s="14">
        <v>0</v>
      </c>
      <c r="R440" s="139">
        <v>1000043878</v>
      </c>
      <c r="S440" s="15"/>
      <c r="T440" s="6">
        <v>0</v>
      </c>
      <c r="U440" s="6">
        <v>150000</v>
      </c>
      <c r="V440" s="6">
        <v>136235.57</v>
      </c>
      <c r="W440" s="18">
        <f t="shared" si="65"/>
        <v>13764.429999999993</v>
      </c>
      <c r="X440" s="18">
        <f t="shared" si="64"/>
        <v>136235.57</v>
      </c>
      <c r="Y440" s="13">
        <f t="shared" si="59"/>
        <v>61699.732593455206</v>
      </c>
      <c r="Z440" s="14">
        <v>0</v>
      </c>
      <c r="AA440" s="4">
        <v>0</v>
      </c>
      <c r="AB440" s="4">
        <f t="shared" si="60"/>
        <v>136235.57</v>
      </c>
      <c r="AC440" s="6">
        <f t="shared" si="61"/>
        <v>0</v>
      </c>
      <c r="AD440" s="18">
        <f t="shared" si="66"/>
        <v>74535.837406544801</v>
      </c>
      <c r="AE440" s="2">
        <v>7.0000000000000007E-2</v>
      </c>
      <c r="AF440" s="5">
        <f t="shared" si="62"/>
        <v>5217.5086184581369</v>
      </c>
      <c r="AG440" s="14">
        <v>0</v>
      </c>
      <c r="AH440" s="10">
        <f t="shared" si="67"/>
        <v>136235.57</v>
      </c>
      <c r="AI440" s="16"/>
      <c r="AJ440" s="126" t="e">
        <v>#N/A</v>
      </c>
      <c r="AK440" s="80">
        <f t="shared" si="63"/>
        <v>0</v>
      </c>
      <c r="AM440" s="85"/>
    </row>
    <row r="441" spans="1:39" hidden="1" x14ac:dyDescent="0.3">
      <c r="A441" s="85" t="s">
        <v>34</v>
      </c>
      <c r="B441" s="15" t="s">
        <v>35</v>
      </c>
      <c r="C441" s="15" t="s">
        <v>65</v>
      </c>
      <c r="D441" s="15" t="s">
        <v>122</v>
      </c>
      <c r="E441" s="15" t="s">
        <v>511</v>
      </c>
      <c r="F441" s="15" t="s">
        <v>511</v>
      </c>
      <c r="G441" s="15" t="s">
        <v>511</v>
      </c>
      <c r="H441" s="139"/>
      <c r="I441" s="15" t="s">
        <v>408</v>
      </c>
      <c r="J441" s="1" t="s">
        <v>3324</v>
      </c>
      <c r="K441" s="1" t="s">
        <v>3278</v>
      </c>
      <c r="L441" s="1" t="s">
        <v>35</v>
      </c>
      <c r="M441" s="15" t="s">
        <v>512</v>
      </c>
      <c r="N441" s="15"/>
      <c r="O441" s="8" t="s">
        <v>410</v>
      </c>
      <c r="P441" s="8" t="s">
        <v>46</v>
      </c>
      <c r="Q441" s="14">
        <v>0.03</v>
      </c>
      <c r="R441" s="139">
        <v>1000046591</v>
      </c>
      <c r="S441" s="15"/>
      <c r="T441" s="6">
        <v>144.779999999995</v>
      </c>
      <c r="U441" s="6">
        <v>-144.78</v>
      </c>
      <c r="V441" s="6">
        <v>0</v>
      </c>
      <c r="W441" s="18">
        <f t="shared" si="65"/>
        <v>-5.0022208597511053E-12</v>
      </c>
      <c r="X441" s="18">
        <f t="shared" si="64"/>
        <v>0</v>
      </c>
      <c r="Y441" s="13">
        <f t="shared" si="59"/>
        <v>0</v>
      </c>
      <c r="Z441" s="14">
        <v>0</v>
      </c>
      <c r="AA441" s="4">
        <v>0</v>
      </c>
      <c r="AB441" s="4">
        <f t="shared" si="60"/>
        <v>0</v>
      </c>
      <c r="AC441" s="6">
        <f t="shared" si="61"/>
        <v>0</v>
      </c>
      <c r="AD441" s="18">
        <f t="shared" si="66"/>
        <v>0</v>
      </c>
      <c r="AE441" s="2">
        <v>7.0000000000000007E-2</v>
      </c>
      <c r="AF441" s="5">
        <f t="shared" si="62"/>
        <v>0</v>
      </c>
      <c r="AG441" s="14">
        <v>0</v>
      </c>
      <c r="AH441" s="10">
        <f t="shared" si="67"/>
        <v>0</v>
      </c>
      <c r="AI441" s="16"/>
      <c r="AJ441" s="126" t="e">
        <v>#N/A</v>
      </c>
      <c r="AK441" s="80">
        <f t="shared" si="63"/>
        <v>0</v>
      </c>
      <c r="AM441" s="85"/>
    </row>
    <row r="442" spans="1:39" hidden="1" x14ac:dyDescent="0.3">
      <c r="A442" s="85" t="s">
        <v>34</v>
      </c>
      <c r="B442" s="15" t="s">
        <v>35</v>
      </c>
      <c r="C442" s="15" t="s">
        <v>65</v>
      </c>
      <c r="D442" s="15" t="s">
        <v>125</v>
      </c>
      <c r="E442" s="15" t="s">
        <v>513</v>
      </c>
      <c r="F442" s="15" t="s">
        <v>513</v>
      </c>
      <c r="G442" s="15" t="s">
        <v>513</v>
      </c>
      <c r="H442" s="139"/>
      <c r="I442" s="15" t="s">
        <v>408</v>
      </c>
      <c r="J442" s="1" t="s">
        <v>3324</v>
      </c>
      <c r="K442" s="1" t="s">
        <v>3278</v>
      </c>
      <c r="L442" s="1" t="s">
        <v>35</v>
      </c>
      <c r="M442" s="15" t="s">
        <v>514</v>
      </c>
      <c r="N442" s="15"/>
      <c r="O442" s="8" t="s">
        <v>410</v>
      </c>
      <c r="P442" s="8" t="s">
        <v>46</v>
      </c>
      <c r="Q442" s="14">
        <v>0.04</v>
      </c>
      <c r="R442" s="139">
        <v>1000091817</v>
      </c>
      <c r="S442" s="15"/>
      <c r="T442" s="6">
        <v>0</v>
      </c>
      <c r="U442" s="6">
        <v>0</v>
      </c>
      <c r="V442" s="6">
        <v>0</v>
      </c>
      <c r="W442" s="18">
        <f t="shared" si="65"/>
        <v>0</v>
      </c>
      <c r="X442" s="18">
        <f t="shared" si="64"/>
        <v>0</v>
      </c>
      <c r="Y442" s="13">
        <f t="shared" si="59"/>
        <v>0</v>
      </c>
      <c r="Z442" s="14">
        <v>0</v>
      </c>
      <c r="AA442" s="4">
        <v>0</v>
      </c>
      <c r="AB442" s="4">
        <f t="shared" si="60"/>
        <v>0</v>
      </c>
      <c r="AC442" s="6">
        <f t="shared" si="61"/>
        <v>0</v>
      </c>
      <c r="AD442" s="18">
        <f t="shared" si="66"/>
        <v>0</v>
      </c>
      <c r="AE442" s="2">
        <v>7.0000000000000007E-2</v>
      </c>
      <c r="AF442" s="5">
        <f t="shared" si="62"/>
        <v>0</v>
      </c>
      <c r="AG442" s="14">
        <v>0</v>
      </c>
      <c r="AH442" s="10">
        <f t="shared" si="67"/>
        <v>0</v>
      </c>
      <c r="AI442" s="16"/>
      <c r="AJ442" s="126" t="e">
        <v>#N/A</v>
      </c>
      <c r="AK442" s="80">
        <f t="shared" si="63"/>
        <v>0</v>
      </c>
      <c r="AM442" s="85"/>
    </row>
    <row r="443" spans="1:39" hidden="1" x14ac:dyDescent="0.3">
      <c r="A443" s="85" t="s">
        <v>34</v>
      </c>
      <c r="B443" s="15" t="s">
        <v>35</v>
      </c>
      <c r="C443" s="15" t="s">
        <v>65</v>
      </c>
      <c r="D443" s="15" t="s">
        <v>125</v>
      </c>
      <c r="E443" s="15" t="s">
        <v>515</v>
      </c>
      <c r="F443" s="15" t="s">
        <v>515</v>
      </c>
      <c r="G443" s="15" t="s">
        <v>515</v>
      </c>
      <c r="H443" s="154"/>
      <c r="I443" s="15" t="s">
        <v>408</v>
      </c>
      <c r="J443" s="1" t="s">
        <v>3324</v>
      </c>
      <c r="K443" s="1" t="s">
        <v>3278</v>
      </c>
      <c r="L443" s="1" t="s">
        <v>35</v>
      </c>
      <c r="M443" s="15" t="s">
        <v>516</v>
      </c>
      <c r="N443" s="15"/>
      <c r="O443" s="8" t="s">
        <v>410</v>
      </c>
      <c r="P443" s="8" t="s">
        <v>46</v>
      </c>
      <c r="Q443" s="14">
        <v>0.01</v>
      </c>
      <c r="R443" s="139">
        <v>1000055366</v>
      </c>
      <c r="S443" s="15"/>
      <c r="T443" s="6">
        <v>0</v>
      </c>
      <c r="U443" s="6">
        <v>50200</v>
      </c>
      <c r="V443" s="6">
        <v>42877.49</v>
      </c>
      <c r="W443" s="18">
        <f t="shared" si="65"/>
        <v>7322.510000000002</v>
      </c>
      <c r="X443" s="18">
        <f t="shared" si="64"/>
        <v>42452.960396039598</v>
      </c>
      <c r="Y443" s="13">
        <f t="shared" si="59"/>
        <v>18994.258509001211</v>
      </c>
      <c r="Z443" s="14">
        <v>0</v>
      </c>
      <c r="AA443" s="4">
        <v>0</v>
      </c>
      <c r="AB443" s="4">
        <v>42452.960396039598</v>
      </c>
      <c r="AC443" s="6">
        <f t="shared" si="61"/>
        <v>424.52960396039998</v>
      </c>
      <c r="AD443" s="18">
        <f t="shared" si="66"/>
        <v>23458.701887038387</v>
      </c>
      <c r="AE443" s="2">
        <v>7.0000000000000007E-2</v>
      </c>
      <c r="AF443" s="5">
        <f t="shared" si="62"/>
        <v>1642.1091320926873</v>
      </c>
      <c r="AG443" s="14">
        <v>0</v>
      </c>
      <c r="AH443" s="10">
        <f t="shared" si="67"/>
        <v>42877.49</v>
      </c>
      <c r="AI443" s="16"/>
      <c r="AJ443" s="126" t="s">
        <v>4216</v>
      </c>
      <c r="AK443" s="80">
        <f t="shared" si="63"/>
        <v>0</v>
      </c>
      <c r="AM443" s="85"/>
    </row>
    <row r="444" spans="1:39" hidden="1" x14ac:dyDescent="0.3">
      <c r="A444" s="85" t="s">
        <v>34</v>
      </c>
      <c r="B444" s="15" t="s">
        <v>35</v>
      </c>
      <c r="C444" s="15" t="s">
        <v>47</v>
      </c>
      <c r="D444" s="15" t="s">
        <v>63</v>
      </c>
      <c r="E444" s="15" t="s">
        <v>517</v>
      </c>
      <c r="F444" s="15" t="s">
        <v>518</v>
      </c>
      <c r="G444" s="15" t="s">
        <v>517</v>
      </c>
      <c r="H444" s="154"/>
      <c r="I444" s="15" t="s">
        <v>408</v>
      </c>
      <c r="J444" s="1" t="s">
        <v>3324</v>
      </c>
      <c r="K444" s="1" t="s">
        <v>3278</v>
      </c>
      <c r="L444" s="1" t="s">
        <v>35</v>
      </c>
      <c r="M444" s="15" t="s">
        <v>519</v>
      </c>
      <c r="N444" s="15"/>
      <c r="O444" s="8" t="s">
        <v>410</v>
      </c>
      <c r="P444" s="8" t="s">
        <v>41</v>
      </c>
      <c r="Q444" s="14">
        <v>0</v>
      </c>
      <c r="R444" s="139">
        <v>1000101133</v>
      </c>
      <c r="S444" s="15"/>
      <c r="T444" s="6">
        <v>0</v>
      </c>
      <c r="U444" s="6">
        <v>50000</v>
      </c>
      <c r="V444" s="6">
        <v>21941.5</v>
      </c>
      <c r="W444" s="18">
        <f t="shared" si="65"/>
        <v>28058.5</v>
      </c>
      <c r="X444" s="18">
        <f t="shared" si="64"/>
        <v>21941.5</v>
      </c>
      <c r="Y444" s="13">
        <f t="shared" si="59"/>
        <v>9937.0867879753969</v>
      </c>
      <c r="Z444" s="14">
        <v>0</v>
      </c>
      <c r="AA444" s="4">
        <v>0</v>
      </c>
      <c r="AB444" s="4">
        <f t="shared" si="60"/>
        <v>21941.5</v>
      </c>
      <c r="AC444" s="6">
        <f t="shared" si="61"/>
        <v>0</v>
      </c>
      <c r="AD444" s="18">
        <f t="shared" si="66"/>
        <v>12004.413212024603</v>
      </c>
      <c r="AE444" s="2">
        <v>7.0000000000000007E-2</v>
      </c>
      <c r="AF444" s="5">
        <f t="shared" si="62"/>
        <v>840.30892484172227</v>
      </c>
      <c r="AG444" s="14">
        <v>0</v>
      </c>
      <c r="AH444" s="10">
        <f t="shared" si="67"/>
        <v>21941.5</v>
      </c>
      <c r="AI444" s="16"/>
      <c r="AJ444" s="126" t="e">
        <v>#N/A</v>
      </c>
      <c r="AK444" s="80">
        <f t="shared" si="63"/>
        <v>0</v>
      </c>
      <c r="AM444" s="85"/>
    </row>
    <row r="445" spans="1:39" hidden="1" x14ac:dyDescent="0.3">
      <c r="A445" s="85" t="s">
        <v>34</v>
      </c>
      <c r="B445" s="15" t="s">
        <v>35</v>
      </c>
      <c r="C445" s="15" t="s">
        <v>47</v>
      </c>
      <c r="D445" s="15" t="s">
        <v>63</v>
      </c>
      <c r="E445" s="15" t="s">
        <v>520</v>
      </c>
      <c r="F445" s="15" t="s">
        <v>520</v>
      </c>
      <c r="G445" s="15" t="s">
        <v>520</v>
      </c>
      <c r="H445" s="139"/>
      <c r="I445" s="15" t="s">
        <v>408</v>
      </c>
      <c r="J445" s="1" t="s">
        <v>3324</v>
      </c>
      <c r="K445" s="1" t="s">
        <v>3278</v>
      </c>
      <c r="L445" s="1" t="s">
        <v>35</v>
      </c>
      <c r="M445" s="15" t="s">
        <v>520</v>
      </c>
      <c r="N445" s="15"/>
      <c r="O445" s="8" t="s">
        <v>45</v>
      </c>
      <c r="P445" s="8" t="s">
        <v>46</v>
      </c>
      <c r="Q445" s="14">
        <v>0.04</v>
      </c>
      <c r="R445" s="139">
        <v>1000017676</v>
      </c>
      <c r="S445" s="15"/>
      <c r="T445" s="6">
        <v>0</v>
      </c>
      <c r="U445" s="6">
        <v>0</v>
      </c>
      <c r="V445" s="6">
        <v>0</v>
      </c>
      <c r="W445" s="18">
        <f t="shared" si="65"/>
        <v>0</v>
      </c>
      <c r="X445" s="18">
        <f t="shared" si="64"/>
        <v>0</v>
      </c>
      <c r="Y445" s="13">
        <f t="shared" si="59"/>
        <v>0</v>
      </c>
      <c r="Z445" s="14">
        <v>0</v>
      </c>
      <c r="AA445" s="4">
        <v>0</v>
      </c>
      <c r="AB445" s="4">
        <f t="shared" si="60"/>
        <v>0</v>
      </c>
      <c r="AC445" s="6">
        <f t="shared" si="61"/>
        <v>0</v>
      </c>
      <c r="AD445" s="18">
        <f t="shared" si="66"/>
        <v>0</v>
      </c>
      <c r="AE445" s="2">
        <v>0.12</v>
      </c>
      <c r="AF445" s="5">
        <f t="shared" si="62"/>
        <v>0</v>
      </c>
      <c r="AG445" s="14">
        <v>0</v>
      </c>
      <c r="AH445" s="10">
        <f t="shared" si="67"/>
        <v>0</v>
      </c>
      <c r="AI445" s="16"/>
      <c r="AJ445" s="126" t="e">
        <v>#N/A</v>
      </c>
      <c r="AK445" s="80">
        <f t="shared" si="63"/>
        <v>0</v>
      </c>
      <c r="AM445" s="85"/>
    </row>
    <row r="446" spans="1:39" hidden="1" x14ac:dyDescent="0.3">
      <c r="A446" s="85" t="s">
        <v>34</v>
      </c>
      <c r="B446" s="15" t="s">
        <v>35</v>
      </c>
      <c r="C446" s="15" t="s">
        <v>47</v>
      </c>
      <c r="D446" s="15" t="s">
        <v>63</v>
      </c>
      <c r="E446" s="15" t="s">
        <v>521</v>
      </c>
      <c r="F446" s="15" t="s">
        <v>522</v>
      </c>
      <c r="G446" s="15" t="s">
        <v>521</v>
      </c>
      <c r="H446" s="154"/>
      <c r="I446" s="15" t="s">
        <v>408</v>
      </c>
      <c r="J446" s="1" t="s">
        <v>3324</v>
      </c>
      <c r="K446" s="1" t="s">
        <v>3278</v>
      </c>
      <c r="L446" s="1" t="s">
        <v>35</v>
      </c>
      <c r="M446" s="15" t="s">
        <v>523</v>
      </c>
      <c r="N446" s="15"/>
      <c r="O446" s="8" t="s">
        <v>410</v>
      </c>
      <c r="P446" s="8" t="s">
        <v>46</v>
      </c>
      <c r="Q446" s="14">
        <v>0.02</v>
      </c>
      <c r="R446" s="139">
        <v>1000043414</v>
      </c>
      <c r="S446" s="15"/>
      <c r="T446" s="6">
        <v>0</v>
      </c>
      <c r="U446" s="6">
        <v>308000</v>
      </c>
      <c r="V446" s="6">
        <v>260130.29</v>
      </c>
      <c r="W446" s="18">
        <f t="shared" si="65"/>
        <v>47869.709999999992</v>
      </c>
      <c r="X446" s="18">
        <f t="shared" si="64"/>
        <v>255029.69607843139</v>
      </c>
      <c r="Y446" s="13">
        <f t="shared" si="59"/>
        <v>112709.82322909147</v>
      </c>
      <c r="Z446" s="14">
        <v>0</v>
      </c>
      <c r="AA446" s="4">
        <v>0</v>
      </c>
      <c r="AB446" s="4">
        <f t="shared" si="60"/>
        <v>255029.69607843139</v>
      </c>
      <c r="AC446" s="6">
        <f t="shared" si="61"/>
        <v>5100.593921568623</v>
      </c>
      <c r="AD446" s="18">
        <f t="shared" si="66"/>
        <v>142319.87284933991</v>
      </c>
      <c r="AE446" s="2">
        <v>7.0000000000000007E-2</v>
      </c>
      <c r="AF446" s="5">
        <f t="shared" si="62"/>
        <v>9962.3910994537946</v>
      </c>
      <c r="AG446" s="14">
        <v>0</v>
      </c>
      <c r="AH446" s="10">
        <f t="shared" si="67"/>
        <v>260130.29</v>
      </c>
      <c r="AI446" s="16"/>
      <c r="AJ446" s="126" t="e">
        <v>#N/A</v>
      </c>
      <c r="AK446" s="80">
        <f t="shared" si="63"/>
        <v>0</v>
      </c>
      <c r="AM446" s="85"/>
    </row>
    <row r="447" spans="1:39" hidden="1" x14ac:dyDescent="0.3">
      <c r="A447" s="85" t="s">
        <v>34</v>
      </c>
      <c r="B447" s="15" t="s">
        <v>35</v>
      </c>
      <c r="C447" s="15" t="s">
        <v>47</v>
      </c>
      <c r="D447" s="15" t="s">
        <v>63</v>
      </c>
      <c r="E447" s="15" t="s">
        <v>521</v>
      </c>
      <c r="F447" s="15" t="s">
        <v>522</v>
      </c>
      <c r="G447" s="15" t="s">
        <v>521</v>
      </c>
      <c r="H447" s="154"/>
      <c r="I447" s="15" t="s">
        <v>408</v>
      </c>
      <c r="J447" s="1" t="s">
        <v>3324</v>
      </c>
      <c r="K447" s="1" t="s">
        <v>3278</v>
      </c>
      <c r="L447" s="1" t="s">
        <v>35</v>
      </c>
      <c r="M447" s="15" t="s">
        <v>524</v>
      </c>
      <c r="N447" s="15"/>
      <c r="O447" s="8" t="s">
        <v>45</v>
      </c>
      <c r="P447" s="8" t="s">
        <v>46</v>
      </c>
      <c r="Q447" s="14">
        <v>0.02</v>
      </c>
      <c r="R447" s="139">
        <v>1000081855</v>
      </c>
      <c r="S447" s="15"/>
      <c r="T447" s="6">
        <v>0</v>
      </c>
      <c r="U447" s="6">
        <v>12000</v>
      </c>
      <c r="V447" s="6">
        <v>9408.7899999999991</v>
      </c>
      <c r="W447" s="18">
        <f t="shared" si="65"/>
        <v>2591.2100000000009</v>
      </c>
      <c r="X447" s="18">
        <f t="shared" si="64"/>
        <v>9224.3039215686258</v>
      </c>
      <c r="Y447" s="13">
        <f t="shared" si="59"/>
        <v>4076.6611904351594</v>
      </c>
      <c r="Z447" s="14">
        <v>0</v>
      </c>
      <c r="AA447" s="4">
        <v>0</v>
      </c>
      <c r="AB447" s="4">
        <f t="shared" si="60"/>
        <v>9224.3039215686258</v>
      </c>
      <c r="AC447" s="6">
        <f t="shared" si="61"/>
        <v>184.48607843137324</v>
      </c>
      <c r="AD447" s="18">
        <f t="shared" si="66"/>
        <v>5147.6427311334664</v>
      </c>
      <c r="AE447" s="2">
        <v>0.12</v>
      </c>
      <c r="AF447" s="5">
        <f t="shared" si="62"/>
        <v>617.71712773601598</v>
      </c>
      <c r="AG447" s="14">
        <v>0</v>
      </c>
      <c r="AH447" s="10">
        <f t="shared" si="67"/>
        <v>9408.7899999999991</v>
      </c>
      <c r="AI447" s="16"/>
      <c r="AJ447" s="126" t="e">
        <v>#N/A</v>
      </c>
      <c r="AK447" s="80">
        <f t="shared" si="63"/>
        <v>0</v>
      </c>
      <c r="AM447" s="85"/>
    </row>
    <row r="448" spans="1:39" hidden="1" x14ac:dyDescent="0.3">
      <c r="A448" s="85" t="s">
        <v>34</v>
      </c>
      <c r="B448" s="15" t="s">
        <v>35</v>
      </c>
      <c r="C448" s="15" t="s">
        <v>47</v>
      </c>
      <c r="D448" s="15" t="s">
        <v>63</v>
      </c>
      <c r="E448" s="15" t="s">
        <v>525</v>
      </c>
      <c r="F448" s="15" t="s">
        <v>525</v>
      </c>
      <c r="G448" s="15" t="s">
        <v>525</v>
      </c>
      <c r="H448" s="154"/>
      <c r="I448" s="15" t="s">
        <v>408</v>
      </c>
      <c r="J448" s="1" t="s">
        <v>3324</v>
      </c>
      <c r="K448" s="1" t="s">
        <v>3278</v>
      </c>
      <c r="L448" s="1" t="s">
        <v>35</v>
      </c>
      <c r="M448" s="15" t="s">
        <v>526</v>
      </c>
      <c r="N448" s="15"/>
      <c r="O448" s="8" t="s">
        <v>410</v>
      </c>
      <c r="P448" s="8" t="s">
        <v>41</v>
      </c>
      <c r="Q448" s="14">
        <v>0</v>
      </c>
      <c r="R448" s="139">
        <v>1000094151</v>
      </c>
      <c r="S448" s="15"/>
      <c r="T448" s="6">
        <v>17972.089999999997</v>
      </c>
      <c r="U448" s="6">
        <v>115000</v>
      </c>
      <c r="V448" s="6">
        <v>107886.54999999999</v>
      </c>
      <c r="W448" s="18">
        <f t="shared" si="65"/>
        <v>25085.540000000008</v>
      </c>
      <c r="X448" s="18">
        <f t="shared" si="64"/>
        <v>107886.54999999999</v>
      </c>
      <c r="Y448" s="13">
        <f t="shared" si="59"/>
        <v>48860.743823587582</v>
      </c>
      <c r="Z448" s="14">
        <v>0</v>
      </c>
      <c r="AA448" s="4">
        <v>0</v>
      </c>
      <c r="AB448" s="4">
        <f t="shared" si="60"/>
        <v>107886.54999999999</v>
      </c>
      <c r="AC448" s="6">
        <f t="shared" si="61"/>
        <v>0</v>
      </c>
      <c r="AD448" s="18">
        <f t="shared" si="66"/>
        <v>59025.806176412407</v>
      </c>
      <c r="AE448" s="2">
        <v>7.0000000000000007E-2</v>
      </c>
      <c r="AF448" s="5">
        <f t="shared" si="62"/>
        <v>4131.8064323488688</v>
      </c>
      <c r="AG448" s="14">
        <v>0</v>
      </c>
      <c r="AH448" s="10">
        <f t="shared" si="67"/>
        <v>107886.54999999999</v>
      </c>
      <c r="AI448" s="16"/>
      <c r="AJ448" s="126" t="e">
        <v>#N/A</v>
      </c>
      <c r="AK448" s="80">
        <f t="shared" si="63"/>
        <v>0</v>
      </c>
      <c r="AM448" s="85"/>
    </row>
    <row r="449" spans="1:39" hidden="1" x14ac:dyDescent="0.3">
      <c r="A449" s="85" t="s">
        <v>34</v>
      </c>
      <c r="B449" s="15" t="s">
        <v>35</v>
      </c>
      <c r="C449" s="15" t="s">
        <v>47</v>
      </c>
      <c r="D449" s="15" t="s">
        <v>63</v>
      </c>
      <c r="E449" s="15" t="s">
        <v>525</v>
      </c>
      <c r="F449" s="15" t="s">
        <v>525</v>
      </c>
      <c r="G449" s="15" t="s">
        <v>525</v>
      </c>
      <c r="H449" s="154"/>
      <c r="I449" s="15" t="s">
        <v>408</v>
      </c>
      <c r="J449" s="1" t="s">
        <v>3324</v>
      </c>
      <c r="K449" s="1" t="s">
        <v>3278</v>
      </c>
      <c r="L449" s="1" t="s">
        <v>35</v>
      </c>
      <c r="M449" s="15" t="s">
        <v>527</v>
      </c>
      <c r="N449" s="15"/>
      <c r="O449" s="8" t="s">
        <v>410</v>
      </c>
      <c r="P449" s="8" t="s">
        <v>41</v>
      </c>
      <c r="Q449" s="14">
        <v>0</v>
      </c>
      <c r="R449" s="139">
        <v>1000094152</v>
      </c>
      <c r="S449" s="15"/>
      <c r="T449" s="6">
        <v>35275.039999999921</v>
      </c>
      <c r="U449" s="6">
        <v>110000</v>
      </c>
      <c r="V449" s="6">
        <v>118520.11000000003</v>
      </c>
      <c r="W449" s="18">
        <f t="shared" si="65"/>
        <v>26754.929999999891</v>
      </c>
      <c r="X449" s="18">
        <f t="shared" si="64"/>
        <v>118520.11000000003</v>
      </c>
      <c r="Y449" s="13">
        <f t="shared" si="59"/>
        <v>53676.577225367044</v>
      </c>
      <c r="Z449" s="14">
        <v>0</v>
      </c>
      <c r="AA449" s="4">
        <v>0</v>
      </c>
      <c r="AB449" s="4">
        <f t="shared" si="60"/>
        <v>118520.11000000003</v>
      </c>
      <c r="AC449" s="6">
        <f t="shared" si="61"/>
        <v>0</v>
      </c>
      <c r="AD449" s="18">
        <f t="shared" si="66"/>
        <v>64843.532774632986</v>
      </c>
      <c r="AE449" s="2">
        <v>7.0000000000000007E-2</v>
      </c>
      <c r="AF449" s="5">
        <f t="shared" si="62"/>
        <v>4539.0472942243096</v>
      </c>
      <c r="AG449" s="14">
        <v>0</v>
      </c>
      <c r="AH449" s="10">
        <f t="shared" si="67"/>
        <v>118520.11000000003</v>
      </c>
      <c r="AI449" s="16"/>
      <c r="AJ449" s="126" t="e">
        <v>#N/A</v>
      </c>
      <c r="AK449" s="80">
        <f t="shared" si="63"/>
        <v>0</v>
      </c>
      <c r="AM449" s="85"/>
    </row>
    <row r="450" spans="1:39" hidden="1" x14ac:dyDescent="0.3">
      <c r="A450" s="85" t="s">
        <v>34</v>
      </c>
      <c r="B450" s="15" t="s">
        <v>35</v>
      </c>
      <c r="C450" s="15" t="s">
        <v>47</v>
      </c>
      <c r="D450" s="15" t="s">
        <v>63</v>
      </c>
      <c r="E450" s="15" t="s">
        <v>528</v>
      </c>
      <c r="F450" s="15" t="s">
        <v>528</v>
      </c>
      <c r="G450" s="15" t="s">
        <v>528</v>
      </c>
      <c r="H450" s="139"/>
      <c r="I450" s="15" t="s">
        <v>408</v>
      </c>
      <c r="J450" s="1" t="s">
        <v>3324</v>
      </c>
      <c r="K450" s="1" t="s">
        <v>3278</v>
      </c>
      <c r="L450" s="1" t="s">
        <v>35</v>
      </c>
      <c r="M450" s="15" t="s">
        <v>529</v>
      </c>
      <c r="N450" s="15"/>
      <c r="O450" s="8" t="s">
        <v>410</v>
      </c>
      <c r="P450" s="8" t="s">
        <v>46</v>
      </c>
      <c r="Q450" s="14">
        <v>5.0000000000000001E-3</v>
      </c>
      <c r="R450" s="139">
        <v>1000048179</v>
      </c>
      <c r="S450" s="15"/>
      <c r="T450" s="6">
        <v>0</v>
      </c>
      <c r="U450" s="6">
        <v>0</v>
      </c>
      <c r="V450" s="6">
        <v>0</v>
      </c>
      <c r="W450" s="18">
        <f t="shared" si="65"/>
        <v>0</v>
      </c>
      <c r="X450" s="18">
        <f t="shared" si="64"/>
        <v>0</v>
      </c>
      <c r="Y450" s="13">
        <f t="shared" si="59"/>
        <v>0</v>
      </c>
      <c r="Z450" s="14">
        <v>0</v>
      </c>
      <c r="AA450" s="4">
        <v>0</v>
      </c>
      <c r="AB450" s="4">
        <f t="shared" si="60"/>
        <v>0</v>
      </c>
      <c r="AC450" s="6">
        <f t="shared" si="61"/>
        <v>0</v>
      </c>
      <c r="AD450" s="18">
        <f t="shared" si="66"/>
        <v>0</v>
      </c>
      <c r="AE450" s="2">
        <v>7.0000000000000007E-2</v>
      </c>
      <c r="AF450" s="5">
        <f t="shared" si="62"/>
        <v>0</v>
      </c>
      <c r="AG450" s="14">
        <v>0</v>
      </c>
      <c r="AH450" s="10">
        <f t="shared" si="67"/>
        <v>0</v>
      </c>
      <c r="AI450" s="16"/>
      <c r="AJ450" s="126" t="e">
        <v>#N/A</v>
      </c>
      <c r="AK450" s="80">
        <f t="shared" si="63"/>
        <v>0</v>
      </c>
      <c r="AM450" s="85"/>
    </row>
    <row r="451" spans="1:39" hidden="1" x14ac:dyDescent="0.3">
      <c r="A451" s="85" t="s">
        <v>34</v>
      </c>
      <c r="B451" s="15" t="s">
        <v>35</v>
      </c>
      <c r="C451" s="15" t="s">
        <v>47</v>
      </c>
      <c r="D451" s="15" t="s">
        <v>63</v>
      </c>
      <c r="E451" s="15" t="s">
        <v>528</v>
      </c>
      <c r="F451" s="15" t="s">
        <v>528</v>
      </c>
      <c r="G451" s="15" t="s">
        <v>528</v>
      </c>
      <c r="H451" s="139"/>
      <c r="I451" s="15" t="s">
        <v>408</v>
      </c>
      <c r="J451" s="1" t="s">
        <v>3324</v>
      </c>
      <c r="K451" s="1" t="s">
        <v>3278</v>
      </c>
      <c r="L451" s="1" t="s">
        <v>35</v>
      </c>
      <c r="M451" s="15" t="s">
        <v>530</v>
      </c>
      <c r="N451" s="15"/>
      <c r="O451" s="8" t="s">
        <v>410</v>
      </c>
      <c r="P451" s="8" t="s">
        <v>46</v>
      </c>
      <c r="Q451" s="14">
        <v>5.0000000000000001E-3</v>
      </c>
      <c r="R451" s="139">
        <v>1000080693</v>
      </c>
      <c r="S451" s="15"/>
      <c r="T451" s="6">
        <v>0</v>
      </c>
      <c r="U451" s="6">
        <v>351750</v>
      </c>
      <c r="V451" s="6">
        <v>0</v>
      </c>
      <c r="W451" s="18">
        <f t="shared" si="65"/>
        <v>351750</v>
      </c>
      <c r="X451" s="18">
        <f t="shared" si="64"/>
        <v>0</v>
      </c>
      <c r="Y451" s="13">
        <f t="shared" ref="Y451:Y514" si="68">IF(X451-AD451&lt;=0,0,IF(P451="返现",MAX(X451-AC451-AD451,0),MAX(X451-AD451)))</f>
        <v>0</v>
      </c>
      <c r="Z451" s="14">
        <v>0</v>
      </c>
      <c r="AA451" s="4">
        <v>0</v>
      </c>
      <c r="AB451" s="4">
        <f t="shared" ref="AB451:AB514" si="69">X451+AA451</f>
        <v>0</v>
      </c>
      <c r="AC451" s="6">
        <f t="shared" ref="AC451:AC514" si="70">IF(P451="返现",X451*Q451,V451-X451)</f>
        <v>0</v>
      </c>
      <c r="AD451" s="18">
        <f t="shared" si="66"/>
        <v>0</v>
      </c>
      <c r="AE451" s="2">
        <v>7.0000000000000007E-2</v>
      </c>
      <c r="AF451" s="5">
        <f t="shared" ref="AF451:AF514" si="71">AD451*AE451</f>
        <v>0</v>
      </c>
      <c r="AG451" s="14">
        <v>0</v>
      </c>
      <c r="AH451" s="10">
        <f t="shared" si="67"/>
        <v>0</v>
      </c>
      <c r="AI451" s="16"/>
      <c r="AJ451" s="126" t="e">
        <v>#N/A</v>
      </c>
      <c r="AK451" s="80">
        <f t="shared" ref="AK451:AK514" si="72">X451+AA451-AB451</f>
        <v>0</v>
      </c>
      <c r="AM451" s="85"/>
    </row>
    <row r="452" spans="1:39" hidden="1" x14ac:dyDescent="0.3">
      <c r="A452" s="85" t="s">
        <v>34</v>
      </c>
      <c r="B452" s="15" t="s">
        <v>35</v>
      </c>
      <c r="C452" s="15" t="s">
        <v>47</v>
      </c>
      <c r="D452" s="15" t="s">
        <v>63</v>
      </c>
      <c r="E452" s="15" t="s">
        <v>528</v>
      </c>
      <c r="F452" s="15" t="s">
        <v>528</v>
      </c>
      <c r="G452" s="15" t="s">
        <v>528</v>
      </c>
      <c r="H452" s="154"/>
      <c r="I452" s="15" t="s">
        <v>408</v>
      </c>
      <c r="J452" s="1" t="s">
        <v>3324</v>
      </c>
      <c r="K452" s="1" t="s">
        <v>3278</v>
      </c>
      <c r="L452" s="1" t="s">
        <v>35</v>
      </c>
      <c r="M452" s="15" t="s">
        <v>531</v>
      </c>
      <c r="N452" s="15"/>
      <c r="O452" s="8" t="s">
        <v>410</v>
      </c>
      <c r="P452" s="8" t="s">
        <v>46</v>
      </c>
      <c r="Q452" s="14">
        <v>5.0000000000000001E-3</v>
      </c>
      <c r="R452" s="139">
        <v>1000043071</v>
      </c>
      <c r="S452" s="15"/>
      <c r="T452" s="6">
        <v>0</v>
      </c>
      <c r="U452" s="6">
        <v>2311500</v>
      </c>
      <c r="V452" s="6">
        <v>2095372.0599999996</v>
      </c>
      <c r="W452" s="18">
        <f t="shared" si="65"/>
        <v>216127.94000000041</v>
      </c>
      <c r="X452" s="18">
        <f t="shared" si="64"/>
        <v>2084947.3233830845</v>
      </c>
      <c r="Y452" s="13">
        <f t="shared" si="68"/>
        <v>938548.39709403389</v>
      </c>
      <c r="Z452" s="14">
        <v>0</v>
      </c>
      <c r="AA452" s="4">
        <v>0</v>
      </c>
      <c r="AB452" s="4">
        <f t="shared" si="69"/>
        <v>2084947.3233830845</v>
      </c>
      <c r="AC452" s="6">
        <f t="shared" si="70"/>
        <v>10424.736616915092</v>
      </c>
      <c r="AD452" s="18">
        <f t="shared" si="66"/>
        <v>1146398.9262890506</v>
      </c>
      <c r="AE452" s="2">
        <v>7.0000000000000007E-2</v>
      </c>
      <c r="AF452" s="5">
        <f t="shared" si="71"/>
        <v>80247.924840233551</v>
      </c>
      <c r="AG452" s="14">
        <v>0</v>
      </c>
      <c r="AH452" s="10">
        <f t="shared" si="67"/>
        <v>2095372.0599999996</v>
      </c>
      <c r="AI452" s="16"/>
      <c r="AJ452" s="126" t="e">
        <v>#N/A</v>
      </c>
      <c r="AK452" s="80">
        <f t="shared" si="72"/>
        <v>0</v>
      </c>
      <c r="AM452" s="85"/>
    </row>
    <row r="453" spans="1:39" hidden="1" x14ac:dyDescent="0.3">
      <c r="A453" s="85" t="s">
        <v>34</v>
      </c>
      <c r="B453" s="15" t="s">
        <v>35</v>
      </c>
      <c r="C453" s="15" t="s">
        <v>47</v>
      </c>
      <c r="D453" s="15" t="s">
        <v>63</v>
      </c>
      <c r="E453" s="15" t="s">
        <v>528</v>
      </c>
      <c r="F453" s="15" t="s">
        <v>528</v>
      </c>
      <c r="G453" s="15" t="s">
        <v>528</v>
      </c>
      <c r="H453" s="154"/>
      <c r="I453" s="15" t="s">
        <v>408</v>
      </c>
      <c r="J453" s="1" t="s">
        <v>3324</v>
      </c>
      <c r="K453" s="1" t="s">
        <v>3278</v>
      </c>
      <c r="L453" s="1" t="s">
        <v>35</v>
      </c>
      <c r="M453" s="15" t="s">
        <v>532</v>
      </c>
      <c r="N453" s="15"/>
      <c r="O453" s="8" t="s">
        <v>410</v>
      </c>
      <c r="P453" s="8" t="s">
        <v>46</v>
      </c>
      <c r="Q453" s="14">
        <v>5.0000000000000001E-3</v>
      </c>
      <c r="R453" s="139">
        <v>1000043070</v>
      </c>
      <c r="S453" s="15"/>
      <c r="T453" s="6">
        <v>0</v>
      </c>
      <c r="U453" s="6">
        <v>2311500</v>
      </c>
      <c r="V453" s="6">
        <v>2002188.6300000004</v>
      </c>
      <c r="W453" s="18">
        <f t="shared" si="65"/>
        <v>309311.36999999965</v>
      </c>
      <c r="X453" s="18">
        <f t="shared" si="64"/>
        <v>1992227.4925373141</v>
      </c>
      <c r="Y453" s="13">
        <f t="shared" si="68"/>
        <v>896810.14901305898</v>
      </c>
      <c r="Z453" s="14">
        <v>0</v>
      </c>
      <c r="AA453" s="4">
        <v>0</v>
      </c>
      <c r="AB453" s="4">
        <f t="shared" si="69"/>
        <v>1992227.4925373141</v>
      </c>
      <c r="AC453" s="6">
        <f t="shared" si="70"/>
        <v>9961.1374626862817</v>
      </c>
      <c r="AD453" s="18">
        <f t="shared" si="66"/>
        <v>1095417.3435242551</v>
      </c>
      <c r="AE453" s="2">
        <v>7.0000000000000007E-2</v>
      </c>
      <c r="AF453" s="5">
        <f t="shared" si="71"/>
        <v>76679.21404669786</v>
      </c>
      <c r="AG453" s="14">
        <v>0</v>
      </c>
      <c r="AH453" s="10">
        <f t="shared" si="67"/>
        <v>2002188.6300000004</v>
      </c>
      <c r="AI453" s="16"/>
      <c r="AJ453" s="126" t="e">
        <v>#N/A</v>
      </c>
      <c r="AK453" s="80">
        <f t="shared" si="72"/>
        <v>0</v>
      </c>
      <c r="AM453" s="85"/>
    </row>
    <row r="454" spans="1:39" hidden="1" x14ac:dyDescent="0.3">
      <c r="A454" s="85" t="s">
        <v>34</v>
      </c>
      <c r="B454" s="15" t="s">
        <v>35</v>
      </c>
      <c r="C454" s="15" t="s">
        <v>47</v>
      </c>
      <c r="D454" s="15" t="s">
        <v>63</v>
      </c>
      <c r="E454" s="15" t="s">
        <v>533</v>
      </c>
      <c r="F454" s="15" t="s">
        <v>533</v>
      </c>
      <c r="G454" s="15" t="s">
        <v>533</v>
      </c>
      <c r="H454" s="154"/>
      <c r="I454" s="15" t="s">
        <v>408</v>
      </c>
      <c r="J454" s="1" t="s">
        <v>3324</v>
      </c>
      <c r="K454" s="1" t="s">
        <v>3278</v>
      </c>
      <c r="L454" s="1" t="s">
        <v>35</v>
      </c>
      <c r="M454" s="15" t="s">
        <v>534</v>
      </c>
      <c r="N454" s="15"/>
      <c r="O454" s="8" t="s">
        <v>410</v>
      </c>
      <c r="P454" s="8" t="s">
        <v>46</v>
      </c>
      <c r="Q454" s="14">
        <v>0.02</v>
      </c>
      <c r="R454" s="139">
        <v>1000099349</v>
      </c>
      <c r="S454" s="15"/>
      <c r="T454" s="6">
        <v>0</v>
      </c>
      <c r="U454" s="6">
        <v>90000</v>
      </c>
      <c r="V454" s="6">
        <v>49543.59</v>
      </c>
      <c r="W454" s="18">
        <f t="shared" si="65"/>
        <v>40456.410000000003</v>
      </c>
      <c r="X454" s="18">
        <f t="shared" si="64"/>
        <v>48572.147058823524</v>
      </c>
      <c r="Y454" s="13">
        <f t="shared" si="68"/>
        <v>21466.355459929648</v>
      </c>
      <c r="Z454" s="14">
        <v>0</v>
      </c>
      <c r="AA454" s="4">
        <v>0</v>
      </c>
      <c r="AB454" s="4">
        <f t="shared" si="69"/>
        <v>48572.147058823524</v>
      </c>
      <c r="AC454" s="6">
        <f t="shared" si="70"/>
        <v>971.44294117647223</v>
      </c>
      <c r="AD454" s="18">
        <f t="shared" si="66"/>
        <v>27105.791598893877</v>
      </c>
      <c r="AE454" s="2">
        <v>7.0000000000000007E-2</v>
      </c>
      <c r="AF454" s="5">
        <f t="shared" si="71"/>
        <v>1897.4054119225716</v>
      </c>
      <c r="AG454" s="14">
        <v>0</v>
      </c>
      <c r="AH454" s="10">
        <f t="shared" si="67"/>
        <v>49543.59</v>
      </c>
      <c r="AI454" s="16"/>
      <c r="AJ454" s="126" t="e">
        <v>#N/A</v>
      </c>
      <c r="AK454" s="80">
        <f t="shared" si="72"/>
        <v>0</v>
      </c>
      <c r="AM454" s="85"/>
    </row>
    <row r="455" spans="1:39" hidden="1" x14ac:dyDescent="0.3">
      <c r="A455" s="85" t="s">
        <v>34</v>
      </c>
      <c r="B455" s="15" t="s">
        <v>35</v>
      </c>
      <c r="C455" s="15" t="s">
        <v>47</v>
      </c>
      <c r="D455" s="15" t="s">
        <v>63</v>
      </c>
      <c r="E455" s="15" t="s">
        <v>533</v>
      </c>
      <c r="F455" s="15" t="s">
        <v>533</v>
      </c>
      <c r="G455" s="15" t="s">
        <v>533</v>
      </c>
      <c r="H455" s="154"/>
      <c r="I455" s="15" t="s">
        <v>408</v>
      </c>
      <c r="J455" s="1" t="s">
        <v>3324</v>
      </c>
      <c r="K455" s="1" t="s">
        <v>3278</v>
      </c>
      <c r="L455" s="1" t="s">
        <v>35</v>
      </c>
      <c r="M455" s="15" t="s">
        <v>535</v>
      </c>
      <c r="N455" s="15"/>
      <c r="O455" s="8" t="s">
        <v>410</v>
      </c>
      <c r="P455" s="8" t="s">
        <v>46</v>
      </c>
      <c r="Q455" s="14">
        <v>0.02</v>
      </c>
      <c r="R455" s="139">
        <v>1000073749</v>
      </c>
      <c r="S455" s="15"/>
      <c r="T455" s="6">
        <v>0</v>
      </c>
      <c r="U455" s="6">
        <v>190000</v>
      </c>
      <c r="V455" s="6">
        <v>7791.03</v>
      </c>
      <c r="W455" s="18">
        <f t="shared" si="65"/>
        <v>182208.97</v>
      </c>
      <c r="X455" s="18">
        <f t="shared" si="64"/>
        <v>7638.2647058823522</v>
      </c>
      <c r="Y455" s="13">
        <f t="shared" si="68"/>
        <v>3375.714585458496</v>
      </c>
      <c r="Z455" s="14">
        <v>0</v>
      </c>
      <c r="AA455" s="4">
        <v>0</v>
      </c>
      <c r="AB455" s="4">
        <f t="shared" si="69"/>
        <v>7638.2647058823522</v>
      </c>
      <c r="AC455" s="6">
        <f t="shared" si="70"/>
        <v>152.7652941176475</v>
      </c>
      <c r="AD455" s="18">
        <f t="shared" si="66"/>
        <v>4262.5501204238562</v>
      </c>
      <c r="AE455" s="2">
        <v>7.0000000000000007E-2</v>
      </c>
      <c r="AF455" s="5">
        <f t="shared" si="71"/>
        <v>298.37850842966998</v>
      </c>
      <c r="AG455" s="14">
        <v>0</v>
      </c>
      <c r="AH455" s="10">
        <f t="shared" si="67"/>
        <v>7791.03</v>
      </c>
      <c r="AI455" s="16"/>
      <c r="AJ455" s="126" t="e">
        <v>#N/A</v>
      </c>
      <c r="AK455" s="80">
        <f t="shared" si="72"/>
        <v>0</v>
      </c>
      <c r="AM455" s="85"/>
    </row>
    <row r="456" spans="1:39" hidden="1" x14ac:dyDescent="0.3">
      <c r="A456" s="85" t="s">
        <v>34</v>
      </c>
      <c r="B456" s="15" t="s">
        <v>35</v>
      </c>
      <c r="C456" s="15" t="s">
        <v>47</v>
      </c>
      <c r="D456" s="15" t="s">
        <v>63</v>
      </c>
      <c r="E456" s="15" t="s">
        <v>536</v>
      </c>
      <c r="F456" s="15" t="s">
        <v>536</v>
      </c>
      <c r="G456" s="15" t="s">
        <v>536</v>
      </c>
      <c r="H456" s="139"/>
      <c r="I456" s="15" t="s">
        <v>408</v>
      </c>
      <c r="J456" s="1" t="s">
        <v>3324</v>
      </c>
      <c r="K456" s="1" t="s">
        <v>3278</v>
      </c>
      <c r="L456" s="1" t="s">
        <v>35</v>
      </c>
      <c r="M456" s="15" t="s">
        <v>537</v>
      </c>
      <c r="N456" s="15"/>
      <c r="O456" s="8" t="s">
        <v>410</v>
      </c>
      <c r="P456" s="8" t="s">
        <v>92</v>
      </c>
      <c r="Q456" s="14">
        <v>0.98</v>
      </c>
      <c r="R456" s="139">
        <v>1000001515</v>
      </c>
      <c r="S456" s="15"/>
      <c r="T456" s="6">
        <v>0</v>
      </c>
      <c r="U456" s="6">
        <v>0</v>
      </c>
      <c r="V456" s="6">
        <v>0</v>
      </c>
      <c r="W456" s="18">
        <f t="shared" si="65"/>
        <v>0</v>
      </c>
      <c r="X456" s="18">
        <f t="shared" si="64"/>
        <v>0</v>
      </c>
      <c r="Y456" s="13">
        <f t="shared" si="68"/>
        <v>0</v>
      </c>
      <c r="Z456" s="14">
        <v>0</v>
      </c>
      <c r="AA456" s="4">
        <v>0</v>
      </c>
      <c r="AB456" s="4">
        <f t="shared" si="69"/>
        <v>0</v>
      </c>
      <c r="AC456" s="6">
        <f t="shared" si="70"/>
        <v>0</v>
      </c>
      <c r="AD456" s="18">
        <f t="shared" si="66"/>
        <v>0</v>
      </c>
      <c r="AE456" s="2">
        <v>7.0000000000000007E-2</v>
      </c>
      <c r="AF456" s="5">
        <f t="shared" si="71"/>
        <v>0</v>
      </c>
      <c r="AG456" s="14">
        <v>0</v>
      </c>
      <c r="AH456" s="10">
        <f t="shared" si="67"/>
        <v>0</v>
      </c>
      <c r="AI456" s="16"/>
      <c r="AJ456" s="126" t="e">
        <v>#N/A</v>
      </c>
      <c r="AK456" s="80">
        <f t="shared" si="72"/>
        <v>0</v>
      </c>
      <c r="AM456" s="85"/>
    </row>
    <row r="457" spans="1:39" hidden="1" x14ac:dyDescent="0.3">
      <c r="A457" s="85" t="s">
        <v>34</v>
      </c>
      <c r="B457" s="15" t="s">
        <v>35</v>
      </c>
      <c r="C457" s="15" t="s">
        <v>47</v>
      </c>
      <c r="D457" s="15" t="s">
        <v>63</v>
      </c>
      <c r="E457" s="15" t="s">
        <v>538</v>
      </c>
      <c r="F457" s="15" t="s">
        <v>538</v>
      </c>
      <c r="G457" s="15" t="s">
        <v>538</v>
      </c>
      <c r="H457" s="139"/>
      <c r="I457" s="15" t="s">
        <v>408</v>
      </c>
      <c r="J457" s="1" t="s">
        <v>3324</v>
      </c>
      <c r="K457" s="1" t="s">
        <v>3278</v>
      </c>
      <c r="L457" s="1" t="s">
        <v>35</v>
      </c>
      <c r="M457" s="15" t="s">
        <v>539</v>
      </c>
      <c r="N457" s="15"/>
      <c r="O457" s="8" t="s">
        <v>45</v>
      </c>
      <c r="P457" s="8" t="s">
        <v>41</v>
      </c>
      <c r="Q457" s="14">
        <v>0</v>
      </c>
      <c r="R457" s="139">
        <v>1000100422</v>
      </c>
      <c r="S457" s="15"/>
      <c r="T457" s="6">
        <v>0</v>
      </c>
      <c r="U457" s="6">
        <v>10000</v>
      </c>
      <c r="V457" s="6">
        <v>0</v>
      </c>
      <c r="W457" s="18">
        <f t="shared" si="65"/>
        <v>10000</v>
      </c>
      <c r="X457" s="18">
        <f t="shared" si="64"/>
        <v>0</v>
      </c>
      <c r="Y457" s="13">
        <f t="shared" si="68"/>
        <v>0</v>
      </c>
      <c r="Z457" s="14">
        <v>0</v>
      </c>
      <c r="AA457" s="4">
        <v>0</v>
      </c>
      <c r="AB457" s="4">
        <f t="shared" si="69"/>
        <v>0</v>
      </c>
      <c r="AC457" s="6">
        <f t="shared" si="70"/>
        <v>0</v>
      </c>
      <c r="AD457" s="18">
        <f t="shared" si="66"/>
        <v>0</v>
      </c>
      <c r="AE457" s="2">
        <v>0.12</v>
      </c>
      <c r="AF457" s="5">
        <f t="shared" si="71"/>
        <v>0</v>
      </c>
      <c r="AG457" s="14">
        <v>0</v>
      </c>
      <c r="AH457" s="10">
        <f t="shared" si="67"/>
        <v>0</v>
      </c>
      <c r="AI457" s="16"/>
      <c r="AJ457" s="126" t="e">
        <v>#N/A</v>
      </c>
      <c r="AK457" s="80">
        <f t="shared" si="72"/>
        <v>0</v>
      </c>
      <c r="AM457" s="85"/>
    </row>
    <row r="458" spans="1:39" hidden="1" x14ac:dyDescent="0.3">
      <c r="A458" s="85" t="s">
        <v>34</v>
      </c>
      <c r="B458" s="15" t="s">
        <v>35</v>
      </c>
      <c r="C458" s="15" t="s">
        <v>47</v>
      </c>
      <c r="D458" s="15" t="s">
        <v>48</v>
      </c>
      <c r="E458" s="15" t="s">
        <v>540</v>
      </c>
      <c r="F458" s="15" t="s">
        <v>541</v>
      </c>
      <c r="G458" s="15" t="s">
        <v>540</v>
      </c>
      <c r="H458" s="154"/>
      <c r="I458" s="15" t="s">
        <v>408</v>
      </c>
      <c r="J458" s="1" t="s">
        <v>3324</v>
      </c>
      <c r="K458" s="1" t="s">
        <v>3278</v>
      </c>
      <c r="L458" s="1" t="s">
        <v>35</v>
      </c>
      <c r="M458" s="15" t="s">
        <v>540</v>
      </c>
      <c r="N458" s="15"/>
      <c r="O458" s="8" t="s">
        <v>410</v>
      </c>
      <c r="P458" s="8" t="s">
        <v>41</v>
      </c>
      <c r="Q458" s="14">
        <v>0</v>
      </c>
      <c r="R458" s="139">
        <v>1000070582</v>
      </c>
      <c r="S458" s="15"/>
      <c r="T458" s="6">
        <v>0</v>
      </c>
      <c r="U458" s="6">
        <v>250000</v>
      </c>
      <c r="V458" s="6">
        <v>190287.88</v>
      </c>
      <c r="W458" s="18">
        <f t="shared" si="65"/>
        <v>59712.119999999995</v>
      </c>
      <c r="X458" s="18">
        <f t="shared" si="64"/>
        <v>190287.88</v>
      </c>
      <c r="Y458" s="13">
        <f t="shared" si="68"/>
        <v>86179.485370637733</v>
      </c>
      <c r="Z458" s="14">
        <v>0</v>
      </c>
      <c r="AA458" s="4">
        <v>0</v>
      </c>
      <c r="AB458" s="4">
        <f t="shared" si="69"/>
        <v>190287.88</v>
      </c>
      <c r="AC458" s="6">
        <f t="shared" si="70"/>
        <v>0</v>
      </c>
      <c r="AD458" s="18">
        <f t="shared" si="66"/>
        <v>104108.39462936227</v>
      </c>
      <c r="AE458" s="2">
        <v>7.0000000000000007E-2</v>
      </c>
      <c r="AF458" s="5">
        <f t="shared" si="71"/>
        <v>7287.5876240553598</v>
      </c>
      <c r="AG458" s="14">
        <v>0</v>
      </c>
      <c r="AH458" s="10">
        <f t="shared" si="67"/>
        <v>190287.88</v>
      </c>
      <c r="AI458" s="16"/>
      <c r="AJ458" s="126" t="e">
        <v>#N/A</v>
      </c>
      <c r="AK458" s="80">
        <f t="shared" si="72"/>
        <v>0</v>
      </c>
      <c r="AM458" s="85"/>
    </row>
    <row r="459" spans="1:39" hidden="1" x14ac:dyDescent="0.3">
      <c r="A459" s="85" t="s">
        <v>34</v>
      </c>
      <c r="B459" s="15" t="s">
        <v>35</v>
      </c>
      <c r="C459" s="15" t="s">
        <v>47</v>
      </c>
      <c r="D459" s="15" t="s">
        <v>48</v>
      </c>
      <c r="E459" s="15" t="s">
        <v>542</v>
      </c>
      <c r="F459" s="15" t="s">
        <v>543</v>
      </c>
      <c r="G459" s="15" t="s">
        <v>542</v>
      </c>
      <c r="H459" s="154"/>
      <c r="I459" s="15" t="s">
        <v>408</v>
      </c>
      <c r="J459" s="1" t="s">
        <v>3324</v>
      </c>
      <c r="K459" s="1" t="s">
        <v>3278</v>
      </c>
      <c r="L459" s="1" t="s">
        <v>35</v>
      </c>
      <c r="M459" s="15" t="s">
        <v>544</v>
      </c>
      <c r="N459" s="15"/>
      <c r="O459" s="8" t="s">
        <v>410</v>
      </c>
      <c r="P459" s="8" t="s">
        <v>41</v>
      </c>
      <c r="Q459" s="14">
        <v>0</v>
      </c>
      <c r="R459" s="139">
        <v>1000046342</v>
      </c>
      <c r="S459" s="15"/>
      <c r="T459" s="6">
        <v>0</v>
      </c>
      <c r="U459" s="6">
        <v>700000</v>
      </c>
      <c r="V459" s="6">
        <v>629528.6</v>
      </c>
      <c r="W459" s="18">
        <f t="shared" si="65"/>
        <v>70471.400000000023</v>
      </c>
      <c r="X459" s="18">
        <f t="shared" si="64"/>
        <v>629528.6</v>
      </c>
      <c r="Y459" s="13">
        <f t="shared" si="68"/>
        <v>285107.23212691239</v>
      </c>
      <c r="Z459" s="14">
        <v>0</v>
      </c>
      <c r="AA459" s="4">
        <v>0</v>
      </c>
      <c r="AB459" s="4">
        <f t="shared" si="69"/>
        <v>629528.6</v>
      </c>
      <c r="AC459" s="6">
        <f t="shared" si="70"/>
        <v>0</v>
      </c>
      <c r="AD459" s="18">
        <f t="shared" si="66"/>
        <v>344421.36787308758</v>
      </c>
      <c r="AE459" s="2">
        <v>7.0000000000000007E-2</v>
      </c>
      <c r="AF459" s="5">
        <f t="shared" si="71"/>
        <v>24109.495751116134</v>
      </c>
      <c r="AG459" s="14">
        <v>0</v>
      </c>
      <c r="AH459" s="10">
        <f t="shared" si="67"/>
        <v>629528.6</v>
      </c>
      <c r="AI459" s="16"/>
      <c r="AJ459" s="126" t="e">
        <v>#N/A</v>
      </c>
      <c r="AK459" s="80">
        <f t="shared" si="72"/>
        <v>0</v>
      </c>
      <c r="AM459" s="85"/>
    </row>
    <row r="460" spans="1:39" hidden="1" x14ac:dyDescent="0.3">
      <c r="A460" s="85" t="s">
        <v>34</v>
      </c>
      <c r="B460" s="15" t="s">
        <v>35</v>
      </c>
      <c r="C460" s="15" t="s">
        <v>47</v>
      </c>
      <c r="D460" s="15" t="s">
        <v>48</v>
      </c>
      <c r="E460" s="15" t="s">
        <v>542</v>
      </c>
      <c r="F460" s="15" t="s">
        <v>543</v>
      </c>
      <c r="G460" s="15" t="s">
        <v>542</v>
      </c>
      <c r="H460" s="139"/>
      <c r="I460" s="15" t="s">
        <v>408</v>
      </c>
      <c r="J460" s="1" t="s">
        <v>3324</v>
      </c>
      <c r="K460" s="1" t="s">
        <v>3278</v>
      </c>
      <c r="L460" s="1" t="s">
        <v>35</v>
      </c>
      <c r="M460" s="15" t="s">
        <v>545</v>
      </c>
      <c r="N460" s="15"/>
      <c r="O460" s="8" t="s">
        <v>410</v>
      </c>
      <c r="P460" s="8" t="s">
        <v>41</v>
      </c>
      <c r="Q460" s="14">
        <v>0</v>
      </c>
      <c r="R460" s="139">
        <v>1000046341</v>
      </c>
      <c r="S460" s="15"/>
      <c r="T460" s="6">
        <v>0</v>
      </c>
      <c r="U460" s="6">
        <v>20000</v>
      </c>
      <c r="V460" s="6">
        <v>0</v>
      </c>
      <c r="W460" s="18">
        <f t="shared" si="65"/>
        <v>20000</v>
      </c>
      <c r="X460" s="18">
        <f t="shared" si="64"/>
        <v>0</v>
      </c>
      <c r="Y460" s="13">
        <f t="shared" si="68"/>
        <v>0</v>
      </c>
      <c r="Z460" s="14">
        <v>0</v>
      </c>
      <c r="AA460" s="4">
        <v>0</v>
      </c>
      <c r="AB460" s="4">
        <f t="shared" si="69"/>
        <v>0</v>
      </c>
      <c r="AC460" s="6">
        <f t="shared" si="70"/>
        <v>0</v>
      </c>
      <c r="AD460" s="18">
        <f t="shared" si="66"/>
        <v>0</v>
      </c>
      <c r="AE460" s="2">
        <v>7.0000000000000007E-2</v>
      </c>
      <c r="AF460" s="5">
        <f t="shared" si="71"/>
        <v>0</v>
      </c>
      <c r="AG460" s="14">
        <v>0</v>
      </c>
      <c r="AH460" s="10">
        <f t="shared" si="67"/>
        <v>0</v>
      </c>
      <c r="AI460" s="16"/>
      <c r="AJ460" s="126" t="e">
        <v>#N/A</v>
      </c>
      <c r="AK460" s="80">
        <f t="shared" si="72"/>
        <v>0</v>
      </c>
      <c r="AM460" s="85"/>
    </row>
    <row r="461" spans="1:39" hidden="1" x14ac:dyDescent="0.3">
      <c r="A461" s="85" t="s">
        <v>34</v>
      </c>
      <c r="B461" s="15" t="s">
        <v>35</v>
      </c>
      <c r="C461" s="15" t="s">
        <v>47</v>
      </c>
      <c r="D461" s="15" t="s">
        <v>48</v>
      </c>
      <c r="E461" s="15" t="s">
        <v>542</v>
      </c>
      <c r="F461" s="15" t="s">
        <v>543</v>
      </c>
      <c r="G461" s="15" t="s">
        <v>542</v>
      </c>
      <c r="H461" s="154"/>
      <c r="I461" s="15" t="s">
        <v>408</v>
      </c>
      <c r="J461" s="1" t="s">
        <v>3324</v>
      </c>
      <c r="K461" s="1" t="s">
        <v>3278</v>
      </c>
      <c r="L461" s="1" t="s">
        <v>35</v>
      </c>
      <c r="M461" s="15" t="s">
        <v>546</v>
      </c>
      <c r="N461" s="15"/>
      <c r="O461" s="8" t="s">
        <v>410</v>
      </c>
      <c r="P461" s="8" t="s">
        <v>41</v>
      </c>
      <c r="Q461" s="14">
        <v>0</v>
      </c>
      <c r="R461" s="139">
        <v>1000043834</v>
      </c>
      <c r="S461" s="15"/>
      <c r="T461" s="6">
        <v>0</v>
      </c>
      <c r="U461" s="6">
        <v>10000</v>
      </c>
      <c r="V461" s="6">
        <v>6241.7800000000007</v>
      </c>
      <c r="W461" s="18">
        <f t="shared" si="65"/>
        <v>3758.2199999999993</v>
      </c>
      <c r="X461" s="18">
        <f t="shared" si="64"/>
        <v>6241.7800000000007</v>
      </c>
      <c r="Y461" s="13">
        <f t="shared" si="68"/>
        <v>2826.8399868490792</v>
      </c>
      <c r="Z461" s="14">
        <v>0</v>
      </c>
      <c r="AA461" s="4">
        <v>0</v>
      </c>
      <c r="AB461" s="4">
        <f t="shared" si="69"/>
        <v>6241.7800000000007</v>
      </c>
      <c r="AC461" s="6">
        <f t="shared" si="70"/>
        <v>0</v>
      </c>
      <c r="AD461" s="18">
        <f t="shared" si="66"/>
        <v>3414.9400131509215</v>
      </c>
      <c r="AE461" s="2">
        <v>7.0000000000000007E-2</v>
      </c>
      <c r="AF461" s="5">
        <f t="shared" si="71"/>
        <v>239.04580092056452</v>
      </c>
      <c r="AG461" s="14">
        <v>0</v>
      </c>
      <c r="AH461" s="10">
        <f t="shared" si="67"/>
        <v>6241.7800000000007</v>
      </c>
      <c r="AI461" s="16"/>
      <c r="AJ461" s="126" t="e">
        <v>#N/A</v>
      </c>
      <c r="AK461" s="80">
        <f t="shared" si="72"/>
        <v>0</v>
      </c>
      <c r="AM461" s="85"/>
    </row>
    <row r="462" spans="1:39" hidden="1" x14ac:dyDescent="0.3">
      <c r="A462" s="85" t="s">
        <v>34</v>
      </c>
      <c r="B462" s="15" t="s">
        <v>35</v>
      </c>
      <c r="C462" s="15" t="s">
        <v>47</v>
      </c>
      <c r="D462" s="15" t="s">
        <v>48</v>
      </c>
      <c r="E462" s="15" t="s">
        <v>547</v>
      </c>
      <c r="F462" s="15" t="s">
        <v>548</v>
      </c>
      <c r="G462" s="15" t="s">
        <v>547</v>
      </c>
      <c r="H462" s="154"/>
      <c r="I462" s="15" t="s">
        <v>408</v>
      </c>
      <c r="J462" s="1" t="s">
        <v>3324</v>
      </c>
      <c r="K462" s="1" t="s">
        <v>3278</v>
      </c>
      <c r="L462" s="1" t="s">
        <v>35</v>
      </c>
      <c r="M462" s="15" t="s">
        <v>549</v>
      </c>
      <c r="N462" s="15"/>
      <c r="O462" s="8" t="s">
        <v>410</v>
      </c>
      <c r="P462" s="8" t="s">
        <v>46</v>
      </c>
      <c r="Q462" s="14">
        <v>0.03</v>
      </c>
      <c r="R462" s="139">
        <v>1000079436</v>
      </c>
      <c r="S462" s="15"/>
      <c r="T462" s="6">
        <v>14207.14</v>
      </c>
      <c r="U462" s="6">
        <v>-8904.91</v>
      </c>
      <c r="V462" s="6">
        <v>5302.23</v>
      </c>
      <c r="W462" s="18">
        <f t="shared" si="65"/>
        <v>0</v>
      </c>
      <c r="X462" s="18">
        <f t="shared" si="64"/>
        <v>5147.7961165048537</v>
      </c>
      <c r="Y462" s="13">
        <f t="shared" si="68"/>
        <v>2246.8932673289446</v>
      </c>
      <c r="Z462" s="14">
        <v>0</v>
      </c>
      <c r="AA462" s="4">
        <v>0</v>
      </c>
      <c r="AB462" s="4">
        <f t="shared" si="69"/>
        <v>5147.7961165048537</v>
      </c>
      <c r="AC462" s="6">
        <f t="shared" si="70"/>
        <v>154.43388349514589</v>
      </c>
      <c r="AD462" s="18">
        <f t="shared" si="66"/>
        <v>2900.9028491759091</v>
      </c>
      <c r="AE462" s="2">
        <v>7.0000000000000007E-2</v>
      </c>
      <c r="AF462" s="5">
        <f t="shared" si="71"/>
        <v>203.06319944231365</v>
      </c>
      <c r="AG462" s="14">
        <v>0</v>
      </c>
      <c r="AH462" s="10">
        <f t="shared" si="67"/>
        <v>5302.23</v>
      </c>
      <c r="AI462" s="16"/>
      <c r="AJ462" s="126" t="e">
        <v>#N/A</v>
      </c>
      <c r="AK462" s="80">
        <f t="shared" si="72"/>
        <v>0</v>
      </c>
      <c r="AM462" s="85"/>
    </row>
    <row r="463" spans="1:39" hidden="1" x14ac:dyDescent="0.3">
      <c r="A463" s="85" t="s">
        <v>34</v>
      </c>
      <c r="B463" s="15" t="s">
        <v>35</v>
      </c>
      <c r="C463" s="15" t="s">
        <v>47</v>
      </c>
      <c r="D463" s="15" t="s">
        <v>48</v>
      </c>
      <c r="E463" s="15" t="s">
        <v>550</v>
      </c>
      <c r="F463" s="15" t="s">
        <v>551</v>
      </c>
      <c r="G463" s="15" t="s">
        <v>550</v>
      </c>
      <c r="H463" s="139"/>
      <c r="I463" s="15" t="s">
        <v>408</v>
      </c>
      <c r="J463" s="1" t="s">
        <v>3324</v>
      </c>
      <c r="K463" s="1" t="s">
        <v>3278</v>
      </c>
      <c r="L463" s="1" t="s">
        <v>35</v>
      </c>
      <c r="M463" s="15" t="s">
        <v>552</v>
      </c>
      <c r="N463" s="15"/>
      <c r="O463" s="8" t="s">
        <v>45</v>
      </c>
      <c r="P463" s="8" t="s">
        <v>3354</v>
      </c>
      <c r="Q463" s="9">
        <v>0.02</v>
      </c>
      <c r="R463" s="139">
        <v>1000100619</v>
      </c>
      <c r="S463" s="15"/>
      <c r="T463" s="6">
        <v>0</v>
      </c>
      <c r="U463" s="6">
        <v>50000</v>
      </c>
      <c r="V463" s="6">
        <v>0</v>
      </c>
      <c r="W463" s="18">
        <f t="shared" si="65"/>
        <v>50000</v>
      </c>
      <c r="X463" s="18">
        <f t="shared" si="64"/>
        <v>0</v>
      </c>
      <c r="Y463" s="13">
        <f t="shared" si="68"/>
        <v>0</v>
      </c>
      <c r="Z463" s="14">
        <v>0</v>
      </c>
      <c r="AA463" s="4">
        <v>0</v>
      </c>
      <c r="AB463" s="4">
        <f t="shared" si="69"/>
        <v>0</v>
      </c>
      <c r="AC463" s="6">
        <f t="shared" si="70"/>
        <v>0</v>
      </c>
      <c r="AD463" s="18">
        <f t="shared" si="66"/>
        <v>0</v>
      </c>
      <c r="AE463" s="2">
        <v>0.12</v>
      </c>
      <c r="AF463" s="5">
        <f t="shared" si="71"/>
        <v>0</v>
      </c>
      <c r="AG463" s="14">
        <v>0</v>
      </c>
      <c r="AH463" s="10">
        <f t="shared" si="67"/>
        <v>0</v>
      </c>
      <c r="AI463" s="16"/>
      <c r="AJ463" s="126" t="e">
        <v>#N/A</v>
      </c>
      <c r="AK463" s="80">
        <f t="shared" si="72"/>
        <v>0</v>
      </c>
      <c r="AM463" s="85"/>
    </row>
    <row r="464" spans="1:39" hidden="1" x14ac:dyDescent="0.3">
      <c r="A464" s="85" t="s">
        <v>34</v>
      </c>
      <c r="B464" s="15" t="s">
        <v>35</v>
      </c>
      <c r="C464" s="15" t="s">
        <v>47</v>
      </c>
      <c r="D464" s="15" t="s">
        <v>48</v>
      </c>
      <c r="E464" s="15" t="s">
        <v>550</v>
      </c>
      <c r="F464" s="15" t="s">
        <v>551</v>
      </c>
      <c r="G464" s="15" t="s">
        <v>550</v>
      </c>
      <c r="H464" s="154"/>
      <c r="I464" s="15" t="s">
        <v>408</v>
      </c>
      <c r="J464" s="1" t="s">
        <v>3324</v>
      </c>
      <c r="K464" s="1" t="s">
        <v>3278</v>
      </c>
      <c r="L464" s="1" t="s">
        <v>35</v>
      </c>
      <c r="M464" s="15" t="s">
        <v>553</v>
      </c>
      <c r="N464" s="15"/>
      <c r="O464" s="8" t="s">
        <v>410</v>
      </c>
      <c r="P464" s="8" t="s">
        <v>41</v>
      </c>
      <c r="Q464" s="14">
        <v>0</v>
      </c>
      <c r="R464" s="139">
        <v>1000068748</v>
      </c>
      <c r="S464" s="15"/>
      <c r="T464" s="6">
        <v>0</v>
      </c>
      <c r="U464" s="6">
        <v>700000</v>
      </c>
      <c r="V464" s="6">
        <v>577851.9</v>
      </c>
      <c r="W464" s="18">
        <f t="shared" si="65"/>
        <v>122148.09999999998</v>
      </c>
      <c r="X464" s="18">
        <f t="shared" si="64"/>
        <v>577851.9</v>
      </c>
      <c r="Y464" s="13">
        <f t="shared" si="68"/>
        <v>261703.36945498164</v>
      </c>
      <c r="Z464" s="14">
        <v>0</v>
      </c>
      <c r="AA464" s="4">
        <v>0</v>
      </c>
      <c r="AB464" s="4">
        <f t="shared" si="69"/>
        <v>577851.9</v>
      </c>
      <c r="AC464" s="6">
        <f t="shared" si="70"/>
        <v>0</v>
      </c>
      <c r="AD464" s="18">
        <f t="shared" si="66"/>
        <v>316148.53054501838</v>
      </c>
      <c r="AE464" s="2">
        <v>7.0000000000000007E-2</v>
      </c>
      <c r="AF464" s="5">
        <f t="shared" si="71"/>
        <v>22130.397138151289</v>
      </c>
      <c r="AG464" s="14">
        <v>0</v>
      </c>
      <c r="AH464" s="10">
        <f t="shared" si="67"/>
        <v>577851.9</v>
      </c>
      <c r="AI464" s="16"/>
      <c r="AJ464" s="126" t="e">
        <v>#N/A</v>
      </c>
      <c r="AK464" s="80">
        <f t="shared" si="72"/>
        <v>0</v>
      </c>
      <c r="AM464" s="85"/>
    </row>
    <row r="465" spans="1:39" hidden="1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554</v>
      </c>
      <c r="F465" s="15" t="s">
        <v>554</v>
      </c>
      <c r="G465" s="15" t="s">
        <v>554</v>
      </c>
      <c r="H465" s="154"/>
      <c r="I465" s="15" t="s">
        <v>408</v>
      </c>
      <c r="J465" s="1" t="s">
        <v>3324</v>
      </c>
      <c r="K465" s="1" t="s">
        <v>3278</v>
      </c>
      <c r="L465" s="1" t="s">
        <v>35</v>
      </c>
      <c r="M465" s="15" t="s">
        <v>555</v>
      </c>
      <c r="N465" s="15"/>
      <c r="O465" s="8" t="s">
        <v>410</v>
      </c>
      <c r="P465" s="8" t="s">
        <v>41</v>
      </c>
      <c r="Q465" s="14">
        <v>0</v>
      </c>
      <c r="R465" s="139">
        <v>1000099386</v>
      </c>
      <c r="S465" s="15"/>
      <c r="T465" s="6">
        <v>0</v>
      </c>
      <c r="U465" s="6">
        <v>20000</v>
      </c>
      <c r="V465" s="6">
        <v>9649.4499999999989</v>
      </c>
      <c r="W465" s="18">
        <f t="shared" si="65"/>
        <v>10350.550000000001</v>
      </c>
      <c r="X465" s="18">
        <f t="shared" si="64"/>
        <v>9649.4499999999989</v>
      </c>
      <c r="Y465" s="13">
        <f t="shared" si="68"/>
        <v>4370.1397856221856</v>
      </c>
      <c r="Z465" s="14">
        <v>0</v>
      </c>
      <c r="AA465" s="4">
        <v>0</v>
      </c>
      <c r="AB465" s="4">
        <f t="shared" si="69"/>
        <v>9649.4499999999989</v>
      </c>
      <c r="AC465" s="6">
        <f t="shared" si="70"/>
        <v>0</v>
      </c>
      <c r="AD465" s="18">
        <f t="shared" si="66"/>
        <v>5279.3102143778133</v>
      </c>
      <c r="AE465" s="2">
        <v>7.0000000000000007E-2</v>
      </c>
      <c r="AF465" s="5">
        <f t="shared" si="71"/>
        <v>369.55171500644695</v>
      </c>
      <c r="AG465" s="14">
        <v>0</v>
      </c>
      <c r="AH465" s="10">
        <f t="shared" si="67"/>
        <v>9649.4499999999989</v>
      </c>
      <c r="AI465" s="16"/>
      <c r="AJ465" s="126" t="e">
        <v>#N/A</v>
      </c>
      <c r="AK465" s="80">
        <f t="shared" si="72"/>
        <v>0</v>
      </c>
      <c r="AM465" s="85"/>
    </row>
    <row r="466" spans="1:39" hidden="1" x14ac:dyDescent="0.3">
      <c r="A466" s="85" t="s">
        <v>34</v>
      </c>
      <c r="B466" s="15" t="s">
        <v>35</v>
      </c>
      <c r="C466" s="15" t="s">
        <v>47</v>
      </c>
      <c r="D466" s="15" t="s">
        <v>48</v>
      </c>
      <c r="E466" s="15" t="s">
        <v>556</v>
      </c>
      <c r="F466" s="15" t="s">
        <v>556</v>
      </c>
      <c r="G466" s="15" t="s">
        <v>556</v>
      </c>
      <c r="H466" s="154"/>
      <c r="I466" s="15" t="s">
        <v>408</v>
      </c>
      <c r="J466" s="1" t="s">
        <v>3324</v>
      </c>
      <c r="K466" s="1" t="s">
        <v>3278</v>
      </c>
      <c r="L466" s="1" t="s">
        <v>35</v>
      </c>
      <c r="M466" s="15" t="s">
        <v>557</v>
      </c>
      <c r="N466" s="15"/>
      <c r="O466" s="8" t="s">
        <v>45</v>
      </c>
      <c r="P466" s="8" t="s">
        <v>46</v>
      </c>
      <c r="Q466" s="14">
        <v>0.04</v>
      </c>
      <c r="R466" s="139">
        <v>1000100700</v>
      </c>
      <c r="S466" s="15"/>
      <c r="T466" s="6">
        <v>0</v>
      </c>
      <c r="U466" s="6">
        <v>10000</v>
      </c>
      <c r="V466" s="6">
        <v>453.21</v>
      </c>
      <c r="W466" s="18">
        <f t="shared" si="65"/>
        <v>9546.7900000000009</v>
      </c>
      <c r="X466" s="18">
        <f t="shared" si="64"/>
        <v>435.77884615384613</v>
      </c>
      <c r="Y466" s="13">
        <f t="shared" si="68"/>
        <v>187.8231406723763</v>
      </c>
      <c r="Z466" s="14">
        <v>0</v>
      </c>
      <c r="AA466" s="4">
        <v>0</v>
      </c>
      <c r="AB466" s="4">
        <f t="shared" si="69"/>
        <v>435.77884615384613</v>
      </c>
      <c r="AC466" s="6">
        <f t="shared" si="70"/>
        <v>17.431153846153848</v>
      </c>
      <c r="AD466" s="18">
        <f t="shared" si="66"/>
        <v>247.95570548146983</v>
      </c>
      <c r="AE466" s="2">
        <v>0.12</v>
      </c>
      <c r="AF466" s="5">
        <f t="shared" si="71"/>
        <v>29.75468465777638</v>
      </c>
      <c r="AG466" s="14">
        <v>0</v>
      </c>
      <c r="AH466" s="10">
        <f t="shared" si="67"/>
        <v>453.21</v>
      </c>
      <c r="AI466" s="16"/>
      <c r="AJ466" s="126" t="e">
        <v>#N/A</v>
      </c>
      <c r="AK466" s="80">
        <f t="shared" si="72"/>
        <v>0</v>
      </c>
      <c r="AM466" s="85"/>
    </row>
    <row r="467" spans="1:39" hidden="1" x14ac:dyDescent="0.3">
      <c r="A467" s="85" t="s">
        <v>34</v>
      </c>
      <c r="B467" s="15" t="s">
        <v>35</v>
      </c>
      <c r="C467" s="15" t="s">
        <v>144</v>
      </c>
      <c r="D467" s="15" t="s">
        <v>145</v>
      </c>
      <c r="E467" s="15" t="s">
        <v>558</v>
      </c>
      <c r="F467" s="15" t="s">
        <v>559</v>
      </c>
      <c r="G467" s="15" t="s">
        <v>558</v>
      </c>
      <c r="H467" s="154"/>
      <c r="I467" s="15" t="s">
        <v>408</v>
      </c>
      <c r="J467" s="1" t="s">
        <v>3324</v>
      </c>
      <c r="K467" s="1" t="s">
        <v>3278</v>
      </c>
      <c r="L467" s="1" t="s">
        <v>35</v>
      </c>
      <c r="M467" s="15" t="s">
        <v>560</v>
      </c>
      <c r="N467" s="15"/>
      <c r="O467" s="8" t="s">
        <v>410</v>
      </c>
      <c r="P467" s="8" t="s">
        <v>41</v>
      </c>
      <c r="Q467" s="14">
        <v>0</v>
      </c>
      <c r="R467" s="139">
        <v>1000053973</v>
      </c>
      <c r="S467" s="15"/>
      <c r="T467" s="6">
        <v>0</v>
      </c>
      <c r="U467" s="6">
        <v>45000</v>
      </c>
      <c r="V467" s="6">
        <v>24212.560000000001</v>
      </c>
      <c r="W467" s="18">
        <f t="shared" si="65"/>
        <v>20787.439999999999</v>
      </c>
      <c r="X467" s="18">
        <f t="shared" ref="X467:X530" si="73">IF(P467="折扣",V467*Q467,IF(P467="返现",V467,V467/(1+Q467)))</f>
        <v>24212.560000000001</v>
      </c>
      <c r="Y467" s="13">
        <f t="shared" si="68"/>
        <v>10965.627239662812</v>
      </c>
      <c r="Z467" s="14">
        <v>0</v>
      </c>
      <c r="AA467" s="4">
        <v>0</v>
      </c>
      <c r="AB467" s="4">
        <f t="shared" si="69"/>
        <v>24212.560000000001</v>
      </c>
      <c r="AC467" s="6">
        <f t="shared" si="70"/>
        <v>0</v>
      </c>
      <c r="AD467" s="18">
        <f t="shared" si="66"/>
        <v>13246.932760337189</v>
      </c>
      <c r="AE467" s="2">
        <v>7.0000000000000007E-2</v>
      </c>
      <c r="AF467" s="5">
        <f t="shared" si="71"/>
        <v>927.28529322360339</v>
      </c>
      <c r="AG467" s="14">
        <v>0</v>
      </c>
      <c r="AH467" s="10">
        <f t="shared" si="67"/>
        <v>24212.560000000001</v>
      </c>
      <c r="AI467" s="16"/>
      <c r="AJ467" s="126" t="e">
        <v>#N/A</v>
      </c>
      <c r="AK467" s="80">
        <f t="shared" si="72"/>
        <v>0</v>
      </c>
      <c r="AM467" s="85"/>
    </row>
    <row r="468" spans="1:39" hidden="1" x14ac:dyDescent="0.3">
      <c r="A468" s="85" t="s">
        <v>34</v>
      </c>
      <c r="B468" s="15" t="s">
        <v>35</v>
      </c>
      <c r="C468" s="15" t="s">
        <v>144</v>
      </c>
      <c r="D468" s="15" t="s">
        <v>145</v>
      </c>
      <c r="E468" s="15" t="s">
        <v>561</v>
      </c>
      <c r="F468" s="15" t="s">
        <v>561</v>
      </c>
      <c r="G468" s="15" t="s">
        <v>561</v>
      </c>
      <c r="H468" s="154"/>
      <c r="I468" s="15" t="s">
        <v>408</v>
      </c>
      <c r="J468" s="1" t="s">
        <v>3324</v>
      </c>
      <c r="K468" s="1" t="s">
        <v>3278</v>
      </c>
      <c r="L468" s="1" t="s">
        <v>35</v>
      </c>
      <c r="M468" s="15" t="s">
        <v>562</v>
      </c>
      <c r="N468" s="15"/>
      <c r="O468" s="8" t="s">
        <v>410</v>
      </c>
      <c r="P468" s="8" t="s">
        <v>46</v>
      </c>
      <c r="Q468" s="14">
        <v>0.02</v>
      </c>
      <c r="R468" s="139">
        <v>1000100251</v>
      </c>
      <c r="S468" s="15"/>
      <c r="T468" s="6">
        <v>0</v>
      </c>
      <c r="U468" s="6">
        <v>10000</v>
      </c>
      <c r="V468" s="6">
        <v>1990.5</v>
      </c>
      <c r="W468" s="18">
        <f t="shared" ref="W468:W531" si="74">T468+U468-V468</f>
        <v>8009.5</v>
      </c>
      <c r="X468" s="18">
        <f t="shared" si="73"/>
        <v>1951.4705882352941</v>
      </c>
      <c r="Y468" s="13">
        <f t="shared" si="68"/>
        <v>862.44821061594394</v>
      </c>
      <c r="Z468" s="14">
        <v>0</v>
      </c>
      <c r="AA468" s="4">
        <v>0</v>
      </c>
      <c r="AB468" s="4">
        <f t="shared" si="69"/>
        <v>1951.4705882352941</v>
      </c>
      <c r="AC468" s="6">
        <f t="shared" si="70"/>
        <v>39.029411764705856</v>
      </c>
      <c r="AD468" s="18">
        <f t="shared" si="66"/>
        <v>1089.0223776193502</v>
      </c>
      <c r="AE468" s="2">
        <v>7.0000000000000007E-2</v>
      </c>
      <c r="AF468" s="5">
        <f t="shared" si="71"/>
        <v>76.231566433354516</v>
      </c>
      <c r="AG468" s="14">
        <v>0</v>
      </c>
      <c r="AH468" s="10">
        <f t="shared" si="67"/>
        <v>1990.5</v>
      </c>
      <c r="AI468" s="16"/>
      <c r="AJ468" s="126" t="e">
        <v>#N/A</v>
      </c>
      <c r="AK468" s="80">
        <f t="shared" si="72"/>
        <v>0</v>
      </c>
      <c r="AM468" s="85"/>
    </row>
    <row r="469" spans="1:39" hidden="1" x14ac:dyDescent="0.3">
      <c r="A469" s="85" t="s">
        <v>34</v>
      </c>
      <c r="B469" s="15" t="s">
        <v>35</v>
      </c>
      <c r="C469" s="15" t="s">
        <v>144</v>
      </c>
      <c r="D469" s="15" t="s">
        <v>145</v>
      </c>
      <c r="E469" s="15" t="s">
        <v>563</v>
      </c>
      <c r="F469" s="15" t="s">
        <v>563</v>
      </c>
      <c r="G469" s="15" t="s">
        <v>563</v>
      </c>
      <c r="H469" s="154"/>
      <c r="I469" s="15" t="s">
        <v>408</v>
      </c>
      <c r="J469" s="1" t="s">
        <v>3324</v>
      </c>
      <c r="K469" s="1" t="s">
        <v>3278</v>
      </c>
      <c r="L469" s="1" t="s">
        <v>35</v>
      </c>
      <c r="M469" s="15" t="s">
        <v>564</v>
      </c>
      <c r="N469" s="15"/>
      <c r="O469" s="8" t="s">
        <v>410</v>
      </c>
      <c r="P469" s="8" t="s">
        <v>46</v>
      </c>
      <c r="Q469" s="14">
        <v>0.02</v>
      </c>
      <c r="R469" s="139">
        <v>1000095719</v>
      </c>
      <c r="S469" s="15"/>
      <c r="T469" s="6">
        <v>0</v>
      </c>
      <c r="U469" s="6">
        <v>30200</v>
      </c>
      <c r="V469" s="6">
        <v>23970.519999999997</v>
      </c>
      <c r="W469" s="18">
        <f t="shared" si="74"/>
        <v>6229.4800000000032</v>
      </c>
      <c r="X469" s="18">
        <f t="shared" si="73"/>
        <v>23500.509803921566</v>
      </c>
      <c r="Y469" s="13">
        <f t="shared" si="68"/>
        <v>10385.999538575079</v>
      </c>
      <c r="Z469" s="14">
        <v>0</v>
      </c>
      <c r="AA469" s="4">
        <v>0</v>
      </c>
      <c r="AB469" s="4">
        <f t="shared" si="69"/>
        <v>23500.509803921566</v>
      </c>
      <c r="AC469" s="6">
        <f t="shared" si="70"/>
        <v>470.01019607843045</v>
      </c>
      <c r="AD469" s="18">
        <f t="shared" si="66"/>
        <v>13114.510265346487</v>
      </c>
      <c r="AE469" s="2">
        <v>7.0000000000000007E-2</v>
      </c>
      <c r="AF469" s="5">
        <f t="shared" si="71"/>
        <v>918.01571857425415</v>
      </c>
      <c r="AG469" s="14">
        <v>0</v>
      </c>
      <c r="AH469" s="10">
        <f t="shared" si="67"/>
        <v>23970.519999999997</v>
      </c>
      <c r="AI469" s="16"/>
      <c r="AJ469" s="126" t="e">
        <v>#N/A</v>
      </c>
      <c r="AK469" s="80">
        <f t="shared" si="72"/>
        <v>0</v>
      </c>
      <c r="AM469" s="85"/>
    </row>
    <row r="470" spans="1:39" hidden="1" x14ac:dyDescent="0.3">
      <c r="A470" s="85" t="s">
        <v>34</v>
      </c>
      <c r="B470" s="15" t="s">
        <v>35</v>
      </c>
      <c r="C470" s="15" t="s">
        <v>144</v>
      </c>
      <c r="D470" s="15" t="s">
        <v>145</v>
      </c>
      <c r="E470" s="15" t="s">
        <v>563</v>
      </c>
      <c r="F470" s="15" t="s">
        <v>563</v>
      </c>
      <c r="G470" s="15" t="s">
        <v>563</v>
      </c>
      <c r="H470" s="139"/>
      <c r="I470" s="15" t="s">
        <v>408</v>
      </c>
      <c r="J470" s="1" t="s">
        <v>3324</v>
      </c>
      <c r="K470" s="1" t="s">
        <v>3278</v>
      </c>
      <c r="L470" s="1" t="s">
        <v>35</v>
      </c>
      <c r="M470" s="15" t="s">
        <v>564</v>
      </c>
      <c r="N470" s="15"/>
      <c r="O470" s="8" t="s">
        <v>410</v>
      </c>
      <c r="P470" s="8" t="s">
        <v>353</v>
      </c>
      <c r="Q470" s="14">
        <v>0.02</v>
      </c>
      <c r="R470" s="139">
        <v>1000095719</v>
      </c>
      <c r="S470" s="15"/>
      <c r="T470" s="6">
        <v>0</v>
      </c>
      <c r="U470" s="6">
        <v>0</v>
      </c>
      <c r="V470" s="6">
        <v>0</v>
      </c>
      <c r="W470" s="18">
        <f t="shared" si="74"/>
        <v>0</v>
      </c>
      <c r="X470" s="18">
        <f t="shared" si="73"/>
        <v>0</v>
      </c>
      <c r="Y470" s="13">
        <f t="shared" si="68"/>
        <v>0</v>
      </c>
      <c r="Z470" s="14">
        <v>0</v>
      </c>
      <c r="AA470" s="4">
        <v>0</v>
      </c>
      <c r="AB470" s="4">
        <f t="shared" si="69"/>
        <v>0</v>
      </c>
      <c r="AC470" s="6">
        <f t="shared" si="70"/>
        <v>0</v>
      </c>
      <c r="AD470" s="18">
        <f t="shared" si="66"/>
        <v>0</v>
      </c>
      <c r="AE470" s="2">
        <v>7.0000000000000007E-2</v>
      </c>
      <c r="AF470" s="5">
        <f t="shared" si="71"/>
        <v>0</v>
      </c>
      <c r="AG470" s="14">
        <v>0</v>
      </c>
      <c r="AH470" s="10">
        <f t="shared" si="67"/>
        <v>0</v>
      </c>
      <c r="AI470" s="16"/>
      <c r="AJ470" s="126" t="e">
        <v>#N/A</v>
      </c>
      <c r="AK470" s="80">
        <f t="shared" si="72"/>
        <v>0</v>
      </c>
      <c r="AM470" s="85"/>
    </row>
    <row r="471" spans="1:39" hidden="1" x14ac:dyDescent="0.3">
      <c r="A471" s="85" t="s">
        <v>34</v>
      </c>
      <c r="B471" s="15" t="s">
        <v>35</v>
      </c>
      <c r="C471" s="15" t="s">
        <v>144</v>
      </c>
      <c r="D471" s="15" t="s">
        <v>145</v>
      </c>
      <c r="E471" s="15" t="s">
        <v>565</v>
      </c>
      <c r="F471" s="15" t="s">
        <v>566</v>
      </c>
      <c r="G471" s="15" t="s">
        <v>565</v>
      </c>
      <c r="H471" s="154"/>
      <c r="I471" s="15" t="s">
        <v>408</v>
      </c>
      <c r="J471" s="1" t="s">
        <v>3324</v>
      </c>
      <c r="K471" s="1" t="s">
        <v>3278</v>
      </c>
      <c r="L471" s="1" t="s">
        <v>35</v>
      </c>
      <c r="M471" s="15" t="s">
        <v>567</v>
      </c>
      <c r="N471" s="15"/>
      <c r="O471" s="8" t="s">
        <v>410</v>
      </c>
      <c r="P471" s="8" t="s">
        <v>41</v>
      </c>
      <c r="Q471" s="14">
        <v>0</v>
      </c>
      <c r="R471" s="139">
        <v>1000098895</v>
      </c>
      <c r="S471" s="15"/>
      <c r="T471" s="6">
        <v>0</v>
      </c>
      <c r="U471" s="6">
        <v>70000</v>
      </c>
      <c r="V471" s="6">
        <v>59965.9</v>
      </c>
      <c r="W471" s="18">
        <f t="shared" si="74"/>
        <v>10034.099999999999</v>
      </c>
      <c r="X471" s="18">
        <f t="shared" si="73"/>
        <v>59965.9</v>
      </c>
      <c r="Y471" s="13">
        <f t="shared" si="68"/>
        <v>27157.958782173228</v>
      </c>
      <c r="Z471" s="14">
        <v>0</v>
      </c>
      <c r="AA471" s="4">
        <v>0</v>
      </c>
      <c r="AB471" s="4">
        <f t="shared" si="69"/>
        <v>59965.9</v>
      </c>
      <c r="AC471" s="6">
        <f t="shared" si="70"/>
        <v>0</v>
      </c>
      <c r="AD471" s="18">
        <f t="shared" si="66"/>
        <v>32807.941217826774</v>
      </c>
      <c r="AE471" s="2">
        <v>7.0000000000000007E-2</v>
      </c>
      <c r="AF471" s="5">
        <f t="shared" si="71"/>
        <v>2296.5558852478744</v>
      </c>
      <c r="AG471" s="14">
        <v>0</v>
      </c>
      <c r="AH471" s="10">
        <f t="shared" si="67"/>
        <v>59965.9</v>
      </c>
      <c r="AI471" s="16"/>
      <c r="AJ471" s="126" t="e">
        <v>#N/A</v>
      </c>
      <c r="AK471" s="80">
        <f t="shared" si="72"/>
        <v>0</v>
      </c>
      <c r="AM471" s="85"/>
    </row>
    <row r="472" spans="1:39" hidden="1" x14ac:dyDescent="0.3">
      <c r="A472" s="85" t="s">
        <v>34</v>
      </c>
      <c r="B472" s="15" t="s">
        <v>35</v>
      </c>
      <c r="C472" s="15" t="s">
        <v>144</v>
      </c>
      <c r="D472" s="15" t="s">
        <v>145</v>
      </c>
      <c r="E472" s="15" t="s">
        <v>568</v>
      </c>
      <c r="F472" s="15" t="s">
        <v>568</v>
      </c>
      <c r="G472" s="15" t="s">
        <v>568</v>
      </c>
      <c r="H472" s="154"/>
      <c r="I472" s="15" t="s">
        <v>408</v>
      </c>
      <c r="J472" s="1" t="s">
        <v>3324</v>
      </c>
      <c r="K472" s="1" t="s">
        <v>3278</v>
      </c>
      <c r="L472" s="1" t="s">
        <v>35</v>
      </c>
      <c r="M472" s="15" t="s">
        <v>569</v>
      </c>
      <c r="N472" s="15"/>
      <c r="O472" s="8" t="s">
        <v>410</v>
      </c>
      <c r="P472" s="8" t="s">
        <v>41</v>
      </c>
      <c r="Q472" s="14">
        <v>0</v>
      </c>
      <c r="R472" s="139">
        <v>1000044682</v>
      </c>
      <c r="S472" s="15"/>
      <c r="T472" s="6">
        <v>0</v>
      </c>
      <c r="U472" s="6">
        <v>40000</v>
      </c>
      <c r="V472" s="6">
        <v>21277.880000000005</v>
      </c>
      <c r="W472" s="18">
        <f t="shared" si="74"/>
        <v>18722.119999999995</v>
      </c>
      <c r="X472" s="18">
        <f t="shared" si="73"/>
        <v>21277.880000000005</v>
      </c>
      <c r="Y472" s="13">
        <f t="shared" si="68"/>
        <v>9636.5399003771836</v>
      </c>
      <c r="Z472" s="14">
        <v>0</v>
      </c>
      <c r="AA472" s="4">
        <v>0</v>
      </c>
      <c r="AB472" s="4">
        <f t="shared" si="69"/>
        <v>21277.880000000005</v>
      </c>
      <c r="AC472" s="6">
        <f t="shared" si="70"/>
        <v>0</v>
      </c>
      <c r="AD472" s="18">
        <f t="shared" si="66"/>
        <v>11641.340099622821</v>
      </c>
      <c r="AE472" s="2">
        <v>7.0000000000000007E-2</v>
      </c>
      <c r="AF472" s="5">
        <f t="shared" si="71"/>
        <v>814.89380697359752</v>
      </c>
      <c r="AG472" s="14">
        <v>0</v>
      </c>
      <c r="AH472" s="10">
        <f t="shared" si="67"/>
        <v>21277.880000000005</v>
      </c>
      <c r="AI472" s="16"/>
      <c r="AJ472" s="126" t="e">
        <v>#N/A</v>
      </c>
      <c r="AK472" s="80">
        <f t="shared" si="72"/>
        <v>0</v>
      </c>
      <c r="AM472" s="85"/>
    </row>
    <row r="473" spans="1:39" hidden="1" x14ac:dyDescent="0.3">
      <c r="A473" s="85" t="s">
        <v>34</v>
      </c>
      <c r="B473" s="15" t="s">
        <v>35</v>
      </c>
      <c r="C473" s="15" t="s">
        <v>144</v>
      </c>
      <c r="D473" s="15" t="s">
        <v>145</v>
      </c>
      <c r="E473" s="15" t="s">
        <v>570</v>
      </c>
      <c r="F473" s="15" t="s">
        <v>570</v>
      </c>
      <c r="G473" s="15" t="s">
        <v>570</v>
      </c>
      <c r="H473" s="154"/>
      <c r="I473" s="15" t="s">
        <v>408</v>
      </c>
      <c r="J473" s="1" t="s">
        <v>3324</v>
      </c>
      <c r="K473" s="1" t="s">
        <v>3278</v>
      </c>
      <c r="L473" s="1" t="s">
        <v>35</v>
      </c>
      <c r="M473" s="15" t="s">
        <v>571</v>
      </c>
      <c r="N473" s="15"/>
      <c r="O473" s="8" t="s">
        <v>410</v>
      </c>
      <c r="P473" s="8" t="s">
        <v>46</v>
      </c>
      <c r="Q473" s="14">
        <v>0.01</v>
      </c>
      <c r="R473" s="139">
        <v>1000100252</v>
      </c>
      <c r="S473" s="15"/>
      <c r="T473" s="6">
        <v>0</v>
      </c>
      <c r="U473" s="6">
        <v>10000</v>
      </c>
      <c r="V473" s="6">
        <v>4826.2900000000009</v>
      </c>
      <c r="W473" s="18">
        <f t="shared" si="74"/>
        <v>5173.7099999999991</v>
      </c>
      <c r="X473" s="18">
        <f t="shared" si="73"/>
        <v>4778.5049504950503</v>
      </c>
      <c r="Y473" s="13">
        <f t="shared" si="68"/>
        <v>2137.993616216982</v>
      </c>
      <c r="Z473" s="14">
        <v>0</v>
      </c>
      <c r="AA473" s="4">
        <v>0</v>
      </c>
      <c r="AB473" s="4">
        <f t="shared" si="69"/>
        <v>4778.5049504950503</v>
      </c>
      <c r="AC473" s="6">
        <f t="shared" si="70"/>
        <v>47.785049504950621</v>
      </c>
      <c r="AD473" s="18">
        <f t="shared" si="66"/>
        <v>2640.5113342780683</v>
      </c>
      <c r="AE473" s="2">
        <v>7.0000000000000007E-2</v>
      </c>
      <c r="AF473" s="5">
        <f t="shared" si="71"/>
        <v>184.83579339946479</v>
      </c>
      <c r="AG473" s="14">
        <v>0</v>
      </c>
      <c r="AH473" s="10">
        <f t="shared" si="67"/>
        <v>4826.2900000000009</v>
      </c>
      <c r="AI473" s="16"/>
      <c r="AJ473" s="126" t="e">
        <v>#N/A</v>
      </c>
      <c r="AK473" s="80">
        <f t="shared" si="72"/>
        <v>0</v>
      </c>
      <c r="AM473" s="85"/>
    </row>
    <row r="474" spans="1:39" hidden="1" x14ac:dyDescent="0.3">
      <c r="A474" s="85" t="s">
        <v>34</v>
      </c>
      <c r="B474" s="15" t="s">
        <v>35</v>
      </c>
      <c r="C474" s="15" t="s">
        <v>144</v>
      </c>
      <c r="D474" s="15" t="s">
        <v>145</v>
      </c>
      <c r="E474" s="15" t="s">
        <v>572</v>
      </c>
      <c r="F474" s="15" t="s">
        <v>572</v>
      </c>
      <c r="G474" s="15" t="s">
        <v>572</v>
      </c>
      <c r="H474" s="154"/>
      <c r="I474" s="15" t="s">
        <v>408</v>
      </c>
      <c r="J474" s="1" t="s">
        <v>3324</v>
      </c>
      <c r="K474" s="1" t="s">
        <v>3278</v>
      </c>
      <c r="L474" s="1" t="s">
        <v>35</v>
      </c>
      <c r="M474" s="15" t="s">
        <v>573</v>
      </c>
      <c r="N474" s="15"/>
      <c r="O474" s="8" t="s">
        <v>410</v>
      </c>
      <c r="P474" s="8" t="s">
        <v>41</v>
      </c>
      <c r="Q474" s="14">
        <v>0</v>
      </c>
      <c r="R474" s="139">
        <v>1000098682</v>
      </c>
      <c r="S474" s="15"/>
      <c r="T474" s="6">
        <v>0</v>
      </c>
      <c r="U474" s="6">
        <v>10000</v>
      </c>
      <c r="V474" s="6">
        <v>3464.8399999999997</v>
      </c>
      <c r="W474" s="18">
        <f t="shared" si="74"/>
        <v>6535.16</v>
      </c>
      <c r="X474" s="18">
        <f t="shared" si="73"/>
        <v>3464.8399999999997</v>
      </c>
      <c r="Y474" s="13">
        <f t="shared" si="68"/>
        <v>1569.191522295589</v>
      </c>
      <c r="Z474" s="14">
        <v>0</v>
      </c>
      <c r="AA474" s="4">
        <v>0</v>
      </c>
      <c r="AB474" s="4">
        <f t="shared" si="69"/>
        <v>3464.8399999999997</v>
      </c>
      <c r="AC474" s="6">
        <f t="shared" si="70"/>
        <v>0</v>
      </c>
      <c r="AD474" s="18">
        <f t="shared" si="66"/>
        <v>1895.6484777044107</v>
      </c>
      <c r="AE474" s="2">
        <v>7.0000000000000007E-2</v>
      </c>
      <c r="AF474" s="5">
        <f t="shared" si="71"/>
        <v>132.69539343930876</v>
      </c>
      <c r="AG474" s="14">
        <v>0</v>
      </c>
      <c r="AH474" s="10">
        <f t="shared" si="67"/>
        <v>3464.8399999999997</v>
      </c>
      <c r="AI474" s="16"/>
      <c r="AJ474" s="126" t="e">
        <v>#N/A</v>
      </c>
      <c r="AK474" s="80">
        <f t="shared" si="72"/>
        <v>0</v>
      </c>
      <c r="AM474" s="85"/>
    </row>
    <row r="475" spans="1:39" hidden="1" x14ac:dyDescent="0.3">
      <c r="A475" s="85" t="s">
        <v>34</v>
      </c>
      <c r="B475" s="15" t="s">
        <v>35</v>
      </c>
      <c r="C475" s="15" t="s">
        <v>144</v>
      </c>
      <c r="D475" s="15" t="s">
        <v>145</v>
      </c>
      <c r="E475" s="15" t="s">
        <v>574</v>
      </c>
      <c r="F475" s="15" t="s">
        <v>574</v>
      </c>
      <c r="G475" s="15" t="s">
        <v>574</v>
      </c>
      <c r="H475" s="154"/>
      <c r="I475" s="15" t="s">
        <v>408</v>
      </c>
      <c r="J475" s="1" t="s">
        <v>3324</v>
      </c>
      <c r="K475" s="1" t="s">
        <v>3278</v>
      </c>
      <c r="L475" s="1" t="s">
        <v>35</v>
      </c>
      <c r="M475" s="15" t="s">
        <v>575</v>
      </c>
      <c r="N475" s="15"/>
      <c r="O475" s="8" t="s">
        <v>410</v>
      </c>
      <c r="P475" s="8" t="s">
        <v>46</v>
      </c>
      <c r="Q475" s="14">
        <v>0.02</v>
      </c>
      <c r="R475" s="139">
        <v>1000098771</v>
      </c>
      <c r="S475" s="15"/>
      <c r="T475" s="6">
        <v>0</v>
      </c>
      <c r="U475" s="6">
        <v>400000</v>
      </c>
      <c r="V475" s="6">
        <v>310044.79999999999</v>
      </c>
      <c r="W475" s="18">
        <f t="shared" si="74"/>
        <v>89955.200000000012</v>
      </c>
      <c r="X475" s="18">
        <f t="shared" si="73"/>
        <v>303965.49019607843</v>
      </c>
      <c r="Y475" s="13">
        <f t="shared" si="68"/>
        <v>134336.89172106417</v>
      </c>
      <c r="Z475" s="14">
        <v>0</v>
      </c>
      <c r="AA475" s="4">
        <v>0</v>
      </c>
      <c r="AB475" s="4">
        <f t="shared" si="69"/>
        <v>303965.49019607843</v>
      </c>
      <c r="AC475" s="6">
        <f t="shared" si="70"/>
        <v>6079.3098039215547</v>
      </c>
      <c r="AD475" s="18">
        <f t="shared" si="66"/>
        <v>169628.59847501427</v>
      </c>
      <c r="AE475" s="2">
        <v>7.0000000000000007E-2</v>
      </c>
      <c r="AF475" s="5">
        <f t="shared" si="71"/>
        <v>11874.001893250999</v>
      </c>
      <c r="AG475" s="14">
        <v>0</v>
      </c>
      <c r="AH475" s="10">
        <f t="shared" si="67"/>
        <v>310044.79999999999</v>
      </c>
      <c r="AI475" s="16"/>
      <c r="AJ475" s="126" t="e">
        <v>#N/A</v>
      </c>
      <c r="AK475" s="80">
        <f t="shared" si="72"/>
        <v>0</v>
      </c>
      <c r="AM475" s="85"/>
    </row>
    <row r="476" spans="1:39" hidden="1" x14ac:dyDescent="0.3">
      <c r="A476" s="85" t="s">
        <v>34</v>
      </c>
      <c r="B476" s="15" t="s">
        <v>35</v>
      </c>
      <c r="C476" s="15" t="s">
        <v>144</v>
      </c>
      <c r="D476" s="15" t="s">
        <v>145</v>
      </c>
      <c r="E476" s="15" t="s">
        <v>576</v>
      </c>
      <c r="F476" s="15" t="s">
        <v>577</v>
      </c>
      <c r="G476" s="15" t="s">
        <v>577</v>
      </c>
      <c r="H476" s="154"/>
      <c r="I476" s="15" t="s">
        <v>408</v>
      </c>
      <c r="J476" s="1" t="s">
        <v>3324</v>
      </c>
      <c r="K476" s="1" t="s">
        <v>3278</v>
      </c>
      <c r="L476" s="1" t="s">
        <v>35</v>
      </c>
      <c r="M476" s="15" t="s">
        <v>578</v>
      </c>
      <c r="N476" s="15"/>
      <c r="O476" s="8" t="s">
        <v>410</v>
      </c>
      <c r="P476" s="8" t="s">
        <v>41</v>
      </c>
      <c r="Q476" s="14">
        <v>0</v>
      </c>
      <c r="R476" s="139">
        <v>1000099148</v>
      </c>
      <c r="S476" s="15"/>
      <c r="T476" s="6">
        <v>10000</v>
      </c>
      <c r="U476" s="6">
        <v>30000</v>
      </c>
      <c r="V476" s="6">
        <v>18630.180000000008</v>
      </c>
      <c r="W476" s="18">
        <f t="shared" si="74"/>
        <v>21369.819999999992</v>
      </c>
      <c r="X476" s="18">
        <f t="shared" si="73"/>
        <v>18630.180000000008</v>
      </c>
      <c r="Y476" s="13">
        <f t="shared" si="68"/>
        <v>8437.422944447897</v>
      </c>
      <c r="Z476" s="14">
        <v>0</v>
      </c>
      <c r="AA476" s="4">
        <v>0</v>
      </c>
      <c r="AB476" s="4">
        <f t="shared" si="69"/>
        <v>18630.180000000008</v>
      </c>
      <c r="AC476" s="6">
        <f t="shared" si="70"/>
        <v>0</v>
      </c>
      <c r="AD476" s="18">
        <f t="shared" si="66"/>
        <v>10192.757055552111</v>
      </c>
      <c r="AE476" s="2">
        <v>7.0000000000000007E-2</v>
      </c>
      <c r="AF476" s="5">
        <f t="shared" si="71"/>
        <v>713.49299388864779</v>
      </c>
      <c r="AG476" s="14">
        <v>0</v>
      </c>
      <c r="AH476" s="10">
        <f t="shared" si="67"/>
        <v>18630.180000000008</v>
      </c>
      <c r="AI476" s="16"/>
      <c r="AJ476" s="126" t="e">
        <v>#N/A</v>
      </c>
      <c r="AK476" s="80">
        <f t="shared" si="72"/>
        <v>0</v>
      </c>
      <c r="AM476" s="85"/>
    </row>
    <row r="477" spans="1:39" hidden="1" x14ac:dyDescent="0.3">
      <c r="A477" s="85" t="s">
        <v>34</v>
      </c>
      <c r="B477" s="15" t="s">
        <v>35</v>
      </c>
      <c r="C477" s="15" t="s">
        <v>144</v>
      </c>
      <c r="D477" s="15" t="s">
        <v>145</v>
      </c>
      <c r="E477" s="15" t="s">
        <v>579</v>
      </c>
      <c r="F477" s="15" t="s">
        <v>579</v>
      </c>
      <c r="G477" s="15" t="s">
        <v>579</v>
      </c>
      <c r="H477" s="154"/>
      <c r="I477" s="15" t="s">
        <v>408</v>
      </c>
      <c r="J477" s="1" t="s">
        <v>3324</v>
      </c>
      <c r="K477" s="1" t="s">
        <v>3278</v>
      </c>
      <c r="L477" s="1" t="s">
        <v>35</v>
      </c>
      <c r="M477" s="15" t="s">
        <v>580</v>
      </c>
      <c r="N477" s="15"/>
      <c r="O477" s="8" t="s">
        <v>410</v>
      </c>
      <c r="P477" s="8" t="s">
        <v>41</v>
      </c>
      <c r="Q477" s="14">
        <v>0</v>
      </c>
      <c r="R477" s="139">
        <v>1000098345</v>
      </c>
      <c r="S477" s="15"/>
      <c r="T477" s="6">
        <v>20000</v>
      </c>
      <c r="U477" s="6">
        <v>20000</v>
      </c>
      <c r="V477" s="6">
        <v>37827.199999999997</v>
      </c>
      <c r="W477" s="18">
        <f t="shared" si="74"/>
        <v>2172.8000000000029</v>
      </c>
      <c r="X477" s="18">
        <f t="shared" si="73"/>
        <v>37827.199999999997</v>
      </c>
      <c r="Y477" s="13">
        <f t="shared" si="68"/>
        <v>17131.562078531682</v>
      </c>
      <c r="Z477" s="14">
        <v>0</v>
      </c>
      <c r="AA477" s="4">
        <v>0</v>
      </c>
      <c r="AB477" s="4">
        <f t="shared" si="69"/>
        <v>37827.199999999997</v>
      </c>
      <c r="AC477" s="6">
        <f t="shared" si="70"/>
        <v>0</v>
      </c>
      <c r="AD477" s="18">
        <f t="shared" si="66"/>
        <v>20695.637921468315</v>
      </c>
      <c r="AE477" s="2">
        <v>7.0000000000000007E-2</v>
      </c>
      <c r="AF477" s="5">
        <f t="shared" si="71"/>
        <v>1448.6946545027822</v>
      </c>
      <c r="AG477" s="14">
        <v>0</v>
      </c>
      <c r="AH477" s="10">
        <f t="shared" si="67"/>
        <v>37827.199999999997</v>
      </c>
      <c r="AI477" s="16"/>
      <c r="AJ477" s="126" t="e">
        <v>#N/A</v>
      </c>
      <c r="AK477" s="80">
        <f t="shared" si="72"/>
        <v>0</v>
      </c>
      <c r="AM477" s="85"/>
    </row>
    <row r="478" spans="1:39" hidden="1" x14ac:dyDescent="0.3">
      <c r="A478" s="85" t="s">
        <v>34</v>
      </c>
      <c r="B478" s="15" t="s">
        <v>35</v>
      </c>
      <c r="C478" s="15" t="s">
        <v>144</v>
      </c>
      <c r="D478" s="15" t="s">
        <v>145</v>
      </c>
      <c r="E478" s="15" t="s">
        <v>581</v>
      </c>
      <c r="F478" s="15" t="s">
        <v>581</v>
      </c>
      <c r="G478" s="15" t="s">
        <v>581</v>
      </c>
      <c r="H478" s="154"/>
      <c r="I478" s="15" t="s">
        <v>408</v>
      </c>
      <c r="J478" s="1" t="s">
        <v>3324</v>
      </c>
      <c r="K478" s="1" t="s">
        <v>3278</v>
      </c>
      <c r="L478" s="1" t="s">
        <v>35</v>
      </c>
      <c r="M478" s="15" t="s">
        <v>582</v>
      </c>
      <c r="N478" s="15"/>
      <c r="O478" s="8" t="s">
        <v>410</v>
      </c>
      <c r="P478" s="8" t="s">
        <v>41</v>
      </c>
      <c r="Q478" s="14">
        <v>0</v>
      </c>
      <c r="R478" s="139">
        <v>1000098988</v>
      </c>
      <c r="S478" s="15"/>
      <c r="T478" s="6">
        <v>0</v>
      </c>
      <c r="U478" s="6">
        <v>20000</v>
      </c>
      <c r="V478" s="6">
        <v>5511</v>
      </c>
      <c r="W478" s="18">
        <f t="shared" si="74"/>
        <v>14489</v>
      </c>
      <c r="X478" s="18">
        <f t="shared" si="73"/>
        <v>5511</v>
      </c>
      <c r="Y478" s="13">
        <f t="shared" si="68"/>
        <v>2495.8770042400206</v>
      </c>
      <c r="Z478" s="14">
        <v>0</v>
      </c>
      <c r="AA478" s="4">
        <v>0</v>
      </c>
      <c r="AB478" s="4">
        <f t="shared" si="69"/>
        <v>5511</v>
      </c>
      <c r="AC478" s="6">
        <f t="shared" si="70"/>
        <v>0</v>
      </c>
      <c r="AD478" s="18">
        <f t="shared" si="66"/>
        <v>3015.1229957599794</v>
      </c>
      <c r="AE478" s="2">
        <v>7.0000000000000007E-2</v>
      </c>
      <c r="AF478" s="5">
        <f t="shared" si="71"/>
        <v>211.05860970319858</v>
      </c>
      <c r="AG478" s="14">
        <v>0</v>
      </c>
      <c r="AH478" s="10">
        <f t="shared" si="67"/>
        <v>5511</v>
      </c>
      <c r="AI478" s="16"/>
      <c r="AJ478" s="126" t="e">
        <v>#N/A</v>
      </c>
      <c r="AK478" s="80">
        <f t="shared" si="72"/>
        <v>0</v>
      </c>
      <c r="AM478" s="85"/>
    </row>
    <row r="479" spans="1:39" hidden="1" x14ac:dyDescent="0.3">
      <c r="A479" s="85" t="s">
        <v>34</v>
      </c>
      <c r="B479" s="15" t="s">
        <v>35</v>
      </c>
      <c r="C479" s="15" t="s">
        <v>144</v>
      </c>
      <c r="D479" s="15" t="s">
        <v>145</v>
      </c>
      <c r="E479" s="15" t="s">
        <v>583</v>
      </c>
      <c r="F479" s="15" t="s">
        <v>583</v>
      </c>
      <c r="G479" s="15" t="s">
        <v>583</v>
      </c>
      <c r="H479" s="139"/>
      <c r="I479" s="15" t="s">
        <v>408</v>
      </c>
      <c r="J479" s="1" t="s">
        <v>3324</v>
      </c>
      <c r="K479" s="1" t="s">
        <v>3278</v>
      </c>
      <c r="L479" s="1" t="s">
        <v>35</v>
      </c>
      <c r="M479" s="15" t="s">
        <v>584</v>
      </c>
      <c r="N479" s="15"/>
      <c r="O479" s="8" t="s">
        <v>410</v>
      </c>
      <c r="P479" s="8" t="s">
        <v>46</v>
      </c>
      <c r="Q479" s="14">
        <v>0.02</v>
      </c>
      <c r="R479" s="139">
        <v>1000044688</v>
      </c>
      <c r="S479" s="15"/>
      <c r="T479" s="6">
        <v>0</v>
      </c>
      <c r="U479" s="6">
        <v>0</v>
      </c>
      <c r="V479" s="6">
        <v>0</v>
      </c>
      <c r="W479" s="18">
        <f t="shared" si="74"/>
        <v>0</v>
      </c>
      <c r="X479" s="18">
        <f t="shared" si="73"/>
        <v>0</v>
      </c>
      <c r="Y479" s="13">
        <f t="shared" si="68"/>
        <v>0</v>
      </c>
      <c r="Z479" s="14">
        <v>0</v>
      </c>
      <c r="AA479" s="4">
        <v>0</v>
      </c>
      <c r="AB479" s="4">
        <f t="shared" si="69"/>
        <v>0</v>
      </c>
      <c r="AC479" s="6">
        <f t="shared" si="70"/>
        <v>0</v>
      </c>
      <c r="AD479" s="18">
        <f t="shared" si="66"/>
        <v>0</v>
      </c>
      <c r="AE479" s="2">
        <v>7.0000000000000007E-2</v>
      </c>
      <c r="AF479" s="5">
        <f t="shared" si="71"/>
        <v>0</v>
      </c>
      <c r="AG479" s="14">
        <v>0</v>
      </c>
      <c r="AH479" s="10">
        <f t="shared" si="67"/>
        <v>0</v>
      </c>
      <c r="AI479" s="16"/>
      <c r="AJ479" s="126" t="e">
        <v>#N/A</v>
      </c>
      <c r="AK479" s="80">
        <f t="shared" si="72"/>
        <v>0</v>
      </c>
      <c r="AM479" s="85"/>
    </row>
    <row r="480" spans="1:39" hidden="1" x14ac:dyDescent="0.3">
      <c r="A480" s="85" t="s">
        <v>34</v>
      </c>
      <c r="B480" s="15" t="s">
        <v>35</v>
      </c>
      <c r="C480" s="15" t="s">
        <v>144</v>
      </c>
      <c r="D480" s="15" t="s">
        <v>145</v>
      </c>
      <c r="E480" s="15" t="s">
        <v>585</v>
      </c>
      <c r="F480" s="15" t="s">
        <v>586</v>
      </c>
      <c r="G480" s="15" t="s">
        <v>585</v>
      </c>
      <c r="H480" s="154"/>
      <c r="I480" s="15" t="s">
        <v>408</v>
      </c>
      <c r="J480" s="1" t="s">
        <v>3324</v>
      </c>
      <c r="K480" s="1" t="s">
        <v>3278</v>
      </c>
      <c r="L480" s="1" t="s">
        <v>35</v>
      </c>
      <c r="M480" s="15" t="s">
        <v>587</v>
      </c>
      <c r="N480" s="15"/>
      <c r="O480" s="8" t="s">
        <v>410</v>
      </c>
      <c r="P480" s="8" t="s">
        <v>46</v>
      </c>
      <c r="Q480" s="14">
        <v>0.02</v>
      </c>
      <c r="R480" s="139">
        <v>1000098004</v>
      </c>
      <c r="S480" s="15"/>
      <c r="T480" s="6">
        <v>0</v>
      </c>
      <c r="U480" s="6">
        <v>120000</v>
      </c>
      <c r="V480" s="6">
        <v>112850.90000000001</v>
      </c>
      <c r="W480" s="18">
        <f t="shared" si="74"/>
        <v>7149.0999999999913</v>
      </c>
      <c r="X480" s="18">
        <f t="shared" si="73"/>
        <v>110638.13725490197</v>
      </c>
      <c r="Y480" s="13">
        <f t="shared" si="68"/>
        <v>48896.285742978565</v>
      </c>
      <c r="Z480" s="14">
        <v>0</v>
      </c>
      <c r="AA480" s="4">
        <v>0</v>
      </c>
      <c r="AB480" s="4">
        <f t="shared" si="69"/>
        <v>110638.13725490197</v>
      </c>
      <c r="AC480" s="6">
        <f t="shared" si="70"/>
        <v>2212.7627450980362</v>
      </c>
      <c r="AD480" s="18">
        <f t="shared" si="66"/>
        <v>61741.851511923407</v>
      </c>
      <c r="AE480" s="2">
        <v>7.0000000000000007E-2</v>
      </c>
      <c r="AF480" s="5">
        <f t="shared" si="71"/>
        <v>4321.929605834639</v>
      </c>
      <c r="AG480" s="14">
        <v>0</v>
      </c>
      <c r="AH480" s="10">
        <f t="shared" si="67"/>
        <v>112850.90000000001</v>
      </c>
      <c r="AI480" s="16"/>
      <c r="AJ480" s="126" t="e">
        <v>#N/A</v>
      </c>
      <c r="AK480" s="80">
        <f t="shared" si="72"/>
        <v>0</v>
      </c>
      <c r="AM480" s="85"/>
    </row>
    <row r="481" spans="1:39" hidden="1" x14ac:dyDescent="0.3">
      <c r="A481" s="85" t="s">
        <v>34</v>
      </c>
      <c r="B481" s="15" t="s">
        <v>35</v>
      </c>
      <c r="C481" s="15" t="s">
        <v>144</v>
      </c>
      <c r="D481" s="15" t="s">
        <v>145</v>
      </c>
      <c r="E481" s="15" t="s">
        <v>588</v>
      </c>
      <c r="F481" s="15" t="s">
        <v>588</v>
      </c>
      <c r="G481" s="15" t="s">
        <v>588</v>
      </c>
      <c r="H481" s="154"/>
      <c r="I481" s="15" t="s">
        <v>408</v>
      </c>
      <c r="J481" s="1" t="s">
        <v>3324</v>
      </c>
      <c r="K481" s="1" t="s">
        <v>3278</v>
      </c>
      <c r="L481" s="1" t="s">
        <v>35</v>
      </c>
      <c r="M481" s="15" t="s">
        <v>589</v>
      </c>
      <c r="N481" s="15"/>
      <c r="O481" s="8" t="s">
        <v>410</v>
      </c>
      <c r="P481" s="8" t="s">
        <v>246</v>
      </c>
      <c r="Q481" s="14">
        <v>0</v>
      </c>
      <c r="R481" s="139">
        <v>1000085258</v>
      </c>
      <c r="S481" s="15"/>
      <c r="T481" s="6">
        <v>0</v>
      </c>
      <c r="U481" s="6">
        <v>-6330.3</v>
      </c>
      <c r="V481" s="6">
        <v>-6330.3000000000029</v>
      </c>
      <c r="W481" s="18">
        <f t="shared" si="74"/>
        <v>0</v>
      </c>
      <c r="X481" s="18">
        <f t="shared" si="73"/>
        <v>-6330.3000000000029</v>
      </c>
      <c r="Y481" s="13">
        <f t="shared" si="68"/>
        <v>0</v>
      </c>
      <c r="Z481" s="14">
        <v>0</v>
      </c>
      <c r="AA481" s="4">
        <v>0</v>
      </c>
      <c r="AB481" s="4">
        <f t="shared" si="69"/>
        <v>-6330.3000000000029</v>
      </c>
      <c r="AC481" s="6">
        <f t="shared" si="70"/>
        <v>0</v>
      </c>
      <c r="AD481" s="18">
        <f t="shared" si="66"/>
        <v>-3463.370186909709</v>
      </c>
      <c r="AE481" s="2">
        <v>7.0000000000000007E-2</v>
      </c>
      <c r="AF481" s="5">
        <f t="shared" si="71"/>
        <v>-242.43591308367965</v>
      </c>
      <c r="AG481" s="14">
        <v>0</v>
      </c>
      <c r="AH481" s="10">
        <f t="shared" si="67"/>
        <v>-6330.3000000000029</v>
      </c>
      <c r="AI481" s="16"/>
      <c r="AJ481" s="126" t="e">
        <v>#N/A</v>
      </c>
      <c r="AK481" s="80">
        <f t="shared" si="72"/>
        <v>0</v>
      </c>
      <c r="AM481" s="85"/>
    </row>
    <row r="482" spans="1:39" hidden="1" x14ac:dyDescent="0.3">
      <c r="A482" s="85" t="s">
        <v>34</v>
      </c>
      <c r="B482" s="15" t="s">
        <v>35</v>
      </c>
      <c r="C482" s="15" t="s">
        <v>144</v>
      </c>
      <c r="D482" s="15" t="s">
        <v>145</v>
      </c>
      <c r="E482" s="15" t="s">
        <v>590</v>
      </c>
      <c r="F482" s="15" t="s">
        <v>591</v>
      </c>
      <c r="G482" s="15" t="s">
        <v>590</v>
      </c>
      <c r="H482" s="154"/>
      <c r="I482" s="15" t="s">
        <v>408</v>
      </c>
      <c r="J482" s="1" t="s">
        <v>3324</v>
      </c>
      <c r="K482" s="1" t="s">
        <v>3278</v>
      </c>
      <c r="L482" s="1" t="s">
        <v>35</v>
      </c>
      <c r="M482" s="15" t="s">
        <v>592</v>
      </c>
      <c r="N482" s="15"/>
      <c r="O482" s="8" t="s">
        <v>410</v>
      </c>
      <c r="P482" s="8" t="s">
        <v>46</v>
      </c>
      <c r="Q482" s="14">
        <v>0.02</v>
      </c>
      <c r="R482" s="139">
        <v>1000099234</v>
      </c>
      <c r="S482" s="15"/>
      <c r="T482" s="6">
        <v>0</v>
      </c>
      <c r="U482" s="6">
        <v>90000</v>
      </c>
      <c r="V482" s="6">
        <v>76264</v>
      </c>
      <c r="W482" s="18">
        <f t="shared" si="74"/>
        <v>13736</v>
      </c>
      <c r="X482" s="18">
        <f t="shared" si="73"/>
        <v>74768.627450980392</v>
      </c>
      <c r="Y482" s="13">
        <f t="shared" si="68"/>
        <v>33043.833375741946</v>
      </c>
      <c r="Z482" s="14">
        <v>0</v>
      </c>
      <c r="AA482" s="4">
        <v>0</v>
      </c>
      <c r="AB482" s="4">
        <f t="shared" si="69"/>
        <v>74768.627450980392</v>
      </c>
      <c r="AC482" s="6">
        <f t="shared" si="70"/>
        <v>1495.3725490196084</v>
      </c>
      <c r="AD482" s="18">
        <f t="shared" si="66"/>
        <v>41724.794075238446</v>
      </c>
      <c r="AE482" s="2">
        <v>7.0000000000000007E-2</v>
      </c>
      <c r="AF482" s="5">
        <f t="shared" si="71"/>
        <v>2920.7355852666915</v>
      </c>
      <c r="AG482" s="14">
        <v>0</v>
      </c>
      <c r="AH482" s="10">
        <f t="shared" si="67"/>
        <v>76264</v>
      </c>
      <c r="AI482" s="16"/>
      <c r="AJ482" s="126" t="s">
        <v>4219</v>
      </c>
      <c r="AK482" s="80">
        <f t="shared" si="72"/>
        <v>0</v>
      </c>
      <c r="AL482" s="150"/>
      <c r="AM482" s="85"/>
    </row>
    <row r="483" spans="1:39" hidden="1" x14ac:dyDescent="0.3">
      <c r="A483" s="85" t="s">
        <v>34</v>
      </c>
      <c r="B483" s="15" t="s">
        <v>35</v>
      </c>
      <c r="C483" s="15" t="s">
        <v>144</v>
      </c>
      <c r="D483" s="15" t="s">
        <v>303</v>
      </c>
      <c r="E483" s="15" t="s">
        <v>593</v>
      </c>
      <c r="F483" s="15" t="s">
        <v>594</v>
      </c>
      <c r="G483" s="15" t="s">
        <v>593</v>
      </c>
      <c r="H483" s="154"/>
      <c r="I483" s="15" t="s">
        <v>408</v>
      </c>
      <c r="J483" s="1" t="s">
        <v>3324</v>
      </c>
      <c r="K483" s="1" t="s">
        <v>3278</v>
      </c>
      <c r="L483" s="1" t="s">
        <v>35</v>
      </c>
      <c r="M483" s="15" t="s">
        <v>595</v>
      </c>
      <c r="N483" s="15"/>
      <c r="O483" s="8" t="s">
        <v>410</v>
      </c>
      <c r="P483" s="8" t="s">
        <v>46</v>
      </c>
      <c r="Q483" s="14">
        <v>0.02</v>
      </c>
      <c r="R483" s="139">
        <v>1000098769</v>
      </c>
      <c r="S483" s="15"/>
      <c r="T483" s="6">
        <v>0</v>
      </c>
      <c r="U483" s="6">
        <v>400000</v>
      </c>
      <c r="V483" s="6">
        <v>291547.51000000007</v>
      </c>
      <c r="W483" s="18">
        <f t="shared" si="74"/>
        <v>108452.48999999993</v>
      </c>
      <c r="X483" s="18">
        <f t="shared" si="73"/>
        <v>285830.89215686283</v>
      </c>
      <c r="Y483" s="13">
        <f t="shared" si="68"/>
        <v>126322.34529466671</v>
      </c>
      <c r="Z483" s="14">
        <v>0</v>
      </c>
      <c r="AA483" s="4">
        <v>0</v>
      </c>
      <c r="AB483" s="4">
        <f t="shared" si="69"/>
        <v>285830.89215686283</v>
      </c>
      <c r="AC483" s="6">
        <f t="shared" si="70"/>
        <v>5716.6178431372391</v>
      </c>
      <c r="AD483" s="18">
        <f t="shared" si="66"/>
        <v>159508.54686219612</v>
      </c>
      <c r="AE483" s="2">
        <v>7.0000000000000007E-2</v>
      </c>
      <c r="AF483" s="5">
        <f t="shared" si="71"/>
        <v>11165.59828035373</v>
      </c>
      <c r="AG483" s="14">
        <v>0</v>
      </c>
      <c r="AH483" s="10">
        <f t="shared" si="67"/>
        <v>291547.51000000007</v>
      </c>
      <c r="AI483" s="16"/>
      <c r="AJ483" s="126" t="e">
        <v>#N/A</v>
      </c>
      <c r="AK483" s="80">
        <f t="shared" si="72"/>
        <v>0</v>
      </c>
      <c r="AM483" s="85"/>
    </row>
    <row r="484" spans="1:39" hidden="1" x14ac:dyDescent="0.3">
      <c r="A484" s="85" t="s">
        <v>34</v>
      </c>
      <c r="B484" s="15" t="s">
        <v>35</v>
      </c>
      <c r="C484" s="15" t="s">
        <v>144</v>
      </c>
      <c r="D484" s="15" t="s">
        <v>152</v>
      </c>
      <c r="E484" s="15" t="s">
        <v>596</v>
      </c>
      <c r="F484" s="15" t="s">
        <v>596</v>
      </c>
      <c r="G484" s="15" t="s">
        <v>596</v>
      </c>
      <c r="H484" s="139"/>
      <c r="I484" s="15" t="s">
        <v>408</v>
      </c>
      <c r="J484" s="1" t="s">
        <v>3324</v>
      </c>
      <c r="K484" s="1" t="s">
        <v>3278</v>
      </c>
      <c r="L484" s="1" t="s">
        <v>35</v>
      </c>
      <c r="M484" s="15" t="s">
        <v>597</v>
      </c>
      <c r="N484" s="15"/>
      <c r="O484" s="8" t="s">
        <v>410</v>
      </c>
      <c r="P484" s="8" t="s">
        <v>46</v>
      </c>
      <c r="Q484" s="14">
        <v>0.03</v>
      </c>
      <c r="R484" s="139">
        <v>1000044031</v>
      </c>
      <c r="S484" s="15"/>
      <c r="T484" s="6">
        <v>164265.46000000002</v>
      </c>
      <c r="U484" s="6">
        <v>-164265.46</v>
      </c>
      <c r="V484" s="6">
        <v>0</v>
      </c>
      <c r="W484" s="18">
        <f t="shared" si="74"/>
        <v>2.9103830456733704E-11</v>
      </c>
      <c r="X484" s="18">
        <f t="shared" si="73"/>
        <v>0</v>
      </c>
      <c r="Y484" s="13">
        <f t="shared" si="68"/>
        <v>0</v>
      </c>
      <c r="Z484" s="14">
        <v>0</v>
      </c>
      <c r="AA484" s="4">
        <v>0</v>
      </c>
      <c r="AB484" s="4">
        <f t="shared" si="69"/>
        <v>0</v>
      </c>
      <c r="AC484" s="6">
        <f t="shared" si="70"/>
        <v>0</v>
      </c>
      <c r="AD484" s="18">
        <f t="shared" si="66"/>
        <v>0</v>
      </c>
      <c r="AE484" s="2">
        <v>7.0000000000000007E-2</v>
      </c>
      <c r="AF484" s="5">
        <f t="shared" si="71"/>
        <v>0</v>
      </c>
      <c r="AG484" s="14">
        <v>0</v>
      </c>
      <c r="AH484" s="10">
        <f t="shared" si="67"/>
        <v>0</v>
      </c>
      <c r="AI484" s="16"/>
      <c r="AJ484" s="126" t="e">
        <v>#N/A</v>
      </c>
      <c r="AK484" s="80">
        <f t="shared" si="72"/>
        <v>0</v>
      </c>
      <c r="AM484" s="85"/>
    </row>
    <row r="485" spans="1:39" hidden="1" x14ac:dyDescent="0.3">
      <c r="A485" s="85" t="s">
        <v>34</v>
      </c>
      <c r="B485" s="15" t="s">
        <v>35</v>
      </c>
      <c r="C485" s="15" t="s">
        <v>144</v>
      </c>
      <c r="D485" s="15" t="s">
        <v>152</v>
      </c>
      <c r="E485" s="15" t="s">
        <v>598</v>
      </c>
      <c r="F485" s="15" t="s">
        <v>598</v>
      </c>
      <c r="G485" s="15" t="s">
        <v>598</v>
      </c>
      <c r="H485" s="139"/>
      <c r="I485" s="15" t="s">
        <v>408</v>
      </c>
      <c r="J485" s="1" t="s">
        <v>3324</v>
      </c>
      <c r="K485" s="1" t="s">
        <v>3278</v>
      </c>
      <c r="L485" s="1" t="s">
        <v>35</v>
      </c>
      <c r="M485" s="15" t="s">
        <v>599</v>
      </c>
      <c r="N485" s="15"/>
      <c r="O485" s="8" t="s">
        <v>410</v>
      </c>
      <c r="P485" s="8" t="s">
        <v>46</v>
      </c>
      <c r="Q485" s="14">
        <v>0.03</v>
      </c>
      <c r="R485" s="139">
        <v>1000046612</v>
      </c>
      <c r="S485" s="15"/>
      <c r="T485" s="6">
        <v>36541.5</v>
      </c>
      <c r="U485" s="6">
        <v>-36541.5</v>
      </c>
      <c r="V485" s="6">
        <v>0</v>
      </c>
      <c r="W485" s="18">
        <f t="shared" si="74"/>
        <v>0</v>
      </c>
      <c r="X485" s="18">
        <f t="shared" si="73"/>
        <v>0</v>
      </c>
      <c r="Y485" s="13">
        <f t="shared" si="68"/>
        <v>0</v>
      </c>
      <c r="Z485" s="14">
        <v>0</v>
      </c>
      <c r="AA485" s="4">
        <v>0</v>
      </c>
      <c r="AB485" s="4">
        <f t="shared" si="69"/>
        <v>0</v>
      </c>
      <c r="AC485" s="6">
        <f t="shared" si="70"/>
        <v>0</v>
      </c>
      <c r="AD485" s="18">
        <f t="shared" si="66"/>
        <v>0</v>
      </c>
      <c r="AE485" s="2">
        <v>7.0000000000000007E-2</v>
      </c>
      <c r="AF485" s="5">
        <f t="shared" si="71"/>
        <v>0</v>
      </c>
      <c r="AG485" s="14">
        <v>0</v>
      </c>
      <c r="AH485" s="10">
        <f t="shared" si="67"/>
        <v>0</v>
      </c>
      <c r="AI485" s="16"/>
      <c r="AJ485" s="126" t="e">
        <v>#N/A</v>
      </c>
      <c r="AK485" s="80">
        <f t="shared" si="72"/>
        <v>0</v>
      </c>
      <c r="AM485" s="85"/>
    </row>
    <row r="486" spans="1:39" hidden="1" x14ac:dyDescent="0.3">
      <c r="A486" s="85" t="s">
        <v>34</v>
      </c>
      <c r="B486" s="15" t="s">
        <v>35</v>
      </c>
      <c r="C486" s="15" t="s">
        <v>144</v>
      </c>
      <c r="D486" s="15" t="s">
        <v>152</v>
      </c>
      <c r="E486" s="15" t="s">
        <v>598</v>
      </c>
      <c r="F486" s="15" t="s">
        <v>598</v>
      </c>
      <c r="G486" s="15" t="s">
        <v>598</v>
      </c>
      <c r="H486" s="154"/>
      <c r="I486" s="15" t="s">
        <v>408</v>
      </c>
      <c r="J486" s="1" t="s">
        <v>3324</v>
      </c>
      <c r="K486" s="1" t="s">
        <v>3278</v>
      </c>
      <c r="L486" s="1" t="s">
        <v>35</v>
      </c>
      <c r="M486" s="15" t="s">
        <v>599</v>
      </c>
      <c r="N486" s="15"/>
      <c r="O486" s="8" t="s">
        <v>410</v>
      </c>
      <c r="P486" s="8" t="s">
        <v>41</v>
      </c>
      <c r="Q486" s="14">
        <v>0</v>
      </c>
      <c r="R486" s="139">
        <v>1000046612</v>
      </c>
      <c r="S486" s="15"/>
      <c r="T486" s="6">
        <v>0</v>
      </c>
      <c r="U486" s="6">
        <v>35477.19</v>
      </c>
      <c r="V486" s="6">
        <v>27406</v>
      </c>
      <c r="W486" s="18">
        <f t="shared" si="74"/>
        <v>8071.1900000000023</v>
      </c>
      <c r="X486" s="18">
        <f t="shared" si="73"/>
        <v>27406</v>
      </c>
      <c r="Y486" s="13">
        <f t="shared" si="68"/>
        <v>12411.904405407729</v>
      </c>
      <c r="Z486" s="14">
        <v>0</v>
      </c>
      <c r="AA486" s="4">
        <v>0</v>
      </c>
      <c r="AB486" s="4">
        <f t="shared" si="69"/>
        <v>27406</v>
      </c>
      <c r="AC486" s="6">
        <f t="shared" si="70"/>
        <v>0</v>
      </c>
      <c r="AD486" s="18">
        <f t="shared" si="66"/>
        <v>14994.095594592271</v>
      </c>
      <c r="AE486" s="2">
        <v>7.0000000000000007E-2</v>
      </c>
      <c r="AF486" s="5">
        <f t="shared" si="71"/>
        <v>1049.5866916214591</v>
      </c>
      <c r="AG486" s="14">
        <v>0</v>
      </c>
      <c r="AH486" s="10">
        <f t="shared" si="67"/>
        <v>27406</v>
      </c>
      <c r="AI486" s="16"/>
      <c r="AJ486" s="126" t="e">
        <v>#N/A</v>
      </c>
      <c r="AK486" s="80">
        <f t="shared" si="72"/>
        <v>0</v>
      </c>
      <c r="AM486" s="85"/>
    </row>
    <row r="487" spans="1:39" hidden="1" x14ac:dyDescent="0.3">
      <c r="A487" s="85" t="s">
        <v>34</v>
      </c>
      <c r="B487" s="15" t="s">
        <v>35</v>
      </c>
      <c r="C487" s="15" t="s">
        <v>144</v>
      </c>
      <c r="D487" s="15" t="s">
        <v>152</v>
      </c>
      <c r="E487" s="15" t="s">
        <v>600</v>
      </c>
      <c r="F487" s="15" t="s">
        <v>601</v>
      </c>
      <c r="G487" s="15" t="s">
        <v>600</v>
      </c>
      <c r="H487" s="154"/>
      <c r="I487" s="15" t="s">
        <v>408</v>
      </c>
      <c r="J487" s="1" t="s">
        <v>3324</v>
      </c>
      <c r="K487" s="1" t="s">
        <v>3278</v>
      </c>
      <c r="L487" s="1" t="s">
        <v>35</v>
      </c>
      <c r="M487" s="15" t="s">
        <v>602</v>
      </c>
      <c r="N487" s="15"/>
      <c r="O487" s="8" t="s">
        <v>410</v>
      </c>
      <c r="P487" s="8" t="s">
        <v>41</v>
      </c>
      <c r="Q487" s="14">
        <v>0</v>
      </c>
      <c r="R487" s="139">
        <v>1000098809</v>
      </c>
      <c r="S487" s="15"/>
      <c r="T487" s="6">
        <v>50000</v>
      </c>
      <c r="U487" s="6">
        <v>50000</v>
      </c>
      <c r="V487" s="6">
        <v>55643.770000000004</v>
      </c>
      <c r="W487" s="18">
        <f t="shared" si="74"/>
        <v>44356.229999999996</v>
      </c>
      <c r="X487" s="18">
        <f t="shared" si="73"/>
        <v>55643.770000000004</v>
      </c>
      <c r="Y487" s="13">
        <f t="shared" si="68"/>
        <v>25200.509158450506</v>
      </c>
      <c r="Z487" s="14">
        <v>0</v>
      </c>
      <c r="AA487" s="4">
        <v>0</v>
      </c>
      <c r="AB487" s="4">
        <f t="shared" si="69"/>
        <v>55643.770000000004</v>
      </c>
      <c r="AC487" s="6">
        <f t="shared" si="70"/>
        <v>0</v>
      </c>
      <c r="AD487" s="18">
        <f t="shared" si="66"/>
        <v>30443.260841549498</v>
      </c>
      <c r="AE487" s="2">
        <v>7.0000000000000007E-2</v>
      </c>
      <c r="AF487" s="5">
        <f t="shared" si="71"/>
        <v>2131.028258908465</v>
      </c>
      <c r="AG487" s="14">
        <v>0</v>
      </c>
      <c r="AH487" s="10">
        <f t="shared" si="67"/>
        <v>55643.770000000004</v>
      </c>
      <c r="AI487" s="16"/>
      <c r="AJ487" s="126" t="e">
        <v>#N/A</v>
      </c>
      <c r="AK487" s="80">
        <f t="shared" si="72"/>
        <v>0</v>
      </c>
      <c r="AM487" s="85"/>
    </row>
    <row r="488" spans="1:39" hidden="1" x14ac:dyDescent="0.3">
      <c r="A488" s="85" t="s">
        <v>34</v>
      </c>
      <c r="B488" s="15" t="s">
        <v>35</v>
      </c>
      <c r="C488" s="15" t="s">
        <v>144</v>
      </c>
      <c r="D488" s="15" t="s">
        <v>152</v>
      </c>
      <c r="E488" s="15" t="s">
        <v>603</v>
      </c>
      <c r="F488" s="15" t="s">
        <v>603</v>
      </c>
      <c r="G488" s="15" t="s">
        <v>603</v>
      </c>
      <c r="H488" s="154"/>
      <c r="I488" s="15" t="s">
        <v>408</v>
      </c>
      <c r="J488" s="1" t="s">
        <v>3324</v>
      </c>
      <c r="K488" s="1" t="s">
        <v>3278</v>
      </c>
      <c r="L488" s="1" t="s">
        <v>35</v>
      </c>
      <c r="M488" s="15" t="s">
        <v>604</v>
      </c>
      <c r="N488" s="15"/>
      <c r="O488" s="8" t="s">
        <v>410</v>
      </c>
      <c r="P488" s="8" t="s">
        <v>41</v>
      </c>
      <c r="Q488" s="14">
        <v>0</v>
      </c>
      <c r="R488" s="139">
        <v>1000099385</v>
      </c>
      <c r="S488" s="15"/>
      <c r="T488" s="6">
        <v>0</v>
      </c>
      <c r="U488" s="6">
        <v>6000</v>
      </c>
      <c r="V488" s="6">
        <v>4271.12</v>
      </c>
      <c r="W488" s="18">
        <f t="shared" si="74"/>
        <v>1728.88</v>
      </c>
      <c r="X488" s="18">
        <f t="shared" si="73"/>
        <v>4271.12</v>
      </c>
      <c r="Y488" s="13">
        <f t="shared" si="68"/>
        <v>1934.3477028397087</v>
      </c>
      <c r="Z488" s="14">
        <v>0</v>
      </c>
      <c r="AA488" s="4">
        <v>0</v>
      </c>
      <c r="AB488" s="4">
        <f t="shared" si="69"/>
        <v>4271.12</v>
      </c>
      <c r="AC488" s="6">
        <f t="shared" si="70"/>
        <v>0</v>
      </c>
      <c r="AD488" s="18">
        <f t="shared" si="66"/>
        <v>2336.7722971602911</v>
      </c>
      <c r="AE488" s="2">
        <v>7.0000000000000007E-2</v>
      </c>
      <c r="AF488" s="5">
        <f t="shared" si="71"/>
        <v>163.57406080122038</v>
      </c>
      <c r="AG488" s="14">
        <v>0</v>
      </c>
      <c r="AH488" s="10">
        <f t="shared" si="67"/>
        <v>4271.12</v>
      </c>
      <c r="AI488" s="16"/>
      <c r="AJ488" s="126" t="e">
        <v>#N/A</v>
      </c>
      <c r="AK488" s="80">
        <f t="shared" si="72"/>
        <v>0</v>
      </c>
      <c r="AM488" s="85"/>
    </row>
    <row r="489" spans="1:39" hidden="1" x14ac:dyDescent="0.3">
      <c r="A489" s="85" t="s">
        <v>34</v>
      </c>
      <c r="B489" s="15" t="s">
        <v>35</v>
      </c>
      <c r="C489" s="15" t="s">
        <v>144</v>
      </c>
      <c r="D489" s="15" t="s">
        <v>161</v>
      </c>
      <c r="E489" s="15" t="s">
        <v>3759</v>
      </c>
      <c r="F489" s="15" t="s">
        <v>3759</v>
      </c>
      <c r="G489" s="15" t="s">
        <v>3759</v>
      </c>
      <c r="H489" s="154"/>
      <c r="I489" s="15" t="s">
        <v>408</v>
      </c>
      <c r="J489" s="1" t="s">
        <v>3324</v>
      </c>
      <c r="K489" s="1" t="s">
        <v>3278</v>
      </c>
      <c r="L489" s="1" t="s">
        <v>35</v>
      </c>
      <c r="M489" s="15" t="s">
        <v>606</v>
      </c>
      <c r="N489" s="15"/>
      <c r="O489" s="8" t="s">
        <v>410</v>
      </c>
      <c r="P489" s="8" t="s">
        <v>46</v>
      </c>
      <c r="Q489" s="14">
        <v>0.02</v>
      </c>
      <c r="R489" s="139">
        <v>1000099906</v>
      </c>
      <c r="S489" s="15"/>
      <c r="T489" s="6">
        <v>0</v>
      </c>
      <c r="U489" s="6">
        <v>10000</v>
      </c>
      <c r="V489" s="6">
        <v>4020.28</v>
      </c>
      <c r="W489" s="18">
        <f t="shared" si="74"/>
        <v>5979.7199999999993</v>
      </c>
      <c r="X489" s="18">
        <f t="shared" si="73"/>
        <v>3941.4509803921569</v>
      </c>
      <c r="Y489" s="13">
        <f t="shared" si="68"/>
        <v>1741.9157458804657</v>
      </c>
      <c r="Z489" s="14">
        <v>0</v>
      </c>
      <c r="AA489" s="4">
        <v>0</v>
      </c>
      <c r="AB489" s="4">
        <f t="shared" si="69"/>
        <v>3941.4509803921569</v>
      </c>
      <c r="AC489" s="6">
        <f t="shared" si="70"/>
        <v>78.829019607843293</v>
      </c>
      <c r="AD489" s="18">
        <f t="shared" si="66"/>
        <v>2199.5352345116912</v>
      </c>
      <c r="AE489" s="2">
        <v>7.0000000000000007E-2</v>
      </c>
      <c r="AF489" s="5">
        <f t="shared" si="71"/>
        <v>153.96746641581839</v>
      </c>
      <c r="AG489" s="14">
        <v>0</v>
      </c>
      <c r="AH489" s="10">
        <f t="shared" si="67"/>
        <v>4020.28</v>
      </c>
      <c r="AI489" s="16"/>
      <c r="AJ489" s="126" t="e">
        <v>#N/A</v>
      </c>
      <c r="AK489" s="80">
        <f t="shared" si="72"/>
        <v>0</v>
      </c>
      <c r="AM489" s="85"/>
    </row>
    <row r="490" spans="1:39" hidden="1" x14ac:dyDescent="0.3">
      <c r="A490" s="85" t="s">
        <v>34</v>
      </c>
      <c r="B490" s="15" t="s">
        <v>35</v>
      </c>
      <c r="C490" s="15" t="s">
        <v>144</v>
      </c>
      <c r="D490" s="15" t="s">
        <v>161</v>
      </c>
      <c r="E490" s="15" t="s">
        <v>55</v>
      </c>
      <c r="F490" s="15" t="s">
        <v>607</v>
      </c>
      <c r="G490" s="15" t="s">
        <v>55</v>
      </c>
      <c r="H490" s="154"/>
      <c r="I490" s="15" t="s">
        <v>408</v>
      </c>
      <c r="J490" s="1" t="s">
        <v>3324</v>
      </c>
      <c r="K490" s="1" t="s">
        <v>3278</v>
      </c>
      <c r="L490" s="1" t="s">
        <v>35</v>
      </c>
      <c r="M490" s="15" t="s">
        <v>608</v>
      </c>
      <c r="N490" s="15"/>
      <c r="O490" s="8" t="s">
        <v>45</v>
      </c>
      <c r="P490" s="8" t="s">
        <v>41</v>
      </c>
      <c r="Q490" s="14">
        <v>0</v>
      </c>
      <c r="R490" s="139">
        <v>1000083696</v>
      </c>
      <c r="S490" s="15"/>
      <c r="T490" s="6">
        <v>0</v>
      </c>
      <c r="U490" s="6">
        <v>300000</v>
      </c>
      <c r="V490" s="6">
        <v>60439.789999999994</v>
      </c>
      <c r="W490" s="18">
        <f t="shared" si="74"/>
        <v>239560.21000000002</v>
      </c>
      <c r="X490" s="18">
        <f t="shared" si="73"/>
        <v>60439.789999999994</v>
      </c>
      <c r="Y490" s="13">
        <f t="shared" si="68"/>
        <v>27372.578842695686</v>
      </c>
      <c r="Z490" s="14">
        <v>0</v>
      </c>
      <c r="AA490" s="4">
        <v>0</v>
      </c>
      <c r="AB490" s="4">
        <f t="shared" si="69"/>
        <v>60439.789999999994</v>
      </c>
      <c r="AC490" s="6">
        <f t="shared" si="70"/>
        <v>0</v>
      </c>
      <c r="AD490" s="18">
        <f t="shared" si="66"/>
        <v>33067.211157304308</v>
      </c>
      <c r="AE490" s="2">
        <v>0.12</v>
      </c>
      <c r="AF490" s="5">
        <f t="shared" si="71"/>
        <v>3968.0653388765168</v>
      </c>
      <c r="AG490" s="14">
        <v>0</v>
      </c>
      <c r="AH490" s="10">
        <f t="shared" si="67"/>
        <v>60439.789999999994</v>
      </c>
      <c r="AI490" s="16"/>
      <c r="AJ490" s="126" t="e">
        <v>#N/A</v>
      </c>
      <c r="AK490" s="80">
        <f t="shared" si="72"/>
        <v>0</v>
      </c>
      <c r="AM490" s="85"/>
    </row>
    <row r="491" spans="1:39" hidden="1" x14ac:dyDescent="0.3">
      <c r="A491" s="85" t="s">
        <v>34</v>
      </c>
      <c r="B491" s="15" t="s">
        <v>35</v>
      </c>
      <c r="C491" s="15" t="s">
        <v>144</v>
      </c>
      <c r="D491" s="15" t="s">
        <v>161</v>
      </c>
      <c r="E491" s="15" t="s">
        <v>55</v>
      </c>
      <c r="F491" s="15" t="s">
        <v>607</v>
      </c>
      <c r="G491" s="15" t="s">
        <v>55</v>
      </c>
      <c r="H491" s="139"/>
      <c r="I491" s="15" t="s">
        <v>408</v>
      </c>
      <c r="J491" s="1" t="s">
        <v>3324</v>
      </c>
      <c r="K491" s="1" t="s">
        <v>3278</v>
      </c>
      <c r="L491" s="1" t="s">
        <v>35</v>
      </c>
      <c r="M491" s="15" t="s">
        <v>608</v>
      </c>
      <c r="N491" s="15"/>
      <c r="O491" s="8" t="s">
        <v>45</v>
      </c>
      <c r="P491" s="8" t="s">
        <v>41</v>
      </c>
      <c r="Q491" s="14">
        <v>0</v>
      </c>
      <c r="R491" s="139">
        <v>1000083696</v>
      </c>
      <c r="S491" s="15"/>
      <c r="T491" s="6">
        <v>0</v>
      </c>
      <c r="U491" s="6">
        <v>0</v>
      </c>
      <c r="V491" s="6">
        <v>0</v>
      </c>
      <c r="W491" s="18">
        <f t="shared" si="74"/>
        <v>0</v>
      </c>
      <c r="X491" s="18">
        <f t="shared" si="73"/>
        <v>0</v>
      </c>
      <c r="Y491" s="13">
        <f t="shared" si="68"/>
        <v>0</v>
      </c>
      <c r="Z491" s="14">
        <v>0</v>
      </c>
      <c r="AA491" s="4">
        <v>0</v>
      </c>
      <c r="AB491" s="4">
        <f t="shared" si="69"/>
        <v>0</v>
      </c>
      <c r="AC491" s="6">
        <f t="shared" si="70"/>
        <v>0</v>
      </c>
      <c r="AD491" s="18">
        <f t="shared" si="66"/>
        <v>0</v>
      </c>
      <c r="AE491" s="2">
        <v>0.12</v>
      </c>
      <c r="AF491" s="5">
        <f t="shared" si="71"/>
        <v>0</v>
      </c>
      <c r="AG491" s="14">
        <v>0</v>
      </c>
      <c r="AH491" s="10">
        <f t="shared" si="67"/>
        <v>0</v>
      </c>
      <c r="AI491" s="16"/>
      <c r="AJ491" s="126" t="e">
        <v>#N/A</v>
      </c>
      <c r="AK491" s="80">
        <f t="shared" si="72"/>
        <v>0</v>
      </c>
      <c r="AM491" s="85"/>
    </row>
    <row r="492" spans="1:39" hidden="1" x14ac:dyDescent="0.3">
      <c r="A492" s="85" t="s">
        <v>34</v>
      </c>
      <c r="B492" s="15" t="s">
        <v>35</v>
      </c>
      <c r="C492" s="15" t="s">
        <v>144</v>
      </c>
      <c r="D492" s="15" t="s">
        <v>161</v>
      </c>
      <c r="E492" s="15" t="s">
        <v>55</v>
      </c>
      <c r="F492" s="15" t="s">
        <v>607</v>
      </c>
      <c r="G492" s="15" t="s">
        <v>55</v>
      </c>
      <c r="H492" s="154"/>
      <c r="I492" s="15" t="s">
        <v>408</v>
      </c>
      <c r="J492" s="1" t="s">
        <v>3324</v>
      </c>
      <c r="K492" s="1" t="s">
        <v>3278</v>
      </c>
      <c r="L492" s="1" t="s">
        <v>35</v>
      </c>
      <c r="M492" s="15" t="s">
        <v>609</v>
      </c>
      <c r="N492" s="15"/>
      <c r="O492" s="8" t="s">
        <v>410</v>
      </c>
      <c r="P492" s="8" t="s">
        <v>41</v>
      </c>
      <c r="Q492" s="14">
        <v>0</v>
      </c>
      <c r="R492" s="139">
        <v>1000016218</v>
      </c>
      <c r="S492" s="15"/>
      <c r="T492" s="6">
        <v>0</v>
      </c>
      <c r="U492" s="6">
        <v>2700000</v>
      </c>
      <c r="V492" s="6">
        <v>541411.74</v>
      </c>
      <c r="W492" s="18">
        <f t="shared" si="74"/>
        <v>2158588.2599999998</v>
      </c>
      <c r="X492" s="18">
        <f t="shared" si="73"/>
        <v>541411.74</v>
      </c>
      <c r="Y492" s="13">
        <f t="shared" si="68"/>
        <v>245199.98397597112</v>
      </c>
      <c r="Z492" s="14">
        <v>0</v>
      </c>
      <c r="AA492" s="4">
        <v>0</v>
      </c>
      <c r="AB492" s="4">
        <f t="shared" si="69"/>
        <v>541411.74</v>
      </c>
      <c r="AC492" s="6">
        <f t="shared" si="70"/>
        <v>0</v>
      </c>
      <c r="AD492" s="18">
        <f t="shared" si="66"/>
        <v>296211.75602402887</v>
      </c>
      <c r="AE492" s="2">
        <v>7.0000000000000007E-2</v>
      </c>
      <c r="AF492" s="5">
        <f t="shared" si="71"/>
        <v>20734.822921682022</v>
      </c>
      <c r="AG492" s="14">
        <v>0</v>
      </c>
      <c r="AH492" s="10">
        <f t="shared" si="67"/>
        <v>541411.74</v>
      </c>
      <c r="AI492" s="16"/>
      <c r="AJ492" s="126" t="e">
        <v>#N/A</v>
      </c>
      <c r="AK492" s="80">
        <f t="shared" si="72"/>
        <v>0</v>
      </c>
      <c r="AM492" s="85"/>
    </row>
    <row r="493" spans="1:39" hidden="1" x14ac:dyDescent="0.3">
      <c r="A493" s="85" t="s">
        <v>34</v>
      </c>
      <c r="B493" s="15" t="s">
        <v>35</v>
      </c>
      <c r="C493" s="15" t="s">
        <v>164</v>
      </c>
      <c r="D493" s="15" t="s">
        <v>165</v>
      </c>
      <c r="E493" s="15" t="s">
        <v>610</v>
      </c>
      <c r="F493" s="15" t="s">
        <v>611</v>
      </c>
      <c r="G493" s="15" t="s">
        <v>610</v>
      </c>
      <c r="H493" s="139"/>
      <c r="I493" s="15" t="s">
        <v>408</v>
      </c>
      <c r="J493" s="1" t="s">
        <v>3324</v>
      </c>
      <c r="K493" s="1" t="s">
        <v>3278</v>
      </c>
      <c r="L493" s="1" t="s">
        <v>35</v>
      </c>
      <c r="M493" s="15" t="s">
        <v>612</v>
      </c>
      <c r="N493" s="15"/>
      <c r="O493" s="8" t="s">
        <v>410</v>
      </c>
      <c r="P493" s="8" t="s">
        <v>46</v>
      </c>
      <c r="Q493" s="14">
        <v>0.02</v>
      </c>
      <c r="R493" s="139">
        <v>1000092859</v>
      </c>
      <c r="S493" s="15"/>
      <c r="T493" s="6">
        <v>0</v>
      </c>
      <c r="U493" s="6">
        <v>0</v>
      </c>
      <c r="V493" s="6">
        <v>0</v>
      </c>
      <c r="W493" s="18">
        <f t="shared" si="74"/>
        <v>0</v>
      </c>
      <c r="X493" s="18">
        <f t="shared" si="73"/>
        <v>0</v>
      </c>
      <c r="Y493" s="13">
        <f t="shared" si="68"/>
        <v>0</v>
      </c>
      <c r="Z493" s="14">
        <v>0</v>
      </c>
      <c r="AA493" s="4">
        <v>0</v>
      </c>
      <c r="AB493" s="4">
        <f t="shared" si="69"/>
        <v>0</v>
      </c>
      <c r="AC493" s="6">
        <f t="shared" si="70"/>
        <v>0</v>
      </c>
      <c r="AD493" s="18">
        <f t="shared" si="66"/>
        <v>0</v>
      </c>
      <c r="AE493" s="2">
        <v>7.0000000000000007E-2</v>
      </c>
      <c r="AF493" s="5">
        <f t="shared" si="71"/>
        <v>0</v>
      </c>
      <c r="AG493" s="14">
        <v>0</v>
      </c>
      <c r="AH493" s="10">
        <f t="shared" si="67"/>
        <v>0</v>
      </c>
      <c r="AI493" s="16"/>
      <c r="AJ493" s="126" t="e">
        <v>#N/A</v>
      </c>
      <c r="AK493" s="80">
        <f t="shared" si="72"/>
        <v>0</v>
      </c>
      <c r="AM493" s="85"/>
    </row>
    <row r="494" spans="1:39" hidden="1" x14ac:dyDescent="0.3">
      <c r="A494" s="85" t="s">
        <v>34</v>
      </c>
      <c r="B494" s="15" t="s">
        <v>35</v>
      </c>
      <c r="C494" s="15" t="s">
        <v>164</v>
      </c>
      <c r="D494" s="15" t="s">
        <v>165</v>
      </c>
      <c r="E494" s="15" t="s">
        <v>610</v>
      </c>
      <c r="F494" s="15" t="s">
        <v>611</v>
      </c>
      <c r="G494" s="15" t="s">
        <v>610</v>
      </c>
      <c r="H494" s="154"/>
      <c r="I494" s="15" t="s">
        <v>408</v>
      </c>
      <c r="J494" s="1" t="s">
        <v>3324</v>
      </c>
      <c r="K494" s="1" t="s">
        <v>3278</v>
      </c>
      <c r="L494" s="1" t="s">
        <v>35</v>
      </c>
      <c r="M494" s="15" t="s">
        <v>613</v>
      </c>
      <c r="N494" s="15"/>
      <c r="O494" s="8" t="s">
        <v>410</v>
      </c>
      <c r="P494" s="8" t="s">
        <v>46</v>
      </c>
      <c r="Q494" s="14">
        <v>0.02</v>
      </c>
      <c r="R494" s="139">
        <v>1000045024</v>
      </c>
      <c r="S494" s="15" t="s">
        <v>614</v>
      </c>
      <c r="T494" s="6">
        <v>0</v>
      </c>
      <c r="U494" s="6">
        <v>1562324.26</v>
      </c>
      <c r="V494" s="6">
        <v>1264728.5899999999</v>
      </c>
      <c r="W494" s="18">
        <f t="shared" si="74"/>
        <v>297595.67000000016</v>
      </c>
      <c r="X494" s="18">
        <f>(V494-509725.54)/(1+Q494)</f>
        <v>740199.06862745073</v>
      </c>
      <c r="Y494" s="13">
        <f t="shared" si="68"/>
        <v>48253.458918850753</v>
      </c>
      <c r="Z494" s="14">
        <v>0</v>
      </c>
      <c r="AA494" s="4">
        <v>0</v>
      </c>
      <c r="AB494" s="4">
        <f t="shared" si="69"/>
        <v>740199.06862745073</v>
      </c>
      <c r="AC494" s="6">
        <f t="shared" si="70"/>
        <v>524529.52137254912</v>
      </c>
      <c r="AD494" s="18">
        <f t="shared" si="66"/>
        <v>691945.60970859998</v>
      </c>
      <c r="AE494" s="2">
        <v>7.0000000000000007E-2</v>
      </c>
      <c r="AF494" s="5">
        <f t="shared" si="71"/>
        <v>48436.192679602005</v>
      </c>
      <c r="AG494" s="14">
        <v>0</v>
      </c>
      <c r="AH494" s="10">
        <f t="shared" si="67"/>
        <v>1264728.5899999999</v>
      </c>
      <c r="AI494" s="16"/>
      <c r="AJ494" s="126" t="e">
        <v>#N/A</v>
      </c>
      <c r="AK494" s="80">
        <f t="shared" si="72"/>
        <v>0</v>
      </c>
      <c r="AM494" s="85"/>
    </row>
    <row r="495" spans="1:39" hidden="1" x14ac:dyDescent="0.3">
      <c r="A495" s="85" t="s">
        <v>34</v>
      </c>
      <c r="B495" s="15" t="s">
        <v>35</v>
      </c>
      <c r="C495" s="15" t="s">
        <v>164</v>
      </c>
      <c r="D495" s="15" t="s">
        <v>165</v>
      </c>
      <c r="E495" s="15" t="s">
        <v>615</v>
      </c>
      <c r="F495" s="15" t="s">
        <v>615</v>
      </c>
      <c r="G495" s="15" t="s">
        <v>615</v>
      </c>
      <c r="H495" s="154"/>
      <c r="I495" s="15" t="s">
        <v>408</v>
      </c>
      <c r="J495" s="1" t="s">
        <v>3324</v>
      </c>
      <c r="K495" s="1" t="s">
        <v>3278</v>
      </c>
      <c r="L495" s="1" t="s">
        <v>35</v>
      </c>
      <c r="M495" s="15" t="s">
        <v>616</v>
      </c>
      <c r="N495" s="15"/>
      <c r="O495" s="8" t="s">
        <v>410</v>
      </c>
      <c r="P495" s="8" t="s">
        <v>46</v>
      </c>
      <c r="Q495" s="14">
        <v>0.02</v>
      </c>
      <c r="R495" s="139">
        <v>1000068455</v>
      </c>
      <c r="S495" s="15"/>
      <c r="T495" s="6">
        <v>0</v>
      </c>
      <c r="U495" s="6">
        <v>2462990.1799999997</v>
      </c>
      <c r="V495" s="6">
        <v>2170904.39</v>
      </c>
      <c r="W495" s="18">
        <f t="shared" si="74"/>
        <v>292085.78999999957</v>
      </c>
      <c r="X495" s="18">
        <f t="shared" si="73"/>
        <v>2128337.6372549022</v>
      </c>
      <c r="Y495" s="13">
        <f t="shared" si="68"/>
        <v>940614.22083586897</v>
      </c>
      <c r="Z495" s="14">
        <v>0</v>
      </c>
      <c r="AA495" s="4">
        <v>0</v>
      </c>
      <c r="AB495" s="4">
        <f t="shared" si="69"/>
        <v>2128337.6372549022</v>
      </c>
      <c r="AC495" s="6">
        <f t="shared" si="70"/>
        <v>42566.752745097969</v>
      </c>
      <c r="AD495" s="18">
        <f t="shared" si="66"/>
        <v>1187723.4164190332</v>
      </c>
      <c r="AE495" s="2">
        <v>7.0000000000000007E-2</v>
      </c>
      <c r="AF495" s="5">
        <f t="shared" si="71"/>
        <v>83140.639149332332</v>
      </c>
      <c r="AG495" s="14">
        <v>0</v>
      </c>
      <c r="AH495" s="10">
        <f t="shared" si="67"/>
        <v>2170904.39</v>
      </c>
      <c r="AI495" s="16"/>
      <c r="AJ495" s="126" t="e">
        <v>#N/A</v>
      </c>
      <c r="AK495" s="80">
        <f t="shared" si="72"/>
        <v>0</v>
      </c>
      <c r="AM495" s="85"/>
    </row>
    <row r="496" spans="1:39" hidden="1" x14ac:dyDescent="0.3">
      <c r="A496" s="85" t="s">
        <v>34</v>
      </c>
      <c r="B496" s="15" t="s">
        <v>35</v>
      </c>
      <c r="C496" s="15" t="s">
        <v>164</v>
      </c>
      <c r="D496" s="15" t="s">
        <v>165</v>
      </c>
      <c r="E496" s="15" t="s">
        <v>617</v>
      </c>
      <c r="F496" s="15" t="s">
        <v>617</v>
      </c>
      <c r="G496" s="15" t="s">
        <v>617</v>
      </c>
      <c r="H496" s="154"/>
      <c r="I496" s="15" t="s">
        <v>408</v>
      </c>
      <c r="J496" s="1" t="s">
        <v>3324</v>
      </c>
      <c r="K496" s="1" t="s">
        <v>3278</v>
      </c>
      <c r="L496" s="1" t="s">
        <v>35</v>
      </c>
      <c r="M496" s="15" t="s">
        <v>618</v>
      </c>
      <c r="N496" s="15"/>
      <c r="O496" s="8" t="s">
        <v>410</v>
      </c>
      <c r="P496" s="8" t="s">
        <v>41</v>
      </c>
      <c r="Q496" s="14">
        <v>0</v>
      </c>
      <c r="R496" s="139">
        <v>1000099339</v>
      </c>
      <c r="S496" s="15"/>
      <c r="T496" s="6">
        <v>0</v>
      </c>
      <c r="U496" s="6">
        <v>29400</v>
      </c>
      <c r="V496" s="6">
        <v>22462.97</v>
      </c>
      <c r="W496" s="18">
        <f t="shared" si="74"/>
        <v>6937.0299999999988</v>
      </c>
      <c r="X496" s="18">
        <f t="shared" si="73"/>
        <v>22462.97</v>
      </c>
      <c r="Y496" s="13">
        <f t="shared" si="68"/>
        <v>10173.255356547534</v>
      </c>
      <c r="Z496" s="14">
        <v>0</v>
      </c>
      <c r="AA496" s="4">
        <v>0</v>
      </c>
      <c r="AB496" s="4">
        <f t="shared" si="69"/>
        <v>22462.97</v>
      </c>
      <c r="AC496" s="6">
        <f t="shared" si="70"/>
        <v>0</v>
      </c>
      <c r="AD496" s="18">
        <f t="shared" si="66"/>
        <v>12289.714643452467</v>
      </c>
      <c r="AE496" s="2">
        <v>7.0000000000000007E-2</v>
      </c>
      <c r="AF496" s="5">
        <f t="shared" si="71"/>
        <v>860.28002504167284</v>
      </c>
      <c r="AG496" s="14">
        <v>0</v>
      </c>
      <c r="AH496" s="10">
        <f t="shared" si="67"/>
        <v>22462.97</v>
      </c>
      <c r="AI496" s="16"/>
      <c r="AJ496" s="126" t="e">
        <v>#N/A</v>
      </c>
      <c r="AK496" s="80">
        <f t="shared" si="72"/>
        <v>0</v>
      </c>
      <c r="AM496" s="85"/>
    </row>
    <row r="497" spans="1:39" hidden="1" x14ac:dyDescent="0.3">
      <c r="A497" s="85" t="s">
        <v>34</v>
      </c>
      <c r="B497" s="15" t="s">
        <v>35</v>
      </c>
      <c r="C497" s="15" t="s">
        <v>164</v>
      </c>
      <c r="D497" s="15" t="s">
        <v>165</v>
      </c>
      <c r="E497" s="15" t="s">
        <v>619</v>
      </c>
      <c r="F497" s="15" t="s">
        <v>620</v>
      </c>
      <c r="G497" s="15" t="s">
        <v>619</v>
      </c>
      <c r="H497" s="154"/>
      <c r="I497" s="15" t="s">
        <v>408</v>
      </c>
      <c r="J497" s="1" t="s">
        <v>3324</v>
      </c>
      <c r="K497" s="1" t="s">
        <v>3278</v>
      </c>
      <c r="L497" s="1" t="s">
        <v>35</v>
      </c>
      <c r="M497" s="15" t="s">
        <v>621</v>
      </c>
      <c r="N497" s="15"/>
      <c r="O497" s="8" t="s">
        <v>45</v>
      </c>
      <c r="P497" s="8" t="s">
        <v>41</v>
      </c>
      <c r="Q497" s="14">
        <v>0</v>
      </c>
      <c r="R497" s="139">
        <v>1000061144</v>
      </c>
      <c r="S497" s="15"/>
      <c r="T497" s="6">
        <v>0</v>
      </c>
      <c r="U497" s="6">
        <v>10000</v>
      </c>
      <c r="V497" s="6">
        <v>14054.090000000004</v>
      </c>
      <c r="W497" s="18">
        <f t="shared" si="74"/>
        <v>-4054.0900000000038</v>
      </c>
      <c r="X497" s="18">
        <f t="shared" si="73"/>
        <v>14054.090000000004</v>
      </c>
      <c r="Y497" s="13">
        <f t="shared" si="68"/>
        <v>6364.9573664524842</v>
      </c>
      <c r="Z497" s="14">
        <v>0</v>
      </c>
      <c r="AA497" s="4">
        <v>0</v>
      </c>
      <c r="AB497" s="4">
        <f t="shared" si="69"/>
        <v>14054.090000000004</v>
      </c>
      <c r="AC497" s="6">
        <f t="shared" si="70"/>
        <v>0</v>
      </c>
      <c r="AD497" s="18">
        <f t="shared" si="66"/>
        <v>7689.1326335475196</v>
      </c>
      <c r="AE497" s="2">
        <v>0.12</v>
      </c>
      <c r="AF497" s="5">
        <f t="shared" si="71"/>
        <v>922.69591602570233</v>
      </c>
      <c r="AG497" s="14">
        <v>0</v>
      </c>
      <c r="AH497" s="10">
        <f t="shared" si="67"/>
        <v>14054.090000000004</v>
      </c>
      <c r="AI497" s="16"/>
      <c r="AJ497" s="126" t="e">
        <v>#N/A</v>
      </c>
      <c r="AK497" s="80">
        <f t="shared" si="72"/>
        <v>0</v>
      </c>
      <c r="AM497" s="85"/>
    </row>
    <row r="498" spans="1:39" hidden="1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619</v>
      </c>
      <c r="F498" s="15" t="s">
        <v>620</v>
      </c>
      <c r="G498" s="15" t="s">
        <v>619</v>
      </c>
      <c r="H498" s="139"/>
      <c r="I498" s="15" t="s">
        <v>408</v>
      </c>
      <c r="J498" s="1" t="s">
        <v>3324</v>
      </c>
      <c r="K498" s="1" t="s">
        <v>3278</v>
      </c>
      <c r="L498" s="1" t="s">
        <v>35</v>
      </c>
      <c r="M498" s="15" t="s">
        <v>621</v>
      </c>
      <c r="N498" s="15"/>
      <c r="O498" s="8" t="s">
        <v>410</v>
      </c>
      <c r="P498" s="8" t="s">
        <v>41</v>
      </c>
      <c r="Q498" s="14">
        <v>0</v>
      </c>
      <c r="R498" s="139">
        <v>1000061144</v>
      </c>
      <c r="S498" s="15"/>
      <c r="T498" s="6">
        <v>0</v>
      </c>
      <c r="U498" s="6">
        <v>10000</v>
      </c>
      <c r="V498" s="6">
        <v>0</v>
      </c>
      <c r="W498" s="18">
        <f t="shared" si="74"/>
        <v>10000</v>
      </c>
      <c r="X498" s="18">
        <f t="shared" si="73"/>
        <v>0</v>
      </c>
      <c r="Y498" s="13">
        <f t="shared" si="68"/>
        <v>0</v>
      </c>
      <c r="Z498" s="14">
        <v>0</v>
      </c>
      <c r="AA498" s="4">
        <v>0</v>
      </c>
      <c r="AB498" s="4">
        <f t="shared" si="69"/>
        <v>0</v>
      </c>
      <c r="AC498" s="6">
        <f t="shared" si="70"/>
        <v>0</v>
      </c>
      <c r="AD498" s="18">
        <f t="shared" si="66"/>
        <v>0</v>
      </c>
      <c r="AE498" s="2">
        <v>7.0000000000000007E-2</v>
      </c>
      <c r="AF498" s="5">
        <f t="shared" si="71"/>
        <v>0</v>
      </c>
      <c r="AG498" s="14">
        <v>0</v>
      </c>
      <c r="AH498" s="10">
        <f t="shared" si="67"/>
        <v>0</v>
      </c>
      <c r="AI498" s="16"/>
      <c r="AJ498" s="126" t="e">
        <v>#N/A</v>
      </c>
      <c r="AK498" s="80">
        <f t="shared" si="72"/>
        <v>0</v>
      </c>
      <c r="AM498" s="85"/>
    </row>
    <row r="499" spans="1:39" hidden="1" x14ac:dyDescent="0.3">
      <c r="A499" s="85" t="s">
        <v>34</v>
      </c>
      <c r="B499" s="15" t="s">
        <v>35</v>
      </c>
      <c r="C499" s="15" t="s">
        <v>164</v>
      </c>
      <c r="D499" s="15" t="s">
        <v>165</v>
      </c>
      <c r="E499" s="15" t="s">
        <v>619</v>
      </c>
      <c r="F499" s="15" t="s">
        <v>620</v>
      </c>
      <c r="G499" s="15" t="s">
        <v>619</v>
      </c>
      <c r="H499" s="154"/>
      <c r="I499" s="15" t="s">
        <v>408</v>
      </c>
      <c r="J499" s="1" t="s">
        <v>3324</v>
      </c>
      <c r="K499" s="1" t="s">
        <v>3278</v>
      </c>
      <c r="L499" s="1" t="s">
        <v>35</v>
      </c>
      <c r="M499" s="15" t="s">
        <v>622</v>
      </c>
      <c r="N499" s="15"/>
      <c r="O499" s="8" t="s">
        <v>45</v>
      </c>
      <c r="P499" s="8" t="s">
        <v>46</v>
      </c>
      <c r="Q499" s="14">
        <v>0.04</v>
      </c>
      <c r="R499" s="139">
        <v>1000067334</v>
      </c>
      <c r="S499" s="15"/>
      <c r="T499" s="6">
        <v>6077.6800000004041</v>
      </c>
      <c r="U499" s="6">
        <v>30000</v>
      </c>
      <c r="V499" s="6">
        <v>36077.6800000004</v>
      </c>
      <c r="W499" s="18">
        <f t="shared" si="74"/>
        <v>0</v>
      </c>
      <c r="X499" s="18">
        <f t="shared" si="73"/>
        <v>34690.076923077308</v>
      </c>
      <c r="Y499" s="13">
        <f t="shared" si="68"/>
        <v>14951.618820796215</v>
      </c>
      <c r="Z499" s="14">
        <v>0</v>
      </c>
      <c r="AA499" s="4">
        <v>0</v>
      </c>
      <c r="AB499" s="4">
        <f t="shared" si="69"/>
        <v>34690.076923077308</v>
      </c>
      <c r="AC499" s="6">
        <f t="shared" si="70"/>
        <v>1387.6030769230929</v>
      </c>
      <c r="AD499" s="18">
        <f t="shared" si="66"/>
        <v>19738.458102281093</v>
      </c>
      <c r="AE499" s="2">
        <v>0.12</v>
      </c>
      <c r="AF499" s="5">
        <f t="shared" si="71"/>
        <v>2368.6149722737309</v>
      </c>
      <c r="AG499" s="14">
        <v>0</v>
      </c>
      <c r="AH499" s="10">
        <f t="shared" si="67"/>
        <v>36077.6800000004</v>
      </c>
      <c r="AI499" s="16"/>
      <c r="AJ499" s="126" t="e">
        <v>#N/A</v>
      </c>
      <c r="AK499" s="80">
        <f t="shared" si="72"/>
        <v>0</v>
      </c>
      <c r="AM499" s="85"/>
    </row>
    <row r="500" spans="1:39" hidden="1" x14ac:dyDescent="0.3">
      <c r="A500" s="85" t="s">
        <v>34</v>
      </c>
      <c r="B500" s="15" t="s">
        <v>35</v>
      </c>
      <c r="C500" s="15" t="s">
        <v>164</v>
      </c>
      <c r="D500" s="15" t="s">
        <v>165</v>
      </c>
      <c r="E500" s="15" t="s">
        <v>619</v>
      </c>
      <c r="F500" s="15" t="s">
        <v>620</v>
      </c>
      <c r="G500" s="15" t="s">
        <v>619</v>
      </c>
      <c r="H500" s="139"/>
      <c r="I500" s="15" t="s">
        <v>408</v>
      </c>
      <c r="J500" s="1" t="s">
        <v>3324</v>
      </c>
      <c r="K500" s="1" t="s">
        <v>3278</v>
      </c>
      <c r="L500" s="1" t="s">
        <v>35</v>
      </c>
      <c r="M500" s="15" t="s">
        <v>622</v>
      </c>
      <c r="N500" s="15"/>
      <c r="O500" s="8" t="s">
        <v>410</v>
      </c>
      <c r="P500" s="8" t="s">
        <v>41</v>
      </c>
      <c r="Q500" s="14">
        <v>0</v>
      </c>
      <c r="R500" s="139">
        <v>1000067334</v>
      </c>
      <c r="S500" s="15"/>
      <c r="T500" s="6">
        <v>0</v>
      </c>
      <c r="U500" s="6">
        <v>51153.85</v>
      </c>
      <c r="V500" s="6">
        <v>0</v>
      </c>
      <c r="W500" s="18">
        <f t="shared" si="74"/>
        <v>51153.85</v>
      </c>
      <c r="X500" s="18">
        <f t="shared" si="73"/>
        <v>0</v>
      </c>
      <c r="Y500" s="13">
        <f t="shared" si="68"/>
        <v>0</v>
      </c>
      <c r="Z500" s="14">
        <v>0</v>
      </c>
      <c r="AA500" s="4">
        <v>0</v>
      </c>
      <c r="AB500" s="4">
        <f t="shared" si="69"/>
        <v>0</v>
      </c>
      <c r="AC500" s="6">
        <f t="shared" si="70"/>
        <v>0</v>
      </c>
      <c r="AD500" s="18">
        <f t="shared" si="66"/>
        <v>0</v>
      </c>
      <c r="AE500" s="2">
        <v>7.0000000000000007E-2</v>
      </c>
      <c r="AF500" s="5">
        <f t="shared" si="71"/>
        <v>0</v>
      </c>
      <c r="AG500" s="14">
        <v>0</v>
      </c>
      <c r="AH500" s="10">
        <f t="shared" si="67"/>
        <v>0</v>
      </c>
      <c r="AI500" s="16"/>
      <c r="AJ500" s="126" t="e">
        <v>#N/A</v>
      </c>
      <c r="AK500" s="80">
        <f t="shared" si="72"/>
        <v>0</v>
      </c>
      <c r="AM500" s="85"/>
    </row>
    <row r="501" spans="1:39" hidden="1" x14ac:dyDescent="0.3">
      <c r="A501" s="85" t="s">
        <v>34</v>
      </c>
      <c r="B501" s="15" t="s">
        <v>35</v>
      </c>
      <c r="C501" s="15" t="s">
        <v>164</v>
      </c>
      <c r="D501" s="15" t="s">
        <v>165</v>
      </c>
      <c r="E501" s="15" t="s">
        <v>623</v>
      </c>
      <c r="F501" s="15" t="s">
        <v>623</v>
      </c>
      <c r="G501" s="15" t="s">
        <v>623</v>
      </c>
      <c r="H501" s="154"/>
      <c r="I501" s="15" t="s">
        <v>408</v>
      </c>
      <c r="J501" s="1" t="s">
        <v>3324</v>
      </c>
      <c r="K501" s="1" t="s">
        <v>3278</v>
      </c>
      <c r="L501" s="1" t="s">
        <v>35</v>
      </c>
      <c r="M501" s="15" t="s">
        <v>624</v>
      </c>
      <c r="N501" s="15"/>
      <c r="O501" s="8" t="s">
        <v>410</v>
      </c>
      <c r="P501" s="8" t="s">
        <v>41</v>
      </c>
      <c r="Q501" s="14">
        <v>0</v>
      </c>
      <c r="R501" s="139">
        <v>1000003199</v>
      </c>
      <c r="S501" s="15"/>
      <c r="T501" s="6">
        <v>0</v>
      </c>
      <c r="U501" s="6">
        <v>300000</v>
      </c>
      <c r="V501" s="6">
        <v>223285.58</v>
      </c>
      <c r="W501" s="18">
        <f t="shared" si="74"/>
        <v>76714.420000000013</v>
      </c>
      <c r="X501" s="18">
        <f t="shared" si="73"/>
        <v>223285.58</v>
      </c>
      <c r="Y501" s="13">
        <f t="shared" si="68"/>
        <v>101123.81500642268</v>
      </c>
      <c r="Z501" s="14">
        <v>0</v>
      </c>
      <c r="AA501" s="4">
        <v>0</v>
      </c>
      <c r="AB501" s="4">
        <f t="shared" si="69"/>
        <v>223285.58</v>
      </c>
      <c r="AC501" s="6">
        <f t="shared" si="70"/>
        <v>0</v>
      </c>
      <c r="AD501" s="18">
        <f t="shared" ref="AD501:AD564" si="75">V501*0.547109961125019</f>
        <v>122161.76499357731</v>
      </c>
      <c r="AE501" s="2">
        <v>7.0000000000000007E-2</v>
      </c>
      <c r="AF501" s="5">
        <f t="shared" si="71"/>
        <v>8551.3235495504123</v>
      </c>
      <c r="AG501" s="14">
        <v>0</v>
      </c>
      <c r="AH501" s="10">
        <f t="shared" ref="AH501:AH564" si="76">V501</f>
        <v>223285.58</v>
      </c>
      <c r="AI501" s="16"/>
      <c r="AJ501" s="126" t="e">
        <v>#N/A</v>
      </c>
      <c r="AK501" s="80">
        <f t="shared" si="72"/>
        <v>0</v>
      </c>
      <c r="AM501" s="85"/>
    </row>
    <row r="502" spans="1:39" hidden="1" x14ac:dyDescent="0.3">
      <c r="A502" s="85" t="s">
        <v>34</v>
      </c>
      <c r="B502" s="15" t="s">
        <v>35</v>
      </c>
      <c r="C502" s="15" t="s">
        <v>164</v>
      </c>
      <c r="D502" s="15" t="s">
        <v>165</v>
      </c>
      <c r="E502" s="15" t="s">
        <v>625</v>
      </c>
      <c r="F502" s="15" t="s">
        <v>625</v>
      </c>
      <c r="G502" s="15" t="s">
        <v>625</v>
      </c>
      <c r="H502" s="139"/>
      <c r="I502" s="15" t="s">
        <v>408</v>
      </c>
      <c r="J502" s="1" t="s">
        <v>3324</v>
      </c>
      <c r="K502" s="1" t="s">
        <v>3278</v>
      </c>
      <c r="L502" s="1" t="s">
        <v>35</v>
      </c>
      <c r="M502" s="15" t="s">
        <v>626</v>
      </c>
      <c r="N502" s="15"/>
      <c r="O502" s="8" t="s">
        <v>410</v>
      </c>
      <c r="P502" s="8" t="s">
        <v>46</v>
      </c>
      <c r="Q502" s="14">
        <v>0.02</v>
      </c>
      <c r="R502" s="139">
        <v>1000099999</v>
      </c>
      <c r="S502" s="15"/>
      <c r="T502" s="6">
        <v>0</v>
      </c>
      <c r="U502" s="6">
        <v>25000</v>
      </c>
      <c r="V502" s="6">
        <v>20999.029999999995</v>
      </c>
      <c r="W502" s="18">
        <f t="shared" si="74"/>
        <v>4000.9700000000048</v>
      </c>
      <c r="X502" s="18">
        <f t="shared" si="73"/>
        <v>20587.284313725486</v>
      </c>
      <c r="Y502" s="13">
        <f t="shared" si="68"/>
        <v>9098.5058267623808</v>
      </c>
      <c r="Z502" s="14">
        <v>0</v>
      </c>
      <c r="AA502" s="4">
        <v>0</v>
      </c>
      <c r="AB502" s="4"/>
      <c r="AC502" s="6">
        <f t="shared" si="70"/>
        <v>411.74568627450935</v>
      </c>
      <c r="AD502" s="18">
        <f t="shared" si="75"/>
        <v>11488.778486963105</v>
      </c>
      <c r="AE502" s="2">
        <v>7.0000000000000007E-2</v>
      </c>
      <c r="AF502" s="5">
        <f t="shared" si="71"/>
        <v>804.21449408741739</v>
      </c>
      <c r="AG502" s="14">
        <v>0</v>
      </c>
      <c r="AH502" s="10">
        <f t="shared" si="76"/>
        <v>20999.029999999995</v>
      </c>
      <c r="AI502" s="16"/>
      <c r="AJ502" s="126">
        <v>115</v>
      </c>
      <c r="AK502" s="80">
        <f t="shared" si="72"/>
        <v>20587.284313725486</v>
      </c>
      <c r="AM502" s="85"/>
    </row>
    <row r="503" spans="1:39" hidden="1" x14ac:dyDescent="0.3">
      <c r="A503" s="85" t="s">
        <v>34</v>
      </c>
      <c r="B503" s="15" t="s">
        <v>35</v>
      </c>
      <c r="C503" s="15" t="s">
        <v>164</v>
      </c>
      <c r="D503" s="15" t="s">
        <v>169</v>
      </c>
      <c r="E503" s="15" t="s">
        <v>627</v>
      </c>
      <c r="F503" s="15" t="s">
        <v>627</v>
      </c>
      <c r="G503" s="15" t="s">
        <v>627</v>
      </c>
      <c r="H503" s="154"/>
      <c r="I503" s="15" t="s">
        <v>408</v>
      </c>
      <c r="J503" s="1" t="s">
        <v>3324</v>
      </c>
      <c r="K503" s="1" t="s">
        <v>3278</v>
      </c>
      <c r="L503" s="1" t="s">
        <v>35</v>
      </c>
      <c r="M503" s="15" t="s">
        <v>627</v>
      </c>
      <c r="N503" s="15"/>
      <c r="O503" s="8" t="s">
        <v>410</v>
      </c>
      <c r="P503" s="8" t="s">
        <v>41</v>
      </c>
      <c r="Q503" s="14">
        <v>0</v>
      </c>
      <c r="R503" s="139">
        <v>1000068394</v>
      </c>
      <c r="S503" s="15"/>
      <c r="T503" s="6">
        <v>0</v>
      </c>
      <c r="U503" s="6">
        <v>65000</v>
      </c>
      <c r="V503" s="6">
        <v>65000</v>
      </c>
      <c r="W503" s="18">
        <f t="shared" si="74"/>
        <v>0</v>
      </c>
      <c r="X503" s="18">
        <f t="shared" si="73"/>
        <v>65000</v>
      </c>
      <c r="Y503" s="13">
        <f t="shared" si="68"/>
        <v>29437.852526873765</v>
      </c>
      <c r="Z503" s="14">
        <v>0</v>
      </c>
      <c r="AA503" s="4">
        <v>0</v>
      </c>
      <c r="AB503" s="4">
        <f t="shared" si="69"/>
        <v>65000</v>
      </c>
      <c r="AC503" s="6">
        <f t="shared" si="70"/>
        <v>0</v>
      </c>
      <c r="AD503" s="18">
        <f t="shared" si="75"/>
        <v>35562.147473126235</v>
      </c>
      <c r="AE503" s="2">
        <v>7.0000000000000007E-2</v>
      </c>
      <c r="AF503" s="5">
        <f t="shared" si="71"/>
        <v>2489.3503231188365</v>
      </c>
      <c r="AG503" s="14">
        <v>0</v>
      </c>
      <c r="AH503" s="10">
        <f t="shared" si="76"/>
        <v>65000</v>
      </c>
      <c r="AI503" s="16"/>
      <c r="AJ503" s="126" t="e">
        <v>#N/A</v>
      </c>
      <c r="AK503" s="80">
        <f t="shared" si="72"/>
        <v>0</v>
      </c>
      <c r="AM503" s="85"/>
    </row>
    <row r="504" spans="1:39" hidden="1" x14ac:dyDescent="0.3">
      <c r="A504" s="85" t="s">
        <v>34</v>
      </c>
      <c r="B504" s="15" t="s">
        <v>35</v>
      </c>
      <c r="C504" s="15" t="s">
        <v>164</v>
      </c>
      <c r="D504" s="15" t="s">
        <v>169</v>
      </c>
      <c r="E504" s="15" t="s">
        <v>627</v>
      </c>
      <c r="F504" s="15" t="s">
        <v>627</v>
      </c>
      <c r="G504" s="15" t="s">
        <v>627</v>
      </c>
      <c r="H504" s="154"/>
      <c r="I504" s="15" t="s">
        <v>408</v>
      </c>
      <c r="J504" s="1" t="s">
        <v>3324</v>
      </c>
      <c r="K504" s="1" t="s">
        <v>3278</v>
      </c>
      <c r="L504" s="1" t="s">
        <v>35</v>
      </c>
      <c r="M504" s="15" t="s">
        <v>627</v>
      </c>
      <c r="N504" s="15"/>
      <c r="O504" s="8" t="s">
        <v>410</v>
      </c>
      <c r="P504" s="8" t="s">
        <v>41</v>
      </c>
      <c r="Q504" s="14">
        <v>0</v>
      </c>
      <c r="R504" s="139">
        <v>1000069049</v>
      </c>
      <c r="S504" s="15"/>
      <c r="T504" s="6">
        <v>0</v>
      </c>
      <c r="U504" s="6">
        <v>85000</v>
      </c>
      <c r="V504" s="6">
        <v>85000</v>
      </c>
      <c r="W504" s="18">
        <f t="shared" si="74"/>
        <v>0</v>
      </c>
      <c r="X504" s="18">
        <f t="shared" si="73"/>
        <v>85000</v>
      </c>
      <c r="Y504" s="13">
        <f t="shared" si="68"/>
        <v>38495.653304373387</v>
      </c>
      <c r="Z504" s="14">
        <v>0</v>
      </c>
      <c r="AA504" s="4">
        <v>0</v>
      </c>
      <c r="AB504" s="4">
        <f t="shared" si="69"/>
        <v>85000</v>
      </c>
      <c r="AC504" s="6">
        <f t="shared" si="70"/>
        <v>0</v>
      </c>
      <c r="AD504" s="18">
        <f t="shared" si="75"/>
        <v>46504.346695626613</v>
      </c>
      <c r="AE504" s="2">
        <v>7.0000000000000007E-2</v>
      </c>
      <c r="AF504" s="5">
        <f t="shared" si="71"/>
        <v>3255.3042686938634</v>
      </c>
      <c r="AG504" s="14">
        <v>0</v>
      </c>
      <c r="AH504" s="10">
        <f t="shared" si="76"/>
        <v>85000</v>
      </c>
      <c r="AI504" s="16"/>
      <c r="AJ504" s="126" t="e">
        <v>#N/A</v>
      </c>
      <c r="AK504" s="80">
        <f t="shared" si="72"/>
        <v>0</v>
      </c>
      <c r="AM504" s="85"/>
    </row>
    <row r="505" spans="1:39" hidden="1" x14ac:dyDescent="0.3">
      <c r="A505" s="85" t="s">
        <v>34</v>
      </c>
      <c r="B505" s="15" t="s">
        <v>35</v>
      </c>
      <c r="C505" s="15" t="s">
        <v>164</v>
      </c>
      <c r="D505" s="15" t="s">
        <v>169</v>
      </c>
      <c r="E505" s="15" t="s">
        <v>628</v>
      </c>
      <c r="F505" s="15" t="s">
        <v>628</v>
      </c>
      <c r="G505" s="15" t="s">
        <v>628</v>
      </c>
      <c r="H505" s="154"/>
      <c r="I505" s="15" t="s">
        <v>408</v>
      </c>
      <c r="J505" s="1" t="s">
        <v>3324</v>
      </c>
      <c r="K505" s="1" t="s">
        <v>3278</v>
      </c>
      <c r="L505" s="1" t="s">
        <v>35</v>
      </c>
      <c r="M505" s="15" t="s">
        <v>629</v>
      </c>
      <c r="N505" s="15"/>
      <c r="O505" s="8" t="s">
        <v>410</v>
      </c>
      <c r="P505" s="8" t="s">
        <v>46</v>
      </c>
      <c r="Q505" s="14">
        <v>0.04</v>
      </c>
      <c r="R505" s="139">
        <v>1000048305</v>
      </c>
      <c r="S505" s="15"/>
      <c r="T505" s="6">
        <v>0</v>
      </c>
      <c r="U505" s="6">
        <v>8400000</v>
      </c>
      <c r="V505" s="6">
        <v>8177051.0600000005</v>
      </c>
      <c r="W505" s="18">
        <f t="shared" si="74"/>
        <v>222948.93999999948</v>
      </c>
      <c r="X505" s="18">
        <f t="shared" si="73"/>
        <v>7862549.096153846</v>
      </c>
      <c r="Y505" s="13">
        <f t="shared" si="68"/>
        <v>3388803.0085999509</v>
      </c>
      <c r="Z505" s="14">
        <v>0</v>
      </c>
      <c r="AA505" s="4">
        <v>0</v>
      </c>
      <c r="AB505" s="4">
        <f t="shared" si="69"/>
        <v>7862549.096153846</v>
      </c>
      <c r="AC505" s="6">
        <f t="shared" si="70"/>
        <v>314501.96384615451</v>
      </c>
      <c r="AD505" s="18">
        <f t="shared" si="75"/>
        <v>4473746.0875538951</v>
      </c>
      <c r="AE505" s="2">
        <v>7.0000000000000007E-2</v>
      </c>
      <c r="AF505" s="5">
        <f t="shared" si="71"/>
        <v>313162.22612877266</v>
      </c>
      <c r="AG505" s="14">
        <v>0</v>
      </c>
      <c r="AH505" s="10">
        <f t="shared" si="76"/>
        <v>8177051.0600000005</v>
      </c>
      <c r="AI505" s="16"/>
      <c r="AJ505" s="126" t="e">
        <v>#N/A</v>
      </c>
      <c r="AK505" s="80">
        <f t="shared" si="72"/>
        <v>0</v>
      </c>
      <c r="AM505" s="85"/>
    </row>
    <row r="506" spans="1:39" hidden="1" x14ac:dyDescent="0.3">
      <c r="A506" s="85" t="s">
        <v>34</v>
      </c>
      <c r="B506" s="15" t="s">
        <v>35</v>
      </c>
      <c r="C506" s="15" t="s">
        <v>164</v>
      </c>
      <c r="D506" s="15" t="s">
        <v>169</v>
      </c>
      <c r="E506" s="15" t="s">
        <v>628</v>
      </c>
      <c r="F506" s="15" t="s">
        <v>628</v>
      </c>
      <c r="G506" s="15" t="s">
        <v>628</v>
      </c>
      <c r="H506" s="154"/>
      <c r="I506" s="15" t="s">
        <v>408</v>
      </c>
      <c r="J506" s="1" t="s">
        <v>3324</v>
      </c>
      <c r="K506" s="1" t="s">
        <v>3278</v>
      </c>
      <c r="L506" s="1" t="s">
        <v>35</v>
      </c>
      <c r="M506" s="15" t="s">
        <v>630</v>
      </c>
      <c r="N506" s="15"/>
      <c r="O506" s="8" t="s">
        <v>45</v>
      </c>
      <c r="P506" s="8" t="s">
        <v>41</v>
      </c>
      <c r="Q506" s="14">
        <v>0</v>
      </c>
      <c r="R506" s="139">
        <v>1000048304</v>
      </c>
      <c r="S506" s="15"/>
      <c r="T506" s="6">
        <v>0</v>
      </c>
      <c r="U506" s="6">
        <v>110000</v>
      </c>
      <c r="V506" s="6">
        <v>39255.99</v>
      </c>
      <c r="W506" s="18">
        <f t="shared" si="74"/>
        <v>70744.010000000009</v>
      </c>
      <c r="X506" s="18">
        <f t="shared" si="73"/>
        <v>39255.99</v>
      </c>
      <c r="Y506" s="13">
        <f t="shared" si="68"/>
        <v>17778.646837175864</v>
      </c>
      <c r="Z506" s="14">
        <v>0</v>
      </c>
      <c r="AA506" s="4">
        <v>0</v>
      </c>
      <c r="AB506" s="4">
        <f t="shared" si="69"/>
        <v>39255.99</v>
      </c>
      <c r="AC506" s="6">
        <f t="shared" si="70"/>
        <v>0</v>
      </c>
      <c r="AD506" s="18">
        <f t="shared" si="75"/>
        <v>21477.343162824134</v>
      </c>
      <c r="AE506" s="2">
        <v>0.12</v>
      </c>
      <c r="AF506" s="5">
        <f t="shared" si="71"/>
        <v>2577.2811795388961</v>
      </c>
      <c r="AG506" s="14">
        <v>0</v>
      </c>
      <c r="AH506" s="10">
        <f t="shared" si="76"/>
        <v>39255.99</v>
      </c>
      <c r="AI506" s="16"/>
      <c r="AJ506" s="126" t="e">
        <v>#N/A</v>
      </c>
      <c r="AK506" s="80">
        <f t="shared" si="72"/>
        <v>0</v>
      </c>
      <c r="AM506" s="85"/>
    </row>
    <row r="507" spans="1:39" hidden="1" x14ac:dyDescent="0.3">
      <c r="A507" s="85" t="s">
        <v>34</v>
      </c>
      <c r="B507" s="15" t="s">
        <v>35</v>
      </c>
      <c r="C507" s="15" t="s">
        <v>164</v>
      </c>
      <c r="D507" s="15" t="s">
        <v>169</v>
      </c>
      <c r="E507" s="15" t="s">
        <v>628</v>
      </c>
      <c r="F507" s="15" t="s">
        <v>628</v>
      </c>
      <c r="G507" s="15" t="s">
        <v>628</v>
      </c>
      <c r="H507" s="154"/>
      <c r="I507" s="15" t="s">
        <v>408</v>
      </c>
      <c r="J507" s="1" t="s">
        <v>3324</v>
      </c>
      <c r="K507" s="1" t="s">
        <v>3278</v>
      </c>
      <c r="L507" s="1" t="s">
        <v>35</v>
      </c>
      <c r="M507" s="15" t="s">
        <v>631</v>
      </c>
      <c r="N507" s="15"/>
      <c r="O507" s="8" t="s">
        <v>45</v>
      </c>
      <c r="P507" s="8" t="s">
        <v>41</v>
      </c>
      <c r="Q507" s="14">
        <v>0</v>
      </c>
      <c r="R507" s="139">
        <v>1000052084</v>
      </c>
      <c r="S507" s="15"/>
      <c r="T507" s="6">
        <v>0</v>
      </c>
      <c r="U507" s="6">
        <v>90000</v>
      </c>
      <c r="V507" s="6">
        <v>4595.4999999999982</v>
      </c>
      <c r="W507" s="18">
        <f t="shared" si="74"/>
        <v>85404.5</v>
      </c>
      <c r="X507" s="18">
        <f t="shared" si="73"/>
        <v>4595.4999999999982</v>
      </c>
      <c r="Y507" s="13">
        <f t="shared" si="68"/>
        <v>2081.2561736499747</v>
      </c>
      <c r="Z507" s="14">
        <v>0</v>
      </c>
      <c r="AA507" s="4">
        <v>0</v>
      </c>
      <c r="AB507" s="4">
        <f t="shared" si="69"/>
        <v>4595.4999999999982</v>
      </c>
      <c r="AC507" s="6">
        <f t="shared" si="70"/>
        <v>0</v>
      </c>
      <c r="AD507" s="18">
        <f t="shared" si="75"/>
        <v>2514.2438263500235</v>
      </c>
      <c r="AE507" s="2">
        <v>0.12</v>
      </c>
      <c r="AF507" s="5">
        <f t="shared" si="71"/>
        <v>301.70925916200281</v>
      </c>
      <c r="AG507" s="14">
        <v>0</v>
      </c>
      <c r="AH507" s="10">
        <f t="shared" si="76"/>
        <v>4595.4999999999982</v>
      </c>
      <c r="AI507" s="16"/>
      <c r="AJ507" s="126" t="e">
        <v>#N/A</v>
      </c>
      <c r="AK507" s="80">
        <f t="shared" si="72"/>
        <v>0</v>
      </c>
      <c r="AM507" s="85"/>
    </row>
    <row r="508" spans="1:39" hidden="1" x14ac:dyDescent="0.3">
      <c r="A508" s="85" t="s">
        <v>34</v>
      </c>
      <c r="B508" s="15" t="s">
        <v>35</v>
      </c>
      <c r="C508" s="15" t="s">
        <v>164</v>
      </c>
      <c r="D508" s="15" t="s">
        <v>169</v>
      </c>
      <c r="E508" s="15" t="s">
        <v>632</v>
      </c>
      <c r="F508" s="15" t="s">
        <v>632</v>
      </c>
      <c r="G508" s="15" t="s">
        <v>632</v>
      </c>
      <c r="H508" s="154"/>
      <c r="I508" s="15" t="s">
        <v>408</v>
      </c>
      <c r="J508" s="1" t="s">
        <v>3324</v>
      </c>
      <c r="K508" s="1" t="s">
        <v>3278</v>
      </c>
      <c r="L508" s="1" t="s">
        <v>35</v>
      </c>
      <c r="M508" s="15" t="s">
        <v>633</v>
      </c>
      <c r="N508" s="15"/>
      <c r="O508" s="8" t="s">
        <v>410</v>
      </c>
      <c r="P508" s="8" t="s">
        <v>41</v>
      </c>
      <c r="Q508" s="14">
        <v>0</v>
      </c>
      <c r="R508" s="139">
        <v>1000004605</v>
      </c>
      <c r="S508" s="15"/>
      <c r="T508" s="6">
        <v>0</v>
      </c>
      <c r="U508" s="6">
        <v>70000</v>
      </c>
      <c r="V508" s="6">
        <v>43945.82</v>
      </c>
      <c r="W508" s="18">
        <f t="shared" si="74"/>
        <v>26054.18</v>
      </c>
      <c r="X508" s="18">
        <f t="shared" si="73"/>
        <v>43945.82</v>
      </c>
      <c r="Y508" s="13">
        <f t="shared" si="68"/>
        <v>19902.624128192918</v>
      </c>
      <c r="Z508" s="14">
        <v>0</v>
      </c>
      <c r="AA508" s="4">
        <v>0</v>
      </c>
      <c r="AB508" s="4">
        <f t="shared" si="69"/>
        <v>43945.82</v>
      </c>
      <c r="AC508" s="6">
        <f t="shared" si="70"/>
        <v>0</v>
      </c>
      <c r="AD508" s="18">
        <f t="shared" si="75"/>
        <v>24043.195871807082</v>
      </c>
      <c r="AE508" s="2">
        <v>7.0000000000000007E-2</v>
      </c>
      <c r="AF508" s="5">
        <f t="shared" si="71"/>
        <v>1683.0237110264959</v>
      </c>
      <c r="AG508" s="14">
        <v>0</v>
      </c>
      <c r="AH508" s="10">
        <f t="shared" si="76"/>
        <v>43945.82</v>
      </c>
      <c r="AI508" s="16"/>
      <c r="AJ508" s="126" t="e">
        <v>#N/A</v>
      </c>
      <c r="AK508" s="80">
        <f t="shared" si="72"/>
        <v>0</v>
      </c>
      <c r="AM508" s="85"/>
    </row>
    <row r="509" spans="1:39" hidden="1" x14ac:dyDescent="0.3">
      <c r="A509" s="85" t="s">
        <v>34</v>
      </c>
      <c r="B509" s="15" t="s">
        <v>35</v>
      </c>
      <c r="C509" s="15" t="s">
        <v>164</v>
      </c>
      <c r="D509" s="15" t="s">
        <v>169</v>
      </c>
      <c r="E509" s="15" t="s">
        <v>634</v>
      </c>
      <c r="F509" s="15" t="s">
        <v>634</v>
      </c>
      <c r="G509" s="15" t="s">
        <v>634</v>
      </c>
      <c r="H509" s="154"/>
      <c r="I509" s="15" t="s">
        <v>408</v>
      </c>
      <c r="J509" s="1" t="s">
        <v>3324</v>
      </c>
      <c r="K509" s="1" t="s">
        <v>3278</v>
      </c>
      <c r="L509" s="1" t="s">
        <v>35</v>
      </c>
      <c r="M509" s="15" t="s">
        <v>635</v>
      </c>
      <c r="N509" s="15"/>
      <c r="O509" s="8" t="s">
        <v>410</v>
      </c>
      <c r="P509" s="8" t="s">
        <v>41</v>
      </c>
      <c r="Q509" s="14">
        <v>0</v>
      </c>
      <c r="R509" s="139">
        <v>1000069049</v>
      </c>
      <c r="S509" s="15"/>
      <c r="T509" s="6">
        <v>0</v>
      </c>
      <c r="U509" s="6">
        <v>115000</v>
      </c>
      <c r="V509" s="6">
        <v>107962.51000000001</v>
      </c>
      <c r="W509" s="18">
        <f t="shared" si="74"/>
        <v>7037.4899999999907</v>
      </c>
      <c r="X509" s="18">
        <f t="shared" si="73"/>
        <v>107962.51000000001</v>
      </c>
      <c r="Y509" s="13">
        <f t="shared" si="68"/>
        <v>48895.145350940533</v>
      </c>
      <c r="Z509" s="14">
        <v>0</v>
      </c>
      <c r="AA509" s="4">
        <v>0</v>
      </c>
      <c r="AB509" s="4">
        <f t="shared" si="69"/>
        <v>107962.51000000001</v>
      </c>
      <c r="AC509" s="6">
        <f t="shared" si="70"/>
        <v>0</v>
      </c>
      <c r="AD509" s="18">
        <f t="shared" si="75"/>
        <v>59067.364649059477</v>
      </c>
      <c r="AE509" s="2">
        <v>7.0000000000000007E-2</v>
      </c>
      <c r="AF509" s="5">
        <f t="shared" si="71"/>
        <v>4134.7155254341642</v>
      </c>
      <c r="AG509" s="14">
        <v>0</v>
      </c>
      <c r="AH509" s="10">
        <f t="shared" si="76"/>
        <v>107962.51000000001</v>
      </c>
      <c r="AI509" s="16"/>
      <c r="AJ509" s="126" t="e">
        <v>#N/A</v>
      </c>
      <c r="AK509" s="80">
        <f t="shared" si="72"/>
        <v>0</v>
      </c>
      <c r="AM509" s="85"/>
    </row>
    <row r="510" spans="1:39" hidden="1" x14ac:dyDescent="0.3">
      <c r="A510" s="85" t="s">
        <v>34</v>
      </c>
      <c r="B510" s="15" t="s">
        <v>35</v>
      </c>
      <c r="C510" s="15" t="s">
        <v>164</v>
      </c>
      <c r="D510" s="15" t="s">
        <v>169</v>
      </c>
      <c r="E510" s="15" t="s">
        <v>634</v>
      </c>
      <c r="F510" s="15" t="s">
        <v>634</v>
      </c>
      <c r="G510" s="15" t="s">
        <v>634</v>
      </c>
      <c r="H510" s="154"/>
      <c r="I510" s="15" t="s">
        <v>408</v>
      </c>
      <c r="J510" s="1" t="s">
        <v>3324</v>
      </c>
      <c r="K510" s="1" t="s">
        <v>3278</v>
      </c>
      <c r="L510" s="1" t="s">
        <v>35</v>
      </c>
      <c r="M510" s="15" t="s">
        <v>636</v>
      </c>
      <c r="N510" s="15"/>
      <c r="O510" s="8" t="s">
        <v>410</v>
      </c>
      <c r="P510" s="8" t="s">
        <v>41</v>
      </c>
      <c r="Q510" s="14">
        <v>0</v>
      </c>
      <c r="R510" s="139">
        <v>1000068394</v>
      </c>
      <c r="S510" s="15"/>
      <c r="T510" s="6">
        <v>0</v>
      </c>
      <c r="U510" s="6">
        <v>85000</v>
      </c>
      <c r="V510" s="6">
        <v>77811.899999999994</v>
      </c>
      <c r="W510" s="18">
        <f t="shared" si="74"/>
        <v>7188.1000000000058</v>
      </c>
      <c r="X510" s="18">
        <f t="shared" si="73"/>
        <v>77811.899999999994</v>
      </c>
      <c r="Y510" s="13">
        <f t="shared" si="68"/>
        <v>35240.234415936131</v>
      </c>
      <c r="Z510" s="14">
        <v>0</v>
      </c>
      <c r="AA510" s="4">
        <v>0</v>
      </c>
      <c r="AB510" s="4">
        <f t="shared" si="69"/>
        <v>77811.899999999994</v>
      </c>
      <c r="AC510" s="6">
        <f t="shared" si="70"/>
        <v>0</v>
      </c>
      <c r="AD510" s="18">
        <f t="shared" si="75"/>
        <v>42571.665584063863</v>
      </c>
      <c r="AE510" s="2">
        <v>7.0000000000000007E-2</v>
      </c>
      <c r="AF510" s="5">
        <f t="shared" si="71"/>
        <v>2980.0165908844706</v>
      </c>
      <c r="AG510" s="14">
        <v>0</v>
      </c>
      <c r="AH510" s="10">
        <f t="shared" si="76"/>
        <v>77811.899999999994</v>
      </c>
      <c r="AI510" s="16"/>
      <c r="AJ510" s="126" t="e">
        <v>#N/A</v>
      </c>
      <c r="AK510" s="80">
        <f t="shared" si="72"/>
        <v>0</v>
      </c>
      <c r="AM510" s="85"/>
    </row>
    <row r="511" spans="1:39" hidden="1" x14ac:dyDescent="0.3">
      <c r="A511" s="85" t="s">
        <v>34</v>
      </c>
      <c r="B511" s="15" t="s">
        <v>35</v>
      </c>
      <c r="C511" s="15" t="s">
        <v>164</v>
      </c>
      <c r="D511" s="15" t="s">
        <v>169</v>
      </c>
      <c r="E511" s="15" t="s">
        <v>637</v>
      </c>
      <c r="F511" s="15" t="s">
        <v>637</v>
      </c>
      <c r="G511" s="15" t="s">
        <v>637</v>
      </c>
      <c r="H511" s="154"/>
      <c r="I511" s="15" t="s">
        <v>408</v>
      </c>
      <c r="J511" s="1" t="s">
        <v>3324</v>
      </c>
      <c r="K511" s="1" t="s">
        <v>3278</v>
      </c>
      <c r="L511" s="1" t="s">
        <v>35</v>
      </c>
      <c r="M511" s="15" t="s">
        <v>638</v>
      </c>
      <c r="N511" s="15"/>
      <c r="O511" s="8" t="s">
        <v>410</v>
      </c>
      <c r="P511" s="8" t="s">
        <v>41</v>
      </c>
      <c r="Q511" s="14">
        <v>0</v>
      </c>
      <c r="R511" s="139">
        <v>1000043322</v>
      </c>
      <c r="S511" s="15"/>
      <c r="T511" s="6">
        <v>1357689.0500000035</v>
      </c>
      <c r="U511" s="6">
        <v>-169637.56</v>
      </c>
      <c r="V511" s="6">
        <v>1188051.4900000002</v>
      </c>
      <c r="W511" s="18">
        <f t="shared" si="74"/>
        <v>3.2596290111541748E-9</v>
      </c>
      <c r="X511" s="18">
        <f t="shared" si="73"/>
        <v>1188051.4900000002</v>
      </c>
      <c r="Y511" s="13">
        <f t="shared" si="68"/>
        <v>538056.68549157924</v>
      </c>
      <c r="Z511" s="14">
        <v>0</v>
      </c>
      <c r="AA511" s="4">
        <v>0</v>
      </c>
      <c r="AB511" s="4">
        <f t="shared" si="69"/>
        <v>1188051.4900000002</v>
      </c>
      <c r="AC511" s="6">
        <f t="shared" si="70"/>
        <v>0</v>
      </c>
      <c r="AD511" s="18">
        <f t="shared" si="75"/>
        <v>649994.80450842099</v>
      </c>
      <c r="AE511" s="2">
        <v>7.0000000000000007E-2</v>
      </c>
      <c r="AF511" s="5">
        <f t="shared" si="71"/>
        <v>45499.636315589472</v>
      </c>
      <c r="AG511" s="14">
        <v>0</v>
      </c>
      <c r="AH511" s="10">
        <f t="shared" si="76"/>
        <v>1188051.4900000002</v>
      </c>
      <c r="AI511" s="16"/>
      <c r="AJ511" s="126" t="e">
        <v>#N/A</v>
      </c>
      <c r="AK511" s="80">
        <f t="shared" si="72"/>
        <v>0</v>
      </c>
      <c r="AM511" s="85"/>
    </row>
    <row r="512" spans="1:39" hidden="1" x14ac:dyDescent="0.3">
      <c r="A512" s="85" t="s">
        <v>34</v>
      </c>
      <c r="B512" s="15" t="s">
        <v>35</v>
      </c>
      <c r="C512" s="15" t="s">
        <v>164</v>
      </c>
      <c r="D512" s="15" t="s">
        <v>174</v>
      </c>
      <c r="E512" s="15" t="s">
        <v>639</v>
      </c>
      <c r="F512" s="15" t="s">
        <v>639</v>
      </c>
      <c r="G512" s="15" t="s">
        <v>639</v>
      </c>
      <c r="H512" s="154"/>
      <c r="I512" s="15" t="s">
        <v>408</v>
      </c>
      <c r="J512" s="1" t="s">
        <v>3324</v>
      </c>
      <c r="K512" s="1" t="s">
        <v>3278</v>
      </c>
      <c r="L512" s="1" t="s">
        <v>35</v>
      </c>
      <c r="M512" s="15" t="s">
        <v>640</v>
      </c>
      <c r="N512" s="15"/>
      <c r="O512" s="8" t="s">
        <v>410</v>
      </c>
      <c r="P512" s="8" t="s">
        <v>46</v>
      </c>
      <c r="Q512" s="14">
        <v>0.01</v>
      </c>
      <c r="R512" s="139">
        <v>1000099998</v>
      </c>
      <c r="S512" s="15"/>
      <c r="T512" s="6">
        <v>0</v>
      </c>
      <c r="U512" s="6">
        <v>10000</v>
      </c>
      <c r="V512" s="6">
        <v>3254.7500000000005</v>
      </c>
      <c r="W512" s="18">
        <f t="shared" si="74"/>
        <v>6745.25</v>
      </c>
      <c r="X512" s="18">
        <f t="shared" si="73"/>
        <v>3222.5247524752481</v>
      </c>
      <c r="Y512" s="13">
        <f t="shared" si="68"/>
        <v>1441.8186065035923</v>
      </c>
      <c r="Z512" s="14">
        <v>0</v>
      </c>
      <c r="AA512" s="4">
        <v>0</v>
      </c>
      <c r="AB512" s="4">
        <f t="shared" si="69"/>
        <v>3222.5247524752481</v>
      </c>
      <c r="AC512" s="6">
        <f t="shared" si="70"/>
        <v>32.225247524752376</v>
      </c>
      <c r="AD512" s="18">
        <f t="shared" si="75"/>
        <v>1780.7061459716558</v>
      </c>
      <c r="AE512" s="2">
        <v>7.0000000000000007E-2</v>
      </c>
      <c r="AF512" s="5">
        <f t="shared" si="71"/>
        <v>124.64943021801592</v>
      </c>
      <c r="AG512" s="14">
        <v>0</v>
      </c>
      <c r="AH512" s="10">
        <f t="shared" si="76"/>
        <v>3254.7500000000005</v>
      </c>
      <c r="AI512" s="16"/>
      <c r="AJ512" s="126" t="e">
        <v>#N/A</v>
      </c>
      <c r="AK512" s="80">
        <f t="shared" si="72"/>
        <v>0</v>
      </c>
      <c r="AM512" s="85"/>
    </row>
    <row r="513" spans="1:39" hidden="1" x14ac:dyDescent="0.3">
      <c r="A513" s="85" t="s">
        <v>34</v>
      </c>
      <c r="B513" s="15" t="s">
        <v>35</v>
      </c>
      <c r="C513" s="15" t="s">
        <v>164</v>
      </c>
      <c r="D513" s="15" t="s">
        <v>174</v>
      </c>
      <c r="E513" s="15" t="s">
        <v>639</v>
      </c>
      <c r="F513" s="15" t="s">
        <v>639</v>
      </c>
      <c r="G513" s="15" t="s">
        <v>639</v>
      </c>
      <c r="H513" s="154"/>
      <c r="I513" s="15" t="s">
        <v>408</v>
      </c>
      <c r="J513" s="1" t="s">
        <v>3324</v>
      </c>
      <c r="K513" s="1" t="s">
        <v>3278</v>
      </c>
      <c r="L513" s="1" t="s">
        <v>35</v>
      </c>
      <c r="M513" s="15" t="s">
        <v>641</v>
      </c>
      <c r="N513" s="15"/>
      <c r="O513" s="8" t="s">
        <v>410</v>
      </c>
      <c r="P513" s="8" t="s">
        <v>46</v>
      </c>
      <c r="Q513" s="14">
        <v>0.01</v>
      </c>
      <c r="R513" s="139">
        <v>1000099885</v>
      </c>
      <c r="S513" s="15"/>
      <c r="T513" s="6">
        <v>0</v>
      </c>
      <c r="U513" s="6">
        <v>10000</v>
      </c>
      <c r="V513" s="6">
        <v>2927.04</v>
      </c>
      <c r="W513" s="18">
        <f t="shared" si="74"/>
        <v>7072.96</v>
      </c>
      <c r="X513" s="18">
        <f t="shared" si="73"/>
        <v>2898.0594059405939</v>
      </c>
      <c r="Y513" s="13">
        <f t="shared" si="68"/>
        <v>1296.6466653292184</v>
      </c>
      <c r="Z513" s="14">
        <v>0</v>
      </c>
      <c r="AA513" s="4">
        <v>0</v>
      </c>
      <c r="AB513" s="4">
        <f t="shared" si="69"/>
        <v>2898.0594059405939</v>
      </c>
      <c r="AC513" s="6">
        <f t="shared" si="70"/>
        <v>28.98059405940603</v>
      </c>
      <c r="AD513" s="18">
        <f t="shared" si="75"/>
        <v>1601.4127406113755</v>
      </c>
      <c r="AE513" s="2">
        <v>7.0000000000000007E-2</v>
      </c>
      <c r="AF513" s="5">
        <f t="shared" si="71"/>
        <v>112.09889184279629</v>
      </c>
      <c r="AG513" s="14">
        <v>0</v>
      </c>
      <c r="AH513" s="10">
        <f t="shared" si="76"/>
        <v>2927.04</v>
      </c>
      <c r="AI513" s="16"/>
      <c r="AJ513" s="126" t="e">
        <v>#N/A</v>
      </c>
      <c r="AK513" s="80">
        <f t="shared" si="72"/>
        <v>0</v>
      </c>
      <c r="AM513" s="85"/>
    </row>
    <row r="514" spans="1:39" hidden="1" x14ac:dyDescent="0.3">
      <c r="A514" s="85" t="s">
        <v>34</v>
      </c>
      <c r="B514" s="15" t="s">
        <v>35</v>
      </c>
      <c r="C514" s="15" t="s">
        <v>164</v>
      </c>
      <c r="D514" s="15" t="s">
        <v>174</v>
      </c>
      <c r="E514" s="15" t="s">
        <v>639</v>
      </c>
      <c r="F514" s="15" t="s">
        <v>639</v>
      </c>
      <c r="G514" s="15" t="s">
        <v>639</v>
      </c>
      <c r="H514" s="154"/>
      <c r="I514" s="15" t="s">
        <v>408</v>
      </c>
      <c r="J514" s="1" t="s">
        <v>3324</v>
      </c>
      <c r="K514" s="1" t="s">
        <v>3278</v>
      </c>
      <c r="L514" s="1" t="s">
        <v>35</v>
      </c>
      <c r="M514" s="15" t="s">
        <v>642</v>
      </c>
      <c r="N514" s="15"/>
      <c r="O514" s="8" t="s">
        <v>410</v>
      </c>
      <c r="P514" s="8" t="s">
        <v>46</v>
      </c>
      <c r="Q514" s="14">
        <v>0.01</v>
      </c>
      <c r="R514" s="139">
        <v>1000092988</v>
      </c>
      <c r="S514" s="15"/>
      <c r="T514" s="6">
        <v>0</v>
      </c>
      <c r="U514" s="6">
        <v>280900</v>
      </c>
      <c r="V514" s="6">
        <v>225159.73</v>
      </c>
      <c r="W514" s="18">
        <f t="shared" si="74"/>
        <v>55740.26999999999</v>
      </c>
      <c r="X514" s="18">
        <f t="shared" si="73"/>
        <v>222930.42574257427</v>
      </c>
      <c r="Y514" s="13">
        <f t="shared" si="68"/>
        <v>99743.294615354491</v>
      </c>
      <c r="Z514" s="14">
        <v>0</v>
      </c>
      <c r="AA514" s="4">
        <v>0</v>
      </c>
      <c r="AB514" s="4">
        <f t="shared" si="69"/>
        <v>222930.42574257427</v>
      </c>
      <c r="AC514" s="6">
        <f t="shared" si="70"/>
        <v>2229.3042574257415</v>
      </c>
      <c r="AD514" s="18">
        <f t="shared" si="75"/>
        <v>123187.13112721978</v>
      </c>
      <c r="AE514" s="2">
        <v>7.0000000000000007E-2</v>
      </c>
      <c r="AF514" s="5">
        <f t="shared" si="71"/>
        <v>8623.099178905386</v>
      </c>
      <c r="AG514" s="14">
        <v>0</v>
      </c>
      <c r="AH514" s="10">
        <f t="shared" si="76"/>
        <v>225159.73</v>
      </c>
      <c r="AI514" s="16"/>
      <c r="AJ514" s="126" t="e">
        <v>#N/A</v>
      </c>
      <c r="AK514" s="80">
        <f t="shared" si="72"/>
        <v>0</v>
      </c>
      <c r="AM514" s="85"/>
    </row>
    <row r="515" spans="1:39" hidden="1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639</v>
      </c>
      <c r="F515" s="15" t="s">
        <v>639</v>
      </c>
      <c r="G515" s="15" t="s">
        <v>639</v>
      </c>
      <c r="H515" s="154"/>
      <c r="I515" s="15" t="s">
        <v>408</v>
      </c>
      <c r="J515" s="1" t="s">
        <v>3324</v>
      </c>
      <c r="K515" s="1" t="s">
        <v>3278</v>
      </c>
      <c r="L515" s="1" t="s">
        <v>35</v>
      </c>
      <c r="M515" s="15" t="s">
        <v>643</v>
      </c>
      <c r="N515" s="15"/>
      <c r="O515" s="8" t="s">
        <v>410</v>
      </c>
      <c r="P515" s="8" t="s">
        <v>46</v>
      </c>
      <c r="Q515" s="14">
        <v>0.01</v>
      </c>
      <c r="R515" s="139">
        <v>1000069241</v>
      </c>
      <c r="S515" s="15"/>
      <c r="T515" s="6">
        <v>0</v>
      </c>
      <c r="U515" s="6">
        <v>371600</v>
      </c>
      <c r="V515" s="6">
        <v>306424.84000000003</v>
      </c>
      <c r="W515" s="18">
        <f t="shared" si="74"/>
        <v>65175.159999999974</v>
      </c>
      <c r="X515" s="18">
        <f t="shared" si="73"/>
        <v>303390.93069306936</v>
      </c>
      <c r="Y515" s="13">
        <f t="shared" ref="Y515:Y578" si="77">IF(X515-AD515&lt;=0,0,IF(P515="返现",MAX(X515-AC515-AD515,0),MAX(X515-AD515)))</f>
        <v>135742.84839292918</v>
      </c>
      <c r="Z515" s="14">
        <v>0</v>
      </c>
      <c r="AA515" s="4">
        <v>0</v>
      </c>
      <c r="AB515" s="4">
        <f t="shared" ref="AB515:AB578" si="78">X515+AA515</f>
        <v>303390.93069306936</v>
      </c>
      <c r="AC515" s="6">
        <f t="shared" ref="AC515:AC578" si="79">IF(P515="返现",X515*Q515,V515-X515)</f>
        <v>3033.9093069306691</v>
      </c>
      <c r="AD515" s="18">
        <f t="shared" si="75"/>
        <v>167648.08230014017</v>
      </c>
      <c r="AE515" s="2">
        <v>7.0000000000000007E-2</v>
      </c>
      <c r="AF515" s="5">
        <f t="shared" ref="AF515:AF578" si="80">AD515*AE515</f>
        <v>11735.365761009813</v>
      </c>
      <c r="AG515" s="14">
        <v>0</v>
      </c>
      <c r="AH515" s="10">
        <f t="shared" si="76"/>
        <v>306424.84000000003</v>
      </c>
      <c r="AI515" s="16"/>
      <c r="AJ515" s="126" t="e">
        <v>#N/A</v>
      </c>
      <c r="AK515" s="80">
        <f t="shared" ref="AK515:AK578" si="81">X515+AA515-AB515</f>
        <v>0</v>
      </c>
      <c r="AM515" s="85"/>
    </row>
    <row r="516" spans="1:39" hidden="1" x14ac:dyDescent="0.3">
      <c r="A516" s="85" t="s">
        <v>34</v>
      </c>
      <c r="B516" s="15" t="s">
        <v>35</v>
      </c>
      <c r="C516" s="15" t="s">
        <v>164</v>
      </c>
      <c r="D516" s="15" t="s">
        <v>174</v>
      </c>
      <c r="E516" s="15" t="s">
        <v>644</v>
      </c>
      <c r="F516" s="15" t="s">
        <v>644</v>
      </c>
      <c r="G516" s="15" t="s">
        <v>644</v>
      </c>
      <c r="H516" s="139"/>
      <c r="I516" s="15" t="s">
        <v>408</v>
      </c>
      <c r="J516" s="1" t="s">
        <v>3324</v>
      </c>
      <c r="K516" s="1" t="s">
        <v>3278</v>
      </c>
      <c r="L516" s="1" t="s">
        <v>35</v>
      </c>
      <c r="M516" s="15" t="s">
        <v>645</v>
      </c>
      <c r="N516" s="15"/>
      <c r="O516" s="8" t="s">
        <v>45</v>
      </c>
      <c r="P516" s="8" t="s">
        <v>46</v>
      </c>
      <c r="Q516" s="14">
        <v>0.04</v>
      </c>
      <c r="R516" s="139">
        <v>1000100699</v>
      </c>
      <c r="S516" s="15"/>
      <c r="T516" s="6">
        <v>0</v>
      </c>
      <c r="U516" s="6">
        <v>20000</v>
      </c>
      <c r="V516" s="6">
        <v>0</v>
      </c>
      <c r="W516" s="18">
        <f t="shared" si="74"/>
        <v>20000</v>
      </c>
      <c r="X516" s="18">
        <f t="shared" si="73"/>
        <v>0</v>
      </c>
      <c r="Y516" s="13">
        <f t="shared" si="77"/>
        <v>0</v>
      </c>
      <c r="Z516" s="14">
        <v>0</v>
      </c>
      <c r="AA516" s="4">
        <v>0</v>
      </c>
      <c r="AB516" s="4">
        <f t="shared" si="78"/>
        <v>0</v>
      </c>
      <c r="AC516" s="6">
        <f t="shared" si="79"/>
        <v>0</v>
      </c>
      <c r="AD516" s="18">
        <f t="shared" si="75"/>
        <v>0</v>
      </c>
      <c r="AE516" s="2">
        <v>0.12</v>
      </c>
      <c r="AF516" s="5">
        <f t="shared" si="80"/>
        <v>0</v>
      </c>
      <c r="AG516" s="14">
        <v>0</v>
      </c>
      <c r="AH516" s="10">
        <f t="shared" si="76"/>
        <v>0</v>
      </c>
      <c r="AI516" s="16"/>
      <c r="AJ516" s="126" t="e">
        <v>#N/A</v>
      </c>
      <c r="AK516" s="80">
        <f t="shared" si="81"/>
        <v>0</v>
      </c>
      <c r="AM516" s="85"/>
    </row>
    <row r="517" spans="1:39" hidden="1" x14ac:dyDescent="0.3">
      <c r="A517" s="85" t="s">
        <v>34</v>
      </c>
      <c r="B517" s="15" t="s">
        <v>35</v>
      </c>
      <c r="C517" s="15" t="s">
        <v>164</v>
      </c>
      <c r="D517" s="15" t="s">
        <v>174</v>
      </c>
      <c r="E517" s="15" t="s">
        <v>646</v>
      </c>
      <c r="F517" s="15" t="s">
        <v>646</v>
      </c>
      <c r="G517" s="15" t="s">
        <v>646</v>
      </c>
      <c r="H517" s="139"/>
      <c r="I517" s="15" t="s">
        <v>408</v>
      </c>
      <c r="J517" s="1" t="s">
        <v>3324</v>
      </c>
      <c r="K517" s="1" t="s">
        <v>3278</v>
      </c>
      <c r="L517" s="1" t="s">
        <v>35</v>
      </c>
      <c r="M517" s="15" t="s">
        <v>647</v>
      </c>
      <c r="N517" s="15"/>
      <c r="O517" s="8" t="s">
        <v>410</v>
      </c>
      <c r="P517" s="8" t="s">
        <v>41</v>
      </c>
      <c r="Q517" s="14">
        <v>0</v>
      </c>
      <c r="R517" s="139">
        <v>1000098768</v>
      </c>
      <c r="S517" s="15"/>
      <c r="T517" s="6">
        <v>0</v>
      </c>
      <c r="U517" s="6">
        <v>0</v>
      </c>
      <c r="V517" s="6">
        <v>0</v>
      </c>
      <c r="W517" s="18">
        <f t="shared" si="74"/>
        <v>0</v>
      </c>
      <c r="X517" s="18">
        <f t="shared" si="73"/>
        <v>0</v>
      </c>
      <c r="Y517" s="13">
        <f t="shared" si="77"/>
        <v>0</v>
      </c>
      <c r="Z517" s="14">
        <v>0</v>
      </c>
      <c r="AA517" s="4">
        <v>0</v>
      </c>
      <c r="AB517" s="4">
        <f t="shared" si="78"/>
        <v>0</v>
      </c>
      <c r="AC517" s="6">
        <f t="shared" si="79"/>
        <v>0</v>
      </c>
      <c r="AD517" s="18">
        <f t="shared" si="75"/>
        <v>0</v>
      </c>
      <c r="AE517" s="2">
        <v>7.0000000000000007E-2</v>
      </c>
      <c r="AF517" s="5">
        <f t="shared" si="80"/>
        <v>0</v>
      </c>
      <c r="AG517" s="14">
        <v>0</v>
      </c>
      <c r="AH517" s="10">
        <f t="shared" si="76"/>
        <v>0</v>
      </c>
      <c r="AI517" s="16"/>
      <c r="AJ517" s="126" t="e">
        <v>#N/A</v>
      </c>
      <c r="AK517" s="80">
        <f t="shared" si="81"/>
        <v>0</v>
      </c>
      <c r="AM517" s="85"/>
    </row>
    <row r="518" spans="1:39" hidden="1" x14ac:dyDescent="0.3">
      <c r="A518" s="85" t="s">
        <v>34</v>
      </c>
      <c r="B518" s="15" t="s">
        <v>35</v>
      </c>
      <c r="C518" s="15" t="s">
        <v>164</v>
      </c>
      <c r="D518" s="15" t="s">
        <v>174</v>
      </c>
      <c r="E518" s="15" t="s">
        <v>646</v>
      </c>
      <c r="F518" s="15" t="s">
        <v>646</v>
      </c>
      <c r="G518" s="15" t="s">
        <v>646</v>
      </c>
      <c r="H518" s="154"/>
      <c r="I518" s="15" t="s">
        <v>408</v>
      </c>
      <c r="J518" s="1" t="s">
        <v>3324</v>
      </c>
      <c r="K518" s="1" t="s">
        <v>3278</v>
      </c>
      <c r="L518" s="1" t="s">
        <v>35</v>
      </c>
      <c r="M518" s="15" t="s">
        <v>648</v>
      </c>
      <c r="N518" s="15"/>
      <c r="O518" s="8" t="s">
        <v>410</v>
      </c>
      <c r="P518" s="8" t="s">
        <v>41</v>
      </c>
      <c r="Q518" s="14">
        <v>0</v>
      </c>
      <c r="R518" s="139">
        <v>1000072286</v>
      </c>
      <c r="S518" s="15"/>
      <c r="T518" s="6">
        <v>0</v>
      </c>
      <c r="U518" s="6">
        <v>40000</v>
      </c>
      <c r="V518" s="6">
        <v>32020.699999999993</v>
      </c>
      <c r="W518" s="18">
        <f t="shared" si="74"/>
        <v>7979.3000000000065</v>
      </c>
      <c r="X518" s="18">
        <f t="shared" si="73"/>
        <v>32020.699999999993</v>
      </c>
      <c r="Y518" s="13">
        <f t="shared" si="77"/>
        <v>14501.856067804103</v>
      </c>
      <c r="Z518" s="14">
        <v>0</v>
      </c>
      <c r="AA518" s="4">
        <v>0</v>
      </c>
      <c r="AB518" s="4">
        <f t="shared" si="78"/>
        <v>32020.699999999993</v>
      </c>
      <c r="AC518" s="6">
        <f t="shared" si="79"/>
        <v>0</v>
      </c>
      <c r="AD518" s="18">
        <f t="shared" si="75"/>
        <v>17518.84393219589</v>
      </c>
      <c r="AE518" s="2">
        <v>7.0000000000000007E-2</v>
      </c>
      <c r="AF518" s="5">
        <f t="shared" si="80"/>
        <v>1226.3190752537125</v>
      </c>
      <c r="AG518" s="14">
        <v>0</v>
      </c>
      <c r="AH518" s="10">
        <f t="shared" si="76"/>
        <v>32020.699999999993</v>
      </c>
      <c r="AI518" s="16"/>
      <c r="AJ518" s="126" t="e">
        <v>#N/A</v>
      </c>
      <c r="AK518" s="80">
        <f t="shared" si="81"/>
        <v>0</v>
      </c>
      <c r="AM518" s="85"/>
    </row>
    <row r="519" spans="1:39" hidden="1" x14ac:dyDescent="0.3">
      <c r="A519" s="85" t="s">
        <v>34</v>
      </c>
      <c r="B519" s="15" t="s">
        <v>35</v>
      </c>
      <c r="C519" s="15" t="s">
        <v>164</v>
      </c>
      <c r="D519" s="15" t="s">
        <v>174</v>
      </c>
      <c r="E519" s="15" t="s">
        <v>649</v>
      </c>
      <c r="F519" s="15" t="s">
        <v>649</v>
      </c>
      <c r="G519" s="15" t="s">
        <v>649</v>
      </c>
      <c r="H519" s="139"/>
      <c r="I519" s="15" t="s">
        <v>408</v>
      </c>
      <c r="J519" s="1" t="s">
        <v>3324</v>
      </c>
      <c r="K519" s="1" t="s">
        <v>3278</v>
      </c>
      <c r="L519" s="1" t="s">
        <v>35</v>
      </c>
      <c r="M519" s="15" t="s">
        <v>650</v>
      </c>
      <c r="N519" s="15"/>
      <c r="O519" s="8" t="s">
        <v>45</v>
      </c>
      <c r="P519" s="8" t="s">
        <v>41</v>
      </c>
      <c r="Q519" s="14">
        <v>0</v>
      </c>
      <c r="R519" s="139">
        <v>1000100815</v>
      </c>
      <c r="S519" s="15"/>
      <c r="T519" s="6">
        <v>0</v>
      </c>
      <c r="U519" s="6">
        <v>10000</v>
      </c>
      <c r="V519" s="6">
        <v>0</v>
      </c>
      <c r="W519" s="18">
        <f t="shared" si="74"/>
        <v>10000</v>
      </c>
      <c r="X519" s="18">
        <f t="shared" si="73"/>
        <v>0</v>
      </c>
      <c r="Y519" s="13">
        <f t="shared" si="77"/>
        <v>0</v>
      </c>
      <c r="Z519" s="14">
        <v>0</v>
      </c>
      <c r="AA519" s="4">
        <v>0</v>
      </c>
      <c r="AB519" s="4">
        <f t="shared" si="78"/>
        <v>0</v>
      </c>
      <c r="AC519" s="6">
        <f t="shared" si="79"/>
        <v>0</v>
      </c>
      <c r="AD519" s="18">
        <f t="shared" si="75"/>
        <v>0</v>
      </c>
      <c r="AE519" s="2">
        <v>0.12</v>
      </c>
      <c r="AF519" s="5">
        <f t="shared" si="80"/>
        <v>0</v>
      </c>
      <c r="AG519" s="14">
        <v>0</v>
      </c>
      <c r="AH519" s="10">
        <f t="shared" si="76"/>
        <v>0</v>
      </c>
      <c r="AI519" s="16"/>
      <c r="AJ519" s="126" t="e">
        <v>#N/A</v>
      </c>
      <c r="AK519" s="80">
        <f t="shared" si="81"/>
        <v>0</v>
      </c>
      <c r="AM519" s="85"/>
    </row>
    <row r="520" spans="1:39" hidden="1" x14ac:dyDescent="0.3">
      <c r="A520" s="85" t="s">
        <v>34</v>
      </c>
      <c r="B520" s="15" t="s">
        <v>35</v>
      </c>
      <c r="C520" s="15" t="s">
        <v>164</v>
      </c>
      <c r="D520" s="15" t="s">
        <v>174</v>
      </c>
      <c r="E520" s="15" t="s">
        <v>651</v>
      </c>
      <c r="F520" s="15" t="s">
        <v>651</v>
      </c>
      <c r="G520" s="15" t="s">
        <v>651</v>
      </c>
      <c r="H520" s="154"/>
      <c r="I520" s="15" t="s">
        <v>408</v>
      </c>
      <c r="J520" s="1" t="s">
        <v>3324</v>
      </c>
      <c r="K520" s="1" t="s">
        <v>3278</v>
      </c>
      <c r="L520" s="1" t="s">
        <v>35</v>
      </c>
      <c r="M520" s="15" t="s">
        <v>652</v>
      </c>
      <c r="N520" s="15"/>
      <c r="O520" s="8" t="s">
        <v>45</v>
      </c>
      <c r="P520" s="8" t="s">
        <v>46</v>
      </c>
      <c r="Q520" s="14">
        <v>0.04</v>
      </c>
      <c r="R520" s="139">
        <v>1000085487</v>
      </c>
      <c r="S520" s="15"/>
      <c r="T520" s="6">
        <v>0</v>
      </c>
      <c r="U520" s="6">
        <v>80000</v>
      </c>
      <c r="V520" s="6">
        <v>12651.050000000003</v>
      </c>
      <c r="W520" s="18">
        <f t="shared" si="74"/>
        <v>67348.95</v>
      </c>
      <c r="X520" s="18">
        <f t="shared" si="73"/>
        <v>12164.471153846156</v>
      </c>
      <c r="Y520" s="13">
        <f t="shared" si="77"/>
        <v>5242.9556801554836</v>
      </c>
      <c r="Z520" s="14">
        <v>0</v>
      </c>
      <c r="AA520" s="4">
        <v>0</v>
      </c>
      <c r="AB520" s="4">
        <f t="shared" si="78"/>
        <v>12164.471153846156</v>
      </c>
      <c r="AC520" s="6">
        <f t="shared" si="79"/>
        <v>486.57884615384683</v>
      </c>
      <c r="AD520" s="18">
        <f t="shared" si="75"/>
        <v>6921.5154736906725</v>
      </c>
      <c r="AE520" s="2">
        <v>0.12</v>
      </c>
      <c r="AF520" s="5">
        <f t="shared" si="80"/>
        <v>830.58185684288071</v>
      </c>
      <c r="AG520" s="14">
        <v>0</v>
      </c>
      <c r="AH520" s="10">
        <f t="shared" si="76"/>
        <v>12651.050000000003</v>
      </c>
      <c r="AI520" s="16"/>
      <c r="AJ520" s="126" t="e">
        <v>#N/A</v>
      </c>
      <c r="AK520" s="80">
        <f t="shared" si="81"/>
        <v>0</v>
      </c>
      <c r="AM520" s="85"/>
    </row>
    <row r="521" spans="1:39" hidden="1" x14ac:dyDescent="0.3">
      <c r="A521" s="85" t="s">
        <v>34</v>
      </c>
      <c r="B521" s="15" t="s">
        <v>35</v>
      </c>
      <c r="C521" s="15" t="s">
        <v>164</v>
      </c>
      <c r="D521" s="15" t="s">
        <v>174</v>
      </c>
      <c r="E521" s="15" t="s">
        <v>651</v>
      </c>
      <c r="F521" s="15" t="s">
        <v>651</v>
      </c>
      <c r="G521" s="15" t="s">
        <v>651</v>
      </c>
      <c r="H521" s="154"/>
      <c r="I521" s="15" t="s">
        <v>408</v>
      </c>
      <c r="J521" s="1" t="s">
        <v>3324</v>
      </c>
      <c r="K521" s="1" t="s">
        <v>3278</v>
      </c>
      <c r="L521" s="1" t="s">
        <v>35</v>
      </c>
      <c r="M521" s="15" t="s">
        <v>653</v>
      </c>
      <c r="N521" s="15"/>
      <c r="O521" s="8" t="s">
        <v>45</v>
      </c>
      <c r="P521" s="8" t="s">
        <v>46</v>
      </c>
      <c r="Q521" s="14">
        <v>0.04</v>
      </c>
      <c r="R521" s="139">
        <v>1000088200</v>
      </c>
      <c r="S521" s="15"/>
      <c r="T521" s="6">
        <v>0</v>
      </c>
      <c r="U521" s="6">
        <v>150000</v>
      </c>
      <c r="V521" s="6">
        <v>189.13</v>
      </c>
      <c r="W521" s="18">
        <f t="shared" si="74"/>
        <v>149810.87</v>
      </c>
      <c r="X521" s="18">
        <f t="shared" si="73"/>
        <v>181.85576923076923</v>
      </c>
      <c r="Y521" s="13">
        <f t="shared" si="77"/>
        <v>78.380862283194389</v>
      </c>
      <c r="Z521" s="14">
        <v>0</v>
      </c>
      <c r="AA521" s="4">
        <v>0</v>
      </c>
      <c r="AB521" s="4">
        <f t="shared" si="78"/>
        <v>181.85576923076923</v>
      </c>
      <c r="AC521" s="6">
        <f t="shared" si="79"/>
        <v>7.2742307692307691</v>
      </c>
      <c r="AD521" s="18">
        <f t="shared" si="75"/>
        <v>103.47490694757484</v>
      </c>
      <c r="AE521" s="2">
        <v>0.12</v>
      </c>
      <c r="AF521" s="5">
        <f t="shared" si="80"/>
        <v>12.416988833708981</v>
      </c>
      <c r="AG521" s="14">
        <v>0</v>
      </c>
      <c r="AH521" s="10">
        <f t="shared" si="76"/>
        <v>189.13</v>
      </c>
      <c r="AI521" s="16"/>
      <c r="AJ521" s="126" t="e">
        <v>#N/A</v>
      </c>
      <c r="AK521" s="80">
        <f t="shared" si="81"/>
        <v>0</v>
      </c>
      <c r="AM521" s="85"/>
    </row>
    <row r="522" spans="1:39" hidden="1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651</v>
      </c>
      <c r="F522" s="15" t="s">
        <v>651</v>
      </c>
      <c r="G522" s="15" t="s">
        <v>651</v>
      </c>
      <c r="H522" s="154"/>
      <c r="I522" s="15" t="s">
        <v>408</v>
      </c>
      <c r="J522" s="1" t="s">
        <v>3324</v>
      </c>
      <c r="K522" s="1" t="s">
        <v>3278</v>
      </c>
      <c r="L522" s="1" t="s">
        <v>35</v>
      </c>
      <c r="M522" s="15" t="s">
        <v>654</v>
      </c>
      <c r="N522" s="15"/>
      <c r="O522" s="8" t="s">
        <v>45</v>
      </c>
      <c r="P522" s="8" t="s">
        <v>46</v>
      </c>
      <c r="Q522" s="14">
        <v>0.04</v>
      </c>
      <c r="R522" s="139">
        <v>1000072406</v>
      </c>
      <c r="S522" s="15"/>
      <c r="T522" s="6">
        <v>0</v>
      </c>
      <c r="U522" s="6">
        <v>568990.88</v>
      </c>
      <c r="V522" s="6">
        <v>42535.199999999997</v>
      </c>
      <c r="W522" s="18">
        <f t="shared" si="74"/>
        <v>526455.68000000005</v>
      </c>
      <c r="X522" s="18">
        <f t="shared" si="73"/>
        <v>40899.230769230766</v>
      </c>
      <c r="Y522" s="13">
        <f t="shared" si="77"/>
        <v>17627.799150785861</v>
      </c>
      <c r="Z522" s="14">
        <v>0</v>
      </c>
      <c r="AA522" s="4">
        <v>0</v>
      </c>
      <c r="AB522" s="4">
        <f t="shared" si="78"/>
        <v>40899.230769230766</v>
      </c>
      <c r="AC522" s="6">
        <f t="shared" si="79"/>
        <v>1635.9692307692312</v>
      </c>
      <c r="AD522" s="18">
        <f t="shared" si="75"/>
        <v>23271.431618444905</v>
      </c>
      <c r="AE522" s="2">
        <v>0.12</v>
      </c>
      <c r="AF522" s="5">
        <f t="shared" si="80"/>
        <v>2792.5717942133883</v>
      </c>
      <c r="AG522" s="14">
        <v>0</v>
      </c>
      <c r="AH522" s="10">
        <f t="shared" si="76"/>
        <v>42535.199999999997</v>
      </c>
      <c r="AI522" s="16"/>
      <c r="AJ522" s="126" t="e">
        <v>#N/A</v>
      </c>
      <c r="AK522" s="80">
        <f t="shared" si="81"/>
        <v>0</v>
      </c>
      <c r="AM522" s="85"/>
    </row>
    <row r="523" spans="1:39" hidden="1" x14ac:dyDescent="0.3">
      <c r="A523" s="85" t="s">
        <v>34</v>
      </c>
      <c r="B523" s="15" t="s">
        <v>35</v>
      </c>
      <c r="C523" s="15" t="s">
        <v>164</v>
      </c>
      <c r="D523" s="15" t="s">
        <v>174</v>
      </c>
      <c r="E523" s="15" t="s">
        <v>651</v>
      </c>
      <c r="F523" s="15" t="s">
        <v>651</v>
      </c>
      <c r="G523" s="15" t="s">
        <v>651</v>
      </c>
      <c r="H523" s="154"/>
      <c r="I523" s="15" t="s">
        <v>408</v>
      </c>
      <c r="J523" s="1" t="s">
        <v>3324</v>
      </c>
      <c r="K523" s="1" t="s">
        <v>3278</v>
      </c>
      <c r="L523" s="1" t="s">
        <v>35</v>
      </c>
      <c r="M523" s="15" t="s">
        <v>655</v>
      </c>
      <c r="N523" s="15"/>
      <c r="O523" s="8" t="s">
        <v>45</v>
      </c>
      <c r="P523" s="8" t="s">
        <v>46</v>
      </c>
      <c r="Q523" s="14">
        <v>0.04</v>
      </c>
      <c r="R523" s="139">
        <v>1000080359</v>
      </c>
      <c r="S523" s="15"/>
      <c r="T523" s="6">
        <v>0</v>
      </c>
      <c r="U523" s="6">
        <v>50000</v>
      </c>
      <c r="V523" s="6">
        <v>518.96000000000015</v>
      </c>
      <c r="W523" s="18">
        <f t="shared" si="74"/>
        <v>49481.04</v>
      </c>
      <c r="X523" s="18">
        <f t="shared" si="73"/>
        <v>499.00000000000011</v>
      </c>
      <c r="Y523" s="13">
        <f t="shared" si="77"/>
        <v>215.07181457456016</v>
      </c>
      <c r="Z523" s="14">
        <v>0</v>
      </c>
      <c r="AA523" s="4">
        <v>0</v>
      </c>
      <c r="AB523" s="4">
        <f t="shared" si="78"/>
        <v>499.00000000000011</v>
      </c>
      <c r="AC523" s="6">
        <f t="shared" si="79"/>
        <v>19.960000000000036</v>
      </c>
      <c r="AD523" s="18">
        <f t="shared" si="75"/>
        <v>283.92818542543995</v>
      </c>
      <c r="AE523" s="2">
        <v>0.12</v>
      </c>
      <c r="AF523" s="5">
        <f t="shared" si="80"/>
        <v>34.071382251052796</v>
      </c>
      <c r="AG523" s="14">
        <v>0</v>
      </c>
      <c r="AH523" s="10">
        <f t="shared" si="76"/>
        <v>518.96000000000015</v>
      </c>
      <c r="AI523" s="16"/>
      <c r="AJ523" s="126" t="e">
        <v>#N/A</v>
      </c>
      <c r="AK523" s="80">
        <f t="shared" si="81"/>
        <v>0</v>
      </c>
      <c r="AM523" s="85"/>
    </row>
    <row r="524" spans="1:39" hidden="1" x14ac:dyDescent="0.3">
      <c r="A524" s="85" t="s">
        <v>34</v>
      </c>
      <c r="B524" s="15" t="s">
        <v>35</v>
      </c>
      <c r="C524" s="15" t="s">
        <v>164</v>
      </c>
      <c r="D524" s="15" t="s">
        <v>174</v>
      </c>
      <c r="E524" s="15" t="s">
        <v>651</v>
      </c>
      <c r="F524" s="15" t="s">
        <v>651</v>
      </c>
      <c r="G524" s="15" t="s">
        <v>651</v>
      </c>
      <c r="H524" s="139"/>
      <c r="I524" s="15" t="s">
        <v>408</v>
      </c>
      <c r="J524" s="1" t="s">
        <v>3324</v>
      </c>
      <c r="K524" s="1" t="s">
        <v>3278</v>
      </c>
      <c r="L524" s="1" t="s">
        <v>35</v>
      </c>
      <c r="M524" s="15" t="s">
        <v>655</v>
      </c>
      <c r="N524" s="15"/>
      <c r="O524" s="8" t="s">
        <v>45</v>
      </c>
      <c r="P524" s="8" t="s">
        <v>46</v>
      </c>
      <c r="Q524" s="14">
        <v>0.04</v>
      </c>
      <c r="R524" s="139">
        <v>1000080359</v>
      </c>
      <c r="S524" s="15"/>
      <c r="T524" s="6">
        <v>0</v>
      </c>
      <c r="U524" s="6">
        <v>0</v>
      </c>
      <c r="V524" s="6">
        <v>0</v>
      </c>
      <c r="W524" s="18">
        <f t="shared" si="74"/>
        <v>0</v>
      </c>
      <c r="X524" s="18">
        <f t="shared" si="73"/>
        <v>0</v>
      </c>
      <c r="Y524" s="13">
        <f t="shared" si="77"/>
        <v>0</v>
      </c>
      <c r="Z524" s="14">
        <v>0</v>
      </c>
      <c r="AA524" s="4">
        <v>0</v>
      </c>
      <c r="AB524" s="4">
        <f t="shared" si="78"/>
        <v>0</v>
      </c>
      <c r="AC524" s="6">
        <f t="shared" si="79"/>
        <v>0</v>
      </c>
      <c r="AD524" s="18">
        <f t="shared" si="75"/>
        <v>0</v>
      </c>
      <c r="AE524" s="2">
        <v>0.12</v>
      </c>
      <c r="AF524" s="5">
        <f t="shared" si="80"/>
        <v>0</v>
      </c>
      <c r="AG524" s="14">
        <v>0</v>
      </c>
      <c r="AH524" s="10">
        <f t="shared" si="76"/>
        <v>0</v>
      </c>
      <c r="AI524" s="16"/>
      <c r="AJ524" s="126" t="e">
        <v>#N/A</v>
      </c>
      <c r="AK524" s="80">
        <f t="shared" si="81"/>
        <v>0</v>
      </c>
      <c r="AM524" s="85"/>
    </row>
    <row r="525" spans="1:39" hidden="1" x14ac:dyDescent="0.3">
      <c r="A525" s="85" t="s">
        <v>34</v>
      </c>
      <c r="B525" s="15" t="s">
        <v>35</v>
      </c>
      <c r="C525" s="15" t="s">
        <v>164</v>
      </c>
      <c r="D525" s="15" t="s">
        <v>174</v>
      </c>
      <c r="E525" s="15" t="s">
        <v>651</v>
      </c>
      <c r="F525" s="15" t="s">
        <v>651</v>
      </c>
      <c r="G525" s="15" t="s">
        <v>651</v>
      </c>
      <c r="H525" s="139"/>
      <c r="I525" s="15" t="s">
        <v>408</v>
      </c>
      <c r="J525" s="1" t="s">
        <v>3324</v>
      </c>
      <c r="K525" s="1" t="s">
        <v>3278</v>
      </c>
      <c r="L525" s="1" t="s">
        <v>35</v>
      </c>
      <c r="M525" s="15" t="s">
        <v>656</v>
      </c>
      <c r="N525" s="15"/>
      <c r="O525" s="8" t="s">
        <v>45</v>
      </c>
      <c r="P525" s="8" t="s">
        <v>46</v>
      </c>
      <c r="Q525" s="14">
        <v>0.04</v>
      </c>
      <c r="R525" s="139">
        <v>1000084508</v>
      </c>
      <c r="S525" s="15"/>
      <c r="T525" s="6">
        <v>0</v>
      </c>
      <c r="U525" s="6">
        <v>50000</v>
      </c>
      <c r="V525" s="6">
        <v>0</v>
      </c>
      <c r="W525" s="18">
        <f t="shared" si="74"/>
        <v>50000</v>
      </c>
      <c r="X525" s="18">
        <f t="shared" si="73"/>
        <v>0</v>
      </c>
      <c r="Y525" s="13">
        <f t="shared" si="77"/>
        <v>0</v>
      </c>
      <c r="Z525" s="14">
        <v>0</v>
      </c>
      <c r="AA525" s="4">
        <v>0</v>
      </c>
      <c r="AB525" s="4">
        <f t="shared" si="78"/>
        <v>0</v>
      </c>
      <c r="AC525" s="6">
        <f t="shared" si="79"/>
        <v>0</v>
      </c>
      <c r="AD525" s="18">
        <f t="shared" si="75"/>
        <v>0</v>
      </c>
      <c r="AE525" s="2">
        <v>0.12</v>
      </c>
      <c r="AF525" s="5">
        <f t="shared" si="80"/>
        <v>0</v>
      </c>
      <c r="AG525" s="14">
        <v>0</v>
      </c>
      <c r="AH525" s="10">
        <f t="shared" si="76"/>
        <v>0</v>
      </c>
      <c r="AI525" s="16"/>
      <c r="AJ525" s="126" t="e">
        <v>#N/A</v>
      </c>
      <c r="AK525" s="80">
        <f t="shared" si="81"/>
        <v>0</v>
      </c>
      <c r="AM525" s="85"/>
    </row>
    <row r="526" spans="1:39" hidden="1" x14ac:dyDescent="0.3">
      <c r="A526" s="85" t="s">
        <v>34</v>
      </c>
      <c r="B526" s="15" t="s">
        <v>35</v>
      </c>
      <c r="C526" s="15" t="s">
        <v>164</v>
      </c>
      <c r="D526" s="15" t="s">
        <v>174</v>
      </c>
      <c r="E526" s="15" t="s">
        <v>651</v>
      </c>
      <c r="F526" s="15" t="s">
        <v>651</v>
      </c>
      <c r="G526" s="15" t="s">
        <v>651</v>
      </c>
      <c r="H526" s="154"/>
      <c r="I526" s="15" t="s">
        <v>408</v>
      </c>
      <c r="J526" s="1" t="s">
        <v>3324</v>
      </c>
      <c r="K526" s="1" t="s">
        <v>3278</v>
      </c>
      <c r="L526" s="1" t="s">
        <v>35</v>
      </c>
      <c r="M526" s="15" t="s">
        <v>657</v>
      </c>
      <c r="N526" s="15"/>
      <c r="O526" s="8" t="s">
        <v>45</v>
      </c>
      <c r="P526" s="8" t="s">
        <v>46</v>
      </c>
      <c r="Q526" s="14">
        <v>0.04</v>
      </c>
      <c r="R526" s="139">
        <v>1000073750</v>
      </c>
      <c r="S526" s="15"/>
      <c r="T526" s="6">
        <v>0</v>
      </c>
      <c r="U526" s="6">
        <v>150000</v>
      </c>
      <c r="V526" s="6">
        <v>5984.9299999999994</v>
      </c>
      <c r="W526" s="18">
        <f t="shared" si="74"/>
        <v>144015.07</v>
      </c>
      <c r="X526" s="18">
        <f t="shared" si="73"/>
        <v>5754.7403846153838</v>
      </c>
      <c r="Y526" s="13">
        <f t="shared" si="77"/>
        <v>2480.3255649794246</v>
      </c>
      <c r="Z526" s="14">
        <v>0</v>
      </c>
      <c r="AA526" s="4">
        <v>0</v>
      </c>
      <c r="AB526" s="4">
        <f t="shared" si="78"/>
        <v>5754.7403846153838</v>
      </c>
      <c r="AC526" s="6">
        <f t="shared" si="79"/>
        <v>230.18961538461554</v>
      </c>
      <c r="AD526" s="18">
        <f t="shared" si="75"/>
        <v>3274.4148196359592</v>
      </c>
      <c r="AE526" s="2">
        <v>0.12</v>
      </c>
      <c r="AF526" s="5">
        <f t="shared" si="80"/>
        <v>392.92977835631507</v>
      </c>
      <c r="AG526" s="14">
        <v>0</v>
      </c>
      <c r="AH526" s="10">
        <f t="shared" si="76"/>
        <v>5984.9299999999994</v>
      </c>
      <c r="AI526" s="16"/>
      <c r="AJ526" s="126" t="e">
        <v>#N/A</v>
      </c>
      <c r="AK526" s="80">
        <f t="shared" si="81"/>
        <v>0</v>
      </c>
      <c r="AM526" s="85"/>
    </row>
    <row r="527" spans="1:39" hidden="1" x14ac:dyDescent="0.3">
      <c r="A527" s="85" t="s">
        <v>34</v>
      </c>
      <c r="B527" s="15" t="s">
        <v>35</v>
      </c>
      <c r="C527" s="15" t="s">
        <v>164</v>
      </c>
      <c r="D527" s="15" t="s">
        <v>174</v>
      </c>
      <c r="E527" s="15" t="s">
        <v>651</v>
      </c>
      <c r="F527" s="15" t="s">
        <v>651</v>
      </c>
      <c r="G527" s="15" t="s">
        <v>651</v>
      </c>
      <c r="H527" s="139"/>
      <c r="I527" s="15" t="s">
        <v>408</v>
      </c>
      <c r="J527" s="1" t="s">
        <v>3324</v>
      </c>
      <c r="K527" s="1" t="s">
        <v>3278</v>
      </c>
      <c r="L527" s="1" t="s">
        <v>35</v>
      </c>
      <c r="M527" s="15" t="s">
        <v>657</v>
      </c>
      <c r="N527" s="15"/>
      <c r="O527" s="8" t="s">
        <v>45</v>
      </c>
      <c r="P527" s="8" t="s">
        <v>46</v>
      </c>
      <c r="Q527" s="14">
        <v>0.04</v>
      </c>
      <c r="R527" s="139">
        <v>1000073750</v>
      </c>
      <c r="S527" s="15"/>
      <c r="T527" s="6">
        <v>0</v>
      </c>
      <c r="U527" s="6">
        <v>0</v>
      </c>
      <c r="V527" s="6">
        <v>0</v>
      </c>
      <c r="W527" s="18">
        <f t="shared" si="74"/>
        <v>0</v>
      </c>
      <c r="X527" s="18">
        <f t="shared" si="73"/>
        <v>0</v>
      </c>
      <c r="Y527" s="13">
        <f t="shared" si="77"/>
        <v>0</v>
      </c>
      <c r="Z527" s="14">
        <v>0</v>
      </c>
      <c r="AA527" s="4">
        <v>0</v>
      </c>
      <c r="AB527" s="4">
        <f t="shared" si="78"/>
        <v>0</v>
      </c>
      <c r="AC527" s="6">
        <f t="shared" si="79"/>
        <v>0</v>
      </c>
      <c r="AD527" s="18">
        <f t="shared" si="75"/>
        <v>0</v>
      </c>
      <c r="AE527" s="2">
        <v>0.12</v>
      </c>
      <c r="AF527" s="5">
        <f t="shared" si="80"/>
        <v>0</v>
      </c>
      <c r="AG527" s="14">
        <v>0</v>
      </c>
      <c r="AH527" s="10">
        <f t="shared" si="76"/>
        <v>0</v>
      </c>
      <c r="AI527" s="16"/>
      <c r="AJ527" s="126" t="e">
        <v>#N/A</v>
      </c>
      <c r="AK527" s="80">
        <f t="shared" si="81"/>
        <v>0</v>
      </c>
      <c r="AM527" s="85"/>
    </row>
    <row r="528" spans="1:39" hidden="1" x14ac:dyDescent="0.3">
      <c r="A528" s="85" t="s">
        <v>34</v>
      </c>
      <c r="B528" s="15" t="s">
        <v>35</v>
      </c>
      <c r="C528" s="15" t="s">
        <v>164</v>
      </c>
      <c r="D528" s="15" t="s">
        <v>174</v>
      </c>
      <c r="E528" s="15" t="s">
        <v>651</v>
      </c>
      <c r="F528" s="15" t="s">
        <v>651</v>
      </c>
      <c r="G528" s="15" t="s">
        <v>651</v>
      </c>
      <c r="H528" s="154"/>
      <c r="I528" s="15" t="s">
        <v>408</v>
      </c>
      <c r="J528" s="1" t="s">
        <v>3324</v>
      </c>
      <c r="K528" s="1" t="s">
        <v>3278</v>
      </c>
      <c r="L528" s="1" t="s">
        <v>35</v>
      </c>
      <c r="M528" s="15" t="s">
        <v>658</v>
      </c>
      <c r="N528" s="15"/>
      <c r="O528" s="8" t="s">
        <v>45</v>
      </c>
      <c r="P528" s="8" t="s">
        <v>46</v>
      </c>
      <c r="Q528" s="14">
        <v>0.04</v>
      </c>
      <c r="R528" s="139">
        <v>1000085275</v>
      </c>
      <c r="S528" s="15"/>
      <c r="T528" s="6">
        <v>0</v>
      </c>
      <c r="U528" s="6">
        <v>180000</v>
      </c>
      <c r="V528" s="6">
        <v>549.25999999999988</v>
      </c>
      <c r="W528" s="18">
        <f t="shared" si="74"/>
        <v>179450.74</v>
      </c>
      <c r="X528" s="18">
        <f t="shared" si="73"/>
        <v>528.13461538461524</v>
      </c>
      <c r="Y528" s="13">
        <f t="shared" si="77"/>
        <v>227.62899813708736</v>
      </c>
      <c r="Z528" s="14">
        <v>0</v>
      </c>
      <c r="AA528" s="4">
        <v>0</v>
      </c>
      <c r="AB528" s="4">
        <f t="shared" si="78"/>
        <v>528.13461538461524</v>
      </c>
      <c r="AC528" s="6">
        <f t="shared" si="79"/>
        <v>21.125384615384633</v>
      </c>
      <c r="AD528" s="18">
        <f t="shared" si="75"/>
        <v>300.50561724752788</v>
      </c>
      <c r="AE528" s="2">
        <v>0.12</v>
      </c>
      <c r="AF528" s="5">
        <f t="shared" si="80"/>
        <v>36.060674069703346</v>
      </c>
      <c r="AG528" s="14">
        <v>0</v>
      </c>
      <c r="AH528" s="10">
        <f t="shared" si="76"/>
        <v>549.25999999999988</v>
      </c>
      <c r="AI528" s="16"/>
      <c r="AJ528" s="126" t="e">
        <v>#N/A</v>
      </c>
      <c r="AK528" s="80">
        <f t="shared" si="81"/>
        <v>0</v>
      </c>
      <c r="AM528" s="85"/>
    </row>
    <row r="529" spans="1:39" hidden="1" x14ac:dyDescent="0.3">
      <c r="A529" s="85" t="s">
        <v>34</v>
      </c>
      <c r="B529" s="15" t="s">
        <v>35</v>
      </c>
      <c r="C529" s="15" t="s">
        <v>164</v>
      </c>
      <c r="D529" s="15" t="s">
        <v>174</v>
      </c>
      <c r="E529" s="15" t="s">
        <v>659</v>
      </c>
      <c r="F529" s="15" t="s">
        <v>660</v>
      </c>
      <c r="G529" s="15" t="s">
        <v>659</v>
      </c>
      <c r="H529" s="154"/>
      <c r="I529" s="15" t="s">
        <v>408</v>
      </c>
      <c r="J529" s="1" t="s">
        <v>3324</v>
      </c>
      <c r="K529" s="1" t="s">
        <v>3278</v>
      </c>
      <c r="L529" s="1" t="s">
        <v>35</v>
      </c>
      <c r="M529" s="15" t="s">
        <v>661</v>
      </c>
      <c r="N529" s="15"/>
      <c r="O529" s="8" t="s">
        <v>410</v>
      </c>
      <c r="P529" s="8" t="s">
        <v>46</v>
      </c>
      <c r="Q529" s="14">
        <v>0.03</v>
      </c>
      <c r="R529" s="139">
        <v>1000068287</v>
      </c>
      <c r="S529" s="15"/>
      <c r="T529" s="6">
        <v>0</v>
      </c>
      <c r="U529" s="6">
        <v>900000</v>
      </c>
      <c r="V529" s="6">
        <v>832109.56000000017</v>
      </c>
      <c r="W529" s="18">
        <f t="shared" si="74"/>
        <v>67890.439999999828</v>
      </c>
      <c r="X529" s="18">
        <f t="shared" si="73"/>
        <v>807873.35922330117</v>
      </c>
      <c r="Y529" s="13">
        <f t="shared" si="77"/>
        <v>352617.93019994441</v>
      </c>
      <c r="Z529" s="14">
        <v>0</v>
      </c>
      <c r="AA529" s="4">
        <v>0</v>
      </c>
      <c r="AB529" s="4">
        <f t="shared" si="78"/>
        <v>807873.35922330117</v>
      </c>
      <c r="AC529" s="6">
        <f t="shared" si="79"/>
        <v>24236.200776698999</v>
      </c>
      <c r="AD529" s="18">
        <f t="shared" si="75"/>
        <v>455255.42902335676</v>
      </c>
      <c r="AE529" s="2">
        <v>7.0000000000000007E-2</v>
      </c>
      <c r="AF529" s="5">
        <f t="shared" si="80"/>
        <v>31867.880031634977</v>
      </c>
      <c r="AG529" s="14">
        <v>0</v>
      </c>
      <c r="AH529" s="10">
        <f t="shared" si="76"/>
        <v>832109.56000000017</v>
      </c>
      <c r="AI529" s="16"/>
      <c r="AJ529" s="126" t="e">
        <v>#N/A</v>
      </c>
      <c r="AK529" s="80">
        <f t="shared" si="81"/>
        <v>0</v>
      </c>
      <c r="AM529" s="85"/>
    </row>
    <row r="530" spans="1:39" hidden="1" x14ac:dyDescent="0.3">
      <c r="A530" s="85" t="s">
        <v>34</v>
      </c>
      <c r="B530" s="15" t="s">
        <v>35</v>
      </c>
      <c r="C530" s="15" t="s">
        <v>164</v>
      </c>
      <c r="D530" s="15" t="s">
        <v>174</v>
      </c>
      <c r="E530" s="15" t="s">
        <v>659</v>
      </c>
      <c r="F530" s="15" t="s">
        <v>660</v>
      </c>
      <c r="G530" s="15" t="s">
        <v>659</v>
      </c>
      <c r="H530" s="154"/>
      <c r="I530" s="15" t="s">
        <v>408</v>
      </c>
      <c r="J530" s="1" t="s">
        <v>3324</v>
      </c>
      <c r="K530" s="1" t="s">
        <v>3278</v>
      </c>
      <c r="L530" s="1" t="s">
        <v>35</v>
      </c>
      <c r="M530" s="15" t="s">
        <v>662</v>
      </c>
      <c r="N530" s="15"/>
      <c r="O530" s="8" t="s">
        <v>410</v>
      </c>
      <c r="P530" s="8" t="s">
        <v>46</v>
      </c>
      <c r="Q530" s="14">
        <v>0.03</v>
      </c>
      <c r="R530" s="139">
        <v>1000068286</v>
      </c>
      <c r="S530" s="15"/>
      <c r="T530" s="6">
        <v>0</v>
      </c>
      <c r="U530" s="6">
        <v>1595000</v>
      </c>
      <c r="V530" s="6">
        <v>1431549.3200000003</v>
      </c>
      <c r="W530" s="18">
        <f t="shared" si="74"/>
        <v>163450.6799999997</v>
      </c>
      <c r="X530" s="18">
        <f t="shared" si="73"/>
        <v>1389853.7087378644</v>
      </c>
      <c r="Y530" s="13">
        <f t="shared" si="77"/>
        <v>606638.81592411688</v>
      </c>
      <c r="Z530" s="14">
        <v>0</v>
      </c>
      <c r="AA530" s="4">
        <v>0</v>
      </c>
      <c r="AB530" s="4">
        <f t="shared" si="78"/>
        <v>1389853.7087378644</v>
      </c>
      <c r="AC530" s="6">
        <f t="shared" si="79"/>
        <v>41695.611262135906</v>
      </c>
      <c r="AD530" s="18">
        <f t="shared" si="75"/>
        <v>783214.89281374752</v>
      </c>
      <c r="AE530" s="2">
        <v>7.0000000000000007E-2</v>
      </c>
      <c r="AF530" s="5">
        <f t="shared" si="80"/>
        <v>54825.042496962335</v>
      </c>
      <c r="AG530" s="14">
        <v>0</v>
      </c>
      <c r="AH530" s="10">
        <f t="shared" si="76"/>
        <v>1431549.3200000003</v>
      </c>
      <c r="AI530" s="16"/>
      <c r="AJ530" s="126" t="e">
        <v>#N/A</v>
      </c>
      <c r="AK530" s="80">
        <f t="shared" si="81"/>
        <v>0</v>
      </c>
      <c r="AM530" s="85"/>
    </row>
    <row r="531" spans="1:39" hidden="1" x14ac:dyDescent="0.3">
      <c r="A531" s="85" t="s">
        <v>34</v>
      </c>
      <c r="B531" s="15" t="s">
        <v>35</v>
      </c>
      <c r="C531" s="15" t="s">
        <v>164</v>
      </c>
      <c r="D531" s="15" t="s">
        <v>174</v>
      </c>
      <c r="E531" s="15" t="s">
        <v>659</v>
      </c>
      <c r="F531" s="15" t="s">
        <v>660</v>
      </c>
      <c r="G531" s="15" t="s">
        <v>659</v>
      </c>
      <c r="H531" s="154"/>
      <c r="I531" s="15" t="s">
        <v>408</v>
      </c>
      <c r="J531" s="1" t="s">
        <v>3324</v>
      </c>
      <c r="K531" s="1" t="s">
        <v>3278</v>
      </c>
      <c r="L531" s="1" t="s">
        <v>35</v>
      </c>
      <c r="M531" s="15" t="s">
        <v>663</v>
      </c>
      <c r="N531" s="15"/>
      <c r="O531" s="8" t="s">
        <v>45</v>
      </c>
      <c r="P531" s="8" t="s">
        <v>46</v>
      </c>
      <c r="Q531" s="14">
        <v>0.05</v>
      </c>
      <c r="R531" s="139">
        <v>1000084820</v>
      </c>
      <c r="S531" s="15"/>
      <c r="T531" s="6">
        <v>0</v>
      </c>
      <c r="U531" s="6">
        <v>5000</v>
      </c>
      <c r="V531" s="6">
        <v>2713.2</v>
      </c>
      <c r="W531" s="18">
        <f t="shared" si="74"/>
        <v>2286.8000000000002</v>
      </c>
      <c r="X531" s="18">
        <f t="shared" ref="X531:X594" si="82">IF(P531="折扣",V531*Q531,IF(P531="返现",V531,V531/(1+Q531)))</f>
        <v>2583.9999999999995</v>
      </c>
      <c r="Y531" s="13">
        <f t="shared" si="77"/>
        <v>1099.5812534755983</v>
      </c>
      <c r="Z531" s="14">
        <v>0</v>
      </c>
      <c r="AA531" s="4">
        <v>0</v>
      </c>
      <c r="AB531" s="4">
        <f t="shared" si="78"/>
        <v>2583.9999999999995</v>
      </c>
      <c r="AC531" s="6">
        <f t="shared" si="79"/>
        <v>129.20000000000027</v>
      </c>
      <c r="AD531" s="18">
        <f t="shared" si="75"/>
        <v>1484.4187465244013</v>
      </c>
      <c r="AE531" s="2">
        <v>0.12</v>
      </c>
      <c r="AF531" s="5">
        <f t="shared" si="80"/>
        <v>178.13024958292814</v>
      </c>
      <c r="AG531" s="14">
        <v>0</v>
      </c>
      <c r="AH531" s="10">
        <f t="shared" si="76"/>
        <v>2713.2</v>
      </c>
      <c r="AI531" s="16"/>
      <c r="AJ531" s="126" t="e">
        <v>#N/A</v>
      </c>
      <c r="AK531" s="80">
        <f t="shared" si="81"/>
        <v>0</v>
      </c>
      <c r="AM531" s="85"/>
    </row>
    <row r="532" spans="1:39" hidden="1" x14ac:dyDescent="0.3">
      <c r="A532" s="85" t="s">
        <v>34</v>
      </c>
      <c r="B532" s="15" t="s">
        <v>35</v>
      </c>
      <c r="C532" s="15" t="s">
        <v>164</v>
      </c>
      <c r="D532" s="15" t="s">
        <v>174</v>
      </c>
      <c r="E532" s="15" t="s">
        <v>664</v>
      </c>
      <c r="F532" s="15" t="s">
        <v>664</v>
      </c>
      <c r="G532" s="15" t="s">
        <v>664</v>
      </c>
      <c r="H532" s="139"/>
      <c r="I532" s="15" t="s">
        <v>408</v>
      </c>
      <c r="J532" s="1" t="s">
        <v>3324</v>
      </c>
      <c r="K532" s="1" t="s">
        <v>3278</v>
      </c>
      <c r="L532" s="1" t="s">
        <v>35</v>
      </c>
      <c r="M532" s="15" t="s">
        <v>665</v>
      </c>
      <c r="N532" s="15"/>
      <c r="O532" s="8" t="s">
        <v>410</v>
      </c>
      <c r="P532" s="8" t="s">
        <v>46</v>
      </c>
      <c r="Q532" s="14">
        <v>0.02</v>
      </c>
      <c r="R532" s="139">
        <v>1000057295</v>
      </c>
      <c r="S532" s="15"/>
      <c r="T532" s="6">
        <v>0</v>
      </c>
      <c r="U532" s="6">
        <v>160000</v>
      </c>
      <c r="V532" s="6">
        <v>0</v>
      </c>
      <c r="W532" s="18">
        <f t="shared" ref="W532:W595" si="83">T532+U532-V532</f>
        <v>160000</v>
      </c>
      <c r="X532" s="18">
        <f t="shared" si="82"/>
        <v>0</v>
      </c>
      <c r="Y532" s="13">
        <f t="shared" si="77"/>
        <v>0</v>
      </c>
      <c r="Z532" s="14">
        <v>0</v>
      </c>
      <c r="AA532" s="4">
        <v>0</v>
      </c>
      <c r="AB532" s="4">
        <f t="shared" si="78"/>
        <v>0</v>
      </c>
      <c r="AC532" s="6">
        <f t="shared" si="79"/>
        <v>0</v>
      </c>
      <c r="AD532" s="18">
        <f t="shared" si="75"/>
        <v>0</v>
      </c>
      <c r="AE532" s="2">
        <v>7.0000000000000007E-2</v>
      </c>
      <c r="AF532" s="5">
        <f t="shared" si="80"/>
        <v>0</v>
      </c>
      <c r="AG532" s="14">
        <v>0</v>
      </c>
      <c r="AH532" s="10">
        <f t="shared" si="76"/>
        <v>0</v>
      </c>
      <c r="AI532" s="16"/>
      <c r="AJ532" s="126" t="e">
        <v>#N/A</v>
      </c>
      <c r="AK532" s="80">
        <f t="shared" si="81"/>
        <v>0</v>
      </c>
      <c r="AM532" s="85"/>
    </row>
    <row r="533" spans="1:39" hidden="1" x14ac:dyDescent="0.3">
      <c r="A533" s="85" t="s">
        <v>34</v>
      </c>
      <c r="B533" s="15" t="s">
        <v>35</v>
      </c>
      <c r="C533" s="15" t="s">
        <v>164</v>
      </c>
      <c r="D533" s="15" t="s">
        <v>174</v>
      </c>
      <c r="E533" s="15" t="s">
        <v>666</v>
      </c>
      <c r="F533" s="15" t="s">
        <v>666</v>
      </c>
      <c r="G533" s="15" t="s">
        <v>666</v>
      </c>
      <c r="H533" s="154"/>
      <c r="I533" s="15" t="s">
        <v>408</v>
      </c>
      <c r="J533" s="1" t="s">
        <v>3324</v>
      </c>
      <c r="K533" s="1" t="s">
        <v>3278</v>
      </c>
      <c r="L533" s="1" t="s">
        <v>35</v>
      </c>
      <c r="M533" s="15" t="s">
        <v>667</v>
      </c>
      <c r="N533" s="15"/>
      <c r="O533" s="8" t="s">
        <v>410</v>
      </c>
      <c r="P533" s="8" t="s">
        <v>41</v>
      </c>
      <c r="Q533" s="14">
        <v>0</v>
      </c>
      <c r="R533" s="139">
        <v>1000099608</v>
      </c>
      <c r="S533" s="15"/>
      <c r="T533" s="6">
        <v>0</v>
      </c>
      <c r="U533" s="6">
        <v>10000</v>
      </c>
      <c r="V533" s="6">
        <v>10000</v>
      </c>
      <c r="W533" s="18">
        <f t="shared" si="83"/>
        <v>0</v>
      </c>
      <c r="X533" s="18">
        <f t="shared" si="82"/>
        <v>10000</v>
      </c>
      <c r="Y533" s="13">
        <f t="shared" si="77"/>
        <v>4528.9003887498102</v>
      </c>
      <c r="Z533" s="14">
        <v>0</v>
      </c>
      <c r="AA533" s="4">
        <v>0</v>
      </c>
      <c r="AB533" s="4">
        <f t="shared" si="78"/>
        <v>10000</v>
      </c>
      <c r="AC533" s="6">
        <f t="shared" si="79"/>
        <v>0</v>
      </c>
      <c r="AD533" s="18">
        <f t="shared" si="75"/>
        <v>5471.0996112501898</v>
      </c>
      <c r="AE533" s="2">
        <v>7.0000000000000007E-2</v>
      </c>
      <c r="AF533" s="5">
        <f t="shared" si="80"/>
        <v>382.97697278751332</v>
      </c>
      <c r="AG533" s="14">
        <v>0</v>
      </c>
      <c r="AH533" s="10">
        <f t="shared" si="76"/>
        <v>10000</v>
      </c>
      <c r="AI533" s="16"/>
      <c r="AJ533" s="126" t="e">
        <v>#N/A</v>
      </c>
      <c r="AK533" s="80">
        <f t="shared" si="81"/>
        <v>0</v>
      </c>
      <c r="AM533" s="85"/>
    </row>
    <row r="534" spans="1:39" hidden="1" x14ac:dyDescent="0.3">
      <c r="A534" s="85" t="s">
        <v>34</v>
      </c>
      <c r="B534" s="15" t="s">
        <v>35</v>
      </c>
      <c r="C534" s="15" t="s">
        <v>164</v>
      </c>
      <c r="D534" s="15" t="s">
        <v>174</v>
      </c>
      <c r="E534" s="15" t="s">
        <v>668</v>
      </c>
      <c r="F534" s="15" t="s">
        <v>668</v>
      </c>
      <c r="G534" s="15" t="s">
        <v>668</v>
      </c>
      <c r="H534" s="154"/>
      <c r="I534" s="15" t="s">
        <v>408</v>
      </c>
      <c r="J534" s="1" t="s">
        <v>3324</v>
      </c>
      <c r="K534" s="1" t="s">
        <v>3278</v>
      </c>
      <c r="L534" s="1" t="s">
        <v>35</v>
      </c>
      <c r="M534" s="15" t="s">
        <v>669</v>
      </c>
      <c r="N534" s="15"/>
      <c r="O534" s="8" t="s">
        <v>410</v>
      </c>
      <c r="P534" s="8" t="s">
        <v>46</v>
      </c>
      <c r="Q534" s="14">
        <v>0.02</v>
      </c>
      <c r="R534" s="139">
        <v>1000099104</v>
      </c>
      <c r="S534" s="15"/>
      <c r="T534" s="6">
        <v>1000</v>
      </c>
      <c r="U534" s="6">
        <v>20</v>
      </c>
      <c r="V534" s="6">
        <v>1020</v>
      </c>
      <c r="W534" s="18">
        <f t="shared" si="83"/>
        <v>0</v>
      </c>
      <c r="X534" s="18">
        <f t="shared" si="82"/>
        <v>1000</v>
      </c>
      <c r="Y534" s="13">
        <f t="shared" si="77"/>
        <v>441.94783965248064</v>
      </c>
      <c r="Z534" s="14">
        <v>0</v>
      </c>
      <c r="AA534" s="4">
        <v>0</v>
      </c>
      <c r="AB534" s="4">
        <f t="shared" si="78"/>
        <v>1000</v>
      </c>
      <c r="AC534" s="6">
        <f t="shared" si="79"/>
        <v>20</v>
      </c>
      <c r="AD534" s="18">
        <f t="shared" si="75"/>
        <v>558.05216034751936</v>
      </c>
      <c r="AE534" s="2">
        <v>7.0000000000000007E-2</v>
      </c>
      <c r="AF534" s="5">
        <f t="shared" si="80"/>
        <v>39.063651224326357</v>
      </c>
      <c r="AG534" s="14">
        <v>0</v>
      </c>
      <c r="AH534" s="10">
        <f t="shared" si="76"/>
        <v>1020</v>
      </c>
      <c r="AI534" s="16"/>
      <c r="AJ534" s="126" t="e">
        <v>#N/A</v>
      </c>
      <c r="AK534" s="80">
        <f t="shared" si="81"/>
        <v>0</v>
      </c>
      <c r="AM534" s="85"/>
    </row>
    <row r="535" spans="1:39" hidden="1" x14ac:dyDescent="0.3">
      <c r="A535" s="85" t="s">
        <v>34</v>
      </c>
      <c r="B535" s="15" t="s">
        <v>35</v>
      </c>
      <c r="C535" s="15" t="s">
        <v>164</v>
      </c>
      <c r="D535" s="15" t="s">
        <v>174</v>
      </c>
      <c r="E535" s="15" t="s">
        <v>668</v>
      </c>
      <c r="F535" s="15" t="s">
        <v>668</v>
      </c>
      <c r="G535" s="15" t="s">
        <v>668</v>
      </c>
      <c r="H535" s="154"/>
      <c r="I535" s="15" t="s">
        <v>408</v>
      </c>
      <c r="J535" s="1" t="s">
        <v>3324</v>
      </c>
      <c r="K535" s="1" t="s">
        <v>3278</v>
      </c>
      <c r="L535" s="1" t="s">
        <v>35</v>
      </c>
      <c r="M535" s="15" t="s">
        <v>670</v>
      </c>
      <c r="N535" s="15"/>
      <c r="O535" s="8" t="s">
        <v>410</v>
      </c>
      <c r="P535" s="8" t="s">
        <v>46</v>
      </c>
      <c r="Q535" s="14">
        <v>0.02</v>
      </c>
      <c r="R535" s="139">
        <v>1000098963</v>
      </c>
      <c r="S535" s="15"/>
      <c r="T535" s="6">
        <v>1000</v>
      </c>
      <c r="U535" s="6">
        <v>2020</v>
      </c>
      <c r="V535" s="6">
        <v>2131.1999999999998</v>
      </c>
      <c r="W535" s="18">
        <f t="shared" si="83"/>
        <v>888.80000000000018</v>
      </c>
      <c r="X535" s="18">
        <f t="shared" si="82"/>
        <v>2089.411764705882</v>
      </c>
      <c r="Y535" s="13">
        <f t="shared" si="77"/>
        <v>923.41101555624164</v>
      </c>
      <c r="Z535" s="14">
        <v>0</v>
      </c>
      <c r="AA535" s="4">
        <v>0</v>
      </c>
      <c r="AB535" s="4">
        <f t="shared" si="78"/>
        <v>2089.411764705882</v>
      </c>
      <c r="AC535" s="6">
        <f t="shared" si="79"/>
        <v>41.78823529411784</v>
      </c>
      <c r="AD535" s="18">
        <f t="shared" si="75"/>
        <v>1166.0007491496403</v>
      </c>
      <c r="AE535" s="2">
        <v>7.0000000000000007E-2</v>
      </c>
      <c r="AF535" s="5">
        <f t="shared" si="80"/>
        <v>81.620052440474836</v>
      </c>
      <c r="AG535" s="14">
        <v>0</v>
      </c>
      <c r="AH535" s="10">
        <f t="shared" si="76"/>
        <v>2131.1999999999998</v>
      </c>
      <c r="AI535" s="16"/>
      <c r="AJ535" s="126" t="e">
        <v>#N/A</v>
      </c>
      <c r="AK535" s="80">
        <f t="shared" si="81"/>
        <v>0</v>
      </c>
      <c r="AM535" s="85"/>
    </row>
    <row r="536" spans="1:39" hidden="1" x14ac:dyDescent="0.3">
      <c r="A536" s="85" t="s">
        <v>34</v>
      </c>
      <c r="B536" s="15" t="s">
        <v>35</v>
      </c>
      <c r="C536" s="15" t="s">
        <v>164</v>
      </c>
      <c r="D536" s="15" t="s">
        <v>174</v>
      </c>
      <c r="E536" s="15" t="s">
        <v>671</v>
      </c>
      <c r="F536" s="15" t="s">
        <v>671</v>
      </c>
      <c r="G536" s="15" t="s">
        <v>671</v>
      </c>
      <c r="H536" s="139"/>
      <c r="I536" s="15" t="s">
        <v>408</v>
      </c>
      <c r="J536" s="1" t="s">
        <v>3324</v>
      </c>
      <c r="K536" s="1" t="s">
        <v>3278</v>
      </c>
      <c r="L536" s="1" t="s">
        <v>35</v>
      </c>
      <c r="M536" s="15" t="s">
        <v>672</v>
      </c>
      <c r="N536" s="15"/>
      <c r="O536" s="8" t="s">
        <v>410</v>
      </c>
      <c r="P536" s="8" t="s">
        <v>41</v>
      </c>
      <c r="Q536" s="14">
        <v>0</v>
      </c>
      <c r="R536" s="139">
        <v>1000097764</v>
      </c>
      <c r="S536" s="15"/>
      <c r="T536" s="6">
        <v>6701.5</v>
      </c>
      <c r="U536" s="6">
        <v>20000</v>
      </c>
      <c r="V536" s="6">
        <v>18541.099999999999</v>
      </c>
      <c r="W536" s="18">
        <f t="shared" si="83"/>
        <v>8160.4000000000015</v>
      </c>
      <c r="X536" s="18">
        <f t="shared" si="82"/>
        <v>18541.099999999999</v>
      </c>
      <c r="Y536" s="13">
        <f t="shared" si="77"/>
        <v>8397.0794997849098</v>
      </c>
      <c r="Z536" s="14">
        <v>0</v>
      </c>
      <c r="AA536" s="4">
        <v>0</v>
      </c>
      <c r="AB536" s="4"/>
      <c r="AC536" s="6">
        <f t="shared" si="79"/>
        <v>0</v>
      </c>
      <c r="AD536" s="18">
        <f t="shared" si="75"/>
        <v>10144.020500215089</v>
      </c>
      <c r="AE536" s="2">
        <v>7.0000000000000007E-2</v>
      </c>
      <c r="AF536" s="5">
        <f t="shared" si="80"/>
        <v>710.08143501505629</v>
      </c>
      <c r="AG536" s="14">
        <v>0</v>
      </c>
      <c r="AH536" s="10">
        <f t="shared" si="76"/>
        <v>18541.099999999999</v>
      </c>
      <c r="AI536" s="16"/>
      <c r="AJ536" s="126">
        <v>109</v>
      </c>
      <c r="AK536" s="80">
        <f t="shared" si="81"/>
        <v>18541.099999999999</v>
      </c>
      <c r="AM536" s="85"/>
    </row>
    <row r="537" spans="1:39" hidden="1" x14ac:dyDescent="0.3">
      <c r="A537" s="85" t="s">
        <v>34</v>
      </c>
      <c r="B537" s="15" t="s">
        <v>35</v>
      </c>
      <c r="C537" s="15" t="s">
        <v>164</v>
      </c>
      <c r="D537" s="15" t="s">
        <v>174</v>
      </c>
      <c r="E537" s="15" t="s">
        <v>673</v>
      </c>
      <c r="F537" s="15" t="s">
        <v>673</v>
      </c>
      <c r="G537" s="15" t="s">
        <v>673</v>
      </c>
      <c r="H537" s="154"/>
      <c r="I537" s="15" t="s">
        <v>408</v>
      </c>
      <c r="J537" s="1" t="s">
        <v>3324</v>
      </c>
      <c r="K537" s="1" t="s">
        <v>3278</v>
      </c>
      <c r="L537" s="1" t="s">
        <v>35</v>
      </c>
      <c r="M537" s="15" t="s">
        <v>674</v>
      </c>
      <c r="N537" s="15"/>
      <c r="O537" s="8" t="s">
        <v>410</v>
      </c>
      <c r="P537" s="8" t="s">
        <v>41</v>
      </c>
      <c r="Q537" s="14">
        <v>0</v>
      </c>
      <c r="R537" s="139">
        <v>1000099492</v>
      </c>
      <c r="S537" s="15"/>
      <c r="T537" s="6">
        <v>0</v>
      </c>
      <c r="U537" s="6">
        <v>39557.5</v>
      </c>
      <c r="V537" s="6">
        <v>25819.269999999997</v>
      </c>
      <c r="W537" s="18">
        <f t="shared" si="83"/>
        <v>13738.230000000003</v>
      </c>
      <c r="X537" s="18">
        <f t="shared" si="82"/>
        <v>25819.269999999997</v>
      </c>
      <c r="Y537" s="13">
        <f t="shared" si="77"/>
        <v>11693.29019402363</v>
      </c>
      <c r="Z537" s="14">
        <v>0</v>
      </c>
      <c r="AA537" s="4">
        <v>0</v>
      </c>
      <c r="AB537" s="4">
        <f t="shared" si="78"/>
        <v>25819.269999999997</v>
      </c>
      <c r="AC537" s="6">
        <f t="shared" si="79"/>
        <v>0</v>
      </c>
      <c r="AD537" s="18">
        <f t="shared" si="75"/>
        <v>14125.979805976367</v>
      </c>
      <c r="AE537" s="2">
        <v>7.0000000000000007E-2</v>
      </c>
      <c r="AF537" s="5">
        <f t="shared" si="80"/>
        <v>988.81858641834583</v>
      </c>
      <c r="AG537" s="14">
        <v>0</v>
      </c>
      <c r="AH537" s="10">
        <f t="shared" si="76"/>
        <v>25819.269999999997</v>
      </c>
      <c r="AI537" s="16"/>
      <c r="AJ537" s="126" t="e">
        <v>#N/A</v>
      </c>
      <c r="AK537" s="80">
        <f t="shared" si="81"/>
        <v>0</v>
      </c>
      <c r="AM537" s="85"/>
    </row>
    <row r="538" spans="1:39" hidden="1" x14ac:dyDescent="0.3">
      <c r="A538" s="85" t="s">
        <v>34</v>
      </c>
      <c r="B538" s="15" t="s">
        <v>35</v>
      </c>
      <c r="C538" s="15" t="s">
        <v>164</v>
      </c>
      <c r="D538" s="15" t="s">
        <v>174</v>
      </c>
      <c r="E538" s="15" t="s">
        <v>673</v>
      </c>
      <c r="F538" s="15" t="s">
        <v>673</v>
      </c>
      <c r="G538" s="15" t="s">
        <v>673</v>
      </c>
      <c r="H538" s="154"/>
      <c r="I538" s="15" t="s">
        <v>408</v>
      </c>
      <c r="J538" s="1" t="s">
        <v>3324</v>
      </c>
      <c r="K538" s="1" t="s">
        <v>3278</v>
      </c>
      <c r="L538" s="1" t="s">
        <v>35</v>
      </c>
      <c r="M538" s="15" t="s">
        <v>675</v>
      </c>
      <c r="N538" s="15"/>
      <c r="O538" s="8" t="s">
        <v>410</v>
      </c>
      <c r="P538" s="8" t="s">
        <v>46</v>
      </c>
      <c r="Q538" s="14">
        <v>0.04</v>
      </c>
      <c r="R538" s="139">
        <v>1000092976</v>
      </c>
      <c r="S538" s="15"/>
      <c r="T538" s="6">
        <v>5588.6700000000128</v>
      </c>
      <c r="U538" s="6">
        <v>22295.5</v>
      </c>
      <c r="V538" s="6">
        <v>27884.17</v>
      </c>
      <c r="W538" s="18">
        <f t="shared" si="83"/>
        <v>0</v>
      </c>
      <c r="X538" s="18">
        <f t="shared" si="82"/>
        <v>26811.701923076922</v>
      </c>
      <c r="Y538" s="13">
        <f t="shared" si="77"/>
        <v>11555.994758373503</v>
      </c>
      <c r="Z538" s="14">
        <v>0</v>
      </c>
      <c r="AA538" s="4">
        <v>0</v>
      </c>
      <c r="AB538" s="4">
        <f t="shared" si="78"/>
        <v>26811.701923076922</v>
      </c>
      <c r="AC538" s="6">
        <f t="shared" si="79"/>
        <v>1072.4680769230763</v>
      </c>
      <c r="AD538" s="18">
        <f t="shared" si="75"/>
        <v>15255.707164703419</v>
      </c>
      <c r="AE538" s="2">
        <v>7.0000000000000007E-2</v>
      </c>
      <c r="AF538" s="5">
        <f t="shared" si="80"/>
        <v>1067.8995015292394</v>
      </c>
      <c r="AG538" s="14">
        <v>0</v>
      </c>
      <c r="AH538" s="10">
        <f t="shared" si="76"/>
        <v>27884.17</v>
      </c>
      <c r="AI538" s="16"/>
      <c r="AJ538" s="126" t="e">
        <v>#N/A</v>
      </c>
      <c r="AK538" s="80">
        <f t="shared" si="81"/>
        <v>0</v>
      </c>
      <c r="AM538" s="85"/>
    </row>
    <row r="539" spans="1:39" hidden="1" x14ac:dyDescent="0.3">
      <c r="A539" s="85" t="s">
        <v>34</v>
      </c>
      <c r="B539" s="15" t="s">
        <v>35</v>
      </c>
      <c r="C539" s="15" t="s">
        <v>164</v>
      </c>
      <c r="D539" s="15" t="s">
        <v>174</v>
      </c>
      <c r="E539" s="15" t="s">
        <v>673</v>
      </c>
      <c r="F539" s="15" t="s">
        <v>673</v>
      </c>
      <c r="G539" s="15" t="s">
        <v>673</v>
      </c>
      <c r="H539" s="154"/>
      <c r="I539" s="15" t="s">
        <v>408</v>
      </c>
      <c r="J539" s="1" t="s">
        <v>3324</v>
      </c>
      <c r="K539" s="1" t="s">
        <v>3278</v>
      </c>
      <c r="L539" s="1" t="s">
        <v>35</v>
      </c>
      <c r="M539" s="15" t="s">
        <v>675</v>
      </c>
      <c r="N539" s="15"/>
      <c r="O539" s="8" t="s">
        <v>410</v>
      </c>
      <c r="P539" s="8" t="s">
        <v>41</v>
      </c>
      <c r="Q539" s="14">
        <v>0</v>
      </c>
      <c r="R539" s="139">
        <v>1000092976</v>
      </c>
      <c r="S539" s="15"/>
      <c r="T539" s="6">
        <v>0</v>
      </c>
      <c r="U539" s="6">
        <v>-19557.5</v>
      </c>
      <c r="V539" s="6">
        <v>-19557.5</v>
      </c>
      <c r="W539" s="18">
        <f t="shared" si="83"/>
        <v>0</v>
      </c>
      <c r="X539" s="18">
        <f t="shared" si="82"/>
        <v>-19557.5</v>
      </c>
      <c r="Y539" s="13">
        <f t="shared" si="77"/>
        <v>0</v>
      </c>
      <c r="Z539" s="14">
        <v>0</v>
      </c>
      <c r="AA539" s="4">
        <v>0</v>
      </c>
      <c r="AB539" s="4">
        <f t="shared" si="78"/>
        <v>-19557.5</v>
      </c>
      <c r="AC539" s="6">
        <f t="shared" si="79"/>
        <v>0</v>
      </c>
      <c r="AD539" s="18">
        <f t="shared" si="75"/>
        <v>-10700.103064702558</v>
      </c>
      <c r="AE539" s="2">
        <v>7.0000000000000007E-2</v>
      </c>
      <c r="AF539" s="5">
        <f t="shared" si="80"/>
        <v>-749.00721452917912</v>
      </c>
      <c r="AG539" s="14">
        <v>0</v>
      </c>
      <c r="AH539" s="10">
        <f t="shared" si="76"/>
        <v>-19557.5</v>
      </c>
      <c r="AI539" s="16"/>
      <c r="AJ539" s="126" t="e">
        <v>#N/A</v>
      </c>
      <c r="AK539" s="80">
        <f t="shared" si="81"/>
        <v>0</v>
      </c>
      <c r="AM539" s="85"/>
    </row>
    <row r="540" spans="1:39" hidden="1" x14ac:dyDescent="0.3">
      <c r="A540" s="85" t="s">
        <v>34</v>
      </c>
      <c r="B540" s="15" t="s">
        <v>35</v>
      </c>
      <c r="C540" s="15" t="s">
        <v>164</v>
      </c>
      <c r="D540" s="15" t="s">
        <v>174</v>
      </c>
      <c r="E540" s="15" t="s">
        <v>676</v>
      </c>
      <c r="F540" s="15" t="s">
        <v>676</v>
      </c>
      <c r="G540" s="15" t="s">
        <v>676</v>
      </c>
      <c r="H540" s="154"/>
      <c r="I540" s="15" t="s">
        <v>408</v>
      </c>
      <c r="J540" s="1" t="s">
        <v>3324</v>
      </c>
      <c r="K540" s="1" t="s">
        <v>3278</v>
      </c>
      <c r="L540" s="1" t="s">
        <v>35</v>
      </c>
      <c r="M540" s="15" t="s">
        <v>677</v>
      </c>
      <c r="N540" s="15"/>
      <c r="O540" s="8" t="s">
        <v>45</v>
      </c>
      <c r="P540" s="8" t="s">
        <v>41</v>
      </c>
      <c r="Q540" s="14">
        <v>0</v>
      </c>
      <c r="R540" s="139">
        <v>1000100039</v>
      </c>
      <c r="S540" s="15"/>
      <c r="T540" s="6">
        <v>0</v>
      </c>
      <c r="U540" s="6">
        <v>20000</v>
      </c>
      <c r="V540" s="6">
        <v>6844.2100000000009</v>
      </c>
      <c r="W540" s="18">
        <f t="shared" si="83"/>
        <v>13155.789999999999</v>
      </c>
      <c r="X540" s="18">
        <f t="shared" si="82"/>
        <v>6844.2100000000009</v>
      </c>
      <c r="Y540" s="13">
        <f t="shared" si="77"/>
        <v>3099.6745329685345</v>
      </c>
      <c r="Z540" s="14">
        <v>0</v>
      </c>
      <c r="AA540" s="4">
        <v>0</v>
      </c>
      <c r="AB540" s="4">
        <f t="shared" si="78"/>
        <v>6844.2100000000009</v>
      </c>
      <c r="AC540" s="6">
        <f t="shared" si="79"/>
        <v>0</v>
      </c>
      <c r="AD540" s="18">
        <f t="shared" si="75"/>
        <v>3744.5354670314664</v>
      </c>
      <c r="AE540" s="2">
        <v>0.12</v>
      </c>
      <c r="AF540" s="5">
        <f t="shared" si="80"/>
        <v>449.34425604377594</v>
      </c>
      <c r="AG540" s="14">
        <v>0</v>
      </c>
      <c r="AH540" s="10">
        <f t="shared" si="76"/>
        <v>6844.2100000000009</v>
      </c>
      <c r="AI540" s="16"/>
      <c r="AJ540" s="126" t="e">
        <v>#N/A</v>
      </c>
      <c r="AK540" s="80">
        <f t="shared" si="81"/>
        <v>0</v>
      </c>
      <c r="AM540" s="85"/>
    </row>
    <row r="541" spans="1:39" hidden="1" x14ac:dyDescent="0.3">
      <c r="A541" s="85" t="s">
        <v>34</v>
      </c>
      <c r="B541" s="15" t="s">
        <v>35</v>
      </c>
      <c r="C541" s="15" t="s">
        <v>164</v>
      </c>
      <c r="D541" s="15" t="s">
        <v>174</v>
      </c>
      <c r="E541" s="15" t="s">
        <v>678</v>
      </c>
      <c r="F541" s="15" t="s">
        <v>678</v>
      </c>
      <c r="G541" s="15" t="s">
        <v>678</v>
      </c>
      <c r="H541" s="154"/>
      <c r="I541" s="15" t="s">
        <v>408</v>
      </c>
      <c r="J541" s="1" t="s">
        <v>3324</v>
      </c>
      <c r="K541" s="1" t="s">
        <v>3278</v>
      </c>
      <c r="L541" s="1" t="s">
        <v>35</v>
      </c>
      <c r="M541" s="15" t="s">
        <v>679</v>
      </c>
      <c r="N541" s="15"/>
      <c r="O541" s="8" t="s">
        <v>410</v>
      </c>
      <c r="P541" s="8" t="s">
        <v>41</v>
      </c>
      <c r="Q541" s="14">
        <v>0</v>
      </c>
      <c r="R541" s="139">
        <v>1000090915</v>
      </c>
      <c r="S541" s="15"/>
      <c r="T541" s="6">
        <v>0</v>
      </c>
      <c r="U541" s="6">
        <v>11730.77</v>
      </c>
      <c r="V541" s="6">
        <v>4751.3600000000006</v>
      </c>
      <c r="W541" s="18">
        <f t="shared" si="83"/>
        <v>6979.41</v>
      </c>
      <c r="X541" s="18">
        <f t="shared" si="82"/>
        <v>4751.3600000000006</v>
      </c>
      <c r="Y541" s="13">
        <f t="shared" si="77"/>
        <v>2151.84361510903</v>
      </c>
      <c r="Z541" s="14">
        <v>0</v>
      </c>
      <c r="AA541" s="4">
        <v>0</v>
      </c>
      <c r="AB541" s="4">
        <f t="shared" si="78"/>
        <v>4751.3600000000006</v>
      </c>
      <c r="AC541" s="6">
        <f t="shared" si="79"/>
        <v>0</v>
      </c>
      <c r="AD541" s="18">
        <f t="shared" si="75"/>
        <v>2599.5163848909706</v>
      </c>
      <c r="AE541" s="2">
        <v>7.0000000000000007E-2</v>
      </c>
      <c r="AF541" s="5">
        <f t="shared" si="80"/>
        <v>181.96614694236797</v>
      </c>
      <c r="AG541" s="14">
        <v>0</v>
      </c>
      <c r="AH541" s="10">
        <f t="shared" si="76"/>
        <v>4751.3600000000006</v>
      </c>
      <c r="AI541" s="16"/>
      <c r="AJ541" s="126" t="e">
        <v>#N/A</v>
      </c>
      <c r="AK541" s="80">
        <f t="shared" si="81"/>
        <v>0</v>
      </c>
      <c r="AM541" s="85"/>
    </row>
    <row r="542" spans="1:39" hidden="1" x14ac:dyDescent="0.3">
      <c r="A542" s="85" t="s">
        <v>34</v>
      </c>
      <c r="B542" s="15" t="s">
        <v>35</v>
      </c>
      <c r="C542" s="15" t="s">
        <v>164</v>
      </c>
      <c r="D542" s="15" t="s">
        <v>174</v>
      </c>
      <c r="E542" s="15" t="s">
        <v>680</v>
      </c>
      <c r="F542" s="15" t="s">
        <v>680</v>
      </c>
      <c r="G542" s="15" t="s">
        <v>680</v>
      </c>
      <c r="H542" s="139"/>
      <c r="I542" s="15" t="s">
        <v>408</v>
      </c>
      <c r="J542" s="1" t="s">
        <v>3324</v>
      </c>
      <c r="K542" s="1" t="s">
        <v>3278</v>
      </c>
      <c r="L542" s="1" t="s">
        <v>35</v>
      </c>
      <c r="M542" s="15" t="s">
        <v>642</v>
      </c>
      <c r="N542" s="15"/>
      <c r="O542" s="8" t="s">
        <v>410</v>
      </c>
      <c r="P542" s="8" t="s">
        <v>46</v>
      </c>
      <c r="Q542" s="14">
        <v>0.01</v>
      </c>
      <c r="R542" s="139">
        <v>1000092988</v>
      </c>
      <c r="S542" s="15"/>
      <c r="T542" s="6">
        <v>0</v>
      </c>
      <c r="U542" s="6">
        <v>0</v>
      </c>
      <c r="V542" s="6">
        <v>0</v>
      </c>
      <c r="W542" s="18">
        <f t="shared" si="83"/>
        <v>0</v>
      </c>
      <c r="X542" s="18">
        <f t="shared" si="82"/>
        <v>0</v>
      </c>
      <c r="Y542" s="13">
        <f t="shared" si="77"/>
        <v>0</v>
      </c>
      <c r="Z542" s="14">
        <v>0</v>
      </c>
      <c r="AA542" s="4">
        <v>0</v>
      </c>
      <c r="AB542" s="4">
        <f t="shared" si="78"/>
        <v>0</v>
      </c>
      <c r="AC542" s="6">
        <f t="shared" si="79"/>
        <v>0</v>
      </c>
      <c r="AD542" s="18">
        <f t="shared" si="75"/>
        <v>0</v>
      </c>
      <c r="AE542" s="2">
        <v>7.0000000000000007E-2</v>
      </c>
      <c r="AF542" s="5">
        <f t="shared" si="80"/>
        <v>0</v>
      </c>
      <c r="AG542" s="14">
        <v>0</v>
      </c>
      <c r="AH542" s="10">
        <f t="shared" si="76"/>
        <v>0</v>
      </c>
      <c r="AI542" s="16"/>
      <c r="AJ542" s="126" t="e">
        <v>#N/A</v>
      </c>
      <c r="AK542" s="80">
        <f t="shared" si="81"/>
        <v>0</v>
      </c>
      <c r="AM542" s="85"/>
    </row>
    <row r="543" spans="1:39" hidden="1" x14ac:dyDescent="0.3">
      <c r="A543" s="85" t="s">
        <v>34</v>
      </c>
      <c r="B543" s="15" t="s">
        <v>35</v>
      </c>
      <c r="C543" s="15" t="s">
        <v>164</v>
      </c>
      <c r="D543" s="15" t="s">
        <v>174</v>
      </c>
      <c r="E543" s="15" t="s">
        <v>680</v>
      </c>
      <c r="F543" s="15" t="s">
        <v>680</v>
      </c>
      <c r="G543" s="15" t="s">
        <v>680</v>
      </c>
      <c r="H543" s="139"/>
      <c r="I543" s="15" t="s">
        <v>408</v>
      </c>
      <c r="J543" s="1" t="s">
        <v>3324</v>
      </c>
      <c r="K543" s="1" t="s">
        <v>3278</v>
      </c>
      <c r="L543" s="1" t="s">
        <v>35</v>
      </c>
      <c r="M543" s="15" t="s">
        <v>643</v>
      </c>
      <c r="N543" s="15"/>
      <c r="O543" s="8" t="s">
        <v>410</v>
      </c>
      <c r="P543" s="8" t="s">
        <v>46</v>
      </c>
      <c r="Q543" s="14">
        <v>0.01</v>
      </c>
      <c r="R543" s="139">
        <v>1000069241</v>
      </c>
      <c r="S543" s="15"/>
      <c r="T543" s="6">
        <v>0</v>
      </c>
      <c r="U543" s="6">
        <v>0</v>
      </c>
      <c r="V543" s="6">
        <v>0</v>
      </c>
      <c r="W543" s="18">
        <f t="shared" si="83"/>
        <v>0</v>
      </c>
      <c r="X543" s="18">
        <f t="shared" si="82"/>
        <v>0</v>
      </c>
      <c r="Y543" s="13">
        <f t="shared" si="77"/>
        <v>0</v>
      </c>
      <c r="Z543" s="14">
        <v>0</v>
      </c>
      <c r="AA543" s="4">
        <v>0</v>
      </c>
      <c r="AB543" s="4">
        <f t="shared" si="78"/>
        <v>0</v>
      </c>
      <c r="AC543" s="6">
        <f t="shared" si="79"/>
        <v>0</v>
      </c>
      <c r="AD543" s="18">
        <f t="shared" si="75"/>
        <v>0</v>
      </c>
      <c r="AE543" s="2">
        <v>7.0000000000000007E-2</v>
      </c>
      <c r="AF543" s="5">
        <f t="shared" si="80"/>
        <v>0</v>
      </c>
      <c r="AG543" s="14">
        <v>0</v>
      </c>
      <c r="AH543" s="10">
        <f t="shared" si="76"/>
        <v>0</v>
      </c>
      <c r="AI543" s="16"/>
      <c r="AJ543" s="126" t="e">
        <v>#N/A</v>
      </c>
      <c r="AK543" s="80">
        <f t="shared" si="81"/>
        <v>0</v>
      </c>
      <c r="AM543" s="85"/>
    </row>
    <row r="544" spans="1:39" hidden="1" x14ac:dyDescent="0.3">
      <c r="A544" s="85" t="s">
        <v>34</v>
      </c>
      <c r="B544" s="15" t="s">
        <v>35</v>
      </c>
      <c r="C544" s="15" t="s">
        <v>164</v>
      </c>
      <c r="D544" s="15" t="s">
        <v>174</v>
      </c>
      <c r="E544" s="15" t="s">
        <v>681</v>
      </c>
      <c r="F544" s="15" t="s">
        <v>681</v>
      </c>
      <c r="G544" s="15" t="s">
        <v>681</v>
      </c>
      <c r="H544" s="154"/>
      <c r="I544" s="15" t="s">
        <v>408</v>
      </c>
      <c r="J544" s="1" t="s">
        <v>3324</v>
      </c>
      <c r="K544" s="1" t="s">
        <v>3278</v>
      </c>
      <c r="L544" s="1" t="s">
        <v>35</v>
      </c>
      <c r="M544" s="15" t="s">
        <v>682</v>
      </c>
      <c r="N544" s="15"/>
      <c r="O544" s="8" t="s">
        <v>410</v>
      </c>
      <c r="P544" s="8" t="s">
        <v>46</v>
      </c>
      <c r="Q544" s="14">
        <v>0.02</v>
      </c>
      <c r="R544" s="139">
        <v>1000099307</v>
      </c>
      <c r="S544" s="15"/>
      <c r="T544" s="6">
        <v>0</v>
      </c>
      <c r="U544" s="6">
        <v>10000</v>
      </c>
      <c r="V544" s="6">
        <v>5803.5</v>
      </c>
      <c r="W544" s="18">
        <f t="shared" si="83"/>
        <v>4196.5</v>
      </c>
      <c r="X544" s="18">
        <f t="shared" si="82"/>
        <v>5689.7058823529414</v>
      </c>
      <c r="Y544" s="13">
        <f t="shared" si="77"/>
        <v>2514.5532229638939</v>
      </c>
      <c r="Z544" s="14">
        <v>0</v>
      </c>
      <c r="AA544" s="4">
        <v>0</v>
      </c>
      <c r="AB544" s="4">
        <f t="shared" si="78"/>
        <v>5689.7058823529414</v>
      </c>
      <c r="AC544" s="6">
        <f t="shared" si="79"/>
        <v>113.79411764705856</v>
      </c>
      <c r="AD544" s="18">
        <f t="shared" si="75"/>
        <v>3175.1526593890476</v>
      </c>
      <c r="AE544" s="2">
        <v>7.0000000000000007E-2</v>
      </c>
      <c r="AF544" s="5">
        <f t="shared" si="80"/>
        <v>222.26068615723335</v>
      </c>
      <c r="AG544" s="14">
        <v>0</v>
      </c>
      <c r="AH544" s="10">
        <f t="shared" si="76"/>
        <v>5803.5</v>
      </c>
      <c r="AI544" s="16"/>
      <c r="AJ544" s="126" t="e">
        <v>#N/A</v>
      </c>
      <c r="AK544" s="80">
        <f t="shared" si="81"/>
        <v>0</v>
      </c>
      <c r="AM544" s="85"/>
    </row>
    <row r="545" spans="1:39" hidden="1" x14ac:dyDescent="0.3">
      <c r="A545" s="85" t="s">
        <v>34</v>
      </c>
      <c r="B545" s="15" t="s">
        <v>35</v>
      </c>
      <c r="C545" s="15" t="s">
        <v>164</v>
      </c>
      <c r="D545" s="15" t="s">
        <v>174</v>
      </c>
      <c r="E545" s="15" t="s">
        <v>683</v>
      </c>
      <c r="F545" s="15" t="s">
        <v>683</v>
      </c>
      <c r="G545" s="15" t="s">
        <v>683</v>
      </c>
      <c r="H545" s="154"/>
      <c r="I545" s="15" t="s">
        <v>408</v>
      </c>
      <c r="J545" s="1" t="s">
        <v>3324</v>
      </c>
      <c r="K545" s="1" t="s">
        <v>3278</v>
      </c>
      <c r="L545" s="1" t="s">
        <v>35</v>
      </c>
      <c r="M545" s="15" t="s">
        <v>684</v>
      </c>
      <c r="N545" s="15"/>
      <c r="O545" s="8" t="s">
        <v>410</v>
      </c>
      <c r="P545" s="8" t="s">
        <v>41</v>
      </c>
      <c r="Q545" s="14">
        <v>0</v>
      </c>
      <c r="R545" s="139">
        <v>1000040485</v>
      </c>
      <c r="S545" s="15"/>
      <c r="T545" s="6">
        <v>0</v>
      </c>
      <c r="U545" s="6">
        <v>30000</v>
      </c>
      <c r="V545" s="6">
        <v>13606.99</v>
      </c>
      <c r="W545" s="18">
        <f t="shared" si="83"/>
        <v>16393.010000000002</v>
      </c>
      <c r="X545" s="18">
        <f t="shared" si="82"/>
        <v>13606.99</v>
      </c>
      <c r="Y545" s="13">
        <f t="shared" si="77"/>
        <v>6162.470230071478</v>
      </c>
      <c r="Z545" s="14">
        <v>0</v>
      </c>
      <c r="AA545" s="4">
        <v>0</v>
      </c>
      <c r="AB545" s="4">
        <f t="shared" si="78"/>
        <v>13606.99</v>
      </c>
      <c r="AC545" s="6">
        <f t="shared" si="79"/>
        <v>0</v>
      </c>
      <c r="AD545" s="18">
        <f t="shared" si="75"/>
        <v>7444.5197699285218</v>
      </c>
      <c r="AE545" s="2">
        <v>7.0000000000000007E-2</v>
      </c>
      <c r="AF545" s="5">
        <f t="shared" si="80"/>
        <v>521.1163838949966</v>
      </c>
      <c r="AG545" s="14">
        <v>0</v>
      </c>
      <c r="AH545" s="10">
        <f t="shared" si="76"/>
        <v>13606.99</v>
      </c>
      <c r="AI545" s="16"/>
      <c r="AJ545" s="126" t="e">
        <v>#N/A</v>
      </c>
      <c r="AK545" s="80">
        <f t="shared" si="81"/>
        <v>0</v>
      </c>
      <c r="AM545" s="85"/>
    </row>
    <row r="546" spans="1:39" hidden="1" x14ac:dyDescent="0.3">
      <c r="A546" s="85" t="s">
        <v>34</v>
      </c>
      <c r="B546" s="15" t="s">
        <v>35</v>
      </c>
      <c r="C546" s="15" t="s">
        <v>164</v>
      </c>
      <c r="D546" s="15" t="s">
        <v>174</v>
      </c>
      <c r="E546" s="15" t="s">
        <v>685</v>
      </c>
      <c r="F546" s="15" t="s">
        <v>686</v>
      </c>
      <c r="G546" s="15" t="s">
        <v>685</v>
      </c>
      <c r="H546" s="154"/>
      <c r="I546" s="15" t="s">
        <v>408</v>
      </c>
      <c r="J546" s="1" t="s">
        <v>3324</v>
      </c>
      <c r="K546" s="1" t="s">
        <v>3278</v>
      </c>
      <c r="L546" s="1" t="s">
        <v>35</v>
      </c>
      <c r="M546" s="15" t="s">
        <v>687</v>
      </c>
      <c r="N546" s="15"/>
      <c r="O546" s="8" t="s">
        <v>410</v>
      </c>
      <c r="P546" s="8" t="s">
        <v>41</v>
      </c>
      <c r="Q546" s="14">
        <v>0</v>
      </c>
      <c r="R546" s="139">
        <v>1000098945</v>
      </c>
      <c r="S546" s="15"/>
      <c r="T546" s="6">
        <v>0</v>
      </c>
      <c r="U546" s="6">
        <v>56000</v>
      </c>
      <c r="V546" s="6">
        <v>52024.5</v>
      </c>
      <c r="W546" s="18">
        <f t="shared" si="83"/>
        <v>3975.5</v>
      </c>
      <c r="X546" s="18">
        <f t="shared" si="82"/>
        <v>52024.5</v>
      </c>
      <c r="Y546" s="13">
        <f t="shared" si="77"/>
        <v>23561.377827451452</v>
      </c>
      <c r="Z546" s="14">
        <v>0</v>
      </c>
      <c r="AA546" s="4">
        <v>0</v>
      </c>
      <c r="AB546" s="4">
        <f t="shared" si="78"/>
        <v>52024.5</v>
      </c>
      <c r="AC546" s="6">
        <f t="shared" si="79"/>
        <v>0</v>
      </c>
      <c r="AD546" s="18">
        <f t="shared" si="75"/>
        <v>28463.122172548548</v>
      </c>
      <c r="AE546" s="2">
        <v>7.0000000000000007E-2</v>
      </c>
      <c r="AF546" s="5">
        <f t="shared" si="80"/>
        <v>1992.4185520783985</v>
      </c>
      <c r="AG546" s="14">
        <v>0</v>
      </c>
      <c r="AH546" s="10">
        <f t="shared" si="76"/>
        <v>52024.5</v>
      </c>
      <c r="AI546" s="16"/>
      <c r="AJ546" s="126" t="e">
        <v>#N/A</v>
      </c>
      <c r="AK546" s="80">
        <f t="shared" si="81"/>
        <v>0</v>
      </c>
      <c r="AM546" s="85"/>
    </row>
    <row r="547" spans="1:39" hidden="1" x14ac:dyDescent="0.3">
      <c r="A547" s="85" t="s">
        <v>34</v>
      </c>
      <c r="B547" s="15" t="s">
        <v>35</v>
      </c>
      <c r="C547" s="15" t="s">
        <v>164</v>
      </c>
      <c r="D547" s="15" t="s">
        <v>174</v>
      </c>
      <c r="E547" s="15" t="s">
        <v>688</v>
      </c>
      <c r="F547" s="15" t="s">
        <v>688</v>
      </c>
      <c r="G547" s="15" t="s">
        <v>688</v>
      </c>
      <c r="H547" s="154"/>
      <c r="I547" s="15" t="s">
        <v>408</v>
      </c>
      <c r="J547" s="1" t="s">
        <v>3324</v>
      </c>
      <c r="K547" s="1" t="s">
        <v>3278</v>
      </c>
      <c r="L547" s="1" t="s">
        <v>35</v>
      </c>
      <c r="M547" s="15" t="s">
        <v>689</v>
      </c>
      <c r="N547" s="15"/>
      <c r="O547" s="8" t="s">
        <v>410</v>
      </c>
      <c r="P547" s="8" t="s">
        <v>41</v>
      </c>
      <c r="Q547" s="14">
        <v>0</v>
      </c>
      <c r="R547" s="139">
        <v>1000083486</v>
      </c>
      <c r="S547" s="15"/>
      <c r="T547" s="6">
        <v>0</v>
      </c>
      <c r="U547" s="6">
        <v>130449.9</v>
      </c>
      <c r="V547" s="6">
        <v>51625.900000000009</v>
      </c>
      <c r="W547" s="18">
        <f t="shared" si="83"/>
        <v>78823.999999999985</v>
      </c>
      <c r="X547" s="18">
        <f t="shared" si="82"/>
        <v>51625.900000000009</v>
      </c>
      <c r="Y547" s="13">
        <f t="shared" si="77"/>
        <v>23380.855857955888</v>
      </c>
      <c r="Z547" s="14">
        <v>0</v>
      </c>
      <c r="AA547" s="4">
        <v>0</v>
      </c>
      <c r="AB547" s="4">
        <f t="shared" si="78"/>
        <v>51625.900000000009</v>
      </c>
      <c r="AC547" s="6">
        <f t="shared" si="79"/>
        <v>0</v>
      </c>
      <c r="AD547" s="18">
        <f t="shared" si="75"/>
        <v>28245.04414204412</v>
      </c>
      <c r="AE547" s="2">
        <v>7.0000000000000007E-2</v>
      </c>
      <c r="AF547" s="5">
        <f t="shared" si="80"/>
        <v>1977.1530899430886</v>
      </c>
      <c r="AG547" s="14">
        <v>0</v>
      </c>
      <c r="AH547" s="10">
        <f t="shared" si="76"/>
        <v>51625.900000000009</v>
      </c>
      <c r="AI547" s="16"/>
      <c r="AJ547" s="126" t="e">
        <v>#N/A</v>
      </c>
      <c r="AK547" s="80">
        <f t="shared" si="81"/>
        <v>0</v>
      </c>
      <c r="AM547" s="85"/>
    </row>
    <row r="548" spans="1:39" hidden="1" x14ac:dyDescent="0.3">
      <c r="A548" s="85" t="s">
        <v>34</v>
      </c>
      <c r="B548" s="15" t="s">
        <v>35</v>
      </c>
      <c r="C548" s="15" t="s">
        <v>164</v>
      </c>
      <c r="D548" s="15" t="s">
        <v>174</v>
      </c>
      <c r="E548" s="15" t="s">
        <v>690</v>
      </c>
      <c r="F548" s="15" t="s">
        <v>690</v>
      </c>
      <c r="G548" s="15" t="s">
        <v>690</v>
      </c>
      <c r="H548" s="154"/>
      <c r="I548" s="15" t="s">
        <v>408</v>
      </c>
      <c r="J548" s="1" t="s">
        <v>3324</v>
      </c>
      <c r="K548" s="1" t="s">
        <v>3278</v>
      </c>
      <c r="L548" s="1" t="s">
        <v>35</v>
      </c>
      <c r="M548" s="15" t="s">
        <v>691</v>
      </c>
      <c r="N548" s="15"/>
      <c r="O548" s="8" t="s">
        <v>410</v>
      </c>
      <c r="P548" s="8" t="s">
        <v>41</v>
      </c>
      <c r="Q548" s="14">
        <v>0</v>
      </c>
      <c r="R548" s="139">
        <v>1000081686</v>
      </c>
      <c r="S548" s="15"/>
      <c r="T548" s="6">
        <v>0</v>
      </c>
      <c r="U548" s="6">
        <v>50000</v>
      </c>
      <c r="V548" s="6">
        <v>9830.7900000000009</v>
      </c>
      <c r="W548" s="18">
        <f t="shared" si="83"/>
        <v>40169.21</v>
      </c>
      <c r="X548" s="18">
        <f t="shared" si="82"/>
        <v>9830.7900000000009</v>
      </c>
      <c r="Y548" s="13">
        <f t="shared" si="77"/>
        <v>4452.2668652717748</v>
      </c>
      <c r="Z548" s="14">
        <v>0</v>
      </c>
      <c r="AA548" s="4">
        <v>0</v>
      </c>
      <c r="AB548" s="4">
        <f t="shared" si="78"/>
        <v>9830.7900000000009</v>
      </c>
      <c r="AC548" s="6">
        <f t="shared" si="79"/>
        <v>0</v>
      </c>
      <c r="AD548" s="18">
        <f t="shared" si="75"/>
        <v>5378.5231347282261</v>
      </c>
      <c r="AE548" s="2">
        <v>7.0000000000000007E-2</v>
      </c>
      <c r="AF548" s="5">
        <f t="shared" si="80"/>
        <v>376.49661943097584</v>
      </c>
      <c r="AG548" s="14">
        <v>0</v>
      </c>
      <c r="AH548" s="10">
        <f t="shared" si="76"/>
        <v>9830.7900000000009</v>
      </c>
      <c r="AI548" s="16"/>
      <c r="AJ548" s="126" t="e">
        <v>#N/A</v>
      </c>
      <c r="AK548" s="80">
        <f t="shared" si="81"/>
        <v>0</v>
      </c>
      <c r="AM548" s="85"/>
    </row>
    <row r="549" spans="1:39" hidden="1" x14ac:dyDescent="0.3">
      <c r="A549" s="85" t="s">
        <v>34</v>
      </c>
      <c r="B549" s="15" t="s">
        <v>35</v>
      </c>
      <c r="C549" s="15" t="s">
        <v>164</v>
      </c>
      <c r="D549" s="15" t="s">
        <v>174</v>
      </c>
      <c r="E549" s="15" t="s">
        <v>692</v>
      </c>
      <c r="F549" s="15" t="s">
        <v>692</v>
      </c>
      <c r="G549" s="15" t="s">
        <v>692</v>
      </c>
      <c r="H549" s="154"/>
      <c r="I549" s="15" t="s">
        <v>408</v>
      </c>
      <c r="J549" s="1" t="s">
        <v>3324</v>
      </c>
      <c r="K549" s="1" t="s">
        <v>3278</v>
      </c>
      <c r="L549" s="1" t="s">
        <v>35</v>
      </c>
      <c r="M549" s="15" t="s">
        <v>693</v>
      </c>
      <c r="N549" s="15"/>
      <c r="O549" s="8" t="s">
        <v>410</v>
      </c>
      <c r="P549" s="8" t="s">
        <v>41</v>
      </c>
      <c r="Q549" s="14">
        <v>0</v>
      </c>
      <c r="R549" s="139">
        <v>1000092533</v>
      </c>
      <c r="S549" s="15"/>
      <c r="T549" s="6">
        <v>0</v>
      </c>
      <c r="U549" s="6">
        <v>166314.93</v>
      </c>
      <c r="V549" s="6">
        <v>89156.900000000009</v>
      </c>
      <c r="W549" s="18">
        <f t="shared" si="83"/>
        <v>77158.029999999984</v>
      </c>
      <c r="X549" s="18">
        <f t="shared" si="82"/>
        <v>89156.900000000009</v>
      </c>
      <c r="Y549" s="13">
        <f t="shared" si="77"/>
        <v>40378.271906972797</v>
      </c>
      <c r="Z549" s="14">
        <v>0</v>
      </c>
      <c r="AA549" s="4">
        <v>0</v>
      </c>
      <c r="AB549" s="4">
        <f t="shared" si="78"/>
        <v>89156.900000000009</v>
      </c>
      <c r="AC549" s="6">
        <f t="shared" si="79"/>
        <v>0</v>
      </c>
      <c r="AD549" s="18">
        <f t="shared" si="75"/>
        <v>48778.628093027211</v>
      </c>
      <c r="AE549" s="2">
        <v>7.0000000000000007E-2</v>
      </c>
      <c r="AF549" s="5">
        <f t="shared" si="80"/>
        <v>3414.5039665119052</v>
      </c>
      <c r="AG549" s="14">
        <v>0</v>
      </c>
      <c r="AH549" s="10">
        <f t="shared" si="76"/>
        <v>89156.900000000009</v>
      </c>
      <c r="AI549" s="16"/>
      <c r="AJ549" s="126" t="e">
        <v>#N/A</v>
      </c>
      <c r="AK549" s="80">
        <f t="shared" si="81"/>
        <v>0</v>
      </c>
      <c r="AM549" s="85"/>
    </row>
    <row r="550" spans="1:39" hidden="1" x14ac:dyDescent="0.3">
      <c r="A550" s="85" t="s">
        <v>34</v>
      </c>
      <c r="B550" s="15" t="s">
        <v>35</v>
      </c>
      <c r="C550" s="15" t="s">
        <v>164</v>
      </c>
      <c r="D550" s="15" t="s">
        <v>174</v>
      </c>
      <c r="E550" s="15" t="s">
        <v>694</v>
      </c>
      <c r="F550" s="15" t="s">
        <v>694</v>
      </c>
      <c r="G550" s="15" t="s">
        <v>694</v>
      </c>
      <c r="H550" s="139"/>
      <c r="I550" s="15" t="s">
        <v>408</v>
      </c>
      <c r="J550" s="1" t="s">
        <v>3324</v>
      </c>
      <c r="K550" s="1" t="s">
        <v>3278</v>
      </c>
      <c r="L550" s="1" t="s">
        <v>35</v>
      </c>
      <c r="M550" s="15" t="s">
        <v>695</v>
      </c>
      <c r="N550" s="15"/>
      <c r="O550" s="8" t="s">
        <v>410</v>
      </c>
      <c r="P550" s="8" t="s">
        <v>46</v>
      </c>
      <c r="Q550" s="14">
        <v>0.02</v>
      </c>
      <c r="R550" s="139">
        <v>1000031936</v>
      </c>
      <c r="S550" s="15"/>
      <c r="T550" s="6">
        <v>0</v>
      </c>
      <c r="U550" s="6">
        <v>0</v>
      </c>
      <c r="V550" s="6">
        <v>0</v>
      </c>
      <c r="W550" s="18">
        <f t="shared" si="83"/>
        <v>0</v>
      </c>
      <c r="X550" s="18">
        <f t="shared" si="82"/>
        <v>0</v>
      </c>
      <c r="Y550" s="13">
        <f t="shared" si="77"/>
        <v>0</v>
      </c>
      <c r="Z550" s="14">
        <v>0</v>
      </c>
      <c r="AA550" s="4">
        <v>0</v>
      </c>
      <c r="AB550" s="4">
        <f t="shared" si="78"/>
        <v>0</v>
      </c>
      <c r="AC550" s="6">
        <f t="shared" si="79"/>
        <v>0</v>
      </c>
      <c r="AD550" s="18">
        <f t="shared" si="75"/>
        <v>0</v>
      </c>
      <c r="AE550" s="2">
        <v>7.0000000000000007E-2</v>
      </c>
      <c r="AF550" s="5">
        <f t="shared" si="80"/>
        <v>0</v>
      </c>
      <c r="AG550" s="14">
        <v>0</v>
      </c>
      <c r="AH550" s="10">
        <f t="shared" si="76"/>
        <v>0</v>
      </c>
      <c r="AI550" s="16"/>
      <c r="AJ550" s="126" t="e">
        <v>#N/A</v>
      </c>
      <c r="AK550" s="80">
        <f t="shared" si="81"/>
        <v>0</v>
      </c>
      <c r="AM550" s="85"/>
    </row>
    <row r="551" spans="1:39" hidden="1" x14ac:dyDescent="0.3">
      <c r="A551" s="85" t="s">
        <v>34</v>
      </c>
      <c r="B551" s="15" t="s">
        <v>35</v>
      </c>
      <c r="C551" s="15" t="s">
        <v>164</v>
      </c>
      <c r="D551" s="15" t="s">
        <v>174</v>
      </c>
      <c r="E551" s="15" t="s">
        <v>696</v>
      </c>
      <c r="F551" s="15" t="s">
        <v>696</v>
      </c>
      <c r="G551" s="15" t="s">
        <v>696</v>
      </c>
      <c r="H551" s="154"/>
      <c r="I551" s="15" t="s">
        <v>408</v>
      </c>
      <c r="J551" s="1" t="s">
        <v>3324</v>
      </c>
      <c r="K551" s="1" t="s">
        <v>3278</v>
      </c>
      <c r="L551" s="1" t="s">
        <v>35</v>
      </c>
      <c r="M551" s="15" t="s">
        <v>697</v>
      </c>
      <c r="N551" s="15"/>
      <c r="O551" s="8" t="s">
        <v>410</v>
      </c>
      <c r="P551" s="8" t="s">
        <v>41</v>
      </c>
      <c r="Q551" s="14">
        <v>0</v>
      </c>
      <c r="R551" s="139">
        <v>1000099710</v>
      </c>
      <c r="S551" s="15"/>
      <c r="T551" s="6">
        <v>0</v>
      </c>
      <c r="U551" s="6">
        <v>10000</v>
      </c>
      <c r="V551" s="6">
        <v>9224.9999999999982</v>
      </c>
      <c r="W551" s="18">
        <f t="shared" si="83"/>
        <v>775.00000000000182</v>
      </c>
      <c r="X551" s="18">
        <f t="shared" si="82"/>
        <v>9224.9999999999982</v>
      </c>
      <c r="Y551" s="13">
        <f t="shared" si="77"/>
        <v>4177.9106086216989</v>
      </c>
      <c r="Z551" s="14">
        <v>0</v>
      </c>
      <c r="AA551" s="4">
        <v>0</v>
      </c>
      <c r="AB551" s="4">
        <f t="shared" si="78"/>
        <v>9224.9999999999982</v>
      </c>
      <c r="AC551" s="6">
        <f t="shared" si="79"/>
        <v>0</v>
      </c>
      <c r="AD551" s="18">
        <f t="shared" si="75"/>
        <v>5047.0893913782993</v>
      </c>
      <c r="AE551" s="2">
        <v>7.0000000000000007E-2</v>
      </c>
      <c r="AF551" s="5">
        <f t="shared" si="80"/>
        <v>353.296257396481</v>
      </c>
      <c r="AG551" s="14">
        <v>0</v>
      </c>
      <c r="AH551" s="10">
        <f t="shared" si="76"/>
        <v>9224.9999999999982</v>
      </c>
      <c r="AI551" s="16"/>
      <c r="AJ551" s="126" t="e">
        <v>#N/A</v>
      </c>
      <c r="AK551" s="80">
        <f t="shared" si="81"/>
        <v>0</v>
      </c>
      <c r="AM551" s="85"/>
    </row>
    <row r="552" spans="1:39" hidden="1" x14ac:dyDescent="0.3">
      <c r="A552" s="85" t="s">
        <v>34</v>
      </c>
      <c r="B552" s="15" t="s">
        <v>35</v>
      </c>
      <c r="C552" s="15" t="s">
        <v>164</v>
      </c>
      <c r="D552" s="15" t="s">
        <v>181</v>
      </c>
      <c r="E552" s="15" t="s">
        <v>698</v>
      </c>
      <c r="F552" s="15" t="s">
        <v>699</v>
      </c>
      <c r="G552" s="15" t="s">
        <v>698</v>
      </c>
      <c r="H552" s="154"/>
      <c r="I552" s="15" t="s">
        <v>408</v>
      </c>
      <c r="J552" s="1" t="s">
        <v>3324</v>
      </c>
      <c r="K552" s="1" t="s">
        <v>3278</v>
      </c>
      <c r="L552" s="1" t="s">
        <v>35</v>
      </c>
      <c r="M552" s="15" t="s">
        <v>700</v>
      </c>
      <c r="N552" s="15"/>
      <c r="O552" s="8" t="s">
        <v>410</v>
      </c>
      <c r="P552" s="8" t="s">
        <v>46</v>
      </c>
      <c r="Q552" s="14">
        <v>0.02</v>
      </c>
      <c r="R552" s="139">
        <v>1000016173</v>
      </c>
      <c r="S552" s="15"/>
      <c r="T552" s="6">
        <v>0</v>
      </c>
      <c r="U552" s="6">
        <v>1112609.79</v>
      </c>
      <c r="V552" s="6">
        <v>399857.90999999992</v>
      </c>
      <c r="W552" s="18">
        <f t="shared" si="83"/>
        <v>712751.88000000012</v>
      </c>
      <c r="X552" s="18">
        <f t="shared" si="82"/>
        <v>392017.55882352934</v>
      </c>
      <c r="Y552" s="13">
        <f t="shared" si="77"/>
        <v>173251.31322789806</v>
      </c>
      <c r="Z552" s="14">
        <v>0</v>
      </c>
      <c r="AA552" s="4">
        <v>0</v>
      </c>
      <c r="AB552" s="4">
        <f t="shared" si="78"/>
        <v>392017.55882352934</v>
      </c>
      <c r="AC552" s="6">
        <f t="shared" si="79"/>
        <v>7840.3511764705763</v>
      </c>
      <c r="AD552" s="18">
        <f t="shared" si="75"/>
        <v>218766.24559563128</v>
      </c>
      <c r="AE552" s="2">
        <v>7.0000000000000007E-2</v>
      </c>
      <c r="AF552" s="5">
        <f t="shared" si="80"/>
        <v>15313.637191694192</v>
      </c>
      <c r="AG552" s="14">
        <v>0</v>
      </c>
      <c r="AH552" s="10">
        <f t="shared" si="76"/>
        <v>399857.90999999992</v>
      </c>
      <c r="AI552" s="16"/>
      <c r="AJ552" s="126" t="e">
        <v>#N/A</v>
      </c>
      <c r="AK552" s="80">
        <f t="shared" si="81"/>
        <v>0</v>
      </c>
      <c r="AM552" s="85"/>
    </row>
    <row r="553" spans="1:39" hidden="1" x14ac:dyDescent="0.3">
      <c r="A553" s="85" t="s">
        <v>34</v>
      </c>
      <c r="B553" s="15" t="s">
        <v>701</v>
      </c>
      <c r="C553" s="15" t="s">
        <v>65</v>
      </c>
      <c r="D553" s="15" t="s">
        <v>122</v>
      </c>
      <c r="E553" s="15" t="s">
        <v>702</v>
      </c>
      <c r="F553" s="15" t="s">
        <v>703</v>
      </c>
      <c r="G553" s="15" t="s">
        <v>704</v>
      </c>
      <c r="H553" s="139"/>
      <c r="I553" s="15" t="s">
        <v>408</v>
      </c>
      <c r="J553" s="1" t="s">
        <v>3324</v>
      </c>
      <c r="K553" s="1" t="s">
        <v>3278</v>
      </c>
      <c r="L553" s="1" t="s">
        <v>35</v>
      </c>
      <c r="M553" s="15" t="s">
        <v>705</v>
      </c>
      <c r="N553" s="15"/>
      <c r="O553" s="8" t="s">
        <v>410</v>
      </c>
      <c r="P553" s="8" t="s">
        <v>41</v>
      </c>
      <c r="Q553" s="14">
        <v>0</v>
      </c>
      <c r="R553" s="139">
        <v>1000077795</v>
      </c>
      <c r="S553" s="15"/>
      <c r="T553" s="6">
        <v>0</v>
      </c>
      <c r="U553" s="6">
        <v>0</v>
      </c>
      <c r="V553" s="6">
        <v>0</v>
      </c>
      <c r="W553" s="18">
        <f t="shared" si="83"/>
        <v>0</v>
      </c>
      <c r="X553" s="18">
        <f t="shared" si="82"/>
        <v>0</v>
      </c>
      <c r="Y553" s="13">
        <f t="shared" si="77"/>
        <v>0</v>
      </c>
      <c r="Z553" s="14">
        <v>0</v>
      </c>
      <c r="AA553" s="4">
        <v>0</v>
      </c>
      <c r="AB553" s="4">
        <f t="shared" si="78"/>
        <v>0</v>
      </c>
      <c r="AC553" s="6">
        <f t="shared" si="79"/>
        <v>0</v>
      </c>
      <c r="AD553" s="18">
        <f t="shared" si="75"/>
        <v>0</v>
      </c>
      <c r="AE553" s="2">
        <v>7.0000000000000007E-2</v>
      </c>
      <c r="AF553" s="5">
        <f t="shared" si="80"/>
        <v>0</v>
      </c>
      <c r="AG553" s="14">
        <v>0</v>
      </c>
      <c r="AH553" s="10">
        <f t="shared" si="76"/>
        <v>0</v>
      </c>
      <c r="AI553" s="16"/>
      <c r="AJ553" s="126" t="e">
        <v>#N/A</v>
      </c>
      <c r="AK553" s="80">
        <f t="shared" si="81"/>
        <v>0</v>
      </c>
      <c r="AM553" s="85"/>
    </row>
    <row r="554" spans="1:39" hidden="1" x14ac:dyDescent="0.3">
      <c r="A554" s="85" t="s">
        <v>34</v>
      </c>
      <c r="B554" s="15" t="s">
        <v>35</v>
      </c>
      <c r="C554" s="15" t="s">
        <v>36</v>
      </c>
      <c r="D554" s="15" t="s">
        <v>224</v>
      </c>
      <c r="E554" s="15" t="s">
        <v>428</v>
      </c>
      <c r="F554" s="15" t="s">
        <v>428</v>
      </c>
      <c r="G554" s="15" t="s">
        <v>428</v>
      </c>
      <c r="H554" s="154"/>
      <c r="I554" s="15" t="s">
        <v>408</v>
      </c>
      <c r="J554" s="1" t="s">
        <v>3324</v>
      </c>
      <c r="K554" s="1" t="s">
        <v>3278</v>
      </c>
      <c r="L554" s="1" t="s">
        <v>35</v>
      </c>
      <c r="M554" s="15" t="s">
        <v>429</v>
      </c>
      <c r="N554" s="15"/>
      <c r="O554" s="8" t="s">
        <v>410</v>
      </c>
      <c r="P554" s="8" t="s">
        <v>46</v>
      </c>
      <c r="Q554" s="9">
        <v>0.04</v>
      </c>
      <c r="R554" s="139">
        <v>1000094551</v>
      </c>
      <c r="S554" s="15"/>
      <c r="T554" s="18">
        <v>3064.4600000000019</v>
      </c>
      <c r="U554" s="4">
        <v>0</v>
      </c>
      <c r="V554" s="18">
        <v>3064.4600000000019</v>
      </c>
      <c r="W554" s="18">
        <f t="shared" si="83"/>
        <v>0</v>
      </c>
      <c r="X554" s="18">
        <f t="shared" si="82"/>
        <v>2946.5961538461556</v>
      </c>
      <c r="Y554" s="13">
        <f t="shared" si="77"/>
        <v>1269.9995623769789</v>
      </c>
      <c r="Z554" s="14">
        <v>0</v>
      </c>
      <c r="AA554" s="4">
        <v>0</v>
      </c>
      <c r="AB554" s="4">
        <f t="shared" si="78"/>
        <v>2946.5961538461556</v>
      </c>
      <c r="AC554" s="6">
        <f t="shared" si="79"/>
        <v>117.86384615384623</v>
      </c>
      <c r="AD554" s="18">
        <f t="shared" si="75"/>
        <v>1676.5965914691767</v>
      </c>
      <c r="AE554" s="2">
        <v>7.0000000000000007E-2</v>
      </c>
      <c r="AF554" s="5">
        <f t="shared" si="80"/>
        <v>117.36176140284238</v>
      </c>
      <c r="AG554" s="14">
        <v>0</v>
      </c>
      <c r="AH554" s="10">
        <f t="shared" si="76"/>
        <v>3064.4600000000019</v>
      </c>
      <c r="AI554" s="16"/>
      <c r="AJ554" s="126" t="e">
        <v>#N/A</v>
      </c>
      <c r="AK554" s="80">
        <f t="shared" si="81"/>
        <v>0</v>
      </c>
      <c r="AM554" s="85"/>
    </row>
    <row r="555" spans="1:39" hidden="1" x14ac:dyDescent="0.3">
      <c r="A555" s="85" t="s">
        <v>34</v>
      </c>
      <c r="B555" s="15" t="s">
        <v>35</v>
      </c>
      <c r="C555" s="15" t="s">
        <v>36</v>
      </c>
      <c r="D555" s="15" t="s">
        <v>224</v>
      </c>
      <c r="E555" s="15" t="s">
        <v>706</v>
      </c>
      <c r="F555" s="15" t="s">
        <v>706</v>
      </c>
      <c r="G555" s="15" t="s">
        <v>706</v>
      </c>
      <c r="H555" s="139"/>
      <c r="I555" s="15" t="s">
        <v>408</v>
      </c>
      <c r="J555" s="1" t="s">
        <v>3324</v>
      </c>
      <c r="K555" s="1" t="s">
        <v>3278</v>
      </c>
      <c r="L555" s="1" t="s">
        <v>35</v>
      </c>
      <c r="M555" s="15" t="s">
        <v>707</v>
      </c>
      <c r="N555" s="15"/>
      <c r="O555" s="8" t="s">
        <v>410</v>
      </c>
      <c r="P555" s="8" t="s">
        <v>41</v>
      </c>
      <c r="Q555" s="9">
        <v>0</v>
      </c>
      <c r="R555" s="139">
        <v>1000096438</v>
      </c>
      <c r="S555" s="15"/>
      <c r="T555" s="18">
        <v>1441</v>
      </c>
      <c r="U555" s="4">
        <v>0</v>
      </c>
      <c r="V555" s="6">
        <v>0</v>
      </c>
      <c r="W555" s="18">
        <f t="shared" si="83"/>
        <v>1441</v>
      </c>
      <c r="X555" s="18">
        <f t="shared" si="82"/>
        <v>0</v>
      </c>
      <c r="Y555" s="13">
        <f t="shared" si="77"/>
        <v>0</v>
      </c>
      <c r="Z555" s="14">
        <v>0</v>
      </c>
      <c r="AA555" s="4">
        <v>0</v>
      </c>
      <c r="AB555" s="4">
        <f t="shared" si="78"/>
        <v>0</v>
      </c>
      <c r="AC555" s="6">
        <f t="shared" si="79"/>
        <v>0</v>
      </c>
      <c r="AD555" s="18">
        <f t="shared" si="75"/>
        <v>0</v>
      </c>
      <c r="AE555" s="2">
        <v>7.0000000000000007E-2</v>
      </c>
      <c r="AF555" s="5">
        <f t="shared" si="80"/>
        <v>0</v>
      </c>
      <c r="AG555" s="14">
        <v>0</v>
      </c>
      <c r="AH555" s="10">
        <f t="shared" si="76"/>
        <v>0</v>
      </c>
      <c r="AI555" s="16"/>
      <c r="AJ555" s="126" t="e">
        <v>#N/A</v>
      </c>
      <c r="AK555" s="80">
        <f t="shared" si="81"/>
        <v>0</v>
      </c>
      <c r="AM555" s="85"/>
    </row>
    <row r="556" spans="1:39" hidden="1" x14ac:dyDescent="0.3">
      <c r="A556" s="85" t="s">
        <v>34</v>
      </c>
      <c r="B556" s="15" t="s">
        <v>35</v>
      </c>
      <c r="C556" s="15" t="s">
        <v>36</v>
      </c>
      <c r="D556" s="15" t="s">
        <v>37</v>
      </c>
      <c r="E556" s="15" t="s">
        <v>222</v>
      </c>
      <c r="F556" s="15" t="s">
        <v>222</v>
      </c>
      <c r="G556" s="15" t="s">
        <v>222</v>
      </c>
      <c r="H556" s="154"/>
      <c r="I556" s="15" t="s">
        <v>408</v>
      </c>
      <c r="J556" s="1" t="s">
        <v>3324</v>
      </c>
      <c r="K556" s="1" t="s">
        <v>3278</v>
      </c>
      <c r="L556" s="1" t="s">
        <v>35</v>
      </c>
      <c r="M556" s="15" t="s">
        <v>461</v>
      </c>
      <c r="N556" s="15"/>
      <c r="O556" s="8" t="s">
        <v>410</v>
      </c>
      <c r="P556" s="8" t="s">
        <v>46</v>
      </c>
      <c r="Q556" s="9">
        <v>0.02</v>
      </c>
      <c r="R556" s="139">
        <v>1000093110</v>
      </c>
      <c r="S556" s="15"/>
      <c r="T556" s="18">
        <v>31774.409999999974</v>
      </c>
      <c r="U556" s="4">
        <v>0</v>
      </c>
      <c r="V556" s="18">
        <v>31774.409999999974</v>
      </c>
      <c r="W556" s="18">
        <f t="shared" si="83"/>
        <v>0</v>
      </c>
      <c r="X556" s="18">
        <f t="shared" si="82"/>
        <v>31151.382352941149</v>
      </c>
      <c r="Y556" s="13">
        <f t="shared" si="77"/>
        <v>13767.286133070749</v>
      </c>
      <c r="Z556" s="14">
        <v>0</v>
      </c>
      <c r="AA556" s="4">
        <v>0</v>
      </c>
      <c r="AB556" s="4">
        <f t="shared" si="78"/>
        <v>31151.382352941149</v>
      </c>
      <c r="AC556" s="6">
        <f t="shared" si="79"/>
        <v>623.0276470588251</v>
      </c>
      <c r="AD556" s="18">
        <f t="shared" si="75"/>
        <v>17384.0962198704</v>
      </c>
      <c r="AE556" s="2">
        <v>7.0000000000000007E-2</v>
      </c>
      <c r="AF556" s="5">
        <f t="shared" si="80"/>
        <v>1216.8867353909282</v>
      </c>
      <c r="AG556" s="14">
        <v>0</v>
      </c>
      <c r="AH556" s="10">
        <f t="shared" si="76"/>
        <v>31774.409999999974</v>
      </c>
      <c r="AI556" s="16"/>
      <c r="AJ556" s="126" t="e">
        <v>#N/A</v>
      </c>
      <c r="AK556" s="80">
        <f t="shared" si="81"/>
        <v>0</v>
      </c>
      <c r="AM556" s="85"/>
    </row>
    <row r="557" spans="1:39" hidden="1" x14ac:dyDescent="0.3">
      <c r="A557" s="85" t="s">
        <v>34</v>
      </c>
      <c r="B557" s="15" t="s">
        <v>35</v>
      </c>
      <c r="C557" s="15" t="s">
        <v>65</v>
      </c>
      <c r="D557" s="15" t="s">
        <v>66</v>
      </c>
      <c r="E557" s="15" t="s">
        <v>473</v>
      </c>
      <c r="F557" s="15" t="s">
        <v>473</v>
      </c>
      <c r="G557" s="15" t="s">
        <v>473</v>
      </c>
      <c r="H557" s="154"/>
      <c r="I557" s="15" t="s">
        <v>408</v>
      </c>
      <c r="J557" s="1" t="s">
        <v>3324</v>
      </c>
      <c r="K557" s="1" t="s">
        <v>3278</v>
      </c>
      <c r="L557" s="1" t="s">
        <v>35</v>
      </c>
      <c r="M557" s="15" t="s">
        <v>708</v>
      </c>
      <c r="N557" s="15"/>
      <c r="O557" s="8" t="s">
        <v>45</v>
      </c>
      <c r="P557" s="8" t="s">
        <v>41</v>
      </c>
      <c r="Q557" s="9">
        <v>0</v>
      </c>
      <c r="R557" s="139">
        <v>1000096893</v>
      </c>
      <c r="S557" s="15"/>
      <c r="T557" s="18">
        <v>14585.3</v>
      </c>
      <c r="U557" s="4">
        <v>0</v>
      </c>
      <c r="V557" s="6">
        <v>2410.5</v>
      </c>
      <c r="W557" s="18">
        <f t="shared" si="83"/>
        <v>12174.8</v>
      </c>
      <c r="X557" s="18">
        <f t="shared" si="82"/>
        <v>2410.5</v>
      </c>
      <c r="Y557" s="13">
        <f t="shared" si="77"/>
        <v>1091.6914387081417</v>
      </c>
      <c r="Z557" s="14">
        <v>0</v>
      </c>
      <c r="AA557" s="4">
        <v>0</v>
      </c>
      <c r="AB557" s="4">
        <f t="shared" si="78"/>
        <v>2410.5</v>
      </c>
      <c r="AC557" s="6">
        <f t="shared" si="79"/>
        <v>0</v>
      </c>
      <c r="AD557" s="18">
        <f t="shared" si="75"/>
        <v>1318.8085612918583</v>
      </c>
      <c r="AE557" s="2">
        <v>0.12</v>
      </c>
      <c r="AF557" s="5">
        <f t="shared" si="80"/>
        <v>158.25702735502298</v>
      </c>
      <c r="AG557" s="14">
        <v>0</v>
      </c>
      <c r="AH557" s="10">
        <f t="shared" si="76"/>
        <v>2410.5</v>
      </c>
      <c r="AI557" s="16"/>
      <c r="AJ557" s="126" t="e">
        <v>#N/A</v>
      </c>
      <c r="AK557" s="80">
        <f t="shared" si="81"/>
        <v>0</v>
      </c>
      <c r="AM557" s="85"/>
    </row>
    <row r="558" spans="1:39" hidden="1" x14ac:dyDescent="0.3">
      <c r="A558" s="85" t="s">
        <v>34</v>
      </c>
      <c r="B558" s="15" t="s">
        <v>35</v>
      </c>
      <c r="C558" s="15" t="s">
        <v>65</v>
      </c>
      <c r="D558" s="15" t="s">
        <v>66</v>
      </c>
      <c r="E558" s="15" t="s">
        <v>473</v>
      </c>
      <c r="F558" s="15" t="s">
        <v>473</v>
      </c>
      <c r="G558" s="15" t="s">
        <v>473</v>
      </c>
      <c r="H558" s="139"/>
      <c r="I558" s="15" t="s">
        <v>408</v>
      </c>
      <c r="J558" s="1" t="s">
        <v>3324</v>
      </c>
      <c r="K558" s="1" t="s">
        <v>3278</v>
      </c>
      <c r="L558" s="1" t="s">
        <v>35</v>
      </c>
      <c r="M558" s="15" t="s">
        <v>709</v>
      </c>
      <c r="N558" s="15"/>
      <c r="O558" s="8" t="s">
        <v>45</v>
      </c>
      <c r="P558" s="8" t="s">
        <v>41</v>
      </c>
      <c r="Q558" s="9">
        <v>0</v>
      </c>
      <c r="R558" s="139">
        <v>1000096895</v>
      </c>
      <c r="S558" s="15"/>
      <c r="T558" s="18">
        <v>15829.1</v>
      </c>
      <c r="U558" s="4">
        <v>0</v>
      </c>
      <c r="V558" s="6">
        <v>0</v>
      </c>
      <c r="W558" s="18">
        <f t="shared" si="83"/>
        <v>15829.1</v>
      </c>
      <c r="X558" s="18">
        <f t="shared" si="82"/>
        <v>0</v>
      </c>
      <c r="Y558" s="13">
        <f t="shared" si="77"/>
        <v>0</v>
      </c>
      <c r="Z558" s="14">
        <v>0</v>
      </c>
      <c r="AA558" s="4">
        <v>0</v>
      </c>
      <c r="AB558" s="4">
        <f t="shared" si="78"/>
        <v>0</v>
      </c>
      <c r="AC558" s="6">
        <f t="shared" si="79"/>
        <v>0</v>
      </c>
      <c r="AD558" s="18">
        <f t="shared" si="75"/>
        <v>0</v>
      </c>
      <c r="AE558" s="2">
        <v>0.12</v>
      </c>
      <c r="AF558" s="5">
        <f t="shared" si="80"/>
        <v>0</v>
      </c>
      <c r="AG558" s="14">
        <v>0</v>
      </c>
      <c r="AH558" s="10">
        <f t="shared" si="76"/>
        <v>0</v>
      </c>
      <c r="AI558" s="16"/>
      <c r="AJ558" s="126" t="e">
        <v>#N/A</v>
      </c>
      <c r="AK558" s="80">
        <f t="shared" si="81"/>
        <v>0</v>
      </c>
      <c r="AM558" s="85"/>
    </row>
    <row r="559" spans="1:39" hidden="1" x14ac:dyDescent="0.3">
      <c r="A559" s="85" t="s">
        <v>34</v>
      </c>
      <c r="B559" s="15" t="s">
        <v>35</v>
      </c>
      <c r="C559" s="15" t="s">
        <v>65</v>
      </c>
      <c r="D559" s="15" t="s">
        <v>66</v>
      </c>
      <c r="E559" s="15" t="s">
        <v>473</v>
      </c>
      <c r="F559" s="15" t="s">
        <v>473</v>
      </c>
      <c r="G559" s="15" t="s">
        <v>473</v>
      </c>
      <c r="H559" s="139"/>
      <c r="I559" s="15" t="s">
        <v>408</v>
      </c>
      <c r="J559" s="1" t="s">
        <v>3324</v>
      </c>
      <c r="K559" s="1" t="s">
        <v>3278</v>
      </c>
      <c r="L559" s="1" t="s">
        <v>35</v>
      </c>
      <c r="M559" s="15" t="s">
        <v>710</v>
      </c>
      <c r="N559" s="15"/>
      <c r="O559" s="8" t="s">
        <v>45</v>
      </c>
      <c r="P559" s="8" t="s">
        <v>41</v>
      </c>
      <c r="Q559" s="9">
        <v>0</v>
      </c>
      <c r="R559" s="139">
        <v>1000096894</v>
      </c>
      <c r="S559" s="15"/>
      <c r="T559" s="18">
        <v>12759.24</v>
      </c>
      <c r="U559" s="4">
        <v>0</v>
      </c>
      <c r="V559" s="6">
        <v>0</v>
      </c>
      <c r="W559" s="18">
        <f t="shared" si="83"/>
        <v>12759.24</v>
      </c>
      <c r="X559" s="18">
        <f t="shared" si="82"/>
        <v>0</v>
      </c>
      <c r="Y559" s="13">
        <f t="shared" si="77"/>
        <v>0</v>
      </c>
      <c r="Z559" s="14">
        <v>0</v>
      </c>
      <c r="AA559" s="4">
        <v>0</v>
      </c>
      <c r="AB559" s="4">
        <f t="shared" si="78"/>
        <v>0</v>
      </c>
      <c r="AC559" s="6">
        <f t="shared" si="79"/>
        <v>0</v>
      </c>
      <c r="AD559" s="18">
        <f t="shared" si="75"/>
        <v>0</v>
      </c>
      <c r="AE559" s="2">
        <v>0.12</v>
      </c>
      <c r="AF559" s="5">
        <f t="shared" si="80"/>
        <v>0</v>
      </c>
      <c r="AG559" s="14">
        <v>0</v>
      </c>
      <c r="AH559" s="10">
        <f t="shared" si="76"/>
        <v>0</v>
      </c>
      <c r="AI559" s="16"/>
      <c r="AJ559" s="126" t="e">
        <v>#N/A</v>
      </c>
      <c r="AK559" s="80">
        <f t="shared" si="81"/>
        <v>0</v>
      </c>
      <c r="AM559" s="85"/>
    </row>
    <row r="560" spans="1:39" hidden="1" x14ac:dyDescent="0.3">
      <c r="A560" s="85" t="s">
        <v>34</v>
      </c>
      <c r="B560" s="15" t="s">
        <v>35</v>
      </c>
      <c r="C560" s="15" t="s">
        <v>65</v>
      </c>
      <c r="D560" s="15" t="s">
        <v>66</v>
      </c>
      <c r="E560" s="15" t="s">
        <v>473</v>
      </c>
      <c r="F560" s="15" t="s">
        <v>473</v>
      </c>
      <c r="G560" s="15" t="s">
        <v>473</v>
      </c>
      <c r="H560" s="139"/>
      <c r="I560" s="15" t="s">
        <v>408</v>
      </c>
      <c r="J560" s="1" t="s">
        <v>3324</v>
      </c>
      <c r="K560" s="1" t="s">
        <v>3278</v>
      </c>
      <c r="L560" s="1" t="s">
        <v>35</v>
      </c>
      <c r="M560" s="15" t="s">
        <v>711</v>
      </c>
      <c r="N560" s="15"/>
      <c r="O560" s="8" t="s">
        <v>45</v>
      </c>
      <c r="P560" s="8" t="s">
        <v>41</v>
      </c>
      <c r="Q560" s="9">
        <v>0</v>
      </c>
      <c r="R560" s="139">
        <v>1000096896</v>
      </c>
      <c r="S560" s="15"/>
      <c r="T560" s="18">
        <v>12650</v>
      </c>
      <c r="U560" s="4">
        <v>0</v>
      </c>
      <c r="V560" s="6">
        <v>0</v>
      </c>
      <c r="W560" s="18">
        <f t="shared" si="83"/>
        <v>12650</v>
      </c>
      <c r="X560" s="18">
        <f t="shared" si="82"/>
        <v>0</v>
      </c>
      <c r="Y560" s="13">
        <f t="shared" si="77"/>
        <v>0</v>
      </c>
      <c r="Z560" s="14">
        <v>0</v>
      </c>
      <c r="AA560" s="4">
        <v>0</v>
      </c>
      <c r="AB560" s="4">
        <f t="shared" si="78"/>
        <v>0</v>
      </c>
      <c r="AC560" s="6">
        <f t="shared" si="79"/>
        <v>0</v>
      </c>
      <c r="AD560" s="18">
        <f t="shared" si="75"/>
        <v>0</v>
      </c>
      <c r="AE560" s="2">
        <v>0.12</v>
      </c>
      <c r="AF560" s="5">
        <f t="shared" si="80"/>
        <v>0</v>
      </c>
      <c r="AG560" s="14">
        <v>0</v>
      </c>
      <c r="AH560" s="10">
        <f t="shared" si="76"/>
        <v>0</v>
      </c>
      <c r="AI560" s="16"/>
      <c r="AJ560" s="126" t="e">
        <v>#N/A</v>
      </c>
      <c r="AK560" s="80">
        <f t="shared" si="81"/>
        <v>0</v>
      </c>
      <c r="AM560" s="85"/>
    </row>
    <row r="561" spans="1:39" hidden="1" x14ac:dyDescent="0.3">
      <c r="A561" s="85" t="s">
        <v>34</v>
      </c>
      <c r="B561" s="15" t="s">
        <v>35</v>
      </c>
      <c r="C561" s="15" t="s">
        <v>65</v>
      </c>
      <c r="D561" s="15" t="s">
        <v>66</v>
      </c>
      <c r="E561" s="15" t="s">
        <v>473</v>
      </c>
      <c r="F561" s="15" t="s">
        <v>473</v>
      </c>
      <c r="G561" s="15" t="s">
        <v>473</v>
      </c>
      <c r="H561" s="139"/>
      <c r="I561" s="15" t="s">
        <v>408</v>
      </c>
      <c r="J561" s="1" t="s">
        <v>3324</v>
      </c>
      <c r="K561" s="1" t="s">
        <v>3278</v>
      </c>
      <c r="L561" s="1" t="s">
        <v>35</v>
      </c>
      <c r="M561" s="15" t="s">
        <v>712</v>
      </c>
      <c r="N561" s="15"/>
      <c r="O561" s="8" t="s">
        <v>45</v>
      </c>
      <c r="P561" s="8" t="s">
        <v>41</v>
      </c>
      <c r="Q561" s="9">
        <v>0</v>
      </c>
      <c r="R561" s="139">
        <v>1000096897</v>
      </c>
      <c r="S561" s="15"/>
      <c r="T561" s="18">
        <v>14932.1</v>
      </c>
      <c r="U561" s="4">
        <v>0</v>
      </c>
      <c r="V561" s="6">
        <v>0</v>
      </c>
      <c r="W561" s="18">
        <f t="shared" si="83"/>
        <v>14932.1</v>
      </c>
      <c r="X561" s="18">
        <f t="shared" si="82"/>
        <v>0</v>
      </c>
      <c r="Y561" s="13">
        <f t="shared" si="77"/>
        <v>0</v>
      </c>
      <c r="Z561" s="14">
        <v>0</v>
      </c>
      <c r="AA561" s="4">
        <v>0</v>
      </c>
      <c r="AB561" s="4">
        <f t="shared" si="78"/>
        <v>0</v>
      </c>
      <c r="AC561" s="6">
        <f t="shared" si="79"/>
        <v>0</v>
      </c>
      <c r="AD561" s="18">
        <f t="shared" si="75"/>
        <v>0</v>
      </c>
      <c r="AE561" s="2">
        <v>0.12</v>
      </c>
      <c r="AF561" s="5">
        <f t="shared" si="80"/>
        <v>0</v>
      </c>
      <c r="AG561" s="14">
        <v>0</v>
      </c>
      <c r="AH561" s="10">
        <f t="shared" si="76"/>
        <v>0</v>
      </c>
      <c r="AI561" s="16"/>
      <c r="AJ561" s="126" t="e">
        <v>#N/A</v>
      </c>
      <c r="AK561" s="80">
        <f t="shared" si="81"/>
        <v>0</v>
      </c>
      <c r="AM561" s="85"/>
    </row>
    <row r="562" spans="1:39" hidden="1" x14ac:dyDescent="0.3">
      <c r="A562" s="85" t="s">
        <v>34</v>
      </c>
      <c r="B562" s="15" t="s">
        <v>35</v>
      </c>
      <c r="C562" s="15" t="s">
        <v>65</v>
      </c>
      <c r="D562" s="15" t="s">
        <v>66</v>
      </c>
      <c r="E562" s="15" t="s">
        <v>713</v>
      </c>
      <c r="F562" s="15" t="s">
        <v>713</v>
      </c>
      <c r="G562" s="15" t="s">
        <v>713</v>
      </c>
      <c r="H562" s="139"/>
      <c r="I562" s="15" t="s">
        <v>408</v>
      </c>
      <c r="J562" s="1" t="s">
        <v>3324</v>
      </c>
      <c r="K562" s="1" t="s">
        <v>3278</v>
      </c>
      <c r="L562" s="1" t="s">
        <v>35</v>
      </c>
      <c r="M562" s="15" t="s">
        <v>714</v>
      </c>
      <c r="N562" s="15"/>
      <c r="O562" s="8" t="s">
        <v>410</v>
      </c>
      <c r="P562" s="8" t="s">
        <v>46</v>
      </c>
      <c r="Q562" s="9">
        <v>0.02</v>
      </c>
      <c r="R562" s="139">
        <v>1000094337</v>
      </c>
      <c r="S562" s="15"/>
      <c r="T562" s="18">
        <v>10000</v>
      </c>
      <c r="U562" s="4">
        <v>0</v>
      </c>
      <c r="V562" s="6">
        <v>0</v>
      </c>
      <c r="W562" s="18">
        <f t="shared" si="83"/>
        <v>10000</v>
      </c>
      <c r="X562" s="18">
        <f t="shared" si="82"/>
        <v>0</v>
      </c>
      <c r="Y562" s="13">
        <f t="shared" si="77"/>
        <v>0</v>
      </c>
      <c r="Z562" s="14">
        <v>0</v>
      </c>
      <c r="AA562" s="4">
        <v>0</v>
      </c>
      <c r="AB562" s="4">
        <f t="shared" si="78"/>
        <v>0</v>
      </c>
      <c r="AC562" s="6">
        <f t="shared" si="79"/>
        <v>0</v>
      </c>
      <c r="AD562" s="18">
        <f t="shared" si="75"/>
        <v>0</v>
      </c>
      <c r="AE562" s="2">
        <v>7.0000000000000007E-2</v>
      </c>
      <c r="AF562" s="5">
        <f t="shared" si="80"/>
        <v>0</v>
      </c>
      <c r="AG562" s="14">
        <v>0</v>
      </c>
      <c r="AH562" s="10">
        <f t="shared" si="76"/>
        <v>0</v>
      </c>
      <c r="AI562" s="16"/>
      <c r="AJ562" s="126" t="e">
        <v>#N/A</v>
      </c>
      <c r="AK562" s="80">
        <f t="shared" si="81"/>
        <v>0</v>
      </c>
      <c r="AM562" s="85"/>
    </row>
    <row r="563" spans="1:39" hidden="1" x14ac:dyDescent="0.3">
      <c r="A563" s="85" t="s">
        <v>34</v>
      </c>
      <c r="B563" s="15" t="s">
        <v>35</v>
      </c>
      <c r="C563" s="15" t="s">
        <v>65</v>
      </c>
      <c r="D563" s="15" t="s">
        <v>125</v>
      </c>
      <c r="E563" s="15" t="s">
        <v>515</v>
      </c>
      <c r="F563" s="15" t="s">
        <v>515</v>
      </c>
      <c r="G563" s="15" t="s">
        <v>515</v>
      </c>
      <c r="H563" s="154"/>
      <c r="I563" s="15" t="s">
        <v>408</v>
      </c>
      <c r="J563" s="1" t="s">
        <v>3324</v>
      </c>
      <c r="K563" s="1" t="s">
        <v>3278</v>
      </c>
      <c r="L563" s="1" t="s">
        <v>35</v>
      </c>
      <c r="M563" s="15" t="s">
        <v>516</v>
      </c>
      <c r="N563" s="15"/>
      <c r="O563" s="8" t="s">
        <v>410</v>
      </c>
      <c r="P563" s="8" t="s">
        <v>41</v>
      </c>
      <c r="Q563" s="9">
        <v>0</v>
      </c>
      <c r="R563" s="139">
        <v>1000055366</v>
      </c>
      <c r="S563" s="15"/>
      <c r="T563" s="18">
        <v>6014.3199999999961</v>
      </c>
      <c r="U563" s="4">
        <v>0</v>
      </c>
      <c r="V563" s="6">
        <v>5495.2799999999961</v>
      </c>
      <c r="W563" s="18">
        <v>0</v>
      </c>
      <c r="X563" s="18">
        <f t="shared" si="82"/>
        <v>5495.2799999999961</v>
      </c>
      <c r="Y563" s="13">
        <f t="shared" si="77"/>
        <v>2488.7575728289039</v>
      </c>
      <c r="Z563" s="14">
        <v>0</v>
      </c>
      <c r="AA563" s="4">
        <v>0</v>
      </c>
      <c r="AB563" s="4">
        <v>5495.2799999999961</v>
      </c>
      <c r="AC563" s="6">
        <f t="shared" si="79"/>
        <v>0</v>
      </c>
      <c r="AD563" s="18">
        <f t="shared" si="75"/>
        <v>3006.5224271710922</v>
      </c>
      <c r="AE563" s="2">
        <v>7.0000000000000007E-2</v>
      </c>
      <c r="AF563" s="5">
        <f t="shared" si="80"/>
        <v>210.45656990197648</v>
      </c>
      <c r="AG563" s="14">
        <v>0</v>
      </c>
      <c r="AH563" s="10">
        <f t="shared" si="76"/>
        <v>5495.2799999999961</v>
      </c>
      <c r="AI563" s="16"/>
      <c r="AJ563" s="126" t="s">
        <v>4216</v>
      </c>
      <c r="AK563" s="80">
        <f t="shared" si="81"/>
        <v>0</v>
      </c>
      <c r="AM563" s="85"/>
    </row>
    <row r="564" spans="1:39" hidden="1" x14ac:dyDescent="0.3">
      <c r="A564" s="85" t="s">
        <v>34</v>
      </c>
      <c r="B564" s="15" t="s">
        <v>35</v>
      </c>
      <c r="C564" s="15" t="s">
        <v>47</v>
      </c>
      <c r="D564" s="15" t="s">
        <v>63</v>
      </c>
      <c r="E564" s="15" t="s">
        <v>715</v>
      </c>
      <c r="F564" s="15" t="s">
        <v>715</v>
      </c>
      <c r="G564" s="15" t="s">
        <v>715</v>
      </c>
      <c r="H564" s="139"/>
      <c r="I564" s="15" t="s">
        <v>408</v>
      </c>
      <c r="J564" s="1" t="s">
        <v>3324</v>
      </c>
      <c r="K564" s="1" t="s">
        <v>3278</v>
      </c>
      <c r="L564" s="1" t="s">
        <v>35</v>
      </c>
      <c r="M564" s="15" t="s">
        <v>716</v>
      </c>
      <c r="N564" s="15"/>
      <c r="O564" s="8" t="s">
        <v>410</v>
      </c>
      <c r="P564" s="8" t="s">
        <v>41</v>
      </c>
      <c r="Q564" s="9">
        <v>0</v>
      </c>
      <c r="R564" s="139">
        <v>1000016985</v>
      </c>
      <c r="S564" s="15"/>
      <c r="T564" s="18">
        <v>-73667.62</v>
      </c>
      <c r="U564" s="4">
        <v>0</v>
      </c>
      <c r="V564" s="6">
        <v>0</v>
      </c>
      <c r="W564" s="18">
        <f t="shared" si="83"/>
        <v>-73667.62</v>
      </c>
      <c r="X564" s="18">
        <f t="shared" si="82"/>
        <v>0</v>
      </c>
      <c r="Y564" s="13">
        <f t="shared" si="77"/>
        <v>0</v>
      </c>
      <c r="Z564" s="14">
        <v>0</v>
      </c>
      <c r="AA564" s="4">
        <v>0</v>
      </c>
      <c r="AB564" s="4">
        <f t="shared" si="78"/>
        <v>0</v>
      </c>
      <c r="AC564" s="6">
        <f t="shared" si="79"/>
        <v>0</v>
      </c>
      <c r="AD564" s="18">
        <f t="shared" si="75"/>
        <v>0</v>
      </c>
      <c r="AE564" s="2">
        <v>7.0000000000000007E-2</v>
      </c>
      <c r="AF564" s="5">
        <f t="shared" si="80"/>
        <v>0</v>
      </c>
      <c r="AG564" s="14">
        <v>0</v>
      </c>
      <c r="AH564" s="10">
        <f t="shared" si="76"/>
        <v>0</v>
      </c>
      <c r="AI564" s="16"/>
      <c r="AJ564" s="126" t="e">
        <v>#N/A</v>
      </c>
      <c r="AK564" s="80">
        <f t="shared" si="81"/>
        <v>0</v>
      </c>
      <c r="AM564" s="85"/>
    </row>
    <row r="565" spans="1:39" hidden="1" x14ac:dyDescent="0.3">
      <c r="A565" s="85" t="s">
        <v>34</v>
      </c>
      <c r="B565" s="15" t="s">
        <v>35</v>
      </c>
      <c r="C565" s="15" t="s">
        <v>47</v>
      </c>
      <c r="D565" s="15" t="s">
        <v>63</v>
      </c>
      <c r="E565" s="15" t="s">
        <v>715</v>
      </c>
      <c r="F565" s="15" t="s">
        <v>715</v>
      </c>
      <c r="G565" s="15" t="s">
        <v>715</v>
      </c>
      <c r="H565" s="154"/>
      <c r="I565" s="15" t="s">
        <v>408</v>
      </c>
      <c r="J565" s="1" t="s">
        <v>3324</v>
      </c>
      <c r="K565" s="1" t="s">
        <v>3278</v>
      </c>
      <c r="L565" s="1" t="s">
        <v>35</v>
      </c>
      <c r="M565" s="15" t="s">
        <v>717</v>
      </c>
      <c r="N565" s="15"/>
      <c r="O565" s="8" t="s">
        <v>410</v>
      </c>
      <c r="P565" s="8" t="s">
        <v>41</v>
      </c>
      <c r="Q565" s="9">
        <v>0</v>
      </c>
      <c r="R565" s="139">
        <v>1000009254</v>
      </c>
      <c r="S565" s="15"/>
      <c r="T565" s="18">
        <v>-35245.699999999997</v>
      </c>
      <c r="U565" s="4">
        <v>0</v>
      </c>
      <c r="V565" s="18">
        <v>-35245.699999999997</v>
      </c>
      <c r="W565" s="18">
        <f t="shared" si="83"/>
        <v>0</v>
      </c>
      <c r="X565" s="18">
        <f t="shared" si="82"/>
        <v>-35245.699999999997</v>
      </c>
      <c r="Y565" s="13">
        <f t="shared" si="77"/>
        <v>0</v>
      </c>
      <c r="Z565" s="14">
        <v>0</v>
      </c>
      <c r="AA565" s="4">
        <v>0</v>
      </c>
      <c r="AB565" s="4">
        <f t="shared" si="78"/>
        <v>-35245.699999999997</v>
      </c>
      <c r="AC565" s="6">
        <f t="shared" si="79"/>
        <v>0</v>
      </c>
      <c r="AD565" s="18">
        <f t="shared" ref="AD565:AD628" si="84">V565*0.547109961125019</f>
        <v>-19283.273556824079</v>
      </c>
      <c r="AE565" s="2">
        <v>7.0000000000000007E-2</v>
      </c>
      <c r="AF565" s="5">
        <f t="shared" si="80"/>
        <v>-1349.8291489776857</v>
      </c>
      <c r="AG565" s="14">
        <v>0</v>
      </c>
      <c r="AH565" s="10">
        <f t="shared" ref="AH565:AH628" si="85">V565</f>
        <v>-35245.699999999997</v>
      </c>
      <c r="AI565" s="16"/>
      <c r="AJ565" s="126" t="e">
        <v>#N/A</v>
      </c>
      <c r="AK565" s="80">
        <f t="shared" si="81"/>
        <v>0</v>
      </c>
      <c r="AM565" s="85"/>
    </row>
    <row r="566" spans="1:39" hidden="1" x14ac:dyDescent="0.3">
      <c r="A566" s="85" t="s">
        <v>34</v>
      </c>
      <c r="B566" s="15" t="s">
        <v>35</v>
      </c>
      <c r="C566" s="15" t="s">
        <v>47</v>
      </c>
      <c r="D566" s="15" t="s">
        <v>63</v>
      </c>
      <c r="E566" s="15" t="s">
        <v>718</v>
      </c>
      <c r="F566" s="15" t="s">
        <v>718</v>
      </c>
      <c r="G566" s="15" t="s">
        <v>718</v>
      </c>
      <c r="H566" s="154"/>
      <c r="I566" s="15" t="s">
        <v>408</v>
      </c>
      <c r="J566" s="1" t="s">
        <v>3324</v>
      </c>
      <c r="K566" s="1" t="s">
        <v>3278</v>
      </c>
      <c r="L566" s="1" t="s">
        <v>35</v>
      </c>
      <c r="M566" s="15" t="s">
        <v>719</v>
      </c>
      <c r="N566" s="15"/>
      <c r="O566" s="8" t="s">
        <v>410</v>
      </c>
      <c r="P566" s="8" t="s">
        <v>41</v>
      </c>
      <c r="Q566" s="9">
        <v>0</v>
      </c>
      <c r="R566" s="139">
        <v>1000095332</v>
      </c>
      <c r="S566" s="15"/>
      <c r="T566" s="18">
        <v>8894.52</v>
      </c>
      <c r="U566" s="4">
        <v>0</v>
      </c>
      <c r="V566" s="6">
        <v>6450.3199999999988</v>
      </c>
      <c r="W566" s="18">
        <f t="shared" si="83"/>
        <v>2444.2000000000016</v>
      </c>
      <c r="X566" s="18">
        <f t="shared" si="82"/>
        <v>6450.3199999999988</v>
      </c>
      <c r="Y566" s="13">
        <f t="shared" si="77"/>
        <v>2921.285675556067</v>
      </c>
      <c r="Z566" s="14">
        <v>0</v>
      </c>
      <c r="AA566" s="4">
        <v>0</v>
      </c>
      <c r="AB566" s="4">
        <f t="shared" si="78"/>
        <v>6450.3199999999988</v>
      </c>
      <c r="AC566" s="6">
        <f t="shared" si="79"/>
        <v>0</v>
      </c>
      <c r="AD566" s="18">
        <f t="shared" si="84"/>
        <v>3529.0343244439318</v>
      </c>
      <c r="AE566" s="2">
        <v>7.0000000000000007E-2</v>
      </c>
      <c r="AF566" s="5">
        <f t="shared" si="80"/>
        <v>247.03240271107526</v>
      </c>
      <c r="AG566" s="14">
        <v>0</v>
      </c>
      <c r="AH566" s="10">
        <f t="shared" si="85"/>
        <v>6450.3199999999988</v>
      </c>
      <c r="AI566" s="16"/>
      <c r="AJ566" s="126" t="e">
        <v>#N/A</v>
      </c>
      <c r="AK566" s="80">
        <f t="shared" si="81"/>
        <v>0</v>
      </c>
      <c r="AM566" s="85"/>
    </row>
    <row r="567" spans="1:39" hidden="1" x14ac:dyDescent="0.3">
      <c r="A567" s="85" t="s">
        <v>34</v>
      </c>
      <c r="B567" s="15" t="s">
        <v>35</v>
      </c>
      <c r="C567" s="15" t="s">
        <v>144</v>
      </c>
      <c r="D567" s="15" t="s">
        <v>145</v>
      </c>
      <c r="E567" s="15" t="s">
        <v>588</v>
      </c>
      <c r="F567" s="15" t="s">
        <v>588</v>
      </c>
      <c r="G567" s="15" t="s">
        <v>588</v>
      </c>
      <c r="H567" s="154"/>
      <c r="I567" s="15" t="s">
        <v>408</v>
      </c>
      <c r="J567" s="1" t="s">
        <v>3324</v>
      </c>
      <c r="K567" s="1" t="s">
        <v>3278</v>
      </c>
      <c r="L567" s="1" t="s">
        <v>35</v>
      </c>
      <c r="M567" s="15" t="s">
        <v>589</v>
      </c>
      <c r="N567" s="15"/>
      <c r="O567" s="8" t="s">
        <v>410</v>
      </c>
      <c r="P567" s="8" t="s">
        <v>46</v>
      </c>
      <c r="Q567" s="9">
        <v>0.03</v>
      </c>
      <c r="R567" s="139">
        <v>1000085258</v>
      </c>
      <c r="S567" s="15"/>
      <c r="T567" s="18">
        <v>12568.050000000003</v>
      </c>
      <c r="U567" s="4">
        <v>0</v>
      </c>
      <c r="V567" s="18">
        <v>12568.050000000003</v>
      </c>
      <c r="W567" s="18">
        <f t="shared" si="83"/>
        <v>0</v>
      </c>
      <c r="X567" s="18">
        <f t="shared" si="82"/>
        <v>12201.990291262138</v>
      </c>
      <c r="Y567" s="13">
        <f t="shared" si="77"/>
        <v>5325.8849443448416</v>
      </c>
      <c r="Z567" s="14">
        <v>0</v>
      </c>
      <c r="AA567" s="4">
        <v>0</v>
      </c>
      <c r="AB567" s="4">
        <f t="shared" si="78"/>
        <v>12201.990291262138</v>
      </c>
      <c r="AC567" s="6">
        <f t="shared" si="79"/>
        <v>366.05970873786464</v>
      </c>
      <c r="AD567" s="18">
        <f t="shared" si="84"/>
        <v>6876.1053469172966</v>
      </c>
      <c r="AE567" s="2">
        <v>7.0000000000000007E-2</v>
      </c>
      <c r="AF567" s="5">
        <f t="shared" si="80"/>
        <v>481.3273742842108</v>
      </c>
      <c r="AG567" s="14">
        <v>0</v>
      </c>
      <c r="AH567" s="10">
        <f t="shared" si="85"/>
        <v>12568.050000000003</v>
      </c>
      <c r="AI567" s="16"/>
      <c r="AJ567" s="126" t="e">
        <v>#N/A</v>
      </c>
      <c r="AK567" s="80">
        <f t="shared" si="81"/>
        <v>0</v>
      </c>
      <c r="AM567" s="85"/>
    </row>
    <row r="568" spans="1:39" hidden="1" x14ac:dyDescent="0.3">
      <c r="A568" s="85" t="s">
        <v>34</v>
      </c>
      <c r="B568" s="15" t="s">
        <v>35</v>
      </c>
      <c r="C568" s="15" t="s">
        <v>144</v>
      </c>
      <c r="D568" s="15" t="s">
        <v>152</v>
      </c>
      <c r="E568" s="15" t="s">
        <v>720</v>
      </c>
      <c r="F568" s="15" t="s">
        <v>720</v>
      </c>
      <c r="G568" s="15" t="s">
        <v>720</v>
      </c>
      <c r="H568" s="139"/>
      <c r="I568" s="15" t="s">
        <v>408</v>
      </c>
      <c r="J568" s="1" t="s">
        <v>3324</v>
      </c>
      <c r="K568" s="1" t="s">
        <v>3278</v>
      </c>
      <c r="L568" s="1" t="s">
        <v>35</v>
      </c>
      <c r="M568" s="15" t="s">
        <v>721</v>
      </c>
      <c r="N568" s="15"/>
      <c r="O568" s="8" t="s">
        <v>410</v>
      </c>
      <c r="P568" s="8" t="s">
        <v>41</v>
      </c>
      <c r="Q568" s="9">
        <v>0</v>
      </c>
      <c r="R568" s="139">
        <v>1000095034</v>
      </c>
      <c r="S568" s="15"/>
      <c r="T568" s="18">
        <v>30000</v>
      </c>
      <c r="U568" s="4">
        <v>0</v>
      </c>
      <c r="V568" s="6">
        <v>0</v>
      </c>
      <c r="W568" s="18">
        <f t="shared" si="83"/>
        <v>30000</v>
      </c>
      <c r="X568" s="18">
        <f t="shared" si="82"/>
        <v>0</v>
      </c>
      <c r="Y568" s="13">
        <f t="shared" si="77"/>
        <v>0</v>
      </c>
      <c r="Z568" s="14">
        <v>0</v>
      </c>
      <c r="AA568" s="4">
        <v>0</v>
      </c>
      <c r="AB568" s="4">
        <f t="shared" si="78"/>
        <v>0</v>
      </c>
      <c r="AC568" s="6">
        <f t="shared" si="79"/>
        <v>0</v>
      </c>
      <c r="AD568" s="18">
        <f t="shared" si="84"/>
        <v>0</v>
      </c>
      <c r="AE568" s="2">
        <v>7.0000000000000007E-2</v>
      </c>
      <c r="AF568" s="5">
        <f t="shared" si="80"/>
        <v>0</v>
      </c>
      <c r="AG568" s="14">
        <v>0</v>
      </c>
      <c r="AH568" s="10">
        <f t="shared" si="85"/>
        <v>0</v>
      </c>
      <c r="AI568" s="16"/>
      <c r="AJ568" s="126" t="e">
        <v>#N/A</v>
      </c>
      <c r="AK568" s="80">
        <f t="shared" si="81"/>
        <v>0</v>
      </c>
      <c r="AM568" s="85"/>
    </row>
    <row r="569" spans="1:39" hidden="1" x14ac:dyDescent="0.3">
      <c r="A569" s="85" t="s">
        <v>34</v>
      </c>
      <c r="B569" s="15" t="s">
        <v>35</v>
      </c>
      <c r="C569" s="15" t="s">
        <v>144</v>
      </c>
      <c r="D569" s="15" t="s">
        <v>152</v>
      </c>
      <c r="E569" s="15" t="s">
        <v>722</v>
      </c>
      <c r="F569" s="15" t="s">
        <v>722</v>
      </c>
      <c r="G569" s="15" t="s">
        <v>722</v>
      </c>
      <c r="H569" s="139"/>
      <c r="I569" s="15" t="s">
        <v>408</v>
      </c>
      <c r="J569" s="1" t="s">
        <v>3324</v>
      </c>
      <c r="K569" s="1" t="s">
        <v>3278</v>
      </c>
      <c r="L569" s="1" t="s">
        <v>35</v>
      </c>
      <c r="M569" s="15" t="s">
        <v>723</v>
      </c>
      <c r="N569" s="15"/>
      <c r="O569" s="8" t="s">
        <v>410</v>
      </c>
      <c r="P569" s="8" t="s">
        <v>46</v>
      </c>
      <c r="Q569" s="9">
        <v>0.04</v>
      </c>
      <c r="R569" s="139">
        <v>1000095880</v>
      </c>
      <c r="S569" s="15"/>
      <c r="T569" s="18">
        <v>8741.84</v>
      </c>
      <c r="U569" s="4">
        <v>0</v>
      </c>
      <c r="V569" s="6">
        <v>0</v>
      </c>
      <c r="W569" s="18">
        <f t="shared" si="83"/>
        <v>8741.84</v>
      </c>
      <c r="X569" s="18">
        <f t="shared" si="82"/>
        <v>0</v>
      </c>
      <c r="Y569" s="13">
        <f t="shared" si="77"/>
        <v>0</v>
      </c>
      <c r="Z569" s="14">
        <v>0</v>
      </c>
      <c r="AA569" s="4">
        <v>0</v>
      </c>
      <c r="AB569" s="4"/>
      <c r="AC569" s="6">
        <f t="shared" si="79"/>
        <v>0</v>
      </c>
      <c r="AD569" s="18">
        <f t="shared" si="84"/>
        <v>0</v>
      </c>
      <c r="AE569" s="2">
        <v>7.0000000000000007E-2</v>
      </c>
      <c r="AF569" s="5">
        <f t="shared" si="80"/>
        <v>0</v>
      </c>
      <c r="AG569" s="14">
        <v>0</v>
      </c>
      <c r="AH569" s="10">
        <f t="shared" si="85"/>
        <v>0</v>
      </c>
      <c r="AI569" s="16"/>
      <c r="AJ569" s="126">
        <v>112</v>
      </c>
      <c r="AK569" s="80">
        <f t="shared" si="81"/>
        <v>0</v>
      </c>
      <c r="AM569" s="85"/>
    </row>
    <row r="570" spans="1:39" hidden="1" x14ac:dyDescent="0.3">
      <c r="A570" s="85" t="s">
        <v>34</v>
      </c>
      <c r="B570" s="15" t="s">
        <v>35</v>
      </c>
      <c r="C570" s="15" t="s">
        <v>164</v>
      </c>
      <c r="D570" s="15" t="s">
        <v>169</v>
      </c>
      <c r="E570" s="15" t="s">
        <v>724</v>
      </c>
      <c r="F570" s="15" t="s">
        <v>724</v>
      </c>
      <c r="G570" s="15" t="s">
        <v>724</v>
      </c>
      <c r="H570" s="154"/>
      <c r="I570" s="15" t="s">
        <v>408</v>
      </c>
      <c r="J570" s="1" t="s">
        <v>3324</v>
      </c>
      <c r="K570" s="1" t="s">
        <v>3278</v>
      </c>
      <c r="L570" s="1" t="s">
        <v>35</v>
      </c>
      <c r="M570" s="15" t="s">
        <v>725</v>
      </c>
      <c r="N570" s="15"/>
      <c r="O570" s="8" t="s">
        <v>410</v>
      </c>
      <c r="P570" s="8" t="s">
        <v>41</v>
      </c>
      <c r="Q570" s="9">
        <v>0</v>
      </c>
      <c r="R570" s="139">
        <v>1000099112</v>
      </c>
      <c r="S570" s="15"/>
      <c r="T570" s="18">
        <v>200000</v>
      </c>
      <c r="U570" s="4">
        <v>0</v>
      </c>
      <c r="V570" s="6">
        <v>95489.439999999959</v>
      </c>
      <c r="W570" s="18">
        <f t="shared" si="83"/>
        <v>104510.56000000004</v>
      </c>
      <c r="X570" s="18">
        <f t="shared" si="82"/>
        <v>95489.439999999959</v>
      </c>
      <c r="Y570" s="13">
        <f t="shared" si="77"/>
        <v>43246.216193750151</v>
      </c>
      <c r="Z570" s="14">
        <v>0</v>
      </c>
      <c r="AA570" s="4">
        <v>0</v>
      </c>
      <c r="AB570" s="4">
        <f t="shared" si="78"/>
        <v>95489.439999999959</v>
      </c>
      <c r="AC570" s="6">
        <f t="shared" si="79"/>
        <v>0</v>
      </c>
      <c r="AD570" s="18">
        <f t="shared" si="84"/>
        <v>52243.223806249807</v>
      </c>
      <c r="AE570" s="2">
        <v>7.0000000000000007E-2</v>
      </c>
      <c r="AF570" s="5">
        <f t="shared" si="80"/>
        <v>3657.025666437487</v>
      </c>
      <c r="AG570" s="14">
        <v>0</v>
      </c>
      <c r="AH570" s="10">
        <f t="shared" si="85"/>
        <v>95489.439999999959</v>
      </c>
      <c r="AI570" s="16"/>
      <c r="AJ570" s="126" t="e">
        <v>#N/A</v>
      </c>
      <c r="AK570" s="80">
        <f t="shared" si="81"/>
        <v>0</v>
      </c>
      <c r="AM570" s="85"/>
    </row>
    <row r="571" spans="1:39" hidden="1" x14ac:dyDescent="0.3">
      <c r="A571" s="85" t="s">
        <v>34</v>
      </c>
      <c r="B571" s="15" t="s">
        <v>35</v>
      </c>
      <c r="C571" s="15" t="s">
        <v>164</v>
      </c>
      <c r="D571" s="15" t="s">
        <v>174</v>
      </c>
      <c r="E571" s="15" t="s">
        <v>726</v>
      </c>
      <c r="F571" s="15" t="s">
        <v>726</v>
      </c>
      <c r="G571" s="15" t="s">
        <v>726</v>
      </c>
      <c r="H571" s="154"/>
      <c r="I571" s="15" t="s">
        <v>408</v>
      </c>
      <c r="J571" s="1" t="s">
        <v>3324</v>
      </c>
      <c r="K571" s="1" t="s">
        <v>3278</v>
      </c>
      <c r="L571" s="1" t="s">
        <v>35</v>
      </c>
      <c r="M571" s="15" t="s">
        <v>727</v>
      </c>
      <c r="N571" s="15"/>
      <c r="O571" s="8" t="s">
        <v>45</v>
      </c>
      <c r="P571" s="8" t="s">
        <v>41</v>
      </c>
      <c r="Q571" s="9">
        <v>0</v>
      </c>
      <c r="R571" s="139">
        <v>1000091483</v>
      </c>
      <c r="S571" s="15"/>
      <c r="T571" s="18">
        <v>36844.84000000004</v>
      </c>
      <c r="U571" s="4">
        <v>0</v>
      </c>
      <c r="V571" s="6">
        <v>36844.839999999997</v>
      </c>
      <c r="W571" s="18">
        <f t="shared" si="83"/>
        <v>0</v>
      </c>
      <c r="X571" s="18">
        <f t="shared" si="82"/>
        <v>36844.839999999997</v>
      </c>
      <c r="Y571" s="13">
        <f t="shared" si="77"/>
        <v>16686.661019942454</v>
      </c>
      <c r="Z571" s="14">
        <v>0</v>
      </c>
      <c r="AA571" s="4">
        <v>0</v>
      </c>
      <c r="AB571" s="4">
        <f t="shared" si="78"/>
        <v>36844.839999999997</v>
      </c>
      <c r="AC571" s="6">
        <f t="shared" si="79"/>
        <v>0</v>
      </c>
      <c r="AD571" s="18">
        <f t="shared" si="84"/>
        <v>20158.178980057543</v>
      </c>
      <c r="AE571" s="2">
        <v>0.12</v>
      </c>
      <c r="AF571" s="5">
        <f t="shared" si="80"/>
        <v>2418.9814776069052</v>
      </c>
      <c r="AG571" s="14">
        <v>0</v>
      </c>
      <c r="AH571" s="10">
        <f t="shared" si="85"/>
        <v>36844.839999999997</v>
      </c>
      <c r="AI571" s="16"/>
      <c r="AJ571" s="126" t="s">
        <v>4220</v>
      </c>
      <c r="AK571" s="80">
        <f t="shared" si="81"/>
        <v>0</v>
      </c>
      <c r="AL571" s="150"/>
      <c r="AM571" s="85"/>
    </row>
    <row r="572" spans="1:39" hidden="1" x14ac:dyDescent="0.3">
      <c r="A572" s="85" t="s">
        <v>34</v>
      </c>
      <c r="B572" s="15" t="s">
        <v>35</v>
      </c>
      <c r="C572" s="15" t="s">
        <v>164</v>
      </c>
      <c r="D572" s="15" t="s">
        <v>174</v>
      </c>
      <c r="E572" s="15" t="s">
        <v>671</v>
      </c>
      <c r="F572" s="15" t="s">
        <v>671</v>
      </c>
      <c r="G572" s="15" t="s">
        <v>671</v>
      </c>
      <c r="H572" s="139"/>
      <c r="I572" s="15" t="s">
        <v>408</v>
      </c>
      <c r="J572" s="1" t="s">
        <v>3324</v>
      </c>
      <c r="K572" s="1" t="s">
        <v>3278</v>
      </c>
      <c r="L572" s="1" t="s">
        <v>35</v>
      </c>
      <c r="M572" s="15" t="s">
        <v>728</v>
      </c>
      <c r="N572" s="15"/>
      <c r="O572" s="8" t="s">
        <v>410</v>
      </c>
      <c r="P572" s="8" t="s">
        <v>41</v>
      </c>
      <c r="Q572" s="9">
        <v>0</v>
      </c>
      <c r="R572" s="139">
        <v>1000095476</v>
      </c>
      <c r="S572" s="15"/>
      <c r="T572" s="18">
        <v>10000</v>
      </c>
      <c r="U572" s="4">
        <v>0</v>
      </c>
      <c r="V572" s="6">
        <v>0</v>
      </c>
      <c r="W572" s="18">
        <f t="shared" si="83"/>
        <v>10000</v>
      </c>
      <c r="X572" s="18">
        <f t="shared" si="82"/>
        <v>0</v>
      </c>
      <c r="Y572" s="13">
        <f t="shared" si="77"/>
        <v>0</v>
      </c>
      <c r="Z572" s="14">
        <v>0</v>
      </c>
      <c r="AA572" s="4">
        <v>0</v>
      </c>
      <c r="AB572" s="4"/>
      <c r="AC572" s="6">
        <f t="shared" si="79"/>
        <v>0</v>
      </c>
      <c r="AD572" s="18">
        <f t="shared" si="84"/>
        <v>0</v>
      </c>
      <c r="AE572" s="2">
        <v>7.0000000000000007E-2</v>
      </c>
      <c r="AF572" s="5">
        <f t="shared" si="80"/>
        <v>0</v>
      </c>
      <c r="AG572" s="14">
        <v>0</v>
      </c>
      <c r="AH572" s="10">
        <f t="shared" si="85"/>
        <v>0</v>
      </c>
      <c r="AI572" s="16"/>
      <c r="AJ572" s="126">
        <v>109</v>
      </c>
      <c r="AK572" s="80">
        <f t="shared" si="81"/>
        <v>0</v>
      </c>
      <c r="AM572" s="85"/>
    </row>
    <row r="573" spans="1:39" hidden="1" x14ac:dyDescent="0.3">
      <c r="A573" s="85" t="s">
        <v>34</v>
      </c>
      <c r="B573" s="15" t="s">
        <v>35</v>
      </c>
      <c r="C573" s="15" t="s">
        <v>65</v>
      </c>
      <c r="D573" s="15" t="s">
        <v>66</v>
      </c>
      <c r="E573" s="15" t="s">
        <v>470</v>
      </c>
      <c r="F573" s="15" t="s">
        <v>470</v>
      </c>
      <c r="G573" s="15" t="s">
        <v>470</v>
      </c>
      <c r="H573" s="139"/>
      <c r="I573" s="15" t="s">
        <v>408</v>
      </c>
      <c r="J573" s="1" t="s">
        <v>3324</v>
      </c>
      <c r="K573" s="1" t="s">
        <v>3278</v>
      </c>
      <c r="L573" s="1" t="s">
        <v>35</v>
      </c>
      <c r="M573" s="15" t="s">
        <v>471</v>
      </c>
      <c r="N573" s="15"/>
      <c r="O573" s="8" t="s">
        <v>410</v>
      </c>
      <c r="P573" s="8" t="s">
        <v>46</v>
      </c>
      <c r="Q573" s="9">
        <v>0.02</v>
      </c>
      <c r="R573" s="139">
        <v>1000094032</v>
      </c>
      <c r="S573" s="15"/>
      <c r="T573" s="18">
        <v>5000</v>
      </c>
      <c r="U573" s="4">
        <v>0</v>
      </c>
      <c r="V573" s="6">
        <v>0</v>
      </c>
      <c r="W573" s="18">
        <f t="shared" si="83"/>
        <v>5000</v>
      </c>
      <c r="X573" s="18">
        <f t="shared" si="82"/>
        <v>0</v>
      </c>
      <c r="Y573" s="13">
        <f t="shared" si="77"/>
        <v>0</v>
      </c>
      <c r="Z573" s="14">
        <v>0</v>
      </c>
      <c r="AA573" s="4">
        <v>0</v>
      </c>
      <c r="AB573" s="4">
        <f t="shared" si="78"/>
        <v>0</v>
      </c>
      <c r="AC573" s="6">
        <f t="shared" si="79"/>
        <v>0</v>
      </c>
      <c r="AD573" s="18">
        <f t="shared" si="84"/>
        <v>0</v>
      </c>
      <c r="AE573" s="2">
        <v>7.0000000000000007E-2</v>
      </c>
      <c r="AF573" s="5">
        <f t="shared" si="80"/>
        <v>0</v>
      </c>
      <c r="AG573" s="14">
        <v>0</v>
      </c>
      <c r="AH573" s="10">
        <f t="shared" si="85"/>
        <v>0</v>
      </c>
      <c r="AI573" s="16"/>
      <c r="AJ573" s="126" t="e">
        <v>#N/A</v>
      </c>
      <c r="AK573" s="80">
        <f t="shared" si="81"/>
        <v>0</v>
      </c>
      <c r="AM573" s="85"/>
    </row>
    <row r="574" spans="1:39" hidden="1" x14ac:dyDescent="0.3">
      <c r="A574" s="85" t="s">
        <v>34</v>
      </c>
      <c r="B574" s="15" t="s">
        <v>35</v>
      </c>
      <c r="C574" s="15" t="s">
        <v>65</v>
      </c>
      <c r="D574" s="15" t="s">
        <v>66</v>
      </c>
      <c r="E574" s="15" t="s">
        <v>470</v>
      </c>
      <c r="F574" s="15" t="s">
        <v>470</v>
      </c>
      <c r="G574" s="15" t="s">
        <v>470</v>
      </c>
      <c r="H574" s="139"/>
      <c r="I574" s="15" t="s">
        <v>408</v>
      </c>
      <c r="J574" s="1" t="s">
        <v>3324</v>
      </c>
      <c r="K574" s="1" t="s">
        <v>3278</v>
      </c>
      <c r="L574" s="1" t="s">
        <v>35</v>
      </c>
      <c r="M574" s="15" t="s">
        <v>472</v>
      </c>
      <c r="N574" s="15"/>
      <c r="O574" s="8" t="s">
        <v>45</v>
      </c>
      <c r="P574" s="8" t="s">
        <v>46</v>
      </c>
      <c r="Q574" s="9">
        <v>0.04</v>
      </c>
      <c r="R574" s="139">
        <v>1000094031</v>
      </c>
      <c r="S574" s="15"/>
      <c r="T574" s="18">
        <v>5000</v>
      </c>
      <c r="U574" s="4">
        <v>0</v>
      </c>
      <c r="V574" s="6">
        <v>0</v>
      </c>
      <c r="W574" s="18">
        <f t="shared" si="83"/>
        <v>5000</v>
      </c>
      <c r="X574" s="18">
        <f t="shared" si="82"/>
        <v>0</v>
      </c>
      <c r="Y574" s="13">
        <f t="shared" si="77"/>
        <v>0</v>
      </c>
      <c r="Z574" s="14">
        <v>0</v>
      </c>
      <c r="AA574" s="4">
        <v>0</v>
      </c>
      <c r="AB574" s="4">
        <f t="shared" si="78"/>
        <v>0</v>
      </c>
      <c r="AC574" s="6">
        <f t="shared" si="79"/>
        <v>0</v>
      </c>
      <c r="AD574" s="18">
        <f t="shared" si="84"/>
        <v>0</v>
      </c>
      <c r="AE574" s="2">
        <v>0.12</v>
      </c>
      <c r="AF574" s="5">
        <f t="shared" si="80"/>
        <v>0</v>
      </c>
      <c r="AG574" s="14">
        <v>0</v>
      </c>
      <c r="AH574" s="10">
        <f t="shared" si="85"/>
        <v>0</v>
      </c>
      <c r="AI574" s="16"/>
      <c r="AJ574" s="126" t="e">
        <v>#N/A</v>
      </c>
      <c r="AK574" s="80">
        <f t="shared" si="81"/>
        <v>0</v>
      </c>
      <c r="AM574" s="85"/>
    </row>
    <row r="575" spans="1:39" s="15" customFormat="1" hidden="1" x14ac:dyDescent="0.3">
      <c r="A575" s="85" t="s">
        <v>34</v>
      </c>
      <c r="B575" s="15" t="s">
        <v>35</v>
      </c>
      <c r="C575" s="15" t="s">
        <v>65</v>
      </c>
      <c r="D575" s="15" t="s">
        <v>125</v>
      </c>
      <c r="E575" s="15" t="s">
        <v>729</v>
      </c>
      <c r="F575" s="15" t="s">
        <v>729</v>
      </c>
      <c r="G575" s="15" t="s">
        <v>729</v>
      </c>
      <c r="H575" s="154"/>
      <c r="I575" s="15" t="s">
        <v>408</v>
      </c>
      <c r="J575" s="1" t="s">
        <v>3324</v>
      </c>
      <c r="K575" s="1" t="s">
        <v>3278</v>
      </c>
      <c r="L575" s="1" t="s">
        <v>35</v>
      </c>
      <c r="M575" s="15" t="s">
        <v>730</v>
      </c>
      <c r="O575" s="8" t="s">
        <v>410</v>
      </c>
      <c r="P575" s="8" t="s">
        <v>46</v>
      </c>
      <c r="Q575" s="9">
        <v>0.02</v>
      </c>
      <c r="R575" s="139">
        <v>1000079322</v>
      </c>
      <c r="T575" s="18">
        <v>1255.9399999999969</v>
      </c>
      <c r="U575" s="6">
        <v>0</v>
      </c>
      <c r="V575" s="6">
        <v>1255.9400000000003</v>
      </c>
      <c r="W575" s="18">
        <v>0</v>
      </c>
      <c r="X575" s="18">
        <f t="shared" si="82"/>
        <v>1231.3137254901962</v>
      </c>
      <c r="Y575" s="13">
        <f t="shared" si="77"/>
        <v>1133.0874740655327</v>
      </c>
      <c r="Z575" s="14">
        <v>0</v>
      </c>
      <c r="AA575" s="6">
        <v>0</v>
      </c>
      <c r="AB575" s="4">
        <f t="shared" si="78"/>
        <v>1231.3137254901962</v>
      </c>
      <c r="AC575" s="6">
        <f t="shared" si="79"/>
        <v>24.626274509804034</v>
      </c>
      <c r="AD575" s="18">
        <f>(V575+1300.34)*0.547109961125019-1300.34</f>
        <v>98.226251424663587</v>
      </c>
      <c r="AE575" s="2">
        <v>7.0000000000000007E-2</v>
      </c>
      <c r="AF575" s="5">
        <f t="shared" si="80"/>
        <v>6.8758375997264514</v>
      </c>
      <c r="AG575" s="14">
        <v>0</v>
      </c>
      <c r="AH575" s="10">
        <f t="shared" si="85"/>
        <v>1255.9400000000003</v>
      </c>
      <c r="AI575" s="16"/>
      <c r="AJ575" s="126" t="e">
        <v>#N/A</v>
      </c>
      <c r="AK575" s="80">
        <f t="shared" si="81"/>
        <v>0</v>
      </c>
      <c r="AL575" s="85"/>
      <c r="AM575" s="85"/>
    </row>
    <row r="576" spans="1:39" hidden="1" x14ac:dyDescent="0.3">
      <c r="A576" s="85" t="s">
        <v>34</v>
      </c>
      <c r="B576" s="15" t="s">
        <v>35</v>
      </c>
      <c r="C576" s="15" t="s">
        <v>164</v>
      </c>
      <c r="D576" s="15" t="s">
        <v>174</v>
      </c>
      <c r="E576" s="15" t="s">
        <v>731</v>
      </c>
      <c r="F576" s="15" t="s">
        <v>731</v>
      </c>
      <c r="G576" s="15" t="s">
        <v>731</v>
      </c>
      <c r="H576" s="139"/>
      <c r="I576" s="15" t="s">
        <v>408</v>
      </c>
      <c r="J576" s="1" t="s">
        <v>3324</v>
      </c>
      <c r="K576" s="1" t="s">
        <v>3278</v>
      </c>
      <c r="L576" s="1" t="s">
        <v>35</v>
      </c>
      <c r="M576" s="15" t="s">
        <v>732</v>
      </c>
      <c r="N576" s="15"/>
      <c r="O576" s="8" t="s">
        <v>410</v>
      </c>
      <c r="P576" s="8" t="s">
        <v>46</v>
      </c>
      <c r="Q576" s="9">
        <v>0.02</v>
      </c>
      <c r="R576" s="139">
        <v>1000089788</v>
      </c>
      <c r="S576" s="15"/>
      <c r="T576" s="18">
        <v>74.199999999999363</v>
      </c>
      <c r="U576" s="4">
        <v>0</v>
      </c>
      <c r="V576" s="6">
        <v>0</v>
      </c>
      <c r="W576" s="18">
        <f t="shared" si="83"/>
        <v>74.199999999999363</v>
      </c>
      <c r="X576" s="18">
        <f t="shared" si="82"/>
        <v>0</v>
      </c>
      <c r="Y576" s="13">
        <f t="shared" si="77"/>
        <v>0</v>
      </c>
      <c r="Z576" s="14">
        <v>0</v>
      </c>
      <c r="AA576" s="4">
        <v>0</v>
      </c>
      <c r="AB576" s="4">
        <f t="shared" si="78"/>
        <v>0</v>
      </c>
      <c r="AC576" s="6">
        <f t="shared" si="79"/>
        <v>0</v>
      </c>
      <c r="AD576" s="18">
        <f t="shared" si="84"/>
        <v>0</v>
      </c>
      <c r="AE576" s="2">
        <v>7.0000000000000007E-2</v>
      </c>
      <c r="AF576" s="5">
        <f t="shared" si="80"/>
        <v>0</v>
      </c>
      <c r="AG576" s="14">
        <v>0</v>
      </c>
      <c r="AH576" s="10">
        <f t="shared" si="85"/>
        <v>0</v>
      </c>
      <c r="AI576" s="16"/>
      <c r="AJ576" s="126" t="e">
        <v>#N/A</v>
      </c>
      <c r="AK576" s="80">
        <f t="shared" si="81"/>
        <v>0</v>
      </c>
      <c r="AM576" s="85"/>
    </row>
    <row r="577" spans="1:39" hidden="1" x14ac:dyDescent="0.3">
      <c r="A577" s="85" t="s">
        <v>34</v>
      </c>
      <c r="B577" s="15" t="s">
        <v>35</v>
      </c>
      <c r="C577" s="15" t="s">
        <v>53</v>
      </c>
      <c r="D577" s="15" t="s">
        <v>224</v>
      </c>
      <c r="E577" s="15" t="s">
        <v>733</v>
      </c>
      <c r="F577" s="15" t="s">
        <v>733</v>
      </c>
      <c r="G577" s="15" t="s">
        <v>733</v>
      </c>
      <c r="H577" s="139"/>
      <c r="I577" s="15" t="s">
        <v>408</v>
      </c>
      <c r="J577" s="1" t="s">
        <v>3324</v>
      </c>
      <c r="K577" s="1" t="s">
        <v>3278</v>
      </c>
      <c r="L577" s="1" t="s">
        <v>35</v>
      </c>
      <c r="M577" s="15" t="s">
        <v>734</v>
      </c>
      <c r="N577" s="15"/>
      <c r="O577" s="8" t="s">
        <v>45</v>
      </c>
      <c r="P577" s="8" t="s">
        <v>41</v>
      </c>
      <c r="Q577" s="9">
        <v>0</v>
      </c>
      <c r="R577" s="139">
        <v>1000092487</v>
      </c>
      <c r="S577" s="15"/>
      <c r="T577" s="18">
        <v>98000</v>
      </c>
      <c r="U577" s="4">
        <v>0</v>
      </c>
      <c r="V577" s="6">
        <v>0</v>
      </c>
      <c r="W577" s="18">
        <f t="shared" si="83"/>
        <v>98000</v>
      </c>
      <c r="X577" s="18">
        <f t="shared" si="82"/>
        <v>0</v>
      </c>
      <c r="Y577" s="13">
        <f t="shared" si="77"/>
        <v>0</v>
      </c>
      <c r="Z577" s="14">
        <v>0</v>
      </c>
      <c r="AA577" s="4">
        <v>0</v>
      </c>
      <c r="AB577" s="4">
        <f t="shared" si="78"/>
        <v>0</v>
      </c>
      <c r="AC577" s="6">
        <f t="shared" si="79"/>
        <v>0</v>
      </c>
      <c r="AD577" s="18">
        <f t="shared" si="84"/>
        <v>0</v>
      </c>
      <c r="AE577" s="2">
        <v>0.12</v>
      </c>
      <c r="AF577" s="5">
        <f t="shared" si="80"/>
        <v>0</v>
      </c>
      <c r="AG577" s="14">
        <v>0</v>
      </c>
      <c r="AH577" s="10">
        <f t="shared" si="85"/>
        <v>0</v>
      </c>
      <c r="AI577" s="16"/>
      <c r="AJ577" s="126" t="e">
        <v>#N/A</v>
      </c>
      <c r="AK577" s="80">
        <f t="shared" si="81"/>
        <v>0</v>
      </c>
      <c r="AM577" s="85"/>
    </row>
    <row r="578" spans="1:39" hidden="1" x14ac:dyDescent="0.3">
      <c r="A578" s="85" t="s">
        <v>34</v>
      </c>
      <c r="B578" s="15" t="s">
        <v>35</v>
      </c>
      <c r="C578" s="15" t="s">
        <v>59</v>
      </c>
      <c r="D578" s="15" t="s">
        <v>60</v>
      </c>
      <c r="E578" s="15" t="s">
        <v>735</v>
      </c>
      <c r="F578" s="15" t="s">
        <v>735</v>
      </c>
      <c r="G578" s="15" t="s">
        <v>735</v>
      </c>
      <c r="H578" s="139"/>
      <c r="I578" s="15" t="s">
        <v>408</v>
      </c>
      <c r="J578" s="1" t="s">
        <v>3324</v>
      </c>
      <c r="K578" s="1" t="s">
        <v>3278</v>
      </c>
      <c r="L578" s="1" t="s">
        <v>35</v>
      </c>
      <c r="M578" s="15" t="s">
        <v>736</v>
      </c>
      <c r="N578" s="15"/>
      <c r="O578" s="8" t="s">
        <v>45</v>
      </c>
      <c r="P578" s="8" t="s">
        <v>75</v>
      </c>
      <c r="Q578" s="9">
        <v>0.02</v>
      </c>
      <c r="R578" s="139">
        <v>1000090963</v>
      </c>
      <c r="S578" s="15"/>
      <c r="T578" s="18">
        <v>5000</v>
      </c>
      <c r="U578" s="4">
        <v>0</v>
      </c>
      <c r="V578" s="6">
        <v>0</v>
      </c>
      <c r="W578" s="18">
        <f t="shared" si="83"/>
        <v>5000</v>
      </c>
      <c r="X578" s="18">
        <f t="shared" si="82"/>
        <v>0</v>
      </c>
      <c r="Y578" s="13">
        <f t="shared" si="77"/>
        <v>0</v>
      </c>
      <c r="Z578" s="14">
        <v>0</v>
      </c>
      <c r="AA578" s="4">
        <v>0</v>
      </c>
      <c r="AB578" s="4">
        <f t="shared" si="78"/>
        <v>0</v>
      </c>
      <c r="AC578" s="6">
        <f t="shared" si="79"/>
        <v>0</v>
      </c>
      <c r="AD578" s="18">
        <f t="shared" si="84"/>
        <v>0</v>
      </c>
      <c r="AE578" s="2">
        <v>0.12</v>
      </c>
      <c r="AF578" s="5">
        <f t="shared" si="80"/>
        <v>0</v>
      </c>
      <c r="AG578" s="14">
        <v>0</v>
      </c>
      <c r="AH578" s="10">
        <f t="shared" si="85"/>
        <v>0</v>
      </c>
      <c r="AI578" s="16"/>
      <c r="AJ578" s="126" t="e">
        <v>#N/A</v>
      </c>
      <c r="AK578" s="80">
        <f t="shared" si="81"/>
        <v>0</v>
      </c>
      <c r="AM578" s="85"/>
    </row>
    <row r="579" spans="1:39" hidden="1" x14ac:dyDescent="0.3">
      <c r="A579" s="85" t="s">
        <v>34</v>
      </c>
      <c r="B579" s="15" t="s">
        <v>35</v>
      </c>
      <c r="C579" s="15" t="s">
        <v>47</v>
      </c>
      <c r="D579" s="15" t="s">
        <v>63</v>
      </c>
      <c r="E579" s="15" t="s">
        <v>737</v>
      </c>
      <c r="F579" s="15" t="s">
        <v>737</v>
      </c>
      <c r="G579" s="15" t="s">
        <v>737</v>
      </c>
      <c r="H579" s="154"/>
      <c r="I579" s="15" t="s">
        <v>408</v>
      </c>
      <c r="J579" s="1" t="s">
        <v>3324</v>
      </c>
      <c r="K579" s="1" t="s">
        <v>3278</v>
      </c>
      <c r="L579" s="1" t="s">
        <v>35</v>
      </c>
      <c r="M579" s="15" t="s">
        <v>738</v>
      </c>
      <c r="N579" s="15"/>
      <c r="O579" s="8" t="s">
        <v>410</v>
      </c>
      <c r="P579" s="8" t="s">
        <v>41</v>
      </c>
      <c r="Q579" s="9">
        <v>0</v>
      </c>
      <c r="R579" s="139">
        <v>1000070524</v>
      </c>
      <c r="S579" s="15"/>
      <c r="T579" s="18">
        <v>2530.2600000000011</v>
      </c>
      <c r="U579" s="4">
        <v>0</v>
      </c>
      <c r="V579" s="6">
        <v>604.05999999999995</v>
      </c>
      <c r="W579" s="18">
        <f t="shared" si="83"/>
        <v>1926.2000000000012</v>
      </c>
      <c r="X579" s="18">
        <f t="shared" si="82"/>
        <v>604.05999999999995</v>
      </c>
      <c r="Y579" s="13">
        <f t="shared" ref="Y579:Y642" si="86">IF(X579-AD579&lt;=0,0,IF(P579="返现",MAX(X579-AC579-AD579,0),MAX(X579-AD579)))</f>
        <v>273.57275688282101</v>
      </c>
      <c r="Z579" s="14">
        <v>0</v>
      </c>
      <c r="AA579" s="4">
        <v>0</v>
      </c>
      <c r="AB579" s="4">
        <f t="shared" ref="AB579:AB642" si="87">X579+AA579</f>
        <v>604.05999999999995</v>
      </c>
      <c r="AC579" s="6">
        <f t="shared" ref="AC579:AC642" si="88">IF(P579="返现",X579*Q579,V579-X579)</f>
        <v>0</v>
      </c>
      <c r="AD579" s="18">
        <f t="shared" si="84"/>
        <v>330.48724311717893</v>
      </c>
      <c r="AE579" s="2">
        <v>7.0000000000000007E-2</v>
      </c>
      <c r="AF579" s="5">
        <f t="shared" ref="AF579:AF642" si="89">AD579*AE579</f>
        <v>23.134107018202528</v>
      </c>
      <c r="AG579" s="14">
        <v>0</v>
      </c>
      <c r="AH579" s="10">
        <f t="shared" si="85"/>
        <v>604.05999999999995</v>
      </c>
      <c r="AI579" s="16"/>
      <c r="AJ579" s="126" t="e">
        <v>#N/A</v>
      </c>
      <c r="AK579" s="80">
        <f t="shared" ref="AK579:AK642" si="90">X579+AA579-AB579</f>
        <v>0</v>
      </c>
      <c r="AM579" s="85"/>
    </row>
    <row r="580" spans="1:39" hidden="1" x14ac:dyDescent="0.3">
      <c r="A580" s="85" t="s">
        <v>34</v>
      </c>
      <c r="B580" s="15" t="s">
        <v>35</v>
      </c>
      <c r="C580" s="15" t="s">
        <v>164</v>
      </c>
      <c r="D580" s="15" t="s">
        <v>174</v>
      </c>
      <c r="E580" s="15" t="s">
        <v>739</v>
      </c>
      <c r="F580" s="15" t="s">
        <v>739</v>
      </c>
      <c r="G580" s="15" t="s">
        <v>739</v>
      </c>
      <c r="H580" s="154"/>
      <c r="I580" s="15" t="s">
        <v>408</v>
      </c>
      <c r="J580" s="1" t="s">
        <v>3324</v>
      </c>
      <c r="K580" s="1" t="s">
        <v>3278</v>
      </c>
      <c r="L580" s="1" t="s">
        <v>35</v>
      </c>
      <c r="M580" s="15" t="s">
        <v>409</v>
      </c>
      <c r="N580" s="15"/>
      <c r="O580" s="8" t="s">
        <v>410</v>
      </c>
      <c r="P580" s="8" t="s">
        <v>46</v>
      </c>
      <c r="Q580" s="9">
        <v>0.02</v>
      </c>
      <c r="R580" s="139">
        <v>1000083622</v>
      </c>
      <c r="S580" s="15"/>
      <c r="T580" s="18">
        <v>40799.029999999992</v>
      </c>
      <c r="U580" s="4">
        <v>0</v>
      </c>
      <c r="V580" s="18">
        <v>40799.029999999992</v>
      </c>
      <c r="W580" s="18">
        <f t="shared" si="83"/>
        <v>0</v>
      </c>
      <c r="X580" s="18">
        <f t="shared" si="82"/>
        <v>39999.049019607832</v>
      </c>
      <c r="Y580" s="13">
        <f t="shared" si="86"/>
        <v>17677.493302369352</v>
      </c>
      <c r="Z580" s="14">
        <v>0</v>
      </c>
      <c r="AA580" s="4">
        <v>0</v>
      </c>
      <c r="AB580" s="4">
        <f t="shared" si="87"/>
        <v>39999.049019607832</v>
      </c>
      <c r="AC580" s="6">
        <f t="shared" si="88"/>
        <v>799.98098039215984</v>
      </c>
      <c r="AD580" s="18">
        <f t="shared" si="84"/>
        <v>22321.55571723848</v>
      </c>
      <c r="AE580" s="2">
        <v>7.0000000000000007E-2</v>
      </c>
      <c r="AF580" s="5">
        <f t="shared" si="89"/>
        <v>1562.5089002066936</v>
      </c>
      <c r="AG580" s="14">
        <v>0</v>
      </c>
      <c r="AH580" s="10">
        <f t="shared" si="85"/>
        <v>40799.029999999992</v>
      </c>
      <c r="AI580" s="16"/>
      <c r="AJ580" s="126" t="e">
        <v>#N/A</v>
      </c>
      <c r="AK580" s="80">
        <f t="shared" si="90"/>
        <v>0</v>
      </c>
      <c r="AM580" s="85"/>
    </row>
    <row r="581" spans="1:39" hidden="1" x14ac:dyDescent="0.3">
      <c r="A581" s="85" t="s">
        <v>34</v>
      </c>
      <c r="B581" s="15" t="s">
        <v>35</v>
      </c>
      <c r="C581" s="15" t="s">
        <v>144</v>
      </c>
      <c r="D581" s="15" t="s">
        <v>152</v>
      </c>
      <c r="E581" s="15" t="s">
        <v>740</v>
      </c>
      <c r="F581" s="15" t="s">
        <v>740</v>
      </c>
      <c r="G581" s="15" t="s">
        <v>740</v>
      </c>
      <c r="H581" s="139"/>
      <c r="I581" s="15" t="s">
        <v>408</v>
      </c>
      <c r="J581" s="1" t="s">
        <v>3324</v>
      </c>
      <c r="K581" s="1" t="s">
        <v>3278</v>
      </c>
      <c r="L581" s="1" t="s">
        <v>35</v>
      </c>
      <c r="M581" s="15" t="s">
        <v>741</v>
      </c>
      <c r="N581" s="15"/>
      <c r="O581" s="8" t="s">
        <v>45</v>
      </c>
      <c r="P581" s="8" t="s">
        <v>46</v>
      </c>
      <c r="Q581" s="9">
        <v>0.04</v>
      </c>
      <c r="R581" s="139">
        <v>1000087202</v>
      </c>
      <c r="S581" s="15"/>
      <c r="T581" s="18">
        <v>9834.090000000002</v>
      </c>
      <c r="U581" s="4">
        <v>0</v>
      </c>
      <c r="V581" s="6">
        <v>0</v>
      </c>
      <c r="W581" s="18">
        <f t="shared" si="83"/>
        <v>9834.090000000002</v>
      </c>
      <c r="X581" s="18">
        <f t="shared" si="82"/>
        <v>0</v>
      </c>
      <c r="Y581" s="13">
        <f t="shared" si="86"/>
        <v>0</v>
      </c>
      <c r="Z581" s="14">
        <v>0</v>
      </c>
      <c r="AA581" s="4">
        <v>0</v>
      </c>
      <c r="AB581" s="4">
        <f t="shared" si="87"/>
        <v>0</v>
      </c>
      <c r="AC581" s="6">
        <f t="shared" si="88"/>
        <v>0</v>
      </c>
      <c r="AD581" s="18">
        <f t="shared" si="84"/>
        <v>0</v>
      </c>
      <c r="AE581" s="2">
        <v>0.12</v>
      </c>
      <c r="AF581" s="5">
        <f t="shared" si="89"/>
        <v>0</v>
      </c>
      <c r="AG581" s="14">
        <v>0</v>
      </c>
      <c r="AH581" s="10">
        <f t="shared" si="85"/>
        <v>0</v>
      </c>
      <c r="AI581" s="16"/>
      <c r="AJ581" s="126" t="e">
        <v>#N/A</v>
      </c>
      <c r="AK581" s="80">
        <f t="shared" si="90"/>
        <v>0</v>
      </c>
      <c r="AM581" s="85"/>
    </row>
    <row r="582" spans="1:39" hidden="1" x14ac:dyDescent="0.3">
      <c r="A582" s="85" t="s">
        <v>34</v>
      </c>
      <c r="B582" s="15" t="s">
        <v>35</v>
      </c>
      <c r="C582" s="15" t="s">
        <v>53</v>
      </c>
      <c r="D582" s="15" t="s">
        <v>54</v>
      </c>
      <c r="E582" s="15" t="s">
        <v>742</v>
      </c>
      <c r="F582" s="15" t="s">
        <v>742</v>
      </c>
      <c r="G582" s="15" t="s">
        <v>742</v>
      </c>
      <c r="H582" s="139"/>
      <c r="I582" s="15" t="s">
        <v>408</v>
      </c>
      <c r="J582" s="1" t="s">
        <v>3324</v>
      </c>
      <c r="K582" s="1" t="s">
        <v>3278</v>
      </c>
      <c r="L582" s="1" t="s">
        <v>35</v>
      </c>
      <c r="M582" s="15" t="s">
        <v>743</v>
      </c>
      <c r="N582" s="15"/>
      <c r="O582" s="8" t="s">
        <v>45</v>
      </c>
      <c r="P582" s="8" t="s">
        <v>41</v>
      </c>
      <c r="Q582" s="9">
        <v>0</v>
      </c>
      <c r="R582" s="139">
        <v>1000084758</v>
      </c>
      <c r="S582" s="15"/>
      <c r="T582" s="18">
        <v>512</v>
      </c>
      <c r="U582" s="4">
        <v>0</v>
      </c>
      <c r="V582" s="6">
        <v>0</v>
      </c>
      <c r="W582" s="18">
        <f t="shared" si="83"/>
        <v>512</v>
      </c>
      <c r="X582" s="18">
        <f t="shared" si="82"/>
        <v>0</v>
      </c>
      <c r="Y582" s="13">
        <f t="shared" si="86"/>
        <v>0</v>
      </c>
      <c r="Z582" s="14">
        <v>0</v>
      </c>
      <c r="AA582" s="4">
        <v>0</v>
      </c>
      <c r="AB582" s="4">
        <f t="shared" si="87"/>
        <v>0</v>
      </c>
      <c r="AC582" s="6">
        <f t="shared" si="88"/>
        <v>0</v>
      </c>
      <c r="AD582" s="18">
        <f t="shared" si="84"/>
        <v>0</v>
      </c>
      <c r="AE582" s="2">
        <v>0.12</v>
      </c>
      <c r="AF582" s="5">
        <f t="shared" si="89"/>
        <v>0</v>
      </c>
      <c r="AG582" s="14">
        <v>0</v>
      </c>
      <c r="AH582" s="10">
        <f t="shared" si="85"/>
        <v>0</v>
      </c>
      <c r="AI582" s="16"/>
      <c r="AJ582" s="126" t="e">
        <v>#N/A</v>
      </c>
      <c r="AK582" s="80">
        <f t="shared" si="90"/>
        <v>0</v>
      </c>
      <c r="AM582" s="85"/>
    </row>
    <row r="583" spans="1:39" hidden="1" x14ac:dyDescent="0.3">
      <c r="A583" s="85" t="s">
        <v>34</v>
      </c>
      <c r="B583" s="15" t="s">
        <v>35</v>
      </c>
      <c r="C583" s="15" t="s">
        <v>295</v>
      </c>
      <c r="D583" s="15" t="s">
        <v>744</v>
      </c>
      <c r="E583" s="15" t="s">
        <v>745</v>
      </c>
      <c r="F583" s="15" t="s">
        <v>745</v>
      </c>
      <c r="G583" s="15" t="s">
        <v>745</v>
      </c>
      <c r="H583" s="139"/>
      <c r="I583" s="15" t="s">
        <v>408</v>
      </c>
      <c r="J583" s="1" t="s">
        <v>3324</v>
      </c>
      <c r="K583" s="1" t="s">
        <v>3278</v>
      </c>
      <c r="L583" s="1" t="s">
        <v>35</v>
      </c>
      <c r="M583" s="15" t="s">
        <v>746</v>
      </c>
      <c r="N583" s="15"/>
      <c r="O583" s="8" t="s">
        <v>45</v>
      </c>
      <c r="P583" s="8" t="s">
        <v>75</v>
      </c>
      <c r="Q583" s="9">
        <v>0.1666</v>
      </c>
      <c r="R583" s="139">
        <v>1000022097</v>
      </c>
      <c r="S583" s="15"/>
      <c r="T583" s="18">
        <v>0.22</v>
      </c>
      <c r="U583" s="4">
        <v>0</v>
      </c>
      <c r="V583" s="6">
        <v>0</v>
      </c>
      <c r="W583" s="18">
        <f t="shared" si="83"/>
        <v>0.22</v>
      </c>
      <c r="X583" s="18">
        <f t="shared" si="82"/>
        <v>0</v>
      </c>
      <c r="Y583" s="13">
        <f t="shared" si="86"/>
        <v>0</v>
      </c>
      <c r="Z583" s="14">
        <v>0</v>
      </c>
      <c r="AA583" s="4">
        <v>0</v>
      </c>
      <c r="AB583" s="4"/>
      <c r="AC583" s="6">
        <f t="shared" si="88"/>
        <v>0</v>
      </c>
      <c r="AD583" s="18">
        <f t="shared" si="84"/>
        <v>0</v>
      </c>
      <c r="AE583" s="2">
        <v>0.12</v>
      </c>
      <c r="AF583" s="5">
        <f t="shared" si="89"/>
        <v>0</v>
      </c>
      <c r="AG583" s="14">
        <v>0</v>
      </c>
      <c r="AH583" s="10">
        <f t="shared" si="85"/>
        <v>0</v>
      </c>
      <c r="AI583" s="16"/>
      <c r="AJ583" s="126">
        <v>71</v>
      </c>
      <c r="AK583" s="80">
        <f t="shared" si="90"/>
        <v>0</v>
      </c>
      <c r="AM583" s="85"/>
    </row>
    <row r="584" spans="1:39" hidden="1" x14ac:dyDescent="0.3">
      <c r="A584" s="85" t="s">
        <v>34</v>
      </c>
      <c r="B584" s="15" t="s">
        <v>35</v>
      </c>
      <c r="C584" s="15" t="s">
        <v>295</v>
      </c>
      <c r="D584" s="15" t="s">
        <v>744</v>
      </c>
      <c r="E584" s="15" t="s">
        <v>745</v>
      </c>
      <c r="F584" s="15" t="s">
        <v>745</v>
      </c>
      <c r="G584" s="15" t="s">
        <v>745</v>
      </c>
      <c r="H584" s="139"/>
      <c r="I584" s="15" t="s">
        <v>408</v>
      </c>
      <c r="J584" s="1" t="s">
        <v>3324</v>
      </c>
      <c r="K584" s="1" t="s">
        <v>3278</v>
      </c>
      <c r="L584" s="1" t="s">
        <v>35</v>
      </c>
      <c r="M584" s="15" t="s">
        <v>747</v>
      </c>
      <c r="N584" s="15"/>
      <c r="O584" s="8" t="s">
        <v>45</v>
      </c>
      <c r="P584" s="8" t="s">
        <v>75</v>
      </c>
      <c r="Q584" s="9">
        <v>0.1666</v>
      </c>
      <c r="R584" s="139">
        <v>1000022096</v>
      </c>
      <c r="S584" s="15"/>
      <c r="T584" s="18">
        <v>0.94</v>
      </c>
      <c r="U584" s="4">
        <v>0</v>
      </c>
      <c r="V584" s="6">
        <v>0</v>
      </c>
      <c r="W584" s="18">
        <f t="shared" si="83"/>
        <v>0.94</v>
      </c>
      <c r="X584" s="18">
        <f t="shared" si="82"/>
        <v>0</v>
      </c>
      <c r="Y584" s="13">
        <f t="shared" si="86"/>
        <v>0</v>
      </c>
      <c r="Z584" s="14">
        <v>0</v>
      </c>
      <c r="AA584" s="4">
        <v>0</v>
      </c>
      <c r="AB584" s="4"/>
      <c r="AC584" s="6">
        <f t="shared" si="88"/>
        <v>0</v>
      </c>
      <c r="AD584" s="18">
        <f t="shared" si="84"/>
        <v>0</v>
      </c>
      <c r="AE584" s="2">
        <v>0.12</v>
      </c>
      <c r="AF584" s="5">
        <f t="shared" si="89"/>
        <v>0</v>
      </c>
      <c r="AG584" s="14">
        <v>0</v>
      </c>
      <c r="AH584" s="10">
        <f t="shared" si="85"/>
        <v>0</v>
      </c>
      <c r="AI584" s="16"/>
      <c r="AJ584" s="126">
        <v>71</v>
      </c>
      <c r="AK584" s="80">
        <f t="shared" si="90"/>
        <v>0</v>
      </c>
      <c r="AM584" s="85"/>
    </row>
    <row r="585" spans="1:39" hidden="1" x14ac:dyDescent="0.3">
      <c r="A585" s="85" t="s">
        <v>34</v>
      </c>
      <c r="B585" s="15" t="s">
        <v>35</v>
      </c>
      <c r="C585" s="15" t="s">
        <v>295</v>
      </c>
      <c r="D585" s="15" t="s">
        <v>744</v>
      </c>
      <c r="E585" s="15" t="s">
        <v>745</v>
      </c>
      <c r="F585" s="15" t="s">
        <v>745</v>
      </c>
      <c r="G585" s="15" t="s">
        <v>745</v>
      </c>
      <c r="H585" s="139"/>
      <c r="I585" s="15" t="s">
        <v>408</v>
      </c>
      <c r="J585" s="1" t="s">
        <v>3324</v>
      </c>
      <c r="K585" s="1" t="s">
        <v>3278</v>
      </c>
      <c r="L585" s="1" t="s">
        <v>35</v>
      </c>
      <c r="M585" s="15" t="s">
        <v>748</v>
      </c>
      <c r="N585" s="15"/>
      <c r="O585" s="8" t="s">
        <v>45</v>
      </c>
      <c r="P585" s="8" t="s">
        <v>75</v>
      </c>
      <c r="Q585" s="9">
        <v>0.1666</v>
      </c>
      <c r="R585" s="139">
        <v>1000021199</v>
      </c>
      <c r="S585" s="15"/>
      <c r="T585" s="18">
        <v>0.43</v>
      </c>
      <c r="U585" s="4">
        <v>0</v>
      </c>
      <c r="V585" s="6">
        <v>0</v>
      </c>
      <c r="W585" s="18">
        <f t="shared" si="83"/>
        <v>0.43</v>
      </c>
      <c r="X585" s="18">
        <f t="shared" si="82"/>
        <v>0</v>
      </c>
      <c r="Y585" s="13">
        <f t="shared" si="86"/>
        <v>0</v>
      </c>
      <c r="Z585" s="14">
        <v>0</v>
      </c>
      <c r="AA585" s="4">
        <v>0</v>
      </c>
      <c r="AB585" s="4"/>
      <c r="AC585" s="6">
        <f t="shared" si="88"/>
        <v>0</v>
      </c>
      <c r="AD585" s="18">
        <f t="shared" si="84"/>
        <v>0</v>
      </c>
      <c r="AE585" s="2">
        <v>0.12</v>
      </c>
      <c r="AF585" s="5">
        <f t="shared" si="89"/>
        <v>0</v>
      </c>
      <c r="AG585" s="14">
        <v>0</v>
      </c>
      <c r="AH585" s="10">
        <f t="shared" si="85"/>
        <v>0</v>
      </c>
      <c r="AI585" s="16"/>
      <c r="AJ585" s="126">
        <v>71</v>
      </c>
      <c r="AK585" s="80">
        <f t="shared" si="90"/>
        <v>0</v>
      </c>
      <c r="AM585" s="85"/>
    </row>
    <row r="586" spans="1:39" hidden="1" x14ac:dyDescent="0.3">
      <c r="A586" s="85" t="s">
        <v>34</v>
      </c>
      <c r="B586" s="15" t="s">
        <v>35</v>
      </c>
      <c r="C586" s="15" t="s">
        <v>295</v>
      </c>
      <c r="D586" s="15" t="s">
        <v>744</v>
      </c>
      <c r="E586" s="15" t="s">
        <v>745</v>
      </c>
      <c r="F586" s="15" t="s">
        <v>745</v>
      </c>
      <c r="G586" s="15" t="s">
        <v>745</v>
      </c>
      <c r="H586" s="139"/>
      <c r="I586" s="15" t="s">
        <v>408</v>
      </c>
      <c r="J586" s="1" t="s">
        <v>3324</v>
      </c>
      <c r="K586" s="1" t="s">
        <v>3278</v>
      </c>
      <c r="L586" s="1" t="s">
        <v>35</v>
      </c>
      <c r="M586" s="15" t="s">
        <v>749</v>
      </c>
      <c r="N586" s="15"/>
      <c r="O586" s="8" t="s">
        <v>45</v>
      </c>
      <c r="P586" s="8" t="s">
        <v>75</v>
      </c>
      <c r="Q586" s="9">
        <v>0.1666</v>
      </c>
      <c r="R586" s="139">
        <v>1000021181</v>
      </c>
      <c r="S586" s="15"/>
      <c r="T586" s="18">
        <v>0.24</v>
      </c>
      <c r="U586" s="4">
        <v>0</v>
      </c>
      <c r="V586" s="6">
        <v>0</v>
      </c>
      <c r="W586" s="18">
        <f t="shared" si="83"/>
        <v>0.24</v>
      </c>
      <c r="X586" s="18">
        <f t="shared" si="82"/>
        <v>0</v>
      </c>
      <c r="Y586" s="13">
        <f t="shared" si="86"/>
        <v>0</v>
      </c>
      <c r="Z586" s="14">
        <v>0</v>
      </c>
      <c r="AA586" s="4">
        <v>0</v>
      </c>
      <c r="AB586" s="4"/>
      <c r="AC586" s="6">
        <f t="shared" si="88"/>
        <v>0</v>
      </c>
      <c r="AD586" s="18">
        <f t="shared" si="84"/>
        <v>0</v>
      </c>
      <c r="AE586" s="2">
        <v>0.12</v>
      </c>
      <c r="AF586" s="5">
        <f t="shared" si="89"/>
        <v>0</v>
      </c>
      <c r="AG586" s="14">
        <v>0</v>
      </c>
      <c r="AH586" s="10">
        <f t="shared" si="85"/>
        <v>0</v>
      </c>
      <c r="AI586" s="16"/>
      <c r="AJ586" s="126">
        <v>71</v>
      </c>
      <c r="AK586" s="80">
        <f t="shared" si="90"/>
        <v>0</v>
      </c>
      <c r="AM586" s="85"/>
    </row>
    <row r="587" spans="1:39" hidden="1" x14ac:dyDescent="0.3">
      <c r="A587" s="85" t="s">
        <v>34</v>
      </c>
      <c r="B587" s="15" t="s">
        <v>35</v>
      </c>
      <c r="C587" s="15" t="s">
        <v>295</v>
      </c>
      <c r="D587" s="15" t="s">
        <v>744</v>
      </c>
      <c r="E587" s="15" t="s">
        <v>745</v>
      </c>
      <c r="F587" s="15" t="s">
        <v>745</v>
      </c>
      <c r="G587" s="15" t="s">
        <v>745</v>
      </c>
      <c r="H587" s="139"/>
      <c r="I587" s="15" t="s">
        <v>408</v>
      </c>
      <c r="J587" s="1" t="s">
        <v>3324</v>
      </c>
      <c r="K587" s="1" t="s">
        <v>3278</v>
      </c>
      <c r="L587" s="1" t="s">
        <v>35</v>
      </c>
      <c r="M587" s="15" t="s">
        <v>750</v>
      </c>
      <c r="N587" s="15"/>
      <c r="O587" s="8" t="s">
        <v>45</v>
      </c>
      <c r="P587" s="8" t="s">
        <v>75</v>
      </c>
      <c r="Q587" s="9">
        <v>0.1666</v>
      </c>
      <c r="R587" s="139">
        <v>1000021210</v>
      </c>
      <c r="S587" s="15"/>
      <c r="T587" s="18">
        <v>28964.959999999999</v>
      </c>
      <c r="U587" s="4">
        <v>0</v>
      </c>
      <c r="V587" s="6">
        <v>0</v>
      </c>
      <c r="W587" s="18">
        <f t="shared" si="83"/>
        <v>28964.959999999999</v>
      </c>
      <c r="X587" s="18">
        <f t="shared" si="82"/>
        <v>0</v>
      </c>
      <c r="Y587" s="13">
        <f t="shared" si="86"/>
        <v>0</v>
      </c>
      <c r="Z587" s="14">
        <v>0</v>
      </c>
      <c r="AA587" s="4">
        <v>0</v>
      </c>
      <c r="AB587" s="4"/>
      <c r="AC587" s="6">
        <f t="shared" si="88"/>
        <v>0</v>
      </c>
      <c r="AD587" s="18">
        <f t="shared" si="84"/>
        <v>0</v>
      </c>
      <c r="AE587" s="2">
        <v>0.12</v>
      </c>
      <c r="AF587" s="5">
        <f t="shared" si="89"/>
        <v>0</v>
      </c>
      <c r="AG587" s="14">
        <v>0</v>
      </c>
      <c r="AH587" s="10">
        <f t="shared" si="85"/>
        <v>0</v>
      </c>
      <c r="AI587" s="16"/>
      <c r="AJ587" s="126">
        <v>71</v>
      </c>
      <c r="AK587" s="80">
        <f t="shared" si="90"/>
        <v>0</v>
      </c>
      <c r="AM587" s="85"/>
    </row>
    <row r="588" spans="1:39" hidden="1" x14ac:dyDescent="0.3">
      <c r="A588" s="85" t="s">
        <v>34</v>
      </c>
      <c r="B588" s="15" t="s">
        <v>35</v>
      </c>
      <c r="C588" s="15" t="s">
        <v>295</v>
      </c>
      <c r="D588" s="15" t="s">
        <v>744</v>
      </c>
      <c r="E588" s="15" t="s">
        <v>745</v>
      </c>
      <c r="F588" s="15" t="s">
        <v>745</v>
      </c>
      <c r="G588" s="15" t="s">
        <v>745</v>
      </c>
      <c r="H588" s="139"/>
      <c r="I588" s="15" t="s">
        <v>408</v>
      </c>
      <c r="J588" s="1" t="s">
        <v>3324</v>
      </c>
      <c r="K588" s="1" t="s">
        <v>3278</v>
      </c>
      <c r="L588" s="1" t="s">
        <v>35</v>
      </c>
      <c r="M588" s="15" t="s">
        <v>751</v>
      </c>
      <c r="N588" s="15"/>
      <c r="O588" s="8" t="s">
        <v>45</v>
      </c>
      <c r="P588" s="8" t="s">
        <v>75</v>
      </c>
      <c r="Q588" s="9">
        <v>0.1666</v>
      </c>
      <c r="R588" s="139">
        <v>1000021207</v>
      </c>
      <c r="S588" s="15"/>
      <c r="T588" s="18">
        <v>14781</v>
      </c>
      <c r="U588" s="4">
        <v>0</v>
      </c>
      <c r="V588" s="6">
        <v>0</v>
      </c>
      <c r="W588" s="18">
        <f t="shared" si="83"/>
        <v>14781</v>
      </c>
      <c r="X588" s="18">
        <f t="shared" si="82"/>
        <v>0</v>
      </c>
      <c r="Y588" s="13">
        <f t="shared" si="86"/>
        <v>0</v>
      </c>
      <c r="Z588" s="14">
        <v>0</v>
      </c>
      <c r="AA588" s="4">
        <v>0</v>
      </c>
      <c r="AB588" s="4"/>
      <c r="AC588" s="6">
        <f t="shared" si="88"/>
        <v>0</v>
      </c>
      <c r="AD588" s="18">
        <f t="shared" si="84"/>
        <v>0</v>
      </c>
      <c r="AE588" s="2">
        <v>0.12</v>
      </c>
      <c r="AF588" s="5">
        <f t="shared" si="89"/>
        <v>0</v>
      </c>
      <c r="AG588" s="14">
        <v>0</v>
      </c>
      <c r="AH588" s="10">
        <f t="shared" si="85"/>
        <v>0</v>
      </c>
      <c r="AI588" s="16"/>
      <c r="AJ588" s="126">
        <v>71</v>
      </c>
      <c r="AK588" s="80">
        <f t="shared" si="90"/>
        <v>0</v>
      </c>
      <c r="AM588" s="85"/>
    </row>
    <row r="589" spans="1:39" hidden="1" x14ac:dyDescent="0.3">
      <c r="A589" s="85" t="s">
        <v>34</v>
      </c>
      <c r="B589" s="15" t="s">
        <v>35</v>
      </c>
      <c r="C589" s="15" t="s">
        <v>53</v>
      </c>
      <c r="D589" s="15" t="s">
        <v>37</v>
      </c>
      <c r="E589" s="15" t="s">
        <v>466</v>
      </c>
      <c r="F589" s="15" t="s">
        <v>466</v>
      </c>
      <c r="G589" s="15" t="s">
        <v>466</v>
      </c>
      <c r="H589" s="139"/>
      <c r="I589" s="15" t="s">
        <v>408</v>
      </c>
      <c r="J589" s="1" t="s">
        <v>3324</v>
      </c>
      <c r="K589" s="1" t="s">
        <v>3278</v>
      </c>
      <c r="L589" s="1" t="s">
        <v>35</v>
      </c>
      <c r="M589" s="15" t="s">
        <v>468</v>
      </c>
      <c r="N589" s="15"/>
      <c r="O589" s="8" t="s">
        <v>45</v>
      </c>
      <c r="P589" s="8" t="s">
        <v>246</v>
      </c>
      <c r="Q589" s="17">
        <v>0</v>
      </c>
      <c r="R589" s="139">
        <v>1000073642</v>
      </c>
      <c r="S589" s="15"/>
      <c r="T589" s="18">
        <v>-20000</v>
      </c>
      <c r="U589" s="4">
        <v>0</v>
      </c>
      <c r="V589" s="6">
        <v>0</v>
      </c>
      <c r="W589" s="18">
        <f t="shared" si="83"/>
        <v>-20000</v>
      </c>
      <c r="X589" s="18">
        <f t="shared" si="82"/>
        <v>0</v>
      </c>
      <c r="Y589" s="13">
        <f t="shared" si="86"/>
        <v>0</v>
      </c>
      <c r="Z589" s="14">
        <v>0</v>
      </c>
      <c r="AA589" s="4">
        <v>0</v>
      </c>
      <c r="AB589" s="4"/>
      <c r="AC589" s="6">
        <f t="shared" si="88"/>
        <v>0</v>
      </c>
      <c r="AD589" s="18">
        <f t="shared" si="84"/>
        <v>0</v>
      </c>
      <c r="AE589" s="2">
        <v>0.12</v>
      </c>
      <c r="AF589" s="5">
        <f t="shared" si="89"/>
        <v>0</v>
      </c>
      <c r="AG589" s="14">
        <v>0</v>
      </c>
      <c r="AH589" s="10">
        <f t="shared" si="85"/>
        <v>0</v>
      </c>
      <c r="AI589" s="16"/>
      <c r="AJ589" s="126">
        <v>96</v>
      </c>
      <c r="AK589" s="80">
        <f t="shared" si="90"/>
        <v>0</v>
      </c>
      <c r="AM589" s="85"/>
    </row>
    <row r="590" spans="1:39" hidden="1" x14ac:dyDescent="0.3">
      <c r="A590" s="85" t="s">
        <v>34</v>
      </c>
      <c r="B590" s="15" t="s">
        <v>35</v>
      </c>
      <c r="C590" s="15" t="s">
        <v>752</v>
      </c>
      <c r="D590" s="15" t="s">
        <v>753</v>
      </c>
      <c r="E590" s="15" t="s">
        <v>754</v>
      </c>
      <c r="F590" s="15" t="s">
        <v>754</v>
      </c>
      <c r="G590" s="15" t="s">
        <v>754</v>
      </c>
      <c r="H590" s="139"/>
      <c r="I590" s="15" t="s">
        <v>408</v>
      </c>
      <c r="J590" s="1" t="s">
        <v>3324</v>
      </c>
      <c r="K590" s="1" t="s">
        <v>3278</v>
      </c>
      <c r="L590" s="1" t="s">
        <v>35</v>
      </c>
      <c r="M590" s="15" t="s">
        <v>755</v>
      </c>
      <c r="N590" s="15"/>
      <c r="O590" s="8" t="s">
        <v>410</v>
      </c>
      <c r="P590" s="8" t="s">
        <v>46</v>
      </c>
      <c r="Q590" s="9">
        <v>0.13</v>
      </c>
      <c r="R590" s="139">
        <v>1000007261</v>
      </c>
      <c r="S590" s="15"/>
      <c r="T590" s="18">
        <v>14240.56</v>
      </c>
      <c r="U590" s="4">
        <v>0</v>
      </c>
      <c r="V590" s="6">
        <v>0</v>
      </c>
      <c r="W590" s="18">
        <f t="shared" si="83"/>
        <v>14240.56</v>
      </c>
      <c r="X590" s="18">
        <f t="shared" si="82"/>
        <v>0</v>
      </c>
      <c r="Y590" s="13">
        <f t="shared" si="86"/>
        <v>0</v>
      </c>
      <c r="Z590" s="14">
        <v>0</v>
      </c>
      <c r="AA590" s="4">
        <v>0</v>
      </c>
      <c r="AB590" s="4">
        <f t="shared" si="87"/>
        <v>0</v>
      </c>
      <c r="AC590" s="6">
        <f t="shared" si="88"/>
        <v>0</v>
      </c>
      <c r="AD590" s="18">
        <f t="shared" si="84"/>
        <v>0</v>
      </c>
      <c r="AE590" s="2">
        <v>7.0000000000000007E-2</v>
      </c>
      <c r="AF590" s="5">
        <f t="shared" si="89"/>
        <v>0</v>
      </c>
      <c r="AG590" s="14">
        <v>0</v>
      </c>
      <c r="AH590" s="10">
        <f t="shared" si="85"/>
        <v>0</v>
      </c>
      <c r="AI590" s="16"/>
      <c r="AJ590" s="126" t="e">
        <v>#N/A</v>
      </c>
      <c r="AK590" s="80">
        <f t="shared" si="90"/>
        <v>0</v>
      </c>
      <c r="AM590" s="85"/>
    </row>
    <row r="591" spans="1:39" hidden="1" x14ac:dyDescent="0.3">
      <c r="A591" s="85" t="s">
        <v>34</v>
      </c>
      <c r="B591" s="15" t="s">
        <v>35</v>
      </c>
      <c r="C591" s="15" t="s">
        <v>59</v>
      </c>
      <c r="D591" s="15" t="s">
        <v>60</v>
      </c>
      <c r="E591" s="15" t="s">
        <v>756</v>
      </c>
      <c r="F591" s="15" t="s">
        <v>757</v>
      </c>
      <c r="G591" s="15" t="s">
        <v>758</v>
      </c>
      <c r="H591" s="139"/>
      <c r="I591" s="15" t="s">
        <v>408</v>
      </c>
      <c r="J591" s="1" t="s">
        <v>3324</v>
      </c>
      <c r="K591" s="1" t="s">
        <v>3278</v>
      </c>
      <c r="L591" s="1" t="s">
        <v>35</v>
      </c>
      <c r="M591" s="15" t="s">
        <v>759</v>
      </c>
      <c r="N591" s="15"/>
      <c r="O591" s="8" t="s">
        <v>410</v>
      </c>
      <c r="P591" s="8" t="s">
        <v>92</v>
      </c>
      <c r="Q591" s="9">
        <v>0.94</v>
      </c>
      <c r="R591" s="139">
        <v>1000013008</v>
      </c>
      <c r="S591" s="15"/>
      <c r="T591" s="18">
        <v>11576.1</v>
      </c>
      <c r="U591" s="4">
        <v>0</v>
      </c>
      <c r="V591" s="6">
        <v>0</v>
      </c>
      <c r="W591" s="18">
        <f t="shared" si="83"/>
        <v>11576.1</v>
      </c>
      <c r="X591" s="18">
        <f t="shared" si="82"/>
        <v>0</v>
      </c>
      <c r="Y591" s="13">
        <f t="shared" si="86"/>
        <v>0</v>
      </c>
      <c r="Z591" s="14">
        <v>0</v>
      </c>
      <c r="AA591" s="4">
        <v>0</v>
      </c>
      <c r="AB591" s="4">
        <f t="shared" si="87"/>
        <v>0</v>
      </c>
      <c r="AC591" s="6">
        <f t="shared" si="88"/>
        <v>0</v>
      </c>
      <c r="AD591" s="18">
        <f t="shared" si="84"/>
        <v>0</v>
      </c>
      <c r="AE591" s="2">
        <v>7.0000000000000007E-2</v>
      </c>
      <c r="AF591" s="5">
        <f t="shared" si="89"/>
        <v>0</v>
      </c>
      <c r="AG591" s="14">
        <v>0</v>
      </c>
      <c r="AH591" s="10">
        <f t="shared" si="85"/>
        <v>0</v>
      </c>
      <c r="AI591" s="16"/>
      <c r="AJ591" s="126" t="e">
        <v>#N/A</v>
      </c>
      <c r="AK591" s="80">
        <f t="shared" si="90"/>
        <v>0</v>
      </c>
      <c r="AM591" s="85"/>
    </row>
    <row r="592" spans="1:39" hidden="1" x14ac:dyDescent="0.3">
      <c r="A592" s="85" t="s">
        <v>34</v>
      </c>
      <c r="B592" s="15" t="s">
        <v>35</v>
      </c>
      <c r="C592" s="15" t="s">
        <v>59</v>
      </c>
      <c r="D592" s="15" t="s">
        <v>60</v>
      </c>
      <c r="E592" s="15" t="s">
        <v>760</v>
      </c>
      <c r="F592" s="15" t="s">
        <v>760</v>
      </c>
      <c r="G592" s="15" t="s">
        <v>760</v>
      </c>
      <c r="H592" s="139"/>
      <c r="I592" s="15" t="s">
        <v>408</v>
      </c>
      <c r="J592" s="1" t="s">
        <v>3324</v>
      </c>
      <c r="K592" s="1" t="s">
        <v>3278</v>
      </c>
      <c r="L592" s="1" t="s">
        <v>35</v>
      </c>
      <c r="M592" s="15" t="s">
        <v>761</v>
      </c>
      <c r="N592" s="15"/>
      <c r="O592" s="8" t="s">
        <v>45</v>
      </c>
      <c r="P592" s="8" t="s">
        <v>46</v>
      </c>
      <c r="Q592" s="9">
        <v>0.1</v>
      </c>
      <c r="R592" s="139">
        <v>1000051027</v>
      </c>
      <c r="S592" s="15"/>
      <c r="T592" s="18">
        <v>3153.85</v>
      </c>
      <c r="U592" s="4">
        <v>0</v>
      </c>
      <c r="V592" s="6">
        <v>0</v>
      </c>
      <c r="W592" s="18">
        <f t="shared" si="83"/>
        <v>3153.85</v>
      </c>
      <c r="X592" s="18">
        <f t="shared" si="82"/>
        <v>0</v>
      </c>
      <c r="Y592" s="13">
        <f t="shared" si="86"/>
        <v>0</v>
      </c>
      <c r="Z592" s="14">
        <v>0</v>
      </c>
      <c r="AA592" s="4">
        <v>0</v>
      </c>
      <c r="AB592" s="4">
        <f t="shared" si="87"/>
        <v>0</v>
      </c>
      <c r="AC592" s="6">
        <f t="shared" si="88"/>
        <v>0</v>
      </c>
      <c r="AD592" s="18">
        <f t="shared" si="84"/>
        <v>0</v>
      </c>
      <c r="AE592" s="2">
        <v>0.12</v>
      </c>
      <c r="AF592" s="5">
        <f t="shared" si="89"/>
        <v>0</v>
      </c>
      <c r="AG592" s="14">
        <v>0</v>
      </c>
      <c r="AH592" s="10">
        <f t="shared" si="85"/>
        <v>0</v>
      </c>
      <c r="AI592" s="16"/>
      <c r="AJ592" s="126" t="e">
        <v>#N/A</v>
      </c>
      <c r="AK592" s="80">
        <f t="shared" si="90"/>
        <v>0</v>
      </c>
      <c r="AM592" s="85"/>
    </row>
    <row r="593" spans="1:39" hidden="1" x14ac:dyDescent="0.3">
      <c r="A593" s="85" t="s">
        <v>34</v>
      </c>
      <c r="B593" s="15" t="s">
        <v>35</v>
      </c>
      <c r="C593" s="15" t="s">
        <v>59</v>
      </c>
      <c r="D593" s="15" t="s">
        <v>60</v>
      </c>
      <c r="E593" s="15" t="s">
        <v>762</v>
      </c>
      <c r="F593" s="15" t="s">
        <v>762</v>
      </c>
      <c r="G593" s="15" t="s">
        <v>762</v>
      </c>
      <c r="H593" s="139"/>
      <c r="I593" s="15" t="s">
        <v>408</v>
      </c>
      <c r="J593" s="1" t="s">
        <v>3324</v>
      </c>
      <c r="K593" s="1" t="s">
        <v>3278</v>
      </c>
      <c r="L593" s="1" t="s">
        <v>35</v>
      </c>
      <c r="M593" s="15" t="s">
        <v>763</v>
      </c>
      <c r="N593" s="15"/>
      <c r="O593" s="8" t="s">
        <v>45</v>
      </c>
      <c r="P593" s="8" t="s">
        <v>46</v>
      </c>
      <c r="Q593" s="9">
        <v>0.1</v>
      </c>
      <c r="R593" s="139">
        <v>1000030862</v>
      </c>
      <c r="S593" s="15"/>
      <c r="T593" s="18">
        <v>0.17</v>
      </c>
      <c r="U593" s="4">
        <v>0</v>
      </c>
      <c r="V593" s="6">
        <v>0</v>
      </c>
      <c r="W593" s="18">
        <f t="shared" si="83"/>
        <v>0.17</v>
      </c>
      <c r="X593" s="18">
        <f t="shared" si="82"/>
        <v>0</v>
      </c>
      <c r="Y593" s="13">
        <f t="shared" si="86"/>
        <v>0</v>
      </c>
      <c r="Z593" s="14">
        <v>0</v>
      </c>
      <c r="AA593" s="4">
        <v>0</v>
      </c>
      <c r="AB593" s="4">
        <f t="shared" si="87"/>
        <v>0</v>
      </c>
      <c r="AC593" s="6">
        <f t="shared" si="88"/>
        <v>0</v>
      </c>
      <c r="AD593" s="18">
        <f t="shared" si="84"/>
        <v>0</v>
      </c>
      <c r="AE593" s="2">
        <v>0.12</v>
      </c>
      <c r="AF593" s="5">
        <f t="shared" si="89"/>
        <v>0</v>
      </c>
      <c r="AG593" s="14">
        <v>0</v>
      </c>
      <c r="AH593" s="10">
        <f t="shared" si="85"/>
        <v>0</v>
      </c>
      <c r="AI593" s="16"/>
      <c r="AJ593" s="126" t="e">
        <v>#N/A</v>
      </c>
      <c r="AK593" s="80">
        <f t="shared" si="90"/>
        <v>0</v>
      </c>
      <c r="AM593" s="85"/>
    </row>
    <row r="594" spans="1:39" hidden="1" x14ac:dyDescent="0.3">
      <c r="A594" s="85" t="s">
        <v>34</v>
      </c>
      <c r="B594" s="15" t="s">
        <v>35</v>
      </c>
      <c r="C594" s="15" t="s">
        <v>59</v>
      </c>
      <c r="D594" s="15" t="s">
        <v>60</v>
      </c>
      <c r="E594" s="15" t="s">
        <v>762</v>
      </c>
      <c r="F594" s="15" t="s">
        <v>762</v>
      </c>
      <c r="G594" s="15" t="s">
        <v>762</v>
      </c>
      <c r="H594" s="139"/>
      <c r="I594" s="15" t="s">
        <v>408</v>
      </c>
      <c r="J594" s="1" t="s">
        <v>3324</v>
      </c>
      <c r="K594" s="1" t="s">
        <v>3278</v>
      </c>
      <c r="L594" s="1" t="s">
        <v>35</v>
      </c>
      <c r="M594" s="15" t="s">
        <v>764</v>
      </c>
      <c r="N594" s="15"/>
      <c r="O594" s="8" t="s">
        <v>45</v>
      </c>
      <c r="P594" s="8" t="s">
        <v>46</v>
      </c>
      <c r="Q594" s="9">
        <v>0.1</v>
      </c>
      <c r="R594" s="139">
        <v>1000029572</v>
      </c>
      <c r="S594" s="15"/>
      <c r="T594" s="18">
        <v>0.97</v>
      </c>
      <c r="U594" s="4">
        <v>0</v>
      </c>
      <c r="V594" s="6">
        <v>0</v>
      </c>
      <c r="W594" s="18">
        <f t="shared" si="83"/>
        <v>0.97</v>
      </c>
      <c r="X594" s="18">
        <f t="shared" si="82"/>
        <v>0</v>
      </c>
      <c r="Y594" s="13">
        <f t="shared" si="86"/>
        <v>0</v>
      </c>
      <c r="Z594" s="14">
        <v>0</v>
      </c>
      <c r="AA594" s="4">
        <v>0</v>
      </c>
      <c r="AB594" s="4">
        <f t="shared" si="87"/>
        <v>0</v>
      </c>
      <c r="AC594" s="6">
        <f t="shared" si="88"/>
        <v>0</v>
      </c>
      <c r="AD594" s="18">
        <f t="shared" si="84"/>
        <v>0</v>
      </c>
      <c r="AE594" s="2">
        <v>0.12</v>
      </c>
      <c r="AF594" s="5">
        <f t="shared" si="89"/>
        <v>0</v>
      </c>
      <c r="AG594" s="14">
        <v>0</v>
      </c>
      <c r="AH594" s="10">
        <f t="shared" si="85"/>
        <v>0</v>
      </c>
      <c r="AI594" s="16"/>
      <c r="AJ594" s="126" t="e">
        <v>#N/A</v>
      </c>
      <c r="AK594" s="80">
        <f t="shared" si="90"/>
        <v>0</v>
      </c>
      <c r="AM594" s="85"/>
    </row>
    <row r="595" spans="1:39" hidden="1" x14ac:dyDescent="0.3">
      <c r="A595" s="85" t="s">
        <v>34</v>
      </c>
      <c r="B595" s="15" t="s">
        <v>35</v>
      </c>
      <c r="C595" s="15" t="s">
        <v>59</v>
      </c>
      <c r="D595" s="15" t="s">
        <v>60</v>
      </c>
      <c r="E595" s="15" t="s">
        <v>765</v>
      </c>
      <c r="F595" s="15" t="s">
        <v>766</v>
      </c>
      <c r="G595" s="15" t="s">
        <v>765</v>
      </c>
      <c r="H595" s="139"/>
      <c r="I595" s="15" t="s">
        <v>408</v>
      </c>
      <c r="J595" s="1" t="s">
        <v>3324</v>
      </c>
      <c r="K595" s="1" t="s">
        <v>3278</v>
      </c>
      <c r="L595" s="1" t="s">
        <v>35</v>
      </c>
      <c r="M595" s="15" t="s">
        <v>767</v>
      </c>
      <c r="N595" s="15"/>
      <c r="O595" s="8" t="s">
        <v>410</v>
      </c>
      <c r="P595" s="8" t="s">
        <v>46</v>
      </c>
      <c r="Q595" s="9">
        <v>0.02</v>
      </c>
      <c r="R595" s="139">
        <v>1000012584</v>
      </c>
      <c r="S595" s="15"/>
      <c r="T595" s="18">
        <v>18046</v>
      </c>
      <c r="U595" s="4">
        <v>0</v>
      </c>
      <c r="V595" s="6">
        <v>0</v>
      </c>
      <c r="W595" s="18">
        <f t="shared" si="83"/>
        <v>18046</v>
      </c>
      <c r="X595" s="18">
        <f t="shared" ref="X595:X658" si="91">IF(P595="折扣",V595*Q595,IF(P595="返现",V595,V595/(1+Q595)))</f>
        <v>0</v>
      </c>
      <c r="Y595" s="13">
        <f t="shared" si="86"/>
        <v>0</v>
      </c>
      <c r="Z595" s="14">
        <v>0</v>
      </c>
      <c r="AA595" s="4">
        <v>0</v>
      </c>
      <c r="AB595" s="4">
        <f t="shared" si="87"/>
        <v>0</v>
      </c>
      <c r="AC595" s="6">
        <f t="shared" si="88"/>
        <v>0</v>
      </c>
      <c r="AD595" s="18">
        <f t="shared" si="84"/>
        <v>0</v>
      </c>
      <c r="AE595" s="2">
        <v>7.0000000000000007E-2</v>
      </c>
      <c r="AF595" s="5">
        <f t="shared" si="89"/>
        <v>0</v>
      </c>
      <c r="AG595" s="14">
        <v>0</v>
      </c>
      <c r="AH595" s="10">
        <f t="shared" si="85"/>
        <v>0</v>
      </c>
      <c r="AI595" s="16"/>
      <c r="AJ595" s="126" t="e">
        <v>#N/A</v>
      </c>
      <c r="AK595" s="80">
        <f t="shared" si="90"/>
        <v>0</v>
      </c>
      <c r="AM595" s="85"/>
    </row>
    <row r="596" spans="1:39" hidden="1" x14ac:dyDescent="0.3">
      <c r="A596" s="85" t="s">
        <v>34</v>
      </c>
      <c r="B596" s="15" t="s">
        <v>35</v>
      </c>
      <c r="C596" s="15" t="s">
        <v>59</v>
      </c>
      <c r="D596" s="15" t="s">
        <v>60</v>
      </c>
      <c r="E596" s="15" t="s">
        <v>765</v>
      </c>
      <c r="F596" s="15" t="s">
        <v>766</v>
      </c>
      <c r="G596" s="15" t="s">
        <v>765</v>
      </c>
      <c r="H596" s="139"/>
      <c r="I596" s="15" t="s">
        <v>408</v>
      </c>
      <c r="J596" s="1" t="s">
        <v>3324</v>
      </c>
      <c r="K596" s="1" t="s">
        <v>3278</v>
      </c>
      <c r="L596" s="1" t="s">
        <v>35</v>
      </c>
      <c r="M596" s="15" t="s">
        <v>768</v>
      </c>
      <c r="N596" s="15"/>
      <c r="O596" s="8" t="s">
        <v>45</v>
      </c>
      <c r="P596" s="8" t="s">
        <v>46</v>
      </c>
      <c r="Q596" s="9">
        <v>0.04</v>
      </c>
      <c r="R596" s="139">
        <v>1000012815</v>
      </c>
      <c r="S596" s="15"/>
      <c r="T596" s="18">
        <v>19672.349999999999</v>
      </c>
      <c r="U596" s="4">
        <v>0</v>
      </c>
      <c r="V596" s="6">
        <v>0</v>
      </c>
      <c r="W596" s="18">
        <f t="shared" ref="W596:W659" si="92">T596+U596-V596</f>
        <v>19672.349999999999</v>
      </c>
      <c r="X596" s="18">
        <f t="shared" si="91"/>
        <v>0</v>
      </c>
      <c r="Y596" s="13">
        <f t="shared" si="86"/>
        <v>0</v>
      </c>
      <c r="Z596" s="14">
        <v>0</v>
      </c>
      <c r="AA596" s="4">
        <v>0</v>
      </c>
      <c r="AB596" s="4">
        <f t="shared" si="87"/>
        <v>0</v>
      </c>
      <c r="AC596" s="6">
        <f t="shared" si="88"/>
        <v>0</v>
      </c>
      <c r="AD596" s="18">
        <f t="shared" si="84"/>
        <v>0</v>
      </c>
      <c r="AE596" s="2">
        <v>0.12</v>
      </c>
      <c r="AF596" s="5">
        <f t="shared" si="89"/>
        <v>0</v>
      </c>
      <c r="AG596" s="14">
        <v>0</v>
      </c>
      <c r="AH596" s="10">
        <f t="shared" si="85"/>
        <v>0</v>
      </c>
      <c r="AI596" s="16"/>
      <c r="AJ596" s="126" t="e">
        <v>#N/A</v>
      </c>
      <c r="AK596" s="80">
        <f t="shared" si="90"/>
        <v>0</v>
      </c>
      <c r="AM596" s="85"/>
    </row>
    <row r="597" spans="1:39" hidden="1" x14ac:dyDescent="0.3">
      <c r="A597" s="85" t="s">
        <v>34</v>
      </c>
      <c r="B597" s="15" t="s">
        <v>35</v>
      </c>
      <c r="C597" s="15" t="s">
        <v>59</v>
      </c>
      <c r="D597" s="15" t="s">
        <v>60</v>
      </c>
      <c r="E597" s="15" t="s">
        <v>765</v>
      </c>
      <c r="F597" s="15" t="s">
        <v>766</v>
      </c>
      <c r="G597" s="15" t="s">
        <v>765</v>
      </c>
      <c r="H597" s="139"/>
      <c r="I597" s="15" t="s">
        <v>408</v>
      </c>
      <c r="J597" s="1" t="s">
        <v>3324</v>
      </c>
      <c r="K597" s="1" t="s">
        <v>3278</v>
      </c>
      <c r="L597" s="1" t="s">
        <v>35</v>
      </c>
      <c r="M597" s="15" t="s">
        <v>769</v>
      </c>
      <c r="N597" s="15"/>
      <c r="O597" s="8" t="s">
        <v>410</v>
      </c>
      <c r="P597" s="8" t="s">
        <v>46</v>
      </c>
      <c r="Q597" s="9">
        <v>0.06</v>
      </c>
      <c r="R597" s="139">
        <v>1000022327</v>
      </c>
      <c r="S597" s="15"/>
      <c r="T597" s="18">
        <v>6422</v>
      </c>
      <c r="U597" s="4">
        <v>0</v>
      </c>
      <c r="V597" s="6">
        <v>0</v>
      </c>
      <c r="W597" s="18">
        <f t="shared" si="92"/>
        <v>6422</v>
      </c>
      <c r="X597" s="18">
        <f t="shared" si="91"/>
        <v>0</v>
      </c>
      <c r="Y597" s="13">
        <f t="shared" si="86"/>
        <v>0</v>
      </c>
      <c r="Z597" s="14">
        <v>0</v>
      </c>
      <c r="AA597" s="4">
        <v>0</v>
      </c>
      <c r="AB597" s="4">
        <f t="shared" si="87"/>
        <v>0</v>
      </c>
      <c r="AC597" s="6">
        <f t="shared" si="88"/>
        <v>0</v>
      </c>
      <c r="AD597" s="18">
        <f t="shared" si="84"/>
        <v>0</v>
      </c>
      <c r="AE597" s="2">
        <v>7.0000000000000007E-2</v>
      </c>
      <c r="AF597" s="5">
        <f t="shared" si="89"/>
        <v>0</v>
      </c>
      <c r="AG597" s="14">
        <v>0</v>
      </c>
      <c r="AH597" s="10">
        <f t="shared" si="85"/>
        <v>0</v>
      </c>
      <c r="AI597" s="16"/>
      <c r="AJ597" s="126" t="e">
        <v>#N/A</v>
      </c>
      <c r="AK597" s="80">
        <f t="shared" si="90"/>
        <v>0</v>
      </c>
      <c r="AM597" s="85"/>
    </row>
    <row r="598" spans="1:39" hidden="1" x14ac:dyDescent="0.3">
      <c r="A598" s="85" t="s">
        <v>34</v>
      </c>
      <c r="B598" s="15" t="s">
        <v>35</v>
      </c>
      <c r="C598" s="15" t="s">
        <v>59</v>
      </c>
      <c r="D598" s="15" t="s">
        <v>60</v>
      </c>
      <c r="E598" s="15" t="s">
        <v>765</v>
      </c>
      <c r="F598" s="15" t="s">
        <v>766</v>
      </c>
      <c r="G598" s="15" t="s">
        <v>765</v>
      </c>
      <c r="H598" s="139"/>
      <c r="I598" s="15" t="s">
        <v>408</v>
      </c>
      <c r="J598" s="1" t="s">
        <v>3324</v>
      </c>
      <c r="K598" s="1" t="s">
        <v>3278</v>
      </c>
      <c r="L598" s="1" t="s">
        <v>35</v>
      </c>
      <c r="M598" s="15" t="s">
        <v>770</v>
      </c>
      <c r="N598" s="15"/>
      <c r="O598" s="8" t="s">
        <v>410</v>
      </c>
      <c r="P598" s="8" t="s">
        <v>46</v>
      </c>
      <c r="Q598" s="9">
        <v>0.06</v>
      </c>
      <c r="R598" s="139">
        <v>1000020386</v>
      </c>
      <c r="S598" s="15"/>
      <c r="T598" s="18">
        <v>971.2</v>
      </c>
      <c r="U598" s="4">
        <v>0</v>
      </c>
      <c r="V598" s="6">
        <v>0</v>
      </c>
      <c r="W598" s="18">
        <f t="shared" si="92"/>
        <v>971.2</v>
      </c>
      <c r="X598" s="18">
        <f t="shared" si="91"/>
        <v>0</v>
      </c>
      <c r="Y598" s="13">
        <f t="shared" si="86"/>
        <v>0</v>
      </c>
      <c r="Z598" s="14">
        <v>0</v>
      </c>
      <c r="AA598" s="4">
        <v>0</v>
      </c>
      <c r="AB598" s="4">
        <f t="shared" si="87"/>
        <v>0</v>
      </c>
      <c r="AC598" s="6">
        <f t="shared" si="88"/>
        <v>0</v>
      </c>
      <c r="AD598" s="18">
        <f t="shared" si="84"/>
        <v>0</v>
      </c>
      <c r="AE598" s="2">
        <v>7.0000000000000007E-2</v>
      </c>
      <c r="AF598" s="5">
        <f t="shared" si="89"/>
        <v>0</v>
      </c>
      <c r="AG598" s="14">
        <v>0</v>
      </c>
      <c r="AH598" s="10">
        <f t="shared" si="85"/>
        <v>0</v>
      </c>
      <c r="AI598" s="16"/>
      <c r="AJ598" s="126" t="e">
        <v>#N/A</v>
      </c>
      <c r="AK598" s="80">
        <f t="shared" si="90"/>
        <v>0</v>
      </c>
      <c r="AM598" s="85"/>
    </row>
    <row r="599" spans="1:39" hidden="1" x14ac:dyDescent="0.3">
      <c r="A599" s="85" t="s">
        <v>34</v>
      </c>
      <c r="B599" s="15" t="s">
        <v>35</v>
      </c>
      <c r="C599" s="15" t="s">
        <v>59</v>
      </c>
      <c r="D599" s="15" t="s">
        <v>60</v>
      </c>
      <c r="E599" s="15" t="s">
        <v>765</v>
      </c>
      <c r="F599" s="15" t="s">
        <v>766</v>
      </c>
      <c r="G599" s="15" t="s">
        <v>765</v>
      </c>
      <c r="H599" s="139"/>
      <c r="I599" s="15" t="s">
        <v>408</v>
      </c>
      <c r="J599" s="1" t="s">
        <v>3324</v>
      </c>
      <c r="K599" s="1" t="s">
        <v>3278</v>
      </c>
      <c r="L599" s="1" t="s">
        <v>35</v>
      </c>
      <c r="M599" s="15" t="s">
        <v>771</v>
      </c>
      <c r="N599" s="15"/>
      <c r="O599" s="8" t="s">
        <v>410</v>
      </c>
      <c r="P599" s="8" t="s">
        <v>46</v>
      </c>
      <c r="Q599" s="9">
        <v>0.02</v>
      </c>
      <c r="R599" s="139">
        <v>1000020963</v>
      </c>
      <c r="S599" s="15"/>
      <c r="T599" s="18">
        <v>15309.18</v>
      </c>
      <c r="U599" s="4">
        <v>0</v>
      </c>
      <c r="V599" s="6">
        <v>0</v>
      </c>
      <c r="W599" s="18">
        <f t="shared" si="92"/>
        <v>15309.18</v>
      </c>
      <c r="X599" s="18">
        <f t="shared" si="91"/>
        <v>0</v>
      </c>
      <c r="Y599" s="13">
        <f t="shared" si="86"/>
        <v>0</v>
      </c>
      <c r="Z599" s="14">
        <v>0</v>
      </c>
      <c r="AA599" s="4">
        <v>0</v>
      </c>
      <c r="AB599" s="4">
        <f t="shared" si="87"/>
        <v>0</v>
      </c>
      <c r="AC599" s="6">
        <f t="shared" si="88"/>
        <v>0</v>
      </c>
      <c r="AD599" s="18">
        <f t="shared" si="84"/>
        <v>0</v>
      </c>
      <c r="AE599" s="2">
        <v>7.0000000000000007E-2</v>
      </c>
      <c r="AF599" s="5">
        <f t="shared" si="89"/>
        <v>0</v>
      </c>
      <c r="AG599" s="14">
        <v>0</v>
      </c>
      <c r="AH599" s="10">
        <f t="shared" si="85"/>
        <v>0</v>
      </c>
      <c r="AI599" s="16"/>
      <c r="AJ599" s="126" t="e">
        <v>#N/A</v>
      </c>
      <c r="AK599" s="80">
        <f t="shared" si="90"/>
        <v>0</v>
      </c>
      <c r="AM599" s="85"/>
    </row>
    <row r="600" spans="1:39" hidden="1" x14ac:dyDescent="0.3">
      <c r="A600" s="85" t="s">
        <v>34</v>
      </c>
      <c r="B600" s="15" t="s">
        <v>35</v>
      </c>
      <c r="C600" s="15" t="s">
        <v>59</v>
      </c>
      <c r="D600" s="15" t="s">
        <v>60</v>
      </c>
      <c r="E600" s="15" t="s">
        <v>765</v>
      </c>
      <c r="F600" s="15" t="s">
        <v>766</v>
      </c>
      <c r="G600" s="15" t="s">
        <v>765</v>
      </c>
      <c r="H600" s="139"/>
      <c r="I600" s="15" t="s">
        <v>408</v>
      </c>
      <c r="J600" s="1" t="s">
        <v>3324</v>
      </c>
      <c r="K600" s="1" t="s">
        <v>3278</v>
      </c>
      <c r="L600" s="1" t="s">
        <v>35</v>
      </c>
      <c r="M600" s="15" t="s">
        <v>772</v>
      </c>
      <c r="N600" s="15"/>
      <c r="O600" s="8" t="s">
        <v>410</v>
      </c>
      <c r="P600" s="8" t="s">
        <v>46</v>
      </c>
      <c r="Q600" s="9">
        <v>0.06</v>
      </c>
      <c r="R600" s="139">
        <v>1000019854</v>
      </c>
      <c r="S600" s="15"/>
      <c r="T600" s="18">
        <v>9705.75</v>
      </c>
      <c r="U600" s="4">
        <v>0</v>
      </c>
      <c r="V600" s="6">
        <v>0</v>
      </c>
      <c r="W600" s="18">
        <f t="shared" si="92"/>
        <v>9705.75</v>
      </c>
      <c r="X600" s="18">
        <f t="shared" si="91"/>
        <v>0</v>
      </c>
      <c r="Y600" s="13">
        <f t="shared" si="86"/>
        <v>0</v>
      </c>
      <c r="Z600" s="14">
        <v>0</v>
      </c>
      <c r="AA600" s="4">
        <v>0</v>
      </c>
      <c r="AB600" s="4">
        <f t="shared" si="87"/>
        <v>0</v>
      </c>
      <c r="AC600" s="6">
        <f t="shared" si="88"/>
        <v>0</v>
      </c>
      <c r="AD600" s="18">
        <f t="shared" si="84"/>
        <v>0</v>
      </c>
      <c r="AE600" s="2">
        <v>7.0000000000000007E-2</v>
      </c>
      <c r="AF600" s="5">
        <f t="shared" si="89"/>
        <v>0</v>
      </c>
      <c r="AG600" s="14">
        <v>0</v>
      </c>
      <c r="AH600" s="10">
        <f t="shared" si="85"/>
        <v>0</v>
      </c>
      <c r="AI600" s="16"/>
      <c r="AJ600" s="126" t="e">
        <v>#N/A</v>
      </c>
      <c r="AK600" s="80">
        <f t="shared" si="90"/>
        <v>0</v>
      </c>
      <c r="AM600" s="85"/>
    </row>
    <row r="601" spans="1:39" hidden="1" x14ac:dyDescent="0.3">
      <c r="A601" s="85" t="s">
        <v>34</v>
      </c>
      <c r="B601" s="15" t="s">
        <v>35</v>
      </c>
      <c r="C601" s="15" t="s">
        <v>59</v>
      </c>
      <c r="D601" s="15" t="s">
        <v>60</v>
      </c>
      <c r="E601" s="15" t="s">
        <v>765</v>
      </c>
      <c r="F601" s="15" t="s">
        <v>766</v>
      </c>
      <c r="G601" s="15" t="s">
        <v>765</v>
      </c>
      <c r="H601" s="139"/>
      <c r="I601" s="15" t="s">
        <v>408</v>
      </c>
      <c r="J601" s="1" t="s">
        <v>3324</v>
      </c>
      <c r="K601" s="1" t="s">
        <v>3278</v>
      </c>
      <c r="L601" s="1" t="s">
        <v>35</v>
      </c>
      <c r="M601" s="15" t="s">
        <v>773</v>
      </c>
      <c r="N601" s="15"/>
      <c r="O601" s="8" t="s">
        <v>410</v>
      </c>
      <c r="P601" s="8" t="s">
        <v>46</v>
      </c>
      <c r="Q601" s="9">
        <v>0.06</v>
      </c>
      <c r="R601" s="139">
        <v>1000025834</v>
      </c>
      <c r="S601" s="15"/>
      <c r="T601" s="18">
        <v>36787.019999999997</v>
      </c>
      <c r="U601" s="4">
        <v>0</v>
      </c>
      <c r="V601" s="6">
        <v>0</v>
      </c>
      <c r="W601" s="18">
        <f t="shared" si="92"/>
        <v>36787.019999999997</v>
      </c>
      <c r="X601" s="18">
        <f t="shared" si="91"/>
        <v>0</v>
      </c>
      <c r="Y601" s="13">
        <f t="shared" si="86"/>
        <v>0</v>
      </c>
      <c r="Z601" s="14">
        <v>0</v>
      </c>
      <c r="AA601" s="4">
        <v>0</v>
      </c>
      <c r="AB601" s="4">
        <f t="shared" si="87"/>
        <v>0</v>
      </c>
      <c r="AC601" s="6">
        <f t="shared" si="88"/>
        <v>0</v>
      </c>
      <c r="AD601" s="18">
        <f t="shared" si="84"/>
        <v>0</v>
      </c>
      <c r="AE601" s="2">
        <v>7.0000000000000007E-2</v>
      </c>
      <c r="AF601" s="5">
        <f t="shared" si="89"/>
        <v>0</v>
      </c>
      <c r="AG601" s="14">
        <v>0</v>
      </c>
      <c r="AH601" s="10">
        <f t="shared" si="85"/>
        <v>0</v>
      </c>
      <c r="AI601" s="16"/>
      <c r="AJ601" s="126" t="e">
        <v>#N/A</v>
      </c>
      <c r="AK601" s="80">
        <f t="shared" si="90"/>
        <v>0</v>
      </c>
      <c r="AM601" s="85"/>
    </row>
    <row r="602" spans="1:39" hidden="1" x14ac:dyDescent="0.3">
      <c r="A602" s="85" t="s">
        <v>34</v>
      </c>
      <c r="B602" s="15" t="s">
        <v>35</v>
      </c>
      <c r="C602" s="15" t="s">
        <v>59</v>
      </c>
      <c r="D602" s="15" t="s">
        <v>60</v>
      </c>
      <c r="E602" s="15" t="s">
        <v>774</v>
      </c>
      <c r="F602" s="15" t="s">
        <v>774</v>
      </c>
      <c r="G602" s="15" t="s">
        <v>774</v>
      </c>
      <c r="H602" s="139"/>
      <c r="I602" s="15" t="s">
        <v>408</v>
      </c>
      <c r="J602" s="1" t="s">
        <v>3324</v>
      </c>
      <c r="K602" s="1" t="s">
        <v>3278</v>
      </c>
      <c r="L602" s="1" t="s">
        <v>35</v>
      </c>
      <c r="M602" s="15" t="s">
        <v>775</v>
      </c>
      <c r="N602" s="15"/>
      <c r="O602" s="8" t="s">
        <v>410</v>
      </c>
      <c r="P602" s="8" t="s">
        <v>46</v>
      </c>
      <c r="Q602" s="9">
        <v>7.0000000000000007E-2</v>
      </c>
      <c r="R602" s="139">
        <v>1000024542</v>
      </c>
      <c r="S602" s="15"/>
      <c r="T602" s="18">
        <v>2099.6</v>
      </c>
      <c r="U602" s="4">
        <v>0</v>
      </c>
      <c r="V602" s="6">
        <v>0</v>
      </c>
      <c r="W602" s="18">
        <f t="shared" si="92"/>
        <v>2099.6</v>
      </c>
      <c r="X602" s="18">
        <f t="shared" si="91"/>
        <v>0</v>
      </c>
      <c r="Y602" s="13">
        <f t="shared" si="86"/>
        <v>0</v>
      </c>
      <c r="Z602" s="14">
        <v>0</v>
      </c>
      <c r="AA602" s="4">
        <v>0</v>
      </c>
      <c r="AB602" s="4">
        <f t="shared" si="87"/>
        <v>0</v>
      </c>
      <c r="AC602" s="6">
        <f t="shared" si="88"/>
        <v>0</v>
      </c>
      <c r="AD602" s="18">
        <f t="shared" si="84"/>
        <v>0</v>
      </c>
      <c r="AE602" s="2">
        <v>7.0000000000000007E-2</v>
      </c>
      <c r="AF602" s="5">
        <f t="shared" si="89"/>
        <v>0</v>
      </c>
      <c r="AG602" s="14">
        <v>0</v>
      </c>
      <c r="AH602" s="10">
        <f t="shared" si="85"/>
        <v>0</v>
      </c>
      <c r="AI602" s="16"/>
      <c r="AJ602" s="126" t="e">
        <v>#N/A</v>
      </c>
      <c r="AK602" s="80">
        <f t="shared" si="90"/>
        <v>0</v>
      </c>
      <c r="AM602" s="85"/>
    </row>
    <row r="603" spans="1:39" hidden="1" x14ac:dyDescent="0.3">
      <c r="A603" s="85" t="s">
        <v>34</v>
      </c>
      <c r="B603" s="15" t="s">
        <v>35</v>
      </c>
      <c r="C603" s="15" t="s">
        <v>59</v>
      </c>
      <c r="D603" s="15" t="s">
        <v>60</v>
      </c>
      <c r="E603" s="15" t="s">
        <v>774</v>
      </c>
      <c r="F603" s="15" t="s">
        <v>774</v>
      </c>
      <c r="G603" s="15" t="s">
        <v>774</v>
      </c>
      <c r="H603" s="139"/>
      <c r="I603" s="15" t="s">
        <v>408</v>
      </c>
      <c r="J603" s="1" t="s">
        <v>3324</v>
      </c>
      <c r="K603" s="1" t="s">
        <v>3278</v>
      </c>
      <c r="L603" s="1" t="s">
        <v>35</v>
      </c>
      <c r="M603" s="15" t="s">
        <v>776</v>
      </c>
      <c r="N603" s="15"/>
      <c r="O603" s="8" t="s">
        <v>410</v>
      </c>
      <c r="P603" s="8" t="s">
        <v>46</v>
      </c>
      <c r="Q603" s="9">
        <v>7.0000000000000007E-2</v>
      </c>
      <c r="R603" s="139">
        <v>1000004394</v>
      </c>
      <c r="S603" s="15"/>
      <c r="T603" s="18">
        <v>193.16</v>
      </c>
      <c r="U603" s="4">
        <v>0</v>
      </c>
      <c r="V603" s="6">
        <v>0</v>
      </c>
      <c r="W603" s="18">
        <f t="shared" si="92"/>
        <v>193.16</v>
      </c>
      <c r="X603" s="18">
        <f t="shared" si="91"/>
        <v>0</v>
      </c>
      <c r="Y603" s="13">
        <f t="shared" si="86"/>
        <v>0</v>
      </c>
      <c r="Z603" s="14">
        <v>0</v>
      </c>
      <c r="AA603" s="4">
        <v>0</v>
      </c>
      <c r="AB603" s="4">
        <f t="shared" si="87"/>
        <v>0</v>
      </c>
      <c r="AC603" s="6">
        <f t="shared" si="88"/>
        <v>0</v>
      </c>
      <c r="AD603" s="18">
        <f t="shared" si="84"/>
        <v>0</v>
      </c>
      <c r="AE603" s="2">
        <v>7.0000000000000007E-2</v>
      </c>
      <c r="AF603" s="5">
        <f t="shared" si="89"/>
        <v>0</v>
      </c>
      <c r="AG603" s="14">
        <v>0</v>
      </c>
      <c r="AH603" s="10">
        <f t="shared" si="85"/>
        <v>0</v>
      </c>
      <c r="AI603" s="16"/>
      <c r="AJ603" s="126" t="e">
        <v>#N/A</v>
      </c>
      <c r="AK603" s="80">
        <f t="shared" si="90"/>
        <v>0</v>
      </c>
      <c r="AM603" s="85"/>
    </row>
    <row r="604" spans="1:39" hidden="1" x14ac:dyDescent="0.3">
      <c r="A604" s="85" t="s">
        <v>34</v>
      </c>
      <c r="B604" s="15" t="s">
        <v>35</v>
      </c>
      <c r="C604" s="15" t="s">
        <v>59</v>
      </c>
      <c r="D604" s="15" t="s">
        <v>60</v>
      </c>
      <c r="E604" s="15" t="s">
        <v>774</v>
      </c>
      <c r="F604" s="15" t="s">
        <v>774</v>
      </c>
      <c r="G604" s="15" t="s">
        <v>774</v>
      </c>
      <c r="H604" s="139"/>
      <c r="I604" s="15" t="s">
        <v>408</v>
      </c>
      <c r="J604" s="1" t="s">
        <v>3324</v>
      </c>
      <c r="K604" s="1" t="s">
        <v>3278</v>
      </c>
      <c r="L604" s="1" t="s">
        <v>35</v>
      </c>
      <c r="M604" s="15" t="s">
        <v>777</v>
      </c>
      <c r="N604" s="15"/>
      <c r="O604" s="8" t="s">
        <v>410</v>
      </c>
      <c r="P604" s="8" t="s">
        <v>46</v>
      </c>
      <c r="Q604" s="9">
        <v>7.0000000000000007E-2</v>
      </c>
      <c r="R604" s="139">
        <v>1000022527</v>
      </c>
      <c r="S604" s="15"/>
      <c r="T604" s="18">
        <v>4000.15</v>
      </c>
      <c r="U604" s="4">
        <v>0</v>
      </c>
      <c r="V604" s="6">
        <v>0</v>
      </c>
      <c r="W604" s="18">
        <f t="shared" si="92"/>
        <v>4000.15</v>
      </c>
      <c r="X604" s="18">
        <f t="shared" si="91"/>
        <v>0</v>
      </c>
      <c r="Y604" s="13">
        <f t="shared" si="86"/>
        <v>0</v>
      </c>
      <c r="Z604" s="14">
        <v>0</v>
      </c>
      <c r="AA604" s="4">
        <v>0</v>
      </c>
      <c r="AB604" s="4">
        <f t="shared" si="87"/>
        <v>0</v>
      </c>
      <c r="AC604" s="6">
        <f t="shared" si="88"/>
        <v>0</v>
      </c>
      <c r="AD604" s="18">
        <f t="shared" si="84"/>
        <v>0</v>
      </c>
      <c r="AE604" s="2">
        <v>7.0000000000000007E-2</v>
      </c>
      <c r="AF604" s="5">
        <f t="shared" si="89"/>
        <v>0</v>
      </c>
      <c r="AG604" s="14">
        <v>0</v>
      </c>
      <c r="AH604" s="10">
        <f t="shared" si="85"/>
        <v>0</v>
      </c>
      <c r="AI604" s="16"/>
      <c r="AJ604" s="126" t="e">
        <v>#N/A</v>
      </c>
      <c r="AK604" s="80">
        <f t="shared" si="90"/>
        <v>0</v>
      </c>
      <c r="AM604" s="85"/>
    </row>
    <row r="605" spans="1:39" hidden="1" x14ac:dyDescent="0.3">
      <c r="A605" s="85" t="s">
        <v>34</v>
      </c>
      <c r="B605" s="15" t="s">
        <v>35</v>
      </c>
      <c r="C605" s="15" t="s">
        <v>59</v>
      </c>
      <c r="D605" s="15" t="s">
        <v>60</v>
      </c>
      <c r="E605" s="15" t="s">
        <v>778</v>
      </c>
      <c r="F605" s="15" t="s">
        <v>779</v>
      </c>
      <c r="G605" s="15" t="s">
        <v>778</v>
      </c>
      <c r="H605" s="139"/>
      <c r="I605" s="15" t="s">
        <v>408</v>
      </c>
      <c r="J605" s="1" t="s">
        <v>3324</v>
      </c>
      <c r="K605" s="1" t="s">
        <v>3278</v>
      </c>
      <c r="L605" s="1" t="s">
        <v>35</v>
      </c>
      <c r="M605" s="15" t="s">
        <v>780</v>
      </c>
      <c r="N605" s="15"/>
      <c r="O605" s="8" t="s">
        <v>410</v>
      </c>
      <c r="P605" s="8" t="s">
        <v>46</v>
      </c>
      <c r="Q605" s="9">
        <v>0.05</v>
      </c>
      <c r="R605" s="139">
        <v>1000025627</v>
      </c>
      <c r="S605" s="15"/>
      <c r="T605" s="18">
        <v>15691</v>
      </c>
      <c r="U605" s="4">
        <v>0</v>
      </c>
      <c r="V605" s="6">
        <v>0</v>
      </c>
      <c r="W605" s="18">
        <f t="shared" si="92"/>
        <v>15691</v>
      </c>
      <c r="X605" s="18">
        <f t="shared" si="91"/>
        <v>0</v>
      </c>
      <c r="Y605" s="13">
        <f t="shared" si="86"/>
        <v>0</v>
      </c>
      <c r="Z605" s="14">
        <v>0</v>
      </c>
      <c r="AA605" s="4">
        <v>0</v>
      </c>
      <c r="AB605" s="4">
        <f t="shared" si="87"/>
        <v>0</v>
      </c>
      <c r="AC605" s="6">
        <f t="shared" si="88"/>
        <v>0</v>
      </c>
      <c r="AD605" s="18">
        <f t="shared" si="84"/>
        <v>0</v>
      </c>
      <c r="AE605" s="2">
        <v>7.0000000000000007E-2</v>
      </c>
      <c r="AF605" s="5">
        <f t="shared" si="89"/>
        <v>0</v>
      </c>
      <c r="AG605" s="14">
        <v>0</v>
      </c>
      <c r="AH605" s="10">
        <f t="shared" si="85"/>
        <v>0</v>
      </c>
      <c r="AI605" s="16"/>
      <c r="AJ605" s="126" t="e">
        <v>#N/A</v>
      </c>
      <c r="AK605" s="80">
        <f t="shared" si="90"/>
        <v>0</v>
      </c>
      <c r="AM605" s="85"/>
    </row>
    <row r="606" spans="1:39" hidden="1" x14ac:dyDescent="0.3">
      <c r="A606" s="85" t="s">
        <v>34</v>
      </c>
      <c r="B606" s="15" t="s">
        <v>35</v>
      </c>
      <c r="C606" s="15" t="s">
        <v>59</v>
      </c>
      <c r="D606" s="15" t="s">
        <v>60</v>
      </c>
      <c r="E606" s="15" t="s">
        <v>781</v>
      </c>
      <c r="F606" s="15" t="s">
        <v>782</v>
      </c>
      <c r="G606" s="15" t="s">
        <v>781</v>
      </c>
      <c r="H606" s="139"/>
      <c r="I606" s="15" t="s">
        <v>408</v>
      </c>
      <c r="J606" s="1" t="s">
        <v>3324</v>
      </c>
      <c r="K606" s="1" t="s">
        <v>3278</v>
      </c>
      <c r="L606" s="1" t="s">
        <v>35</v>
      </c>
      <c r="M606" s="15" t="s">
        <v>783</v>
      </c>
      <c r="N606" s="15"/>
      <c r="O606" s="8" t="s">
        <v>410</v>
      </c>
      <c r="P606" s="8" t="s">
        <v>46</v>
      </c>
      <c r="Q606" s="9">
        <v>0.06</v>
      </c>
      <c r="R606" s="139">
        <v>1000000983</v>
      </c>
      <c r="S606" s="15"/>
      <c r="T606" s="18">
        <v>4469.6000000000004</v>
      </c>
      <c r="U606" s="4">
        <v>0</v>
      </c>
      <c r="V606" s="6">
        <v>0</v>
      </c>
      <c r="W606" s="18">
        <f t="shared" si="92"/>
        <v>4469.6000000000004</v>
      </c>
      <c r="X606" s="18">
        <f t="shared" si="91"/>
        <v>0</v>
      </c>
      <c r="Y606" s="13">
        <f t="shared" si="86"/>
        <v>0</v>
      </c>
      <c r="Z606" s="14">
        <v>0</v>
      </c>
      <c r="AA606" s="4">
        <v>0</v>
      </c>
      <c r="AB606" s="4">
        <f t="shared" si="87"/>
        <v>0</v>
      </c>
      <c r="AC606" s="6">
        <f t="shared" si="88"/>
        <v>0</v>
      </c>
      <c r="AD606" s="18">
        <f t="shared" si="84"/>
        <v>0</v>
      </c>
      <c r="AE606" s="2">
        <v>7.0000000000000007E-2</v>
      </c>
      <c r="AF606" s="5">
        <f t="shared" si="89"/>
        <v>0</v>
      </c>
      <c r="AG606" s="14">
        <v>0</v>
      </c>
      <c r="AH606" s="10">
        <f t="shared" si="85"/>
        <v>0</v>
      </c>
      <c r="AI606" s="16"/>
      <c r="AJ606" s="126" t="e">
        <v>#N/A</v>
      </c>
      <c r="AK606" s="80">
        <f t="shared" si="90"/>
        <v>0</v>
      </c>
      <c r="AM606" s="85"/>
    </row>
    <row r="607" spans="1:39" hidden="1" x14ac:dyDescent="0.3">
      <c r="A607" s="85" t="s">
        <v>34</v>
      </c>
      <c r="B607" s="15" t="s">
        <v>35</v>
      </c>
      <c r="C607" s="15" t="s">
        <v>59</v>
      </c>
      <c r="D607" s="15" t="s">
        <v>60</v>
      </c>
      <c r="E607" s="15" t="s">
        <v>784</v>
      </c>
      <c r="F607" s="15" t="s">
        <v>784</v>
      </c>
      <c r="G607" s="15" t="s">
        <v>784</v>
      </c>
      <c r="H607" s="139"/>
      <c r="I607" s="15" t="s">
        <v>408</v>
      </c>
      <c r="J607" s="1" t="s">
        <v>3324</v>
      </c>
      <c r="K607" s="1" t="s">
        <v>3278</v>
      </c>
      <c r="L607" s="1" t="s">
        <v>35</v>
      </c>
      <c r="M607" s="15" t="s">
        <v>785</v>
      </c>
      <c r="N607" s="15"/>
      <c r="O607" s="8" t="s">
        <v>410</v>
      </c>
      <c r="P607" s="8" t="s">
        <v>46</v>
      </c>
      <c r="Q607" s="9">
        <v>0.02</v>
      </c>
      <c r="R607" s="139">
        <v>1000015801</v>
      </c>
      <c r="S607" s="15"/>
      <c r="T607" s="18">
        <v>6886.9</v>
      </c>
      <c r="U607" s="4">
        <v>0</v>
      </c>
      <c r="V607" s="6">
        <v>0</v>
      </c>
      <c r="W607" s="18">
        <f t="shared" si="92"/>
        <v>6886.9</v>
      </c>
      <c r="X607" s="18">
        <f t="shared" si="91"/>
        <v>0</v>
      </c>
      <c r="Y607" s="13">
        <f t="shared" si="86"/>
        <v>0</v>
      </c>
      <c r="Z607" s="14">
        <v>0</v>
      </c>
      <c r="AA607" s="4">
        <v>0</v>
      </c>
      <c r="AB607" s="4">
        <f t="shared" si="87"/>
        <v>0</v>
      </c>
      <c r="AC607" s="6">
        <f t="shared" si="88"/>
        <v>0</v>
      </c>
      <c r="AD607" s="18">
        <f t="shared" si="84"/>
        <v>0</v>
      </c>
      <c r="AE607" s="2">
        <v>7.0000000000000007E-2</v>
      </c>
      <c r="AF607" s="5">
        <f t="shared" si="89"/>
        <v>0</v>
      </c>
      <c r="AG607" s="14">
        <v>0</v>
      </c>
      <c r="AH607" s="10">
        <f t="shared" si="85"/>
        <v>0</v>
      </c>
      <c r="AI607" s="16"/>
      <c r="AJ607" s="126" t="e">
        <v>#N/A</v>
      </c>
      <c r="AK607" s="80">
        <f t="shared" si="90"/>
        <v>0</v>
      </c>
      <c r="AM607" s="85"/>
    </row>
    <row r="608" spans="1:39" hidden="1" x14ac:dyDescent="0.3">
      <c r="A608" s="85" t="s">
        <v>34</v>
      </c>
      <c r="B608" s="15" t="s">
        <v>35</v>
      </c>
      <c r="C608" s="15" t="s">
        <v>59</v>
      </c>
      <c r="D608" s="15" t="s">
        <v>60</v>
      </c>
      <c r="E608" s="15" t="s">
        <v>786</v>
      </c>
      <c r="F608" s="15" t="s">
        <v>786</v>
      </c>
      <c r="G608" s="15" t="s">
        <v>786</v>
      </c>
      <c r="H608" s="139"/>
      <c r="I608" s="15" t="s">
        <v>408</v>
      </c>
      <c r="J608" s="1" t="s">
        <v>3324</v>
      </c>
      <c r="K608" s="1" t="s">
        <v>3278</v>
      </c>
      <c r="L608" s="1" t="s">
        <v>35</v>
      </c>
      <c r="M608" s="15" t="s">
        <v>787</v>
      </c>
      <c r="N608" s="15"/>
      <c r="O608" s="8" t="s">
        <v>410</v>
      </c>
      <c r="P608" s="8" t="s">
        <v>46</v>
      </c>
      <c r="Q608" s="9">
        <v>0.02</v>
      </c>
      <c r="R608" s="139">
        <v>1000042444</v>
      </c>
      <c r="S608" s="15"/>
      <c r="T608" s="18">
        <v>2384.46</v>
      </c>
      <c r="U608" s="4">
        <v>0</v>
      </c>
      <c r="V608" s="6">
        <v>0</v>
      </c>
      <c r="W608" s="18">
        <f t="shared" si="92"/>
        <v>2384.46</v>
      </c>
      <c r="X608" s="18">
        <f t="shared" si="91"/>
        <v>0</v>
      </c>
      <c r="Y608" s="13">
        <f t="shared" si="86"/>
        <v>0</v>
      </c>
      <c r="Z608" s="14">
        <v>0</v>
      </c>
      <c r="AA608" s="4">
        <v>0</v>
      </c>
      <c r="AB608" s="4">
        <f t="shared" si="87"/>
        <v>0</v>
      </c>
      <c r="AC608" s="6">
        <f t="shared" si="88"/>
        <v>0</v>
      </c>
      <c r="AD608" s="18">
        <f t="shared" si="84"/>
        <v>0</v>
      </c>
      <c r="AE608" s="2">
        <v>7.0000000000000007E-2</v>
      </c>
      <c r="AF608" s="5">
        <f t="shared" si="89"/>
        <v>0</v>
      </c>
      <c r="AG608" s="14">
        <v>0</v>
      </c>
      <c r="AH608" s="10">
        <f t="shared" si="85"/>
        <v>0</v>
      </c>
      <c r="AI608" s="16"/>
      <c r="AJ608" s="126" t="e">
        <v>#N/A</v>
      </c>
      <c r="AK608" s="80">
        <f t="shared" si="90"/>
        <v>0</v>
      </c>
      <c r="AM608" s="85"/>
    </row>
    <row r="609" spans="1:39" hidden="1" x14ac:dyDescent="0.3">
      <c r="A609" s="85" t="s">
        <v>34</v>
      </c>
      <c r="B609" s="15" t="s">
        <v>35</v>
      </c>
      <c r="C609" s="15" t="s">
        <v>59</v>
      </c>
      <c r="D609" s="15" t="s">
        <v>60</v>
      </c>
      <c r="E609" s="15" t="s">
        <v>786</v>
      </c>
      <c r="F609" s="15" t="s">
        <v>786</v>
      </c>
      <c r="G609" s="15" t="s">
        <v>786</v>
      </c>
      <c r="H609" s="139"/>
      <c r="I609" s="15" t="s">
        <v>408</v>
      </c>
      <c r="J609" s="1" t="s">
        <v>3324</v>
      </c>
      <c r="K609" s="1" t="s">
        <v>3278</v>
      </c>
      <c r="L609" s="1" t="s">
        <v>35</v>
      </c>
      <c r="M609" s="15" t="s">
        <v>788</v>
      </c>
      <c r="N609" s="15"/>
      <c r="O609" s="8" t="s">
        <v>410</v>
      </c>
      <c r="P609" s="8" t="s">
        <v>46</v>
      </c>
      <c r="Q609" s="9">
        <v>0.02</v>
      </c>
      <c r="R609" s="139">
        <v>1000038510</v>
      </c>
      <c r="S609" s="15"/>
      <c r="T609" s="18">
        <v>27993.81</v>
      </c>
      <c r="U609" s="4">
        <v>0</v>
      </c>
      <c r="V609" s="6">
        <v>0</v>
      </c>
      <c r="W609" s="18">
        <f t="shared" si="92"/>
        <v>27993.81</v>
      </c>
      <c r="X609" s="18">
        <f t="shared" si="91"/>
        <v>0</v>
      </c>
      <c r="Y609" s="13">
        <f t="shared" si="86"/>
        <v>0</v>
      </c>
      <c r="Z609" s="14">
        <v>0</v>
      </c>
      <c r="AA609" s="4">
        <v>0</v>
      </c>
      <c r="AB609" s="4">
        <f t="shared" si="87"/>
        <v>0</v>
      </c>
      <c r="AC609" s="6">
        <f t="shared" si="88"/>
        <v>0</v>
      </c>
      <c r="AD609" s="18">
        <f t="shared" si="84"/>
        <v>0</v>
      </c>
      <c r="AE609" s="2">
        <v>7.0000000000000007E-2</v>
      </c>
      <c r="AF609" s="5">
        <f t="shared" si="89"/>
        <v>0</v>
      </c>
      <c r="AG609" s="14">
        <v>0</v>
      </c>
      <c r="AH609" s="10">
        <f t="shared" si="85"/>
        <v>0</v>
      </c>
      <c r="AI609" s="16"/>
      <c r="AJ609" s="126" t="e">
        <v>#N/A</v>
      </c>
      <c r="AK609" s="80">
        <f t="shared" si="90"/>
        <v>0</v>
      </c>
      <c r="AM609" s="85"/>
    </row>
    <row r="610" spans="1:39" hidden="1" x14ac:dyDescent="0.3">
      <c r="A610" s="85" t="s">
        <v>34</v>
      </c>
      <c r="B610" s="15" t="s">
        <v>35</v>
      </c>
      <c r="C610" s="15" t="s">
        <v>59</v>
      </c>
      <c r="D610" s="15" t="s">
        <v>60</v>
      </c>
      <c r="E610" s="15" t="s">
        <v>786</v>
      </c>
      <c r="F610" s="15" t="s">
        <v>786</v>
      </c>
      <c r="G610" s="15" t="s">
        <v>786</v>
      </c>
      <c r="H610" s="139"/>
      <c r="I610" s="15" t="s">
        <v>408</v>
      </c>
      <c r="J610" s="1" t="s">
        <v>3324</v>
      </c>
      <c r="K610" s="1" t="s">
        <v>3278</v>
      </c>
      <c r="L610" s="1" t="s">
        <v>35</v>
      </c>
      <c r="M610" s="15" t="s">
        <v>789</v>
      </c>
      <c r="N610" s="15"/>
      <c r="O610" s="8" t="s">
        <v>410</v>
      </c>
      <c r="P610" s="8" t="s">
        <v>46</v>
      </c>
      <c r="Q610" s="9">
        <v>0.02</v>
      </c>
      <c r="R610" s="139">
        <v>1000025380</v>
      </c>
      <c r="S610" s="15"/>
      <c r="T610" s="18">
        <v>768.6</v>
      </c>
      <c r="U610" s="4">
        <v>0</v>
      </c>
      <c r="V610" s="6">
        <v>0</v>
      </c>
      <c r="W610" s="18">
        <f t="shared" si="92"/>
        <v>768.6</v>
      </c>
      <c r="X610" s="18">
        <f t="shared" si="91"/>
        <v>0</v>
      </c>
      <c r="Y610" s="13">
        <f t="shared" si="86"/>
        <v>0</v>
      </c>
      <c r="Z610" s="14">
        <v>0</v>
      </c>
      <c r="AA610" s="4">
        <v>0</v>
      </c>
      <c r="AB610" s="4">
        <f t="shared" si="87"/>
        <v>0</v>
      </c>
      <c r="AC610" s="6">
        <f t="shared" si="88"/>
        <v>0</v>
      </c>
      <c r="AD610" s="18">
        <f t="shared" si="84"/>
        <v>0</v>
      </c>
      <c r="AE610" s="2">
        <v>7.0000000000000007E-2</v>
      </c>
      <c r="AF610" s="5">
        <f t="shared" si="89"/>
        <v>0</v>
      </c>
      <c r="AG610" s="14">
        <v>0</v>
      </c>
      <c r="AH610" s="10">
        <f t="shared" si="85"/>
        <v>0</v>
      </c>
      <c r="AI610" s="16"/>
      <c r="AJ610" s="126" t="e">
        <v>#N/A</v>
      </c>
      <c r="AK610" s="80">
        <f t="shared" si="90"/>
        <v>0</v>
      </c>
      <c r="AM610" s="85"/>
    </row>
    <row r="611" spans="1:39" hidden="1" x14ac:dyDescent="0.3">
      <c r="A611" s="85" t="s">
        <v>34</v>
      </c>
      <c r="B611" s="15" t="s">
        <v>35</v>
      </c>
      <c r="C611" s="15" t="s">
        <v>59</v>
      </c>
      <c r="D611" s="15" t="s">
        <v>60</v>
      </c>
      <c r="E611" s="15" t="s">
        <v>786</v>
      </c>
      <c r="F611" s="15" t="s">
        <v>786</v>
      </c>
      <c r="G611" s="15" t="s">
        <v>786</v>
      </c>
      <c r="H611" s="139"/>
      <c r="I611" s="15" t="s">
        <v>408</v>
      </c>
      <c r="J611" s="1" t="s">
        <v>3324</v>
      </c>
      <c r="K611" s="1" t="s">
        <v>3278</v>
      </c>
      <c r="L611" s="1" t="s">
        <v>35</v>
      </c>
      <c r="M611" s="15" t="s">
        <v>790</v>
      </c>
      <c r="N611" s="15"/>
      <c r="O611" s="8" t="s">
        <v>410</v>
      </c>
      <c r="P611" s="8" t="s">
        <v>46</v>
      </c>
      <c r="Q611" s="9">
        <v>0.02</v>
      </c>
      <c r="R611" s="139">
        <v>1000026616</v>
      </c>
      <c r="S611" s="15"/>
      <c r="T611" s="18">
        <v>6557.88</v>
      </c>
      <c r="U611" s="4">
        <v>0</v>
      </c>
      <c r="V611" s="6">
        <v>0</v>
      </c>
      <c r="W611" s="18">
        <f t="shared" si="92"/>
        <v>6557.88</v>
      </c>
      <c r="X611" s="18">
        <f t="shared" si="91"/>
        <v>0</v>
      </c>
      <c r="Y611" s="13">
        <f t="shared" si="86"/>
        <v>0</v>
      </c>
      <c r="Z611" s="14">
        <v>0</v>
      </c>
      <c r="AA611" s="4">
        <v>0</v>
      </c>
      <c r="AB611" s="4">
        <f t="shared" si="87"/>
        <v>0</v>
      </c>
      <c r="AC611" s="6">
        <f t="shared" si="88"/>
        <v>0</v>
      </c>
      <c r="AD611" s="18">
        <f t="shared" si="84"/>
        <v>0</v>
      </c>
      <c r="AE611" s="2">
        <v>7.0000000000000007E-2</v>
      </c>
      <c r="AF611" s="5">
        <f t="shared" si="89"/>
        <v>0</v>
      </c>
      <c r="AG611" s="14">
        <v>0</v>
      </c>
      <c r="AH611" s="10">
        <f t="shared" si="85"/>
        <v>0</v>
      </c>
      <c r="AI611" s="16"/>
      <c r="AJ611" s="126" t="e">
        <v>#N/A</v>
      </c>
      <c r="AK611" s="80">
        <f t="shared" si="90"/>
        <v>0</v>
      </c>
      <c r="AM611" s="85"/>
    </row>
    <row r="612" spans="1:39" hidden="1" x14ac:dyDescent="0.3">
      <c r="A612" s="85" t="s">
        <v>34</v>
      </c>
      <c r="B612" s="15" t="s">
        <v>35</v>
      </c>
      <c r="C612" s="15" t="s">
        <v>59</v>
      </c>
      <c r="D612" s="15" t="s">
        <v>60</v>
      </c>
      <c r="E612" s="15" t="s">
        <v>786</v>
      </c>
      <c r="F612" s="15" t="s">
        <v>786</v>
      </c>
      <c r="G612" s="15" t="s">
        <v>786</v>
      </c>
      <c r="H612" s="139"/>
      <c r="I612" s="15" t="s">
        <v>408</v>
      </c>
      <c r="J612" s="1" t="s">
        <v>3324</v>
      </c>
      <c r="K612" s="1" t="s">
        <v>3278</v>
      </c>
      <c r="L612" s="1" t="s">
        <v>35</v>
      </c>
      <c r="M612" s="15" t="s">
        <v>791</v>
      </c>
      <c r="N612" s="15"/>
      <c r="O612" s="8" t="s">
        <v>410</v>
      </c>
      <c r="P612" s="8" t="s">
        <v>46</v>
      </c>
      <c r="Q612" s="9">
        <v>0.02</v>
      </c>
      <c r="R612" s="139">
        <v>1000020281</v>
      </c>
      <c r="S612" s="15"/>
      <c r="T612" s="18">
        <v>150.1</v>
      </c>
      <c r="U612" s="4">
        <v>0</v>
      </c>
      <c r="V612" s="6">
        <v>0</v>
      </c>
      <c r="W612" s="18">
        <f t="shared" si="92"/>
        <v>150.1</v>
      </c>
      <c r="X612" s="18">
        <f t="shared" si="91"/>
        <v>0</v>
      </c>
      <c r="Y612" s="13">
        <f t="shared" si="86"/>
        <v>0</v>
      </c>
      <c r="Z612" s="14">
        <v>0</v>
      </c>
      <c r="AA612" s="4">
        <v>0</v>
      </c>
      <c r="AB612" s="4">
        <f t="shared" si="87"/>
        <v>0</v>
      </c>
      <c r="AC612" s="6">
        <f t="shared" si="88"/>
        <v>0</v>
      </c>
      <c r="AD612" s="18">
        <f t="shared" si="84"/>
        <v>0</v>
      </c>
      <c r="AE612" s="2">
        <v>7.0000000000000007E-2</v>
      </c>
      <c r="AF612" s="5">
        <f t="shared" si="89"/>
        <v>0</v>
      </c>
      <c r="AG612" s="14">
        <v>0</v>
      </c>
      <c r="AH612" s="10">
        <f t="shared" si="85"/>
        <v>0</v>
      </c>
      <c r="AI612" s="16"/>
      <c r="AJ612" s="126" t="e">
        <v>#N/A</v>
      </c>
      <c r="AK612" s="80">
        <f t="shared" si="90"/>
        <v>0</v>
      </c>
      <c r="AM612" s="85"/>
    </row>
    <row r="613" spans="1:39" hidden="1" x14ac:dyDescent="0.3">
      <c r="A613" s="85" t="s">
        <v>34</v>
      </c>
      <c r="B613" s="15" t="s">
        <v>35</v>
      </c>
      <c r="C613" s="15" t="s">
        <v>59</v>
      </c>
      <c r="D613" s="15" t="s">
        <v>60</v>
      </c>
      <c r="E613" s="15" t="s">
        <v>786</v>
      </c>
      <c r="F613" s="15" t="s">
        <v>786</v>
      </c>
      <c r="G613" s="15" t="s">
        <v>786</v>
      </c>
      <c r="H613" s="139"/>
      <c r="I613" s="15" t="s">
        <v>408</v>
      </c>
      <c r="J613" s="1" t="s">
        <v>3324</v>
      </c>
      <c r="K613" s="1" t="s">
        <v>3278</v>
      </c>
      <c r="L613" s="1" t="s">
        <v>35</v>
      </c>
      <c r="M613" s="15" t="s">
        <v>792</v>
      </c>
      <c r="N613" s="15"/>
      <c r="O613" s="8" t="s">
        <v>410</v>
      </c>
      <c r="P613" s="8" t="s">
        <v>46</v>
      </c>
      <c r="Q613" s="9">
        <v>0.02</v>
      </c>
      <c r="R613" s="139">
        <v>1000027351</v>
      </c>
      <c r="S613" s="15"/>
      <c r="T613" s="18">
        <v>1336.7</v>
      </c>
      <c r="U613" s="4">
        <v>0</v>
      </c>
      <c r="V613" s="6">
        <v>0</v>
      </c>
      <c r="W613" s="18">
        <f t="shared" si="92"/>
        <v>1336.7</v>
      </c>
      <c r="X613" s="18">
        <f t="shared" si="91"/>
        <v>0</v>
      </c>
      <c r="Y613" s="13">
        <f t="shared" si="86"/>
        <v>0</v>
      </c>
      <c r="Z613" s="14">
        <v>0</v>
      </c>
      <c r="AA613" s="4">
        <v>0</v>
      </c>
      <c r="AB613" s="4">
        <f t="shared" si="87"/>
        <v>0</v>
      </c>
      <c r="AC613" s="6">
        <f t="shared" si="88"/>
        <v>0</v>
      </c>
      <c r="AD613" s="18">
        <f t="shared" si="84"/>
        <v>0</v>
      </c>
      <c r="AE613" s="2">
        <v>7.0000000000000007E-2</v>
      </c>
      <c r="AF613" s="5">
        <f t="shared" si="89"/>
        <v>0</v>
      </c>
      <c r="AG613" s="14">
        <v>0</v>
      </c>
      <c r="AH613" s="10">
        <f t="shared" si="85"/>
        <v>0</v>
      </c>
      <c r="AI613" s="16"/>
      <c r="AJ613" s="126" t="e">
        <v>#N/A</v>
      </c>
      <c r="AK613" s="80">
        <f t="shared" si="90"/>
        <v>0</v>
      </c>
      <c r="AM613" s="85"/>
    </row>
    <row r="614" spans="1:39" hidden="1" x14ac:dyDescent="0.3">
      <c r="A614" s="85" t="s">
        <v>34</v>
      </c>
      <c r="B614" s="15" t="s">
        <v>35</v>
      </c>
      <c r="C614" s="15" t="s">
        <v>59</v>
      </c>
      <c r="D614" s="15" t="s">
        <v>60</v>
      </c>
      <c r="E614" s="15" t="s">
        <v>786</v>
      </c>
      <c r="F614" s="15" t="s">
        <v>786</v>
      </c>
      <c r="G614" s="15" t="s">
        <v>786</v>
      </c>
      <c r="H614" s="139"/>
      <c r="I614" s="15" t="s">
        <v>408</v>
      </c>
      <c r="J614" s="1" t="s">
        <v>3324</v>
      </c>
      <c r="K614" s="1" t="s">
        <v>3278</v>
      </c>
      <c r="L614" s="1" t="s">
        <v>35</v>
      </c>
      <c r="M614" s="15" t="s">
        <v>793</v>
      </c>
      <c r="N614" s="15"/>
      <c r="O614" s="8" t="s">
        <v>410</v>
      </c>
      <c r="P614" s="8" t="s">
        <v>46</v>
      </c>
      <c r="Q614" s="9">
        <v>0.02</v>
      </c>
      <c r="R614" s="139">
        <v>1000020877</v>
      </c>
      <c r="S614" s="15"/>
      <c r="T614" s="18">
        <v>356.31</v>
      </c>
      <c r="U614" s="4">
        <v>0</v>
      </c>
      <c r="V614" s="6">
        <v>0</v>
      </c>
      <c r="W614" s="18">
        <f t="shared" si="92"/>
        <v>356.31</v>
      </c>
      <c r="X614" s="18">
        <f t="shared" si="91"/>
        <v>0</v>
      </c>
      <c r="Y614" s="13">
        <f t="shared" si="86"/>
        <v>0</v>
      </c>
      <c r="Z614" s="14">
        <v>0</v>
      </c>
      <c r="AA614" s="4">
        <v>0</v>
      </c>
      <c r="AB614" s="4">
        <f t="shared" si="87"/>
        <v>0</v>
      </c>
      <c r="AC614" s="6">
        <f t="shared" si="88"/>
        <v>0</v>
      </c>
      <c r="AD614" s="18">
        <f t="shared" si="84"/>
        <v>0</v>
      </c>
      <c r="AE614" s="2">
        <v>7.0000000000000007E-2</v>
      </c>
      <c r="AF614" s="5">
        <f t="shared" si="89"/>
        <v>0</v>
      </c>
      <c r="AG614" s="14">
        <v>0</v>
      </c>
      <c r="AH614" s="10">
        <f t="shared" si="85"/>
        <v>0</v>
      </c>
      <c r="AI614" s="16"/>
      <c r="AJ614" s="126" t="e">
        <v>#N/A</v>
      </c>
      <c r="AK614" s="80">
        <f t="shared" si="90"/>
        <v>0</v>
      </c>
      <c r="AM614" s="85"/>
    </row>
    <row r="615" spans="1:39" hidden="1" x14ac:dyDescent="0.3">
      <c r="A615" s="85" t="s">
        <v>34</v>
      </c>
      <c r="B615" s="15" t="s">
        <v>35</v>
      </c>
      <c r="C615" s="15" t="s">
        <v>59</v>
      </c>
      <c r="D615" s="15" t="s">
        <v>60</v>
      </c>
      <c r="E615" s="15" t="s">
        <v>786</v>
      </c>
      <c r="F615" s="15" t="s">
        <v>786</v>
      </c>
      <c r="G615" s="15" t="s">
        <v>786</v>
      </c>
      <c r="H615" s="139"/>
      <c r="I615" s="15" t="s">
        <v>408</v>
      </c>
      <c r="J615" s="1" t="s">
        <v>3324</v>
      </c>
      <c r="K615" s="1" t="s">
        <v>3278</v>
      </c>
      <c r="L615" s="1" t="s">
        <v>35</v>
      </c>
      <c r="M615" s="15" t="s">
        <v>794</v>
      </c>
      <c r="N615" s="15"/>
      <c r="O615" s="8" t="s">
        <v>410</v>
      </c>
      <c r="P615" s="8" t="s">
        <v>46</v>
      </c>
      <c r="Q615" s="9">
        <v>0.02</v>
      </c>
      <c r="R615" s="139">
        <v>1000026896</v>
      </c>
      <c r="S615" s="15"/>
      <c r="T615" s="18">
        <v>10166.4</v>
      </c>
      <c r="U615" s="4">
        <v>0</v>
      </c>
      <c r="V615" s="6">
        <v>0</v>
      </c>
      <c r="W615" s="18">
        <f t="shared" si="92"/>
        <v>10166.4</v>
      </c>
      <c r="X615" s="18">
        <f t="shared" si="91"/>
        <v>0</v>
      </c>
      <c r="Y615" s="13">
        <f t="shared" si="86"/>
        <v>0</v>
      </c>
      <c r="Z615" s="14">
        <v>0</v>
      </c>
      <c r="AA615" s="4">
        <v>0</v>
      </c>
      <c r="AB615" s="4">
        <f t="shared" si="87"/>
        <v>0</v>
      </c>
      <c r="AC615" s="6">
        <f t="shared" si="88"/>
        <v>0</v>
      </c>
      <c r="AD615" s="18">
        <f t="shared" si="84"/>
        <v>0</v>
      </c>
      <c r="AE615" s="2">
        <v>7.0000000000000007E-2</v>
      </c>
      <c r="AF615" s="5">
        <f t="shared" si="89"/>
        <v>0</v>
      </c>
      <c r="AG615" s="14">
        <v>0</v>
      </c>
      <c r="AH615" s="10">
        <f t="shared" si="85"/>
        <v>0</v>
      </c>
      <c r="AI615" s="16"/>
      <c r="AJ615" s="126" t="e">
        <v>#N/A</v>
      </c>
      <c r="AK615" s="80">
        <f t="shared" si="90"/>
        <v>0</v>
      </c>
      <c r="AM615" s="85"/>
    </row>
    <row r="616" spans="1:39" hidden="1" x14ac:dyDescent="0.3">
      <c r="A616" s="85" t="s">
        <v>34</v>
      </c>
      <c r="B616" s="15" t="s">
        <v>35</v>
      </c>
      <c r="C616" s="15" t="s">
        <v>295</v>
      </c>
      <c r="D616" s="15" t="s">
        <v>185</v>
      </c>
      <c r="E616" s="15" t="s">
        <v>795</v>
      </c>
      <c r="F616" s="15" t="s">
        <v>795</v>
      </c>
      <c r="G616" s="15" t="s">
        <v>795</v>
      </c>
      <c r="H616" s="139"/>
      <c r="I616" s="15" t="s">
        <v>408</v>
      </c>
      <c r="J616" s="1" t="s">
        <v>3324</v>
      </c>
      <c r="K616" s="1" t="s">
        <v>3278</v>
      </c>
      <c r="L616" s="1" t="s">
        <v>35</v>
      </c>
      <c r="M616" s="15" t="s">
        <v>796</v>
      </c>
      <c r="N616" s="15"/>
      <c r="O616" s="8" t="s">
        <v>410</v>
      </c>
      <c r="P616" s="8" t="s">
        <v>46</v>
      </c>
      <c r="Q616" s="9">
        <v>0.02</v>
      </c>
      <c r="R616" s="139">
        <v>1000015195</v>
      </c>
      <c r="S616" s="15"/>
      <c r="T616" s="18">
        <v>145.04</v>
      </c>
      <c r="U616" s="4">
        <v>0</v>
      </c>
      <c r="V616" s="6">
        <v>0</v>
      </c>
      <c r="W616" s="18">
        <f t="shared" si="92"/>
        <v>145.04</v>
      </c>
      <c r="X616" s="18">
        <f t="shared" si="91"/>
        <v>0</v>
      </c>
      <c r="Y616" s="13">
        <f t="shared" si="86"/>
        <v>0</v>
      </c>
      <c r="Z616" s="14">
        <v>0</v>
      </c>
      <c r="AA616" s="4">
        <v>0</v>
      </c>
      <c r="AB616" s="4">
        <f t="shared" si="87"/>
        <v>0</v>
      </c>
      <c r="AC616" s="6">
        <f t="shared" si="88"/>
        <v>0</v>
      </c>
      <c r="AD616" s="18">
        <f t="shared" si="84"/>
        <v>0</v>
      </c>
      <c r="AE616" s="2">
        <v>7.0000000000000007E-2</v>
      </c>
      <c r="AF616" s="5">
        <f t="shared" si="89"/>
        <v>0</v>
      </c>
      <c r="AG616" s="14">
        <v>0</v>
      </c>
      <c r="AH616" s="10">
        <f t="shared" si="85"/>
        <v>0</v>
      </c>
      <c r="AI616" s="16"/>
      <c r="AJ616" s="126" t="e">
        <v>#N/A</v>
      </c>
      <c r="AK616" s="80">
        <f t="shared" si="90"/>
        <v>0</v>
      </c>
      <c r="AM616" s="85"/>
    </row>
    <row r="617" spans="1:39" hidden="1" x14ac:dyDescent="0.3">
      <c r="A617" s="85" t="s">
        <v>34</v>
      </c>
      <c r="B617" s="15" t="s">
        <v>35</v>
      </c>
      <c r="C617" s="15" t="s">
        <v>295</v>
      </c>
      <c r="D617" s="15" t="s">
        <v>185</v>
      </c>
      <c r="E617" s="15" t="s">
        <v>797</v>
      </c>
      <c r="F617" s="15" t="s">
        <v>797</v>
      </c>
      <c r="G617" s="15" t="s">
        <v>797</v>
      </c>
      <c r="H617" s="139"/>
      <c r="I617" s="15" t="s">
        <v>408</v>
      </c>
      <c r="J617" s="1" t="s">
        <v>3324</v>
      </c>
      <c r="K617" s="1" t="s">
        <v>3278</v>
      </c>
      <c r="L617" s="1" t="s">
        <v>35</v>
      </c>
      <c r="M617" s="15" t="s">
        <v>798</v>
      </c>
      <c r="N617" s="15"/>
      <c r="O617" s="8" t="s">
        <v>410</v>
      </c>
      <c r="P617" s="8" t="s">
        <v>46</v>
      </c>
      <c r="Q617" s="9">
        <v>0.02</v>
      </c>
      <c r="R617" s="139">
        <v>1000026636</v>
      </c>
      <c r="S617" s="15"/>
      <c r="T617" s="18">
        <v>4027.61</v>
      </c>
      <c r="U617" s="4">
        <v>0</v>
      </c>
      <c r="V617" s="6">
        <v>0</v>
      </c>
      <c r="W617" s="18">
        <f t="shared" si="92"/>
        <v>4027.61</v>
      </c>
      <c r="X617" s="18">
        <f t="shared" si="91"/>
        <v>0</v>
      </c>
      <c r="Y617" s="13">
        <f t="shared" si="86"/>
        <v>0</v>
      </c>
      <c r="Z617" s="14">
        <v>0</v>
      </c>
      <c r="AA617" s="4">
        <v>0</v>
      </c>
      <c r="AB617" s="4">
        <f t="shared" si="87"/>
        <v>0</v>
      </c>
      <c r="AC617" s="6">
        <f t="shared" si="88"/>
        <v>0</v>
      </c>
      <c r="AD617" s="18">
        <f t="shared" si="84"/>
        <v>0</v>
      </c>
      <c r="AE617" s="2">
        <v>7.0000000000000007E-2</v>
      </c>
      <c r="AF617" s="5">
        <f t="shared" si="89"/>
        <v>0</v>
      </c>
      <c r="AG617" s="14">
        <v>0</v>
      </c>
      <c r="AH617" s="10">
        <f t="shared" si="85"/>
        <v>0</v>
      </c>
      <c r="AI617" s="16"/>
      <c r="AJ617" s="126" t="e">
        <v>#N/A</v>
      </c>
      <c r="AK617" s="80">
        <f t="shared" si="90"/>
        <v>0</v>
      </c>
      <c r="AM617" s="85"/>
    </row>
    <row r="618" spans="1:39" hidden="1" x14ac:dyDescent="0.3">
      <c r="A618" s="85" t="s">
        <v>34</v>
      </c>
      <c r="B618" s="15" t="s">
        <v>35</v>
      </c>
      <c r="C618" s="15" t="s">
        <v>295</v>
      </c>
      <c r="D618" s="15" t="s">
        <v>185</v>
      </c>
      <c r="E618" s="15" t="s">
        <v>799</v>
      </c>
      <c r="F618" s="15" t="s">
        <v>799</v>
      </c>
      <c r="G618" s="15" t="s">
        <v>799</v>
      </c>
      <c r="H618" s="139"/>
      <c r="I618" s="15" t="s">
        <v>408</v>
      </c>
      <c r="J618" s="1" t="s">
        <v>3324</v>
      </c>
      <c r="K618" s="1" t="s">
        <v>3278</v>
      </c>
      <c r="L618" s="1" t="s">
        <v>35</v>
      </c>
      <c r="M618" s="15" t="s">
        <v>800</v>
      </c>
      <c r="N618" s="15"/>
      <c r="O618" s="8" t="s">
        <v>410</v>
      </c>
      <c r="P618" s="8" t="s">
        <v>46</v>
      </c>
      <c r="Q618" s="9">
        <v>0.02</v>
      </c>
      <c r="R618" s="139">
        <v>1000041723</v>
      </c>
      <c r="S618" s="15"/>
      <c r="T618" s="18">
        <v>5617.1800000000012</v>
      </c>
      <c r="U618" s="4">
        <v>0</v>
      </c>
      <c r="V618" s="6">
        <v>0</v>
      </c>
      <c r="W618" s="18">
        <f t="shared" si="92"/>
        <v>5617.1800000000012</v>
      </c>
      <c r="X618" s="18">
        <f t="shared" si="91"/>
        <v>0</v>
      </c>
      <c r="Y618" s="13">
        <f t="shared" si="86"/>
        <v>0</v>
      </c>
      <c r="Z618" s="14">
        <v>0</v>
      </c>
      <c r="AA618" s="4">
        <v>0</v>
      </c>
      <c r="AB618" s="4">
        <f t="shared" si="87"/>
        <v>0</v>
      </c>
      <c r="AC618" s="6">
        <f t="shared" si="88"/>
        <v>0</v>
      </c>
      <c r="AD618" s="18">
        <f t="shared" si="84"/>
        <v>0</v>
      </c>
      <c r="AE618" s="2">
        <v>7.0000000000000007E-2</v>
      </c>
      <c r="AF618" s="5">
        <f t="shared" si="89"/>
        <v>0</v>
      </c>
      <c r="AG618" s="14">
        <v>0</v>
      </c>
      <c r="AH618" s="10">
        <f t="shared" si="85"/>
        <v>0</v>
      </c>
      <c r="AI618" s="16"/>
      <c r="AJ618" s="126" t="e">
        <v>#N/A</v>
      </c>
      <c r="AK618" s="80">
        <f t="shared" si="90"/>
        <v>0</v>
      </c>
      <c r="AM618" s="85"/>
    </row>
    <row r="619" spans="1:39" hidden="1" x14ac:dyDescent="0.3">
      <c r="A619" s="85" t="s">
        <v>34</v>
      </c>
      <c r="B619" s="15" t="s">
        <v>35</v>
      </c>
      <c r="C619" s="15" t="s">
        <v>295</v>
      </c>
      <c r="D619" s="15" t="s">
        <v>185</v>
      </c>
      <c r="E619" s="15" t="s">
        <v>801</v>
      </c>
      <c r="F619" s="15" t="s">
        <v>801</v>
      </c>
      <c r="G619" s="15" t="s">
        <v>801</v>
      </c>
      <c r="H619" s="139"/>
      <c r="I619" s="15" t="s">
        <v>408</v>
      </c>
      <c r="J619" s="1" t="s">
        <v>3324</v>
      </c>
      <c r="K619" s="1" t="s">
        <v>3278</v>
      </c>
      <c r="L619" s="1" t="s">
        <v>35</v>
      </c>
      <c r="M619" s="15" t="s">
        <v>802</v>
      </c>
      <c r="N619" s="15"/>
      <c r="O619" s="8" t="s">
        <v>410</v>
      </c>
      <c r="P619" s="8" t="s">
        <v>46</v>
      </c>
      <c r="Q619" s="9">
        <v>0.06</v>
      </c>
      <c r="R619" s="139">
        <v>1000030978</v>
      </c>
      <c r="S619" s="15"/>
      <c r="T619" s="18">
        <v>8.6</v>
      </c>
      <c r="U619" s="4">
        <v>0</v>
      </c>
      <c r="V619" s="6">
        <v>0</v>
      </c>
      <c r="W619" s="18">
        <f t="shared" si="92"/>
        <v>8.6</v>
      </c>
      <c r="X619" s="18">
        <f t="shared" si="91"/>
        <v>0</v>
      </c>
      <c r="Y619" s="13">
        <f t="shared" si="86"/>
        <v>0</v>
      </c>
      <c r="Z619" s="14">
        <v>0</v>
      </c>
      <c r="AA619" s="4">
        <v>0</v>
      </c>
      <c r="AB619" s="4">
        <f t="shared" si="87"/>
        <v>0</v>
      </c>
      <c r="AC619" s="6">
        <f t="shared" si="88"/>
        <v>0</v>
      </c>
      <c r="AD619" s="18">
        <f t="shared" si="84"/>
        <v>0</v>
      </c>
      <c r="AE619" s="2">
        <v>7.0000000000000007E-2</v>
      </c>
      <c r="AF619" s="5">
        <f t="shared" si="89"/>
        <v>0</v>
      </c>
      <c r="AG619" s="14">
        <v>0</v>
      </c>
      <c r="AH619" s="10">
        <f t="shared" si="85"/>
        <v>0</v>
      </c>
      <c r="AI619" s="16"/>
      <c r="AJ619" s="126" t="e">
        <v>#N/A</v>
      </c>
      <c r="AK619" s="80">
        <f t="shared" si="90"/>
        <v>0</v>
      </c>
      <c r="AM619" s="85"/>
    </row>
    <row r="620" spans="1:39" hidden="1" x14ac:dyDescent="0.3">
      <c r="A620" s="85" t="s">
        <v>34</v>
      </c>
      <c r="B620" s="15" t="s">
        <v>35</v>
      </c>
      <c r="C620" s="15" t="s">
        <v>295</v>
      </c>
      <c r="D620" s="15" t="s">
        <v>185</v>
      </c>
      <c r="E620" s="15" t="s">
        <v>803</v>
      </c>
      <c r="F620" s="15" t="s">
        <v>803</v>
      </c>
      <c r="G620" s="15" t="s">
        <v>803</v>
      </c>
      <c r="H620" s="139"/>
      <c r="I620" s="15" t="s">
        <v>408</v>
      </c>
      <c r="J620" s="1" t="s">
        <v>3324</v>
      </c>
      <c r="K620" s="1" t="s">
        <v>3278</v>
      </c>
      <c r="L620" s="1" t="s">
        <v>35</v>
      </c>
      <c r="M620" s="15" t="s">
        <v>804</v>
      </c>
      <c r="N620" s="15"/>
      <c r="O620" s="8" t="s">
        <v>410</v>
      </c>
      <c r="P620" s="8" t="s">
        <v>46</v>
      </c>
      <c r="Q620" s="9">
        <v>0.06</v>
      </c>
      <c r="R620" s="139">
        <v>1000017569</v>
      </c>
      <c r="S620" s="15"/>
      <c r="T620" s="18">
        <v>117244.06</v>
      </c>
      <c r="U620" s="4">
        <v>0</v>
      </c>
      <c r="V620" s="6">
        <v>0</v>
      </c>
      <c r="W620" s="18">
        <f t="shared" si="92"/>
        <v>117244.06</v>
      </c>
      <c r="X620" s="18">
        <f t="shared" si="91"/>
        <v>0</v>
      </c>
      <c r="Y620" s="13">
        <f t="shared" si="86"/>
        <v>0</v>
      </c>
      <c r="Z620" s="14">
        <v>0</v>
      </c>
      <c r="AA620" s="4">
        <v>0</v>
      </c>
      <c r="AB620" s="4">
        <f t="shared" si="87"/>
        <v>0</v>
      </c>
      <c r="AC620" s="6">
        <f t="shared" si="88"/>
        <v>0</v>
      </c>
      <c r="AD620" s="18">
        <f t="shared" si="84"/>
        <v>0</v>
      </c>
      <c r="AE620" s="2">
        <v>7.0000000000000007E-2</v>
      </c>
      <c r="AF620" s="5">
        <f t="shared" si="89"/>
        <v>0</v>
      </c>
      <c r="AG620" s="14">
        <v>0</v>
      </c>
      <c r="AH620" s="10">
        <f t="shared" si="85"/>
        <v>0</v>
      </c>
      <c r="AI620" s="16"/>
      <c r="AJ620" s="126" t="e">
        <v>#N/A</v>
      </c>
      <c r="AK620" s="80">
        <f t="shared" si="90"/>
        <v>0</v>
      </c>
      <c r="AM620" s="85"/>
    </row>
    <row r="621" spans="1:39" hidden="1" x14ac:dyDescent="0.3">
      <c r="A621" s="85" t="s">
        <v>34</v>
      </c>
      <c r="B621" s="15" t="s">
        <v>35</v>
      </c>
      <c r="C621" s="15" t="s">
        <v>144</v>
      </c>
      <c r="D621" s="15" t="s">
        <v>145</v>
      </c>
      <c r="E621" s="15" t="s">
        <v>805</v>
      </c>
      <c r="F621" s="15" t="s">
        <v>805</v>
      </c>
      <c r="G621" s="15" t="s">
        <v>805</v>
      </c>
      <c r="H621" s="139"/>
      <c r="I621" s="15" t="s">
        <v>408</v>
      </c>
      <c r="J621" s="1" t="s">
        <v>3324</v>
      </c>
      <c r="K621" s="1" t="s">
        <v>3278</v>
      </c>
      <c r="L621" s="1" t="s">
        <v>35</v>
      </c>
      <c r="M621" s="15" t="s">
        <v>806</v>
      </c>
      <c r="N621" s="15"/>
      <c r="O621" s="8" t="s">
        <v>410</v>
      </c>
      <c r="P621" s="8" t="s">
        <v>41</v>
      </c>
      <c r="Q621" s="9">
        <v>0</v>
      </c>
      <c r="R621" s="139">
        <v>1000042360</v>
      </c>
      <c r="S621" s="15"/>
      <c r="T621" s="18">
        <v>484</v>
      </c>
      <c r="U621" s="4">
        <v>0</v>
      </c>
      <c r="V621" s="6">
        <v>0</v>
      </c>
      <c r="W621" s="18">
        <f t="shared" si="92"/>
        <v>484</v>
      </c>
      <c r="X621" s="18">
        <f t="shared" si="91"/>
        <v>0</v>
      </c>
      <c r="Y621" s="13">
        <f t="shared" si="86"/>
        <v>0</v>
      </c>
      <c r="Z621" s="14">
        <v>0</v>
      </c>
      <c r="AA621" s="4">
        <v>0</v>
      </c>
      <c r="AB621" s="4">
        <f t="shared" si="87"/>
        <v>0</v>
      </c>
      <c r="AC621" s="6">
        <f t="shared" si="88"/>
        <v>0</v>
      </c>
      <c r="AD621" s="18">
        <f t="shared" si="84"/>
        <v>0</v>
      </c>
      <c r="AE621" s="2">
        <v>7.0000000000000007E-2</v>
      </c>
      <c r="AF621" s="5">
        <f t="shared" si="89"/>
        <v>0</v>
      </c>
      <c r="AG621" s="14">
        <v>0</v>
      </c>
      <c r="AH621" s="10">
        <f t="shared" si="85"/>
        <v>0</v>
      </c>
      <c r="AI621" s="16"/>
      <c r="AJ621" s="126" t="e">
        <v>#N/A</v>
      </c>
      <c r="AK621" s="80">
        <f t="shared" si="90"/>
        <v>0</v>
      </c>
      <c r="AM621" s="85"/>
    </row>
    <row r="622" spans="1:39" hidden="1" x14ac:dyDescent="0.3">
      <c r="A622" s="85" t="s">
        <v>34</v>
      </c>
      <c r="B622" s="15" t="s">
        <v>35</v>
      </c>
      <c r="C622" s="15" t="s">
        <v>144</v>
      </c>
      <c r="D622" s="15" t="s">
        <v>145</v>
      </c>
      <c r="E622" s="15" t="s">
        <v>805</v>
      </c>
      <c r="F622" s="15" t="s">
        <v>805</v>
      </c>
      <c r="G622" s="15" t="s">
        <v>805</v>
      </c>
      <c r="H622" s="139"/>
      <c r="I622" s="15" t="s">
        <v>408</v>
      </c>
      <c r="J622" s="1" t="s">
        <v>3324</v>
      </c>
      <c r="K622" s="1" t="s">
        <v>3278</v>
      </c>
      <c r="L622" s="1" t="s">
        <v>35</v>
      </c>
      <c r="M622" s="15" t="s">
        <v>807</v>
      </c>
      <c r="N622" s="15"/>
      <c r="O622" s="8" t="s">
        <v>410</v>
      </c>
      <c r="P622" s="8" t="s">
        <v>41</v>
      </c>
      <c r="Q622" s="9">
        <v>0</v>
      </c>
      <c r="R622" s="139">
        <v>1000006287</v>
      </c>
      <c r="S622" s="15"/>
      <c r="T622" s="18">
        <v>778.26</v>
      </c>
      <c r="U622" s="4">
        <v>0</v>
      </c>
      <c r="V622" s="6">
        <v>0</v>
      </c>
      <c r="W622" s="18">
        <f t="shared" si="92"/>
        <v>778.26</v>
      </c>
      <c r="X622" s="18">
        <f t="shared" si="91"/>
        <v>0</v>
      </c>
      <c r="Y622" s="13">
        <f t="shared" si="86"/>
        <v>0</v>
      </c>
      <c r="Z622" s="14">
        <v>0</v>
      </c>
      <c r="AA622" s="4">
        <v>0</v>
      </c>
      <c r="AB622" s="4">
        <f t="shared" si="87"/>
        <v>0</v>
      </c>
      <c r="AC622" s="6">
        <f t="shared" si="88"/>
        <v>0</v>
      </c>
      <c r="AD622" s="18">
        <f t="shared" si="84"/>
        <v>0</v>
      </c>
      <c r="AE622" s="2">
        <v>7.0000000000000007E-2</v>
      </c>
      <c r="AF622" s="5">
        <f t="shared" si="89"/>
        <v>0</v>
      </c>
      <c r="AG622" s="14">
        <v>0</v>
      </c>
      <c r="AH622" s="10">
        <f t="shared" si="85"/>
        <v>0</v>
      </c>
      <c r="AI622" s="16"/>
      <c r="AJ622" s="126" t="e">
        <v>#N/A</v>
      </c>
      <c r="AK622" s="80">
        <f t="shared" si="90"/>
        <v>0</v>
      </c>
      <c r="AM622" s="85"/>
    </row>
    <row r="623" spans="1:39" hidden="1" x14ac:dyDescent="0.3">
      <c r="A623" s="85" t="s">
        <v>34</v>
      </c>
      <c r="B623" s="15" t="s">
        <v>35</v>
      </c>
      <c r="C623" s="15" t="s">
        <v>144</v>
      </c>
      <c r="D623" s="15" t="s">
        <v>145</v>
      </c>
      <c r="E623" s="15" t="s">
        <v>805</v>
      </c>
      <c r="F623" s="15" t="s">
        <v>805</v>
      </c>
      <c r="G623" s="15" t="s">
        <v>805</v>
      </c>
      <c r="H623" s="139"/>
      <c r="I623" s="15" t="s">
        <v>408</v>
      </c>
      <c r="J623" s="1" t="s">
        <v>3324</v>
      </c>
      <c r="K623" s="1" t="s">
        <v>3278</v>
      </c>
      <c r="L623" s="1" t="s">
        <v>35</v>
      </c>
      <c r="M623" s="15" t="s">
        <v>808</v>
      </c>
      <c r="N623" s="15"/>
      <c r="O623" s="8" t="s">
        <v>45</v>
      </c>
      <c r="P623" s="8" t="s">
        <v>46</v>
      </c>
      <c r="Q623" s="9">
        <v>0.04</v>
      </c>
      <c r="R623" s="139">
        <v>1000008342</v>
      </c>
      <c r="S623" s="15"/>
      <c r="T623" s="18">
        <v>10200</v>
      </c>
      <c r="U623" s="4">
        <v>0</v>
      </c>
      <c r="V623" s="6">
        <v>0</v>
      </c>
      <c r="W623" s="18">
        <f t="shared" si="92"/>
        <v>10200</v>
      </c>
      <c r="X623" s="18">
        <f t="shared" si="91"/>
        <v>0</v>
      </c>
      <c r="Y623" s="13">
        <f t="shared" si="86"/>
        <v>0</v>
      </c>
      <c r="Z623" s="14">
        <v>0</v>
      </c>
      <c r="AA623" s="4">
        <v>0</v>
      </c>
      <c r="AB623" s="4">
        <f t="shared" si="87"/>
        <v>0</v>
      </c>
      <c r="AC623" s="6">
        <f t="shared" si="88"/>
        <v>0</v>
      </c>
      <c r="AD623" s="18">
        <f t="shared" si="84"/>
        <v>0</v>
      </c>
      <c r="AE623" s="2">
        <v>0.12</v>
      </c>
      <c r="AF623" s="5">
        <f t="shared" si="89"/>
        <v>0</v>
      </c>
      <c r="AG623" s="14">
        <v>0</v>
      </c>
      <c r="AH623" s="10">
        <f t="shared" si="85"/>
        <v>0</v>
      </c>
      <c r="AI623" s="16"/>
      <c r="AJ623" s="126" t="e">
        <v>#N/A</v>
      </c>
      <c r="AK623" s="80">
        <f t="shared" si="90"/>
        <v>0</v>
      </c>
      <c r="AM623" s="85"/>
    </row>
    <row r="624" spans="1:39" hidden="1" x14ac:dyDescent="0.3">
      <c r="A624" s="85" t="s">
        <v>34</v>
      </c>
      <c r="B624" s="15" t="s">
        <v>35</v>
      </c>
      <c r="C624" s="15" t="s">
        <v>144</v>
      </c>
      <c r="D624" s="15" t="s">
        <v>145</v>
      </c>
      <c r="E624" s="15" t="s">
        <v>805</v>
      </c>
      <c r="F624" s="15" t="s">
        <v>805</v>
      </c>
      <c r="G624" s="15" t="s">
        <v>805</v>
      </c>
      <c r="H624" s="139"/>
      <c r="I624" s="15" t="s">
        <v>408</v>
      </c>
      <c r="J624" s="1" t="s">
        <v>3324</v>
      </c>
      <c r="K624" s="1" t="s">
        <v>3278</v>
      </c>
      <c r="L624" s="1" t="s">
        <v>35</v>
      </c>
      <c r="M624" s="15" t="s">
        <v>809</v>
      </c>
      <c r="N624" s="15"/>
      <c r="O624" s="8" t="s">
        <v>410</v>
      </c>
      <c r="P624" s="8" t="s">
        <v>41</v>
      </c>
      <c r="Q624" s="9">
        <v>0</v>
      </c>
      <c r="R624" s="139">
        <v>1000013880</v>
      </c>
      <c r="S624" s="15"/>
      <c r="T624" s="18">
        <v>49.5</v>
      </c>
      <c r="U624" s="4">
        <v>0</v>
      </c>
      <c r="V624" s="6">
        <v>0</v>
      </c>
      <c r="W624" s="18">
        <f t="shared" si="92"/>
        <v>49.5</v>
      </c>
      <c r="X624" s="18">
        <f t="shared" si="91"/>
        <v>0</v>
      </c>
      <c r="Y624" s="13">
        <f t="shared" si="86"/>
        <v>0</v>
      </c>
      <c r="Z624" s="14">
        <v>0</v>
      </c>
      <c r="AA624" s="4">
        <v>0</v>
      </c>
      <c r="AB624" s="4">
        <f t="shared" si="87"/>
        <v>0</v>
      </c>
      <c r="AC624" s="6">
        <f t="shared" si="88"/>
        <v>0</v>
      </c>
      <c r="AD624" s="18">
        <f t="shared" si="84"/>
        <v>0</v>
      </c>
      <c r="AE624" s="2">
        <v>7.0000000000000007E-2</v>
      </c>
      <c r="AF624" s="5">
        <f t="shared" si="89"/>
        <v>0</v>
      </c>
      <c r="AG624" s="14">
        <v>0</v>
      </c>
      <c r="AH624" s="10">
        <f t="shared" si="85"/>
        <v>0</v>
      </c>
      <c r="AI624" s="16"/>
      <c r="AJ624" s="126" t="e">
        <v>#N/A</v>
      </c>
      <c r="AK624" s="80">
        <f t="shared" si="90"/>
        <v>0</v>
      </c>
      <c r="AM624" s="85"/>
    </row>
    <row r="625" spans="1:39" hidden="1" x14ac:dyDescent="0.3">
      <c r="A625" s="85" t="s">
        <v>34</v>
      </c>
      <c r="B625" s="15" t="s">
        <v>35</v>
      </c>
      <c r="C625" s="15" t="s">
        <v>144</v>
      </c>
      <c r="D625" s="15" t="s">
        <v>145</v>
      </c>
      <c r="E625" s="15" t="s">
        <v>805</v>
      </c>
      <c r="F625" s="15" t="s">
        <v>805</v>
      </c>
      <c r="G625" s="15" t="s">
        <v>805</v>
      </c>
      <c r="H625" s="139"/>
      <c r="I625" s="15" t="s">
        <v>408</v>
      </c>
      <c r="J625" s="1" t="s">
        <v>3324</v>
      </c>
      <c r="K625" s="1" t="s">
        <v>3278</v>
      </c>
      <c r="L625" s="1" t="s">
        <v>35</v>
      </c>
      <c r="M625" s="15" t="s">
        <v>810</v>
      </c>
      <c r="N625" s="15"/>
      <c r="O625" s="8" t="s">
        <v>410</v>
      </c>
      <c r="P625" s="8" t="s">
        <v>41</v>
      </c>
      <c r="Q625" s="9">
        <v>0</v>
      </c>
      <c r="R625" s="139">
        <v>1000012766</v>
      </c>
      <c r="S625" s="15"/>
      <c r="T625" s="18">
        <v>3542.3</v>
      </c>
      <c r="U625" s="4">
        <v>0</v>
      </c>
      <c r="V625" s="6">
        <v>0</v>
      </c>
      <c r="W625" s="18">
        <f t="shared" si="92"/>
        <v>3542.3</v>
      </c>
      <c r="X625" s="18">
        <f t="shared" si="91"/>
        <v>0</v>
      </c>
      <c r="Y625" s="13">
        <f t="shared" si="86"/>
        <v>0</v>
      </c>
      <c r="Z625" s="14">
        <v>0</v>
      </c>
      <c r="AA625" s="4">
        <v>0</v>
      </c>
      <c r="AB625" s="4">
        <f t="shared" si="87"/>
        <v>0</v>
      </c>
      <c r="AC625" s="6">
        <f t="shared" si="88"/>
        <v>0</v>
      </c>
      <c r="AD625" s="18">
        <f t="shared" si="84"/>
        <v>0</v>
      </c>
      <c r="AE625" s="2">
        <v>7.0000000000000007E-2</v>
      </c>
      <c r="AF625" s="5">
        <f t="shared" si="89"/>
        <v>0</v>
      </c>
      <c r="AG625" s="14">
        <v>0</v>
      </c>
      <c r="AH625" s="10">
        <f t="shared" si="85"/>
        <v>0</v>
      </c>
      <c r="AI625" s="16"/>
      <c r="AJ625" s="126" t="e">
        <v>#N/A</v>
      </c>
      <c r="AK625" s="80">
        <f t="shared" si="90"/>
        <v>0</v>
      </c>
      <c r="AM625" s="85"/>
    </row>
    <row r="626" spans="1:39" hidden="1" x14ac:dyDescent="0.3">
      <c r="A626" s="85" t="s">
        <v>34</v>
      </c>
      <c r="B626" s="15" t="s">
        <v>35</v>
      </c>
      <c r="C626" s="15" t="s">
        <v>295</v>
      </c>
      <c r="D626" s="15" t="s">
        <v>185</v>
      </c>
      <c r="E626" s="15" t="s">
        <v>811</v>
      </c>
      <c r="F626" s="15" t="s">
        <v>811</v>
      </c>
      <c r="G626" s="15" t="s">
        <v>811</v>
      </c>
      <c r="H626" s="139"/>
      <c r="I626" s="15" t="s">
        <v>408</v>
      </c>
      <c r="J626" s="1" t="s">
        <v>3324</v>
      </c>
      <c r="K626" s="1" t="s">
        <v>3278</v>
      </c>
      <c r="L626" s="1" t="s">
        <v>35</v>
      </c>
      <c r="M626" s="15" t="s">
        <v>812</v>
      </c>
      <c r="N626" s="15"/>
      <c r="O626" s="8" t="s">
        <v>410</v>
      </c>
      <c r="P626" s="8" t="s">
        <v>41</v>
      </c>
      <c r="Q626" s="9">
        <v>0</v>
      </c>
      <c r="R626" s="139">
        <v>1000017685</v>
      </c>
      <c r="S626" s="15"/>
      <c r="T626" s="18">
        <v>4203.45</v>
      </c>
      <c r="U626" s="4">
        <v>0</v>
      </c>
      <c r="V626" s="6">
        <v>0</v>
      </c>
      <c r="W626" s="18">
        <f t="shared" si="92"/>
        <v>4203.45</v>
      </c>
      <c r="X626" s="18">
        <f t="shared" si="91"/>
        <v>0</v>
      </c>
      <c r="Y626" s="13">
        <f t="shared" si="86"/>
        <v>0</v>
      </c>
      <c r="Z626" s="14">
        <v>0</v>
      </c>
      <c r="AA626" s="4">
        <v>0</v>
      </c>
      <c r="AB626" s="4">
        <f t="shared" si="87"/>
        <v>0</v>
      </c>
      <c r="AC626" s="6">
        <f t="shared" si="88"/>
        <v>0</v>
      </c>
      <c r="AD626" s="18">
        <f t="shared" si="84"/>
        <v>0</v>
      </c>
      <c r="AE626" s="2">
        <v>7.0000000000000007E-2</v>
      </c>
      <c r="AF626" s="5">
        <f t="shared" si="89"/>
        <v>0</v>
      </c>
      <c r="AG626" s="14">
        <v>0</v>
      </c>
      <c r="AH626" s="10">
        <f t="shared" si="85"/>
        <v>0</v>
      </c>
      <c r="AI626" s="16"/>
      <c r="AJ626" s="126" t="e">
        <v>#N/A</v>
      </c>
      <c r="AK626" s="80">
        <f t="shared" si="90"/>
        <v>0</v>
      </c>
      <c r="AM626" s="85"/>
    </row>
    <row r="627" spans="1:39" hidden="1" x14ac:dyDescent="0.3">
      <c r="A627" s="85" t="s">
        <v>34</v>
      </c>
      <c r="B627" s="15" t="s">
        <v>35</v>
      </c>
      <c r="C627" s="15" t="s">
        <v>295</v>
      </c>
      <c r="D627" s="15" t="s">
        <v>185</v>
      </c>
      <c r="E627" s="15" t="s">
        <v>813</v>
      </c>
      <c r="F627" s="15" t="s">
        <v>813</v>
      </c>
      <c r="G627" s="15" t="s">
        <v>813</v>
      </c>
      <c r="H627" s="139"/>
      <c r="I627" s="15" t="s">
        <v>408</v>
      </c>
      <c r="J627" s="1" t="s">
        <v>3324</v>
      </c>
      <c r="K627" s="1" t="s">
        <v>3278</v>
      </c>
      <c r="L627" s="1" t="s">
        <v>35</v>
      </c>
      <c r="M627" s="15" t="s">
        <v>814</v>
      </c>
      <c r="N627" s="15"/>
      <c r="O627" s="8" t="s">
        <v>410</v>
      </c>
      <c r="P627" s="8" t="s">
        <v>46</v>
      </c>
      <c r="Q627" s="9">
        <v>0.05</v>
      </c>
      <c r="R627" s="139">
        <v>1000018310</v>
      </c>
      <c r="S627" s="15"/>
      <c r="T627" s="18">
        <v>33599.269999999997</v>
      </c>
      <c r="U627" s="4">
        <v>0</v>
      </c>
      <c r="V627" s="6">
        <v>0</v>
      </c>
      <c r="W627" s="18">
        <f t="shared" si="92"/>
        <v>33599.269999999997</v>
      </c>
      <c r="X627" s="18">
        <f t="shared" si="91"/>
        <v>0</v>
      </c>
      <c r="Y627" s="13">
        <f t="shared" si="86"/>
        <v>0</v>
      </c>
      <c r="Z627" s="14">
        <v>0</v>
      </c>
      <c r="AA627" s="4">
        <v>0</v>
      </c>
      <c r="AB627" s="4">
        <f t="shared" si="87"/>
        <v>0</v>
      </c>
      <c r="AC627" s="6">
        <f t="shared" si="88"/>
        <v>0</v>
      </c>
      <c r="AD627" s="18">
        <f t="shared" si="84"/>
        <v>0</v>
      </c>
      <c r="AE627" s="2">
        <v>7.0000000000000007E-2</v>
      </c>
      <c r="AF627" s="5">
        <f t="shared" si="89"/>
        <v>0</v>
      </c>
      <c r="AG627" s="14">
        <v>0</v>
      </c>
      <c r="AH627" s="10">
        <f t="shared" si="85"/>
        <v>0</v>
      </c>
      <c r="AI627" s="16"/>
      <c r="AJ627" s="126" t="e">
        <v>#N/A</v>
      </c>
      <c r="AK627" s="80">
        <f t="shared" si="90"/>
        <v>0</v>
      </c>
      <c r="AM627" s="85"/>
    </row>
    <row r="628" spans="1:39" hidden="1" x14ac:dyDescent="0.3">
      <c r="A628" s="85" t="s">
        <v>34</v>
      </c>
      <c r="B628" s="15" t="s">
        <v>35</v>
      </c>
      <c r="C628" s="15" t="s">
        <v>295</v>
      </c>
      <c r="D628" s="15" t="s">
        <v>185</v>
      </c>
      <c r="E628" s="15" t="s">
        <v>815</v>
      </c>
      <c r="F628" s="15" t="s">
        <v>815</v>
      </c>
      <c r="G628" s="15" t="s">
        <v>815</v>
      </c>
      <c r="H628" s="139"/>
      <c r="I628" s="15" t="s">
        <v>408</v>
      </c>
      <c r="J628" s="1" t="s">
        <v>3324</v>
      </c>
      <c r="K628" s="1" t="s">
        <v>3278</v>
      </c>
      <c r="L628" s="1" t="s">
        <v>35</v>
      </c>
      <c r="M628" s="15" t="s">
        <v>816</v>
      </c>
      <c r="N628" s="15"/>
      <c r="O628" s="8" t="s">
        <v>410</v>
      </c>
      <c r="P628" s="8" t="s">
        <v>46</v>
      </c>
      <c r="Q628" s="9">
        <v>0.02</v>
      </c>
      <c r="R628" s="139">
        <v>1000020394</v>
      </c>
      <c r="S628" s="15"/>
      <c r="T628" s="18">
        <v>5730.1</v>
      </c>
      <c r="U628" s="4">
        <v>0</v>
      </c>
      <c r="V628" s="6">
        <v>0</v>
      </c>
      <c r="W628" s="18">
        <f t="shared" si="92"/>
        <v>5730.1</v>
      </c>
      <c r="X628" s="18">
        <f t="shared" si="91"/>
        <v>0</v>
      </c>
      <c r="Y628" s="13">
        <f t="shared" si="86"/>
        <v>0</v>
      </c>
      <c r="Z628" s="14">
        <v>0</v>
      </c>
      <c r="AA628" s="4">
        <v>0</v>
      </c>
      <c r="AB628" s="4">
        <f t="shared" si="87"/>
        <v>0</v>
      </c>
      <c r="AC628" s="6">
        <f t="shared" si="88"/>
        <v>0</v>
      </c>
      <c r="AD628" s="18">
        <f t="shared" si="84"/>
        <v>0</v>
      </c>
      <c r="AE628" s="2">
        <v>7.0000000000000007E-2</v>
      </c>
      <c r="AF628" s="5">
        <f t="shared" si="89"/>
        <v>0</v>
      </c>
      <c r="AG628" s="14">
        <v>0</v>
      </c>
      <c r="AH628" s="10">
        <f t="shared" si="85"/>
        <v>0</v>
      </c>
      <c r="AI628" s="16"/>
      <c r="AJ628" s="126" t="e">
        <v>#N/A</v>
      </c>
      <c r="AK628" s="80">
        <f t="shared" si="90"/>
        <v>0</v>
      </c>
      <c r="AM628" s="85"/>
    </row>
    <row r="629" spans="1:39" hidden="1" x14ac:dyDescent="0.3">
      <c r="A629" s="85" t="s">
        <v>34</v>
      </c>
      <c r="B629" s="15" t="s">
        <v>35</v>
      </c>
      <c r="C629" s="15" t="s">
        <v>295</v>
      </c>
      <c r="D629" s="15" t="s">
        <v>185</v>
      </c>
      <c r="E629" s="15" t="s">
        <v>817</v>
      </c>
      <c r="F629" s="15" t="s">
        <v>817</v>
      </c>
      <c r="G629" s="15" t="s">
        <v>817</v>
      </c>
      <c r="H629" s="139"/>
      <c r="I629" s="15" t="s">
        <v>408</v>
      </c>
      <c r="J629" s="1" t="s">
        <v>3324</v>
      </c>
      <c r="K629" s="1" t="s">
        <v>3278</v>
      </c>
      <c r="L629" s="1" t="s">
        <v>35</v>
      </c>
      <c r="M629" s="15" t="s">
        <v>818</v>
      </c>
      <c r="N629" s="15"/>
      <c r="O629" s="8" t="s">
        <v>45</v>
      </c>
      <c r="P629" s="8" t="s">
        <v>41</v>
      </c>
      <c r="Q629" s="9">
        <v>0</v>
      </c>
      <c r="R629" s="139">
        <v>1000009833</v>
      </c>
      <c r="S629" s="15"/>
      <c r="T629" s="18">
        <v>4648.87</v>
      </c>
      <c r="U629" s="4">
        <v>0</v>
      </c>
      <c r="V629" s="6">
        <v>0</v>
      </c>
      <c r="W629" s="18">
        <f t="shared" si="92"/>
        <v>4648.87</v>
      </c>
      <c r="X629" s="18">
        <f t="shared" si="91"/>
        <v>0</v>
      </c>
      <c r="Y629" s="13">
        <f t="shared" si="86"/>
        <v>0</v>
      </c>
      <c r="Z629" s="14">
        <v>0</v>
      </c>
      <c r="AA629" s="4">
        <v>0</v>
      </c>
      <c r="AB629" s="4">
        <f t="shared" si="87"/>
        <v>0</v>
      </c>
      <c r="AC629" s="6">
        <f t="shared" si="88"/>
        <v>0</v>
      </c>
      <c r="AD629" s="18">
        <f t="shared" ref="AD629:AD692" si="93">V629*0.547109961125019</f>
        <v>0</v>
      </c>
      <c r="AE629" s="2">
        <v>0.12</v>
      </c>
      <c r="AF629" s="5">
        <f t="shared" si="89"/>
        <v>0</v>
      </c>
      <c r="AG629" s="14">
        <v>0</v>
      </c>
      <c r="AH629" s="10">
        <f t="shared" ref="AH629:AH692" si="94">V629</f>
        <v>0</v>
      </c>
      <c r="AI629" s="16"/>
      <c r="AJ629" s="126" t="e">
        <v>#N/A</v>
      </c>
      <c r="AK629" s="80">
        <f t="shared" si="90"/>
        <v>0</v>
      </c>
      <c r="AM629" s="85"/>
    </row>
    <row r="630" spans="1:39" hidden="1" x14ac:dyDescent="0.3">
      <c r="A630" s="85" t="s">
        <v>34</v>
      </c>
      <c r="B630" s="15" t="s">
        <v>35</v>
      </c>
      <c r="C630" s="15" t="s">
        <v>295</v>
      </c>
      <c r="D630" s="15" t="s">
        <v>185</v>
      </c>
      <c r="E630" s="15" t="s">
        <v>819</v>
      </c>
      <c r="F630" s="15" t="s">
        <v>819</v>
      </c>
      <c r="G630" s="15" t="s">
        <v>819</v>
      </c>
      <c r="H630" s="139"/>
      <c r="I630" s="15" t="s">
        <v>408</v>
      </c>
      <c r="J630" s="1" t="s">
        <v>3324</v>
      </c>
      <c r="K630" s="1" t="s">
        <v>3278</v>
      </c>
      <c r="L630" s="1" t="s">
        <v>35</v>
      </c>
      <c r="M630" s="15" t="s">
        <v>820</v>
      </c>
      <c r="N630" s="15"/>
      <c r="O630" s="8" t="s">
        <v>410</v>
      </c>
      <c r="P630" s="8" t="s">
        <v>46</v>
      </c>
      <c r="Q630" s="9">
        <v>0.02</v>
      </c>
      <c r="R630" s="139">
        <v>1000025032</v>
      </c>
      <c r="S630" s="15"/>
      <c r="T630" s="18">
        <v>110</v>
      </c>
      <c r="U630" s="4">
        <v>0</v>
      </c>
      <c r="V630" s="6">
        <v>0</v>
      </c>
      <c r="W630" s="18">
        <f t="shared" si="92"/>
        <v>110</v>
      </c>
      <c r="X630" s="18">
        <f t="shared" si="91"/>
        <v>0</v>
      </c>
      <c r="Y630" s="13">
        <f t="shared" si="86"/>
        <v>0</v>
      </c>
      <c r="Z630" s="14">
        <v>0</v>
      </c>
      <c r="AA630" s="4">
        <v>0</v>
      </c>
      <c r="AB630" s="4">
        <f t="shared" si="87"/>
        <v>0</v>
      </c>
      <c r="AC630" s="6">
        <f t="shared" si="88"/>
        <v>0</v>
      </c>
      <c r="AD630" s="18">
        <f t="shared" si="93"/>
        <v>0</v>
      </c>
      <c r="AE630" s="2">
        <v>7.0000000000000007E-2</v>
      </c>
      <c r="AF630" s="5">
        <f t="shared" si="89"/>
        <v>0</v>
      </c>
      <c r="AG630" s="14">
        <v>0</v>
      </c>
      <c r="AH630" s="10">
        <f t="shared" si="94"/>
        <v>0</v>
      </c>
      <c r="AI630" s="16"/>
      <c r="AJ630" s="126" t="e">
        <v>#N/A</v>
      </c>
      <c r="AK630" s="80">
        <f t="shared" si="90"/>
        <v>0</v>
      </c>
      <c r="AM630" s="85"/>
    </row>
    <row r="631" spans="1:39" hidden="1" x14ac:dyDescent="0.3">
      <c r="A631" s="85" t="s">
        <v>34</v>
      </c>
      <c r="B631" s="15" t="s">
        <v>35</v>
      </c>
      <c r="C631" s="15" t="s">
        <v>295</v>
      </c>
      <c r="D631" s="15" t="s">
        <v>185</v>
      </c>
      <c r="E631" s="15" t="s">
        <v>821</v>
      </c>
      <c r="F631" s="15" t="s">
        <v>821</v>
      </c>
      <c r="G631" s="15" t="s">
        <v>821</v>
      </c>
      <c r="H631" s="139"/>
      <c r="I631" s="15" t="s">
        <v>408</v>
      </c>
      <c r="J631" s="1" t="s">
        <v>3324</v>
      </c>
      <c r="K631" s="1" t="s">
        <v>3278</v>
      </c>
      <c r="L631" s="1" t="s">
        <v>35</v>
      </c>
      <c r="M631" s="15" t="s">
        <v>822</v>
      </c>
      <c r="N631" s="15"/>
      <c r="O631" s="8" t="s">
        <v>410</v>
      </c>
      <c r="P631" s="8" t="s">
        <v>41</v>
      </c>
      <c r="Q631" s="9">
        <v>0</v>
      </c>
      <c r="R631" s="139">
        <v>1000030803</v>
      </c>
      <c r="S631" s="15"/>
      <c r="T631" s="18">
        <v>9231.0499999999993</v>
      </c>
      <c r="U631" s="4">
        <v>0</v>
      </c>
      <c r="V631" s="6">
        <v>0</v>
      </c>
      <c r="W631" s="18">
        <f t="shared" si="92"/>
        <v>9231.0499999999993</v>
      </c>
      <c r="X631" s="18">
        <f t="shared" si="91"/>
        <v>0</v>
      </c>
      <c r="Y631" s="13">
        <f t="shared" si="86"/>
        <v>0</v>
      </c>
      <c r="Z631" s="14">
        <v>0</v>
      </c>
      <c r="AA631" s="4">
        <v>0</v>
      </c>
      <c r="AB631" s="4">
        <f t="shared" si="87"/>
        <v>0</v>
      </c>
      <c r="AC631" s="6">
        <f t="shared" si="88"/>
        <v>0</v>
      </c>
      <c r="AD631" s="18">
        <f t="shared" si="93"/>
        <v>0</v>
      </c>
      <c r="AE631" s="2">
        <v>7.0000000000000007E-2</v>
      </c>
      <c r="AF631" s="5">
        <f t="shared" si="89"/>
        <v>0</v>
      </c>
      <c r="AG631" s="14">
        <v>0</v>
      </c>
      <c r="AH631" s="10">
        <f t="shared" si="94"/>
        <v>0</v>
      </c>
      <c r="AI631" s="16"/>
      <c r="AJ631" s="126" t="e">
        <v>#N/A</v>
      </c>
      <c r="AK631" s="80">
        <f t="shared" si="90"/>
        <v>0</v>
      </c>
      <c r="AM631" s="85"/>
    </row>
    <row r="632" spans="1:39" hidden="1" x14ac:dyDescent="0.3">
      <c r="A632" s="85" t="s">
        <v>34</v>
      </c>
      <c r="B632" s="15" t="s">
        <v>35</v>
      </c>
      <c r="C632" s="15" t="s">
        <v>36</v>
      </c>
      <c r="D632" s="15" t="s">
        <v>823</v>
      </c>
      <c r="E632" s="15" t="s">
        <v>824</v>
      </c>
      <c r="F632" s="15" t="s">
        <v>824</v>
      </c>
      <c r="G632" s="15" t="s">
        <v>824</v>
      </c>
      <c r="H632" s="139"/>
      <c r="I632" s="15" t="s">
        <v>408</v>
      </c>
      <c r="J632" s="1" t="s">
        <v>3324</v>
      </c>
      <c r="K632" s="1" t="s">
        <v>3278</v>
      </c>
      <c r="L632" s="1" t="s">
        <v>35</v>
      </c>
      <c r="M632" s="15" t="s">
        <v>825</v>
      </c>
      <c r="N632" s="15"/>
      <c r="O632" s="8" t="s">
        <v>410</v>
      </c>
      <c r="P632" s="8" t="s">
        <v>46</v>
      </c>
      <c r="Q632" s="9">
        <v>0.14000000000000001</v>
      </c>
      <c r="R632" s="139">
        <v>1000026795</v>
      </c>
      <c r="S632" s="15"/>
      <c r="T632" s="18">
        <v>11400</v>
      </c>
      <c r="U632" s="4">
        <v>0</v>
      </c>
      <c r="V632" s="6">
        <v>0</v>
      </c>
      <c r="W632" s="18">
        <f t="shared" si="92"/>
        <v>11400</v>
      </c>
      <c r="X632" s="18">
        <f t="shared" si="91"/>
        <v>0</v>
      </c>
      <c r="Y632" s="13">
        <f t="shared" si="86"/>
        <v>0</v>
      </c>
      <c r="Z632" s="14">
        <v>0</v>
      </c>
      <c r="AA632" s="4">
        <v>0</v>
      </c>
      <c r="AB632" s="4">
        <f t="shared" si="87"/>
        <v>0</v>
      </c>
      <c r="AC632" s="6">
        <f t="shared" si="88"/>
        <v>0</v>
      </c>
      <c r="AD632" s="18">
        <f t="shared" si="93"/>
        <v>0</v>
      </c>
      <c r="AE632" s="2">
        <v>7.0000000000000007E-2</v>
      </c>
      <c r="AF632" s="5">
        <f t="shared" si="89"/>
        <v>0</v>
      </c>
      <c r="AG632" s="14">
        <v>0</v>
      </c>
      <c r="AH632" s="10">
        <f t="shared" si="94"/>
        <v>0</v>
      </c>
      <c r="AI632" s="16"/>
      <c r="AJ632" s="126" t="e">
        <v>#N/A</v>
      </c>
      <c r="AK632" s="80">
        <f t="shared" si="90"/>
        <v>0</v>
      </c>
      <c r="AM632" s="85"/>
    </row>
    <row r="633" spans="1:39" hidden="1" x14ac:dyDescent="0.3">
      <c r="A633" s="85" t="s">
        <v>34</v>
      </c>
      <c r="B633" s="15" t="s">
        <v>35</v>
      </c>
      <c r="C633" s="15" t="s">
        <v>295</v>
      </c>
      <c r="D633" s="15" t="s">
        <v>298</v>
      </c>
      <c r="E633" s="15" t="s">
        <v>826</v>
      </c>
      <c r="F633" s="15" t="s">
        <v>826</v>
      </c>
      <c r="G633" s="15" t="s">
        <v>826</v>
      </c>
      <c r="H633" s="139"/>
      <c r="I633" s="15" t="s">
        <v>408</v>
      </c>
      <c r="J633" s="1" t="s">
        <v>3324</v>
      </c>
      <c r="K633" s="1" t="s">
        <v>3278</v>
      </c>
      <c r="L633" s="1" t="s">
        <v>35</v>
      </c>
      <c r="M633" s="15" t="s">
        <v>827</v>
      </c>
      <c r="N633" s="15"/>
      <c r="O633" s="8" t="s">
        <v>45</v>
      </c>
      <c r="P633" s="8" t="s">
        <v>46</v>
      </c>
      <c r="Q633" s="9">
        <v>0.12</v>
      </c>
      <c r="R633" s="139">
        <v>1000034280</v>
      </c>
      <c r="S633" s="15"/>
      <c r="T633" s="18">
        <v>5000</v>
      </c>
      <c r="U633" s="4">
        <v>0</v>
      </c>
      <c r="V633" s="6">
        <v>0</v>
      </c>
      <c r="W633" s="18">
        <f t="shared" si="92"/>
        <v>5000</v>
      </c>
      <c r="X633" s="18">
        <f t="shared" si="91"/>
        <v>0</v>
      </c>
      <c r="Y633" s="13">
        <f t="shared" si="86"/>
        <v>0</v>
      </c>
      <c r="Z633" s="14">
        <v>0</v>
      </c>
      <c r="AA633" s="4">
        <v>0</v>
      </c>
      <c r="AB633" s="4"/>
      <c r="AC633" s="6">
        <f t="shared" si="88"/>
        <v>0</v>
      </c>
      <c r="AD633" s="18">
        <f t="shared" si="93"/>
        <v>0</v>
      </c>
      <c r="AE633" s="2">
        <v>0.12</v>
      </c>
      <c r="AF633" s="5">
        <f t="shared" si="89"/>
        <v>0</v>
      </c>
      <c r="AG633" s="14">
        <v>0</v>
      </c>
      <c r="AH633" s="10">
        <f t="shared" si="94"/>
        <v>0</v>
      </c>
      <c r="AI633" s="16"/>
      <c r="AJ633" s="126">
        <v>28</v>
      </c>
      <c r="AK633" s="80">
        <f t="shared" si="90"/>
        <v>0</v>
      </c>
      <c r="AM633" s="85"/>
    </row>
    <row r="634" spans="1:39" hidden="1" x14ac:dyDescent="0.3">
      <c r="A634" s="85" t="s">
        <v>34</v>
      </c>
      <c r="B634" s="15" t="s">
        <v>35</v>
      </c>
      <c r="C634" s="15" t="s">
        <v>295</v>
      </c>
      <c r="D634" s="15" t="s">
        <v>298</v>
      </c>
      <c r="E634" s="15" t="s">
        <v>826</v>
      </c>
      <c r="F634" s="15" t="s">
        <v>826</v>
      </c>
      <c r="G634" s="15" t="s">
        <v>826</v>
      </c>
      <c r="H634" s="139"/>
      <c r="I634" s="15" t="s">
        <v>408</v>
      </c>
      <c r="J634" s="1" t="s">
        <v>3324</v>
      </c>
      <c r="K634" s="1" t="s">
        <v>3278</v>
      </c>
      <c r="L634" s="1" t="s">
        <v>35</v>
      </c>
      <c r="M634" s="15" t="s">
        <v>828</v>
      </c>
      <c r="N634" s="15"/>
      <c r="O634" s="8" t="s">
        <v>45</v>
      </c>
      <c r="P634" s="8" t="s">
        <v>46</v>
      </c>
      <c r="Q634" s="9">
        <v>0.12</v>
      </c>
      <c r="R634" s="139">
        <v>1000033907</v>
      </c>
      <c r="S634" s="15"/>
      <c r="T634" s="18">
        <v>4566.68</v>
      </c>
      <c r="U634" s="4">
        <v>0</v>
      </c>
      <c r="V634" s="6">
        <v>0</v>
      </c>
      <c r="W634" s="18">
        <f t="shared" si="92"/>
        <v>4566.68</v>
      </c>
      <c r="X634" s="18">
        <f t="shared" si="91"/>
        <v>0</v>
      </c>
      <c r="Y634" s="13">
        <f t="shared" si="86"/>
        <v>0</v>
      </c>
      <c r="Z634" s="14">
        <v>0</v>
      </c>
      <c r="AA634" s="4">
        <v>0</v>
      </c>
      <c r="AB634" s="4"/>
      <c r="AC634" s="6">
        <f t="shared" si="88"/>
        <v>0</v>
      </c>
      <c r="AD634" s="18">
        <f t="shared" si="93"/>
        <v>0</v>
      </c>
      <c r="AE634" s="2">
        <v>0.12</v>
      </c>
      <c r="AF634" s="5">
        <f t="shared" si="89"/>
        <v>0</v>
      </c>
      <c r="AG634" s="14">
        <v>0</v>
      </c>
      <c r="AH634" s="10">
        <f t="shared" si="94"/>
        <v>0</v>
      </c>
      <c r="AI634" s="16"/>
      <c r="AJ634" s="126">
        <v>28</v>
      </c>
      <c r="AK634" s="80">
        <f t="shared" si="90"/>
        <v>0</v>
      </c>
      <c r="AM634" s="85"/>
    </row>
    <row r="635" spans="1:39" hidden="1" x14ac:dyDescent="0.3">
      <c r="A635" s="85" t="s">
        <v>34</v>
      </c>
      <c r="B635" s="15" t="s">
        <v>35</v>
      </c>
      <c r="C635" s="15" t="s">
        <v>295</v>
      </c>
      <c r="D635" s="15" t="s">
        <v>298</v>
      </c>
      <c r="E635" s="15" t="s">
        <v>829</v>
      </c>
      <c r="F635" s="15" t="s">
        <v>829</v>
      </c>
      <c r="G635" s="15" t="s">
        <v>829</v>
      </c>
      <c r="H635" s="139"/>
      <c r="I635" s="15" t="s">
        <v>408</v>
      </c>
      <c r="J635" s="1" t="s">
        <v>3324</v>
      </c>
      <c r="K635" s="1" t="s">
        <v>3278</v>
      </c>
      <c r="L635" s="1" t="s">
        <v>35</v>
      </c>
      <c r="M635" s="15" t="s">
        <v>830</v>
      </c>
      <c r="N635" s="15"/>
      <c r="O635" s="8" t="s">
        <v>410</v>
      </c>
      <c r="P635" s="8" t="s">
        <v>46</v>
      </c>
      <c r="Q635" s="9">
        <v>0.02</v>
      </c>
      <c r="R635" s="139">
        <v>1000022171</v>
      </c>
      <c r="S635" s="15"/>
      <c r="T635" s="18">
        <v>4893.2</v>
      </c>
      <c r="U635" s="4">
        <v>0</v>
      </c>
      <c r="V635" s="6">
        <v>0</v>
      </c>
      <c r="W635" s="18">
        <f t="shared" si="92"/>
        <v>4893.2</v>
      </c>
      <c r="X635" s="18">
        <f t="shared" si="91"/>
        <v>0</v>
      </c>
      <c r="Y635" s="13">
        <f t="shared" si="86"/>
        <v>0</v>
      </c>
      <c r="Z635" s="14">
        <v>0</v>
      </c>
      <c r="AA635" s="4">
        <v>0</v>
      </c>
      <c r="AB635" s="4">
        <f t="shared" si="87"/>
        <v>0</v>
      </c>
      <c r="AC635" s="6">
        <f t="shared" si="88"/>
        <v>0</v>
      </c>
      <c r="AD635" s="18">
        <f t="shared" si="93"/>
        <v>0</v>
      </c>
      <c r="AE635" s="2">
        <v>7.0000000000000007E-2</v>
      </c>
      <c r="AF635" s="5">
        <f t="shared" si="89"/>
        <v>0</v>
      </c>
      <c r="AG635" s="14">
        <v>0</v>
      </c>
      <c r="AH635" s="10">
        <f t="shared" si="94"/>
        <v>0</v>
      </c>
      <c r="AI635" s="16"/>
      <c r="AJ635" s="126" t="e">
        <v>#N/A</v>
      </c>
      <c r="AK635" s="80">
        <f t="shared" si="90"/>
        <v>0</v>
      </c>
      <c r="AM635" s="85"/>
    </row>
    <row r="636" spans="1:39" hidden="1" x14ac:dyDescent="0.3">
      <c r="A636" s="85" t="s">
        <v>34</v>
      </c>
      <c r="B636" s="15" t="s">
        <v>35</v>
      </c>
      <c r="C636" s="15" t="s">
        <v>295</v>
      </c>
      <c r="D636" s="15" t="s">
        <v>298</v>
      </c>
      <c r="E636" s="15" t="s">
        <v>831</v>
      </c>
      <c r="F636" s="15" t="s">
        <v>831</v>
      </c>
      <c r="G636" s="15" t="s">
        <v>831</v>
      </c>
      <c r="H636" s="139"/>
      <c r="I636" s="15" t="s">
        <v>408</v>
      </c>
      <c r="J636" s="1" t="s">
        <v>3324</v>
      </c>
      <c r="K636" s="1" t="s">
        <v>3278</v>
      </c>
      <c r="L636" s="1" t="s">
        <v>35</v>
      </c>
      <c r="M636" s="15" t="s">
        <v>832</v>
      </c>
      <c r="N636" s="15"/>
      <c r="O636" s="8" t="s">
        <v>45</v>
      </c>
      <c r="P636" s="8" t="s">
        <v>46</v>
      </c>
      <c r="Q636" s="9">
        <v>0.08</v>
      </c>
      <c r="R636" s="139">
        <v>1000027257</v>
      </c>
      <c r="S636" s="15"/>
      <c r="T636" s="18">
        <v>188113.3</v>
      </c>
      <c r="U636" s="4">
        <v>0</v>
      </c>
      <c r="V636" s="6">
        <v>0</v>
      </c>
      <c r="W636" s="18">
        <f t="shared" si="92"/>
        <v>188113.3</v>
      </c>
      <c r="X636" s="18">
        <f t="shared" si="91"/>
        <v>0</v>
      </c>
      <c r="Y636" s="13">
        <f t="shared" si="86"/>
        <v>0</v>
      </c>
      <c r="Z636" s="14">
        <v>0</v>
      </c>
      <c r="AA636" s="4">
        <v>0</v>
      </c>
      <c r="AB636" s="4"/>
      <c r="AC636" s="6">
        <f t="shared" si="88"/>
        <v>0</v>
      </c>
      <c r="AD636" s="18">
        <f t="shared" si="93"/>
        <v>0</v>
      </c>
      <c r="AE636" s="2">
        <v>0.12</v>
      </c>
      <c r="AF636" s="5">
        <f t="shared" si="89"/>
        <v>0</v>
      </c>
      <c r="AG636" s="14">
        <v>0</v>
      </c>
      <c r="AH636" s="10">
        <f t="shared" si="94"/>
        <v>0</v>
      </c>
      <c r="AI636" s="16"/>
      <c r="AJ636" s="126">
        <v>25</v>
      </c>
      <c r="AK636" s="80">
        <f t="shared" si="90"/>
        <v>0</v>
      </c>
      <c r="AM636" s="85"/>
    </row>
    <row r="637" spans="1:39" hidden="1" x14ac:dyDescent="0.3">
      <c r="A637" s="85" t="s">
        <v>34</v>
      </c>
      <c r="B637" s="15" t="s">
        <v>35</v>
      </c>
      <c r="C637" s="15" t="s">
        <v>295</v>
      </c>
      <c r="D637" s="15" t="s">
        <v>298</v>
      </c>
      <c r="E637" s="15" t="s">
        <v>833</v>
      </c>
      <c r="F637" s="15" t="s">
        <v>833</v>
      </c>
      <c r="G637" s="15" t="s">
        <v>833</v>
      </c>
      <c r="H637" s="139"/>
      <c r="I637" s="15" t="s">
        <v>408</v>
      </c>
      <c r="J637" s="1" t="s">
        <v>3324</v>
      </c>
      <c r="K637" s="1" t="s">
        <v>3278</v>
      </c>
      <c r="L637" s="1" t="s">
        <v>35</v>
      </c>
      <c r="M637" s="15" t="s">
        <v>834</v>
      </c>
      <c r="N637" s="15"/>
      <c r="O637" s="8" t="s">
        <v>410</v>
      </c>
      <c r="P637" s="8" t="s">
        <v>46</v>
      </c>
      <c r="Q637" s="9">
        <v>0.06</v>
      </c>
      <c r="R637" s="139">
        <v>1000010261</v>
      </c>
      <c r="S637" s="15"/>
      <c r="T637" s="18">
        <v>9056.2000000000007</v>
      </c>
      <c r="U637" s="4">
        <v>0</v>
      </c>
      <c r="V637" s="6">
        <v>0</v>
      </c>
      <c r="W637" s="18">
        <f t="shared" si="92"/>
        <v>9056.2000000000007</v>
      </c>
      <c r="X637" s="18">
        <f t="shared" si="91"/>
        <v>0</v>
      </c>
      <c r="Y637" s="13">
        <f t="shared" si="86"/>
        <v>0</v>
      </c>
      <c r="Z637" s="14">
        <v>0</v>
      </c>
      <c r="AA637" s="4">
        <v>0</v>
      </c>
      <c r="AB637" s="4">
        <f t="shared" si="87"/>
        <v>0</v>
      </c>
      <c r="AC637" s="6">
        <f t="shared" si="88"/>
        <v>0</v>
      </c>
      <c r="AD637" s="18">
        <f t="shared" si="93"/>
        <v>0</v>
      </c>
      <c r="AE637" s="2">
        <v>7.0000000000000007E-2</v>
      </c>
      <c r="AF637" s="5">
        <f t="shared" si="89"/>
        <v>0</v>
      </c>
      <c r="AG637" s="14">
        <v>0</v>
      </c>
      <c r="AH637" s="10">
        <f t="shared" si="94"/>
        <v>0</v>
      </c>
      <c r="AI637" s="16"/>
      <c r="AJ637" s="126" t="e">
        <v>#N/A</v>
      </c>
      <c r="AK637" s="80">
        <f t="shared" si="90"/>
        <v>0</v>
      </c>
      <c r="AM637" s="85"/>
    </row>
    <row r="638" spans="1:39" hidden="1" x14ac:dyDescent="0.3">
      <c r="A638" s="85" t="s">
        <v>34</v>
      </c>
      <c r="B638" s="15" t="s">
        <v>35</v>
      </c>
      <c r="C638" s="15" t="s">
        <v>295</v>
      </c>
      <c r="D638" s="15" t="s">
        <v>298</v>
      </c>
      <c r="E638" s="15" t="s">
        <v>835</v>
      </c>
      <c r="F638" s="15" t="s">
        <v>835</v>
      </c>
      <c r="G638" s="15" t="s">
        <v>835</v>
      </c>
      <c r="H638" s="139"/>
      <c r="I638" s="15" t="s">
        <v>408</v>
      </c>
      <c r="J638" s="1" t="s">
        <v>3324</v>
      </c>
      <c r="K638" s="1" t="s">
        <v>3278</v>
      </c>
      <c r="L638" s="1" t="s">
        <v>35</v>
      </c>
      <c r="M638" s="15" t="s">
        <v>836</v>
      </c>
      <c r="N638" s="15"/>
      <c r="O638" s="8" t="s">
        <v>410</v>
      </c>
      <c r="P638" s="8" t="s">
        <v>46</v>
      </c>
      <c r="Q638" s="9">
        <v>0.06</v>
      </c>
      <c r="R638" s="139">
        <v>1000040479</v>
      </c>
      <c r="S638" s="15"/>
      <c r="T638" s="18">
        <v>3920.2</v>
      </c>
      <c r="U638" s="4">
        <v>0</v>
      </c>
      <c r="V638" s="6">
        <v>0</v>
      </c>
      <c r="W638" s="18">
        <f t="shared" si="92"/>
        <v>3920.2</v>
      </c>
      <c r="X638" s="18">
        <f t="shared" si="91"/>
        <v>0</v>
      </c>
      <c r="Y638" s="13">
        <f t="shared" si="86"/>
        <v>0</v>
      </c>
      <c r="Z638" s="14">
        <v>0</v>
      </c>
      <c r="AA638" s="4">
        <v>0</v>
      </c>
      <c r="AB638" s="4"/>
      <c r="AC638" s="6">
        <f t="shared" si="88"/>
        <v>0</v>
      </c>
      <c r="AD638" s="18">
        <f t="shared" si="93"/>
        <v>0</v>
      </c>
      <c r="AE638" s="2">
        <v>7.0000000000000007E-2</v>
      </c>
      <c r="AF638" s="5">
        <f t="shared" si="89"/>
        <v>0</v>
      </c>
      <c r="AG638" s="14">
        <v>0</v>
      </c>
      <c r="AH638" s="10">
        <f t="shared" si="94"/>
        <v>0</v>
      </c>
      <c r="AI638" s="16"/>
      <c r="AJ638" s="126">
        <v>14</v>
      </c>
      <c r="AK638" s="80">
        <f t="shared" si="90"/>
        <v>0</v>
      </c>
      <c r="AM638" s="85"/>
    </row>
    <row r="639" spans="1:39" hidden="1" x14ac:dyDescent="0.3">
      <c r="A639" s="85" t="s">
        <v>34</v>
      </c>
      <c r="B639" s="15" t="s">
        <v>35</v>
      </c>
      <c r="C639" s="15" t="s">
        <v>295</v>
      </c>
      <c r="D639" s="15" t="s">
        <v>298</v>
      </c>
      <c r="E639" s="15" t="s">
        <v>837</v>
      </c>
      <c r="F639" s="15" t="s">
        <v>837</v>
      </c>
      <c r="G639" s="15" t="s">
        <v>837</v>
      </c>
      <c r="H639" s="139"/>
      <c r="I639" s="15" t="s">
        <v>408</v>
      </c>
      <c r="J639" s="1" t="s">
        <v>3324</v>
      </c>
      <c r="K639" s="1" t="s">
        <v>3278</v>
      </c>
      <c r="L639" s="1" t="s">
        <v>35</v>
      </c>
      <c r="M639" s="15" t="s">
        <v>838</v>
      </c>
      <c r="N639" s="15"/>
      <c r="O639" s="8" t="s">
        <v>410</v>
      </c>
      <c r="P639" s="8" t="s">
        <v>46</v>
      </c>
      <c r="Q639" s="9">
        <v>0.04</v>
      </c>
      <c r="R639" s="139">
        <v>1000027594</v>
      </c>
      <c r="S639" s="15"/>
      <c r="T639" s="18">
        <v>3210.89</v>
      </c>
      <c r="U639" s="4">
        <v>0</v>
      </c>
      <c r="V639" s="6">
        <v>0</v>
      </c>
      <c r="W639" s="18">
        <f t="shared" si="92"/>
        <v>3210.89</v>
      </c>
      <c r="X639" s="18">
        <f t="shared" si="91"/>
        <v>0</v>
      </c>
      <c r="Y639" s="13">
        <f t="shared" si="86"/>
        <v>0</v>
      </c>
      <c r="Z639" s="14">
        <v>0</v>
      </c>
      <c r="AA639" s="4">
        <v>0</v>
      </c>
      <c r="AB639" s="4">
        <f t="shared" si="87"/>
        <v>0</v>
      </c>
      <c r="AC639" s="6">
        <f t="shared" si="88"/>
        <v>0</v>
      </c>
      <c r="AD639" s="18">
        <f t="shared" si="93"/>
        <v>0</v>
      </c>
      <c r="AE639" s="2">
        <v>7.0000000000000007E-2</v>
      </c>
      <c r="AF639" s="5">
        <f t="shared" si="89"/>
        <v>0</v>
      </c>
      <c r="AG639" s="14">
        <v>0</v>
      </c>
      <c r="AH639" s="10">
        <f t="shared" si="94"/>
        <v>0</v>
      </c>
      <c r="AI639" s="16"/>
      <c r="AJ639" s="126" t="e">
        <v>#N/A</v>
      </c>
      <c r="AK639" s="80">
        <f t="shared" si="90"/>
        <v>0</v>
      </c>
      <c r="AM639" s="85"/>
    </row>
    <row r="640" spans="1:39" hidden="1" x14ac:dyDescent="0.3">
      <c r="A640" s="85" t="s">
        <v>34</v>
      </c>
      <c r="B640" s="15" t="s">
        <v>35</v>
      </c>
      <c r="C640" s="15" t="s">
        <v>295</v>
      </c>
      <c r="D640" s="15" t="s">
        <v>298</v>
      </c>
      <c r="E640" s="15" t="s">
        <v>839</v>
      </c>
      <c r="F640" s="15" t="s">
        <v>839</v>
      </c>
      <c r="G640" s="15" t="s">
        <v>839</v>
      </c>
      <c r="H640" s="139"/>
      <c r="I640" s="15" t="s">
        <v>408</v>
      </c>
      <c r="J640" s="1" t="s">
        <v>3324</v>
      </c>
      <c r="K640" s="1" t="s">
        <v>3278</v>
      </c>
      <c r="L640" s="1" t="s">
        <v>35</v>
      </c>
      <c r="M640" s="15" t="s">
        <v>840</v>
      </c>
      <c r="N640" s="15"/>
      <c r="O640" s="8" t="s">
        <v>410</v>
      </c>
      <c r="P640" s="8" t="s">
        <v>92</v>
      </c>
      <c r="Q640" s="9">
        <v>0.94</v>
      </c>
      <c r="R640" s="139">
        <v>1000026064</v>
      </c>
      <c r="S640" s="15"/>
      <c r="T640" s="18">
        <v>32786.82</v>
      </c>
      <c r="U640" s="4">
        <v>0</v>
      </c>
      <c r="V640" s="6">
        <v>0</v>
      </c>
      <c r="W640" s="18">
        <f t="shared" si="92"/>
        <v>32786.82</v>
      </c>
      <c r="X640" s="18">
        <f t="shared" si="91"/>
        <v>0</v>
      </c>
      <c r="Y640" s="13">
        <f t="shared" si="86"/>
        <v>0</v>
      </c>
      <c r="Z640" s="14">
        <v>0</v>
      </c>
      <c r="AA640" s="4">
        <v>0</v>
      </c>
      <c r="AB640" s="4">
        <f t="shared" si="87"/>
        <v>0</v>
      </c>
      <c r="AC640" s="6">
        <f t="shared" si="88"/>
        <v>0</v>
      </c>
      <c r="AD640" s="18">
        <f t="shared" si="93"/>
        <v>0</v>
      </c>
      <c r="AE640" s="2">
        <v>7.0000000000000007E-2</v>
      </c>
      <c r="AF640" s="5">
        <f t="shared" si="89"/>
        <v>0</v>
      </c>
      <c r="AG640" s="14">
        <v>0</v>
      </c>
      <c r="AH640" s="10">
        <f t="shared" si="94"/>
        <v>0</v>
      </c>
      <c r="AI640" s="16"/>
      <c r="AJ640" s="126" t="e">
        <v>#N/A</v>
      </c>
      <c r="AK640" s="80">
        <f t="shared" si="90"/>
        <v>0</v>
      </c>
      <c r="AM640" s="85"/>
    </row>
    <row r="641" spans="1:39" hidden="1" x14ac:dyDescent="0.3">
      <c r="A641" s="85" t="s">
        <v>34</v>
      </c>
      <c r="B641" s="15" t="s">
        <v>35</v>
      </c>
      <c r="C641" s="15" t="s">
        <v>295</v>
      </c>
      <c r="D641" s="15" t="s">
        <v>298</v>
      </c>
      <c r="E641" s="15" t="s">
        <v>841</v>
      </c>
      <c r="F641" s="15" t="s">
        <v>841</v>
      </c>
      <c r="G641" s="15" t="s">
        <v>841</v>
      </c>
      <c r="H641" s="139"/>
      <c r="I641" s="15" t="s">
        <v>408</v>
      </c>
      <c r="J641" s="1" t="s">
        <v>3324</v>
      </c>
      <c r="K641" s="1" t="s">
        <v>3278</v>
      </c>
      <c r="L641" s="1" t="s">
        <v>35</v>
      </c>
      <c r="M641" s="15" t="s">
        <v>842</v>
      </c>
      <c r="N641" s="15"/>
      <c r="O641" s="8" t="s">
        <v>410</v>
      </c>
      <c r="P641" s="8" t="s">
        <v>41</v>
      </c>
      <c r="Q641" s="9">
        <v>0</v>
      </c>
      <c r="R641" s="139">
        <v>1000015519</v>
      </c>
      <c r="S641" s="15"/>
      <c r="T641" s="18">
        <v>494</v>
      </c>
      <c r="U641" s="4">
        <v>0</v>
      </c>
      <c r="V641" s="6">
        <v>0</v>
      </c>
      <c r="W641" s="18">
        <f t="shared" si="92"/>
        <v>494</v>
      </c>
      <c r="X641" s="18">
        <f t="shared" si="91"/>
        <v>0</v>
      </c>
      <c r="Y641" s="13">
        <f t="shared" si="86"/>
        <v>0</v>
      </c>
      <c r="Z641" s="14">
        <v>0</v>
      </c>
      <c r="AA641" s="4">
        <v>0</v>
      </c>
      <c r="AB641" s="4">
        <f t="shared" si="87"/>
        <v>0</v>
      </c>
      <c r="AC641" s="6">
        <f t="shared" si="88"/>
        <v>0</v>
      </c>
      <c r="AD641" s="18">
        <f t="shared" si="93"/>
        <v>0</v>
      </c>
      <c r="AE641" s="2">
        <v>7.0000000000000007E-2</v>
      </c>
      <c r="AF641" s="5">
        <f t="shared" si="89"/>
        <v>0</v>
      </c>
      <c r="AG641" s="14">
        <v>0</v>
      </c>
      <c r="AH641" s="10">
        <f t="shared" si="94"/>
        <v>0</v>
      </c>
      <c r="AI641" s="16"/>
      <c r="AJ641" s="126" t="e">
        <v>#N/A</v>
      </c>
      <c r="AK641" s="80">
        <f t="shared" si="90"/>
        <v>0</v>
      </c>
      <c r="AM641" s="85"/>
    </row>
    <row r="642" spans="1:39" hidden="1" x14ac:dyDescent="0.3">
      <c r="A642" s="85" t="s">
        <v>34</v>
      </c>
      <c r="B642" s="15" t="s">
        <v>35</v>
      </c>
      <c r="C642" s="15" t="s">
        <v>295</v>
      </c>
      <c r="D642" s="15" t="s">
        <v>298</v>
      </c>
      <c r="E642" s="15" t="s">
        <v>843</v>
      </c>
      <c r="F642" s="15" t="s">
        <v>843</v>
      </c>
      <c r="G642" s="15" t="s">
        <v>843</v>
      </c>
      <c r="H642" s="139"/>
      <c r="I642" s="15" t="s">
        <v>408</v>
      </c>
      <c r="J642" s="1" t="s">
        <v>3324</v>
      </c>
      <c r="K642" s="1" t="s">
        <v>3278</v>
      </c>
      <c r="L642" s="1" t="s">
        <v>35</v>
      </c>
      <c r="M642" s="15" t="s">
        <v>844</v>
      </c>
      <c r="N642" s="15"/>
      <c r="O642" s="8" t="s">
        <v>410</v>
      </c>
      <c r="P642" s="8" t="s">
        <v>46</v>
      </c>
      <c r="Q642" s="9">
        <v>0.06</v>
      </c>
      <c r="R642" s="139">
        <v>1000020836</v>
      </c>
      <c r="S642" s="15"/>
      <c r="T642" s="18">
        <v>27822.3</v>
      </c>
      <c r="U642" s="4">
        <v>0</v>
      </c>
      <c r="V642" s="6">
        <v>0</v>
      </c>
      <c r="W642" s="18">
        <f t="shared" si="92"/>
        <v>27822.3</v>
      </c>
      <c r="X642" s="18">
        <f t="shared" si="91"/>
        <v>0</v>
      </c>
      <c r="Y642" s="13">
        <f t="shared" si="86"/>
        <v>0</v>
      </c>
      <c r="Z642" s="14">
        <v>0</v>
      </c>
      <c r="AA642" s="4">
        <v>0</v>
      </c>
      <c r="AB642" s="4">
        <f t="shared" si="87"/>
        <v>0</v>
      </c>
      <c r="AC642" s="6">
        <f t="shared" si="88"/>
        <v>0</v>
      </c>
      <c r="AD642" s="18">
        <f t="shared" si="93"/>
        <v>0</v>
      </c>
      <c r="AE642" s="2">
        <v>7.0000000000000007E-2</v>
      </c>
      <c r="AF642" s="5">
        <f t="shared" si="89"/>
        <v>0</v>
      </c>
      <c r="AG642" s="14">
        <v>0</v>
      </c>
      <c r="AH642" s="10">
        <f t="shared" si="94"/>
        <v>0</v>
      </c>
      <c r="AI642" s="16"/>
      <c r="AJ642" s="126" t="e">
        <v>#N/A</v>
      </c>
      <c r="AK642" s="80">
        <f t="shared" si="90"/>
        <v>0</v>
      </c>
      <c r="AM642" s="85"/>
    </row>
    <row r="643" spans="1:39" hidden="1" x14ac:dyDescent="0.3">
      <c r="A643" s="85" t="s">
        <v>34</v>
      </c>
      <c r="B643" s="15" t="s">
        <v>35</v>
      </c>
      <c r="C643" s="15" t="s">
        <v>295</v>
      </c>
      <c r="D643" s="15" t="s">
        <v>744</v>
      </c>
      <c r="E643" s="15" t="s">
        <v>745</v>
      </c>
      <c r="F643" s="15" t="s">
        <v>745</v>
      </c>
      <c r="G643" s="15" t="s">
        <v>745</v>
      </c>
      <c r="H643" s="139"/>
      <c r="I643" s="15" t="s">
        <v>408</v>
      </c>
      <c r="J643" s="1" t="s">
        <v>3324</v>
      </c>
      <c r="K643" s="1" t="s">
        <v>3278</v>
      </c>
      <c r="L643" s="1" t="s">
        <v>35</v>
      </c>
      <c r="M643" s="15" t="s">
        <v>845</v>
      </c>
      <c r="N643" s="15"/>
      <c r="O643" s="8" t="s">
        <v>45</v>
      </c>
      <c r="P643" s="8" t="s">
        <v>46</v>
      </c>
      <c r="Q643" s="9">
        <v>0.08</v>
      </c>
      <c r="R643" s="139">
        <v>1000051114</v>
      </c>
      <c r="S643" s="15"/>
      <c r="T643" s="18">
        <v>0.33</v>
      </c>
      <c r="U643" s="4">
        <v>0</v>
      </c>
      <c r="V643" s="6">
        <v>0</v>
      </c>
      <c r="W643" s="18">
        <f t="shared" si="92"/>
        <v>0.33</v>
      </c>
      <c r="X643" s="18">
        <f t="shared" si="91"/>
        <v>0</v>
      </c>
      <c r="Y643" s="13">
        <f t="shared" ref="Y643:Y706" si="95">IF(X643-AD643&lt;=0,0,IF(P643="返现",MAX(X643-AC643-AD643,0),MAX(X643-AD643)))</f>
        <v>0</v>
      </c>
      <c r="Z643" s="14">
        <v>0</v>
      </c>
      <c r="AA643" s="4">
        <v>0</v>
      </c>
      <c r="AB643" s="4"/>
      <c r="AC643" s="6">
        <f t="shared" ref="AC643:AC706" si="96">IF(P643="返现",X643*Q643,V643-X643)</f>
        <v>0</v>
      </c>
      <c r="AD643" s="18">
        <f t="shared" si="93"/>
        <v>0</v>
      </c>
      <c r="AE643" s="2">
        <v>0.12</v>
      </c>
      <c r="AF643" s="5">
        <f t="shared" ref="AF643:AF706" si="97">AD643*AE643</f>
        <v>0</v>
      </c>
      <c r="AG643" s="14">
        <v>0</v>
      </c>
      <c r="AH643" s="10">
        <f t="shared" si="94"/>
        <v>0</v>
      </c>
      <c r="AI643" s="16"/>
      <c r="AJ643" s="126">
        <v>71</v>
      </c>
      <c r="AK643" s="80">
        <f t="shared" ref="AK643:AK706" si="98">X643+AA643-AB643</f>
        <v>0</v>
      </c>
      <c r="AM643" s="85"/>
    </row>
    <row r="644" spans="1:39" hidden="1" x14ac:dyDescent="0.3">
      <c r="A644" s="85" t="s">
        <v>34</v>
      </c>
      <c r="B644" s="15" t="s">
        <v>35</v>
      </c>
      <c r="C644" s="15" t="s">
        <v>295</v>
      </c>
      <c r="D644" s="15" t="s">
        <v>744</v>
      </c>
      <c r="E644" s="15" t="s">
        <v>745</v>
      </c>
      <c r="F644" s="15" t="s">
        <v>745</v>
      </c>
      <c r="G644" s="15" t="s">
        <v>745</v>
      </c>
      <c r="H644" s="139"/>
      <c r="I644" s="15" t="s">
        <v>408</v>
      </c>
      <c r="J644" s="1" t="s">
        <v>3324</v>
      </c>
      <c r="K644" s="1" t="s">
        <v>3278</v>
      </c>
      <c r="L644" s="1" t="s">
        <v>35</v>
      </c>
      <c r="M644" s="15" t="s">
        <v>846</v>
      </c>
      <c r="N644" s="15"/>
      <c r="O644" s="8" t="s">
        <v>45</v>
      </c>
      <c r="P644" s="8" t="s">
        <v>46</v>
      </c>
      <c r="Q644" s="9">
        <v>0.08</v>
      </c>
      <c r="R644" s="139">
        <v>1000052597</v>
      </c>
      <c r="S644" s="15"/>
      <c r="T644" s="18">
        <v>0.08</v>
      </c>
      <c r="U644" s="4">
        <v>0</v>
      </c>
      <c r="V644" s="6">
        <v>0</v>
      </c>
      <c r="W644" s="18">
        <f t="shared" si="92"/>
        <v>0.08</v>
      </c>
      <c r="X644" s="18">
        <f t="shared" si="91"/>
        <v>0</v>
      </c>
      <c r="Y644" s="13">
        <f t="shared" si="95"/>
        <v>0</v>
      </c>
      <c r="Z644" s="14">
        <v>0</v>
      </c>
      <c r="AA644" s="4">
        <v>0</v>
      </c>
      <c r="AB644" s="4"/>
      <c r="AC644" s="6">
        <f t="shared" si="96"/>
        <v>0</v>
      </c>
      <c r="AD644" s="18">
        <f t="shared" si="93"/>
        <v>0</v>
      </c>
      <c r="AE644" s="2">
        <v>0.12</v>
      </c>
      <c r="AF644" s="5">
        <f t="shared" si="97"/>
        <v>0</v>
      </c>
      <c r="AG644" s="14">
        <v>0</v>
      </c>
      <c r="AH644" s="10">
        <f t="shared" si="94"/>
        <v>0</v>
      </c>
      <c r="AI644" s="16"/>
      <c r="AJ644" s="126">
        <v>71</v>
      </c>
      <c r="AK644" s="80">
        <f t="shared" si="98"/>
        <v>0</v>
      </c>
      <c r="AM644" s="85"/>
    </row>
    <row r="645" spans="1:39" hidden="1" x14ac:dyDescent="0.3">
      <c r="A645" s="85" t="s">
        <v>34</v>
      </c>
      <c r="B645" s="15" t="s">
        <v>35</v>
      </c>
      <c r="C645" s="15" t="s">
        <v>295</v>
      </c>
      <c r="D645" s="15" t="s">
        <v>744</v>
      </c>
      <c r="E645" s="15" t="s">
        <v>745</v>
      </c>
      <c r="F645" s="15" t="s">
        <v>745</v>
      </c>
      <c r="G645" s="15" t="s">
        <v>745</v>
      </c>
      <c r="H645" s="139"/>
      <c r="I645" s="15" t="s">
        <v>408</v>
      </c>
      <c r="J645" s="1" t="s">
        <v>3324</v>
      </c>
      <c r="K645" s="1" t="s">
        <v>3278</v>
      </c>
      <c r="L645" s="1" t="s">
        <v>35</v>
      </c>
      <c r="M645" s="15" t="s">
        <v>847</v>
      </c>
      <c r="N645" s="15"/>
      <c r="O645" s="8" t="s">
        <v>45</v>
      </c>
      <c r="P645" s="8" t="s">
        <v>46</v>
      </c>
      <c r="Q645" s="9">
        <v>0.08</v>
      </c>
      <c r="R645" s="139">
        <v>1000050386</v>
      </c>
      <c r="S645" s="15"/>
      <c r="T645" s="18">
        <v>0.19</v>
      </c>
      <c r="U645" s="4">
        <v>0</v>
      </c>
      <c r="V645" s="6">
        <v>0</v>
      </c>
      <c r="W645" s="18">
        <f t="shared" si="92"/>
        <v>0.19</v>
      </c>
      <c r="X645" s="18">
        <f t="shared" si="91"/>
        <v>0</v>
      </c>
      <c r="Y645" s="13">
        <f t="shared" si="95"/>
        <v>0</v>
      </c>
      <c r="Z645" s="14">
        <v>0</v>
      </c>
      <c r="AA645" s="4">
        <v>0</v>
      </c>
      <c r="AB645" s="4"/>
      <c r="AC645" s="6">
        <f t="shared" si="96"/>
        <v>0</v>
      </c>
      <c r="AD645" s="18">
        <f t="shared" si="93"/>
        <v>0</v>
      </c>
      <c r="AE645" s="2">
        <v>0.12</v>
      </c>
      <c r="AF645" s="5">
        <f t="shared" si="97"/>
        <v>0</v>
      </c>
      <c r="AG645" s="14">
        <v>0</v>
      </c>
      <c r="AH645" s="10">
        <f t="shared" si="94"/>
        <v>0</v>
      </c>
      <c r="AI645" s="16"/>
      <c r="AJ645" s="126">
        <v>71</v>
      </c>
      <c r="AK645" s="80">
        <f t="shared" si="98"/>
        <v>0</v>
      </c>
      <c r="AM645" s="85"/>
    </row>
    <row r="646" spans="1:39" hidden="1" x14ac:dyDescent="0.3">
      <c r="A646" s="85" t="s">
        <v>34</v>
      </c>
      <c r="B646" s="15" t="s">
        <v>35</v>
      </c>
      <c r="C646" s="15" t="s">
        <v>295</v>
      </c>
      <c r="D646" s="15" t="s">
        <v>744</v>
      </c>
      <c r="E646" s="15" t="s">
        <v>745</v>
      </c>
      <c r="F646" s="15" t="s">
        <v>745</v>
      </c>
      <c r="G646" s="15" t="s">
        <v>745</v>
      </c>
      <c r="H646" s="139"/>
      <c r="I646" s="15" t="s">
        <v>408</v>
      </c>
      <c r="J646" s="1" t="s">
        <v>3324</v>
      </c>
      <c r="K646" s="1" t="s">
        <v>3278</v>
      </c>
      <c r="L646" s="1" t="s">
        <v>35</v>
      </c>
      <c r="M646" s="15" t="s">
        <v>848</v>
      </c>
      <c r="N646" s="15"/>
      <c r="O646" s="8" t="s">
        <v>45</v>
      </c>
      <c r="P646" s="8" t="s">
        <v>46</v>
      </c>
      <c r="Q646" s="9">
        <v>0.08</v>
      </c>
      <c r="R646" s="139">
        <v>1000055543</v>
      </c>
      <c r="S646" s="15"/>
      <c r="T646" s="18">
        <v>0.55000000000000004</v>
      </c>
      <c r="U646" s="4">
        <v>0</v>
      </c>
      <c r="V646" s="6">
        <v>0</v>
      </c>
      <c r="W646" s="18">
        <f t="shared" si="92"/>
        <v>0.55000000000000004</v>
      </c>
      <c r="X646" s="18">
        <f t="shared" si="91"/>
        <v>0</v>
      </c>
      <c r="Y646" s="13">
        <f t="shared" si="95"/>
        <v>0</v>
      </c>
      <c r="Z646" s="14">
        <v>0</v>
      </c>
      <c r="AA646" s="4">
        <v>0</v>
      </c>
      <c r="AB646" s="4"/>
      <c r="AC646" s="6">
        <f t="shared" si="96"/>
        <v>0</v>
      </c>
      <c r="AD646" s="18">
        <f t="shared" si="93"/>
        <v>0</v>
      </c>
      <c r="AE646" s="2">
        <v>0.12</v>
      </c>
      <c r="AF646" s="5">
        <f t="shared" si="97"/>
        <v>0</v>
      </c>
      <c r="AG646" s="14">
        <v>0</v>
      </c>
      <c r="AH646" s="10">
        <f t="shared" si="94"/>
        <v>0</v>
      </c>
      <c r="AI646" s="16"/>
      <c r="AJ646" s="126">
        <v>71</v>
      </c>
      <c r="AK646" s="80">
        <f t="shared" si="98"/>
        <v>0</v>
      </c>
      <c r="AM646" s="85"/>
    </row>
    <row r="647" spans="1:39" hidden="1" x14ac:dyDescent="0.3">
      <c r="A647" s="85" t="s">
        <v>34</v>
      </c>
      <c r="B647" s="15" t="s">
        <v>35</v>
      </c>
      <c r="C647" s="15" t="s">
        <v>295</v>
      </c>
      <c r="D647" s="15" t="s">
        <v>744</v>
      </c>
      <c r="E647" s="15" t="s">
        <v>745</v>
      </c>
      <c r="F647" s="15" t="s">
        <v>745</v>
      </c>
      <c r="G647" s="15" t="s">
        <v>745</v>
      </c>
      <c r="H647" s="139"/>
      <c r="I647" s="15" t="s">
        <v>408</v>
      </c>
      <c r="J647" s="1" t="s">
        <v>3324</v>
      </c>
      <c r="K647" s="1" t="s">
        <v>3278</v>
      </c>
      <c r="L647" s="1" t="s">
        <v>35</v>
      </c>
      <c r="M647" s="15" t="s">
        <v>849</v>
      </c>
      <c r="N647" s="15"/>
      <c r="O647" s="8" t="s">
        <v>45</v>
      </c>
      <c r="P647" s="8" t="s">
        <v>46</v>
      </c>
      <c r="Q647" s="9">
        <v>0.08</v>
      </c>
      <c r="R647" s="139">
        <v>1000051113</v>
      </c>
      <c r="S647" s="15"/>
      <c r="T647" s="18">
        <v>0.53</v>
      </c>
      <c r="U647" s="4">
        <v>0</v>
      </c>
      <c r="V647" s="6">
        <v>0</v>
      </c>
      <c r="W647" s="18">
        <f t="shared" si="92"/>
        <v>0.53</v>
      </c>
      <c r="X647" s="18">
        <f t="shared" si="91"/>
        <v>0</v>
      </c>
      <c r="Y647" s="13">
        <f t="shared" si="95"/>
        <v>0</v>
      </c>
      <c r="Z647" s="14">
        <v>0</v>
      </c>
      <c r="AA647" s="4">
        <v>0</v>
      </c>
      <c r="AB647" s="4"/>
      <c r="AC647" s="6">
        <f t="shared" si="96"/>
        <v>0</v>
      </c>
      <c r="AD647" s="18">
        <f t="shared" si="93"/>
        <v>0</v>
      </c>
      <c r="AE647" s="2">
        <v>0.12</v>
      </c>
      <c r="AF647" s="5">
        <f t="shared" si="97"/>
        <v>0</v>
      </c>
      <c r="AG647" s="14">
        <v>0</v>
      </c>
      <c r="AH647" s="10">
        <f t="shared" si="94"/>
        <v>0</v>
      </c>
      <c r="AI647" s="16"/>
      <c r="AJ647" s="126">
        <v>71</v>
      </c>
      <c r="AK647" s="80">
        <f t="shared" si="98"/>
        <v>0</v>
      </c>
      <c r="AM647" s="85"/>
    </row>
    <row r="648" spans="1:39" hidden="1" x14ac:dyDescent="0.3">
      <c r="A648" s="85" t="s">
        <v>34</v>
      </c>
      <c r="B648" s="15" t="s">
        <v>35</v>
      </c>
      <c r="C648" s="15" t="s">
        <v>295</v>
      </c>
      <c r="D648" s="15" t="s">
        <v>744</v>
      </c>
      <c r="E648" s="15" t="s">
        <v>745</v>
      </c>
      <c r="F648" s="15" t="s">
        <v>745</v>
      </c>
      <c r="G648" s="15" t="s">
        <v>745</v>
      </c>
      <c r="H648" s="139"/>
      <c r="I648" s="15" t="s">
        <v>408</v>
      </c>
      <c r="J648" s="1" t="s">
        <v>3324</v>
      </c>
      <c r="K648" s="1" t="s">
        <v>3278</v>
      </c>
      <c r="L648" s="1" t="s">
        <v>35</v>
      </c>
      <c r="M648" s="15" t="s">
        <v>850</v>
      </c>
      <c r="N648" s="15"/>
      <c r="O648" s="8" t="s">
        <v>45</v>
      </c>
      <c r="P648" s="8" t="s">
        <v>46</v>
      </c>
      <c r="Q648" s="9">
        <v>0.08</v>
      </c>
      <c r="R648" s="139">
        <v>1000021727</v>
      </c>
      <c r="S648" s="15"/>
      <c r="T648" s="18">
        <v>7.0000000000000007E-2</v>
      </c>
      <c r="U648" s="4">
        <v>0</v>
      </c>
      <c r="V648" s="6">
        <v>0</v>
      </c>
      <c r="W648" s="18">
        <f t="shared" si="92"/>
        <v>7.0000000000000007E-2</v>
      </c>
      <c r="X648" s="18">
        <f t="shared" si="91"/>
        <v>0</v>
      </c>
      <c r="Y648" s="13">
        <f t="shared" si="95"/>
        <v>0</v>
      </c>
      <c r="Z648" s="14">
        <v>0</v>
      </c>
      <c r="AA648" s="4">
        <v>0</v>
      </c>
      <c r="AB648" s="4"/>
      <c r="AC648" s="6">
        <f t="shared" si="96"/>
        <v>0</v>
      </c>
      <c r="AD648" s="18">
        <f t="shared" si="93"/>
        <v>0</v>
      </c>
      <c r="AE648" s="2">
        <v>0.12</v>
      </c>
      <c r="AF648" s="5">
        <f t="shared" si="97"/>
        <v>0</v>
      </c>
      <c r="AG648" s="14">
        <v>0</v>
      </c>
      <c r="AH648" s="10">
        <f t="shared" si="94"/>
        <v>0</v>
      </c>
      <c r="AI648" s="16"/>
      <c r="AJ648" s="126">
        <v>71</v>
      </c>
      <c r="AK648" s="80">
        <f t="shared" si="98"/>
        <v>0</v>
      </c>
      <c r="AM648" s="85"/>
    </row>
    <row r="649" spans="1:39" hidden="1" x14ac:dyDescent="0.3">
      <c r="A649" s="85" t="s">
        <v>34</v>
      </c>
      <c r="B649" s="15" t="s">
        <v>35</v>
      </c>
      <c r="C649" s="15" t="s">
        <v>295</v>
      </c>
      <c r="D649" s="15" t="s">
        <v>744</v>
      </c>
      <c r="E649" s="15" t="s">
        <v>745</v>
      </c>
      <c r="F649" s="15" t="s">
        <v>745</v>
      </c>
      <c r="G649" s="15" t="s">
        <v>745</v>
      </c>
      <c r="H649" s="139"/>
      <c r="I649" s="15" t="s">
        <v>408</v>
      </c>
      <c r="J649" s="1" t="s">
        <v>3324</v>
      </c>
      <c r="K649" s="1" t="s">
        <v>3278</v>
      </c>
      <c r="L649" s="1" t="s">
        <v>35</v>
      </c>
      <c r="M649" s="15" t="s">
        <v>851</v>
      </c>
      <c r="N649" s="15"/>
      <c r="O649" s="8" t="s">
        <v>45</v>
      </c>
      <c r="P649" s="8" t="s">
        <v>46</v>
      </c>
      <c r="Q649" s="9">
        <v>0.08</v>
      </c>
      <c r="R649" s="139">
        <v>1000021711</v>
      </c>
      <c r="S649" s="15"/>
      <c r="T649" s="18">
        <v>0.57999999999999996</v>
      </c>
      <c r="U649" s="4">
        <v>0</v>
      </c>
      <c r="V649" s="6">
        <v>0</v>
      </c>
      <c r="W649" s="18">
        <f t="shared" si="92"/>
        <v>0.57999999999999996</v>
      </c>
      <c r="X649" s="18">
        <f t="shared" si="91"/>
        <v>0</v>
      </c>
      <c r="Y649" s="13">
        <f t="shared" si="95"/>
        <v>0</v>
      </c>
      <c r="Z649" s="14">
        <v>0</v>
      </c>
      <c r="AA649" s="4">
        <v>0</v>
      </c>
      <c r="AB649" s="4"/>
      <c r="AC649" s="6">
        <f t="shared" si="96"/>
        <v>0</v>
      </c>
      <c r="AD649" s="18">
        <f t="shared" si="93"/>
        <v>0</v>
      </c>
      <c r="AE649" s="2">
        <v>0.12</v>
      </c>
      <c r="AF649" s="5">
        <f t="shared" si="97"/>
        <v>0</v>
      </c>
      <c r="AG649" s="14">
        <v>0</v>
      </c>
      <c r="AH649" s="10">
        <f t="shared" si="94"/>
        <v>0</v>
      </c>
      <c r="AI649" s="16"/>
      <c r="AJ649" s="126">
        <v>71</v>
      </c>
      <c r="AK649" s="80">
        <f t="shared" si="98"/>
        <v>0</v>
      </c>
      <c r="AM649" s="85"/>
    </row>
    <row r="650" spans="1:39" hidden="1" x14ac:dyDescent="0.3">
      <c r="A650" s="85" t="s">
        <v>34</v>
      </c>
      <c r="B650" s="15" t="s">
        <v>35</v>
      </c>
      <c r="C650" s="15" t="s">
        <v>295</v>
      </c>
      <c r="D650" s="15" t="s">
        <v>744</v>
      </c>
      <c r="E650" s="15" t="s">
        <v>745</v>
      </c>
      <c r="F650" s="15" t="s">
        <v>745</v>
      </c>
      <c r="G650" s="15" t="s">
        <v>745</v>
      </c>
      <c r="H650" s="139"/>
      <c r="I650" s="15" t="s">
        <v>408</v>
      </c>
      <c r="J650" s="1" t="s">
        <v>3324</v>
      </c>
      <c r="K650" s="1" t="s">
        <v>3278</v>
      </c>
      <c r="L650" s="1" t="s">
        <v>35</v>
      </c>
      <c r="M650" s="15" t="s">
        <v>852</v>
      </c>
      <c r="N650" s="15"/>
      <c r="O650" s="8" t="s">
        <v>45</v>
      </c>
      <c r="P650" s="8" t="s">
        <v>46</v>
      </c>
      <c r="Q650" s="9">
        <v>0.08</v>
      </c>
      <c r="R650" s="139">
        <v>1000023594</v>
      </c>
      <c r="S650" s="15"/>
      <c r="T650" s="18">
        <v>0.82</v>
      </c>
      <c r="U650" s="4">
        <v>0</v>
      </c>
      <c r="V650" s="6">
        <v>0</v>
      </c>
      <c r="W650" s="18">
        <f t="shared" si="92"/>
        <v>0.82</v>
      </c>
      <c r="X650" s="18">
        <f t="shared" si="91"/>
        <v>0</v>
      </c>
      <c r="Y650" s="13">
        <f t="shared" si="95"/>
        <v>0</v>
      </c>
      <c r="Z650" s="14">
        <v>0</v>
      </c>
      <c r="AA650" s="4">
        <v>0</v>
      </c>
      <c r="AB650" s="4"/>
      <c r="AC650" s="6">
        <f t="shared" si="96"/>
        <v>0</v>
      </c>
      <c r="AD650" s="18">
        <f t="shared" si="93"/>
        <v>0</v>
      </c>
      <c r="AE650" s="2">
        <v>0.12</v>
      </c>
      <c r="AF650" s="5">
        <f t="shared" si="97"/>
        <v>0</v>
      </c>
      <c r="AG650" s="14">
        <v>0</v>
      </c>
      <c r="AH650" s="10">
        <f t="shared" si="94"/>
        <v>0</v>
      </c>
      <c r="AI650" s="16"/>
      <c r="AJ650" s="126">
        <v>71</v>
      </c>
      <c r="AK650" s="80">
        <f t="shared" si="98"/>
        <v>0</v>
      </c>
      <c r="AM650" s="85"/>
    </row>
    <row r="651" spans="1:39" hidden="1" x14ac:dyDescent="0.3">
      <c r="A651" s="85" t="s">
        <v>34</v>
      </c>
      <c r="B651" s="15" t="s">
        <v>35</v>
      </c>
      <c r="C651" s="15" t="s">
        <v>295</v>
      </c>
      <c r="D651" s="15" t="s">
        <v>744</v>
      </c>
      <c r="E651" s="15" t="s">
        <v>745</v>
      </c>
      <c r="F651" s="15" t="s">
        <v>745</v>
      </c>
      <c r="G651" s="15" t="s">
        <v>745</v>
      </c>
      <c r="H651" s="139"/>
      <c r="I651" s="15" t="s">
        <v>408</v>
      </c>
      <c r="J651" s="1" t="s">
        <v>3324</v>
      </c>
      <c r="K651" s="1" t="s">
        <v>3278</v>
      </c>
      <c r="L651" s="1" t="s">
        <v>35</v>
      </c>
      <c r="M651" s="15" t="s">
        <v>853</v>
      </c>
      <c r="N651" s="15"/>
      <c r="O651" s="8" t="s">
        <v>45</v>
      </c>
      <c r="P651" s="8" t="s">
        <v>46</v>
      </c>
      <c r="Q651" s="9">
        <v>0.08</v>
      </c>
      <c r="R651" s="139">
        <v>1000022894</v>
      </c>
      <c r="S651" s="15"/>
      <c r="T651" s="18">
        <v>0.05</v>
      </c>
      <c r="U651" s="4">
        <v>0</v>
      </c>
      <c r="V651" s="6">
        <v>0</v>
      </c>
      <c r="W651" s="18">
        <f t="shared" si="92"/>
        <v>0.05</v>
      </c>
      <c r="X651" s="18">
        <f t="shared" si="91"/>
        <v>0</v>
      </c>
      <c r="Y651" s="13">
        <f t="shared" si="95"/>
        <v>0</v>
      </c>
      <c r="Z651" s="14">
        <v>0</v>
      </c>
      <c r="AA651" s="4">
        <v>0</v>
      </c>
      <c r="AB651" s="4"/>
      <c r="AC651" s="6">
        <f t="shared" si="96"/>
        <v>0</v>
      </c>
      <c r="AD651" s="18">
        <f t="shared" si="93"/>
        <v>0</v>
      </c>
      <c r="AE651" s="2">
        <v>0.12</v>
      </c>
      <c r="AF651" s="5">
        <f t="shared" si="97"/>
        <v>0</v>
      </c>
      <c r="AG651" s="14">
        <v>0</v>
      </c>
      <c r="AH651" s="10">
        <f t="shared" si="94"/>
        <v>0</v>
      </c>
      <c r="AI651" s="16"/>
      <c r="AJ651" s="126">
        <v>71</v>
      </c>
      <c r="AK651" s="80">
        <f t="shared" si="98"/>
        <v>0</v>
      </c>
      <c r="AM651" s="85"/>
    </row>
    <row r="652" spans="1:39" hidden="1" x14ac:dyDescent="0.3">
      <c r="A652" s="85" t="s">
        <v>34</v>
      </c>
      <c r="B652" s="15" t="s">
        <v>35</v>
      </c>
      <c r="C652" s="15" t="s">
        <v>295</v>
      </c>
      <c r="D652" s="15" t="s">
        <v>744</v>
      </c>
      <c r="E652" s="15" t="s">
        <v>854</v>
      </c>
      <c r="F652" s="15" t="s">
        <v>854</v>
      </c>
      <c r="G652" s="15" t="s">
        <v>854</v>
      </c>
      <c r="H652" s="139"/>
      <c r="I652" s="15" t="s">
        <v>408</v>
      </c>
      <c r="J652" s="1" t="s">
        <v>3324</v>
      </c>
      <c r="K652" s="1" t="s">
        <v>3278</v>
      </c>
      <c r="L652" s="1" t="s">
        <v>35</v>
      </c>
      <c r="M652" s="15" t="s">
        <v>855</v>
      </c>
      <c r="N652" s="15"/>
      <c r="O652" s="8" t="s">
        <v>45</v>
      </c>
      <c r="P652" s="8" t="s">
        <v>46</v>
      </c>
      <c r="Q652" s="9">
        <v>0.08</v>
      </c>
      <c r="R652" s="139">
        <v>1000051670</v>
      </c>
      <c r="S652" s="15"/>
      <c r="T652" s="18">
        <v>6673.14</v>
      </c>
      <c r="U652" s="4">
        <v>0</v>
      </c>
      <c r="V652" s="6">
        <v>0</v>
      </c>
      <c r="W652" s="18">
        <f t="shared" si="92"/>
        <v>6673.14</v>
      </c>
      <c r="X652" s="18">
        <f t="shared" si="91"/>
        <v>0</v>
      </c>
      <c r="Y652" s="13">
        <f t="shared" si="95"/>
        <v>0</v>
      </c>
      <c r="Z652" s="14">
        <v>0</v>
      </c>
      <c r="AA652" s="4">
        <v>0</v>
      </c>
      <c r="AB652" s="4"/>
      <c r="AC652" s="6">
        <f t="shared" si="96"/>
        <v>0</v>
      </c>
      <c r="AD652" s="18">
        <f t="shared" si="93"/>
        <v>0</v>
      </c>
      <c r="AE652" s="2">
        <v>0.12</v>
      </c>
      <c r="AF652" s="5">
        <f t="shared" si="97"/>
        <v>0</v>
      </c>
      <c r="AG652" s="14">
        <v>0</v>
      </c>
      <c r="AH652" s="10">
        <f t="shared" si="94"/>
        <v>0</v>
      </c>
      <c r="AI652" s="16"/>
      <c r="AJ652" s="126">
        <v>31</v>
      </c>
      <c r="AK652" s="80">
        <f t="shared" si="98"/>
        <v>0</v>
      </c>
      <c r="AM652" s="85"/>
    </row>
    <row r="653" spans="1:39" hidden="1" x14ac:dyDescent="0.3">
      <c r="A653" s="85" t="s">
        <v>34</v>
      </c>
      <c r="B653" s="15" t="s">
        <v>35</v>
      </c>
      <c r="C653" s="15" t="s">
        <v>295</v>
      </c>
      <c r="D653" s="15" t="s">
        <v>744</v>
      </c>
      <c r="E653" s="15" t="s">
        <v>854</v>
      </c>
      <c r="F653" s="15" t="s">
        <v>854</v>
      </c>
      <c r="G653" s="15" t="s">
        <v>854</v>
      </c>
      <c r="H653" s="139"/>
      <c r="I653" s="15" t="s">
        <v>408</v>
      </c>
      <c r="J653" s="1" t="s">
        <v>3324</v>
      </c>
      <c r="K653" s="1" t="s">
        <v>3278</v>
      </c>
      <c r="L653" s="1" t="s">
        <v>35</v>
      </c>
      <c r="M653" s="15" t="s">
        <v>856</v>
      </c>
      <c r="N653" s="15"/>
      <c r="O653" s="8" t="s">
        <v>410</v>
      </c>
      <c r="P653" s="8" t="s">
        <v>46</v>
      </c>
      <c r="Q653" s="9">
        <v>0.02</v>
      </c>
      <c r="R653" s="139">
        <v>1000045688</v>
      </c>
      <c r="S653" s="15"/>
      <c r="T653" s="18">
        <v>5730.63</v>
      </c>
      <c r="U653" s="4">
        <v>0</v>
      </c>
      <c r="V653" s="6">
        <v>0</v>
      </c>
      <c r="W653" s="18">
        <f t="shared" si="92"/>
        <v>5730.63</v>
      </c>
      <c r="X653" s="18">
        <f t="shared" si="91"/>
        <v>0</v>
      </c>
      <c r="Y653" s="13">
        <f t="shared" si="95"/>
        <v>0</v>
      </c>
      <c r="Z653" s="14">
        <v>0</v>
      </c>
      <c r="AA653" s="4">
        <v>0</v>
      </c>
      <c r="AB653" s="4"/>
      <c r="AC653" s="6">
        <f t="shared" si="96"/>
        <v>0</v>
      </c>
      <c r="AD653" s="18">
        <f t="shared" si="93"/>
        <v>0</v>
      </c>
      <c r="AE653" s="2">
        <v>7.0000000000000007E-2</v>
      </c>
      <c r="AF653" s="5">
        <f t="shared" si="97"/>
        <v>0</v>
      </c>
      <c r="AG653" s="14">
        <v>0</v>
      </c>
      <c r="AH653" s="10">
        <f t="shared" si="94"/>
        <v>0</v>
      </c>
      <c r="AI653" s="16"/>
      <c r="AJ653" s="126">
        <v>31</v>
      </c>
      <c r="AK653" s="80">
        <f t="shared" si="98"/>
        <v>0</v>
      </c>
      <c r="AM653" s="85"/>
    </row>
    <row r="654" spans="1:39" hidden="1" x14ac:dyDescent="0.3">
      <c r="A654" s="85" t="s">
        <v>34</v>
      </c>
      <c r="B654" s="15" t="s">
        <v>35</v>
      </c>
      <c r="C654" s="15" t="s">
        <v>295</v>
      </c>
      <c r="D654" s="15" t="s">
        <v>744</v>
      </c>
      <c r="E654" s="15" t="s">
        <v>857</v>
      </c>
      <c r="F654" s="15" t="s">
        <v>857</v>
      </c>
      <c r="G654" s="15" t="s">
        <v>857</v>
      </c>
      <c r="H654" s="139"/>
      <c r="I654" s="15" t="s">
        <v>408</v>
      </c>
      <c r="J654" s="1" t="s">
        <v>3324</v>
      </c>
      <c r="K654" s="1" t="s">
        <v>3278</v>
      </c>
      <c r="L654" s="1" t="s">
        <v>35</v>
      </c>
      <c r="M654" s="15" t="s">
        <v>858</v>
      </c>
      <c r="N654" s="15"/>
      <c r="O654" s="8" t="s">
        <v>45</v>
      </c>
      <c r="P654" s="8" t="s">
        <v>46</v>
      </c>
      <c r="Q654" s="9">
        <v>0.17</v>
      </c>
      <c r="R654" s="139">
        <v>1000022881</v>
      </c>
      <c r="S654" s="15"/>
      <c r="T654" s="18">
        <v>7525.93</v>
      </c>
      <c r="U654" s="4">
        <v>0</v>
      </c>
      <c r="V654" s="6">
        <v>0</v>
      </c>
      <c r="W654" s="18">
        <f t="shared" si="92"/>
        <v>7525.93</v>
      </c>
      <c r="X654" s="18">
        <f t="shared" si="91"/>
        <v>0</v>
      </c>
      <c r="Y654" s="13">
        <f t="shared" si="95"/>
        <v>0</v>
      </c>
      <c r="Z654" s="14">
        <v>0</v>
      </c>
      <c r="AA654" s="4">
        <v>0</v>
      </c>
      <c r="AB654" s="4">
        <f t="shared" ref="AB654:AB705" si="99">X654+AA654</f>
        <v>0</v>
      </c>
      <c r="AC654" s="6">
        <f t="shared" si="96"/>
        <v>0</v>
      </c>
      <c r="AD654" s="18">
        <f t="shared" si="93"/>
        <v>0</v>
      </c>
      <c r="AE654" s="2">
        <v>0.12</v>
      </c>
      <c r="AF654" s="5">
        <f t="shared" si="97"/>
        <v>0</v>
      </c>
      <c r="AG654" s="14">
        <v>0</v>
      </c>
      <c r="AH654" s="10">
        <f t="shared" si="94"/>
        <v>0</v>
      </c>
      <c r="AI654" s="16"/>
      <c r="AJ654" s="126" t="e">
        <v>#N/A</v>
      </c>
      <c r="AK654" s="80">
        <f t="shared" si="98"/>
        <v>0</v>
      </c>
      <c r="AM654" s="85"/>
    </row>
    <row r="655" spans="1:39" hidden="1" x14ac:dyDescent="0.3">
      <c r="A655" s="85" t="s">
        <v>34</v>
      </c>
      <c r="B655" s="15" t="s">
        <v>35</v>
      </c>
      <c r="C655" s="15" t="s">
        <v>295</v>
      </c>
      <c r="D655" s="15" t="s">
        <v>744</v>
      </c>
      <c r="E655" s="15" t="s">
        <v>859</v>
      </c>
      <c r="F655" s="15" t="s">
        <v>859</v>
      </c>
      <c r="G655" s="15" t="s">
        <v>859</v>
      </c>
      <c r="H655" s="139"/>
      <c r="I655" s="15" t="s">
        <v>408</v>
      </c>
      <c r="J655" s="1" t="s">
        <v>3324</v>
      </c>
      <c r="K655" s="1" t="s">
        <v>3278</v>
      </c>
      <c r="L655" s="1" t="s">
        <v>35</v>
      </c>
      <c r="M655" s="15" t="s">
        <v>860</v>
      </c>
      <c r="N655" s="15"/>
      <c r="O655" s="8" t="s">
        <v>410</v>
      </c>
      <c r="P655" s="8" t="s">
        <v>46</v>
      </c>
      <c r="Q655" s="9">
        <v>0.08</v>
      </c>
      <c r="R655" s="139">
        <v>1000027727</v>
      </c>
      <c r="S655" s="15"/>
      <c r="T655" s="18">
        <v>7172</v>
      </c>
      <c r="U655" s="4">
        <v>0</v>
      </c>
      <c r="V655" s="6">
        <v>0</v>
      </c>
      <c r="W655" s="18">
        <f t="shared" si="92"/>
        <v>7172</v>
      </c>
      <c r="X655" s="18">
        <f t="shared" si="91"/>
        <v>0</v>
      </c>
      <c r="Y655" s="13">
        <f t="shared" si="95"/>
        <v>0</v>
      </c>
      <c r="Z655" s="14">
        <v>0</v>
      </c>
      <c r="AA655" s="4">
        <v>0</v>
      </c>
      <c r="AB655" s="4">
        <f t="shared" si="99"/>
        <v>0</v>
      </c>
      <c r="AC655" s="6">
        <f t="shared" si="96"/>
        <v>0</v>
      </c>
      <c r="AD655" s="18">
        <f t="shared" si="93"/>
        <v>0</v>
      </c>
      <c r="AE655" s="2">
        <v>7.0000000000000007E-2</v>
      </c>
      <c r="AF655" s="5">
        <f t="shared" si="97"/>
        <v>0</v>
      </c>
      <c r="AG655" s="14">
        <v>0</v>
      </c>
      <c r="AH655" s="10">
        <f t="shared" si="94"/>
        <v>0</v>
      </c>
      <c r="AI655" s="16"/>
      <c r="AJ655" s="126" t="e">
        <v>#N/A</v>
      </c>
      <c r="AK655" s="80">
        <f t="shared" si="98"/>
        <v>0</v>
      </c>
      <c r="AM655" s="85"/>
    </row>
    <row r="656" spans="1:39" hidden="1" x14ac:dyDescent="0.3">
      <c r="A656" s="85" t="s">
        <v>34</v>
      </c>
      <c r="B656" s="15" t="s">
        <v>35</v>
      </c>
      <c r="C656" s="15" t="s">
        <v>65</v>
      </c>
      <c r="D656" s="15" t="s">
        <v>66</v>
      </c>
      <c r="E656" s="15" t="s">
        <v>861</v>
      </c>
      <c r="F656" s="15" t="s">
        <v>861</v>
      </c>
      <c r="G656" s="15" t="s">
        <v>861</v>
      </c>
      <c r="H656" s="139"/>
      <c r="I656" s="15" t="s">
        <v>408</v>
      </c>
      <c r="J656" s="1" t="s">
        <v>3324</v>
      </c>
      <c r="K656" s="1" t="s">
        <v>3278</v>
      </c>
      <c r="L656" s="1" t="s">
        <v>35</v>
      </c>
      <c r="M656" s="15" t="s">
        <v>862</v>
      </c>
      <c r="N656" s="15"/>
      <c r="O656" s="8" t="s">
        <v>410</v>
      </c>
      <c r="P656" s="8" t="s">
        <v>46</v>
      </c>
      <c r="Q656" s="9">
        <v>0.04</v>
      </c>
      <c r="R656" s="139">
        <v>1000013455</v>
      </c>
      <c r="S656" s="15"/>
      <c r="T656" s="18">
        <v>28027.7</v>
      </c>
      <c r="U656" s="4">
        <v>0</v>
      </c>
      <c r="V656" s="6">
        <v>0</v>
      </c>
      <c r="W656" s="18">
        <f t="shared" si="92"/>
        <v>28027.7</v>
      </c>
      <c r="X656" s="18">
        <f t="shared" si="91"/>
        <v>0</v>
      </c>
      <c r="Y656" s="13">
        <f t="shared" si="95"/>
        <v>0</v>
      </c>
      <c r="Z656" s="14">
        <v>0</v>
      </c>
      <c r="AA656" s="4">
        <v>0</v>
      </c>
      <c r="AB656" s="4">
        <f t="shared" si="99"/>
        <v>0</v>
      </c>
      <c r="AC656" s="6">
        <f t="shared" si="96"/>
        <v>0</v>
      </c>
      <c r="AD656" s="18">
        <f t="shared" si="93"/>
        <v>0</v>
      </c>
      <c r="AE656" s="2">
        <v>7.0000000000000007E-2</v>
      </c>
      <c r="AF656" s="5">
        <f t="shared" si="97"/>
        <v>0</v>
      </c>
      <c r="AG656" s="14">
        <v>0</v>
      </c>
      <c r="AH656" s="10">
        <f t="shared" si="94"/>
        <v>0</v>
      </c>
      <c r="AI656" s="16"/>
      <c r="AJ656" s="126" t="e">
        <v>#N/A</v>
      </c>
      <c r="AK656" s="80">
        <f t="shared" si="98"/>
        <v>0</v>
      </c>
      <c r="AM656" s="85"/>
    </row>
    <row r="657" spans="1:39" hidden="1" x14ac:dyDescent="0.3">
      <c r="A657" s="85" t="s">
        <v>34</v>
      </c>
      <c r="B657" s="15" t="s">
        <v>35</v>
      </c>
      <c r="C657" s="15" t="s">
        <v>65</v>
      </c>
      <c r="D657" s="15" t="s">
        <v>66</v>
      </c>
      <c r="E657" s="15" t="s">
        <v>861</v>
      </c>
      <c r="F657" s="15" t="s">
        <v>861</v>
      </c>
      <c r="G657" s="15" t="s">
        <v>861</v>
      </c>
      <c r="H657" s="139"/>
      <c r="I657" s="15" t="s">
        <v>408</v>
      </c>
      <c r="J657" s="1" t="s">
        <v>3324</v>
      </c>
      <c r="K657" s="1" t="s">
        <v>3278</v>
      </c>
      <c r="L657" s="1" t="s">
        <v>35</v>
      </c>
      <c r="M657" s="15" t="s">
        <v>863</v>
      </c>
      <c r="N657" s="15"/>
      <c r="O657" s="8" t="s">
        <v>410</v>
      </c>
      <c r="P657" s="8" t="s">
        <v>46</v>
      </c>
      <c r="Q657" s="9">
        <v>0.04</v>
      </c>
      <c r="R657" s="139">
        <v>1000001190</v>
      </c>
      <c r="S657" s="15"/>
      <c r="T657" s="18">
        <v>35733.800000000003</v>
      </c>
      <c r="U657" s="4">
        <v>0</v>
      </c>
      <c r="V657" s="6">
        <v>0</v>
      </c>
      <c r="W657" s="18">
        <f t="shared" si="92"/>
        <v>35733.800000000003</v>
      </c>
      <c r="X657" s="18">
        <f t="shared" si="91"/>
        <v>0</v>
      </c>
      <c r="Y657" s="13">
        <f t="shared" si="95"/>
        <v>0</v>
      </c>
      <c r="Z657" s="14">
        <v>0</v>
      </c>
      <c r="AA657" s="4">
        <v>0</v>
      </c>
      <c r="AB657" s="4">
        <f t="shared" si="99"/>
        <v>0</v>
      </c>
      <c r="AC657" s="6">
        <f t="shared" si="96"/>
        <v>0</v>
      </c>
      <c r="AD657" s="18">
        <f t="shared" si="93"/>
        <v>0</v>
      </c>
      <c r="AE657" s="2">
        <v>7.0000000000000007E-2</v>
      </c>
      <c r="AF657" s="5">
        <f t="shared" si="97"/>
        <v>0</v>
      </c>
      <c r="AG657" s="14">
        <v>0</v>
      </c>
      <c r="AH657" s="10">
        <f t="shared" si="94"/>
        <v>0</v>
      </c>
      <c r="AI657" s="16"/>
      <c r="AJ657" s="126" t="e">
        <v>#N/A</v>
      </c>
      <c r="AK657" s="80">
        <f t="shared" si="98"/>
        <v>0</v>
      </c>
      <c r="AM657" s="85"/>
    </row>
    <row r="658" spans="1:39" hidden="1" x14ac:dyDescent="0.3">
      <c r="A658" s="85" t="s">
        <v>34</v>
      </c>
      <c r="B658" s="15" t="s">
        <v>35</v>
      </c>
      <c r="C658" s="15" t="s">
        <v>65</v>
      </c>
      <c r="D658" s="15" t="s">
        <v>66</v>
      </c>
      <c r="E658" s="15" t="s">
        <v>864</v>
      </c>
      <c r="F658" s="15" t="s">
        <v>864</v>
      </c>
      <c r="G658" s="15" t="s">
        <v>864</v>
      </c>
      <c r="H658" s="139"/>
      <c r="I658" s="15" t="s">
        <v>408</v>
      </c>
      <c r="J658" s="1" t="s">
        <v>3324</v>
      </c>
      <c r="K658" s="1" t="s">
        <v>3278</v>
      </c>
      <c r="L658" s="1" t="s">
        <v>35</v>
      </c>
      <c r="M658" s="15" t="s">
        <v>865</v>
      </c>
      <c r="N658" s="15"/>
      <c r="O658" s="8" t="s">
        <v>410</v>
      </c>
      <c r="P658" s="8" t="s">
        <v>46</v>
      </c>
      <c r="Q658" s="9">
        <v>7.0000000000000007E-2</v>
      </c>
      <c r="R658" s="139">
        <v>1000001255</v>
      </c>
      <c r="S658" s="15"/>
      <c r="T658" s="18">
        <v>351</v>
      </c>
      <c r="U658" s="4">
        <v>0</v>
      </c>
      <c r="V658" s="6">
        <v>0</v>
      </c>
      <c r="W658" s="18">
        <f t="shared" si="92"/>
        <v>351</v>
      </c>
      <c r="X658" s="18">
        <f t="shared" si="91"/>
        <v>0</v>
      </c>
      <c r="Y658" s="13">
        <f t="shared" si="95"/>
        <v>0</v>
      </c>
      <c r="Z658" s="14">
        <v>0</v>
      </c>
      <c r="AA658" s="4">
        <v>0</v>
      </c>
      <c r="AB658" s="4">
        <f t="shared" si="99"/>
        <v>0</v>
      </c>
      <c r="AC658" s="6">
        <f t="shared" si="96"/>
        <v>0</v>
      </c>
      <c r="AD658" s="18">
        <f t="shared" si="93"/>
        <v>0</v>
      </c>
      <c r="AE658" s="2">
        <v>7.0000000000000007E-2</v>
      </c>
      <c r="AF658" s="5">
        <f t="shared" si="97"/>
        <v>0</v>
      </c>
      <c r="AG658" s="14">
        <v>0</v>
      </c>
      <c r="AH658" s="10">
        <f t="shared" si="94"/>
        <v>0</v>
      </c>
      <c r="AI658" s="16"/>
      <c r="AJ658" s="126" t="e">
        <v>#N/A</v>
      </c>
      <c r="AK658" s="80">
        <f t="shared" si="98"/>
        <v>0</v>
      </c>
      <c r="AM658" s="85"/>
    </row>
    <row r="659" spans="1:39" hidden="1" x14ac:dyDescent="0.3">
      <c r="A659" s="85" t="s">
        <v>34</v>
      </c>
      <c r="B659" s="15" t="s">
        <v>35</v>
      </c>
      <c r="C659" s="15" t="s">
        <v>65</v>
      </c>
      <c r="D659" s="15" t="s">
        <v>66</v>
      </c>
      <c r="E659" s="15" t="s">
        <v>866</v>
      </c>
      <c r="F659" s="15" t="s">
        <v>867</v>
      </c>
      <c r="G659" s="15" t="s">
        <v>866</v>
      </c>
      <c r="H659" s="139"/>
      <c r="I659" s="15" t="s">
        <v>408</v>
      </c>
      <c r="J659" s="1" t="s">
        <v>3324</v>
      </c>
      <c r="K659" s="1" t="s">
        <v>3278</v>
      </c>
      <c r="L659" s="1" t="s">
        <v>35</v>
      </c>
      <c r="M659" s="15" t="s">
        <v>868</v>
      </c>
      <c r="N659" s="15"/>
      <c r="O659" s="8" t="s">
        <v>410</v>
      </c>
      <c r="P659" s="8" t="s">
        <v>46</v>
      </c>
      <c r="Q659" s="9">
        <v>0.02</v>
      </c>
      <c r="R659" s="139">
        <v>1000049631</v>
      </c>
      <c r="S659" s="15"/>
      <c r="T659" s="18">
        <v>32887.910000000003</v>
      </c>
      <c r="U659" s="4">
        <v>0</v>
      </c>
      <c r="V659" s="6">
        <v>0</v>
      </c>
      <c r="W659" s="18">
        <f t="shared" si="92"/>
        <v>32887.910000000003</v>
      </c>
      <c r="X659" s="18">
        <f t="shared" ref="X659:X722" si="100">IF(P659="折扣",V659*Q659,IF(P659="返现",V659,V659/(1+Q659)))</f>
        <v>0</v>
      </c>
      <c r="Y659" s="13">
        <f t="shared" si="95"/>
        <v>0</v>
      </c>
      <c r="Z659" s="14">
        <v>0</v>
      </c>
      <c r="AA659" s="4">
        <v>0</v>
      </c>
      <c r="AB659" s="4">
        <f t="shared" si="99"/>
        <v>0</v>
      </c>
      <c r="AC659" s="6">
        <f t="shared" si="96"/>
        <v>0</v>
      </c>
      <c r="AD659" s="18">
        <f t="shared" si="93"/>
        <v>0</v>
      </c>
      <c r="AE659" s="2">
        <v>7.0000000000000007E-2</v>
      </c>
      <c r="AF659" s="5">
        <f t="shared" si="97"/>
        <v>0</v>
      </c>
      <c r="AG659" s="14">
        <v>0</v>
      </c>
      <c r="AH659" s="10">
        <f t="shared" si="94"/>
        <v>0</v>
      </c>
      <c r="AI659" s="16"/>
      <c r="AJ659" s="126" t="e">
        <v>#N/A</v>
      </c>
      <c r="AK659" s="80">
        <f t="shared" si="98"/>
        <v>0</v>
      </c>
      <c r="AM659" s="85"/>
    </row>
    <row r="660" spans="1:39" hidden="1" x14ac:dyDescent="0.3">
      <c r="A660" s="85" t="s">
        <v>34</v>
      </c>
      <c r="B660" s="15" t="s">
        <v>35</v>
      </c>
      <c r="C660" s="15" t="s">
        <v>65</v>
      </c>
      <c r="D660" s="15" t="s">
        <v>66</v>
      </c>
      <c r="E660" s="15" t="s">
        <v>869</v>
      </c>
      <c r="F660" s="15" t="s">
        <v>869</v>
      </c>
      <c r="G660" s="15" t="s">
        <v>869</v>
      </c>
      <c r="H660" s="139"/>
      <c r="I660" s="15" t="s">
        <v>408</v>
      </c>
      <c r="J660" s="1" t="s">
        <v>3324</v>
      </c>
      <c r="K660" s="1" t="s">
        <v>3278</v>
      </c>
      <c r="L660" s="1" t="s">
        <v>35</v>
      </c>
      <c r="M660" s="15" t="s">
        <v>870</v>
      </c>
      <c r="N660" s="15"/>
      <c r="O660" s="8" t="s">
        <v>410</v>
      </c>
      <c r="P660" s="8" t="s">
        <v>41</v>
      </c>
      <c r="Q660" s="9">
        <v>0</v>
      </c>
      <c r="R660" s="139">
        <v>1000002672</v>
      </c>
      <c r="S660" s="15"/>
      <c r="T660" s="18">
        <v>16499.900000000001</v>
      </c>
      <c r="U660" s="4">
        <v>0</v>
      </c>
      <c r="V660" s="6">
        <v>0</v>
      </c>
      <c r="W660" s="18">
        <f t="shared" ref="W660:W723" si="101">T660+U660-V660</f>
        <v>16499.900000000001</v>
      </c>
      <c r="X660" s="18">
        <f t="shared" si="100"/>
        <v>0</v>
      </c>
      <c r="Y660" s="13">
        <f t="shared" si="95"/>
        <v>0</v>
      </c>
      <c r="Z660" s="14">
        <v>0</v>
      </c>
      <c r="AA660" s="4">
        <v>0</v>
      </c>
      <c r="AB660" s="4">
        <f t="shared" si="99"/>
        <v>0</v>
      </c>
      <c r="AC660" s="6">
        <f t="shared" si="96"/>
        <v>0</v>
      </c>
      <c r="AD660" s="18">
        <f t="shared" si="93"/>
        <v>0</v>
      </c>
      <c r="AE660" s="2">
        <v>7.0000000000000007E-2</v>
      </c>
      <c r="AF660" s="5">
        <f t="shared" si="97"/>
        <v>0</v>
      </c>
      <c r="AG660" s="14">
        <v>0</v>
      </c>
      <c r="AH660" s="10">
        <f t="shared" si="94"/>
        <v>0</v>
      </c>
      <c r="AI660" s="16"/>
      <c r="AJ660" s="126" t="e">
        <v>#N/A</v>
      </c>
      <c r="AK660" s="80">
        <f t="shared" si="98"/>
        <v>0</v>
      </c>
      <c r="AM660" s="85"/>
    </row>
    <row r="661" spans="1:39" hidden="1" x14ac:dyDescent="0.3">
      <c r="A661" s="85" t="s">
        <v>34</v>
      </c>
      <c r="B661" s="15" t="s">
        <v>35</v>
      </c>
      <c r="C661" s="15" t="s">
        <v>65</v>
      </c>
      <c r="D661" s="15" t="s">
        <v>122</v>
      </c>
      <c r="E661" s="15" t="s">
        <v>871</v>
      </c>
      <c r="F661" s="15" t="s">
        <v>872</v>
      </c>
      <c r="G661" s="15" t="s">
        <v>871</v>
      </c>
      <c r="H661" s="139"/>
      <c r="I661" s="15" t="s">
        <v>408</v>
      </c>
      <c r="J661" s="1" t="s">
        <v>3324</v>
      </c>
      <c r="K661" s="1" t="s">
        <v>3278</v>
      </c>
      <c r="L661" s="1" t="s">
        <v>35</v>
      </c>
      <c r="M661" s="15" t="s">
        <v>873</v>
      </c>
      <c r="N661" s="15"/>
      <c r="O661" s="8" t="s">
        <v>410</v>
      </c>
      <c r="P661" s="8" t="s">
        <v>46</v>
      </c>
      <c r="Q661" s="9">
        <v>0.04</v>
      </c>
      <c r="R661" s="139">
        <v>1000008084</v>
      </c>
      <c r="S661" s="15"/>
      <c r="T661" s="18">
        <v>15897.1</v>
      </c>
      <c r="U661" s="4">
        <v>0</v>
      </c>
      <c r="V661" s="6">
        <v>0</v>
      </c>
      <c r="W661" s="18">
        <f t="shared" si="101"/>
        <v>15897.1</v>
      </c>
      <c r="X661" s="18">
        <f t="shared" si="100"/>
        <v>0</v>
      </c>
      <c r="Y661" s="13">
        <f t="shared" si="95"/>
        <v>0</v>
      </c>
      <c r="Z661" s="14">
        <v>0</v>
      </c>
      <c r="AA661" s="4">
        <v>0</v>
      </c>
      <c r="AB661" s="4">
        <f t="shared" si="99"/>
        <v>0</v>
      </c>
      <c r="AC661" s="6">
        <f t="shared" si="96"/>
        <v>0</v>
      </c>
      <c r="AD661" s="18">
        <f t="shared" si="93"/>
        <v>0</v>
      </c>
      <c r="AE661" s="2">
        <v>7.0000000000000007E-2</v>
      </c>
      <c r="AF661" s="5">
        <f t="shared" si="97"/>
        <v>0</v>
      </c>
      <c r="AG661" s="14">
        <v>0</v>
      </c>
      <c r="AH661" s="10">
        <f t="shared" si="94"/>
        <v>0</v>
      </c>
      <c r="AI661" s="16"/>
      <c r="AJ661" s="126" t="e">
        <v>#N/A</v>
      </c>
      <c r="AK661" s="80">
        <f t="shared" si="98"/>
        <v>0</v>
      </c>
      <c r="AM661" s="85"/>
    </row>
    <row r="662" spans="1:39" hidden="1" x14ac:dyDescent="0.3">
      <c r="A662" s="85" t="s">
        <v>34</v>
      </c>
      <c r="B662" s="15" t="s">
        <v>35</v>
      </c>
      <c r="C662" s="15" t="s">
        <v>65</v>
      </c>
      <c r="D662" s="15" t="s">
        <v>122</v>
      </c>
      <c r="E662" s="15" t="s">
        <v>874</v>
      </c>
      <c r="F662" s="15" t="s">
        <v>874</v>
      </c>
      <c r="G662" s="15" t="s">
        <v>874</v>
      </c>
      <c r="H662" s="139"/>
      <c r="I662" s="15" t="s">
        <v>408</v>
      </c>
      <c r="J662" s="1" t="s">
        <v>3324</v>
      </c>
      <c r="K662" s="1" t="s">
        <v>3278</v>
      </c>
      <c r="L662" s="1" t="s">
        <v>35</v>
      </c>
      <c r="M662" s="15" t="s">
        <v>875</v>
      </c>
      <c r="N662" s="15"/>
      <c r="O662" s="8" t="s">
        <v>45</v>
      </c>
      <c r="P662" s="8" t="s">
        <v>46</v>
      </c>
      <c r="Q662" s="9">
        <v>0.08</v>
      </c>
      <c r="R662" s="139">
        <v>1000022027</v>
      </c>
      <c r="S662" s="15"/>
      <c r="T662" s="18">
        <v>2400</v>
      </c>
      <c r="U662" s="4">
        <v>0</v>
      </c>
      <c r="V662" s="6">
        <v>0</v>
      </c>
      <c r="W662" s="18">
        <f t="shared" si="101"/>
        <v>2400</v>
      </c>
      <c r="X662" s="18">
        <f t="shared" si="100"/>
        <v>0</v>
      </c>
      <c r="Y662" s="13">
        <f t="shared" si="95"/>
        <v>0</v>
      </c>
      <c r="Z662" s="14">
        <v>0</v>
      </c>
      <c r="AA662" s="4">
        <v>0</v>
      </c>
      <c r="AB662" s="4">
        <f t="shared" si="99"/>
        <v>0</v>
      </c>
      <c r="AC662" s="6">
        <f t="shared" si="96"/>
        <v>0</v>
      </c>
      <c r="AD662" s="18">
        <f t="shared" si="93"/>
        <v>0</v>
      </c>
      <c r="AE662" s="2">
        <v>0.12</v>
      </c>
      <c r="AF662" s="5">
        <f t="shared" si="97"/>
        <v>0</v>
      </c>
      <c r="AG662" s="14">
        <v>0</v>
      </c>
      <c r="AH662" s="10">
        <f t="shared" si="94"/>
        <v>0</v>
      </c>
      <c r="AI662" s="16"/>
      <c r="AJ662" s="126" t="e">
        <v>#N/A</v>
      </c>
      <c r="AK662" s="80">
        <f t="shared" si="98"/>
        <v>0</v>
      </c>
      <c r="AM662" s="85"/>
    </row>
    <row r="663" spans="1:39" hidden="1" x14ac:dyDescent="0.3">
      <c r="A663" s="85" t="s">
        <v>34</v>
      </c>
      <c r="B663" s="15" t="s">
        <v>35</v>
      </c>
      <c r="C663" s="15" t="s">
        <v>65</v>
      </c>
      <c r="D663" s="15" t="s">
        <v>125</v>
      </c>
      <c r="E663" s="15" t="s">
        <v>876</v>
      </c>
      <c r="F663" s="15" t="s">
        <v>876</v>
      </c>
      <c r="G663" s="15" t="s">
        <v>876</v>
      </c>
      <c r="H663" s="139"/>
      <c r="I663" s="15" t="s">
        <v>408</v>
      </c>
      <c r="J663" s="1" t="s">
        <v>3324</v>
      </c>
      <c r="K663" s="1" t="s">
        <v>3278</v>
      </c>
      <c r="L663" s="1" t="s">
        <v>35</v>
      </c>
      <c r="M663" s="15" t="s">
        <v>877</v>
      </c>
      <c r="N663" s="15"/>
      <c r="O663" s="8" t="s">
        <v>410</v>
      </c>
      <c r="P663" s="8" t="s">
        <v>41</v>
      </c>
      <c r="Q663" s="9">
        <v>0</v>
      </c>
      <c r="R663" s="139">
        <v>1000051898</v>
      </c>
      <c r="S663" s="15"/>
      <c r="T663" s="18">
        <v>499146.39</v>
      </c>
      <c r="U663" s="4">
        <v>0</v>
      </c>
      <c r="V663" s="6">
        <v>0</v>
      </c>
      <c r="W663" s="18">
        <f t="shared" si="101"/>
        <v>499146.39</v>
      </c>
      <c r="X663" s="18">
        <f t="shared" si="100"/>
        <v>0</v>
      </c>
      <c r="Y663" s="13">
        <f t="shared" si="95"/>
        <v>0</v>
      </c>
      <c r="Z663" s="14">
        <v>0</v>
      </c>
      <c r="AA663" s="4">
        <v>0</v>
      </c>
      <c r="AB663" s="4">
        <f t="shared" si="99"/>
        <v>0</v>
      </c>
      <c r="AC663" s="6">
        <f t="shared" si="96"/>
        <v>0</v>
      </c>
      <c r="AD663" s="18">
        <f t="shared" si="93"/>
        <v>0</v>
      </c>
      <c r="AE663" s="2">
        <v>7.0000000000000007E-2</v>
      </c>
      <c r="AF663" s="5">
        <f t="shared" si="97"/>
        <v>0</v>
      </c>
      <c r="AG663" s="14">
        <v>0</v>
      </c>
      <c r="AH663" s="10">
        <f t="shared" si="94"/>
        <v>0</v>
      </c>
      <c r="AI663" s="16"/>
      <c r="AJ663" s="126" t="e">
        <v>#N/A</v>
      </c>
      <c r="AK663" s="80">
        <f t="shared" si="98"/>
        <v>0</v>
      </c>
      <c r="AM663" s="85"/>
    </row>
    <row r="664" spans="1:39" hidden="1" x14ac:dyDescent="0.3">
      <c r="A664" s="85" t="s">
        <v>34</v>
      </c>
      <c r="B664" s="15" t="s">
        <v>35</v>
      </c>
      <c r="C664" s="15" t="s">
        <v>47</v>
      </c>
      <c r="D664" s="15" t="s">
        <v>878</v>
      </c>
      <c r="E664" s="15" t="s">
        <v>879</v>
      </c>
      <c r="F664" s="15" t="s">
        <v>879</v>
      </c>
      <c r="G664" s="15" t="s">
        <v>879</v>
      </c>
      <c r="H664" s="139"/>
      <c r="I664" s="15" t="s">
        <v>408</v>
      </c>
      <c r="J664" s="1" t="s">
        <v>3324</v>
      </c>
      <c r="K664" s="1" t="s">
        <v>3278</v>
      </c>
      <c r="L664" s="1" t="s">
        <v>35</v>
      </c>
      <c r="M664" s="15" t="s">
        <v>880</v>
      </c>
      <c r="N664" s="15"/>
      <c r="O664" s="8" t="s">
        <v>410</v>
      </c>
      <c r="P664" s="8" t="s">
        <v>46</v>
      </c>
      <c r="Q664" s="9">
        <v>0.04</v>
      </c>
      <c r="R664" s="139">
        <v>1000026251</v>
      </c>
      <c r="S664" s="15"/>
      <c r="T664" s="18">
        <v>9727.1</v>
      </c>
      <c r="U664" s="4">
        <v>0</v>
      </c>
      <c r="V664" s="6">
        <v>0</v>
      </c>
      <c r="W664" s="18">
        <f t="shared" si="101"/>
        <v>9727.1</v>
      </c>
      <c r="X664" s="18">
        <f t="shared" si="100"/>
        <v>0</v>
      </c>
      <c r="Y664" s="13">
        <f t="shared" si="95"/>
        <v>0</v>
      </c>
      <c r="Z664" s="14">
        <v>0</v>
      </c>
      <c r="AA664" s="4">
        <v>0</v>
      </c>
      <c r="AB664" s="4">
        <f t="shared" si="99"/>
        <v>0</v>
      </c>
      <c r="AC664" s="6">
        <f t="shared" si="96"/>
        <v>0</v>
      </c>
      <c r="AD664" s="18">
        <f t="shared" si="93"/>
        <v>0</v>
      </c>
      <c r="AE664" s="2">
        <v>7.0000000000000007E-2</v>
      </c>
      <c r="AF664" s="5">
        <f t="shared" si="97"/>
        <v>0</v>
      </c>
      <c r="AG664" s="14">
        <v>0</v>
      </c>
      <c r="AH664" s="10">
        <f t="shared" si="94"/>
        <v>0</v>
      </c>
      <c r="AI664" s="16"/>
      <c r="AJ664" s="126" t="e">
        <v>#N/A</v>
      </c>
      <c r="AK664" s="80">
        <f t="shared" si="98"/>
        <v>0</v>
      </c>
      <c r="AM664" s="85"/>
    </row>
    <row r="665" spans="1:39" hidden="1" x14ac:dyDescent="0.3">
      <c r="A665" s="85" t="s">
        <v>34</v>
      </c>
      <c r="B665" s="15" t="s">
        <v>35</v>
      </c>
      <c r="C665" s="15" t="s">
        <v>47</v>
      </c>
      <c r="D665" s="15" t="s">
        <v>63</v>
      </c>
      <c r="E665" s="15" t="s">
        <v>881</v>
      </c>
      <c r="F665" s="15" t="s">
        <v>881</v>
      </c>
      <c r="G665" s="15" t="s">
        <v>881</v>
      </c>
      <c r="H665" s="139"/>
      <c r="I665" s="15" t="s">
        <v>408</v>
      </c>
      <c r="J665" s="1" t="s">
        <v>3324</v>
      </c>
      <c r="K665" s="1" t="s">
        <v>3278</v>
      </c>
      <c r="L665" s="1" t="s">
        <v>35</v>
      </c>
      <c r="M665" s="15" t="s">
        <v>882</v>
      </c>
      <c r="N665" s="15"/>
      <c r="O665" s="8" t="s">
        <v>410</v>
      </c>
      <c r="P665" s="8" t="s">
        <v>41</v>
      </c>
      <c r="Q665" s="9">
        <v>0</v>
      </c>
      <c r="R665" s="139">
        <v>1000004884</v>
      </c>
      <c r="S665" s="15"/>
      <c r="T665" s="18">
        <v>85408.59</v>
      </c>
      <c r="U665" s="4">
        <v>0</v>
      </c>
      <c r="V665" s="6">
        <v>0</v>
      </c>
      <c r="W665" s="18">
        <f t="shared" si="101"/>
        <v>85408.59</v>
      </c>
      <c r="X665" s="18">
        <f t="shared" si="100"/>
        <v>0</v>
      </c>
      <c r="Y665" s="13">
        <f t="shared" si="95"/>
        <v>0</v>
      </c>
      <c r="Z665" s="14">
        <v>0</v>
      </c>
      <c r="AA665" s="4">
        <v>0</v>
      </c>
      <c r="AB665" s="4">
        <f t="shared" si="99"/>
        <v>0</v>
      </c>
      <c r="AC665" s="6">
        <f t="shared" si="96"/>
        <v>0</v>
      </c>
      <c r="AD665" s="18">
        <f t="shared" si="93"/>
        <v>0</v>
      </c>
      <c r="AE665" s="2">
        <v>7.0000000000000007E-2</v>
      </c>
      <c r="AF665" s="5">
        <f t="shared" si="97"/>
        <v>0</v>
      </c>
      <c r="AG665" s="14">
        <v>0</v>
      </c>
      <c r="AH665" s="10">
        <f t="shared" si="94"/>
        <v>0</v>
      </c>
      <c r="AI665" s="16"/>
      <c r="AJ665" s="126" t="e">
        <v>#N/A</v>
      </c>
      <c r="AK665" s="80">
        <f t="shared" si="98"/>
        <v>0</v>
      </c>
      <c r="AM665" s="85"/>
    </row>
    <row r="666" spans="1:39" hidden="1" x14ac:dyDescent="0.3">
      <c r="A666" s="85" t="s">
        <v>34</v>
      </c>
      <c r="B666" s="15" t="s">
        <v>35</v>
      </c>
      <c r="C666" s="15" t="s">
        <v>47</v>
      </c>
      <c r="D666" s="15" t="s">
        <v>63</v>
      </c>
      <c r="E666" s="15" t="s">
        <v>883</v>
      </c>
      <c r="F666" s="15" t="s">
        <v>883</v>
      </c>
      <c r="G666" s="15" t="s">
        <v>883</v>
      </c>
      <c r="H666" s="139"/>
      <c r="I666" s="15" t="s">
        <v>408</v>
      </c>
      <c r="J666" s="1" t="s">
        <v>3324</v>
      </c>
      <c r="K666" s="1" t="s">
        <v>3278</v>
      </c>
      <c r="L666" s="1" t="s">
        <v>35</v>
      </c>
      <c r="M666" s="15" t="s">
        <v>884</v>
      </c>
      <c r="N666" s="15"/>
      <c r="O666" s="8" t="s">
        <v>410</v>
      </c>
      <c r="P666" s="8" t="s">
        <v>41</v>
      </c>
      <c r="Q666" s="9">
        <v>0</v>
      </c>
      <c r="R666" s="139">
        <v>1000054033</v>
      </c>
      <c r="S666" s="15"/>
      <c r="T666" s="18">
        <v>655.38</v>
      </c>
      <c r="U666" s="4">
        <v>0</v>
      </c>
      <c r="V666" s="6">
        <v>0</v>
      </c>
      <c r="W666" s="18">
        <f t="shared" si="101"/>
        <v>655.38</v>
      </c>
      <c r="X666" s="18">
        <f t="shared" si="100"/>
        <v>0</v>
      </c>
      <c r="Y666" s="13">
        <f t="shared" si="95"/>
        <v>0</v>
      </c>
      <c r="Z666" s="14">
        <v>0</v>
      </c>
      <c r="AA666" s="4">
        <v>0</v>
      </c>
      <c r="AB666" s="4">
        <f t="shared" si="99"/>
        <v>0</v>
      </c>
      <c r="AC666" s="6">
        <f t="shared" si="96"/>
        <v>0</v>
      </c>
      <c r="AD666" s="18">
        <f t="shared" si="93"/>
        <v>0</v>
      </c>
      <c r="AE666" s="2">
        <v>7.0000000000000007E-2</v>
      </c>
      <c r="AF666" s="5">
        <f t="shared" si="97"/>
        <v>0</v>
      </c>
      <c r="AG666" s="14">
        <v>0</v>
      </c>
      <c r="AH666" s="10">
        <f t="shared" si="94"/>
        <v>0</v>
      </c>
      <c r="AI666" s="16"/>
      <c r="AJ666" s="126" t="e">
        <v>#N/A</v>
      </c>
      <c r="AK666" s="80">
        <f t="shared" si="98"/>
        <v>0</v>
      </c>
      <c r="AM666" s="85"/>
    </row>
    <row r="667" spans="1:39" hidden="1" x14ac:dyDescent="0.3">
      <c r="A667" s="85" t="s">
        <v>34</v>
      </c>
      <c r="B667" s="15" t="s">
        <v>35</v>
      </c>
      <c r="C667" s="15" t="s">
        <v>47</v>
      </c>
      <c r="D667" s="15" t="s">
        <v>63</v>
      </c>
      <c r="E667" s="15" t="s">
        <v>885</v>
      </c>
      <c r="F667" s="15" t="s">
        <v>885</v>
      </c>
      <c r="G667" s="15" t="s">
        <v>885</v>
      </c>
      <c r="H667" s="139"/>
      <c r="I667" s="15" t="s">
        <v>408</v>
      </c>
      <c r="J667" s="1" t="s">
        <v>3324</v>
      </c>
      <c r="K667" s="1" t="s">
        <v>3278</v>
      </c>
      <c r="L667" s="1" t="s">
        <v>35</v>
      </c>
      <c r="M667" s="15" t="s">
        <v>886</v>
      </c>
      <c r="N667" s="15"/>
      <c r="O667" s="8" t="s">
        <v>410</v>
      </c>
      <c r="P667" s="8" t="s">
        <v>41</v>
      </c>
      <c r="Q667" s="9">
        <v>0</v>
      </c>
      <c r="R667" s="139">
        <v>1000002377</v>
      </c>
      <c r="S667" s="15"/>
      <c r="T667" s="18">
        <v>1</v>
      </c>
      <c r="U667" s="4">
        <v>0</v>
      </c>
      <c r="V667" s="6">
        <v>0</v>
      </c>
      <c r="W667" s="18">
        <f t="shared" si="101"/>
        <v>1</v>
      </c>
      <c r="X667" s="18">
        <f t="shared" si="100"/>
        <v>0</v>
      </c>
      <c r="Y667" s="13">
        <f t="shared" si="95"/>
        <v>0</v>
      </c>
      <c r="Z667" s="14">
        <v>0</v>
      </c>
      <c r="AA667" s="4">
        <v>0</v>
      </c>
      <c r="AB667" s="4">
        <f t="shared" si="99"/>
        <v>0</v>
      </c>
      <c r="AC667" s="6">
        <f t="shared" si="96"/>
        <v>0</v>
      </c>
      <c r="AD667" s="18">
        <f t="shared" si="93"/>
        <v>0</v>
      </c>
      <c r="AE667" s="2">
        <v>7.0000000000000007E-2</v>
      </c>
      <c r="AF667" s="5">
        <f t="shared" si="97"/>
        <v>0</v>
      </c>
      <c r="AG667" s="14">
        <v>0</v>
      </c>
      <c r="AH667" s="10">
        <f t="shared" si="94"/>
        <v>0</v>
      </c>
      <c r="AI667" s="16"/>
      <c r="AJ667" s="126" t="e">
        <v>#N/A</v>
      </c>
      <c r="AK667" s="80">
        <f t="shared" si="98"/>
        <v>0</v>
      </c>
      <c r="AM667" s="85"/>
    </row>
    <row r="668" spans="1:39" hidden="1" x14ac:dyDescent="0.3">
      <c r="A668" s="85" t="s">
        <v>34</v>
      </c>
      <c r="B668" s="15" t="s">
        <v>35</v>
      </c>
      <c r="C668" s="15" t="s">
        <v>47</v>
      </c>
      <c r="D668" s="15" t="s">
        <v>63</v>
      </c>
      <c r="E668" s="15" t="s">
        <v>887</v>
      </c>
      <c r="F668" s="15" t="s">
        <v>888</v>
      </c>
      <c r="G668" s="15" t="s">
        <v>887</v>
      </c>
      <c r="H668" s="139"/>
      <c r="I668" s="15" t="s">
        <v>408</v>
      </c>
      <c r="J668" s="1" t="s">
        <v>3324</v>
      </c>
      <c r="K668" s="1" t="s">
        <v>3278</v>
      </c>
      <c r="L668" s="1" t="s">
        <v>35</v>
      </c>
      <c r="M668" s="15" t="s">
        <v>889</v>
      </c>
      <c r="N668" s="15"/>
      <c r="O668" s="8" t="s">
        <v>410</v>
      </c>
      <c r="P668" s="8" t="s">
        <v>92</v>
      </c>
      <c r="Q668" s="9">
        <v>0.93</v>
      </c>
      <c r="R668" s="139">
        <v>1000010556</v>
      </c>
      <c r="S668" s="15"/>
      <c r="T668" s="18">
        <v>15112.89</v>
      </c>
      <c r="U668" s="4">
        <v>0</v>
      </c>
      <c r="V668" s="6">
        <v>0</v>
      </c>
      <c r="W668" s="18">
        <f t="shared" si="101"/>
        <v>15112.89</v>
      </c>
      <c r="X668" s="18">
        <f t="shared" si="100"/>
        <v>0</v>
      </c>
      <c r="Y668" s="13">
        <f t="shared" si="95"/>
        <v>0</v>
      </c>
      <c r="Z668" s="14">
        <v>0</v>
      </c>
      <c r="AA668" s="4">
        <v>0</v>
      </c>
      <c r="AB668" s="4">
        <f t="shared" si="99"/>
        <v>0</v>
      </c>
      <c r="AC668" s="6">
        <f t="shared" si="96"/>
        <v>0</v>
      </c>
      <c r="AD668" s="18">
        <f t="shared" si="93"/>
        <v>0</v>
      </c>
      <c r="AE668" s="2">
        <v>7.0000000000000007E-2</v>
      </c>
      <c r="AF668" s="5">
        <f t="shared" si="97"/>
        <v>0</v>
      </c>
      <c r="AG668" s="14">
        <v>0</v>
      </c>
      <c r="AH668" s="10">
        <f t="shared" si="94"/>
        <v>0</v>
      </c>
      <c r="AI668" s="16"/>
      <c r="AJ668" s="126" t="e">
        <v>#N/A</v>
      </c>
      <c r="AK668" s="80">
        <f t="shared" si="98"/>
        <v>0</v>
      </c>
      <c r="AM668" s="85"/>
    </row>
    <row r="669" spans="1:39" hidden="1" x14ac:dyDescent="0.3">
      <c r="A669" s="85" t="s">
        <v>34</v>
      </c>
      <c r="B669" s="15" t="s">
        <v>35</v>
      </c>
      <c r="C669" s="15" t="s">
        <v>47</v>
      </c>
      <c r="D669" s="15" t="s">
        <v>63</v>
      </c>
      <c r="E669" s="15" t="s">
        <v>887</v>
      </c>
      <c r="F669" s="15" t="s">
        <v>888</v>
      </c>
      <c r="G669" s="15" t="s">
        <v>887</v>
      </c>
      <c r="H669" s="139"/>
      <c r="I669" s="15" t="s">
        <v>408</v>
      </c>
      <c r="J669" s="1" t="s">
        <v>3324</v>
      </c>
      <c r="K669" s="1" t="s">
        <v>3278</v>
      </c>
      <c r="L669" s="1" t="s">
        <v>35</v>
      </c>
      <c r="M669" s="15" t="s">
        <v>890</v>
      </c>
      <c r="N669" s="15"/>
      <c r="O669" s="8" t="s">
        <v>410</v>
      </c>
      <c r="P669" s="8" t="s">
        <v>92</v>
      </c>
      <c r="Q669" s="9">
        <v>0.93</v>
      </c>
      <c r="R669" s="139">
        <v>1000005076</v>
      </c>
      <c r="S669" s="15"/>
      <c r="T669" s="18">
        <v>971.7</v>
      </c>
      <c r="U669" s="4">
        <v>0</v>
      </c>
      <c r="V669" s="6">
        <v>0</v>
      </c>
      <c r="W669" s="18">
        <f t="shared" si="101"/>
        <v>971.7</v>
      </c>
      <c r="X669" s="18">
        <f t="shared" si="100"/>
        <v>0</v>
      </c>
      <c r="Y669" s="13">
        <f t="shared" si="95"/>
        <v>0</v>
      </c>
      <c r="Z669" s="14">
        <v>0</v>
      </c>
      <c r="AA669" s="4">
        <v>0</v>
      </c>
      <c r="AB669" s="4">
        <f t="shared" si="99"/>
        <v>0</v>
      </c>
      <c r="AC669" s="6">
        <f t="shared" si="96"/>
        <v>0</v>
      </c>
      <c r="AD669" s="18">
        <f t="shared" si="93"/>
        <v>0</v>
      </c>
      <c r="AE669" s="2">
        <v>7.0000000000000007E-2</v>
      </c>
      <c r="AF669" s="5">
        <f t="shared" si="97"/>
        <v>0</v>
      </c>
      <c r="AG669" s="14">
        <v>0</v>
      </c>
      <c r="AH669" s="10">
        <f t="shared" si="94"/>
        <v>0</v>
      </c>
      <c r="AI669" s="16"/>
      <c r="AJ669" s="126" t="e">
        <v>#N/A</v>
      </c>
      <c r="AK669" s="80">
        <f t="shared" si="98"/>
        <v>0</v>
      </c>
      <c r="AM669" s="85"/>
    </row>
    <row r="670" spans="1:39" hidden="1" x14ac:dyDescent="0.3">
      <c r="A670" s="85" t="s">
        <v>34</v>
      </c>
      <c r="B670" s="15" t="s">
        <v>35</v>
      </c>
      <c r="C670" s="15" t="s">
        <v>47</v>
      </c>
      <c r="D670" s="15" t="s">
        <v>63</v>
      </c>
      <c r="E670" s="15" t="s">
        <v>891</v>
      </c>
      <c r="F670" s="15" t="s">
        <v>891</v>
      </c>
      <c r="G670" s="15" t="s">
        <v>891</v>
      </c>
      <c r="H670" s="139"/>
      <c r="I670" s="15" t="s">
        <v>408</v>
      </c>
      <c r="J670" s="1" t="s">
        <v>3324</v>
      </c>
      <c r="K670" s="1" t="s">
        <v>3278</v>
      </c>
      <c r="L670" s="1" t="s">
        <v>35</v>
      </c>
      <c r="M670" s="15" t="s">
        <v>892</v>
      </c>
      <c r="N670" s="15"/>
      <c r="O670" s="8" t="s">
        <v>410</v>
      </c>
      <c r="P670" s="8" t="s">
        <v>92</v>
      </c>
      <c r="Q670" s="9">
        <v>0.96</v>
      </c>
      <c r="R670" s="139">
        <v>1000017211</v>
      </c>
      <c r="S670" s="15"/>
      <c r="T670" s="18">
        <v>2298.75</v>
      </c>
      <c r="U670" s="4">
        <v>0</v>
      </c>
      <c r="V670" s="6">
        <v>0</v>
      </c>
      <c r="W670" s="18">
        <f t="shared" si="101"/>
        <v>2298.75</v>
      </c>
      <c r="X670" s="18">
        <f t="shared" si="100"/>
        <v>0</v>
      </c>
      <c r="Y670" s="13">
        <f t="shared" si="95"/>
        <v>0</v>
      </c>
      <c r="Z670" s="14">
        <v>0</v>
      </c>
      <c r="AA670" s="4">
        <v>0</v>
      </c>
      <c r="AB670" s="4">
        <f t="shared" si="99"/>
        <v>0</v>
      </c>
      <c r="AC670" s="6">
        <f t="shared" si="96"/>
        <v>0</v>
      </c>
      <c r="AD670" s="18">
        <f t="shared" si="93"/>
        <v>0</v>
      </c>
      <c r="AE670" s="2">
        <v>7.0000000000000007E-2</v>
      </c>
      <c r="AF670" s="5">
        <f t="shared" si="97"/>
        <v>0</v>
      </c>
      <c r="AG670" s="14">
        <v>0</v>
      </c>
      <c r="AH670" s="10">
        <f t="shared" si="94"/>
        <v>0</v>
      </c>
      <c r="AI670" s="16"/>
      <c r="AJ670" s="126" t="e">
        <v>#N/A</v>
      </c>
      <c r="AK670" s="80">
        <f t="shared" si="98"/>
        <v>0</v>
      </c>
      <c r="AM670" s="85"/>
    </row>
    <row r="671" spans="1:39" hidden="1" x14ac:dyDescent="0.3">
      <c r="A671" s="85" t="s">
        <v>34</v>
      </c>
      <c r="B671" s="15" t="s">
        <v>35</v>
      </c>
      <c r="C671" s="15" t="s">
        <v>47</v>
      </c>
      <c r="D671" s="15" t="s">
        <v>63</v>
      </c>
      <c r="E671" s="15" t="s">
        <v>891</v>
      </c>
      <c r="F671" s="15" t="s">
        <v>891</v>
      </c>
      <c r="G671" s="15" t="s">
        <v>891</v>
      </c>
      <c r="H671" s="139"/>
      <c r="I671" s="15" t="s">
        <v>408</v>
      </c>
      <c r="J671" s="1" t="s">
        <v>3324</v>
      </c>
      <c r="K671" s="1" t="s">
        <v>3278</v>
      </c>
      <c r="L671" s="1" t="s">
        <v>35</v>
      </c>
      <c r="M671" s="15" t="s">
        <v>893</v>
      </c>
      <c r="N671" s="15"/>
      <c r="O671" s="8" t="s">
        <v>410</v>
      </c>
      <c r="P671" s="8" t="s">
        <v>92</v>
      </c>
      <c r="Q671" s="9">
        <v>0.96</v>
      </c>
      <c r="R671" s="139">
        <v>1000003726</v>
      </c>
      <c r="S671" s="15"/>
      <c r="T671" s="18">
        <v>11.4</v>
      </c>
      <c r="U671" s="4">
        <v>0</v>
      </c>
      <c r="V671" s="6">
        <v>0</v>
      </c>
      <c r="W671" s="18">
        <f t="shared" si="101"/>
        <v>11.4</v>
      </c>
      <c r="X671" s="18">
        <f t="shared" si="100"/>
        <v>0</v>
      </c>
      <c r="Y671" s="13">
        <f t="shared" si="95"/>
        <v>0</v>
      </c>
      <c r="Z671" s="14">
        <v>0</v>
      </c>
      <c r="AA671" s="4">
        <v>0</v>
      </c>
      <c r="AB671" s="4">
        <f t="shared" si="99"/>
        <v>0</v>
      </c>
      <c r="AC671" s="6">
        <f t="shared" si="96"/>
        <v>0</v>
      </c>
      <c r="AD671" s="18">
        <f t="shared" si="93"/>
        <v>0</v>
      </c>
      <c r="AE671" s="2">
        <v>7.0000000000000007E-2</v>
      </c>
      <c r="AF671" s="5">
        <f t="shared" si="97"/>
        <v>0</v>
      </c>
      <c r="AG671" s="14">
        <v>0</v>
      </c>
      <c r="AH671" s="10">
        <f t="shared" si="94"/>
        <v>0</v>
      </c>
      <c r="AI671" s="16"/>
      <c r="AJ671" s="126" t="e">
        <v>#N/A</v>
      </c>
      <c r="AK671" s="80">
        <f t="shared" si="98"/>
        <v>0</v>
      </c>
      <c r="AM671" s="85"/>
    </row>
    <row r="672" spans="1:39" hidden="1" x14ac:dyDescent="0.3">
      <c r="A672" s="85" t="s">
        <v>34</v>
      </c>
      <c r="B672" s="15" t="s">
        <v>35</v>
      </c>
      <c r="C672" s="15" t="s">
        <v>47</v>
      </c>
      <c r="D672" s="15" t="s">
        <v>63</v>
      </c>
      <c r="E672" s="15" t="s">
        <v>894</v>
      </c>
      <c r="F672" s="15" t="s">
        <v>895</v>
      </c>
      <c r="G672" s="15" t="s">
        <v>894</v>
      </c>
      <c r="H672" s="139"/>
      <c r="I672" s="15" t="s">
        <v>408</v>
      </c>
      <c r="J672" s="1" t="s">
        <v>3324</v>
      </c>
      <c r="K672" s="1" t="s">
        <v>3278</v>
      </c>
      <c r="L672" s="1" t="s">
        <v>35</v>
      </c>
      <c r="M672" s="15" t="s">
        <v>716</v>
      </c>
      <c r="N672" s="15"/>
      <c r="O672" s="8" t="s">
        <v>45</v>
      </c>
      <c r="P672" s="8" t="s">
        <v>46</v>
      </c>
      <c r="Q672" s="17">
        <v>0.06</v>
      </c>
      <c r="R672" s="139">
        <v>1000016985</v>
      </c>
      <c r="S672" s="15"/>
      <c r="T672" s="18">
        <v>73667.62</v>
      </c>
      <c r="U672" s="4">
        <v>0</v>
      </c>
      <c r="V672" s="6">
        <v>0</v>
      </c>
      <c r="W672" s="18">
        <f t="shared" si="101"/>
        <v>73667.62</v>
      </c>
      <c r="X672" s="18">
        <f t="shared" si="100"/>
        <v>0</v>
      </c>
      <c r="Y672" s="13">
        <f t="shared" si="95"/>
        <v>0</v>
      </c>
      <c r="Z672" s="14">
        <v>0</v>
      </c>
      <c r="AA672" s="4">
        <v>0</v>
      </c>
      <c r="AB672" s="4">
        <f t="shared" si="99"/>
        <v>0</v>
      </c>
      <c r="AC672" s="6">
        <f t="shared" si="96"/>
        <v>0</v>
      </c>
      <c r="AD672" s="18">
        <f t="shared" si="93"/>
        <v>0</v>
      </c>
      <c r="AE672" s="2">
        <v>0.12</v>
      </c>
      <c r="AF672" s="5">
        <f t="shared" si="97"/>
        <v>0</v>
      </c>
      <c r="AG672" s="14">
        <v>0</v>
      </c>
      <c r="AH672" s="10">
        <f t="shared" si="94"/>
        <v>0</v>
      </c>
      <c r="AI672" s="16"/>
      <c r="AJ672" s="126" t="e">
        <v>#N/A</v>
      </c>
      <c r="AK672" s="80">
        <f t="shared" si="98"/>
        <v>0</v>
      </c>
      <c r="AM672" s="85"/>
    </row>
    <row r="673" spans="1:39" hidden="1" x14ac:dyDescent="0.3">
      <c r="A673" s="85" t="s">
        <v>34</v>
      </c>
      <c r="B673" s="15" t="s">
        <v>35</v>
      </c>
      <c r="C673" s="15" t="s">
        <v>47</v>
      </c>
      <c r="D673" s="15" t="s">
        <v>63</v>
      </c>
      <c r="E673" s="15" t="s">
        <v>896</v>
      </c>
      <c r="F673" s="15" t="s">
        <v>896</v>
      </c>
      <c r="G673" s="15" t="s">
        <v>896</v>
      </c>
      <c r="H673" s="139"/>
      <c r="I673" s="15" t="s">
        <v>408</v>
      </c>
      <c r="J673" s="1" t="s">
        <v>3324</v>
      </c>
      <c r="K673" s="1" t="s">
        <v>3278</v>
      </c>
      <c r="L673" s="1" t="s">
        <v>35</v>
      </c>
      <c r="M673" s="15" t="s">
        <v>897</v>
      </c>
      <c r="N673" s="15"/>
      <c r="O673" s="8" t="s">
        <v>45</v>
      </c>
      <c r="P673" s="8" t="s">
        <v>92</v>
      </c>
      <c r="Q673" s="9">
        <v>0.92</v>
      </c>
      <c r="R673" s="139">
        <v>1000003554</v>
      </c>
      <c r="S673" s="15"/>
      <c r="T673" s="18">
        <v>3171.92</v>
      </c>
      <c r="U673" s="4">
        <v>0</v>
      </c>
      <c r="V673" s="6">
        <v>0</v>
      </c>
      <c r="W673" s="18">
        <f t="shared" si="101"/>
        <v>3171.92</v>
      </c>
      <c r="X673" s="18">
        <f t="shared" si="100"/>
        <v>0</v>
      </c>
      <c r="Y673" s="13">
        <f t="shared" si="95"/>
        <v>0</v>
      </c>
      <c r="Z673" s="14">
        <v>0</v>
      </c>
      <c r="AA673" s="4">
        <v>0</v>
      </c>
      <c r="AB673" s="4">
        <f t="shared" si="99"/>
        <v>0</v>
      </c>
      <c r="AC673" s="6">
        <f t="shared" si="96"/>
        <v>0</v>
      </c>
      <c r="AD673" s="18">
        <f t="shared" si="93"/>
        <v>0</v>
      </c>
      <c r="AE673" s="2">
        <v>0.12</v>
      </c>
      <c r="AF673" s="5">
        <f t="shared" si="97"/>
        <v>0</v>
      </c>
      <c r="AG673" s="14">
        <v>0</v>
      </c>
      <c r="AH673" s="10">
        <f t="shared" si="94"/>
        <v>0</v>
      </c>
      <c r="AI673" s="16"/>
      <c r="AJ673" s="126" t="e">
        <v>#N/A</v>
      </c>
      <c r="AK673" s="80">
        <f t="shared" si="98"/>
        <v>0</v>
      </c>
      <c r="AM673" s="85"/>
    </row>
    <row r="674" spans="1:39" hidden="1" x14ac:dyDescent="0.3">
      <c r="A674" s="85" t="s">
        <v>34</v>
      </c>
      <c r="B674" s="15" t="s">
        <v>35</v>
      </c>
      <c r="C674" s="15" t="s">
        <v>47</v>
      </c>
      <c r="D674" s="15" t="s">
        <v>63</v>
      </c>
      <c r="E674" s="15" t="s">
        <v>896</v>
      </c>
      <c r="F674" s="15" t="s">
        <v>896</v>
      </c>
      <c r="G674" s="15" t="s">
        <v>896</v>
      </c>
      <c r="H674" s="139"/>
      <c r="I674" s="15" t="s">
        <v>408</v>
      </c>
      <c r="J674" s="1" t="s">
        <v>3324</v>
      </c>
      <c r="K674" s="1" t="s">
        <v>3278</v>
      </c>
      <c r="L674" s="1" t="s">
        <v>35</v>
      </c>
      <c r="M674" s="15" t="s">
        <v>898</v>
      </c>
      <c r="N674" s="15"/>
      <c r="O674" s="8" t="s">
        <v>410</v>
      </c>
      <c r="P674" s="8" t="s">
        <v>92</v>
      </c>
      <c r="Q674" s="9">
        <v>0.96</v>
      </c>
      <c r="R674" s="139">
        <v>1000003494</v>
      </c>
      <c r="S674" s="15"/>
      <c r="T674" s="18">
        <v>28952.38</v>
      </c>
      <c r="U674" s="4">
        <v>0</v>
      </c>
      <c r="V674" s="6">
        <v>0</v>
      </c>
      <c r="W674" s="18">
        <f t="shared" si="101"/>
        <v>28952.38</v>
      </c>
      <c r="X674" s="18">
        <f t="shared" si="100"/>
        <v>0</v>
      </c>
      <c r="Y674" s="13">
        <f t="shared" si="95"/>
        <v>0</v>
      </c>
      <c r="Z674" s="14">
        <v>0</v>
      </c>
      <c r="AA674" s="4">
        <v>0</v>
      </c>
      <c r="AB674" s="4">
        <f t="shared" si="99"/>
        <v>0</v>
      </c>
      <c r="AC674" s="6">
        <f t="shared" si="96"/>
        <v>0</v>
      </c>
      <c r="AD674" s="18">
        <f t="shared" si="93"/>
        <v>0</v>
      </c>
      <c r="AE674" s="2">
        <v>7.0000000000000007E-2</v>
      </c>
      <c r="AF674" s="5">
        <f t="shared" si="97"/>
        <v>0</v>
      </c>
      <c r="AG674" s="14">
        <v>0</v>
      </c>
      <c r="AH674" s="10">
        <f t="shared" si="94"/>
        <v>0</v>
      </c>
      <c r="AI674" s="16"/>
      <c r="AJ674" s="126" t="e">
        <v>#N/A</v>
      </c>
      <c r="AK674" s="80">
        <f t="shared" si="98"/>
        <v>0</v>
      </c>
      <c r="AM674" s="85"/>
    </row>
    <row r="675" spans="1:39" hidden="1" x14ac:dyDescent="0.3">
      <c r="A675" s="85" t="s">
        <v>34</v>
      </c>
      <c r="B675" s="15" t="s">
        <v>35</v>
      </c>
      <c r="C675" s="15" t="s">
        <v>47</v>
      </c>
      <c r="D675" s="15" t="s">
        <v>63</v>
      </c>
      <c r="E675" s="15" t="s">
        <v>894</v>
      </c>
      <c r="F675" s="15" t="s">
        <v>899</v>
      </c>
      <c r="G675" s="15" t="s">
        <v>894</v>
      </c>
      <c r="H675" s="154"/>
      <c r="I675" s="15" t="s">
        <v>408</v>
      </c>
      <c r="J675" s="1" t="s">
        <v>3324</v>
      </c>
      <c r="K675" s="1" t="s">
        <v>3278</v>
      </c>
      <c r="L675" s="1" t="s">
        <v>35</v>
      </c>
      <c r="M675" s="15" t="s">
        <v>717</v>
      </c>
      <c r="N675" s="15"/>
      <c r="O675" s="8" t="s">
        <v>410</v>
      </c>
      <c r="P675" s="8" t="s">
        <v>46</v>
      </c>
      <c r="Q675" s="17">
        <v>0.03</v>
      </c>
      <c r="R675" s="139">
        <v>1000009254</v>
      </c>
      <c r="S675" s="15"/>
      <c r="T675" s="18">
        <v>35245.699999999997</v>
      </c>
      <c r="U675" s="4">
        <v>0</v>
      </c>
      <c r="V675" s="18">
        <v>35245.699999999997</v>
      </c>
      <c r="W675" s="18">
        <f t="shared" si="101"/>
        <v>0</v>
      </c>
      <c r="X675" s="18">
        <f t="shared" si="100"/>
        <v>34219.12621359223</v>
      </c>
      <c r="Y675" s="13">
        <f t="shared" si="95"/>
        <v>14935.852656768151</v>
      </c>
      <c r="Z675" s="14">
        <v>0</v>
      </c>
      <c r="AA675" s="4">
        <v>0</v>
      </c>
      <c r="AB675" s="4">
        <f t="shared" si="99"/>
        <v>34219.12621359223</v>
      </c>
      <c r="AC675" s="6">
        <f t="shared" si="96"/>
        <v>1026.5737864077673</v>
      </c>
      <c r="AD675" s="18">
        <f t="shared" si="93"/>
        <v>19283.273556824079</v>
      </c>
      <c r="AE675" s="2">
        <v>7.0000000000000007E-2</v>
      </c>
      <c r="AF675" s="5">
        <f t="shared" si="97"/>
        <v>1349.8291489776857</v>
      </c>
      <c r="AG675" s="14">
        <v>0</v>
      </c>
      <c r="AH675" s="10">
        <f t="shared" si="94"/>
        <v>35245.699999999997</v>
      </c>
      <c r="AI675" s="16"/>
      <c r="AJ675" s="126" t="e">
        <v>#N/A</v>
      </c>
      <c r="AK675" s="80">
        <f t="shared" si="98"/>
        <v>0</v>
      </c>
      <c r="AM675" s="85"/>
    </row>
    <row r="676" spans="1:39" hidden="1" x14ac:dyDescent="0.3">
      <c r="A676" s="85" t="s">
        <v>34</v>
      </c>
      <c r="B676" s="15" t="s">
        <v>35</v>
      </c>
      <c r="C676" s="15" t="s">
        <v>47</v>
      </c>
      <c r="D676" s="15" t="s">
        <v>63</v>
      </c>
      <c r="E676" s="15" t="s">
        <v>900</v>
      </c>
      <c r="F676" s="15" t="s">
        <v>900</v>
      </c>
      <c r="G676" s="15" t="s">
        <v>900</v>
      </c>
      <c r="H676" s="139"/>
      <c r="I676" s="15" t="s">
        <v>408</v>
      </c>
      <c r="J676" s="1" t="s">
        <v>3324</v>
      </c>
      <c r="K676" s="1" t="s">
        <v>3278</v>
      </c>
      <c r="L676" s="1" t="s">
        <v>35</v>
      </c>
      <c r="M676" s="15" t="s">
        <v>901</v>
      </c>
      <c r="N676" s="15"/>
      <c r="O676" s="8" t="s">
        <v>45</v>
      </c>
      <c r="P676" s="8" t="s">
        <v>46</v>
      </c>
      <c r="Q676" s="9">
        <v>0.12</v>
      </c>
      <c r="R676" s="139">
        <v>1000008917</v>
      </c>
      <c r="S676" s="15"/>
      <c r="T676" s="18">
        <v>16751.8</v>
      </c>
      <c r="U676" s="4">
        <v>0</v>
      </c>
      <c r="V676" s="6">
        <v>0</v>
      </c>
      <c r="W676" s="18">
        <f t="shared" si="101"/>
        <v>16751.8</v>
      </c>
      <c r="X676" s="18">
        <f t="shared" si="100"/>
        <v>0</v>
      </c>
      <c r="Y676" s="13">
        <f t="shared" si="95"/>
        <v>0</v>
      </c>
      <c r="Z676" s="14">
        <v>0</v>
      </c>
      <c r="AA676" s="4">
        <v>0</v>
      </c>
      <c r="AB676" s="4">
        <f t="shared" si="99"/>
        <v>0</v>
      </c>
      <c r="AC676" s="6">
        <f t="shared" si="96"/>
        <v>0</v>
      </c>
      <c r="AD676" s="18">
        <f t="shared" si="93"/>
        <v>0</v>
      </c>
      <c r="AE676" s="2">
        <v>0.12</v>
      </c>
      <c r="AF676" s="5">
        <f t="shared" si="97"/>
        <v>0</v>
      </c>
      <c r="AG676" s="14">
        <v>0</v>
      </c>
      <c r="AH676" s="10">
        <f t="shared" si="94"/>
        <v>0</v>
      </c>
      <c r="AI676" s="16"/>
      <c r="AJ676" s="126" t="e">
        <v>#N/A</v>
      </c>
      <c r="AK676" s="80">
        <f t="shared" si="98"/>
        <v>0</v>
      </c>
      <c r="AM676" s="85"/>
    </row>
    <row r="677" spans="1:39" hidden="1" x14ac:dyDescent="0.3">
      <c r="A677" s="85" t="s">
        <v>34</v>
      </c>
      <c r="B677" s="15" t="s">
        <v>35</v>
      </c>
      <c r="C677" s="15" t="s">
        <v>47</v>
      </c>
      <c r="D677" s="15" t="s">
        <v>63</v>
      </c>
      <c r="E677" s="15" t="s">
        <v>902</v>
      </c>
      <c r="F677" s="15" t="s">
        <v>902</v>
      </c>
      <c r="G677" s="15" t="s">
        <v>902</v>
      </c>
      <c r="H677" s="139"/>
      <c r="I677" s="15" t="s">
        <v>408</v>
      </c>
      <c r="J677" s="1" t="s">
        <v>3324</v>
      </c>
      <c r="K677" s="1" t="s">
        <v>3278</v>
      </c>
      <c r="L677" s="1" t="s">
        <v>35</v>
      </c>
      <c r="M677" s="15" t="s">
        <v>903</v>
      </c>
      <c r="N677" s="15"/>
      <c r="O677" s="8" t="s">
        <v>410</v>
      </c>
      <c r="P677" s="8" t="s">
        <v>92</v>
      </c>
      <c r="Q677" s="9">
        <v>0.92</v>
      </c>
      <c r="R677" s="139">
        <v>1000025023</v>
      </c>
      <c r="S677" s="15"/>
      <c r="T677" s="18">
        <v>4204.8999999999996</v>
      </c>
      <c r="U677" s="4">
        <v>0</v>
      </c>
      <c r="V677" s="6">
        <v>0</v>
      </c>
      <c r="W677" s="18">
        <f t="shared" si="101"/>
        <v>4204.8999999999996</v>
      </c>
      <c r="X677" s="18">
        <f t="shared" si="100"/>
        <v>0</v>
      </c>
      <c r="Y677" s="13">
        <f t="shared" si="95"/>
        <v>0</v>
      </c>
      <c r="Z677" s="14">
        <v>0</v>
      </c>
      <c r="AA677" s="4">
        <v>0</v>
      </c>
      <c r="AB677" s="4">
        <f t="shared" si="99"/>
        <v>0</v>
      </c>
      <c r="AC677" s="6">
        <f t="shared" si="96"/>
        <v>0</v>
      </c>
      <c r="AD677" s="18">
        <f t="shared" si="93"/>
        <v>0</v>
      </c>
      <c r="AE677" s="2">
        <v>7.0000000000000007E-2</v>
      </c>
      <c r="AF677" s="5">
        <f t="shared" si="97"/>
        <v>0</v>
      </c>
      <c r="AG677" s="14">
        <v>0</v>
      </c>
      <c r="AH677" s="10">
        <f t="shared" si="94"/>
        <v>0</v>
      </c>
      <c r="AI677" s="16"/>
      <c r="AJ677" s="126" t="e">
        <v>#N/A</v>
      </c>
      <c r="AK677" s="80">
        <f t="shared" si="98"/>
        <v>0</v>
      </c>
      <c r="AM677" s="85"/>
    </row>
    <row r="678" spans="1:39" hidden="1" x14ac:dyDescent="0.3">
      <c r="A678" s="85" t="s">
        <v>34</v>
      </c>
      <c r="B678" s="15" t="s">
        <v>35</v>
      </c>
      <c r="C678" s="15" t="s">
        <v>47</v>
      </c>
      <c r="D678" s="15" t="s">
        <v>63</v>
      </c>
      <c r="E678" s="15" t="s">
        <v>904</v>
      </c>
      <c r="F678" s="15" t="s">
        <v>904</v>
      </c>
      <c r="G678" s="15" t="s">
        <v>904</v>
      </c>
      <c r="H678" s="139"/>
      <c r="I678" s="15" t="s">
        <v>408</v>
      </c>
      <c r="J678" s="1" t="s">
        <v>3324</v>
      </c>
      <c r="K678" s="1" t="s">
        <v>3278</v>
      </c>
      <c r="L678" s="1" t="s">
        <v>35</v>
      </c>
      <c r="M678" s="15" t="s">
        <v>905</v>
      </c>
      <c r="N678" s="15"/>
      <c r="O678" s="8" t="s">
        <v>410</v>
      </c>
      <c r="P678" s="8" t="s">
        <v>92</v>
      </c>
      <c r="Q678" s="9">
        <v>0.98</v>
      </c>
      <c r="R678" s="139">
        <v>1000024567</v>
      </c>
      <c r="S678" s="15"/>
      <c r="T678" s="18">
        <v>4252.8</v>
      </c>
      <c r="U678" s="4">
        <v>0</v>
      </c>
      <c r="V678" s="6">
        <v>0</v>
      </c>
      <c r="W678" s="18">
        <f t="shared" si="101"/>
        <v>4252.8</v>
      </c>
      <c r="X678" s="18">
        <f t="shared" si="100"/>
        <v>0</v>
      </c>
      <c r="Y678" s="13">
        <f t="shared" si="95"/>
        <v>0</v>
      </c>
      <c r="Z678" s="14">
        <v>0</v>
      </c>
      <c r="AA678" s="4">
        <v>0</v>
      </c>
      <c r="AB678" s="4">
        <f t="shared" si="99"/>
        <v>0</v>
      </c>
      <c r="AC678" s="6">
        <f t="shared" si="96"/>
        <v>0</v>
      </c>
      <c r="AD678" s="18">
        <f t="shared" si="93"/>
        <v>0</v>
      </c>
      <c r="AE678" s="2">
        <v>7.0000000000000007E-2</v>
      </c>
      <c r="AF678" s="5">
        <f t="shared" si="97"/>
        <v>0</v>
      </c>
      <c r="AG678" s="14">
        <v>0</v>
      </c>
      <c r="AH678" s="10">
        <f t="shared" si="94"/>
        <v>0</v>
      </c>
      <c r="AI678" s="16"/>
      <c r="AJ678" s="126" t="e">
        <v>#N/A</v>
      </c>
      <c r="AK678" s="80">
        <f t="shared" si="98"/>
        <v>0</v>
      </c>
      <c r="AM678" s="85"/>
    </row>
    <row r="679" spans="1:39" hidden="1" x14ac:dyDescent="0.3">
      <c r="A679" s="85" t="s">
        <v>34</v>
      </c>
      <c r="B679" s="15" t="s">
        <v>35</v>
      </c>
      <c r="C679" s="15" t="s">
        <v>47</v>
      </c>
      <c r="D679" s="15" t="s">
        <v>63</v>
      </c>
      <c r="E679" s="15" t="s">
        <v>906</v>
      </c>
      <c r="F679" s="15" t="s">
        <v>906</v>
      </c>
      <c r="G679" s="15" t="s">
        <v>906</v>
      </c>
      <c r="H679" s="139"/>
      <c r="I679" s="15" t="s">
        <v>408</v>
      </c>
      <c r="J679" s="1" t="s">
        <v>3324</v>
      </c>
      <c r="K679" s="1" t="s">
        <v>3278</v>
      </c>
      <c r="L679" s="1" t="s">
        <v>35</v>
      </c>
      <c r="M679" s="15" t="s">
        <v>907</v>
      </c>
      <c r="N679" s="15"/>
      <c r="O679" s="8" t="s">
        <v>410</v>
      </c>
      <c r="P679" s="8" t="s">
        <v>46</v>
      </c>
      <c r="Q679" s="9">
        <v>7.0000000000000007E-2</v>
      </c>
      <c r="R679" s="139">
        <v>1000025858</v>
      </c>
      <c r="S679" s="15"/>
      <c r="T679" s="18">
        <v>8256.9</v>
      </c>
      <c r="U679" s="4">
        <v>0</v>
      </c>
      <c r="V679" s="6">
        <v>0</v>
      </c>
      <c r="W679" s="18">
        <f t="shared" si="101"/>
        <v>8256.9</v>
      </c>
      <c r="X679" s="18">
        <f t="shared" si="100"/>
        <v>0</v>
      </c>
      <c r="Y679" s="13">
        <f t="shared" si="95"/>
        <v>0</v>
      </c>
      <c r="Z679" s="14">
        <v>0</v>
      </c>
      <c r="AA679" s="4">
        <v>0</v>
      </c>
      <c r="AB679" s="4">
        <f t="shared" si="99"/>
        <v>0</v>
      </c>
      <c r="AC679" s="6">
        <f t="shared" si="96"/>
        <v>0</v>
      </c>
      <c r="AD679" s="18">
        <f t="shared" si="93"/>
        <v>0</v>
      </c>
      <c r="AE679" s="2">
        <v>7.0000000000000007E-2</v>
      </c>
      <c r="AF679" s="5">
        <f t="shared" si="97"/>
        <v>0</v>
      </c>
      <c r="AG679" s="14">
        <v>0</v>
      </c>
      <c r="AH679" s="10">
        <f t="shared" si="94"/>
        <v>0</v>
      </c>
      <c r="AI679" s="16"/>
      <c r="AJ679" s="126" t="e">
        <v>#N/A</v>
      </c>
      <c r="AK679" s="80">
        <f t="shared" si="98"/>
        <v>0</v>
      </c>
      <c r="AM679" s="85"/>
    </row>
    <row r="680" spans="1:39" hidden="1" x14ac:dyDescent="0.3">
      <c r="A680" s="85" t="s">
        <v>34</v>
      </c>
      <c r="B680" s="15" t="s">
        <v>35</v>
      </c>
      <c r="C680" s="15" t="s">
        <v>47</v>
      </c>
      <c r="D680" s="15" t="s">
        <v>63</v>
      </c>
      <c r="E680" s="15" t="s">
        <v>908</v>
      </c>
      <c r="F680" s="15" t="s">
        <v>908</v>
      </c>
      <c r="G680" s="15" t="s">
        <v>908</v>
      </c>
      <c r="H680" s="139"/>
      <c r="I680" s="15" t="s">
        <v>408</v>
      </c>
      <c r="J680" s="1" t="s">
        <v>3324</v>
      </c>
      <c r="K680" s="1" t="s">
        <v>3278</v>
      </c>
      <c r="L680" s="1" t="s">
        <v>35</v>
      </c>
      <c r="M680" s="15" t="s">
        <v>909</v>
      </c>
      <c r="N680" s="15"/>
      <c r="O680" s="8" t="s">
        <v>45</v>
      </c>
      <c r="P680" s="8" t="s">
        <v>46</v>
      </c>
      <c r="Q680" s="9">
        <v>0.14000000000000001</v>
      </c>
      <c r="R680" s="139">
        <v>1000027510</v>
      </c>
      <c r="S680" s="15"/>
      <c r="T680" s="18">
        <v>5081.22</v>
      </c>
      <c r="U680" s="4">
        <v>0</v>
      </c>
      <c r="V680" s="6">
        <v>0</v>
      </c>
      <c r="W680" s="18">
        <f t="shared" si="101"/>
        <v>5081.22</v>
      </c>
      <c r="X680" s="18">
        <f t="shared" si="100"/>
        <v>0</v>
      </c>
      <c r="Y680" s="13">
        <f t="shared" si="95"/>
        <v>0</v>
      </c>
      <c r="Z680" s="14">
        <v>0</v>
      </c>
      <c r="AA680" s="4">
        <v>0</v>
      </c>
      <c r="AB680" s="4">
        <f t="shared" si="99"/>
        <v>0</v>
      </c>
      <c r="AC680" s="6">
        <f t="shared" si="96"/>
        <v>0</v>
      </c>
      <c r="AD680" s="18">
        <f t="shared" si="93"/>
        <v>0</v>
      </c>
      <c r="AE680" s="2">
        <v>0.12</v>
      </c>
      <c r="AF680" s="5">
        <f t="shared" si="97"/>
        <v>0</v>
      </c>
      <c r="AG680" s="14">
        <v>0</v>
      </c>
      <c r="AH680" s="10">
        <f t="shared" si="94"/>
        <v>0</v>
      </c>
      <c r="AI680" s="16"/>
      <c r="AJ680" s="126" t="e">
        <v>#N/A</v>
      </c>
      <c r="AK680" s="80">
        <f t="shared" si="98"/>
        <v>0</v>
      </c>
      <c r="AM680" s="85"/>
    </row>
    <row r="681" spans="1:39" hidden="1" x14ac:dyDescent="0.3">
      <c r="A681" s="85" t="s">
        <v>34</v>
      </c>
      <c r="B681" s="15" t="s">
        <v>35</v>
      </c>
      <c r="C681" s="15" t="s">
        <v>47</v>
      </c>
      <c r="D681" s="15" t="s">
        <v>48</v>
      </c>
      <c r="E681" s="15" t="s">
        <v>910</v>
      </c>
      <c r="F681" s="15" t="s">
        <v>910</v>
      </c>
      <c r="G681" s="15" t="s">
        <v>910</v>
      </c>
      <c r="H681" s="139"/>
      <c r="I681" s="15" t="s">
        <v>408</v>
      </c>
      <c r="J681" s="1" t="s">
        <v>3324</v>
      </c>
      <c r="K681" s="1" t="s">
        <v>3278</v>
      </c>
      <c r="L681" s="1" t="s">
        <v>35</v>
      </c>
      <c r="M681" s="15" t="s">
        <v>911</v>
      </c>
      <c r="N681" s="15"/>
      <c r="O681" s="8" t="s">
        <v>45</v>
      </c>
      <c r="P681" s="8" t="s">
        <v>46</v>
      </c>
      <c r="Q681" s="9">
        <v>0.09</v>
      </c>
      <c r="R681" s="139">
        <v>1000024621</v>
      </c>
      <c r="S681" s="15"/>
      <c r="T681" s="18">
        <v>12602.69</v>
      </c>
      <c r="U681" s="4">
        <v>0</v>
      </c>
      <c r="V681" s="6">
        <v>0</v>
      </c>
      <c r="W681" s="18">
        <f t="shared" si="101"/>
        <v>12602.69</v>
      </c>
      <c r="X681" s="18">
        <f t="shared" si="100"/>
        <v>0</v>
      </c>
      <c r="Y681" s="13">
        <f t="shared" si="95"/>
        <v>0</v>
      </c>
      <c r="Z681" s="14">
        <v>0</v>
      </c>
      <c r="AA681" s="4">
        <v>0</v>
      </c>
      <c r="AB681" s="4">
        <f t="shared" si="99"/>
        <v>0</v>
      </c>
      <c r="AC681" s="6">
        <f t="shared" si="96"/>
        <v>0</v>
      </c>
      <c r="AD681" s="18">
        <f t="shared" si="93"/>
        <v>0</v>
      </c>
      <c r="AE681" s="2">
        <v>0.12</v>
      </c>
      <c r="AF681" s="5">
        <f t="shared" si="97"/>
        <v>0</v>
      </c>
      <c r="AG681" s="14">
        <v>0</v>
      </c>
      <c r="AH681" s="10">
        <f t="shared" si="94"/>
        <v>0</v>
      </c>
      <c r="AI681" s="16"/>
      <c r="AJ681" s="126" t="e">
        <v>#N/A</v>
      </c>
      <c r="AK681" s="80">
        <f t="shared" si="98"/>
        <v>0</v>
      </c>
      <c r="AM681" s="85"/>
    </row>
    <row r="682" spans="1:39" hidden="1" x14ac:dyDescent="0.3">
      <c r="A682" s="85" t="s">
        <v>34</v>
      </c>
      <c r="B682" s="15" t="s">
        <v>35</v>
      </c>
      <c r="C682" s="15" t="s">
        <v>47</v>
      </c>
      <c r="D682" s="15" t="s">
        <v>48</v>
      </c>
      <c r="E682" s="15" t="s">
        <v>912</v>
      </c>
      <c r="F682" s="15" t="s">
        <v>912</v>
      </c>
      <c r="G682" s="15" t="s">
        <v>912</v>
      </c>
      <c r="H682" s="139"/>
      <c r="I682" s="15" t="s">
        <v>408</v>
      </c>
      <c r="J682" s="1" t="s">
        <v>3324</v>
      </c>
      <c r="K682" s="1" t="s">
        <v>3278</v>
      </c>
      <c r="L682" s="1" t="s">
        <v>35</v>
      </c>
      <c r="M682" s="15" t="s">
        <v>913</v>
      </c>
      <c r="N682" s="15"/>
      <c r="O682" s="8" t="s">
        <v>410</v>
      </c>
      <c r="P682" s="8" t="s">
        <v>46</v>
      </c>
      <c r="Q682" s="9">
        <v>0.08</v>
      </c>
      <c r="R682" s="139">
        <v>1000006713</v>
      </c>
      <c r="S682" s="15"/>
      <c r="T682" s="18">
        <v>4718.3999999999996</v>
      </c>
      <c r="U682" s="4">
        <v>0</v>
      </c>
      <c r="V682" s="6">
        <v>0</v>
      </c>
      <c r="W682" s="18">
        <f t="shared" si="101"/>
        <v>4718.3999999999996</v>
      </c>
      <c r="X682" s="18">
        <f t="shared" si="100"/>
        <v>0</v>
      </c>
      <c r="Y682" s="13">
        <f t="shared" si="95"/>
        <v>0</v>
      </c>
      <c r="Z682" s="14">
        <v>0</v>
      </c>
      <c r="AA682" s="4">
        <v>0</v>
      </c>
      <c r="AB682" s="4">
        <f t="shared" si="99"/>
        <v>0</v>
      </c>
      <c r="AC682" s="6">
        <f t="shared" si="96"/>
        <v>0</v>
      </c>
      <c r="AD682" s="18">
        <f t="shared" si="93"/>
        <v>0</v>
      </c>
      <c r="AE682" s="2">
        <v>7.0000000000000007E-2</v>
      </c>
      <c r="AF682" s="5">
        <f t="shared" si="97"/>
        <v>0</v>
      </c>
      <c r="AG682" s="14">
        <v>0</v>
      </c>
      <c r="AH682" s="10">
        <f t="shared" si="94"/>
        <v>0</v>
      </c>
      <c r="AI682" s="16"/>
      <c r="AJ682" s="126" t="e">
        <v>#N/A</v>
      </c>
      <c r="AK682" s="80">
        <f t="shared" si="98"/>
        <v>0</v>
      </c>
      <c r="AM682" s="85"/>
    </row>
    <row r="683" spans="1:39" hidden="1" x14ac:dyDescent="0.3">
      <c r="A683" s="85" t="s">
        <v>34</v>
      </c>
      <c r="B683" s="15" t="s">
        <v>35</v>
      </c>
      <c r="C683" s="15" t="s">
        <v>47</v>
      </c>
      <c r="D683" s="15" t="s">
        <v>48</v>
      </c>
      <c r="E683" s="15" t="s">
        <v>912</v>
      </c>
      <c r="F683" s="15" t="s">
        <v>912</v>
      </c>
      <c r="G683" s="15" t="s">
        <v>912</v>
      </c>
      <c r="H683" s="139"/>
      <c r="I683" s="15" t="s">
        <v>408</v>
      </c>
      <c r="J683" s="1" t="s">
        <v>3324</v>
      </c>
      <c r="K683" s="1" t="s">
        <v>3278</v>
      </c>
      <c r="L683" s="1" t="s">
        <v>35</v>
      </c>
      <c r="M683" s="15" t="s">
        <v>914</v>
      </c>
      <c r="N683" s="15"/>
      <c r="O683" s="8" t="s">
        <v>410</v>
      </c>
      <c r="P683" s="8" t="s">
        <v>46</v>
      </c>
      <c r="Q683" s="9">
        <v>0.08</v>
      </c>
      <c r="R683" s="139">
        <v>1000001513</v>
      </c>
      <c r="S683" s="15"/>
      <c r="T683" s="18">
        <v>253.9</v>
      </c>
      <c r="U683" s="4">
        <v>0</v>
      </c>
      <c r="V683" s="6">
        <v>0</v>
      </c>
      <c r="W683" s="18">
        <f t="shared" si="101"/>
        <v>253.9</v>
      </c>
      <c r="X683" s="18">
        <f t="shared" si="100"/>
        <v>0</v>
      </c>
      <c r="Y683" s="13">
        <f t="shared" si="95"/>
        <v>0</v>
      </c>
      <c r="Z683" s="14">
        <v>0</v>
      </c>
      <c r="AA683" s="4">
        <v>0</v>
      </c>
      <c r="AB683" s="4">
        <f t="shared" si="99"/>
        <v>0</v>
      </c>
      <c r="AC683" s="6">
        <f t="shared" si="96"/>
        <v>0</v>
      </c>
      <c r="AD683" s="18">
        <f t="shared" si="93"/>
        <v>0</v>
      </c>
      <c r="AE683" s="2">
        <v>7.0000000000000007E-2</v>
      </c>
      <c r="AF683" s="5">
        <f t="shared" si="97"/>
        <v>0</v>
      </c>
      <c r="AG683" s="14">
        <v>0</v>
      </c>
      <c r="AH683" s="10">
        <f t="shared" si="94"/>
        <v>0</v>
      </c>
      <c r="AI683" s="16"/>
      <c r="AJ683" s="126" t="e">
        <v>#N/A</v>
      </c>
      <c r="AK683" s="80">
        <f t="shared" si="98"/>
        <v>0</v>
      </c>
      <c r="AM683" s="85"/>
    </row>
    <row r="684" spans="1:39" hidden="1" x14ac:dyDescent="0.3">
      <c r="A684" s="85" t="s">
        <v>34</v>
      </c>
      <c r="B684" s="15" t="s">
        <v>35</v>
      </c>
      <c r="C684" s="15" t="s">
        <v>47</v>
      </c>
      <c r="D684" s="15" t="s">
        <v>48</v>
      </c>
      <c r="E684" s="15" t="s">
        <v>915</v>
      </c>
      <c r="F684" s="15" t="s">
        <v>915</v>
      </c>
      <c r="G684" s="15" t="s">
        <v>915</v>
      </c>
      <c r="H684" s="139"/>
      <c r="I684" s="15" t="s">
        <v>408</v>
      </c>
      <c r="J684" s="1" t="s">
        <v>3324</v>
      </c>
      <c r="K684" s="1" t="s">
        <v>3278</v>
      </c>
      <c r="L684" s="1" t="s">
        <v>35</v>
      </c>
      <c r="M684" s="15" t="s">
        <v>916</v>
      </c>
      <c r="N684" s="15"/>
      <c r="O684" s="8" t="s">
        <v>410</v>
      </c>
      <c r="P684" s="8" t="s">
        <v>46</v>
      </c>
      <c r="Q684" s="9">
        <v>0.04</v>
      </c>
      <c r="R684" s="139">
        <v>1000030587</v>
      </c>
      <c r="S684" s="15"/>
      <c r="T684" s="18">
        <v>29251.9</v>
      </c>
      <c r="U684" s="4">
        <v>0</v>
      </c>
      <c r="V684" s="6">
        <v>0</v>
      </c>
      <c r="W684" s="18">
        <f t="shared" si="101"/>
        <v>29251.9</v>
      </c>
      <c r="X684" s="18">
        <f t="shared" si="100"/>
        <v>0</v>
      </c>
      <c r="Y684" s="13">
        <f t="shared" si="95"/>
        <v>0</v>
      </c>
      <c r="Z684" s="14">
        <v>0</v>
      </c>
      <c r="AA684" s="4">
        <v>0</v>
      </c>
      <c r="AB684" s="4">
        <f t="shared" si="99"/>
        <v>0</v>
      </c>
      <c r="AC684" s="6">
        <f t="shared" si="96"/>
        <v>0</v>
      </c>
      <c r="AD684" s="18">
        <f t="shared" si="93"/>
        <v>0</v>
      </c>
      <c r="AE684" s="2">
        <v>7.0000000000000007E-2</v>
      </c>
      <c r="AF684" s="5">
        <f t="shared" si="97"/>
        <v>0</v>
      </c>
      <c r="AG684" s="14">
        <v>0</v>
      </c>
      <c r="AH684" s="10">
        <f t="shared" si="94"/>
        <v>0</v>
      </c>
      <c r="AI684" s="16"/>
      <c r="AJ684" s="126" t="e">
        <v>#N/A</v>
      </c>
      <c r="AK684" s="80">
        <f t="shared" si="98"/>
        <v>0</v>
      </c>
      <c r="AM684" s="85"/>
    </row>
    <row r="685" spans="1:39" hidden="1" x14ac:dyDescent="0.3">
      <c r="A685" s="85" t="s">
        <v>34</v>
      </c>
      <c r="B685" s="15" t="s">
        <v>35</v>
      </c>
      <c r="C685" s="15" t="s">
        <v>47</v>
      </c>
      <c r="D685" s="15" t="s">
        <v>48</v>
      </c>
      <c r="E685" s="15" t="s">
        <v>917</v>
      </c>
      <c r="F685" s="15" t="s">
        <v>917</v>
      </c>
      <c r="G685" s="15" t="s">
        <v>917</v>
      </c>
      <c r="H685" s="139"/>
      <c r="I685" s="15" t="s">
        <v>408</v>
      </c>
      <c r="J685" s="1" t="s">
        <v>3324</v>
      </c>
      <c r="K685" s="1" t="s">
        <v>3278</v>
      </c>
      <c r="L685" s="1" t="s">
        <v>35</v>
      </c>
      <c r="M685" s="15" t="s">
        <v>918</v>
      </c>
      <c r="N685" s="15"/>
      <c r="O685" s="8" t="s">
        <v>410</v>
      </c>
      <c r="P685" s="8" t="s">
        <v>46</v>
      </c>
      <c r="Q685" s="9">
        <v>0.02</v>
      </c>
      <c r="R685" s="139">
        <v>1000028757</v>
      </c>
      <c r="S685" s="15"/>
      <c r="T685" s="18">
        <v>2000</v>
      </c>
      <c r="U685" s="4">
        <v>0</v>
      </c>
      <c r="V685" s="6">
        <v>0</v>
      </c>
      <c r="W685" s="18">
        <f t="shared" si="101"/>
        <v>2000</v>
      </c>
      <c r="X685" s="18">
        <f t="shared" si="100"/>
        <v>0</v>
      </c>
      <c r="Y685" s="13">
        <f t="shared" si="95"/>
        <v>0</v>
      </c>
      <c r="Z685" s="14">
        <v>0</v>
      </c>
      <c r="AA685" s="4">
        <v>0</v>
      </c>
      <c r="AB685" s="4">
        <f t="shared" si="99"/>
        <v>0</v>
      </c>
      <c r="AC685" s="6">
        <f t="shared" si="96"/>
        <v>0</v>
      </c>
      <c r="AD685" s="18">
        <f t="shared" si="93"/>
        <v>0</v>
      </c>
      <c r="AE685" s="2">
        <v>7.0000000000000007E-2</v>
      </c>
      <c r="AF685" s="5">
        <f t="shared" si="97"/>
        <v>0</v>
      </c>
      <c r="AG685" s="14">
        <v>0</v>
      </c>
      <c r="AH685" s="10">
        <f t="shared" si="94"/>
        <v>0</v>
      </c>
      <c r="AI685" s="16"/>
      <c r="AJ685" s="126" t="e">
        <v>#N/A</v>
      </c>
      <c r="AK685" s="80">
        <f t="shared" si="98"/>
        <v>0</v>
      </c>
      <c r="AM685" s="85"/>
    </row>
    <row r="686" spans="1:39" hidden="1" x14ac:dyDescent="0.3">
      <c r="A686" s="85" t="s">
        <v>34</v>
      </c>
      <c r="B686" s="15" t="s">
        <v>35</v>
      </c>
      <c r="C686" s="15" t="s">
        <v>47</v>
      </c>
      <c r="D686" s="15" t="s">
        <v>48</v>
      </c>
      <c r="E686" s="15" t="s">
        <v>919</v>
      </c>
      <c r="F686" s="15" t="s">
        <v>919</v>
      </c>
      <c r="G686" s="15" t="s">
        <v>919</v>
      </c>
      <c r="H686" s="139"/>
      <c r="I686" s="15" t="s">
        <v>408</v>
      </c>
      <c r="J686" s="1" t="s">
        <v>3324</v>
      </c>
      <c r="K686" s="1" t="s">
        <v>3278</v>
      </c>
      <c r="L686" s="1" t="s">
        <v>35</v>
      </c>
      <c r="M686" s="15" t="s">
        <v>920</v>
      </c>
      <c r="N686" s="15"/>
      <c r="O686" s="8" t="s">
        <v>410</v>
      </c>
      <c r="P686" s="8" t="s">
        <v>46</v>
      </c>
      <c r="Q686" s="9">
        <v>0.04</v>
      </c>
      <c r="R686" s="139">
        <v>1000010405</v>
      </c>
      <c r="S686" s="15"/>
      <c r="T686" s="18">
        <v>43170.3</v>
      </c>
      <c r="U686" s="4">
        <v>0</v>
      </c>
      <c r="V686" s="6">
        <v>0</v>
      </c>
      <c r="W686" s="18">
        <f t="shared" si="101"/>
        <v>43170.3</v>
      </c>
      <c r="X686" s="18">
        <f t="shared" si="100"/>
        <v>0</v>
      </c>
      <c r="Y686" s="13">
        <f t="shared" si="95"/>
        <v>0</v>
      </c>
      <c r="Z686" s="14">
        <v>0</v>
      </c>
      <c r="AA686" s="4">
        <v>0</v>
      </c>
      <c r="AB686" s="4">
        <f t="shared" si="99"/>
        <v>0</v>
      </c>
      <c r="AC686" s="6">
        <f t="shared" si="96"/>
        <v>0</v>
      </c>
      <c r="AD686" s="18">
        <f t="shared" si="93"/>
        <v>0</v>
      </c>
      <c r="AE686" s="2">
        <v>7.0000000000000007E-2</v>
      </c>
      <c r="AF686" s="5">
        <f t="shared" si="97"/>
        <v>0</v>
      </c>
      <c r="AG686" s="14">
        <v>0</v>
      </c>
      <c r="AH686" s="10">
        <f t="shared" si="94"/>
        <v>0</v>
      </c>
      <c r="AI686" s="16"/>
      <c r="AJ686" s="126" t="e">
        <v>#N/A</v>
      </c>
      <c r="AK686" s="80">
        <f t="shared" si="98"/>
        <v>0</v>
      </c>
      <c r="AM686" s="85"/>
    </row>
    <row r="687" spans="1:39" hidden="1" x14ac:dyDescent="0.3">
      <c r="A687" s="85" t="s">
        <v>34</v>
      </c>
      <c r="B687" s="15" t="s">
        <v>35</v>
      </c>
      <c r="C687" s="15" t="s">
        <v>144</v>
      </c>
      <c r="D687" s="15" t="s">
        <v>145</v>
      </c>
      <c r="E687" s="15" t="s">
        <v>921</v>
      </c>
      <c r="F687" s="15" t="s">
        <v>921</v>
      </c>
      <c r="G687" s="15" t="s">
        <v>921</v>
      </c>
      <c r="H687" s="139"/>
      <c r="I687" s="15" t="s">
        <v>408</v>
      </c>
      <c r="J687" s="1" t="s">
        <v>3324</v>
      </c>
      <c r="K687" s="1" t="s">
        <v>3278</v>
      </c>
      <c r="L687" s="1" t="s">
        <v>35</v>
      </c>
      <c r="M687" s="15" t="s">
        <v>922</v>
      </c>
      <c r="N687" s="15"/>
      <c r="O687" s="8" t="s">
        <v>410</v>
      </c>
      <c r="P687" s="8" t="s">
        <v>46</v>
      </c>
      <c r="Q687" s="9">
        <v>7.0000000000000007E-2</v>
      </c>
      <c r="R687" s="139">
        <v>1000031742</v>
      </c>
      <c r="S687" s="15"/>
      <c r="T687" s="18">
        <v>10000</v>
      </c>
      <c r="U687" s="4">
        <v>0</v>
      </c>
      <c r="V687" s="6">
        <v>0</v>
      </c>
      <c r="W687" s="18">
        <f t="shared" si="101"/>
        <v>10000</v>
      </c>
      <c r="X687" s="18">
        <f t="shared" si="100"/>
        <v>0</v>
      </c>
      <c r="Y687" s="13">
        <f t="shared" si="95"/>
        <v>0</v>
      </c>
      <c r="Z687" s="14">
        <v>0</v>
      </c>
      <c r="AA687" s="4">
        <v>0</v>
      </c>
      <c r="AB687" s="4">
        <f t="shared" si="99"/>
        <v>0</v>
      </c>
      <c r="AC687" s="6">
        <f t="shared" si="96"/>
        <v>0</v>
      </c>
      <c r="AD687" s="18">
        <f t="shared" si="93"/>
        <v>0</v>
      </c>
      <c r="AE687" s="2">
        <v>7.0000000000000007E-2</v>
      </c>
      <c r="AF687" s="5">
        <f t="shared" si="97"/>
        <v>0</v>
      </c>
      <c r="AG687" s="14">
        <v>0</v>
      </c>
      <c r="AH687" s="10">
        <f t="shared" si="94"/>
        <v>0</v>
      </c>
      <c r="AI687" s="16"/>
      <c r="AJ687" s="126" t="e">
        <v>#N/A</v>
      </c>
      <c r="AK687" s="80">
        <f t="shared" si="98"/>
        <v>0</v>
      </c>
      <c r="AM687" s="85"/>
    </row>
    <row r="688" spans="1:39" hidden="1" x14ac:dyDescent="0.3">
      <c r="A688" s="85" t="s">
        <v>34</v>
      </c>
      <c r="B688" s="15" t="s">
        <v>35</v>
      </c>
      <c r="C688" s="15" t="s">
        <v>144</v>
      </c>
      <c r="D688" s="15" t="s">
        <v>145</v>
      </c>
      <c r="E688" s="15" t="s">
        <v>923</v>
      </c>
      <c r="F688" s="15" t="s">
        <v>923</v>
      </c>
      <c r="G688" s="15" t="s">
        <v>923</v>
      </c>
      <c r="H688" s="139"/>
      <c r="I688" s="15" t="s">
        <v>408</v>
      </c>
      <c r="J688" s="1" t="s">
        <v>3324</v>
      </c>
      <c r="K688" s="1" t="s">
        <v>3278</v>
      </c>
      <c r="L688" s="1" t="s">
        <v>35</v>
      </c>
      <c r="M688" s="15" t="s">
        <v>924</v>
      </c>
      <c r="N688" s="15"/>
      <c r="O688" s="8" t="s">
        <v>45</v>
      </c>
      <c r="P688" s="8" t="s">
        <v>46</v>
      </c>
      <c r="Q688" s="9">
        <v>0.1</v>
      </c>
      <c r="R688" s="139">
        <v>1000028859</v>
      </c>
      <c r="S688" s="15"/>
      <c r="T688" s="18">
        <v>10398.74</v>
      </c>
      <c r="U688" s="4">
        <v>0</v>
      </c>
      <c r="V688" s="6">
        <v>0</v>
      </c>
      <c r="W688" s="18">
        <f t="shared" si="101"/>
        <v>10398.74</v>
      </c>
      <c r="X688" s="18">
        <f t="shared" si="100"/>
        <v>0</v>
      </c>
      <c r="Y688" s="13">
        <f t="shared" si="95"/>
        <v>0</v>
      </c>
      <c r="Z688" s="14">
        <v>0</v>
      </c>
      <c r="AA688" s="4">
        <v>0</v>
      </c>
      <c r="AB688" s="4">
        <f t="shared" si="99"/>
        <v>0</v>
      </c>
      <c r="AC688" s="6">
        <f t="shared" si="96"/>
        <v>0</v>
      </c>
      <c r="AD688" s="18">
        <f t="shared" si="93"/>
        <v>0</v>
      </c>
      <c r="AE688" s="2">
        <v>0.12</v>
      </c>
      <c r="AF688" s="5">
        <f t="shared" si="97"/>
        <v>0</v>
      </c>
      <c r="AG688" s="14">
        <v>0</v>
      </c>
      <c r="AH688" s="10">
        <f t="shared" si="94"/>
        <v>0</v>
      </c>
      <c r="AI688" s="16"/>
      <c r="AJ688" s="126" t="e">
        <v>#N/A</v>
      </c>
      <c r="AK688" s="80">
        <f t="shared" si="98"/>
        <v>0</v>
      </c>
      <c r="AM688" s="85"/>
    </row>
    <row r="689" spans="1:39" hidden="1" x14ac:dyDescent="0.3">
      <c r="A689" s="85" t="s">
        <v>34</v>
      </c>
      <c r="B689" s="15" t="s">
        <v>35</v>
      </c>
      <c r="C689" s="15" t="s">
        <v>144</v>
      </c>
      <c r="D689" s="15" t="s">
        <v>145</v>
      </c>
      <c r="E689" s="15" t="s">
        <v>925</v>
      </c>
      <c r="F689" s="15" t="s">
        <v>925</v>
      </c>
      <c r="G689" s="15" t="s">
        <v>925</v>
      </c>
      <c r="H689" s="139"/>
      <c r="I689" s="15" t="s">
        <v>408</v>
      </c>
      <c r="J689" s="1" t="s">
        <v>3324</v>
      </c>
      <c r="K689" s="1" t="s">
        <v>3278</v>
      </c>
      <c r="L689" s="1" t="s">
        <v>35</v>
      </c>
      <c r="M689" s="15" t="s">
        <v>926</v>
      </c>
      <c r="N689" s="15"/>
      <c r="O689" s="8" t="s">
        <v>45</v>
      </c>
      <c r="P689" s="8" t="s">
        <v>46</v>
      </c>
      <c r="Q689" s="9">
        <v>7.0000000000000007E-2</v>
      </c>
      <c r="R689" s="139">
        <v>1000049149</v>
      </c>
      <c r="S689" s="15"/>
      <c r="T689" s="18">
        <v>10221.219999999999</v>
      </c>
      <c r="U689" s="4">
        <v>0</v>
      </c>
      <c r="V689" s="6">
        <v>0</v>
      </c>
      <c r="W689" s="18">
        <f t="shared" si="101"/>
        <v>10221.219999999999</v>
      </c>
      <c r="X689" s="18">
        <f t="shared" si="100"/>
        <v>0</v>
      </c>
      <c r="Y689" s="13">
        <f t="shared" si="95"/>
        <v>0</v>
      </c>
      <c r="Z689" s="14">
        <v>0</v>
      </c>
      <c r="AA689" s="4">
        <v>0</v>
      </c>
      <c r="AB689" s="4">
        <f t="shared" si="99"/>
        <v>0</v>
      </c>
      <c r="AC689" s="6">
        <f t="shared" si="96"/>
        <v>0</v>
      </c>
      <c r="AD689" s="18">
        <f t="shared" si="93"/>
        <v>0</v>
      </c>
      <c r="AE689" s="2">
        <v>0.12</v>
      </c>
      <c r="AF689" s="5">
        <f t="shared" si="97"/>
        <v>0</v>
      </c>
      <c r="AG689" s="14">
        <v>0</v>
      </c>
      <c r="AH689" s="10">
        <f t="shared" si="94"/>
        <v>0</v>
      </c>
      <c r="AI689" s="16"/>
      <c r="AJ689" s="126" t="e">
        <v>#N/A</v>
      </c>
      <c r="AK689" s="80">
        <f t="shared" si="98"/>
        <v>0</v>
      </c>
      <c r="AM689" s="85"/>
    </row>
    <row r="690" spans="1:39" hidden="1" x14ac:dyDescent="0.3">
      <c r="A690" s="85" t="s">
        <v>34</v>
      </c>
      <c r="B690" s="15" t="s">
        <v>35</v>
      </c>
      <c r="C690" s="15" t="s">
        <v>144</v>
      </c>
      <c r="D690" s="15" t="s">
        <v>303</v>
      </c>
      <c r="E690" s="15" t="s">
        <v>927</v>
      </c>
      <c r="F690" s="15" t="s">
        <v>927</v>
      </c>
      <c r="G690" s="15" t="s">
        <v>927</v>
      </c>
      <c r="H690" s="139"/>
      <c r="I690" s="15" t="s">
        <v>408</v>
      </c>
      <c r="J690" s="1" t="s">
        <v>3324</v>
      </c>
      <c r="K690" s="1" t="s">
        <v>3278</v>
      </c>
      <c r="L690" s="1" t="s">
        <v>35</v>
      </c>
      <c r="M690" s="15" t="s">
        <v>928</v>
      </c>
      <c r="N690" s="15"/>
      <c r="O690" s="8" t="s">
        <v>410</v>
      </c>
      <c r="P690" s="8" t="s">
        <v>46</v>
      </c>
      <c r="Q690" s="9">
        <v>0.02</v>
      </c>
      <c r="R690" s="139">
        <v>1000044270</v>
      </c>
      <c r="S690" s="15"/>
      <c r="T690" s="18">
        <v>12179.5</v>
      </c>
      <c r="U690" s="4">
        <v>0</v>
      </c>
      <c r="V690" s="6">
        <v>0</v>
      </c>
      <c r="W690" s="18">
        <f t="shared" si="101"/>
        <v>12179.5</v>
      </c>
      <c r="X690" s="18">
        <f t="shared" si="100"/>
        <v>0</v>
      </c>
      <c r="Y690" s="13">
        <f t="shared" si="95"/>
        <v>0</v>
      </c>
      <c r="Z690" s="14">
        <v>0</v>
      </c>
      <c r="AA690" s="4">
        <v>0</v>
      </c>
      <c r="AB690" s="4">
        <f t="shared" si="99"/>
        <v>0</v>
      </c>
      <c r="AC690" s="6">
        <f t="shared" si="96"/>
        <v>0</v>
      </c>
      <c r="AD690" s="18">
        <f t="shared" si="93"/>
        <v>0</v>
      </c>
      <c r="AE690" s="2">
        <v>7.0000000000000007E-2</v>
      </c>
      <c r="AF690" s="5">
        <f t="shared" si="97"/>
        <v>0</v>
      </c>
      <c r="AG690" s="14">
        <v>0</v>
      </c>
      <c r="AH690" s="10">
        <f t="shared" si="94"/>
        <v>0</v>
      </c>
      <c r="AI690" s="16"/>
      <c r="AJ690" s="126" t="e">
        <v>#N/A</v>
      </c>
      <c r="AK690" s="80">
        <f t="shared" si="98"/>
        <v>0</v>
      </c>
      <c r="AM690" s="85"/>
    </row>
    <row r="691" spans="1:39" hidden="1" x14ac:dyDescent="0.3">
      <c r="A691" s="85" t="s">
        <v>34</v>
      </c>
      <c r="B691" s="15" t="s">
        <v>35</v>
      </c>
      <c r="C691" s="15" t="s">
        <v>144</v>
      </c>
      <c r="D691" s="15" t="s">
        <v>161</v>
      </c>
      <c r="E691" s="15" t="s">
        <v>929</v>
      </c>
      <c r="F691" s="15" t="s">
        <v>929</v>
      </c>
      <c r="G691" s="15" t="s">
        <v>929</v>
      </c>
      <c r="H691" s="139"/>
      <c r="I691" s="15" t="s">
        <v>408</v>
      </c>
      <c r="J691" s="1" t="s">
        <v>3324</v>
      </c>
      <c r="K691" s="1" t="s">
        <v>3278</v>
      </c>
      <c r="L691" s="1" t="s">
        <v>35</v>
      </c>
      <c r="M691" s="15" t="s">
        <v>930</v>
      </c>
      <c r="N691" s="15"/>
      <c r="O691" s="8" t="s">
        <v>45</v>
      </c>
      <c r="P691" s="8" t="s">
        <v>46</v>
      </c>
      <c r="Q691" s="9">
        <v>0.1</v>
      </c>
      <c r="R691" s="139">
        <v>1000034042</v>
      </c>
      <c r="S691" s="15"/>
      <c r="T691" s="18">
        <v>4625.51</v>
      </c>
      <c r="U691" s="4">
        <v>0</v>
      </c>
      <c r="V691" s="6">
        <v>0</v>
      </c>
      <c r="W691" s="18">
        <f t="shared" si="101"/>
        <v>4625.51</v>
      </c>
      <c r="X691" s="18">
        <f t="shared" si="100"/>
        <v>0</v>
      </c>
      <c r="Y691" s="13">
        <f t="shared" si="95"/>
        <v>0</v>
      </c>
      <c r="Z691" s="14">
        <v>0</v>
      </c>
      <c r="AA691" s="4">
        <v>0</v>
      </c>
      <c r="AB691" s="4">
        <f t="shared" si="99"/>
        <v>0</v>
      </c>
      <c r="AC691" s="6">
        <f t="shared" si="96"/>
        <v>0</v>
      </c>
      <c r="AD691" s="18">
        <f t="shared" si="93"/>
        <v>0</v>
      </c>
      <c r="AE691" s="2">
        <v>0.12</v>
      </c>
      <c r="AF691" s="5">
        <f t="shared" si="97"/>
        <v>0</v>
      </c>
      <c r="AG691" s="14">
        <v>0</v>
      </c>
      <c r="AH691" s="10">
        <f t="shared" si="94"/>
        <v>0</v>
      </c>
      <c r="AI691" s="16"/>
      <c r="AJ691" s="126" t="e">
        <v>#N/A</v>
      </c>
      <c r="AK691" s="80">
        <f t="shared" si="98"/>
        <v>0</v>
      </c>
      <c r="AM691" s="85"/>
    </row>
    <row r="692" spans="1:39" hidden="1" x14ac:dyDescent="0.3">
      <c r="A692" s="85" t="s">
        <v>34</v>
      </c>
      <c r="B692" s="15" t="s">
        <v>35</v>
      </c>
      <c r="C692" s="15" t="s">
        <v>144</v>
      </c>
      <c r="D692" s="15" t="s">
        <v>161</v>
      </c>
      <c r="E692" s="15" t="s">
        <v>929</v>
      </c>
      <c r="F692" s="15" t="s">
        <v>929</v>
      </c>
      <c r="G692" s="15" t="s">
        <v>929</v>
      </c>
      <c r="H692" s="139"/>
      <c r="I692" s="15" t="s">
        <v>408</v>
      </c>
      <c r="J692" s="1" t="s">
        <v>3324</v>
      </c>
      <c r="K692" s="1" t="s">
        <v>3278</v>
      </c>
      <c r="L692" s="1" t="s">
        <v>35</v>
      </c>
      <c r="M692" s="15" t="s">
        <v>931</v>
      </c>
      <c r="N692" s="15"/>
      <c r="O692" s="8" t="s">
        <v>410</v>
      </c>
      <c r="P692" s="8" t="s">
        <v>46</v>
      </c>
      <c r="Q692" s="9">
        <v>0.02</v>
      </c>
      <c r="R692" s="139">
        <v>1000029728</v>
      </c>
      <c r="S692" s="15"/>
      <c r="T692" s="18">
        <v>8223.7000000000007</v>
      </c>
      <c r="U692" s="4">
        <v>0</v>
      </c>
      <c r="V692" s="6">
        <v>0</v>
      </c>
      <c r="W692" s="18">
        <f t="shared" si="101"/>
        <v>8223.7000000000007</v>
      </c>
      <c r="X692" s="18">
        <f t="shared" si="100"/>
        <v>0</v>
      </c>
      <c r="Y692" s="13">
        <f t="shared" si="95"/>
        <v>0</v>
      </c>
      <c r="Z692" s="14">
        <v>0</v>
      </c>
      <c r="AA692" s="4">
        <v>0</v>
      </c>
      <c r="AB692" s="4">
        <f t="shared" si="99"/>
        <v>0</v>
      </c>
      <c r="AC692" s="6">
        <f t="shared" si="96"/>
        <v>0</v>
      </c>
      <c r="AD692" s="18">
        <f t="shared" si="93"/>
        <v>0</v>
      </c>
      <c r="AE692" s="2">
        <v>7.0000000000000007E-2</v>
      </c>
      <c r="AF692" s="5">
        <f t="shared" si="97"/>
        <v>0</v>
      </c>
      <c r="AG692" s="14">
        <v>0</v>
      </c>
      <c r="AH692" s="10">
        <f t="shared" si="94"/>
        <v>0</v>
      </c>
      <c r="AI692" s="16"/>
      <c r="AJ692" s="126" t="e">
        <v>#N/A</v>
      </c>
      <c r="AK692" s="80">
        <f t="shared" si="98"/>
        <v>0</v>
      </c>
      <c r="AM692" s="85"/>
    </row>
    <row r="693" spans="1:39" hidden="1" x14ac:dyDescent="0.3">
      <c r="A693" s="85" t="s">
        <v>34</v>
      </c>
      <c r="B693" s="15" t="s">
        <v>35</v>
      </c>
      <c r="C693" s="15" t="s">
        <v>144</v>
      </c>
      <c r="D693" s="15" t="s">
        <v>161</v>
      </c>
      <c r="E693" s="15" t="s">
        <v>929</v>
      </c>
      <c r="F693" s="15" t="s">
        <v>929</v>
      </c>
      <c r="G693" s="15" t="s">
        <v>929</v>
      </c>
      <c r="H693" s="139"/>
      <c r="I693" s="15" t="s">
        <v>408</v>
      </c>
      <c r="J693" s="1" t="s">
        <v>3324</v>
      </c>
      <c r="K693" s="1" t="s">
        <v>3278</v>
      </c>
      <c r="L693" s="1" t="s">
        <v>35</v>
      </c>
      <c r="M693" s="15" t="s">
        <v>932</v>
      </c>
      <c r="N693" s="15"/>
      <c r="O693" s="8" t="s">
        <v>410</v>
      </c>
      <c r="P693" s="8" t="s">
        <v>46</v>
      </c>
      <c r="Q693" s="9">
        <v>0.02</v>
      </c>
      <c r="R693" s="139">
        <v>1000015608</v>
      </c>
      <c r="S693" s="15"/>
      <c r="T693" s="18">
        <v>2453</v>
      </c>
      <c r="U693" s="4">
        <v>0</v>
      </c>
      <c r="V693" s="6">
        <v>0</v>
      </c>
      <c r="W693" s="18">
        <f t="shared" si="101"/>
        <v>2453</v>
      </c>
      <c r="X693" s="18">
        <f t="shared" si="100"/>
        <v>0</v>
      </c>
      <c r="Y693" s="13">
        <f t="shared" si="95"/>
        <v>0</v>
      </c>
      <c r="Z693" s="14">
        <v>0</v>
      </c>
      <c r="AA693" s="4">
        <v>0</v>
      </c>
      <c r="AB693" s="4">
        <f t="shared" si="99"/>
        <v>0</v>
      </c>
      <c r="AC693" s="6">
        <f t="shared" si="96"/>
        <v>0</v>
      </c>
      <c r="AD693" s="18">
        <f t="shared" ref="AD693:AD756" si="102">V693*0.547109961125019</f>
        <v>0</v>
      </c>
      <c r="AE693" s="2">
        <v>7.0000000000000007E-2</v>
      </c>
      <c r="AF693" s="5">
        <f t="shared" si="97"/>
        <v>0</v>
      </c>
      <c r="AG693" s="14">
        <v>0</v>
      </c>
      <c r="AH693" s="10">
        <f t="shared" ref="AH693:AH756" si="103">V693</f>
        <v>0</v>
      </c>
      <c r="AI693" s="16"/>
      <c r="AJ693" s="126" t="e">
        <v>#N/A</v>
      </c>
      <c r="AK693" s="80">
        <f t="shared" si="98"/>
        <v>0</v>
      </c>
      <c r="AM693" s="85"/>
    </row>
    <row r="694" spans="1:39" hidden="1" x14ac:dyDescent="0.3">
      <c r="A694" s="85" t="s">
        <v>34</v>
      </c>
      <c r="B694" s="15" t="s">
        <v>35</v>
      </c>
      <c r="C694" s="15" t="s">
        <v>144</v>
      </c>
      <c r="D694" s="15" t="s">
        <v>161</v>
      </c>
      <c r="E694" s="15" t="s">
        <v>929</v>
      </c>
      <c r="F694" s="15" t="s">
        <v>929</v>
      </c>
      <c r="G694" s="15" t="s">
        <v>929</v>
      </c>
      <c r="H694" s="139"/>
      <c r="I694" s="15" t="s">
        <v>408</v>
      </c>
      <c r="J694" s="1" t="s">
        <v>3324</v>
      </c>
      <c r="K694" s="1" t="s">
        <v>3278</v>
      </c>
      <c r="L694" s="1" t="s">
        <v>35</v>
      </c>
      <c r="M694" s="15" t="s">
        <v>933</v>
      </c>
      <c r="N694" s="15"/>
      <c r="O694" s="8" t="s">
        <v>410</v>
      </c>
      <c r="P694" s="8" t="s">
        <v>46</v>
      </c>
      <c r="Q694" s="9">
        <v>0.02</v>
      </c>
      <c r="R694" s="139">
        <v>1000003404</v>
      </c>
      <c r="S694" s="15"/>
      <c r="T694" s="18">
        <v>9703.2000000000007</v>
      </c>
      <c r="U694" s="4">
        <v>0</v>
      </c>
      <c r="V694" s="6">
        <v>0</v>
      </c>
      <c r="W694" s="18">
        <f t="shared" si="101"/>
        <v>9703.2000000000007</v>
      </c>
      <c r="X694" s="18">
        <f t="shared" si="100"/>
        <v>0</v>
      </c>
      <c r="Y694" s="13">
        <f t="shared" si="95"/>
        <v>0</v>
      </c>
      <c r="Z694" s="14">
        <v>0</v>
      </c>
      <c r="AA694" s="4">
        <v>0</v>
      </c>
      <c r="AB694" s="4">
        <f t="shared" si="99"/>
        <v>0</v>
      </c>
      <c r="AC694" s="6">
        <f t="shared" si="96"/>
        <v>0</v>
      </c>
      <c r="AD694" s="18">
        <f t="shared" si="102"/>
        <v>0</v>
      </c>
      <c r="AE694" s="2">
        <v>7.0000000000000007E-2</v>
      </c>
      <c r="AF694" s="5">
        <f t="shared" si="97"/>
        <v>0</v>
      </c>
      <c r="AG694" s="14">
        <v>0</v>
      </c>
      <c r="AH694" s="10">
        <f t="shared" si="103"/>
        <v>0</v>
      </c>
      <c r="AI694" s="16"/>
      <c r="AJ694" s="126" t="e">
        <v>#N/A</v>
      </c>
      <c r="AK694" s="80">
        <f t="shared" si="98"/>
        <v>0</v>
      </c>
      <c r="AM694" s="85"/>
    </row>
    <row r="695" spans="1:39" hidden="1" x14ac:dyDescent="0.3">
      <c r="A695" s="85" t="s">
        <v>34</v>
      </c>
      <c r="B695" s="15" t="s">
        <v>35</v>
      </c>
      <c r="C695" s="15" t="s">
        <v>164</v>
      </c>
      <c r="D695" s="15" t="s">
        <v>934</v>
      </c>
      <c r="E695" s="15" t="s">
        <v>935</v>
      </c>
      <c r="F695" s="15" t="s">
        <v>935</v>
      </c>
      <c r="G695" s="15" t="s">
        <v>935</v>
      </c>
      <c r="H695" s="139"/>
      <c r="I695" s="15" t="s">
        <v>408</v>
      </c>
      <c r="J695" s="1" t="s">
        <v>3324</v>
      </c>
      <c r="K695" s="1" t="s">
        <v>3278</v>
      </c>
      <c r="L695" s="1" t="s">
        <v>35</v>
      </c>
      <c r="M695" s="15" t="s">
        <v>936</v>
      </c>
      <c r="N695" s="15"/>
      <c r="O695" s="8" t="s">
        <v>410</v>
      </c>
      <c r="P695" s="8" t="s">
        <v>46</v>
      </c>
      <c r="Q695" s="9">
        <v>0.02</v>
      </c>
      <c r="R695" s="139">
        <v>1000011614</v>
      </c>
      <c r="S695" s="15"/>
      <c r="T695" s="18">
        <v>10200</v>
      </c>
      <c r="U695" s="4">
        <v>0</v>
      </c>
      <c r="V695" s="6">
        <v>0</v>
      </c>
      <c r="W695" s="18">
        <f t="shared" si="101"/>
        <v>10200</v>
      </c>
      <c r="X695" s="18">
        <f t="shared" si="100"/>
        <v>0</v>
      </c>
      <c r="Y695" s="13">
        <f t="shared" si="95"/>
        <v>0</v>
      </c>
      <c r="Z695" s="14">
        <v>0</v>
      </c>
      <c r="AA695" s="4">
        <v>0</v>
      </c>
      <c r="AB695" s="4">
        <f t="shared" si="99"/>
        <v>0</v>
      </c>
      <c r="AC695" s="6">
        <f t="shared" si="96"/>
        <v>0</v>
      </c>
      <c r="AD695" s="18">
        <f t="shared" si="102"/>
        <v>0</v>
      </c>
      <c r="AE695" s="2">
        <v>7.0000000000000007E-2</v>
      </c>
      <c r="AF695" s="5">
        <f t="shared" si="97"/>
        <v>0</v>
      </c>
      <c r="AG695" s="14">
        <v>0</v>
      </c>
      <c r="AH695" s="10">
        <f t="shared" si="103"/>
        <v>0</v>
      </c>
      <c r="AI695" s="16"/>
      <c r="AJ695" s="126" t="e">
        <v>#N/A</v>
      </c>
      <c r="AK695" s="80">
        <f t="shared" si="98"/>
        <v>0</v>
      </c>
      <c r="AM695" s="85"/>
    </row>
    <row r="696" spans="1:39" hidden="1" x14ac:dyDescent="0.3">
      <c r="A696" s="85" t="s">
        <v>34</v>
      </c>
      <c r="B696" s="15" t="s">
        <v>35</v>
      </c>
      <c r="C696" s="15" t="s">
        <v>164</v>
      </c>
      <c r="D696" s="15" t="s">
        <v>305</v>
      </c>
      <c r="E696" s="15" t="s">
        <v>937</v>
      </c>
      <c r="F696" s="15" t="s">
        <v>937</v>
      </c>
      <c r="G696" s="15" t="s">
        <v>937</v>
      </c>
      <c r="H696" s="139"/>
      <c r="I696" s="15" t="s">
        <v>408</v>
      </c>
      <c r="J696" s="1" t="s">
        <v>3324</v>
      </c>
      <c r="K696" s="1" t="s">
        <v>3278</v>
      </c>
      <c r="L696" s="1" t="s">
        <v>35</v>
      </c>
      <c r="M696" s="15" t="s">
        <v>938</v>
      </c>
      <c r="N696" s="15"/>
      <c r="O696" s="8" t="s">
        <v>45</v>
      </c>
      <c r="P696" s="8" t="s">
        <v>46</v>
      </c>
      <c r="Q696" s="9">
        <v>0.08</v>
      </c>
      <c r="R696" s="139">
        <v>1000049542</v>
      </c>
      <c r="S696" s="15"/>
      <c r="T696" s="18">
        <v>272.2</v>
      </c>
      <c r="U696" s="4">
        <v>0</v>
      </c>
      <c r="V696" s="6">
        <v>0</v>
      </c>
      <c r="W696" s="18">
        <f t="shared" si="101"/>
        <v>272.2</v>
      </c>
      <c r="X696" s="18">
        <f t="shared" si="100"/>
        <v>0</v>
      </c>
      <c r="Y696" s="13">
        <f t="shared" si="95"/>
        <v>0</v>
      </c>
      <c r="Z696" s="14">
        <v>0</v>
      </c>
      <c r="AA696" s="4">
        <v>0</v>
      </c>
      <c r="AB696" s="4">
        <f t="shared" si="99"/>
        <v>0</v>
      </c>
      <c r="AC696" s="6">
        <f t="shared" si="96"/>
        <v>0</v>
      </c>
      <c r="AD696" s="18">
        <f t="shared" si="102"/>
        <v>0</v>
      </c>
      <c r="AE696" s="2">
        <v>0.12</v>
      </c>
      <c r="AF696" s="5">
        <f t="shared" si="97"/>
        <v>0</v>
      </c>
      <c r="AG696" s="14">
        <v>0</v>
      </c>
      <c r="AH696" s="10">
        <f t="shared" si="103"/>
        <v>0</v>
      </c>
      <c r="AI696" s="16"/>
      <c r="AJ696" s="126" t="e">
        <v>#N/A</v>
      </c>
      <c r="AK696" s="80">
        <f t="shared" si="98"/>
        <v>0</v>
      </c>
      <c r="AM696" s="85"/>
    </row>
    <row r="697" spans="1:39" hidden="1" x14ac:dyDescent="0.3">
      <c r="A697" s="85" t="s">
        <v>34</v>
      </c>
      <c r="B697" s="15" t="s">
        <v>35</v>
      </c>
      <c r="C697" s="15" t="s">
        <v>164</v>
      </c>
      <c r="D697" s="15" t="s">
        <v>305</v>
      </c>
      <c r="E697" s="15" t="s">
        <v>939</v>
      </c>
      <c r="F697" s="15" t="s">
        <v>939</v>
      </c>
      <c r="G697" s="15" t="s">
        <v>939</v>
      </c>
      <c r="H697" s="139"/>
      <c r="I697" s="15" t="s">
        <v>408</v>
      </c>
      <c r="J697" s="1" t="s">
        <v>3324</v>
      </c>
      <c r="K697" s="1" t="s">
        <v>3278</v>
      </c>
      <c r="L697" s="1" t="s">
        <v>35</v>
      </c>
      <c r="M697" s="15" t="s">
        <v>940</v>
      </c>
      <c r="N697" s="15"/>
      <c r="O697" s="8" t="s">
        <v>410</v>
      </c>
      <c r="P697" s="8" t="s">
        <v>46</v>
      </c>
      <c r="Q697" s="9">
        <v>0.04</v>
      </c>
      <c r="R697" s="139">
        <v>1000010147</v>
      </c>
      <c r="S697" s="15"/>
      <c r="T697" s="18">
        <v>6212.97</v>
      </c>
      <c r="U697" s="4">
        <v>0</v>
      </c>
      <c r="V697" s="6">
        <v>0</v>
      </c>
      <c r="W697" s="18">
        <f t="shared" si="101"/>
        <v>6212.97</v>
      </c>
      <c r="X697" s="18">
        <f t="shared" si="100"/>
        <v>0</v>
      </c>
      <c r="Y697" s="13">
        <f t="shared" si="95"/>
        <v>0</v>
      </c>
      <c r="Z697" s="14">
        <v>0</v>
      </c>
      <c r="AA697" s="4">
        <v>0</v>
      </c>
      <c r="AB697" s="4">
        <f t="shared" si="99"/>
        <v>0</v>
      </c>
      <c r="AC697" s="6">
        <f t="shared" si="96"/>
        <v>0</v>
      </c>
      <c r="AD697" s="18">
        <f t="shared" si="102"/>
        <v>0</v>
      </c>
      <c r="AE697" s="2">
        <v>7.0000000000000007E-2</v>
      </c>
      <c r="AF697" s="5">
        <f t="shared" si="97"/>
        <v>0</v>
      </c>
      <c r="AG697" s="14">
        <v>0</v>
      </c>
      <c r="AH697" s="10">
        <f t="shared" si="103"/>
        <v>0</v>
      </c>
      <c r="AI697" s="16"/>
      <c r="AJ697" s="126" t="e">
        <v>#N/A</v>
      </c>
      <c r="AK697" s="80">
        <f t="shared" si="98"/>
        <v>0</v>
      </c>
      <c r="AM697" s="85"/>
    </row>
    <row r="698" spans="1:39" hidden="1" x14ac:dyDescent="0.3">
      <c r="A698" s="85" t="s">
        <v>34</v>
      </c>
      <c r="B698" s="15" t="s">
        <v>35</v>
      </c>
      <c r="C698" s="15" t="s">
        <v>164</v>
      </c>
      <c r="D698" s="15" t="s">
        <v>165</v>
      </c>
      <c r="E698" s="15" t="s">
        <v>619</v>
      </c>
      <c r="F698" s="15" t="s">
        <v>620</v>
      </c>
      <c r="G698" s="15" t="s">
        <v>619</v>
      </c>
      <c r="H698" s="139"/>
      <c r="I698" s="15" t="s">
        <v>408</v>
      </c>
      <c r="J698" s="1" t="s">
        <v>3324</v>
      </c>
      <c r="K698" s="1" t="s">
        <v>3278</v>
      </c>
      <c r="L698" s="1" t="s">
        <v>35</v>
      </c>
      <c r="M698" s="15" t="s">
        <v>622</v>
      </c>
      <c r="N698" s="15"/>
      <c r="O698" s="8" t="s">
        <v>941</v>
      </c>
      <c r="P698" s="8" t="s">
        <v>41</v>
      </c>
      <c r="Q698" s="14">
        <v>0</v>
      </c>
      <c r="R698" s="139">
        <v>1000067334</v>
      </c>
      <c r="S698" s="15"/>
      <c r="T698" s="18">
        <v>0</v>
      </c>
      <c r="U698" s="4">
        <v>0</v>
      </c>
      <c r="V698" s="6">
        <v>0</v>
      </c>
      <c r="W698" s="18">
        <f t="shared" si="101"/>
        <v>0</v>
      </c>
      <c r="X698" s="18">
        <f t="shared" si="100"/>
        <v>0</v>
      </c>
      <c r="Y698" s="13">
        <f t="shared" si="95"/>
        <v>0</v>
      </c>
      <c r="Z698" s="14">
        <v>0</v>
      </c>
      <c r="AA698" s="4">
        <v>0</v>
      </c>
      <c r="AB698" s="4">
        <f t="shared" si="99"/>
        <v>0</v>
      </c>
      <c r="AC698" s="6">
        <f t="shared" si="96"/>
        <v>0</v>
      </c>
      <c r="AD698" s="18">
        <f t="shared" si="102"/>
        <v>0</v>
      </c>
      <c r="AE698" s="2">
        <v>0.12</v>
      </c>
      <c r="AF698" s="5">
        <f t="shared" si="97"/>
        <v>0</v>
      </c>
      <c r="AG698" s="14">
        <v>0</v>
      </c>
      <c r="AH698" s="10">
        <f t="shared" si="103"/>
        <v>0</v>
      </c>
      <c r="AI698" s="16"/>
      <c r="AJ698" s="126" t="e">
        <v>#N/A</v>
      </c>
      <c r="AK698" s="80">
        <f t="shared" si="98"/>
        <v>0</v>
      </c>
      <c r="AM698" s="85"/>
    </row>
    <row r="699" spans="1:39" hidden="1" x14ac:dyDescent="0.3">
      <c r="A699" s="85" t="s">
        <v>34</v>
      </c>
      <c r="B699" s="15" t="s">
        <v>35</v>
      </c>
      <c r="C699" s="15" t="s">
        <v>164</v>
      </c>
      <c r="D699" s="15" t="s">
        <v>174</v>
      </c>
      <c r="E699" s="15" t="s">
        <v>942</v>
      </c>
      <c r="F699" s="15" t="s">
        <v>942</v>
      </c>
      <c r="G699" s="15" t="s">
        <v>942</v>
      </c>
      <c r="H699" s="139"/>
      <c r="I699" s="15" t="s">
        <v>408</v>
      </c>
      <c r="J699" s="1" t="s">
        <v>3324</v>
      </c>
      <c r="K699" s="1" t="s">
        <v>3278</v>
      </c>
      <c r="L699" s="1" t="s">
        <v>35</v>
      </c>
      <c r="M699" s="15" t="s">
        <v>943</v>
      </c>
      <c r="N699" s="15"/>
      <c r="O699" s="8" t="s">
        <v>45</v>
      </c>
      <c r="P699" s="8" t="s">
        <v>46</v>
      </c>
      <c r="Q699" s="9">
        <v>0.06</v>
      </c>
      <c r="R699" s="139">
        <v>1000047703</v>
      </c>
      <c r="S699" s="15"/>
      <c r="T699" s="18">
        <v>4982</v>
      </c>
      <c r="U699" s="4">
        <v>0</v>
      </c>
      <c r="V699" s="6">
        <v>0</v>
      </c>
      <c r="W699" s="18">
        <f t="shared" si="101"/>
        <v>4982</v>
      </c>
      <c r="X699" s="18">
        <f t="shared" si="100"/>
        <v>0</v>
      </c>
      <c r="Y699" s="13">
        <f t="shared" si="95"/>
        <v>0</v>
      </c>
      <c r="Z699" s="14">
        <v>0</v>
      </c>
      <c r="AA699" s="4">
        <v>0</v>
      </c>
      <c r="AB699" s="4">
        <f t="shared" si="99"/>
        <v>0</v>
      </c>
      <c r="AC699" s="6">
        <f t="shared" si="96"/>
        <v>0</v>
      </c>
      <c r="AD699" s="18">
        <f t="shared" si="102"/>
        <v>0</v>
      </c>
      <c r="AE699" s="2">
        <v>0.12</v>
      </c>
      <c r="AF699" s="5">
        <f t="shared" si="97"/>
        <v>0</v>
      </c>
      <c r="AG699" s="14">
        <v>0</v>
      </c>
      <c r="AH699" s="10">
        <f t="shared" si="103"/>
        <v>0</v>
      </c>
      <c r="AI699" s="16"/>
      <c r="AJ699" s="126" t="e">
        <v>#N/A</v>
      </c>
      <c r="AK699" s="80">
        <f t="shared" si="98"/>
        <v>0</v>
      </c>
      <c r="AM699" s="85"/>
    </row>
    <row r="700" spans="1:39" hidden="1" x14ac:dyDescent="0.3">
      <c r="A700" s="85" t="s">
        <v>34</v>
      </c>
      <c r="B700" s="15" t="s">
        <v>35</v>
      </c>
      <c r="C700" s="15" t="s">
        <v>164</v>
      </c>
      <c r="D700" s="15" t="s">
        <v>174</v>
      </c>
      <c r="E700" s="15" t="s">
        <v>944</v>
      </c>
      <c r="F700" s="15" t="s">
        <v>944</v>
      </c>
      <c r="G700" s="15" t="s">
        <v>944</v>
      </c>
      <c r="H700" s="139"/>
      <c r="I700" s="15" t="s">
        <v>408</v>
      </c>
      <c r="J700" s="1" t="s">
        <v>3324</v>
      </c>
      <c r="K700" s="1" t="s">
        <v>3278</v>
      </c>
      <c r="L700" s="1" t="s">
        <v>35</v>
      </c>
      <c r="M700" s="15" t="s">
        <v>945</v>
      </c>
      <c r="N700" s="15"/>
      <c r="O700" s="8" t="s">
        <v>410</v>
      </c>
      <c r="P700" s="8" t="s">
        <v>46</v>
      </c>
      <c r="Q700" s="9">
        <v>0.02</v>
      </c>
      <c r="R700" s="139">
        <v>1000017235</v>
      </c>
      <c r="S700" s="15"/>
      <c r="T700" s="18">
        <v>10184.5</v>
      </c>
      <c r="U700" s="4">
        <v>0</v>
      </c>
      <c r="V700" s="6">
        <v>0</v>
      </c>
      <c r="W700" s="18">
        <f t="shared" si="101"/>
        <v>10184.5</v>
      </c>
      <c r="X700" s="18">
        <f t="shared" si="100"/>
        <v>0</v>
      </c>
      <c r="Y700" s="13">
        <f t="shared" si="95"/>
        <v>0</v>
      </c>
      <c r="Z700" s="14">
        <v>0</v>
      </c>
      <c r="AA700" s="4">
        <v>0</v>
      </c>
      <c r="AB700" s="4">
        <f t="shared" si="99"/>
        <v>0</v>
      </c>
      <c r="AC700" s="6">
        <f t="shared" si="96"/>
        <v>0</v>
      </c>
      <c r="AD700" s="18">
        <f t="shared" si="102"/>
        <v>0</v>
      </c>
      <c r="AE700" s="2">
        <v>7.0000000000000007E-2</v>
      </c>
      <c r="AF700" s="5">
        <f t="shared" si="97"/>
        <v>0</v>
      </c>
      <c r="AG700" s="14">
        <v>0</v>
      </c>
      <c r="AH700" s="10">
        <f t="shared" si="103"/>
        <v>0</v>
      </c>
      <c r="AI700" s="16"/>
      <c r="AJ700" s="126" t="e">
        <v>#N/A</v>
      </c>
      <c r="AK700" s="80">
        <f t="shared" si="98"/>
        <v>0</v>
      </c>
      <c r="AM700" s="85"/>
    </row>
    <row r="701" spans="1:39" hidden="1" x14ac:dyDescent="0.3">
      <c r="A701" s="85" t="s">
        <v>34</v>
      </c>
      <c r="B701" s="15" t="s">
        <v>35</v>
      </c>
      <c r="C701" s="15" t="s">
        <v>164</v>
      </c>
      <c r="D701" s="15" t="s">
        <v>174</v>
      </c>
      <c r="E701" s="15" t="s">
        <v>946</v>
      </c>
      <c r="F701" s="15" t="s">
        <v>946</v>
      </c>
      <c r="G701" s="15" t="s">
        <v>946</v>
      </c>
      <c r="H701" s="139"/>
      <c r="I701" s="15" t="s">
        <v>408</v>
      </c>
      <c r="J701" s="1" t="s">
        <v>3324</v>
      </c>
      <c r="K701" s="1" t="s">
        <v>3278</v>
      </c>
      <c r="L701" s="1" t="s">
        <v>35</v>
      </c>
      <c r="M701" s="15" t="s">
        <v>947</v>
      </c>
      <c r="N701" s="15"/>
      <c r="O701" s="8" t="s">
        <v>410</v>
      </c>
      <c r="P701" s="8" t="s">
        <v>46</v>
      </c>
      <c r="Q701" s="9">
        <v>0.02</v>
      </c>
      <c r="R701" s="139">
        <v>1000045521</v>
      </c>
      <c r="S701" s="15"/>
      <c r="T701" s="18">
        <v>1779.71</v>
      </c>
      <c r="U701" s="4">
        <v>0</v>
      </c>
      <c r="V701" s="6">
        <v>0</v>
      </c>
      <c r="W701" s="18">
        <f t="shared" si="101"/>
        <v>1779.71</v>
      </c>
      <c r="X701" s="18">
        <f t="shared" si="100"/>
        <v>0</v>
      </c>
      <c r="Y701" s="13">
        <f t="shared" si="95"/>
        <v>0</v>
      </c>
      <c r="Z701" s="14">
        <v>0</v>
      </c>
      <c r="AA701" s="4">
        <v>0</v>
      </c>
      <c r="AB701" s="4">
        <f t="shared" si="99"/>
        <v>0</v>
      </c>
      <c r="AC701" s="6">
        <f t="shared" si="96"/>
        <v>0</v>
      </c>
      <c r="AD701" s="18">
        <f t="shared" si="102"/>
        <v>0</v>
      </c>
      <c r="AE701" s="2">
        <v>7.0000000000000007E-2</v>
      </c>
      <c r="AF701" s="5">
        <f t="shared" si="97"/>
        <v>0</v>
      </c>
      <c r="AG701" s="14">
        <v>0</v>
      </c>
      <c r="AH701" s="10">
        <f t="shared" si="103"/>
        <v>0</v>
      </c>
      <c r="AI701" s="16"/>
      <c r="AJ701" s="126" t="e">
        <v>#N/A</v>
      </c>
      <c r="AK701" s="80">
        <f t="shared" si="98"/>
        <v>0</v>
      </c>
      <c r="AM701" s="85"/>
    </row>
    <row r="702" spans="1:39" hidden="1" x14ac:dyDescent="0.3">
      <c r="A702" s="85" t="s">
        <v>34</v>
      </c>
      <c r="B702" s="15" t="s">
        <v>35</v>
      </c>
      <c r="C702" s="15" t="s">
        <v>164</v>
      </c>
      <c r="D702" s="15" t="s">
        <v>174</v>
      </c>
      <c r="E702" s="15" t="s">
        <v>948</v>
      </c>
      <c r="F702" s="15" t="s">
        <v>948</v>
      </c>
      <c r="G702" s="15" t="s">
        <v>948</v>
      </c>
      <c r="H702" s="139"/>
      <c r="I702" s="15" t="s">
        <v>408</v>
      </c>
      <c r="J702" s="1" t="s">
        <v>3324</v>
      </c>
      <c r="K702" s="1" t="s">
        <v>3278</v>
      </c>
      <c r="L702" s="1" t="s">
        <v>35</v>
      </c>
      <c r="M702" s="15" t="s">
        <v>949</v>
      </c>
      <c r="N702" s="15"/>
      <c r="O702" s="8" t="s">
        <v>45</v>
      </c>
      <c r="P702" s="8" t="s">
        <v>46</v>
      </c>
      <c r="Q702" s="9">
        <v>0.1</v>
      </c>
      <c r="R702" s="139">
        <v>1000053875</v>
      </c>
      <c r="S702" s="15"/>
      <c r="T702" s="18">
        <v>1651.5</v>
      </c>
      <c r="U702" s="4">
        <v>0</v>
      </c>
      <c r="V702" s="6">
        <v>0</v>
      </c>
      <c r="W702" s="18">
        <f t="shared" si="101"/>
        <v>1651.5</v>
      </c>
      <c r="X702" s="18">
        <f t="shared" si="100"/>
        <v>0</v>
      </c>
      <c r="Y702" s="13">
        <f t="shared" si="95"/>
        <v>0</v>
      </c>
      <c r="Z702" s="14">
        <v>0</v>
      </c>
      <c r="AA702" s="4">
        <v>0</v>
      </c>
      <c r="AB702" s="4"/>
      <c r="AC702" s="6">
        <f t="shared" si="96"/>
        <v>0</v>
      </c>
      <c r="AD702" s="18">
        <f t="shared" si="102"/>
        <v>0</v>
      </c>
      <c r="AE702" s="2">
        <v>0.12</v>
      </c>
      <c r="AF702" s="5">
        <f t="shared" si="97"/>
        <v>0</v>
      </c>
      <c r="AG702" s="14">
        <v>0</v>
      </c>
      <c r="AH702" s="10">
        <f t="shared" si="103"/>
        <v>0</v>
      </c>
      <c r="AI702" s="16"/>
      <c r="AJ702" s="126">
        <v>16</v>
      </c>
      <c r="AK702" s="80">
        <f t="shared" si="98"/>
        <v>0</v>
      </c>
      <c r="AM702" s="85"/>
    </row>
    <row r="703" spans="1:39" hidden="1" x14ac:dyDescent="0.3">
      <c r="A703" s="85" t="s">
        <v>34</v>
      </c>
      <c r="B703" s="15" t="s">
        <v>35</v>
      </c>
      <c r="C703" s="15" t="s">
        <v>164</v>
      </c>
      <c r="D703" s="15" t="s">
        <v>181</v>
      </c>
      <c r="E703" s="15" t="s">
        <v>950</v>
      </c>
      <c r="F703" s="15" t="s">
        <v>950</v>
      </c>
      <c r="G703" s="15" t="s">
        <v>950</v>
      </c>
      <c r="H703" s="139"/>
      <c r="I703" s="15" t="s">
        <v>408</v>
      </c>
      <c r="J703" s="1" t="s">
        <v>3324</v>
      </c>
      <c r="K703" s="1" t="s">
        <v>3278</v>
      </c>
      <c r="L703" s="1" t="s">
        <v>35</v>
      </c>
      <c r="M703" s="15" t="s">
        <v>951</v>
      </c>
      <c r="N703" s="15"/>
      <c r="O703" s="8" t="s">
        <v>410</v>
      </c>
      <c r="P703" s="8" t="s">
        <v>46</v>
      </c>
      <c r="Q703" s="9">
        <v>0.02</v>
      </c>
      <c r="R703" s="139">
        <v>1000044972</v>
      </c>
      <c r="S703" s="15"/>
      <c r="T703" s="18">
        <v>5296.7</v>
      </c>
      <c r="U703" s="4">
        <v>0</v>
      </c>
      <c r="V703" s="6">
        <v>0</v>
      </c>
      <c r="W703" s="18">
        <f t="shared" si="101"/>
        <v>5296.7</v>
      </c>
      <c r="X703" s="18">
        <f t="shared" si="100"/>
        <v>0</v>
      </c>
      <c r="Y703" s="13">
        <f t="shared" si="95"/>
        <v>0</v>
      </c>
      <c r="Z703" s="14">
        <v>0</v>
      </c>
      <c r="AA703" s="4">
        <v>0</v>
      </c>
      <c r="AB703" s="4">
        <f t="shared" si="99"/>
        <v>0</v>
      </c>
      <c r="AC703" s="6">
        <f t="shared" si="96"/>
        <v>0</v>
      </c>
      <c r="AD703" s="18">
        <f t="shared" si="102"/>
        <v>0</v>
      </c>
      <c r="AE703" s="2">
        <v>7.0000000000000007E-2</v>
      </c>
      <c r="AF703" s="5">
        <f t="shared" si="97"/>
        <v>0</v>
      </c>
      <c r="AG703" s="14">
        <v>0</v>
      </c>
      <c r="AH703" s="10">
        <f t="shared" si="103"/>
        <v>0</v>
      </c>
      <c r="AI703" s="16"/>
      <c r="AJ703" s="126" t="e">
        <v>#N/A</v>
      </c>
      <c r="AK703" s="80">
        <f t="shared" si="98"/>
        <v>0</v>
      </c>
      <c r="AM703" s="85"/>
    </row>
    <row r="704" spans="1:39" hidden="1" x14ac:dyDescent="0.3">
      <c r="A704" s="85" t="s">
        <v>34</v>
      </c>
      <c r="B704" s="15" t="s">
        <v>35</v>
      </c>
      <c r="C704" s="15" t="s">
        <v>164</v>
      </c>
      <c r="D704" s="15" t="s">
        <v>181</v>
      </c>
      <c r="E704" s="15" t="s">
        <v>950</v>
      </c>
      <c r="F704" s="15" t="s">
        <v>950</v>
      </c>
      <c r="G704" s="15" t="s">
        <v>950</v>
      </c>
      <c r="H704" s="139"/>
      <c r="I704" s="15" t="s">
        <v>408</v>
      </c>
      <c r="J704" s="1" t="s">
        <v>3324</v>
      </c>
      <c r="K704" s="1" t="s">
        <v>3278</v>
      </c>
      <c r="L704" s="1" t="s">
        <v>35</v>
      </c>
      <c r="M704" s="15" t="s">
        <v>952</v>
      </c>
      <c r="N704" s="15"/>
      <c r="O704" s="8" t="s">
        <v>410</v>
      </c>
      <c r="P704" s="8" t="s">
        <v>46</v>
      </c>
      <c r="Q704" s="9">
        <v>0.02</v>
      </c>
      <c r="R704" s="139">
        <v>1000041974</v>
      </c>
      <c r="S704" s="15"/>
      <c r="T704" s="18">
        <v>44382.7</v>
      </c>
      <c r="U704" s="4">
        <v>0</v>
      </c>
      <c r="V704" s="6">
        <v>0</v>
      </c>
      <c r="W704" s="18">
        <f t="shared" si="101"/>
        <v>44382.7</v>
      </c>
      <c r="X704" s="18">
        <f t="shared" si="100"/>
        <v>0</v>
      </c>
      <c r="Y704" s="13">
        <f t="shared" si="95"/>
        <v>0</v>
      </c>
      <c r="Z704" s="14">
        <v>0</v>
      </c>
      <c r="AA704" s="4">
        <v>0</v>
      </c>
      <c r="AB704" s="4">
        <f t="shared" si="99"/>
        <v>0</v>
      </c>
      <c r="AC704" s="6">
        <f t="shared" si="96"/>
        <v>0</v>
      </c>
      <c r="AD704" s="18">
        <f t="shared" si="102"/>
        <v>0</v>
      </c>
      <c r="AE704" s="2">
        <v>7.0000000000000007E-2</v>
      </c>
      <c r="AF704" s="5">
        <f t="shared" si="97"/>
        <v>0</v>
      </c>
      <c r="AG704" s="14">
        <v>0</v>
      </c>
      <c r="AH704" s="10">
        <f t="shared" si="103"/>
        <v>0</v>
      </c>
      <c r="AI704" s="16"/>
      <c r="AJ704" s="126" t="e">
        <v>#N/A</v>
      </c>
      <c r="AK704" s="80">
        <f t="shared" si="98"/>
        <v>0</v>
      </c>
      <c r="AM704" s="85"/>
    </row>
    <row r="705" spans="1:39" hidden="1" x14ac:dyDescent="0.3">
      <c r="A705" s="85" t="s">
        <v>34</v>
      </c>
      <c r="B705" s="15" t="s">
        <v>35</v>
      </c>
      <c r="C705" s="15" t="s">
        <v>164</v>
      </c>
      <c r="D705" s="15" t="s">
        <v>181</v>
      </c>
      <c r="E705" s="15" t="s">
        <v>950</v>
      </c>
      <c r="F705" s="15" t="s">
        <v>950</v>
      </c>
      <c r="G705" s="15" t="s">
        <v>950</v>
      </c>
      <c r="H705" s="139"/>
      <c r="I705" s="15" t="s">
        <v>408</v>
      </c>
      <c r="J705" s="1" t="s">
        <v>3324</v>
      </c>
      <c r="K705" s="1" t="s">
        <v>3278</v>
      </c>
      <c r="L705" s="1" t="s">
        <v>35</v>
      </c>
      <c r="M705" s="15" t="s">
        <v>953</v>
      </c>
      <c r="N705" s="15"/>
      <c r="O705" s="8" t="s">
        <v>410</v>
      </c>
      <c r="P705" s="8" t="s">
        <v>46</v>
      </c>
      <c r="Q705" s="9">
        <v>0.02</v>
      </c>
      <c r="R705" s="139">
        <v>1000011247</v>
      </c>
      <c r="S705" s="15"/>
      <c r="T705" s="18">
        <v>653.5</v>
      </c>
      <c r="U705" s="4">
        <v>0</v>
      </c>
      <c r="V705" s="6">
        <v>0</v>
      </c>
      <c r="W705" s="18">
        <f t="shared" si="101"/>
        <v>653.5</v>
      </c>
      <c r="X705" s="18">
        <f t="shared" si="100"/>
        <v>0</v>
      </c>
      <c r="Y705" s="13">
        <f t="shared" si="95"/>
        <v>0</v>
      </c>
      <c r="Z705" s="14">
        <v>0</v>
      </c>
      <c r="AA705" s="4">
        <v>0</v>
      </c>
      <c r="AB705" s="4">
        <f t="shared" si="99"/>
        <v>0</v>
      </c>
      <c r="AC705" s="6">
        <f t="shared" si="96"/>
        <v>0</v>
      </c>
      <c r="AD705" s="18">
        <f t="shared" si="102"/>
        <v>0</v>
      </c>
      <c r="AE705" s="2">
        <v>7.0000000000000007E-2</v>
      </c>
      <c r="AF705" s="5">
        <f t="shared" si="97"/>
        <v>0</v>
      </c>
      <c r="AG705" s="14">
        <v>0</v>
      </c>
      <c r="AH705" s="10">
        <f t="shared" si="103"/>
        <v>0</v>
      </c>
      <c r="AI705" s="16"/>
      <c r="AJ705" s="126" t="e">
        <v>#N/A</v>
      </c>
      <c r="AK705" s="80">
        <f t="shared" si="98"/>
        <v>0</v>
      </c>
      <c r="AM705" s="85"/>
    </row>
    <row r="706" spans="1:39" hidden="1" x14ac:dyDescent="0.3">
      <c r="A706" s="85" t="s">
        <v>34</v>
      </c>
      <c r="B706" s="15" t="s">
        <v>35</v>
      </c>
      <c r="C706" s="15" t="s">
        <v>164</v>
      </c>
      <c r="D706" s="15" t="s">
        <v>181</v>
      </c>
      <c r="E706" s="15" t="s">
        <v>954</v>
      </c>
      <c r="F706" s="15" t="s">
        <v>954</v>
      </c>
      <c r="G706" s="15" t="s">
        <v>954</v>
      </c>
      <c r="H706" s="139"/>
      <c r="I706" s="15" t="s">
        <v>408</v>
      </c>
      <c r="J706" s="1" t="s">
        <v>3324</v>
      </c>
      <c r="K706" s="1" t="s">
        <v>3278</v>
      </c>
      <c r="L706" s="1" t="s">
        <v>35</v>
      </c>
      <c r="M706" s="15" t="s">
        <v>955</v>
      </c>
      <c r="N706" s="15"/>
      <c r="O706" s="8" t="s">
        <v>45</v>
      </c>
      <c r="P706" s="8" t="s">
        <v>46</v>
      </c>
      <c r="Q706" s="9">
        <v>0.2</v>
      </c>
      <c r="R706" s="139">
        <v>1000020835</v>
      </c>
      <c r="S706" s="15"/>
      <c r="T706" s="18">
        <v>3515.75</v>
      </c>
      <c r="U706" s="4">
        <v>0</v>
      </c>
      <c r="V706" s="6">
        <v>0</v>
      </c>
      <c r="W706" s="18">
        <f t="shared" si="101"/>
        <v>3515.75</v>
      </c>
      <c r="X706" s="18">
        <f t="shared" si="100"/>
        <v>0</v>
      </c>
      <c r="Y706" s="13">
        <f t="shared" si="95"/>
        <v>0</v>
      </c>
      <c r="Z706" s="14">
        <v>0</v>
      </c>
      <c r="AA706" s="4">
        <v>0</v>
      </c>
      <c r="AB706" s="4"/>
      <c r="AC706" s="6">
        <f t="shared" si="96"/>
        <v>0</v>
      </c>
      <c r="AD706" s="18">
        <f t="shared" si="102"/>
        <v>0</v>
      </c>
      <c r="AE706" s="2">
        <v>0.12</v>
      </c>
      <c r="AF706" s="5">
        <f t="shared" si="97"/>
        <v>0</v>
      </c>
      <c r="AG706" s="14">
        <v>0</v>
      </c>
      <c r="AH706" s="10">
        <f t="shared" si="103"/>
        <v>0</v>
      </c>
      <c r="AI706" s="16"/>
      <c r="AJ706" s="126">
        <v>1</v>
      </c>
      <c r="AK706" s="80">
        <f t="shared" si="98"/>
        <v>0</v>
      </c>
      <c r="AM706" s="85"/>
    </row>
    <row r="707" spans="1:39" hidden="1" x14ac:dyDescent="0.3">
      <c r="A707" s="85" t="s">
        <v>34</v>
      </c>
      <c r="B707" s="15" t="s">
        <v>35</v>
      </c>
      <c r="C707" s="15" t="s">
        <v>164</v>
      </c>
      <c r="D707" s="15" t="s">
        <v>181</v>
      </c>
      <c r="E707" s="15" t="s">
        <v>954</v>
      </c>
      <c r="F707" s="15" t="s">
        <v>954</v>
      </c>
      <c r="G707" s="15" t="s">
        <v>954</v>
      </c>
      <c r="H707" s="139"/>
      <c r="I707" s="15" t="s">
        <v>408</v>
      </c>
      <c r="J707" s="1" t="s">
        <v>3324</v>
      </c>
      <c r="K707" s="1" t="s">
        <v>3278</v>
      </c>
      <c r="L707" s="1" t="s">
        <v>35</v>
      </c>
      <c r="M707" s="15" t="s">
        <v>956</v>
      </c>
      <c r="N707" s="15"/>
      <c r="O707" s="8" t="s">
        <v>45</v>
      </c>
      <c r="P707" s="8" t="s">
        <v>46</v>
      </c>
      <c r="Q707" s="9">
        <v>0.2</v>
      </c>
      <c r="R707" s="139">
        <v>1000021103</v>
      </c>
      <c r="S707" s="15"/>
      <c r="T707" s="18">
        <v>7.25</v>
      </c>
      <c r="U707" s="4">
        <v>0</v>
      </c>
      <c r="V707" s="6">
        <v>0</v>
      </c>
      <c r="W707" s="18">
        <f t="shared" si="101"/>
        <v>7.25</v>
      </c>
      <c r="X707" s="18">
        <f t="shared" si="100"/>
        <v>0</v>
      </c>
      <c r="Y707" s="13">
        <f t="shared" ref="Y707:Y770" si="104">IF(X707-AD707&lt;=0,0,IF(P707="返现",MAX(X707-AC707-AD707,0),MAX(X707-AD707)))</f>
        <v>0</v>
      </c>
      <c r="Z707" s="14">
        <v>0</v>
      </c>
      <c r="AA707" s="4">
        <v>0</v>
      </c>
      <c r="AB707" s="4"/>
      <c r="AC707" s="6">
        <f t="shared" ref="AC707:AC770" si="105">IF(P707="返现",X707*Q707,V707-X707)</f>
        <v>0</v>
      </c>
      <c r="AD707" s="18">
        <f t="shared" si="102"/>
        <v>0</v>
      </c>
      <c r="AE707" s="2">
        <v>0.12</v>
      </c>
      <c r="AF707" s="5">
        <f t="shared" ref="AF707:AF770" si="106">AD707*AE707</f>
        <v>0</v>
      </c>
      <c r="AG707" s="14">
        <v>0</v>
      </c>
      <c r="AH707" s="10">
        <f t="shared" si="103"/>
        <v>0</v>
      </c>
      <c r="AI707" s="16"/>
      <c r="AJ707" s="126">
        <v>1</v>
      </c>
      <c r="AK707" s="80">
        <f t="shared" ref="AK707:AK770" si="107">X707+AA707-AB707</f>
        <v>0</v>
      </c>
      <c r="AM707" s="85"/>
    </row>
    <row r="708" spans="1:39" hidden="1" x14ac:dyDescent="0.3">
      <c r="A708" s="85" t="s">
        <v>34</v>
      </c>
      <c r="B708" s="15" t="s">
        <v>35</v>
      </c>
      <c r="C708" s="15" t="s">
        <v>164</v>
      </c>
      <c r="D708" s="15" t="s">
        <v>181</v>
      </c>
      <c r="E708" s="15" t="s">
        <v>954</v>
      </c>
      <c r="F708" s="15" t="s">
        <v>954</v>
      </c>
      <c r="G708" s="15" t="s">
        <v>954</v>
      </c>
      <c r="H708" s="139"/>
      <c r="I708" s="15" t="s">
        <v>408</v>
      </c>
      <c r="J708" s="1" t="s">
        <v>3324</v>
      </c>
      <c r="K708" s="1" t="s">
        <v>3278</v>
      </c>
      <c r="L708" s="1" t="s">
        <v>35</v>
      </c>
      <c r="M708" s="15" t="s">
        <v>957</v>
      </c>
      <c r="N708" s="15"/>
      <c r="O708" s="8" t="s">
        <v>45</v>
      </c>
      <c r="P708" s="8" t="s">
        <v>46</v>
      </c>
      <c r="Q708" s="9">
        <v>0.2</v>
      </c>
      <c r="R708" s="139">
        <v>1000019249</v>
      </c>
      <c r="S708" s="15"/>
      <c r="T708" s="18">
        <v>4515.43</v>
      </c>
      <c r="U708" s="4">
        <v>0</v>
      </c>
      <c r="V708" s="6">
        <v>0</v>
      </c>
      <c r="W708" s="18">
        <f t="shared" si="101"/>
        <v>4515.43</v>
      </c>
      <c r="X708" s="18">
        <f t="shared" si="100"/>
        <v>0</v>
      </c>
      <c r="Y708" s="13">
        <f t="shared" si="104"/>
        <v>0</v>
      </c>
      <c r="Z708" s="14">
        <v>0</v>
      </c>
      <c r="AA708" s="4">
        <v>0</v>
      </c>
      <c r="AB708" s="4"/>
      <c r="AC708" s="6">
        <f t="shared" si="105"/>
        <v>0</v>
      </c>
      <c r="AD708" s="18">
        <f t="shared" si="102"/>
        <v>0</v>
      </c>
      <c r="AE708" s="2">
        <v>0.12</v>
      </c>
      <c r="AF708" s="5">
        <f t="shared" si="106"/>
        <v>0</v>
      </c>
      <c r="AG708" s="14">
        <v>0</v>
      </c>
      <c r="AH708" s="10">
        <f t="shared" si="103"/>
        <v>0</v>
      </c>
      <c r="AI708" s="16"/>
      <c r="AJ708" s="126">
        <v>1</v>
      </c>
      <c r="AK708" s="80">
        <f t="shared" si="107"/>
        <v>0</v>
      </c>
      <c r="AM708" s="85"/>
    </row>
    <row r="709" spans="1:39" hidden="1" x14ac:dyDescent="0.3">
      <c r="A709" s="85" t="s">
        <v>34</v>
      </c>
      <c r="B709" s="15" t="s">
        <v>35</v>
      </c>
      <c r="C709" s="15" t="s">
        <v>164</v>
      </c>
      <c r="D709" s="15" t="s">
        <v>181</v>
      </c>
      <c r="E709" s="15" t="s">
        <v>954</v>
      </c>
      <c r="F709" s="15" t="s">
        <v>954</v>
      </c>
      <c r="G709" s="15" t="s">
        <v>954</v>
      </c>
      <c r="H709" s="139"/>
      <c r="I709" s="15" t="s">
        <v>408</v>
      </c>
      <c r="J709" s="1" t="s">
        <v>3324</v>
      </c>
      <c r="K709" s="1" t="s">
        <v>3278</v>
      </c>
      <c r="L709" s="1" t="s">
        <v>35</v>
      </c>
      <c r="M709" s="15" t="s">
        <v>958</v>
      </c>
      <c r="N709" s="15"/>
      <c r="O709" s="8" t="s">
        <v>45</v>
      </c>
      <c r="P709" s="8" t="s">
        <v>46</v>
      </c>
      <c r="Q709" s="9">
        <v>0.2</v>
      </c>
      <c r="R709" s="139">
        <v>1000021107</v>
      </c>
      <c r="S709" s="15"/>
      <c r="T709" s="18">
        <v>10100.4</v>
      </c>
      <c r="U709" s="4">
        <v>0</v>
      </c>
      <c r="V709" s="6">
        <v>0</v>
      </c>
      <c r="W709" s="18">
        <f t="shared" si="101"/>
        <v>10100.4</v>
      </c>
      <c r="X709" s="18">
        <f t="shared" si="100"/>
        <v>0</v>
      </c>
      <c r="Y709" s="13">
        <f t="shared" si="104"/>
        <v>0</v>
      </c>
      <c r="Z709" s="14">
        <v>0</v>
      </c>
      <c r="AA709" s="4">
        <v>0</v>
      </c>
      <c r="AB709" s="4"/>
      <c r="AC709" s="6">
        <f t="shared" si="105"/>
        <v>0</v>
      </c>
      <c r="AD709" s="18">
        <f t="shared" si="102"/>
        <v>0</v>
      </c>
      <c r="AE709" s="2">
        <v>0.12</v>
      </c>
      <c r="AF709" s="5">
        <f t="shared" si="106"/>
        <v>0</v>
      </c>
      <c r="AG709" s="14">
        <v>0</v>
      </c>
      <c r="AH709" s="10">
        <f t="shared" si="103"/>
        <v>0</v>
      </c>
      <c r="AI709" s="16"/>
      <c r="AJ709" s="126">
        <v>1</v>
      </c>
      <c r="AK709" s="80">
        <f t="shared" si="107"/>
        <v>0</v>
      </c>
      <c r="AM709" s="85"/>
    </row>
    <row r="710" spans="1:39" hidden="1" x14ac:dyDescent="0.3">
      <c r="A710" s="85" t="s">
        <v>34</v>
      </c>
      <c r="B710" s="15" t="s">
        <v>35</v>
      </c>
      <c r="C710" s="15" t="s">
        <v>164</v>
      </c>
      <c r="D710" s="15" t="s">
        <v>181</v>
      </c>
      <c r="E710" s="15" t="s">
        <v>954</v>
      </c>
      <c r="F710" s="15" t="s">
        <v>954</v>
      </c>
      <c r="G710" s="15" t="s">
        <v>954</v>
      </c>
      <c r="H710" s="139"/>
      <c r="I710" s="15" t="s">
        <v>408</v>
      </c>
      <c r="J710" s="1" t="s">
        <v>3324</v>
      </c>
      <c r="K710" s="1" t="s">
        <v>3278</v>
      </c>
      <c r="L710" s="1" t="s">
        <v>35</v>
      </c>
      <c r="M710" s="15" t="s">
        <v>959</v>
      </c>
      <c r="N710" s="15"/>
      <c r="O710" s="8" t="s">
        <v>45</v>
      </c>
      <c r="P710" s="8" t="s">
        <v>46</v>
      </c>
      <c r="Q710" s="9">
        <v>0.2</v>
      </c>
      <c r="R710" s="139">
        <v>1000021105</v>
      </c>
      <c r="S710" s="15"/>
      <c r="T710" s="18">
        <v>19075.55</v>
      </c>
      <c r="U710" s="4">
        <v>0</v>
      </c>
      <c r="V710" s="6">
        <v>0</v>
      </c>
      <c r="W710" s="18">
        <f t="shared" si="101"/>
        <v>19075.55</v>
      </c>
      <c r="X710" s="18">
        <f t="shared" si="100"/>
        <v>0</v>
      </c>
      <c r="Y710" s="13">
        <f t="shared" si="104"/>
        <v>0</v>
      </c>
      <c r="Z710" s="14">
        <v>0</v>
      </c>
      <c r="AA710" s="4">
        <v>0</v>
      </c>
      <c r="AB710" s="4"/>
      <c r="AC710" s="6">
        <f t="shared" si="105"/>
        <v>0</v>
      </c>
      <c r="AD710" s="18">
        <f t="shared" si="102"/>
        <v>0</v>
      </c>
      <c r="AE710" s="2">
        <v>0.12</v>
      </c>
      <c r="AF710" s="5">
        <f t="shared" si="106"/>
        <v>0</v>
      </c>
      <c r="AG710" s="14">
        <v>0</v>
      </c>
      <c r="AH710" s="10">
        <f t="shared" si="103"/>
        <v>0</v>
      </c>
      <c r="AI710" s="16"/>
      <c r="AJ710" s="126">
        <v>1</v>
      </c>
      <c r="AK710" s="80">
        <f t="shared" si="107"/>
        <v>0</v>
      </c>
      <c r="AM710" s="85"/>
    </row>
    <row r="711" spans="1:39" hidden="1" x14ac:dyDescent="0.3">
      <c r="A711" s="85" t="s">
        <v>34</v>
      </c>
      <c r="B711" s="15" t="s">
        <v>35</v>
      </c>
      <c r="C711" s="15" t="s">
        <v>164</v>
      </c>
      <c r="D711" s="15" t="s">
        <v>181</v>
      </c>
      <c r="E711" s="15" t="s">
        <v>954</v>
      </c>
      <c r="F711" s="15" t="s">
        <v>954</v>
      </c>
      <c r="G711" s="15" t="s">
        <v>954</v>
      </c>
      <c r="H711" s="139"/>
      <c r="I711" s="15" t="s">
        <v>408</v>
      </c>
      <c r="J711" s="1" t="s">
        <v>3324</v>
      </c>
      <c r="K711" s="1" t="s">
        <v>3278</v>
      </c>
      <c r="L711" s="1" t="s">
        <v>35</v>
      </c>
      <c r="M711" s="15" t="s">
        <v>960</v>
      </c>
      <c r="N711" s="15"/>
      <c r="O711" s="8" t="s">
        <v>45</v>
      </c>
      <c r="P711" s="8" t="s">
        <v>46</v>
      </c>
      <c r="Q711" s="9">
        <v>0.2</v>
      </c>
      <c r="R711" s="139">
        <v>1000020844</v>
      </c>
      <c r="S711" s="15"/>
      <c r="T711" s="18">
        <v>5207.93</v>
      </c>
      <c r="U711" s="4">
        <v>0</v>
      </c>
      <c r="V711" s="6">
        <v>0</v>
      </c>
      <c r="W711" s="18">
        <f t="shared" si="101"/>
        <v>5207.93</v>
      </c>
      <c r="X711" s="18">
        <f t="shared" si="100"/>
        <v>0</v>
      </c>
      <c r="Y711" s="13">
        <f t="shared" si="104"/>
        <v>0</v>
      </c>
      <c r="Z711" s="14">
        <v>0</v>
      </c>
      <c r="AA711" s="4">
        <v>0</v>
      </c>
      <c r="AB711" s="4"/>
      <c r="AC711" s="6">
        <f t="shared" si="105"/>
        <v>0</v>
      </c>
      <c r="AD711" s="18">
        <f t="shared" si="102"/>
        <v>0</v>
      </c>
      <c r="AE711" s="2">
        <v>0.12</v>
      </c>
      <c r="AF711" s="5">
        <f t="shared" si="106"/>
        <v>0</v>
      </c>
      <c r="AG711" s="14">
        <v>0</v>
      </c>
      <c r="AH711" s="10">
        <f t="shared" si="103"/>
        <v>0</v>
      </c>
      <c r="AI711" s="16"/>
      <c r="AJ711" s="126">
        <v>1</v>
      </c>
      <c r="AK711" s="80">
        <f t="shared" si="107"/>
        <v>0</v>
      </c>
      <c r="AM711" s="85"/>
    </row>
    <row r="712" spans="1:39" hidden="1" x14ac:dyDescent="0.3">
      <c r="A712" s="85" t="s">
        <v>34</v>
      </c>
      <c r="B712" s="15" t="s">
        <v>35</v>
      </c>
      <c r="C712" s="15" t="s">
        <v>53</v>
      </c>
      <c r="D712" s="15" t="s">
        <v>961</v>
      </c>
      <c r="E712" s="15" t="s">
        <v>962</v>
      </c>
      <c r="F712" s="15" t="s">
        <v>962</v>
      </c>
      <c r="G712" s="15" t="s">
        <v>962</v>
      </c>
      <c r="H712" s="139"/>
      <c r="I712" s="15" t="s">
        <v>408</v>
      </c>
      <c r="J712" s="1" t="s">
        <v>3324</v>
      </c>
      <c r="K712" s="1" t="s">
        <v>3278</v>
      </c>
      <c r="L712" s="1" t="s">
        <v>35</v>
      </c>
      <c r="M712" s="15" t="s">
        <v>963</v>
      </c>
      <c r="N712" s="15"/>
      <c r="O712" s="8" t="s">
        <v>45</v>
      </c>
      <c r="P712" s="8" t="s">
        <v>41</v>
      </c>
      <c r="Q712" s="9">
        <v>0</v>
      </c>
      <c r="R712" s="139">
        <v>1000055726</v>
      </c>
      <c r="S712" s="15"/>
      <c r="T712" s="18">
        <v>30000</v>
      </c>
      <c r="U712" s="4">
        <v>0</v>
      </c>
      <c r="V712" s="6">
        <v>0</v>
      </c>
      <c r="W712" s="18">
        <f t="shared" si="101"/>
        <v>30000</v>
      </c>
      <c r="X712" s="18">
        <f t="shared" si="100"/>
        <v>0</v>
      </c>
      <c r="Y712" s="13">
        <f t="shared" si="104"/>
        <v>0</v>
      </c>
      <c r="Z712" s="14">
        <v>0</v>
      </c>
      <c r="AA712" s="4">
        <v>0</v>
      </c>
      <c r="AB712" s="4">
        <f t="shared" ref="AB712:AB770" si="108">X712+AA712</f>
        <v>0</v>
      </c>
      <c r="AC712" s="6">
        <f t="shared" si="105"/>
        <v>0</v>
      </c>
      <c r="AD712" s="18">
        <f t="shared" si="102"/>
        <v>0</v>
      </c>
      <c r="AE712" s="2">
        <v>0.12</v>
      </c>
      <c r="AF712" s="5">
        <f t="shared" si="106"/>
        <v>0</v>
      </c>
      <c r="AG712" s="14">
        <v>0</v>
      </c>
      <c r="AH712" s="10">
        <f t="shared" si="103"/>
        <v>0</v>
      </c>
      <c r="AI712" s="16"/>
      <c r="AJ712" s="126" t="e">
        <v>#N/A</v>
      </c>
      <c r="AK712" s="80">
        <f t="shared" si="107"/>
        <v>0</v>
      </c>
      <c r="AM712" s="85"/>
    </row>
    <row r="713" spans="1:39" hidden="1" x14ac:dyDescent="0.3">
      <c r="A713" s="85" t="s">
        <v>34</v>
      </c>
      <c r="B713" s="15" t="s">
        <v>35</v>
      </c>
      <c r="C713" s="15" t="s">
        <v>53</v>
      </c>
      <c r="D713" s="15" t="s">
        <v>224</v>
      </c>
      <c r="E713" s="15" t="s">
        <v>964</v>
      </c>
      <c r="F713" s="15" t="s">
        <v>964</v>
      </c>
      <c r="G713" s="15" t="s">
        <v>964</v>
      </c>
      <c r="H713" s="139"/>
      <c r="I713" s="15" t="s">
        <v>408</v>
      </c>
      <c r="J713" s="1" t="s">
        <v>3324</v>
      </c>
      <c r="K713" s="1" t="s">
        <v>3278</v>
      </c>
      <c r="L713" s="1" t="s">
        <v>35</v>
      </c>
      <c r="M713" s="15" t="s">
        <v>965</v>
      </c>
      <c r="N713" s="15"/>
      <c r="O713" s="8" t="s">
        <v>410</v>
      </c>
      <c r="P713" s="8" t="s">
        <v>46</v>
      </c>
      <c r="Q713" s="9">
        <v>0.05</v>
      </c>
      <c r="R713" s="139">
        <v>1000032486</v>
      </c>
      <c r="S713" s="15"/>
      <c r="T713" s="18">
        <v>21000</v>
      </c>
      <c r="U713" s="4">
        <v>0</v>
      </c>
      <c r="V713" s="6">
        <v>0</v>
      </c>
      <c r="W713" s="18">
        <f t="shared" si="101"/>
        <v>21000</v>
      </c>
      <c r="X713" s="18">
        <f t="shared" si="100"/>
        <v>0</v>
      </c>
      <c r="Y713" s="13">
        <f t="shared" si="104"/>
        <v>0</v>
      </c>
      <c r="Z713" s="14">
        <v>0</v>
      </c>
      <c r="AA713" s="4">
        <v>0</v>
      </c>
      <c r="AB713" s="4">
        <f t="shared" si="108"/>
        <v>0</v>
      </c>
      <c r="AC713" s="6">
        <f t="shared" si="105"/>
        <v>0</v>
      </c>
      <c r="AD713" s="18">
        <f t="shared" si="102"/>
        <v>0</v>
      </c>
      <c r="AE713" s="2">
        <v>7.0000000000000007E-2</v>
      </c>
      <c r="AF713" s="5">
        <f t="shared" si="106"/>
        <v>0</v>
      </c>
      <c r="AG713" s="14">
        <v>0</v>
      </c>
      <c r="AH713" s="10">
        <f t="shared" si="103"/>
        <v>0</v>
      </c>
      <c r="AI713" s="16"/>
      <c r="AJ713" s="126" t="e">
        <v>#N/A</v>
      </c>
      <c r="AK713" s="80">
        <f t="shared" si="107"/>
        <v>0</v>
      </c>
      <c r="AM713" s="85"/>
    </row>
    <row r="714" spans="1:39" hidden="1" x14ac:dyDescent="0.3">
      <c r="A714" s="85" t="s">
        <v>34</v>
      </c>
      <c r="B714" s="15" t="s">
        <v>35</v>
      </c>
      <c r="C714" s="15" t="s">
        <v>53</v>
      </c>
      <c r="D714" s="15" t="s">
        <v>224</v>
      </c>
      <c r="E714" s="15" t="s">
        <v>966</v>
      </c>
      <c r="F714" s="15" t="s">
        <v>967</v>
      </c>
      <c r="G714" s="15" t="s">
        <v>966</v>
      </c>
      <c r="H714" s="139"/>
      <c r="I714" s="15" t="s">
        <v>408</v>
      </c>
      <c r="J714" s="1" t="s">
        <v>3324</v>
      </c>
      <c r="K714" s="1" t="s">
        <v>3278</v>
      </c>
      <c r="L714" s="1" t="s">
        <v>35</v>
      </c>
      <c r="M714" s="15" t="s">
        <v>968</v>
      </c>
      <c r="N714" s="15"/>
      <c r="O714" s="8" t="s">
        <v>410</v>
      </c>
      <c r="P714" s="8" t="s">
        <v>46</v>
      </c>
      <c r="Q714" s="9">
        <v>0.05</v>
      </c>
      <c r="R714" s="139">
        <v>1000025983</v>
      </c>
      <c r="S714" s="15"/>
      <c r="T714" s="18">
        <v>30</v>
      </c>
      <c r="U714" s="4">
        <v>0</v>
      </c>
      <c r="V714" s="6">
        <v>0</v>
      </c>
      <c r="W714" s="18">
        <f t="shared" si="101"/>
        <v>30</v>
      </c>
      <c r="X714" s="18">
        <f t="shared" si="100"/>
        <v>0</v>
      </c>
      <c r="Y714" s="13">
        <f t="shared" si="104"/>
        <v>0</v>
      </c>
      <c r="Z714" s="14">
        <v>0</v>
      </c>
      <c r="AA714" s="4">
        <v>0</v>
      </c>
      <c r="AB714" s="4">
        <f t="shared" si="108"/>
        <v>0</v>
      </c>
      <c r="AC714" s="6">
        <f t="shared" si="105"/>
        <v>0</v>
      </c>
      <c r="AD714" s="18">
        <f t="shared" si="102"/>
        <v>0</v>
      </c>
      <c r="AE714" s="2">
        <v>7.0000000000000007E-2</v>
      </c>
      <c r="AF714" s="5">
        <f t="shared" si="106"/>
        <v>0</v>
      </c>
      <c r="AG714" s="14">
        <v>0</v>
      </c>
      <c r="AH714" s="10">
        <f t="shared" si="103"/>
        <v>0</v>
      </c>
      <c r="AI714" s="16"/>
      <c r="AJ714" s="126" t="e">
        <v>#N/A</v>
      </c>
      <c r="AK714" s="80">
        <f t="shared" si="107"/>
        <v>0</v>
      </c>
      <c r="AM714" s="85"/>
    </row>
    <row r="715" spans="1:39" hidden="1" x14ac:dyDescent="0.3">
      <c r="A715" s="85" t="s">
        <v>34</v>
      </c>
      <c r="B715" s="15" t="s">
        <v>35</v>
      </c>
      <c r="C715" s="15" t="s">
        <v>53</v>
      </c>
      <c r="D715" s="15" t="s">
        <v>224</v>
      </c>
      <c r="E715" s="15" t="s">
        <v>969</v>
      </c>
      <c r="F715" s="15" t="s">
        <v>969</v>
      </c>
      <c r="G715" s="15" t="s">
        <v>969</v>
      </c>
      <c r="H715" s="139"/>
      <c r="I715" s="15" t="s">
        <v>408</v>
      </c>
      <c r="J715" s="1" t="s">
        <v>3324</v>
      </c>
      <c r="K715" s="1" t="s">
        <v>3278</v>
      </c>
      <c r="L715" s="1" t="s">
        <v>35</v>
      </c>
      <c r="M715" s="15" t="s">
        <v>970</v>
      </c>
      <c r="N715" s="15"/>
      <c r="O715" s="8" t="s">
        <v>410</v>
      </c>
      <c r="P715" s="8" t="s">
        <v>46</v>
      </c>
      <c r="Q715" s="9">
        <v>0.02</v>
      </c>
      <c r="R715" s="139">
        <v>1000019372</v>
      </c>
      <c r="S715" s="15"/>
      <c r="T715" s="18">
        <v>6124.3</v>
      </c>
      <c r="U715" s="4">
        <v>0</v>
      </c>
      <c r="V715" s="6">
        <v>0</v>
      </c>
      <c r="W715" s="18">
        <f t="shared" si="101"/>
        <v>6124.3</v>
      </c>
      <c r="X715" s="18">
        <f t="shared" si="100"/>
        <v>0</v>
      </c>
      <c r="Y715" s="13">
        <f t="shared" si="104"/>
        <v>0</v>
      </c>
      <c r="Z715" s="14">
        <v>0</v>
      </c>
      <c r="AA715" s="4">
        <v>0</v>
      </c>
      <c r="AB715" s="4">
        <f t="shared" si="108"/>
        <v>0</v>
      </c>
      <c r="AC715" s="6">
        <f t="shared" si="105"/>
        <v>0</v>
      </c>
      <c r="AD715" s="18">
        <f t="shared" si="102"/>
        <v>0</v>
      </c>
      <c r="AE715" s="2">
        <v>7.0000000000000007E-2</v>
      </c>
      <c r="AF715" s="5">
        <f t="shared" si="106"/>
        <v>0</v>
      </c>
      <c r="AG715" s="14">
        <v>0</v>
      </c>
      <c r="AH715" s="10">
        <f t="shared" si="103"/>
        <v>0</v>
      </c>
      <c r="AI715" s="16"/>
      <c r="AJ715" s="126" t="e">
        <v>#N/A</v>
      </c>
      <c r="AK715" s="80">
        <f t="shared" si="107"/>
        <v>0</v>
      </c>
      <c r="AM715" s="85"/>
    </row>
    <row r="716" spans="1:39" hidden="1" x14ac:dyDescent="0.3">
      <c r="A716" s="85" t="s">
        <v>34</v>
      </c>
      <c r="B716" s="15" t="s">
        <v>35</v>
      </c>
      <c r="C716" s="15" t="s">
        <v>53</v>
      </c>
      <c r="D716" s="15" t="s">
        <v>224</v>
      </c>
      <c r="E716" s="15" t="s">
        <v>971</v>
      </c>
      <c r="F716" s="15" t="s">
        <v>971</v>
      </c>
      <c r="G716" s="15" t="s">
        <v>971</v>
      </c>
      <c r="H716" s="139"/>
      <c r="I716" s="15" t="s">
        <v>408</v>
      </c>
      <c r="J716" s="1" t="s">
        <v>3324</v>
      </c>
      <c r="K716" s="1" t="s">
        <v>3278</v>
      </c>
      <c r="L716" s="1" t="s">
        <v>35</v>
      </c>
      <c r="M716" s="15" t="s">
        <v>972</v>
      </c>
      <c r="N716" s="15"/>
      <c r="O716" s="8" t="s">
        <v>410</v>
      </c>
      <c r="P716" s="8" t="s">
        <v>46</v>
      </c>
      <c r="Q716" s="9">
        <v>0.02</v>
      </c>
      <c r="R716" s="139">
        <v>1000025586</v>
      </c>
      <c r="S716" s="15"/>
      <c r="T716" s="18">
        <v>4243.2</v>
      </c>
      <c r="U716" s="4">
        <v>0</v>
      </c>
      <c r="V716" s="6">
        <v>0</v>
      </c>
      <c r="W716" s="18">
        <f t="shared" si="101"/>
        <v>4243.2</v>
      </c>
      <c r="X716" s="18">
        <f t="shared" si="100"/>
        <v>0</v>
      </c>
      <c r="Y716" s="13">
        <f t="shared" si="104"/>
        <v>0</v>
      </c>
      <c r="Z716" s="14">
        <v>0</v>
      </c>
      <c r="AA716" s="4">
        <v>0</v>
      </c>
      <c r="AB716" s="4">
        <f t="shared" si="108"/>
        <v>0</v>
      </c>
      <c r="AC716" s="6">
        <f t="shared" si="105"/>
        <v>0</v>
      </c>
      <c r="AD716" s="18">
        <f t="shared" si="102"/>
        <v>0</v>
      </c>
      <c r="AE716" s="2">
        <v>7.0000000000000007E-2</v>
      </c>
      <c r="AF716" s="5">
        <f t="shared" si="106"/>
        <v>0</v>
      </c>
      <c r="AG716" s="14">
        <v>0</v>
      </c>
      <c r="AH716" s="10">
        <f t="shared" si="103"/>
        <v>0</v>
      </c>
      <c r="AI716" s="16"/>
      <c r="AJ716" s="126" t="e">
        <v>#N/A</v>
      </c>
      <c r="AK716" s="80">
        <f t="shared" si="107"/>
        <v>0</v>
      </c>
      <c r="AM716" s="85"/>
    </row>
    <row r="717" spans="1:39" hidden="1" x14ac:dyDescent="0.3">
      <c r="A717" s="85" t="s">
        <v>34</v>
      </c>
      <c r="B717" s="15" t="s">
        <v>35</v>
      </c>
      <c r="C717" s="15" t="s">
        <v>53</v>
      </c>
      <c r="D717" s="15" t="s">
        <v>224</v>
      </c>
      <c r="E717" s="15" t="s">
        <v>973</v>
      </c>
      <c r="F717" s="15" t="s">
        <v>973</v>
      </c>
      <c r="G717" s="15" t="s">
        <v>973</v>
      </c>
      <c r="H717" s="139"/>
      <c r="I717" s="15" t="s">
        <v>408</v>
      </c>
      <c r="J717" s="1" t="s">
        <v>3324</v>
      </c>
      <c r="K717" s="1" t="s">
        <v>3278</v>
      </c>
      <c r="L717" s="1" t="s">
        <v>35</v>
      </c>
      <c r="M717" s="15" t="s">
        <v>974</v>
      </c>
      <c r="N717" s="15"/>
      <c r="O717" s="8" t="s">
        <v>410</v>
      </c>
      <c r="P717" s="8" t="s">
        <v>46</v>
      </c>
      <c r="Q717" s="9">
        <v>0.04</v>
      </c>
      <c r="R717" s="139">
        <v>1000023362</v>
      </c>
      <c r="S717" s="15"/>
      <c r="T717" s="18">
        <v>11743.3</v>
      </c>
      <c r="U717" s="4">
        <v>0</v>
      </c>
      <c r="V717" s="6">
        <v>0</v>
      </c>
      <c r="W717" s="18">
        <f t="shared" si="101"/>
        <v>11743.3</v>
      </c>
      <c r="X717" s="18">
        <f t="shared" si="100"/>
        <v>0</v>
      </c>
      <c r="Y717" s="13">
        <f t="shared" si="104"/>
        <v>0</v>
      </c>
      <c r="Z717" s="14">
        <v>0</v>
      </c>
      <c r="AA717" s="4">
        <v>0</v>
      </c>
      <c r="AB717" s="4">
        <f t="shared" si="108"/>
        <v>0</v>
      </c>
      <c r="AC717" s="6">
        <f t="shared" si="105"/>
        <v>0</v>
      </c>
      <c r="AD717" s="18">
        <f t="shared" si="102"/>
        <v>0</v>
      </c>
      <c r="AE717" s="2">
        <v>7.0000000000000007E-2</v>
      </c>
      <c r="AF717" s="5">
        <f t="shared" si="106"/>
        <v>0</v>
      </c>
      <c r="AG717" s="14">
        <v>0</v>
      </c>
      <c r="AH717" s="10">
        <f t="shared" si="103"/>
        <v>0</v>
      </c>
      <c r="AI717" s="16"/>
      <c r="AJ717" s="126" t="e">
        <v>#N/A</v>
      </c>
      <c r="AK717" s="80">
        <f t="shared" si="107"/>
        <v>0</v>
      </c>
      <c r="AM717" s="85"/>
    </row>
    <row r="718" spans="1:39" hidden="1" x14ac:dyDescent="0.3">
      <c r="A718" s="85" t="s">
        <v>34</v>
      </c>
      <c r="B718" s="15" t="s">
        <v>35</v>
      </c>
      <c r="C718" s="15" t="s">
        <v>53</v>
      </c>
      <c r="D718" s="15" t="s">
        <v>224</v>
      </c>
      <c r="E718" s="15" t="s">
        <v>975</v>
      </c>
      <c r="F718" s="15" t="s">
        <v>975</v>
      </c>
      <c r="G718" s="15" t="s">
        <v>975</v>
      </c>
      <c r="H718" s="139"/>
      <c r="I718" s="15" t="s">
        <v>408</v>
      </c>
      <c r="J718" s="1" t="s">
        <v>3324</v>
      </c>
      <c r="K718" s="1" t="s">
        <v>3278</v>
      </c>
      <c r="L718" s="1" t="s">
        <v>35</v>
      </c>
      <c r="M718" s="15" t="s">
        <v>976</v>
      </c>
      <c r="N718" s="15"/>
      <c r="O718" s="8" t="s">
        <v>410</v>
      </c>
      <c r="P718" s="8" t="s">
        <v>46</v>
      </c>
      <c r="Q718" s="9">
        <v>0.06</v>
      </c>
      <c r="R718" s="139">
        <v>1000026161</v>
      </c>
      <c r="S718" s="15"/>
      <c r="T718" s="18">
        <v>4677.2</v>
      </c>
      <c r="U718" s="4">
        <v>0</v>
      </c>
      <c r="V718" s="6">
        <v>0</v>
      </c>
      <c r="W718" s="18">
        <f t="shared" si="101"/>
        <v>4677.2</v>
      </c>
      <c r="X718" s="18">
        <f t="shared" si="100"/>
        <v>0</v>
      </c>
      <c r="Y718" s="13">
        <f t="shared" si="104"/>
        <v>0</v>
      </c>
      <c r="Z718" s="14">
        <v>0</v>
      </c>
      <c r="AA718" s="4">
        <v>0</v>
      </c>
      <c r="AB718" s="4">
        <f t="shared" si="108"/>
        <v>0</v>
      </c>
      <c r="AC718" s="6">
        <f t="shared" si="105"/>
        <v>0</v>
      </c>
      <c r="AD718" s="18">
        <f t="shared" si="102"/>
        <v>0</v>
      </c>
      <c r="AE718" s="2">
        <v>7.0000000000000007E-2</v>
      </c>
      <c r="AF718" s="5">
        <f t="shared" si="106"/>
        <v>0</v>
      </c>
      <c r="AG718" s="14">
        <v>0</v>
      </c>
      <c r="AH718" s="10">
        <f t="shared" si="103"/>
        <v>0</v>
      </c>
      <c r="AI718" s="16"/>
      <c r="AJ718" s="126" t="e">
        <v>#N/A</v>
      </c>
      <c r="AK718" s="80">
        <f t="shared" si="107"/>
        <v>0</v>
      </c>
      <c r="AM718" s="85"/>
    </row>
    <row r="719" spans="1:39" hidden="1" x14ac:dyDescent="0.3">
      <c r="A719" s="85" t="s">
        <v>34</v>
      </c>
      <c r="B719" s="15" t="s">
        <v>35</v>
      </c>
      <c r="C719" s="15" t="s">
        <v>53</v>
      </c>
      <c r="D719" s="15" t="s">
        <v>224</v>
      </c>
      <c r="E719" s="15" t="s">
        <v>977</v>
      </c>
      <c r="F719" s="15" t="s">
        <v>977</v>
      </c>
      <c r="G719" s="15" t="s">
        <v>977</v>
      </c>
      <c r="H719" s="139"/>
      <c r="I719" s="15" t="s">
        <v>408</v>
      </c>
      <c r="J719" s="1" t="s">
        <v>3324</v>
      </c>
      <c r="K719" s="1" t="s">
        <v>3278</v>
      </c>
      <c r="L719" s="1" t="s">
        <v>35</v>
      </c>
      <c r="M719" s="15" t="s">
        <v>978</v>
      </c>
      <c r="N719" s="15"/>
      <c r="O719" s="8" t="s">
        <v>410</v>
      </c>
      <c r="P719" s="8" t="s">
        <v>46</v>
      </c>
      <c r="Q719" s="9">
        <v>0.02</v>
      </c>
      <c r="R719" s="139">
        <v>1000041227</v>
      </c>
      <c r="S719" s="15"/>
      <c r="T719" s="18">
        <v>55301.7</v>
      </c>
      <c r="U719" s="4">
        <v>0</v>
      </c>
      <c r="V719" s="6">
        <v>0</v>
      </c>
      <c r="W719" s="18">
        <f t="shared" si="101"/>
        <v>55301.7</v>
      </c>
      <c r="X719" s="18">
        <f t="shared" si="100"/>
        <v>0</v>
      </c>
      <c r="Y719" s="13">
        <f t="shared" si="104"/>
        <v>0</v>
      </c>
      <c r="Z719" s="14">
        <v>0</v>
      </c>
      <c r="AA719" s="4">
        <v>0</v>
      </c>
      <c r="AB719" s="4">
        <f t="shared" si="108"/>
        <v>0</v>
      </c>
      <c r="AC719" s="6">
        <f t="shared" si="105"/>
        <v>0</v>
      </c>
      <c r="AD719" s="18">
        <f t="shared" si="102"/>
        <v>0</v>
      </c>
      <c r="AE719" s="2">
        <v>7.0000000000000007E-2</v>
      </c>
      <c r="AF719" s="5">
        <f t="shared" si="106"/>
        <v>0</v>
      </c>
      <c r="AG719" s="14">
        <v>0</v>
      </c>
      <c r="AH719" s="10">
        <f t="shared" si="103"/>
        <v>0</v>
      </c>
      <c r="AI719" s="16"/>
      <c r="AJ719" s="126" t="e">
        <v>#N/A</v>
      </c>
      <c r="AK719" s="80">
        <f t="shared" si="107"/>
        <v>0</v>
      </c>
      <c r="AM719" s="85"/>
    </row>
    <row r="720" spans="1:39" hidden="1" x14ac:dyDescent="0.3">
      <c r="A720" s="85" t="s">
        <v>34</v>
      </c>
      <c r="B720" s="15" t="s">
        <v>35</v>
      </c>
      <c r="C720" s="15" t="s">
        <v>53</v>
      </c>
      <c r="D720" s="15" t="s">
        <v>320</v>
      </c>
      <c r="E720" s="15" t="s">
        <v>979</v>
      </c>
      <c r="F720" s="15" t="s">
        <v>979</v>
      </c>
      <c r="G720" s="15" t="s">
        <v>979</v>
      </c>
      <c r="H720" s="139"/>
      <c r="I720" s="15" t="s">
        <v>408</v>
      </c>
      <c r="J720" s="1" t="s">
        <v>3324</v>
      </c>
      <c r="K720" s="1" t="s">
        <v>3278</v>
      </c>
      <c r="L720" s="1" t="s">
        <v>35</v>
      </c>
      <c r="M720" s="15" t="s">
        <v>980</v>
      </c>
      <c r="N720" s="15"/>
      <c r="O720" s="8" t="s">
        <v>45</v>
      </c>
      <c r="P720" s="8" t="s">
        <v>46</v>
      </c>
      <c r="Q720" s="9">
        <v>0.08</v>
      </c>
      <c r="R720" s="139">
        <v>1000057639</v>
      </c>
      <c r="S720" s="15"/>
      <c r="T720" s="18">
        <v>2261.71</v>
      </c>
      <c r="U720" s="4">
        <v>0</v>
      </c>
      <c r="V720" s="6">
        <v>0</v>
      </c>
      <c r="W720" s="18">
        <f t="shared" si="101"/>
        <v>2261.71</v>
      </c>
      <c r="X720" s="18">
        <f t="shared" si="100"/>
        <v>0</v>
      </c>
      <c r="Y720" s="13">
        <f t="shared" si="104"/>
        <v>0</v>
      </c>
      <c r="Z720" s="14">
        <v>0</v>
      </c>
      <c r="AA720" s="4">
        <v>0</v>
      </c>
      <c r="AB720" s="4"/>
      <c r="AC720" s="6">
        <f t="shared" si="105"/>
        <v>0</v>
      </c>
      <c r="AD720" s="18">
        <f t="shared" si="102"/>
        <v>0</v>
      </c>
      <c r="AE720" s="2">
        <v>0.12</v>
      </c>
      <c r="AF720" s="5">
        <f t="shared" si="106"/>
        <v>0</v>
      </c>
      <c r="AG720" s="14">
        <v>0</v>
      </c>
      <c r="AH720" s="10">
        <f t="shared" si="103"/>
        <v>0</v>
      </c>
      <c r="AI720" s="16"/>
      <c r="AJ720" s="126">
        <v>67</v>
      </c>
      <c r="AK720" s="80">
        <f t="shared" si="107"/>
        <v>0</v>
      </c>
      <c r="AM720" s="85"/>
    </row>
    <row r="721" spans="1:39" hidden="1" x14ac:dyDescent="0.3">
      <c r="A721" s="85" t="s">
        <v>34</v>
      </c>
      <c r="B721" s="15" t="s">
        <v>35</v>
      </c>
      <c r="C721" s="15" t="s">
        <v>53</v>
      </c>
      <c r="D721" s="15" t="s">
        <v>320</v>
      </c>
      <c r="E721" s="15" t="s">
        <v>981</v>
      </c>
      <c r="F721" s="15" t="s">
        <v>981</v>
      </c>
      <c r="G721" s="15" t="s">
        <v>981</v>
      </c>
      <c r="H721" s="139"/>
      <c r="I721" s="15" t="s">
        <v>408</v>
      </c>
      <c r="J721" s="1" t="s">
        <v>3324</v>
      </c>
      <c r="K721" s="1" t="s">
        <v>3278</v>
      </c>
      <c r="L721" s="1" t="s">
        <v>35</v>
      </c>
      <c r="M721" s="15" t="s">
        <v>982</v>
      </c>
      <c r="N721" s="15"/>
      <c r="O721" s="8" t="s">
        <v>45</v>
      </c>
      <c r="P721" s="8" t="s">
        <v>46</v>
      </c>
      <c r="Q721" s="9">
        <v>0.15</v>
      </c>
      <c r="R721" s="139">
        <v>1000041417</v>
      </c>
      <c r="S721" s="15"/>
      <c r="T721" s="18">
        <v>70.17</v>
      </c>
      <c r="U721" s="4">
        <v>0</v>
      </c>
      <c r="V721" s="6">
        <v>0</v>
      </c>
      <c r="W721" s="18">
        <f t="shared" si="101"/>
        <v>70.17</v>
      </c>
      <c r="X721" s="18">
        <f t="shared" si="100"/>
        <v>0</v>
      </c>
      <c r="Y721" s="13">
        <f t="shared" si="104"/>
        <v>0</v>
      </c>
      <c r="Z721" s="14">
        <v>0</v>
      </c>
      <c r="AA721" s="4">
        <v>0</v>
      </c>
      <c r="AB721" s="4"/>
      <c r="AC721" s="6">
        <f t="shared" si="105"/>
        <v>0</v>
      </c>
      <c r="AD721" s="18">
        <f t="shared" si="102"/>
        <v>0</v>
      </c>
      <c r="AE721" s="2">
        <v>0.12</v>
      </c>
      <c r="AF721" s="5">
        <f t="shared" si="106"/>
        <v>0</v>
      </c>
      <c r="AG721" s="14">
        <v>0</v>
      </c>
      <c r="AH721" s="10">
        <f t="shared" si="103"/>
        <v>0</v>
      </c>
      <c r="AI721" s="16"/>
      <c r="AJ721" s="126">
        <v>6</v>
      </c>
      <c r="AK721" s="80">
        <f t="shared" si="107"/>
        <v>0</v>
      </c>
      <c r="AM721" s="85"/>
    </row>
    <row r="722" spans="1:39" hidden="1" x14ac:dyDescent="0.3">
      <c r="A722" s="85" t="s">
        <v>34</v>
      </c>
      <c r="B722" s="15" t="s">
        <v>35</v>
      </c>
      <c r="C722" s="15" t="s">
        <v>53</v>
      </c>
      <c r="D722" s="15" t="s">
        <v>320</v>
      </c>
      <c r="E722" s="15" t="s">
        <v>983</v>
      </c>
      <c r="F722" s="15" t="s">
        <v>983</v>
      </c>
      <c r="G722" s="15" t="s">
        <v>983</v>
      </c>
      <c r="H722" s="139"/>
      <c r="I722" s="15" t="s">
        <v>408</v>
      </c>
      <c r="J722" s="1" t="s">
        <v>3324</v>
      </c>
      <c r="K722" s="1" t="s">
        <v>3278</v>
      </c>
      <c r="L722" s="1" t="s">
        <v>35</v>
      </c>
      <c r="M722" s="15" t="s">
        <v>984</v>
      </c>
      <c r="N722" s="15"/>
      <c r="O722" s="8" t="s">
        <v>410</v>
      </c>
      <c r="P722" s="8" t="s">
        <v>46</v>
      </c>
      <c r="Q722" s="9">
        <v>0.04</v>
      </c>
      <c r="R722" s="139">
        <v>1000020485</v>
      </c>
      <c r="S722" s="15"/>
      <c r="T722" s="18">
        <v>22667.23</v>
      </c>
      <c r="U722" s="4">
        <v>0</v>
      </c>
      <c r="V722" s="6">
        <v>0</v>
      </c>
      <c r="W722" s="18">
        <f t="shared" si="101"/>
        <v>22667.23</v>
      </c>
      <c r="X722" s="18">
        <f t="shared" si="100"/>
        <v>0</v>
      </c>
      <c r="Y722" s="13">
        <f t="shared" si="104"/>
        <v>0</v>
      </c>
      <c r="Z722" s="14">
        <v>0</v>
      </c>
      <c r="AA722" s="4">
        <v>0</v>
      </c>
      <c r="AB722" s="4">
        <f t="shared" si="108"/>
        <v>0</v>
      </c>
      <c r="AC722" s="6">
        <f t="shared" si="105"/>
        <v>0</v>
      </c>
      <c r="AD722" s="18">
        <f t="shared" si="102"/>
        <v>0</v>
      </c>
      <c r="AE722" s="2">
        <v>7.0000000000000007E-2</v>
      </c>
      <c r="AF722" s="5">
        <f t="shared" si="106"/>
        <v>0</v>
      </c>
      <c r="AG722" s="14">
        <v>0</v>
      </c>
      <c r="AH722" s="10">
        <f t="shared" si="103"/>
        <v>0</v>
      </c>
      <c r="AI722" s="16"/>
      <c r="AJ722" s="126" t="e">
        <v>#N/A</v>
      </c>
      <c r="AK722" s="80">
        <f t="shared" si="107"/>
        <v>0</v>
      </c>
      <c r="AM722" s="85"/>
    </row>
    <row r="723" spans="1:39" hidden="1" x14ac:dyDescent="0.3">
      <c r="A723" s="85" t="s">
        <v>34</v>
      </c>
      <c r="B723" s="15" t="s">
        <v>35</v>
      </c>
      <c r="C723" s="15" t="s">
        <v>53</v>
      </c>
      <c r="D723" s="15" t="s">
        <v>985</v>
      </c>
      <c r="E723" s="15" t="s">
        <v>986</v>
      </c>
      <c r="F723" s="15" t="s">
        <v>986</v>
      </c>
      <c r="G723" s="15" t="s">
        <v>986</v>
      </c>
      <c r="H723" s="139"/>
      <c r="I723" s="15" t="s">
        <v>408</v>
      </c>
      <c r="J723" s="1" t="s">
        <v>3324</v>
      </c>
      <c r="K723" s="1" t="s">
        <v>3278</v>
      </c>
      <c r="L723" s="1" t="s">
        <v>35</v>
      </c>
      <c r="M723" s="15" t="s">
        <v>987</v>
      </c>
      <c r="N723" s="15"/>
      <c r="O723" s="8" t="s">
        <v>410</v>
      </c>
      <c r="P723" s="8" t="s">
        <v>46</v>
      </c>
      <c r="Q723" s="9">
        <v>0.04</v>
      </c>
      <c r="R723" s="139">
        <v>1000026359</v>
      </c>
      <c r="S723" s="15"/>
      <c r="T723" s="18">
        <v>3016.8</v>
      </c>
      <c r="U723" s="4">
        <v>0</v>
      </c>
      <c r="V723" s="6">
        <v>0</v>
      </c>
      <c r="W723" s="18">
        <f t="shared" si="101"/>
        <v>3016.8</v>
      </c>
      <c r="X723" s="18">
        <f t="shared" ref="X723:X786" si="109">IF(P723="折扣",V723*Q723,IF(P723="返现",V723,V723/(1+Q723)))</f>
        <v>0</v>
      </c>
      <c r="Y723" s="13">
        <f t="shared" si="104"/>
        <v>0</v>
      </c>
      <c r="Z723" s="14">
        <v>0</v>
      </c>
      <c r="AA723" s="4">
        <v>0</v>
      </c>
      <c r="AB723" s="4">
        <f t="shared" si="108"/>
        <v>0</v>
      </c>
      <c r="AC723" s="6">
        <f t="shared" si="105"/>
        <v>0</v>
      </c>
      <c r="AD723" s="18">
        <f t="shared" si="102"/>
        <v>0</v>
      </c>
      <c r="AE723" s="2">
        <v>7.0000000000000007E-2</v>
      </c>
      <c r="AF723" s="5">
        <f t="shared" si="106"/>
        <v>0</v>
      </c>
      <c r="AG723" s="14">
        <v>0</v>
      </c>
      <c r="AH723" s="10">
        <f t="shared" si="103"/>
        <v>0</v>
      </c>
      <c r="AI723" s="16"/>
      <c r="AJ723" s="126" t="e">
        <v>#N/A</v>
      </c>
      <c r="AK723" s="80">
        <f t="shared" si="107"/>
        <v>0</v>
      </c>
      <c r="AM723" s="85"/>
    </row>
    <row r="724" spans="1:39" hidden="1" x14ac:dyDescent="0.3">
      <c r="A724" s="85" t="s">
        <v>34</v>
      </c>
      <c r="B724" s="15" t="s">
        <v>35</v>
      </c>
      <c r="C724" s="15" t="s">
        <v>53</v>
      </c>
      <c r="D724" s="15" t="s">
        <v>985</v>
      </c>
      <c r="E724" s="15" t="s">
        <v>988</v>
      </c>
      <c r="F724" s="15" t="s">
        <v>988</v>
      </c>
      <c r="G724" s="15" t="s">
        <v>988</v>
      </c>
      <c r="H724" s="139"/>
      <c r="I724" s="15" t="s">
        <v>408</v>
      </c>
      <c r="J724" s="1" t="s">
        <v>3324</v>
      </c>
      <c r="K724" s="1" t="s">
        <v>3278</v>
      </c>
      <c r="L724" s="1" t="s">
        <v>35</v>
      </c>
      <c r="M724" s="15" t="s">
        <v>989</v>
      </c>
      <c r="N724" s="15"/>
      <c r="O724" s="8" t="s">
        <v>45</v>
      </c>
      <c r="P724" s="8" t="s">
        <v>46</v>
      </c>
      <c r="Q724" s="9">
        <v>0.1</v>
      </c>
      <c r="R724" s="139">
        <v>1000024233</v>
      </c>
      <c r="S724" s="15"/>
      <c r="T724" s="18">
        <v>396.2</v>
      </c>
      <c r="U724" s="4">
        <v>0</v>
      </c>
      <c r="V724" s="6">
        <v>0</v>
      </c>
      <c r="W724" s="18">
        <f t="shared" ref="W724:W787" si="110">T724+U724-V724</f>
        <v>396.2</v>
      </c>
      <c r="X724" s="18">
        <f t="shared" si="109"/>
        <v>0</v>
      </c>
      <c r="Y724" s="13">
        <f t="shared" si="104"/>
        <v>0</v>
      </c>
      <c r="Z724" s="14">
        <v>0</v>
      </c>
      <c r="AA724" s="4">
        <v>0</v>
      </c>
      <c r="AB724" s="4">
        <f t="shared" si="108"/>
        <v>0</v>
      </c>
      <c r="AC724" s="6">
        <f t="shared" si="105"/>
        <v>0</v>
      </c>
      <c r="AD724" s="18">
        <f t="shared" si="102"/>
        <v>0</v>
      </c>
      <c r="AE724" s="2">
        <v>0.12</v>
      </c>
      <c r="AF724" s="5">
        <f t="shared" si="106"/>
        <v>0</v>
      </c>
      <c r="AG724" s="14">
        <v>0</v>
      </c>
      <c r="AH724" s="10">
        <f t="shared" si="103"/>
        <v>0</v>
      </c>
      <c r="AI724" s="16"/>
      <c r="AJ724" s="126" t="e">
        <v>#N/A</v>
      </c>
      <c r="AK724" s="80">
        <f t="shared" si="107"/>
        <v>0</v>
      </c>
      <c r="AM724" s="85"/>
    </row>
    <row r="725" spans="1:39" hidden="1" x14ac:dyDescent="0.3">
      <c r="A725" s="85" t="s">
        <v>34</v>
      </c>
      <c r="B725" s="15" t="s">
        <v>35</v>
      </c>
      <c r="C725" s="15" t="s">
        <v>53</v>
      </c>
      <c r="D725" s="15" t="s">
        <v>54</v>
      </c>
      <c r="E725" s="15" t="s">
        <v>990</v>
      </c>
      <c r="F725" s="15" t="s">
        <v>990</v>
      </c>
      <c r="G725" s="15" t="s">
        <v>990</v>
      </c>
      <c r="H725" s="139"/>
      <c r="I725" s="15" t="s">
        <v>408</v>
      </c>
      <c r="J725" s="1" t="s">
        <v>3324</v>
      </c>
      <c r="K725" s="1" t="s">
        <v>3278</v>
      </c>
      <c r="L725" s="1" t="s">
        <v>35</v>
      </c>
      <c r="M725" s="15" t="s">
        <v>991</v>
      </c>
      <c r="N725" s="15"/>
      <c r="O725" s="8" t="s">
        <v>45</v>
      </c>
      <c r="P725" s="8" t="s">
        <v>46</v>
      </c>
      <c r="Q725" s="9">
        <v>0.08</v>
      </c>
      <c r="R725" s="139">
        <v>1000057780</v>
      </c>
      <c r="S725" s="15"/>
      <c r="T725" s="18">
        <v>127.88</v>
      </c>
      <c r="U725" s="4">
        <v>0</v>
      </c>
      <c r="V725" s="6">
        <v>0</v>
      </c>
      <c r="W725" s="18">
        <f t="shared" si="110"/>
        <v>127.88</v>
      </c>
      <c r="X725" s="18">
        <f t="shared" si="109"/>
        <v>0</v>
      </c>
      <c r="Y725" s="13">
        <f t="shared" si="104"/>
        <v>0</v>
      </c>
      <c r="Z725" s="14">
        <v>0</v>
      </c>
      <c r="AA725" s="4">
        <v>0</v>
      </c>
      <c r="AB725" s="4"/>
      <c r="AC725" s="6">
        <f t="shared" si="105"/>
        <v>0</v>
      </c>
      <c r="AD725" s="18">
        <f t="shared" si="102"/>
        <v>0</v>
      </c>
      <c r="AE725" s="2">
        <v>0.12</v>
      </c>
      <c r="AF725" s="5">
        <f t="shared" si="106"/>
        <v>0</v>
      </c>
      <c r="AG725" s="14">
        <v>0</v>
      </c>
      <c r="AH725" s="10">
        <f t="shared" si="103"/>
        <v>0</v>
      </c>
      <c r="AI725" s="16"/>
      <c r="AJ725" s="126">
        <v>59</v>
      </c>
      <c r="AK725" s="80">
        <f t="shared" si="107"/>
        <v>0</v>
      </c>
      <c r="AM725" s="85"/>
    </row>
    <row r="726" spans="1:39" hidden="1" x14ac:dyDescent="0.3">
      <c r="A726" s="85" t="s">
        <v>34</v>
      </c>
      <c r="B726" s="15" t="s">
        <v>35</v>
      </c>
      <c r="C726" s="15" t="s">
        <v>53</v>
      </c>
      <c r="D726" s="15" t="s">
        <v>54</v>
      </c>
      <c r="E726" s="15" t="s">
        <v>992</v>
      </c>
      <c r="F726" s="15" t="s">
        <v>992</v>
      </c>
      <c r="G726" s="15" t="s">
        <v>992</v>
      </c>
      <c r="H726" s="139"/>
      <c r="I726" s="15" t="s">
        <v>408</v>
      </c>
      <c r="J726" s="1" t="s">
        <v>3324</v>
      </c>
      <c r="K726" s="1" t="s">
        <v>3278</v>
      </c>
      <c r="L726" s="1" t="s">
        <v>35</v>
      </c>
      <c r="M726" s="15" t="s">
        <v>993</v>
      </c>
      <c r="N726" s="15"/>
      <c r="O726" s="8" t="s">
        <v>45</v>
      </c>
      <c r="P726" s="8" t="s">
        <v>46</v>
      </c>
      <c r="Q726" s="9">
        <v>0.14000000000000001</v>
      </c>
      <c r="R726" s="139">
        <v>1000020986</v>
      </c>
      <c r="S726" s="15"/>
      <c r="T726" s="18">
        <v>1615.52</v>
      </c>
      <c r="U726" s="4">
        <v>0</v>
      </c>
      <c r="V726" s="6">
        <v>0</v>
      </c>
      <c r="W726" s="18">
        <f t="shared" si="110"/>
        <v>1615.52</v>
      </c>
      <c r="X726" s="18">
        <f t="shared" si="109"/>
        <v>0</v>
      </c>
      <c r="Y726" s="13">
        <f t="shared" si="104"/>
        <v>0</v>
      </c>
      <c r="Z726" s="14">
        <v>0</v>
      </c>
      <c r="AA726" s="4">
        <v>0</v>
      </c>
      <c r="AB726" s="4">
        <f t="shared" si="108"/>
        <v>0</v>
      </c>
      <c r="AC726" s="6">
        <f t="shared" si="105"/>
        <v>0</v>
      </c>
      <c r="AD726" s="18">
        <f t="shared" si="102"/>
        <v>0</v>
      </c>
      <c r="AE726" s="2">
        <v>0.12</v>
      </c>
      <c r="AF726" s="5">
        <f t="shared" si="106"/>
        <v>0</v>
      </c>
      <c r="AG726" s="14">
        <v>0</v>
      </c>
      <c r="AH726" s="10">
        <f t="shared" si="103"/>
        <v>0</v>
      </c>
      <c r="AI726" s="16"/>
      <c r="AJ726" s="126" t="e">
        <v>#N/A</v>
      </c>
      <c r="AK726" s="80">
        <f t="shared" si="107"/>
        <v>0</v>
      </c>
      <c r="AM726" s="85"/>
    </row>
    <row r="727" spans="1:39" hidden="1" x14ac:dyDescent="0.3">
      <c r="A727" s="85" t="s">
        <v>34</v>
      </c>
      <c r="B727" s="15" t="s">
        <v>35</v>
      </c>
      <c r="C727" s="15" t="s">
        <v>53</v>
      </c>
      <c r="D727" s="15" t="s">
        <v>54</v>
      </c>
      <c r="E727" s="15" t="s">
        <v>992</v>
      </c>
      <c r="F727" s="15" t="s">
        <v>992</v>
      </c>
      <c r="G727" s="15" t="s">
        <v>992</v>
      </c>
      <c r="H727" s="139"/>
      <c r="I727" s="15" t="s">
        <v>408</v>
      </c>
      <c r="J727" s="1" t="s">
        <v>3324</v>
      </c>
      <c r="K727" s="1" t="s">
        <v>3278</v>
      </c>
      <c r="L727" s="1" t="s">
        <v>35</v>
      </c>
      <c r="M727" s="15" t="s">
        <v>994</v>
      </c>
      <c r="N727" s="15"/>
      <c r="O727" s="8" t="s">
        <v>45</v>
      </c>
      <c r="P727" s="8" t="s">
        <v>46</v>
      </c>
      <c r="Q727" s="9">
        <v>0.14000000000000001</v>
      </c>
      <c r="R727" s="139">
        <v>1000019214</v>
      </c>
      <c r="S727" s="15"/>
      <c r="T727" s="18">
        <v>160.54</v>
      </c>
      <c r="U727" s="4">
        <v>0</v>
      </c>
      <c r="V727" s="6">
        <v>0</v>
      </c>
      <c r="W727" s="18">
        <f t="shared" si="110"/>
        <v>160.54</v>
      </c>
      <c r="X727" s="18">
        <f t="shared" si="109"/>
        <v>0</v>
      </c>
      <c r="Y727" s="13">
        <f t="shared" si="104"/>
        <v>0</v>
      </c>
      <c r="Z727" s="14">
        <v>0</v>
      </c>
      <c r="AA727" s="4">
        <v>0</v>
      </c>
      <c r="AB727" s="4">
        <f t="shared" si="108"/>
        <v>0</v>
      </c>
      <c r="AC727" s="6">
        <f t="shared" si="105"/>
        <v>0</v>
      </c>
      <c r="AD727" s="18">
        <f t="shared" si="102"/>
        <v>0</v>
      </c>
      <c r="AE727" s="2">
        <v>0.12</v>
      </c>
      <c r="AF727" s="5">
        <f t="shared" si="106"/>
        <v>0</v>
      </c>
      <c r="AG727" s="14">
        <v>0</v>
      </c>
      <c r="AH727" s="10">
        <f t="shared" si="103"/>
        <v>0</v>
      </c>
      <c r="AI727" s="16"/>
      <c r="AJ727" s="126" t="e">
        <v>#N/A</v>
      </c>
      <c r="AK727" s="80">
        <f t="shared" si="107"/>
        <v>0</v>
      </c>
      <c r="AM727" s="85"/>
    </row>
    <row r="728" spans="1:39" hidden="1" x14ac:dyDescent="0.3">
      <c r="A728" s="85" t="s">
        <v>34</v>
      </c>
      <c r="B728" s="15" t="s">
        <v>35</v>
      </c>
      <c r="C728" s="15" t="s">
        <v>53</v>
      </c>
      <c r="D728" s="15" t="s">
        <v>54</v>
      </c>
      <c r="E728" s="15" t="s">
        <v>992</v>
      </c>
      <c r="F728" s="15" t="s">
        <v>992</v>
      </c>
      <c r="G728" s="15" t="s">
        <v>992</v>
      </c>
      <c r="H728" s="139"/>
      <c r="I728" s="15" t="s">
        <v>408</v>
      </c>
      <c r="J728" s="1" t="s">
        <v>3324</v>
      </c>
      <c r="K728" s="1" t="s">
        <v>3278</v>
      </c>
      <c r="L728" s="1" t="s">
        <v>35</v>
      </c>
      <c r="M728" s="15" t="s">
        <v>995</v>
      </c>
      <c r="N728" s="15"/>
      <c r="O728" s="8" t="s">
        <v>45</v>
      </c>
      <c r="P728" s="8" t="s">
        <v>46</v>
      </c>
      <c r="Q728" s="9">
        <v>0.14000000000000001</v>
      </c>
      <c r="R728" s="139">
        <v>1000019213</v>
      </c>
      <c r="S728" s="15"/>
      <c r="T728" s="18">
        <v>5.08</v>
      </c>
      <c r="U728" s="4">
        <v>0</v>
      </c>
      <c r="V728" s="6">
        <v>0</v>
      </c>
      <c r="W728" s="18">
        <f t="shared" si="110"/>
        <v>5.08</v>
      </c>
      <c r="X728" s="18">
        <f t="shared" si="109"/>
        <v>0</v>
      </c>
      <c r="Y728" s="13">
        <f t="shared" si="104"/>
        <v>0</v>
      </c>
      <c r="Z728" s="14">
        <v>0</v>
      </c>
      <c r="AA728" s="4">
        <v>0</v>
      </c>
      <c r="AB728" s="4">
        <f t="shared" si="108"/>
        <v>0</v>
      </c>
      <c r="AC728" s="6">
        <f t="shared" si="105"/>
        <v>0</v>
      </c>
      <c r="AD728" s="18">
        <f t="shared" si="102"/>
        <v>0</v>
      </c>
      <c r="AE728" s="2">
        <v>0.12</v>
      </c>
      <c r="AF728" s="5">
        <f t="shared" si="106"/>
        <v>0</v>
      </c>
      <c r="AG728" s="14">
        <v>0</v>
      </c>
      <c r="AH728" s="10">
        <f t="shared" si="103"/>
        <v>0</v>
      </c>
      <c r="AI728" s="16"/>
      <c r="AJ728" s="126" t="e">
        <v>#N/A</v>
      </c>
      <c r="AK728" s="80">
        <f t="shared" si="107"/>
        <v>0</v>
      </c>
      <c r="AM728" s="85"/>
    </row>
    <row r="729" spans="1:39" hidden="1" x14ac:dyDescent="0.3">
      <c r="A729" s="85" t="s">
        <v>34</v>
      </c>
      <c r="B729" s="15" t="s">
        <v>35</v>
      </c>
      <c r="C729" s="15" t="s">
        <v>53</v>
      </c>
      <c r="D729" s="15" t="s">
        <v>54</v>
      </c>
      <c r="E729" s="15" t="s">
        <v>996</v>
      </c>
      <c r="F729" s="15" t="s">
        <v>996</v>
      </c>
      <c r="G729" s="15" t="s">
        <v>996</v>
      </c>
      <c r="H729" s="139"/>
      <c r="I729" s="15" t="s">
        <v>408</v>
      </c>
      <c r="J729" s="1" t="s">
        <v>3324</v>
      </c>
      <c r="K729" s="1" t="s">
        <v>3278</v>
      </c>
      <c r="L729" s="1" t="s">
        <v>35</v>
      </c>
      <c r="M729" s="15" t="s">
        <v>997</v>
      </c>
      <c r="N729" s="15"/>
      <c r="O729" s="8" t="s">
        <v>45</v>
      </c>
      <c r="P729" s="8" t="s">
        <v>46</v>
      </c>
      <c r="Q729" s="9">
        <v>0.14000000000000001</v>
      </c>
      <c r="R729" s="139">
        <v>1000019732</v>
      </c>
      <c r="S729" s="15"/>
      <c r="T729" s="18">
        <v>580.39</v>
      </c>
      <c r="U729" s="4">
        <v>0</v>
      </c>
      <c r="V729" s="6">
        <v>0</v>
      </c>
      <c r="W729" s="18">
        <f t="shared" si="110"/>
        <v>580.39</v>
      </c>
      <c r="X729" s="18">
        <f t="shared" si="109"/>
        <v>0</v>
      </c>
      <c r="Y729" s="13">
        <f t="shared" si="104"/>
        <v>0</v>
      </c>
      <c r="Z729" s="14">
        <v>0</v>
      </c>
      <c r="AA729" s="4">
        <v>0</v>
      </c>
      <c r="AB729" s="4">
        <f t="shared" si="108"/>
        <v>0</v>
      </c>
      <c r="AC729" s="6">
        <f t="shared" si="105"/>
        <v>0</v>
      </c>
      <c r="AD729" s="18">
        <f t="shared" si="102"/>
        <v>0</v>
      </c>
      <c r="AE729" s="2">
        <v>0.12</v>
      </c>
      <c r="AF729" s="5">
        <f t="shared" si="106"/>
        <v>0</v>
      </c>
      <c r="AG729" s="14">
        <v>0</v>
      </c>
      <c r="AH729" s="10">
        <f t="shared" si="103"/>
        <v>0</v>
      </c>
      <c r="AI729" s="16"/>
      <c r="AJ729" s="126" t="e">
        <v>#N/A</v>
      </c>
      <c r="AK729" s="80">
        <f t="shared" si="107"/>
        <v>0</v>
      </c>
      <c r="AM729" s="85"/>
    </row>
    <row r="730" spans="1:39" hidden="1" x14ac:dyDescent="0.3">
      <c r="A730" s="85" t="s">
        <v>34</v>
      </c>
      <c r="B730" s="15" t="s">
        <v>35</v>
      </c>
      <c r="C730" s="15" t="s">
        <v>53</v>
      </c>
      <c r="D730" s="15" t="s">
        <v>54</v>
      </c>
      <c r="E730" s="15" t="s">
        <v>996</v>
      </c>
      <c r="F730" s="15" t="s">
        <v>996</v>
      </c>
      <c r="G730" s="15" t="s">
        <v>996</v>
      </c>
      <c r="H730" s="139"/>
      <c r="I730" s="15" t="s">
        <v>408</v>
      </c>
      <c r="J730" s="1" t="s">
        <v>3324</v>
      </c>
      <c r="K730" s="1" t="s">
        <v>3278</v>
      </c>
      <c r="L730" s="1" t="s">
        <v>35</v>
      </c>
      <c r="M730" s="15" t="s">
        <v>998</v>
      </c>
      <c r="N730" s="15"/>
      <c r="O730" s="8" t="s">
        <v>45</v>
      </c>
      <c r="P730" s="8" t="s">
        <v>46</v>
      </c>
      <c r="Q730" s="9">
        <v>0.14000000000000001</v>
      </c>
      <c r="R730" s="139">
        <v>1000015674</v>
      </c>
      <c r="S730" s="15"/>
      <c r="T730" s="18">
        <v>172.33</v>
      </c>
      <c r="U730" s="4">
        <v>0</v>
      </c>
      <c r="V730" s="6">
        <v>0</v>
      </c>
      <c r="W730" s="18">
        <f t="shared" si="110"/>
        <v>172.33</v>
      </c>
      <c r="X730" s="18">
        <f t="shared" si="109"/>
        <v>0</v>
      </c>
      <c r="Y730" s="13">
        <f t="shared" si="104"/>
        <v>0</v>
      </c>
      <c r="Z730" s="14">
        <v>0</v>
      </c>
      <c r="AA730" s="4">
        <v>0</v>
      </c>
      <c r="AB730" s="4">
        <f t="shared" si="108"/>
        <v>0</v>
      </c>
      <c r="AC730" s="6">
        <f t="shared" si="105"/>
        <v>0</v>
      </c>
      <c r="AD730" s="18">
        <f t="shared" si="102"/>
        <v>0</v>
      </c>
      <c r="AE730" s="2">
        <v>0.12</v>
      </c>
      <c r="AF730" s="5">
        <f t="shared" si="106"/>
        <v>0</v>
      </c>
      <c r="AG730" s="14">
        <v>0</v>
      </c>
      <c r="AH730" s="10">
        <f t="shared" si="103"/>
        <v>0</v>
      </c>
      <c r="AI730" s="16"/>
      <c r="AJ730" s="126" t="e">
        <v>#N/A</v>
      </c>
      <c r="AK730" s="80">
        <f t="shared" si="107"/>
        <v>0</v>
      </c>
      <c r="AM730" s="85"/>
    </row>
    <row r="731" spans="1:39" hidden="1" x14ac:dyDescent="0.3">
      <c r="A731" s="85" t="s">
        <v>34</v>
      </c>
      <c r="B731" s="15" t="s">
        <v>35</v>
      </c>
      <c r="C731" s="15" t="s">
        <v>53</v>
      </c>
      <c r="D731" s="15" t="s">
        <v>54</v>
      </c>
      <c r="E731" s="15" t="s">
        <v>996</v>
      </c>
      <c r="F731" s="15" t="s">
        <v>996</v>
      </c>
      <c r="G731" s="15" t="s">
        <v>996</v>
      </c>
      <c r="H731" s="139"/>
      <c r="I731" s="15" t="s">
        <v>408</v>
      </c>
      <c r="J731" s="1" t="s">
        <v>3324</v>
      </c>
      <c r="K731" s="1" t="s">
        <v>3278</v>
      </c>
      <c r="L731" s="1" t="s">
        <v>35</v>
      </c>
      <c r="M731" s="15" t="s">
        <v>999</v>
      </c>
      <c r="N731" s="15"/>
      <c r="O731" s="8" t="s">
        <v>45</v>
      </c>
      <c r="P731" s="8" t="s">
        <v>46</v>
      </c>
      <c r="Q731" s="9">
        <v>0.14000000000000001</v>
      </c>
      <c r="R731" s="139">
        <v>1000015721</v>
      </c>
      <c r="S731" s="15"/>
      <c r="T731" s="18">
        <v>68.290000000000006</v>
      </c>
      <c r="U731" s="4">
        <v>0</v>
      </c>
      <c r="V731" s="6">
        <v>0</v>
      </c>
      <c r="W731" s="18">
        <f t="shared" si="110"/>
        <v>68.290000000000006</v>
      </c>
      <c r="X731" s="18">
        <f t="shared" si="109"/>
        <v>0</v>
      </c>
      <c r="Y731" s="13">
        <f t="shared" si="104"/>
        <v>0</v>
      </c>
      <c r="Z731" s="14">
        <v>0</v>
      </c>
      <c r="AA731" s="4">
        <v>0</v>
      </c>
      <c r="AB731" s="4">
        <f t="shared" si="108"/>
        <v>0</v>
      </c>
      <c r="AC731" s="6">
        <f t="shared" si="105"/>
        <v>0</v>
      </c>
      <c r="AD731" s="18">
        <f t="shared" si="102"/>
        <v>0</v>
      </c>
      <c r="AE731" s="2">
        <v>0.12</v>
      </c>
      <c r="AF731" s="5">
        <f t="shared" si="106"/>
        <v>0</v>
      </c>
      <c r="AG731" s="14">
        <v>0</v>
      </c>
      <c r="AH731" s="10">
        <f t="shared" si="103"/>
        <v>0</v>
      </c>
      <c r="AI731" s="16"/>
      <c r="AJ731" s="126" t="e">
        <v>#N/A</v>
      </c>
      <c r="AK731" s="80">
        <f t="shared" si="107"/>
        <v>0</v>
      </c>
      <c r="AM731" s="85"/>
    </row>
    <row r="732" spans="1:39" hidden="1" x14ac:dyDescent="0.3">
      <c r="A732" s="85" t="s">
        <v>34</v>
      </c>
      <c r="B732" s="15" t="s">
        <v>35</v>
      </c>
      <c r="C732" s="15" t="s">
        <v>41</v>
      </c>
      <c r="D732" s="15" t="s">
        <v>41</v>
      </c>
      <c r="E732" s="15" t="s">
        <v>41</v>
      </c>
      <c r="F732" s="15" t="s">
        <v>41</v>
      </c>
      <c r="G732" s="15" t="s">
        <v>41</v>
      </c>
      <c r="H732" s="139"/>
      <c r="I732" s="15" t="s">
        <v>408</v>
      </c>
      <c r="J732" s="1" t="s">
        <v>3324</v>
      </c>
      <c r="K732" s="1" t="s">
        <v>3278</v>
      </c>
      <c r="L732" s="1" t="s">
        <v>35</v>
      </c>
      <c r="M732" s="15" t="s">
        <v>1000</v>
      </c>
      <c r="N732" s="15"/>
      <c r="O732" s="8" t="s">
        <v>410</v>
      </c>
      <c r="P732" s="8" t="s">
        <v>41</v>
      </c>
      <c r="Q732" s="9">
        <v>0</v>
      </c>
      <c r="R732" s="139">
        <v>1000001035</v>
      </c>
      <c r="S732" s="15"/>
      <c r="T732" s="18">
        <v>20.149999999999999</v>
      </c>
      <c r="U732" s="4">
        <v>0</v>
      </c>
      <c r="V732" s="6">
        <v>0</v>
      </c>
      <c r="W732" s="18">
        <f t="shared" si="110"/>
        <v>20.149999999999999</v>
      </c>
      <c r="X732" s="18">
        <f t="shared" si="109"/>
        <v>0</v>
      </c>
      <c r="Y732" s="13">
        <f t="shared" si="104"/>
        <v>0</v>
      </c>
      <c r="Z732" s="14">
        <v>0</v>
      </c>
      <c r="AA732" s="4">
        <v>0</v>
      </c>
      <c r="AB732" s="4">
        <f t="shared" si="108"/>
        <v>0</v>
      </c>
      <c r="AC732" s="6">
        <f t="shared" si="105"/>
        <v>0</v>
      </c>
      <c r="AD732" s="18">
        <f t="shared" si="102"/>
        <v>0</v>
      </c>
      <c r="AE732" s="2">
        <v>7.0000000000000007E-2</v>
      </c>
      <c r="AF732" s="5">
        <f t="shared" si="106"/>
        <v>0</v>
      </c>
      <c r="AG732" s="14">
        <v>0</v>
      </c>
      <c r="AH732" s="10">
        <f t="shared" si="103"/>
        <v>0</v>
      </c>
      <c r="AI732" s="16"/>
      <c r="AJ732" s="126" t="e">
        <v>#N/A</v>
      </c>
      <c r="AK732" s="80">
        <f t="shared" si="107"/>
        <v>0</v>
      </c>
      <c r="AM732" s="85"/>
    </row>
    <row r="733" spans="1:39" hidden="1" x14ac:dyDescent="0.3">
      <c r="A733" s="85" t="s">
        <v>34</v>
      </c>
      <c r="B733" s="15" t="s">
        <v>1001</v>
      </c>
      <c r="C733" s="15" t="s">
        <v>47</v>
      </c>
      <c r="D733" s="15" t="s">
        <v>48</v>
      </c>
      <c r="E733" s="15" t="s">
        <v>1002</v>
      </c>
      <c r="F733" s="15" t="s">
        <v>1003</v>
      </c>
      <c r="G733" s="15" t="s">
        <v>1004</v>
      </c>
      <c r="H733" s="139"/>
      <c r="I733" s="15" t="s">
        <v>408</v>
      </c>
      <c r="J733" s="1" t="s">
        <v>3324</v>
      </c>
      <c r="K733" s="1" t="s">
        <v>3278</v>
      </c>
      <c r="L733" s="1" t="s">
        <v>35</v>
      </c>
      <c r="M733" s="15" t="s">
        <v>1005</v>
      </c>
      <c r="N733" s="15"/>
      <c r="O733" s="8" t="s">
        <v>45</v>
      </c>
      <c r="P733" s="8" t="s">
        <v>46</v>
      </c>
      <c r="Q733" s="9">
        <v>0.05</v>
      </c>
      <c r="R733" s="139">
        <v>1000008905</v>
      </c>
      <c r="S733" s="15"/>
      <c r="T733" s="18">
        <v>12076.74</v>
      </c>
      <c r="U733" s="4">
        <v>0</v>
      </c>
      <c r="V733" s="6">
        <v>0</v>
      </c>
      <c r="W733" s="18">
        <f t="shared" si="110"/>
        <v>12076.74</v>
      </c>
      <c r="X733" s="18">
        <f t="shared" si="109"/>
        <v>0</v>
      </c>
      <c r="Y733" s="13">
        <f t="shared" si="104"/>
        <v>0</v>
      </c>
      <c r="Z733" s="14">
        <v>0</v>
      </c>
      <c r="AA733" s="4">
        <v>0</v>
      </c>
      <c r="AB733" s="4">
        <f t="shared" si="108"/>
        <v>0</v>
      </c>
      <c r="AC733" s="6">
        <f t="shared" si="105"/>
        <v>0</v>
      </c>
      <c r="AD733" s="18">
        <f t="shared" si="102"/>
        <v>0</v>
      </c>
      <c r="AE733" s="2">
        <v>0.12</v>
      </c>
      <c r="AF733" s="5">
        <f t="shared" si="106"/>
        <v>0</v>
      </c>
      <c r="AG733" s="14">
        <v>0</v>
      </c>
      <c r="AH733" s="10">
        <f t="shared" si="103"/>
        <v>0</v>
      </c>
      <c r="AI733" s="16"/>
      <c r="AJ733" s="126" t="e">
        <v>#N/A</v>
      </c>
      <c r="AK733" s="80">
        <f t="shared" si="107"/>
        <v>0</v>
      </c>
      <c r="AM733" s="85"/>
    </row>
    <row r="734" spans="1:39" hidden="1" x14ac:dyDescent="0.3">
      <c r="A734" s="85" t="s">
        <v>34</v>
      </c>
      <c r="B734" s="15" t="s">
        <v>1001</v>
      </c>
      <c r="C734" s="15" t="s">
        <v>47</v>
      </c>
      <c r="D734" s="15" t="s">
        <v>48</v>
      </c>
      <c r="E734" s="15" t="s">
        <v>1002</v>
      </c>
      <c r="F734" s="15" t="s">
        <v>1003</v>
      </c>
      <c r="G734" s="15" t="s">
        <v>1004</v>
      </c>
      <c r="H734" s="139"/>
      <c r="I734" s="15" t="s">
        <v>408</v>
      </c>
      <c r="J734" s="1" t="s">
        <v>3324</v>
      </c>
      <c r="K734" s="1" t="s">
        <v>3278</v>
      </c>
      <c r="L734" s="1" t="s">
        <v>35</v>
      </c>
      <c r="M734" s="15" t="s">
        <v>1006</v>
      </c>
      <c r="N734" s="15"/>
      <c r="O734" s="8" t="s">
        <v>45</v>
      </c>
      <c r="P734" s="8" t="s">
        <v>46</v>
      </c>
      <c r="Q734" s="9">
        <v>0.05</v>
      </c>
      <c r="R734" s="139">
        <v>1000008904</v>
      </c>
      <c r="S734" s="15"/>
      <c r="T734" s="18">
        <v>9995.36</v>
      </c>
      <c r="U734" s="4">
        <v>0</v>
      </c>
      <c r="V734" s="6">
        <v>0</v>
      </c>
      <c r="W734" s="18">
        <f t="shared" si="110"/>
        <v>9995.36</v>
      </c>
      <c r="X734" s="18">
        <f t="shared" si="109"/>
        <v>0</v>
      </c>
      <c r="Y734" s="13">
        <f t="shared" si="104"/>
        <v>0</v>
      </c>
      <c r="Z734" s="14">
        <v>0</v>
      </c>
      <c r="AA734" s="4">
        <v>0</v>
      </c>
      <c r="AB734" s="4">
        <f t="shared" si="108"/>
        <v>0</v>
      </c>
      <c r="AC734" s="6">
        <f t="shared" si="105"/>
        <v>0</v>
      </c>
      <c r="AD734" s="18">
        <f t="shared" si="102"/>
        <v>0</v>
      </c>
      <c r="AE734" s="2">
        <v>0.12</v>
      </c>
      <c r="AF734" s="5">
        <f t="shared" si="106"/>
        <v>0</v>
      </c>
      <c r="AG734" s="14">
        <v>0</v>
      </c>
      <c r="AH734" s="10">
        <f t="shared" si="103"/>
        <v>0</v>
      </c>
      <c r="AI734" s="16"/>
      <c r="AJ734" s="126" t="e">
        <v>#N/A</v>
      </c>
      <c r="AK734" s="80">
        <f t="shared" si="107"/>
        <v>0</v>
      </c>
      <c r="AM734" s="85"/>
    </row>
    <row r="735" spans="1:39" hidden="1" x14ac:dyDescent="0.3">
      <c r="A735" s="85" t="s">
        <v>34</v>
      </c>
      <c r="B735" s="15" t="s">
        <v>1007</v>
      </c>
      <c r="C735" s="15" t="s">
        <v>752</v>
      </c>
      <c r="D735" s="15" t="s">
        <v>753</v>
      </c>
      <c r="E735" s="15" t="s">
        <v>1008</v>
      </c>
      <c r="F735" s="15" t="s">
        <v>1009</v>
      </c>
      <c r="G735" s="15" t="s">
        <v>1010</v>
      </c>
      <c r="H735" s="139"/>
      <c r="I735" s="15" t="s">
        <v>408</v>
      </c>
      <c r="J735" s="1" t="s">
        <v>3324</v>
      </c>
      <c r="K735" s="1" t="s">
        <v>3278</v>
      </c>
      <c r="L735" s="1" t="s">
        <v>35</v>
      </c>
      <c r="M735" s="15" t="s">
        <v>1011</v>
      </c>
      <c r="N735" s="15"/>
      <c r="O735" s="8" t="s">
        <v>410</v>
      </c>
      <c r="P735" s="8" t="s">
        <v>46</v>
      </c>
      <c r="Q735" s="9">
        <v>0.02</v>
      </c>
      <c r="R735" s="139">
        <v>1000003486</v>
      </c>
      <c r="S735" s="15"/>
      <c r="T735" s="18">
        <v>5130.5</v>
      </c>
      <c r="U735" s="4">
        <v>0</v>
      </c>
      <c r="V735" s="6">
        <v>0</v>
      </c>
      <c r="W735" s="18">
        <f t="shared" si="110"/>
        <v>5130.5</v>
      </c>
      <c r="X735" s="18">
        <f t="shared" si="109"/>
        <v>0</v>
      </c>
      <c r="Y735" s="13">
        <f t="shared" si="104"/>
        <v>0</v>
      </c>
      <c r="Z735" s="14">
        <v>0</v>
      </c>
      <c r="AA735" s="4">
        <v>0</v>
      </c>
      <c r="AB735" s="4">
        <f t="shared" si="108"/>
        <v>0</v>
      </c>
      <c r="AC735" s="6">
        <f t="shared" si="105"/>
        <v>0</v>
      </c>
      <c r="AD735" s="18">
        <f t="shared" si="102"/>
        <v>0</v>
      </c>
      <c r="AE735" s="2">
        <v>7.0000000000000007E-2</v>
      </c>
      <c r="AF735" s="5">
        <f t="shared" si="106"/>
        <v>0</v>
      </c>
      <c r="AG735" s="14">
        <v>0</v>
      </c>
      <c r="AH735" s="10">
        <f t="shared" si="103"/>
        <v>0</v>
      </c>
      <c r="AI735" s="16"/>
      <c r="AJ735" s="126" t="e">
        <v>#N/A</v>
      </c>
      <c r="AK735" s="80">
        <f t="shared" si="107"/>
        <v>0</v>
      </c>
      <c r="AM735" s="85"/>
    </row>
    <row r="736" spans="1:39" hidden="1" x14ac:dyDescent="0.3">
      <c r="A736" s="85" t="s">
        <v>34</v>
      </c>
      <c r="B736" s="15" t="s">
        <v>1007</v>
      </c>
      <c r="C736" s="15" t="s">
        <v>47</v>
      </c>
      <c r="D736" s="15" t="s">
        <v>63</v>
      </c>
      <c r="E736" s="15" t="s">
        <v>1012</v>
      </c>
      <c r="F736" s="15" t="s">
        <v>1013</v>
      </c>
      <c r="G736" s="15" t="s">
        <v>1010</v>
      </c>
      <c r="H736" s="139"/>
      <c r="I736" s="15" t="s">
        <v>408</v>
      </c>
      <c r="J736" s="1" t="s">
        <v>3324</v>
      </c>
      <c r="K736" s="1" t="s">
        <v>3278</v>
      </c>
      <c r="L736" s="1" t="s">
        <v>35</v>
      </c>
      <c r="M736" s="15" t="s">
        <v>1014</v>
      </c>
      <c r="N736" s="15"/>
      <c r="O736" s="8" t="s">
        <v>45</v>
      </c>
      <c r="P736" s="8" t="s">
        <v>46</v>
      </c>
      <c r="Q736" s="9">
        <v>0.04</v>
      </c>
      <c r="R736" s="139">
        <v>1000025585</v>
      </c>
      <c r="S736" s="15"/>
      <c r="T736" s="18">
        <v>646.35</v>
      </c>
      <c r="U736" s="4">
        <v>0</v>
      </c>
      <c r="V736" s="6">
        <v>0</v>
      </c>
      <c r="W736" s="18">
        <f t="shared" si="110"/>
        <v>646.35</v>
      </c>
      <c r="X736" s="18">
        <f t="shared" si="109"/>
        <v>0</v>
      </c>
      <c r="Y736" s="13">
        <f t="shared" si="104"/>
        <v>0</v>
      </c>
      <c r="Z736" s="14">
        <v>0</v>
      </c>
      <c r="AA736" s="4">
        <v>0</v>
      </c>
      <c r="AB736" s="4">
        <f t="shared" si="108"/>
        <v>0</v>
      </c>
      <c r="AC736" s="6">
        <f t="shared" si="105"/>
        <v>0</v>
      </c>
      <c r="AD736" s="18">
        <f t="shared" si="102"/>
        <v>0</v>
      </c>
      <c r="AE736" s="2">
        <v>0.12</v>
      </c>
      <c r="AF736" s="5">
        <f t="shared" si="106"/>
        <v>0</v>
      </c>
      <c r="AG736" s="14">
        <v>0</v>
      </c>
      <c r="AH736" s="10">
        <f t="shared" si="103"/>
        <v>0</v>
      </c>
      <c r="AI736" s="16"/>
      <c r="AJ736" s="126" t="e">
        <v>#N/A</v>
      </c>
      <c r="AK736" s="80">
        <f t="shared" si="107"/>
        <v>0</v>
      </c>
      <c r="AM736" s="85"/>
    </row>
    <row r="737" spans="1:39" hidden="1" x14ac:dyDescent="0.3">
      <c r="A737" s="85" t="s">
        <v>34</v>
      </c>
      <c r="B737" s="15" t="s">
        <v>1007</v>
      </c>
      <c r="C737" s="15" t="s">
        <v>144</v>
      </c>
      <c r="D737" s="15" t="s">
        <v>145</v>
      </c>
      <c r="E737" s="15" t="s">
        <v>1015</v>
      </c>
      <c r="F737" s="15" t="s">
        <v>1016</v>
      </c>
      <c r="G737" s="15" t="s">
        <v>1010</v>
      </c>
      <c r="H737" s="139"/>
      <c r="I737" s="15" t="s">
        <v>408</v>
      </c>
      <c r="J737" s="1" t="s">
        <v>3324</v>
      </c>
      <c r="K737" s="1" t="s">
        <v>3278</v>
      </c>
      <c r="L737" s="1" t="s">
        <v>35</v>
      </c>
      <c r="M737" s="15" t="s">
        <v>1017</v>
      </c>
      <c r="N737" s="15"/>
      <c r="O737" s="8" t="s">
        <v>410</v>
      </c>
      <c r="P737" s="8" t="s">
        <v>46</v>
      </c>
      <c r="Q737" s="9">
        <v>0.02</v>
      </c>
      <c r="R737" s="139">
        <v>1000017563</v>
      </c>
      <c r="S737" s="15"/>
      <c r="T737" s="18">
        <v>1682.6</v>
      </c>
      <c r="U737" s="4">
        <v>0</v>
      </c>
      <c r="V737" s="6">
        <v>0</v>
      </c>
      <c r="W737" s="18">
        <f t="shared" si="110"/>
        <v>1682.6</v>
      </c>
      <c r="X737" s="18">
        <f t="shared" si="109"/>
        <v>0</v>
      </c>
      <c r="Y737" s="13">
        <f t="shared" si="104"/>
        <v>0</v>
      </c>
      <c r="Z737" s="14">
        <v>0</v>
      </c>
      <c r="AA737" s="4">
        <v>0</v>
      </c>
      <c r="AB737" s="4">
        <f t="shared" si="108"/>
        <v>0</v>
      </c>
      <c r="AC737" s="6">
        <f t="shared" si="105"/>
        <v>0</v>
      </c>
      <c r="AD737" s="18">
        <f t="shared" si="102"/>
        <v>0</v>
      </c>
      <c r="AE737" s="2">
        <v>7.0000000000000007E-2</v>
      </c>
      <c r="AF737" s="5">
        <f t="shared" si="106"/>
        <v>0</v>
      </c>
      <c r="AG737" s="14">
        <v>0</v>
      </c>
      <c r="AH737" s="10">
        <f t="shared" si="103"/>
        <v>0</v>
      </c>
      <c r="AI737" s="16"/>
      <c r="AJ737" s="126" t="e">
        <v>#N/A</v>
      </c>
      <c r="AK737" s="80">
        <f t="shared" si="107"/>
        <v>0</v>
      </c>
      <c r="AM737" s="85"/>
    </row>
    <row r="738" spans="1:39" hidden="1" x14ac:dyDescent="0.3">
      <c r="A738" s="85" t="s">
        <v>34</v>
      </c>
      <c r="B738" s="15" t="s">
        <v>1007</v>
      </c>
      <c r="C738" s="15" t="s">
        <v>144</v>
      </c>
      <c r="D738" s="15" t="s">
        <v>303</v>
      </c>
      <c r="E738" s="15" t="s">
        <v>1018</v>
      </c>
      <c r="F738" s="15" t="s">
        <v>1019</v>
      </c>
      <c r="G738" s="15" t="s">
        <v>1020</v>
      </c>
      <c r="H738" s="139"/>
      <c r="I738" s="15" t="s">
        <v>408</v>
      </c>
      <c r="J738" s="1" t="s">
        <v>3324</v>
      </c>
      <c r="K738" s="1" t="s">
        <v>3278</v>
      </c>
      <c r="L738" s="1" t="s">
        <v>35</v>
      </c>
      <c r="M738" s="15" t="s">
        <v>1021</v>
      </c>
      <c r="N738" s="15"/>
      <c r="O738" s="8" t="s">
        <v>410</v>
      </c>
      <c r="P738" s="8" t="s">
        <v>46</v>
      </c>
      <c r="Q738" s="9">
        <v>0.02</v>
      </c>
      <c r="R738" s="139">
        <v>1000001122</v>
      </c>
      <c r="S738" s="15"/>
      <c r="T738" s="18">
        <v>24807.5</v>
      </c>
      <c r="U738" s="4">
        <v>0</v>
      </c>
      <c r="V738" s="6">
        <v>0</v>
      </c>
      <c r="W738" s="18">
        <f t="shared" si="110"/>
        <v>24807.5</v>
      </c>
      <c r="X738" s="18">
        <f t="shared" si="109"/>
        <v>0</v>
      </c>
      <c r="Y738" s="13">
        <f t="shared" si="104"/>
        <v>0</v>
      </c>
      <c r="Z738" s="14">
        <v>0</v>
      </c>
      <c r="AA738" s="4">
        <v>0</v>
      </c>
      <c r="AB738" s="4">
        <f t="shared" si="108"/>
        <v>0</v>
      </c>
      <c r="AC738" s="6">
        <f t="shared" si="105"/>
        <v>0</v>
      </c>
      <c r="AD738" s="18">
        <f t="shared" si="102"/>
        <v>0</v>
      </c>
      <c r="AE738" s="2">
        <v>7.0000000000000007E-2</v>
      </c>
      <c r="AF738" s="5">
        <f t="shared" si="106"/>
        <v>0</v>
      </c>
      <c r="AG738" s="14">
        <v>0</v>
      </c>
      <c r="AH738" s="10">
        <f t="shared" si="103"/>
        <v>0</v>
      </c>
      <c r="AI738" s="16"/>
      <c r="AJ738" s="126" t="e">
        <v>#N/A</v>
      </c>
      <c r="AK738" s="80">
        <f t="shared" si="107"/>
        <v>0</v>
      </c>
      <c r="AM738" s="85"/>
    </row>
    <row r="739" spans="1:39" hidden="1" x14ac:dyDescent="0.3">
      <c r="A739" s="85" t="s">
        <v>34</v>
      </c>
      <c r="B739" s="15" t="s">
        <v>41</v>
      </c>
      <c r="C739" s="15" t="s">
        <v>41</v>
      </c>
      <c r="D739" s="15" t="s">
        <v>41</v>
      </c>
      <c r="E739" s="15" t="s">
        <v>659</v>
      </c>
      <c r="F739" s="15" t="s">
        <v>660</v>
      </c>
      <c r="G739" s="15" t="s">
        <v>659</v>
      </c>
      <c r="H739" s="139"/>
      <c r="I739" s="15" t="s">
        <v>408</v>
      </c>
      <c r="J739" s="1" t="s">
        <v>3324</v>
      </c>
      <c r="K739" s="1" t="s">
        <v>3278</v>
      </c>
      <c r="L739" s="1" t="s">
        <v>35</v>
      </c>
      <c r="M739" s="15" t="s">
        <v>1022</v>
      </c>
      <c r="N739" s="15"/>
      <c r="O739" s="8" t="s">
        <v>410</v>
      </c>
      <c r="P739" s="8" t="s">
        <v>41</v>
      </c>
      <c r="Q739" s="9">
        <v>0</v>
      </c>
      <c r="R739" s="139">
        <v>1000001944</v>
      </c>
      <c r="S739" s="15"/>
      <c r="T739" s="18">
        <v>18920.45</v>
      </c>
      <c r="U739" s="4">
        <v>0</v>
      </c>
      <c r="V739" s="6">
        <v>0</v>
      </c>
      <c r="W739" s="18">
        <f t="shared" si="110"/>
        <v>18920.45</v>
      </c>
      <c r="X739" s="18">
        <f t="shared" si="109"/>
        <v>0</v>
      </c>
      <c r="Y739" s="13">
        <f t="shared" si="104"/>
        <v>0</v>
      </c>
      <c r="Z739" s="14">
        <v>0</v>
      </c>
      <c r="AA739" s="4">
        <v>0</v>
      </c>
      <c r="AB739" s="4">
        <f t="shared" si="108"/>
        <v>0</v>
      </c>
      <c r="AC739" s="6">
        <f t="shared" si="105"/>
        <v>0</v>
      </c>
      <c r="AD739" s="18">
        <f t="shared" si="102"/>
        <v>0</v>
      </c>
      <c r="AE739" s="2">
        <v>7.0000000000000007E-2</v>
      </c>
      <c r="AF739" s="5">
        <f t="shared" si="106"/>
        <v>0</v>
      </c>
      <c r="AG739" s="14">
        <v>0</v>
      </c>
      <c r="AH739" s="10">
        <f t="shared" si="103"/>
        <v>0</v>
      </c>
      <c r="AI739" s="16"/>
      <c r="AJ739" s="126" t="e">
        <v>#N/A</v>
      </c>
      <c r="AK739" s="80">
        <f t="shared" si="107"/>
        <v>0</v>
      </c>
      <c r="AM739" s="85"/>
    </row>
    <row r="740" spans="1:39" hidden="1" x14ac:dyDescent="0.3">
      <c r="A740" s="85" t="s">
        <v>34</v>
      </c>
      <c r="B740" s="15" t="s">
        <v>41</v>
      </c>
      <c r="C740" s="15" t="s">
        <v>41</v>
      </c>
      <c r="D740" s="15" t="s">
        <v>41</v>
      </c>
      <c r="E740" s="15" t="s">
        <v>1023</v>
      </c>
      <c r="F740" s="15" t="s">
        <v>1023</v>
      </c>
      <c r="G740" s="15" t="s">
        <v>1023</v>
      </c>
      <c r="H740" s="139"/>
      <c r="I740" s="15" t="s">
        <v>408</v>
      </c>
      <c r="J740" s="1" t="s">
        <v>3324</v>
      </c>
      <c r="K740" s="1" t="s">
        <v>3278</v>
      </c>
      <c r="L740" s="1" t="s">
        <v>35</v>
      </c>
      <c r="M740" s="15" t="s">
        <v>1024</v>
      </c>
      <c r="N740" s="15"/>
      <c r="O740" s="8" t="s">
        <v>410</v>
      </c>
      <c r="P740" s="8" t="s">
        <v>41</v>
      </c>
      <c r="Q740" s="9">
        <v>0</v>
      </c>
      <c r="R740" s="139">
        <v>1000008480</v>
      </c>
      <c r="S740" s="15"/>
      <c r="T740" s="18">
        <v>697.7</v>
      </c>
      <c r="U740" s="4">
        <v>0</v>
      </c>
      <c r="V740" s="6">
        <v>0</v>
      </c>
      <c r="W740" s="18">
        <f t="shared" si="110"/>
        <v>697.7</v>
      </c>
      <c r="X740" s="18">
        <f t="shared" si="109"/>
        <v>0</v>
      </c>
      <c r="Y740" s="13">
        <f t="shared" si="104"/>
        <v>0</v>
      </c>
      <c r="Z740" s="14">
        <v>0</v>
      </c>
      <c r="AA740" s="4">
        <v>0</v>
      </c>
      <c r="AB740" s="4">
        <f t="shared" si="108"/>
        <v>0</v>
      </c>
      <c r="AC740" s="6">
        <f t="shared" si="105"/>
        <v>0</v>
      </c>
      <c r="AD740" s="18">
        <f t="shared" si="102"/>
        <v>0</v>
      </c>
      <c r="AE740" s="2">
        <v>7.0000000000000007E-2</v>
      </c>
      <c r="AF740" s="5">
        <f t="shared" si="106"/>
        <v>0</v>
      </c>
      <c r="AG740" s="14">
        <v>0</v>
      </c>
      <c r="AH740" s="10">
        <f t="shared" si="103"/>
        <v>0</v>
      </c>
      <c r="AI740" s="16"/>
      <c r="AJ740" s="126" t="e">
        <v>#N/A</v>
      </c>
      <c r="AK740" s="80">
        <f t="shared" si="107"/>
        <v>0</v>
      </c>
      <c r="AM740" s="85"/>
    </row>
    <row r="741" spans="1:39" hidden="1" x14ac:dyDescent="0.3">
      <c r="A741" s="85" t="s">
        <v>34</v>
      </c>
      <c r="B741" s="15" t="s">
        <v>41</v>
      </c>
      <c r="C741" s="15" t="s">
        <v>41</v>
      </c>
      <c r="D741" s="15" t="s">
        <v>41</v>
      </c>
      <c r="E741" s="15" t="s">
        <v>1025</v>
      </c>
      <c r="F741" s="15" t="s">
        <v>1025</v>
      </c>
      <c r="G741" s="15" t="s">
        <v>1025</v>
      </c>
      <c r="H741" s="139"/>
      <c r="I741" s="15" t="s">
        <v>408</v>
      </c>
      <c r="J741" s="1" t="s">
        <v>3324</v>
      </c>
      <c r="K741" s="1" t="s">
        <v>3278</v>
      </c>
      <c r="L741" s="1" t="s">
        <v>35</v>
      </c>
      <c r="M741" s="15" t="s">
        <v>1026</v>
      </c>
      <c r="N741" s="15"/>
      <c r="O741" s="8" t="s">
        <v>410</v>
      </c>
      <c r="P741" s="8" t="s">
        <v>41</v>
      </c>
      <c r="Q741" s="9">
        <v>0</v>
      </c>
      <c r="R741" s="139">
        <v>1000004760</v>
      </c>
      <c r="S741" s="15"/>
      <c r="T741" s="18">
        <v>2.4500000000000002</v>
      </c>
      <c r="U741" s="4">
        <v>0</v>
      </c>
      <c r="V741" s="6">
        <v>0</v>
      </c>
      <c r="W741" s="18">
        <f t="shared" si="110"/>
        <v>2.4500000000000002</v>
      </c>
      <c r="X741" s="18">
        <f t="shared" si="109"/>
        <v>0</v>
      </c>
      <c r="Y741" s="13">
        <f t="shared" si="104"/>
        <v>0</v>
      </c>
      <c r="Z741" s="14">
        <v>0</v>
      </c>
      <c r="AA741" s="4">
        <v>0</v>
      </c>
      <c r="AB741" s="4">
        <f t="shared" si="108"/>
        <v>0</v>
      </c>
      <c r="AC741" s="6">
        <f t="shared" si="105"/>
        <v>0</v>
      </c>
      <c r="AD741" s="18">
        <f t="shared" si="102"/>
        <v>0</v>
      </c>
      <c r="AE741" s="2">
        <v>7.0000000000000007E-2</v>
      </c>
      <c r="AF741" s="5">
        <f t="shared" si="106"/>
        <v>0</v>
      </c>
      <c r="AG741" s="14">
        <v>0</v>
      </c>
      <c r="AH741" s="10">
        <f t="shared" si="103"/>
        <v>0</v>
      </c>
      <c r="AI741" s="16"/>
      <c r="AJ741" s="126" t="e">
        <v>#N/A</v>
      </c>
      <c r="AK741" s="80">
        <f t="shared" si="107"/>
        <v>0</v>
      </c>
      <c r="AM741" s="85"/>
    </row>
    <row r="742" spans="1:39" hidden="1" x14ac:dyDescent="0.3">
      <c r="A742" s="85" t="s">
        <v>34</v>
      </c>
      <c r="B742" s="15" t="s">
        <v>41</v>
      </c>
      <c r="C742" s="15" t="s">
        <v>41</v>
      </c>
      <c r="D742" s="15" t="s">
        <v>41</v>
      </c>
      <c r="E742" s="15" t="s">
        <v>1027</v>
      </c>
      <c r="F742" s="15" t="s">
        <v>1027</v>
      </c>
      <c r="G742" s="15" t="s">
        <v>1027</v>
      </c>
      <c r="H742" s="139"/>
      <c r="I742" s="15" t="s">
        <v>408</v>
      </c>
      <c r="J742" s="1" t="s">
        <v>3324</v>
      </c>
      <c r="K742" s="1" t="s">
        <v>3278</v>
      </c>
      <c r="L742" s="1" t="s">
        <v>35</v>
      </c>
      <c r="M742" s="15" t="s">
        <v>1028</v>
      </c>
      <c r="N742" s="15"/>
      <c r="O742" s="8" t="s">
        <v>410</v>
      </c>
      <c r="P742" s="8" t="s">
        <v>41</v>
      </c>
      <c r="Q742" s="9">
        <v>0</v>
      </c>
      <c r="R742" s="139">
        <v>1000003743</v>
      </c>
      <c r="S742" s="15"/>
      <c r="T742" s="18">
        <v>1667.34</v>
      </c>
      <c r="U742" s="4">
        <v>0</v>
      </c>
      <c r="V742" s="6">
        <v>0</v>
      </c>
      <c r="W742" s="18">
        <f t="shared" si="110"/>
        <v>1667.34</v>
      </c>
      <c r="X742" s="18">
        <f t="shared" si="109"/>
        <v>0</v>
      </c>
      <c r="Y742" s="13">
        <f t="shared" si="104"/>
        <v>0</v>
      </c>
      <c r="Z742" s="14">
        <v>0</v>
      </c>
      <c r="AA742" s="4">
        <v>0</v>
      </c>
      <c r="AB742" s="4">
        <f t="shared" si="108"/>
        <v>0</v>
      </c>
      <c r="AC742" s="6">
        <f t="shared" si="105"/>
        <v>0</v>
      </c>
      <c r="AD742" s="18">
        <f t="shared" si="102"/>
        <v>0</v>
      </c>
      <c r="AE742" s="2">
        <v>7.0000000000000007E-2</v>
      </c>
      <c r="AF742" s="5">
        <f t="shared" si="106"/>
        <v>0</v>
      </c>
      <c r="AG742" s="14">
        <v>0</v>
      </c>
      <c r="AH742" s="10">
        <f t="shared" si="103"/>
        <v>0</v>
      </c>
      <c r="AI742" s="16"/>
      <c r="AJ742" s="126" t="e">
        <v>#N/A</v>
      </c>
      <c r="AK742" s="80">
        <f t="shared" si="107"/>
        <v>0</v>
      </c>
      <c r="AM742" s="85"/>
    </row>
    <row r="743" spans="1:39" hidden="1" x14ac:dyDescent="0.3">
      <c r="A743" s="85" t="s">
        <v>34</v>
      </c>
      <c r="B743" s="15" t="s">
        <v>41</v>
      </c>
      <c r="C743" s="15" t="s">
        <v>41</v>
      </c>
      <c r="D743" s="15" t="s">
        <v>41</v>
      </c>
      <c r="E743" s="15" t="s">
        <v>1027</v>
      </c>
      <c r="F743" s="15" t="s">
        <v>1027</v>
      </c>
      <c r="G743" s="15" t="s">
        <v>1027</v>
      </c>
      <c r="H743" s="139"/>
      <c r="I743" s="15" t="s">
        <v>408</v>
      </c>
      <c r="J743" s="1" t="s">
        <v>3324</v>
      </c>
      <c r="K743" s="1" t="s">
        <v>3278</v>
      </c>
      <c r="L743" s="1" t="s">
        <v>35</v>
      </c>
      <c r="M743" s="15" t="s">
        <v>1029</v>
      </c>
      <c r="N743" s="15"/>
      <c r="O743" s="8" t="s">
        <v>410</v>
      </c>
      <c r="P743" s="8" t="s">
        <v>41</v>
      </c>
      <c r="Q743" s="9">
        <v>0</v>
      </c>
      <c r="R743" s="139">
        <v>1000003744</v>
      </c>
      <c r="S743" s="15"/>
      <c r="T743" s="18">
        <v>2298.7800000000002</v>
      </c>
      <c r="U743" s="4">
        <v>0</v>
      </c>
      <c r="V743" s="6">
        <v>0</v>
      </c>
      <c r="W743" s="18">
        <f t="shared" si="110"/>
        <v>2298.7800000000002</v>
      </c>
      <c r="X743" s="18">
        <f t="shared" si="109"/>
        <v>0</v>
      </c>
      <c r="Y743" s="13">
        <f t="shared" si="104"/>
        <v>0</v>
      </c>
      <c r="Z743" s="14">
        <v>0</v>
      </c>
      <c r="AA743" s="4">
        <v>0</v>
      </c>
      <c r="AB743" s="4">
        <f t="shared" si="108"/>
        <v>0</v>
      </c>
      <c r="AC743" s="6">
        <f t="shared" si="105"/>
        <v>0</v>
      </c>
      <c r="AD743" s="18">
        <f t="shared" si="102"/>
        <v>0</v>
      </c>
      <c r="AE743" s="2">
        <v>7.0000000000000007E-2</v>
      </c>
      <c r="AF743" s="5">
        <f t="shared" si="106"/>
        <v>0</v>
      </c>
      <c r="AG743" s="14">
        <v>0</v>
      </c>
      <c r="AH743" s="10">
        <f t="shared" si="103"/>
        <v>0</v>
      </c>
      <c r="AI743" s="16"/>
      <c r="AJ743" s="126" t="e">
        <v>#N/A</v>
      </c>
      <c r="AK743" s="80">
        <f t="shared" si="107"/>
        <v>0</v>
      </c>
      <c r="AM743" s="85"/>
    </row>
    <row r="744" spans="1:39" hidden="1" x14ac:dyDescent="0.3">
      <c r="A744" s="85" t="s">
        <v>34</v>
      </c>
      <c r="B744" s="15" t="s">
        <v>41</v>
      </c>
      <c r="C744" s="15" t="s">
        <v>41</v>
      </c>
      <c r="D744" s="15" t="s">
        <v>41</v>
      </c>
      <c r="E744" s="15" t="s">
        <v>1030</v>
      </c>
      <c r="F744" s="15" t="s">
        <v>1031</v>
      </c>
      <c r="G744" s="15" t="s">
        <v>1031</v>
      </c>
      <c r="H744" s="139"/>
      <c r="I744" s="15" t="s">
        <v>408</v>
      </c>
      <c r="J744" s="1" t="s">
        <v>3324</v>
      </c>
      <c r="K744" s="1" t="s">
        <v>3278</v>
      </c>
      <c r="L744" s="1" t="s">
        <v>35</v>
      </c>
      <c r="M744" s="15" t="s">
        <v>1032</v>
      </c>
      <c r="N744" s="15"/>
      <c r="O744" s="8" t="s">
        <v>410</v>
      </c>
      <c r="P744" s="8" t="s">
        <v>41</v>
      </c>
      <c r="Q744" s="9">
        <v>0</v>
      </c>
      <c r="R744" s="139">
        <v>1000012429</v>
      </c>
      <c r="S744" s="15"/>
      <c r="T744" s="18">
        <v>9444.5</v>
      </c>
      <c r="U744" s="4">
        <v>0</v>
      </c>
      <c r="V744" s="6">
        <v>0</v>
      </c>
      <c r="W744" s="18">
        <f t="shared" si="110"/>
        <v>9444.5</v>
      </c>
      <c r="X744" s="18">
        <f t="shared" si="109"/>
        <v>0</v>
      </c>
      <c r="Y744" s="13">
        <f t="shared" si="104"/>
        <v>0</v>
      </c>
      <c r="Z744" s="14">
        <v>0</v>
      </c>
      <c r="AA744" s="4">
        <v>0</v>
      </c>
      <c r="AB744" s="4">
        <f t="shared" si="108"/>
        <v>0</v>
      </c>
      <c r="AC744" s="6">
        <f t="shared" si="105"/>
        <v>0</v>
      </c>
      <c r="AD744" s="18">
        <f t="shared" si="102"/>
        <v>0</v>
      </c>
      <c r="AE744" s="2">
        <v>7.0000000000000007E-2</v>
      </c>
      <c r="AF744" s="5">
        <f t="shared" si="106"/>
        <v>0</v>
      </c>
      <c r="AG744" s="14">
        <v>0</v>
      </c>
      <c r="AH744" s="10">
        <f t="shared" si="103"/>
        <v>0</v>
      </c>
      <c r="AI744" s="16"/>
      <c r="AJ744" s="126" t="e">
        <v>#N/A</v>
      </c>
      <c r="AK744" s="80">
        <f t="shared" si="107"/>
        <v>0</v>
      </c>
      <c r="AM744" s="85"/>
    </row>
    <row r="745" spans="1:39" hidden="1" x14ac:dyDescent="0.3">
      <c r="A745" s="85" t="s">
        <v>34</v>
      </c>
      <c r="B745" s="15" t="s">
        <v>41</v>
      </c>
      <c r="C745" s="15" t="s">
        <v>41</v>
      </c>
      <c r="D745" s="15" t="s">
        <v>41</v>
      </c>
      <c r="E745" s="15" t="s">
        <v>1033</v>
      </c>
      <c r="F745" s="15" t="s">
        <v>1033</v>
      </c>
      <c r="G745" s="15" t="s">
        <v>1033</v>
      </c>
      <c r="H745" s="139"/>
      <c r="I745" s="15" t="s">
        <v>408</v>
      </c>
      <c r="J745" s="1" t="s">
        <v>3324</v>
      </c>
      <c r="K745" s="1" t="s">
        <v>3278</v>
      </c>
      <c r="L745" s="1" t="s">
        <v>35</v>
      </c>
      <c r="M745" s="15" t="s">
        <v>1034</v>
      </c>
      <c r="N745" s="15"/>
      <c r="O745" s="8" t="s">
        <v>410</v>
      </c>
      <c r="P745" s="8" t="s">
        <v>41</v>
      </c>
      <c r="Q745" s="9">
        <v>0</v>
      </c>
      <c r="R745" s="139">
        <v>1000009194</v>
      </c>
      <c r="S745" s="15"/>
      <c r="T745" s="18">
        <v>2383.9499999999998</v>
      </c>
      <c r="U745" s="4">
        <v>0</v>
      </c>
      <c r="V745" s="6">
        <v>0</v>
      </c>
      <c r="W745" s="18">
        <f t="shared" si="110"/>
        <v>2383.9499999999998</v>
      </c>
      <c r="X745" s="18">
        <f t="shared" si="109"/>
        <v>0</v>
      </c>
      <c r="Y745" s="13">
        <f t="shared" si="104"/>
        <v>0</v>
      </c>
      <c r="Z745" s="14">
        <v>0</v>
      </c>
      <c r="AA745" s="4">
        <v>0</v>
      </c>
      <c r="AB745" s="4">
        <f t="shared" si="108"/>
        <v>0</v>
      </c>
      <c r="AC745" s="6">
        <f t="shared" si="105"/>
        <v>0</v>
      </c>
      <c r="AD745" s="18">
        <f t="shared" si="102"/>
        <v>0</v>
      </c>
      <c r="AE745" s="2">
        <v>7.0000000000000007E-2</v>
      </c>
      <c r="AF745" s="5">
        <f t="shared" si="106"/>
        <v>0</v>
      </c>
      <c r="AG745" s="14">
        <v>0</v>
      </c>
      <c r="AH745" s="10">
        <f t="shared" si="103"/>
        <v>0</v>
      </c>
      <c r="AI745" s="16"/>
      <c r="AJ745" s="126" t="e">
        <v>#N/A</v>
      </c>
      <c r="AK745" s="80">
        <f t="shared" si="107"/>
        <v>0</v>
      </c>
      <c r="AM745" s="85"/>
    </row>
    <row r="746" spans="1:39" hidden="1" x14ac:dyDescent="0.3">
      <c r="A746" s="85" t="s">
        <v>34</v>
      </c>
      <c r="B746" s="15" t="s">
        <v>41</v>
      </c>
      <c r="C746" s="15" t="s">
        <v>41</v>
      </c>
      <c r="D746" s="15" t="s">
        <v>41</v>
      </c>
      <c r="E746" s="15" t="s">
        <v>1035</v>
      </c>
      <c r="F746" s="15" t="s">
        <v>1035</v>
      </c>
      <c r="G746" s="15" t="s">
        <v>1036</v>
      </c>
      <c r="H746" s="139"/>
      <c r="I746" s="15" t="s">
        <v>408</v>
      </c>
      <c r="J746" s="1" t="s">
        <v>3324</v>
      </c>
      <c r="K746" s="1" t="s">
        <v>3278</v>
      </c>
      <c r="L746" s="1" t="s">
        <v>35</v>
      </c>
      <c r="M746" s="15" t="s">
        <v>1037</v>
      </c>
      <c r="N746" s="15"/>
      <c r="O746" s="8" t="s">
        <v>410</v>
      </c>
      <c r="P746" s="8" t="s">
        <v>41</v>
      </c>
      <c r="Q746" s="9">
        <v>0</v>
      </c>
      <c r="R746" s="139">
        <v>1000001313</v>
      </c>
      <c r="S746" s="15"/>
      <c r="T746" s="18">
        <v>5768.6</v>
      </c>
      <c r="U746" s="4">
        <v>0</v>
      </c>
      <c r="V746" s="6">
        <v>0</v>
      </c>
      <c r="W746" s="18">
        <f t="shared" si="110"/>
        <v>5768.6</v>
      </c>
      <c r="X746" s="18">
        <f t="shared" si="109"/>
        <v>0</v>
      </c>
      <c r="Y746" s="13">
        <f t="shared" si="104"/>
        <v>0</v>
      </c>
      <c r="Z746" s="14">
        <v>0</v>
      </c>
      <c r="AA746" s="4">
        <v>0</v>
      </c>
      <c r="AB746" s="4">
        <f t="shared" si="108"/>
        <v>0</v>
      </c>
      <c r="AC746" s="6">
        <f t="shared" si="105"/>
        <v>0</v>
      </c>
      <c r="AD746" s="18">
        <f t="shared" si="102"/>
        <v>0</v>
      </c>
      <c r="AE746" s="2">
        <v>7.0000000000000007E-2</v>
      </c>
      <c r="AF746" s="5">
        <f t="shared" si="106"/>
        <v>0</v>
      </c>
      <c r="AG746" s="14">
        <v>0</v>
      </c>
      <c r="AH746" s="10">
        <f t="shared" si="103"/>
        <v>0</v>
      </c>
      <c r="AI746" s="16"/>
      <c r="AJ746" s="126" t="e">
        <v>#N/A</v>
      </c>
      <c r="AK746" s="80">
        <f t="shared" si="107"/>
        <v>0</v>
      </c>
      <c r="AM746" s="85"/>
    </row>
    <row r="747" spans="1:39" hidden="1" x14ac:dyDescent="0.3">
      <c r="A747" s="85" t="s">
        <v>34</v>
      </c>
      <c r="B747" s="15" t="s">
        <v>41</v>
      </c>
      <c r="C747" s="15" t="s">
        <v>41</v>
      </c>
      <c r="D747" s="15" t="s">
        <v>41</v>
      </c>
      <c r="E747" s="15" t="s">
        <v>1038</v>
      </c>
      <c r="F747" s="15" t="s">
        <v>1038</v>
      </c>
      <c r="G747" s="15" t="s">
        <v>1038</v>
      </c>
      <c r="H747" s="139"/>
      <c r="I747" s="15" t="s">
        <v>408</v>
      </c>
      <c r="J747" s="1" t="s">
        <v>3324</v>
      </c>
      <c r="K747" s="1" t="s">
        <v>3278</v>
      </c>
      <c r="L747" s="1" t="s">
        <v>35</v>
      </c>
      <c r="M747" s="15" t="s">
        <v>1039</v>
      </c>
      <c r="N747" s="15"/>
      <c r="O747" s="8" t="s">
        <v>410</v>
      </c>
      <c r="P747" s="8" t="s">
        <v>41</v>
      </c>
      <c r="Q747" s="9">
        <v>0</v>
      </c>
      <c r="R747" s="139">
        <v>1000008364</v>
      </c>
      <c r="S747" s="15"/>
      <c r="T747" s="18">
        <v>6206</v>
      </c>
      <c r="U747" s="4">
        <v>0</v>
      </c>
      <c r="V747" s="6">
        <v>0</v>
      </c>
      <c r="W747" s="18">
        <f t="shared" si="110"/>
        <v>6206</v>
      </c>
      <c r="X747" s="18">
        <f t="shared" si="109"/>
        <v>0</v>
      </c>
      <c r="Y747" s="13">
        <f t="shared" si="104"/>
        <v>0</v>
      </c>
      <c r="Z747" s="14">
        <v>0</v>
      </c>
      <c r="AA747" s="4">
        <v>0</v>
      </c>
      <c r="AB747" s="4">
        <f t="shared" si="108"/>
        <v>0</v>
      </c>
      <c r="AC747" s="6">
        <f t="shared" si="105"/>
        <v>0</v>
      </c>
      <c r="AD747" s="18">
        <f t="shared" si="102"/>
        <v>0</v>
      </c>
      <c r="AE747" s="2">
        <v>7.0000000000000007E-2</v>
      </c>
      <c r="AF747" s="5">
        <f t="shared" si="106"/>
        <v>0</v>
      </c>
      <c r="AG747" s="14">
        <v>0</v>
      </c>
      <c r="AH747" s="10">
        <f t="shared" si="103"/>
        <v>0</v>
      </c>
      <c r="AI747" s="16"/>
      <c r="AJ747" s="126" t="e">
        <v>#N/A</v>
      </c>
      <c r="AK747" s="80">
        <f t="shared" si="107"/>
        <v>0</v>
      </c>
      <c r="AM747" s="85"/>
    </row>
    <row r="748" spans="1:39" hidden="1" x14ac:dyDescent="0.3">
      <c r="A748" s="85" t="s">
        <v>34</v>
      </c>
      <c r="B748" s="15" t="s">
        <v>41</v>
      </c>
      <c r="C748" s="15" t="s">
        <v>41</v>
      </c>
      <c r="D748" s="15" t="s">
        <v>41</v>
      </c>
      <c r="E748" s="15" t="s">
        <v>41</v>
      </c>
      <c r="F748" s="15" t="s">
        <v>41</v>
      </c>
      <c r="G748" s="15" t="s">
        <v>41</v>
      </c>
      <c r="H748" s="139"/>
      <c r="I748" s="15" t="s">
        <v>408</v>
      </c>
      <c r="J748" s="1" t="s">
        <v>3324</v>
      </c>
      <c r="K748" s="1" t="s">
        <v>3278</v>
      </c>
      <c r="L748" s="1" t="s">
        <v>35</v>
      </c>
      <c r="M748" s="15" t="s">
        <v>1040</v>
      </c>
      <c r="N748" s="15"/>
      <c r="O748" s="8" t="s">
        <v>410</v>
      </c>
      <c r="P748" s="8" t="s">
        <v>41</v>
      </c>
      <c r="Q748" s="9">
        <v>0</v>
      </c>
      <c r="R748" s="139">
        <v>1000003181</v>
      </c>
      <c r="S748" s="15"/>
      <c r="T748" s="18">
        <v>46724.05</v>
      </c>
      <c r="U748" s="4">
        <v>0</v>
      </c>
      <c r="V748" s="6">
        <v>0</v>
      </c>
      <c r="W748" s="18">
        <f t="shared" si="110"/>
        <v>46724.05</v>
      </c>
      <c r="X748" s="18">
        <f t="shared" si="109"/>
        <v>0</v>
      </c>
      <c r="Y748" s="13">
        <f t="shared" si="104"/>
        <v>0</v>
      </c>
      <c r="Z748" s="14">
        <v>0</v>
      </c>
      <c r="AA748" s="4">
        <v>0</v>
      </c>
      <c r="AB748" s="4">
        <f t="shared" si="108"/>
        <v>0</v>
      </c>
      <c r="AC748" s="6">
        <f t="shared" si="105"/>
        <v>0</v>
      </c>
      <c r="AD748" s="18">
        <f t="shared" si="102"/>
        <v>0</v>
      </c>
      <c r="AE748" s="2">
        <v>7.0000000000000007E-2</v>
      </c>
      <c r="AF748" s="5">
        <f t="shared" si="106"/>
        <v>0</v>
      </c>
      <c r="AG748" s="14">
        <v>0</v>
      </c>
      <c r="AH748" s="10">
        <f t="shared" si="103"/>
        <v>0</v>
      </c>
      <c r="AI748" s="16"/>
      <c r="AJ748" s="126" t="e">
        <v>#N/A</v>
      </c>
      <c r="AK748" s="80">
        <f t="shared" si="107"/>
        <v>0</v>
      </c>
      <c r="AM748" s="85"/>
    </row>
    <row r="749" spans="1:39" hidden="1" x14ac:dyDescent="0.3">
      <c r="A749" s="85" t="s">
        <v>34</v>
      </c>
      <c r="B749" s="15" t="s">
        <v>41</v>
      </c>
      <c r="C749" s="15" t="s">
        <v>41</v>
      </c>
      <c r="D749" s="15" t="s">
        <v>41</v>
      </c>
      <c r="E749" s="15" t="s">
        <v>41</v>
      </c>
      <c r="F749" s="15" t="s">
        <v>41</v>
      </c>
      <c r="G749" s="15" t="s">
        <v>41</v>
      </c>
      <c r="H749" s="139"/>
      <c r="I749" s="15" t="s">
        <v>408</v>
      </c>
      <c r="J749" s="1" t="s">
        <v>3324</v>
      </c>
      <c r="K749" s="1" t="s">
        <v>3278</v>
      </c>
      <c r="L749" s="1" t="s">
        <v>35</v>
      </c>
      <c r="M749" s="15" t="s">
        <v>1041</v>
      </c>
      <c r="N749" s="15"/>
      <c r="O749" s="8" t="s">
        <v>410</v>
      </c>
      <c r="P749" s="8" t="s">
        <v>41</v>
      </c>
      <c r="Q749" s="9">
        <v>0</v>
      </c>
      <c r="R749" s="139">
        <v>1000003841</v>
      </c>
      <c r="S749" s="15"/>
      <c r="T749" s="18">
        <v>59848.4</v>
      </c>
      <c r="U749" s="4">
        <v>0</v>
      </c>
      <c r="V749" s="6">
        <v>0</v>
      </c>
      <c r="W749" s="18">
        <f t="shared" si="110"/>
        <v>59848.4</v>
      </c>
      <c r="X749" s="18">
        <f t="shared" si="109"/>
        <v>0</v>
      </c>
      <c r="Y749" s="13">
        <f t="shared" si="104"/>
        <v>0</v>
      </c>
      <c r="Z749" s="14">
        <v>0</v>
      </c>
      <c r="AA749" s="4">
        <v>0</v>
      </c>
      <c r="AB749" s="4">
        <f t="shared" si="108"/>
        <v>0</v>
      </c>
      <c r="AC749" s="6">
        <f t="shared" si="105"/>
        <v>0</v>
      </c>
      <c r="AD749" s="18">
        <f t="shared" si="102"/>
        <v>0</v>
      </c>
      <c r="AE749" s="2">
        <v>7.0000000000000007E-2</v>
      </c>
      <c r="AF749" s="5">
        <f t="shared" si="106"/>
        <v>0</v>
      </c>
      <c r="AG749" s="14">
        <v>0</v>
      </c>
      <c r="AH749" s="10">
        <f t="shared" si="103"/>
        <v>0</v>
      </c>
      <c r="AI749" s="16"/>
      <c r="AJ749" s="126" t="e">
        <v>#N/A</v>
      </c>
      <c r="AK749" s="80">
        <f t="shared" si="107"/>
        <v>0</v>
      </c>
      <c r="AM749" s="85"/>
    </row>
    <row r="750" spans="1:39" hidden="1" x14ac:dyDescent="0.3">
      <c r="A750" s="85" t="s">
        <v>34</v>
      </c>
      <c r="B750" s="15" t="s">
        <v>41</v>
      </c>
      <c r="C750" s="15" t="s">
        <v>41</v>
      </c>
      <c r="D750" s="15" t="s">
        <v>41</v>
      </c>
      <c r="E750" s="15" t="s">
        <v>41</v>
      </c>
      <c r="F750" s="15" t="s">
        <v>41</v>
      </c>
      <c r="G750" s="15" t="s">
        <v>41</v>
      </c>
      <c r="H750" s="139"/>
      <c r="I750" s="15" t="s">
        <v>408</v>
      </c>
      <c r="J750" s="1" t="s">
        <v>3324</v>
      </c>
      <c r="K750" s="1" t="s">
        <v>3278</v>
      </c>
      <c r="L750" s="1" t="s">
        <v>35</v>
      </c>
      <c r="M750" s="15" t="s">
        <v>1042</v>
      </c>
      <c r="N750" s="15"/>
      <c r="O750" s="8" t="s">
        <v>410</v>
      </c>
      <c r="P750" s="8" t="s">
        <v>41</v>
      </c>
      <c r="Q750" s="9">
        <v>0</v>
      </c>
      <c r="R750" s="139">
        <v>1000003166</v>
      </c>
      <c r="S750" s="15"/>
      <c r="T750" s="18">
        <v>200</v>
      </c>
      <c r="U750" s="4">
        <v>0</v>
      </c>
      <c r="V750" s="6">
        <v>0</v>
      </c>
      <c r="W750" s="18">
        <f t="shared" si="110"/>
        <v>200</v>
      </c>
      <c r="X750" s="18">
        <f t="shared" si="109"/>
        <v>0</v>
      </c>
      <c r="Y750" s="13">
        <f t="shared" si="104"/>
        <v>0</v>
      </c>
      <c r="Z750" s="14">
        <v>0</v>
      </c>
      <c r="AA750" s="4">
        <v>0</v>
      </c>
      <c r="AB750" s="4">
        <f t="shared" si="108"/>
        <v>0</v>
      </c>
      <c r="AC750" s="6">
        <f t="shared" si="105"/>
        <v>0</v>
      </c>
      <c r="AD750" s="18">
        <f t="shared" si="102"/>
        <v>0</v>
      </c>
      <c r="AE750" s="2">
        <v>7.0000000000000007E-2</v>
      </c>
      <c r="AF750" s="5">
        <f t="shared" si="106"/>
        <v>0</v>
      </c>
      <c r="AG750" s="14">
        <v>0</v>
      </c>
      <c r="AH750" s="10">
        <f t="shared" si="103"/>
        <v>0</v>
      </c>
      <c r="AI750" s="16"/>
      <c r="AJ750" s="126" t="e">
        <v>#N/A</v>
      </c>
      <c r="AK750" s="80">
        <f t="shared" si="107"/>
        <v>0</v>
      </c>
      <c r="AM750" s="85"/>
    </row>
    <row r="751" spans="1:39" hidden="1" x14ac:dyDescent="0.3">
      <c r="A751" s="85" t="s">
        <v>34</v>
      </c>
      <c r="B751" s="15" t="s">
        <v>41</v>
      </c>
      <c r="C751" s="15" t="s">
        <v>41</v>
      </c>
      <c r="D751" s="15" t="s">
        <v>41</v>
      </c>
      <c r="E751" s="15" t="s">
        <v>41</v>
      </c>
      <c r="F751" s="15" t="s">
        <v>41</v>
      </c>
      <c r="G751" s="15" t="s">
        <v>41</v>
      </c>
      <c r="H751" s="139"/>
      <c r="I751" s="15" t="s">
        <v>408</v>
      </c>
      <c r="J751" s="1" t="s">
        <v>3324</v>
      </c>
      <c r="K751" s="1" t="s">
        <v>3278</v>
      </c>
      <c r="L751" s="1" t="s">
        <v>35</v>
      </c>
      <c r="M751" s="15" t="s">
        <v>1043</v>
      </c>
      <c r="N751" s="15"/>
      <c r="O751" s="8" t="s">
        <v>410</v>
      </c>
      <c r="P751" s="8" t="s">
        <v>41</v>
      </c>
      <c r="Q751" s="9">
        <v>0</v>
      </c>
      <c r="R751" s="139">
        <v>1000002454</v>
      </c>
      <c r="S751" s="15"/>
      <c r="T751" s="18">
        <v>9963.2999999999993</v>
      </c>
      <c r="U751" s="4">
        <v>0</v>
      </c>
      <c r="V751" s="6">
        <v>0</v>
      </c>
      <c r="W751" s="18">
        <f t="shared" si="110"/>
        <v>9963.2999999999993</v>
      </c>
      <c r="X751" s="18">
        <f t="shared" si="109"/>
        <v>0</v>
      </c>
      <c r="Y751" s="13">
        <f t="shared" si="104"/>
        <v>0</v>
      </c>
      <c r="Z751" s="14">
        <v>0</v>
      </c>
      <c r="AA751" s="4">
        <v>0</v>
      </c>
      <c r="AB751" s="4">
        <f t="shared" si="108"/>
        <v>0</v>
      </c>
      <c r="AC751" s="6">
        <f t="shared" si="105"/>
        <v>0</v>
      </c>
      <c r="AD751" s="18">
        <f t="shared" si="102"/>
        <v>0</v>
      </c>
      <c r="AE751" s="2">
        <v>7.0000000000000007E-2</v>
      </c>
      <c r="AF751" s="5">
        <f t="shared" si="106"/>
        <v>0</v>
      </c>
      <c r="AG751" s="14">
        <v>0</v>
      </c>
      <c r="AH751" s="10">
        <f t="shared" si="103"/>
        <v>0</v>
      </c>
      <c r="AI751" s="16"/>
      <c r="AJ751" s="126" t="e">
        <v>#N/A</v>
      </c>
      <c r="AK751" s="80">
        <f t="shared" si="107"/>
        <v>0</v>
      </c>
      <c r="AM751" s="85"/>
    </row>
    <row r="752" spans="1:39" hidden="1" x14ac:dyDescent="0.3">
      <c r="A752" s="85" t="s">
        <v>34</v>
      </c>
      <c r="B752" s="15" t="s">
        <v>41</v>
      </c>
      <c r="C752" s="15" t="s">
        <v>41</v>
      </c>
      <c r="D752" s="15" t="s">
        <v>41</v>
      </c>
      <c r="E752" s="15" t="s">
        <v>41</v>
      </c>
      <c r="F752" s="15" t="s">
        <v>41</v>
      </c>
      <c r="G752" s="15" t="s">
        <v>41</v>
      </c>
      <c r="H752" s="139"/>
      <c r="I752" s="15" t="s">
        <v>408</v>
      </c>
      <c r="J752" s="1" t="s">
        <v>3324</v>
      </c>
      <c r="K752" s="1" t="s">
        <v>3278</v>
      </c>
      <c r="L752" s="1" t="s">
        <v>35</v>
      </c>
      <c r="M752" s="15" t="s">
        <v>1044</v>
      </c>
      <c r="N752" s="15"/>
      <c r="O752" s="8" t="s">
        <v>410</v>
      </c>
      <c r="P752" s="8" t="s">
        <v>41</v>
      </c>
      <c r="Q752" s="9">
        <v>0</v>
      </c>
      <c r="R752" s="139">
        <v>1000001368</v>
      </c>
      <c r="S752" s="15"/>
      <c r="T752" s="18">
        <v>606.33000000000004</v>
      </c>
      <c r="U752" s="4">
        <v>0</v>
      </c>
      <c r="V752" s="6">
        <v>0</v>
      </c>
      <c r="W752" s="18">
        <f t="shared" si="110"/>
        <v>606.33000000000004</v>
      </c>
      <c r="X752" s="18">
        <f t="shared" si="109"/>
        <v>0</v>
      </c>
      <c r="Y752" s="13">
        <f t="shared" si="104"/>
        <v>0</v>
      </c>
      <c r="Z752" s="14">
        <v>0</v>
      </c>
      <c r="AA752" s="4">
        <v>0</v>
      </c>
      <c r="AB752" s="4">
        <f t="shared" si="108"/>
        <v>0</v>
      </c>
      <c r="AC752" s="6">
        <f t="shared" si="105"/>
        <v>0</v>
      </c>
      <c r="AD752" s="18">
        <f t="shared" si="102"/>
        <v>0</v>
      </c>
      <c r="AE752" s="2">
        <v>7.0000000000000007E-2</v>
      </c>
      <c r="AF752" s="5">
        <f t="shared" si="106"/>
        <v>0</v>
      </c>
      <c r="AG752" s="14">
        <v>0</v>
      </c>
      <c r="AH752" s="10">
        <f t="shared" si="103"/>
        <v>0</v>
      </c>
      <c r="AI752" s="16"/>
      <c r="AJ752" s="126" t="e">
        <v>#N/A</v>
      </c>
      <c r="AK752" s="80">
        <f t="shared" si="107"/>
        <v>0</v>
      </c>
      <c r="AM752" s="85"/>
    </row>
    <row r="753" spans="1:39" hidden="1" x14ac:dyDescent="0.3">
      <c r="A753" s="85" t="s">
        <v>34</v>
      </c>
      <c r="B753" s="15" t="s">
        <v>41</v>
      </c>
      <c r="C753" s="15" t="s">
        <v>41</v>
      </c>
      <c r="D753" s="15" t="s">
        <v>41</v>
      </c>
      <c r="E753" s="15" t="s">
        <v>41</v>
      </c>
      <c r="F753" s="15" t="s">
        <v>41</v>
      </c>
      <c r="G753" s="15" t="s">
        <v>41</v>
      </c>
      <c r="H753" s="139"/>
      <c r="I753" s="15" t="s">
        <v>408</v>
      </c>
      <c r="J753" s="1" t="s">
        <v>3324</v>
      </c>
      <c r="K753" s="1" t="s">
        <v>3278</v>
      </c>
      <c r="L753" s="1" t="s">
        <v>35</v>
      </c>
      <c r="M753" s="15" t="s">
        <v>1045</v>
      </c>
      <c r="N753" s="15"/>
      <c r="O753" s="8" t="s">
        <v>410</v>
      </c>
      <c r="P753" s="8" t="s">
        <v>41</v>
      </c>
      <c r="Q753" s="9">
        <v>0</v>
      </c>
      <c r="R753" s="139">
        <v>1000003147</v>
      </c>
      <c r="S753" s="15"/>
      <c r="T753" s="18">
        <v>9884.1</v>
      </c>
      <c r="U753" s="4">
        <v>0</v>
      </c>
      <c r="V753" s="6">
        <v>0</v>
      </c>
      <c r="W753" s="18">
        <f t="shared" si="110"/>
        <v>9884.1</v>
      </c>
      <c r="X753" s="18">
        <f t="shared" si="109"/>
        <v>0</v>
      </c>
      <c r="Y753" s="13">
        <f t="shared" si="104"/>
        <v>0</v>
      </c>
      <c r="Z753" s="14">
        <v>0</v>
      </c>
      <c r="AA753" s="4">
        <v>0</v>
      </c>
      <c r="AB753" s="4">
        <f t="shared" si="108"/>
        <v>0</v>
      </c>
      <c r="AC753" s="6">
        <f t="shared" si="105"/>
        <v>0</v>
      </c>
      <c r="AD753" s="18">
        <f t="shared" si="102"/>
        <v>0</v>
      </c>
      <c r="AE753" s="2">
        <v>7.0000000000000007E-2</v>
      </c>
      <c r="AF753" s="5">
        <f t="shared" si="106"/>
        <v>0</v>
      </c>
      <c r="AG753" s="14">
        <v>0</v>
      </c>
      <c r="AH753" s="10">
        <f t="shared" si="103"/>
        <v>0</v>
      </c>
      <c r="AI753" s="16"/>
      <c r="AJ753" s="126" t="e">
        <v>#N/A</v>
      </c>
      <c r="AK753" s="80">
        <f t="shared" si="107"/>
        <v>0</v>
      </c>
      <c r="AM753" s="85"/>
    </row>
    <row r="754" spans="1:39" hidden="1" x14ac:dyDescent="0.3">
      <c r="A754" s="85" t="s">
        <v>34</v>
      </c>
      <c r="B754" s="15" t="s">
        <v>41</v>
      </c>
      <c r="C754" s="15" t="s">
        <v>41</v>
      </c>
      <c r="D754" s="15" t="s">
        <v>41</v>
      </c>
      <c r="E754" s="15" t="s">
        <v>41</v>
      </c>
      <c r="F754" s="15" t="s">
        <v>41</v>
      </c>
      <c r="G754" s="15" t="s">
        <v>41</v>
      </c>
      <c r="H754" s="139"/>
      <c r="I754" s="15" t="s">
        <v>408</v>
      </c>
      <c r="J754" s="1" t="s">
        <v>3324</v>
      </c>
      <c r="K754" s="1" t="s">
        <v>3278</v>
      </c>
      <c r="L754" s="1" t="s">
        <v>35</v>
      </c>
      <c r="M754" s="15" t="s">
        <v>1046</v>
      </c>
      <c r="N754" s="15"/>
      <c r="O754" s="8" t="s">
        <v>410</v>
      </c>
      <c r="P754" s="8" t="s">
        <v>41</v>
      </c>
      <c r="Q754" s="9">
        <v>0</v>
      </c>
      <c r="R754" s="139">
        <v>1000002128</v>
      </c>
      <c r="S754" s="15"/>
      <c r="T754" s="18">
        <v>2791.4</v>
      </c>
      <c r="U754" s="4">
        <v>0</v>
      </c>
      <c r="V754" s="6">
        <v>0</v>
      </c>
      <c r="W754" s="18">
        <f t="shared" si="110"/>
        <v>2791.4</v>
      </c>
      <c r="X754" s="18">
        <f t="shared" si="109"/>
        <v>0</v>
      </c>
      <c r="Y754" s="13">
        <f t="shared" si="104"/>
        <v>0</v>
      </c>
      <c r="Z754" s="14">
        <v>0</v>
      </c>
      <c r="AA754" s="4">
        <v>0</v>
      </c>
      <c r="AB754" s="4">
        <f t="shared" si="108"/>
        <v>0</v>
      </c>
      <c r="AC754" s="6">
        <f t="shared" si="105"/>
        <v>0</v>
      </c>
      <c r="AD754" s="18">
        <f t="shared" si="102"/>
        <v>0</v>
      </c>
      <c r="AE754" s="2">
        <v>7.0000000000000007E-2</v>
      </c>
      <c r="AF754" s="5">
        <f t="shared" si="106"/>
        <v>0</v>
      </c>
      <c r="AG754" s="14">
        <v>0</v>
      </c>
      <c r="AH754" s="10">
        <f t="shared" si="103"/>
        <v>0</v>
      </c>
      <c r="AI754" s="16"/>
      <c r="AJ754" s="126" t="e">
        <v>#N/A</v>
      </c>
      <c r="AK754" s="80">
        <f t="shared" si="107"/>
        <v>0</v>
      </c>
      <c r="AM754" s="85"/>
    </row>
    <row r="755" spans="1:39" hidden="1" x14ac:dyDescent="0.3">
      <c r="A755" s="85" t="s">
        <v>34</v>
      </c>
      <c r="B755" s="15" t="s">
        <v>41</v>
      </c>
      <c r="C755" s="15" t="s">
        <v>41</v>
      </c>
      <c r="D755" s="15" t="s">
        <v>41</v>
      </c>
      <c r="E755" s="15" t="s">
        <v>41</v>
      </c>
      <c r="F755" s="15" t="s">
        <v>41</v>
      </c>
      <c r="G755" s="15" t="s">
        <v>41</v>
      </c>
      <c r="H755" s="139"/>
      <c r="I755" s="15" t="s">
        <v>408</v>
      </c>
      <c r="J755" s="1" t="s">
        <v>3324</v>
      </c>
      <c r="K755" s="1" t="s">
        <v>3278</v>
      </c>
      <c r="L755" s="1" t="s">
        <v>35</v>
      </c>
      <c r="M755" s="15" t="s">
        <v>1047</v>
      </c>
      <c r="N755" s="15"/>
      <c r="O755" s="8" t="s">
        <v>410</v>
      </c>
      <c r="P755" s="8" t="s">
        <v>41</v>
      </c>
      <c r="Q755" s="9">
        <v>0</v>
      </c>
      <c r="R755" s="139">
        <v>1000011844</v>
      </c>
      <c r="S755" s="15"/>
      <c r="T755" s="18">
        <v>237.5</v>
      </c>
      <c r="U755" s="4">
        <v>0</v>
      </c>
      <c r="V755" s="6">
        <v>0</v>
      </c>
      <c r="W755" s="18">
        <f t="shared" si="110"/>
        <v>237.5</v>
      </c>
      <c r="X755" s="18">
        <f t="shared" si="109"/>
        <v>0</v>
      </c>
      <c r="Y755" s="13">
        <f t="shared" si="104"/>
        <v>0</v>
      </c>
      <c r="Z755" s="14">
        <v>0</v>
      </c>
      <c r="AA755" s="4">
        <v>0</v>
      </c>
      <c r="AB755" s="4">
        <f t="shared" si="108"/>
        <v>0</v>
      </c>
      <c r="AC755" s="6">
        <f t="shared" si="105"/>
        <v>0</v>
      </c>
      <c r="AD755" s="18">
        <f t="shared" si="102"/>
        <v>0</v>
      </c>
      <c r="AE755" s="2">
        <v>7.0000000000000007E-2</v>
      </c>
      <c r="AF755" s="5">
        <f t="shared" si="106"/>
        <v>0</v>
      </c>
      <c r="AG755" s="14">
        <v>0</v>
      </c>
      <c r="AH755" s="10">
        <f t="shared" si="103"/>
        <v>0</v>
      </c>
      <c r="AI755" s="16"/>
      <c r="AJ755" s="126" t="e">
        <v>#N/A</v>
      </c>
      <c r="AK755" s="80">
        <f t="shared" si="107"/>
        <v>0</v>
      </c>
      <c r="AM755" s="85"/>
    </row>
    <row r="756" spans="1:39" hidden="1" x14ac:dyDescent="0.3">
      <c r="A756" s="85" t="s">
        <v>34</v>
      </c>
      <c r="B756" s="15" t="s">
        <v>41</v>
      </c>
      <c r="C756" s="15" t="s">
        <v>41</v>
      </c>
      <c r="D756" s="15" t="s">
        <v>41</v>
      </c>
      <c r="E756" s="15" t="s">
        <v>41</v>
      </c>
      <c r="F756" s="15" t="s">
        <v>41</v>
      </c>
      <c r="G756" s="15" t="s">
        <v>41</v>
      </c>
      <c r="H756" s="139"/>
      <c r="I756" s="15" t="s">
        <v>408</v>
      </c>
      <c r="J756" s="1" t="s">
        <v>3324</v>
      </c>
      <c r="K756" s="1" t="s">
        <v>3278</v>
      </c>
      <c r="L756" s="1" t="s">
        <v>35</v>
      </c>
      <c r="M756" s="15" t="s">
        <v>1048</v>
      </c>
      <c r="N756" s="15"/>
      <c r="O756" s="8" t="s">
        <v>410</v>
      </c>
      <c r="P756" s="8" t="s">
        <v>41</v>
      </c>
      <c r="Q756" s="9">
        <v>0</v>
      </c>
      <c r="R756" s="139">
        <v>1000004926</v>
      </c>
      <c r="S756" s="15"/>
      <c r="T756" s="18">
        <v>8891.23</v>
      </c>
      <c r="U756" s="4">
        <v>0</v>
      </c>
      <c r="V756" s="6">
        <v>0</v>
      </c>
      <c r="W756" s="18">
        <f t="shared" si="110"/>
        <v>8891.23</v>
      </c>
      <c r="X756" s="18">
        <f t="shared" si="109"/>
        <v>0</v>
      </c>
      <c r="Y756" s="13">
        <f t="shared" si="104"/>
        <v>0</v>
      </c>
      <c r="Z756" s="14">
        <v>0</v>
      </c>
      <c r="AA756" s="4">
        <v>0</v>
      </c>
      <c r="AB756" s="4">
        <f t="shared" si="108"/>
        <v>0</v>
      </c>
      <c r="AC756" s="6">
        <f t="shared" si="105"/>
        <v>0</v>
      </c>
      <c r="AD756" s="18">
        <f t="shared" si="102"/>
        <v>0</v>
      </c>
      <c r="AE756" s="2">
        <v>7.0000000000000007E-2</v>
      </c>
      <c r="AF756" s="5">
        <f t="shared" si="106"/>
        <v>0</v>
      </c>
      <c r="AG756" s="14">
        <v>0</v>
      </c>
      <c r="AH756" s="10">
        <f t="shared" si="103"/>
        <v>0</v>
      </c>
      <c r="AI756" s="16"/>
      <c r="AJ756" s="126" t="e">
        <v>#N/A</v>
      </c>
      <c r="AK756" s="80">
        <f t="shared" si="107"/>
        <v>0</v>
      </c>
      <c r="AM756" s="85"/>
    </row>
    <row r="757" spans="1:39" hidden="1" x14ac:dyDescent="0.3">
      <c r="A757" s="85" t="s">
        <v>34</v>
      </c>
      <c r="B757" s="15" t="s">
        <v>41</v>
      </c>
      <c r="C757" s="15" t="s">
        <v>41</v>
      </c>
      <c r="D757" s="15" t="s">
        <v>41</v>
      </c>
      <c r="E757" s="15" t="s">
        <v>41</v>
      </c>
      <c r="F757" s="15" t="s">
        <v>41</v>
      </c>
      <c r="G757" s="15" t="s">
        <v>41</v>
      </c>
      <c r="H757" s="139"/>
      <c r="I757" s="15" t="s">
        <v>408</v>
      </c>
      <c r="J757" s="1" t="s">
        <v>3324</v>
      </c>
      <c r="K757" s="1" t="s">
        <v>3278</v>
      </c>
      <c r="L757" s="1" t="s">
        <v>35</v>
      </c>
      <c r="M757" s="15" t="s">
        <v>1049</v>
      </c>
      <c r="N757" s="15"/>
      <c r="O757" s="8" t="s">
        <v>410</v>
      </c>
      <c r="P757" s="8" t="s">
        <v>41</v>
      </c>
      <c r="Q757" s="9">
        <v>0</v>
      </c>
      <c r="R757" s="139">
        <v>1000002928</v>
      </c>
      <c r="S757" s="15"/>
      <c r="T757" s="18">
        <v>400</v>
      </c>
      <c r="U757" s="4">
        <v>0</v>
      </c>
      <c r="V757" s="6">
        <v>0</v>
      </c>
      <c r="W757" s="18">
        <f t="shared" si="110"/>
        <v>400</v>
      </c>
      <c r="X757" s="18">
        <f t="shared" si="109"/>
        <v>0</v>
      </c>
      <c r="Y757" s="13">
        <f t="shared" si="104"/>
        <v>0</v>
      </c>
      <c r="Z757" s="14">
        <v>0</v>
      </c>
      <c r="AA757" s="4">
        <v>0</v>
      </c>
      <c r="AB757" s="4">
        <f t="shared" si="108"/>
        <v>0</v>
      </c>
      <c r="AC757" s="6">
        <f t="shared" si="105"/>
        <v>0</v>
      </c>
      <c r="AD757" s="18">
        <f t="shared" ref="AD757:AD787" si="111">V757*0.547109961125019</f>
        <v>0</v>
      </c>
      <c r="AE757" s="2">
        <v>7.0000000000000007E-2</v>
      </c>
      <c r="AF757" s="5">
        <f t="shared" si="106"/>
        <v>0</v>
      </c>
      <c r="AG757" s="14">
        <v>0</v>
      </c>
      <c r="AH757" s="10">
        <f t="shared" ref="AH757:AH787" si="112">V757</f>
        <v>0</v>
      </c>
      <c r="AI757" s="16"/>
      <c r="AJ757" s="126" t="e">
        <v>#N/A</v>
      </c>
      <c r="AK757" s="80">
        <f t="shared" si="107"/>
        <v>0</v>
      </c>
      <c r="AM757" s="85"/>
    </row>
    <row r="758" spans="1:39" hidden="1" x14ac:dyDescent="0.3">
      <c r="A758" s="85" t="s">
        <v>34</v>
      </c>
      <c r="B758" s="15" t="s">
        <v>41</v>
      </c>
      <c r="C758" s="15" t="s">
        <v>41</v>
      </c>
      <c r="D758" s="15" t="s">
        <v>41</v>
      </c>
      <c r="E758" s="15" t="s">
        <v>41</v>
      </c>
      <c r="F758" s="15" t="s">
        <v>41</v>
      </c>
      <c r="G758" s="15" t="s">
        <v>41</v>
      </c>
      <c r="H758" s="139"/>
      <c r="I758" s="15" t="s">
        <v>408</v>
      </c>
      <c r="J758" s="1" t="s">
        <v>3324</v>
      </c>
      <c r="K758" s="1" t="s">
        <v>3278</v>
      </c>
      <c r="L758" s="1" t="s">
        <v>35</v>
      </c>
      <c r="M758" s="15" t="s">
        <v>1050</v>
      </c>
      <c r="N758" s="15"/>
      <c r="O758" s="8" t="s">
        <v>410</v>
      </c>
      <c r="P758" s="8" t="s">
        <v>41</v>
      </c>
      <c r="Q758" s="9">
        <v>0</v>
      </c>
      <c r="R758" s="139">
        <v>1000001181</v>
      </c>
      <c r="S758" s="15"/>
      <c r="T758" s="18">
        <v>2455.6</v>
      </c>
      <c r="U758" s="4">
        <v>0</v>
      </c>
      <c r="V758" s="6">
        <v>0</v>
      </c>
      <c r="W758" s="18">
        <f t="shared" si="110"/>
        <v>2455.6</v>
      </c>
      <c r="X758" s="18">
        <f t="shared" si="109"/>
        <v>0</v>
      </c>
      <c r="Y758" s="13">
        <f t="shared" si="104"/>
        <v>0</v>
      </c>
      <c r="Z758" s="14">
        <v>0</v>
      </c>
      <c r="AA758" s="4">
        <v>0</v>
      </c>
      <c r="AB758" s="4">
        <f t="shared" si="108"/>
        <v>0</v>
      </c>
      <c r="AC758" s="6">
        <f t="shared" si="105"/>
        <v>0</v>
      </c>
      <c r="AD758" s="18">
        <f t="shared" si="111"/>
        <v>0</v>
      </c>
      <c r="AE758" s="2">
        <v>7.0000000000000007E-2</v>
      </c>
      <c r="AF758" s="5">
        <f t="shared" si="106"/>
        <v>0</v>
      </c>
      <c r="AG758" s="14">
        <v>0</v>
      </c>
      <c r="AH758" s="10">
        <f t="shared" si="112"/>
        <v>0</v>
      </c>
      <c r="AI758" s="16"/>
      <c r="AJ758" s="126" t="e">
        <v>#N/A</v>
      </c>
      <c r="AK758" s="80">
        <f t="shared" si="107"/>
        <v>0</v>
      </c>
      <c r="AM758" s="85"/>
    </row>
    <row r="759" spans="1:39" hidden="1" x14ac:dyDescent="0.3">
      <c r="A759" s="85" t="s">
        <v>34</v>
      </c>
      <c r="B759" s="15" t="s">
        <v>41</v>
      </c>
      <c r="C759" s="15" t="s">
        <v>41</v>
      </c>
      <c r="D759" s="15" t="s">
        <v>41</v>
      </c>
      <c r="E759" s="15" t="s">
        <v>41</v>
      </c>
      <c r="F759" s="15" t="s">
        <v>41</v>
      </c>
      <c r="G759" s="15" t="s">
        <v>41</v>
      </c>
      <c r="H759" s="139"/>
      <c r="I759" s="15" t="s">
        <v>408</v>
      </c>
      <c r="J759" s="1" t="s">
        <v>3324</v>
      </c>
      <c r="K759" s="1" t="s">
        <v>3278</v>
      </c>
      <c r="L759" s="1" t="s">
        <v>35</v>
      </c>
      <c r="M759" s="15" t="s">
        <v>1051</v>
      </c>
      <c r="N759" s="15"/>
      <c r="O759" s="8" t="s">
        <v>410</v>
      </c>
      <c r="P759" s="8" t="s">
        <v>41</v>
      </c>
      <c r="Q759" s="9">
        <v>0</v>
      </c>
      <c r="R759" s="139">
        <v>1000000998</v>
      </c>
      <c r="S759" s="15"/>
      <c r="T759" s="18">
        <v>3292</v>
      </c>
      <c r="U759" s="4">
        <v>0</v>
      </c>
      <c r="V759" s="6">
        <v>0</v>
      </c>
      <c r="W759" s="18">
        <f t="shared" si="110"/>
        <v>3292</v>
      </c>
      <c r="X759" s="18">
        <f t="shared" si="109"/>
        <v>0</v>
      </c>
      <c r="Y759" s="13">
        <f t="shared" si="104"/>
        <v>0</v>
      </c>
      <c r="Z759" s="14">
        <v>0</v>
      </c>
      <c r="AA759" s="4">
        <v>0</v>
      </c>
      <c r="AB759" s="4">
        <f t="shared" si="108"/>
        <v>0</v>
      </c>
      <c r="AC759" s="6">
        <f t="shared" si="105"/>
        <v>0</v>
      </c>
      <c r="AD759" s="18">
        <f t="shared" si="111"/>
        <v>0</v>
      </c>
      <c r="AE759" s="2">
        <v>7.0000000000000007E-2</v>
      </c>
      <c r="AF759" s="5">
        <f t="shared" si="106"/>
        <v>0</v>
      </c>
      <c r="AG759" s="14">
        <v>0</v>
      </c>
      <c r="AH759" s="10">
        <f t="shared" si="112"/>
        <v>0</v>
      </c>
      <c r="AI759" s="16"/>
      <c r="AJ759" s="126" t="e">
        <v>#N/A</v>
      </c>
      <c r="AK759" s="80">
        <f t="shared" si="107"/>
        <v>0</v>
      </c>
      <c r="AM759" s="85"/>
    </row>
    <row r="760" spans="1:39" hidden="1" x14ac:dyDescent="0.3">
      <c r="A760" s="85" t="s">
        <v>34</v>
      </c>
      <c r="B760" s="15" t="s">
        <v>41</v>
      </c>
      <c r="C760" s="15" t="s">
        <v>41</v>
      </c>
      <c r="D760" s="15" t="s">
        <v>41</v>
      </c>
      <c r="E760" s="15" t="s">
        <v>41</v>
      </c>
      <c r="F760" s="15" t="s">
        <v>41</v>
      </c>
      <c r="G760" s="15" t="s">
        <v>41</v>
      </c>
      <c r="H760" s="139"/>
      <c r="I760" s="15" t="s">
        <v>408</v>
      </c>
      <c r="J760" s="1" t="s">
        <v>3324</v>
      </c>
      <c r="K760" s="1" t="s">
        <v>3278</v>
      </c>
      <c r="L760" s="1" t="s">
        <v>35</v>
      </c>
      <c r="M760" s="15" t="s">
        <v>1052</v>
      </c>
      <c r="N760" s="15"/>
      <c r="O760" s="8" t="s">
        <v>410</v>
      </c>
      <c r="P760" s="8" t="s">
        <v>41</v>
      </c>
      <c r="Q760" s="9">
        <v>0</v>
      </c>
      <c r="R760" s="139">
        <v>1000002426</v>
      </c>
      <c r="S760" s="15"/>
      <c r="T760" s="18">
        <v>10000</v>
      </c>
      <c r="U760" s="4">
        <v>0</v>
      </c>
      <c r="V760" s="6">
        <v>0</v>
      </c>
      <c r="W760" s="18">
        <f t="shared" si="110"/>
        <v>10000</v>
      </c>
      <c r="X760" s="18">
        <f t="shared" si="109"/>
        <v>0</v>
      </c>
      <c r="Y760" s="13">
        <f t="shared" si="104"/>
        <v>0</v>
      </c>
      <c r="Z760" s="14">
        <v>0</v>
      </c>
      <c r="AA760" s="4">
        <v>0</v>
      </c>
      <c r="AB760" s="4">
        <f t="shared" si="108"/>
        <v>0</v>
      </c>
      <c r="AC760" s="6">
        <f t="shared" si="105"/>
        <v>0</v>
      </c>
      <c r="AD760" s="18">
        <f t="shared" si="111"/>
        <v>0</v>
      </c>
      <c r="AE760" s="2">
        <v>7.0000000000000007E-2</v>
      </c>
      <c r="AF760" s="5">
        <f t="shared" si="106"/>
        <v>0</v>
      </c>
      <c r="AG760" s="14">
        <v>0</v>
      </c>
      <c r="AH760" s="10">
        <f t="shared" si="112"/>
        <v>0</v>
      </c>
      <c r="AI760" s="16"/>
      <c r="AJ760" s="126" t="e">
        <v>#N/A</v>
      </c>
      <c r="AK760" s="80">
        <f t="shared" si="107"/>
        <v>0</v>
      </c>
      <c r="AM760" s="85"/>
    </row>
    <row r="761" spans="1:39" hidden="1" x14ac:dyDescent="0.3">
      <c r="A761" s="85" t="s">
        <v>34</v>
      </c>
      <c r="B761" s="15" t="s">
        <v>41</v>
      </c>
      <c r="C761" s="15" t="s">
        <v>41</v>
      </c>
      <c r="D761" s="15" t="s">
        <v>41</v>
      </c>
      <c r="E761" s="15" t="s">
        <v>41</v>
      </c>
      <c r="F761" s="15" t="s">
        <v>41</v>
      </c>
      <c r="G761" s="15" t="s">
        <v>41</v>
      </c>
      <c r="H761" s="139"/>
      <c r="I761" s="15" t="s">
        <v>408</v>
      </c>
      <c r="J761" s="1" t="s">
        <v>3324</v>
      </c>
      <c r="K761" s="1" t="s">
        <v>3278</v>
      </c>
      <c r="L761" s="1" t="s">
        <v>35</v>
      </c>
      <c r="M761" s="15" t="s">
        <v>1053</v>
      </c>
      <c r="N761" s="15"/>
      <c r="O761" s="8" t="s">
        <v>410</v>
      </c>
      <c r="P761" s="8" t="s">
        <v>41</v>
      </c>
      <c r="Q761" s="9">
        <v>0</v>
      </c>
      <c r="R761" s="139">
        <v>1000001633</v>
      </c>
      <c r="S761" s="15"/>
      <c r="T761" s="18">
        <v>272.5</v>
      </c>
      <c r="U761" s="4">
        <v>0</v>
      </c>
      <c r="V761" s="6">
        <v>0</v>
      </c>
      <c r="W761" s="18">
        <f t="shared" si="110"/>
        <v>272.5</v>
      </c>
      <c r="X761" s="18">
        <f t="shared" si="109"/>
        <v>0</v>
      </c>
      <c r="Y761" s="13">
        <f t="shared" si="104"/>
        <v>0</v>
      </c>
      <c r="Z761" s="14">
        <v>0</v>
      </c>
      <c r="AA761" s="4">
        <v>0</v>
      </c>
      <c r="AB761" s="4">
        <f t="shared" si="108"/>
        <v>0</v>
      </c>
      <c r="AC761" s="6">
        <f t="shared" si="105"/>
        <v>0</v>
      </c>
      <c r="AD761" s="18">
        <f t="shared" si="111"/>
        <v>0</v>
      </c>
      <c r="AE761" s="2">
        <v>7.0000000000000007E-2</v>
      </c>
      <c r="AF761" s="5">
        <f t="shared" si="106"/>
        <v>0</v>
      </c>
      <c r="AG761" s="14">
        <v>0</v>
      </c>
      <c r="AH761" s="10">
        <f t="shared" si="112"/>
        <v>0</v>
      </c>
      <c r="AI761" s="16"/>
      <c r="AJ761" s="126" t="e">
        <v>#N/A</v>
      </c>
      <c r="AK761" s="80">
        <f t="shared" si="107"/>
        <v>0</v>
      </c>
      <c r="AM761" s="85"/>
    </row>
    <row r="762" spans="1:39" hidden="1" x14ac:dyDescent="0.3">
      <c r="A762" s="85" t="s">
        <v>34</v>
      </c>
      <c r="B762" s="15" t="s">
        <v>41</v>
      </c>
      <c r="C762" s="15" t="s">
        <v>41</v>
      </c>
      <c r="D762" s="15" t="s">
        <v>41</v>
      </c>
      <c r="E762" s="15" t="s">
        <v>1054</v>
      </c>
      <c r="F762" s="15" t="s">
        <v>1054</v>
      </c>
      <c r="G762" s="15" t="s">
        <v>1054</v>
      </c>
      <c r="H762" s="139"/>
      <c r="I762" s="15" t="s">
        <v>408</v>
      </c>
      <c r="J762" s="1" t="s">
        <v>3324</v>
      </c>
      <c r="K762" s="1" t="s">
        <v>3278</v>
      </c>
      <c r="L762" s="1" t="s">
        <v>35</v>
      </c>
      <c r="M762" s="15" t="s">
        <v>1055</v>
      </c>
      <c r="N762" s="15"/>
      <c r="O762" s="8" t="s">
        <v>410</v>
      </c>
      <c r="P762" s="8" t="s">
        <v>41</v>
      </c>
      <c r="Q762" s="9">
        <v>0</v>
      </c>
      <c r="R762" s="139">
        <v>1000007808</v>
      </c>
      <c r="S762" s="15"/>
      <c r="T762" s="18">
        <v>32.5</v>
      </c>
      <c r="U762" s="4">
        <v>0</v>
      </c>
      <c r="V762" s="6">
        <v>0</v>
      </c>
      <c r="W762" s="18">
        <f t="shared" si="110"/>
        <v>32.5</v>
      </c>
      <c r="X762" s="18">
        <f t="shared" si="109"/>
        <v>0</v>
      </c>
      <c r="Y762" s="13">
        <f t="shared" si="104"/>
        <v>0</v>
      </c>
      <c r="Z762" s="14">
        <v>0</v>
      </c>
      <c r="AA762" s="4">
        <v>0</v>
      </c>
      <c r="AB762" s="4">
        <f t="shared" si="108"/>
        <v>0</v>
      </c>
      <c r="AC762" s="6">
        <f t="shared" si="105"/>
        <v>0</v>
      </c>
      <c r="AD762" s="18">
        <f t="shared" si="111"/>
        <v>0</v>
      </c>
      <c r="AE762" s="2">
        <v>7.0000000000000007E-2</v>
      </c>
      <c r="AF762" s="5">
        <f t="shared" si="106"/>
        <v>0</v>
      </c>
      <c r="AG762" s="14">
        <v>0</v>
      </c>
      <c r="AH762" s="10">
        <f t="shared" si="112"/>
        <v>0</v>
      </c>
      <c r="AI762" s="16"/>
      <c r="AJ762" s="126" t="e">
        <v>#N/A</v>
      </c>
      <c r="AK762" s="80">
        <f t="shared" si="107"/>
        <v>0</v>
      </c>
      <c r="AM762" s="85"/>
    </row>
    <row r="763" spans="1:39" hidden="1" x14ac:dyDescent="0.3">
      <c r="A763" s="85" t="s">
        <v>34</v>
      </c>
      <c r="B763" s="15" t="s">
        <v>41</v>
      </c>
      <c r="C763" s="15" t="s">
        <v>41</v>
      </c>
      <c r="D763" s="15" t="s">
        <v>41</v>
      </c>
      <c r="E763" s="15" t="s">
        <v>1056</v>
      </c>
      <c r="F763" s="15" t="s">
        <v>1056</v>
      </c>
      <c r="G763" s="15" t="s">
        <v>1056</v>
      </c>
      <c r="H763" s="139"/>
      <c r="I763" s="15" t="s">
        <v>408</v>
      </c>
      <c r="J763" s="1" t="s">
        <v>3324</v>
      </c>
      <c r="K763" s="1" t="s">
        <v>3278</v>
      </c>
      <c r="L763" s="1" t="s">
        <v>35</v>
      </c>
      <c r="M763" s="15" t="s">
        <v>1057</v>
      </c>
      <c r="N763" s="15"/>
      <c r="O763" s="8" t="s">
        <v>410</v>
      </c>
      <c r="P763" s="8" t="s">
        <v>41</v>
      </c>
      <c r="Q763" s="9">
        <v>0</v>
      </c>
      <c r="R763" s="139">
        <v>1000009337</v>
      </c>
      <c r="S763" s="15"/>
      <c r="T763" s="18">
        <v>14199.2</v>
      </c>
      <c r="U763" s="4">
        <v>0</v>
      </c>
      <c r="V763" s="6">
        <v>0</v>
      </c>
      <c r="W763" s="18">
        <f t="shared" si="110"/>
        <v>14199.2</v>
      </c>
      <c r="X763" s="18">
        <f t="shared" si="109"/>
        <v>0</v>
      </c>
      <c r="Y763" s="13">
        <f t="shared" si="104"/>
        <v>0</v>
      </c>
      <c r="Z763" s="14">
        <v>0</v>
      </c>
      <c r="AA763" s="4">
        <v>0</v>
      </c>
      <c r="AB763" s="4">
        <f t="shared" si="108"/>
        <v>0</v>
      </c>
      <c r="AC763" s="6">
        <f t="shared" si="105"/>
        <v>0</v>
      </c>
      <c r="AD763" s="18">
        <f t="shared" si="111"/>
        <v>0</v>
      </c>
      <c r="AE763" s="2">
        <v>7.0000000000000007E-2</v>
      </c>
      <c r="AF763" s="5">
        <f t="shared" si="106"/>
        <v>0</v>
      </c>
      <c r="AG763" s="14">
        <v>0</v>
      </c>
      <c r="AH763" s="10">
        <f t="shared" si="112"/>
        <v>0</v>
      </c>
      <c r="AI763" s="16"/>
      <c r="AJ763" s="126" t="e">
        <v>#N/A</v>
      </c>
      <c r="AK763" s="80">
        <f t="shared" si="107"/>
        <v>0</v>
      </c>
      <c r="AM763" s="85"/>
    </row>
    <row r="764" spans="1:39" hidden="1" x14ac:dyDescent="0.3">
      <c r="A764" s="85" t="s">
        <v>34</v>
      </c>
      <c r="B764" s="15" t="s">
        <v>35</v>
      </c>
      <c r="C764" s="15" t="s">
        <v>53</v>
      </c>
      <c r="D764" s="15" t="s">
        <v>54</v>
      </c>
      <c r="E764" s="15" t="s">
        <v>742</v>
      </c>
      <c r="F764" s="15" t="s">
        <v>742</v>
      </c>
      <c r="G764" s="15" t="s">
        <v>742</v>
      </c>
      <c r="H764" s="139"/>
      <c r="I764" s="15" t="s">
        <v>408</v>
      </c>
      <c r="J764" s="1" t="s">
        <v>3324</v>
      </c>
      <c r="K764" s="1" t="s">
        <v>3278</v>
      </c>
      <c r="L764" s="1" t="s">
        <v>35</v>
      </c>
      <c r="M764" s="15" t="s">
        <v>743</v>
      </c>
      <c r="N764" s="15"/>
      <c r="O764" s="8" t="s">
        <v>941</v>
      </c>
      <c r="P764" s="8" t="s">
        <v>41</v>
      </c>
      <c r="Q764" s="9">
        <v>0</v>
      </c>
      <c r="R764" s="139">
        <v>1000084758</v>
      </c>
      <c r="S764" s="15"/>
      <c r="T764" s="18">
        <v>-176.98</v>
      </c>
      <c r="U764" s="4">
        <v>0</v>
      </c>
      <c r="V764" s="6">
        <v>0</v>
      </c>
      <c r="W764" s="18">
        <f t="shared" si="110"/>
        <v>-176.98</v>
      </c>
      <c r="X764" s="18">
        <f t="shared" si="109"/>
        <v>0</v>
      </c>
      <c r="Y764" s="13">
        <f t="shared" si="104"/>
        <v>0</v>
      </c>
      <c r="Z764" s="14">
        <v>0</v>
      </c>
      <c r="AA764" s="4">
        <v>0</v>
      </c>
      <c r="AB764" s="4">
        <f t="shared" si="108"/>
        <v>0</v>
      </c>
      <c r="AC764" s="6">
        <f t="shared" si="105"/>
        <v>0</v>
      </c>
      <c r="AD764" s="18">
        <f t="shared" si="111"/>
        <v>0</v>
      </c>
      <c r="AE764" s="2">
        <v>0.12</v>
      </c>
      <c r="AF764" s="5">
        <f t="shared" si="106"/>
        <v>0</v>
      </c>
      <c r="AG764" s="14">
        <v>0</v>
      </c>
      <c r="AH764" s="10">
        <f t="shared" si="112"/>
        <v>0</v>
      </c>
      <c r="AI764" s="16"/>
      <c r="AJ764" s="126" t="e">
        <v>#N/A</v>
      </c>
      <c r="AK764" s="80">
        <f t="shared" si="107"/>
        <v>0</v>
      </c>
      <c r="AM764" s="85"/>
    </row>
    <row r="765" spans="1:39" hidden="1" x14ac:dyDescent="0.3">
      <c r="A765" s="85" t="s">
        <v>34</v>
      </c>
      <c r="B765" s="15" t="s">
        <v>35</v>
      </c>
      <c r="C765" s="15" t="s">
        <v>59</v>
      </c>
      <c r="D765" s="15" t="s">
        <v>60</v>
      </c>
      <c r="E765" s="15" t="s">
        <v>735</v>
      </c>
      <c r="F765" s="15" t="s">
        <v>735</v>
      </c>
      <c r="G765" s="15" t="s">
        <v>735</v>
      </c>
      <c r="H765" s="139"/>
      <c r="I765" s="15" t="s">
        <v>408</v>
      </c>
      <c r="J765" s="1" t="s">
        <v>3324</v>
      </c>
      <c r="K765" s="1" t="s">
        <v>3278</v>
      </c>
      <c r="L765" s="1" t="s">
        <v>35</v>
      </c>
      <c r="M765" s="15" t="s">
        <v>736</v>
      </c>
      <c r="N765" s="15"/>
      <c r="O765" s="8" t="s">
        <v>941</v>
      </c>
      <c r="P765" s="8" t="s">
        <v>75</v>
      </c>
      <c r="Q765" s="9">
        <v>0.02</v>
      </c>
      <c r="R765" s="139">
        <v>1000090963</v>
      </c>
      <c r="S765" s="15"/>
      <c r="T765" s="18">
        <v>-2771.54</v>
      </c>
      <c r="U765" s="4">
        <v>0</v>
      </c>
      <c r="V765" s="6">
        <v>0</v>
      </c>
      <c r="W765" s="18">
        <f t="shared" si="110"/>
        <v>-2771.54</v>
      </c>
      <c r="X765" s="18">
        <f t="shared" si="109"/>
        <v>0</v>
      </c>
      <c r="Y765" s="13">
        <f t="shared" si="104"/>
        <v>0</v>
      </c>
      <c r="Z765" s="14">
        <v>0</v>
      </c>
      <c r="AA765" s="4">
        <v>0</v>
      </c>
      <c r="AB765" s="4">
        <f t="shared" si="108"/>
        <v>0</v>
      </c>
      <c r="AC765" s="6">
        <f t="shared" si="105"/>
        <v>0</v>
      </c>
      <c r="AD765" s="18">
        <f t="shared" si="111"/>
        <v>0</v>
      </c>
      <c r="AE765" s="2">
        <v>0.12</v>
      </c>
      <c r="AF765" s="5">
        <f t="shared" si="106"/>
        <v>0</v>
      </c>
      <c r="AG765" s="14">
        <v>0</v>
      </c>
      <c r="AH765" s="10">
        <f t="shared" si="112"/>
        <v>0</v>
      </c>
      <c r="AI765" s="16"/>
      <c r="AJ765" s="126" t="e">
        <v>#N/A</v>
      </c>
      <c r="AK765" s="80">
        <f t="shared" si="107"/>
        <v>0</v>
      </c>
      <c r="AM765" s="85"/>
    </row>
    <row r="766" spans="1:39" hidden="1" x14ac:dyDescent="0.3">
      <c r="A766" s="85" t="s">
        <v>34</v>
      </c>
      <c r="B766" s="15" t="s">
        <v>35</v>
      </c>
      <c r="C766" s="15" t="s">
        <v>65</v>
      </c>
      <c r="D766" s="15" t="s">
        <v>125</v>
      </c>
      <c r="E766" s="15" t="s">
        <v>515</v>
      </c>
      <c r="F766" s="15" t="s">
        <v>515</v>
      </c>
      <c r="G766" s="15" t="s">
        <v>515</v>
      </c>
      <c r="H766" s="139"/>
      <c r="I766" s="15" t="s">
        <v>408</v>
      </c>
      <c r="J766" s="1" t="s">
        <v>3324</v>
      </c>
      <c r="K766" s="1" t="s">
        <v>3278</v>
      </c>
      <c r="L766" s="1" t="s">
        <v>35</v>
      </c>
      <c r="M766" s="15" t="s">
        <v>516</v>
      </c>
      <c r="N766" s="15"/>
      <c r="O766" s="8" t="s">
        <v>45</v>
      </c>
      <c r="P766" s="8" t="s">
        <v>41</v>
      </c>
      <c r="Q766" s="9">
        <v>0</v>
      </c>
      <c r="R766" s="139">
        <v>1000055366</v>
      </c>
      <c r="S766" s="15"/>
      <c r="T766" s="18">
        <v>-519.04</v>
      </c>
      <c r="U766" s="4">
        <v>0</v>
      </c>
      <c r="V766" s="6">
        <v>0</v>
      </c>
      <c r="W766" s="18">
        <v>0</v>
      </c>
      <c r="X766" s="18">
        <f t="shared" si="109"/>
        <v>0</v>
      </c>
      <c r="Y766" s="13">
        <f t="shared" si="104"/>
        <v>0</v>
      </c>
      <c r="Z766" s="14">
        <v>0</v>
      </c>
      <c r="AA766" s="4">
        <v>0</v>
      </c>
      <c r="AB766" s="4"/>
      <c r="AC766" s="6">
        <f t="shared" si="105"/>
        <v>0</v>
      </c>
      <c r="AD766" s="18">
        <f t="shared" si="111"/>
        <v>0</v>
      </c>
      <c r="AE766" s="2">
        <v>0.12</v>
      </c>
      <c r="AF766" s="5">
        <f t="shared" si="106"/>
        <v>0</v>
      </c>
      <c r="AG766" s="14">
        <v>0</v>
      </c>
      <c r="AH766" s="10">
        <f t="shared" si="112"/>
        <v>0</v>
      </c>
      <c r="AI766" s="16"/>
      <c r="AJ766" s="126" t="s">
        <v>4216</v>
      </c>
      <c r="AK766" s="80">
        <f t="shared" si="107"/>
        <v>0</v>
      </c>
      <c r="AM766" s="85"/>
    </row>
    <row r="767" spans="1:39" hidden="1" x14ac:dyDescent="0.3">
      <c r="A767" s="85" t="s">
        <v>34</v>
      </c>
      <c r="B767" s="15" t="s">
        <v>35</v>
      </c>
      <c r="C767" s="15" t="s">
        <v>144</v>
      </c>
      <c r="D767" s="15" t="s">
        <v>152</v>
      </c>
      <c r="E767" s="15" t="s">
        <v>722</v>
      </c>
      <c r="F767" s="15" t="s">
        <v>722</v>
      </c>
      <c r="G767" s="15" t="s">
        <v>722</v>
      </c>
      <c r="H767" s="139"/>
      <c r="I767" s="15" t="s">
        <v>408</v>
      </c>
      <c r="J767" s="1" t="s">
        <v>3324</v>
      </c>
      <c r="K767" s="1" t="s">
        <v>3278</v>
      </c>
      <c r="L767" s="1" t="s">
        <v>35</v>
      </c>
      <c r="M767" s="15" t="s">
        <v>723</v>
      </c>
      <c r="N767" s="15"/>
      <c r="O767" s="8" t="s">
        <v>1058</v>
      </c>
      <c r="P767" s="8" t="s">
        <v>46</v>
      </c>
      <c r="Q767" s="9">
        <v>0.04</v>
      </c>
      <c r="R767" s="139">
        <v>1000095880</v>
      </c>
      <c r="S767" s="15"/>
      <c r="T767" s="18">
        <v>-444.86</v>
      </c>
      <c r="U767" s="4">
        <v>0</v>
      </c>
      <c r="V767" s="6">
        <v>0</v>
      </c>
      <c r="W767" s="18">
        <f t="shared" si="110"/>
        <v>-444.86</v>
      </c>
      <c r="X767" s="18">
        <f t="shared" si="109"/>
        <v>0</v>
      </c>
      <c r="Y767" s="13">
        <f t="shared" si="104"/>
        <v>0</v>
      </c>
      <c r="Z767" s="14">
        <v>0</v>
      </c>
      <c r="AA767" s="4">
        <v>0</v>
      </c>
      <c r="AB767" s="4"/>
      <c r="AC767" s="6">
        <f t="shared" si="105"/>
        <v>0</v>
      </c>
      <c r="AD767" s="18">
        <f t="shared" si="111"/>
        <v>0</v>
      </c>
      <c r="AE767" s="2">
        <v>0.12</v>
      </c>
      <c r="AF767" s="5">
        <f t="shared" si="106"/>
        <v>0</v>
      </c>
      <c r="AG767" s="14">
        <v>0</v>
      </c>
      <c r="AH767" s="10">
        <f t="shared" si="112"/>
        <v>0</v>
      </c>
      <c r="AI767" s="16"/>
      <c r="AJ767" s="126">
        <v>112</v>
      </c>
      <c r="AK767" s="80">
        <f t="shared" si="107"/>
        <v>0</v>
      </c>
      <c r="AM767" s="85"/>
    </row>
    <row r="768" spans="1:39" hidden="1" x14ac:dyDescent="0.3">
      <c r="A768" s="85" t="s">
        <v>34</v>
      </c>
      <c r="B768" s="15" t="s">
        <v>35</v>
      </c>
      <c r="C768" s="15" t="s">
        <v>144</v>
      </c>
      <c r="D768" s="15" t="s">
        <v>152</v>
      </c>
      <c r="E768" s="15" t="s">
        <v>722</v>
      </c>
      <c r="F768" s="15" t="s">
        <v>722</v>
      </c>
      <c r="G768" s="15" t="s">
        <v>722</v>
      </c>
      <c r="H768" s="139"/>
      <c r="I768" s="15" t="s">
        <v>408</v>
      </c>
      <c r="J768" s="1" t="s">
        <v>3324</v>
      </c>
      <c r="K768" s="1" t="s">
        <v>3278</v>
      </c>
      <c r="L768" s="1" t="s">
        <v>35</v>
      </c>
      <c r="M768" s="15" t="s">
        <v>723</v>
      </c>
      <c r="N768" s="15"/>
      <c r="O768" s="8" t="s">
        <v>88</v>
      </c>
      <c r="P768" s="8" t="s">
        <v>46</v>
      </c>
      <c r="Q768" s="9">
        <v>0.04</v>
      </c>
      <c r="R768" s="139">
        <v>1000095880</v>
      </c>
      <c r="S768" s="15"/>
      <c r="T768" s="18">
        <v>-536.15</v>
      </c>
      <c r="U768" s="4">
        <v>0</v>
      </c>
      <c r="V768" s="6">
        <v>0</v>
      </c>
      <c r="W768" s="18">
        <f t="shared" si="110"/>
        <v>-536.15</v>
      </c>
      <c r="X768" s="18">
        <f t="shared" si="109"/>
        <v>0</v>
      </c>
      <c r="Y768" s="13">
        <f t="shared" si="104"/>
        <v>0</v>
      </c>
      <c r="Z768" s="14">
        <v>0</v>
      </c>
      <c r="AA768" s="4">
        <v>0</v>
      </c>
      <c r="AB768" s="4"/>
      <c r="AC768" s="6">
        <f t="shared" si="105"/>
        <v>0</v>
      </c>
      <c r="AD768" s="18">
        <f t="shared" si="111"/>
        <v>0</v>
      </c>
      <c r="AE768" s="2">
        <v>0.12</v>
      </c>
      <c r="AF768" s="5">
        <f t="shared" si="106"/>
        <v>0</v>
      </c>
      <c r="AG768" s="14">
        <v>0</v>
      </c>
      <c r="AH768" s="10">
        <f t="shared" si="112"/>
        <v>0</v>
      </c>
      <c r="AI768" s="16"/>
      <c r="AJ768" s="126">
        <v>112</v>
      </c>
      <c r="AK768" s="80">
        <f t="shared" si="107"/>
        <v>0</v>
      </c>
      <c r="AM768" s="85"/>
    </row>
    <row r="769" spans="1:39" hidden="1" x14ac:dyDescent="0.3">
      <c r="A769" s="85" t="s">
        <v>34</v>
      </c>
      <c r="B769" s="15" t="s">
        <v>35</v>
      </c>
      <c r="C769" s="15" t="s">
        <v>144</v>
      </c>
      <c r="D769" s="15" t="s">
        <v>161</v>
      </c>
      <c r="E769" s="15" t="s">
        <v>55</v>
      </c>
      <c r="F769" s="15" t="s">
        <v>607</v>
      </c>
      <c r="G769" s="15" t="s">
        <v>55</v>
      </c>
      <c r="H769" s="154"/>
      <c r="I769" s="15" t="s">
        <v>408</v>
      </c>
      <c r="J769" s="1" t="s">
        <v>3324</v>
      </c>
      <c r="K769" s="1" t="s">
        <v>3278</v>
      </c>
      <c r="L769" s="1" t="s">
        <v>35</v>
      </c>
      <c r="M769" s="15" t="s">
        <v>609</v>
      </c>
      <c r="N769" s="15"/>
      <c r="O769" s="8" t="s">
        <v>88</v>
      </c>
      <c r="P769" s="8" t="s">
        <v>41</v>
      </c>
      <c r="Q769" s="9">
        <v>0</v>
      </c>
      <c r="R769" s="139">
        <v>1000016218</v>
      </c>
      <c r="S769" s="15"/>
      <c r="T769" s="18">
        <v>0</v>
      </c>
      <c r="U769" s="4">
        <v>0</v>
      </c>
      <c r="V769" s="6">
        <v>1373724.18</v>
      </c>
      <c r="W769" s="18">
        <f t="shared" si="110"/>
        <v>-1373724.18</v>
      </c>
      <c r="X769" s="18">
        <f t="shared" si="109"/>
        <v>1373724.18</v>
      </c>
      <c r="Y769" s="13">
        <f t="shared" si="104"/>
        <v>622145.99728370144</v>
      </c>
      <c r="Z769" s="14">
        <v>0</v>
      </c>
      <c r="AA769" s="4">
        <v>0</v>
      </c>
      <c r="AB769" s="4">
        <f t="shared" si="108"/>
        <v>1373724.18</v>
      </c>
      <c r="AC769" s="6">
        <f t="shared" si="105"/>
        <v>0</v>
      </c>
      <c r="AD769" s="18">
        <f t="shared" si="111"/>
        <v>751578.1827162985</v>
      </c>
      <c r="AE769" s="2">
        <v>0.12</v>
      </c>
      <c r="AF769" s="5">
        <f t="shared" si="106"/>
        <v>90189.381925955822</v>
      </c>
      <c r="AG769" s="14">
        <v>0</v>
      </c>
      <c r="AH769" s="10">
        <f t="shared" si="112"/>
        <v>1373724.18</v>
      </c>
      <c r="AI769" s="16"/>
      <c r="AJ769" s="126" t="e">
        <v>#N/A</v>
      </c>
      <c r="AK769" s="80">
        <f t="shared" si="107"/>
        <v>0</v>
      </c>
      <c r="AM769" s="85"/>
    </row>
    <row r="770" spans="1:39" hidden="1" x14ac:dyDescent="0.3">
      <c r="A770" s="85" t="s">
        <v>34</v>
      </c>
      <c r="B770" s="15" t="s">
        <v>35</v>
      </c>
      <c r="C770" s="15" t="s">
        <v>164</v>
      </c>
      <c r="D770" s="15" t="s">
        <v>165</v>
      </c>
      <c r="E770" s="15" t="s">
        <v>610</v>
      </c>
      <c r="F770" s="15" t="s">
        <v>611</v>
      </c>
      <c r="G770" s="15" t="s">
        <v>610</v>
      </c>
      <c r="H770" s="154"/>
      <c r="I770" s="15" t="s">
        <v>408</v>
      </c>
      <c r="J770" s="1" t="s">
        <v>3324</v>
      </c>
      <c r="K770" s="1" t="s">
        <v>3278</v>
      </c>
      <c r="L770" s="1" t="s">
        <v>35</v>
      </c>
      <c r="M770" s="15" t="s">
        <v>613</v>
      </c>
      <c r="N770" s="15"/>
      <c r="O770" s="8" t="s">
        <v>88</v>
      </c>
      <c r="P770" s="8" t="s">
        <v>46</v>
      </c>
      <c r="Q770" s="9">
        <v>0.02</v>
      </c>
      <c r="R770" s="139">
        <v>1000045024</v>
      </c>
      <c r="S770" s="15"/>
      <c r="T770" s="18">
        <v>0</v>
      </c>
      <c r="U770" s="4">
        <v>0</v>
      </c>
      <c r="V770" s="6">
        <v>77142.669999999984</v>
      </c>
      <c r="W770" s="18">
        <f t="shared" si="110"/>
        <v>-77142.669999999984</v>
      </c>
      <c r="X770" s="18">
        <f t="shared" si="109"/>
        <v>75630.068627450964</v>
      </c>
      <c r="Y770" s="13">
        <f t="shared" si="104"/>
        <v>33424.545442670809</v>
      </c>
      <c r="Z770" s="14">
        <v>0</v>
      </c>
      <c r="AA770" s="4">
        <v>0</v>
      </c>
      <c r="AB770" s="4">
        <f t="shared" si="108"/>
        <v>75630.068627450964</v>
      </c>
      <c r="AC770" s="6">
        <f t="shared" si="105"/>
        <v>1512.6013725490193</v>
      </c>
      <c r="AD770" s="18">
        <f t="shared" si="111"/>
        <v>42205.523184780155</v>
      </c>
      <c r="AE770" s="2">
        <v>0.12</v>
      </c>
      <c r="AF770" s="5">
        <f t="shared" si="106"/>
        <v>5064.6627821736183</v>
      </c>
      <c r="AG770" s="14">
        <v>0</v>
      </c>
      <c r="AH770" s="10">
        <f t="shared" si="112"/>
        <v>77142.669999999984</v>
      </c>
      <c r="AI770" s="16"/>
      <c r="AJ770" s="126" t="e">
        <v>#N/A</v>
      </c>
      <c r="AK770" s="80">
        <f t="shared" si="107"/>
        <v>0</v>
      </c>
      <c r="AM770" s="85"/>
    </row>
    <row r="771" spans="1:39" hidden="1" x14ac:dyDescent="0.3">
      <c r="A771" s="85" t="s">
        <v>34</v>
      </c>
      <c r="B771" s="15" t="s">
        <v>35</v>
      </c>
      <c r="C771" s="15" t="s">
        <v>65</v>
      </c>
      <c r="D771" s="15" t="s">
        <v>66</v>
      </c>
      <c r="E771" s="15" t="s">
        <v>473</v>
      </c>
      <c r="F771" s="15" t="s">
        <v>473</v>
      </c>
      <c r="G771" s="15" t="s">
        <v>473</v>
      </c>
      <c r="H771" s="154"/>
      <c r="I771" s="15" t="s">
        <v>408</v>
      </c>
      <c r="J771" s="1" t="s">
        <v>3324</v>
      </c>
      <c r="K771" s="1" t="s">
        <v>3278</v>
      </c>
      <c r="L771" s="1" t="s">
        <v>35</v>
      </c>
      <c r="M771" s="15" t="s">
        <v>476</v>
      </c>
      <c r="N771" s="15"/>
      <c r="O771" s="8" t="s">
        <v>88</v>
      </c>
      <c r="P771" s="8" t="s">
        <v>41</v>
      </c>
      <c r="Q771" s="9">
        <v>0</v>
      </c>
      <c r="R771" s="139">
        <v>1000059941</v>
      </c>
      <c r="S771" s="15"/>
      <c r="T771" s="18">
        <v>0</v>
      </c>
      <c r="U771" s="4">
        <v>0</v>
      </c>
      <c r="V771" s="6">
        <v>3014.99</v>
      </c>
      <c r="W771" s="18">
        <f t="shared" si="110"/>
        <v>-3014.99</v>
      </c>
      <c r="X771" s="18">
        <f t="shared" si="109"/>
        <v>3014.99</v>
      </c>
      <c r="Y771" s="13">
        <f t="shared" ref="Y771:Y834" si="113">IF(X771-AD771&lt;=0,0,IF(P771="返现",MAX(X771-AC771-AD771,0),MAX(X771-AD771)))</f>
        <v>1365.4589383076789</v>
      </c>
      <c r="Z771" s="14">
        <v>0</v>
      </c>
      <c r="AA771" s="4">
        <v>0</v>
      </c>
      <c r="AB771" s="4">
        <f t="shared" ref="AB771:AB834" si="114">X771+AA771</f>
        <v>3014.99</v>
      </c>
      <c r="AC771" s="6">
        <f t="shared" ref="AC771:AC834" si="115">IF(P771="返现",X771*Q771,V771-X771)</f>
        <v>0</v>
      </c>
      <c r="AD771" s="18">
        <f t="shared" si="111"/>
        <v>1649.5310616923209</v>
      </c>
      <c r="AE771" s="2">
        <v>0.12</v>
      </c>
      <c r="AF771" s="5">
        <f t="shared" ref="AF771:AF834" si="116">AD771*AE771</f>
        <v>197.9437274030785</v>
      </c>
      <c r="AG771" s="14">
        <v>0</v>
      </c>
      <c r="AH771" s="10">
        <f t="shared" si="112"/>
        <v>3014.99</v>
      </c>
      <c r="AI771" s="16"/>
      <c r="AJ771" s="126" t="e">
        <v>#N/A</v>
      </c>
      <c r="AK771" s="80">
        <f t="shared" ref="AK771:AK834" si="117">X771+AA771-AB771</f>
        <v>0</v>
      </c>
      <c r="AM771" s="85"/>
    </row>
    <row r="772" spans="1:39" hidden="1" x14ac:dyDescent="0.3">
      <c r="A772" s="85" t="s">
        <v>34</v>
      </c>
      <c r="B772" s="15" t="s">
        <v>35</v>
      </c>
      <c r="C772" s="15" t="s">
        <v>47</v>
      </c>
      <c r="D772" s="15" t="s">
        <v>63</v>
      </c>
      <c r="E772" s="15" t="s">
        <v>528</v>
      </c>
      <c r="F772" s="15" t="s">
        <v>528</v>
      </c>
      <c r="G772" s="15" t="s">
        <v>528</v>
      </c>
      <c r="H772" s="154"/>
      <c r="I772" s="15" t="s">
        <v>408</v>
      </c>
      <c r="J772" s="1" t="s">
        <v>3324</v>
      </c>
      <c r="K772" s="1" t="s">
        <v>3278</v>
      </c>
      <c r="L772" s="1" t="s">
        <v>35</v>
      </c>
      <c r="M772" s="15" t="s">
        <v>530</v>
      </c>
      <c r="N772" s="15"/>
      <c r="O772" s="8" t="s">
        <v>88</v>
      </c>
      <c r="P772" s="8" t="s">
        <v>46</v>
      </c>
      <c r="Q772" s="9">
        <v>5.0000000000000001E-3</v>
      </c>
      <c r="R772" s="139">
        <v>1000080693</v>
      </c>
      <c r="S772" s="15"/>
      <c r="T772" s="18">
        <v>0</v>
      </c>
      <c r="U772" s="4">
        <v>0</v>
      </c>
      <c r="V772" s="6">
        <v>312412.7099999999</v>
      </c>
      <c r="W772" s="18">
        <f t="shared" si="110"/>
        <v>-312412.7099999999</v>
      </c>
      <c r="X772" s="18">
        <f t="shared" si="109"/>
        <v>310858.41791044769</v>
      </c>
      <c r="Y772" s="13">
        <f t="shared" si="113"/>
        <v>139934.31228738592</v>
      </c>
      <c r="Z772" s="14">
        <v>0</v>
      </c>
      <c r="AA772" s="4">
        <v>0</v>
      </c>
      <c r="AB772" s="4">
        <f t="shared" si="114"/>
        <v>310858.41791044769</v>
      </c>
      <c r="AC772" s="6">
        <f t="shared" si="115"/>
        <v>1554.2920895522111</v>
      </c>
      <c r="AD772" s="18">
        <f t="shared" si="111"/>
        <v>170924.10562306177</v>
      </c>
      <c r="AE772" s="2">
        <v>0.12</v>
      </c>
      <c r="AF772" s="5">
        <f t="shared" si="116"/>
        <v>20510.892674767412</v>
      </c>
      <c r="AG772" s="14">
        <v>0</v>
      </c>
      <c r="AH772" s="10">
        <f t="shared" si="112"/>
        <v>312412.7099999999</v>
      </c>
      <c r="AI772" s="16"/>
      <c r="AJ772" s="126" t="e">
        <v>#N/A</v>
      </c>
      <c r="AK772" s="80">
        <f t="shared" si="117"/>
        <v>0</v>
      </c>
      <c r="AM772" s="85"/>
    </row>
    <row r="773" spans="1:39" hidden="1" x14ac:dyDescent="0.3">
      <c r="A773" s="85" t="s">
        <v>34</v>
      </c>
      <c r="B773" s="15" t="s">
        <v>35</v>
      </c>
      <c r="C773" s="15" t="s">
        <v>47</v>
      </c>
      <c r="D773" s="15" t="s">
        <v>63</v>
      </c>
      <c r="E773" s="15" t="s">
        <v>533</v>
      </c>
      <c r="F773" s="15" t="s">
        <v>533</v>
      </c>
      <c r="G773" s="15" t="s">
        <v>533</v>
      </c>
      <c r="H773" s="154"/>
      <c r="I773" s="15" t="s">
        <v>408</v>
      </c>
      <c r="J773" s="1" t="s">
        <v>3324</v>
      </c>
      <c r="K773" s="1" t="s">
        <v>3278</v>
      </c>
      <c r="L773" s="1" t="s">
        <v>35</v>
      </c>
      <c r="M773" s="15" t="s">
        <v>535</v>
      </c>
      <c r="N773" s="15"/>
      <c r="O773" s="8" t="s">
        <v>88</v>
      </c>
      <c r="P773" s="8" t="s">
        <v>46</v>
      </c>
      <c r="Q773" s="9">
        <v>0.02</v>
      </c>
      <c r="R773" s="139">
        <v>1000073749</v>
      </c>
      <c r="S773" s="15"/>
      <c r="T773" s="18">
        <v>0</v>
      </c>
      <c r="U773" s="4">
        <v>0</v>
      </c>
      <c r="V773" s="6">
        <v>52630.080000000002</v>
      </c>
      <c r="W773" s="18">
        <f t="shared" si="110"/>
        <v>-52630.080000000002</v>
      </c>
      <c r="X773" s="18">
        <f t="shared" si="109"/>
        <v>51598.117647058825</v>
      </c>
      <c r="Y773" s="13">
        <f t="shared" si="113"/>
        <v>22803.676624252184</v>
      </c>
      <c r="Z773" s="14">
        <v>0</v>
      </c>
      <c r="AA773" s="4">
        <v>0</v>
      </c>
      <c r="AB773" s="4">
        <f t="shared" si="114"/>
        <v>51598.117647058825</v>
      </c>
      <c r="AC773" s="6">
        <f t="shared" si="115"/>
        <v>1031.9623529411765</v>
      </c>
      <c r="AD773" s="18">
        <f t="shared" si="111"/>
        <v>28794.441022806641</v>
      </c>
      <c r="AE773" s="2">
        <v>0.12</v>
      </c>
      <c r="AF773" s="5">
        <f t="shared" si="116"/>
        <v>3455.3329227367967</v>
      </c>
      <c r="AG773" s="14">
        <v>0</v>
      </c>
      <c r="AH773" s="10">
        <f t="shared" si="112"/>
        <v>52630.080000000002</v>
      </c>
      <c r="AI773" s="16"/>
      <c r="AJ773" s="126" t="e">
        <v>#N/A</v>
      </c>
      <c r="AK773" s="80">
        <f t="shared" si="117"/>
        <v>0</v>
      </c>
      <c r="AM773" s="85"/>
    </row>
    <row r="774" spans="1:39" hidden="1" x14ac:dyDescent="0.3">
      <c r="A774" s="85" t="s">
        <v>34</v>
      </c>
      <c r="B774" s="15" t="s">
        <v>35</v>
      </c>
      <c r="C774" s="15" t="s">
        <v>144</v>
      </c>
      <c r="D774" s="15" t="s">
        <v>161</v>
      </c>
      <c r="E774" s="15" t="s">
        <v>55</v>
      </c>
      <c r="F774" s="15" t="s">
        <v>607</v>
      </c>
      <c r="G774" s="15" t="s">
        <v>55</v>
      </c>
      <c r="H774" s="154"/>
      <c r="I774" s="15" t="s">
        <v>408</v>
      </c>
      <c r="J774" s="1" t="s">
        <v>3324</v>
      </c>
      <c r="K774" s="1" t="s">
        <v>3278</v>
      </c>
      <c r="L774" s="1" t="s">
        <v>35</v>
      </c>
      <c r="M774" s="15" t="s">
        <v>609</v>
      </c>
      <c r="N774" s="15"/>
      <c r="O774" s="8" t="s">
        <v>1058</v>
      </c>
      <c r="P774" s="8" t="s">
        <v>41</v>
      </c>
      <c r="Q774" s="9">
        <v>0</v>
      </c>
      <c r="R774" s="139">
        <v>1000016218</v>
      </c>
      <c r="S774" s="15"/>
      <c r="T774" s="18">
        <v>0</v>
      </c>
      <c r="U774" s="4">
        <v>0</v>
      </c>
      <c r="V774" s="6">
        <v>297000.25</v>
      </c>
      <c r="W774" s="18">
        <f t="shared" si="110"/>
        <v>-297000.25</v>
      </c>
      <c r="X774" s="18">
        <f t="shared" si="109"/>
        <v>297000.25</v>
      </c>
      <c r="Y774" s="13">
        <f t="shared" si="113"/>
        <v>134508.45476837907</v>
      </c>
      <c r="Z774" s="14">
        <v>0</v>
      </c>
      <c r="AA774" s="4">
        <v>0</v>
      </c>
      <c r="AB774" s="4">
        <f t="shared" si="114"/>
        <v>297000.25</v>
      </c>
      <c r="AC774" s="6">
        <f t="shared" si="115"/>
        <v>0</v>
      </c>
      <c r="AD774" s="18">
        <f t="shared" si="111"/>
        <v>162491.79523162093</v>
      </c>
      <c r="AE774" s="2">
        <v>0.12</v>
      </c>
      <c r="AF774" s="5">
        <f t="shared" si="116"/>
        <v>19499.015427794511</v>
      </c>
      <c r="AG774" s="14">
        <v>0</v>
      </c>
      <c r="AH774" s="10">
        <f t="shared" si="112"/>
        <v>297000.25</v>
      </c>
      <c r="AI774" s="16"/>
      <c r="AJ774" s="126" t="e">
        <v>#N/A</v>
      </c>
      <c r="AK774" s="80">
        <f t="shared" si="117"/>
        <v>0</v>
      </c>
      <c r="AM774" s="85"/>
    </row>
    <row r="775" spans="1:39" hidden="1" x14ac:dyDescent="0.3">
      <c r="A775" s="85" t="s">
        <v>34</v>
      </c>
      <c r="B775" s="15" t="s">
        <v>35</v>
      </c>
      <c r="C775" s="15" t="s">
        <v>65</v>
      </c>
      <c r="D775" s="15" t="s">
        <v>66</v>
      </c>
      <c r="E775" s="15" t="s">
        <v>469</v>
      </c>
      <c r="F775" s="15" t="s">
        <v>469</v>
      </c>
      <c r="G775" s="15" t="s">
        <v>469</v>
      </c>
      <c r="H775" s="154"/>
      <c r="I775" s="15" t="s">
        <v>408</v>
      </c>
      <c r="J775" s="1" t="s">
        <v>3324</v>
      </c>
      <c r="K775" s="1" t="s">
        <v>3278</v>
      </c>
      <c r="L775" s="1" t="s">
        <v>35</v>
      </c>
      <c r="M775" s="15" t="s">
        <v>1059</v>
      </c>
      <c r="N775" s="15"/>
      <c r="O775" s="8" t="s">
        <v>1058</v>
      </c>
      <c r="P775" s="8" t="s">
        <v>41</v>
      </c>
      <c r="Q775" s="9">
        <v>0</v>
      </c>
      <c r="R775" s="139">
        <v>1000048227</v>
      </c>
      <c r="S775" s="15"/>
      <c r="T775" s="18">
        <v>0</v>
      </c>
      <c r="U775" s="4">
        <v>0</v>
      </c>
      <c r="V775" s="6">
        <v>2154.2400000000002</v>
      </c>
      <c r="W775" s="18">
        <f t="shared" si="110"/>
        <v>-2154.2400000000002</v>
      </c>
      <c r="X775" s="18">
        <f t="shared" si="109"/>
        <v>2154.2400000000002</v>
      </c>
      <c r="Y775" s="13">
        <f t="shared" si="113"/>
        <v>975.63383734603917</v>
      </c>
      <c r="Z775" s="14">
        <v>0</v>
      </c>
      <c r="AA775" s="4">
        <v>0</v>
      </c>
      <c r="AB775" s="4">
        <f t="shared" si="114"/>
        <v>2154.2400000000002</v>
      </c>
      <c r="AC775" s="6">
        <f t="shared" si="115"/>
        <v>0</v>
      </c>
      <c r="AD775" s="18">
        <f t="shared" si="111"/>
        <v>1178.6061626539611</v>
      </c>
      <c r="AE775" s="2">
        <v>0.12</v>
      </c>
      <c r="AF775" s="5">
        <f t="shared" si="116"/>
        <v>141.43273951847533</v>
      </c>
      <c r="AG775" s="14">
        <v>0</v>
      </c>
      <c r="AH775" s="10">
        <f t="shared" si="112"/>
        <v>2154.2400000000002</v>
      </c>
      <c r="AI775" s="16"/>
      <c r="AJ775" s="126" t="e">
        <v>#N/A</v>
      </c>
      <c r="AK775" s="80">
        <f t="shared" si="117"/>
        <v>0</v>
      </c>
      <c r="AM775" s="85"/>
    </row>
    <row r="776" spans="1:39" hidden="1" x14ac:dyDescent="0.3">
      <c r="A776" s="85" t="s">
        <v>34</v>
      </c>
      <c r="B776" s="15" t="s">
        <v>35</v>
      </c>
      <c r="C776" s="15" t="s">
        <v>59</v>
      </c>
      <c r="D776" s="15" t="s">
        <v>60</v>
      </c>
      <c r="E776" s="15" t="s">
        <v>425</v>
      </c>
      <c r="F776" s="15" t="s">
        <v>425</v>
      </c>
      <c r="G776" s="15" t="s">
        <v>425</v>
      </c>
      <c r="H776" s="154"/>
      <c r="I776" s="15" t="s">
        <v>408</v>
      </c>
      <c r="J776" s="1" t="s">
        <v>3324</v>
      </c>
      <c r="K776" s="1" t="s">
        <v>3278</v>
      </c>
      <c r="L776" s="1" t="s">
        <v>35</v>
      </c>
      <c r="M776" s="15" t="s">
        <v>427</v>
      </c>
      <c r="N776" s="15"/>
      <c r="O776" s="8" t="s">
        <v>1058</v>
      </c>
      <c r="P776" s="8" t="s">
        <v>46</v>
      </c>
      <c r="Q776" s="9">
        <v>0.04</v>
      </c>
      <c r="R776" s="139">
        <v>1000069101</v>
      </c>
      <c r="S776" s="15"/>
      <c r="T776" s="18">
        <v>0</v>
      </c>
      <c r="U776" s="4">
        <v>0</v>
      </c>
      <c r="V776" s="6">
        <v>6197.4100000000008</v>
      </c>
      <c r="W776" s="18">
        <f t="shared" si="110"/>
        <v>-6197.4100000000008</v>
      </c>
      <c r="X776" s="18">
        <f t="shared" si="109"/>
        <v>5959.0480769230771</v>
      </c>
      <c r="Y776" s="13">
        <f t="shared" si="113"/>
        <v>2568.383332747273</v>
      </c>
      <c r="Z776" s="14">
        <v>0</v>
      </c>
      <c r="AA776" s="4">
        <v>0</v>
      </c>
      <c r="AB776" s="4">
        <f t="shared" si="114"/>
        <v>5959.0480769230771</v>
      </c>
      <c r="AC776" s="6">
        <f t="shared" si="115"/>
        <v>238.36192307692363</v>
      </c>
      <c r="AD776" s="18">
        <f t="shared" si="111"/>
        <v>3390.6647441758041</v>
      </c>
      <c r="AE776" s="2">
        <v>0.12</v>
      </c>
      <c r="AF776" s="5">
        <f t="shared" si="116"/>
        <v>406.87976930109647</v>
      </c>
      <c r="AG776" s="14">
        <v>0</v>
      </c>
      <c r="AH776" s="10">
        <f t="shared" si="112"/>
        <v>6197.4100000000008</v>
      </c>
      <c r="AI776" s="16"/>
      <c r="AJ776" s="126" t="e">
        <v>#N/A</v>
      </c>
      <c r="AK776" s="80">
        <f t="shared" si="117"/>
        <v>0</v>
      </c>
      <c r="AM776" s="85"/>
    </row>
    <row r="777" spans="1:39" hidden="1" x14ac:dyDescent="0.3">
      <c r="A777" s="85" t="s">
        <v>34</v>
      </c>
      <c r="B777" s="15" t="s">
        <v>35</v>
      </c>
      <c r="C777" s="15" t="s">
        <v>164</v>
      </c>
      <c r="D777" s="15" t="s">
        <v>174</v>
      </c>
      <c r="E777" s="15" t="s">
        <v>651</v>
      </c>
      <c r="F777" s="15" t="s">
        <v>651</v>
      </c>
      <c r="G777" s="15" t="s">
        <v>651</v>
      </c>
      <c r="H777" s="154"/>
      <c r="I777" s="15" t="s">
        <v>408</v>
      </c>
      <c r="J777" s="1" t="s">
        <v>3324</v>
      </c>
      <c r="K777" s="1" t="s">
        <v>3278</v>
      </c>
      <c r="L777" s="1" t="s">
        <v>35</v>
      </c>
      <c r="M777" s="15" t="s">
        <v>654</v>
      </c>
      <c r="N777" s="15"/>
      <c r="O777" s="8" t="s">
        <v>1058</v>
      </c>
      <c r="P777" s="8" t="s">
        <v>46</v>
      </c>
      <c r="Q777" s="9">
        <v>0.04</v>
      </c>
      <c r="R777" s="139">
        <v>1000072406</v>
      </c>
      <c r="S777" s="15"/>
      <c r="T777" s="18">
        <v>0</v>
      </c>
      <c r="U777" s="4">
        <v>0</v>
      </c>
      <c r="V777" s="6">
        <v>461833.13000000006</v>
      </c>
      <c r="W777" s="18">
        <f t="shared" si="110"/>
        <v>-461833.13000000006</v>
      </c>
      <c r="X777" s="18">
        <f t="shared" si="109"/>
        <v>444070.31730769237</v>
      </c>
      <c r="Y777" s="13">
        <f t="shared" si="113"/>
        <v>191396.81150714651</v>
      </c>
      <c r="Z777" s="14">
        <v>0</v>
      </c>
      <c r="AA777" s="4">
        <v>0</v>
      </c>
      <c r="AB777" s="4">
        <f t="shared" si="114"/>
        <v>444070.31730769237</v>
      </c>
      <c r="AC777" s="6">
        <f t="shared" si="115"/>
        <v>17762.812692307692</v>
      </c>
      <c r="AD777" s="18">
        <f t="shared" si="111"/>
        <v>252673.50580054586</v>
      </c>
      <c r="AE777" s="2">
        <v>0.12</v>
      </c>
      <c r="AF777" s="5">
        <f t="shared" si="116"/>
        <v>30320.820696065501</v>
      </c>
      <c r="AG777" s="14">
        <v>0</v>
      </c>
      <c r="AH777" s="10">
        <f t="shared" si="112"/>
        <v>461833.13000000006</v>
      </c>
      <c r="AI777" s="16"/>
      <c r="AJ777" s="126" t="e">
        <v>#N/A</v>
      </c>
      <c r="AK777" s="80">
        <f t="shared" si="117"/>
        <v>0</v>
      </c>
      <c r="AM777" s="85"/>
    </row>
    <row r="778" spans="1:39" hidden="1" x14ac:dyDescent="0.3">
      <c r="A778" s="85" t="s">
        <v>34</v>
      </c>
      <c r="B778" s="15" t="s">
        <v>35</v>
      </c>
      <c r="C778" s="15" t="s">
        <v>164</v>
      </c>
      <c r="D778" s="15" t="s">
        <v>174</v>
      </c>
      <c r="E778" s="15" t="s">
        <v>651</v>
      </c>
      <c r="F778" s="15" t="s">
        <v>651</v>
      </c>
      <c r="G778" s="15" t="s">
        <v>651</v>
      </c>
      <c r="H778" s="154"/>
      <c r="I778" s="15" t="s">
        <v>408</v>
      </c>
      <c r="J778" s="1" t="s">
        <v>3324</v>
      </c>
      <c r="K778" s="1" t="s">
        <v>3278</v>
      </c>
      <c r="L778" s="1" t="s">
        <v>35</v>
      </c>
      <c r="M778" s="15" t="s">
        <v>657</v>
      </c>
      <c r="N778" s="15"/>
      <c r="O778" s="8" t="s">
        <v>1058</v>
      </c>
      <c r="P778" s="8" t="s">
        <v>46</v>
      </c>
      <c r="Q778" s="9">
        <v>0.04</v>
      </c>
      <c r="R778" s="139">
        <v>1000073750</v>
      </c>
      <c r="S778" s="15"/>
      <c r="T778" s="18">
        <v>0</v>
      </c>
      <c r="U778" s="4">
        <v>0</v>
      </c>
      <c r="V778" s="6">
        <v>130683.49</v>
      </c>
      <c r="W778" s="18">
        <f t="shared" si="110"/>
        <v>-130683.49</v>
      </c>
      <c r="X778" s="18">
        <f t="shared" si="109"/>
        <v>125657.20192307692</v>
      </c>
      <c r="Y778" s="13">
        <f t="shared" si="113"/>
        <v>54158.962789495112</v>
      </c>
      <c r="Z778" s="14">
        <v>0</v>
      </c>
      <c r="AA778" s="4">
        <v>0</v>
      </c>
      <c r="AB778" s="4">
        <f t="shared" si="114"/>
        <v>125657.20192307692</v>
      </c>
      <c r="AC778" s="6">
        <f t="shared" si="115"/>
        <v>5026.2880769230833</v>
      </c>
      <c r="AD778" s="18">
        <f t="shared" si="111"/>
        <v>71498.23913358181</v>
      </c>
      <c r="AE778" s="2">
        <v>0.12</v>
      </c>
      <c r="AF778" s="5">
        <f t="shared" si="116"/>
        <v>8579.7886960298165</v>
      </c>
      <c r="AG778" s="14">
        <v>0</v>
      </c>
      <c r="AH778" s="10">
        <f t="shared" si="112"/>
        <v>130683.49</v>
      </c>
      <c r="AI778" s="16"/>
      <c r="AJ778" s="126" t="e">
        <v>#N/A</v>
      </c>
      <c r="AK778" s="80">
        <f t="shared" si="117"/>
        <v>0</v>
      </c>
      <c r="AM778" s="85"/>
    </row>
    <row r="779" spans="1:39" hidden="1" x14ac:dyDescent="0.3">
      <c r="A779" s="85" t="s">
        <v>34</v>
      </c>
      <c r="B779" s="15" t="s">
        <v>35</v>
      </c>
      <c r="C779" s="15" t="s">
        <v>164</v>
      </c>
      <c r="D779" s="15" t="s">
        <v>174</v>
      </c>
      <c r="E779" s="15" t="s">
        <v>651</v>
      </c>
      <c r="F779" s="15" t="s">
        <v>651</v>
      </c>
      <c r="G779" s="15" t="s">
        <v>651</v>
      </c>
      <c r="H779" s="154"/>
      <c r="I779" s="15" t="s">
        <v>408</v>
      </c>
      <c r="J779" s="1" t="s">
        <v>3324</v>
      </c>
      <c r="K779" s="1" t="s">
        <v>3278</v>
      </c>
      <c r="L779" s="1" t="s">
        <v>35</v>
      </c>
      <c r="M779" s="15" t="s">
        <v>655</v>
      </c>
      <c r="N779" s="15"/>
      <c r="O779" s="8" t="s">
        <v>1058</v>
      </c>
      <c r="P779" s="8" t="s">
        <v>46</v>
      </c>
      <c r="Q779" s="9">
        <v>0.04</v>
      </c>
      <c r="R779" s="139">
        <v>1000080359</v>
      </c>
      <c r="S779" s="15"/>
      <c r="T779" s="18">
        <v>0</v>
      </c>
      <c r="U779" s="4">
        <v>0</v>
      </c>
      <c r="V779" s="6">
        <v>28969.369999999988</v>
      </c>
      <c r="W779" s="18">
        <f t="shared" si="110"/>
        <v>-28969.369999999988</v>
      </c>
      <c r="X779" s="18">
        <f t="shared" si="109"/>
        <v>27855.16346153845</v>
      </c>
      <c r="Y779" s="13">
        <f t="shared" si="113"/>
        <v>12005.732567022165</v>
      </c>
      <c r="Z779" s="14">
        <v>0</v>
      </c>
      <c r="AA779" s="4">
        <v>0</v>
      </c>
      <c r="AB779" s="4">
        <f t="shared" si="114"/>
        <v>27855.16346153845</v>
      </c>
      <c r="AC779" s="6">
        <f t="shared" si="115"/>
        <v>1114.206538461538</v>
      </c>
      <c r="AD779" s="18">
        <f t="shared" si="111"/>
        <v>15849.430894516285</v>
      </c>
      <c r="AE779" s="2">
        <v>0.12</v>
      </c>
      <c r="AF779" s="5">
        <f t="shared" si="116"/>
        <v>1901.9317073419541</v>
      </c>
      <c r="AG779" s="14">
        <v>0</v>
      </c>
      <c r="AH779" s="10">
        <f t="shared" si="112"/>
        <v>28969.369999999988</v>
      </c>
      <c r="AI779" s="16"/>
      <c r="AJ779" s="126" t="e">
        <v>#N/A</v>
      </c>
      <c r="AK779" s="80">
        <f t="shared" si="117"/>
        <v>0</v>
      </c>
      <c r="AM779" s="85"/>
    </row>
    <row r="780" spans="1:39" hidden="1" x14ac:dyDescent="0.3">
      <c r="A780" s="85" t="s">
        <v>34</v>
      </c>
      <c r="B780" s="15" t="s">
        <v>35</v>
      </c>
      <c r="C780" s="15" t="s">
        <v>144</v>
      </c>
      <c r="D780" s="15" t="s">
        <v>161</v>
      </c>
      <c r="E780" s="15" t="s">
        <v>55</v>
      </c>
      <c r="F780" s="15" t="s">
        <v>607</v>
      </c>
      <c r="G780" s="15" t="s">
        <v>55</v>
      </c>
      <c r="H780" s="154"/>
      <c r="I780" s="15" t="s">
        <v>408</v>
      </c>
      <c r="J780" s="1" t="s">
        <v>3324</v>
      </c>
      <c r="K780" s="1" t="s">
        <v>3278</v>
      </c>
      <c r="L780" s="1" t="s">
        <v>35</v>
      </c>
      <c r="M780" s="15" t="s">
        <v>608</v>
      </c>
      <c r="N780" s="15"/>
      <c r="O780" s="8" t="s">
        <v>1058</v>
      </c>
      <c r="P780" s="8" t="s">
        <v>41</v>
      </c>
      <c r="Q780" s="9">
        <v>0</v>
      </c>
      <c r="R780" s="139">
        <v>1000083696</v>
      </c>
      <c r="S780" s="15"/>
      <c r="T780" s="18">
        <v>0</v>
      </c>
      <c r="U780" s="4">
        <v>0</v>
      </c>
      <c r="V780" s="6">
        <v>153648.74</v>
      </c>
      <c r="W780" s="18">
        <f t="shared" si="110"/>
        <v>-153648.74</v>
      </c>
      <c r="X780" s="18">
        <f t="shared" si="109"/>
        <v>153648.74</v>
      </c>
      <c r="Y780" s="13">
        <f t="shared" si="113"/>
        <v>69585.983831691847</v>
      </c>
      <c r="Z780" s="14">
        <v>0</v>
      </c>
      <c r="AA780" s="4">
        <v>0</v>
      </c>
      <c r="AB780" s="4">
        <f t="shared" si="114"/>
        <v>153648.74</v>
      </c>
      <c r="AC780" s="6">
        <f t="shared" si="115"/>
        <v>0</v>
      </c>
      <c r="AD780" s="18">
        <f t="shared" si="111"/>
        <v>84062.756168308144</v>
      </c>
      <c r="AE780" s="2">
        <v>0.12</v>
      </c>
      <c r="AF780" s="5">
        <f t="shared" si="116"/>
        <v>10087.530740196977</v>
      </c>
      <c r="AG780" s="14">
        <v>0</v>
      </c>
      <c r="AH780" s="10">
        <f t="shared" si="112"/>
        <v>153648.74</v>
      </c>
      <c r="AI780" s="16"/>
      <c r="AJ780" s="126" t="e">
        <v>#N/A</v>
      </c>
      <c r="AK780" s="80">
        <f t="shared" si="117"/>
        <v>0</v>
      </c>
      <c r="AM780" s="85"/>
    </row>
    <row r="781" spans="1:39" hidden="1" x14ac:dyDescent="0.3">
      <c r="A781" s="85" t="s">
        <v>34</v>
      </c>
      <c r="B781" s="15" t="s">
        <v>35</v>
      </c>
      <c r="C781" s="15" t="s">
        <v>164</v>
      </c>
      <c r="D781" s="15" t="s">
        <v>174</v>
      </c>
      <c r="E781" s="15" t="s">
        <v>651</v>
      </c>
      <c r="F781" s="15" t="s">
        <v>651</v>
      </c>
      <c r="G781" s="15" t="s">
        <v>651</v>
      </c>
      <c r="H781" s="154"/>
      <c r="I781" s="15" t="s">
        <v>408</v>
      </c>
      <c r="J781" s="1" t="s">
        <v>3324</v>
      </c>
      <c r="K781" s="1" t="s">
        <v>3278</v>
      </c>
      <c r="L781" s="1" t="s">
        <v>35</v>
      </c>
      <c r="M781" s="15" t="s">
        <v>656</v>
      </c>
      <c r="N781" s="15"/>
      <c r="O781" s="8" t="s">
        <v>1058</v>
      </c>
      <c r="P781" s="8" t="s">
        <v>46</v>
      </c>
      <c r="Q781" s="9">
        <v>0.04</v>
      </c>
      <c r="R781" s="139">
        <v>1000084508</v>
      </c>
      <c r="S781" s="15"/>
      <c r="T781" s="18">
        <v>0</v>
      </c>
      <c r="U781" s="4">
        <v>0</v>
      </c>
      <c r="V781" s="6">
        <v>32847.320000000007</v>
      </c>
      <c r="W781" s="18">
        <f t="shared" si="110"/>
        <v>-32847.320000000007</v>
      </c>
      <c r="X781" s="18">
        <f t="shared" si="109"/>
        <v>31583.961538461543</v>
      </c>
      <c r="Y781" s="13">
        <f t="shared" si="113"/>
        <v>13612.86557020048</v>
      </c>
      <c r="Z781" s="14">
        <v>0</v>
      </c>
      <c r="AA781" s="4">
        <v>0</v>
      </c>
      <c r="AB781" s="4">
        <f t="shared" si="114"/>
        <v>31583.961538461543</v>
      </c>
      <c r="AC781" s="6">
        <f t="shared" si="115"/>
        <v>1263.3584615384643</v>
      </c>
      <c r="AD781" s="18">
        <f t="shared" si="111"/>
        <v>17971.095968261063</v>
      </c>
      <c r="AE781" s="2">
        <v>0.12</v>
      </c>
      <c r="AF781" s="5">
        <f t="shared" si="116"/>
        <v>2156.5315161913277</v>
      </c>
      <c r="AG781" s="14">
        <v>0</v>
      </c>
      <c r="AH781" s="10">
        <f t="shared" si="112"/>
        <v>32847.320000000007</v>
      </c>
      <c r="AI781" s="16"/>
      <c r="AJ781" s="126" t="e">
        <v>#N/A</v>
      </c>
      <c r="AK781" s="80">
        <f t="shared" si="117"/>
        <v>0</v>
      </c>
      <c r="AM781" s="85"/>
    </row>
    <row r="782" spans="1:39" hidden="1" x14ac:dyDescent="0.3">
      <c r="A782" s="85" t="s">
        <v>34</v>
      </c>
      <c r="B782" s="15" t="s">
        <v>35</v>
      </c>
      <c r="C782" s="15" t="s">
        <v>164</v>
      </c>
      <c r="D782" s="15" t="s">
        <v>174</v>
      </c>
      <c r="E782" s="15" t="s">
        <v>651</v>
      </c>
      <c r="F782" s="15" t="s">
        <v>651</v>
      </c>
      <c r="G782" s="15" t="s">
        <v>651</v>
      </c>
      <c r="H782" s="154"/>
      <c r="I782" s="15" t="s">
        <v>408</v>
      </c>
      <c r="J782" s="1" t="s">
        <v>3324</v>
      </c>
      <c r="K782" s="1" t="s">
        <v>3278</v>
      </c>
      <c r="L782" s="1" t="s">
        <v>35</v>
      </c>
      <c r="M782" s="15" t="s">
        <v>658</v>
      </c>
      <c r="N782" s="15"/>
      <c r="O782" s="8" t="s">
        <v>1058</v>
      </c>
      <c r="P782" s="8" t="s">
        <v>46</v>
      </c>
      <c r="Q782" s="9">
        <v>0.04</v>
      </c>
      <c r="R782" s="139">
        <v>1000085275</v>
      </c>
      <c r="S782" s="15"/>
      <c r="T782" s="18">
        <v>0</v>
      </c>
      <c r="U782" s="4">
        <v>0</v>
      </c>
      <c r="V782" s="6">
        <v>157896.64999999997</v>
      </c>
      <c r="W782" s="18">
        <f t="shared" si="110"/>
        <v>-157896.64999999997</v>
      </c>
      <c r="X782" s="18">
        <f t="shared" si="109"/>
        <v>151823.70192307688</v>
      </c>
      <c r="Y782" s="13">
        <f t="shared" si="113"/>
        <v>65436.871879806175</v>
      </c>
      <c r="Z782" s="14">
        <v>0</v>
      </c>
      <c r="AA782" s="4">
        <v>0</v>
      </c>
      <c r="AB782" s="4">
        <f t="shared" si="114"/>
        <v>151823.70192307688</v>
      </c>
      <c r="AC782" s="6">
        <f t="shared" si="115"/>
        <v>6072.9480769230868</v>
      </c>
      <c r="AD782" s="18">
        <f t="shared" si="111"/>
        <v>86386.830043270704</v>
      </c>
      <c r="AE782" s="2">
        <v>0.12</v>
      </c>
      <c r="AF782" s="5">
        <f t="shared" si="116"/>
        <v>10366.419605192485</v>
      </c>
      <c r="AG782" s="14">
        <v>0</v>
      </c>
      <c r="AH782" s="10">
        <f t="shared" si="112"/>
        <v>157896.64999999997</v>
      </c>
      <c r="AI782" s="16"/>
      <c r="AJ782" s="126" t="e">
        <v>#N/A</v>
      </c>
      <c r="AK782" s="80">
        <f t="shared" si="117"/>
        <v>0</v>
      </c>
      <c r="AM782" s="85"/>
    </row>
    <row r="783" spans="1:39" hidden="1" x14ac:dyDescent="0.3">
      <c r="A783" s="85" t="s">
        <v>34</v>
      </c>
      <c r="B783" s="15" t="s">
        <v>35</v>
      </c>
      <c r="C783" s="15" t="s">
        <v>164</v>
      </c>
      <c r="D783" s="15" t="s">
        <v>174</v>
      </c>
      <c r="E783" s="15" t="s">
        <v>651</v>
      </c>
      <c r="F783" s="15" t="s">
        <v>651</v>
      </c>
      <c r="G783" s="15" t="s">
        <v>651</v>
      </c>
      <c r="H783" s="154"/>
      <c r="I783" s="15" t="s">
        <v>408</v>
      </c>
      <c r="J783" s="1" t="s">
        <v>3324</v>
      </c>
      <c r="K783" s="1" t="s">
        <v>3278</v>
      </c>
      <c r="L783" s="1" t="s">
        <v>35</v>
      </c>
      <c r="M783" s="15" t="s">
        <v>652</v>
      </c>
      <c r="N783" s="15"/>
      <c r="O783" s="8" t="s">
        <v>1058</v>
      </c>
      <c r="P783" s="8" t="s">
        <v>46</v>
      </c>
      <c r="Q783" s="9">
        <v>0.04</v>
      </c>
      <c r="R783" s="139">
        <v>1000085487</v>
      </c>
      <c r="S783" s="15"/>
      <c r="T783" s="18">
        <v>0</v>
      </c>
      <c r="U783" s="4">
        <v>0</v>
      </c>
      <c r="V783" s="6">
        <v>45991.64</v>
      </c>
      <c r="W783" s="18">
        <f t="shared" si="110"/>
        <v>-45991.64</v>
      </c>
      <c r="X783" s="18">
        <f t="shared" si="109"/>
        <v>44222.730769230766</v>
      </c>
      <c r="Y783" s="13">
        <f t="shared" si="113"/>
        <v>19060.246396754897</v>
      </c>
      <c r="Z783" s="14">
        <v>0</v>
      </c>
      <c r="AA783" s="4">
        <v>0</v>
      </c>
      <c r="AB783" s="4">
        <f t="shared" si="114"/>
        <v>44222.730769230766</v>
      </c>
      <c r="AC783" s="6">
        <f t="shared" si="115"/>
        <v>1768.9092307692335</v>
      </c>
      <c r="AD783" s="18">
        <f t="shared" si="111"/>
        <v>25162.484372475868</v>
      </c>
      <c r="AE783" s="2">
        <v>0.12</v>
      </c>
      <c r="AF783" s="5">
        <f t="shared" si="116"/>
        <v>3019.4981246971042</v>
      </c>
      <c r="AG783" s="14">
        <v>0</v>
      </c>
      <c r="AH783" s="10">
        <f t="shared" si="112"/>
        <v>45991.64</v>
      </c>
      <c r="AI783" s="16"/>
      <c r="AJ783" s="126" t="e">
        <v>#N/A</v>
      </c>
      <c r="AK783" s="80">
        <f t="shared" si="117"/>
        <v>0</v>
      </c>
      <c r="AM783" s="85"/>
    </row>
    <row r="784" spans="1:39" hidden="1" x14ac:dyDescent="0.3">
      <c r="A784" s="85" t="s">
        <v>34</v>
      </c>
      <c r="B784" s="15" t="s">
        <v>35</v>
      </c>
      <c r="C784" s="15" t="s">
        <v>164</v>
      </c>
      <c r="D784" s="15" t="s">
        <v>174</v>
      </c>
      <c r="E784" s="15" t="s">
        <v>651</v>
      </c>
      <c r="F784" s="15" t="s">
        <v>651</v>
      </c>
      <c r="G784" s="15" t="s">
        <v>651</v>
      </c>
      <c r="H784" s="154"/>
      <c r="I784" s="15" t="s">
        <v>408</v>
      </c>
      <c r="J784" s="1" t="s">
        <v>3324</v>
      </c>
      <c r="K784" s="1" t="s">
        <v>3278</v>
      </c>
      <c r="L784" s="1" t="s">
        <v>35</v>
      </c>
      <c r="M784" s="15" t="s">
        <v>653</v>
      </c>
      <c r="N784" s="15"/>
      <c r="O784" s="8" t="s">
        <v>1058</v>
      </c>
      <c r="P784" s="8" t="s">
        <v>46</v>
      </c>
      <c r="Q784" s="9">
        <v>0.04</v>
      </c>
      <c r="R784" s="139">
        <v>1000088200</v>
      </c>
      <c r="S784" s="15"/>
      <c r="T784" s="18">
        <v>0</v>
      </c>
      <c r="U784" s="4">
        <v>0</v>
      </c>
      <c r="V784" s="6">
        <v>139862.71</v>
      </c>
      <c r="W784" s="18">
        <f t="shared" si="110"/>
        <v>-139862.71</v>
      </c>
      <c r="X784" s="18">
        <f t="shared" si="109"/>
        <v>134483.375</v>
      </c>
      <c r="Y784" s="13">
        <f t="shared" si="113"/>
        <v>57963.093169060201</v>
      </c>
      <c r="Z784" s="14">
        <v>0</v>
      </c>
      <c r="AA784" s="4">
        <v>0</v>
      </c>
      <c r="AB784" s="4">
        <f t="shared" si="114"/>
        <v>134483.375</v>
      </c>
      <c r="AC784" s="6">
        <f t="shared" si="115"/>
        <v>5379.3349999999919</v>
      </c>
      <c r="AD784" s="18">
        <f t="shared" si="111"/>
        <v>76520.281830939799</v>
      </c>
      <c r="AE784" s="2">
        <v>0.12</v>
      </c>
      <c r="AF784" s="5">
        <f t="shared" si="116"/>
        <v>9182.4338197127763</v>
      </c>
      <c r="AG784" s="14">
        <v>0</v>
      </c>
      <c r="AH784" s="10">
        <f t="shared" si="112"/>
        <v>139862.71</v>
      </c>
      <c r="AI784" s="16"/>
      <c r="AJ784" s="126" t="e">
        <v>#N/A</v>
      </c>
      <c r="AK784" s="80">
        <f t="shared" si="117"/>
        <v>0</v>
      </c>
      <c r="AM784" s="85"/>
    </row>
    <row r="785" spans="1:39" hidden="1" x14ac:dyDescent="0.3">
      <c r="A785" s="85" t="s">
        <v>34</v>
      </c>
      <c r="B785" s="15" t="s">
        <v>35</v>
      </c>
      <c r="C785" s="15" t="s">
        <v>47</v>
      </c>
      <c r="D785" s="15" t="s">
        <v>48</v>
      </c>
      <c r="E785" s="15" t="s">
        <v>550</v>
      </c>
      <c r="F785" s="15" t="s">
        <v>551</v>
      </c>
      <c r="G785" s="15" t="s">
        <v>550</v>
      </c>
      <c r="H785" s="154"/>
      <c r="I785" s="15" t="s">
        <v>408</v>
      </c>
      <c r="J785" s="1" t="s">
        <v>3324</v>
      </c>
      <c r="K785" s="1" t="s">
        <v>3278</v>
      </c>
      <c r="L785" s="1" t="s">
        <v>35</v>
      </c>
      <c r="M785" s="15" t="s">
        <v>552</v>
      </c>
      <c r="N785" s="15"/>
      <c r="O785" s="8" t="s">
        <v>1058</v>
      </c>
      <c r="P785" s="8" t="s">
        <v>3354</v>
      </c>
      <c r="Q785" s="9">
        <v>0.02</v>
      </c>
      <c r="R785" s="139">
        <v>1000100619</v>
      </c>
      <c r="S785" s="15"/>
      <c r="T785" s="18">
        <v>0</v>
      </c>
      <c r="U785" s="4">
        <v>0</v>
      </c>
      <c r="V785" s="6">
        <v>3888.9</v>
      </c>
      <c r="W785" s="18">
        <f t="shared" si="110"/>
        <v>-3888.9</v>
      </c>
      <c r="X785" s="18">
        <f t="shared" si="109"/>
        <v>3812.6470588235293</v>
      </c>
      <c r="Y785" s="13">
        <f t="shared" si="113"/>
        <v>1684.9911310044431</v>
      </c>
      <c r="Z785" s="14">
        <v>0</v>
      </c>
      <c r="AA785" s="4">
        <v>0</v>
      </c>
      <c r="AB785" s="4">
        <f t="shared" si="114"/>
        <v>3812.6470588235293</v>
      </c>
      <c r="AC785" s="6">
        <f t="shared" si="115"/>
        <v>76.252941176470813</v>
      </c>
      <c r="AD785" s="18">
        <f t="shared" si="111"/>
        <v>2127.6559278190862</v>
      </c>
      <c r="AE785" s="2">
        <v>0.12</v>
      </c>
      <c r="AF785" s="5">
        <f t="shared" si="116"/>
        <v>255.31871133829034</v>
      </c>
      <c r="AG785" s="14">
        <v>0</v>
      </c>
      <c r="AH785" s="10">
        <f t="shared" si="112"/>
        <v>3888.9</v>
      </c>
      <c r="AI785" s="16"/>
      <c r="AJ785" s="126" t="e">
        <v>#N/A</v>
      </c>
      <c r="AK785" s="80">
        <f t="shared" si="117"/>
        <v>0</v>
      </c>
      <c r="AM785" s="85"/>
    </row>
    <row r="786" spans="1:39" hidden="1" x14ac:dyDescent="0.3">
      <c r="A786" s="85" t="s">
        <v>34</v>
      </c>
      <c r="B786" s="15" t="s">
        <v>35</v>
      </c>
      <c r="C786" s="15" t="s">
        <v>65</v>
      </c>
      <c r="D786" s="15" t="s">
        <v>66</v>
      </c>
      <c r="E786" s="15" t="s">
        <v>473</v>
      </c>
      <c r="F786" s="15" t="s">
        <v>473</v>
      </c>
      <c r="G786" s="15" t="s">
        <v>473</v>
      </c>
      <c r="H786" s="154"/>
      <c r="I786" s="15" t="s">
        <v>408</v>
      </c>
      <c r="J786" s="1" t="s">
        <v>3324</v>
      </c>
      <c r="K786" s="1" t="s">
        <v>3278</v>
      </c>
      <c r="L786" s="1" t="s">
        <v>35</v>
      </c>
      <c r="M786" s="15" t="s">
        <v>477</v>
      </c>
      <c r="N786" s="15"/>
      <c r="O786" s="8" t="s">
        <v>1058</v>
      </c>
      <c r="P786" s="8" t="s">
        <v>41</v>
      </c>
      <c r="Q786" s="9">
        <v>0</v>
      </c>
      <c r="R786" s="139">
        <v>1000100635</v>
      </c>
      <c r="S786" s="15"/>
      <c r="T786" s="18">
        <v>0</v>
      </c>
      <c r="U786" s="4">
        <v>0</v>
      </c>
      <c r="V786" s="6">
        <v>120.58</v>
      </c>
      <c r="W786" s="18">
        <f t="shared" si="110"/>
        <v>-120.58</v>
      </c>
      <c r="X786" s="18">
        <f t="shared" si="109"/>
        <v>120.58</v>
      </c>
      <c r="Y786" s="13">
        <f t="shared" si="113"/>
        <v>54.609480887545217</v>
      </c>
      <c r="Z786" s="14">
        <v>0</v>
      </c>
      <c r="AA786" s="4">
        <v>0</v>
      </c>
      <c r="AB786" s="4">
        <f t="shared" si="114"/>
        <v>120.58</v>
      </c>
      <c r="AC786" s="6">
        <f t="shared" si="115"/>
        <v>0</v>
      </c>
      <c r="AD786" s="18">
        <f t="shared" si="111"/>
        <v>65.970519112454781</v>
      </c>
      <c r="AE786" s="2">
        <v>0.12</v>
      </c>
      <c r="AF786" s="5">
        <f t="shared" si="116"/>
        <v>7.9164622934945736</v>
      </c>
      <c r="AG786" s="14">
        <v>0</v>
      </c>
      <c r="AH786" s="10">
        <f t="shared" si="112"/>
        <v>120.58</v>
      </c>
      <c r="AI786" s="16"/>
      <c r="AJ786" s="126" t="e">
        <v>#N/A</v>
      </c>
      <c r="AK786" s="80">
        <f t="shared" si="117"/>
        <v>0</v>
      </c>
      <c r="AM786" s="85"/>
    </row>
    <row r="787" spans="1:39" hidden="1" x14ac:dyDescent="0.3">
      <c r="A787" s="85" t="s">
        <v>34</v>
      </c>
      <c r="B787" s="15" t="s">
        <v>35</v>
      </c>
      <c r="C787" s="15" t="s">
        <v>47</v>
      </c>
      <c r="D787" s="15" t="s">
        <v>63</v>
      </c>
      <c r="E787" s="15" t="s">
        <v>533</v>
      </c>
      <c r="F787" s="15" t="s">
        <v>533</v>
      </c>
      <c r="G787" s="15" t="s">
        <v>533</v>
      </c>
      <c r="H787" s="154"/>
      <c r="I787" s="15" t="s">
        <v>408</v>
      </c>
      <c r="J787" s="1" t="s">
        <v>3324</v>
      </c>
      <c r="K787" s="1" t="s">
        <v>3278</v>
      </c>
      <c r="L787" s="1" t="s">
        <v>35</v>
      </c>
      <c r="M787" s="15" t="s">
        <v>535</v>
      </c>
      <c r="N787" s="15"/>
      <c r="O787" s="8" t="s">
        <v>1058</v>
      </c>
      <c r="P787" s="8" t="s">
        <v>46</v>
      </c>
      <c r="Q787" s="9">
        <v>0.02</v>
      </c>
      <c r="R787" s="139">
        <v>1000073749</v>
      </c>
      <c r="S787" s="15"/>
      <c r="T787" s="18">
        <v>0</v>
      </c>
      <c r="U787" s="4">
        <v>0</v>
      </c>
      <c r="V787" s="6">
        <v>94324.159999999989</v>
      </c>
      <c r="W787" s="18">
        <f t="shared" si="110"/>
        <v>-94324.159999999989</v>
      </c>
      <c r="X787" s="18">
        <f t="shared" ref="X787:X846" si="118">IF(P787="折扣",V787*Q787,IF(P787="返现",V787,V787/(1+Q787)))</f>
        <v>92474.666666666657</v>
      </c>
      <c r="Y787" s="13">
        <f t="shared" si="113"/>
        <v>40868.979155916597</v>
      </c>
      <c r="Z787" s="14">
        <v>0</v>
      </c>
      <c r="AA787" s="4">
        <v>0</v>
      </c>
      <c r="AB787" s="4">
        <f t="shared" si="114"/>
        <v>92474.666666666657</v>
      </c>
      <c r="AC787" s="6">
        <f t="shared" si="115"/>
        <v>1849.493333333332</v>
      </c>
      <c r="AD787" s="18">
        <f t="shared" si="111"/>
        <v>51605.68751075006</v>
      </c>
      <c r="AE787" s="2">
        <v>0.12</v>
      </c>
      <c r="AF787" s="5">
        <f t="shared" si="116"/>
        <v>6192.6825012900072</v>
      </c>
      <c r="AG787" s="14">
        <v>0</v>
      </c>
      <c r="AH787" s="10">
        <f t="shared" si="112"/>
        <v>94324.159999999989</v>
      </c>
      <c r="AI787" s="16"/>
      <c r="AJ787" s="126" t="e">
        <v>#N/A</v>
      </c>
      <c r="AK787" s="80">
        <f t="shared" si="117"/>
        <v>0</v>
      </c>
      <c r="AM787" s="85"/>
    </row>
    <row r="788" spans="1:39" hidden="1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76</v>
      </c>
      <c r="F788" s="15" t="s">
        <v>76</v>
      </c>
      <c r="G788" s="15" t="s">
        <v>76</v>
      </c>
      <c r="H788" s="139"/>
      <c r="I788" s="15" t="s">
        <v>1060</v>
      </c>
      <c r="J788" s="1" t="s">
        <v>3325</v>
      </c>
      <c r="K788" s="1" t="s">
        <v>3279</v>
      </c>
      <c r="L788" s="1" t="s">
        <v>35</v>
      </c>
      <c r="M788" s="15" t="s">
        <v>1061</v>
      </c>
      <c r="N788" s="15"/>
      <c r="O788" s="8" t="s">
        <v>410</v>
      </c>
      <c r="P788" s="8" t="s">
        <v>75</v>
      </c>
      <c r="Q788" s="14">
        <v>0.06</v>
      </c>
      <c r="R788" s="139">
        <v>18511605911</v>
      </c>
      <c r="S788" s="15"/>
      <c r="T788" s="6">
        <v>0</v>
      </c>
      <c r="U788" s="6">
        <v>20000</v>
      </c>
      <c r="V788" s="6">
        <v>0</v>
      </c>
      <c r="W788" s="18">
        <f>T788+U788-V788</f>
        <v>20000</v>
      </c>
      <c r="X788" s="18">
        <f t="shared" si="118"/>
        <v>0</v>
      </c>
      <c r="Y788" s="13">
        <f t="shared" si="113"/>
        <v>0</v>
      </c>
      <c r="Z788" s="14">
        <v>0</v>
      </c>
      <c r="AA788" s="4">
        <v>0</v>
      </c>
      <c r="AB788" s="4">
        <f t="shared" si="114"/>
        <v>0</v>
      </c>
      <c r="AC788" s="6">
        <f t="shared" si="115"/>
        <v>0</v>
      </c>
      <c r="AD788" s="6">
        <f>V788*0.598955254612663</f>
        <v>0</v>
      </c>
      <c r="AE788" s="2">
        <v>7.0000000000000007E-2</v>
      </c>
      <c r="AF788" s="5">
        <f t="shared" si="116"/>
        <v>0</v>
      </c>
      <c r="AG788" s="14">
        <v>0</v>
      </c>
      <c r="AH788" s="19">
        <f>V788</f>
        <v>0</v>
      </c>
      <c r="AJ788" s="126" t="e">
        <v>#N/A</v>
      </c>
      <c r="AK788" s="80">
        <f t="shared" si="117"/>
        <v>0</v>
      </c>
      <c r="AM788" s="85"/>
    </row>
    <row r="789" spans="1:39" hidden="1" x14ac:dyDescent="0.3">
      <c r="A789" s="85" t="s">
        <v>34</v>
      </c>
      <c r="B789" s="15" t="s">
        <v>35</v>
      </c>
      <c r="C789" s="15" t="s">
        <v>59</v>
      </c>
      <c r="D789" s="15" t="s">
        <v>60</v>
      </c>
      <c r="E789" s="15" t="s">
        <v>610</v>
      </c>
      <c r="F789" s="15" t="s">
        <v>1062</v>
      </c>
      <c r="G789" s="15" t="s">
        <v>610</v>
      </c>
      <c r="H789" s="154"/>
      <c r="I789" s="15" t="s">
        <v>1060</v>
      </c>
      <c r="J789" s="1" t="s">
        <v>3325</v>
      </c>
      <c r="K789" s="1" t="s">
        <v>3279</v>
      </c>
      <c r="L789" s="1" t="s">
        <v>35</v>
      </c>
      <c r="M789" s="15" t="s">
        <v>610</v>
      </c>
      <c r="N789" s="15"/>
      <c r="O789" s="8" t="s">
        <v>410</v>
      </c>
      <c r="P789" s="8" t="s">
        <v>46</v>
      </c>
      <c r="Q789" s="14">
        <v>0.02</v>
      </c>
      <c r="R789" s="139" t="s">
        <v>1063</v>
      </c>
      <c r="S789" s="15"/>
      <c r="T789" s="6">
        <v>30000</v>
      </c>
      <c r="U789" s="6">
        <v>6750.1</v>
      </c>
      <c r="V789" s="6">
        <v>31789.1</v>
      </c>
      <c r="W789" s="18">
        <f t="shared" ref="W789:W852" si="119">T789+U789-V789</f>
        <v>4961</v>
      </c>
      <c r="X789" s="18">
        <f t="shared" si="118"/>
        <v>31165.784313725489</v>
      </c>
      <c r="Y789" s="13">
        <f t="shared" si="113"/>
        <v>12125.535829318087</v>
      </c>
      <c r="Z789" s="14">
        <v>0</v>
      </c>
      <c r="AA789" s="4">
        <v>0</v>
      </c>
      <c r="AB789" s="4">
        <f t="shared" si="114"/>
        <v>31165.784313725489</v>
      </c>
      <c r="AC789" s="6">
        <f t="shared" si="115"/>
        <v>623.31568627450906</v>
      </c>
      <c r="AD789" s="6">
        <f t="shared" ref="AD789:AD852" si="120">V789*0.598955254612663</f>
        <v>19040.248484407402</v>
      </c>
      <c r="AE789" s="2">
        <v>7.0000000000000007E-2</v>
      </c>
      <c r="AF789" s="5">
        <f t="shared" si="116"/>
        <v>1332.8173939085184</v>
      </c>
      <c r="AG789" s="14">
        <v>0</v>
      </c>
      <c r="AH789" s="19">
        <f t="shared" ref="AH789:AH852" si="121">V789</f>
        <v>31789.1</v>
      </c>
      <c r="AJ789" s="126" t="e">
        <v>#N/A</v>
      </c>
      <c r="AK789" s="80">
        <f t="shared" si="117"/>
        <v>0</v>
      </c>
      <c r="AM789" s="85"/>
    </row>
    <row r="790" spans="1:39" hidden="1" x14ac:dyDescent="0.3">
      <c r="A790" s="85" t="s">
        <v>34</v>
      </c>
      <c r="B790" s="15" t="s">
        <v>35</v>
      </c>
      <c r="C790" s="15" t="s">
        <v>59</v>
      </c>
      <c r="D790" s="15" t="s">
        <v>60</v>
      </c>
      <c r="E790" s="15" t="s">
        <v>412</v>
      </c>
      <c r="F790" s="15" t="s">
        <v>412</v>
      </c>
      <c r="G790" s="15" t="s">
        <v>412</v>
      </c>
      <c r="H790" s="154"/>
      <c r="I790" s="15" t="s">
        <v>1060</v>
      </c>
      <c r="J790" s="1" t="s">
        <v>3325</v>
      </c>
      <c r="K790" s="1" t="s">
        <v>3279</v>
      </c>
      <c r="L790" s="1" t="s">
        <v>35</v>
      </c>
      <c r="M790" s="15" t="s">
        <v>412</v>
      </c>
      <c r="N790" s="15"/>
      <c r="O790" s="8" t="s">
        <v>410</v>
      </c>
      <c r="P790" s="8" t="s">
        <v>46</v>
      </c>
      <c r="Q790" s="14">
        <v>0.02</v>
      </c>
      <c r="R790" s="139" t="s">
        <v>1064</v>
      </c>
      <c r="S790" s="15"/>
      <c r="T790" s="6">
        <v>0</v>
      </c>
      <c r="U790" s="6">
        <v>80000</v>
      </c>
      <c r="V790" s="6">
        <v>72770.34</v>
      </c>
      <c r="W790" s="18">
        <f t="shared" si="119"/>
        <v>7229.6600000000035</v>
      </c>
      <c r="X790" s="18">
        <f t="shared" si="118"/>
        <v>71343.470588235286</v>
      </c>
      <c r="Y790" s="13">
        <f t="shared" si="113"/>
        <v>27757.293065285237</v>
      </c>
      <c r="Z790" s="14">
        <v>0</v>
      </c>
      <c r="AA790" s="4">
        <v>0</v>
      </c>
      <c r="AB790" s="4">
        <f t="shared" si="114"/>
        <v>71343.470588235286</v>
      </c>
      <c r="AC790" s="6">
        <f t="shared" si="115"/>
        <v>1426.8694117647101</v>
      </c>
      <c r="AD790" s="6">
        <f t="shared" si="120"/>
        <v>43586.177522950049</v>
      </c>
      <c r="AE790" s="2">
        <v>7.0000000000000007E-2</v>
      </c>
      <c r="AF790" s="5">
        <f t="shared" si="116"/>
        <v>3051.0324266065036</v>
      </c>
      <c r="AG790" s="14">
        <v>0</v>
      </c>
      <c r="AH790" s="19">
        <f t="shared" si="121"/>
        <v>72770.34</v>
      </c>
      <c r="AJ790" s="126" t="e">
        <v>#N/A</v>
      </c>
      <c r="AK790" s="80">
        <f t="shared" si="117"/>
        <v>0</v>
      </c>
      <c r="AM790" s="85"/>
    </row>
    <row r="791" spans="1:39" hidden="1" x14ac:dyDescent="0.3">
      <c r="A791" s="85" t="s">
        <v>34</v>
      </c>
      <c r="B791" s="15" t="s">
        <v>35</v>
      </c>
      <c r="C791" s="15" t="s">
        <v>59</v>
      </c>
      <c r="D791" s="15" t="s">
        <v>60</v>
      </c>
      <c r="E791" s="15" t="s">
        <v>1065</v>
      </c>
      <c r="F791" s="15" t="s">
        <v>1066</v>
      </c>
      <c r="G791" s="15" t="s">
        <v>1065</v>
      </c>
      <c r="H791" s="154"/>
      <c r="I791" s="15" t="s">
        <v>1060</v>
      </c>
      <c r="J791" s="1" t="s">
        <v>3325</v>
      </c>
      <c r="K791" s="1" t="s">
        <v>3279</v>
      </c>
      <c r="L791" s="1" t="s">
        <v>35</v>
      </c>
      <c r="M791" s="15" t="s">
        <v>1067</v>
      </c>
      <c r="N791" s="15"/>
      <c r="O791" s="8" t="s">
        <v>410</v>
      </c>
      <c r="P791" s="8" t="s">
        <v>46</v>
      </c>
      <c r="Q791" s="14">
        <v>0.02</v>
      </c>
      <c r="R791" s="139" t="s">
        <v>1068</v>
      </c>
      <c r="S791" s="15"/>
      <c r="T791" s="6">
        <v>0</v>
      </c>
      <c r="U791" s="6">
        <v>64000</v>
      </c>
      <c r="V791" s="6">
        <v>21286.799999999999</v>
      </c>
      <c r="W791" s="18">
        <f t="shared" si="119"/>
        <v>42713.2</v>
      </c>
      <c r="X791" s="18">
        <f t="shared" si="118"/>
        <v>20869.411764705881</v>
      </c>
      <c r="Y791" s="13">
        <f t="shared" si="113"/>
        <v>8119.5710508170469</v>
      </c>
      <c r="Z791" s="14">
        <v>0</v>
      </c>
      <c r="AA791" s="4">
        <v>0</v>
      </c>
      <c r="AB791" s="4">
        <v>20869.411764705881</v>
      </c>
      <c r="AC791" s="6">
        <f t="shared" si="115"/>
        <v>417.3882352941182</v>
      </c>
      <c r="AD791" s="6">
        <f t="shared" si="120"/>
        <v>12749.840713888834</v>
      </c>
      <c r="AE791" s="2">
        <v>7.0000000000000007E-2</v>
      </c>
      <c r="AF791" s="5">
        <f t="shared" si="116"/>
        <v>892.48884997221853</v>
      </c>
      <c r="AG791" s="14">
        <v>0</v>
      </c>
      <c r="AH791" s="19">
        <f t="shared" si="121"/>
        <v>21286.799999999999</v>
      </c>
      <c r="AJ791" s="126">
        <v>34</v>
      </c>
      <c r="AK791" s="80">
        <f t="shared" si="117"/>
        <v>0</v>
      </c>
      <c r="AM791" s="85"/>
    </row>
    <row r="792" spans="1:39" hidden="1" x14ac:dyDescent="0.3">
      <c r="A792" s="85" t="s">
        <v>34</v>
      </c>
      <c r="B792" s="15" t="s">
        <v>35</v>
      </c>
      <c r="C792" s="15" t="s">
        <v>59</v>
      </c>
      <c r="D792" s="15" t="s">
        <v>60</v>
      </c>
      <c r="E792" s="15" t="s">
        <v>1069</v>
      </c>
      <c r="F792" s="15" t="s">
        <v>1069</v>
      </c>
      <c r="G792" s="15" t="s">
        <v>1069</v>
      </c>
      <c r="H792" s="154"/>
      <c r="I792" s="15" t="s">
        <v>1060</v>
      </c>
      <c r="J792" s="1" t="s">
        <v>3325</v>
      </c>
      <c r="K792" s="1" t="s">
        <v>3279</v>
      </c>
      <c r="L792" s="1" t="s">
        <v>35</v>
      </c>
      <c r="M792" s="15" t="s">
        <v>1070</v>
      </c>
      <c r="N792" s="15"/>
      <c r="O792" s="8" t="s">
        <v>410</v>
      </c>
      <c r="P792" s="8" t="s">
        <v>46</v>
      </c>
      <c r="Q792" s="14">
        <v>0.02</v>
      </c>
      <c r="R792" s="139" t="s">
        <v>1071</v>
      </c>
      <c r="S792" s="15"/>
      <c r="T792" s="6">
        <v>0</v>
      </c>
      <c r="U792" s="6">
        <v>110000</v>
      </c>
      <c r="V792" s="6">
        <v>490.6</v>
      </c>
      <c r="W792" s="18">
        <f t="shared" si="119"/>
        <v>109509.4</v>
      </c>
      <c r="X792" s="18">
        <f t="shared" si="118"/>
        <v>480.98039215686276</v>
      </c>
      <c r="Y792" s="13">
        <f t="shared" si="113"/>
        <v>187.13294424389028</v>
      </c>
      <c r="Z792" s="14">
        <v>0</v>
      </c>
      <c r="AA792" s="4">
        <v>0</v>
      </c>
      <c r="AB792" s="4">
        <f t="shared" si="114"/>
        <v>480.98039215686276</v>
      </c>
      <c r="AC792" s="6">
        <f t="shared" si="115"/>
        <v>9.6196078431372598</v>
      </c>
      <c r="AD792" s="6">
        <f t="shared" si="120"/>
        <v>293.84744791297248</v>
      </c>
      <c r="AE792" s="2">
        <v>7.0000000000000007E-2</v>
      </c>
      <c r="AF792" s="5">
        <f t="shared" si="116"/>
        <v>20.569321353908077</v>
      </c>
      <c r="AG792" s="14">
        <v>0</v>
      </c>
      <c r="AH792" s="19">
        <f t="shared" si="121"/>
        <v>490.6</v>
      </c>
      <c r="AJ792" s="126" t="e">
        <v>#N/A</v>
      </c>
      <c r="AK792" s="80">
        <f t="shared" si="117"/>
        <v>0</v>
      </c>
      <c r="AM792" s="85"/>
    </row>
    <row r="793" spans="1:39" hidden="1" x14ac:dyDescent="0.3">
      <c r="A793" s="85" t="s">
        <v>34</v>
      </c>
      <c r="B793" s="15" t="s">
        <v>35</v>
      </c>
      <c r="C793" s="15" t="s">
        <v>59</v>
      </c>
      <c r="D793" s="15" t="s">
        <v>60</v>
      </c>
      <c r="E793" s="15" t="s">
        <v>1072</v>
      </c>
      <c r="F793" s="15" t="s">
        <v>1072</v>
      </c>
      <c r="G793" s="15" t="s">
        <v>1072</v>
      </c>
      <c r="H793" s="154"/>
      <c r="I793" s="15" t="s">
        <v>1060</v>
      </c>
      <c r="J793" s="1" t="s">
        <v>3325</v>
      </c>
      <c r="K793" s="1" t="s">
        <v>3279</v>
      </c>
      <c r="L793" s="1" t="s">
        <v>35</v>
      </c>
      <c r="M793" s="15" t="s">
        <v>1072</v>
      </c>
      <c r="N793" s="15"/>
      <c r="O793" s="8" t="s">
        <v>410</v>
      </c>
      <c r="P793" s="8" t="s">
        <v>41</v>
      </c>
      <c r="Q793" s="14">
        <v>0</v>
      </c>
      <c r="R793" s="139" t="s">
        <v>1073</v>
      </c>
      <c r="S793" s="15"/>
      <c r="T793" s="6">
        <v>0</v>
      </c>
      <c r="U793" s="6">
        <v>15000</v>
      </c>
      <c r="V793" s="6">
        <v>11029.6</v>
      </c>
      <c r="W793" s="18">
        <f t="shared" si="119"/>
        <v>3970.3999999999996</v>
      </c>
      <c r="X793" s="18">
        <f t="shared" si="118"/>
        <v>11029.6</v>
      </c>
      <c r="Y793" s="13">
        <f t="shared" si="113"/>
        <v>4423.3631237241725</v>
      </c>
      <c r="Z793" s="14">
        <v>0</v>
      </c>
      <c r="AA793" s="4">
        <v>0</v>
      </c>
      <c r="AB793" s="4">
        <f t="shared" si="114"/>
        <v>11029.6</v>
      </c>
      <c r="AC793" s="6">
        <f t="shared" si="115"/>
        <v>0</v>
      </c>
      <c r="AD793" s="6">
        <f t="shared" si="120"/>
        <v>6606.2368762758279</v>
      </c>
      <c r="AE793" s="2">
        <v>7.0000000000000007E-2</v>
      </c>
      <c r="AF793" s="5">
        <f t="shared" si="116"/>
        <v>462.43658133930802</v>
      </c>
      <c r="AG793" s="14">
        <v>0</v>
      </c>
      <c r="AH793" s="19">
        <f t="shared" si="121"/>
        <v>11029.6</v>
      </c>
      <c r="AJ793" s="126" t="e">
        <v>#N/A</v>
      </c>
      <c r="AK793" s="80">
        <f t="shared" si="117"/>
        <v>0</v>
      </c>
      <c r="AM793" s="85"/>
    </row>
    <row r="794" spans="1:39" hidden="1" x14ac:dyDescent="0.3">
      <c r="A794" s="85" t="s">
        <v>34</v>
      </c>
      <c r="B794" s="15" t="s">
        <v>35</v>
      </c>
      <c r="C794" s="15" t="s">
        <v>59</v>
      </c>
      <c r="D794" s="15" t="s">
        <v>60</v>
      </c>
      <c r="E794" s="15" t="s">
        <v>61</v>
      </c>
      <c r="F794" s="15" t="s">
        <v>62</v>
      </c>
      <c r="G794" s="15" t="s">
        <v>61</v>
      </c>
      <c r="H794" s="154"/>
      <c r="I794" s="15" t="s">
        <v>1060</v>
      </c>
      <c r="J794" s="1" t="s">
        <v>3325</v>
      </c>
      <c r="K794" s="1" t="s">
        <v>3279</v>
      </c>
      <c r="L794" s="1" t="s">
        <v>35</v>
      </c>
      <c r="M794" s="15" t="s">
        <v>61</v>
      </c>
      <c r="N794" s="15"/>
      <c r="O794" s="8" t="s">
        <v>410</v>
      </c>
      <c r="P794" s="8" t="s">
        <v>46</v>
      </c>
      <c r="Q794" s="14">
        <v>0.02</v>
      </c>
      <c r="R794" s="139" t="s">
        <v>1074</v>
      </c>
      <c r="S794" s="15"/>
      <c r="T794" s="6">
        <v>0</v>
      </c>
      <c r="U794" s="6">
        <v>90587.68</v>
      </c>
      <c r="V794" s="6">
        <v>45907.5</v>
      </c>
      <c r="W794" s="18">
        <f t="shared" si="119"/>
        <v>44680.179999999993</v>
      </c>
      <c r="X794" s="18">
        <f t="shared" si="118"/>
        <v>45007.352941176468</v>
      </c>
      <c r="Y794" s="13">
        <f t="shared" si="113"/>
        <v>17510.814590045644</v>
      </c>
      <c r="Z794" s="14">
        <v>0</v>
      </c>
      <c r="AA794" s="4">
        <v>0</v>
      </c>
      <c r="AB794" s="4">
        <f t="shared" si="114"/>
        <v>45007.352941176468</v>
      </c>
      <c r="AC794" s="6">
        <f t="shared" si="115"/>
        <v>900.14705882353155</v>
      </c>
      <c r="AD794" s="6">
        <f t="shared" si="120"/>
        <v>27496.538351130825</v>
      </c>
      <c r="AE794" s="2">
        <v>7.0000000000000007E-2</v>
      </c>
      <c r="AF794" s="5">
        <f t="shared" si="116"/>
        <v>1924.757684579158</v>
      </c>
      <c r="AG794" s="14">
        <v>0</v>
      </c>
      <c r="AH794" s="19">
        <f t="shared" si="121"/>
        <v>45907.5</v>
      </c>
      <c r="AJ794" s="126" t="e">
        <v>#N/A</v>
      </c>
      <c r="AK794" s="80">
        <f t="shared" si="117"/>
        <v>0</v>
      </c>
      <c r="AM794" s="85"/>
    </row>
    <row r="795" spans="1:39" hidden="1" x14ac:dyDescent="0.3">
      <c r="A795" s="85" t="s">
        <v>34</v>
      </c>
      <c r="B795" s="15" t="s">
        <v>35</v>
      </c>
      <c r="C795" s="15" t="s">
        <v>59</v>
      </c>
      <c r="D795" s="15" t="s">
        <v>60</v>
      </c>
      <c r="E795" s="15" t="s">
        <v>1075</v>
      </c>
      <c r="F795" s="15" t="s">
        <v>1076</v>
      </c>
      <c r="G795" s="15" t="s">
        <v>1075</v>
      </c>
      <c r="H795" s="154"/>
      <c r="I795" s="15" t="s">
        <v>1060</v>
      </c>
      <c r="J795" s="1" t="s">
        <v>3325</v>
      </c>
      <c r="K795" s="1" t="s">
        <v>3279</v>
      </c>
      <c r="L795" s="1" t="s">
        <v>35</v>
      </c>
      <c r="M795" s="15" t="s">
        <v>1075</v>
      </c>
      <c r="N795" s="15"/>
      <c r="O795" s="8" t="s">
        <v>410</v>
      </c>
      <c r="P795" s="8" t="s">
        <v>46</v>
      </c>
      <c r="Q795" s="14">
        <v>0.02</v>
      </c>
      <c r="R795" s="139" t="s">
        <v>1077</v>
      </c>
      <c r="S795" s="15"/>
      <c r="T795" s="6">
        <v>0</v>
      </c>
      <c r="U795" s="6">
        <v>67000</v>
      </c>
      <c r="V795" s="6">
        <v>43944.9</v>
      </c>
      <c r="W795" s="18">
        <f t="shared" si="119"/>
        <v>23055.1</v>
      </c>
      <c r="X795" s="18">
        <f t="shared" si="118"/>
        <v>43083.23529411765</v>
      </c>
      <c r="Y795" s="13">
        <f t="shared" si="113"/>
        <v>16762.206525689639</v>
      </c>
      <c r="Z795" s="14">
        <v>0</v>
      </c>
      <c r="AA795" s="4">
        <v>0</v>
      </c>
      <c r="AB795" s="4">
        <f t="shared" si="114"/>
        <v>43083.23529411765</v>
      </c>
      <c r="AC795" s="6">
        <f t="shared" si="115"/>
        <v>861.66470588235097</v>
      </c>
      <c r="AD795" s="6">
        <f t="shared" si="120"/>
        <v>26321.028768428012</v>
      </c>
      <c r="AE795" s="2">
        <v>7.0000000000000007E-2</v>
      </c>
      <c r="AF795" s="5">
        <f t="shared" si="116"/>
        <v>1842.472013789961</v>
      </c>
      <c r="AG795" s="14">
        <v>0</v>
      </c>
      <c r="AH795" s="19">
        <f t="shared" si="121"/>
        <v>43944.9</v>
      </c>
      <c r="AJ795" s="126" t="e">
        <v>#N/A</v>
      </c>
      <c r="AK795" s="80">
        <f t="shared" si="117"/>
        <v>0</v>
      </c>
      <c r="AM795" s="85"/>
    </row>
    <row r="796" spans="1:39" hidden="1" x14ac:dyDescent="0.3">
      <c r="A796" s="85" t="s">
        <v>34</v>
      </c>
      <c r="B796" s="15" t="s">
        <v>35</v>
      </c>
      <c r="C796" s="15" t="s">
        <v>59</v>
      </c>
      <c r="D796" s="15" t="s">
        <v>60</v>
      </c>
      <c r="E796" s="15" t="s">
        <v>765</v>
      </c>
      <c r="F796" s="15" t="s">
        <v>766</v>
      </c>
      <c r="G796" s="15" t="s">
        <v>765</v>
      </c>
      <c r="H796" s="154"/>
      <c r="I796" s="15" t="s">
        <v>1060</v>
      </c>
      <c r="J796" s="1" t="s">
        <v>3325</v>
      </c>
      <c r="K796" s="1" t="s">
        <v>3279</v>
      </c>
      <c r="L796" s="1" t="s">
        <v>35</v>
      </c>
      <c r="M796" s="15" t="s">
        <v>765</v>
      </c>
      <c r="N796" s="15"/>
      <c r="O796" s="8" t="s">
        <v>410</v>
      </c>
      <c r="P796" s="8" t="s">
        <v>46</v>
      </c>
      <c r="Q796" s="14">
        <v>0.02</v>
      </c>
      <c r="R796" s="139" t="s">
        <v>1078</v>
      </c>
      <c r="S796" s="15"/>
      <c r="T796" s="6">
        <v>0</v>
      </c>
      <c r="U796" s="6">
        <v>2160490.5</v>
      </c>
      <c r="V796" s="6">
        <v>29361.439450000005</v>
      </c>
      <c r="W796" s="18">
        <f t="shared" si="119"/>
        <v>2131129.0605500001</v>
      </c>
      <c r="X796" s="18">
        <f t="shared" si="118"/>
        <v>28785.724950980395</v>
      </c>
      <c r="Y796" s="13">
        <f t="shared" si="113"/>
        <v>11199.536509411355</v>
      </c>
      <c r="Z796" s="14">
        <v>0</v>
      </c>
      <c r="AA796" s="4">
        <v>0</v>
      </c>
      <c r="AB796" s="4">
        <f t="shared" si="114"/>
        <v>28785.724950980395</v>
      </c>
      <c r="AC796" s="6">
        <f t="shared" si="115"/>
        <v>575.71449901961023</v>
      </c>
      <c r="AD796" s="6">
        <f t="shared" si="120"/>
        <v>17586.18844156904</v>
      </c>
      <c r="AE796" s="2">
        <v>7.0000000000000007E-2</v>
      </c>
      <c r="AF796" s="5">
        <f t="shared" si="116"/>
        <v>1231.0331909098329</v>
      </c>
      <c r="AG796" s="14">
        <v>0</v>
      </c>
      <c r="AH796" s="19">
        <f t="shared" si="121"/>
        <v>29361.439450000005</v>
      </c>
      <c r="AJ796" s="126" t="e">
        <v>#N/A</v>
      </c>
      <c r="AK796" s="80">
        <f t="shared" si="117"/>
        <v>0</v>
      </c>
      <c r="AM796" s="85"/>
    </row>
    <row r="797" spans="1:39" hidden="1" x14ac:dyDescent="0.3">
      <c r="A797" s="85" t="s">
        <v>34</v>
      </c>
      <c r="B797" s="15" t="s">
        <v>35</v>
      </c>
      <c r="C797" s="15" t="s">
        <v>59</v>
      </c>
      <c r="D797" s="15" t="s">
        <v>60</v>
      </c>
      <c r="E797" s="15" t="s">
        <v>774</v>
      </c>
      <c r="F797" s="15" t="s">
        <v>774</v>
      </c>
      <c r="G797" s="15" t="s">
        <v>774</v>
      </c>
      <c r="H797" s="139"/>
      <c r="I797" s="15" t="s">
        <v>1060</v>
      </c>
      <c r="J797" s="1" t="s">
        <v>3325</v>
      </c>
      <c r="K797" s="1" t="s">
        <v>3279</v>
      </c>
      <c r="L797" s="1" t="s">
        <v>35</v>
      </c>
      <c r="M797" s="15" t="s">
        <v>784</v>
      </c>
      <c r="N797" s="15"/>
      <c r="O797" s="8" t="s">
        <v>410</v>
      </c>
      <c r="P797" s="8" t="s">
        <v>46</v>
      </c>
      <c r="Q797" s="14">
        <v>0.02</v>
      </c>
      <c r="R797" s="139" t="s">
        <v>1079</v>
      </c>
      <c r="S797" s="15"/>
      <c r="T797" s="6">
        <v>0</v>
      </c>
      <c r="U797" s="6">
        <v>15000</v>
      </c>
      <c r="V797" s="6">
        <v>0</v>
      </c>
      <c r="W797" s="18">
        <f t="shared" si="119"/>
        <v>15000</v>
      </c>
      <c r="X797" s="18">
        <f t="shared" si="118"/>
        <v>0</v>
      </c>
      <c r="Y797" s="13">
        <f t="shared" si="113"/>
        <v>0</v>
      </c>
      <c r="Z797" s="14">
        <v>0</v>
      </c>
      <c r="AA797" s="4">
        <v>0</v>
      </c>
      <c r="AB797" s="4">
        <f t="shared" si="114"/>
        <v>0</v>
      </c>
      <c r="AC797" s="6">
        <f t="shared" si="115"/>
        <v>0</v>
      </c>
      <c r="AD797" s="6">
        <f t="shared" si="120"/>
        <v>0</v>
      </c>
      <c r="AE797" s="2">
        <v>7.0000000000000007E-2</v>
      </c>
      <c r="AF797" s="5">
        <f t="shared" si="116"/>
        <v>0</v>
      </c>
      <c r="AG797" s="14">
        <v>0</v>
      </c>
      <c r="AH797" s="19">
        <f t="shared" si="121"/>
        <v>0</v>
      </c>
      <c r="AJ797" s="126" t="e">
        <v>#N/A</v>
      </c>
      <c r="AK797" s="80">
        <f t="shared" si="117"/>
        <v>0</v>
      </c>
      <c r="AM797" s="85"/>
    </row>
    <row r="798" spans="1:39" hidden="1" x14ac:dyDescent="0.3">
      <c r="A798" s="85" t="s">
        <v>34</v>
      </c>
      <c r="B798" s="15" t="s">
        <v>35</v>
      </c>
      <c r="C798" s="15" t="s">
        <v>59</v>
      </c>
      <c r="D798" s="15" t="s">
        <v>60</v>
      </c>
      <c r="E798" s="15" t="s">
        <v>1080</v>
      </c>
      <c r="F798" s="15" t="s">
        <v>1080</v>
      </c>
      <c r="G798" s="15" t="s">
        <v>1080</v>
      </c>
      <c r="H798" s="154"/>
      <c r="I798" s="15" t="s">
        <v>1060</v>
      </c>
      <c r="J798" s="1" t="s">
        <v>3325</v>
      </c>
      <c r="K798" s="1" t="s">
        <v>3279</v>
      </c>
      <c r="L798" s="1" t="s">
        <v>35</v>
      </c>
      <c r="M798" s="15" t="s">
        <v>1080</v>
      </c>
      <c r="N798" s="15"/>
      <c r="O798" s="8" t="s">
        <v>410</v>
      </c>
      <c r="P798" s="8" t="s">
        <v>46</v>
      </c>
      <c r="Q798" s="14">
        <v>0.02</v>
      </c>
      <c r="R798" s="139" t="s">
        <v>1081</v>
      </c>
      <c r="S798" s="15"/>
      <c r="T798" s="6">
        <v>0</v>
      </c>
      <c r="U798" s="6">
        <v>10000</v>
      </c>
      <c r="V798" s="6">
        <v>9619</v>
      </c>
      <c r="W798" s="18">
        <f t="shared" si="119"/>
        <v>381</v>
      </c>
      <c r="X798" s="18">
        <f t="shared" si="118"/>
        <v>9430.3921568627447</v>
      </c>
      <c r="Y798" s="13">
        <f t="shared" si="113"/>
        <v>3669.0415627435395</v>
      </c>
      <c r="Z798" s="14">
        <v>0</v>
      </c>
      <c r="AA798" s="4">
        <v>0</v>
      </c>
      <c r="AB798" s="4">
        <f t="shared" si="114"/>
        <v>9430.3921568627447</v>
      </c>
      <c r="AC798" s="6">
        <f t="shared" si="115"/>
        <v>188.60784313725526</v>
      </c>
      <c r="AD798" s="6">
        <f t="shared" si="120"/>
        <v>5761.3505941192052</v>
      </c>
      <c r="AE798" s="2">
        <v>7.0000000000000007E-2</v>
      </c>
      <c r="AF798" s="5">
        <f t="shared" si="116"/>
        <v>403.29454158834443</v>
      </c>
      <c r="AG798" s="14">
        <v>0</v>
      </c>
      <c r="AH798" s="19">
        <f t="shared" si="121"/>
        <v>9619</v>
      </c>
      <c r="AJ798" s="126" t="e">
        <v>#N/A</v>
      </c>
      <c r="AK798" s="80">
        <f t="shared" si="117"/>
        <v>0</v>
      </c>
      <c r="AM798" s="85"/>
    </row>
    <row r="799" spans="1:39" hidden="1" x14ac:dyDescent="0.3">
      <c r="A799" s="85" t="s">
        <v>34</v>
      </c>
      <c r="B799" s="15" t="s">
        <v>35</v>
      </c>
      <c r="C799" s="15" t="s">
        <v>59</v>
      </c>
      <c r="D799" s="15" t="s">
        <v>60</v>
      </c>
      <c r="E799" s="15" t="s">
        <v>419</v>
      </c>
      <c r="F799" s="15" t="s">
        <v>419</v>
      </c>
      <c r="G799" s="15" t="s">
        <v>419</v>
      </c>
      <c r="H799" s="139"/>
      <c r="I799" s="15" t="s">
        <v>1060</v>
      </c>
      <c r="J799" s="1" t="s">
        <v>3325</v>
      </c>
      <c r="K799" s="1" t="s">
        <v>3279</v>
      </c>
      <c r="L799" s="1" t="s">
        <v>35</v>
      </c>
      <c r="M799" s="15" t="s">
        <v>419</v>
      </c>
      <c r="N799" s="15"/>
      <c r="O799" s="8" t="s">
        <v>410</v>
      </c>
      <c r="P799" s="8" t="s">
        <v>46</v>
      </c>
      <c r="Q799" s="14">
        <v>0.02</v>
      </c>
      <c r="R799" s="139" t="s">
        <v>1082</v>
      </c>
      <c r="S799" s="15"/>
      <c r="T799" s="6">
        <v>0</v>
      </c>
      <c r="U799" s="6">
        <v>20000</v>
      </c>
      <c r="V799" s="6">
        <v>0</v>
      </c>
      <c r="W799" s="18">
        <f t="shared" si="119"/>
        <v>20000</v>
      </c>
      <c r="X799" s="18">
        <f t="shared" si="118"/>
        <v>0</v>
      </c>
      <c r="Y799" s="13">
        <f t="shared" si="113"/>
        <v>0</v>
      </c>
      <c r="Z799" s="14">
        <v>0</v>
      </c>
      <c r="AA799" s="4">
        <v>0</v>
      </c>
      <c r="AB799" s="4">
        <f t="shared" si="114"/>
        <v>0</v>
      </c>
      <c r="AC799" s="6">
        <f t="shared" si="115"/>
        <v>0</v>
      </c>
      <c r="AD799" s="6">
        <f t="shared" si="120"/>
        <v>0</v>
      </c>
      <c r="AE799" s="2">
        <v>7.0000000000000007E-2</v>
      </c>
      <c r="AF799" s="5">
        <f t="shared" si="116"/>
        <v>0</v>
      </c>
      <c r="AG799" s="14">
        <v>0</v>
      </c>
      <c r="AH799" s="19">
        <f t="shared" si="121"/>
        <v>0</v>
      </c>
      <c r="AJ799" s="126" t="e">
        <v>#N/A</v>
      </c>
      <c r="AK799" s="80">
        <f t="shared" si="117"/>
        <v>0</v>
      </c>
      <c r="AM799" s="85"/>
    </row>
    <row r="800" spans="1:39" hidden="1" x14ac:dyDescent="0.3">
      <c r="A800" s="85" t="s">
        <v>34</v>
      </c>
      <c r="B800" s="15" t="s">
        <v>35</v>
      </c>
      <c r="C800" s="15" t="s">
        <v>59</v>
      </c>
      <c r="D800" s="15" t="s">
        <v>60</v>
      </c>
      <c r="E800" s="15" t="s">
        <v>1083</v>
      </c>
      <c r="F800" s="15" t="s">
        <v>1084</v>
      </c>
      <c r="G800" s="15" t="s">
        <v>1083</v>
      </c>
      <c r="H800" s="154"/>
      <c r="I800" s="15" t="s">
        <v>1060</v>
      </c>
      <c r="J800" s="1" t="s">
        <v>3325</v>
      </c>
      <c r="K800" s="1" t="s">
        <v>3279</v>
      </c>
      <c r="L800" s="1" t="s">
        <v>35</v>
      </c>
      <c r="M800" s="15" t="s">
        <v>1085</v>
      </c>
      <c r="N800" s="15"/>
      <c r="O800" s="8" t="s">
        <v>410</v>
      </c>
      <c r="P800" s="8" t="s">
        <v>41</v>
      </c>
      <c r="Q800" s="14">
        <v>0</v>
      </c>
      <c r="R800" s="139" t="s">
        <v>1086</v>
      </c>
      <c r="S800" s="15"/>
      <c r="T800" s="6">
        <v>0</v>
      </c>
      <c r="U800" s="6">
        <v>84051.5</v>
      </c>
      <c r="V800" s="6">
        <v>72093.899999999994</v>
      </c>
      <c r="W800" s="18">
        <f t="shared" si="119"/>
        <v>11957.600000000006</v>
      </c>
      <c r="X800" s="18">
        <f t="shared" si="118"/>
        <v>72093.899999999994</v>
      </c>
      <c r="Y800" s="13">
        <f t="shared" si="113"/>
        <v>28912.879769480132</v>
      </c>
      <c r="Z800" s="14">
        <v>0</v>
      </c>
      <c r="AA800" s="4">
        <v>0</v>
      </c>
      <c r="AB800" s="4">
        <f t="shared" si="114"/>
        <v>72093.899999999994</v>
      </c>
      <c r="AC800" s="6">
        <f t="shared" si="115"/>
        <v>0</v>
      </c>
      <c r="AD800" s="6">
        <f t="shared" si="120"/>
        <v>43181.020230519862</v>
      </c>
      <c r="AE800" s="2">
        <v>7.0000000000000007E-2</v>
      </c>
      <c r="AF800" s="5">
        <f t="shared" si="116"/>
        <v>3022.6714161363907</v>
      </c>
      <c r="AG800" s="14">
        <v>0</v>
      </c>
      <c r="AH800" s="19">
        <f t="shared" si="121"/>
        <v>72093.899999999994</v>
      </c>
      <c r="AJ800" s="126" t="e">
        <v>#N/A</v>
      </c>
      <c r="AK800" s="80">
        <f t="shared" si="117"/>
        <v>0</v>
      </c>
      <c r="AM800" s="85"/>
    </row>
    <row r="801" spans="1:39" hidden="1" x14ac:dyDescent="0.3">
      <c r="A801" s="85" t="s">
        <v>34</v>
      </c>
      <c r="B801" s="15" t="s">
        <v>35</v>
      </c>
      <c r="C801" s="15" t="s">
        <v>59</v>
      </c>
      <c r="D801" s="15" t="s">
        <v>60</v>
      </c>
      <c r="E801" s="15" t="s">
        <v>1083</v>
      </c>
      <c r="F801" s="15" t="s">
        <v>1084</v>
      </c>
      <c r="G801" s="15" t="s">
        <v>1083</v>
      </c>
      <c r="H801" s="154"/>
      <c r="I801" s="15" t="s">
        <v>1060</v>
      </c>
      <c r="J801" s="1" t="s">
        <v>3325</v>
      </c>
      <c r="K801" s="1" t="s">
        <v>3279</v>
      </c>
      <c r="L801" s="1" t="s">
        <v>35</v>
      </c>
      <c r="M801" s="15" t="s">
        <v>1087</v>
      </c>
      <c r="N801" s="15"/>
      <c r="O801" s="8" t="s">
        <v>410</v>
      </c>
      <c r="P801" s="8" t="s">
        <v>41</v>
      </c>
      <c r="Q801" s="14">
        <v>0</v>
      </c>
      <c r="R801" s="139" t="s">
        <v>1088</v>
      </c>
      <c r="S801" s="15"/>
      <c r="T801" s="6">
        <v>0</v>
      </c>
      <c r="U801" s="6">
        <v>76200</v>
      </c>
      <c r="V801" s="6">
        <v>68601.7</v>
      </c>
      <c r="W801" s="18">
        <f t="shared" si="119"/>
        <v>7598.3000000000029</v>
      </c>
      <c r="X801" s="18">
        <f t="shared" si="118"/>
        <v>68601.7</v>
      </c>
      <c r="Y801" s="13">
        <f t="shared" si="113"/>
        <v>27512.351309638478</v>
      </c>
      <c r="Z801" s="14">
        <v>0</v>
      </c>
      <c r="AA801" s="4">
        <v>0</v>
      </c>
      <c r="AB801" s="4">
        <f t="shared" si="114"/>
        <v>68601.7</v>
      </c>
      <c r="AC801" s="6">
        <f t="shared" si="115"/>
        <v>0</v>
      </c>
      <c r="AD801" s="6">
        <f t="shared" si="120"/>
        <v>41089.348690361519</v>
      </c>
      <c r="AE801" s="2">
        <v>7.0000000000000007E-2</v>
      </c>
      <c r="AF801" s="5">
        <f t="shared" si="116"/>
        <v>2876.2544083253065</v>
      </c>
      <c r="AG801" s="14">
        <v>0</v>
      </c>
      <c r="AH801" s="19">
        <f t="shared" si="121"/>
        <v>68601.7</v>
      </c>
      <c r="AJ801" s="126" t="e">
        <v>#N/A</v>
      </c>
      <c r="AK801" s="80">
        <f t="shared" si="117"/>
        <v>0</v>
      </c>
      <c r="AM801" s="85"/>
    </row>
    <row r="802" spans="1:39" hidden="1" x14ac:dyDescent="0.3">
      <c r="A802" s="85" t="s">
        <v>34</v>
      </c>
      <c r="B802" s="15" t="s">
        <v>35</v>
      </c>
      <c r="C802" s="15" t="s">
        <v>59</v>
      </c>
      <c r="D802" s="15" t="s">
        <v>60</v>
      </c>
      <c r="E802" s="15" t="s">
        <v>1083</v>
      </c>
      <c r="F802" s="15" t="s">
        <v>1084</v>
      </c>
      <c r="G802" s="15" t="s">
        <v>1083</v>
      </c>
      <c r="H802" s="154"/>
      <c r="I802" s="15" t="s">
        <v>1060</v>
      </c>
      <c r="J802" s="1" t="s">
        <v>3325</v>
      </c>
      <c r="K802" s="1" t="s">
        <v>3279</v>
      </c>
      <c r="L802" s="1" t="s">
        <v>35</v>
      </c>
      <c r="M802" s="15" t="s">
        <v>1089</v>
      </c>
      <c r="N802" s="15"/>
      <c r="O802" s="8" t="s">
        <v>410</v>
      </c>
      <c r="P802" s="8" t="s">
        <v>41</v>
      </c>
      <c r="Q802" s="14">
        <v>0</v>
      </c>
      <c r="R802" s="139" t="s">
        <v>1090</v>
      </c>
      <c r="S802" s="15"/>
      <c r="T802" s="6">
        <v>0</v>
      </c>
      <c r="U802" s="6">
        <v>144000</v>
      </c>
      <c r="V802" s="6">
        <v>117216.8</v>
      </c>
      <c r="W802" s="18">
        <f t="shared" si="119"/>
        <v>26783.199999999997</v>
      </c>
      <c r="X802" s="18">
        <f t="shared" si="118"/>
        <v>117216.8</v>
      </c>
      <c r="Y802" s="13">
        <f t="shared" si="113"/>
        <v>47009.181711118406</v>
      </c>
      <c r="Z802" s="14">
        <v>0</v>
      </c>
      <c r="AA802" s="4">
        <v>0</v>
      </c>
      <c r="AB802" s="4">
        <f t="shared" si="114"/>
        <v>117216.8</v>
      </c>
      <c r="AC802" s="6">
        <f t="shared" si="115"/>
        <v>0</v>
      </c>
      <c r="AD802" s="6">
        <f t="shared" si="120"/>
        <v>70207.618288881597</v>
      </c>
      <c r="AE802" s="2">
        <v>7.0000000000000007E-2</v>
      </c>
      <c r="AF802" s="5">
        <f t="shared" si="116"/>
        <v>4914.5332802217126</v>
      </c>
      <c r="AG802" s="14">
        <v>0</v>
      </c>
      <c r="AH802" s="19">
        <f t="shared" si="121"/>
        <v>117216.8</v>
      </c>
      <c r="AJ802" s="126" t="e">
        <v>#N/A</v>
      </c>
      <c r="AK802" s="80">
        <f t="shared" si="117"/>
        <v>0</v>
      </c>
      <c r="AM802" s="85"/>
    </row>
    <row r="803" spans="1:39" hidden="1" x14ac:dyDescent="0.3">
      <c r="A803" s="85" t="s">
        <v>34</v>
      </c>
      <c r="B803" s="15" t="s">
        <v>35</v>
      </c>
      <c r="C803" s="15" t="s">
        <v>59</v>
      </c>
      <c r="D803" s="15" t="s">
        <v>60</v>
      </c>
      <c r="E803" s="15" t="s">
        <v>1083</v>
      </c>
      <c r="F803" s="15" t="s">
        <v>1084</v>
      </c>
      <c r="G803" s="15" t="s">
        <v>1083</v>
      </c>
      <c r="H803" s="154"/>
      <c r="I803" s="15" t="s">
        <v>1060</v>
      </c>
      <c r="J803" s="1" t="s">
        <v>3325</v>
      </c>
      <c r="K803" s="1" t="s">
        <v>3279</v>
      </c>
      <c r="L803" s="1" t="s">
        <v>35</v>
      </c>
      <c r="M803" s="15" t="s">
        <v>1091</v>
      </c>
      <c r="N803" s="15"/>
      <c r="O803" s="8" t="s">
        <v>410</v>
      </c>
      <c r="P803" s="8" t="s">
        <v>41</v>
      </c>
      <c r="Q803" s="14">
        <v>0</v>
      </c>
      <c r="R803" s="139" t="s">
        <v>1092</v>
      </c>
      <c r="S803" s="15"/>
      <c r="T803" s="6">
        <v>0</v>
      </c>
      <c r="U803" s="6">
        <v>28198.5</v>
      </c>
      <c r="V803" s="6">
        <v>28198.5</v>
      </c>
      <c r="W803" s="18">
        <f t="shared" si="119"/>
        <v>0</v>
      </c>
      <c r="X803" s="18">
        <f t="shared" si="118"/>
        <v>28198.5</v>
      </c>
      <c r="Y803" s="13">
        <f t="shared" si="113"/>
        <v>11308.860252804825</v>
      </c>
      <c r="Z803" s="14">
        <v>0</v>
      </c>
      <c r="AA803" s="4">
        <v>0</v>
      </c>
      <c r="AB803" s="4">
        <f t="shared" si="114"/>
        <v>28198.5</v>
      </c>
      <c r="AC803" s="6">
        <f t="shared" si="115"/>
        <v>0</v>
      </c>
      <c r="AD803" s="6">
        <f t="shared" si="120"/>
        <v>16889.639747195175</v>
      </c>
      <c r="AE803" s="2">
        <v>7.0000000000000007E-2</v>
      </c>
      <c r="AF803" s="5">
        <f t="shared" si="116"/>
        <v>1182.2747823036623</v>
      </c>
      <c r="AG803" s="14">
        <v>0</v>
      </c>
      <c r="AH803" s="19">
        <f t="shared" si="121"/>
        <v>28198.5</v>
      </c>
      <c r="AJ803" s="126" t="e">
        <v>#N/A</v>
      </c>
      <c r="AK803" s="80">
        <f t="shared" si="117"/>
        <v>0</v>
      </c>
      <c r="AM803" s="85"/>
    </row>
    <row r="804" spans="1:39" hidden="1" x14ac:dyDescent="0.3">
      <c r="A804" s="85" t="s">
        <v>34</v>
      </c>
      <c r="B804" s="15" t="s">
        <v>35</v>
      </c>
      <c r="C804" s="15" t="s">
        <v>59</v>
      </c>
      <c r="D804" s="15" t="s">
        <v>60</v>
      </c>
      <c r="E804" s="15" t="s">
        <v>784</v>
      </c>
      <c r="F804" s="15" t="s">
        <v>784</v>
      </c>
      <c r="G804" s="15" t="s">
        <v>784</v>
      </c>
      <c r="H804" s="154"/>
      <c r="I804" s="15" t="s">
        <v>1060</v>
      </c>
      <c r="J804" s="1" t="s">
        <v>3325</v>
      </c>
      <c r="K804" s="1" t="s">
        <v>3279</v>
      </c>
      <c r="L804" s="1" t="s">
        <v>35</v>
      </c>
      <c r="M804" s="15" t="s">
        <v>784</v>
      </c>
      <c r="N804" s="15"/>
      <c r="O804" s="8" t="s">
        <v>410</v>
      </c>
      <c r="P804" s="8" t="s">
        <v>46</v>
      </c>
      <c r="Q804" s="14">
        <v>0.02</v>
      </c>
      <c r="R804" s="139" t="s">
        <v>1079</v>
      </c>
      <c r="S804" s="15"/>
      <c r="T804" s="6">
        <v>0</v>
      </c>
      <c r="U804" s="6">
        <v>22294.46</v>
      </c>
      <c r="V804" s="6">
        <v>8077.5</v>
      </c>
      <c r="W804" s="18">
        <f t="shared" si="119"/>
        <v>14216.96</v>
      </c>
      <c r="X804" s="18">
        <f t="shared" si="118"/>
        <v>7919.1176470588234</v>
      </c>
      <c r="Y804" s="13">
        <f t="shared" si="113"/>
        <v>3081.0565779250383</v>
      </c>
      <c r="Z804" s="14">
        <v>0</v>
      </c>
      <c r="AA804" s="4">
        <v>0</v>
      </c>
      <c r="AB804" s="4">
        <f t="shared" si="114"/>
        <v>7919.1176470588234</v>
      </c>
      <c r="AC804" s="6">
        <f t="shared" si="115"/>
        <v>158.38235294117658</v>
      </c>
      <c r="AD804" s="6">
        <f t="shared" si="120"/>
        <v>4838.0610691337852</v>
      </c>
      <c r="AE804" s="2">
        <v>7.0000000000000007E-2</v>
      </c>
      <c r="AF804" s="5">
        <f t="shared" si="116"/>
        <v>338.66427483936502</v>
      </c>
      <c r="AG804" s="14">
        <v>0</v>
      </c>
      <c r="AH804" s="19">
        <f t="shared" si="121"/>
        <v>8077.5</v>
      </c>
      <c r="AJ804" s="126" t="e">
        <v>#N/A</v>
      </c>
      <c r="AK804" s="80">
        <f t="shared" si="117"/>
        <v>0</v>
      </c>
      <c r="AM804" s="85"/>
    </row>
    <row r="805" spans="1:39" hidden="1" x14ac:dyDescent="0.3">
      <c r="A805" s="85" t="s">
        <v>34</v>
      </c>
      <c r="B805" s="15" t="s">
        <v>35</v>
      </c>
      <c r="C805" s="15" t="s">
        <v>59</v>
      </c>
      <c r="D805" s="15" t="s">
        <v>60</v>
      </c>
      <c r="E805" s="15" t="s">
        <v>1093</v>
      </c>
      <c r="F805" s="15" t="s">
        <v>1093</v>
      </c>
      <c r="G805" s="15" t="s">
        <v>1093</v>
      </c>
      <c r="H805" s="154"/>
      <c r="I805" s="15" t="s">
        <v>1060</v>
      </c>
      <c r="J805" s="1" t="s">
        <v>3325</v>
      </c>
      <c r="K805" s="1" t="s">
        <v>3279</v>
      </c>
      <c r="L805" s="1" t="s">
        <v>35</v>
      </c>
      <c r="M805" s="15" t="s">
        <v>1093</v>
      </c>
      <c r="N805" s="15"/>
      <c r="O805" s="8" t="s">
        <v>410</v>
      </c>
      <c r="P805" s="8" t="s">
        <v>41</v>
      </c>
      <c r="Q805" s="14">
        <v>0</v>
      </c>
      <c r="R805" s="139" t="s">
        <v>1094</v>
      </c>
      <c r="S805" s="15"/>
      <c r="T805" s="6">
        <v>0</v>
      </c>
      <c r="U805" s="6">
        <v>20000</v>
      </c>
      <c r="V805" s="6">
        <v>19999</v>
      </c>
      <c r="W805" s="18">
        <f t="shared" si="119"/>
        <v>1</v>
      </c>
      <c r="X805" s="18">
        <f t="shared" si="118"/>
        <v>19999</v>
      </c>
      <c r="Y805" s="13">
        <f t="shared" si="113"/>
        <v>8020.493863001353</v>
      </c>
      <c r="Z805" s="14">
        <v>0</v>
      </c>
      <c r="AA805" s="4">
        <v>0</v>
      </c>
      <c r="AB805" s="4">
        <f t="shared" si="114"/>
        <v>19999</v>
      </c>
      <c r="AC805" s="6">
        <f t="shared" si="115"/>
        <v>0</v>
      </c>
      <c r="AD805" s="6">
        <f t="shared" si="120"/>
        <v>11978.506136998647</v>
      </c>
      <c r="AE805" s="2">
        <v>7.0000000000000007E-2</v>
      </c>
      <c r="AF805" s="5">
        <f t="shared" si="116"/>
        <v>838.49542958990537</v>
      </c>
      <c r="AG805" s="14">
        <v>0</v>
      </c>
      <c r="AH805" s="19">
        <f t="shared" si="121"/>
        <v>19999</v>
      </c>
      <c r="AJ805" s="126" t="e">
        <v>#N/A</v>
      </c>
      <c r="AK805" s="80">
        <f t="shared" si="117"/>
        <v>0</v>
      </c>
      <c r="AM805" s="85"/>
    </row>
    <row r="806" spans="1:39" hidden="1" x14ac:dyDescent="0.3">
      <c r="A806" s="85" t="s">
        <v>34</v>
      </c>
      <c r="B806" s="15" t="s">
        <v>35</v>
      </c>
      <c r="C806" s="15" t="s">
        <v>36</v>
      </c>
      <c r="D806" s="15" t="s">
        <v>224</v>
      </c>
      <c r="E806" s="15" t="s">
        <v>1095</v>
      </c>
      <c r="F806" s="15" t="s">
        <v>1095</v>
      </c>
      <c r="G806" s="15" t="s">
        <v>1095</v>
      </c>
      <c r="H806" s="154"/>
      <c r="I806" s="15" t="s">
        <v>1060</v>
      </c>
      <c r="J806" s="1" t="s">
        <v>3325</v>
      </c>
      <c r="K806" s="1" t="s">
        <v>3279</v>
      </c>
      <c r="L806" s="1" t="s">
        <v>35</v>
      </c>
      <c r="M806" s="15" t="s">
        <v>1095</v>
      </c>
      <c r="N806" s="15"/>
      <c r="O806" s="8" t="s">
        <v>410</v>
      </c>
      <c r="P806" s="8" t="s">
        <v>46</v>
      </c>
      <c r="Q806" s="14">
        <v>0.02</v>
      </c>
      <c r="R806" s="139" t="s">
        <v>1096</v>
      </c>
      <c r="S806" s="15"/>
      <c r="T806" s="6">
        <v>0</v>
      </c>
      <c r="U806" s="6">
        <v>20000</v>
      </c>
      <c r="V806" s="6">
        <v>11130.9</v>
      </c>
      <c r="W806" s="18">
        <f t="shared" si="119"/>
        <v>8869.1</v>
      </c>
      <c r="X806" s="18">
        <f t="shared" si="118"/>
        <v>10912.64705882353</v>
      </c>
      <c r="Y806" s="13">
        <f t="shared" si="113"/>
        <v>4245.7360152554393</v>
      </c>
      <c r="Z806" s="14">
        <v>0</v>
      </c>
      <c r="AA806" s="4">
        <v>0</v>
      </c>
      <c r="AB806" s="4">
        <f t="shared" si="114"/>
        <v>10912.64705882353</v>
      </c>
      <c r="AC806" s="6">
        <f t="shared" si="115"/>
        <v>218.2529411764699</v>
      </c>
      <c r="AD806" s="6">
        <f t="shared" si="120"/>
        <v>6666.9110435680905</v>
      </c>
      <c r="AE806" s="2">
        <v>7.0000000000000007E-2</v>
      </c>
      <c r="AF806" s="5">
        <f t="shared" si="116"/>
        <v>466.68377304976639</v>
      </c>
      <c r="AG806" s="14">
        <v>0</v>
      </c>
      <c r="AH806" s="19">
        <f t="shared" si="121"/>
        <v>11130.9</v>
      </c>
      <c r="AJ806" s="126" t="e">
        <v>#N/A</v>
      </c>
      <c r="AK806" s="80">
        <f t="shared" si="117"/>
        <v>0</v>
      </c>
      <c r="AM806" s="85"/>
    </row>
    <row r="807" spans="1:39" hidden="1" x14ac:dyDescent="0.3">
      <c r="A807" s="85" t="s">
        <v>34</v>
      </c>
      <c r="B807" s="15" t="s">
        <v>35</v>
      </c>
      <c r="C807" s="15" t="s">
        <v>36</v>
      </c>
      <c r="D807" s="15" t="s">
        <v>224</v>
      </c>
      <c r="E807" s="15" t="s">
        <v>1097</v>
      </c>
      <c r="F807" s="15" t="s">
        <v>1097</v>
      </c>
      <c r="G807" s="15" t="s">
        <v>1097</v>
      </c>
      <c r="H807" s="154"/>
      <c r="I807" s="15" t="s">
        <v>1060</v>
      </c>
      <c r="J807" s="1" t="s">
        <v>3325</v>
      </c>
      <c r="K807" s="1" t="s">
        <v>3279</v>
      </c>
      <c r="L807" s="1" t="s">
        <v>35</v>
      </c>
      <c r="M807" s="15" t="s">
        <v>1097</v>
      </c>
      <c r="N807" s="15"/>
      <c r="O807" s="8" t="s">
        <v>410</v>
      </c>
      <c r="P807" s="8" t="s">
        <v>41</v>
      </c>
      <c r="Q807" s="14">
        <v>0</v>
      </c>
      <c r="R807" s="139" t="s">
        <v>1098</v>
      </c>
      <c r="S807" s="15"/>
      <c r="T807" s="6">
        <v>28173.100000000035</v>
      </c>
      <c r="U807" s="6">
        <v>100000</v>
      </c>
      <c r="V807" s="6">
        <v>108206.2</v>
      </c>
      <c r="W807" s="18">
        <f t="shared" si="119"/>
        <v>19966.900000000038</v>
      </c>
      <c r="X807" s="18">
        <f t="shared" si="118"/>
        <v>108206.2</v>
      </c>
      <c r="Y807" s="13">
        <f t="shared" si="113"/>
        <v>43395.52792833127</v>
      </c>
      <c r="Z807" s="14">
        <v>0</v>
      </c>
      <c r="AA807" s="4">
        <v>0</v>
      </c>
      <c r="AB807" s="4">
        <f t="shared" si="114"/>
        <v>108206.2</v>
      </c>
      <c r="AC807" s="6">
        <f t="shared" si="115"/>
        <v>0</v>
      </c>
      <c r="AD807" s="6">
        <f t="shared" si="120"/>
        <v>64810.672071668727</v>
      </c>
      <c r="AE807" s="2">
        <v>7.0000000000000007E-2</v>
      </c>
      <c r="AF807" s="5">
        <f t="shared" si="116"/>
        <v>4536.7470450168112</v>
      </c>
      <c r="AG807" s="14">
        <v>0</v>
      </c>
      <c r="AH807" s="19">
        <f t="shared" si="121"/>
        <v>108206.2</v>
      </c>
      <c r="AJ807" s="126" t="e">
        <v>#N/A</v>
      </c>
      <c r="AK807" s="80">
        <f t="shared" si="117"/>
        <v>0</v>
      </c>
      <c r="AM807" s="85"/>
    </row>
    <row r="808" spans="1:39" hidden="1" x14ac:dyDescent="0.3">
      <c r="A808" s="85" t="s">
        <v>34</v>
      </c>
      <c r="B808" s="15" t="s">
        <v>35</v>
      </c>
      <c r="C808" s="15" t="s">
        <v>36</v>
      </c>
      <c r="D808" s="15" t="s">
        <v>224</v>
      </c>
      <c r="E808" s="15" t="s">
        <v>1099</v>
      </c>
      <c r="F808" s="15" t="s">
        <v>1099</v>
      </c>
      <c r="G808" s="15" t="s">
        <v>1099</v>
      </c>
      <c r="H808" s="154"/>
      <c r="I808" s="15" t="s">
        <v>1060</v>
      </c>
      <c r="J808" s="1" t="s">
        <v>3325</v>
      </c>
      <c r="K808" s="1" t="s">
        <v>3279</v>
      </c>
      <c r="L808" s="1" t="s">
        <v>35</v>
      </c>
      <c r="M808" s="15" t="s">
        <v>1099</v>
      </c>
      <c r="N808" s="15"/>
      <c r="O808" s="8" t="s">
        <v>410</v>
      </c>
      <c r="P808" s="8" t="s">
        <v>41</v>
      </c>
      <c r="Q808" s="14">
        <v>0</v>
      </c>
      <c r="R808" s="139" t="s">
        <v>1100</v>
      </c>
      <c r="S808" s="15"/>
      <c r="T808" s="6">
        <v>0</v>
      </c>
      <c r="U808" s="6">
        <v>20000</v>
      </c>
      <c r="V808" s="6">
        <v>19999</v>
      </c>
      <c r="W808" s="18">
        <f t="shared" si="119"/>
        <v>1</v>
      </c>
      <c r="X808" s="18">
        <f t="shared" si="118"/>
        <v>19999</v>
      </c>
      <c r="Y808" s="13">
        <f t="shared" si="113"/>
        <v>8020.493863001353</v>
      </c>
      <c r="Z808" s="14">
        <v>0</v>
      </c>
      <c r="AA808" s="4">
        <v>0</v>
      </c>
      <c r="AB808" s="4">
        <f t="shared" si="114"/>
        <v>19999</v>
      </c>
      <c r="AC808" s="6">
        <f t="shared" si="115"/>
        <v>0</v>
      </c>
      <c r="AD808" s="6">
        <f t="shared" si="120"/>
        <v>11978.506136998647</v>
      </c>
      <c r="AE808" s="2">
        <v>7.0000000000000007E-2</v>
      </c>
      <c r="AF808" s="5">
        <f t="shared" si="116"/>
        <v>838.49542958990537</v>
      </c>
      <c r="AG808" s="14">
        <v>0</v>
      </c>
      <c r="AH808" s="19">
        <f t="shared" si="121"/>
        <v>19999</v>
      </c>
      <c r="AJ808" s="126" t="e">
        <v>#N/A</v>
      </c>
      <c r="AK808" s="80">
        <f t="shared" si="117"/>
        <v>0</v>
      </c>
      <c r="AM808" s="85"/>
    </row>
    <row r="809" spans="1:39" hidden="1" x14ac:dyDescent="0.3">
      <c r="A809" s="85" t="s">
        <v>34</v>
      </c>
      <c r="B809" s="15" t="s">
        <v>35</v>
      </c>
      <c r="C809" s="15" t="s">
        <v>36</v>
      </c>
      <c r="D809" s="15" t="s">
        <v>224</v>
      </c>
      <c r="E809" s="15" t="s">
        <v>1101</v>
      </c>
      <c r="F809" s="15" t="s">
        <v>1101</v>
      </c>
      <c r="G809" s="15" t="s">
        <v>1101</v>
      </c>
      <c r="H809" s="154"/>
      <c r="I809" s="15" t="s">
        <v>1060</v>
      </c>
      <c r="J809" s="1" t="s">
        <v>3325</v>
      </c>
      <c r="K809" s="1" t="s">
        <v>3279</v>
      </c>
      <c r="L809" s="1" t="s">
        <v>35</v>
      </c>
      <c r="M809" s="15" t="s">
        <v>1101</v>
      </c>
      <c r="N809" s="15"/>
      <c r="O809" s="8" t="s">
        <v>410</v>
      </c>
      <c r="P809" s="8" t="s">
        <v>41</v>
      </c>
      <c r="Q809" s="14">
        <v>0</v>
      </c>
      <c r="R809" s="139" t="s">
        <v>1102</v>
      </c>
      <c r="S809" s="15"/>
      <c r="T809" s="6">
        <v>0</v>
      </c>
      <c r="U809" s="6">
        <v>106187.2</v>
      </c>
      <c r="V809" s="6">
        <v>92690.939999999988</v>
      </c>
      <c r="W809" s="18">
        <f t="shared" si="119"/>
        <v>13496.260000000009</v>
      </c>
      <c r="X809" s="18">
        <f t="shared" si="118"/>
        <v>92690.939999999988</v>
      </c>
      <c r="Y809" s="13">
        <f t="shared" si="113"/>
        <v>37173.21443201293</v>
      </c>
      <c r="Z809" s="14">
        <v>0</v>
      </c>
      <c r="AA809" s="4">
        <v>0</v>
      </c>
      <c r="AB809" s="4">
        <f t="shared" si="114"/>
        <v>92690.939999999988</v>
      </c>
      <c r="AC809" s="6">
        <f t="shared" si="115"/>
        <v>0</v>
      </c>
      <c r="AD809" s="6">
        <f t="shared" si="120"/>
        <v>55517.725567987058</v>
      </c>
      <c r="AE809" s="2">
        <v>7.0000000000000007E-2</v>
      </c>
      <c r="AF809" s="5">
        <f t="shared" si="116"/>
        <v>3886.2407897590942</v>
      </c>
      <c r="AG809" s="14">
        <v>0</v>
      </c>
      <c r="AH809" s="19">
        <f t="shared" si="121"/>
        <v>92690.939999999988</v>
      </c>
      <c r="AJ809" s="126" t="e">
        <v>#N/A</v>
      </c>
      <c r="AK809" s="80">
        <f t="shared" si="117"/>
        <v>0</v>
      </c>
      <c r="AM809" s="85"/>
    </row>
    <row r="810" spans="1:39" hidden="1" x14ac:dyDescent="0.3">
      <c r="A810" s="85" t="s">
        <v>34</v>
      </c>
      <c r="B810" s="15" t="s">
        <v>35</v>
      </c>
      <c r="C810" s="15" t="s">
        <v>36</v>
      </c>
      <c r="D810" s="15" t="s">
        <v>224</v>
      </c>
      <c r="E810" s="15" t="s">
        <v>1101</v>
      </c>
      <c r="F810" s="15" t="s">
        <v>1101</v>
      </c>
      <c r="G810" s="15" t="s">
        <v>1101</v>
      </c>
      <c r="H810" s="154"/>
      <c r="I810" s="15" t="s">
        <v>1060</v>
      </c>
      <c r="J810" s="1" t="s">
        <v>3325</v>
      </c>
      <c r="K810" s="1" t="s">
        <v>3279</v>
      </c>
      <c r="L810" s="1" t="s">
        <v>35</v>
      </c>
      <c r="M810" s="15" t="s">
        <v>1101</v>
      </c>
      <c r="N810" s="15"/>
      <c r="O810" s="8" t="s">
        <v>410</v>
      </c>
      <c r="P810" s="8" t="s">
        <v>46</v>
      </c>
      <c r="Q810" s="14">
        <v>0.02</v>
      </c>
      <c r="R810" s="139" t="s">
        <v>1102</v>
      </c>
      <c r="S810" s="15"/>
      <c r="T810" s="6">
        <v>16187.200000000012</v>
      </c>
      <c r="U810" s="6">
        <v>-15110.940000000002</v>
      </c>
      <c r="V810" s="6">
        <v>1076.2600000000093</v>
      </c>
      <c r="W810" s="18">
        <f t="shared" si="119"/>
        <v>0</v>
      </c>
      <c r="X810" s="18">
        <f t="shared" si="118"/>
        <v>1055.1568627451072</v>
      </c>
      <c r="Y810" s="13">
        <f t="shared" si="113"/>
        <v>410.525280415677</v>
      </c>
      <c r="Z810" s="14">
        <v>0</v>
      </c>
      <c r="AA810" s="4">
        <v>0</v>
      </c>
      <c r="AB810" s="4">
        <f t="shared" si="114"/>
        <v>1055.1568627451072</v>
      </c>
      <c r="AC810" s="6">
        <f t="shared" si="115"/>
        <v>21.103137254902094</v>
      </c>
      <c r="AD810" s="6">
        <f t="shared" si="120"/>
        <v>644.63158232943022</v>
      </c>
      <c r="AE810" s="2">
        <v>7.0000000000000007E-2</v>
      </c>
      <c r="AF810" s="5">
        <f t="shared" si="116"/>
        <v>45.12421076306012</v>
      </c>
      <c r="AG810" s="14">
        <v>0</v>
      </c>
      <c r="AH810" s="19">
        <f t="shared" si="121"/>
        <v>1076.2600000000093</v>
      </c>
      <c r="AJ810" s="126" t="e">
        <v>#N/A</v>
      </c>
      <c r="AK810" s="80">
        <f t="shared" si="117"/>
        <v>0</v>
      </c>
      <c r="AM810" s="85"/>
    </row>
    <row r="811" spans="1:39" hidden="1" x14ac:dyDescent="0.3">
      <c r="A811" s="85" t="s">
        <v>34</v>
      </c>
      <c r="B811" s="15" t="s">
        <v>35</v>
      </c>
      <c r="C811" s="15" t="s">
        <v>36</v>
      </c>
      <c r="D811" s="15" t="s">
        <v>224</v>
      </c>
      <c r="E811" s="15" t="s">
        <v>1103</v>
      </c>
      <c r="F811" s="15" t="s">
        <v>1103</v>
      </c>
      <c r="G811" s="15" t="s">
        <v>1103</v>
      </c>
      <c r="H811" s="154"/>
      <c r="I811" s="15" t="s">
        <v>1060</v>
      </c>
      <c r="J811" s="1" t="s">
        <v>3325</v>
      </c>
      <c r="K811" s="1" t="s">
        <v>3279</v>
      </c>
      <c r="L811" s="1" t="s">
        <v>35</v>
      </c>
      <c r="M811" s="15" t="s">
        <v>1104</v>
      </c>
      <c r="N811" s="15"/>
      <c r="O811" s="8" t="s">
        <v>410</v>
      </c>
      <c r="P811" s="8" t="s">
        <v>41</v>
      </c>
      <c r="Q811" s="14">
        <v>0</v>
      </c>
      <c r="R811" s="139" t="s">
        <v>1105</v>
      </c>
      <c r="S811" s="15"/>
      <c r="T811" s="6">
        <v>0</v>
      </c>
      <c r="U811" s="6">
        <v>10000</v>
      </c>
      <c r="V811" s="6">
        <v>4684.5</v>
      </c>
      <c r="W811" s="18">
        <f t="shared" si="119"/>
        <v>5315.5</v>
      </c>
      <c r="X811" s="18">
        <f t="shared" si="118"/>
        <v>4684.5</v>
      </c>
      <c r="Y811" s="13">
        <f t="shared" si="113"/>
        <v>1878.6941097669805</v>
      </c>
      <c r="Z811" s="14">
        <v>0</v>
      </c>
      <c r="AA811" s="4">
        <v>0</v>
      </c>
      <c r="AB811" s="4">
        <f t="shared" si="114"/>
        <v>4684.5</v>
      </c>
      <c r="AC811" s="6">
        <f t="shared" si="115"/>
        <v>0</v>
      </c>
      <c r="AD811" s="6">
        <f t="shared" si="120"/>
        <v>2805.8058902330195</v>
      </c>
      <c r="AE811" s="2">
        <v>7.0000000000000007E-2</v>
      </c>
      <c r="AF811" s="5">
        <f t="shared" si="116"/>
        <v>196.40641231631139</v>
      </c>
      <c r="AG811" s="14">
        <v>0</v>
      </c>
      <c r="AH811" s="19">
        <f t="shared" si="121"/>
        <v>4684.5</v>
      </c>
      <c r="AJ811" s="126" t="e">
        <v>#N/A</v>
      </c>
      <c r="AK811" s="80">
        <f t="shared" si="117"/>
        <v>0</v>
      </c>
      <c r="AM811" s="85"/>
    </row>
    <row r="812" spans="1:39" hidden="1" x14ac:dyDescent="0.3">
      <c r="A812" s="85" t="s">
        <v>34</v>
      </c>
      <c r="B812" s="15" t="s">
        <v>35</v>
      </c>
      <c r="C812" s="15" t="s">
        <v>36</v>
      </c>
      <c r="D812" s="15" t="s">
        <v>224</v>
      </c>
      <c r="E812" s="15" t="s">
        <v>1106</v>
      </c>
      <c r="F812" s="15" t="s">
        <v>1106</v>
      </c>
      <c r="G812" s="15" t="s">
        <v>1106</v>
      </c>
      <c r="H812" s="154"/>
      <c r="I812" s="15" t="s">
        <v>1060</v>
      </c>
      <c r="J812" s="1" t="s">
        <v>3325</v>
      </c>
      <c r="K812" s="1" t="s">
        <v>3279</v>
      </c>
      <c r="L812" s="1" t="s">
        <v>35</v>
      </c>
      <c r="M812" s="15" t="s">
        <v>1106</v>
      </c>
      <c r="N812" s="15"/>
      <c r="O812" s="8" t="s">
        <v>410</v>
      </c>
      <c r="P812" s="8" t="s">
        <v>41</v>
      </c>
      <c r="Q812" s="14">
        <v>0</v>
      </c>
      <c r="R812" s="139" t="s">
        <v>1107</v>
      </c>
      <c r="S812" s="15"/>
      <c r="T812" s="6">
        <v>0</v>
      </c>
      <c r="U812" s="6">
        <v>35000</v>
      </c>
      <c r="V812" s="6">
        <v>33254.699999999997</v>
      </c>
      <c r="W812" s="18">
        <f t="shared" si="119"/>
        <v>1745.3000000000029</v>
      </c>
      <c r="X812" s="18">
        <f t="shared" si="118"/>
        <v>33254.699999999997</v>
      </c>
      <c r="Y812" s="13">
        <f t="shared" si="113"/>
        <v>13336.622694432277</v>
      </c>
      <c r="Z812" s="14">
        <v>0</v>
      </c>
      <c r="AA812" s="4">
        <v>0</v>
      </c>
      <c r="AB812" s="4">
        <f t="shared" si="114"/>
        <v>33254.699999999997</v>
      </c>
      <c r="AC812" s="6">
        <f t="shared" si="115"/>
        <v>0</v>
      </c>
      <c r="AD812" s="6">
        <f t="shared" si="120"/>
        <v>19918.07730556772</v>
      </c>
      <c r="AE812" s="2">
        <v>7.0000000000000007E-2</v>
      </c>
      <c r="AF812" s="5">
        <f t="shared" si="116"/>
        <v>1394.2654113897406</v>
      </c>
      <c r="AG812" s="14">
        <v>0</v>
      </c>
      <c r="AH812" s="19">
        <f t="shared" si="121"/>
        <v>33254.699999999997</v>
      </c>
      <c r="AJ812" s="126" t="e">
        <v>#N/A</v>
      </c>
      <c r="AK812" s="80">
        <f t="shared" si="117"/>
        <v>0</v>
      </c>
      <c r="AM812" s="85"/>
    </row>
    <row r="813" spans="1:39" hidden="1" x14ac:dyDescent="0.3">
      <c r="A813" s="85" t="s">
        <v>34</v>
      </c>
      <c r="B813" s="15" t="s">
        <v>35</v>
      </c>
      <c r="C813" s="15" t="s">
        <v>36</v>
      </c>
      <c r="D813" s="15" t="s">
        <v>224</v>
      </c>
      <c r="E813" s="15" t="s">
        <v>1108</v>
      </c>
      <c r="F813" s="15" t="s">
        <v>1108</v>
      </c>
      <c r="G813" s="15" t="s">
        <v>1108</v>
      </c>
      <c r="H813" s="139"/>
      <c r="I813" s="15" t="s">
        <v>1060</v>
      </c>
      <c r="J813" s="1" t="s">
        <v>3325</v>
      </c>
      <c r="K813" s="1" t="s">
        <v>3279</v>
      </c>
      <c r="L813" s="1" t="s">
        <v>35</v>
      </c>
      <c r="M813" s="15" t="s">
        <v>1108</v>
      </c>
      <c r="N813" s="15"/>
      <c r="O813" s="8" t="s">
        <v>410</v>
      </c>
      <c r="P813" s="8" t="s">
        <v>41</v>
      </c>
      <c r="Q813" s="14">
        <v>0</v>
      </c>
      <c r="R813" s="139" t="s">
        <v>1109</v>
      </c>
      <c r="S813" s="15"/>
      <c r="T813" s="6">
        <v>0</v>
      </c>
      <c r="U813" s="6">
        <v>6502</v>
      </c>
      <c r="V813" s="6">
        <v>0</v>
      </c>
      <c r="W813" s="18">
        <f t="shared" si="119"/>
        <v>6502</v>
      </c>
      <c r="X813" s="18">
        <f t="shared" si="118"/>
        <v>0</v>
      </c>
      <c r="Y813" s="13">
        <f t="shared" si="113"/>
        <v>0</v>
      </c>
      <c r="Z813" s="14">
        <v>0</v>
      </c>
      <c r="AA813" s="4">
        <v>0</v>
      </c>
      <c r="AB813" s="4">
        <f t="shared" si="114"/>
        <v>0</v>
      </c>
      <c r="AC813" s="6">
        <f t="shared" si="115"/>
        <v>0</v>
      </c>
      <c r="AD813" s="6">
        <f t="shared" si="120"/>
        <v>0</v>
      </c>
      <c r="AE813" s="2">
        <v>7.0000000000000007E-2</v>
      </c>
      <c r="AF813" s="5">
        <f t="shared" si="116"/>
        <v>0</v>
      </c>
      <c r="AG813" s="14">
        <v>0</v>
      </c>
      <c r="AH813" s="19">
        <f t="shared" si="121"/>
        <v>0</v>
      </c>
      <c r="AJ813" s="126" t="e">
        <v>#N/A</v>
      </c>
      <c r="AK813" s="80">
        <f t="shared" si="117"/>
        <v>0</v>
      </c>
      <c r="AM813" s="85"/>
    </row>
    <row r="814" spans="1:39" hidden="1" x14ac:dyDescent="0.3">
      <c r="A814" s="85" t="s">
        <v>34</v>
      </c>
      <c r="B814" s="15" t="s">
        <v>35</v>
      </c>
      <c r="C814" s="15" t="s">
        <v>36</v>
      </c>
      <c r="D814" s="15" t="s">
        <v>224</v>
      </c>
      <c r="E814" s="15" t="s">
        <v>1108</v>
      </c>
      <c r="F814" s="15" t="s">
        <v>1108</v>
      </c>
      <c r="G814" s="15" t="s">
        <v>1108</v>
      </c>
      <c r="H814" s="154"/>
      <c r="I814" s="15" t="s">
        <v>1060</v>
      </c>
      <c r="J814" s="1" t="s">
        <v>3325</v>
      </c>
      <c r="K814" s="1" t="s">
        <v>3279</v>
      </c>
      <c r="L814" s="1" t="s">
        <v>35</v>
      </c>
      <c r="M814" s="15" t="s">
        <v>1108</v>
      </c>
      <c r="N814" s="15"/>
      <c r="O814" s="8" t="s">
        <v>410</v>
      </c>
      <c r="P814" s="8" t="s">
        <v>41</v>
      </c>
      <c r="Q814" s="14">
        <v>0</v>
      </c>
      <c r="R814" s="139" t="s">
        <v>1110</v>
      </c>
      <c r="S814" s="15"/>
      <c r="T814" s="6">
        <v>0</v>
      </c>
      <c r="U814" s="6">
        <v>3498</v>
      </c>
      <c r="V814" s="6">
        <v>3498</v>
      </c>
      <c r="W814" s="18">
        <f t="shared" si="119"/>
        <v>0</v>
      </c>
      <c r="X814" s="18">
        <f t="shared" si="118"/>
        <v>3498</v>
      </c>
      <c r="Y814" s="13">
        <f t="shared" si="113"/>
        <v>1402.8545193649047</v>
      </c>
      <c r="Z814" s="14">
        <v>0</v>
      </c>
      <c r="AA814" s="4">
        <v>0</v>
      </c>
      <c r="AB814" s="4">
        <f t="shared" si="114"/>
        <v>3498</v>
      </c>
      <c r="AC814" s="6">
        <f t="shared" si="115"/>
        <v>0</v>
      </c>
      <c r="AD814" s="6">
        <f t="shared" si="120"/>
        <v>2095.1454806350953</v>
      </c>
      <c r="AE814" s="2">
        <v>7.0000000000000007E-2</v>
      </c>
      <c r="AF814" s="5">
        <f t="shared" si="116"/>
        <v>146.66018364445668</v>
      </c>
      <c r="AG814" s="14">
        <v>0</v>
      </c>
      <c r="AH814" s="19">
        <f t="shared" si="121"/>
        <v>3498</v>
      </c>
      <c r="AJ814" s="126" t="e">
        <v>#N/A</v>
      </c>
      <c r="AK814" s="80">
        <f t="shared" si="117"/>
        <v>0</v>
      </c>
      <c r="AM814" s="85"/>
    </row>
    <row r="815" spans="1:39" hidden="1" x14ac:dyDescent="0.3">
      <c r="A815" s="85" t="s">
        <v>34</v>
      </c>
      <c r="B815" s="15" t="s">
        <v>35</v>
      </c>
      <c r="C815" s="15" t="s">
        <v>36</v>
      </c>
      <c r="D815" s="15" t="s">
        <v>224</v>
      </c>
      <c r="E815" s="15" t="s">
        <v>1108</v>
      </c>
      <c r="F815" s="15" t="s">
        <v>1108</v>
      </c>
      <c r="G815" s="15" t="s">
        <v>1108</v>
      </c>
      <c r="H815" s="139"/>
      <c r="I815" s="15" t="s">
        <v>1060</v>
      </c>
      <c r="J815" s="1" t="s">
        <v>3325</v>
      </c>
      <c r="K815" s="1" t="s">
        <v>3279</v>
      </c>
      <c r="L815" s="1" t="s">
        <v>35</v>
      </c>
      <c r="M815" s="15" t="s">
        <v>1111</v>
      </c>
      <c r="N815" s="15"/>
      <c r="O815" s="8" t="s">
        <v>410</v>
      </c>
      <c r="P815" s="8" t="s">
        <v>41</v>
      </c>
      <c r="Q815" s="14">
        <v>0</v>
      </c>
      <c r="R815" s="139" t="s">
        <v>1112</v>
      </c>
      <c r="S815" s="15"/>
      <c r="T815" s="6">
        <v>0</v>
      </c>
      <c r="U815" s="6">
        <v>0</v>
      </c>
      <c r="V815" s="6">
        <v>0</v>
      </c>
      <c r="W815" s="18">
        <f t="shared" si="119"/>
        <v>0</v>
      </c>
      <c r="X815" s="18">
        <f t="shared" si="118"/>
        <v>0</v>
      </c>
      <c r="Y815" s="13">
        <f t="shared" si="113"/>
        <v>0</v>
      </c>
      <c r="Z815" s="14">
        <v>0</v>
      </c>
      <c r="AA815" s="4">
        <v>0</v>
      </c>
      <c r="AB815" s="4">
        <f t="shared" si="114"/>
        <v>0</v>
      </c>
      <c r="AC815" s="6">
        <f t="shared" si="115"/>
        <v>0</v>
      </c>
      <c r="AD815" s="6">
        <f t="shared" si="120"/>
        <v>0</v>
      </c>
      <c r="AE815" s="2">
        <v>7.0000000000000007E-2</v>
      </c>
      <c r="AF815" s="5">
        <f t="shared" si="116"/>
        <v>0</v>
      </c>
      <c r="AG815" s="14">
        <v>0</v>
      </c>
      <c r="AH815" s="19">
        <f t="shared" si="121"/>
        <v>0</v>
      </c>
      <c r="AJ815" s="126" t="e">
        <v>#N/A</v>
      </c>
      <c r="AK815" s="80">
        <f t="shared" si="117"/>
        <v>0</v>
      </c>
      <c r="AM815" s="85"/>
    </row>
    <row r="816" spans="1:39" hidden="1" x14ac:dyDescent="0.3">
      <c r="A816" s="85" t="s">
        <v>34</v>
      </c>
      <c r="B816" s="15" t="s">
        <v>35</v>
      </c>
      <c r="C816" s="15" t="s">
        <v>36</v>
      </c>
      <c r="D816" s="15" t="s">
        <v>224</v>
      </c>
      <c r="E816" s="15" t="s">
        <v>1113</v>
      </c>
      <c r="F816" s="15" t="s">
        <v>1113</v>
      </c>
      <c r="G816" s="15" t="s">
        <v>1113</v>
      </c>
      <c r="H816" s="154"/>
      <c r="I816" s="15" t="s">
        <v>1060</v>
      </c>
      <c r="J816" s="1" t="s">
        <v>3325</v>
      </c>
      <c r="K816" s="1" t="s">
        <v>3279</v>
      </c>
      <c r="L816" s="1" t="s">
        <v>35</v>
      </c>
      <c r="M816" s="15" t="s">
        <v>1113</v>
      </c>
      <c r="N816" s="15"/>
      <c r="O816" s="8" t="s">
        <v>410</v>
      </c>
      <c r="P816" s="8" t="s">
        <v>41</v>
      </c>
      <c r="Q816" s="14">
        <v>0</v>
      </c>
      <c r="R816" s="139">
        <v>18381006076</v>
      </c>
      <c r="S816" s="15"/>
      <c r="T816" s="6">
        <v>0</v>
      </c>
      <c r="U816" s="6">
        <v>10000</v>
      </c>
      <c r="V816" s="6">
        <v>2150.9</v>
      </c>
      <c r="W816" s="18">
        <f t="shared" si="119"/>
        <v>7849.1</v>
      </c>
      <c r="X816" s="18">
        <f t="shared" si="118"/>
        <v>2150.9</v>
      </c>
      <c r="Y816" s="13">
        <f t="shared" si="113"/>
        <v>862.60714285362315</v>
      </c>
      <c r="Z816" s="14">
        <v>0</v>
      </c>
      <c r="AA816" s="4">
        <v>0</v>
      </c>
      <c r="AB816" s="4">
        <f t="shared" si="114"/>
        <v>2150.9</v>
      </c>
      <c r="AC816" s="6">
        <f t="shared" si="115"/>
        <v>0</v>
      </c>
      <c r="AD816" s="6">
        <f t="shared" si="120"/>
        <v>1288.2928571463769</v>
      </c>
      <c r="AE816" s="2">
        <v>7.0000000000000007E-2</v>
      </c>
      <c r="AF816" s="5">
        <f t="shared" si="116"/>
        <v>90.180500000246397</v>
      </c>
      <c r="AG816" s="14">
        <v>0</v>
      </c>
      <c r="AH816" s="19">
        <f t="shared" si="121"/>
        <v>2150.9</v>
      </c>
      <c r="AJ816" s="126" t="e">
        <v>#N/A</v>
      </c>
      <c r="AK816" s="80">
        <f t="shared" si="117"/>
        <v>0</v>
      </c>
      <c r="AM816" s="85"/>
    </row>
    <row r="817" spans="1:39" hidden="1" x14ac:dyDescent="0.3">
      <c r="A817" s="85" t="s">
        <v>34</v>
      </c>
      <c r="B817" s="15" t="s">
        <v>35</v>
      </c>
      <c r="C817" s="15" t="s">
        <v>36</v>
      </c>
      <c r="D817" s="15" t="s">
        <v>224</v>
      </c>
      <c r="E817" s="15" t="s">
        <v>1114</v>
      </c>
      <c r="F817" s="15" t="s">
        <v>1114</v>
      </c>
      <c r="G817" s="15" t="s">
        <v>1114</v>
      </c>
      <c r="H817" s="154"/>
      <c r="I817" s="15" t="s">
        <v>1060</v>
      </c>
      <c r="J817" s="1" t="s">
        <v>3325</v>
      </c>
      <c r="K817" s="1" t="s">
        <v>3279</v>
      </c>
      <c r="L817" s="1" t="s">
        <v>35</v>
      </c>
      <c r="M817" s="15" t="s">
        <v>1114</v>
      </c>
      <c r="N817" s="15"/>
      <c r="O817" s="8" t="s">
        <v>410</v>
      </c>
      <c r="P817" s="8" t="s">
        <v>41</v>
      </c>
      <c r="Q817" s="14">
        <v>0</v>
      </c>
      <c r="R817" s="139" t="s">
        <v>1115</v>
      </c>
      <c r="S817" s="15"/>
      <c r="T817" s="6">
        <v>0</v>
      </c>
      <c r="U817" s="6">
        <v>5000</v>
      </c>
      <c r="V817" s="6">
        <v>2822.5</v>
      </c>
      <c r="W817" s="18">
        <f t="shared" si="119"/>
        <v>2177.5</v>
      </c>
      <c r="X817" s="18">
        <f t="shared" si="118"/>
        <v>2822.5</v>
      </c>
      <c r="Y817" s="13">
        <f t="shared" si="113"/>
        <v>1131.9487938557588</v>
      </c>
      <c r="Z817" s="14">
        <v>0</v>
      </c>
      <c r="AA817" s="4">
        <v>0</v>
      </c>
      <c r="AB817" s="4">
        <f t="shared" si="114"/>
        <v>2822.5</v>
      </c>
      <c r="AC817" s="6">
        <f t="shared" si="115"/>
        <v>0</v>
      </c>
      <c r="AD817" s="6">
        <f t="shared" si="120"/>
        <v>1690.5512061442412</v>
      </c>
      <c r="AE817" s="2">
        <v>7.0000000000000007E-2</v>
      </c>
      <c r="AF817" s="5">
        <f t="shared" si="116"/>
        <v>118.33858443009689</v>
      </c>
      <c r="AG817" s="14">
        <v>0</v>
      </c>
      <c r="AH817" s="19">
        <f t="shared" si="121"/>
        <v>2822.5</v>
      </c>
      <c r="AJ817" s="126" t="e">
        <v>#N/A</v>
      </c>
      <c r="AK817" s="80">
        <f t="shared" si="117"/>
        <v>0</v>
      </c>
      <c r="AM817" s="85"/>
    </row>
    <row r="818" spans="1:39" hidden="1" x14ac:dyDescent="0.3">
      <c r="A818" s="85" t="s">
        <v>34</v>
      </c>
      <c r="B818" s="15" t="s">
        <v>35</v>
      </c>
      <c r="C818" s="15" t="s">
        <v>36</v>
      </c>
      <c r="D818" s="15" t="s">
        <v>224</v>
      </c>
      <c r="E818" s="15" t="s">
        <v>1116</v>
      </c>
      <c r="F818" s="15" t="s">
        <v>1116</v>
      </c>
      <c r="G818" s="15" t="s">
        <v>1116</v>
      </c>
      <c r="H818" s="154"/>
      <c r="I818" s="15" t="s">
        <v>1060</v>
      </c>
      <c r="J818" s="1" t="s">
        <v>3325</v>
      </c>
      <c r="K818" s="1" t="s">
        <v>3279</v>
      </c>
      <c r="L818" s="1" t="s">
        <v>35</v>
      </c>
      <c r="M818" s="15" t="s">
        <v>1116</v>
      </c>
      <c r="N818" s="15"/>
      <c r="O818" s="8" t="s">
        <v>410</v>
      </c>
      <c r="P818" s="8" t="s">
        <v>41</v>
      </c>
      <c r="Q818" s="14">
        <v>0</v>
      </c>
      <c r="R818" s="139" t="s">
        <v>1117</v>
      </c>
      <c r="S818" s="15"/>
      <c r="T818" s="6">
        <v>0</v>
      </c>
      <c r="U818" s="6">
        <v>30000</v>
      </c>
      <c r="V818" s="6">
        <v>22810.6</v>
      </c>
      <c r="W818" s="18">
        <f t="shared" si="119"/>
        <v>7189.4000000000015</v>
      </c>
      <c r="X818" s="18">
        <f t="shared" si="118"/>
        <v>22810.6</v>
      </c>
      <c r="Y818" s="13">
        <f t="shared" si="113"/>
        <v>9148.0712691323897</v>
      </c>
      <c r="Z818" s="14">
        <v>0</v>
      </c>
      <c r="AA818" s="4">
        <v>0</v>
      </c>
      <c r="AB818" s="4">
        <f t="shared" si="114"/>
        <v>22810.6</v>
      </c>
      <c r="AC818" s="6">
        <f t="shared" si="115"/>
        <v>0</v>
      </c>
      <c r="AD818" s="6">
        <f t="shared" si="120"/>
        <v>13662.528730867609</v>
      </c>
      <c r="AE818" s="2">
        <v>7.0000000000000007E-2</v>
      </c>
      <c r="AF818" s="5">
        <f t="shared" si="116"/>
        <v>956.37701116073276</v>
      </c>
      <c r="AG818" s="14">
        <v>0</v>
      </c>
      <c r="AH818" s="19">
        <f t="shared" si="121"/>
        <v>22810.6</v>
      </c>
      <c r="AJ818" s="126" t="e">
        <v>#N/A</v>
      </c>
      <c r="AK818" s="80">
        <f t="shared" si="117"/>
        <v>0</v>
      </c>
      <c r="AM818" s="85"/>
    </row>
    <row r="819" spans="1:39" hidden="1" x14ac:dyDescent="0.3">
      <c r="A819" s="85" t="s">
        <v>34</v>
      </c>
      <c r="B819" s="15" t="s">
        <v>35</v>
      </c>
      <c r="C819" s="15" t="s">
        <v>36</v>
      </c>
      <c r="D819" s="15" t="s">
        <v>224</v>
      </c>
      <c r="E819" s="15" t="s">
        <v>1118</v>
      </c>
      <c r="F819" s="15" t="s">
        <v>1118</v>
      </c>
      <c r="G819" s="15" t="s">
        <v>1118</v>
      </c>
      <c r="H819" s="154"/>
      <c r="I819" s="15" t="s">
        <v>1060</v>
      </c>
      <c r="J819" s="1" t="s">
        <v>3325</v>
      </c>
      <c r="K819" s="1" t="s">
        <v>3279</v>
      </c>
      <c r="L819" s="1" t="s">
        <v>35</v>
      </c>
      <c r="M819" s="15" t="s">
        <v>1118</v>
      </c>
      <c r="N819" s="15"/>
      <c r="O819" s="8" t="s">
        <v>410</v>
      </c>
      <c r="P819" s="8" t="s">
        <v>41</v>
      </c>
      <c r="Q819" s="14">
        <v>0</v>
      </c>
      <c r="R819" s="139" t="s">
        <v>1119</v>
      </c>
      <c r="S819" s="15"/>
      <c r="T819" s="6">
        <v>0</v>
      </c>
      <c r="U819" s="6">
        <v>10000</v>
      </c>
      <c r="V819" s="6">
        <v>3981.6</v>
      </c>
      <c r="W819" s="18">
        <f t="shared" si="119"/>
        <v>6018.4</v>
      </c>
      <c r="X819" s="18">
        <f t="shared" si="118"/>
        <v>3981.6</v>
      </c>
      <c r="Y819" s="13">
        <f t="shared" si="113"/>
        <v>1596.7997582342209</v>
      </c>
      <c r="Z819" s="14">
        <v>0</v>
      </c>
      <c r="AA819" s="4">
        <v>0</v>
      </c>
      <c r="AB819" s="4">
        <f t="shared" si="114"/>
        <v>3981.6</v>
      </c>
      <c r="AC819" s="6">
        <f t="shared" si="115"/>
        <v>0</v>
      </c>
      <c r="AD819" s="6">
        <f t="shared" si="120"/>
        <v>2384.800241765779</v>
      </c>
      <c r="AE819" s="2">
        <v>7.0000000000000007E-2</v>
      </c>
      <c r="AF819" s="5">
        <f t="shared" si="116"/>
        <v>166.93601692360454</v>
      </c>
      <c r="AG819" s="14">
        <v>0</v>
      </c>
      <c r="AH819" s="19">
        <f t="shared" si="121"/>
        <v>3981.6</v>
      </c>
      <c r="AJ819" s="126" t="e">
        <v>#N/A</v>
      </c>
      <c r="AK819" s="80">
        <f t="shared" si="117"/>
        <v>0</v>
      </c>
      <c r="AM819" s="85"/>
    </row>
    <row r="820" spans="1:39" hidden="1" x14ac:dyDescent="0.3">
      <c r="A820" s="85" t="s">
        <v>34</v>
      </c>
      <c r="B820" s="15" t="s">
        <v>35</v>
      </c>
      <c r="C820" s="15" t="s">
        <v>36</v>
      </c>
      <c r="D820" s="15" t="s">
        <v>224</v>
      </c>
      <c r="E820" s="15" t="s">
        <v>1120</v>
      </c>
      <c r="F820" s="15" t="s">
        <v>1121</v>
      </c>
      <c r="G820" s="15" t="s">
        <v>1120</v>
      </c>
      <c r="H820" s="154"/>
      <c r="I820" s="15" t="s">
        <v>1060</v>
      </c>
      <c r="J820" s="1" t="s">
        <v>3325</v>
      </c>
      <c r="K820" s="1" t="s">
        <v>3279</v>
      </c>
      <c r="L820" s="1" t="s">
        <v>35</v>
      </c>
      <c r="M820" s="15" t="s">
        <v>1120</v>
      </c>
      <c r="N820" s="15"/>
      <c r="O820" s="8" t="s">
        <v>410</v>
      </c>
      <c r="P820" s="8" t="s">
        <v>41</v>
      </c>
      <c r="Q820" s="14">
        <v>0</v>
      </c>
      <c r="R820" s="139" t="s">
        <v>1122</v>
      </c>
      <c r="S820" s="15"/>
      <c r="T820" s="6">
        <v>2466.3999999999996</v>
      </c>
      <c r="U820" s="6">
        <v>10000</v>
      </c>
      <c r="V820" s="6">
        <v>3010.5</v>
      </c>
      <c r="W820" s="18">
        <f t="shared" si="119"/>
        <v>9455.9</v>
      </c>
      <c r="X820" s="18">
        <f t="shared" si="118"/>
        <v>3010.5</v>
      </c>
      <c r="Y820" s="13">
        <f t="shared" si="113"/>
        <v>1207.3452059885781</v>
      </c>
      <c r="Z820" s="14">
        <v>0</v>
      </c>
      <c r="AA820" s="4">
        <v>0</v>
      </c>
      <c r="AB820" s="4">
        <f t="shared" si="114"/>
        <v>3010.5</v>
      </c>
      <c r="AC820" s="6">
        <f t="shared" si="115"/>
        <v>0</v>
      </c>
      <c r="AD820" s="6">
        <f t="shared" si="120"/>
        <v>1803.1547940114219</v>
      </c>
      <c r="AE820" s="2">
        <v>7.0000000000000007E-2</v>
      </c>
      <c r="AF820" s="5">
        <f t="shared" si="116"/>
        <v>126.22083558079954</v>
      </c>
      <c r="AG820" s="14">
        <v>0</v>
      </c>
      <c r="AH820" s="19">
        <f t="shared" si="121"/>
        <v>3010.5</v>
      </c>
      <c r="AJ820" s="126" t="e">
        <v>#N/A</v>
      </c>
      <c r="AK820" s="80">
        <f t="shared" si="117"/>
        <v>0</v>
      </c>
      <c r="AM820" s="85"/>
    </row>
    <row r="821" spans="1:39" hidden="1" x14ac:dyDescent="0.3">
      <c r="A821" s="85" t="s">
        <v>34</v>
      </c>
      <c r="B821" s="15" t="s">
        <v>35</v>
      </c>
      <c r="C821" s="15" t="s">
        <v>36</v>
      </c>
      <c r="D821" s="15" t="s">
        <v>224</v>
      </c>
      <c r="E821" s="15" t="s">
        <v>1123</v>
      </c>
      <c r="F821" s="15" t="s">
        <v>1123</v>
      </c>
      <c r="G821" s="15" t="s">
        <v>1123</v>
      </c>
      <c r="H821" s="154"/>
      <c r="I821" s="15" t="s">
        <v>1060</v>
      </c>
      <c r="J821" s="1" t="s">
        <v>3325</v>
      </c>
      <c r="K821" s="1" t="s">
        <v>3279</v>
      </c>
      <c r="L821" s="1" t="s">
        <v>35</v>
      </c>
      <c r="M821" s="15" t="s">
        <v>1123</v>
      </c>
      <c r="N821" s="15"/>
      <c r="O821" s="8" t="s">
        <v>410</v>
      </c>
      <c r="P821" s="8" t="s">
        <v>41</v>
      </c>
      <c r="Q821" s="14">
        <v>0</v>
      </c>
      <c r="R821" s="139" t="s">
        <v>1124</v>
      </c>
      <c r="S821" s="15"/>
      <c r="T821" s="6">
        <v>7537.5</v>
      </c>
      <c r="U821" s="6">
        <v>30000</v>
      </c>
      <c r="V821" s="6">
        <v>29427.200000000001</v>
      </c>
      <c r="W821" s="18">
        <f t="shared" si="119"/>
        <v>8110.2999999999993</v>
      </c>
      <c r="X821" s="18">
        <f t="shared" si="118"/>
        <v>29427.200000000001</v>
      </c>
      <c r="Y821" s="13">
        <f t="shared" si="113"/>
        <v>11801.623931462243</v>
      </c>
      <c r="Z821" s="14">
        <v>0</v>
      </c>
      <c r="AA821" s="4">
        <v>0</v>
      </c>
      <c r="AB821" s="4">
        <f t="shared" si="114"/>
        <v>29427.200000000001</v>
      </c>
      <c r="AC821" s="6">
        <f t="shared" si="115"/>
        <v>0</v>
      </c>
      <c r="AD821" s="6">
        <f t="shared" si="120"/>
        <v>17625.576068537757</v>
      </c>
      <c r="AE821" s="2">
        <v>7.0000000000000007E-2</v>
      </c>
      <c r="AF821" s="5">
        <f t="shared" si="116"/>
        <v>1233.7903247976431</v>
      </c>
      <c r="AG821" s="14">
        <v>0</v>
      </c>
      <c r="AH821" s="19">
        <f t="shared" si="121"/>
        <v>29427.200000000001</v>
      </c>
      <c r="AJ821" s="126" t="e">
        <v>#N/A</v>
      </c>
      <c r="AK821" s="80">
        <f t="shared" si="117"/>
        <v>0</v>
      </c>
      <c r="AM821" s="85"/>
    </row>
    <row r="822" spans="1:39" hidden="1" x14ac:dyDescent="0.3">
      <c r="A822" s="85" t="s">
        <v>34</v>
      </c>
      <c r="B822" s="15" t="s">
        <v>35</v>
      </c>
      <c r="C822" s="15" t="s">
        <v>36</v>
      </c>
      <c r="D822" s="15" t="s">
        <v>224</v>
      </c>
      <c r="E822" s="15" t="s">
        <v>1125</v>
      </c>
      <c r="F822" s="15" t="s">
        <v>1125</v>
      </c>
      <c r="G822" s="15" t="s">
        <v>1125</v>
      </c>
      <c r="H822" s="154"/>
      <c r="I822" s="15" t="s">
        <v>1060</v>
      </c>
      <c r="J822" s="1" t="s">
        <v>3325</v>
      </c>
      <c r="K822" s="1" t="s">
        <v>3279</v>
      </c>
      <c r="L822" s="1" t="s">
        <v>35</v>
      </c>
      <c r="M822" s="15" t="s">
        <v>1126</v>
      </c>
      <c r="N822" s="15"/>
      <c r="O822" s="8" t="s">
        <v>410</v>
      </c>
      <c r="P822" s="8" t="s">
        <v>46</v>
      </c>
      <c r="Q822" s="14">
        <v>0.02</v>
      </c>
      <c r="R822" s="139" t="s">
        <v>1127</v>
      </c>
      <c r="S822" s="15"/>
      <c r="T822" s="6">
        <v>0</v>
      </c>
      <c r="U822" s="6">
        <v>10000</v>
      </c>
      <c r="V822" s="6">
        <v>4812.8999999999996</v>
      </c>
      <c r="W822" s="18">
        <f t="shared" si="119"/>
        <v>5187.1000000000004</v>
      </c>
      <c r="X822" s="18">
        <f t="shared" si="118"/>
        <v>4718.5294117647054</v>
      </c>
      <c r="Y822" s="13">
        <f t="shared" si="113"/>
        <v>1835.8176668394199</v>
      </c>
      <c r="Z822" s="14">
        <v>0</v>
      </c>
      <c r="AA822" s="4">
        <v>0</v>
      </c>
      <c r="AB822" s="4">
        <f t="shared" si="114"/>
        <v>4718.5294117647054</v>
      </c>
      <c r="AC822" s="6">
        <f t="shared" si="115"/>
        <v>94.370588235294235</v>
      </c>
      <c r="AD822" s="6">
        <f t="shared" si="120"/>
        <v>2882.7117449252855</v>
      </c>
      <c r="AE822" s="2">
        <v>7.0000000000000007E-2</v>
      </c>
      <c r="AF822" s="5">
        <f t="shared" si="116"/>
        <v>201.78982214477</v>
      </c>
      <c r="AG822" s="14">
        <v>0</v>
      </c>
      <c r="AH822" s="19">
        <f t="shared" si="121"/>
        <v>4812.8999999999996</v>
      </c>
      <c r="AJ822" s="126" t="e">
        <v>#N/A</v>
      </c>
      <c r="AK822" s="80">
        <f t="shared" si="117"/>
        <v>0</v>
      </c>
      <c r="AM822" s="85"/>
    </row>
    <row r="823" spans="1:39" hidden="1" x14ac:dyDescent="0.3">
      <c r="A823" s="85" t="s">
        <v>34</v>
      </c>
      <c r="B823" s="15" t="s">
        <v>35</v>
      </c>
      <c r="C823" s="15" t="s">
        <v>36</v>
      </c>
      <c r="D823" s="15" t="s">
        <v>224</v>
      </c>
      <c r="E823" s="15" t="s">
        <v>1128</v>
      </c>
      <c r="F823" s="15" t="s">
        <v>1128</v>
      </c>
      <c r="G823" s="15" t="s">
        <v>1128</v>
      </c>
      <c r="H823" s="139"/>
      <c r="I823" s="15" t="s">
        <v>1060</v>
      </c>
      <c r="J823" s="1" t="s">
        <v>3325</v>
      </c>
      <c r="K823" s="1" t="s">
        <v>3279</v>
      </c>
      <c r="L823" s="1" t="s">
        <v>35</v>
      </c>
      <c r="M823" s="15" t="s">
        <v>1128</v>
      </c>
      <c r="N823" s="15"/>
      <c r="O823" s="8" t="s">
        <v>410</v>
      </c>
      <c r="P823" s="8" t="s">
        <v>41</v>
      </c>
      <c r="Q823" s="14">
        <v>0</v>
      </c>
      <c r="R823" s="139" t="s">
        <v>1129</v>
      </c>
      <c r="S823" s="15"/>
      <c r="T823" s="6">
        <v>6918.5</v>
      </c>
      <c r="U823" s="6">
        <v>-6918.5</v>
      </c>
      <c r="V823" s="6">
        <v>0</v>
      </c>
      <c r="W823" s="18">
        <f t="shared" si="119"/>
        <v>0</v>
      </c>
      <c r="X823" s="18">
        <f t="shared" si="118"/>
        <v>0</v>
      </c>
      <c r="Y823" s="13">
        <f t="shared" si="113"/>
        <v>0</v>
      </c>
      <c r="Z823" s="14">
        <v>0</v>
      </c>
      <c r="AA823" s="4">
        <v>0</v>
      </c>
      <c r="AB823" s="4">
        <f t="shared" si="114"/>
        <v>0</v>
      </c>
      <c r="AC823" s="6">
        <f t="shared" si="115"/>
        <v>0</v>
      </c>
      <c r="AD823" s="6">
        <f t="shared" si="120"/>
        <v>0</v>
      </c>
      <c r="AE823" s="2">
        <v>7.0000000000000007E-2</v>
      </c>
      <c r="AF823" s="5">
        <f t="shared" si="116"/>
        <v>0</v>
      </c>
      <c r="AG823" s="14">
        <v>0</v>
      </c>
      <c r="AH823" s="19">
        <f t="shared" si="121"/>
        <v>0</v>
      </c>
      <c r="AJ823" s="126" t="e">
        <v>#N/A</v>
      </c>
      <c r="AK823" s="80">
        <f t="shared" si="117"/>
        <v>0</v>
      </c>
      <c r="AM823" s="85"/>
    </row>
    <row r="824" spans="1:39" hidden="1" x14ac:dyDescent="0.3">
      <c r="A824" s="85" t="s">
        <v>34</v>
      </c>
      <c r="B824" s="15" t="s">
        <v>35</v>
      </c>
      <c r="C824" s="15" t="s">
        <v>36</v>
      </c>
      <c r="D824" s="15" t="s">
        <v>224</v>
      </c>
      <c r="E824" s="15" t="s">
        <v>1130</v>
      </c>
      <c r="F824" s="15" t="s">
        <v>1130</v>
      </c>
      <c r="G824" s="15" t="s">
        <v>1130</v>
      </c>
      <c r="H824" s="154"/>
      <c r="I824" s="15" t="s">
        <v>1060</v>
      </c>
      <c r="J824" s="1" t="s">
        <v>3325</v>
      </c>
      <c r="K824" s="1" t="s">
        <v>3279</v>
      </c>
      <c r="L824" s="1" t="s">
        <v>35</v>
      </c>
      <c r="M824" s="15" t="s">
        <v>1130</v>
      </c>
      <c r="N824" s="15"/>
      <c r="O824" s="8" t="s">
        <v>410</v>
      </c>
      <c r="P824" s="8" t="s">
        <v>41</v>
      </c>
      <c r="Q824" s="14">
        <v>0</v>
      </c>
      <c r="R824" s="139" t="s">
        <v>1131</v>
      </c>
      <c r="S824" s="15"/>
      <c r="T824" s="6">
        <v>9132.7000000000007</v>
      </c>
      <c r="U824" s="6">
        <v>30000</v>
      </c>
      <c r="V824" s="6">
        <v>33580.800000000003</v>
      </c>
      <c r="W824" s="18">
        <f t="shared" si="119"/>
        <v>5551.8999999999942</v>
      </c>
      <c r="X824" s="18">
        <f t="shared" si="118"/>
        <v>33580.800000000003</v>
      </c>
      <c r="Y824" s="13">
        <f t="shared" si="113"/>
        <v>13467.40338590309</v>
      </c>
      <c r="Z824" s="14">
        <v>0</v>
      </c>
      <c r="AA824" s="4">
        <v>0</v>
      </c>
      <c r="AB824" s="4">
        <f t="shared" si="114"/>
        <v>33580.800000000003</v>
      </c>
      <c r="AC824" s="6">
        <f t="shared" si="115"/>
        <v>0</v>
      </c>
      <c r="AD824" s="6">
        <f t="shared" si="120"/>
        <v>20113.396614096913</v>
      </c>
      <c r="AE824" s="2">
        <v>7.0000000000000007E-2</v>
      </c>
      <c r="AF824" s="5">
        <f t="shared" si="116"/>
        <v>1407.937762986784</v>
      </c>
      <c r="AG824" s="14">
        <v>0</v>
      </c>
      <c r="AH824" s="19">
        <f t="shared" si="121"/>
        <v>33580.800000000003</v>
      </c>
      <c r="AJ824" s="126" t="e">
        <v>#N/A</v>
      </c>
      <c r="AK824" s="80">
        <f t="shared" si="117"/>
        <v>0</v>
      </c>
      <c r="AM824" s="85"/>
    </row>
    <row r="825" spans="1:39" hidden="1" x14ac:dyDescent="0.3">
      <c r="A825" s="85" t="s">
        <v>34</v>
      </c>
      <c r="B825" s="15" t="s">
        <v>35</v>
      </c>
      <c r="C825" s="15" t="s">
        <v>36</v>
      </c>
      <c r="D825" s="15" t="s">
        <v>224</v>
      </c>
      <c r="E825" s="15" t="s">
        <v>1132</v>
      </c>
      <c r="F825" s="15" t="s">
        <v>1132</v>
      </c>
      <c r="G825" s="15" t="s">
        <v>1132</v>
      </c>
      <c r="H825" s="154"/>
      <c r="I825" s="15" t="s">
        <v>1060</v>
      </c>
      <c r="J825" s="1" t="s">
        <v>3325</v>
      </c>
      <c r="K825" s="1" t="s">
        <v>3279</v>
      </c>
      <c r="L825" s="1" t="s">
        <v>35</v>
      </c>
      <c r="M825" s="15" t="s">
        <v>1132</v>
      </c>
      <c r="N825" s="15"/>
      <c r="O825" s="8" t="s">
        <v>410</v>
      </c>
      <c r="P825" s="8" t="s">
        <v>41</v>
      </c>
      <c r="Q825" s="14">
        <v>0</v>
      </c>
      <c r="R825" s="139" t="s">
        <v>1133</v>
      </c>
      <c r="S825" s="15"/>
      <c r="T825" s="6">
        <v>9163.5199999999986</v>
      </c>
      <c r="U825" s="6">
        <v>8135.5</v>
      </c>
      <c r="V825" s="6">
        <v>8889.7999999999993</v>
      </c>
      <c r="W825" s="18">
        <f t="shared" si="119"/>
        <v>8409.2199999999975</v>
      </c>
      <c r="X825" s="18">
        <f t="shared" si="118"/>
        <v>8889.7999999999993</v>
      </c>
      <c r="Y825" s="13">
        <f t="shared" si="113"/>
        <v>3565.2075775443482</v>
      </c>
      <c r="Z825" s="14">
        <v>0</v>
      </c>
      <c r="AA825" s="4">
        <v>0</v>
      </c>
      <c r="AB825" s="4">
        <f t="shared" si="114"/>
        <v>8889.7999999999993</v>
      </c>
      <c r="AC825" s="6">
        <f t="shared" si="115"/>
        <v>0</v>
      </c>
      <c r="AD825" s="6">
        <f t="shared" si="120"/>
        <v>5324.5924224556511</v>
      </c>
      <c r="AE825" s="2">
        <v>7.0000000000000007E-2</v>
      </c>
      <c r="AF825" s="5">
        <f t="shared" si="116"/>
        <v>372.72146957189562</v>
      </c>
      <c r="AG825" s="14">
        <v>0</v>
      </c>
      <c r="AH825" s="19">
        <f t="shared" si="121"/>
        <v>8889.7999999999993</v>
      </c>
      <c r="AJ825" s="126" t="e">
        <v>#N/A</v>
      </c>
      <c r="AK825" s="80">
        <f t="shared" si="117"/>
        <v>0</v>
      </c>
      <c r="AM825" s="85"/>
    </row>
    <row r="826" spans="1:39" hidden="1" x14ac:dyDescent="0.3">
      <c r="A826" s="85" t="s">
        <v>34</v>
      </c>
      <c r="B826" s="15" t="s">
        <v>35</v>
      </c>
      <c r="C826" s="15" t="s">
        <v>36</v>
      </c>
      <c r="D826" s="15" t="s">
        <v>224</v>
      </c>
      <c r="E826" s="15" t="s">
        <v>1132</v>
      </c>
      <c r="F826" s="15" t="s">
        <v>1132</v>
      </c>
      <c r="G826" s="15" t="s">
        <v>1132</v>
      </c>
      <c r="H826" s="154"/>
      <c r="I826" s="15" t="s">
        <v>1060</v>
      </c>
      <c r="J826" s="1" t="s">
        <v>3325</v>
      </c>
      <c r="K826" s="1" t="s">
        <v>3279</v>
      </c>
      <c r="L826" s="1" t="s">
        <v>35</v>
      </c>
      <c r="M826" s="15" t="s">
        <v>1134</v>
      </c>
      <c r="N826" s="15"/>
      <c r="O826" s="8" t="s">
        <v>410</v>
      </c>
      <c r="P826" s="8" t="s">
        <v>41</v>
      </c>
      <c r="Q826" s="14">
        <v>0</v>
      </c>
      <c r="R826" s="139" t="s">
        <v>1135</v>
      </c>
      <c r="S826" s="15"/>
      <c r="T826" s="6">
        <v>8552.5</v>
      </c>
      <c r="U826" s="6">
        <v>-8135.5</v>
      </c>
      <c r="V826" s="6">
        <v>417</v>
      </c>
      <c r="W826" s="18">
        <f t="shared" si="119"/>
        <v>0</v>
      </c>
      <c r="X826" s="18">
        <f t="shared" si="118"/>
        <v>417</v>
      </c>
      <c r="Y826" s="13">
        <f t="shared" si="113"/>
        <v>167.23565882651954</v>
      </c>
      <c r="Z826" s="14">
        <v>0</v>
      </c>
      <c r="AA826" s="4">
        <v>0</v>
      </c>
      <c r="AB826" s="4">
        <f t="shared" si="114"/>
        <v>417</v>
      </c>
      <c r="AC826" s="6">
        <f t="shared" si="115"/>
        <v>0</v>
      </c>
      <c r="AD826" s="6">
        <f t="shared" si="120"/>
        <v>249.76434117348046</v>
      </c>
      <c r="AE826" s="2">
        <v>7.0000000000000007E-2</v>
      </c>
      <c r="AF826" s="5">
        <f t="shared" si="116"/>
        <v>17.483503882143633</v>
      </c>
      <c r="AG826" s="14">
        <v>0</v>
      </c>
      <c r="AH826" s="19">
        <f t="shared" si="121"/>
        <v>417</v>
      </c>
      <c r="AJ826" s="126" t="e">
        <v>#N/A</v>
      </c>
      <c r="AK826" s="80">
        <f t="shared" si="117"/>
        <v>0</v>
      </c>
      <c r="AM826" s="85"/>
    </row>
    <row r="827" spans="1:39" hidden="1" x14ac:dyDescent="0.3">
      <c r="A827" s="85" t="s">
        <v>34</v>
      </c>
      <c r="B827" s="15" t="s">
        <v>35</v>
      </c>
      <c r="C827" s="15" t="s">
        <v>36</v>
      </c>
      <c r="D827" s="15" t="s">
        <v>224</v>
      </c>
      <c r="E827" s="15" t="s">
        <v>1136</v>
      </c>
      <c r="F827" s="15" t="s">
        <v>1136</v>
      </c>
      <c r="G827" s="15" t="s">
        <v>1136</v>
      </c>
      <c r="H827" s="154"/>
      <c r="I827" s="15" t="s">
        <v>1060</v>
      </c>
      <c r="J827" s="1" t="s">
        <v>3325</v>
      </c>
      <c r="K827" s="1" t="s">
        <v>3279</v>
      </c>
      <c r="L827" s="1" t="s">
        <v>35</v>
      </c>
      <c r="M827" s="15" t="s">
        <v>1136</v>
      </c>
      <c r="N827" s="15"/>
      <c r="O827" s="8" t="s">
        <v>410</v>
      </c>
      <c r="P827" s="8" t="s">
        <v>46</v>
      </c>
      <c r="Q827" s="14">
        <v>0.02</v>
      </c>
      <c r="R827" s="139" t="s">
        <v>1137</v>
      </c>
      <c r="S827" s="15"/>
      <c r="T827" s="6">
        <v>0</v>
      </c>
      <c r="U827" s="6">
        <v>20000</v>
      </c>
      <c r="V827" s="6">
        <v>10079.9</v>
      </c>
      <c r="W827" s="18">
        <f t="shared" si="119"/>
        <v>9920.1</v>
      </c>
      <c r="X827" s="18">
        <f t="shared" si="118"/>
        <v>9882.2549019607832</v>
      </c>
      <c r="Y827" s="13">
        <f t="shared" si="113"/>
        <v>3844.8458309906018</v>
      </c>
      <c r="Z827" s="14">
        <v>0</v>
      </c>
      <c r="AA827" s="4">
        <v>0</v>
      </c>
      <c r="AB827" s="4">
        <f t="shared" si="114"/>
        <v>9882.2549019607832</v>
      </c>
      <c r="AC827" s="6">
        <f t="shared" si="115"/>
        <v>197.64509803921646</v>
      </c>
      <c r="AD827" s="6">
        <f t="shared" si="120"/>
        <v>6037.4090709701813</v>
      </c>
      <c r="AE827" s="2">
        <v>7.0000000000000007E-2</v>
      </c>
      <c r="AF827" s="5">
        <f t="shared" si="116"/>
        <v>422.61863496791273</v>
      </c>
      <c r="AG827" s="14">
        <v>0</v>
      </c>
      <c r="AH827" s="19">
        <f t="shared" si="121"/>
        <v>10079.9</v>
      </c>
      <c r="AJ827" s="126" t="e">
        <v>#N/A</v>
      </c>
      <c r="AK827" s="80">
        <f t="shared" si="117"/>
        <v>0</v>
      </c>
      <c r="AM827" s="85"/>
    </row>
    <row r="828" spans="1:39" hidden="1" x14ac:dyDescent="0.3">
      <c r="A828" s="85" t="s">
        <v>34</v>
      </c>
      <c r="B828" s="15" t="s">
        <v>35</v>
      </c>
      <c r="C828" s="15" t="s">
        <v>36</v>
      </c>
      <c r="D828" s="15" t="s">
        <v>224</v>
      </c>
      <c r="E828" s="15" t="s">
        <v>1138</v>
      </c>
      <c r="F828" s="15" t="s">
        <v>1138</v>
      </c>
      <c r="G828" s="15" t="s">
        <v>1138</v>
      </c>
      <c r="H828" s="154"/>
      <c r="I828" s="15" t="s">
        <v>1060</v>
      </c>
      <c r="J828" s="1" t="s">
        <v>3325</v>
      </c>
      <c r="K828" s="1" t="s">
        <v>3279</v>
      </c>
      <c r="L828" s="1" t="s">
        <v>35</v>
      </c>
      <c r="M828" s="15" t="s">
        <v>1138</v>
      </c>
      <c r="N828" s="15"/>
      <c r="O828" s="8" t="s">
        <v>410</v>
      </c>
      <c r="P828" s="8" t="s">
        <v>41</v>
      </c>
      <c r="Q828" s="14">
        <v>0</v>
      </c>
      <c r="R828" s="139">
        <v>905160651</v>
      </c>
      <c r="S828" s="15"/>
      <c r="T828" s="6">
        <v>0</v>
      </c>
      <c r="U828" s="6">
        <v>50000</v>
      </c>
      <c r="V828" s="6">
        <v>35614.5</v>
      </c>
      <c r="W828" s="18">
        <f t="shared" si="119"/>
        <v>14385.5</v>
      </c>
      <c r="X828" s="18">
        <f t="shared" si="118"/>
        <v>35614.5</v>
      </c>
      <c r="Y828" s="13">
        <f t="shared" si="113"/>
        <v>14283.008084597313</v>
      </c>
      <c r="Z828" s="14">
        <v>0</v>
      </c>
      <c r="AA828" s="4">
        <v>0</v>
      </c>
      <c r="AB828" s="4">
        <f t="shared" si="114"/>
        <v>35614.5</v>
      </c>
      <c r="AC828" s="6">
        <f t="shared" si="115"/>
        <v>0</v>
      </c>
      <c r="AD828" s="6">
        <f t="shared" si="120"/>
        <v>21331.491915402687</v>
      </c>
      <c r="AE828" s="2">
        <v>7.0000000000000007E-2</v>
      </c>
      <c r="AF828" s="5">
        <f t="shared" si="116"/>
        <v>1493.2044340781881</v>
      </c>
      <c r="AG828" s="14">
        <v>0</v>
      </c>
      <c r="AH828" s="19">
        <f t="shared" si="121"/>
        <v>35614.5</v>
      </c>
      <c r="AJ828" s="126" t="e">
        <v>#N/A</v>
      </c>
      <c r="AK828" s="80">
        <f t="shared" si="117"/>
        <v>0</v>
      </c>
      <c r="AM828" s="85"/>
    </row>
    <row r="829" spans="1:39" hidden="1" x14ac:dyDescent="0.3">
      <c r="A829" s="85" t="s">
        <v>34</v>
      </c>
      <c r="B829" s="15" t="s">
        <v>35</v>
      </c>
      <c r="C829" s="15" t="s">
        <v>36</v>
      </c>
      <c r="D829" s="15" t="s">
        <v>224</v>
      </c>
      <c r="E829" s="15" t="s">
        <v>1139</v>
      </c>
      <c r="F829" s="15" t="s">
        <v>1139</v>
      </c>
      <c r="G829" s="15" t="s">
        <v>1139</v>
      </c>
      <c r="H829" s="154"/>
      <c r="I829" s="15" t="s">
        <v>1060</v>
      </c>
      <c r="J829" s="1" t="s">
        <v>3325</v>
      </c>
      <c r="K829" s="1" t="s">
        <v>3279</v>
      </c>
      <c r="L829" s="1" t="s">
        <v>35</v>
      </c>
      <c r="M829" s="15" t="s">
        <v>1139</v>
      </c>
      <c r="N829" s="15"/>
      <c r="O829" s="8" t="s">
        <v>410</v>
      </c>
      <c r="P829" s="8" t="s">
        <v>41</v>
      </c>
      <c r="Q829" s="14">
        <v>0</v>
      </c>
      <c r="R829" s="139" t="s">
        <v>1140</v>
      </c>
      <c r="S829" s="15"/>
      <c r="T829" s="6">
        <v>0</v>
      </c>
      <c r="U829" s="6">
        <v>350000</v>
      </c>
      <c r="V829" s="6">
        <v>268293.09999999998</v>
      </c>
      <c r="W829" s="18">
        <f t="shared" si="119"/>
        <v>81706.900000000023</v>
      </c>
      <c r="X829" s="18">
        <f t="shared" si="118"/>
        <v>268293.09999999998</v>
      </c>
      <c r="Y829" s="13">
        <f t="shared" si="113"/>
        <v>107597.53797867935</v>
      </c>
      <c r="Z829" s="14">
        <v>0</v>
      </c>
      <c r="AA829" s="4">
        <v>0</v>
      </c>
      <c r="AB829" s="4">
        <f t="shared" si="114"/>
        <v>268293.09999999998</v>
      </c>
      <c r="AC829" s="6">
        <f t="shared" si="115"/>
        <v>0</v>
      </c>
      <c r="AD829" s="6">
        <f t="shared" si="120"/>
        <v>160695.56202132063</v>
      </c>
      <c r="AE829" s="2">
        <v>7.0000000000000007E-2</v>
      </c>
      <c r="AF829" s="5">
        <f t="shared" si="116"/>
        <v>11248.689341492445</v>
      </c>
      <c r="AG829" s="14">
        <v>0</v>
      </c>
      <c r="AH829" s="19">
        <f t="shared" si="121"/>
        <v>268293.09999999998</v>
      </c>
      <c r="AJ829" s="126" t="e">
        <v>#N/A</v>
      </c>
      <c r="AK829" s="80">
        <f t="shared" si="117"/>
        <v>0</v>
      </c>
      <c r="AM829" s="85"/>
    </row>
    <row r="830" spans="1:39" hidden="1" x14ac:dyDescent="0.3">
      <c r="A830" s="85" t="s">
        <v>34</v>
      </c>
      <c r="B830" s="15" t="s">
        <v>35</v>
      </c>
      <c r="C830" s="15" t="s">
        <v>36</v>
      </c>
      <c r="D830" s="15" t="s">
        <v>224</v>
      </c>
      <c r="E830" s="15" t="s">
        <v>1141</v>
      </c>
      <c r="F830" s="15" t="s">
        <v>1141</v>
      </c>
      <c r="G830" s="15" t="s">
        <v>1141</v>
      </c>
      <c r="H830" s="154"/>
      <c r="I830" s="15" t="s">
        <v>1060</v>
      </c>
      <c r="J830" s="1" t="s">
        <v>3325</v>
      </c>
      <c r="K830" s="1" t="s">
        <v>3279</v>
      </c>
      <c r="L830" s="1" t="s">
        <v>35</v>
      </c>
      <c r="M830" s="15" t="s">
        <v>1141</v>
      </c>
      <c r="N830" s="15"/>
      <c r="O830" s="8" t="s">
        <v>410</v>
      </c>
      <c r="P830" s="8" t="s">
        <v>46</v>
      </c>
      <c r="Q830" s="14">
        <v>0.01</v>
      </c>
      <c r="R830" s="139" t="s">
        <v>1142</v>
      </c>
      <c r="S830" s="15"/>
      <c r="T830" s="6">
        <v>0</v>
      </c>
      <c r="U830" s="6">
        <v>1050000</v>
      </c>
      <c r="V830" s="6">
        <v>1018167.2</v>
      </c>
      <c r="W830" s="18">
        <f t="shared" si="119"/>
        <v>31832.800000000047</v>
      </c>
      <c r="X830" s="18">
        <f t="shared" si="118"/>
        <v>1008086.3366336633</v>
      </c>
      <c r="Y830" s="13">
        <f t="shared" si="113"/>
        <v>398249.74211940111</v>
      </c>
      <c r="Z830" s="14">
        <v>0</v>
      </c>
      <c r="AA830" s="4">
        <v>0</v>
      </c>
      <c r="AB830" s="4">
        <f t="shared" si="114"/>
        <v>1008086.3366336633</v>
      </c>
      <c r="AC830" s="6">
        <f t="shared" si="115"/>
        <v>10080.863366336678</v>
      </c>
      <c r="AD830" s="6">
        <f t="shared" si="120"/>
        <v>609836.59451426216</v>
      </c>
      <c r="AE830" s="2">
        <v>7.0000000000000007E-2</v>
      </c>
      <c r="AF830" s="5">
        <f t="shared" si="116"/>
        <v>42688.561615998355</v>
      </c>
      <c r="AG830" s="14">
        <v>0</v>
      </c>
      <c r="AH830" s="19">
        <f t="shared" si="121"/>
        <v>1018167.2</v>
      </c>
      <c r="AJ830" s="126" t="e">
        <v>#N/A</v>
      </c>
      <c r="AK830" s="80">
        <f t="shared" si="117"/>
        <v>0</v>
      </c>
      <c r="AM830" s="85"/>
    </row>
    <row r="831" spans="1:39" hidden="1" x14ac:dyDescent="0.3">
      <c r="A831" s="85" t="s">
        <v>34</v>
      </c>
      <c r="B831" s="15" t="s">
        <v>35</v>
      </c>
      <c r="C831" s="15" t="s">
        <v>36</v>
      </c>
      <c r="D831" s="15" t="s">
        <v>224</v>
      </c>
      <c r="E831" s="15" t="s">
        <v>1143</v>
      </c>
      <c r="F831" s="15" t="s">
        <v>1143</v>
      </c>
      <c r="G831" s="15" t="s">
        <v>1143</v>
      </c>
      <c r="H831" s="154"/>
      <c r="I831" s="15" t="s">
        <v>1060</v>
      </c>
      <c r="J831" s="1" t="s">
        <v>3325</v>
      </c>
      <c r="K831" s="1" t="s">
        <v>3279</v>
      </c>
      <c r="L831" s="1" t="s">
        <v>35</v>
      </c>
      <c r="M831" s="15" t="s">
        <v>1143</v>
      </c>
      <c r="N831" s="15"/>
      <c r="O831" s="8" t="s">
        <v>410</v>
      </c>
      <c r="P831" s="8" t="s">
        <v>41</v>
      </c>
      <c r="Q831" s="14">
        <v>0</v>
      </c>
      <c r="R831" s="139" t="s">
        <v>1144</v>
      </c>
      <c r="S831" s="15"/>
      <c r="T831" s="6">
        <v>0</v>
      </c>
      <c r="U831" s="6">
        <v>10000</v>
      </c>
      <c r="V831" s="6">
        <v>5779.5</v>
      </c>
      <c r="W831" s="18">
        <f t="shared" si="119"/>
        <v>4220.5</v>
      </c>
      <c r="X831" s="18">
        <f t="shared" si="118"/>
        <v>5779.5</v>
      </c>
      <c r="Y831" s="13">
        <f t="shared" si="113"/>
        <v>2317.8381059661142</v>
      </c>
      <c r="Z831" s="14">
        <v>0</v>
      </c>
      <c r="AA831" s="4">
        <v>0</v>
      </c>
      <c r="AB831" s="4">
        <f t="shared" si="114"/>
        <v>5779.5</v>
      </c>
      <c r="AC831" s="6">
        <f t="shared" si="115"/>
        <v>0</v>
      </c>
      <c r="AD831" s="6">
        <f t="shared" si="120"/>
        <v>3461.6618940338858</v>
      </c>
      <c r="AE831" s="2">
        <v>7.0000000000000007E-2</v>
      </c>
      <c r="AF831" s="5">
        <f t="shared" si="116"/>
        <v>242.31633258237204</v>
      </c>
      <c r="AG831" s="14">
        <v>0</v>
      </c>
      <c r="AH831" s="19">
        <f t="shared" si="121"/>
        <v>5779.5</v>
      </c>
      <c r="AJ831" s="126" t="e">
        <v>#N/A</v>
      </c>
      <c r="AK831" s="80">
        <f t="shared" si="117"/>
        <v>0</v>
      </c>
      <c r="AM831" s="85"/>
    </row>
    <row r="832" spans="1:39" hidden="1" x14ac:dyDescent="0.3">
      <c r="A832" s="85" t="s">
        <v>34</v>
      </c>
      <c r="B832" s="15" t="s">
        <v>35</v>
      </c>
      <c r="C832" s="15" t="s">
        <v>36</v>
      </c>
      <c r="D832" s="15" t="s">
        <v>224</v>
      </c>
      <c r="E832" s="15" t="s">
        <v>1145</v>
      </c>
      <c r="F832" s="15" t="s">
        <v>1145</v>
      </c>
      <c r="G832" s="15" t="s">
        <v>1145</v>
      </c>
      <c r="H832" s="154"/>
      <c r="I832" s="15" t="s">
        <v>1060</v>
      </c>
      <c r="J832" s="1" t="s">
        <v>3325</v>
      </c>
      <c r="K832" s="1" t="s">
        <v>3279</v>
      </c>
      <c r="L832" s="1" t="s">
        <v>35</v>
      </c>
      <c r="M832" s="15" t="s">
        <v>1145</v>
      </c>
      <c r="N832" s="15"/>
      <c r="O832" s="8" t="s">
        <v>410</v>
      </c>
      <c r="P832" s="8" t="s">
        <v>41</v>
      </c>
      <c r="Q832" s="14">
        <v>0</v>
      </c>
      <c r="R832" s="139" t="s">
        <v>1146</v>
      </c>
      <c r="S832" s="15"/>
      <c r="T832" s="6">
        <v>0</v>
      </c>
      <c r="U832" s="6">
        <v>84000</v>
      </c>
      <c r="V832" s="6">
        <v>79603.439989999999</v>
      </c>
      <c r="W832" s="18">
        <f t="shared" si="119"/>
        <v>4396.5600100000011</v>
      </c>
      <c r="X832" s="18">
        <f t="shared" si="118"/>
        <v>79603.439989999999</v>
      </c>
      <c r="Y832" s="13">
        <f t="shared" si="113"/>
        <v>31924.54132274571</v>
      </c>
      <c r="Z832" s="14">
        <v>0</v>
      </c>
      <c r="AA832" s="4">
        <v>0</v>
      </c>
      <c r="AB832" s="4">
        <f t="shared" si="114"/>
        <v>79603.439989999999</v>
      </c>
      <c r="AC832" s="6">
        <f t="shared" si="115"/>
        <v>0</v>
      </c>
      <c r="AD832" s="6">
        <f t="shared" si="120"/>
        <v>47678.898667254289</v>
      </c>
      <c r="AE832" s="2">
        <v>7.0000000000000007E-2</v>
      </c>
      <c r="AF832" s="5">
        <f t="shared" si="116"/>
        <v>3337.5229067078003</v>
      </c>
      <c r="AG832" s="14">
        <v>0</v>
      </c>
      <c r="AH832" s="19">
        <f t="shared" si="121"/>
        <v>79603.439989999999</v>
      </c>
      <c r="AJ832" s="126" t="e">
        <v>#N/A</v>
      </c>
      <c r="AK832" s="80">
        <f t="shared" si="117"/>
        <v>0</v>
      </c>
      <c r="AM832" s="85"/>
    </row>
    <row r="833" spans="1:39" hidden="1" x14ac:dyDescent="0.3">
      <c r="A833" s="85" t="s">
        <v>34</v>
      </c>
      <c r="B833" s="15" t="s">
        <v>35</v>
      </c>
      <c r="C833" s="15" t="s">
        <v>36</v>
      </c>
      <c r="D833" s="15" t="s">
        <v>224</v>
      </c>
      <c r="E833" s="15" t="s">
        <v>1145</v>
      </c>
      <c r="F833" s="15" t="s">
        <v>1145</v>
      </c>
      <c r="G833" s="15" t="s">
        <v>1145</v>
      </c>
      <c r="H833" s="154"/>
      <c r="I833" s="15" t="s">
        <v>1060</v>
      </c>
      <c r="J833" s="1" t="s">
        <v>3325</v>
      </c>
      <c r="K833" s="1" t="s">
        <v>3279</v>
      </c>
      <c r="L833" s="1" t="s">
        <v>35</v>
      </c>
      <c r="M833" s="15" t="s">
        <v>1147</v>
      </c>
      <c r="N833" s="15"/>
      <c r="O833" s="8" t="s">
        <v>410</v>
      </c>
      <c r="P833" s="8" t="s">
        <v>41</v>
      </c>
      <c r="Q833" s="14">
        <v>0</v>
      </c>
      <c r="R833" s="139" t="s">
        <v>1148</v>
      </c>
      <c r="S833" s="15"/>
      <c r="T833" s="6">
        <v>0</v>
      </c>
      <c r="U833" s="6">
        <v>79000</v>
      </c>
      <c r="V833" s="6">
        <v>74304</v>
      </c>
      <c r="W833" s="18">
        <f t="shared" si="119"/>
        <v>4696</v>
      </c>
      <c r="X833" s="18">
        <f t="shared" si="118"/>
        <v>74304</v>
      </c>
      <c r="Y833" s="13">
        <f t="shared" si="113"/>
        <v>29799.228761260689</v>
      </c>
      <c r="Z833" s="14">
        <v>0</v>
      </c>
      <c r="AA833" s="4">
        <v>0</v>
      </c>
      <c r="AB833" s="4">
        <f t="shared" si="114"/>
        <v>74304</v>
      </c>
      <c r="AC833" s="6">
        <f t="shared" si="115"/>
        <v>0</v>
      </c>
      <c r="AD833" s="6">
        <f t="shared" si="120"/>
        <v>44504.771238739311</v>
      </c>
      <c r="AE833" s="2">
        <v>7.0000000000000007E-2</v>
      </c>
      <c r="AF833" s="5">
        <f t="shared" si="116"/>
        <v>3115.333986711752</v>
      </c>
      <c r="AG833" s="14">
        <v>0</v>
      </c>
      <c r="AH833" s="19">
        <f t="shared" si="121"/>
        <v>74304</v>
      </c>
      <c r="AJ833" s="126" t="e">
        <v>#N/A</v>
      </c>
      <c r="AK833" s="80">
        <f t="shared" si="117"/>
        <v>0</v>
      </c>
      <c r="AM833" s="85"/>
    </row>
    <row r="834" spans="1:39" hidden="1" x14ac:dyDescent="0.3">
      <c r="A834" s="85" t="s">
        <v>34</v>
      </c>
      <c r="B834" s="15" t="s">
        <v>35</v>
      </c>
      <c r="C834" s="15" t="s">
        <v>36</v>
      </c>
      <c r="D834" s="15" t="s">
        <v>224</v>
      </c>
      <c r="E834" s="15" t="s">
        <v>1145</v>
      </c>
      <c r="F834" s="15" t="s">
        <v>1145</v>
      </c>
      <c r="G834" s="15" t="s">
        <v>1145</v>
      </c>
      <c r="H834" s="154"/>
      <c r="I834" s="15" t="s">
        <v>1060</v>
      </c>
      <c r="J834" s="1" t="s">
        <v>3325</v>
      </c>
      <c r="K834" s="1" t="s">
        <v>3279</v>
      </c>
      <c r="L834" s="1" t="s">
        <v>35</v>
      </c>
      <c r="M834" s="15" t="s">
        <v>1149</v>
      </c>
      <c r="N834" s="15"/>
      <c r="O834" s="8" t="s">
        <v>410</v>
      </c>
      <c r="P834" s="8" t="s">
        <v>41</v>
      </c>
      <c r="Q834" s="14">
        <v>0</v>
      </c>
      <c r="R834" s="139" t="s">
        <v>1150</v>
      </c>
      <c r="S834" s="15"/>
      <c r="T834" s="6">
        <v>0</v>
      </c>
      <c r="U834" s="6">
        <v>135000</v>
      </c>
      <c r="V834" s="6">
        <v>128690.34999999998</v>
      </c>
      <c r="W834" s="18">
        <f t="shared" si="119"/>
        <v>6309.6500000000233</v>
      </c>
      <c r="X834" s="18">
        <f t="shared" si="118"/>
        <v>128690.34999999998</v>
      </c>
      <c r="Y834" s="13">
        <f t="shared" si="113"/>
        <v>51610.588649557278</v>
      </c>
      <c r="Z834" s="14">
        <v>0</v>
      </c>
      <c r="AA834" s="4">
        <v>0</v>
      </c>
      <c r="AB834" s="4">
        <f t="shared" si="114"/>
        <v>128690.34999999998</v>
      </c>
      <c r="AC834" s="6">
        <f t="shared" si="115"/>
        <v>0</v>
      </c>
      <c r="AD834" s="6">
        <f t="shared" si="120"/>
        <v>77079.761350442699</v>
      </c>
      <c r="AE834" s="2">
        <v>7.0000000000000007E-2</v>
      </c>
      <c r="AF834" s="5">
        <f t="shared" si="116"/>
        <v>5395.5832945309894</v>
      </c>
      <c r="AG834" s="14">
        <v>0</v>
      </c>
      <c r="AH834" s="19">
        <f t="shared" si="121"/>
        <v>128690.34999999998</v>
      </c>
      <c r="AJ834" s="126" t="e">
        <v>#N/A</v>
      </c>
      <c r="AK834" s="80">
        <f t="shared" si="117"/>
        <v>0</v>
      </c>
      <c r="AM834" s="85"/>
    </row>
    <row r="835" spans="1:39" hidden="1" x14ac:dyDescent="0.3">
      <c r="A835" s="85" t="s">
        <v>34</v>
      </c>
      <c r="B835" s="15" t="s">
        <v>35</v>
      </c>
      <c r="C835" s="15" t="s">
        <v>36</v>
      </c>
      <c r="D835" s="15" t="s">
        <v>224</v>
      </c>
      <c r="E835" s="15" t="s">
        <v>1151</v>
      </c>
      <c r="F835" s="15" t="s">
        <v>1151</v>
      </c>
      <c r="G835" s="15" t="s">
        <v>1151</v>
      </c>
      <c r="H835" s="154"/>
      <c r="I835" s="15" t="s">
        <v>1060</v>
      </c>
      <c r="J835" s="1" t="s">
        <v>3325</v>
      </c>
      <c r="K835" s="1" t="s">
        <v>3279</v>
      </c>
      <c r="L835" s="1" t="s">
        <v>35</v>
      </c>
      <c r="M835" s="15" t="s">
        <v>644</v>
      </c>
      <c r="N835" s="15"/>
      <c r="O835" s="8" t="s">
        <v>410</v>
      </c>
      <c r="P835" s="8" t="s">
        <v>46</v>
      </c>
      <c r="Q835" s="14">
        <v>0.02</v>
      </c>
      <c r="R835" s="139" t="s">
        <v>1152</v>
      </c>
      <c r="S835" s="15"/>
      <c r="T835" s="6">
        <v>0</v>
      </c>
      <c r="U835" s="6">
        <v>40000</v>
      </c>
      <c r="V835" s="6">
        <v>20775.36</v>
      </c>
      <c r="W835" s="18">
        <f t="shared" si="119"/>
        <v>19224.64</v>
      </c>
      <c r="X835" s="18">
        <f t="shared" si="118"/>
        <v>20368</v>
      </c>
      <c r="Y835" s="13">
        <f t="shared" ref="Y835:Y898" si="122">IF(X835-AD835&lt;=0,0,IF(P835="返现",MAX(X835-AC835-AD835,0),MAX(X835-AD835)))</f>
        <v>7924.4889615302654</v>
      </c>
      <c r="Z835" s="14">
        <v>0</v>
      </c>
      <c r="AA835" s="4">
        <v>0</v>
      </c>
      <c r="AB835" s="4">
        <f t="shared" ref="AB835:AB898" si="123">X835+AA835</f>
        <v>20368</v>
      </c>
      <c r="AC835" s="6">
        <f t="shared" ref="AC835:AC898" si="124">IF(P835="返现",X835*Q835,V835-X835)</f>
        <v>407.36000000000058</v>
      </c>
      <c r="AD835" s="6">
        <f t="shared" si="120"/>
        <v>12443.511038469735</v>
      </c>
      <c r="AE835" s="2">
        <v>7.0000000000000007E-2</v>
      </c>
      <c r="AF835" s="5">
        <f t="shared" ref="AF835:AF898" si="125">AD835*AE835</f>
        <v>871.04577269288154</v>
      </c>
      <c r="AG835" s="14">
        <v>0</v>
      </c>
      <c r="AH835" s="19">
        <f t="shared" si="121"/>
        <v>20775.36</v>
      </c>
      <c r="AJ835" s="126" t="e">
        <v>#N/A</v>
      </c>
      <c r="AK835" s="80">
        <f t="shared" ref="AK835:AK898" si="126">X835+AA835-AB835</f>
        <v>0</v>
      </c>
      <c r="AM835" s="85"/>
    </row>
    <row r="836" spans="1:39" hidden="1" x14ac:dyDescent="0.3">
      <c r="A836" s="85" t="s">
        <v>34</v>
      </c>
      <c r="B836" s="15" t="s">
        <v>35</v>
      </c>
      <c r="C836" s="15" t="s">
        <v>36</v>
      </c>
      <c r="D836" s="15" t="s">
        <v>224</v>
      </c>
      <c r="E836" s="15" t="s">
        <v>1151</v>
      </c>
      <c r="F836" s="15" t="s">
        <v>1151</v>
      </c>
      <c r="G836" s="15" t="s">
        <v>1151</v>
      </c>
      <c r="H836" s="154"/>
      <c r="I836" s="15" t="s">
        <v>1060</v>
      </c>
      <c r="J836" s="1" t="s">
        <v>3325</v>
      </c>
      <c r="K836" s="1" t="s">
        <v>3279</v>
      </c>
      <c r="L836" s="1" t="s">
        <v>35</v>
      </c>
      <c r="M836" s="15" t="s">
        <v>1153</v>
      </c>
      <c r="N836" s="15"/>
      <c r="O836" s="8" t="s">
        <v>410</v>
      </c>
      <c r="P836" s="8" t="s">
        <v>46</v>
      </c>
      <c r="Q836" s="14">
        <v>0.02</v>
      </c>
      <c r="R836" s="139" t="s">
        <v>1154</v>
      </c>
      <c r="S836" s="15"/>
      <c r="T836" s="6">
        <v>0</v>
      </c>
      <c r="U836" s="6">
        <v>200000</v>
      </c>
      <c r="V836" s="6">
        <v>150807.20000000001</v>
      </c>
      <c r="W836" s="18">
        <f t="shared" si="119"/>
        <v>49192.799999999988</v>
      </c>
      <c r="X836" s="18">
        <f t="shared" si="118"/>
        <v>147850.19607843139</v>
      </c>
      <c r="Y836" s="13">
        <f t="shared" si="122"/>
        <v>57523.431205008586</v>
      </c>
      <c r="Z836" s="14">
        <v>0</v>
      </c>
      <c r="AA836" s="4">
        <v>0</v>
      </c>
      <c r="AB836" s="4">
        <f t="shared" si="123"/>
        <v>147850.19607843139</v>
      </c>
      <c r="AC836" s="6">
        <f t="shared" si="124"/>
        <v>2957.0039215686265</v>
      </c>
      <c r="AD836" s="6">
        <f t="shared" si="120"/>
        <v>90326.764873422799</v>
      </c>
      <c r="AE836" s="2">
        <v>7.0000000000000007E-2</v>
      </c>
      <c r="AF836" s="5">
        <f t="shared" si="125"/>
        <v>6322.8735411395965</v>
      </c>
      <c r="AG836" s="14">
        <v>0</v>
      </c>
      <c r="AH836" s="19">
        <f t="shared" si="121"/>
        <v>150807.20000000001</v>
      </c>
      <c r="AJ836" s="126" t="e">
        <v>#N/A</v>
      </c>
      <c r="AK836" s="80">
        <f t="shared" si="126"/>
        <v>0</v>
      </c>
      <c r="AM836" s="85"/>
    </row>
    <row r="837" spans="1:39" hidden="1" x14ac:dyDescent="0.3">
      <c r="A837" s="85" t="s">
        <v>34</v>
      </c>
      <c r="B837" s="15" t="s">
        <v>35</v>
      </c>
      <c r="C837" s="15" t="s">
        <v>36</v>
      </c>
      <c r="D837" s="15" t="s">
        <v>224</v>
      </c>
      <c r="E837" s="15" t="s">
        <v>1151</v>
      </c>
      <c r="F837" s="15" t="s">
        <v>1151</v>
      </c>
      <c r="G837" s="15" t="s">
        <v>1151</v>
      </c>
      <c r="H837" s="154"/>
      <c r="I837" s="15" t="s">
        <v>1060</v>
      </c>
      <c r="J837" s="1" t="s">
        <v>3325</v>
      </c>
      <c r="K837" s="1" t="s">
        <v>3279</v>
      </c>
      <c r="L837" s="1" t="s">
        <v>35</v>
      </c>
      <c r="M837" s="15" t="s">
        <v>1155</v>
      </c>
      <c r="N837" s="15"/>
      <c r="O837" s="8" t="s">
        <v>410</v>
      </c>
      <c r="P837" s="8" t="s">
        <v>46</v>
      </c>
      <c r="Q837" s="14">
        <v>0.02</v>
      </c>
      <c r="R837" s="139" t="s">
        <v>1156</v>
      </c>
      <c r="S837" s="15"/>
      <c r="T837" s="6">
        <v>0</v>
      </c>
      <c r="U837" s="6">
        <v>150000</v>
      </c>
      <c r="V837" s="6">
        <v>124366.39999999999</v>
      </c>
      <c r="W837" s="18">
        <f t="shared" si="119"/>
        <v>25633.600000000006</v>
      </c>
      <c r="X837" s="18">
        <f t="shared" si="118"/>
        <v>121927.84313725489</v>
      </c>
      <c r="Y837" s="13">
        <f t="shared" si="122"/>
        <v>47437.934359994615</v>
      </c>
      <c r="Z837" s="14">
        <v>0</v>
      </c>
      <c r="AA837" s="4">
        <v>0</v>
      </c>
      <c r="AB837" s="4">
        <f t="shared" si="123"/>
        <v>121927.84313725489</v>
      </c>
      <c r="AC837" s="6">
        <f t="shared" si="124"/>
        <v>2438.5568627450994</v>
      </c>
      <c r="AD837" s="6">
        <f t="shared" si="120"/>
        <v>74489.90877726028</v>
      </c>
      <c r="AE837" s="2">
        <v>7.0000000000000007E-2</v>
      </c>
      <c r="AF837" s="5">
        <f t="shared" si="125"/>
        <v>5214.2936144082205</v>
      </c>
      <c r="AG837" s="14">
        <v>0</v>
      </c>
      <c r="AH837" s="19">
        <f t="shared" si="121"/>
        <v>124366.39999999999</v>
      </c>
      <c r="AJ837" s="126" t="e">
        <v>#N/A</v>
      </c>
      <c r="AK837" s="80">
        <f t="shared" si="126"/>
        <v>0</v>
      </c>
      <c r="AM837" s="85"/>
    </row>
    <row r="838" spans="1:39" hidden="1" x14ac:dyDescent="0.3">
      <c r="A838" s="85" t="s">
        <v>34</v>
      </c>
      <c r="B838" s="15" t="s">
        <v>35</v>
      </c>
      <c r="C838" s="15" t="s">
        <v>36</v>
      </c>
      <c r="D838" s="15" t="s">
        <v>224</v>
      </c>
      <c r="E838" s="15" t="s">
        <v>1151</v>
      </c>
      <c r="F838" s="15" t="s">
        <v>1151</v>
      </c>
      <c r="G838" s="15" t="s">
        <v>1151</v>
      </c>
      <c r="H838" s="154"/>
      <c r="I838" s="15" t="s">
        <v>1060</v>
      </c>
      <c r="J838" s="1" t="s">
        <v>3325</v>
      </c>
      <c r="K838" s="1" t="s">
        <v>3279</v>
      </c>
      <c r="L838" s="1" t="s">
        <v>35</v>
      </c>
      <c r="M838" s="15" t="s">
        <v>1157</v>
      </c>
      <c r="N838" s="15"/>
      <c r="O838" s="8" t="s">
        <v>410</v>
      </c>
      <c r="P838" s="8" t="s">
        <v>46</v>
      </c>
      <c r="Q838" s="14">
        <v>0.02</v>
      </c>
      <c r="R838" s="139" t="s">
        <v>1158</v>
      </c>
      <c r="S838" s="15"/>
      <c r="T838" s="6">
        <v>0</v>
      </c>
      <c r="U838" s="6">
        <v>2250000</v>
      </c>
      <c r="V838" s="6">
        <v>1813420.9482499999</v>
      </c>
      <c r="W838" s="18">
        <f t="shared" si="119"/>
        <v>436579.0517500001</v>
      </c>
      <c r="X838" s="18">
        <f t="shared" si="118"/>
        <v>1777863.6747549018</v>
      </c>
      <c r="Y838" s="13">
        <f t="shared" si="122"/>
        <v>691705.66897588642</v>
      </c>
      <c r="Z838" s="14">
        <v>0</v>
      </c>
      <c r="AA838" s="4">
        <v>0</v>
      </c>
      <c r="AB838" s="4">
        <f t="shared" si="123"/>
        <v>1777863.6747549018</v>
      </c>
      <c r="AC838" s="6">
        <f t="shared" si="124"/>
        <v>35557.27349509811</v>
      </c>
      <c r="AD838" s="6">
        <f t="shared" si="120"/>
        <v>1086158.0057790154</v>
      </c>
      <c r="AE838" s="2">
        <v>7.0000000000000007E-2</v>
      </c>
      <c r="AF838" s="5">
        <f t="shared" si="125"/>
        <v>76031.060404531076</v>
      </c>
      <c r="AG838" s="14">
        <v>0</v>
      </c>
      <c r="AH838" s="19">
        <f t="shared" si="121"/>
        <v>1813420.9482499999</v>
      </c>
      <c r="AJ838" s="126" t="e">
        <v>#N/A</v>
      </c>
      <c r="AK838" s="80">
        <f t="shared" si="126"/>
        <v>0</v>
      </c>
      <c r="AM838" s="85"/>
    </row>
    <row r="839" spans="1:39" hidden="1" x14ac:dyDescent="0.3">
      <c r="A839" s="85" t="s">
        <v>34</v>
      </c>
      <c r="B839" s="15" t="s">
        <v>35</v>
      </c>
      <c r="C839" s="15" t="s">
        <v>36</v>
      </c>
      <c r="D839" s="15" t="s">
        <v>224</v>
      </c>
      <c r="E839" s="15" t="s">
        <v>1151</v>
      </c>
      <c r="F839" s="15" t="s">
        <v>1151</v>
      </c>
      <c r="G839" s="15" t="s">
        <v>1151</v>
      </c>
      <c r="H839" s="154"/>
      <c r="I839" s="15" t="s">
        <v>1060</v>
      </c>
      <c r="J839" s="1" t="s">
        <v>3325</v>
      </c>
      <c r="K839" s="1" t="s">
        <v>3279</v>
      </c>
      <c r="L839" s="1" t="s">
        <v>35</v>
      </c>
      <c r="M839" s="15" t="s">
        <v>1159</v>
      </c>
      <c r="N839" s="15"/>
      <c r="O839" s="8" t="s">
        <v>410</v>
      </c>
      <c r="P839" s="8" t="s">
        <v>46</v>
      </c>
      <c r="Q839" s="14">
        <v>0.02</v>
      </c>
      <c r="R839" s="139">
        <v>18917841742</v>
      </c>
      <c r="S839" s="15"/>
      <c r="T839" s="6">
        <v>0</v>
      </c>
      <c r="U839" s="6">
        <v>2150000</v>
      </c>
      <c r="V839" s="6">
        <v>1724591.1698100001</v>
      </c>
      <c r="W839" s="18">
        <f t="shared" si="119"/>
        <v>425408.83018999989</v>
      </c>
      <c r="X839" s="18">
        <f t="shared" si="118"/>
        <v>1690775.6566764708</v>
      </c>
      <c r="Y839" s="13">
        <f t="shared" si="122"/>
        <v>657822.71346017183</v>
      </c>
      <c r="Z839" s="14">
        <v>0</v>
      </c>
      <c r="AA839" s="4">
        <v>0</v>
      </c>
      <c r="AB839" s="4">
        <f t="shared" si="123"/>
        <v>1690775.6566764708</v>
      </c>
      <c r="AC839" s="6">
        <f t="shared" si="124"/>
        <v>33815.513133529341</v>
      </c>
      <c r="AD839" s="6">
        <f t="shared" si="120"/>
        <v>1032952.9432162989</v>
      </c>
      <c r="AE839" s="2">
        <v>7.0000000000000007E-2</v>
      </c>
      <c r="AF839" s="5">
        <f t="shared" si="125"/>
        <v>72306.706025140928</v>
      </c>
      <c r="AG839" s="14">
        <v>0</v>
      </c>
      <c r="AH839" s="19">
        <f t="shared" si="121"/>
        <v>1724591.1698100001</v>
      </c>
      <c r="AJ839" s="126" t="e">
        <v>#N/A</v>
      </c>
      <c r="AK839" s="80">
        <f t="shared" si="126"/>
        <v>0</v>
      </c>
      <c r="AM839" s="85"/>
    </row>
    <row r="840" spans="1:39" hidden="1" x14ac:dyDescent="0.3">
      <c r="A840" s="85" t="s">
        <v>34</v>
      </c>
      <c r="B840" s="15" t="s">
        <v>35</v>
      </c>
      <c r="C840" s="15" t="s">
        <v>36</v>
      </c>
      <c r="D840" s="15" t="s">
        <v>224</v>
      </c>
      <c r="E840" s="15" t="s">
        <v>1160</v>
      </c>
      <c r="F840" s="15" t="s">
        <v>1160</v>
      </c>
      <c r="G840" s="15" t="s">
        <v>1160</v>
      </c>
      <c r="H840" s="154"/>
      <c r="I840" s="15" t="s">
        <v>1060</v>
      </c>
      <c r="J840" s="1" t="s">
        <v>3325</v>
      </c>
      <c r="K840" s="1" t="s">
        <v>3279</v>
      </c>
      <c r="L840" s="1" t="s">
        <v>35</v>
      </c>
      <c r="M840" s="15" t="s">
        <v>1161</v>
      </c>
      <c r="N840" s="15"/>
      <c r="O840" s="8" t="s">
        <v>410</v>
      </c>
      <c r="P840" s="8" t="s">
        <v>41</v>
      </c>
      <c r="Q840" s="14">
        <v>0</v>
      </c>
      <c r="R840" s="139" t="s">
        <v>1162</v>
      </c>
      <c r="S840" s="15"/>
      <c r="T840" s="6">
        <v>0</v>
      </c>
      <c r="U840" s="6">
        <v>36999.119999999995</v>
      </c>
      <c r="V840" s="6">
        <v>35237.199999999997</v>
      </c>
      <c r="W840" s="18">
        <f t="shared" si="119"/>
        <v>1761.9199999999983</v>
      </c>
      <c r="X840" s="18">
        <f t="shared" si="118"/>
        <v>35237.199999999997</v>
      </c>
      <c r="Y840" s="13">
        <f t="shared" si="122"/>
        <v>14131.693902162671</v>
      </c>
      <c r="Z840" s="14">
        <v>0</v>
      </c>
      <c r="AA840" s="4">
        <v>0</v>
      </c>
      <c r="AB840" s="4">
        <f t="shared" si="123"/>
        <v>35237.199999999997</v>
      </c>
      <c r="AC840" s="6">
        <f t="shared" si="124"/>
        <v>0</v>
      </c>
      <c r="AD840" s="6">
        <f t="shared" si="120"/>
        <v>21105.506097837326</v>
      </c>
      <c r="AE840" s="2">
        <v>7.0000000000000007E-2</v>
      </c>
      <c r="AF840" s="5">
        <f t="shared" si="125"/>
        <v>1477.385426848613</v>
      </c>
      <c r="AG840" s="14">
        <v>0</v>
      </c>
      <c r="AH840" s="19">
        <f t="shared" si="121"/>
        <v>35237.199999999997</v>
      </c>
      <c r="AJ840" s="126" t="e">
        <v>#N/A</v>
      </c>
      <c r="AK840" s="80">
        <f t="shared" si="126"/>
        <v>0</v>
      </c>
      <c r="AM840" s="85"/>
    </row>
    <row r="841" spans="1:39" hidden="1" x14ac:dyDescent="0.3">
      <c r="A841" s="85" t="s">
        <v>34</v>
      </c>
      <c r="B841" s="15" t="s">
        <v>35</v>
      </c>
      <c r="C841" s="15" t="s">
        <v>36</v>
      </c>
      <c r="D841" s="15" t="s">
        <v>224</v>
      </c>
      <c r="E841" s="15" t="s">
        <v>1160</v>
      </c>
      <c r="F841" s="15" t="s">
        <v>1160</v>
      </c>
      <c r="G841" s="15" t="s">
        <v>1160</v>
      </c>
      <c r="H841" s="139"/>
      <c r="I841" s="15" t="s">
        <v>1060</v>
      </c>
      <c r="J841" s="1" t="s">
        <v>3325</v>
      </c>
      <c r="K841" s="1" t="s">
        <v>3279</v>
      </c>
      <c r="L841" s="1" t="s">
        <v>35</v>
      </c>
      <c r="M841" s="15" t="s">
        <v>1161</v>
      </c>
      <c r="N841" s="15"/>
      <c r="O841" s="8" t="s">
        <v>410</v>
      </c>
      <c r="P841" s="8" t="s">
        <v>41</v>
      </c>
      <c r="Q841" s="14">
        <v>0</v>
      </c>
      <c r="R841" s="139" t="s">
        <v>1162</v>
      </c>
      <c r="S841" s="15"/>
      <c r="T841" s="6">
        <v>7118.2999999999993</v>
      </c>
      <c r="U841" s="6">
        <v>-7139.0999999999995</v>
      </c>
      <c r="V841" s="6">
        <v>0</v>
      </c>
      <c r="W841" s="18">
        <f t="shared" si="119"/>
        <v>-20.800000000000182</v>
      </c>
      <c r="X841" s="18">
        <f t="shared" si="118"/>
        <v>0</v>
      </c>
      <c r="Y841" s="13">
        <f t="shared" si="122"/>
        <v>0</v>
      </c>
      <c r="Z841" s="14">
        <v>0</v>
      </c>
      <c r="AA841" s="4">
        <v>0</v>
      </c>
      <c r="AB841" s="4">
        <f t="shared" si="123"/>
        <v>0</v>
      </c>
      <c r="AC841" s="6">
        <f t="shared" si="124"/>
        <v>0</v>
      </c>
      <c r="AD841" s="6">
        <f t="shared" si="120"/>
        <v>0</v>
      </c>
      <c r="AE841" s="2">
        <v>7.0000000000000007E-2</v>
      </c>
      <c r="AF841" s="5">
        <f t="shared" si="125"/>
        <v>0</v>
      </c>
      <c r="AG841" s="14">
        <v>0</v>
      </c>
      <c r="AH841" s="19">
        <f t="shared" si="121"/>
        <v>0</v>
      </c>
      <c r="AJ841" s="126" t="e">
        <v>#N/A</v>
      </c>
      <c r="AK841" s="80">
        <f t="shared" si="126"/>
        <v>0</v>
      </c>
      <c r="AM841" s="85"/>
    </row>
    <row r="842" spans="1:39" hidden="1" x14ac:dyDescent="0.3">
      <c r="A842" s="85" t="s">
        <v>34</v>
      </c>
      <c r="B842" s="15" t="s">
        <v>35</v>
      </c>
      <c r="C842" s="15" t="s">
        <v>36</v>
      </c>
      <c r="D842" s="15" t="s">
        <v>224</v>
      </c>
      <c r="E842" s="15" t="s">
        <v>1149</v>
      </c>
      <c r="F842" s="15" t="s">
        <v>1149</v>
      </c>
      <c r="G842" s="15" t="s">
        <v>1149</v>
      </c>
      <c r="H842" s="154"/>
      <c r="I842" s="15" t="s">
        <v>1060</v>
      </c>
      <c r="J842" s="1" t="s">
        <v>3325</v>
      </c>
      <c r="K842" s="1" t="s">
        <v>3279</v>
      </c>
      <c r="L842" s="1" t="s">
        <v>35</v>
      </c>
      <c r="M842" s="15" t="s">
        <v>1145</v>
      </c>
      <c r="N842" s="15"/>
      <c r="O842" s="8" t="s">
        <v>410</v>
      </c>
      <c r="P842" s="8" t="s">
        <v>41</v>
      </c>
      <c r="Q842" s="14">
        <v>0</v>
      </c>
      <c r="R842" s="139" t="s">
        <v>1146</v>
      </c>
      <c r="S842" s="15"/>
      <c r="T842" s="6">
        <v>1054.0600100000011</v>
      </c>
      <c r="U842" s="6">
        <v>6000</v>
      </c>
      <c r="V842" s="6">
        <v>7054.0600100000011</v>
      </c>
      <c r="W842" s="18">
        <f t="shared" si="119"/>
        <v>0</v>
      </c>
      <c r="X842" s="18">
        <f t="shared" si="118"/>
        <v>7054.0600100000011</v>
      </c>
      <c r="Y842" s="13">
        <f t="shared" si="122"/>
        <v>2828.9937006574464</v>
      </c>
      <c r="Z842" s="14">
        <v>0</v>
      </c>
      <c r="AA842" s="4">
        <v>0</v>
      </c>
      <c r="AB842" s="4">
        <f t="shared" si="123"/>
        <v>7054.0600100000011</v>
      </c>
      <c r="AC842" s="6">
        <f t="shared" si="124"/>
        <v>0</v>
      </c>
      <c r="AD842" s="6">
        <f t="shared" si="120"/>
        <v>4225.0663093425546</v>
      </c>
      <c r="AE842" s="2">
        <v>7.0000000000000007E-2</v>
      </c>
      <c r="AF842" s="5">
        <f t="shared" si="125"/>
        <v>295.75464165397887</v>
      </c>
      <c r="AG842" s="14">
        <v>0</v>
      </c>
      <c r="AH842" s="19">
        <f t="shared" si="121"/>
        <v>7054.0600100000011</v>
      </c>
      <c r="AJ842" s="126" t="e">
        <v>#N/A</v>
      </c>
      <c r="AK842" s="80">
        <f t="shared" si="126"/>
        <v>0</v>
      </c>
      <c r="AM842" s="85"/>
    </row>
    <row r="843" spans="1:39" hidden="1" x14ac:dyDescent="0.3">
      <c r="A843" s="85" t="s">
        <v>34</v>
      </c>
      <c r="B843" s="15" t="s">
        <v>35</v>
      </c>
      <c r="C843" s="15" t="s">
        <v>36</v>
      </c>
      <c r="D843" s="15" t="s">
        <v>224</v>
      </c>
      <c r="E843" s="15" t="s">
        <v>1149</v>
      </c>
      <c r="F843" s="15" t="s">
        <v>1149</v>
      </c>
      <c r="G843" s="15" t="s">
        <v>1149</v>
      </c>
      <c r="H843" s="154"/>
      <c r="I843" s="15" t="s">
        <v>1060</v>
      </c>
      <c r="J843" s="1" t="s">
        <v>3325</v>
      </c>
      <c r="K843" s="1" t="s">
        <v>3279</v>
      </c>
      <c r="L843" s="1" t="s">
        <v>35</v>
      </c>
      <c r="M843" s="15" t="s">
        <v>1147</v>
      </c>
      <c r="N843" s="15"/>
      <c r="O843" s="8" t="s">
        <v>410</v>
      </c>
      <c r="P843" s="8" t="s">
        <v>41</v>
      </c>
      <c r="Q843" s="14">
        <v>0</v>
      </c>
      <c r="R843" s="139" t="s">
        <v>1148</v>
      </c>
      <c r="S843" s="15"/>
      <c r="T843" s="6">
        <v>855.90000000000146</v>
      </c>
      <c r="U843" s="6">
        <v>8000</v>
      </c>
      <c r="V843" s="6">
        <v>8855.9000000000015</v>
      </c>
      <c r="W843" s="18">
        <f t="shared" si="119"/>
        <v>0</v>
      </c>
      <c r="X843" s="18">
        <f t="shared" si="118"/>
        <v>8855.9000000000015</v>
      </c>
      <c r="Y843" s="13">
        <f t="shared" si="122"/>
        <v>3551.6121606757188</v>
      </c>
      <c r="Z843" s="14">
        <v>0</v>
      </c>
      <c r="AA843" s="4">
        <v>0</v>
      </c>
      <c r="AB843" s="4">
        <f t="shared" si="123"/>
        <v>8855.9000000000015</v>
      </c>
      <c r="AC843" s="6">
        <f t="shared" si="124"/>
        <v>0</v>
      </c>
      <c r="AD843" s="6">
        <f t="shared" si="120"/>
        <v>5304.2878393242827</v>
      </c>
      <c r="AE843" s="2">
        <v>7.0000000000000007E-2</v>
      </c>
      <c r="AF843" s="5">
        <f t="shared" si="125"/>
        <v>371.30014875269984</v>
      </c>
      <c r="AG843" s="14">
        <v>0</v>
      </c>
      <c r="AH843" s="19">
        <f t="shared" si="121"/>
        <v>8855.9000000000015</v>
      </c>
      <c r="AJ843" s="126" t="e">
        <v>#N/A</v>
      </c>
      <c r="AK843" s="80">
        <f t="shared" si="126"/>
        <v>0</v>
      </c>
      <c r="AM843" s="85"/>
    </row>
    <row r="844" spans="1:39" hidden="1" x14ac:dyDescent="0.3">
      <c r="A844" s="85" t="s">
        <v>34</v>
      </c>
      <c r="B844" s="15" t="s">
        <v>35</v>
      </c>
      <c r="C844" s="15" t="s">
        <v>36</v>
      </c>
      <c r="D844" s="15" t="s">
        <v>224</v>
      </c>
      <c r="E844" s="15" t="s">
        <v>1149</v>
      </c>
      <c r="F844" s="15" t="s">
        <v>1149</v>
      </c>
      <c r="G844" s="15" t="s">
        <v>1149</v>
      </c>
      <c r="H844" s="154"/>
      <c r="I844" s="15" t="s">
        <v>1060</v>
      </c>
      <c r="J844" s="1" t="s">
        <v>3325</v>
      </c>
      <c r="K844" s="1" t="s">
        <v>3279</v>
      </c>
      <c r="L844" s="1" t="s">
        <v>35</v>
      </c>
      <c r="M844" s="15" t="s">
        <v>1149</v>
      </c>
      <c r="N844" s="15"/>
      <c r="O844" s="8" t="s">
        <v>410</v>
      </c>
      <c r="P844" s="8" t="s">
        <v>41</v>
      </c>
      <c r="Q844" s="14">
        <v>0</v>
      </c>
      <c r="R844" s="139" t="s">
        <v>1150</v>
      </c>
      <c r="S844" s="15"/>
      <c r="T844" s="6">
        <v>5621.0500000000175</v>
      </c>
      <c r="U844" s="6">
        <v>10000</v>
      </c>
      <c r="V844" s="6">
        <v>15621.050000000017</v>
      </c>
      <c r="W844" s="18">
        <f t="shared" si="119"/>
        <v>0</v>
      </c>
      <c r="X844" s="18">
        <f t="shared" si="118"/>
        <v>15621.050000000017</v>
      </c>
      <c r="Y844" s="13">
        <f t="shared" si="122"/>
        <v>6264.7400199328677</v>
      </c>
      <c r="Z844" s="14">
        <v>0</v>
      </c>
      <c r="AA844" s="4">
        <v>0</v>
      </c>
      <c r="AB844" s="4">
        <f t="shared" si="123"/>
        <v>15621.050000000017</v>
      </c>
      <c r="AC844" s="6">
        <f t="shared" si="124"/>
        <v>0</v>
      </c>
      <c r="AD844" s="6">
        <f t="shared" si="120"/>
        <v>9356.3099800671498</v>
      </c>
      <c r="AE844" s="2">
        <v>7.0000000000000007E-2</v>
      </c>
      <c r="AF844" s="5">
        <f t="shared" si="125"/>
        <v>654.9416986047006</v>
      </c>
      <c r="AG844" s="14">
        <v>0</v>
      </c>
      <c r="AH844" s="19">
        <f t="shared" si="121"/>
        <v>15621.050000000017</v>
      </c>
      <c r="AJ844" s="126" t="e">
        <v>#N/A</v>
      </c>
      <c r="AK844" s="80">
        <f t="shared" si="126"/>
        <v>0</v>
      </c>
      <c r="AM844" s="85"/>
    </row>
    <row r="845" spans="1:39" hidden="1" x14ac:dyDescent="0.3">
      <c r="A845" s="85" t="s">
        <v>34</v>
      </c>
      <c r="B845" s="15" t="s">
        <v>35</v>
      </c>
      <c r="C845" s="15" t="s">
        <v>36</v>
      </c>
      <c r="D845" s="15" t="s">
        <v>224</v>
      </c>
      <c r="E845" s="15" t="s">
        <v>1163</v>
      </c>
      <c r="F845" s="15" t="s">
        <v>1163</v>
      </c>
      <c r="G845" s="15" t="s">
        <v>1163</v>
      </c>
      <c r="H845" s="154"/>
      <c r="I845" s="15" t="s">
        <v>1060</v>
      </c>
      <c r="J845" s="1" t="s">
        <v>3325</v>
      </c>
      <c r="K845" s="1" t="s">
        <v>3279</v>
      </c>
      <c r="L845" s="1" t="s">
        <v>35</v>
      </c>
      <c r="M845" s="15" t="s">
        <v>1163</v>
      </c>
      <c r="N845" s="15"/>
      <c r="O845" s="8" t="s">
        <v>410</v>
      </c>
      <c r="P845" s="8" t="s">
        <v>41</v>
      </c>
      <c r="Q845" s="14">
        <v>0</v>
      </c>
      <c r="R845" s="139" t="s">
        <v>1164</v>
      </c>
      <c r="S845" s="15"/>
      <c r="T845" s="6">
        <v>0</v>
      </c>
      <c r="U845" s="6">
        <v>15000</v>
      </c>
      <c r="V845" s="6">
        <v>11440</v>
      </c>
      <c r="W845" s="18">
        <f t="shared" si="119"/>
        <v>3560</v>
      </c>
      <c r="X845" s="18">
        <f t="shared" si="118"/>
        <v>11440</v>
      </c>
      <c r="Y845" s="13">
        <f t="shared" si="122"/>
        <v>4587.9518872311355</v>
      </c>
      <c r="Z845" s="14">
        <v>0</v>
      </c>
      <c r="AA845" s="4">
        <v>0</v>
      </c>
      <c r="AB845" s="4">
        <f t="shared" si="123"/>
        <v>11440</v>
      </c>
      <c r="AC845" s="6">
        <f t="shared" si="124"/>
        <v>0</v>
      </c>
      <c r="AD845" s="6">
        <f t="shared" si="120"/>
        <v>6852.0481127688645</v>
      </c>
      <c r="AE845" s="2">
        <v>7.0000000000000007E-2</v>
      </c>
      <c r="AF845" s="5">
        <f t="shared" si="125"/>
        <v>479.64336789382054</v>
      </c>
      <c r="AG845" s="14">
        <v>0</v>
      </c>
      <c r="AH845" s="19">
        <f t="shared" si="121"/>
        <v>11440</v>
      </c>
      <c r="AJ845" s="126" t="e">
        <v>#N/A</v>
      </c>
      <c r="AK845" s="80">
        <f t="shared" si="126"/>
        <v>0</v>
      </c>
      <c r="AM845" s="85"/>
    </row>
    <row r="846" spans="1:39" hidden="1" x14ac:dyDescent="0.3">
      <c r="A846" s="85" t="s">
        <v>34</v>
      </c>
      <c r="B846" s="15" t="s">
        <v>35</v>
      </c>
      <c r="C846" s="15" t="s">
        <v>36</v>
      </c>
      <c r="D846" s="15" t="s">
        <v>224</v>
      </c>
      <c r="E846" s="15" t="s">
        <v>1165</v>
      </c>
      <c r="F846" s="15" t="s">
        <v>1165</v>
      </c>
      <c r="G846" s="15" t="s">
        <v>1165</v>
      </c>
      <c r="H846" s="154"/>
      <c r="I846" s="15" t="s">
        <v>1060</v>
      </c>
      <c r="J846" s="1" t="s">
        <v>3325</v>
      </c>
      <c r="K846" s="1" t="s">
        <v>3279</v>
      </c>
      <c r="L846" s="1" t="s">
        <v>35</v>
      </c>
      <c r="M846" s="15" t="s">
        <v>1165</v>
      </c>
      <c r="N846" s="15"/>
      <c r="O846" s="8" t="s">
        <v>410</v>
      </c>
      <c r="P846" s="8" t="s">
        <v>41</v>
      </c>
      <c r="Q846" s="14">
        <v>0</v>
      </c>
      <c r="R846" s="139" t="s">
        <v>1166</v>
      </c>
      <c r="S846" s="15"/>
      <c r="T846" s="6">
        <v>9761.61</v>
      </c>
      <c r="U846" s="6">
        <v>60000</v>
      </c>
      <c r="V846" s="6">
        <v>58679.630000000005</v>
      </c>
      <c r="W846" s="18">
        <f t="shared" si="119"/>
        <v>11081.979999999996</v>
      </c>
      <c r="X846" s="18">
        <f t="shared" si="118"/>
        <v>58679.630000000005</v>
      </c>
      <c r="Y846" s="13">
        <f t="shared" si="122"/>
        <v>23533.157272773147</v>
      </c>
      <c r="Z846" s="14">
        <v>0</v>
      </c>
      <c r="AA846" s="4">
        <v>0</v>
      </c>
      <c r="AB846" s="4">
        <f t="shared" si="123"/>
        <v>58679.630000000005</v>
      </c>
      <c r="AC846" s="6">
        <f t="shared" si="124"/>
        <v>0</v>
      </c>
      <c r="AD846" s="6">
        <f t="shared" si="120"/>
        <v>35146.472727226857</v>
      </c>
      <c r="AE846" s="2">
        <v>7.0000000000000007E-2</v>
      </c>
      <c r="AF846" s="5">
        <f t="shared" si="125"/>
        <v>2460.2530909058801</v>
      </c>
      <c r="AG846" s="14">
        <v>0</v>
      </c>
      <c r="AH846" s="19">
        <f t="shared" si="121"/>
        <v>58679.630000000005</v>
      </c>
      <c r="AJ846" s="126" t="e">
        <v>#N/A</v>
      </c>
      <c r="AK846" s="80">
        <f t="shared" si="126"/>
        <v>0</v>
      </c>
      <c r="AM846" s="85"/>
    </row>
    <row r="847" spans="1:39" hidden="1" x14ac:dyDescent="0.3">
      <c r="A847" s="85" t="s">
        <v>34</v>
      </c>
      <c r="B847" s="15" t="s">
        <v>35</v>
      </c>
      <c r="C847" s="15" t="s">
        <v>36</v>
      </c>
      <c r="D847" s="15" t="s">
        <v>224</v>
      </c>
      <c r="E847" s="15" t="s">
        <v>1165</v>
      </c>
      <c r="F847" s="15" t="s">
        <v>1165</v>
      </c>
      <c r="G847" s="15" t="s">
        <v>1165</v>
      </c>
      <c r="H847" s="139"/>
      <c r="I847" s="15" t="s">
        <v>1060</v>
      </c>
      <c r="J847" s="1" t="s">
        <v>3325</v>
      </c>
      <c r="K847" s="1" t="s">
        <v>3279</v>
      </c>
      <c r="L847" s="1" t="s">
        <v>35</v>
      </c>
      <c r="M847" s="15" t="s">
        <v>1165</v>
      </c>
      <c r="N847" s="15"/>
      <c r="O847" s="8" t="s">
        <v>410</v>
      </c>
      <c r="P847" s="8" t="s">
        <v>1167</v>
      </c>
      <c r="Q847" s="14">
        <v>0.02</v>
      </c>
      <c r="R847" s="139" t="s">
        <v>1166</v>
      </c>
      <c r="S847" s="15" t="s">
        <v>1168</v>
      </c>
      <c r="T847" s="6">
        <v>0</v>
      </c>
      <c r="U847" s="6">
        <v>104.77</v>
      </c>
      <c r="V847" s="6">
        <v>104.77</v>
      </c>
      <c r="W847" s="18">
        <f t="shared" si="119"/>
        <v>0</v>
      </c>
      <c r="X847" s="18">
        <v>0</v>
      </c>
      <c r="Y847" s="13">
        <f t="shared" si="122"/>
        <v>0</v>
      </c>
      <c r="Z847" s="14">
        <v>0</v>
      </c>
      <c r="AA847" s="4">
        <v>0</v>
      </c>
      <c r="AB847" s="4">
        <f t="shared" si="123"/>
        <v>0</v>
      </c>
      <c r="AC847" s="6">
        <f t="shared" si="124"/>
        <v>104.77</v>
      </c>
      <c r="AD847" s="6">
        <f t="shared" si="120"/>
        <v>62.752542025768697</v>
      </c>
      <c r="AE847" s="2">
        <v>7.0000000000000007E-2</v>
      </c>
      <c r="AF847" s="5">
        <f t="shared" si="125"/>
        <v>4.3926779418038091</v>
      </c>
      <c r="AG847" s="14">
        <v>0</v>
      </c>
      <c r="AH847" s="19">
        <f t="shared" si="121"/>
        <v>104.77</v>
      </c>
      <c r="AJ847" s="126" t="e">
        <v>#N/A</v>
      </c>
      <c r="AK847" s="80">
        <f t="shared" si="126"/>
        <v>0</v>
      </c>
      <c r="AM847" s="85"/>
    </row>
    <row r="848" spans="1:39" hidden="1" x14ac:dyDescent="0.3">
      <c r="A848" s="85" t="s">
        <v>34</v>
      </c>
      <c r="B848" s="15" t="s">
        <v>35</v>
      </c>
      <c r="C848" s="15" t="s">
        <v>36</v>
      </c>
      <c r="D848" s="15" t="s">
        <v>224</v>
      </c>
      <c r="E848" s="15" t="s">
        <v>1169</v>
      </c>
      <c r="F848" s="15" t="s">
        <v>1169</v>
      </c>
      <c r="G848" s="15" t="s">
        <v>1169</v>
      </c>
      <c r="H848" s="154"/>
      <c r="I848" s="15" t="s">
        <v>1060</v>
      </c>
      <c r="J848" s="1" t="s">
        <v>3325</v>
      </c>
      <c r="K848" s="1" t="s">
        <v>3279</v>
      </c>
      <c r="L848" s="1" t="s">
        <v>35</v>
      </c>
      <c r="M848" s="15" t="s">
        <v>1170</v>
      </c>
      <c r="N848" s="15"/>
      <c r="O848" s="8" t="s">
        <v>410</v>
      </c>
      <c r="P848" s="8" t="s">
        <v>41</v>
      </c>
      <c r="Q848" s="14">
        <v>0</v>
      </c>
      <c r="R848" s="139" t="s">
        <v>1171</v>
      </c>
      <c r="S848" s="15"/>
      <c r="T848" s="6">
        <v>0</v>
      </c>
      <c r="U848" s="6">
        <v>20000</v>
      </c>
      <c r="V848" s="6">
        <v>17058.2</v>
      </c>
      <c r="W848" s="18">
        <f t="shared" si="119"/>
        <v>2941.7999999999993</v>
      </c>
      <c r="X848" s="18">
        <f t="shared" ref="X848:X863" si="127">IF(P848="折扣",V848*Q848,IF(P848="返现",V848,V848/(1+Q848)))</f>
        <v>17058.2</v>
      </c>
      <c r="Y848" s="13">
        <f t="shared" si="122"/>
        <v>6841.1014757662724</v>
      </c>
      <c r="Z848" s="14">
        <v>0</v>
      </c>
      <c r="AA848" s="4">
        <v>0</v>
      </c>
      <c r="AB848" s="4">
        <f t="shared" si="123"/>
        <v>17058.2</v>
      </c>
      <c r="AC848" s="6">
        <f t="shared" si="124"/>
        <v>0</v>
      </c>
      <c r="AD848" s="6">
        <f t="shared" si="120"/>
        <v>10217.098524233728</v>
      </c>
      <c r="AE848" s="2">
        <v>7.0000000000000007E-2</v>
      </c>
      <c r="AF848" s="5">
        <f t="shared" si="125"/>
        <v>715.19689669636102</v>
      </c>
      <c r="AG848" s="14">
        <v>0</v>
      </c>
      <c r="AH848" s="19">
        <f t="shared" si="121"/>
        <v>17058.2</v>
      </c>
      <c r="AJ848" s="126" t="e">
        <v>#N/A</v>
      </c>
      <c r="AK848" s="80">
        <f t="shared" si="126"/>
        <v>0</v>
      </c>
      <c r="AM848" s="85"/>
    </row>
    <row r="849" spans="1:39" hidden="1" x14ac:dyDescent="0.3">
      <c r="A849" s="85" t="s">
        <v>34</v>
      </c>
      <c r="B849" s="15" t="s">
        <v>35</v>
      </c>
      <c r="C849" s="15" t="s">
        <v>36</v>
      </c>
      <c r="D849" s="15" t="s">
        <v>224</v>
      </c>
      <c r="E849" s="15" t="s">
        <v>1172</v>
      </c>
      <c r="F849" s="15" t="s">
        <v>1172</v>
      </c>
      <c r="G849" s="15" t="s">
        <v>1172</v>
      </c>
      <c r="H849" s="154"/>
      <c r="I849" s="15" t="s">
        <v>1060</v>
      </c>
      <c r="J849" s="1" t="s">
        <v>3325</v>
      </c>
      <c r="K849" s="1" t="s">
        <v>3279</v>
      </c>
      <c r="L849" s="1" t="s">
        <v>35</v>
      </c>
      <c r="M849" s="15" t="s">
        <v>1172</v>
      </c>
      <c r="N849" s="15"/>
      <c r="O849" s="8" t="s">
        <v>410</v>
      </c>
      <c r="P849" s="8" t="s">
        <v>41</v>
      </c>
      <c r="Q849" s="14">
        <v>0</v>
      </c>
      <c r="R849" s="139" t="s">
        <v>1173</v>
      </c>
      <c r="S849" s="15"/>
      <c r="T849" s="6">
        <v>0</v>
      </c>
      <c r="U849" s="6">
        <v>120000</v>
      </c>
      <c r="V849" s="6">
        <v>90698.9</v>
      </c>
      <c r="W849" s="18">
        <f t="shared" si="119"/>
        <v>29301.100000000006</v>
      </c>
      <c r="X849" s="18">
        <f t="shared" si="127"/>
        <v>90698.9</v>
      </c>
      <c r="Y849" s="13">
        <f t="shared" si="122"/>
        <v>36374.317257411538</v>
      </c>
      <c r="Z849" s="14">
        <v>0</v>
      </c>
      <c r="AA849" s="4">
        <v>0</v>
      </c>
      <c r="AB849" s="4">
        <f t="shared" si="123"/>
        <v>90698.9</v>
      </c>
      <c r="AC849" s="6">
        <f t="shared" si="124"/>
        <v>0</v>
      </c>
      <c r="AD849" s="6">
        <f t="shared" si="120"/>
        <v>54324.582742588456</v>
      </c>
      <c r="AE849" s="2">
        <v>7.0000000000000007E-2</v>
      </c>
      <c r="AF849" s="5">
        <f t="shared" si="125"/>
        <v>3802.7207919811922</v>
      </c>
      <c r="AG849" s="14">
        <v>0</v>
      </c>
      <c r="AH849" s="19">
        <f t="shared" si="121"/>
        <v>90698.9</v>
      </c>
      <c r="AJ849" s="126" t="e">
        <v>#N/A</v>
      </c>
      <c r="AK849" s="80">
        <f t="shared" si="126"/>
        <v>0</v>
      </c>
      <c r="AM849" s="85"/>
    </row>
    <row r="850" spans="1:39" hidden="1" x14ac:dyDescent="0.3">
      <c r="A850" s="85" t="s">
        <v>34</v>
      </c>
      <c r="B850" s="15" t="s">
        <v>35</v>
      </c>
      <c r="C850" s="15" t="s">
        <v>36</v>
      </c>
      <c r="D850" s="15" t="s">
        <v>224</v>
      </c>
      <c r="E850" s="15" t="s">
        <v>1174</v>
      </c>
      <c r="F850" s="15" t="s">
        <v>1175</v>
      </c>
      <c r="G850" s="15" t="s">
        <v>1174</v>
      </c>
      <c r="H850" s="154"/>
      <c r="I850" s="15" t="s">
        <v>1060</v>
      </c>
      <c r="J850" s="1" t="s">
        <v>3325</v>
      </c>
      <c r="K850" s="1" t="s">
        <v>3279</v>
      </c>
      <c r="L850" s="1" t="s">
        <v>35</v>
      </c>
      <c r="M850" s="15" t="s">
        <v>1176</v>
      </c>
      <c r="N850" s="15"/>
      <c r="O850" s="8" t="s">
        <v>410</v>
      </c>
      <c r="P850" s="8" t="s">
        <v>41</v>
      </c>
      <c r="Q850" s="14">
        <v>0</v>
      </c>
      <c r="R850" s="139" t="s">
        <v>1177</v>
      </c>
      <c r="S850" s="15"/>
      <c r="T850" s="6">
        <v>0</v>
      </c>
      <c r="U850" s="6">
        <v>20000</v>
      </c>
      <c r="V850" s="6">
        <v>19999.8</v>
      </c>
      <c r="W850" s="18">
        <f t="shared" si="119"/>
        <v>0.2000000000007276</v>
      </c>
      <c r="X850" s="18">
        <f t="shared" si="127"/>
        <v>19999.8</v>
      </c>
      <c r="Y850" s="13">
        <f t="shared" si="122"/>
        <v>8020.8146987976634</v>
      </c>
      <c r="Z850" s="14">
        <v>0</v>
      </c>
      <c r="AA850" s="4">
        <v>0</v>
      </c>
      <c r="AB850" s="4">
        <f t="shared" si="123"/>
        <v>19999.8</v>
      </c>
      <c r="AC850" s="6">
        <f t="shared" si="124"/>
        <v>0</v>
      </c>
      <c r="AD850" s="6">
        <f t="shared" si="120"/>
        <v>11978.985301202336</v>
      </c>
      <c r="AE850" s="2">
        <v>7.0000000000000007E-2</v>
      </c>
      <c r="AF850" s="5">
        <f t="shared" si="125"/>
        <v>838.52897108416357</v>
      </c>
      <c r="AG850" s="14">
        <v>0</v>
      </c>
      <c r="AH850" s="19">
        <f t="shared" si="121"/>
        <v>19999.8</v>
      </c>
      <c r="AJ850" s="126" t="s">
        <v>4221</v>
      </c>
      <c r="AK850" s="80">
        <f t="shared" si="126"/>
        <v>0</v>
      </c>
      <c r="AL850" s="150"/>
      <c r="AM850" s="85"/>
    </row>
    <row r="851" spans="1:39" hidden="1" x14ac:dyDescent="0.3">
      <c r="A851" s="85" t="s">
        <v>34</v>
      </c>
      <c r="B851" s="15" t="s">
        <v>35</v>
      </c>
      <c r="C851" s="15" t="s">
        <v>36</v>
      </c>
      <c r="D851" s="15" t="s">
        <v>224</v>
      </c>
      <c r="E851" s="15" t="s">
        <v>1174</v>
      </c>
      <c r="F851" s="15" t="s">
        <v>1175</v>
      </c>
      <c r="G851" s="15" t="s">
        <v>1174</v>
      </c>
      <c r="H851" s="154"/>
      <c r="I851" s="15" t="s">
        <v>1060</v>
      </c>
      <c r="J851" s="1" t="s">
        <v>3325</v>
      </c>
      <c r="K851" s="1" t="s">
        <v>3279</v>
      </c>
      <c r="L851" s="1" t="s">
        <v>35</v>
      </c>
      <c r="M851" s="15" t="s">
        <v>1174</v>
      </c>
      <c r="N851" s="15"/>
      <c r="O851" s="8" t="s">
        <v>410</v>
      </c>
      <c r="P851" s="8" t="s">
        <v>41</v>
      </c>
      <c r="Q851" s="14">
        <v>0</v>
      </c>
      <c r="R851" s="139" t="s">
        <v>1178</v>
      </c>
      <c r="S851" s="15"/>
      <c r="T851" s="6">
        <v>0</v>
      </c>
      <c r="U851" s="6">
        <v>30000</v>
      </c>
      <c r="V851" s="6">
        <v>29998.61</v>
      </c>
      <c r="W851" s="18">
        <f t="shared" si="119"/>
        <v>1.3899999999994179</v>
      </c>
      <c r="X851" s="18">
        <f t="shared" si="127"/>
        <v>29998.61</v>
      </c>
      <c r="Y851" s="13">
        <f t="shared" si="122"/>
        <v>12030.784909424023</v>
      </c>
      <c r="Z851" s="14">
        <v>0</v>
      </c>
      <c r="AA851" s="4">
        <v>0</v>
      </c>
      <c r="AB851" s="4">
        <f>X851+AA851-20000</f>
        <v>9998.61</v>
      </c>
      <c r="AC851" s="6">
        <f t="shared" si="124"/>
        <v>0</v>
      </c>
      <c r="AD851" s="6">
        <f t="shared" si="120"/>
        <v>17967.825090575978</v>
      </c>
      <c r="AE851" s="2">
        <v>7.0000000000000007E-2</v>
      </c>
      <c r="AF851" s="5">
        <f t="shared" si="125"/>
        <v>1257.7477563403186</v>
      </c>
      <c r="AG851" s="14">
        <v>0</v>
      </c>
      <c r="AH851" s="19">
        <f t="shared" si="121"/>
        <v>29998.61</v>
      </c>
      <c r="AJ851" s="126" t="s">
        <v>4221</v>
      </c>
      <c r="AK851" s="80">
        <f t="shared" si="126"/>
        <v>20000</v>
      </c>
      <c r="AL851" s="150"/>
      <c r="AM851" s="85"/>
    </row>
    <row r="852" spans="1:39" hidden="1" x14ac:dyDescent="0.3">
      <c r="A852" s="85" t="s">
        <v>34</v>
      </c>
      <c r="B852" s="15" t="s">
        <v>35</v>
      </c>
      <c r="C852" s="15" t="s">
        <v>36</v>
      </c>
      <c r="D852" s="15" t="s">
        <v>224</v>
      </c>
      <c r="E852" s="15" t="s">
        <v>1174</v>
      </c>
      <c r="F852" s="15" t="s">
        <v>1179</v>
      </c>
      <c r="G852" s="15" t="s">
        <v>1174</v>
      </c>
      <c r="H852" s="154"/>
      <c r="I852" s="15" t="s">
        <v>1060</v>
      </c>
      <c r="J852" s="1" t="s">
        <v>3325</v>
      </c>
      <c r="K852" s="1" t="s">
        <v>3279</v>
      </c>
      <c r="L852" s="1" t="s">
        <v>35</v>
      </c>
      <c r="M852" s="15" t="s">
        <v>1180</v>
      </c>
      <c r="N852" s="15"/>
      <c r="O852" s="8" t="s">
        <v>410</v>
      </c>
      <c r="P852" s="8" t="s">
        <v>41</v>
      </c>
      <c r="Q852" s="14">
        <v>0</v>
      </c>
      <c r="R852" s="139" t="s">
        <v>1181</v>
      </c>
      <c r="S852" s="15"/>
      <c r="T852" s="6">
        <v>0</v>
      </c>
      <c r="U852" s="6">
        <v>8068.7</v>
      </c>
      <c r="V852" s="6">
        <v>8068.7</v>
      </c>
      <c r="W852" s="18">
        <f t="shared" si="119"/>
        <v>0</v>
      </c>
      <c r="X852" s="18">
        <f t="shared" si="127"/>
        <v>8068.7</v>
      </c>
      <c r="Y852" s="13">
        <f t="shared" si="122"/>
        <v>3235.9097371068065</v>
      </c>
      <c r="Z852" s="14">
        <v>0</v>
      </c>
      <c r="AA852" s="4">
        <v>0</v>
      </c>
      <c r="AB852" s="4">
        <f t="shared" si="123"/>
        <v>8068.7</v>
      </c>
      <c r="AC852" s="6">
        <f t="shared" si="124"/>
        <v>0</v>
      </c>
      <c r="AD852" s="6">
        <f t="shared" si="120"/>
        <v>4832.7902628931934</v>
      </c>
      <c r="AE852" s="2">
        <v>7.0000000000000007E-2</v>
      </c>
      <c r="AF852" s="5">
        <f t="shared" si="125"/>
        <v>338.29531840252355</v>
      </c>
      <c r="AG852" s="14">
        <v>0</v>
      </c>
      <c r="AH852" s="19">
        <f t="shared" si="121"/>
        <v>8068.7</v>
      </c>
      <c r="AJ852" s="126" t="s">
        <v>4221</v>
      </c>
      <c r="AK852" s="80">
        <f t="shared" si="126"/>
        <v>0</v>
      </c>
      <c r="AL852" s="150"/>
      <c r="AM852" s="85"/>
    </row>
    <row r="853" spans="1:39" hidden="1" x14ac:dyDescent="0.3">
      <c r="A853" s="85" t="s">
        <v>34</v>
      </c>
      <c r="B853" s="15" t="s">
        <v>35</v>
      </c>
      <c r="C853" s="15" t="s">
        <v>36</v>
      </c>
      <c r="D853" s="15" t="s">
        <v>224</v>
      </c>
      <c r="E853" s="15" t="s">
        <v>1174</v>
      </c>
      <c r="F853" s="15" t="s">
        <v>1179</v>
      </c>
      <c r="G853" s="15" t="s">
        <v>1174</v>
      </c>
      <c r="H853" s="154"/>
      <c r="I853" s="15" t="s">
        <v>1060</v>
      </c>
      <c r="J853" s="1" t="s">
        <v>3325</v>
      </c>
      <c r="K853" s="1" t="s">
        <v>3279</v>
      </c>
      <c r="L853" s="1" t="s">
        <v>35</v>
      </c>
      <c r="M853" s="15" t="s">
        <v>1174</v>
      </c>
      <c r="N853" s="15"/>
      <c r="O853" s="8" t="s">
        <v>410</v>
      </c>
      <c r="P853" s="8" t="s">
        <v>41</v>
      </c>
      <c r="Q853" s="14">
        <v>0</v>
      </c>
      <c r="R853" s="139" t="s">
        <v>1182</v>
      </c>
      <c r="S853" s="15"/>
      <c r="T853" s="6">
        <v>0</v>
      </c>
      <c r="U853" s="6">
        <v>30000</v>
      </c>
      <c r="V853" s="6">
        <v>27320.9</v>
      </c>
      <c r="W853" s="18">
        <f t="shared" ref="W853:W916" si="128">T853+U853-V853</f>
        <v>2679.0999999999985</v>
      </c>
      <c r="X853" s="18">
        <f t="shared" si="127"/>
        <v>27320.9</v>
      </c>
      <c r="Y853" s="13">
        <f t="shared" si="122"/>
        <v>10956.903384252897</v>
      </c>
      <c r="Z853" s="14">
        <v>0</v>
      </c>
      <c r="AA853" s="4">
        <v>0</v>
      </c>
      <c r="AB853" s="4">
        <f t="shared" si="123"/>
        <v>27320.9</v>
      </c>
      <c r="AC853" s="6">
        <f t="shared" si="124"/>
        <v>0</v>
      </c>
      <c r="AD853" s="6">
        <f t="shared" ref="AD853:AD916" si="129">V853*0.598955254612663</f>
        <v>16363.996615747104</v>
      </c>
      <c r="AE853" s="2">
        <v>7.0000000000000007E-2</v>
      </c>
      <c r="AF853" s="5">
        <f t="shared" si="125"/>
        <v>1145.4797631022975</v>
      </c>
      <c r="AG853" s="14">
        <v>0</v>
      </c>
      <c r="AH853" s="19">
        <f t="shared" ref="AH853:AH916" si="130">V853</f>
        <v>27320.9</v>
      </c>
      <c r="AJ853" s="126" t="s">
        <v>4221</v>
      </c>
      <c r="AK853" s="80">
        <f t="shared" si="126"/>
        <v>0</v>
      </c>
      <c r="AL853" s="150"/>
      <c r="AM853" s="85"/>
    </row>
    <row r="854" spans="1:39" hidden="1" x14ac:dyDescent="0.3">
      <c r="A854" s="85" t="s">
        <v>34</v>
      </c>
      <c r="B854" s="15" t="s">
        <v>35</v>
      </c>
      <c r="C854" s="15" t="s">
        <v>36</v>
      </c>
      <c r="D854" s="15" t="s">
        <v>224</v>
      </c>
      <c r="E854" s="15" t="s">
        <v>1174</v>
      </c>
      <c r="F854" s="15" t="s">
        <v>1179</v>
      </c>
      <c r="G854" s="15" t="s">
        <v>1174</v>
      </c>
      <c r="H854" s="154"/>
      <c r="I854" s="15" t="s">
        <v>1060</v>
      </c>
      <c r="J854" s="1" t="s">
        <v>3325</v>
      </c>
      <c r="K854" s="1" t="s">
        <v>3279</v>
      </c>
      <c r="L854" s="1" t="s">
        <v>35</v>
      </c>
      <c r="M854" s="15" t="s">
        <v>1183</v>
      </c>
      <c r="N854" s="15"/>
      <c r="O854" s="8" t="s">
        <v>410</v>
      </c>
      <c r="P854" s="8" t="s">
        <v>41</v>
      </c>
      <c r="Q854" s="14">
        <v>0</v>
      </c>
      <c r="R854" s="139" t="s">
        <v>1184</v>
      </c>
      <c r="S854" s="15"/>
      <c r="T854" s="6">
        <v>0</v>
      </c>
      <c r="U854" s="6">
        <v>41931.300000000003</v>
      </c>
      <c r="V854" s="6">
        <v>39747.9</v>
      </c>
      <c r="W854" s="18">
        <f t="shared" si="128"/>
        <v>2183.4000000000015</v>
      </c>
      <c r="X854" s="18">
        <f t="shared" si="127"/>
        <v>39747.9</v>
      </c>
      <c r="Y854" s="13">
        <f t="shared" si="122"/>
        <v>15940.686435181335</v>
      </c>
      <c r="Z854" s="14">
        <v>0</v>
      </c>
      <c r="AA854" s="4">
        <v>0</v>
      </c>
      <c r="AB854" s="4">
        <f t="shared" si="123"/>
        <v>39747.9</v>
      </c>
      <c r="AC854" s="6">
        <f t="shared" si="124"/>
        <v>0</v>
      </c>
      <c r="AD854" s="6">
        <f t="shared" si="129"/>
        <v>23807.213564818667</v>
      </c>
      <c r="AE854" s="2">
        <v>7.0000000000000007E-2</v>
      </c>
      <c r="AF854" s="5">
        <f t="shared" si="125"/>
        <v>1666.5049495373069</v>
      </c>
      <c r="AG854" s="14">
        <v>0</v>
      </c>
      <c r="AH854" s="19">
        <f t="shared" si="130"/>
        <v>39747.9</v>
      </c>
      <c r="AJ854" s="126" t="s">
        <v>4221</v>
      </c>
      <c r="AK854" s="80">
        <f t="shared" si="126"/>
        <v>0</v>
      </c>
      <c r="AL854" s="150"/>
      <c r="AM854" s="85"/>
    </row>
    <row r="855" spans="1:39" hidden="1" x14ac:dyDescent="0.3">
      <c r="A855" s="85" t="s">
        <v>34</v>
      </c>
      <c r="B855" s="15" t="s">
        <v>35</v>
      </c>
      <c r="C855" s="15" t="s">
        <v>36</v>
      </c>
      <c r="D855" s="15" t="s">
        <v>224</v>
      </c>
      <c r="E855" s="15" t="s">
        <v>1185</v>
      </c>
      <c r="F855" s="15" t="s">
        <v>1185</v>
      </c>
      <c r="G855" s="15" t="s">
        <v>1185</v>
      </c>
      <c r="H855" s="154"/>
      <c r="I855" s="15" t="s">
        <v>1060</v>
      </c>
      <c r="J855" s="1" t="s">
        <v>3325</v>
      </c>
      <c r="K855" s="1" t="s">
        <v>3279</v>
      </c>
      <c r="L855" s="1" t="s">
        <v>35</v>
      </c>
      <c r="M855" s="15" t="s">
        <v>1185</v>
      </c>
      <c r="N855" s="15"/>
      <c r="O855" s="8" t="s">
        <v>410</v>
      </c>
      <c r="P855" s="8" t="s">
        <v>41</v>
      </c>
      <c r="Q855" s="14">
        <v>0</v>
      </c>
      <c r="R855" s="139" t="s">
        <v>1186</v>
      </c>
      <c r="S855" s="15"/>
      <c r="T855" s="6">
        <v>0</v>
      </c>
      <c r="U855" s="6">
        <v>39186.020000000004</v>
      </c>
      <c r="V855" s="6">
        <v>29245.42</v>
      </c>
      <c r="W855" s="18">
        <f t="shared" si="128"/>
        <v>9940.6000000000058</v>
      </c>
      <c r="X855" s="18">
        <f t="shared" si="127"/>
        <v>29245.42</v>
      </c>
      <c r="Y855" s="13">
        <f t="shared" si="122"/>
        <v>11728.722017645734</v>
      </c>
      <c r="Z855" s="14">
        <v>0</v>
      </c>
      <c r="AA855" s="4">
        <v>0</v>
      </c>
      <c r="AB855" s="4">
        <f t="shared" si="123"/>
        <v>29245.42</v>
      </c>
      <c r="AC855" s="6">
        <f t="shared" si="124"/>
        <v>0</v>
      </c>
      <c r="AD855" s="6">
        <f t="shared" si="129"/>
        <v>17516.697982354264</v>
      </c>
      <c r="AE855" s="2">
        <v>7.0000000000000007E-2</v>
      </c>
      <c r="AF855" s="5">
        <f t="shared" si="125"/>
        <v>1226.1688587647986</v>
      </c>
      <c r="AG855" s="14">
        <v>0</v>
      </c>
      <c r="AH855" s="19">
        <f t="shared" si="130"/>
        <v>29245.42</v>
      </c>
      <c r="AJ855" s="126" t="e">
        <v>#N/A</v>
      </c>
      <c r="AK855" s="80">
        <f t="shared" si="126"/>
        <v>0</v>
      </c>
      <c r="AM855" s="85"/>
    </row>
    <row r="856" spans="1:39" hidden="1" x14ac:dyDescent="0.3">
      <c r="A856" s="85" t="s">
        <v>34</v>
      </c>
      <c r="B856" s="15" t="s">
        <v>35</v>
      </c>
      <c r="C856" s="15" t="s">
        <v>36</v>
      </c>
      <c r="D856" s="15" t="s">
        <v>224</v>
      </c>
      <c r="E856" s="15" t="s">
        <v>1185</v>
      </c>
      <c r="F856" s="15" t="s">
        <v>1185</v>
      </c>
      <c r="G856" s="15" t="s">
        <v>1185</v>
      </c>
      <c r="H856" s="154"/>
      <c r="I856" s="15" t="s">
        <v>1060</v>
      </c>
      <c r="J856" s="1" t="s">
        <v>3325</v>
      </c>
      <c r="K856" s="1" t="s">
        <v>3279</v>
      </c>
      <c r="L856" s="1" t="s">
        <v>35</v>
      </c>
      <c r="M856" s="15" t="s">
        <v>1185</v>
      </c>
      <c r="N856" s="15"/>
      <c r="O856" s="8" t="s">
        <v>410</v>
      </c>
      <c r="P856" s="8" t="s">
        <v>46</v>
      </c>
      <c r="Q856" s="14">
        <v>0.02</v>
      </c>
      <c r="R856" s="139" t="s">
        <v>1186</v>
      </c>
      <c r="S856" s="15"/>
      <c r="T856" s="6">
        <v>9186.02</v>
      </c>
      <c r="U856" s="6">
        <v>-7769.74</v>
      </c>
      <c r="V856" s="6">
        <v>1416.2800000000007</v>
      </c>
      <c r="W856" s="18">
        <f t="shared" si="128"/>
        <v>0</v>
      </c>
      <c r="X856" s="18">
        <f t="shared" si="127"/>
        <v>1388.5098039215693</v>
      </c>
      <c r="Y856" s="13">
        <f t="shared" si="122"/>
        <v>540.22145591874664</v>
      </c>
      <c r="Z856" s="14">
        <v>0</v>
      </c>
      <c r="AA856" s="4">
        <v>0</v>
      </c>
      <c r="AB856" s="4">
        <f t="shared" si="123"/>
        <v>1388.5098039215693</v>
      </c>
      <c r="AC856" s="6">
        <f t="shared" si="124"/>
        <v>27.770196078431354</v>
      </c>
      <c r="AD856" s="6">
        <f t="shared" si="129"/>
        <v>848.28834800282266</v>
      </c>
      <c r="AE856" s="2">
        <v>7.0000000000000007E-2</v>
      </c>
      <c r="AF856" s="5">
        <f t="shared" si="125"/>
        <v>59.380184360197589</v>
      </c>
      <c r="AG856" s="14">
        <v>0</v>
      </c>
      <c r="AH856" s="19">
        <f t="shared" si="130"/>
        <v>1416.2800000000007</v>
      </c>
      <c r="AJ856" s="126" t="e">
        <v>#N/A</v>
      </c>
      <c r="AK856" s="80">
        <f t="shared" si="126"/>
        <v>0</v>
      </c>
      <c r="AM856" s="85"/>
    </row>
    <row r="857" spans="1:39" hidden="1" x14ac:dyDescent="0.3">
      <c r="A857" s="85" t="s">
        <v>34</v>
      </c>
      <c r="B857" s="15" t="s">
        <v>35</v>
      </c>
      <c r="C857" s="15" t="s">
        <v>36</v>
      </c>
      <c r="D857" s="15" t="s">
        <v>224</v>
      </c>
      <c r="E857" s="15" t="s">
        <v>1187</v>
      </c>
      <c r="F857" s="15" t="s">
        <v>1187</v>
      </c>
      <c r="G857" s="15" t="s">
        <v>1187</v>
      </c>
      <c r="H857" s="154"/>
      <c r="I857" s="15" t="s">
        <v>1060</v>
      </c>
      <c r="J857" s="1" t="s">
        <v>3325</v>
      </c>
      <c r="K857" s="1" t="s">
        <v>3279</v>
      </c>
      <c r="L857" s="1" t="s">
        <v>35</v>
      </c>
      <c r="M857" s="15" t="s">
        <v>1188</v>
      </c>
      <c r="N857" s="15"/>
      <c r="O857" s="8" t="s">
        <v>410</v>
      </c>
      <c r="P857" s="8" t="s">
        <v>41</v>
      </c>
      <c r="Q857" s="14">
        <v>0</v>
      </c>
      <c r="R857" s="139" t="s">
        <v>1189</v>
      </c>
      <c r="S857" s="15"/>
      <c r="T857" s="6">
        <v>0</v>
      </c>
      <c r="U857" s="6">
        <v>50000</v>
      </c>
      <c r="V857" s="6">
        <v>46506.2</v>
      </c>
      <c r="W857" s="18">
        <f t="shared" si="128"/>
        <v>3493.8000000000029</v>
      </c>
      <c r="X857" s="18">
        <f t="shared" si="127"/>
        <v>46506.2</v>
      </c>
      <c r="Y857" s="13">
        <f t="shared" si="122"/>
        <v>18651.067137932572</v>
      </c>
      <c r="Z857" s="14">
        <v>0</v>
      </c>
      <c r="AA857" s="4">
        <v>0</v>
      </c>
      <c r="AB857" s="4">
        <f t="shared" si="123"/>
        <v>46506.2</v>
      </c>
      <c r="AC857" s="6">
        <f t="shared" si="124"/>
        <v>0</v>
      </c>
      <c r="AD857" s="6">
        <f t="shared" si="129"/>
        <v>27855.132862067425</v>
      </c>
      <c r="AE857" s="2">
        <v>7.0000000000000007E-2</v>
      </c>
      <c r="AF857" s="5">
        <f t="shared" si="125"/>
        <v>1949.8593003447199</v>
      </c>
      <c r="AG857" s="14">
        <v>0</v>
      </c>
      <c r="AH857" s="19">
        <f t="shared" si="130"/>
        <v>46506.2</v>
      </c>
      <c r="AJ857" s="126" t="e">
        <v>#N/A</v>
      </c>
      <c r="AK857" s="80">
        <f t="shared" si="126"/>
        <v>0</v>
      </c>
      <c r="AM857" s="85"/>
    </row>
    <row r="858" spans="1:39" hidden="1" x14ac:dyDescent="0.3">
      <c r="A858" s="85" t="s">
        <v>34</v>
      </c>
      <c r="B858" s="15" t="s">
        <v>35</v>
      </c>
      <c r="C858" s="15" t="s">
        <v>36</v>
      </c>
      <c r="D858" s="15" t="s">
        <v>224</v>
      </c>
      <c r="E858" s="15" t="s">
        <v>1190</v>
      </c>
      <c r="F858" s="15" t="s">
        <v>1190</v>
      </c>
      <c r="G858" s="15" t="s">
        <v>1190</v>
      </c>
      <c r="H858" s="154"/>
      <c r="I858" s="15" t="s">
        <v>1060</v>
      </c>
      <c r="J858" s="1" t="s">
        <v>3325</v>
      </c>
      <c r="K858" s="1" t="s">
        <v>3279</v>
      </c>
      <c r="L858" s="1" t="s">
        <v>35</v>
      </c>
      <c r="M858" s="15" t="s">
        <v>1190</v>
      </c>
      <c r="N858" s="15"/>
      <c r="O858" s="8" t="s">
        <v>410</v>
      </c>
      <c r="P858" s="8" t="s">
        <v>41</v>
      </c>
      <c r="Q858" s="14">
        <v>0</v>
      </c>
      <c r="R858" s="139" t="s">
        <v>1191</v>
      </c>
      <c r="S858" s="15"/>
      <c r="T858" s="6">
        <v>0</v>
      </c>
      <c r="U858" s="6">
        <v>60000</v>
      </c>
      <c r="V858" s="6">
        <v>45479.3</v>
      </c>
      <c r="W858" s="18">
        <f t="shared" si="128"/>
        <v>14520.699999999997</v>
      </c>
      <c r="X858" s="18">
        <f t="shared" si="127"/>
        <v>45479.3</v>
      </c>
      <c r="Y858" s="13">
        <f t="shared" si="122"/>
        <v>18239.234288894317</v>
      </c>
      <c r="Z858" s="14">
        <v>0</v>
      </c>
      <c r="AA858" s="4">
        <v>0</v>
      </c>
      <c r="AB858" s="4">
        <f t="shared" si="123"/>
        <v>45479.3</v>
      </c>
      <c r="AC858" s="6">
        <f t="shared" si="124"/>
        <v>0</v>
      </c>
      <c r="AD858" s="6">
        <f t="shared" si="129"/>
        <v>27240.065711105686</v>
      </c>
      <c r="AE858" s="2">
        <v>7.0000000000000007E-2</v>
      </c>
      <c r="AF858" s="5">
        <f t="shared" si="125"/>
        <v>1906.8045997773982</v>
      </c>
      <c r="AG858" s="14">
        <v>0</v>
      </c>
      <c r="AH858" s="19">
        <f t="shared" si="130"/>
        <v>45479.3</v>
      </c>
      <c r="AJ858" s="126" t="e">
        <v>#N/A</v>
      </c>
      <c r="AK858" s="80">
        <f t="shared" si="126"/>
        <v>0</v>
      </c>
      <c r="AM858" s="85"/>
    </row>
    <row r="859" spans="1:39" hidden="1" x14ac:dyDescent="0.3">
      <c r="A859" s="85" t="s">
        <v>34</v>
      </c>
      <c r="B859" s="15" t="s">
        <v>35</v>
      </c>
      <c r="C859" s="15" t="s">
        <v>36</v>
      </c>
      <c r="D859" s="15" t="s">
        <v>224</v>
      </c>
      <c r="E859" s="15" t="s">
        <v>1192</v>
      </c>
      <c r="F859" s="15" t="s">
        <v>1192</v>
      </c>
      <c r="G859" s="15" t="s">
        <v>1192</v>
      </c>
      <c r="H859" s="139"/>
      <c r="I859" s="15" t="s">
        <v>1060</v>
      </c>
      <c r="J859" s="1" t="s">
        <v>3325</v>
      </c>
      <c r="K859" s="1" t="s">
        <v>3279</v>
      </c>
      <c r="L859" s="1" t="s">
        <v>35</v>
      </c>
      <c r="M859" s="15" t="s">
        <v>1192</v>
      </c>
      <c r="N859" s="15"/>
      <c r="O859" s="8" t="s">
        <v>410</v>
      </c>
      <c r="P859" s="8" t="s">
        <v>46</v>
      </c>
      <c r="Q859" s="14">
        <v>0.04</v>
      </c>
      <c r="R859" s="139" t="s">
        <v>1193</v>
      </c>
      <c r="S859" s="15"/>
      <c r="T859" s="6">
        <v>0</v>
      </c>
      <c r="U859" s="6">
        <v>0</v>
      </c>
      <c r="V859" s="6">
        <v>0</v>
      </c>
      <c r="W859" s="18">
        <f t="shared" si="128"/>
        <v>0</v>
      </c>
      <c r="X859" s="18">
        <f t="shared" si="127"/>
        <v>0</v>
      </c>
      <c r="Y859" s="13">
        <f t="shared" si="122"/>
        <v>0</v>
      </c>
      <c r="Z859" s="14">
        <v>0</v>
      </c>
      <c r="AA859" s="4">
        <v>0</v>
      </c>
      <c r="AB859" s="4">
        <f t="shared" si="123"/>
        <v>0</v>
      </c>
      <c r="AC859" s="6">
        <f t="shared" si="124"/>
        <v>0</v>
      </c>
      <c r="AD859" s="6">
        <f t="shared" si="129"/>
        <v>0</v>
      </c>
      <c r="AE859" s="2">
        <v>7.0000000000000007E-2</v>
      </c>
      <c r="AF859" s="5">
        <f t="shared" si="125"/>
        <v>0</v>
      </c>
      <c r="AG859" s="14">
        <v>0</v>
      </c>
      <c r="AH859" s="19">
        <f t="shared" si="130"/>
        <v>0</v>
      </c>
      <c r="AJ859" s="126" t="e">
        <v>#N/A</v>
      </c>
      <c r="AK859" s="80">
        <f t="shared" si="126"/>
        <v>0</v>
      </c>
      <c r="AM859" s="85"/>
    </row>
    <row r="860" spans="1:39" hidden="1" x14ac:dyDescent="0.3">
      <c r="A860" s="85" t="s">
        <v>34</v>
      </c>
      <c r="B860" s="15" t="s">
        <v>35</v>
      </c>
      <c r="C860" s="15" t="s">
        <v>36</v>
      </c>
      <c r="D860" s="15" t="s">
        <v>54</v>
      </c>
      <c r="E860" s="15" t="s">
        <v>1069</v>
      </c>
      <c r="F860" s="15" t="s">
        <v>1194</v>
      </c>
      <c r="G860" s="15" t="s">
        <v>1069</v>
      </c>
      <c r="H860" s="139"/>
      <c r="I860" s="15" t="s">
        <v>1060</v>
      </c>
      <c r="J860" s="1" t="s">
        <v>3325</v>
      </c>
      <c r="K860" s="1" t="s">
        <v>3279</v>
      </c>
      <c r="L860" s="1" t="s">
        <v>35</v>
      </c>
      <c r="M860" s="15" t="s">
        <v>1195</v>
      </c>
      <c r="N860" s="15"/>
      <c r="O860" s="8" t="s">
        <v>1196</v>
      </c>
      <c r="P860" s="8" t="s">
        <v>46</v>
      </c>
      <c r="Q860" s="14">
        <v>0.04</v>
      </c>
      <c r="R860" s="139" t="s">
        <v>1197</v>
      </c>
      <c r="S860" s="15"/>
      <c r="T860" s="6">
        <v>0</v>
      </c>
      <c r="U860" s="6">
        <v>10000</v>
      </c>
      <c r="V860" s="6">
        <v>0</v>
      </c>
      <c r="W860" s="18">
        <f t="shared" si="128"/>
        <v>10000</v>
      </c>
      <c r="X860" s="18">
        <f t="shared" si="127"/>
        <v>0</v>
      </c>
      <c r="Y860" s="13">
        <f t="shared" si="122"/>
        <v>0</v>
      </c>
      <c r="Z860" s="14">
        <v>0</v>
      </c>
      <c r="AA860" s="4">
        <v>0</v>
      </c>
      <c r="AB860" s="4">
        <f t="shared" si="123"/>
        <v>0</v>
      </c>
      <c r="AC860" s="6">
        <f t="shared" si="124"/>
        <v>0</v>
      </c>
      <c r="AD860" s="6">
        <f t="shared" si="129"/>
        <v>0</v>
      </c>
      <c r="AE860" s="2">
        <v>0.12</v>
      </c>
      <c r="AF860" s="5">
        <f t="shared" si="125"/>
        <v>0</v>
      </c>
      <c r="AG860" s="14">
        <v>0</v>
      </c>
      <c r="AH860" s="19">
        <f t="shared" si="130"/>
        <v>0</v>
      </c>
      <c r="AJ860" s="126" t="e">
        <v>#N/A</v>
      </c>
      <c r="AK860" s="80">
        <f t="shared" si="126"/>
        <v>0</v>
      </c>
      <c r="AM860" s="85"/>
    </row>
    <row r="861" spans="1:39" hidden="1" x14ac:dyDescent="0.3">
      <c r="A861" s="85" t="s">
        <v>34</v>
      </c>
      <c r="B861" s="15" t="s">
        <v>35</v>
      </c>
      <c r="C861" s="15" t="s">
        <v>36</v>
      </c>
      <c r="D861" s="15" t="s">
        <v>54</v>
      </c>
      <c r="E861" s="15" t="s">
        <v>1069</v>
      </c>
      <c r="F861" s="15" t="s">
        <v>1194</v>
      </c>
      <c r="G861" s="15" t="s">
        <v>1069</v>
      </c>
      <c r="H861" s="154"/>
      <c r="I861" s="15" t="s">
        <v>1060</v>
      </c>
      <c r="J861" s="1" t="s">
        <v>3325</v>
      </c>
      <c r="K861" s="1" t="s">
        <v>3279</v>
      </c>
      <c r="L861" s="1" t="s">
        <v>35</v>
      </c>
      <c r="M861" s="15" t="s">
        <v>1195</v>
      </c>
      <c r="N861" s="15"/>
      <c r="O861" s="8" t="s">
        <v>1196</v>
      </c>
      <c r="P861" s="8" t="s">
        <v>46</v>
      </c>
      <c r="Q861" s="14">
        <v>0.04</v>
      </c>
      <c r="R861" s="139" t="s">
        <v>1198</v>
      </c>
      <c r="S861" s="15"/>
      <c r="T861" s="6">
        <v>0</v>
      </c>
      <c r="U861" s="6">
        <v>127000</v>
      </c>
      <c r="V861" s="6">
        <v>14056.133610000001</v>
      </c>
      <c r="W861" s="18">
        <f t="shared" si="128"/>
        <v>112943.86639</v>
      </c>
      <c r="X861" s="18">
        <f t="shared" si="127"/>
        <v>13515.513086538462</v>
      </c>
      <c r="Y861" s="13">
        <f t="shared" si="122"/>
        <v>5096.5180012913024</v>
      </c>
      <c r="Z861" s="14">
        <v>0</v>
      </c>
      <c r="AA861" s="4">
        <v>0</v>
      </c>
      <c r="AB861" s="4">
        <f t="shared" si="123"/>
        <v>13515.513086538462</v>
      </c>
      <c r="AC861" s="6">
        <f t="shared" si="124"/>
        <v>540.62052346153905</v>
      </c>
      <c r="AD861" s="6">
        <f t="shared" si="129"/>
        <v>8418.9950852471593</v>
      </c>
      <c r="AE861" s="2">
        <v>0.12</v>
      </c>
      <c r="AF861" s="5">
        <f t="shared" si="125"/>
        <v>1010.2794102296591</v>
      </c>
      <c r="AG861" s="14">
        <v>0</v>
      </c>
      <c r="AH861" s="19">
        <f t="shared" si="130"/>
        <v>14056.133610000001</v>
      </c>
      <c r="AJ861" s="126" t="e">
        <v>#N/A</v>
      </c>
      <c r="AK861" s="80">
        <f t="shared" si="126"/>
        <v>0</v>
      </c>
      <c r="AM861" s="85"/>
    </row>
    <row r="862" spans="1:39" hidden="1" x14ac:dyDescent="0.3">
      <c r="A862" s="85" t="s">
        <v>34</v>
      </c>
      <c r="B862" s="15" t="s">
        <v>35</v>
      </c>
      <c r="C862" s="15" t="s">
        <v>36</v>
      </c>
      <c r="D862" s="15" t="s">
        <v>54</v>
      </c>
      <c r="E862" s="15" t="s">
        <v>1069</v>
      </c>
      <c r="F862" s="15" t="s">
        <v>1194</v>
      </c>
      <c r="G862" s="15" t="s">
        <v>1069</v>
      </c>
      <c r="H862" s="154"/>
      <c r="I862" s="15" t="s">
        <v>1060</v>
      </c>
      <c r="J862" s="1" t="s">
        <v>3325</v>
      </c>
      <c r="K862" s="1" t="s">
        <v>3279</v>
      </c>
      <c r="L862" s="1" t="s">
        <v>35</v>
      </c>
      <c r="M862" s="15" t="s">
        <v>1195</v>
      </c>
      <c r="N862" s="15"/>
      <c r="O862" s="8" t="s">
        <v>410</v>
      </c>
      <c r="P862" s="8" t="s">
        <v>46</v>
      </c>
      <c r="Q862" s="14">
        <v>0.03</v>
      </c>
      <c r="R862" s="139" t="s">
        <v>1199</v>
      </c>
      <c r="S862" s="15"/>
      <c r="T862" s="6">
        <v>0</v>
      </c>
      <c r="U862" s="6">
        <v>63000</v>
      </c>
      <c r="V862" s="6">
        <v>25420.400000000001</v>
      </c>
      <c r="W862" s="18">
        <f t="shared" si="128"/>
        <v>37579.599999999999</v>
      </c>
      <c r="X862" s="18">
        <f t="shared" si="127"/>
        <v>24680</v>
      </c>
      <c r="Y862" s="13">
        <f t="shared" si="122"/>
        <v>9454.317845644262</v>
      </c>
      <c r="Z862" s="14">
        <v>0</v>
      </c>
      <c r="AA862" s="4">
        <v>0</v>
      </c>
      <c r="AB862" s="4">
        <f t="shared" si="123"/>
        <v>24680</v>
      </c>
      <c r="AC862" s="6">
        <f t="shared" si="124"/>
        <v>740.40000000000146</v>
      </c>
      <c r="AD862" s="6">
        <f t="shared" si="129"/>
        <v>15225.682154355738</v>
      </c>
      <c r="AE862" s="2">
        <v>7.0000000000000007E-2</v>
      </c>
      <c r="AF862" s="5">
        <f t="shared" si="125"/>
        <v>1065.7977508049019</v>
      </c>
      <c r="AG862" s="14">
        <v>0</v>
      </c>
      <c r="AH862" s="19">
        <f t="shared" si="130"/>
        <v>25420.400000000001</v>
      </c>
      <c r="AJ862" s="126" t="e">
        <v>#N/A</v>
      </c>
      <c r="AK862" s="80">
        <f t="shared" si="126"/>
        <v>0</v>
      </c>
      <c r="AM862" s="85"/>
    </row>
    <row r="863" spans="1:39" hidden="1" x14ac:dyDescent="0.3">
      <c r="A863" s="85" t="s">
        <v>34</v>
      </c>
      <c r="B863" s="15" t="s">
        <v>35</v>
      </c>
      <c r="C863" s="15" t="s">
        <v>36</v>
      </c>
      <c r="D863" s="15" t="s">
        <v>54</v>
      </c>
      <c r="E863" s="15" t="s">
        <v>1200</v>
      </c>
      <c r="F863" s="15" t="s">
        <v>1201</v>
      </c>
      <c r="G863" s="15" t="s">
        <v>1200</v>
      </c>
      <c r="H863" s="154"/>
      <c r="I863" s="15" t="s">
        <v>1060</v>
      </c>
      <c r="J863" s="1" t="s">
        <v>3325</v>
      </c>
      <c r="K863" s="1" t="s">
        <v>3279</v>
      </c>
      <c r="L863" s="1" t="s">
        <v>35</v>
      </c>
      <c r="M863" s="15" t="s">
        <v>1200</v>
      </c>
      <c r="N863" s="15"/>
      <c r="O863" s="8" t="s">
        <v>410</v>
      </c>
      <c r="P863" s="8" t="s">
        <v>41</v>
      </c>
      <c r="Q863" s="14">
        <v>0</v>
      </c>
      <c r="R863" s="139" t="s">
        <v>1202</v>
      </c>
      <c r="S863" s="15"/>
      <c r="T863" s="6">
        <v>33636.289999999986</v>
      </c>
      <c r="U863" s="6">
        <v>91072.06</v>
      </c>
      <c r="V863" s="6">
        <v>99037.37</v>
      </c>
      <c r="W863" s="18">
        <f t="shared" si="128"/>
        <v>25670.979999999981</v>
      </c>
      <c r="X863" s="18">
        <f t="shared" si="127"/>
        <v>99037.37</v>
      </c>
      <c r="Y863" s="13">
        <f t="shared" si="122"/>
        <v>39718.41683548149</v>
      </c>
      <c r="Z863" s="14">
        <v>0</v>
      </c>
      <c r="AA863" s="4">
        <v>0</v>
      </c>
      <c r="AB863" s="4">
        <f t="shared" si="123"/>
        <v>99037.37</v>
      </c>
      <c r="AC863" s="6">
        <f t="shared" si="124"/>
        <v>0</v>
      </c>
      <c r="AD863" s="6">
        <f t="shared" si="129"/>
        <v>59318.953164518505</v>
      </c>
      <c r="AE863" s="2">
        <v>7.0000000000000007E-2</v>
      </c>
      <c r="AF863" s="5">
        <f t="shared" si="125"/>
        <v>4152.3267215162959</v>
      </c>
      <c r="AG863" s="14">
        <v>0</v>
      </c>
      <c r="AH863" s="19">
        <f t="shared" si="130"/>
        <v>99037.37</v>
      </c>
      <c r="AJ863" s="126" t="e">
        <v>#N/A</v>
      </c>
      <c r="AK863" s="80">
        <f t="shared" si="126"/>
        <v>0</v>
      </c>
      <c r="AM863" s="85"/>
    </row>
    <row r="864" spans="1:39" hidden="1" x14ac:dyDescent="0.3">
      <c r="A864" s="85" t="s">
        <v>34</v>
      </c>
      <c r="B864" s="15" t="s">
        <v>35</v>
      </c>
      <c r="C864" s="15" t="s">
        <v>36</v>
      </c>
      <c r="D864" s="15" t="s">
        <v>54</v>
      </c>
      <c r="E864" s="15" t="s">
        <v>1200</v>
      </c>
      <c r="F864" s="15" t="s">
        <v>1201</v>
      </c>
      <c r="G864" s="15" t="s">
        <v>1200</v>
      </c>
      <c r="H864" s="139"/>
      <c r="I864" s="15" t="s">
        <v>1060</v>
      </c>
      <c r="J864" s="1" t="s">
        <v>3325</v>
      </c>
      <c r="K864" s="1" t="s">
        <v>3279</v>
      </c>
      <c r="L864" s="1" t="s">
        <v>35</v>
      </c>
      <c r="M864" s="15" t="s">
        <v>1200</v>
      </c>
      <c r="N864" s="15"/>
      <c r="O864" s="8" t="s">
        <v>410</v>
      </c>
      <c r="P864" s="8" t="s">
        <v>46</v>
      </c>
      <c r="Q864" s="14">
        <v>0.02</v>
      </c>
      <c r="R864" s="139" t="s">
        <v>1202</v>
      </c>
      <c r="S864" s="15" t="s">
        <v>1203</v>
      </c>
      <c r="T864" s="6">
        <v>0</v>
      </c>
      <c r="U864" s="6">
        <v>27.61</v>
      </c>
      <c r="V864" s="6">
        <v>27.61</v>
      </c>
      <c r="W864" s="18">
        <f t="shared" si="128"/>
        <v>0</v>
      </c>
      <c r="X864" s="18">
        <v>0</v>
      </c>
      <c r="Y864" s="13">
        <f t="shared" si="122"/>
        <v>0</v>
      </c>
      <c r="Z864" s="14">
        <v>0</v>
      </c>
      <c r="AA864" s="4">
        <v>0</v>
      </c>
      <c r="AB864" s="4">
        <f t="shared" si="123"/>
        <v>0</v>
      </c>
      <c r="AC864" s="6">
        <f t="shared" si="124"/>
        <v>27.61</v>
      </c>
      <c r="AD864" s="6">
        <f t="shared" si="129"/>
        <v>16.537154579855624</v>
      </c>
      <c r="AE864" s="2">
        <v>7.0000000000000007E-2</v>
      </c>
      <c r="AF864" s="5">
        <f t="shared" si="125"/>
        <v>1.1576008205898938</v>
      </c>
      <c r="AG864" s="14">
        <v>0</v>
      </c>
      <c r="AH864" s="19">
        <f t="shared" si="130"/>
        <v>27.61</v>
      </c>
      <c r="AJ864" s="126" t="e">
        <v>#N/A</v>
      </c>
      <c r="AK864" s="80">
        <f t="shared" si="126"/>
        <v>0</v>
      </c>
      <c r="AM864" s="85"/>
    </row>
    <row r="865" spans="1:39" hidden="1" x14ac:dyDescent="0.3">
      <c r="A865" s="85" t="s">
        <v>34</v>
      </c>
      <c r="B865" s="15" t="s">
        <v>35</v>
      </c>
      <c r="C865" s="15" t="s">
        <v>36</v>
      </c>
      <c r="D865" s="15" t="s">
        <v>54</v>
      </c>
      <c r="E865" s="15" t="s">
        <v>1200</v>
      </c>
      <c r="F865" s="15" t="s">
        <v>1201</v>
      </c>
      <c r="G865" s="15" t="s">
        <v>1200</v>
      </c>
      <c r="H865" s="154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1200</v>
      </c>
      <c r="N865" s="15"/>
      <c r="O865" s="8" t="s">
        <v>1196</v>
      </c>
      <c r="P865" s="8" t="s">
        <v>41</v>
      </c>
      <c r="Q865" s="14">
        <v>0</v>
      </c>
      <c r="R865" s="139" t="s">
        <v>1202</v>
      </c>
      <c r="S865" s="15"/>
      <c r="T865" s="6">
        <v>1179.27</v>
      </c>
      <c r="U865" s="6">
        <v>-1179.27</v>
      </c>
      <c r="V865" s="6">
        <v>787.71024</v>
      </c>
      <c r="W865" s="18">
        <f t="shared" si="128"/>
        <v>-787.71024</v>
      </c>
      <c r="X865" s="18">
        <f t="shared" ref="X865:X887" si="131">IF(P865="折扣",V865*Q865,IF(P865="返现",V865,V865/(1+Q865)))</f>
        <v>787.71024</v>
      </c>
      <c r="Y865" s="13">
        <f t="shared" si="122"/>
        <v>315.90705263979817</v>
      </c>
      <c r="Z865" s="14">
        <v>0</v>
      </c>
      <c r="AA865" s="4">
        <v>0</v>
      </c>
      <c r="AB865" s="4">
        <f t="shared" si="123"/>
        <v>787.71024</v>
      </c>
      <c r="AC865" s="6">
        <f t="shared" si="124"/>
        <v>0</v>
      </c>
      <c r="AD865" s="6">
        <f t="shared" si="129"/>
        <v>471.80318736020183</v>
      </c>
      <c r="AE865" s="2">
        <v>0.12</v>
      </c>
      <c r="AF865" s="5">
        <f t="shared" si="125"/>
        <v>56.616382483224221</v>
      </c>
      <c r="AG865" s="14">
        <v>0</v>
      </c>
      <c r="AH865" s="19">
        <f t="shared" si="130"/>
        <v>787.71024</v>
      </c>
      <c r="AJ865" s="126" t="e">
        <v>#N/A</v>
      </c>
      <c r="AK865" s="80">
        <f t="shared" si="126"/>
        <v>0</v>
      </c>
      <c r="AM865" s="85"/>
    </row>
    <row r="866" spans="1:39" hidden="1" x14ac:dyDescent="0.3">
      <c r="A866" s="85" t="s">
        <v>34</v>
      </c>
      <c r="B866" s="15" t="s">
        <v>35</v>
      </c>
      <c r="C866" s="15" t="s">
        <v>36</v>
      </c>
      <c r="D866" s="15" t="s">
        <v>54</v>
      </c>
      <c r="E866" s="15" t="s">
        <v>1200</v>
      </c>
      <c r="F866" s="15" t="s">
        <v>1201</v>
      </c>
      <c r="G866" s="15" t="s">
        <v>1200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1200</v>
      </c>
      <c r="N866" s="15"/>
      <c r="O866" s="8" t="s">
        <v>410</v>
      </c>
      <c r="P866" s="8" t="s">
        <v>46</v>
      </c>
      <c r="Q866" s="14">
        <v>0.02</v>
      </c>
      <c r="R866" s="139" t="s">
        <v>1202</v>
      </c>
      <c r="S866" s="15"/>
      <c r="T866" s="6">
        <v>0</v>
      </c>
      <c r="U866" s="6">
        <v>309.72000000000003</v>
      </c>
      <c r="V866" s="6">
        <v>309.72000000000003</v>
      </c>
      <c r="W866" s="18">
        <f t="shared" si="128"/>
        <v>0</v>
      </c>
      <c r="X866" s="18">
        <f t="shared" si="131"/>
        <v>303.64705882352945</v>
      </c>
      <c r="Y866" s="13">
        <f t="shared" si="122"/>
        <v>118.13863736489546</v>
      </c>
      <c r="Z866" s="14">
        <v>0</v>
      </c>
      <c r="AA866" s="4">
        <v>0</v>
      </c>
      <c r="AB866" s="4">
        <f t="shared" si="123"/>
        <v>303.64705882352945</v>
      </c>
      <c r="AC866" s="6">
        <f t="shared" si="124"/>
        <v>6.0729411764705787</v>
      </c>
      <c r="AD866" s="6">
        <f t="shared" si="129"/>
        <v>185.50842145863399</v>
      </c>
      <c r="AE866" s="2">
        <v>7.0000000000000007E-2</v>
      </c>
      <c r="AF866" s="5">
        <f t="shared" si="125"/>
        <v>12.98558950210438</v>
      </c>
      <c r="AG866" s="14">
        <v>0</v>
      </c>
      <c r="AH866" s="19">
        <f t="shared" si="130"/>
        <v>309.72000000000003</v>
      </c>
      <c r="AJ866" s="126" t="e">
        <v>#N/A</v>
      </c>
      <c r="AK866" s="80">
        <f t="shared" si="126"/>
        <v>0</v>
      </c>
      <c r="AM866" s="85"/>
    </row>
    <row r="867" spans="1:39" hidden="1" x14ac:dyDescent="0.3">
      <c r="A867" s="85" t="s">
        <v>34</v>
      </c>
      <c r="B867" s="15" t="s">
        <v>35</v>
      </c>
      <c r="C867" s="15" t="s">
        <v>36</v>
      </c>
      <c r="D867" s="15" t="s">
        <v>54</v>
      </c>
      <c r="E867" s="15" t="s">
        <v>1204</v>
      </c>
      <c r="F867" s="15" t="s">
        <v>1204</v>
      </c>
      <c r="G867" s="15" t="s">
        <v>1204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1204</v>
      </c>
      <c r="N867" s="15"/>
      <c r="O867" s="8" t="s">
        <v>410</v>
      </c>
      <c r="P867" s="8" t="s">
        <v>41</v>
      </c>
      <c r="Q867" s="14">
        <v>0</v>
      </c>
      <c r="R867" s="139" t="s">
        <v>1205</v>
      </c>
      <c r="S867" s="15"/>
      <c r="T867" s="6">
        <v>7968.6</v>
      </c>
      <c r="U867" s="6">
        <v>20000</v>
      </c>
      <c r="V867" s="6">
        <v>19555.7</v>
      </c>
      <c r="W867" s="18">
        <f t="shared" si="128"/>
        <v>8412.8999999999978</v>
      </c>
      <c r="X867" s="18">
        <f t="shared" si="131"/>
        <v>19555.7</v>
      </c>
      <c r="Y867" s="13">
        <f t="shared" si="122"/>
        <v>7842.7107273711463</v>
      </c>
      <c r="Z867" s="14">
        <v>0</v>
      </c>
      <c r="AA867" s="4">
        <v>0</v>
      </c>
      <c r="AB867" s="4">
        <f t="shared" si="123"/>
        <v>19555.7</v>
      </c>
      <c r="AC867" s="6">
        <f t="shared" si="124"/>
        <v>0</v>
      </c>
      <c r="AD867" s="6">
        <f t="shared" si="129"/>
        <v>11712.989272628854</v>
      </c>
      <c r="AE867" s="2">
        <v>7.0000000000000007E-2</v>
      </c>
      <c r="AF867" s="5">
        <f t="shared" si="125"/>
        <v>819.90924908401985</v>
      </c>
      <c r="AG867" s="14">
        <v>0</v>
      </c>
      <c r="AH867" s="19">
        <f t="shared" si="130"/>
        <v>19555.7</v>
      </c>
      <c r="AJ867" s="126" t="e">
        <v>#N/A</v>
      </c>
      <c r="AK867" s="80">
        <f t="shared" si="126"/>
        <v>0</v>
      </c>
      <c r="AM867" s="85"/>
    </row>
    <row r="868" spans="1:39" hidden="1" x14ac:dyDescent="0.3">
      <c r="A868" s="85" t="s">
        <v>34</v>
      </c>
      <c r="B868" s="15" t="s">
        <v>35</v>
      </c>
      <c r="C868" s="15" t="s">
        <v>36</v>
      </c>
      <c r="D868" s="15" t="s">
        <v>54</v>
      </c>
      <c r="E868" s="15" t="s">
        <v>1206</v>
      </c>
      <c r="F868" s="15" t="s">
        <v>1207</v>
      </c>
      <c r="G868" s="15" t="s">
        <v>1206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1208</v>
      </c>
      <c r="N868" s="15"/>
      <c r="O868" s="8" t="s">
        <v>410</v>
      </c>
      <c r="P868" s="8" t="s">
        <v>46</v>
      </c>
      <c r="Q868" s="14">
        <v>0.02</v>
      </c>
      <c r="R868" s="139" t="s">
        <v>1209</v>
      </c>
      <c r="S868" s="15"/>
      <c r="T868" s="6">
        <v>0</v>
      </c>
      <c r="U868" s="6">
        <v>100000</v>
      </c>
      <c r="V868" s="6">
        <v>61180.7</v>
      </c>
      <c r="W868" s="18">
        <f t="shared" si="128"/>
        <v>38819.300000000003</v>
      </c>
      <c r="X868" s="18">
        <f t="shared" si="131"/>
        <v>59981.078431372545</v>
      </c>
      <c r="Y868" s="13">
        <f t="shared" si="122"/>
        <v>23336.5766854916</v>
      </c>
      <c r="Z868" s="14">
        <v>0</v>
      </c>
      <c r="AA868" s="4">
        <v>0</v>
      </c>
      <c r="AB868" s="4">
        <f t="shared" si="123"/>
        <v>59981.078431372545</v>
      </c>
      <c r="AC868" s="6">
        <f t="shared" si="124"/>
        <v>1199.6215686274518</v>
      </c>
      <c r="AD868" s="6">
        <f t="shared" si="129"/>
        <v>36644.501745880945</v>
      </c>
      <c r="AE868" s="2">
        <v>7.0000000000000007E-2</v>
      </c>
      <c r="AF868" s="5">
        <f t="shared" si="125"/>
        <v>2565.1151222116664</v>
      </c>
      <c r="AG868" s="14">
        <v>0</v>
      </c>
      <c r="AH868" s="19">
        <f t="shared" si="130"/>
        <v>61180.7</v>
      </c>
      <c r="AJ868" s="126" t="e">
        <v>#N/A</v>
      </c>
      <c r="AK868" s="80">
        <f t="shared" si="126"/>
        <v>0</v>
      </c>
      <c r="AM868" s="85"/>
    </row>
    <row r="869" spans="1:39" hidden="1" x14ac:dyDescent="0.3">
      <c r="A869" s="85" t="s">
        <v>34</v>
      </c>
      <c r="B869" s="15" t="s">
        <v>35</v>
      </c>
      <c r="C869" s="15" t="s">
        <v>36</v>
      </c>
      <c r="D869" s="15" t="s">
        <v>54</v>
      </c>
      <c r="E869" s="15" t="s">
        <v>1210</v>
      </c>
      <c r="F869" s="15" t="s">
        <v>1210</v>
      </c>
      <c r="G869" s="15" t="s">
        <v>1210</v>
      </c>
      <c r="H869" s="139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1211</v>
      </c>
      <c r="N869" s="15"/>
      <c r="O869" s="8" t="s">
        <v>1196</v>
      </c>
      <c r="P869" s="8" t="s">
        <v>46</v>
      </c>
      <c r="Q869" s="14">
        <v>0.02</v>
      </c>
      <c r="R869" s="139" t="s">
        <v>1212</v>
      </c>
      <c r="S869" s="15"/>
      <c r="T869" s="6">
        <v>0</v>
      </c>
      <c r="U869" s="6">
        <v>-0.01</v>
      </c>
      <c r="V869" s="6">
        <v>0</v>
      </c>
      <c r="W869" s="18">
        <f t="shared" si="128"/>
        <v>-0.01</v>
      </c>
      <c r="X869" s="18">
        <f t="shared" si="131"/>
        <v>0</v>
      </c>
      <c r="Y869" s="13">
        <f t="shared" si="122"/>
        <v>0</v>
      </c>
      <c r="Z869" s="14">
        <v>0</v>
      </c>
      <c r="AA869" s="4">
        <v>0</v>
      </c>
      <c r="AB869" s="4">
        <f t="shared" si="123"/>
        <v>0</v>
      </c>
      <c r="AC869" s="6">
        <f t="shared" si="124"/>
        <v>0</v>
      </c>
      <c r="AD869" s="6">
        <f t="shared" si="129"/>
        <v>0</v>
      </c>
      <c r="AE869" s="2">
        <v>0.12</v>
      </c>
      <c r="AF869" s="5">
        <f t="shared" si="125"/>
        <v>0</v>
      </c>
      <c r="AG869" s="14">
        <v>0</v>
      </c>
      <c r="AH869" s="19">
        <f t="shared" si="130"/>
        <v>0</v>
      </c>
      <c r="AJ869" s="126" t="e">
        <v>#N/A</v>
      </c>
      <c r="AK869" s="80">
        <f t="shared" si="126"/>
        <v>0</v>
      </c>
      <c r="AM869" s="85"/>
    </row>
    <row r="870" spans="1:39" hidden="1" x14ac:dyDescent="0.3">
      <c r="A870" s="85" t="s">
        <v>34</v>
      </c>
      <c r="B870" s="15" t="s">
        <v>35</v>
      </c>
      <c r="C870" s="15" t="s">
        <v>36</v>
      </c>
      <c r="D870" s="15" t="s">
        <v>54</v>
      </c>
      <c r="E870" s="15" t="s">
        <v>1213</v>
      </c>
      <c r="F870" s="15" t="s">
        <v>1213</v>
      </c>
      <c r="G870" s="15" t="s">
        <v>1213</v>
      </c>
      <c r="H870" s="139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1213</v>
      </c>
      <c r="N870" s="15"/>
      <c r="O870" s="8" t="s">
        <v>1196</v>
      </c>
      <c r="P870" s="8" t="s">
        <v>46</v>
      </c>
      <c r="Q870" s="14">
        <v>0.08</v>
      </c>
      <c r="R870" s="139" t="s">
        <v>1214</v>
      </c>
      <c r="S870" s="15"/>
      <c r="T870" s="6">
        <v>0</v>
      </c>
      <c r="U870" s="6">
        <v>0</v>
      </c>
      <c r="V870" s="6">
        <v>0</v>
      </c>
      <c r="W870" s="18">
        <f t="shared" si="128"/>
        <v>0</v>
      </c>
      <c r="X870" s="18">
        <f t="shared" si="131"/>
        <v>0</v>
      </c>
      <c r="Y870" s="13">
        <f t="shared" si="122"/>
        <v>0</v>
      </c>
      <c r="Z870" s="14">
        <v>0</v>
      </c>
      <c r="AA870" s="4">
        <v>0</v>
      </c>
      <c r="AB870" s="4">
        <f t="shared" si="123"/>
        <v>0</v>
      </c>
      <c r="AC870" s="6">
        <f t="shared" si="124"/>
        <v>0</v>
      </c>
      <c r="AD870" s="6">
        <f t="shared" si="129"/>
        <v>0</v>
      </c>
      <c r="AE870" s="2">
        <v>0.12</v>
      </c>
      <c r="AF870" s="5">
        <f t="shared" si="125"/>
        <v>0</v>
      </c>
      <c r="AG870" s="14">
        <v>0</v>
      </c>
      <c r="AH870" s="19">
        <f t="shared" si="130"/>
        <v>0</v>
      </c>
      <c r="AJ870" s="126" t="e">
        <v>#N/A</v>
      </c>
      <c r="AK870" s="80">
        <f t="shared" si="126"/>
        <v>0</v>
      </c>
      <c r="AM870" s="85"/>
    </row>
    <row r="871" spans="1:39" hidden="1" x14ac:dyDescent="0.3">
      <c r="A871" s="85" t="s">
        <v>34</v>
      </c>
      <c r="B871" s="15" t="s">
        <v>35</v>
      </c>
      <c r="C871" s="15" t="s">
        <v>36</v>
      </c>
      <c r="D871" s="15" t="s">
        <v>54</v>
      </c>
      <c r="E871" s="15" t="s">
        <v>1215</v>
      </c>
      <c r="F871" s="15" t="s">
        <v>1215</v>
      </c>
      <c r="G871" s="15" t="s">
        <v>1215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1215</v>
      </c>
      <c r="N871" s="15"/>
      <c r="O871" s="8" t="s">
        <v>410</v>
      </c>
      <c r="P871" s="8" t="s">
        <v>41</v>
      </c>
      <c r="Q871" s="14">
        <v>0</v>
      </c>
      <c r="R871" s="139" t="s">
        <v>1216</v>
      </c>
      <c r="S871" s="15"/>
      <c r="T871" s="6">
        <v>8993.7999999999993</v>
      </c>
      <c r="U871" s="6">
        <v>10000</v>
      </c>
      <c r="V871" s="6">
        <v>18988</v>
      </c>
      <c r="W871" s="18">
        <f t="shared" si="128"/>
        <v>5.7999999999992724</v>
      </c>
      <c r="X871" s="18">
        <f t="shared" si="131"/>
        <v>18988</v>
      </c>
      <c r="Y871" s="13">
        <f t="shared" si="122"/>
        <v>7615.0376254147559</v>
      </c>
      <c r="Z871" s="14">
        <v>0</v>
      </c>
      <c r="AA871" s="4">
        <v>0</v>
      </c>
      <c r="AB871" s="4">
        <f t="shared" si="123"/>
        <v>18988</v>
      </c>
      <c r="AC871" s="6">
        <f t="shared" si="124"/>
        <v>0</v>
      </c>
      <c r="AD871" s="6">
        <f t="shared" si="129"/>
        <v>11372.962374585244</v>
      </c>
      <c r="AE871" s="2">
        <v>7.0000000000000007E-2</v>
      </c>
      <c r="AF871" s="5">
        <f t="shared" si="125"/>
        <v>796.10736622096715</v>
      </c>
      <c r="AG871" s="14">
        <v>0</v>
      </c>
      <c r="AH871" s="19">
        <f t="shared" si="130"/>
        <v>18988</v>
      </c>
      <c r="AJ871" s="126" t="e">
        <v>#N/A</v>
      </c>
      <c r="AK871" s="80">
        <f t="shared" si="126"/>
        <v>0</v>
      </c>
      <c r="AM871" s="85"/>
    </row>
    <row r="872" spans="1:39" hidden="1" x14ac:dyDescent="0.3">
      <c r="A872" s="85" t="s">
        <v>34</v>
      </c>
      <c r="B872" s="15" t="s">
        <v>35</v>
      </c>
      <c r="C872" s="15" t="s">
        <v>36</v>
      </c>
      <c r="D872" s="15" t="s">
        <v>37</v>
      </c>
      <c r="E872" s="15" t="s">
        <v>285</v>
      </c>
      <c r="F872" s="15" t="s">
        <v>460</v>
      </c>
      <c r="G872" s="15" t="s">
        <v>285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1217</v>
      </c>
      <c r="N872" s="15"/>
      <c r="O872" s="8" t="s">
        <v>410</v>
      </c>
      <c r="P872" s="8" t="s">
        <v>41</v>
      </c>
      <c r="Q872" s="14">
        <v>0</v>
      </c>
      <c r="R872" s="139" t="s">
        <v>1218</v>
      </c>
      <c r="S872" s="15"/>
      <c r="T872" s="6">
        <v>0</v>
      </c>
      <c r="U872" s="6">
        <v>25000</v>
      </c>
      <c r="V872" s="6">
        <v>24999.7</v>
      </c>
      <c r="W872" s="18">
        <f t="shared" si="128"/>
        <v>0.2999999999992724</v>
      </c>
      <c r="X872" s="18">
        <f t="shared" si="131"/>
        <v>24999.7</v>
      </c>
      <c r="Y872" s="13">
        <f t="shared" si="122"/>
        <v>10025.998321259809</v>
      </c>
      <c r="Z872" s="14">
        <v>0</v>
      </c>
      <c r="AA872" s="4">
        <v>0</v>
      </c>
      <c r="AB872" s="4">
        <f t="shared" si="123"/>
        <v>24999.7</v>
      </c>
      <c r="AC872" s="6">
        <f t="shared" si="124"/>
        <v>0</v>
      </c>
      <c r="AD872" s="6">
        <f t="shared" si="129"/>
        <v>14973.701678740192</v>
      </c>
      <c r="AE872" s="2">
        <v>7.0000000000000007E-2</v>
      </c>
      <c r="AF872" s="5">
        <f t="shared" si="125"/>
        <v>1048.1591175118135</v>
      </c>
      <c r="AG872" s="14">
        <v>0</v>
      </c>
      <c r="AH872" s="19">
        <f t="shared" si="130"/>
        <v>24999.7</v>
      </c>
      <c r="AJ872" s="126" t="e">
        <v>#N/A</v>
      </c>
      <c r="AK872" s="80">
        <f t="shared" si="126"/>
        <v>0</v>
      </c>
      <c r="AM872" s="85"/>
    </row>
    <row r="873" spans="1:39" hidden="1" x14ac:dyDescent="0.3">
      <c r="A873" s="85" t="s">
        <v>34</v>
      </c>
      <c r="B873" s="15" t="s">
        <v>35</v>
      </c>
      <c r="C873" s="15" t="s">
        <v>36</v>
      </c>
      <c r="D873" s="15" t="s">
        <v>37</v>
      </c>
      <c r="E873" s="15" t="s">
        <v>285</v>
      </c>
      <c r="F873" s="15" t="s">
        <v>460</v>
      </c>
      <c r="G873" s="15" t="s">
        <v>285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1219</v>
      </c>
      <c r="N873" s="15"/>
      <c r="O873" s="8" t="s">
        <v>410</v>
      </c>
      <c r="P873" s="8" t="s">
        <v>41</v>
      </c>
      <c r="Q873" s="14">
        <v>0</v>
      </c>
      <c r="R873" s="139" t="s">
        <v>1220</v>
      </c>
      <c r="S873" s="15"/>
      <c r="T873" s="6">
        <v>27661.599999999991</v>
      </c>
      <c r="U873" s="6">
        <v>80000</v>
      </c>
      <c r="V873" s="6">
        <v>51165.5</v>
      </c>
      <c r="W873" s="18">
        <f t="shared" si="128"/>
        <v>56496.099999999991</v>
      </c>
      <c r="X873" s="18">
        <f t="shared" si="131"/>
        <v>51165.5</v>
      </c>
      <c r="Y873" s="13">
        <f t="shared" si="122"/>
        <v>20519.654920115794</v>
      </c>
      <c r="Z873" s="14">
        <v>0</v>
      </c>
      <c r="AA873" s="4">
        <v>0</v>
      </c>
      <c r="AB873" s="4">
        <f t="shared" si="123"/>
        <v>51165.5</v>
      </c>
      <c r="AC873" s="6">
        <f t="shared" si="124"/>
        <v>0</v>
      </c>
      <c r="AD873" s="6">
        <f t="shared" si="129"/>
        <v>30645.845079884206</v>
      </c>
      <c r="AE873" s="2">
        <v>7.0000000000000007E-2</v>
      </c>
      <c r="AF873" s="5">
        <f t="shared" si="125"/>
        <v>2145.2091555918946</v>
      </c>
      <c r="AG873" s="14">
        <v>0</v>
      </c>
      <c r="AH873" s="19">
        <f t="shared" si="130"/>
        <v>51165.5</v>
      </c>
      <c r="AJ873" s="126" t="e">
        <v>#N/A</v>
      </c>
      <c r="AK873" s="80">
        <f t="shared" si="126"/>
        <v>0</v>
      </c>
      <c r="AM873" s="85"/>
    </row>
    <row r="874" spans="1:39" hidden="1" x14ac:dyDescent="0.3">
      <c r="A874" s="85" t="s">
        <v>34</v>
      </c>
      <c r="B874" s="15" t="s">
        <v>35</v>
      </c>
      <c r="C874" s="15" t="s">
        <v>36</v>
      </c>
      <c r="D874" s="15" t="s">
        <v>37</v>
      </c>
      <c r="E874" s="15" t="s">
        <v>1221</v>
      </c>
      <c r="F874" s="15" t="s">
        <v>1221</v>
      </c>
      <c r="G874" s="15" t="s">
        <v>1221</v>
      </c>
      <c r="H874" s="154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1221</v>
      </c>
      <c r="N874" s="15"/>
      <c r="O874" s="8" t="s">
        <v>410</v>
      </c>
      <c r="P874" s="8" t="s">
        <v>41</v>
      </c>
      <c r="Q874" s="14">
        <v>0</v>
      </c>
      <c r="R874" s="139" t="s">
        <v>1222</v>
      </c>
      <c r="S874" s="15"/>
      <c r="T874" s="6">
        <v>0</v>
      </c>
      <c r="U874" s="6">
        <v>300000</v>
      </c>
      <c r="V874" s="6">
        <v>127600.8</v>
      </c>
      <c r="W874" s="18">
        <f t="shared" si="128"/>
        <v>172399.2</v>
      </c>
      <c r="X874" s="18">
        <f t="shared" si="131"/>
        <v>127600.8</v>
      </c>
      <c r="Y874" s="13">
        <f t="shared" si="122"/>
        <v>51173.630347220518</v>
      </c>
      <c r="Z874" s="14">
        <v>0</v>
      </c>
      <c r="AA874" s="4">
        <v>0</v>
      </c>
      <c r="AB874" s="4">
        <f t="shared" si="123"/>
        <v>127600.8</v>
      </c>
      <c r="AC874" s="6">
        <f t="shared" si="124"/>
        <v>0</v>
      </c>
      <c r="AD874" s="6">
        <f t="shared" si="129"/>
        <v>76427.169652779485</v>
      </c>
      <c r="AE874" s="2">
        <v>7.0000000000000007E-2</v>
      </c>
      <c r="AF874" s="5">
        <f t="shared" si="125"/>
        <v>5349.9018756945643</v>
      </c>
      <c r="AG874" s="14">
        <v>0</v>
      </c>
      <c r="AH874" s="19">
        <f t="shared" si="130"/>
        <v>127600.8</v>
      </c>
      <c r="AJ874" s="126" t="e">
        <v>#N/A</v>
      </c>
      <c r="AK874" s="80">
        <f t="shared" si="126"/>
        <v>0</v>
      </c>
      <c r="AM874" s="85"/>
    </row>
    <row r="875" spans="1:39" hidden="1" x14ac:dyDescent="0.3">
      <c r="A875" s="85" t="s">
        <v>34</v>
      </c>
      <c r="B875" s="15" t="s">
        <v>35</v>
      </c>
      <c r="C875" s="15" t="s">
        <v>36</v>
      </c>
      <c r="D875" s="15" t="s">
        <v>37</v>
      </c>
      <c r="E875" s="15" t="s">
        <v>1223</v>
      </c>
      <c r="F875" s="15" t="s">
        <v>1223</v>
      </c>
      <c r="G875" s="15" t="s">
        <v>1223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1223</v>
      </c>
      <c r="N875" s="15"/>
      <c r="O875" s="8" t="s">
        <v>410</v>
      </c>
      <c r="P875" s="8" t="s">
        <v>41</v>
      </c>
      <c r="Q875" s="14">
        <v>0</v>
      </c>
      <c r="R875" s="139" t="s">
        <v>1224</v>
      </c>
      <c r="S875" s="15"/>
      <c r="T875" s="6">
        <v>0</v>
      </c>
      <c r="U875" s="6">
        <v>200000</v>
      </c>
      <c r="V875" s="6">
        <v>138089.9</v>
      </c>
      <c r="W875" s="18">
        <f t="shared" si="128"/>
        <v>61910.100000000006</v>
      </c>
      <c r="X875" s="18">
        <f t="shared" si="131"/>
        <v>138089.9</v>
      </c>
      <c r="Y875" s="13">
        <f t="shared" si="122"/>
        <v>55380.228786062828</v>
      </c>
      <c r="Z875" s="14">
        <v>0</v>
      </c>
      <c r="AA875" s="4">
        <v>0</v>
      </c>
      <c r="AB875" s="4">
        <f t="shared" si="123"/>
        <v>138089.9</v>
      </c>
      <c r="AC875" s="6">
        <f t="shared" si="124"/>
        <v>0</v>
      </c>
      <c r="AD875" s="6">
        <f t="shared" si="129"/>
        <v>82709.671213937167</v>
      </c>
      <c r="AE875" s="2">
        <v>7.0000000000000007E-2</v>
      </c>
      <c r="AF875" s="5">
        <f t="shared" si="125"/>
        <v>5789.676984975602</v>
      </c>
      <c r="AG875" s="14">
        <v>0</v>
      </c>
      <c r="AH875" s="19">
        <f t="shared" si="130"/>
        <v>138089.9</v>
      </c>
      <c r="AJ875" s="126" t="e">
        <v>#N/A</v>
      </c>
      <c r="AK875" s="80">
        <f t="shared" si="126"/>
        <v>0</v>
      </c>
      <c r="AM875" s="85"/>
    </row>
    <row r="876" spans="1:39" hidden="1" x14ac:dyDescent="0.3">
      <c r="A876" s="85" t="s">
        <v>34</v>
      </c>
      <c r="B876" s="15" t="s">
        <v>35</v>
      </c>
      <c r="C876" s="15" t="s">
        <v>36</v>
      </c>
      <c r="D876" s="15" t="s">
        <v>37</v>
      </c>
      <c r="E876" s="15" t="s">
        <v>1225</v>
      </c>
      <c r="F876" s="15" t="s">
        <v>1226</v>
      </c>
      <c r="G876" s="15" t="s">
        <v>1225</v>
      </c>
      <c r="H876" s="154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1225</v>
      </c>
      <c r="N876" s="15"/>
      <c r="O876" s="8" t="s">
        <v>410</v>
      </c>
      <c r="P876" s="8" t="s">
        <v>41</v>
      </c>
      <c r="Q876" s="14">
        <v>0</v>
      </c>
      <c r="R876" s="139" t="s">
        <v>1227</v>
      </c>
      <c r="S876" s="15"/>
      <c r="T876" s="6">
        <v>0</v>
      </c>
      <c r="U876" s="6">
        <v>400000</v>
      </c>
      <c r="V876" s="6">
        <v>340622.5</v>
      </c>
      <c r="W876" s="18">
        <f t="shared" si="128"/>
        <v>59377.5</v>
      </c>
      <c r="X876" s="18">
        <f t="shared" si="131"/>
        <v>340622.5</v>
      </c>
      <c r="Y876" s="13">
        <f t="shared" si="122"/>
        <v>136604.86378569819</v>
      </c>
      <c r="Z876" s="14">
        <v>0</v>
      </c>
      <c r="AA876" s="4">
        <v>0</v>
      </c>
      <c r="AB876" s="4">
        <f t="shared" si="123"/>
        <v>340622.5</v>
      </c>
      <c r="AC876" s="6">
        <f t="shared" si="124"/>
        <v>0</v>
      </c>
      <c r="AD876" s="6">
        <f t="shared" si="129"/>
        <v>204017.63621430181</v>
      </c>
      <c r="AE876" s="2">
        <v>7.0000000000000007E-2</v>
      </c>
      <c r="AF876" s="5">
        <f t="shared" si="125"/>
        <v>14281.234535001127</v>
      </c>
      <c r="AG876" s="14">
        <v>0</v>
      </c>
      <c r="AH876" s="19">
        <f t="shared" si="130"/>
        <v>340622.5</v>
      </c>
      <c r="AJ876" s="126" t="e">
        <v>#N/A</v>
      </c>
      <c r="AK876" s="80">
        <f t="shared" si="126"/>
        <v>0</v>
      </c>
      <c r="AM876" s="85"/>
    </row>
    <row r="877" spans="1:39" hidden="1" x14ac:dyDescent="0.3">
      <c r="A877" s="85" t="s">
        <v>34</v>
      </c>
      <c r="B877" s="15" t="s">
        <v>35</v>
      </c>
      <c r="C877" s="15" t="s">
        <v>65</v>
      </c>
      <c r="D877" s="15" t="s">
        <v>66</v>
      </c>
      <c r="E877" s="15" t="s">
        <v>1228</v>
      </c>
      <c r="F877" s="15" t="s">
        <v>1228</v>
      </c>
      <c r="G877" s="15" t="s">
        <v>1228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1228</v>
      </c>
      <c r="N877" s="15"/>
      <c r="O877" s="8" t="s">
        <v>410</v>
      </c>
      <c r="P877" s="8" t="s">
        <v>46</v>
      </c>
      <c r="Q877" s="14">
        <v>0.01</v>
      </c>
      <c r="R877" s="139" t="s">
        <v>1229</v>
      </c>
      <c r="S877" s="15"/>
      <c r="T877" s="6">
        <v>0</v>
      </c>
      <c r="U877" s="6">
        <v>500000</v>
      </c>
      <c r="V877" s="6">
        <v>435283.76500000001</v>
      </c>
      <c r="W877" s="18">
        <f t="shared" si="128"/>
        <v>64716.234999999986</v>
      </c>
      <c r="X877" s="18">
        <f t="shared" si="131"/>
        <v>430974.02475247526</v>
      </c>
      <c r="Y877" s="13">
        <f t="shared" si="122"/>
        <v>170258.52645814171</v>
      </c>
      <c r="Z877" s="14">
        <v>0</v>
      </c>
      <c r="AA877" s="4">
        <v>0</v>
      </c>
      <c r="AB877" s="4">
        <f t="shared" si="123"/>
        <v>430974.02475247526</v>
      </c>
      <c r="AC877" s="6">
        <f t="shared" si="124"/>
        <v>4309.7402475247509</v>
      </c>
      <c r="AD877" s="6">
        <f t="shared" si="129"/>
        <v>260715.49829433355</v>
      </c>
      <c r="AE877" s="2">
        <v>7.0000000000000007E-2</v>
      </c>
      <c r="AF877" s="5">
        <f t="shared" si="125"/>
        <v>18250.08488060335</v>
      </c>
      <c r="AG877" s="14">
        <v>0</v>
      </c>
      <c r="AH877" s="19">
        <f t="shared" si="130"/>
        <v>435283.76500000001</v>
      </c>
      <c r="AJ877" s="126" t="e">
        <v>#N/A</v>
      </c>
      <c r="AK877" s="80">
        <f t="shared" si="126"/>
        <v>0</v>
      </c>
      <c r="AM877" s="85"/>
    </row>
    <row r="878" spans="1:39" hidden="1" x14ac:dyDescent="0.3">
      <c r="A878" s="85" t="s">
        <v>34</v>
      </c>
      <c r="B878" s="15" t="s">
        <v>35</v>
      </c>
      <c r="C878" s="15" t="s">
        <v>65</v>
      </c>
      <c r="D878" s="15" t="s">
        <v>66</v>
      </c>
      <c r="E878" s="15" t="s">
        <v>491</v>
      </c>
      <c r="F878" s="15" t="s">
        <v>491</v>
      </c>
      <c r="G878" s="15" t="s">
        <v>491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491</v>
      </c>
      <c r="N878" s="15"/>
      <c r="O878" s="8" t="s">
        <v>410</v>
      </c>
      <c r="P878" s="8" t="s">
        <v>46</v>
      </c>
      <c r="Q878" s="14">
        <v>0.02</v>
      </c>
      <c r="R878" s="139" t="s">
        <v>1230</v>
      </c>
      <c r="S878" s="15"/>
      <c r="T878" s="6">
        <v>0</v>
      </c>
      <c r="U878" s="6">
        <v>100000</v>
      </c>
      <c r="V878" s="6">
        <v>56057.3</v>
      </c>
      <c r="W878" s="18">
        <f t="shared" si="128"/>
        <v>43942.7</v>
      </c>
      <c r="X878" s="18">
        <f t="shared" si="131"/>
        <v>54958.137254901965</v>
      </c>
      <c r="Y878" s="13">
        <f t="shared" si="122"/>
        <v>21382.322860503533</v>
      </c>
      <c r="Z878" s="14">
        <v>0</v>
      </c>
      <c r="AA878" s="4">
        <v>0</v>
      </c>
      <c r="AB878" s="4">
        <f t="shared" si="123"/>
        <v>54958.137254901965</v>
      </c>
      <c r="AC878" s="6">
        <f t="shared" si="124"/>
        <v>1099.1627450980377</v>
      </c>
      <c r="AD878" s="6">
        <f t="shared" si="129"/>
        <v>33575.814394398432</v>
      </c>
      <c r="AE878" s="2">
        <v>7.0000000000000007E-2</v>
      </c>
      <c r="AF878" s="5">
        <f t="shared" si="125"/>
        <v>2350.3070076078907</v>
      </c>
      <c r="AG878" s="14">
        <v>0</v>
      </c>
      <c r="AH878" s="19">
        <f t="shared" si="130"/>
        <v>56057.3</v>
      </c>
      <c r="AJ878" s="126" t="e">
        <v>#N/A</v>
      </c>
      <c r="AK878" s="80">
        <f t="shared" si="126"/>
        <v>0</v>
      </c>
      <c r="AM878" s="85"/>
    </row>
    <row r="879" spans="1:39" hidden="1" x14ac:dyDescent="0.3">
      <c r="A879" s="85" t="s">
        <v>34</v>
      </c>
      <c r="B879" s="15" t="s">
        <v>35</v>
      </c>
      <c r="C879" s="15" t="s">
        <v>65</v>
      </c>
      <c r="D879" s="15" t="s">
        <v>66</v>
      </c>
      <c r="E879" s="15" t="s">
        <v>499</v>
      </c>
      <c r="F879" s="15" t="s">
        <v>499</v>
      </c>
      <c r="G879" s="15" t="s">
        <v>499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499</v>
      </c>
      <c r="N879" s="15"/>
      <c r="O879" s="8" t="s">
        <v>410</v>
      </c>
      <c r="P879" s="8" t="s">
        <v>41</v>
      </c>
      <c r="Q879" s="14">
        <v>0</v>
      </c>
      <c r="R879" s="139" t="s">
        <v>1231</v>
      </c>
      <c r="S879" s="15"/>
      <c r="T879" s="6">
        <v>0</v>
      </c>
      <c r="U879" s="6">
        <v>40000</v>
      </c>
      <c r="V879" s="6">
        <v>37645.1</v>
      </c>
      <c r="W879" s="18">
        <f t="shared" si="128"/>
        <v>2354.9000000000015</v>
      </c>
      <c r="X879" s="18">
        <f t="shared" si="131"/>
        <v>37645.1</v>
      </c>
      <c r="Y879" s="13">
        <f t="shared" si="122"/>
        <v>15097.369544580841</v>
      </c>
      <c r="Z879" s="14">
        <v>0</v>
      </c>
      <c r="AA879" s="4">
        <v>0</v>
      </c>
      <c r="AB879" s="4">
        <f t="shared" si="123"/>
        <v>37645.1</v>
      </c>
      <c r="AC879" s="6">
        <f t="shared" si="124"/>
        <v>0</v>
      </c>
      <c r="AD879" s="6">
        <f t="shared" si="129"/>
        <v>22547.730455419158</v>
      </c>
      <c r="AE879" s="2">
        <v>7.0000000000000007E-2</v>
      </c>
      <c r="AF879" s="5">
        <f t="shared" si="125"/>
        <v>1578.3411318793412</v>
      </c>
      <c r="AG879" s="14">
        <v>0</v>
      </c>
      <c r="AH879" s="19">
        <f t="shared" si="130"/>
        <v>37645.1</v>
      </c>
      <c r="AJ879" s="126" t="e">
        <v>#N/A</v>
      </c>
      <c r="AK879" s="80">
        <f t="shared" si="126"/>
        <v>0</v>
      </c>
      <c r="AM879" s="85"/>
    </row>
    <row r="880" spans="1:39" hidden="1" x14ac:dyDescent="0.3">
      <c r="A880" s="85" t="s">
        <v>34</v>
      </c>
      <c r="B880" s="15" t="s">
        <v>35</v>
      </c>
      <c r="C880" s="15" t="s">
        <v>65</v>
      </c>
      <c r="D880" s="15" t="s">
        <v>66</v>
      </c>
      <c r="E880" s="15" t="s">
        <v>1232</v>
      </c>
      <c r="F880" s="15" t="s">
        <v>1232</v>
      </c>
      <c r="G880" s="15" t="s">
        <v>1232</v>
      </c>
      <c r="H880" s="139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1232</v>
      </c>
      <c r="N880" s="15"/>
      <c r="O880" s="8" t="s">
        <v>1196</v>
      </c>
      <c r="P880" s="8" t="s">
        <v>46</v>
      </c>
      <c r="Q880" s="14">
        <v>0.08</v>
      </c>
      <c r="R880" s="139" t="s">
        <v>1233</v>
      </c>
      <c r="S880" s="15"/>
      <c r="T880" s="6">
        <v>0</v>
      </c>
      <c r="U880" s="6">
        <v>0</v>
      </c>
      <c r="V880" s="6">
        <v>0</v>
      </c>
      <c r="W880" s="18">
        <f t="shared" si="128"/>
        <v>0</v>
      </c>
      <c r="X880" s="18">
        <f t="shared" si="131"/>
        <v>0</v>
      </c>
      <c r="Y880" s="13">
        <f t="shared" si="122"/>
        <v>0</v>
      </c>
      <c r="Z880" s="14">
        <v>0</v>
      </c>
      <c r="AA880" s="4">
        <v>0</v>
      </c>
      <c r="AB880" s="4">
        <f t="shared" si="123"/>
        <v>0</v>
      </c>
      <c r="AC880" s="6">
        <f t="shared" si="124"/>
        <v>0</v>
      </c>
      <c r="AD880" s="6">
        <f t="shared" si="129"/>
        <v>0</v>
      </c>
      <c r="AE880" s="2">
        <v>0.12</v>
      </c>
      <c r="AF880" s="5">
        <f t="shared" si="125"/>
        <v>0</v>
      </c>
      <c r="AG880" s="14">
        <v>0</v>
      </c>
      <c r="AH880" s="19">
        <f t="shared" si="130"/>
        <v>0</v>
      </c>
      <c r="AJ880" s="126" t="e">
        <v>#N/A</v>
      </c>
      <c r="AK880" s="80">
        <f t="shared" si="126"/>
        <v>0</v>
      </c>
      <c r="AM880" s="85"/>
    </row>
    <row r="881" spans="1:39" hidden="1" x14ac:dyDescent="0.3">
      <c r="A881" s="85" t="s">
        <v>34</v>
      </c>
      <c r="B881" s="15" t="s">
        <v>35</v>
      </c>
      <c r="C881" s="15" t="s">
        <v>65</v>
      </c>
      <c r="D881" s="15" t="s">
        <v>66</v>
      </c>
      <c r="E881" s="15" t="s">
        <v>1234</v>
      </c>
      <c r="F881" s="15" t="s">
        <v>1234</v>
      </c>
      <c r="G881" s="15" t="s">
        <v>1234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1235</v>
      </c>
      <c r="N881" s="15"/>
      <c r="O881" s="8" t="s">
        <v>410</v>
      </c>
      <c r="P881" s="8" t="s">
        <v>46</v>
      </c>
      <c r="Q881" s="14">
        <v>0.02</v>
      </c>
      <c r="R881" s="139" t="s">
        <v>1236</v>
      </c>
      <c r="S881" s="15"/>
      <c r="T881" s="6">
        <v>29323.8</v>
      </c>
      <c r="U881" s="6">
        <v>50000</v>
      </c>
      <c r="V881" s="6">
        <v>35671.199999999997</v>
      </c>
      <c r="W881" s="18">
        <f t="shared" si="128"/>
        <v>43652.600000000006</v>
      </c>
      <c r="X881" s="18">
        <f t="shared" si="131"/>
        <v>34971.76470588235</v>
      </c>
      <c r="Y881" s="13">
        <f t="shared" si="122"/>
        <v>13606.312027543128</v>
      </c>
      <c r="Z881" s="14">
        <v>0</v>
      </c>
      <c r="AA881" s="4">
        <v>0</v>
      </c>
      <c r="AB881" s="4">
        <f t="shared" si="123"/>
        <v>34971.76470588235</v>
      </c>
      <c r="AC881" s="6">
        <f t="shared" si="124"/>
        <v>699.43529411764757</v>
      </c>
      <c r="AD881" s="6">
        <f t="shared" si="129"/>
        <v>21365.452678339221</v>
      </c>
      <c r="AE881" s="2">
        <v>7.0000000000000007E-2</v>
      </c>
      <c r="AF881" s="5">
        <f t="shared" si="125"/>
        <v>1495.5816874837456</v>
      </c>
      <c r="AG881" s="14">
        <v>0</v>
      </c>
      <c r="AH881" s="19">
        <f t="shared" si="130"/>
        <v>35671.199999999997</v>
      </c>
      <c r="AJ881" s="126" t="e">
        <v>#N/A</v>
      </c>
      <c r="AK881" s="80">
        <f t="shared" si="126"/>
        <v>0</v>
      </c>
      <c r="AM881" s="85"/>
    </row>
    <row r="882" spans="1:39" hidden="1" x14ac:dyDescent="0.3">
      <c r="A882" s="85" t="s">
        <v>34</v>
      </c>
      <c r="B882" s="15" t="s">
        <v>35</v>
      </c>
      <c r="C882" s="15" t="s">
        <v>65</v>
      </c>
      <c r="D882" s="15" t="s">
        <v>66</v>
      </c>
      <c r="E882" s="15" t="s">
        <v>1234</v>
      </c>
      <c r="F882" s="15" t="s">
        <v>1234</v>
      </c>
      <c r="G882" s="15" t="s">
        <v>1234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1237</v>
      </c>
      <c r="N882" s="15"/>
      <c r="O882" s="8" t="s">
        <v>410</v>
      </c>
      <c r="P882" s="8" t="s">
        <v>46</v>
      </c>
      <c r="Q882" s="14">
        <v>0.02</v>
      </c>
      <c r="R882" s="139" t="s">
        <v>1238</v>
      </c>
      <c r="S882" s="15"/>
      <c r="T882" s="6">
        <v>26912.400000000001</v>
      </c>
      <c r="U882" s="6">
        <v>150000</v>
      </c>
      <c r="V882" s="6">
        <v>164831.5</v>
      </c>
      <c r="W882" s="18">
        <f t="shared" si="128"/>
        <v>12080.899999999994</v>
      </c>
      <c r="X882" s="18">
        <f t="shared" si="131"/>
        <v>161599.50980392157</v>
      </c>
      <c r="Y882" s="13">
        <f t="shared" si="122"/>
        <v>62872.816753234409</v>
      </c>
      <c r="Z882" s="14">
        <v>0</v>
      </c>
      <c r="AA882" s="4">
        <v>0</v>
      </c>
      <c r="AB882" s="4">
        <f t="shared" si="123"/>
        <v>161599.50980392157</v>
      </c>
      <c r="AC882" s="6">
        <f t="shared" si="124"/>
        <v>3231.9901960784337</v>
      </c>
      <c r="AD882" s="6">
        <f t="shared" si="129"/>
        <v>98726.693050687158</v>
      </c>
      <c r="AE882" s="2">
        <v>7.0000000000000007E-2</v>
      </c>
      <c r="AF882" s="5">
        <f t="shared" si="125"/>
        <v>6910.8685135481019</v>
      </c>
      <c r="AG882" s="14">
        <v>0</v>
      </c>
      <c r="AH882" s="19">
        <f t="shared" si="130"/>
        <v>164831.5</v>
      </c>
      <c r="AJ882" s="126" t="e">
        <v>#N/A</v>
      </c>
      <c r="AK882" s="80">
        <f t="shared" si="126"/>
        <v>0</v>
      </c>
      <c r="AM882" s="85"/>
    </row>
    <row r="883" spans="1:39" hidden="1" x14ac:dyDescent="0.3">
      <c r="A883" s="85" t="s">
        <v>34</v>
      </c>
      <c r="B883" s="15" t="s">
        <v>35</v>
      </c>
      <c r="C883" s="15" t="s">
        <v>65</v>
      </c>
      <c r="D883" s="15" t="s">
        <v>66</v>
      </c>
      <c r="E883" s="15" t="s">
        <v>1239</v>
      </c>
      <c r="F883" s="15" t="s">
        <v>1239</v>
      </c>
      <c r="G883" s="15" t="s">
        <v>1239</v>
      </c>
      <c r="H883" s="139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1239</v>
      </c>
      <c r="N883" s="15"/>
      <c r="O883" s="8" t="s">
        <v>410</v>
      </c>
      <c r="P883" s="8" t="s">
        <v>41</v>
      </c>
      <c r="Q883" s="14">
        <v>0</v>
      </c>
      <c r="R883" s="139" t="s">
        <v>1240</v>
      </c>
      <c r="S883" s="15"/>
      <c r="T883" s="6">
        <v>0</v>
      </c>
      <c r="U883" s="6">
        <v>10000</v>
      </c>
      <c r="V883" s="6">
        <v>0</v>
      </c>
      <c r="W883" s="18">
        <f t="shared" si="128"/>
        <v>10000</v>
      </c>
      <c r="X883" s="18">
        <f t="shared" si="131"/>
        <v>0</v>
      </c>
      <c r="Y883" s="13">
        <f t="shared" si="122"/>
        <v>0</v>
      </c>
      <c r="Z883" s="14">
        <v>0</v>
      </c>
      <c r="AA883" s="4">
        <v>0</v>
      </c>
      <c r="AB883" s="4">
        <f t="shared" si="123"/>
        <v>0</v>
      </c>
      <c r="AC883" s="6">
        <f t="shared" si="124"/>
        <v>0</v>
      </c>
      <c r="AD883" s="6">
        <f t="shared" si="129"/>
        <v>0</v>
      </c>
      <c r="AE883" s="2">
        <v>7.0000000000000007E-2</v>
      </c>
      <c r="AF883" s="5">
        <f t="shared" si="125"/>
        <v>0</v>
      </c>
      <c r="AG883" s="14">
        <v>0</v>
      </c>
      <c r="AH883" s="19">
        <f t="shared" si="130"/>
        <v>0</v>
      </c>
      <c r="AJ883" s="126" t="e">
        <v>#N/A</v>
      </c>
      <c r="AK883" s="80">
        <f t="shared" si="126"/>
        <v>0</v>
      </c>
      <c r="AM883" s="85"/>
    </row>
    <row r="884" spans="1:39" hidden="1" x14ac:dyDescent="0.3">
      <c r="A884" s="85" t="s">
        <v>34</v>
      </c>
      <c r="B884" s="15" t="s">
        <v>35</v>
      </c>
      <c r="C884" s="15" t="s">
        <v>65</v>
      </c>
      <c r="D884" s="15" t="s">
        <v>66</v>
      </c>
      <c r="E884" s="15" t="s">
        <v>1241</v>
      </c>
      <c r="F884" s="15" t="s">
        <v>1241</v>
      </c>
      <c r="G884" s="15" t="s">
        <v>1241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1241</v>
      </c>
      <c r="N884" s="15"/>
      <c r="O884" s="8" t="s">
        <v>410</v>
      </c>
      <c r="P884" s="8" t="s">
        <v>41</v>
      </c>
      <c r="Q884" s="14">
        <v>0</v>
      </c>
      <c r="R884" s="139" t="s">
        <v>1242</v>
      </c>
      <c r="S884" s="15"/>
      <c r="T884" s="6">
        <v>0</v>
      </c>
      <c r="U884" s="6">
        <v>60000</v>
      </c>
      <c r="V884" s="6">
        <v>22605.8</v>
      </c>
      <c r="W884" s="18">
        <f t="shared" si="128"/>
        <v>37394.199999999997</v>
      </c>
      <c r="X884" s="18">
        <f t="shared" si="131"/>
        <v>22605.8</v>
      </c>
      <c r="Y884" s="13">
        <f t="shared" si="122"/>
        <v>9065.9373052770625</v>
      </c>
      <c r="Z884" s="14">
        <v>0</v>
      </c>
      <c r="AA884" s="4">
        <v>0</v>
      </c>
      <c r="AB884" s="4">
        <f t="shared" si="123"/>
        <v>22605.8</v>
      </c>
      <c r="AC884" s="6">
        <f t="shared" si="124"/>
        <v>0</v>
      </c>
      <c r="AD884" s="6">
        <f t="shared" si="129"/>
        <v>13539.862694722937</v>
      </c>
      <c r="AE884" s="2">
        <v>7.0000000000000007E-2</v>
      </c>
      <c r="AF884" s="5">
        <f t="shared" si="125"/>
        <v>947.79038863060566</v>
      </c>
      <c r="AG884" s="14">
        <v>0</v>
      </c>
      <c r="AH884" s="19">
        <f t="shared" si="130"/>
        <v>22605.8</v>
      </c>
      <c r="AJ884" s="126" t="e">
        <v>#N/A</v>
      </c>
      <c r="AK884" s="80">
        <f t="shared" si="126"/>
        <v>0</v>
      </c>
      <c r="AM884" s="85"/>
    </row>
    <row r="885" spans="1:39" hidden="1" x14ac:dyDescent="0.3">
      <c r="A885" s="85" t="s">
        <v>34</v>
      </c>
      <c r="B885" s="15" t="s">
        <v>35</v>
      </c>
      <c r="C885" s="15" t="s">
        <v>65</v>
      </c>
      <c r="D885" s="15" t="s">
        <v>66</v>
      </c>
      <c r="E885" s="15" t="s">
        <v>1243</v>
      </c>
      <c r="F885" s="15" t="s">
        <v>1243</v>
      </c>
      <c r="G885" s="15" t="s">
        <v>1243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1243</v>
      </c>
      <c r="N885" s="15"/>
      <c r="O885" s="8" t="s">
        <v>410</v>
      </c>
      <c r="P885" s="8" t="s">
        <v>41</v>
      </c>
      <c r="Q885" s="14">
        <v>0</v>
      </c>
      <c r="R885" s="139" t="s">
        <v>1244</v>
      </c>
      <c r="S885" s="15"/>
      <c r="T885" s="6">
        <v>0</v>
      </c>
      <c r="U885" s="6">
        <v>2000</v>
      </c>
      <c r="V885" s="6">
        <v>1543.5</v>
      </c>
      <c r="W885" s="18">
        <f t="shared" si="128"/>
        <v>456.5</v>
      </c>
      <c r="X885" s="18">
        <f t="shared" si="131"/>
        <v>1543.5</v>
      </c>
      <c r="Y885" s="13">
        <f t="shared" si="122"/>
        <v>619.0125645053547</v>
      </c>
      <c r="Z885" s="14">
        <v>0</v>
      </c>
      <c r="AA885" s="4">
        <v>0</v>
      </c>
      <c r="AB885" s="4">
        <f t="shared" si="123"/>
        <v>1543.5</v>
      </c>
      <c r="AC885" s="6">
        <f t="shared" si="124"/>
        <v>0</v>
      </c>
      <c r="AD885" s="6">
        <f t="shared" si="129"/>
        <v>924.4874354946453</v>
      </c>
      <c r="AE885" s="2">
        <v>7.0000000000000007E-2</v>
      </c>
      <c r="AF885" s="5">
        <f t="shared" si="125"/>
        <v>64.714120484625184</v>
      </c>
      <c r="AG885" s="14">
        <v>0</v>
      </c>
      <c r="AH885" s="19">
        <f t="shared" si="130"/>
        <v>1543.5</v>
      </c>
      <c r="AJ885" s="126" t="e">
        <v>#N/A</v>
      </c>
      <c r="AK885" s="80">
        <f t="shared" si="126"/>
        <v>0</v>
      </c>
      <c r="AM885" s="85"/>
    </row>
    <row r="886" spans="1:39" hidden="1" x14ac:dyDescent="0.3">
      <c r="A886" s="85" t="s">
        <v>34</v>
      </c>
      <c r="B886" s="15" t="s">
        <v>35</v>
      </c>
      <c r="C886" s="15" t="s">
        <v>65</v>
      </c>
      <c r="D886" s="15" t="s">
        <v>122</v>
      </c>
      <c r="E886" s="15" t="s">
        <v>1245</v>
      </c>
      <c r="F886" s="15" t="s">
        <v>1245</v>
      </c>
      <c r="G886" s="15" t="s">
        <v>1246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1245</v>
      </c>
      <c r="N886" s="15"/>
      <c r="O886" s="8" t="s">
        <v>410</v>
      </c>
      <c r="P886" s="8" t="s">
        <v>41</v>
      </c>
      <c r="Q886" s="14">
        <v>0</v>
      </c>
      <c r="R886" s="139" t="s">
        <v>1247</v>
      </c>
      <c r="S886" s="15"/>
      <c r="T886" s="6">
        <v>0</v>
      </c>
      <c r="U886" s="6">
        <v>50000</v>
      </c>
      <c r="V886" s="6">
        <v>48203.8</v>
      </c>
      <c r="W886" s="18">
        <f t="shared" si="128"/>
        <v>1796.1999999999971</v>
      </c>
      <c r="X886" s="18">
        <f t="shared" si="131"/>
        <v>48203.8</v>
      </c>
      <c r="Y886" s="13">
        <f t="shared" si="122"/>
        <v>19331.88069770212</v>
      </c>
      <c r="Z886" s="14">
        <v>0</v>
      </c>
      <c r="AA886" s="4">
        <v>0</v>
      </c>
      <c r="AB886" s="4">
        <f t="shared" si="123"/>
        <v>48203.8</v>
      </c>
      <c r="AC886" s="6">
        <f t="shared" si="124"/>
        <v>0</v>
      </c>
      <c r="AD886" s="6">
        <f t="shared" si="129"/>
        <v>28871.919302297883</v>
      </c>
      <c r="AE886" s="2">
        <v>7.0000000000000007E-2</v>
      </c>
      <c r="AF886" s="5">
        <f t="shared" si="125"/>
        <v>2021.0343511608521</v>
      </c>
      <c r="AG886" s="14">
        <v>0</v>
      </c>
      <c r="AH886" s="19">
        <f t="shared" si="130"/>
        <v>48203.8</v>
      </c>
      <c r="AJ886" s="126" t="e">
        <v>#N/A</v>
      </c>
      <c r="AK886" s="80">
        <f t="shared" si="126"/>
        <v>0</v>
      </c>
      <c r="AM886" s="85"/>
    </row>
    <row r="887" spans="1:39" hidden="1" x14ac:dyDescent="0.3">
      <c r="A887" s="85" t="s">
        <v>34</v>
      </c>
      <c r="B887" s="15" t="s">
        <v>35</v>
      </c>
      <c r="C887" s="15" t="s">
        <v>65</v>
      </c>
      <c r="D887" s="15" t="s">
        <v>122</v>
      </c>
      <c r="E887" s="15" t="s">
        <v>507</v>
      </c>
      <c r="F887" s="15" t="s">
        <v>507</v>
      </c>
      <c r="G887" s="15" t="s">
        <v>507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1248</v>
      </c>
      <c r="N887" s="15"/>
      <c r="O887" s="8" t="s">
        <v>410</v>
      </c>
      <c r="P887" s="8" t="s">
        <v>41</v>
      </c>
      <c r="Q887" s="14">
        <v>0</v>
      </c>
      <c r="R887" s="139" t="s">
        <v>1249</v>
      </c>
      <c r="S887" s="15"/>
      <c r="T887" s="6">
        <v>0</v>
      </c>
      <c r="U887" s="6">
        <v>93280</v>
      </c>
      <c r="V887" s="6">
        <v>76229.62</v>
      </c>
      <c r="W887" s="18">
        <f t="shared" si="128"/>
        <v>17050.380000000005</v>
      </c>
      <c r="X887" s="18">
        <f t="shared" si="131"/>
        <v>76229.62</v>
      </c>
      <c r="Y887" s="13">
        <f t="shared" si="122"/>
        <v>30571.488543873456</v>
      </c>
      <c r="Z887" s="14">
        <v>0</v>
      </c>
      <c r="AA887" s="4">
        <v>0</v>
      </c>
      <c r="AB887" s="4">
        <f t="shared" si="123"/>
        <v>76229.62</v>
      </c>
      <c r="AC887" s="6">
        <f t="shared" si="124"/>
        <v>0</v>
      </c>
      <c r="AD887" s="6">
        <f t="shared" si="129"/>
        <v>45658.131456126539</v>
      </c>
      <c r="AE887" s="2">
        <v>7.0000000000000007E-2</v>
      </c>
      <c r="AF887" s="5">
        <f t="shared" si="125"/>
        <v>3196.0692019288581</v>
      </c>
      <c r="AG887" s="14">
        <v>0</v>
      </c>
      <c r="AH887" s="19">
        <f t="shared" si="130"/>
        <v>76229.62</v>
      </c>
      <c r="AJ887" s="126" t="e">
        <v>#N/A</v>
      </c>
      <c r="AK887" s="80">
        <f t="shared" si="126"/>
        <v>0</v>
      </c>
      <c r="AM887" s="85"/>
    </row>
    <row r="888" spans="1:39" hidden="1" x14ac:dyDescent="0.3">
      <c r="A888" s="85" t="s">
        <v>34</v>
      </c>
      <c r="B888" s="15" t="s">
        <v>35</v>
      </c>
      <c r="C888" s="15" t="s">
        <v>65</v>
      </c>
      <c r="D888" s="15" t="s">
        <v>122</v>
      </c>
      <c r="E888" s="15" t="s">
        <v>1250</v>
      </c>
      <c r="F888" s="15" t="s">
        <v>1250</v>
      </c>
      <c r="G888" s="15" t="s">
        <v>1250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1250</v>
      </c>
      <c r="N888" s="15"/>
      <c r="O888" s="8" t="s">
        <v>410</v>
      </c>
      <c r="P888" s="8" t="s">
        <v>41</v>
      </c>
      <c r="Q888" s="14">
        <v>0</v>
      </c>
      <c r="R888" s="139" t="s">
        <v>1251</v>
      </c>
      <c r="S888" s="15" t="s">
        <v>1252</v>
      </c>
      <c r="T888" s="6">
        <v>31451.790000000008</v>
      </c>
      <c r="U888" s="6">
        <v>214.38</v>
      </c>
      <c r="V888" s="6">
        <v>7101.3</v>
      </c>
      <c r="W888" s="18">
        <f t="shared" si="128"/>
        <v>24564.87000000001</v>
      </c>
      <c r="X888" s="18">
        <f>IF(P888="折扣",V888*Q888,IF(P888="返现",V888,V888/(1+Q888)))-U888</f>
        <v>6886.92</v>
      </c>
      <c r="Y888" s="13">
        <f t="shared" si="122"/>
        <v>2633.5590504190968</v>
      </c>
      <c r="Z888" s="14">
        <v>0</v>
      </c>
      <c r="AA888" s="4">
        <v>0</v>
      </c>
      <c r="AB888" s="4">
        <f t="shared" si="123"/>
        <v>6886.92</v>
      </c>
      <c r="AC888" s="6">
        <f t="shared" si="124"/>
        <v>214.38000000000011</v>
      </c>
      <c r="AD888" s="6">
        <f t="shared" si="129"/>
        <v>4253.3609495809033</v>
      </c>
      <c r="AE888" s="2">
        <v>7.0000000000000007E-2</v>
      </c>
      <c r="AF888" s="5">
        <f t="shared" si="125"/>
        <v>297.73526647066325</v>
      </c>
      <c r="AG888" s="14">
        <v>0</v>
      </c>
      <c r="AH888" s="19">
        <f t="shared" si="130"/>
        <v>7101.3</v>
      </c>
      <c r="AJ888" s="126" t="e">
        <v>#N/A</v>
      </c>
      <c r="AK888" s="80">
        <f t="shared" si="126"/>
        <v>0</v>
      </c>
      <c r="AM888" s="85"/>
    </row>
    <row r="889" spans="1:39" hidden="1" x14ac:dyDescent="0.3">
      <c r="A889" s="85" t="s">
        <v>34</v>
      </c>
      <c r="B889" s="15" t="s">
        <v>35</v>
      </c>
      <c r="C889" s="15" t="s">
        <v>65</v>
      </c>
      <c r="D889" s="15" t="s">
        <v>122</v>
      </c>
      <c r="E889" s="15" t="s">
        <v>1253</v>
      </c>
      <c r="F889" s="15" t="s">
        <v>1253</v>
      </c>
      <c r="G889" s="15" t="s">
        <v>1253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1254</v>
      </c>
      <c r="N889" s="15"/>
      <c r="O889" s="8" t="s">
        <v>410</v>
      </c>
      <c r="P889" s="8" t="s">
        <v>41</v>
      </c>
      <c r="Q889" s="14">
        <v>0</v>
      </c>
      <c r="R889" s="139" t="s">
        <v>1255</v>
      </c>
      <c r="S889" s="15"/>
      <c r="T889" s="6">
        <v>0</v>
      </c>
      <c r="U889" s="6">
        <v>29000</v>
      </c>
      <c r="V889" s="6">
        <v>25315.200000000001</v>
      </c>
      <c r="W889" s="18">
        <f t="shared" si="128"/>
        <v>3684.7999999999993</v>
      </c>
      <c r="X889" s="18">
        <f t="shared" ref="X889:X952" si="132">IF(P889="折扣",V889*Q889,IF(P889="返现",V889,V889/(1+Q889)))</f>
        <v>25315.200000000001</v>
      </c>
      <c r="Y889" s="13">
        <f t="shared" si="122"/>
        <v>10152.527938429515</v>
      </c>
      <c r="Z889" s="14">
        <v>0</v>
      </c>
      <c r="AA889" s="4">
        <v>0</v>
      </c>
      <c r="AB889" s="4">
        <f t="shared" si="123"/>
        <v>25315.200000000001</v>
      </c>
      <c r="AC889" s="6">
        <f t="shared" si="124"/>
        <v>0</v>
      </c>
      <c r="AD889" s="6">
        <f t="shared" si="129"/>
        <v>15162.672061570485</v>
      </c>
      <c r="AE889" s="2">
        <v>7.0000000000000007E-2</v>
      </c>
      <c r="AF889" s="5">
        <f t="shared" si="125"/>
        <v>1061.387044309934</v>
      </c>
      <c r="AG889" s="14">
        <v>0</v>
      </c>
      <c r="AH889" s="19">
        <f t="shared" si="130"/>
        <v>25315.200000000001</v>
      </c>
      <c r="AJ889" s="126" t="e">
        <v>#N/A</v>
      </c>
      <c r="AK889" s="80">
        <f t="shared" si="126"/>
        <v>0</v>
      </c>
      <c r="AM889" s="85"/>
    </row>
    <row r="890" spans="1:39" hidden="1" x14ac:dyDescent="0.3">
      <c r="A890" s="85" t="s">
        <v>34</v>
      </c>
      <c r="B890" s="15" t="s">
        <v>35</v>
      </c>
      <c r="C890" s="15" t="s">
        <v>65</v>
      </c>
      <c r="D890" s="15" t="s">
        <v>122</v>
      </c>
      <c r="E890" s="15" t="s">
        <v>1253</v>
      </c>
      <c r="F890" s="15" t="s">
        <v>1253</v>
      </c>
      <c r="G890" s="15" t="s">
        <v>1253</v>
      </c>
      <c r="H890" s="154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1256</v>
      </c>
      <c r="N890" s="15"/>
      <c r="O890" s="8" t="s">
        <v>410</v>
      </c>
      <c r="P890" s="8" t="s">
        <v>41</v>
      </c>
      <c r="Q890" s="14">
        <v>0</v>
      </c>
      <c r="R890" s="139" t="s">
        <v>1257</v>
      </c>
      <c r="S890" s="15"/>
      <c r="T890" s="6">
        <v>0</v>
      </c>
      <c r="U890" s="6">
        <v>11000</v>
      </c>
      <c r="V890" s="6">
        <v>1603.5</v>
      </c>
      <c r="W890" s="18">
        <f t="shared" si="128"/>
        <v>9396.5</v>
      </c>
      <c r="X890" s="18">
        <f t="shared" si="132"/>
        <v>1603.5</v>
      </c>
      <c r="Y890" s="13">
        <f t="shared" si="122"/>
        <v>643.07524922859488</v>
      </c>
      <c r="Z890" s="14">
        <v>0</v>
      </c>
      <c r="AA890" s="4">
        <v>0</v>
      </c>
      <c r="AB890" s="4">
        <f t="shared" si="123"/>
        <v>1603.5</v>
      </c>
      <c r="AC890" s="6">
        <f t="shared" si="124"/>
        <v>0</v>
      </c>
      <c r="AD890" s="6">
        <f t="shared" si="129"/>
        <v>960.42475077140512</v>
      </c>
      <c r="AE890" s="2">
        <v>7.0000000000000007E-2</v>
      </c>
      <c r="AF890" s="5">
        <f t="shared" si="125"/>
        <v>67.22973255399836</v>
      </c>
      <c r="AG890" s="14">
        <v>0</v>
      </c>
      <c r="AH890" s="19">
        <f t="shared" si="130"/>
        <v>1603.5</v>
      </c>
      <c r="AJ890" s="126" t="e">
        <v>#N/A</v>
      </c>
      <c r="AK890" s="80">
        <f t="shared" si="126"/>
        <v>0</v>
      </c>
      <c r="AM890" s="85"/>
    </row>
    <row r="891" spans="1:39" hidden="1" x14ac:dyDescent="0.3">
      <c r="A891" s="85" t="s">
        <v>34</v>
      </c>
      <c r="B891" s="15" t="s">
        <v>35</v>
      </c>
      <c r="C891" s="15" t="s">
        <v>65</v>
      </c>
      <c r="D891" s="15" t="s">
        <v>122</v>
      </c>
      <c r="E891" s="15" t="s">
        <v>1253</v>
      </c>
      <c r="F891" s="15" t="s">
        <v>1253</v>
      </c>
      <c r="G891" s="15" t="s">
        <v>1253</v>
      </c>
      <c r="H891" s="139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1253</v>
      </c>
      <c r="N891" s="15"/>
      <c r="O891" s="8" t="s">
        <v>410</v>
      </c>
      <c r="P891" s="8" t="s">
        <v>41</v>
      </c>
      <c r="Q891" s="14">
        <v>0</v>
      </c>
      <c r="R891" s="139" t="s">
        <v>1258</v>
      </c>
      <c r="S891" s="15"/>
      <c r="T891" s="6">
        <v>0</v>
      </c>
      <c r="U891" s="6">
        <v>10000</v>
      </c>
      <c r="V891" s="6">
        <v>0</v>
      </c>
      <c r="W891" s="18">
        <f t="shared" si="128"/>
        <v>10000</v>
      </c>
      <c r="X891" s="18">
        <f t="shared" si="132"/>
        <v>0</v>
      </c>
      <c r="Y891" s="13">
        <f t="shared" si="122"/>
        <v>0</v>
      </c>
      <c r="Z891" s="14">
        <v>0</v>
      </c>
      <c r="AA891" s="4">
        <v>0</v>
      </c>
      <c r="AB891" s="4">
        <f t="shared" si="123"/>
        <v>0</v>
      </c>
      <c r="AC891" s="6">
        <f t="shared" si="124"/>
        <v>0</v>
      </c>
      <c r="AD891" s="6">
        <f t="shared" si="129"/>
        <v>0</v>
      </c>
      <c r="AE891" s="2">
        <v>7.0000000000000007E-2</v>
      </c>
      <c r="AF891" s="5">
        <f t="shared" si="125"/>
        <v>0</v>
      </c>
      <c r="AG891" s="14">
        <v>0</v>
      </c>
      <c r="AH891" s="19">
        <f t="shared" si="130"/>
        <v>0</v>
      </c>
      <c r="AJ891" s="126" t="e">
        <v>#N/A</v>
      </c>
      <c r="AK891" s="80">
        <f t="shared" si="126"/>
        <v>0</v>
      </c>
      <c r="AM891" s="85"/>
    </row>
    <row r="892" spans="1:39" hidden="1" x14ac:dyDescent="0.3">
      <c r="A892" s="85" t="s">
        <v>34</v>
      </c>
      <c r="B892" s="15" t="s">
        <v>35</v>
      </c>
      <c r="C892" s="15" t="s">
        <v>65</v>
      </c>
      <c r="D892" s="15" t="s">
        <v>122</v>
      </c>
      <c r="E892" s="15" t="s">
        <v>1253</v>
      </c>
      <c r="F892" s="15" t="s">
        <v>1253</v>
      </c>
      <c r="G892" s="15" t="s">
        <v>1253</v>
      </c>
      <c r="H892" s="154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1259</v>
      </c>
      <c r="N892" s="15"/>
      <c r="O892" s="8" t="s">
        <v>410</v>
      </c>
      <c r="P892" s="8" t="s">
        <v>41</v>
      </c>
      <c r="Q892" s="14">
        <v>0</v>
      </c>
      <c r="R892" s="139" t="s">
        <v>1260</v>
      </c>
      <c r="S892" s="15"/>
      <c r="T892" s="6">
        <v>0</v>
      </c>
      <c r="U892" s="6">
        <v>20000</v>
      </c>
      <c r="V892" s="6">
        <v>11437.9</v>
      </c>
      <c r="W892" s="18">
        <f t="shared" si="128"/>
        <v>8562.1</v>
      </c>
      <c r="X892" s="18">
        <f t="shared" si="132"/>
        <v>11437.9</v>
      </c>
      <c r="Y892" s="13">
        <f t="shared" si="122"/>
        <v>4587.109693265822</v>
      </c>
      <c r="Z892" s="14">
        <v>0</v>
      </c>
      <c r="AA892" s="4">
        <v>0</v>
      </c>
      <c r="AB892" s="4">
        <f t="shared" si="123"/>
        <v>11437.9</v>
      </c>
      <c r="AC892" s="6">
        <f t="shared" si="124"/>
        <v>0</v>
      </c>
      <c r="AD892" s="6">
        <f t="shared" si="129"/>
        <v>6850.7903067341776</v>
      </c>
      <c r="AE892" s="2">
        <v>7.0000000000000007E-2</v>
      </c>
      <c r="AF892" s="5">
        <f t="shared" si="125"/>
        <v>479.55532147139246</v>
      </c>
      <c r="AG892" s="14">
        <v>0</v>
      </c>
      <c r="AH892" s="19">
        <f t="shared" si="130"/>
        <v>11437.9</v>
      </c>
      <c r="AJ892" s="126" t="e">
        <v>#N/A</v>
      </c>
      <c r="AK892" s="80">
        <f t="shared" si="126"/>
        <v>0</v>
      </c>
      <c r="AM892" s="85"/>
    </row>
    <row r="893" spans="1:39" hidden="1" x14ac:dyDescent="0.3">
      <c r="A893" s="85" t="s">
        <v>34</v>
      </c>
      <c r="B893" s="15" t="s">
        <v>35</v>
      </c>
      <c r="C893" s="15" t="s">
        <v>65</v>
      </c>
      <c r="D893" s="15" t="s">
        <v>122</v>
      </c>
      <c r="E893" s="15" t="s">
        <v>1253</v>
      </c>
      <c r="F893" s="15" t="s">
        <v>1253</v>
      </c>
      <c r="G893" s="15" t="s">
        <v>1253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1261</v>
      </c>
      <c r="N893" s="15"/>
      <c r="O893" s="8" t="s">
        <v>410</v>
      </c>
      <c r="P893" s="8" t="s">
        <v>41</v>
      </c>
      <c r="Q893" s="14">
        <v>0</v>
      </c>
      <c r="R893" s="139" t="s">
        <v>1262</v>
      </c>
      <c r="S893" s="15"/>
      <c r="T893" s="6">
        <v>0</v>
      </c>
      <c r="U893" s="6">
        <v>40000</v>
      </c>
      <c r="V893" s="6">
        <v>19888.8</v>
      </c>
      <c r="W893" s="18">
        <f t="shared" si="128"/>
        <v>20111.2</v>
      </c>
      <c r="X893" s="18">
        <f t="shared" si="132"/>
        <v>19888.8</v>
      </c>
      <c r="Y893" s="13">
        <f t="shared" si="122"/>
        <v>7976.2987320596676</v>
      </c>
      <c r="Z893" s="14">
        <v>0</v>
      </c>
      <c r="AA893" s="4">
        <v>0</v>
      </c>
      <c r="AB893" s="4">
        <f t="shared" si="123"/>
        <v>19888.8</v>
      </c>
      <c r="AC893" s="6">
        <f t="shared" si="124"/>
        <v>0</v>
      </c>
      <c r="AD893" s="6">
        <f t="shared" si="129"/>
        <v>11912.501267940332</v>
      </c>
      <c r="AE893" s="2">
        <v>7.0000000000000007E-2</v>
      </c>
      <c r="AF893" s="5">
        <f t="shared" si="125"/>
        <v>833.8750887558233</v>
      </c>
      <c r="AG893" s="14">
        <v>0</v>
      </c>
      <c r="AH893" s="19">
        <f t="shared" si="130"/>
        <v>19888.8</v>
      </c>
      <c r="AJ893" s="126" t="e">
        <v>#N/A</v>
      </c>
      <c r="AK893" s="80">
        <f t="shared" si="126"/>
        <v>0</v>
      </c>
      <c r="AM893" s="85"/>
    </row>
    <row r="894" spans="1:39" hidden="1" x14ac:dyDescent="0.3">
      <c r="A894" s="85" t="s">
        <v>34</v>
      </c>
      <c r="B894" s="15" t="s">
        <v>35</v>
      </c>
      <c r="C894" s="15" t="s">
        <v>65</v>
      </c>
      <c r="D894" s="15" t="s">
        <v>122</v>
      </c>
      <c r="E894" s="15" t="s">
        <v>1253</v>
      </c>
      <c r="F894" s="15" t="s">
        <v>1253</v>
      </c>
      <c r="G894" s="15" t="s">
        <v>1253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1261</v>
      </c>
      <c r="N894" s="15"/>
      <c r="O894" s="8" t="s">
        <v>410</v>
      </c>
      <c r="P894" s="8" t="s">
        <v>41</v>
      </c>
      <c r="Q894" s="14">
        <v>0</v>
      </c>
      <c r="R894" s="139" t="s">
        <v>1263</v>
      </c>
      <c r="S894" s="15"/>
      <c r="T894" s="6">
        <v>0</v>
      </c>
      <c r="U894" s="6">
        <v>10000</v>
      </c>
      <c r="V894" s="6">
        <v>2359.5</v>
      </c>
      <c r="W894" s="18">
        <f t="shared" si="128"/>
        <v>7640.5</v>
      </c>
      <c r="X894" s="18">
        <f t="shared" si="132"/>
        <v>2359.5</v>
      </c>
      <c r="Y894" s="13">
        <f t="shared" si="122"/>
        <v>946.26507674142181</v>
      </c>
      <c r="Z894" s="14">
        <v>0</v>
      </c>
      <c r="AA894" s="4">
        <v>0</v>
      </c>
      <c r="AB894" s="4">
        <f t="shared" si="123"/>
        <v>2359.5</v>
      </c>
      <c r="AC894" s="6">
        <f t="shared" si="124"/>
        <v>0</v>
      </c>
      <c r="AD894" s="6">
        <f t="shared" si="129"/>
        <v>1413.2349232585782</v>
      </c>
      <c r="AE894" s="2">
        <v>7.0000000000000007E-2</v>
      </c>
      <c r="AF894" s="5">
        <f t="shared" si="125"/>
        <v>98.926444628100484</v>
      </c>
      <c r="AG894" s="14">
        <v>0</v>
      </c>
      <c r="AH894" s="19">
        <f t="shared" si="130"/>
        <v>2359.5</v>
      </c>
      <c r="AJ894" s="126" t="e">
        <v>#N/A</v>
      </c>
      <c r="AK894" s="80">
        <f t="shared" si="126"/>
        <v>0</v>
      </c>
      <c r="AM894" s="85"/>
    </row>
    <row r="895" spans="1:39" hidden="1" x14ac:dyDescent="0.3">
      <c r="A895" s="85" t="s">
        <v>34</v>
      </c>
      <c r="B895" s="15" t="s">
        <v>35</v>
      </c>
      <c r="C895" s="15" t="s">
        <v>65</v>
      </c>
      <c r="D895" s="15" t="s">
        <v>122</v>
      </c>
      <c r="E895" s="15" t="s">
        <v>1264</v>
      </c>
      <c r="F895" s="15" t="s">
        <v>1264</v>
      </c>
      <c r="G895" s="15" t="s">
        <v>1264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1264</v>
      </c>
      <c r="N895" s="15"/>
      <c r="O895" s="8" t="s">
        <v>410</v>
      </c>
      <c r="P895" s="8" t="s">
        <v>41</v>
      </c>
      <c r="Q895" s="14">
        <v>0</v>
      </c>
      <c r="R895" s="139" t="s">
        <v>1265</v>
      </c>
      <c r="S895" s="15"/>
      <c r="T895" s="6">
        <v>20455.950000000026</v>
      </c>
      <c r="U895" s="6">
        <v>150000</v>
      </c>
      <c r="V895" s="6">
        <v>101877.6</v>
      </c>
      <c r="W895" s="18">
        <f t="shared" si="128"/>
        <v>68578.350000000006</v>
      </c>
      <c r="X895" s="18">
        <f t="shared" si="132"/>
        <v>101877.6</v>
      </c>
      <c r="Y895" s="13">
        <f t="shared" si="122"/>
        <v>40857.476152672971</v>
      </c>
      <c r="Z895" s="14">
        <v>0</v>
      </c>
      <c r="AA895" s="4">
        <v>0</v>
      </c>
      <c r="AB895" s="4">
        <f t="shared" si="123"/>
        <v>101877.6</v>
      </c>
      <c r="AC895" s="6">
        <f t="shared" si="124"/>
        <v>0</v>
      </c>
      <c r="AD895" s="6">
        <f t="shared" si="129"/>
        <v>61020.123847327035</v>
      </c>
      <c r="AE895" s="2">
        <v>7.0000000000000007E-2</v>
      </c>
      <c r="AF895" s="5">
        <f t="shared" si="125"/>
        <v>4271.4086693128929</v>
      </c>
      <c r="AG895" s="14">
        <v>0</v>
      </c>
      <c r="AH895" s="19">
        <f t="shared" si="130"/>
        <v>101877.6</v>
      </c>
      <c r="AJ895" s="126" t="e">
        <v>#N/A</v>
      </c>
      <c r="AK895" s="80">
        <f t="shared" si="126"/>
        <v>0</v>
      </c>
      <c r="AM895" s="85"/>
    </row>
    <row r="896" spans="1:39" hidden="1" x14ac:dyDescent="0.3">
      <c r="A896" s="85" t="s">
        <v>34</v>
      </c>
      <c r="B896" s="15" t="s">
        <v>35</v>
      </c>
      <c r="C896" s="15" t="s">
        <v>65</v>
      </c>
      <c r="D896" s="15" t="s">
        <v>122</v>
      </c>
      <c r="E896" s="15" t="s">
        <v>1266</v>
      </c>
      <c r="F896" s="15" t="s">
        <v>3687</v>
      </c>
      <c r="G896" s="15" t="s">
        <v>1266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1267</v>
      </c>
      <c r="N896" s="15"/>
      <c r="O896" s="8" t="s">
        <v>1196</v>
      </c>
      <c r="P896" s="8" t="s">
        <v>3688</v>
      </c>
      <c r="Q896" s="14">
        <v>0.02</v>
      </c>
      <c r="R896" s="139" t="s">
        <v>1268</v>
      </c>
      <c r="S896" s="15"/>
      <c r="T896" s="6">
        <v>0</v>
      </c>
      <c r="U896" s="6">
        <v>0</v>
      </c>
      <c r="V896" s="6">
        <v>4004.1947100000002</v>
      </c>
      <c r="W896" s="18">
        <f t="shared" si="128"/>
        <v>-4004.1947100000002</v>
      </c>
      <c r="X896" s="18">
        <f t="shared" si="132"/>
        <v>3925.6810882352943</v>
      </c>
      <c r="Y896" s="13">
        <f t="shared" si="122"/>
        <v>1527.3476261885662</v>
      </c>
      <c r="Z896" s="14">
        <v>0</v>
      </c>
      <c r="AA896" s="4">
        <v>0</v>
      </c>
      <c r="AB896" s="4">
        <f t="shared" si="123"/>
        <v>3925.6810882352943</v>
      </c>
      <c r="AC896" s="6">
        <f t="shared" si="124"/>
        <v>78.513621764705931</v>
      </c>
      <c r="AD896" s="6">
        <f t="shared" si="129"/>
        <v>2398.3334620467281</v>
      </c>
      <c r="AE896" s="2">
        <v>0.12</v>
      </c>
      <c r="AF896" s="5">
        <f t="shared" si="125"/>
        <v>287.80001544560736</v>
      </c>
      <c r="AG896" s="14">
        <v>0</v>
      </c>
      <c r="AH896" s="19">
        <f t="shared" si="130"/>
        <v>4004.1947100000002</v>
      </c>
      <c r="AJ896" s="126" t="e">
        <v>#N/A</v>
      </c>
      <c r="AK896" s="80">
        <f t="shared" si="126"/>
        <v>0</v>
      </c>
      <c r="AM896" s="85"/>
    </row>
    <row r="897" spans="1:39" hidden="1" x14ac:dyDescent="0.3">
      <c r="A897" s="85" t="s">
        <v>34</v>
      </c>
      <c r="B897" s="15" t="s">
        <v>35</v>
      </c>
      <c r="C897" s="15" t="s">
        <v>65</v>
      </c>
      <c r="D897" s="15" t="s">
        <v>122</v>
      </c>
      <c r="E897" s="15" t="s">
        <v>1266</v>
      </c>
      <c r="F897" s="15" t="s">
        <v>1266</v>
      </c>
      <c r="G897" s="15" t="s">
        <v>1266</v>
      </c>
      <c r="H897" s="139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1267</v>
      </c>
      <c r="N897" s="15"/>
      <c r="O897" s="8" t="s">
        <v>410</v>
      </c>
      <c r="P897" s="8" t="s">
        <v>41</v>
      </c>
      <c r="Q897" s="14">
        <v>0</v>
      </c>
      <c r="R897" s="139" t="s">
        <v>1269</v>
      </c>
      <c r="S897" s="15"/>
      <c r="T897" s="6">
        <v>0</v>
      </c>
      <c r="U897" s="6">
        <v>10000</v>
      </c>
      <c r="V897" s="6">
        <v>0</v>
      </c>
      <c r="W897" s="18">
        <f t="shared" si="128"/>
        <v>10000</v>
      </c>
      <c r="X897" s="18">
        <f t="shared" si="132"/>
        <v>0</v>
      </c>
      <c r="Y897" s="13">
        <f t="shared" si="122"/>
        <v>0</v>
      </c>
      <c r="Z897" s="14">
        <v>0</v>
      </c>
      <c r="AA897" s="4">
        <v>0</v>
      </c>
      <c r="AB897" s="4">
        <f t="shared" si="123"/>
        <v>0</v>
      </c>
      <c r="AC897" s="6">
        <f t="shared" si="124"/>
        <v>0</v>
      </c>
      <c r="AD897" s="6">
        <f t="shared" si="129"/>
        <v>0</v>
      </c>
      <c r="AE897" s="2">
        <v>7.0000000000000007E-2</v>
      </c>
      <c r="AF897" s="5">
        <f t="shared" si="125"/>
        <v>0</v>
      </c>
      <c r="AG897" s="14">
        <v>0</v>
      </c>
      <c r="AH897" s="19">
        <f t="shared" si="130"/>
        <v>0</v>
      </c>
      <c r="AJ897" s="126" t="e">
        <v>#N/A</v>
      </c>
      <c r="AK897" s="80">
        <f t="shared" si="126"/>
        <v>0</v>
      </c>
      <c r="AM897" s="85"/>
    </row>
    <row r="898" spans="1:39" hidden="1" x14ac:dyDescent="0.3">
      <c r="A898" s="85" t="s">
        <v>34</v>
      </c>
      <c r="B898" s="15" t="s">
        <v>35</v>
      </c>
      <c r="C898" s="15" t="s">
        <v>65</v>
      </c>
      <c r="D898" s="15" t="s">
        <v>122</v>
      </c>
      <c r="E898" s="15" t="s">
        <v>1266</v>
      </c>
      <c r="F898" s="15" t="s">
        <v>1266</v>
      </c>
      <c r="G898" s="15" t="s">
        <v>1266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1266</v>
      </c>
      <c r="N898" s="15"/>
      <c r="O898" s="8" t="s">
        <v>1196</v>
      </c>
      <c r="P898" s="8" t="s">
        <v>41</v>
      </c>
      <c r="Q898" s="14">
        <v>0</v>
      </c>
      <c r="R898" s="139" t="s">
        <v>1270</v>
      </c>
      <c r="S898" s="15"/>
      <c r="T898" s="6">
        <v>0</v>
      </c>
      <c r="U898" s="6">
        <v>30000</v>
      </c>
      <c r="V898" s="6">
        <v>2285.7000800000001</v>
      </c>
      <c r="W898" s="18">
        <f t="shared" si="128"/>
        <v>27714.299920000001</v>
      </c>
      <c r="X898" s="18">
        <f t="shared" si="132"/>
        <v>2285.7000800000001</v>
      </c>
      <c r="Y898" s="13">
        <f t="shared" si="122"/>
        <v>916.66800661541583</v>
      </c>
      <c r="Z898" s="14">
        <v>0</v>
      </c>
      <c r="AA898" s="4">
        <v>0</v>
      </c>
      <c r="AB898" s="4">
        <f t="shared" si="123"/>
        <v>2285.7000800000001</v>
      </c>
      <c r="AC898" s="6">
        <f t="shared" si="124"/>
        <v>0</v>
      </c>
      <c r="AD898" s="6">
        <f t="shared" si="129"/>
        <v>1369.0320733845842</v>
      </c>
      <c r="AE898" s="2">
        <v>0.12</v>
      </c>
      <c r="AF898" s="5">
        <f t="shared" si="125"/>
        <v>164.2838488061501</v>
      </c>
      <c r="AG898" s="14">
        <v>0</v>
      </c>
      <c r="AH898" s="19">
        <f t="shared" si="130"/>
        <v>2285.7000800000001</v>
      </c>
      <c r="AJ898" s="126" t="e">
        <v>#N/A</v>
      </c>
      <c r="AK898" s="80">
        <f t="shared" si="126"/>
        <v>0</v>
      </c>
      <c r="AM898" s="85"/>
    </row>
    <row r="899" spans="1:39" hidden="1" x14ac:dyDescent="0.3">
      <c r="A899" s="85" t="s">
        <v>34</v>
      </c>
      <c r="B899" s="15" t="s">
        <v>35</v>
      </c>
      <c r="C899" s="15" t="s">
        <v>65</v>
      </c>
      <c r="D899" s="15" t="s">
        <v>122</v>
      </c>
      <c r="E899" s="15" t="s">
        <v>1266</v>
      </c>
      <c r="F899" s="15" t="s">
        <v>1266</v>
      </c>
      <c r="G899" s="15" t="s">
        <v>1266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1271</v>
      </c>
      <c r="N899" s="15"/>
      <c r="O899" s="8" t="s">
        <v>1196</v>
      </c>
      <c r="P899" s="8" t="s">
        <v>41</v>
      </c>
      <c r="Q899" s="14">
        <v>0</v>
      </c>
      <c r="R899" s="139" t="s">
        <v>1272</v>
      </c>
      <c r="S899" s="15"/>
      <c r="T899" s="6">
        <v>0</v>
      </c>
      <c r="U899" s="6">
        <v>70000</v>
      </c>
      <c r="V899" s="6">
        <v>31215.292560000002</v>
      </c>
      <c r="W899" s="18">
        <f t="shared" si="128"/>
        <v>38784.707439999998</v>
      </c>
      <c r="X899" s="18">
        <f t="shared" si="132"/>
        <v>31215.292560000002</v>
      </c>
      <c r="Y899" s="13">
        <f t="shared" ref="Y899:Y962" si="133">IF(X899-AD899&lt;=0,0,IF(P899="返现",MAX(X899-AC899-AD899,0),MAX(X899-AD899)))</f>
        <v>12518.729056916436</v>
      </c>
      <c r="Z899" s="14">
        <v>0</v>
      </c>
      <c r="AA899" s="4">
        <v>0</v>
      </c>
      <c r="AB899" s="4">
        <f t="shared" ref="AB899:AB962" si="134">X899+AA899</f>
        <v>31215.292560000002</v>
      </c>
      <c r="AC899" s="6">
        <f t="shared" ref="AC899:AC962" si="135">IF(P899="返现",X899*Q899,V899-X899)</f>
        <v>0</v>
      </c>
      <c r="AD899" s="6">
        <f t="shared" si="129"/>
        <v>18696.563503083566</v>
      </c>
      <c r="AE899" s="2">
        <v>0.12</v>
      </c>
      <c r="AF899" s="5">
        <f t="shared" ref="AF899:AF962" si="136">AD899*AE899</f>
        <v>2243.5876203700277</v>
      </c>
      <c r="AG899" s="14">
        <v>0</v>
      </c>
      <c r="AH899" s="19">
        <f t="shared" si="130"/>
        <v>31215.292560000002</v>
      </c>
      <c r="AJ899" s="126" t="e">
        <v>#N/A</v>
      </c>
      <c r="AK899" s="80">
        <f t="shared" ref="AK899:AK962" si="137">X899+AA899-AB899</f>
        <v>0</v>
      </c>
      <c r="AM899" s="85"/>
    </row>
    <row r="900" spans="1:39" hidden="1" x14ac:dyDescent="0.3">
      <c r="A900" s="85" t="s">
        <v>34</v>
      </c>
      <c r="B900" s="15" t="s">
        <v>35</v>
      </c>
      <c r="C900" s="15" t="s">
        <v>65</v>
      </c>
      <c r="D900" s="15" t="s">
        <v>122</v>
      </c>
      <c r="E900" s="15" t="s">
        <v>1266</v>
      </c>
      <c r="F900" s="15" t="s">
        <v>1266</v>
      </c>
      <c r="G900" s="15" t="s">
        <v>1266</v>
      </c>
      <c r="H900" s="154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1271</v>
      </c>
      <c r="N900" s="15"/>
      <c r="O900" s="8" t="s">
        <v>1196</v>
      </c>
      <c r="P900" s="8" t="s">
        <v>41</v>
      </c>
      <c r="Q900" s="14">
        <v>0</v>
      </c>
      <c r="R900" s="139" t="s">
        <v>1273</v>
      </c>
      <c r="S900" s="15"/>
      <c r="T900" s="6">
        <v>0</v>
      </c>
      <c r="U900" s="6">
        <v>70000</v>
      </c>
      <c r="V900" s="6">
        <v>13001.00662</v>
      </c>
      <c r="W900" s="18">
        <f t="shared" si="128"/>
        <v>56998.99338</v>
      </c>
      <c r="X900" s="18">
        <f t="shared" si="132"/>
        <v>13001.00662</v>
      </c>
      <c r="Y900" s="13">
        <f t="shared" si="133"/>
        <v>5213.9853896969835</v>
      </c>
      <c r="Z900" s="14">
        <v>0</v>
      </c>
      <c r="AA900" s="4">
        <v>0</v>
      </c>
      <c r="AB900" s="4">
        <f t="shared" si="134"/>
        <v>13001.00662</v>
      </c>
      <c r="AC900" s="6">
        <f t="shared" si="135"/>
        <v>0</v>
      </c>
      <c r="AD900" s="6">
        <f t="shared" si="129"/>
        <v>7787.0212303030166</v>
      </c>
      <c r="AE900" s="2">
        <v>0.12</v>
      </c>
      <c r="AF900" s="5">
        <f t="shared" si="136"/>
        <v>934.44254763636195</v>
      </c>
      <c r="AG900" s="14">
        <v>0</v>
      </c>
      <c r="AH900" s="19">
        <f t="shared" si="130"/>
        <v>13001.00662</v>
      </c>
      <c r="AJ900" s="126" t="e">
        <v>#N/A</v>
      </c>
      <c r="AK900" s="80">
        <f t="shared" si="137"/>
        <v>0</v>
      </c>
      <c r="AM900" s="85"/>
    </row>
    <row r="901" spans="1:39" hidden="1" x14ac:dyDescent="0.3">
      <c r="A901" s="85" t="s">
        <v>34</v>
      </c>
      <c r="B901" s="15" t="s">
        <v>35</v>
      </c>
      <c r="C901" s="15" t="s">
        <v>65</v>
      </c>
      <c r="D901" s="15" t="s">
        <v>122</v>
      </c>
      <c r="E901" s="15" t="s">
        <v>1266</v>
      </c>
      <c r="F901" s="15" t="s">
        <v>1266</v>
      </c>
      <c r="G901" s="15" t="s">
        <v>1266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1274</v>
      </c>
      <c r="N901" s="15"/>
      <c r="O901" s="8" t="s">
        <v>1196</v>
      </c>
      <c r="P901" s="8" t="s">
        <v>41</v>
      </c>
      <c r="Q901" s="14">
        <v>0</v>
      </c>
      <c r="R901" s="139" t="s">
        <v>1275</v>
      </c>
      <c r="S901" s="15"/>
      <c r="T901" s="6">
        <v>0</v>
      </c>
      <c r="U901" s="6">
        <v>1100000</v>
      </c>
      <c r="V901" s="6">
        <v>573952.41550999996</v>
      </c>
      <c r="W901" s="18">
        <f t="shared" si="128"/>
        <v>526047.58449000004</v>
      </c>
      <c r="X901" s="18">
        <f t="shared" si="132"/>
        <v>573952.41550999996</v>
      </c>
      <c r="Y901" s="13">
        <f t="shared" si="133"/>
        <v>230180.60034265503</v>
      </c>
      <c r="Z901" s="14">
        <v>0</v>
      </c>
      <c r="AA901" s="4">
        <v>0</v>
      </c>
      <c r="AB901" s="4">
        <f t="shared" si="134"/>
        <v>573952.41550999996</v>
      </c>
      <c r="AC901" s="6">
        <f t="shared" si="135"/>
        <v>0</v>
      </c>
      <c r="AD901" s="6">
        <f t="shared" si="129"/>
        <v>343771.81516734493</v>
      </c>
      <c r="AE901" s="2">
        <v>0.12</v>
      </c>
      <c r="AF901" s="5">
        <f t="shared" si="136"/>
        <v>41252.617820081388</v>
      </c>
      <c r="AG901" s="14">
        <v>0</v>
      </c>
      <c r="AH901" s="19">
        <f t="shared" si="130"/>
        <v>573952.41550999996</v>
      </c>
      <c r="AJ901" s="126" t="e">
        <v>#N/A</v>
      </c>
      <c r="AK901" s="80">
        <f t="shared" si="137"/>
        <v>0</v>
      </c>
      <c r="AM901" s="85"/>
    </row>
    <row r="902" spans="1:39" hidden="1" x14ac:dyDescent="0.3">
      <c r="A902" s="85" t="s">
        <v>34</v>
      </c>
      <c r="B902" s="15" t="s">
        <v>35</v>
      </c>
      <c r="C902" s="15" t="s">
        <v>65</v>
      </c>
      <c r="D902" s="15" t="s">
        <v>122</v>
      </c>
      <c r="E902" s="15" t="s">
        <v>1266</v>
      </c>
      <c r="F902" s="15" t="s">
        <v>1266</v>
      </c>
      <c r="G902" s="15" t="s">
        <v>1266</v>
      </c>
      <c r="H902" s="139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1274</v>
      </c>
      <c r="N902" s="15"/>
      <c r="O902" s="8" t="s">
        <v>1196</v>
      </c>
      <c r="P902" s="8" t="s">
        <v>41</v>
      </c>
      <c r="Q902" s="14">
        <v>0</v>
      </c>
      <c r="R902" s="139" t="s">
        <v>1276</v>
      </c>
      <c r="S902" s="15"/>
      <c r="T902" s="6">
        <v>0</v>
      </c>
      <c r="U902" s="6">
        <v>50000</v>
      </c>
      <c r="V902" s="6">
        <v>0</v>
      </c>
      <c r="W902" s="18">
        <f t="shared" si="128"/>
        <v>50000</v>
      </c>
      <c r="X902" s="18">
        <f t="shared" si="132"/>
        <v>0</v>
      </c>
      <c r="Y902" s="13">
        <f t="shared" si="133"/>
        <v>0</v>
      </c>
      <c r="Z902" s="14">
        <v>0</v>
      </c>
      <c r="AA902" s="4">
        <v>0</v>
      </c>
      <c r="AB902" s="4">
        <f t="shared" si="134"/>
        <v>0</v>
      </c>
      <c r="AC902" s="6">
        <f t="shared" si="135"/>
        <v>0</v>
      </c>
      <c r="AD902" s="6">
        <f t="shared" si="129"/>
        <v>0</v>
      </c>
      <c r="AE902" s="2">
        <v>0.12</v>
      </c>
      <c r="AF902" s="5">
        <f t="shared" si="136"/>
        <v>0</v>
      </c>
      <c r="AG902" s="14">
        <v>0</v>
      </c>
      <c r="AH902" s="19">
        <f t="shared" si="130"/>
        <v>0</v>
      </c>
      <c r="AJ902" s="126" t="e">
        <v>#N/A</v>
      </c>
      <c r="AK902" s="80">
        <f t="shared" si="137"/>
        <v>0</v>
      </c>
      <c r="AM902" s="85"/>
    </row>
    <row r="903" spans="1:39" hidden="1" x14ac:dyDescent="0.3">
      <c r="A903" s="85" t="s">
        <v>34</v>
      </c>
      <c r="B903" s="15" t="s">
        <v>35</v>
      </c>
      <c r="C903" s="15" t="s">
        <v>65</v>
      </c>
      <c r="D903" s="15" t="s">
        <v>122</v>
      </c>
      <c r="E903" s="15" t="s">
        <v>1277</v>
      </c>
      <c r="F903" s="15" t="s">
        <v>1277</v>
      </c>
      <c r="G903" s="15" t="s">
        <v>1277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1277</v>
      </c>
      <c r="N903" s="15"/>
      <c r="O903" s="8" t="s">
        <v>410</v>
      </c>
      <c r="P903" s="8" t="s">
        <v>46</v>
      </c>
      <c r="Q903" s="14">
        <v>0.02</v>
      </c>
      <c r="R903" s="139" t="s">
        <v>1278</v>
      </c>
      <c r="S903" s="15"/>
      <c r="T903" s="6">
        <v>0</v>
      </c>
      <c r="U903" s="6">
        <v>110000</v>
      </c>
      <c r="V903" s="6">
        <v>80512.600000000006</v>
      </c>
      <c r="W903" s="18">
        <f t="shared" si="128"/>
        <v>29487.399999999994</v>
      </c>
      <c r="X903" s="18">
        <f t="shared" si="132"/>
        <v>78933.921568627455</v>
      </c>
      <c r="Y903" s="13">
        <f t="shared" si="133"/>
        <v>30710.476736099961</v>
      </c>
      <c r="Z903" s="14">
        <v>0</v>
      </c>
      <c r="AA903" s="4">
        <v>0</v>
      </c>
      <c r="AB903" s="4">
        <f t="shared" si="134"/>
        <v>78933.921568627455</v>
      </c>
      <c r="AC903" s="6">
        <f t="shared" si="135"/>
        <v>1578.6784313725511</v>
      </c>
      <c r="AD903" s="6">
        <f t="shared" si="129"/>
        <v>48223.444832527493</v>
      </c>
      <c r="AE903" s="2">
        <v>7.0000000000000007E-2</v>
      </c>
      <c r="AF903" s="5">
        <f t="shared" si="136"/>
        <v>3375.6411382769247</v>
      </c>
      <c r="AG903" s="14">
        <v>0</v>
      </c>
      <c r="AH903" s="19">
        <f t="shared" si="130"/>
        <v>80512.600000000006</v>
      </c>
      <c r="AJ903" s="126" t="e">
        <v>#N/A</v>
      </c>
      <c r="AK903" s="80">
        <f t="shared" si="137"/>
        <v>0</v>
      </c>
      <c r="AM903" s="85"/>
    </row>
    <row r="904" spans="1:39" hidden="1" x14ac:dyDescent="0.3">
      <c r="A904" s="85" t="s">
        <v>34</v>
      </c>
      <c r="B904" s="15" t="s">
        <v>35</v>
      </c>
      <c r="C904" s="15" t="s">
        <v>65</v>
      </c>
      <c r="D904" s="15" t="s">
        <v>122</v>
      </c>
      <c r="E904" s="15" t="s">
        <v>1279</v>
      </c>
      <c r="F904" s="15" t="s">
        <v>1279</v>
      </c>
      <c r="G904" s="15" t="s">
        <v>1279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1279</v>
      </c>
      <c r="N904" s="15"/>
      <c r="O904" s="8" t="s">
        <v>410</v>
      </c>
      <c r="P904" s="8" t="s">
        <v>46</v>
      </c>
      <c r="Q904" s="14">
        <v>0.02</v>
      </c>
      <c r="R904" s="139" t="s">
        <v>1280</v>
      </c>
      <c r="S904" s="15"/>
      <c r="T904" s="6">
        <v>0</v>
      </c>
      <c r="U904" s="6">
        <v>40000</v>
      </c>
      <c r="V904" s="6">
        <v>13219.6</v>
      </c>
      <c r="W904" s="18">
        <f t="shared" si="128"/>
        <v>26780.400000000001</v>
      </c>
      <c r="X904" s="18">
        <f t="shared" si="132"/>
        <v>12960.392156862745</v>
      </c>
      <c r="Y904" s="13">
        <f t="shared" si="133"/>
        <v>5042.4432729851851</v>
      </c>
      <c r="Z904" s="14">
        <v>0</v>
      </c>
      <c r="AA904" s="4">
        <v>0</v>
      </c>
      <c r="AB904" s="4">
        <f t="shared" si="134"/>
        <v>12960.392156862745</v>
      </c>
      <c r="AC904" s="6">
        <f t="shared" si="135"/>
        <v>259.20784313725562</v>
      </c>
      <c r="AD904" s="6">
        <f t="shared" si="129"/>
        <v>7917.9488838775596</v>
      </c>
      <c r="AE904" s="2">
        <v>7.0000000000000007E-2</v>
      </c>
      <c r="AF904" s="5">
        <f t="shared" si="136"/>
        <v>554.25642187142921</v>
      </c>
      <c r="AG904" s="14">
        <v>0</v>
      </c>
      <c r="AH904" s="19">
        <f t="shared" si="130"/>
        <v>13219.6</v>
      </c>
      <c r="AJ904" s="126" t="e">
        <v>#N/A</v>
      </c>
      <c r="AK904" s="80">
        <f t="shared" si="137"/>
        <v>0</v>
      </c>
      <c r="AM904" s="85"/>
    </row>
    <row r="905" spans="1:39" hidden="1" x14ac:dyDescent="0.3">
      <c r="A905" s="85" t="s">
        <v>34</v>
      </c>
      <c r="B905" s="15" t="s">
        <v>35</v>
      </c>
      <c r="C905" s="15" t="s">
        <v>65</v>
      </c>
      <c r="D905" s="15" t="s">
        <v>122</v>
      </c>
      <c r="E905" s="15" t="s">
        <v>1279</v>
      </c>
      <c r="F905" s="15" t="s">
        <v>1279</v>
      </c>
      <c r="G905" s="15" t="s">
        <v>1279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1281</v>
      </c>
      <c r="N905" s="15"/>
      <c r="O905" s="8" t="s">
        <v>410</v>
      </c>
      <c r="P905" s="8" t="s">
        <v>46</v>
      </c>
      <c r="Q905" s="14">
        <v>0.02</v>
      </c>
      <c r="R905" s="139" t="s">
        <v>1282</v>
      </c>
      <c r="S905" s="15"/>
      <c r="T905" s="6">
        <v>0</v>
      </c>
      <c r="U905" s="6">
        <v>377400</v>
      </c>
      <c r="V905" s="6">
        <v>215821.66</v>
      </c>
      <c r="W905" s="18">
        <f t="shared" si="128"/>
        <v>161578.34</v>
      </c>
      <c r="X905" s="18">
        <f t="shared" si="132"/>
        <v>211589.86274509804</v>
      </c>
      <c r="Y905" s="13">
        <f t="shared" si="133"/>
        <v>82322.345428870467</v>
      </c>
      <c r="Z905" s="14">
        <v>0</v>
      </c>
      <c r="AA905" s="4">
        <v>0</v>
      </c>
      <c r="AB905" s="4">
        <f t="shared" si="134"/>
        <v>211589.86274509804</v>
      </c>
      <c r="AC905" s="6">
        <f t="shared" si="135"/>
        <v>4231.7972549019614</v>
      </c>
      <c r="AD905" s="6">
        <f t="shared" si="129"/>
        <v>129267.51731622758</v>
      </c>
      <c r="AE905" s="2">
        <v>7.0000000000000007E-2</v>
      </c>
      <c r="AF905" s="5">
        <f t="shared" si="136"/>
        <v>9048.7262121359308</v>
      </c>
      <c r="AG905" s="14">
        <v>0</v>
      </c>
      <c r="AH905" s="19">
        <f t="shared" si="130"/>
        <v>215821.66</v>
      </c>
      <c r="AJ905" s="126" t="e">
        <v>#N/A</v>
      </c>
      <c r="AK905" s="80">
        <f t="shared" si="137"/>
        <v>0</v>
      </c>
      <c r="AM905" s="85"/>
    </row>
    <row r="906" spans="1:39" hidden="1" x14ac:dyDescent="0.3">
      <c r="A906" s="85" t="s">
        <v>34</v>
      </c>
      <c r="B906" s="15" t="s">
        <v>35</v>
      </c>
      <c r="C906" s="15" t="s">
        <v>65</v>
      </c>
      <c r="D906" s="15" t="s">
        <v>125</v>
      </c>
      <c r="E906" s="15" t="s">
        <v>1283</v>
      </c>
      <c r="F906" s="15" t="s">
        <v>1284</v>
      </c>
      <c r="G906" s="15" t="s">
        <v>1283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1283</v>
      </c>
      <c r="N906" s="15"/>
      <c r="O906" s="8" t="s">
        <v>410</v>
      </c>
      <c r="P906" s="8" t="s">
        <v>46</v>
      </c>
      <c r="Q906" s="14">
        <v>0.01</v>
      </c>
      <c r="R906" s="139" t="s">
        <v>1285</v>
      </c>
      <c r="S906" s="15"/>
      <c r="T906" s="6">
        <v>0</v>
      </c>
      <c r="U906" s="6">
        <v>403000</v>
      </c>
      <c r="V906" s="6">
        <v>291679.90000000002</v>
      </c>
      <c r="W906" s="18">
        <f t="shared" si="128"/>
        <v>111320.09999999998</v>
      </c>
      <c r="X906" s="18">
        <f t="shared" si="132"/>
        <v>288791.98019801982</v>
      </c>
      <c r="Y906" s="13">
        <f t="shared" si="133"/>
        <v>114088.77142812373</v>
      </c>
      <c r="Z906" s="14">
        <v>0</v>
      </c>
      <c r="AA906" s="4">
        <v>0</v>
      </c>
      <c r="AB906" s="4">
        <f t="shared" si="134"/>
        <v>288791.98019801982</v>
      </c>
      <c r="AC906" s="6">
        <f t="shared" si="135"/>
        <v>2887.9198019801988</v>
      </c>
      <c r="AD906" s="6">
        <f t="shared" si="129"/>
        <v>174703.2087698961</v>
      </c>
      <c r="AE906" s="2">
        <v>7.0000000000000007E-2</v>
      </c>
      <c r="AF906" s="5">
        <f t="shared" si="136"/>
        <v>12229.224613892728</v>
      </c>
      <c r="AG906" s="14">
        <v>0</v>
      </c>
      <c r="AH906" s="19">
        <f t="shared" si="130"/>
        <v>291679.90000000002</v>
      </c>
      <c r="AJ906" s="126" t="e">
        <v>#N/A</v>
      </c>
      <c r="AK906" s="80">
        <f t="shared" si="137"/>
        <v>0</v>
      </c>
      <c r="AM906" s="85"/>
    </row>
    <row r="907" spans="1:39" hidden="1" x14ac:dyDescent="0.3">
      <c r="A907" s="85" t="s">
        <v>34</v>
      </c>
      <c r="B907" s="15" t="s">
        <v>35</v>
      </c>
      <c r="C907" s="15" t="s">
        <v>65</v>
      </c>
      <c r="D907" s="15" t="s">
        <v>125</v>
      </c>
      <c r="E907" s="15" t="s">
        <v>1283</v>
      </c>
      <c r="F907" s="15" t="s">
        <v>1284</v>
      </c>
      <c r="G907" s="15" t="s">
        <v>1283</v>
      </c>
      <c r="H907" s="139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1283</v>
      </c>
      <c r="N907" s="15"/>
      <c r="O907" s="8" t="s">
        <v>410</v>
      </c>
      <c r="P907" s="8" t="s">
        <v>46</v>
      </c>
      <c r="Q907" s="14">
        <v>0.01</v>
      </c>
      <c r="R907" s="139" t="s">
        <v>1285</v>
      </c>
      <c r="S907" s="15"/>
      <c r="T907" s="6">
        <v>0</v>
      </c>
      <c r="U907" s="6">
        <v>0</v>
      </c>
      <c r="V907" s="6">
        <v>0</v>
      </c>
      <c r="W907" s="18">
        <f t="shared" si="128"/>
        <v>0</v>
      </c>
      <c r="X907" s="18">
        <f t="shared" si="132"/>
        <v>0</v>
      </c>
      <c r="Y907" s="13">
        <f t="shared" si="133"/>
        <v>0</v>
      </c>
      <c r="Z907" s="14">
        <v>0</v>
      </c>
      <c r="AA907" s="4">
        <v>0</v>
      </c>
      <c r="AB907" s="4">
        <f t="shared" si="134"/>
        <v>0</v>
      </c>
      <c r="AC907" s="6">
        <f t="shared" si="135"/>
        <v>0</v>
      </c>
      <c r="AD907" s="6">
        <f t="shared" si="129"/>
        <v>0</v>
      </c>
      <c r="AE907" s="2">
        <v>7.0000000000000007E-2</v>
      </c>
      <c r="AF907" s="5">
        <f t="shared" si="136"/>
        <v>0</v>
      </c>
      <c r="AG907" s="14">
        <v>0</v>
      </c>
      <c r="AH907" s="19">
        <f t="shared" si="130"/>
        <v>0</v>
      </c>
      <c r="AJ907" s="126" t="e">
        <v>#N/A</v>
      </c>
      <c r="AK907" s="80">
        <f t="shared" si="137"/>
        <v>0</v>
      </c>
      <c r="AM907" s="85"/>
    </row>
    <row r="908" spans="1:39" hidden="1" x14ac:dyDescent="0.3">
      <c r="A908" s="85" t="s">
        <v>34</v>
      </c>
      <c r="B908" s="15" t="s">
        <v>35</v>
      </c>
      <c r="C908" s="15" t="s">
        <v>65</v>
      </c>
      <c r="D908" s="15" t="s">
        <v>125</v>
      </c>
      <c r="E908" s="15" t="s">
        <v>1286</v>
      </c>
      <c r="F908" s="15" t="s">
        <v>1286</v>
      </c>
      <c r="G908" s="15" t="s">
        <v>1286</v>
      </c>
      <c r="H908" s="139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1287</v>
      </c>
      <c r="N908" s="15"/>
      <c r="O908" s="8" t="s">
        <v>410</v>
      </c>
      <c r="P908" s="8" t="s">
        <v>46</v>
      </c>
      <c r="Q908" s="14">
        <v>0.01</v>
      </c>
      <c r="R908" s="139" t="s">
        <v>1288</v>
      </c>
      <c r="S908" s="15"/>
      <c r="T908" s="6">
        <v>476.01999999998952</v>
      </c>
      <c r="U908" s="6">
        <v>-479.82</v>
      </c>
      <c r="V908" s="6">
        <v>0</v>
      </c>
      <c r="W908" s="18">
        <f t="shared" si="128"/>
        <v>-3.8000000000104706</v>
      </c>
      <c r="X908" s="18">
        <f t="shared" si="132"/>
        <v>0</v>
      </c>
      <c r="Y908" s="13">
        <f t="shared" si="133"/>
        <v>0</v>
      </c>
      <c r="Z908" s="14">
        <v>0</v>
      </c>
      <c r="AA908" s="4">
        <v>0</v>
      </c>
      <c r="AB908" s="4">
        <f t="shared" si="134"/>
        <v>0</v>
      </c>
      <c r="AC908" s="6">
        <f t="shared" si="135"/>
        <v>0</v>
      </c>
      <c r="AD908" s="6">
        <f t="shared" si="129"/>
        <v>0</v>
      </c>
      <c r="AE908" s="2">
        <v>7.0000000000000007E-2</v>
      </c>
      <c r="AF908" s="5">
        <f t="shared" si="136"/>
        <v>0</v>
      </c>
      <c r="AG908" s="14">
        <v>0</v>
      </c>
      <c r="AH908" s="19">
        <f t="shared" si="130"/>
        <v>0</v>
      </c>
      <c r="AJ908" s="126" t="e">
        <v>#N/A</v>
      </c>
      <c r="AK908" s="80">
        <f t="shared" si="137"/>
        <v>0</v>
      </c>
      <c r="AM908" s="85"/>
    </row>
    <row r="909" spans="1:39" hidden="1" x14ac:dyDescent="0.3">
      <c r="A909" s="85" t="s">
        <v>34</v>
      </c>
      <c r="B909" s="15" t="s">
        <v>35</v>
      </c>
      <c r="C909" s="15" t="s">
        <v>65</v>
      </c>
      <c r="D909" s="15" t="s">
        <v>125</v>
      </c>
      <c r="E909" s="15" t="s">
        <v>1289</v>
      </c>
      <c r="F909" s="15" t="s">
        <v>1289</v>
      </c>
      <c r="G909" s="15" t="s">
        <v>1289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1289</v>
      </c>
      <c r="N909" s="15"/>
      <c r="O909" s="8" t="s">
        <v>410</v>
      </c>
      <c r="P909" s="8" t="s">
        <v>41</v>
      </c>
      <c r="Q909" s="14">
        <v>0</v>
      </c>
      <c r="R909" s="139" t="s">
        <v>1290</v>
      </c>
      <c r="S909" s="15"/>
      <c r="T909" s="6">
        <v>0</v>
      </c>
      <c r="U909" s="6">
        <v>16000</v>
      </c>
      <c r="V909" s="6">
        <v>15999.3</v>
      </c>
      <c r="W909" s="18">
        <f t="shared" si="128"/>
        <v>0.7000000000007276</v>
      </c>
      <c r="X909" s="18">
        <f t="shared" si="132"/>
        <v>15999.3</v>
      </c>
      <c r="Y909" s="13">
        <f t="shared" si="133"/>
        <v>6416.4351948756212</v>
      </c>
      <c r="Z909" s="14">
        <v>0</v>
      </c>
      <c r="AA909" s="4">
        <v>0</v>
      </c>
      <c r="AB909" s="4">
        <f t="shared" si="134"/>
        <v>15999.3</v>
      </c>
      <c r="AC909" s="6">
        <f t="shared" si="135"/>
        <v>0</v>
      </c>
      <c r="AD909" s="6">
        <f t="shared" si="129"/>
        <v>9582.8648051243781</v>
      </c>
      <c r="AE909" s="2">
        <v>7.0000000000000007E-2</v>
      </c>
      <c r="AF909" s="5">
        <f t="shared" si="136"/>
        <v>670.80053635870649</v>
      </c>
      <c r="AG909" s="14">
        <v>0</v>
      </c>
      <c r="AH909" s="19">
        <f t="shared" si="130"/>
        <v>15999.3</v>
      </c>
      <c r="AJ909" s="126" t="e">
        <v>#N/A</v>
      </c>
      <c r="AK909" s="80">
        <f t="shared" si="137"/>
        <v>0</v>
      </c>
      <c r="AM909" s="85"/>
    </row>
    <row r="910" spans="1:39" hidden="1" x14ac:dyDescent="0.3">
      <c r="A910" s="85" t="s">
        <v>34</v>
      </c>
      <c r="B910" s="15" t="s">
        <v>35</v>
      </c>
      <c r="C910" s="15" t="s">
        <v>65</v>
      </c>
      <c r="D910" s="15" t="s">
        <v>1291</v>
      </c>
      <c r="E910" s="15" t="s">
        <v>1292</v>
      </c>
      <c r="F910" s="15" t="s">
        <v>1293</v>
      </c>
      <c r="G910" s="15" t="s">
        <v>1292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1292</v>
      </c>
      <c r="N910" s="15"/>
      <c r="O910" s="8" t="s">
        <v>410</v>
      </c>
      <c r="P910" s="8" t="s">
        <v>41</v>
      </c>
      <c r="Q910" s="14">
        <v>0</v>
      </c>
      <c r="R910" s="139" t="s">
        <v>1294</v>
      </c>
      <c r="S910" s="15"/>
      <c r="T910" s="6">
        <v>0</v>
      </c>
      <c r="U910" s="6">
        <v>154250</v>
      </c>
      <c r="V910" s="6">
        <v>126317.2</v>
      </c>
      <c r="W910" s="18">
        <f t="shared" si="128"/>
        <v>27932.800000000003</v>
      </c>
      <c r="X910" s="18">
        <f t="shared" si="132"/>
        <v>126317.2</v>
      </c>
      <c r="Y910" s="13">
        <f t="shared" si="133"/>
        <v>50658.849312041333</v>
      </c>
      <c r="Z910" s="14">
        <v>0</v>
      </c>
      <c r="AA910" s="4">
        <v>0</v>
      </c>
      <c r="AB910" s="4">
        <f t="shared" si="134"/>
        <v>126317.2</v>
      </c>
      <c r="AC910" s="6">
        <f t="shared" si="135"/>
        <v>0</v>
      </c>
      <c r="AD910" s="6">
        <f t="shared" si="129"/>
        <v>75658.350687958664</v>
      </c>
      <c r="AE910" s="2">
        <v>7.0000000000000007E-2</v>
      </c>
      <c r="AF910" s="5">
        <f t="shared" si="136"/>
        <v>5296.0845481571068</v>
      </c>
      <c r="AG910" s="14">
        <v>0</v>
      </c>
      <c r="AH910" s="19">
        <f t="shared" si="130"/>
        <v>126317.2</v>
      </c>
      <c r="AJ910" s="126" t="e">
        <v>#N/A</v>
      </c>
      <c r="AK910" s="80">
        <f t="shared" si="137"/>
        <v>0</v>
      </c>
      <c r="AM910" s="85"/>
    </row>
    <row r="911" spans="1:39" hidden="1" x14ac:dyDescent="0.3">
      <c r="A911" s="85" t="s">
        <v>34</v>
      </c>
      <c r="B911" s="15" t="s">
        <v>35</v>
      </c>
      <c r="C911" s="15" t="s">
        <v>65</v>
      </c>
      <c r="D911" s="15" t="s">
        <v>1291</v>
      </c>
      <c r="E911" s="15" t="s">
        <v>1295</v>
      </c>
      <c r="F911" s="15" t="s">
        <v>1295</v>
      </c>
      <c r="G911" s="15" t="s">
        <v>1295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1295</v>
      </c>
      <c r="N911" s="15"/>
      <c r="O911" s="8" t="s">
        <v>410</v>
      </c>
      <c r="P911" s="8" t="s">
        <v>46</v>
      </c>
      <c r="Q911" s="14">
        <v>0.01</v>
      </c>
      <c r="R911" s="139" t="s">
        <v>1296</v>
      </c>
      <c r="S911" s="15"/>
      <c r="T911" s="6">
        <v>0</v>
      </c>
      <c r="U911" s="6">
        <v>20000</v>
      </c>
      <c r="V911" s="6">
        <v>17331.2</v>
      </c>
      <c r="W911" s="18">
        <f t="shared" si="128"/>
        <v>2668.7999999999993</v>
      </c>
      <c r="X911" s="18">
        <f t="shared" si="132"/>
        <v>17159.603960396042</v>
      </c>
      <c r="Y911" s="13">
        <f t="shared" si="133"/>
        <v>6778.9906516530573</v>
      </c>
      <c r="Z911" s="14">
        <v>0</v>
      </c>
      <c r="AA911" s="4">
        <v>0</v>
      </c>
      <c r="AB911" s="4">
        <f t="shared" si="134"/>
        <v>17159.603960396042</v>
      </c>
      <c r="AC911" s="6">
        <f t="shared" si="135"/>
        <v>171.59603960395907</v>
      </c>
      <c r="AD911" s="6">
        <f t="shared" si="129"/>
        <v>10380.613308742984</v>
      </c>
      <c r="AE911" s="2">
        <v>7.0000000000000007E-2</v>
      </c>
      <c r="AF911" s="5">
        <f t="shared" si="136"/>
        <v>726.64293161200897</v>
      </c>
      <c r="AG911" s="14">
        <v>0</v>
      </c>
      <c r="AH911" s="19">
        <f t="shared" si="130"/>
        <v>17331.2</v>
      </c>
      <c r="AJ911" s="126" t="e">
        <v>#N/A</v>
      </c>
      <c r="AK911" s="80">
        <f t="shared" si="137"/>
        <v>0</v>
      </c>
      <c r="AM911" s="85"/>
    </row>
    <row r="912" spans="1:39" hidden="1" x14ac:dyDescent="0.3">
      <c r="A912" s="85" t="s">
        <v>34</v>
      </c>
      <c r="B912" s="15" t="s">
        <v>35</v>
      </c>
      <c r="C912" s="15" t="s">
        <v>65</v>
      </c>
      <c r="D912" s="15" t="s">
        <v>1291</v>
      </c>
      <c r="E912" s="15" t="s">
        <v>1297</v>
      </c>
      <c r="F912" s="15" t="s">
        <v>1297</v>
      </c>
      <c r="G912" s="15" t="s">
        <v>1297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1297</v>
      </c>
      <c r="N912" s="15"/>
      <c r="O912" s="8" t="s">
        <v>410</v>
      </c>
      <c r="P912" s="8" t="s">
        <v>41</v>
      </c>
      <c r="Q912" s="14">
        <v>0</v>
      </c>
      <c r="R912" s="139" t="s">
        <v>1298</v>
      </c>
      <c r="S912" s="15"/>
      <c r="T912" s="6">
        <v>0</v>
      </c>
      <c r="U912" s="6">
        <v>10000</v>
      </c>
      <c r="V912" s="6">
        <v>3859.2</v>
      </c>
      <c r="W912" s="18">
        <f t="shared" si="128"/>
        <v>6140.8</v>
      </c>
      <c r="X912" s="18">
        <f t="shared" si="132"/>
        <v>3859.2</v>
      </c>
      <c r="Y912" s="13">
        <f t="shared" si="133"/>
        <v>1547.7118813988109</v>
      </c>
      <c r="Z912" s="14">
        <v>0</v>
      </c>
      <c r="AA912" s="4">
        <v>0</v>
      </c>
      <c r="AB912" s="4">
        <f t="shared" si="134"/>
        <v>3859.2</v>
      </c>
      <c r="AC912" s="6">
        <f t="shared" si="135"/>
        <v>0</v>
      </c>
      <c r="AD912" s="6">
        <f t="shared" si="129"/>
        <v>2311.4881186011889</v>
      </c>
      <c r="AE912" s="2">
        <v>7.0000000000000007E-2</v>
      </c>
      <c r="AF912" s="5">
        <f t="shared" si="136"/>
        <v>161.80416830208324</v>
      </c>
      <c r="AG912" s="14">
        <v>0</v>
      </c>
      <c r="AH912" s="19">
        <f t="shared" si="130"/>
        <v>3859.2</v>
      </c>
      <c r="AJ912" s="126" t="e">
        <v>#N/A</v>
      </c>
      <c r="AK912" s="80">
        <f t="shared" si="137"/>
        <v>0</v>
      </c>
      <c r="AM912" s="85"/>
    </row>
    <row r="913" spans="1:39" hidden="1" x14ac:dyDescent="0.3">
      <c r="A913" s="85" t="s">
        <v>34</v>
      </c>
      <c r="B913" s="15" t="s">
        <v>35</v>
      </c>
      <c r="C913" s="15" t="s">
        <v>65</v>
      </c>
      <c r="D913" s="15" t="s">
        <v>1291</v>
      </c>
      <c r="E913" s="15" t="s">
        <v>1299</v>
      </c>
      <c r="F913" s="15" t="s">
        <v>1299</v>
      </c>
      <c r="G913" s="15" t="s">
        <v>1299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1300</v>
      </c>
      <c r="N913" s="15"/>
      <c r="O913" s="8" t="s">
        <v>410</v>
      </c>
      <c r="P913" s="8" t="s">
        <v>41</v>
      </c>
      <c r="Q913" s="14">
        <v>0</v>
      </c>
      <c r="R913" s="139" t="s">
        <v>1301</v>
      </c>
      <c r="S913" s="15"/>
      <c r="T913" s="6">
        <v>0</v>
      </c>
      <c r="U913" s="6">
        <v>20000</v>
      </c>
      <c r="V913" s="6">
        <v>14978.400000000001</v>
      </c>
      <c r="W913" s="18">
        <f t="shared" si="128"/>
        <v>5021.5999999999985</v>
      </c>
      <c r="X913" s="18">
        <f t="shared" si="132"/>
        <v>14978.400000000001</v>
      </c>
      <c r="Y913" s="13">
        <f t="shared" si="133"/>
        <v>6007.0086143096887</v>
      </c>
      <c r="Z913" s="14">
        <v>0</v>
      </c>
      <c r="AA913" s="4">
        <v>0</v>
      </c>
      <c r="AB913" s="4">
        <f t="shared" si="134"/>
        <v>14978.400000000001</v>
      </c>
      <c r="AC913" s="6">
        <f t="shared" si="135"/>
        <v>0</v>
      </c>
      <c r="AD913" s="6">
        <f t="shared" si="129"/>
        <v>8971.3913856903127</v>
      </c>
      <c r="AE913" s="2">
        <v>7.0000000000000007E-2</v>
      </c>
      <c r="AF913" s="5">
        <f t="shared" si="136"/>
        <v>627.99739699832196</v>
      </c>
      <c r="AG913" s="14">
        <v>0</v>
      </c>
      <c r="AH913" s="19">
        <f t="shared" si="130"/>
        <v>14978.400000000001</v>
      </c>
      <c r="AJ913" s="126" t="e">
        <v>#N/A</v>
      </c>
      <c r="AK913" s="80">
        <f t="shared" si="137"/>
        <v>0</v>
      </c>
      <c r="AM913" s="85"/>
    </row>
    <row r="914" spans="1:39" hidden="1" x14ac:dyDescent="0.3">
      <c r="A914" s="85" t="s">
        <v>34</v>
      </c>
      <c r="B914" s="15" t="s">
        <v>35</v>
      </c>
      <c r="C914" s="15" t="s">
        <v>65</v>
      </c>
      <c r="D914" s="15" t="s">
        <v>1291</v>
      </c>
      <c r="E914" s="15" t="s">
        <v>1302</v>
      </c>
      <c r="F914" s="15" t="s">
        <v>1303</v>
      </c>
      <c r="G914" s="15" t="s">
        <v>1302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1304</v>
      </c>
      <c r="N914" s="15"/>
      <c r="O914" s="8" t="s">
        <v>410</v>
      </c>
      <c r="P914" s="8" t="s">
        <v>41</v>
      </c>
      <c r="Q914" s="14">
        <v>0</v>
      </c>
      <c r="R914" s="139" t="s">
        <v>1305</v>
      </c>
      <c r="S914" s="15"/>
      <c r="T914" s="6">
        <v>0</v>
      </c>
      <c r="U914" s="6">
        <v>39801.979999999996</v>
      </c>
      <c r="V914" s="6">
        <v>20840.5</v>
      </c>
      <c r="W914" s="18">
        <f t="shared" si="128"/>
        <v>18961.479999999996</v>
      </c>
      <c r="X914" s="18">
        <f t="shared" si="132"/>
        <v>20840.5</v>
      </c>
      <c r="Y914" s="13">
        <f t="shared" si="133"/>
        <v>8357.9730162447977</v>
      </c>
      <c r="Z914" s="14">
        <v>0</v>
      </c>
      <c r="AA914" s="4">
        <v>0</v>
      </c>
      <c r="AB914" s="4">
        <f t="shared" si="134"/>
        <v>20840.5</v>
      </c>
      <c r="AC914" s="6">
        <f t="shared" si="135"/>
        <v>0</v>
      </c>
      <c r="AD914" s="6">
        <f t="shared" si="129"/>
        <v>12482.526983755202</v>
      </c>
      <c r="AE914" s="2">
        <v>7.0000000000000007E-2</v>
      </c>
      <c r="AF914" s="5">
        <f t="shared" si="136"/>
        <v>873.77688886286421</v>
      </c>
      <c r="AG914" s="14">
        <v>0</v>
      </c>
      <c r="AH914" s="19">
        <f t="shared" si="130"/>
        <v>20840.5</v>
      </c>
      <c r="AJ914" s="126" t="e">
        <v>#N/A</v>
      </c>
      <c r="AK914" s="80">
        <f t="shared" si="137"/>
        <v>0</v>
      </c>
      <c r="AM914" s="85"/>
    </row>
    <row r="915" spans="1:39" hidden="1" x14ac:dyDescent="0.3">
      <c r="A915" s="85" t="s">
        <v>34</v>
      </c>
      <c r="B915" s="15" t="s">
        <v>35</v>
      </c>
      <c r="C915" s="15" t="s">
        <v>65</v>
      </c>
      <c r="D915" s="15" t="s">
        <v>1291</v>
      </c>
      <c r="E915" s="15" t="s">
        <v>1306</v>
      </c>
      <c r="F915" s="15" t="s">
        <v>1306</v>
      </c>
      <c r="G915" s="15" t="s">
        <v>1306</v>
      </c>
      <c r="H915" s="139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1306</v>
      </c>
      <c r="N915" s="15"/>
      <c r="O915" s="8" t="s">
        <v>410</v>
      </c>
      <c r="P915" s="8" t="s">
        <v>41</v>
      </c>
      <c r="Q915" s="14">
        <v>0</v>
      </c>
      <c r="R915" s="139" t="s">
        <v>1307</v>
      </c>
      <c r="S915" s="15"/>
      <c r="T915" s="6">
        <v>0</v>
      </c>
      <c r="U915" s="6">
        <v>10000</v>
      </c>
      <c r="V915" s="6">
        <v>0</v>
      </c>
      <c r="W915" s="18">
        <f t="shared" si="128"/>
        <v>10000</v>
      </c>
      <c r="X915" s="18">
        <f t="shared" si="132"/>
        <v>0</v>
      </c>
      <c r="Y915" s="13">
        <f t="shared" si="133"/>
        <v>0</v>
      </c>
      <c r="Z915" s="14">
        <v>0</v>
      </c>
      <c r="AA915" s="4">
        <v>0</v>
      </c>
      <c r="AB915" s="4">
        <f t="shared" si="134"/>
        <v>0</v>
      </c>
      <c r="AC915" s="6">
        <f t="shared" si="135"/>
        <v>0</v>
      </c>
      <c r="AD915" s="6">
        <f t="shared" si="129"/>
        <v>0</v>
      </c>
      <c r="AE915" s="2">
        <v>7.0000000000000007E-2</v>
      </c>
      <c r="AF915" s="5">
        <f t="shared" si="136"/>
        <v>0</v>
      </c>
      <c r="AG915" s="14">
        <v>0</v>
      </c>
      <c r="AH915" s="19">
        <f t="shared" si="130"/>
        <v>0</v>
      </c>
      <c r="AJ915" s="126" t="e">
        <v>#N/A</v>
      </c>
      <c r="AK915" s="80">
        <f t="shared" si="137"/>
        <v>0</v>
      </c>
      <c r="AM915" s="85"/>
    </row>
    <row r="916" spans="1:39" hidden="1" x14ac:dyDescent="0.3">
      <c r="A916" s="85" t="s">
        <v>34</v>
      </c>
      <c r="B916" s="15" t="s">
        <v>35</v>
      </c>
      <c r="C916" s="15" t="s">
        <v>65</v>
      </c>
      <c r="D916" s="15" t="s">
        <v>1291</v>
      </c>
      <c r="E916" s="15" t="s">
        <v>1308</v>
      </c>
      <c r="F916" s="15" t="s">
        <v>1309</v>
      </c>
      <c r="G916" s="15" t="s">
        <v>1308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1308</v>
      </c>
      <c r="N916" s="15"/>
      <c r="O916" s="8" t="s">
        <v>410</v>
      </c>
      <c r="P916" s="8" t="s">
        <v>41</v>
      </c>
      <c r="Q916" s="14">
        <v>0</v>
      </c>
      <c r="R916" s="139" t="s">
        <v>1310</v>
      </c>
      <c r="S916" s="15"/>
      <c r="T916" s="6">
        <v>0</v>
      </c>
      <c r="U916" s="6">
        <v>250000</v>
      </c>
      <c r="V916" s="6">
        <v>101187.8</v>
      </c>
      <c r="W916" s="18">
        <f t="shared" si="128"/>
        <v>148812.20000000001</v>
      </c>
      <c r="X916" s="18">
        <f t="shared" si="132"/>
        <v>101187.8</v>
      </c>
      <c r="Y916" s="13">
        <f t="shared" si="133"/>
        <v>40580.835487304787</v>
      </c>
      <c r="Z916" s="14">
        <v>0</v>
      </c>
      <c r="AA916" s="4">
        <v>0</v>
      </c>
      <c r="AB916" s="4">
        <f t="shared" si="134"/>
        <v>101187.8</v>
      </c>
      <c r="AC916" s="6">
        <f t="shared" si="135"/>
        <v>0</v>
      </c>
      <c r="AD916" s="6">
        <f t="shared" si="129"/>
        <v>60606.964512695216</v>
      </c>
      <c r="AE916" s="2">
        <v>7.0000000000000007E-2</v>
      </c>
      <c r="AF916" s="5">
        <f t="shared" si="136"/>
        <v>4242.4875158886653</v>
      </c>
      <c r="AG916" s="14">
        <v>0</v>
      </c>
      <c r="AH916" s="19">
        <f t="shared" si="130"/>
        <v>101187.8</v>
      </c>
      <c r="AJ916" s="126" t="e">
        <v>#N/A</v>
      </c>
      <c r="AK916" s="80">
        <f t="shared" si="137"/>
        <v>0</v>
      </c>
      <c r="AM916" s="85"/>
    </row>
    <row r="917" spans="1:39" hidden="1" x14ac:dyDescent="0.3">
      <c r="A917" s="85" t="s">
        <v>34</v>
      </c>
      <c r="B917" s="15" t="s">
        <v>35</v>
      </c>
      <c r="C917" s="15" t="s">
        <v>65</v>
      </c>
      <c r="D917" s="15" t="s">
        <v>1291</v>
      </c>
      <c r="E917" s="15" t="s">
        <v>1300</v>
      </c>
      <c r="F917" s="15" t="s">
        <v>1300</v>
      </c>
      <c r="G917" s="15" t="s">
        <v>1300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1300</v>
      </c>
      <c r="N917" s="15"/>
      <c r="O917" s="8" t="s">
        <v>410</v>
      </c>
      <c r="P917" s="8" t="s">
        <v>41</v>
      </c>
      <c r="Q917" s="14">
        <v>0</v>
      </c>
      <c r="R917" s="139" t="s">
        <v>1301</v>
      </c>
      <c r="S917" s="15"/>
      <c r="T917" s="6">
        <v>0</v>
      </c>
      <c r="U917" s="6">
        <v>20000</v>
      </c>
      <c r="V917" s="6">
        <v>20000</v>
      </c>
      <c r="W917" s="18">
        <f t="shared" ref="W917:W980" si="138">T917+U917-V917</f>
        <v>0</v>
      </c>
      <c r="X917" s="18">
        <f t="shared" si="132"/>
        <v>20000</v>
      </c>
      <c r="Y917" s="13">
        <f t="shared" si="133"/>
        <v>8020.8949077467405</v>
      </c>
      <c r="Z917" s="14">
        <v>0</v>
      </c>
      <c r="AA917" s="4">
        <v>0</v>
      </c>
      <c r="AB917" s="4">
        <f t="shared" si="134"/>
        <v>20000</v>
      </c>
      <c r="AC917" s="6">
        <f t="shared" si="135"/>
        <v>0</v>
      </c>
      <c r="AD917" s="6">
        <f t="shared" ref="AD917:AD980" si="139">V917*0.598955254612663</f>
        <v>11979.105092253259</v>
      </c>
      <c r="AE917" s="2">
        <v>7.0000000000000007E-2</v>
      </c>
      <c r="AF917" s="5">
        <f t="shared" si="136"/>
        <v>838.53735645772827</v>
      </c>
      <c r="AG917" s="14">
        <v>0</v>
      </c>
      <c r="AH917" s="19">
        <f t="shared" ref="AH917:AH980" si="140">V917</f>
        <v>20000</v>
      </c>
      <c r="AJ917" s="126" t="e">
        <v>#N/A</v>
      </c>
      <c r="AK917" s="80">
        <f t="shared" si="137"/>
        <v>0</v>
      </c>
      <c r="AM917" s="85"/>
    </row>
    <row r="918" spans="1:39" hidden="1" x14ac:dyDescent="0.3">
      <c r="A918" s="85" t="s">
        <v>34</v>
      </c>
      <c r="B918" s="15" t="s">
        <v>35</v>
      </c>
      <c r="C918" s="15" t="s">
        <v>65</v>
      </c>
      <c r="D918" s="15" t="s">
        <v>1291</v>
      </c>
      <c r="E918" s="15" t="s">
        <v>1311</v>
      </c>
      <c r="F918" s="15" t="s">
        <v>1312</v>
      </c>
      <c r="G918" s="15" t="s">
        <v>1311</v>
      </c>
      <c r="H918" s="154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1311</v>
      </c>
      <c r="N918" s="15"/>
      <c r="O918" s="8" t="s">
        <v>410</v>
      </c>
      <c r="P918" s="8" t="s">
        <v>41</v>
      </c>
      <c r="Q918" s="14">
        <v>0</v>
      </c>
      <c r="R918" s="139" t="s">
        <v>1313</v>
      </c>
      <c r="S918" s="15"/>
      <c r="T918" s="6">
        <v>0</v>
      </c>
      <c r="U918" s="6">
        <v>66000</v>
      </c>
      <c r="V918" s="6">
        <v>54048</v>
      </c>
      <c r="W918" s="18">
        <f t="shared" si="138"/>
        <v>11952</v>
      </c>
      <c r="X918" s="18">
        <f t="shared" si="132"/>
        <v>54048</v>
      </c>
      <c r="Y918" s="13">
        <f t="shared" si="133"/>
        <v>21675.666398694793</v>
      </c>
      <c r="Z918" s="14">
        <v>0</v>
      </c>
      <c r="AA918" s="4">
        <v>0</v>
      </c>
      <c r="AB918" s="4">
        <f t="shared" si="134"/>
        <v>54048</v>
      </c>
      <c r="AC918" s="6">
        <f t="shared" si="135"/>
        <v>0</v>
      </c>
      <c r="AD918" s="6">
        <f t="shared" si="139"/>
        <v>32372.333601305207</v>
      </c>
      <c r="AE918" s="2">
        <v>7.0000000000000007E-2</v>
      </c>
      <c r="AF918" s="5">
        <f t="shared" si="136"/>
        <v>2266.0633520913648</v>
      </c>
      <c r="AG918" s="14">
        <v>0</v>
      </c>
      <c r="AH918" s="19">
        <f t="shared" si="140"/>
        <v>54048</v>
      </c>
      <c r="AJ918" s="126" t="e">
        <v>#N/A</v>
      </c>
      <c r="AK918" s="80">
        <f t="shared" si="137"/>
        <v>0</v>
      </c>
      <c r="AM918" s="85"/>
    </row>
    <row r="919" spans="1:39" hidden="1" x14ac:dyDescent="0.3">
      <c r="A919" s="85" t="s">
        <v>34</v>
      </c>
      <c r="B919" s="15" t="s">
        <v>35</v>
      </c>
      <c r="C919" s="15" t="s">
        <v>65</v>
      </c>
      <c r="D919" s="15" t="s">
        <v>1291</v>
      </c>
      <c r="E919" s="15" t="s">
        <v>1314</v>
      </c>
      <c r="F919" s="15" t="s">
        <v>1314</v>
      </c>
      <c r="G919" s="15" t="s">
        <v>1314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1315</v>
      </c>
      <c r="N919" s="15"/>
      <c r="O919" s="8" t="s">
        <v>410</v>
      </c>
      <c r="P919" s="8" t="s">
        <v>41</v>
      </c>
      <c r="Q919" s="14">
        <v>0</v>
      </c>
      <c r="R919" s="139" t="s">
        <v>1316</v>
      </c>
      <c r="S919" s="15"/>
      <c r="T919" s="6">
        <v>0</v>
      </c>
      <c r="U919" s="6">
        <v>55000</v>
      </c>
      <c r="V919" s="6">
        <v>54807.6</v>
      </c>
      <c r="W919" s="18">
        <f t="shared" si="138"/>
        <v>192.40000000000146</v>
      </c>
      <c r="X919" s="18">
        <f t="shared" si="132"/>
        <v>54807.6</v>
      </c>
      <c r="Y919" s="13">
        <f t="shared" si="133"/>
        <v>21980.299987291015</v>
      </c>
      <c r="Z919" s="14">
        <v>0</v>
      </c>
      <c r="AA919" s="4">
        <v>0</v>
      </c>
      <c r="AB919" s="4">
        <f t="shared" si="134"/>
        <v>54807.6</v>
      </c>
      <c r="AC919" s="6">
        <f t="shared" si="135"/>
        <v>0</v>
      </c>
      <c r="AD919" s="6">
        <f t="shared" si="139"/>
        <v>32827.300012708984</v>
      </c>
      <c r="AE919" s="2">
        <v>7.0000000000000007E-2</v>
      </c>
      <c r="AF919" s="5">
        <f t="shared" si="136"/>
        <v>2297.9110008896291</v>
      </c>
      <c r="AG919" s="14">
        <v>0</v>
      </c>
      <c r="AH919" s="19">
        <f t="shared" si="140"/>
        <v>54807.6</v>
      </c>
      <c r="AJ919" s="126" t="e">
        <v>#N/A</v>
      </c>
      <c r="AK919" s="80">
        <f t="shared" si="137"/>
        <v>0</v>
      </c>
      <c r="AM919" s="85"/>
    </row>
    <row r="920" spans="1:39" hidden="1" x14ac:dyDescent="0.3">
      <c r="A920" s="85" t="s">
        <v>34</v>
      </c>
      <c r="B920" s="15" t="s">
        <v>35</v>
      </c>
      <c r="C920" s="15" t="s">
        <v>47</v>
      </c>
      <c r="D920" s="15" t="s">
        <v>1317</v>
      </c>
      <c r="E920" s="15" t="s">
        <v>1318</v>
      </c>
      <c r="F920" s="15" t="s">
        <v>1318</v>
      </c>
      <c r="G920" s="15" t="s">
        <v>1318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1318</v>
      </c>
      <c r="N920" s="15"/>
      <c r="O920" s="8" t="s">
        <v>410</v>
      </c>
      <c r="P920" s="8" t="s">
        <v>41</v>
      </c>
      <c r="Q920" s="14">
        <v>0</v>
      </c>
      <c r="R920" s="139" t="s">
        <v>1319</v>
      </c>
      <c r="S920" s="15"/>
      <c r="T920" s="6">
        <v>2708.239999999998</v>
      </c>
      <c r="U920" s="6">
        <v>20000</v>
      </c>
      <c r="V920" s="6">
        <v>13627</v>
      </c>
      <c r="W920" s="18">
        <f t="shared" si="138"/>
        <v>9081.239999999998</v>
      </c>
      <c r="X920" s="18">
        <f t="shared" si="132"/>
        <v>13627</v>
      </c>
      <c r="Y920" s="13">
        <f t="shared" si="133"/>
        <v>5465.0367453932413</v>
      </c>
      <c r="Z920" s="14">
        <v>0</v>
      </c>
      <c r="AA920" s="4">
        <v>0</v>
      </c>
      <c r="AB920" s="4">
        <f t="shared" si="134"/>
        <v>13627</v>
      </c>
      <c r="AC920" s="6">
        <f t="shared" si="135"/>
        <v>0</v>
      </c>
      <c r="AD920" s="6">
        <f t="shared" si="139"/>
        <v>8161.9632546067587</v>
      </c>
      <c r="AE920" s="2">
        <v>7.0000000000000007E-2</v>
      </c>
      <c r="AF920" s="5">
        <f t="shared" si="136"/>
        <v>571.33742782247316</v>
      </c>
      <c r="AG920" s="14">
        <v>0</v>
      </c>
      <c r="AH920" s="19">
        <f t="shared" si="140"/>
        <v>13627</v>
      </c>
      <c r="AJ920" s="126" t="e">
        <v>#N/A</v>
      </c>
      <c r="AK920" s="80">
        <f t="shared" si="137"/>
        <v>0</v>
      </c>
      <c r="AM920" s="85"/>
    </row>
    <row r="921" spans="1:39" hidden="1" x14ac:dyDescent="0.3">
      <c r="A921" s="85" t="s">
        <v>34</v>
      </c>
      <c r="B921" s="15" t="s">
        <v>35</v>
      </c>
      <c r="C921" s="15" t="s">
        <v>47</v>
      </c>
      <c r="D921" s="15" t="s">
        <v>63</v>
      </c>
      <c r="E921" s="15" t="s">
        <v>1320</v>
      </c>
      <c r="F921" s="15" t="s">
        <v>1321</v>
      </c>
      <c r="G921" s="15" t="s">
        <v>1320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1320</v>
      </c>
      <c r="N921" s="15"/>
      <c r="O921" s="8" t="s">
        <v>410</v>
      </c>
      <c r="P921" s="8" t="s">
        <v>41</v>
      </c>
      <c r="Q921" s="14">
        <v>0</v>
      </c>
      <c r="R921" s="139" t="s">
        <v>1322</v>
      </c>
      <c r="S921" s="15"/>
      <c r="T921" s="6">
        <v>0</v>
      </c>
      <c r="U921" s="6">
        <v>3400000</v>
      </c>
      <c r="V921" s="6">
        <v>3224799.2371999999</v>
      </c>
      <c r="W921" s="18">
        <f t="shared" si="138"/>
        <v>175200.76280000014</v>
      </c>
      <c r="X921" s="18">
        <f t="shared" si="132"/>
        <v>3224799.2371999999</v>
      </c>
      <c r="Y921" s="13">
        <f t="shared" si="133"/>
        <v>1293288.7890081527</v>
      </c>
      <c r="Z921" s="14">
        <v>0</v>
      </c>
      <c r="AA921" s="4">
        <v>0</v>
      </c>
      <c r="AB921" s="4">
        <f t="shared" si="134"/>
        <v>3224799.2371999999</v>
      </c>
      <c r="AC921" s="6">
        <f t="shared" si="135"/>
        <v>0</v>
      </c>
      <c r="AD921" s="6">
        <f t="shared" si="139"/>
        <v>1931510.4481918472</v>
      </c>
      <c r="AE921" s="2">
        <v>7.0000000000000007E-2</v>
      </c>
      <c r="AF921" s="5">
        <f t="shared" si="136"/>
        <v>135205.73137342933</v>
      </c>
      <c r="AG921" s="14">
        <v>0</v>
      </c>
      <c r="AH921" s="19">
        <f t="shared" si="140"/>
        <v>3224799.2371999999</v>
      </c>
      <c r="AJ921" s="126" t="e">
        <v>#N/A</v>
      </c>
      <c r="AK921" s="80">
        <f t="shared" si="137"/>
        <v>0</v>
      </c>
      <c r="AM921" s="85"/>
    </row>
    <row r="922" spans="1:39" hidden="1" x14ac:dyDescent="0.3">
      <c r="A922" s="85" t="s">
        <v>34</v>
      </c>
      <c r="B922" s="15" t="s">
        <v>35</v>
      </c>
      <c r="C922" s="15" t="s">
        <v>47</v>
      </c>
      <c r="D922" s="15" t="s">
        <v>63</v>
      </c>
      <c r="E922" s="15" t="s">
        <v>1323</v>
      </c>
      <c r="F922" s="15" t="s">
        <v>1323</v>
      </c>
      <c r="G922" s="15" t="s">
        <v>1323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1323</v>
      </c>
      <c r="N922" s="15"/>
      <c r="O922" s="8" t="s">
        <v>410</v>
      </c>
      <c r="P922" s="8" t="s">
        <v>92</v>
      </c>
      <c r="Q922" s="14">
        <v>0.98</v>
      </c>
      <c r="R922" s="139" t="s">
        <v>1324</v>
      </c>
      <c r="S922" s="15"/>
      <c r="T922" s="6">
        <v>0</v>
      </c>
      <c r="U922" s="6">
        <v>22775</v>
      </c>
      <c r="V922" s="6">
        <v>789</v>
      </c>
      <c r="W922" s="18">
        <f t="shared" si="138"/>
        <v>21986</v>
      </c>
      <c r="X922" s="18">
        <f t="shared" si="132"/>
        <v>773.22</v>
      </c>
      <c r="Y922" s="13">
        <f t="shared" si="133"/>
        <v>300.64430411060897</v>
      </c>
      <c r="Z922" s="14">
        <v>0</v>
      </c>
      <c r="AA922" s="4">
        <v>0</v>
      </c>
      <c r="AB922" s="4">
        <f t="shared" si="134"/>
        <v>773.22</v>
      </c>
      <c r="AC922" s="6">
        <f t="shared" si="135"/>
        <v>15.779999999999973</v>
      </c>
      <c r="AD922" s="6">
        <f t="shared" si="139"/>
        <v>472.57569588939106</v>
      </c>
      <c r="AE922" s="2">
        <v>7.0000000000000007E-2</v>
      </c>
      <c r="AF922" s="5">
        <f t="shared" si="136"/>
        <v>33.080298712257374</v>
      </c>
      <c r="AG922" s="14">
        <v>0</v>
      </c>
      <c r="AH922" s="19">
        <f t="shared" si="140"/>
        <v>789</v>
      </c>
      <c r="AJ922" s="126" t="e">
        <v>#N/A</v>
      </c>
      <c r="AK922" s="80">
        <f t="shared" si="137"/>
        <v>0</v>
      </c>
      <c r="AM922" s="85"/>
    </row>
    <row r="923" spans="1:39" hidden="1" x14ac:dyDescent="0.3">
      <c r="A923" s="85" t="s">
        <v>34</v>
      </c>
      <c r="B923" s="15" t="s">
        <v>35</v>
      </c>
      <c r="C923" s="15" t="s">
        <v>47</v>
      </c>
      <c r="D923" s="15" t="s">
        <v>63</v>
      </c>
      <c r="E923" s="15" t="s">
        <v>1325</v>
      </c>
      <c r="F923" s="15" t="s">
        <v>1325</v>
      </c>
      <c r="G923" s="15" t="s">
        <v>1325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1325</v>
      </c>
      <c r="N923" s="15"/>
      <c r="O923" s="8" t="s">
        <v>410</v>
      </c>
      <c r="P923" s="8" t="s">
        <v>41</v>
      </c>
      <c r="Q923" s="14">
        <v>0</v>
      </c>
      <c r="R923" s="139" t="s">
        <v>1326</v>
      </c>
      <c r="S923" s="15"/>
      <c r="T923" s="6">
        <v>0</v>
      </c>
      <c r="U923" s="6">
        <v>80000</v>
      </c>
      <c r="V923" s="6">
        <v>72380.429999999993</v>
      </c>
      <c r="W923" s="18">
        <f t="shared" si="138"/>
        <v>7619.570000000007</v>
      </c>
      <c r="X923" s="18">
        <f t="shared" si="132"/>
        <v>72380.429999999993</v>
      </c>
      <c r="Y923" s="13">
        <f t="shared" si="133"/>
        <v>29027.791120375965</v>
      </c>
      <c r="Z923" s="14">
        <v>0</v>
      </c>
      <c r="AA923" s="4">
        <v>0</v>
      </c>
      <c r="AB923" s="4">
        <f t="shared" si="134"/>
        <v>72380.429999999993</v>
      </c>
      <c r="AC923" s="6">
        <f t="shared" si="135"/>
        <v>0</v>
      </c>
      <c r="AD923" s="6">
        <f t="shared" si="139"/>
        <v>43352.638879624028</v>
      </c>
      <c r="AE923" s="2">
        <v>7.0000000000000007E-2</v>
      </c>
      <c r="AF923" s="5">
        <f t="shared" si="136"/>
        <v>3034.6847215736821</v>
      </c>
      <c r="AG923" s="14">
        <v>0</v>
      </c>
      <c r="AH923" s="19">
        <f t="shared" si="140"/>
        <v>72380.429999999993</v>
      </c>
      <c r="AJ923" s="126" t="e">
        <v>#N/A</v>
      </c>
      <c r="AK923" s="80">
        <f t="shared" si="137"/>
        <v>0</v>
      </c>
      <c r="AM923" s="85"/>
    </row>
    <row r="924" spans="1:39" hidden="1" x14ac:dyDescent="0.3">
      <c r="A924" s="85" t="s">
        <v>34</v>
      </c>
      <c r="B924" s="15" t="s">
        <v>35</v>
      </c>
      <c r="C924" s="15" t="s">
        <v>47</v>
      </c>
      <c r="D924" s="15" t="s">
        <v>63</v>
      </c>
      <c r="E924" s="15" t="s">
        <v>1325</v>
      </c>
      <c r="F924" s="15" t="s">
        <v>1325</v>
      </c>
      <c r="G924" s="15" t="s">
        <v>1325</v>
      </c>
      <c r="H924" s="154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1325</v>
      </c>
      <c r="N924" s="15"/>
      <c r="O924" s="8" t="s">
        <v>410</v>
      </c>
      <c r="P924" s="8" t="s">
        <v>1327</v>
      </c>
      <c r="Q924" s="14">
        <v>0</v>
      </c>
      <c r="R924" s="139" t="s">
        <v>1326</v>
      </c>
      <c r="S924" s="15"/>
      <c r="T924" s="6">
        <v>6629.9700000000012</v>
      </c>
      <c r="U924" s="6">
        <v>10000</v>
      </c>
      <c r="V924" s="6">
        <v>16629.97</v>
      </c>
      <c r="W924" s="18">
        <f t="shared" si="138"/>
        <v>0</v>
      </c>
      <c r="X924" s="18">
        <f t="shared" si="132"/>
        <v>16629.97</v>
      </c>
      <c r="Y924" s="13">
        <f t="shared" si="133"/>
        <v>6669.3620844490542</v>
      </c>
      <c r="Z924" s="14">
        <v>0</v>
      </c>
      <c r="AA924" s="4">
        <v>0</v>
      </c>
      <c r="AB924" s="4">
        <f t="shared" si="134"/>
        <v>16629.97</v>
      </c>
      <c r="AC924" s="6">
        <f t="shared" si="135"/>
        <v>0</v>
      </c>
      <c r="AD924" s="6">
        <f t="shared" si="139"/>
        <v>9960.6079155509469</v>
      </c>
      <c r="AE924" s="2">
        <v>7.0000000000000007E-2</v>
      </c>
      <c r="AF924" s="5">
        <f t="shared" si="136"/>
        <v>697.24255408856641</v>
      </c>
      <c r="AG924" s="14">
        <v>0</v>
      </c>
      <c r="AH924" s="19">
        <f t="shared" si="140"/>
        <v>16629.97</v>
      </c>
      <c r="AJ924" s="126" t="e">
        <v>#N/A</v>
      </c>
      <c r="AK924" s="80">
        <f t="shared" si="137"/>
        <v>0</v>
      </c>
      <c r="AM924" s="85"/>
    </row>
    <row r="925" spans="1:39" hidden="1" x14ac:dyDescent="0.3">
      <c r="A925" s="85" t="s">
        <v>34</v>
      </c>
      <c r="B925" s="15" t="s">
        <v>35</v>
      </c>
      <c r="C925" s="15" t="s">
        <v>47</v>
      </c>
      <c r="D925" s="15" t="s">
        <v>63</v>
      </c>
      <c r="E925" s="15" t="s">
        <v>1328</v>
      </c>
      <c r="F925" s="15" t="s">
        <v>1328</v>
      </c>
      <c r="G925" s="15" t="s">
        <v>1328</v>
      </c>
      <c r="H925" s="139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1328</v>
      </c>
      <c r="N925" s="15"/>
      <c r="O925" s="8" t="s">
        <v>410</v>
      </c>
      <c r="P925" s="8" t="s">
        <v>41</v>
      </c>
      <c r="Q925" s="14">
        <v>0</v>
      </c>
      <c r="R925" s="139">
        <v>18122458657</v>
      </c>
      <c r="S925" s="15"/>
      <c r="T925" s="6">
        <v>0</v>
      </c>
      <c r="U925" s="6">
        <v>0</v>
      </c>
      <c r="V925" s="6">
        <v>0</v>
      </c>
      <c r="W925" s="18">
        <f t="shared" si="138"/>
        <v>0</v>
      </c>
      <c r="X925" s="18">
        <f t="shared" si="132"/>
        <v>0</v>
      </c>
      <c r="Y925" s="13">
        <f t="shared" si="133"/>
        <v>0</v>
      </c>
      <c r="Z925" s="14">
        <v>0</v>
      </c>
      <c r="AA925" s="4">
        <v>0</v>
      </c>
      <c r="AB925" s="4">
        <f t="shared" si="134"/>
        <v>0</v>
      </c>
      <c r="AC925" s="6">
        <f t="shared" si="135"/>
        <v>0</v>
      </c>
      <c r="AD925" s="6">
        <f t="shared" si="139"/>
        <v>0</v>
      </c>
      <c r="AE925" s="2">
        <v>7.0000000000000007E-2</v>
      </c>
      <c r="AF925" s="5">
        <f t="shared" si="136"/>
        <v>0</v>
      </c>
      <c r="AG925" s="14">
        <v>0</v>
      </c>
      <c r="AH925" s="19">
        <f t="shared" si="140"/>
        <v>0</v>
      </c>
      <c r="AJ925" s="126" t="e">
        <v>#N/A</v>
      </c>
      <c r="AK925" s="80">
        <f t="shared" si="137"/>
        <v>0</v>
      </c>
      <c r="AM925" s="85"/>
    </row>
    <row r="926" spans="1:39" hidden="1" x14ac:dyDescent="0.3">
      <c r="A926" s="85" t="s">
        <v>34</v>
      </c>
      <c r="B926" s="15" t="s">
        <v>35</v>
      </c>
      <c r="C926" s="15" t="s">
        <v>47</v>
      </c>
      <c r="D926" s="15" t="s">
        <v>63</v>
      </c>
      <c r="E926" s="15" t="s">
        <v>1328</v>
      </c>
      <c r="F926" s="15" t="s">
        <v>1328</v>
      </c>
      <c r="G926" s="15" t="s">
        <v>1328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1328</v>
      </c>
      <c r="N926" s="15"/>
      <c r="O926" s="8" t="s">
        <v>410</v>
      </c>
      <c r="P926" s="8" t="s">
        <v>41</v>
      </c>
      <c r="Q926" s="14">
        <v>0</v>
      </c>
      <c r="R926" s="139">
        <v>18122458657</v>
      </c>
      <c r="S926" s="15"/>
      <c r="T926" s="6">
        <v>1356.450040000007</v>
      </c>
      <c r="U926" s="6">
        <v>25000</v>
      </c>
      <c r="V926" s="6">
        <v>25925.999970000001</v>
      </c>
      <c r="W926" s="18">
        <f t="shared" si="138"/>
        <v>430.45007000000624</v>
      </c>
      <c r="X926" s="18">
        <f t="shared" si="132"/>
        <v>25925.999970000001</v>
      </c>
      <c r="Y926" s="13">
        <f t="shared" si="133"/>
        <v>10397.486056880758</v>
      </c>
      <c r="Z926" s="14">
        <v>0</v>
      </c>
      <c r="AA926" s="4">
        <v>0</v>
      </c>
      <c r="AB926" s="4">
        <f t="shared" si="134"/>
        <v>25925.999970000001</v>
      </c>
      <c r="AC926" s="6">
        <f t="shared" si="135"/>
        <v>0</v>
      </c>
      <c r="AD926" s="6">
        <f t="shared" si="139"/>
        <v>15528.513913119243</v>
      </c>
      <c r="AE926" s="2">
        <v>7.0000000000000007E-2</v>
      </c>
      <c r="AF926" s="5">
        <f t="shared" si="136"/>
        <v>1086.9959739183471</v>
      </c>
      <c r="AG926" s="14">
        <v>0</v>
      </c>
      <c r="AH926" s="19">
        <f t="shared" si="140"/>
        <v>25925.999970000001</v>
      </c>
      <c r="AJ926" s="126" t="e">
        <v>#N/A</v>
      </c>
      <c r="AK926" s="80">
        <f t="shared" si="137"/>
        <v>0</v>
      </c>
      <c r="AM926" s="85"/>
    </row>
    <row r="927" spans="1:39" hidden="1" x14ac:dyDescent="0.3">
      <c r="A927" s="85" t="s">
        <v>34</v>
      </c>
      <c r="B927" s="15" t="s">
        <v>35</v>
      </c>
      <c r="C927" s="15" t="s">
        <v>47</v>
      </c>
      <c r="D927" s="15" t="s">
        <v>63</v>
      </c>
      <c r="E927" s="15" t="s">
        <v>1329</v>
      </c>
      <c r="F927" s="15" t="s">
        <v>1330</v>
      </c>
      <c r="G927" s="15" t="s">
        <v>1329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1329</v>
      </c>
      <c r="N927" s="15"/>
      <c r="O927" s="8" t="s">
        <v>410</v>
      </c>
      <c r="P927" s="8" t="s">
        <v>46</v>
      </c>
      <c r="Q927" s="14">
        <v>0.02</v>
      </c>
      <c r="R927" s="139" t="s">
        <v>1331</v>
      </c>
      <c r="S927" s="15"/>
      <c r="T927" s="6">
        <v>22437</v>
      </c>
      <c r="U927" s="6">
        <v>80000</v>
      </c>
      <c r="V927" s="6">
        <v>65475.1</v>
      </c>
      <c r="W927" s="18">
        <f t="shared" si="138"/>
        <v>36961.9</v>
      </c>
      <c r="X927" s="18">
        <f t="shared" si="132"/>
        <v>64191.274509803916</v>
      </c>
      <c r="Y927" s="13">
        <f t="shared" si="133"/>
        <v>24974.619318514349</v>
      </c>
      <c r="Z927" s="14">
        <v>0</v>
      </c>
      <c r="AA927" s="4">
        <v>0</v>
      </c>
      <c r="AB927" s="4">
        <f t="shared" si="134"/>
        <v>64191.274509803916</v>
      </c>
      <c r="AC927" s="6">
        <f t="shared" si="135"/>
        <v>1283.8254901960827</v>
      </c>
      <c r="AD927" s="6">
        <f t="shared" si="139"/>
        <v>39216.655191289567</v>
      </c>
      <c r="AE927" s="2">
        <v>7.0000000000000007E-2</v>
      </c>
      <c r="AF927" s="5">
        <f t="shared" si="136"/>
        <v>2745.1658633902698</v>
      </c>
      <c r="AG927" s="14">
        <v>0</v>
      </c>
      <c r="AH927" s="19">
        <f t="shared" si="140"/>
        <v>65475.1</v>
      </c>
      <c r="AJ927" s="126" t="e">
        <v>#N/A</v>
      </c>
      <c r="AK927" s="80">
        <f t="shared" si="137"/>
        <v>0</v>
      </c>
      <c r="AM927" s="85"/>
    </row>
    <row r="928" spans="1:39" hidden="1" x14ac:dyDescent="0.3">
      <c r="A928" s="85" t="s">
        <v>34</v>
      </c>
      <c r="B928" s="15" t="s">
        <v>35</v>
      </c>
      <c r="C928" s="15" t="s">
        <v>47</v>
      </c>
      <c r="D928" s="15" t="s">
        <v>63</v>
      </c>
      <c r="E928" s="15" t="s">
        <v>1332</v>
      </c>
      <c r="F928" s="15" t="s">
        <v>1332</v>
      </c>
      <c r="G928" s="15" t="s">
        <v>1332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1332</v>
      </c>
      <c r="N928" s="15"/>
      <c r="O928" s="8" t="s">
        <v>410</v>
      </c>
      <c r="P928" s="8" t="s">
        <v>41</v>
      </c>
      <c r="Q928" s="14">
        <v>0</v>
      </c>
      <c r="R928" s="139" t="s">
        <v>1333</v>
      </c>
      <c r="S928" s="15"/>
      <c r="T928" s="6">
        <v>0</v>
      </c>
      <c r="U928" s="6">
        <v>1000000</v>
      </c>
      <c r="V928" s="6">
        <v>69139.83</v>
      </c>
      <c r="W928" s="18">
        <f t="shared" si="138"/>
        <v>930860.17</v>
      </c>
      <c r="X928" s="18">
        <f t="shared" si="132"/>
        <v>69139.83</v>
      </c>
      <c r="Y928" s="13">
        <f t="shared" si="133"/>
        <v>27728.165518473768</v>
      </c>
      <c r="Z928" s="14">
        <v>0</v>
      </c>
      <c r="AA928" s="4">
        <v>0</v>
      </c>
      <c r="AB928" s="4">
        <f t="shared" si="134"/>
        <v>69139.83</v>
      </c>
      <c r="AC928" s="6">
        <f t="shared" si="135"/>
        <v>0</v>
      </c>
      <c r="AD928" s="6">
        <f t="shared" si="139"/>
        <v>41411.664481526233</v>
      </c>
      <c r="AE928" s="2">
        <v>7.0000000000000007E-2</v>
      </c>
      <c r="AF928" s="5">
        <f t="shared" si="136"/>
        <v>2898.8165137068368</v>
      </c>
      <c r="AG928" s="14">
        <v>0</v>
      </c>
      <c r="AH928" s="19">
        <f t="shared" si="140"/>
        <v>69139.83</v>
      </c>
      <c r="AJ928" s="126" t="e">
        <v>#N/A</v>
      </c>
      <c r="AK928" s="80">
        <f t="shared" si="137"/>
        <v>0</v>
      </c>
      <c r="AM928" s="85"/>
    </row>
    <row r="929" spans="1:39" hidden="1" x14ac:dyDescent="0.3">
      <c r="A929" s="85" t="s">
        <v>34</v>
      </c>
      <c r="B929" s="15" t="s">
        <v>35</v>
      </c>
      <c r="C929" s="15" t="s">
        <v>47</v>
      </c>
      <c r="D929" s="15" t="s">
        <v>63</v>
      </c>
      <c r="E929" s="15" t="s">
        <v>1334</v>
      </c>
      <c r="F929" s="15" t="s">
        <v>1334</v>
      </c>
      <c r="G929" s="15" t="s">
        <v>1334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1334</v>
      </c>
      <c r="N929" s="15"/>
      <c r="O929" s="8" t="s">
        <v>410</v>
      </c>
      <c r="P929" s="8" t="s">
        <v>41</v>
      </c>
      <c r="Q929" s="14">
        <v>0</v>
      </c>
      <c r="R929" s="139" t="s">
        <v>1335</v>
      </c>
      <c r="S929" s="15"/>
      <c r="T929" s="6">
        <v>9556.9300000000039</v>
      </c>
      <c r="U929" s="6">
        <v>10000</v>
      </c>
      <c r="V929" s="6">
        <v>15363.3</v>
      </c>
      <c r="W929" s="18">
        <f t="shared" si="138"/>
        <v>4193.6300000000047</v>
      </c>
      <c r="X929" s="18">
        <f t="shared" si="132"/>
        <v>15363.3</v>
      </c>
      <c r="Y929" s="13">
        <f t="shared" si="133"/>
        <v>6161.3707368092746</v>
      </c>
      <c r="Z929" s="14">
        <v>0</v>
      </c>
      <c r="AA929" s="4">
        <v>0</v>
      </c>
      <c r="AB929" s="4">
        <f t="shared" si="134"/>
        <v>15363.3</v>
      </c>
      <c r="AC929" s="6">
        <f t="shared" si="135"/>
        <v>0</v>
      </c>
      <c r="AD929" s="6">
        <f t="shared" si="139"/>
        <v>9201.9292631907247</v>
      </c>
      <c r="AE929" s="2">
        <v>7.0000000000000007E-2</v>
      </c>
      <c r="AF929" s="5">
        <f t="shared" si="136"/>
        <v>644.13504842335078</v>
      </c>
      <c r="AG929" s="14">
        <v>0</v>
      </c>
      <c r="AH929" s="19">
        <f t="shared" si="140"/>
        <v>15363.3</v>
      </c>
      <c r="AJ929" s="126" t="e">
        <v>#N/A</v>
      </c>
      <c r="AK929" s="80">
        <f t="shared" si="137"/>
        <v>0</v>
      </c>
      <c r="AM929" s="85"/>
    </row>
    <row r="930" spans="1:39" hidden="1" x14ac:dyDescent="0.3">
      <c r="A930" s="85" t="s">
        <v>34</v>
      </c>
      <c r="B930" s="15" t="s">
        <v>35</v>
      </c>
      <c r="C930" s="15" t="s">
        <v>47</v>
      </c>
      <c r="D930" s="15" t="s">
        <v>63</v>
      </c>
      <c r="E930" s="15" t="s">
        <v>1336</v>
      </c>
      <c r="F930" s="15" t="s">
        <v>1337</v>
      </c>
      <c r="G930" s="15" t="s">
        <v>1336</v>
      </c>
      <c r="H930" s="139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1336</v>
      </c>
      <c r="N930" s="15"/>
      <c r="O930" s="8" t="s">
        <v>1196</v>
      </c>
      <c r="P930" s="8" t="s">
        <v>41</v>
      </c>
      <c r="Q930" s="14">
        <v>0</v>
      </c>
      <c r="R930" s="139" t="s">
        <v>1338</v>
      </c>
      <c r="S930" s="15"/>
      <c r="T930" s="6">
        <v>0</v>
      </c>
      <c r="U930" s="6">
        <v>250000</v>
      </c>
      <c r="V930" s="6">
        <v>0</v>
      </c>
      <c r="W930" s="18">
        <f t="shared" si="138"/>
        <v>250000</v>
      </c>
      <c r="X930" s="18">
        <f t="shared" si="132"/>
        <v>0</v>
      </c>
      <c r="Y930" s="13">
        <f t="shared" si="133"/>
        <v>0</v>
      </c>
      <c r="Z930" s="14">
        <v>0</v>
      </c>
      <c r="AA930" s="4">
        <v>0</v>
      </c>
      <c r="AB930" s="4">
        <f t="shared" si="134"/>
        <v>0</v>
      </c>
      <c r="AC930" s="6">
        <f t="shared" si="135"/>
        <v>0</v>
      </c>
      <c r="AD930" s="6">
        <f t="shared" si="139"/>
        <v>0</v>
      </c>
      <c r="AE930" s="2">
        <v>0.12</v>
      </c>
      <c r="AF930" s="5">
        <f t="shared" si="136"/>
        <v>0</v>
      </c>
      <c r="AG930" s="14">
        <v>0</v>
      </c>
      <c r="AH930" s="19">
        <f t="shared" si="140"/>
        <v>0</v>
      </c>
      <c r="AJ930" s="126" t="e">
        <v>#N/A</v>
      </c>
      <c r="AK930" s="80">
        <f t="shared" si="137"/>
        <v>0</v>
      </c>
      <c r="AM930" s="85"/>
    </row>
    <row r="931" spans="1:39" hidden="1" x14ac:dyDescent="0.3">
      <c r="A931" s="85" t="s">
        <v>34</v>
      </c>
      <c r="B931" s="15" t="s">
        <v>35</v>
      </c>
      <c r="C931" s="15" t="s">
        <v>47</v>
      </c>
      <c r="D931" s="15" t="s">
        <v>63</v>
      </c>
      <c r="E931" s="15" t="s">
        <v>1336</v>
      </c>
      <c r="F931" s="15" t="s">
        <v>1337</v>
      </c>
      <c r="G931" s="15" t="s">
        <v>1336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1336</v>
      </c>
      <c r="N931" s="15"/>
      <c r="O931" s="8" t="s">
        <v>1196</v>
      </c>
      <c r="P931" s="8" t="s">
        <v>41</v>
      </c>
      <c r="Q931" s="14">
        <v>0</v>
      </c>
      <c r="R931" s="139" t="s">
        <v>1339</v>
      </c>
      <c r="S931" s="15"/>
      <c r="T931" s="6">
        <v>0</v>
      </c>
      <c r="U931" s="6">
        <v>1300000</v>
      </c>
      <c r="V931" s="6">
        <v>45394.2</v>
      </c>
      <c r="W931" s="18">
        <f t="shared" si="138"/>
        <v>1254605.8</v>
      </c>
      <c r="X931" s="18">
        <f t="shared" si="132"/>
        <v>45394.2</v>
      </c>
      <c r="Y931" s="13">
        <f t="shared" si="133"/>
        <v>18205.105381061854</v>
      </c>
      <c r="Z931" s="14">
        <v>0</v>
      </c>
      <c r="AA931" s="4">
        <v>0</v>
      </c>
      <c r="AB931" s="4">
        <f t="shared" si="134"/>
        <v>45394.2</v>
      </c>
      <c r="AC931" s="6">
        <f t="shared" si="135"/>
        <v>0</v>
      </c>
      <c r="AD931" s="6">
        <f t="shared" si="139"/>
        <v>27189.094618938143</v>
      </c>
      <c r="AE931" s="2">
        <v>0.12</v>
      </c>
      <c r="AF931" s="5">
        <f t="shared" si="136"/>
        <v>3262.691354272577</v>
      </c>
      <c r="AG931" s="14">
        <v>0</v>
      </c>
      <c r="AH931" s="19">
        <f t="shared" si="140"/>
        <v>45394.2</v>
      </c>
      <c r="AJ931" s="126" t="e">
        <v>#N/A</v>
      </c>
      <c r="AK931" s="80">
        <f t="shared" si="137"/>
        <v>0</v>
      </c>
      <c r="AM931" s="85"/>
    </row>
    <row r="932" spans="1:39" hidden="1" x14ac:dyDescent="0.3">
      <c r="A932" s="85" t="s">
        <v>34</v>
      </c>
      <c r="B932" s="15" t="s">
        <v>35</v>
      </c>
      <c r="C932" s="15" t="s">
        <v>47</v>
      </c>
      <c r="D932" s="15" t="s">
        <v>63</v>
      </c>
      <c r="E932" s="15" t="s">
        <v>1336</v>
      </c>
      <c r="F932" s="15" t="s">
        <v>1337</v>
      </c>
      <c r="G932" s="15" t="s">
        <v>1336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1336</v>
      </c>
      <c r="N932" s="15"/>
      <c r="O932" s="8" t="s">
        <v>410</v>
      </c>
      <c r="P932" s="8" t="s">
        <v>41</v>
      </c>
      <c r="Q932" s="14">
        <v>0</v>
      </c>
      <c r="R932" s="139" t="s">
        <v>1340</v>
      </c>
      <c r="S932" s="15"/>
      <c r="T932" s="6">
        <v>0</v>
      </c>
      <c r="U932" s="6">
        <v>200000</v>
      </c>
      <c r="V932" s="6">
        <v>153525.4</v>
      </c>
      <c r="W932" s="18">
        <f t="shared" si="138"/>
        <v>46474.600000000006</v>
      </c>
      <c r="X932" s="18">
        <f t="shared" si="132"/>
        <v>153525.4</v>
      </c>
      <c r="Y932" s="13">
        <f t="shared" si="133"/>
        <v>61570.554953489074</v>
      </c>
      <c r="Z932" s="14">
        <v>0</v>
      </c>
      <c r="AA932" s="4">
        <v>0</v>
      </c>
      <c r="AB932" s="4">
        <f t="shared" si="134"/>
        <v>153525.4</v>
      </c>
      <c r="AC932" s="6">
        <f t="shared" si="135"/>
        <v>0</v>
      </c>
      <c r="AD932" s="6">
        <f t="shared" si="139"/>
        <v>91954.84504651092</v>
      </c>
      <c r="AE932" s="2">
        <v>7.0000000000000007E-2</v>
      </c>
      <c r="AF932" s="5">
        <f t="shared" si="136"/>
        <v>6436.8391532557653</v>
      </c>
      <c r="AG932" s="14">
        <v>0</v>
      </c>
      <c r="AH932" s="19">
        <f t="shared" si="140"/>
        <v>153525.4</v>
      </c>
      <c r="AJ932" s="126" t="e">
        <v>#N/A</v>
      </c>
      <c r="AK932" s="80">
        <f t="shared" si="137"/>
        <v>0</v>
      </c>
      <c r="AM932" s="85"/>
    </row>
    <row r="933" spans="1:39" hidden="1" x14ac:dyDescent="0.3">
      <c r="A933" s="85" t="s">
        <v>34</v>
      </c>
      <c r="B933" s="15" t="s">
        <v>35</v>
      </c>
      <c r="C933" s="15" t="s">
        <v>47</v>
      </c>
      <c r="D933" s="15" t="s">
        <v>63</v>
      </c>
      <c r="E933" s="15" t="s">
        <v>1336</v>
      </c>
      <c r="F933" s="15" t="s">
        <v>1337</v>
      </c>
      <c r="G933" s="15" t="s">
        <v>1336</v>
      </c>
      <c r="H933" s="139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1336</v>
      </c>
      <c r="N933" s="15"/>
      <c r="O933" s="8" t="s">
        <v>410</v>
      </c>
      <c r="P933" s="8" t="s">
        <v>41</v>
      </c>
      <c r="Q933" s="14">
        <v>0</v>
      </c>
      <c r="R933" s="139" t="s">
        <v>1339</v>
      </c>
      <c r="S933" s="15"/>
      <c r="T933" s="6">
        <v>0</v>
      </c>
      <c r="U933" s="6">
        <v>600000</v>
      </c>
      <c r="V933" s="6">
        <v>0</v>
      </c>
      <c r="W933" s="18">
        <f t="shared" si="138"/>
        <v>600000</v>
      </c>
      <c r="X933" s="18">
        <f t="shared" si="132"/>
        <v>0</v>
      </c>
      <c r="Y933" s="13">
        <f t="shared" si="133"/>
        <v>0</v>
      </c>
      <c r="Z933" s="14">
        <v>0</v>
      </c>
      <c r="AA933" s="4">
        <v>0</v>
      </c>
      <c r="AB933" s="4">
        <f t="shared" si="134"/>
        <v>0</v>
      </c>
      <c r="AC933" s="6">
        <f t="shared" si="135"/>
        <v>0</v>
      </c>
      <c r="AD933" s="6">
        <f t="shared" si="139"/>
        <v>0</v>
      </c>
      <c r="AE933" s="2">
        <v>7.0000000000000007E-2</v>
      </c>
      <c r="AF933" s="5">
        <f t="shared" si="136"/>
        <v>0</v>
      </c>
      <c r="AG933" s="14">
        <v>0</v>
      </c>
      <c r="AH933" s="19">
        <f t="shared" si="140"/>
        <v>0</v>
      </c>
      <c r="AJ933" s="126" t="e">
        <v>#N/A</v>
      </c>
      <c r="AK933" s="80">
        <f t="shared" si="137"/>
        <v>0</v>
      </c>
      <c r="AM933" s="85"/>
    </row>
    <row r="934" spans="1:39" hidden="1" x14ac:dyDescent="0.3">
      <c r="A934" s="85" t="s">
        <v>34</v>
      </c>
      <c r="B934" s="15" t="s">
        <v>35</v>
      </c>
      <c r="C934" s="15" t="s">
        <v>47</v>
      </c>
      <c r="D934" s="15" t="s">
        <v>63</v>
      </c>
      <c r="E934" s="15" t="s">
        <v>1336</v>
      </c>
      <c r="F934" s="15" t="s">
        <v>1337</v>
      </c>
      <c r="G934" s="15" t="s">
        <v>1336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1341</v>
      </c>
      <c r="N934" s="15"/>
      <c r="O934" s="8" t="s">
        <v>410</v>
      </c>
      <c r="P934" s="8" t="s">
        <v>41</v>
      </c>
      <c r="Q934" s="14">
        <v>0</v>
      </c>
      <c r="R934" s="139" t="s">
        <v>1342</v>
      </c>
      <c r="S934" s="15"/>
      <c r="T934" s="6">
        <v>0</v>
      </c>
      <c r="U934" s="6">
        <v>260000</v>
      </c>
      <c r="V934" s="6">
        <v>219359.2</v>
      </c>
      <c r="W934" s="18">
        <f t="shared" si="138"/>
        <v>40640.799999999988</v>
      </c>
      <c r="X934" s="18">
        <f t="shared" si="132"/>
        <v>219359.2</v>
      </c>
      <c r="Y934" s="13">
        <f t="shared" si="133"/>
        <v>87972.854512369959</v>
      </c>
      <c r="Z934" s="14">
        <v>0</v>
      </c>
      <c r="AA934" s="4">
        <v>0</v>
      </c>
      <c r="AB934" s="4">
        <f t="shared" si="134"/>
        <v>219359.2</v>
      </c>
      <c r="AC934" s="6">
        <f t="shared" si="135"/>
        <v>0</v>
      </c>
      <c r="AD934" s="6">
        <f t="shared" si="139"/>
        <v>131386.34548763005</v>
      </c>
      <c r="AE934" s="2">
        <v>7.0000000000000007E-2</v>
      </c>
      <c r="AF934" s="5">
        <f t="shared" si="136"/>
        <v>9197.0441841341053</v>
      </c>
      <c r="AG934" s="14">
        <v>0</v>
      </c>
      <c r="AH934" s="19">
        <f t="shared" si="140"/>
        <v>219359.2</v>
      </c>
      <c r="AJ934" s="126" t="e">
        <v>#N/A</v>
      </c>
      <c r="AK934" s="80">
        <f t="shared" si="137"/>
        <v>0</v>
      </c>
      <c r="AM934" s="85"/>
    </row>
    <row r="935" spans="1:39" hidden="1" x14ac:dyDescent="0.3">
      <c r="A935" s="85" t="s">
        <v>34</v>
      </c>
      <c r="B935" s="15" t="s">
        <v>35</v>
      </c>
      <c r="C935" s="15" t="s">
        <v>47</v>
      </c>
      <c r="D935" s="15" t="s">
        <v>63</v>
      </c>
      <c r="E935" s="15" t="s">
        <v>64</v>
      </c>
      <c r="F935" s="15" t="s">
        <v>1343</v>
      </c>
      <c r="G935" s="15" t="s">
        <v>64</v>
      </c>
      <c r="H935" s="139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64</v>
      </c>
      <c r="N935" s="15"/>
      <c r="O935" s="8" t="s">
        <v>1196</v>
      </c>
      <c r="P935" s="8" t="s">
        <v>46</v>
      </c>
      <c r="Q935" s="14">
        <v>0.04</v>
      </c>
      <c r="R935" s="139" t="s">
        <v>1344</v>
      </c>
      <c r="S935" s="15"/>
      <c r="T935" s="6">
        <v>0</v>
      </c>
      <c r="U935" s="6">
        <v>37058.829999999987</v>
      </c>
      <c r="V935" s="6">
        <v>0</v>
      </c>
      <c r="W935" s="18">
        <f t="shared" si="138"/>
        <v>37058.829999999987</v>
      </c>
      <c r="X935" s="18">
        <f t="shared" si="132"/>
        <v>0</v>
      </c>
      <c r="Y935" s="13">
        <f t="shared" si="133"/>
        <v>0</v>
      </c>
      <c r="Z935" s="14">
        <v>0</v>
      </c>
      <c r="AA935" s="4">
        <v>0</v>
      </c>
      <c r="AB935" s="4">
        <f t="shared" si="134"/>
        <v>0</v>
      </c>
      <c r="AC935" s="6">
        <f t="shared" si="135"/>
        <v>0</v>
      </c>
      <c r="AD935" s="6">
        <f t="shared" si="139"/>
        <v>0</v>
      </c>
      <c r="AE935" s="2">
        <v>0.12</v>
      </c>
      <c r="AF935" s="5">
        <f t="shared" si="136"/>
        <v>0</v>
      </c>
      <c r="AG935" s="14">
        <v>0</v>
      </c>
      <c r="AH935" s="19">
        <f t="shared" si="140"/>
        <v>0</v>
      </c>
      <c r="AJ935" s="126" t="e">
        <v>#N/A</v>
      </c>
      <c r="AK935" s="80">
        <f t="shared" si="137"/>
        <v>0</v>
      </c>
      <c r="AM935" s="85"/>
    </row>
    <row r="936" spans="1:39" hidden="1" x14ac:dyDescent="0.3">
      <c r="A936" s="85" t="s">
        <v>34</v>
      </c>
      <c r="B936" s="15" t="s">
        <v>35</v>
      </c>
      <c r="C936" s="15" t="s">
        <v>47</v>
      </c>
      <c r="D936" s="15" t="s">
        <v>63</v>
      </c>
      <c r="E936" s="15" t="s">
        <v>64</v>
      </c>
      <c r="F936" s="15" t="s">
        <v>1343</v>
      </c>
      <c r="G936" s="15" t="s">
        <v>64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64</v>
      </c>
      <c r="N936" s="15"/>
      <c r="O936" s="8" t="s">
        <v>1196</v>
      </c>
      <c r="P936" s="8" t="s">
        <v>46</v>
      </c>
      <c r="Q936" s="14">
        <v>0.04</v>
      </c>
      <c r="R936" s="139" t="s">
        <v>1345</v>
      </c>
      <c r="S936" s="15"/>
      <c r="T936" s="6">
        <v>0</v>
      </c>
      <c r="U936" s="6">
        <v>10000</v>
      </c>
      <c r="V936" s="6">
        <v>0</v>
      </c>
      <c r="W936" s="18">
        <f t="shared" si="138"/>
        <v>10000</v>
      </c>
      <c r="X936" s="18">
        <f t="shared" si="132"/>
        <v>0</v>
      </c>
      <c r="Y936" s="13">
        <f t="shared" si="133"/>
        <v>0</v>
      </c>
      <c r="Z936" s="14">
        <v>0</v>
      </c>
      <c r="AA936" s="4">
        <v>0</v>
      </c>
      <c r="AB936" s="4">
        <f t="shared" si="134"/>
        <v>0</v>
      </c>
      <c r="AC936" s="6">
        <f t="shared" si="135"/>
        <v>0</v>
      </c>
      <c r="AD936" s="6">
        <f t="shared" si="139"/>
        <v>0</v>
      </c>
      <c r="AE936" s="2">
        <v>0.12</v>
      </c>
      <c r="AF936" s="5">
        <f t="shared" si="136"/>
        <v>0</v>
      </c>
      <c r="AG936" s="14">
        <v>0</v>
      </c>
      <c r="AH936" s="19">
        <f t="shared" si="140"/>
        <v>0</v>
      </c>
      <c r="AJ936" s="126" t="e">
        <v>#N/A</v>
      </c>
      <c r="AK936" s="80">
        <f t="shared" si="137"/>
        <v>0</v>
      </c>
      <c r="AM936" s="85"/>
    </row>
    <row r="937" spans="1:39" hidden="1" x14ac:dyDescent="0.3">
      <c r="A937" s="85" t="s">
        <v>34</v>
      </c>
      <c r="B937" s="15" t="s">
        <v>35</v>
      </c>
      <c r="C937" s="15" t="s">
        <v>47</v>
      </c>
      <c r="D937" s="15" t="s">
        <v>63</v>
      </c>
      <c r="E937" s="15" t="s">
        <v>64</v>
      </c>
      <c r="F937" s="15" t="s">
        <v>1343</v>
      </c>
      <c r="G937" s="15" t="s">
        <v>64</v>
      </c>
      <c r="H937" s="154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64</v>
      </c>
      <c r="N937" s="15"/>
      <c r="O937" s="8" t="s">
        <v>410</v>
      </c>
      <c r="P937" s="8" t="s">
        <v>46</v>
      </c>
      <c r="Q937" s="14">
        <v>0.02</v>
      </c>
      <c r="R937" s="139" t="s">
        <v>1346</v>
      </c>
      <c r="S937" s="15"/>
      <c r="T937" s="6">
        <v>0</v>
      </c>
      <c r="U937" s="6">
        <v>1953846.15</v>
      </c>
      <c r="V937" s="6">
        <v>1295778.46863</v>
      </c>
      <c r="W937" s="18">
        <f t="shared" si="138"/>
        <v>658067.68136999989</v>
      </c>
      <c r="X937" s="18">
        <f t="shared" si="132"/>
        <v>1270371.0476764706</v>
      </c>
      <c r="Y937" s="13">
        <f t="shared" si="133"/>
        <v>494257.7250765824</v>
      </c>
      <c r="Z937" s="14">
        <v>0</v>
      </c>
      <c r="AA937" s="4">
        <v>0</v>
      </c>
      <c r="AB937" s="4">
        <f t="shared" si="134"/>
        <v>1270371.0476764706</v>
      </c>
      <c r="AC937" s="6">
        <f t="shared" si="135"/>
        <v>25407.420953529421</v>
      </c>
      <c r="AD937" s="6">
        <f t="shared" si="139"/>
        <v>776113.3225998882</v>
      </c>
      <c r="AE937" s="2">
        <v>7.0000000000000007E-2</v>
      </c>
      <c r="AF937" s="5">
        <f t="shared" si="136"/>
        <v>54327.93258199218</v>
      </c>
      <c r="AG937" s="14">
        <v>0</v>
      </c>
      <c r="AH937" s="19">
        <f t="shared" si="140"/>
        <v>1295778.46863</v>
      </c>
      <c r="AJ937" s="126" t="e">
        <v>#N/A</v>
      </c>
      <c r="AK937" s="80">
        <f t="shared" si="137"/>
        <v>0</v>
      </c>
      <c r="AM937" s="85"/>
    </row>
    <row r="938" spans="1:39" hidden="1" x14ac:dyDescent="0.3">
      <c r="A938" s="85" t="s">
        <v>34</v>
      </c>
      <c r="B938" s="15" t="s">
        <v>35</v>
      </c>
      <c r="C938" s="15" t="s">
        <v>47</v>
      </c>
      <c r="D938" s="15" t="s">
        <v>48</v>
      </c>
      <c r="E938" s="15" t="s">
        <v>1347</v>
      </c>
      <c r="F938" s="15" t="s">
        <v>1347</v>
      </c>
      <c r="G938" s="15" t="s">
        <v>1347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1347</v>
      </c>
      <c r="N938" s="15"/>
      <c r="O938" s="8" t="s">
        <v>410</v>
      </c>
      <c r="P938" s="8" t="s">
        <v>3361</v>
      </c>
      <c r="Q938" s="14">
        <v>0.02</v>
      </c>
      <c r="R938" s="139" t="s">
        <v>1348</v>
      </c>
      <c r="S938" s="15"/>
      <c r="T938" s="6">
        <v>0</v>
      </c>
      <c r="U938" s="6">
        <v>200000</v>
      </c>
      <c r="V938" s="6">
        <v>118798.1</v>
      </c>
      <c r="W938" s="18">
        <f t="shared" si="138"/>
        <v>81201.899999999994</v>
      </c>
      <c r="X938" s="18">
        <f t="shared" si="132"/>
        <v>116468.72549019608</v>
      </c>
      <c r="Y938" s="13">
        <f t="shared" si="133"/>
        <v>45313.979257195489</v>
      </c>
      <c r="Z938" s="14">
        <v>0</v>
      </c>
      <c r="AA938" s="4">
        <v>0</v>
      </c>
      <c r="AB938" s="4">
        <f t="shared" si="134"/>
        <v>116468.72549019608</v>
      </c>
      <c r="AC938" s="6">
        <f t="shared" si="135"/>
        <v>2329.3745098039217</v>
      </c>
      <c r="AD938" s="6">
        <f t="shared" si="139"/>
        <v>71154.746233000595</v>
      </c>
      <c r="AE938" s="2">
        <v>7.0000000000000007E-2</v>
      </c>
      <c r="AF938" s="5">
        <f t="shared" si="136"/>
        <v>4980.8322363100424</v>
      </c>
      <c r="AG938" s="14">
        <v>0</v>
      </c>
      <c r="AH938" s="19">
        <f t="shared" si="140"/>
        <v>118798.1</v>
      </c>
      <c r="AJ938" s="126" t="e">
        <v>#N/A</v>
      </c>
      <c r="AK938" s="80">
        <f t="shared" si="137"/>
        <v>0</v>
      </c>
      <c r="AM938" s="85"/>
    </row>
    <row r="939" spans="1:39" hidden="1" x14ac:dyDescent="0.3">
      <c r="A939" s="85" t="s">
        <v>34</v>
      </c>
      <c r="B939" s="15" t="s">
        <v>35</v>
      </c>
      <c r="C939" s="15" t="s">
        <v>47</v>
      </c>
      <c r="D939" s="15" t="s">
        <v>48</v>
      </c>
      <c r="E939" s="15" t="s">
        <v>1349</v>
      </c>
      <c r="F939" s="15" t="s">
        <v>1349</v>
      </c>
      <c r="G939" s="15" t="s">
        <v>1349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1350</v>
      </c>
      <c r="N939" s="15"/>
      <c r="O939" s="8" t="s">
        <v>410</v>
      </c>
      <c r="P939" s="8" t="s">
        <v>41</v>
      </c>
      <c r="Q939" s="14">
        <v>0</v>
      </c>
      <c r="R939" s="139" t="s">
        <v>1351</v>
      </c>
      <c r="S939" s="15"/>
      <c r="T939" s="6">
        <v>0</v>
      </c>
      <c r="U939" s="6">
        <v>300000</v>
      </c>
      <c r="V939" s="6">
        <v>276080.59999999998</v>
      </c>
      <c r="W939" s="18">
        <f t="shared" si="138"/>
        <v>23919.400000000023</v>
      </c>
      <c r="X939" s="18">
        <f t="shared" si="132"/>
        <v>276080.59999999998</v>
      </c>
      <c r="Y939" s="13">
        <f t="shared" si="133"/>
        <v>110720.67393338322</v>
      </c>
      <c r="Z939" s="14">
        <v>0</v>
      </c>
      <c r="AA939" s="4">
        <v>0</v>
      </c>
      <c r="AB939" s="4">
        <f t="shared" si="134"/>
        <v>276080.59999999998</v>
      </c>
      <c r="AC939" s="6">
        <f t="shared" si="135"/>
        <v>0</v>
      </c>
      <c r="AD939" s="6">
        <f t="shared" si="139"/>
        <v>165359.92606661675</v>
      </c>
      <c r="AE939" s="2">
        <v>7.0000000000000007E-2</v>
      </c>
      <c r="AF939" s="5">
        <f t="shared" si="136"/>
        <v>11575.194824663175</v>
      </c>
      <c r="AG939" s="14">
        <v>0</v>
      </c>
      <c r="AH939" s="19">
        <f t="shared" si="140"/>
        <v>276080.59999999998</v>
      </c>
      <c r="AJ939" s="126" t="e">
        <v>#N/A</v>
      </c>
      <c r="AK939" s="80">
        <f t="shared" si="137"/>
        <v>0</v>
      </c>
      <c r="AM939" s="85"/>
    </row>
    <row r="940" spans="1:39" hidden="1" x14ac:dyDescent="0.3">
      <c r="A940" s="85" t="s">
        <v>34</v>
      </c>
      <c r="B940" s="15" t="s">
        <v>35</v>
      </c>
      <c r="C940" s="15" t="s">
        <v>47</v>
      </c>
      <c r="D940" s="15" t="s">
        <v>48</v>
      </c>
      <c r="E940" s="15" t="s">
        <v>1349</v>
      </c>
      <c r="F940" s="15" t="s">
        <v>1352</v>
      </c>
      <c r="G940" s="15" t="s">
        <v>1349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1349</v>
      </c>
      <c r="N940" s="15"/>
      <c r="O940" s="8" t="s">
        <v>410</v>
      </c>
      <c r="P940" s="8" t="s">
        <v>41</v>
      </c>
      <c r="Q940" s="14">
        <v>0</v>
      </c>
      <c r="R940" s="139" t="s">
        <v>1353</v>
      </c>
      <c r="S940" s="15"/>
      <c r="T940" s="6">
        <v>0</v>
      </c>
      <c r="U940" s="6">
        <v>950000</v>
      </c>
      <c r="V940" s="6">
        <v>789307.3</v>
      </c>
      <c r="W940" s="18">
        <f t="shared" si="138"/>
        <v>160692.69999999995</v>
      </c>
      <c r="X940" s="18">
        <f t="shared" si="132"/>
        <v>789307.3</v>
      </c>
      <c r="Y940" s="13">
        <f t="shared" si="133"/>
        <v>316547.54516086646</v>
      </c>
      <c r="Z940" s="14">
        <v>0</v>
      </c>
      <c r="AA940" s="4">
        <v>0</v>
      </c>
      <c r="AB940" s="4">
        <f t="shared" si="134"/>
        <v>789307.3</v>
      </c>
      <c r="AC940" s="6">
        <f t="shared" si="135"/>
        <v>0</v>
      </c>
      <c r="AD940" s="6">
        <f t="shared" si="139"/>
        <v>472759.75483913359</v>
      </c>
      <c r="AE940" s="2">
        <v>7.0000000000000007E-2</v>
      </c>
      <c r="AF940" s="5">
        <f t="shared" si="136"/>
        <v>33093.182838739354</v>
      </c>
      <c r="AG940" s="14">
        <v>0</v>
      </c>
      <c r="AH940" s="19">
        <f t="shared" si="140"/>
        <v>789307.3</v>
      </c>
      <c r="AJ940" s="126" t="e">
        <v>#N/A</v>
      </c>
      <c r="AK940" s="80">
        <f t="shared" si="137"/>
        <v>0</v>
      </c>
      <c r="AM940" s="85"/>
    </row>
    <row r="941" spans="1:39" hidden="1" x14ac:dyDescent="0.3">
      <c r="A941" s="85" t="s">
        <v>34</v>
      </c>
      <c r="B941" s="15" t="s">
        <v>35</v>
      </c>
      <c r="C941" s="15" t="s">
        <v>47</v>
      </c>
      <c r="D941" s="15" t="s">
        <v>48</v>
      </c>
      <c r="E941" s="15" t="s">
        <v>540</v>
      </c>
      <c r="F941" s="15" t="s">
        <v>541</v>
      </c>
      <c r="G941" s="15" t="s">
        <v>540</v>
      </c>
      <c r="H941" s="154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540</v>
      </c>
      <c r="N941" s="15"/>
      <c r="O941" s="8" t="s">
        <v>410</v>
      </c>
      <c r="P941" s="8" t="s">
        <v>41</v>
      </c>
      <c r="Q941" s="14">
        <v>0</v>
      </c>
      <c r="R941" s="139" t="s">
        <v>1354</v>
      </c>
      <c r="S941" s="15"/>
      <c r="T941" s="6">
        <v>0</v>
      </c>
      <c r="U941" s="6">
        <v>50000</v>
      </c>
      <c r="V941" s="6">
        <v>12854.9</v>
      </c>
      <c r="W941" s="18">
        <f t="shared" si="138"/>
        <v>37145.1</v>
      </c>
      <c r="X941" s="18">
        <f t="shared" si="132"/>
        <v>12854.9</v>
      </c>
      <c r="Y941" s="13">
        <f t="shared" si="133"/>
        <v>5155.3900974796788</v>
      </c>
      <c r="Z941" s="14">
        <v>0</v>
      </c>
      <c r="AA941" s="4">
        <v>0</v>
      </c>
      <c r="AB941" s="4">
        <f t="shared" si="134"/>
        <v>12854.9</v>
      </c>
      <c r="AC941" s="6">
        <f t="shared" si="135"/>
        <v>0</v>
      </c>
      <c r="AD941" s="6">
        <f t="shared" si="139"/>
        <v>7699.5099025203208</v>
      </c>
      <c r="AE941" s="2">
        <v>7.0000000000000007E-2</v>
      </c>
      <c r="AF941" s="5">
        <f t="shared" si="136"/>
        <v>538.96569317642252</v>
      </c>
      <c r="AG941" s="14">
        <v>0</v>
      </c>
      <c r="AH941" s="19">
        <f t="shared" si="140"/>
        <v>12854.9</v>
      </c>
      <c r="AJ941" s="126" t="e">
        <v>#N/A</v>
      </c>
      <c r="AK941" s="80">
        <f t="shared" si="137"/>
        <v>0</v>
      </c>
      <c r="AM941" s="85"/>
    </row>
    <row r="942" spans="1:39" hidden="1" x14ac:dyDescent="0.3">
      <c r="A942" s="85" t="s">
        <v>34</v>
      </c>
      <c r="B942" s="15" t="s">
        <v>35</v>
      </c>
      <c r="C942" s="15" t="s">
        <v>47</v>
      </c>
      <c r="D942" s="15" t="s">
        <v>48</v>
      </c>
      <c r="E942" s="15" t="s">
        <v>540</v>
      </c>
      <c r="F942" s="15" t="s">
        <v>541</v>
      </c>
      <c r="G942" s="15" t="s">
        <v>540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540</v>
      </c>
      <c r="N942" s="15"/>
      <c r="O942" s="8" t="s">
        <v>410</v>
      </c>
      <c r="P942" s="8" t="s">
        <v>41</v>
      </c>
      <c r="Q942" s="14">
        <v>0</v>
      </c>
      <c r="R942" s="139" t="s">
        <v>1355</v>
      </c>
      <c r="S942" s="15"/>
      <c r="T942" s="6">
        <v>0</v>
      </c>
      <c r="U942" s="6">
        <v>50000</v>
      </c>
      <c r="V942" s="6">
        <v>35345.599999999999</v>
      </c>
      <c r="W942" s="18">
        <f t="shared" si="138"/>
        <v>14654.400000000001</v>
      </c>
      <c r="X942" s="18">
        <f t="shared" si="132"/>
        <v>35345.599999999999</v>
      </c>
      <c r="Y942" s="13">
        <f t="shared" si="133"/>
        <v>14175.167152562659</v>
      </c>
      <c r="Z942" s="14">
        <v>0</v>
      </c>
      <c r="AA942" s="4">
        <v>0</v>
      </c>
      <c r="AB942" s="4">
        <f t="shared" si="134"/>
        <v>35345.599999999999</v>
      </c>
      <c r="AC942" s="6">
        <f t="shared" si="135"/>
        <v>0</v>
      </c>
      <c r="AD942" s="6">
        <f t="shared" si="139"/>
        <v>21170.43284743734</v>
      </c>
      <c r="AE942" s="2">
        <v>7.0000000000000007E-2</v>
      </c>
      <c r="AF942" s="5">
        <f t="shared" si="136"/>
        <v>1481.9302993206138</v>
      </c>
      <c r="AG942" s="14">
        <v>0</v>
      </c>
      <c r="AH942" s="19">
        <f t="shared" si="140"/>
        <v>35345.599999999999</v>
      </c>
      <c r="AJ942" s="126" t="e">
        <v>#N/A</v>
      </c>
      <c r="AK942" s="80">
        <f t="shared" si="137"/>
        <v>0</v>
      </c>
      <c r="AM942" s="85"/>
    </row>
    <row r="943" spans="1:39" hidden="1" x14ac:dyDescent="0.3">
      <c r="A943" s="85" t="s">
        <v>34</v>
      </c>
      <c r="B943" s="15" t="s">
        <v>35</v>
      </c>
      <c r="C943" s="15" t="s">
        <v>47</v>
      </c>
      <c r="D943" s="15" t="s">
        <v>48</v>
      </c>
      <c r="E943" s="15" t="s">
        <v>1356</v>
      </c>
      <c r="F943" s="15" t="s">
        <v>1356</v>
      </c>
      <c r="G943" s="15" t="s">
        <v>1356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1357</v>
      </c>
      <c r="N943" s="15"/>
      <c r="O943" s="8" t="s">
        <v>410</v>
      </c>
      <c r="P943" s="8" t="s">
        <v>46</v>
      </c>
      <c r="Q943" s="14">
        <v>0.02</v>
      </c>
      <c r="R943" s="139" t="s">
        <v>1358</v>
      </c>
      <c r="S943" s="15"/>
      <c r="T943" s="6">
        <v>0</v>
      </c>
      <c r="U943" s="6">
        <v>95000</v>
      </c>
      <c r="V943" s="6">
        <v>85036.299969999993</v>
      </c>
      <c r="W943" s="18">
        <f t="shared" si="138"/>
        <v>9963.7000300000072</v>
      </c>
      <c r="X943" s="18">
        <f t="shared" si="132"/>
        <v>83368.921539215677</v>
      </c>
      <c r="Y943" s="13">
        <f t="shared" si="133"/>
        <v>32435.982839365548</v>
      </c>
      <c r="Z943" s="14">
        <v>0</v>
      </c>
      <c r="AA943" s="4">
        <v>0</v>
      </c>
      <c r="AB943" s="4">
        <f t="shared" si="134"/>
        <v>83368.921539215677</v>
      </c>
      <c r="AC943" s="6">
        <f t="shared" si="135"/>
        <v>1667.3784307843162</v>
      </c>
      <c r="AD943" s="6">
        <f t="shared" si="139"/>
        <v>50932.938699850129</v>
      </c>
      <c r="AE943" s="2">
        <v>7.0000000000000007E-2</v>
      </c>
      <c r="AF943" s="5">
        <f t="shared" si="136"/>
        <v>3565.3057089895092</v>
      </c>
      <c r="AG943" s="14">
        <v>0</v>
      </c>
      <c r="AH943" s="19">
        <f t="shared" si="140"/>
        <v>85036.299969999993</v>
      </c>
      <c r="AJ943" s="126" t="e">
        <v>#N/A</v>
      </c>
      <c r="AK943" s="80">
        <f t="shared" si="137"/>
        <v>0</v>
      </c>
      <c r="AM943" s="85"/>
    </row>
    <row r="944" spans="1:39" hidden="1" x14ac:dyDescent="0.3">
      <c r="A944" s="85" t="s">
        <v>34</v>
      </c>
      <c r="B944" s="15" t="s">
        <v>35</v>
      </c>
      <c r="C944" s="15" t="s">
        <v>47</v>
      </c>
      <c r="D944" s="15" t="s">
        <v>48</v>
      </c>
      <c r="E944" s="15" t="s">
        <v>1356</v>
      </c>
      <c r="F944" s="15" t="s">
        <v>1356</v>
      </c>
      <c r="G944" s="15" t="s">
        <v>1356</v>
      </c>
      <c r="H944" s="139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1359</v>
      </c>
      <c r="N944" s="15"/>
      <c r="O944" s="8" t="s">
        <v>410</v>
      </c>
      <c r="P944" s="8" t="s">
        <v>46</v>
      </c>
      <c r="Q944" s="14">
        <v>0.02</v>
      </c>
      <c r="R944" s="139" t="s">
        <v>1360</v>
      </c>
      <c r="S944" s="15"/>
      <c r="T944" s="6">
        <v>0</v>
      </c>
      <c r="U944" s="6">
        <v>0</v>
      </c>
      <c r="V944" s="6">
        <v>0</v>
      </c>
      <c r="W944" s="18">
        <f t="shared" si="138"/>
        <v>0</v>
      </c>
      <c r="X944" s="18">
        <f t="shared" si="132"/>
        <v>0</v>
      </c>
      <c r="Y944" s="13">
        <f t="shared" si="133"/>
        <v>0</v>
      </c>
      <c r="Z944" s="14">
        <v>0</v>
      </c>
      <c r="AA944" s="4">
        <v>0</v>
      </c>
      <c r="AB944" s="4">
        <f t="shared" si="134"/>
        <v>0</v>
      </c>
      <c r="AC944" s="6">
        <f t="shared" si="135"/>
        <v>0</v>
      </c>
      <c r="AD944" s="6">
        <f t="shared" si="139"/>
        <v>0</v>
      </c>
      <c r="AE944" s="2">
        <v>7.0000000000000007E-2</v>
      </c>
      <c r="AF944" s="5">
        <f t="shared" si="136"/>
        <v>0</v>
      </c>
      <c r="AG944" s="14">
        <v>0</v>
      </c>
      <c r="AH944" s="19">
        <f t="shared" si="140"/>
        <v>0</v>
      </c>
      <c r="AJ944" s="126" t="e">
        <v>#N/A</v>
      </c>
      <c r="AK944" s="80">
        <f t="shared" si="137"/>
        <v>0</v>
      </c>
      <c r="AM944" s="85"/>
    </row>
    <row r="945" spans="1:39" hidden="1" x14ac:dyDescent="0.3">
      <c r="A945" s="85" t="s">
        <v>34</v>
      </c>
      <c r="B945" s="15" t="s">
        <v>35</v>
      </c>
      <c r="C945" s="15" t="s">
        <v>47</v>
      </c>
      <c r="D945" s="15" t="s">
        <v>48</v>
      </c>
      <c r="E945" s="15" t="s">
        <v>1356</v>
      </c>
      <c r="F945" s="15" t="s">
        <v>1356</v>
      </c>
      <c r="G945" s="15" t="s">
        <v>1356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1359</v>
      </c>
      <c r="N945" s="15"/>
      <c r="O945" s="8" t="s">
        <v>410</v>
      </c>
      <c r="P945" s="8" t="s">
        <v>46</v>
      </c>
      <c r="Q945" s="14">
        <v>0.02</v>
      </c>
      <c r="R945" s="139" t="s">
        <v>1360</v>
      </c>
      <c r="S945" s="15"/>
      <c r="T945" s="6">
        <v>35133.51999999999</v>
      </c>
      <c r="U945" s="6">
        <v>15000</v>
      </c>
      <c r="V945" s="6">
        <v>22572</v>
      </c>
      <c r="W945" s="18">
        <f t="shared" si="138"/>
        <v>27561.51999999999</v>
      </c>
      <c r="X945" s="18">
        <f t="shared" si="132"/>
        <v>22129.411764705881</v>
      </c>
      <c r="Y945" s="13">
        <f t="shared" si="133"/>
        <v>8609.7937575888518</v>
      </c>
      <c r="Z945" s="14">
        <v>0</v>
      </c>
      <c r="AA945" s="4">
        <v>0</v>
      </c>
      <c r="AB945" s="4">
        <f t="shared" si="134"/>
        <v>22129.411764705881</v>
      </c>
      <c r="AC945" s="6">
        <f t="shared" si="135"/>
        <v>442.58823529411893</v>
      </c>
      <c r="AD945" s="6">
        <f t="shared" si="139"/>
        <v>13519.618007117029</v>
      </c>
      <c r="AE945" s="2">
        <v>7.0000000000000007E-2</v>
      </c>
      <c r="AF945" s="5">
        <f t="shared" si="136"/>
        <v>946.37326049819217</v>
      </c>
      <c r="AG945" s="14">
        <v>0</v>
      </c>
      <c r="AH945" s="19">
        <f t="shared" si="140"/>
        <v>22572</v>
      </c>
      <c r="AJ945" s="126" t="e">
        <v>#N/A</v>
      </c>
      <c r="AK945" s="80">
        <f t="shared" si="137"/>
        <v>0</v>
      </c>
      <c r="AM945" s="85"/>
    </row>
    <row r="946" spans="1:39" hidden="1" x14ac:dyDescent="0.3">
      <c r="A946" s="85" t="s">
        <v>34</v>
      </c>
      <c r="B946" s="15" t="s">
        <v>35</v>
      </c>
      <c r="C946" s="15" t="s">
        <v>47</v>
      </c>
      <c r="D946" s="15" t="s">
        <v>48</v>
      </c>
      <c r="E946" s="15" t="s">
        <v>1361</v>
      </c>
      <c r="F946" s="15" t="s">
        <v>1361</v>
      </c>
      <c r="G946" s="15" t="s">
        <v>1361</v>
      </c>
      <c r="H946" s="154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1362</v>
      </c>
      <c r="N946" s="15"/>
      <c r="O946" s="8" t="s">
        <v>410</v>
      </c>
      <c r="P946" s="8" t="s">
        <v>41</v>
      </c>
      <c r="Q946" s="14">
        <v>0</v>
      </c>
      <c r="R946" s="139" t="s">
        <v>1363</v>
      </c>
      <c r="S946" s="15"/>
      <c r="T946" s="6">
        <v>0</v>
      </c>
      <c r="U946" s="6">
        <v>200000</v>
      </c>
      <c r="V946" s="6">
        <v>150373.9</v>
      </c>
      <c r="W946" s="18">
        <f t="shared" si="138"/>
        <v>49626.100000000006</v>
      </c>
      <c r="X946" s="18">
        <f t="shared" si="132"/>
        <v>150373.9</v>
      </c>
      <c r="Y946" s="13">
        <f t="shared" si="133"/>
        <v>60306.662438400876</v>
      </c>
      <c r="Z946" s="14">
        <v>0</v>
      </c>
      <c r="AA946" s="4">
        <v>0</v>
      </c>
      <c r="AB946" s="4">
        <f t="shared" si="134"/>
        <v>150373.9</v>
      </c>
      <c r="AC946" s="6">
        <f t="shared" si="135"/>
        <v>0</v>
      </c>
      <c r="AD946" s="6">
        <f t="shared" si="139"/>
        <v>90067.237561599119</v>
      </c>
      <c r="AE946" s="2">
        <v>7.0000000000000007E-2</v>
      </c>
      <c r="AF946" s="5">
        <f t="shared" si="136"/>
        <v>6304.7066293119387</v>
      </c>
      <c r="AG946" s="14">
        <v>0</v>
      </c>
      <c r="AH946" s="19">
        <f t="shared" si="140"/>
        <v>150373.9</v>
      </c>
      <c r="AJ946" s="126" t="e">
        <v>#N/A</v>
      </c>
      <c r="AK946" s="80">
        <f t="shared" si="137"/>
        <v>0</v>
      </c>
      <c r="AM946" s="85"/>
    </row>
    <row r="947" spans="1:39" hidden="1" x14ac:dyDescent="0.3">
      <c r="A947" s="85" t="s">
        <v>34</v>
      </c>
      <c r="B947" s="15" t="s">
        <v>35</v>
      </c>
      <c r="C947" s="15" t="s">
        <v>47</v>
      </c>
      <c r="D947" s="15" t="s">
        <v>48</v>
      </c>
      <c r="E947" s="15" t="s">
        <v>1364</v>
      </c>
      <c r="F947" s="15" t="s">
        <v>1364</v>
      </c>
      <c r="G947" s="15" t="s">
        <v>1364</v>
      </c>
      <c r="H947" s="154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1364</v>
      </c>
      <c r="N947" s="15"/>
      <c r="O947" s="8" t="s">
        <v>410</v>
      </c>
      <c r="P947" s="8" t="s">
        <v>41</v>
      </c>
      <c r="Q947" s="14">
        <v>0</v>
      </c>
      <c r="R947" s="139" t="s">
        <v>1365</v>
      </c>
      <c r="S947" s="15"/>
      <c r="T947" s="6">
        <v>0</v>
      </c>
      <c r="U947" s="6">
        <v>200000</v>
      </c>
      <c r="V947" s="6">
        <v>166627.20000000001</v>
      </c>
      <c r="W947" s="18">
        <f t="shared" si="138"/>
        <v>33372.799999999988</v>
      </c>
      <c r="X947" s="18">
        <f t="shared" si="132"/>
        <v>166627.20000000001</v>
      </c>
      <c r="Y947" s="13">
        <f t="shared" si="133"/>
        <v>66824.962998604897</v>
      </c>
      <c r="Z947" s="14">
        <v>0</v>
      </c>
      <c r="AA947" s="4">
        <v>0</v>
      </c>
      <c r="AB947" s="4">
        <f t="shared" si="134"/>
        <v>166627.20000000001</v>
      </c>
      <c r="AC947" s="6">
        <f t="shared" si="135"/>
        <v>0</v>
      </c>
      <c r="AD947" s="6">
        <f t="shared" si="139"/>
        <v>99802.237001395115</v>
      </c>
      <c r="AE947" s="2">
        <v>7.0000000000000007E-2</v>
      </c>
      <c r="AF947" s="5">
        <f t="shared" si="136"/>
        <v>6986.1565900976584</v>
      </c>
      <c r="AG947" s="14">
        <v>0</v>
      </c>
      <c r="AH947" s="19">
        <f t="shared" si="140"/>
        <v>166627.20000000001</v>
      </c>
      <c r="AJ947" s="126" t="e">
        <v>#N/A</v>
      </c>
      <c r="AK947" s="80">
        <f t="shared" si="137"/>
        <v>0</v>
      </c>
      <c r="AM947" s="85"/>
    </row>
    <row r="948" spans="1:39" hidden="1" x14ac:dyDescent="0.3">
      <c r="A948" s="85" t="s">
        <v>34</v>
      </c>
      <c r="B948" s="15" t="s">
        <v>35</v>
      </c>
      <c r="C948" s="15" t="s">
        <v>47</v>
      </c>
      <c r="D948" s="15" t="s">
        <v>48</v>
      </c>
      <c r="E948" s="15" t="s">
        <v>1366</v>
      </c>
      <c r="F948" s="15" t="s">
        <v>1367</v>
      </c>
      <c r="G948" s="15" t="s">
        <v>1366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1368</v>
      </c>
      <c r="N948" s="15"/>
      <c r="O948" s="8" t="s">
        <v>410</v>
      </c>
      <c r="P948" s="8" t="s">
        <v>41</v>
      </c>
      <c r="Q948" s="14">
        <v>0</v>
      </c>
      <c r="R948" s="139" t="s">
        <v>1369</v>
      </c>
      <c r="S948" s="15"/>
      <c r="T948" s="6">
        <v>0</v>
      </c>
      <c r="U948" s="6">
        <v>1025750</v>
      </c>
      <c r="V948" s="6">
        <v>665134.70028999995</v>
      </c>
      <c r="W948" s="18">
        <f t="shared" si="138"/>
        <v>360615.29971000005</v>
      </c>
      <c r="X948" s="18">
        <f t="shared" si="132"/>
        <v>665134.70028999995</v>
      </c>
      <c r="Y948" s="13">
        <f t="shared" si="133"/>
        <v>266748.77652608574</v>
      </c>
      <c r="Z948" s="14">
        <v>0</v>
      </c>
      <c r="AA948" s="4">
        <v>0</v>
      </c>
      <c r="AB948" s="4">
        <f t="shared" si="134"/>
        <v>665134.70028999995</v>
      </c>
      <c r="AC948" s="6">
        <f t="shared" si="135"/>
        <v>0</v>
      </c>
      <c r="AD948" s="6">
        <f t="shared" si="139"/>
        <v>398385.92376391421</v>
      </c>
      <c r="AE948" s="2">
        <v>7.0000000000000007E-2</v>
      </c>
      <c r="AF948" s="5">
        <f t="shared" si="136"/>
        <v>27887.014663473998</v>
      </c>
      <c r="AG948" s="14">
        <v>0</v>
      </c>
      <c r="AH948" s="19">
        <f t="shared" si="140"/>
        <v>665134.70028999995</v>
      </c>
      <c r="AJ948" s="126" t="e">
        <v>#N/A</v>
      </c>
      <c r="AK948" s="80">
        <f t="shared" si="137"/>
        <v>0</v>
      </c>
      <c r="AM948" s="85"/>
    </row>
    <row r="949" spans="1:39" hidden="1" x14ac:dyDescent="0.3">
      <c r="A949" s="85" t="s">
        <v>34</v>
      </c>
      <c r="B949" s="15" t="s">
        <v>35</v>
      </c>
      <c r="C949" s="15" t="s">
        <v>47</v>
      </c>
      <c r="D949" s="15" t="s">
        <v>48</v>
      </c>
      <c r="E949" s="15" t="s">
        <v>1366</v>
      </c>
      <c r="F949" s="15" t="s">
        <v>1367</v>
      </c>
      <c r="G949" s="15" t="s">
        <v>1366</v>
      </c>
      <c r="H949" s="139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540</v>
      </c>
      <c r="N949" s="15"/>
      <c r="O949" s="8" t="s">
        <v>410</v>
      </c>
      <c r="P949" s="8" t="s">
        <v>41</v>
      </c>
      <c r="Q949" s="14">
        <v>0</v>
      </c>
      <c r="R949" s="139" t="s">
        <v>1370</v>
      </c>
      <c r="S949" s="15"/>
      <c r="T949" s="6">
        <v>0</v>
      </c>
      <c r="U949" s="6">
        <v>4250</v>
      </c>
      <c r="V949" s="6">
        <v>0</v>
      </c>
      <c r="W949" s="18">
        <f t="shared" si="138"/>
        <v>4250</v>
      </c>
      <c r="X949" s="18">
        <f t="shared" si="132"/>
        <v>0</v>
      </c>
      <c r="Y949" s="13">
        <f t="shared" si="133"/>
        <v>0</v>
      </c>
      <c r="Z949" s="14">
        <v>0</v>
      </c>
      <c r="AA949" s="4">
        <v>0</v>
      </c>
      <c r="AB949" s="4">
        <f t="shared" si="134"/>
        <v>0</v>
      </c>
      <c r="AC949" s="6">
        <f t="shared" si="135"/>
        <v>0</v>
      </c>
      <c r="AD949" s="6">
        <f t="shared" si="139"/>
        <v>0</v>
      </c>
      <c r="AE949" s="2">
        <v>7.0000000000000007E-2</v>
      </c>
      <c r="AF949" s="5">
        <f t="shared" si="136"/>
        <v>0</v>
      </c>
      <c r="AG949" s="14">
        <v>0</v>
      </c>
      <c r="AH949" s="19">
        <f t="shared" si="140"/>
        <v>0</v>
      </c>
      <c r="AJ949" s="126" t="e">
        <v>#N/A</v>
      </c>
      <c r="AK949" s="80">
        <f t="shared" si="137"/>
        <v>0</v>
      </c>
      <c r="AM949" s="85"/>
    </row>
    <row r="950" spans="1:39" hidden="1" x14ac:dyDescent="0.3">
      <c r="A950" s="85" t="s">
        <v>34</v>
      </c>
      <c r="B950" s="15" t="s">
        <v>35</v>
      </c>
      <c r="C950" s="15" t="s">
        <v>47</v>
      </c>
      <c r="D950" s="15" t="s">
        <v>48</v>
      </c>
      <c r="E950" s="15" t="s">
        <v>1366</v>
      </c>
      <c r="F950" s="15" t="s">
        <v>1367</v>
      </c>
      <c r="G950" s="15" t="s">
        <v>1366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1366</v>
      </c>
      <c r="N950" s="15"/>
      <c r="O950" s="8" t="s">
        <v>410</v>
      </c>
      <c r="P950" s="8" t="s">
        <v>41</v>
      </c>
      <c r="Q950" s="14">
        <v>0</v>
      </c>
      <c r="R950" s="139" t="s">
        <v>1371</v>
      </c>
      <c r="S950" s="15"/>
      <c r="T950" s="6">
        <v>0</v>
      </c>
      <c r="U950" s="6">
        <v>70000</v>
      </c>
      <c r="V950" s="6">
        <v>24597.3</v>
      </c>
      <c r="W950" s="18">
        <f t="shared" si="138"/>
        <v>45402.7</v>
      </c>
      <c r="X950" s="18">
        <f t="shared" si="132"/>
        <v>24597.3</v>
      </c>
      <c r="Y950" s="13">
        <f t="shared" si="133"/>
        <v>9864.617915715944</v>
      </c>
      <c r="Z950" s="14">
        <v>0</v>
      </c>
      <c r="AA950" s="4">
        <v>0</v>
      </c>
      <c r="AB950" s="4">
        <f t="shared" si="134"/>
        <v>24597.3</v>
      </c>
      <c r="AC950" s="6">
        <f t="shared" si="135"/>
        <v>0</v>
      </c>
      <c r="AD950" s="6">
        <f t="shared" si="139"/>
        <v>14732.682084284055</v>
      </c>
      <c r="AE950" s="2">
        <v>7.0000000000000007E-2</v>
      </c>
      <c r="AF950" s="5">
        <f t="shared" si="136"/>
        <v>1031.2877458998839</v>
      </c>
      <c r="AG950" s="14">
        <v>0</v>
      </c>
      <c r="AH950" s="19">
        <f t="shared" si="140"/>
        <v>24597.3</v>
      </c>
      <c r="AJ950" s="126" t="e">
        <v>#N/A</v>
      </c>
      <c r="AK950" s="80">
        <f t="shared" si="137"/>
        <v>0</v>
      </c>
      <c r="AM950" s="85"/>
    </row>
    <row r="951" spans="1:39" hidden="1" x14ac:dyDescent="0.3">
      <c r="A951" s="85" t="s">
        <v>34</v>
      </c>
      <c r="B951" s="15" t="s">
        <v>35</v>
      </c>
      <c r="C951" s="15" t="s">
        <v>47</v>
      </c>
      <c r="D951" s="15" t="s">
        <v>48</v>
      </c>
      <c r="E951" s="15" t="s">
        <v>1366</v>
      </c>
      <c r="F951" s="15" t="s">
        <v>1367</v>
      </c>
      <c r="G951" s="15" t="s">
        <v>1366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1366</v>
      </c>
      <c r="N951" s="15"/>
      <c r="O951" s="8" t="s">
        <v>410</v>
      </c>
      <c r="P951" s="8" t="s">
        <v>41</v>
      </c>
      <c r="Q951" s="14">
        <v>0</v>
      </c>
      <c r="R951" s="139" t="s">
        <v>1372</v>
      </c>
      <c r="S951" s="15"/>
      <c r="T951" s="6">
        <v>0</v>
      </c>
      <c r="U951" s="6">
        <v>50000</v>
      </c>
      <c r="V951" s="6">
        <v>11205.1</v>
      </c>
      <c r="W951" s="18">
        <f t="shared" si="138"/>
        <v>38794.9</v>
      </c>
      <c r="X951" s="18">
        <f t="shared" si="132"/>
        <v>11205.1</v>
      </c>
      <c r="Y951" s="13">
        <f t="shared" si="133"/>
        <v>4493.7464765396508</v>
      </c>
      <c r="Z951" s="14">
        <v>0</v>
      </c>
      <c r="AA951" s="4">
        <v>0</v>
      </c>
      <c r="AB951" s="4">
        <f t="shared" si="134"/>
        <v>11205.1</v>
      </c>
      <c r="AC951" s="6">
        <f t="shared" si="135"/>
        <v>0</v>
      </c>
      <c r="AD951" s="6">
        <f t="shared" si="139"/>
        <v>6711.3535234603496</v>
      </c>
      <c r="AE951" s="2">
        <v>7.0000000000000007E-2</v>
      </c>
      <c r="AF951" s="5">
        <f t="shared" si="136"/>
        <v>469.79474664222454</v>
      </c>
      <c r="AG951" s="14">
        <v>0</v>
      </c>
      <c r="AH951" s="19">
        <f t="shared" si="140"/>
        <v>11205.1</v>
      </c>
      <c r="AJ951" s="126" t="e">
        <v>#N/A</v>
      </c>
      <c r="AK951" s="80">
        <f t="shared" si="137"/>
        <v>0</v>
      </c>
      <c r="AM951" s="85"/>
    </row>
    <row r="952" spans="1:39" hidden="1" x14ac:dyDescent="0.3">
      <c r="A952" s="85" t="s">
        <v>34</v>
      </c>
      <c r="B952" s="15" t="s">
        <v>35</v>
      </c>
      <c r="C952" s="15" t="s">
        <v>144</v>
      </c>
      <c r="D952" s="15" t="s">
        <v>145</v>
      </c>
      <c r="E952" s="15" t="s">
        <v>561</v>
      </c>
      <c r="F952" s="15" t="s">
        <v>561</v>
      </c>
      <c r="G952" s="15" t="s">
        <v>561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561</v>
      </c>
      <c r="N952" s="15"/>
      <c r="O952" s="8" t="s">
        <v>410</v>
      </c>
      <c r="P952" s="8" t="s">
        <v>46</v>
      </c>
      <c r="Q952" s="14">
        <v>0.02</v>
      </c>
      <c r="R952" s="139" t="s">
        <v>1373</v>
      </c>
      <c r="S952" s="15"/>
      <c r="T952" s="6">
        <v>0</v>
      </c>
      <c r="U952" s="6">
        <v>10000</v>
      </c>
      <c r="V952" s="6">
        <v>577.5</v>
      </c>
      <c r="W952" s="18">
        <f t="shared" si="138"/>
        <v>9422.5</v>
      </c>
      <c r="X952" s="18">
        <f t="shared" si="132"/>
        <v>566.17647058823525</v>
      </c>
      <c r="Y952" s="13">
        <f t="shared" si="133"/>
        <v>220.27981104942239</v>
      </c>
      <c r="Z952" s="14">
        <v>0</v>
      </c>
      <c r="AA952" s="4">
        <v>0</v>
      </c>
      <c r="AB952" s="4">
        <f t="shared" si="134"/>
        <v>566.17647058823525</v>
      </c>
      <c r="AC952" s="6">
        <f t="shared" si="135"/>
        <v>11.323529411764753</v>
      </c>
      <c r="AD952" s="6">
        <f t="shared" si="139"/>
        <v>345.89665953881286</v>
      </c>
      <c r="AE952" s="2">
        <v>7.0000000000000007E-2</v>
      </c>
      <c r="AF952" s="5">
        <f t="shared" si="136"/>
        <v>24.212766167716904</v>
      </c>
      <c r="AG952" s="14">
        <v>0</v>
      </c>
      <c r="AH952" s="19">
        <f t="shared" si="140"/>
        <v>577.5</v>
      </c>
      <c r="AJ952" s="126" t="e">
        <v>#N/A</v>
      </c>
      <c r="AK952" s="80">
        <f t="shared" si="137"/>
        <v>0</v>
      </c>
      <c r="AM952" s="85"/>
    </row>
    <row r="953" spans="1:39" hidden="1" x14ac:dyDescent="0.3">
      <c r="A953" s="85" t="s">
        <v>34</v>
      </c>
      <c r="B953" s="15" t="s">
        <v>35</v>
      </c>
      <c r="C953" s="15" t="s">
        <v>144</v>
      </c>
      <c r="D953" s="15" t="s">
        <v>145</v>
      </c>
      <c r="E953" s="15" t="s">
        <v>1374</v>
      </c>
      <c r="F953" s="15" t="s">
        <v>1374</v>
      </c>
      <c r="G953" s="15" t="s">
        <v>1374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1375</v>
      </c>
      <c r="N953" s="15"/>
      <c r="O953" s="8" t="s">
        <v>410</v>
      </c>
      <c r="P953" s="8" t="s">
        <v>46</v>
      </c>
      <c r="Q953" s="14">
        <v>0.02</v>
      </c>
      <c r="R953" s="139" t="s">
        <v>1376</v>
      </c>
      <c r="S953" s="15"/>
      <c r="T953" s="6">
        <v>0</v>
      </c>
      <c r="U953" s="6">
        <v>45000</v>
      </c>
      <c r="V953" s="6">
        <v>37825.4</v>
      </c>
      <c r="W953" s="18">
        <f t="shared" si="138"/>
        <v>7174.5999999999985</v>
      </c>
      <c r="X953" s="18">
        <f t="shared" ref="X953:X1016" si="141">IF(P953="折扣",V953*Q953,IF(P953="返现",V953,V953/(1+Q953)))</f>
        <v>37083.725490196077</v>
      </c>
      <c r="Y953" s="13">
        <f t="shared" si="133"/>
        <v>14428.003402370254</v>
      </c>
      <c r="Z953" s="14">
        <v>0</v>
      </c>
      <c r="AA953" s="4">
        <v>0</v>
      </c>
      <c r="AB953" s="4">
        <f t="shared" si="134"/>
        <v>37083.725490196077</v>
      </c>
      <c r="AC953" s="6">
        <f t="shared" si="135"/>
        <v>741.67450980392459</v>
      </c>
      <c r="AD953" s="6">
        <f t="shared" si="139"/>
        <v>22655.722087825823</v>
      </c>
      <c r="AE953" s="2">
        <v>7.0000000000000007E-2</v>
      </c>
      <c r="AF953" s="5">
        <f t="shared" si="136"/>
        <v>1585.9005461478077</v>
      </c>
      <c r="AG953" s="14">
        <v>0</v>
      </c>
      <c r="AH953" s="19">
        <f t="shared" si="140"/>
        <v>37825.4</v>
      </c>
      <c r="AJ953" s="126" t="e">
        <v>#N/A</v>
      </c>
      <c r="AK953" s="80">
        <f t="shared" si="137"/>
        <v>0</v>
      </c>
      <c r="AM953" s="85"/>
    </row>
    <row r="954" spans="1:39" hidden="1" x14ac:dyDescent="0.3">
      <c r="A954" s="85" t="s">
        <v>34</v>
      </c>
      <c r="B954" s="15" t="s">
        <v>35</v>
      </c>
      <c r="C954" s="15" t="s">
        <v>144</v>
      </c>
      <c r="D954" s="15" t="s">
        <v>145</v>
      </c>
      <c r="E954" s="15" t="s">
        <v>1377</v>
      </c>
      <c r="F954" s="15" t="s">
        <v>1377</v>
      </c>
      <c r="G954" s="15" t="s">
        <v>1377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1378</v>
      </c>
      <c r="N954" s="15"/>
      <c r="O954" s="8" t="s">
        <v>410</v>
      </c>
      <c r="P954" s="8" t="s">
        <v>41</v>
      </c>
      <c r="Q954" s="14">
        <v>0</v>
      </c>
      <c r="R954" s="139" t="s">
        <v>1379</v>
      </c>
      <c r="S954" s="15"/>
      <c r="T954" s="6">
        <v>0</v>
      </c>
      <c r="U954" s="6">
        <v>29047</v>
      </c>
      <c r="V954" s="6">
        <v>29046.1</v>
      </c>
      <c r="W954" s="18">
        <f t="shared" si="138"/>
        <v>0.90000000000145519</v>
      </c>
      <c r="X954" s="18">
        <f t="shared" si="141"/>
        <v>29046.1</v>
      </c>
      <c r="Y954" s="13">
        <f t="shared" si="133"/>
        <v>11648.78577899513</v>
      </c>
      <c r="Z954" s="14">
        <v>0</v>
      </c>
      <c r="AA954" s="4">
        <v>0</v>
      </c>
      <c r="AB954" s="4">
        <f t="shared" si="134"/>
        <v>29046.1</v>
      </c>
      <c r="AC954" s="6">
        <f t="shared" si="135"/>
        <v>0</v>
      </c>
      <c r="AD954" s="6">
        <f t="shared" si="139"/>
        <v>17397.314221004868</v>
      </c>
      <c r="AE954" s="2">
        <v>7.0000000000000007E-2</v>
      </c>
      <c r="AF954" s="5">
        <f t="shared" si="136"/>
        <v>1217.8119954703409</v>
      </c>
      <c r="AG954" s="14">
        <v>0</v>
      </c>
      <c r="AH954" s="19">
        <f t="shared" si="140"/>
        <v>29046.1</v>
      </c>
      <c r="AJ954" s="126" t="e">
        <v>#N/A</v>
      </c>
      <c r="AK954" s="80">
        <f t="shared" si="137"/>
        <v>0</v>
      </c>
      <c r="AM954" s="85"/>
    </row>
    <row r="955" spans="1:39" hidden="1" x14ac:dyDescent="0.3">
      <c r="A955" s="85" t="s">
        <v>34</v>
      </c>
      <c r="B955" s="15" t="s">
        <v>35</v>
      </c>
      <c r="C955" s="15" t="s">
        <v>144</v>
      </c>
      <c r="D955" s="15" t="s">
        <v>145</v>
      </c>
      <c r="E955" s="15" t="s">
        <v>1380</v>
      </c>
      <c r="F955" s="15" t="s">
        <v>1380</v>
      </c>
      <c r="G955" s="15" t="s">
        <v>1380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1381</v>
      </c>
      <c r="N955" s="15"/>
      <c r="O955" s="8" t="s">
        <v>410</v>
      </c>
      <c r="P955" s="8" t="s">
        <v>41</v>
      </c>
      <c r="Q955" s="14">
        <v>0</v>
      </c>
      <c r="R955" s="139" t="s">
        <v>1382</v>
      </c>
      <c r="S955" s="15"/>
      <c r="T955" s="6">
        <v>0</v>
      </c>
      <c r="U955" s="6">
        <v>70000</v>
      </c>
      <c r="V955" s="6">
        <v>53313.9</v>
      </c>
      <c r="W955" s="18">
        <f t="shared" si="138"/>
        <v>16686.099999999999</v>
      </c>
      <c r="X955" s="18">
        <f t="shared" si="141"/>
        <v>53313.9</v>
      </c>
      <c r="Y955" s="13">
        <f t="shared" si="133"/>
        <v>21381.259451105947</v>
      </c>
      <c r="Z955" s="14">
        <v>0</v>
      </c>
      <c r="AA955" s="4">
        <v>0</v>
      </c>
      <c r="AB955" s="4">
        <f t="shared" si="134"/>
        <v>53313.9</v>
      </c>
      <c r="AC955" s="6">
        <f t="shared" si="135"/>
        <v>0</v>
      </c>
      <c r="AD955" s="6">
        <f t="shared" si="139"/>
        <v>31932.640548894055</v>
      </c>
      <c r="AE955" s="2">
        <v>7.0000000000000007E-2</v>
      </c>
      <c r="AF955" s="5">
        <f t="shared" si="136"/>
        <v>2235.284838422584</v>
      </c>
      <c r="AG955" s="14">
        <v>0</v>
      </c>
      <c r="AH955" s="19">
        <f t="shared" si="140"/>
        <v>53313.9</v>
      </c>
      <c r="AJ955" s="126" t="e">
        <v>#N/A</v>
      </c>
      <c r="AK955" s="80">
        <f t="shared" si="137"/>
        <v>0</v>
      </c>
      <c r="AM955" s="85"/>
    </row>
    <row r="956" spans="1:39" hidden="1" x14ac:dyDescent="0.3">
      <c r="A956" s="85" t="s">
        <v>34</v>
      </c>
      <c r="B956" s="15" t="s">
        <v>35</v>
      </c>
      <c r="C956" s="15" t="s">
        <v>144</v>
      </c>
      <c r="D956" s="15" t="s">
        <v>145</v>
      </c>
      <c r="E956" s="15" t="s">
        <v>565</v>
      </c>
      <c r="F956" s="15" t="s">
        <v>566</v>
      </c>
      <c r="G956" s="15" t="s">
        <v>565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565</v>
      </c>
      <c r="N956" s="15"/>
      <c r="O956" s="8" t="s">
        <v>410</v>
      </c>
      <c r="P956" s="8" t="s">
        <v>41</v>
      </c>
      <c r="Q956" s="14">
        <v>0</v>
      </c>
      <c r="R956" s="139" t="s">
        <v>1383</v>
      </c>
      <c r="S956" s="15"/>
      <c r="T956" s="6">
        <v>0</v>
      </c>
      <c r="U956" s="6">
        <v>90000</v>
      </c>
      <c r="V956" s="6">
        <v>76760.699949999995</v>
      </c>
      <c r="W956" s="18">
        <f t="shared" si="138"/>
        <v>13239.300050000005</v>
      </c>
      <c r="X956" s="18">
        <f t="shared" si="141"/>
        <v>76760.699949999995</v>
      </c>
      <c r="Y956" s="13">
        <f t="shared" si="133"/>
        <v>30784.475367201521</v>
      </c>
      <c r="Z956" s="14">
        <v>0</v>
      </c>
      <c r="AA956" s="4">
        <v>0</v>
      </c>
      <c r="AB956" s="4">
        <f t="shared" si="134"/>
        <v>76760.699949999995</v>
      </c>
      <c r="AC956" s="6">
        <f t="shared" si="135"/>
        <v>0</v>
      </c>
      <c r="AD956" s="6">
        <f t="shared" si="139"/>
        <v>45976.224582798473</v>
      </c>
      <c r="AE956" s="2">
        <v>7.0000000000000007E-2</v>
      </c>
      <c r="AF956" s="5">
        <f t="shared" si="136"/>
        <v>3218.3357207958934</v>
      </c>
      <c r="AG956" s="14">
        <v>0</v>
      </c>
      <c r="AH956" s="19">
        <f t="shared" si="140"/>
        <v>76760.699949999995</v>
      </c>
      <c r="AJ956" s="126" t="e">
        <v>#N/A</v>
      </c>
      <c r="AK956" s="80">
        <f t="shared" si="137"/>
        <v>0</v>
      </c>
      <c r="AM956" s="85"/>
    </row>
    <row r="957" spans="1:39" hidden="1" x14ac:dyDescent="0.3">
      <c r="A957" s="85" t="s">
        <v>34</v>
      </c>
      <c r="B957" s="15" t="s">
        <v>35</v>
      </c>
      <c r="C957" s="15" t="s">
        <v>144</v>
      </c>
      <c r="D957" s="15" t="s">
        <v>145</v>
      </c>
      <c r="E957" s="15" t="s">
        <v>146</v>
      </c>
      <c r="F957" s="15" t="s">
        <v>146</v>
      </c>
      <c r="G957" s="15" t="s">
        <v>146</v>
      </c>
      <c r="H957" s="154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146</v>
      </c>
      <c r="N957" s="15"/>
      <c r="O957" s="8" t="s">
        <v>410</v>
      </c>
      <c r="P957" s="8" t="s">
        <v>41</v>
      </c>
      <c r="Q957" s="14">
        <v>0</v>
      </c>
      <c r="R957" s="139" t="s">
        <v>1384</v>
      </c>
      <c r="S957" s="15"/>
      <c r="T957" s="6">
        <v>0</v>
      </c>
      <c r="U957" s="6">
        <v>540000</v>
      </c>
      <c r="V957" s="6">
        <v>419025.6</v>
      </c>
      <c r="W957" s="18">
        <f t="shared" si="138"/>
        <v>120974.40000000002</v>
      </c>
      <c r="X957" s="18">
        <f t="shared" si="141"/>
        <v>419025.6</v>
      </c>
      <c r="Y957" s="13">
        <f t="shared" si="133"/>
        <v>168048.01506277613</v>
      </c>
      <c r="Z957" s="14">
        <v>0</v>
      </c>
      <c r="AA957" s="4">
        <v>0</v>
      </c>
      <c r="AB957" s="4">
        <f t="shared" si="134"/>
        <v>419025.6</v>
      </c>
      <c r="AC957" s="6">
        <f t="shared" si="135"/>
        <v>0</v>
      </c>
      <c r="AD957" s="6">
        <f t="shared" si="139"/>
        <v>250977.58493722384</v>
      </c>
      <c r="AE957" s="2">
        <v>7.0000000000000007E-2</v>
      </c>
      <c r="AF957" s="5">
        <f t="shared" si="136"/>
        <v>17568.430945605669</v>
      </c>
      <c r="AG957" s="14">
        <v>0</v>
      </c>
      <c r="AH957" s="19">
        <f t="shared" si="140"/>
        <v>419025.6</v>
      </c>
      <c r="AJ957" s="126" t="e">
        <v>#N/A</v>
      </c>
      <c r="AK957" s="80">
        <f t="shared" si="137"/>
        <v>0</v>
      </c>
      <c r="AM957" s="85"/>
    </row>
    <row r="958" spans="1:39" hidden="1" x14ac:dyDescent="0.3">
      <c r="A958" s="85" t="s">
        <v>34</v>
      </c>
      <c r="B958" s="15" t="s">
        <v>35</v>
      </c>
      <c r="C958" s="15" t="s">
        <v>144</v>
      </c>
      <c r="D958" s="15" t="s">
        <v>145</v>
      </c>
      <c r="E958" s="15" t="s">
        <v>1385</v>
      </c>
      <c r="F958" s="15" t="s">
        <v>1386</v>
      </c>
      <c r="G958" s="15" t="s">
        <v>1385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1385</v>
      </c>
      <c r="N958" s="15"/>
      <c r="O958" s="8" t="s">
        <v>410</v>
      </c>
      <c r="P958" s="8" t="s">
        <v>41</v>
      </c>
      <c r="Q958" s="14">
        <v>0</v>
      </c>
      <c r="R958" s="139" t="s">
        <v>1387</v>
      </c>
      <c r="S958" s="15"/>
      <c r="T958" s="6">
        <v>0</v>
      </c>
      <c r="U958" s="6">
        <v>800000</v>
      </c>
      <c r="V958" s="6">
        <v>626369.69999999995</v>
      </c>
      <c r="W958" s="18">
        <f t="shared" si="138"/>
        <v>173630.30000000005</v>
      </c>
      <c r="X958" s="18">
        <f t="shared" si="141"/>
        <v>626369.69999999995</v>
      </c>
      <c r="Y958" s="13">
        <f t="shared" si="133"/>
        <v>251202.27685484267</v>
      </c>
      <c r="Z958" s="14">
        <v>0</v>
      </c>
      <c r="AA958" s="4">
        <v>0</v>
      </c>
      <c r="AB958" s="4">
        <f t="shared" si="134"/>
        <v>626369.69999999995</v>
      </c>
      <c r="AC958" s="6">
        <f t="shared" si="135"/>
        <v>0</v>
      </c>
      <c r="AD958" s="6">
        <f t="shared" si="139"/>
        <v>375167.42314515729</v>
      </c>
      <c r="AE958" s="2">
        <v>7.0000000000000007E-2</v>
      </c>
      <c r="AF958" s="5">
        <f t="shared" si="136"/>
        <v>26261.719620161013</v>
      </c>
      <c r="AG958" s="14">
        <v>0</v>
      </c>
      <c r="AH958" s="19">
        <f t="shared" si="140"/>
        <v>626369.69999999995</v>
      </c>
      <c r="AJ958" s="126" t="e">
        <v>#N/A</v>
      </c>
      <c r="AK958" s="80">
        <f t="shared" si="137"/>
        <v>0</v>
      </c>
      <c r="AM958" s="85"/>
    </row>
    <row r="959" spans="1:39" hidden="1" x14ac:dyDescent="0.3">
      <c r="A959" s="85" t="s">
        <v>34</v>
      </c>
      <c r="B959" s="15" t="s">
        <v>35</v>
      </c>
      <c r="C959" s="15" t="s">
        <v>144</v>
      </c>
      <c r="D959" s="15" t="s">
        <v>145</v>
      </c>
      <c r="E959" s="15" t="s">
        <v>1388</v>
      </c>
      <c r="F959" s="15" t="s">
        <v>1388</v>
      </c>
      <c r="G959" s="15" t="s">
        <v>1388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1388</v>
      </c>
      <c r="N959" s="15"/>
      <c r="O959" s="8" t="s">
        <v>410</v>
      </c>
      <c r="P959" s="8" t="s">
        <v>41</v>
      </c>
      <c r="Q959" s="14">
        <v>0</v>
      </c>
      <c r="R959" s="139" t="s">
        <v>1389</v>
      </c>
      <c r="S959" s="15"/>
      <c r="T959" s="6">
        <v>0</v>
      </c>
      <c r="U959" s="6">
        <v>19000.59</v>
      </c>
      <c r="V959" s="6">
        <v>7005</v>
      </c>
      <c r="W959" s="18">
        <f t="shared" si="138"/>
        <v>11995.59</v>
      </c>
      <c r="X959" s="18">
        <f t="shared" si="141"/>
        <v>7005</v>
      </c>
      <c r="Y959" s="13">
        <f t="shared" si="133"/>
        <v>2809.3184414382958</v>
      </c>
      <c r="Z959" s="14">
        <v>0</v>
      </c>
      <c r="AA959" s="4">
        <v>0</v>
      </c>
      <c r="AB959" s="4">
        <f t="shared" si="134"/>
        <v>7005</v>
      </c>
      <c r="AC959" s="6">
        <f t="shared" si="135"/>
        <v>0</v>
      </c>
      <c r="AD959" s="6">
        <f t="shared" si="139"/>
        <v>4195.6815585617042</v>
      </c>
      <c r="AE959" s="2">
        <v>7.0000000000000007E-2</v>
      </c>
      <c r="AF959" s="5">
        <f t="shared" si="136"/>
        <v>293.6977090993193</v>
      </c>
      <c r="AG959" s="14">
        <v>0</v>
      </c>
      <c r="AH959" s="19">
        <f t="shared" si="140"/>
        <v>7005</v>
      </c>
      <c r="AJ959" s="126" t="e">
        <v>#N/A</v>
      </c>
      <c r="AK959" s="80">
        <f t="shared" si="137"/>
        <v>0</v>
      </c>
      <c r="AM959" s="85"/>
    </row>
    <row r="960" spans="1:39" hidden="1" x14ac:dyDescent="0.3">
      <c r="A960" s="85" t="s">
        <v>34</v>
      </c>
      <c r="B960" s="15" t="s">
        <v>35</v>
      </c>
      <c r="C960" s="15" t="s">
        <v>144</v>
      </c>
      <c r="D960" s="15" t="s">
        <v>145</v>
      </c>
      <c r="E960" s="15" t="s">
        <v>1390</v>
      </c>
      <c r="F960" s="15" t="s">
        <v>1390</v>
      </c>
      <c r="G960" s="15" t="s">
        <v>1390</v>
      </c>
      <c r="H960" s="154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1390</v>
      </c>
      <c r="N960" s="15"/>
      <c r="O960" s="8" t="s">
        <v>410</v>
      </c>
      <c r="P960" s="8" t="s">
        <v>46</v>
      </c>
      <c r="Q960" s="14">
        <v>0.02</v>
      </c>
      <c r="R960" s="139" t="s">
        <v>1391</v>
      </c>
      <c r="S960" s="15"/>
      <c r="T960" s="6">
        <v>9585.2000000000007</v>
      </c>
      <c r="U960" s="6">
        <v>30000</v>
      </c>
      <c r="V960" s="6">
        <v>28914.3</v>
      </c>
      <c r="W960" s="18">
        <f t="shared" si="138"/>
        <v>10670.899999999998</v>
      </c>
      <c r="X960" s="18">
        <f t="shared" si="141"/>
        <v>28347.352941176468</v>
      </c>
      <c r="Y960" s="13">
        <f t="shared" si="133"/>
        <v>11028.981022729549</v>
      </c>
      <c r="Z960" s="14">
        <v>0</v>
      </c>
      <c r="AA960" s="4">
        <v>0</v>
      </c>
      <c r="AB960" s="4">
        <f t="shared" si="134"/>
        <v>28347.352941176468</v>
      </c>
      <c r="AC960" s="6">
        <f t="shared" si="135"/>
        <v>566.94705882353082</v>
      </c>
      <c r="AD960" s="6">
        <f t="shared" si="139"/>
        <v>17318.371918446919</v>
      </c>
      <c r="AE960" s="2">
        <v>7.0000000000000007E-2</v>
      </c>
      <c r="AF960" s="5">
        <f t="shared" si="136"/>
        <v>1212.2860342912845</v>
      </c>
      <c r="AG960" s="14">
        <v>0</v>
      </c>
      <c r="AH960" s="19">
        <f t="shared" si="140"/>
        <v>28914.3</v>
      </c>
      <c r="AJ960" s="126" t="e">
        <v>#N/A</v>
      </c>
      <c r="AK960" s="80">
        <f t="shared" si="137"/>
        <v>0</v>
      </c>
      <c r="AM960" s="85"/>
    </row>
    <row r="961" spans="1:39" hidden="1" x14ac:dyDescent="0.3">
      <c r="A961" s="85" t="s">
        <v>34</v>
      </c>
      <c r="B961" s="15" t="s">
        <v>35</v>
      </c>
      <c r="C961" s="15" t="s">
        <v>144</v>
      </c>
      <c r="D961" s="15" t="s">
        <v>145</v>
      </c>
      <c r="E961" s="15" t="s">
        <v>1392</v>
      </c>
      <c r="F961" s="15" t="s">
        <v>1392</v>
      </c>
      <c r="G961" s="15" t="s">
        <v>1392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1392</v>
      </c>
      <c r="N961" s="15"/>
      <c r="O961" s="8" t="s">
        <v>410</v>
      </c>
      <c r="P961" s="8" t="s">
        <v>41</v>
      </c>
      <c r="Q961" s="14">
        <v>0</v>
      </c>
      <c r="R961" s="139" t="s">
        <v>1393</v>
      </c>
      <c r="S961" s="15"/>
      <c r="T961" s="6">
        <v>15929.8</v>
      </c>
      <c r="U961" s="6">
        <v>0</v>
      </c>
      <c r="V961" s="6">
        <v>2263.3000000000002</v>
      </c>
      <c r="W961" s="18">
        <f t="shared" si="138"/>
        <v>13666.5</v>
      </c>
      <c r="X961" s="18">
        <f t="shared" si="141"/>
        <v>2263.3000000000002</v>
      </c>
      <c r="Y961" s="13">
        <f t="shared" si="133"/>
        <v>907.68457223515998</v>
      </c>
      <c r="Z961" s="14">
        <v>0</v>
      </c>
      <c r="AA961" s="4">
        <v>0</v>
      </c>
      <c r="AB961" s="4">
        <f t="shared" si="134"/>
        <v>2263.3000000000002</v>
      </c>
      <c r="AC961" s="6">
        <f t="shared" si="135"/>
        <v>0</v>
      </c>
      <c r="AD961" s="6">
        <f t="shared" si="139"/>
        <v>1355.6154277648402</v>
      </c>
      <c r="AE961" s="2">
        <v>7.0000000000000007E-2</v>
      </c>
      <c r="AF961" s="5">
        <f t="shared" si="136"/>
        <v>94.893079943538822</v>
      </c>
      <c r="AG961" s="14">
        <v>0</v>
      </c>
      <c r="AH961" s="19">
        <f t="shared" si="140"/>
        <v>2263.3000000000002</v>
      </c>
      <c r="AJ961" s="126" t="e">
        <v>#N/A</v>
      </c>
      <c r="AK961" s="80">
        <f t="shared" si="137"/>
        <v>0</v>
      </c>
      <c r="AM961" s="85"/>
    </row>
    <row r="962" spans="1:39" hidden="1" x14ac:dyDescent="0.3">
      <c r="A962" s="85" t="s">
        <v>34</v>
      </c>
      <c r="B962" s="15" t="s">
        <v>35</v>
      </c>
      <c r="C962" s="15" t="s">
        <v>144</v>
      </c>
      <c r="D962" s="15" t="s">
        <v>145</v>
      </c>
      <c r="E962" s="15" t="s">
        <v>1394</v>
      </c>
      <c r="F962" s="15" t="s">
        <v>1394</v>
      </c>
      <c r="G962" s="15" t="s">
        <v>1394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1394</v>
      </c>
      <c r="N962" s="15"/>
      <c r="O962" s="8" t="s">
        <v>410</v>
      </c>
      <c r="P962" s="8" t="s">
        <v>41</v>
      </c>
      <c r="Q962" s="14">
        <v>0</v>
      </c>
      <c r="R962" s="139">
        <v>9925076</v>
      </c>
      <c r="S962" s="15"/>
      <c r="T962" s="6">
        <v>8996.5</v>
      </c>
      <c r="U962" s="6">
        <v>20000</v>
      </c>
      <c r="V962" s="6">
        <v>10773.9</v>
      </c>
      <c r="W962" s="18">
        <f t="shared" si="138"/>
        <v>18222.599999999999</v>
      </c>
      <c r="X962" s="18">
        <f t="shared" si="141"/>
        <v>10773.9</v>
      </c>
      <c r="Y962" s="13">
        <f t="shared" si="133"/>
        <v>4320.8159823286305</v>
      </c>
      <c r="Z962" s="14">
        <v>0</v>
      </c>
      <c r="AA962" s="4">
        <v>0</v>
      </c>
      <c r="AB962" s="4">
        <f t="shared" si="134"/>
        <v>10773.9</v>
      </c>
      <c r="AC962" s="6">
        <f t="shared" si="135"/>
        <v>0</v>
      </c>
      <c r="AD962" s="6">
        <f t="shared" si="139"/>
        <v>6453.0840176713691</v>
      </c>
      <c r="AE962" s="2">
        <v>7.0000000000000007E-2</v>
      </c>
      <c r="AF962" s="5">
        <f t="shared" si="136"/>
        <v>451.71588123699587</v>
      </c>
      <c r="AG962" s="14">
        <v>0</v>
      </c>
      <c r="AH962" s="19">
        <f t="shared" si="140"/>
        <v>10773.9</v>
      </c>
      <c r="AJ962" s="126" t="e">
        <v>#N/A</v>
      </c>
      <c r="AK962" s="80">
        <f t="shared" si="137"/>
        <v>0</v>
      </c>
      <c r="AM962" s="85"/>
    </row>
    <row r="963" spans="1:39" hidden="1" x14ac:dyDescent="0.3">
      <c r="A963" s="85" t="s">
        <v>34</v>
      </c>
      <c r="B963" s="15" t="s">
        <v>35</v>
      </c>
      <c r="C963" s="15" t="s">
        <v>144</v>
      </c>
      <c r="D963" s="15" t="s">
        <v>145</v>
      </c>
      <c r="E963" s="15" t="s">
        <v>1395</v>
      </c>
      <c r="F963" s="15" t="s">
        <v>1396</v>
      </c>
      <c r="G963" s="15" t="s">
        <v>1395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1395</v>
      </c>
      <c r="N963" s="15"/>
      <c r="O963" s="8" t="s">
        <v>410</v>
      </c>
      <c r="P963" s="8" t="s">
        <v>46</v>
      </c>
      <c r="Q963" s="14">
        <v>0.01</v>
      </c>
      <c r="R963" s="139" t="s">
        <v>1397</v>
      </c>
      <c r="S963" s="15"/>
      <c r="T963" s="6">
        <v>0</v>
      </c>
      <c r="U963" s="6">
        <v>769650</v>
      </c>
      <c r="V963" s="6">
        <v>458668.4</v>
      </c>
      <c r="W963" s="18">
        <f t="shared" si="138"/>
        <v>310981.59999999998</v>
      </c>
      <c r="X963" s="18">
        <f t="shared" si="141"/>
        <v>454127.12871287129</v>
      </c>
      <c r="Y963" s="13">
        <f t="shared" ref="Y963:Y1026" si="142">IF(X963-AD963&lt;=0,0,IF(P963="返现",MAX(X963-AC963-AD963,0),MAX(X963-AD963)))</f>
        <v>179405.28040808853</v>
      </c>
      <c r="Z963" s="14">
        <v>0</v>
      </c>
      <c r="AA963" s="4">
        <v>0</v>
      </c>
      <c r="AB963" s="4">
        <f t="shared" ref="AB963:AB1026" si="143">X963+AA963</f>
        <v>454127.12871287129</v>
      </c>
      <c r="AC963" s="6">
        <f t="shared" ref="AC963:AC1026" si="144">IF(P963="返现",X963*Q963,V963-X963)</f>
        <v>4541.2712871287367</v>
      </c>
      <c r="AD963" s="6">
        <f t="shared" si="139"/>
        <v>274721.84830478276</v>
      </c>
      <c r="AE963" s="2">
        <v>7.0000000000000007E-2</v>
      </c>
      <c r="AF963" s="5">
        <f t="shared" ref="AF963:AF1026" si="145">AD963*AE963</f>
        <v>19230.529381334796</v>
      </c>
      <c r="AG963" s="14">
        <v>0</v>
      </c>
      <c r="AH963" s="19">
        <f t="shared" si="140"/>
        <v>458668.4</v>
      </c>
      <c r="AJ963" s="126" t="e">
        <v>#N/A</v>
      </c>
      <c r="AK963" s="80">
        <f t="shared" ref="AK963:AK1026" si="146">X963+AA963-AB963</f>
        <v>0</v>
      </c>
      <c r="AM963" s="85"/>
    </row>
    <row r="964" spans="1:39" hidden="1" x14ac:dyDescent="0.3">
      <c r="A964" s="85" t="s">
        <v>34</v>
      </c>
      <c r="B964" s="15" t="s">
        <v>35</v>
      </c>
      <c r="C964" s="15" t="s">
        <v>144</v>
      </c>
      <c r="D964" s="15" t="s">
        <v>145</v>
      </c>
      <c r="E964" s="15" t="s">
        <v>1398</v>
      </c>
      <c r="F964" s="15" t="s">
        <v>1398</v>
      </c>
      <c r="G964" s="15" t="s">
        <v>1398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1398</v>
      </c>
      <c r="N964" s="15"/>
      <c r="O964" s="8" t="s">
        <v>410</v>
      </c>
      <c r="P964" s="8" t="s">
        <v>46</v>
      </c>
      <c r="Q964" s="14">
        <v>0.02</v>
      </c>
      <c r="R964" s="139">
        <v>13588565997</v>
      </c>
      <c r="S964" s="15"/>
      <c r="T964" s="6">
        <v>26454.110000000015</v>
      </c>
      <c r="U964" s="6">
        <v>50000</v>
      </c>
      <c r="V964" s="6">
        <v>47215</v>
      </c>
      <c r="W964" s="18">
        <f t="shared" si="138"/>
        <v>29239.110000000015</v>
      </c>
      <c r="X964" s="18">
        <f t="shared" si="141"/>
        <v>46289.215686274511</v>
      </c>
      <c r="Y964" s="13">
        <f t="shared" si="142"/>
        <v>18009.543339737629</v>
      </c>
      <c r="Z964" s="14">
        <v>0</v>
      </c>
      <c r="AA964" s="4">
        <v>0</v>
      </c>
      <c r="AB964" s="4">
        <f t="shared" si="143"/>
        <v>46289.215686274511</v>
      </c>
      <c r="AC964" s="6">
        <f t="shared" si="144"/>
        <v>925.78431372548948</v>
      </c>
      <c r="AD964" s="6">
        <f t="shared" si="139"/>
        <v>28279.672346536881</v>
      </c>
      <c r="AE964" s="2">
        <v>7.0000000000000007E-2</v>
      </c>
      <c r="AF964" s="5">
        <f t="shared" si="145"/>
        <v>1979.5770642575819</v>
      </c>
      <c r="AG964" s="14">
        <v>0</v>
      </c>
      <c r="AH964" s="19">
        <f t="shared" si="140"/>
        <v>47215</v>
      </c>
      <c r="AJ964" s="126" t="e">
        <v>#N/A</v>
      </c>
      <c r="AK964" s="80">
        <f t="shared" si="146"/>
        <v>0</v>
      </c>
      <c r="AM964" s="85"/>
    </row>
    <row r="965" spans="1:39" hidden="1" x14ac:dyDescent="0.3">
      <c r="A965" s="85" t="s">
        <v>34</v>
      </c>
      <c r="B965" s="15" t="s">
        <v>35</v>
      </c>
      <c r="C965" s="15" t="s">
        <v>144</v>
      </c>
      <c r="D965" s="15" t="s">
        <v>145</v>
      </c>
      <c r="E965" s="15" t="s">
        <v>1399</v>
      </c>
      <c r="F965" s="15" t="s">
        <v>1399</v>
      </c>
      <c r="G965" s="15" t="s">
        <v>1399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1399</v>
      </c>
      <c r="N965" s="15"/>
      <c r="O965" s="8" t="s">
        <v>410</v>
      </c>
      <c r="P965" s="8" t="s">
        <v>41</v>
      </c>
      <c r="Q965" s="14">
        <v>0</v>
      </c>
      <c r="R965" s="139" t="s">
        <v>1400</v>
      </c>
      <c r="S965" s="15"/>
      <c r="T965" s="6">
        <v>85994.8</v>
      </c>
      <c r="U965" s="6">
        <v>90000</v>
      </c>
      <c r="V965" s="6">
        <v>112983.8</v>
      </c>
      <c r="W965" s="18">
        <f t="shared" si="138"/>
        <v>63010.999999999985</v>
      </c>
      <c r="X965" s="18">
        <f t="shared" si="141"/>
        <v>112983.8</v>
      </c>
      <c r="Y965" s="13">
        <f t="shared" si="142"/>
        <v>45311.55930389381</v>
      </c>
      <c r="Z965" s="14">
        <v>0</v>
      </c>
      <c r="AA965" s="4">
        <v>0</v>
      </c>
      <c r="AB965" s="4">
        <f t="shared" si="143"/>
        <v>112983.8</v>
      </c>
      <c r="AC965" s="6">
        <f t="shared" si="144"/>
        <v>0</v>
      </c>
      <c r="AD965" s="6">
        <f t="shared" si="139"/>
        <v>67672.240696106193</v>
      </c>
      <c r="AE965" s="2">
        <v>7.0000000000000007E-2</v>
      </c>
      <c r="AF965" s="5">
        <f t="shared" si="145"/>
        <v>4737.056848727434</v>
      </c>
      <c r="AG965" s="14">
        <v>0</v>
      </c>
      <c r="AH965" s="19">
        <f t="shared" si="140"/>
        <v>112983.8</v>
      </c>
      <c r="AJ965" s="126" t="e">
        <v>#N/A</v>
      </c>
      <c r="AK965" s="80">
        <f t="shared" si="146"/>
        <v>0</v>
      </c>
      <c r="AM965" s="85"/>
    </row>
    <row r="966" spans="1:39" hidden="1" x14ac:dyDescent="0.3">
      <c r="A966" s="85" t="s">
        <v>34</v>
      </c>
      <c r="B966" s="15" t="s">
        <v>35</v>
      </c>
      <c r="C966" s="15" t="s">
        <v>144</v>
      </c>
      <c r="D966" s="15" t="s">
        <v>145</v>
      </c>
      <c r="E966" s="15" t="s">
        <v>805</v>
      </c>
      <c r="F966" s="15" t="s">
        <v>805</v>
      </c>
      <c r="G966" s="15" t="s">
        <v>805</v>
      </c>
      <c r="H966" s="139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805</v>
      </c>
      <c r="N966" s="15"/>
      <c r="O966" s="8" t="s">
        <v>410</v>
      </c>
      <c r="P966" s="8" t="s">
        <v>46</v>
      </c>
      <c r="Q966" s="14">
        <v>0.02</v>
      </c>
      <c r="R966" s="139" t="s">
        <v>1401</v>
      </c>
      <c r="S966" s="15"/>
      <c r="T966" s="6">
        <v>0</v>
      </c>
      <c r="U966" s="6">
        <v>20000</v>
      </c>
      <c r="V966" s="6">
        <v>0</v>
      </c>
      <c r="W966" s="18">
        <f t="shared" si="138"/>
        <v>20000</v>
      </c>
      <c r="X966" s="18">
        <f t="shared" si="141"/>
        <v>0</v>
      </c>
      <c r="Y966" s="13">
        <f t="shared" si="142"/>
        <v>0</v>
      </c>
      <c r="Z966" s="14">
        <v>0</v>
      </c>
      <c r="AA966" s="4">
        <v>0</v>
      </c>
      <c r="AB966" s="4">
        <f t="shared" si="143"/>
        <v>0</v>
      </c>
      <c r="AC966" s="6">
        <f t="shared" si="144"/>
        <v>0</v>
      </c>
      <c r="AD966" s="6">
        <f t="shared" si="139"/>
        <v>0</v>
      </c>
      <c r="AE966" s="2">
        <v>7.0000000000000007E-2</v>
      </c>
      <c r="AF966" s="5">
        <f t="shared" si="145"/>
        <v>0</v>
      </c>
      <c r="AG966" s="14">
        <v>0</v>
      </c>
      <c r="AH966" s="19">
        <f t="shared" si="140"/>
        <v>0</v>
      </c>
      <c r="AJ966" s="126" t="e">
        <v>#N/A</v>
      </c>
      <c r="AK966" s="80">
        <f t="shared" si="146"/>
        <v>0</v>
      </c>
      <c r="AM966" s="85"/>
    </row>
    <row r="967" spans="1:39" hidden="1" x14ac:dyDescent="0.3">
      <c r="A967" s="85" t="s">
        <v>34</v>
      </c>
      <c r="B967" s="15" t="s">
        <v>35</v>
      </c>
      <c r="C967" s="15" t="s">
        <v>144</v>
      </c>
      <c r="D967" s="15" t="s">
        <v>145</v>
      </c>
      <c r="E967" s="15" t="s">
        <v>1402</v>
      </c>
      <c r="F967" s="15" t="s">
        <v>1403</v>
      </c>
      <c r="G967" s="15" t="s">
        <v>1402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1402</v>
      </c>
      <c r="N967" s="15"/>
      <c r="O967" s="8" t="s">
        <v>410</v>
      </c>
      <c r="P967" s="8" t="s">
        <v>41</v>
      </c>
      <c r="Q967" s="14">
        <v>0</v>
      </c>
      <c r="R967" s="139" t="s">
        <v>1404</v>
      </c>
      <c r="S967" s="15"/>
      <c r="T967" s="6">
        <v>0</v>
      </c>
      <c r="U967" s="6">
        <v>110000</v>
      </c>
      <c r="V967" s="6">
        <v>96883.8</v>
      </c>
      <c r="W967" s="18">
        <f t="shared" si="138"/>
        <v>13116.199999999997</v>
      </c>
      <c r="X967" s="18">
        <f t="shared" si="141"/>
        <v>96883.8</v>
      </c>
      <c r="Y967" s="13">
        <f t="shared" si="142"/>
        <v>38854.738903157682</v>
      </c>
      <c r="Z967" s="14">
        <v>0</v>
      </c>
      <c r="AA967" s="4">
        <v>0</v>
      </c>
      <c r="AB967" s="4">
        <f t="shared" si="143"/>
        <v>96883.8</v>
      </c>
      <c r="AC967" s="6">
        <f t="shared" si="144"/>
        <v>0</v>
      </c>
      <c r="AD967" s="6">
        <f t="shared" si="139"/>
        <v>58029.061096842321</v>
      </c>
      <c r="AE967" s="2">
        <v>7.0000000000000007E-2</v>
      </c>
      <c r="AF967" s="5">
        <f t="shared" si="145"/>
        <v>4062.034276778963</v>
      </c>
      <c r="AG967" s="14">
        <v>0</v>
      </c>
      <c r="AH967" s="19">
        <f t="shared" si="140"/>
        <v>96883.8</v>
      </c>
      <c r="AJ967" s="126" t="e">
        <v>#N/A</v>
      </c>
      <c r="AK967" s="80">
        <f t="shared" si="146"/>
        <v>0</v>
      </c>
      <c r="AM967" s="85"/>
    </row>
    <row r="968" spans="1:39" hidden="1" x14ac:dyDescent="0.3">
      <c r="A968" s="85" t="s">
        <v>34</v>
      </c>
      <c r="B968" s="15" t="s">
        <v>35</v>
      </c>
      <c r="C968" s="15" t="s">
        <v>144</v>
      </c>
      <c r="D968" s="15" t="s">
        <v>145</v>
      </c>
      <c r="E968" s="15" t="s">
        <v>576</v>
      </c>
      <c r="F968" s="15" t="s">
        <v>577</v>
      </c>
      <c r="G968" s="15" t="s">
        <v>577</v>
      </c>
      <c r="H968" s="154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576</v>
      </c>
      <c r="N968" s="15"/>
      <c r="O968" s="8" t="s">
        <v>410</v>
      </c>
      <c r="P968" s="8" t="s">
        <v>41</v>
      </c>
      <c r="Q968" s="14">
        <v>0</v>
      </c>
      <c r="R968" s="139" t="s">
        <v>1405</v>
      </c>
      <c r="S968" s="15"/>
      <c r="T968" s="6">
        <v>0</v>
      </c>
      <c r="U968" s="6">
        <v>40000</v>
      </c>
      <c r="V968" s="6">
        <v>21738.6</v>
      </c>
      <c r="W968" s="18">
        <f t="shared" si="138"/>
        <v>18261.400000000001</v>
      </c>
      <c r="X968" s="18">
        <f t="shared" si="141"/>
        <v>21738.6</v>
      </c>
      <c r="Y968" s="13">
        <f t="shared" si="142"/>
        <v>8718.1513020771636</v>
      </c>
      <c r="Z968" s="14">
        <v>0</v>
      </c>
      <c r="AA968" s="4">
        <v>0</v>
      </c>
      <c r="AB968" s="4">
        <f t="shared" si="143"/>
        <v>21738.6</v>
      </c>
      <c r="AC968" s="6">
        <f t="shared" si="144"/>
        <v>0</v>
      </c>
      <c r="AD968" s="6">
        <f t="shared" si="139"/>
        <v>13020.448697922835</v>
      </c>
      <c r="AE968" s="2">
        <v>7.0000000000000007E-2</v>
      </c>
      <c r="AF968" s="5">
        <f t="shared" si="145"/>
        <v>911.43140885459854</v>
      </c>
      <c r="AG968" s="14">
        <v>0</v>
      </c>
      <c r="AH968" s="19">
        <f t="shared" si="140"/>
        <v>21738.6</v>
      </c>
      <c r="AJ968" s="126" t="e">
        <v>#N/A</v>
      </c>
      <c r="AK968" s="80">
        <f t="shared" si="146"/>
        <v>0</v>
      </c>
      <c r="AM968" s="85"/>
    </row>
    <row r="969" spans="1:39" hidden="1" x14ac:dyDescent="0.3">
      <c r="A969" s="85" t="s">
        <v>34</v>
      </c>
      <c r="B969" s="15" t="s">
        <v>35</v>
      </c>
      <c r="C969" s="15" t="s">
        <v>144</v>
      </c>
      <c r="D969" s="15" t="s">
        <v>152</v>
      </c>
      <c r="E969" s="15" t="s">
        <v>1406</v>
      </c>
      <c r="F969" s="15" t="s">
        <v>1406</v>
      </c>
      <c r="G969" s="15" t="s">
        <v>1406</v>
      </c>
      <c r="H969" s="139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1407</v>
      </c>
      <c r="N969" s="15"/>
      <c r="O969" s="8" t="s">
        <v>410</v>
      </c>
      <c r="P969" s="8" t="s">
        <v>41</v>
      </c>
      <c r="Q969" s="14">
        <v>0</v>
      </c>
      <c r="R969" s="139" t="s">
        <v>1408</v>
      </c>
      <c r="S969" s="15"/>
      <c r="T969" s="6">
        <v>0</v>
      </c>
      <c r="U969" s="6">
        <v>0</v>
      </c>
      <c r="V969" s="6">
        <v>0</v>
      </c>
      <c r="W969" s="18">
        <f t="shared" si="138"/>
        <v>0</v>
      </c>
      <c r="X969" s="18">
        <f t="shared" si="141"/>
        <v>0</v>
      </c>
      <c r="Y969" s="13">
        <f t="shared" si="142"/>
        <v>0</v>
      </c>
      <c r="Z969" s="14">
        <v>0</v>
      </c>
      <c r="AA969" s="4">
        <v>0</v>
      </c>
      <c r="AB969" s="4">
        <f t="shared" si="143"/>
        <v>0</v>
      </c>
      <c r="AC969" s="6">
        <f t="shared" si="144"/>
        <v>0</v>
      </c>
      <c r="AD969" s="6">
        <f t="shared" si="139"/>
        <v>0</v>
      </c>
      <c r="AE969" s="2">
        <v>7.0000000000000007E-2</v>
      </c>
      <c r="AF969" s="5">
        <f t="shared" si="145"/>
        <v>0</v>
      </c>
      <c r="AG969" s="14">
        <v>0</v>
      </c>
      <c r="AH969" s="19">
        <f t="shared" si="140"/>
        <v>0</v>
      </c>
      <c r="AJ969" s="126" t="e">
        <v>#N/A</v>
      </c>
      <c r="AK969" s="80">
        <f t="shared" si="146"/>
        <v>0</v>
      </c>
      <c r="AM969" s="85"/>
    </row>
    <row r="970" spans="1:39" hidden="1" x14ac:dyDescent="0.3">
      <c r="A970" s="85" t="s">
        <v>34</v>
      </c>
      <c r="B970" s="15" t="s">
        <v>35</v>
      </c>
      <c r="C970" s="15" t="s">
        <v>144</v>
      </c>
      <c r="D970" s="15" t="s">
        <v>152</v>
      </c>
      <c r="E970" s="15" t="s">
        <v>1406</v>
      </c>
      <c r="F970" s="15" t="s">
        <v>1406</v>
      </c>
      <c r="G970" s="15" t="s">
        <v>1406</v>
      </c>
      <c r="H970" s="139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1407</v>
      </c>
      <c r="N970" s="15"/>
      <c r="O970" s="8" t="s">
        <v>410</v>
      </c>
      <c r="P970" s="8" t="s">
        <v>41</v>
      </c>
      <c r="Q970" s="14">
        <v>0</v>
      </c>
      <c r="R970" s="139" t="s">
        <v>1408</v>
      </c>
      <c r="S970" s="15"/>
      <c r="T970" s="6">
        <v>0</v>
      </c>
      <c r="U970" s="6">
        <v>0</v>
      </c>
      <c r="V970" s="6">
        <v>0</v>
      </c>
      <c r="W970" s="18">
        <f t="shared" si="138"/>
        <v>0</v>
      </c>
      <c r="X970" s="18">
        <f t="shared" si="141"/>
        <v>0</v>
      </c>
      <c r="Y970" s="13">
        <f t="shared" si="142"/>
        <v>0</v>
      </c>
      <c r="Z970" s="14">
        <v>0</v>
      </c>
      <c r="AA970" s="4">
        <v>0</v>
      </c>
      <c r="AB970" s="4">
        <f t="shared" si="143"/>
        <v>0</v>
      </c>
      <c r="AC970" s="6">
        <f t="shared" si="144"/>
        <v>0</v>
      </c>
      <c r="AD970" s="6">
        <f t="shared" si="139"/>
        <v>0</v>
      </c>
      <c r="AE970" s="2">
        <v>7.0000000000000007E-2</v>
      </c>
      <c r="AF970" s="5">
        <f t="shared" si="145"/>
        <v>0</v>
      </c>
      <c r="AG970" s="14">
        <v>0</v>
      </c>
      <c r="AH970" s="19">
        <f t="shared" si="140"/>
        <v>0</v>
      </c>
      <c r="AJ970" s="126" t="e">
        <v>#N/A</v>
      </c>
      <c r="AK970" s="80">
        <f t="shared" si="146"/>
        <v>0</v>
      </c>
      <c r="AM970" s="85"/>
    </row>
    <row r="971" spans="1:39" hidden="1" x14ac:dyDescent="0.3">
      <c r="A971" s="85" t="s">
        <v>34</v>
      </c>
      <c r="B971" s="15" t="s">
        <v>35</v>
      </c>
      <c r="C971" s="15" t="s">
        <v>144</v>
      </c>
      <c r="D971" s="15" t="s">
        <v>145</v>
      </c>
      <c r="E971" s="15" t="s">
        <v>1409</v>
      </c>
      <c r="F971" s="15" t="s">
        <v>1409</v>
      </c>
      <c r="G971" s="15" t="s">
        <v>1409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1410</v>
      </c>
      <c r="N971" s="15"/>
      <c r="O971" s="8" t="s">
        <v>410</v>
      </c>
      <c r="P971" s="8" t="s">
        <v>41</v>
      </c>
      <c r="Q971" s="14">
        <v>0</v>
      </c>
      <c r="R971" s="139" t="s">
        <v>1411</v>
      </c>
      <c r="S971" s="15"/>
      <c r="T971" s="6">
        <v>0</v>
      </c>
      <c r="U971" s="6">
        <v>30000</v>
      </c>
      <c r="V971" s="6">
        <v>22295.97</v>
      </c>
      <c r="W971" s="18">
        <f t="shared" si="138"/>
        <v>7704.0299999999988</v>
      </c>
      <c r="X971" s="18">
        <f t="shared" si="141"/>
        <v>22295.97</v>
      </c>
      <c r="Y971" s="13">
        <f t="shared" si="142"/>
        <v>8941.6816118137049</v>
      </c>
      <c r="Z971" s="14">
        <v>0</v>
      </c>
      <c r="AA971" s="4">
        <v>0</v>
      </c>
      <c r="AB971" s="4">
        <f t="shared" si="143"/>
        <v>22295.97</v>
      </c>
      <c r="AC971" s="6">
        <f t="shared" si="144"/>
        <v>0</v>
      </c>
      <c r="AD971" s="6">
        <f t="shared" si="139"/>
        <v>13354.288388186296</v>
      </c>
      <c r="AE971" s="2">
        <v>7.0000000000000007E-2</v>
      </c>
      <c r="AF971" s="5">
        <f t="shared" si="145"/>
        <v>934.80018717304085</v>
      </c>
      <c r="AG971" s="14">
        <v>0</v>
      </c>
      <c r="AH971" s="19">
        <f t="shared" si="140"/>
        <v>22295.97</v>
      </c>
      <c r="AJ971" s="126" t="e">
        <v>#N/A</v>
      </c>
      <c r="AK971" s="80">
        <f t="shared" si="146"/>
        <v>0</v>
      </c>
      <c r="AM971" s="85"/>
    </row>
    <row r="972" spans="1:39" hidden="1" x14ac:dyDescent="0.3">
      <c r="A972" s="85" t="s">
        <v>34</v>
      </c>
      <c r="B972" s="15" t="s">
        <v>35</v>
      </c>
      <c r="C972" s="15" t="s">
        <v>144</v>
      </c>
      <c r="D972" s="15" t="s">
        <v>145</v>
      </c>
      <c r="E972" s="15" t="s">
        <v>1409</v>
      </c>
      <c r="F972" s="15" t="s">
        <v>1409</v>
      </c>
      <c r="G972" s="15" t="s">
        <v>1409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1410</v>
      </c>
      <c r="N972" s="15"/>
      <c r="O972" s="8" t="s">
        <v>410</v>
      </c>
      <c r="P972" s="8" t="s">
        <v>46</v>
      </c>
      <c r="Q972" s="14">
        <v>0.02</v>
      </c>
      <c r="R972" s="139" t="s">
        <v>1411</v>
      </c>
      <c r="S972" s="15"/>
      <c r="T972" s="6">
        <v>1158.6999999999971</v>
      </c>
      <c r="U972" s="6">
        <v>376.83000000000004</v>
      </c>
      <c r="V972" s="6">
        <v>1535.529999999997</v>
      </c>
      <c r="W972" s="18">
        <f t="shared" si="138"/>
        <v>0</v>
      </c>
      <c r="X972" s="18">
        <f t="shared" si="141"/>
        <v>1505.4215686274481</v>
      </c>
      <c r="Y972" s="13">
        <f t="shared" si="142"/>
        <v>585.70780651206746</v>
      </c>
      <c r="Z972" s="14">
        <v>0</v>
      </c>
      <c r="AA972" s="4">
        <v>0</v>
      </c>
      <c r="AB972" s="4">
        <f t="shared" si="143"/>
        <v>1505.4215686274481</v>
      </c>
      <c r="AC972" s="6">
        <f t="shared" si="144"/>
        <v>30.108431372548921</v>
      </c>
      <c r="AD972" s="6">
        <f t="shared" si="139"/>
        <v>919.71376211538063</v>
      </c>
      <c r="AE972" s="2">
        <v>7.0000000000000007E-2</v>
      </c>
      <c r="AF972" s="5">
        <f t="shared" si="145"/>
        <v>64.379963348076657</v>
      </c>
      <c r="AG972" s="14">
        <v>0</v>
      </c>
      <c r="AH972" s="19">
        <f t="shared" si="140"/>
        <v>1535.529999999997</v>
      </c>
      <c r="AJ972" s="126" t="e">
        <v>#N/A</v>
      </c>
      <c r="AK972" s="80">
        <f t="shared" si="146"/>
        <v>0</v>
      </c>
      <c r="AM972" s="85"/>
    </row>
    <row r="973" spans="1:39" hidden="1" x14ac:dyDescent="0.3">
      <c r="A973" s="85" t="s">
        <v>34</v>
      </c>
      <c r="B973" s="15" t="s">
        <v>35</v>
      </c>
      <c r="C973" s="15" t="s">
        <v>144</v>
      </c>
      <c r="D973" s="15" t="s">
        <v>145</v>
      </c>
      <c r="E973" s="15" t="s">
        <v>1412</v>
      </c>
      <c r="F973" s="15" t="s">
        <v>1412</v>
      </c>
      <c r="G973" s="15" t="s">
        <v>1412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1413</v>
      </c>
      <c r="N973" s="15"/>
      <c r="O973" s="8" t="s">
        <v>410</v>
      </c>
      <c r="P973" s="8" t="s">
        <v>46</v>
      </c>
      <c r="Q973" s="14">
        <v>0.02</v>
      </c>
      <c r="R973" s="139" t="s">
        <v>1414</v>
      </c>
      <c r="S973" s="15"/>
      <c r="T973" s="6">
        <v>0</v>
      </c>
      <c r="U973" s="6">
        <v>20000</v>
      </c>
      <c r="V973" s="6">
        <v>10371.4</v>
      </c>
      <c r="W973" s="18">
        <f t="shared" si="138"/>
        <v>9628.6</v>
      </c>
      <c r="X973" s="18">
        <f t="shared" si="141"/>
        <v>10168.039215686274</v>
      </c>
      <c r="Y973" s="13">
        <f t="shared" si="142"/>
        <v>3956.0346879965018</v>
      </c>
      <c r="Z973" s="14">
        <v>0</v>
      </c>
      <c r="AA973" s="4">
        <v>0</v>
      </c>
      <c r="AB973" s="4">
        <f t="shared" si="143"/>
        <v>10168.039215686274</v>
      </c>
      <c r="AC973" s="6">
        <f t="shared" si="144"/>
        <v>203.36078431372516</v>
      </c>
      <c r="AD973" s="6">
        <f t="shared" si="139"/>
        <v>6212.0045276897727</v>
      </c>
      <c r="AE973" s="2">
        <v>7.0000000000000007E-2</v>
      </c>
      <c r="AF973" s="5">
        <f t="shared" si="145"/>
        <v>434.8403169382841</v>
      </c>
      <c r="AG973" s="14">
        <v>0</v>
      </c>
      <c r="AH973" s="19">
        <f t="shared" si="140"/>
        <v>10371.4</v>
      </c>
      <c r="AJ973" s="126" t="e">
        <v>#N/A</v>
      </c>
      <c r="AK973" s="80">
        <f t="shared" si="146"/>
        <v>0</v>
      </c>
      <c r="AM973" s="85"/>
    </row>
    <row r="974" spans="1:39" hidden="1" x14ac:dyDescent="0.3">
      <c r="A974" s="85" t="s">
        <v>34</v>
      </c>
      <c r="B974" s="15" t="s">
        <v>35</v>
      </c>
      <c r="C974" s="15" t="s">
        <v>144</v>
      </c>
      <c r="D974" s="15" t="s">
        <v>145</v>
      </c>
      <c r="E974" s="15" t="s">
        <v>581</v>
      </c>
      <c r="F974" s="15" t="s">
        <v>581</v>
      </c>
      <c r="G974" s="15" t="s">
        <v>581</v>
      </c>
      <c r="H974" s="154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581</v>
      </c>
      <c r="N974" s="15"/>
      <c r="O974" s="8" t="s">
        <v>410</v>
      </c>
      <c r="P974" s="8" t="s">
        <v>41</v>
      </c>
      <c r="Q974" s="14">
        <v>0</v>
      </c>
      <c r="R974" s="139" t="s">
        <v>1415</v>
      </c>
      <c r="S974" s="15"/>
      <c r="T974" s="6">
        <v>0</v>
      </c>
      <c r="U974" s="6">
        <v>20000</v>
      </c>
      <c r="V974" s="6">
        <v>15573</v>
      </c>
      <c r="W974" s="18">
        <f t="shared" si="138"/>
        <v>4427</v>
      </c>
      <c r="X974" s="18">
        <f t="shared" si="141"/>
        <v>15573</v>
      </c>
      <c r="Y974" s="13">
        <f t="shared" si="142"/>
        <v>6245.4698199169998</v>
      </c>
      <c r="Z974" s="14">
        <v>0</v>
      </c>
      <c r="AA974" s="4">
        <v>0</v>
      </c>
      <c r="AB974" s="4">
        <f t="shared" si="143"/>
        <v>15573</v>
      </c>
      <c r="AC974" s="6">
        <f t="shared" si="144"/>
        <v>0</v>
      </c>
      <c r="AD974" s="6">
        <f t="shared" si="139"/>
        <v>9327.5301800830002</v>
      </c>
      <c r="AE974" s="2">
        <v>7.0000000000000007E-2</v>
      </c>
      <c r="AF974" s="5">
        <f t="shared" si="145"/>
        <v>652.92711260581007</v>
      </c>
      <c r="AG974" s="14">
        <v>0</v>
      </c>
      <c r="AH974" s="19">
        <f t="shared" si="140"/>
        <v>15573</v>
      </c>
      <c r="AJ974" s="126" t="e">
        <v>#N/A</v>
      </c>
      <c r="AK974" s="80">
        <f t="shared" si="146"/>
        <v>0</v>
      </c>
      <c r="AM974" s="85"/>
    </row>
    <row r="975" spans="1:39" hidden="1" x14ac:dyDescent="0.3">
      <c r="A975" s="85" t="s">
        <v>34</v>
      </c>
      <c r="B975" s="15" t="s">
        <v>35</v>
      </c>
      <c r="C975" s="15" t="s">
        <v>144</v>
      </c>
      <c r="D975" s="15" t="s">
        <v>145</v>
      </c>
      <c r="E975" s="15" t="s">
        <v>1416</v>
      </c>
      <c r="F975" s="15" t="s">
        <v>1416</v>
      </c>
      <c r="G975" s="15" t="s">
        <v>1416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1417</v>
      </c>
      <c r="N975" s="15"/>
      <c r="O975" s="8" t="s">
        <v>410</v>
      </c>
      <c r="P975" s="8" t="s">
        <v>41</v>
      </c>
      <c r="Q975" s="14">
        <v>0</v>
      </c>
      <c r="R975" s="139" t="s">
        <v>1418</v>
      </c>
      <c r="S975" s="15"/>
      <c r="T975" s="6">
        <v>195025.59000000008</v>
      </c>
      <c r="U975" s="6">
        <v>700000</v>
      </c>
      <c r="V975" s="6">
        <v>712470.3</v>
      </c>
      <c r="W975" s="18">
        <f t="shared" si="138"/>
        <v>182555.29000000004</v>
      </c>
      <c r="X975" s="18">
        <f t="shared" si="141"/>
        <v>712470.3</v>
      </c>
      <c r="Y975" s="13">
        <f t="shared" si="142"/>
        <v>285732.47005953966</v>
      </c>
      <c r="Z975" s="14">
        <v>0</v>
      </c>
      <c r="AA975" s="4">
        <v>0</v>
      </c>
      <c r="AB975" s="4">
        <f t="shared" si="143"/>
        <v>712470.3</v>
      </c>
      <c r="AC975" s="6">
        <f t="shared" si="144"/>
        <v>0</v>
      </c>
      <c r="AD975" s="6">
        <f t="shared" si="139"/>
        <v>426737.82994046039</v>
      </c>
      <c r="AE975" s="2">
        <v>7.0000000000000007E-2</v>
      </c>
      <c r="AF975" s="5">
        <f t="shared" si="145"/>
        <v>29871.648095832232</v>
      </c>
      <c r="AG975" s="14">
        <v>0</v>
      </c>
      <c r="AH975" s="19">
        <f t="shared" si="140"/>
        <v>712470.3</v>
      </c>
      <c r="AJ975" s="126" t="e">
        <v>#N/A</v>
      </c>
      <c r="AK975" s="80">
        <f t="shared" si="146"/>
        <v>0</v>
      </c>
      <c r="AM975" s="85"/>
    </row>
    <row r="976" spans="1:39" hidden="1" x14ac:dyDescent="0.3">
      <c r="A976" s="85" t="s">
        <v>34</v>
      </c>
      <c r="B976" s="15" t="s">
        <v>35</v>
      </c>
      <c r="C976" s="15" t="s">
        <v>144</v>
      </c>
      <c r="D976" s="15" t="s">
        <v>145</v>
      </c>
      <c r="E976" s="15" t="s">
        <v>1419</v>
      </c>
      <c r="F976" s="15" t="s">
        <v>1419</v>
      </c>
      <c r="G976" s="15" t="s">
        <v>1419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1419</v>
      </c>
      <c r="N976" s="15"/>
      <c r="O976" s="8" t="s">
        <v>410</v>
      </c>
      <c r="P976" s="8" t="s">
        <v>41</v>
      </c>
      <c r="Q976" s="14">
        <v>0</v>
      </c>
      <c r="R976" s="139" t="s">
        <v>1420</v>
      </c>
      <c r="S976" s="15"/>
      <c r="T976" s="6">
        <v>0</v>
      </c>
      <c r="U976" s="6">
        <v>10000</v>
      </c>
      <c r="V976" s="6">
        <v>9349.9</v>
      </c>
      <c r="W976" s="18">
        <f t="shared" si="138"/>
        <v>650.10000000000036</v>
      </c>
      <c r="X976" s="18">
        <f t="shared" si="141"/>
        <v>9349.9</v>
      </c>
      <c r="Y976" s="13">
        <f t="shared" si="142"/>
        <v>3749.7282648970622</v>
      </c>
      <c r="Z976" s="14">
        <v>0</v>
      </c>
      <c r="AA976" s="4">
        <v>0</v>
      </c>
      <c r="AB976" s="4">
        <f t="shared" si="143"/>
        <v>9349.9</v>
      </c>
      <c r="AC976" s="6">
        <f t="shared" si="144"/>
        <v>0</v>
      </c>
      <c r="AD976" s="6">
        <f t="shared" si="139"/>
        <v>5600.1717351029374</v>
      </c>
      <c r="AE976" s="2">
        <v>7.0000000000000007E-2</v>
      </c>
      <c r="AF976" s="5">
        <f t="shared" si="145"/>
        <v>392.01202145720566</v>
      </c>
      <c r="AG976" s="14">
        <v>0</v>
      </c>
      <c r="AH976" s="19">
        <f t="shared" si="140"/>
        <v>9349.9</v>
      </c>
      <c r="AJ976" s="126" t="e">
        <v>#N/A</v>
      </c>
      <c r="AK976" s="80">
        <f t="shared" si="146"/>
        <v>0</v>
      </c>
      <c r="AM976" s="85"/>
    </row>
    <row r="977" spans="1:39" hidden="1" x14ac:dyDescent="0.3">
      <c r="A977" s="85" t="s">
        <v>34</v>
      </c>
      <c r="B977" s="15" t="s">
        <v>35</v>
      </c>
      <c r="C977" s="15" t="s">
        <v>144</v>
      </c>
      <c r="D977" s="15" t="s">
        <v>145</v>
      </c>
      <c r="E977" s="15" t="s">
        <v>1421</v>
      </c>
      <c r="F977" s="15" t="s">
        <v>1421</v>
      </c>
      <c r="G977" s="15" t="s">
        <v>1421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1422</v>
      </c>
      <c r="N977" s="15"/>
      <c r="O977" s="8" t="s">
        <v>410</v>
      </c>
      <c r="P977" s="8" t="s">
        <v>41</v>
      </c>
      <c r="Q977" s="14">
        <v>0</v>
      </c>
      <c r="R977" s="139" t="s">
        <v>1423</v>
      </c>
      <c r="S977" s="15"/>
      <c r="T977" s="6">
        <v>0</v>
      </c>
      <c r="U977" s="6">
        <v>8743.73</v>
      </c>
      <c r="V977" s="6">
        <v>5806.4900000000016</v>
      </c>
      <c r="W977" s="18">
        <f t="shared" si="138"/>
        <v>2937.239999999998</v>
      </c>
      <c r="X977" s="18">
        <f t="shared" si="141"/>
        <v>5806.4900000000016</v>
      </c>
      <c r="Y977" s="13">
        <f t="shared" si="142"/>
        <v>2328.6623036441192</v>
      </c>
      <c r="Z977" s="14">
        <v>0</v>
      </c>
      <c r="AA977" s="4">
        <v>0</v>
      </c>
      <c r="AB977" s="4">
        <f t="shared" si="143"/>
        <v>5806.4900000000016</v>
      </c>
      <c r="AC977" s="6">
        <f t="shared" si="144"/>
        <v>0</v>
      </c>
      <c r="AD977" s="6">
        <f t="shared" si="139"/>
        <v>3477.8276963558824</v>
      </c>
      <c r="AE977" s="2">
        <v>7.0000000000000007E-2</v>
      </c>
      <c r="AF977" s="5">
        <f t="shared" si="145"/>
        <v>243.4479387449118</v>
      </c>
      <c r="AG977" s="14">
        <v>0</v>
      </c>
      <c r="AH977" s="19">
        <f t="shared" si="140"/>
        <v>5806.4900000000016</v>
      </c>
      <c r="AJ977" s="126" t="e">
        <v>#N/A</v>
      </c>
      <c r="AK977" s="80">
        <f t="shared" si="146"/>
        <v>0</v>
      </c>
      <c r="AM977" s="85"/>
    </row>
    <row r="978" spans="1:39" hidden="1" x14ac:dyDescent="0.3">
      <c r="A978" s="85" t="s">
        <v>34</v>
      </c>
      <c r="B978" s="15" t="s">
        <v>35</v>
      </c>
      <c r="C978" s="15" t="s">
        <v>144</v>
      </c>
      <c r="D978" s="15" t="s">
        <v>145</v>
      </c>
      <c r="E978" s="15" t="s">
        <v>1421</v>
      </c>
      <c r="F978" s="15" t="s">
        <v>1421</v>
      </c>
      <c r="G978" s="15" t="s">
        <v>1421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1424</v>
      </c>
      <c r="N978" s="15"/>
      <c r="O978" s="8" t="s">
        <v>410</v>
      </c>
      <c r="P978" s="8" t="s">
        <v>41</v>
      </c>
      <c r="Q978" s="14">
        <v>0</v>
      </c>
      <c r="R978" s="139" t="s">
        <v>1425</v>
      </c>
      <c r="S978" s="15"/>
      <c r="T978" s="6">
        <v>0</v>
      </c>
      <c r="U978" s="6">
        <v>239676.14</v>
      </c>
      <c r="V978" s="6">
        <v>220521.08999999997</v>
      </c>
      <c r="W978" s="18">
        <f t="shared" si="138"/>
        <v>19155.050000000047</v>
      </c>
      <c r="X978" s="18">
        <f t="shared" si="141"/>
        <v>220521.08999999997</v>
      </c>
      <c r="Y978" s="13">
        <f t="shared" si="142"/>
        <v>88438.824391588016</v>
      </c>
      <c r="Z978" s="14">
        <v>0</v>
      </c>
      <c r="AA978" s="4">
        <v>0</v>
      </c>
      <c r="AB978" s="4">
        <f t="shared" si="143"/>
        <v>220521.08999999997</v>
      </c>
      <c r="AC978" s="6">
        <f t="shared" si="144"/>
        <v>0</v>
      </c>
      <c r="AD978" s="6">
        <f t="shared" si="139"/>
        <v>132082.26560841195</v>
      </c>
      <c r="AE978" s="2">
        <v>7.0000000000000007E-2</v>
      </c>
      <c r="AF978" s="5">
        <f t="shared" si="145"/>
        <v>9245.7585925888379</v>
      </c>
      <c r="AG978" s="14">
        <v>0</v>
      </c>
      <c r="AH978" s="19">
        <f t="shared" si="140"/>
        <v>220521.08999999997</v>
      </c>
      <c r="AJ978" s="126" t="e">
        <v>#N/A</v>
      </c>
      <c r="AK978" s="80">
        <f t="shared" si="146"/>
        <v>0</v>
      </c>
      <c r="AM978" s="85"/>
    </row>
    <row r="979" spans="1:39" hidden="1" x14ac:dyDescent="0.3">
      <c r="A979" s="85" t="s">
        <v>34</v>
      </c>
      <c r="B979" s="15" t="s">
        <v>35</v>
      </c>
      <c r="C979" s="15" t="s">
        <v>144</v>
      </c>
      <c r="D979" s="15" t="s">
        <v>145</v>
      </c>
      <c r="E979" s="15" t="s">
        <v>1421</v>
      </c>
      <c r="F979" s="15" t="s">
        <v>1421</v>
      </c>
      <c r="G979" s="15" t="s">
        <v>1421</v>
      </c>
      <c r="H979" s="154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1424</v>
      </c>
      <c r="N979" s="15"/>
      <c r="O979" s="8" t="s">
        <v>410</v>
      </c>
      <c r="P979" s="8" t="s">
        <v>1167</v>
      </c>
      <c r="Q979" s="14">
        <v>0.02</v>
      </c>
      <c r="R979" s="139" t="s">
        <v>1425</v>
      </c>
      <c r="S979" s="15"/>
      <c r="T979" s="6">
        <v>0</v>
      </c>
      <c r="U979" s="6">
        <v>1725.71</v>
      </c>
      <c r="V979" s="6">
        <v>1725.71</v>
      </c>
      <c r="W979" s="18">
        <f t="shared" si="138"/>
        <v>0</v>
      </c>
      <c r="X979" s="18">
        <f t="shared" si="141"/>
        <v>1691.872549019608</v>
      </c>
      <c r="Y979" s="13">
        <f t="shared" si="142"/>
        <v>658.24947658198926</v>
      </c>
      <c r="Z979" s="14">
        <v>0</v>
      </c>
      <c r="AA979" s="4">
        <v>0</v>
      </c>
      <c r="AB979" s="4">
        <f t="shared" si="143"/>
        <v>1691.872549019608</v>
      </c>
      <c r="AC979" s="6">
        <f t="shared" si="144"/>
        <v>33.837450980392077</v>
      </c>
      <c r="AD979" s="6">
        <f t="shared" si="139"/>
        <v>1033.6230724376187</v>
      </c>
      <c r="AE979" s="2">
        <v>7.0000000000000007E-2</v>
      </c>
      <c r="AF979" s="5">
        <f t="shared" si="145"/>
        <v>72.35361507063331</v>
      </c>
      <c r="AG979" s="14">
        <v>0</v>
      </c>
      <c r="AH979" s="19">
        <f t="shared" si="140"/>
        <v>1725.71</v>
      </c>
      <c r="AJ979" s="126" t="e">
        <v>#N/A</v>
      </c>
      <c r="AK979" s="80">
        <f t="shared" si="146"/>
        <v>0</v>
      </c>
      <c r="AM979" s="85"/>
    </row>
    <row r="980" spans="1:39" hidden="1" x14ac:dyDescent="0.3">
      <c r="A980" s="85" t="s">
        <v>34</v>
      </c>
      <c r="B980" s="15" t="s">
        <v>35</v>
      </c>
      <c r="C980" s="15" t="s">
        <v>144</v>
      </c>
      <c r="D980" s="15" t="s">
        <v>145</v>
      </c>
      <c r="E980" s="15" t="s">
        <v>1421</v>
      </c>
      <c r="F980" s="15" t="s">
        <v>1421</v>
      </c>
      <c r="G980" s="15" t="s">
        <v>1421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1426</v>
      </c>
      <c r="N980" s="15"/>
      <c r="O980" s="8" t="s">
        <v>410</v>
      </c>
      <c r="P980" s="8" t="s">
        <v>41</v>
      </c>
      <c r="Q980" s="14">
        <v>0</v>
      </c>
      <c r="R980" s="139" t="s">
        <v>1427</v>
      </c>
      <c r="S980" s="15"/>
      <c r="T980" s="6">
        <v>0</v>
      </c>
      <c r="U980" s="6">
        <v>82943.3</v>
      </c>
      <c r="V980" s="6">
        <v>65762.899999999994</v>
      </c>
      <c r="W980" s="18">
        <f t="shared" si="138"/>
        <v>17180.400000000009</v>
      </c>
      <c r="X980" s="18">
        <f t="shared" si="141"/>
        <v>65762.899999999994</v>
      </c>
      <c r="Y980" s="13">
        <f t="shared" si="142"/>
        <v>26373.865486432907</v>
      </c>
      <c r="Z980" s="14">
        <v>0</v>
      </c>
      <c r="AA980" s="4">
        <v>0</v>
      </c>
      <c r="AB980" s="4">
        <f t="shared" si="143"/>
        <v>65762.899999999994</v>
      </c>
      <c r="AC980" s="6">
        <f t="shared" si="144"/>
        <v>0</v>
      </c>
      <c r="AD980" s="6">
        <f t="shared" si="139"/>
        <v>39389.034513567087</v>
      </c>
      <c r="AE980" s="2">
        <v>7.0000000000000007E-2</v>
      </c>
      <c r="AF980" s="5">
        <f t="shared" si="145"/>
        <v>2757.2324159496961</v>
      </c>
      <c r="AG980" s="14">
        <v>0</v>
      </c>
      <c r="AH980" s="19">
        <f t="shared" si="140"/>
        <v>65762.899999999994</v>
      </c>
      <c r="AJ980" s="126" t="e">
        <v>#N/A</v>
      </c>
      <c r="AK980" s="80">
        <f t="shared" si="146"/>
        <v>0</v>
      </c>
      <c r="AM980" s="85"/>
    </row>
    <row r="981" spans="1:39" hidden="1" x14ac:dyDescent="0.3">
      <c r="A981" s="85" t="s">
        <v>34</v>
      </c>
      <c r="B981" s="15" t="s">
        <v>35</v>
      </c>
      <c r="C981" s="15" t="s">
        <v>144</v>
      </c>
      <c r="D981" s="15" t="s">
        <v>145</v>
      </c>
      <c r="E981" s="15" t="s">
        <v>1421</v>
      </c>
      <c r="F981" s="15" t="s">
        <v>1421</v>
      </c>
      <c r="G981" s="15" t="s">
        <v>1421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1428</v>
      </c>
      <c r="N981" s="15"/>
      <c r="O981" s="8" t="s">
        <v>410</v>
      </c>
      <c r="P981" s="8" t="s">
        <v>41</v>
      </c>
      <c r="Q981" s="14">
        <v>0</v>
      </c>
      <c r="R981" s="139" t="s">
        <v>1429</v>
      </c>
      <c r="S981" s="15"/>
      <c r="T981" s="6">
        <v>0</v>
      </c>
      <c r="U981" s="6">
        <v>35638.699999999997</v>
      </c>
      <c r="V981" s="6">
        <v>31362.799999999999</v>
      </c>
      <c r="W981" s="18">
        <f t="shared" ref="W981:W990" si="147">T981+U981-V981</f>
        <v>4275.8999999999978</v>
      </c>
      <c r="X981" s="18">
        <f t="shared" si="141"/>
        <v>31362.799999999999</v>
      </c>
      <c r="Y981" s="13">
        <f t="shared" si="142"/>
        <v>12577.886140633975</v>
      </c>
      <c r="Z981" s="14">
        <v>0</v>
      </c>
      <c r="AA981" s="4">
        <v>0</v>
      </c>
      <c r="AB981" s="4">
        <f t="shared" si="143"/>
        <v>31362.799999999999</v>
      </c>
      <c r="AC981" s="6">
        <f t="shared" si="144"/>
        <v>0</v>
      </c>
      <c r="AD981" s="6">
        <f t="shared" ref="AD981:AD1044" si="148">V981*0.598955254612663</f>
        <v>18784.913859366025</v>
      </c>
      <c r="AE981" s="2">
        <v>7.0000000000000007E-2</v>
      </c>
      <c r="AF981" s="5">
        <f t="shared" si="145"/>
        <v>1314.9439701556219</v>
      </c>
      <c r="AG981" s="14">
        <v>0</v>
      </c>
      <c r="AH981" s="19">
        <f t="shared" ref="AH981:AH1044" si="149">V981</f>
        <v>31362.799999999999</v>
      </c>
      <c r="AJ981" s="126" t="e">
        <v>#N/A</v>
      </c>
      <c r="AK981" s="80">
        <f t="shared" si="146"/>
        <v>0</v>
      </c>
      <c r="AM981" s="85"/>
    </row>
    <row r="982" spans="1:39" hidden="1" x14ac:dyDescent="0.3">
      <c r="A982" s="85" t="s">
        <v>34</v>
      </c>
      <c r="B982" s="15" t="s">
        <v>35</v>
      </c>
      <c r="C982" s="15" t="s">
        <v>144</v>
      </c>
      <c r="D982" s="15" t="s">
        <v>145</v>
      </c>
      <c r="E982" s="15" t="s">
        <v>1421</v>
      </c>
      <c r="F982" s="15" t="s">
        <v>1421</v>
      </c>
      <c r="G982" s="15" t="s">
        <v>1421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1430</v>
      </c>
      <c r="N982" s="15"/>
      <c r="O982" s="8" t="s">
        <v>410</v>
      </c>
      <c r="P982" s="8" t="s">
        <v>41</v>
      </c>
      <c r="Q982" s="14">
        <v>0</v>
      </c>
      <c r="R982" s="139" t="s">
        <v>1431</v>
      </c>
      <c r="S982" s="15"/>
      <c r="T982" s="6">
        <v>0</v>
      </c>
      <c r="U982" s="6">
        <v>75000</v>
      </c>
      <c r="V982" s="6">
        <v>59374.400000000001</v>
      </c>
      <c r="W982" s="18">
        <f t="shared" si="147"/>
        <v>15625.599999999999</v>
      </c>
      <c r="X982" s="18">
        <f t="shared" si="141"/>
        <v>59374.400000000001</v>
      </c>
      <c r="Y982" s="13">
        <f t="shared" si="142"/>
        <v>23811.791130525904</v>
      </c>
      <c r="Z982" s="14">
        <v>0</v>
      </c>
      <c r="AA982" s="4">
        <v>0</v>
      </c>
      <c r="AB982" s="4">
        <f t="shared" si="143"/>
        <v>59374.400000000001</v>
      </c>
      <c r="AC982" s="6">
        <f t="shared" si="144"/>
        <v>0</v>
      </c>
      <c r="AD982" s="6">
        <f t="shared" si="148"/>
        <v>35562.608869474097</v>
      </c>
      <c r="AE982" s="2">
        <v>7.0000000000000007E-2</v>
      </c>
      <c r="AF982" s="5">
        <f t="shared" si="145"/>
        <v>2489.3826208631872</v>
      </c>
      <c r="AG982" s="14">
        <v>0</v>
      </c>
      <c r="AH982" s="19">
        <f t="shared" si="149"/>
        <v>59374.400000000001</v>
      </c>
      <c r="AJ982" s="126" t="e">
        <v>#N/A</v>
      </c>
      <c r="AK982" s="80">
        <f t="shared" si="146"/>
        <v>0</v>
      </c>
      <c r="AM982" s="85"/>
    </row>
    <row r="983" spans="1:39" hidden="1" x14ac:dyDescent="0.3">
      <c r="A983" s="85" t="s">
        <v>34</v>
      </c>
      <c r="B983" s="15" t="s">
        <v>35</v>
      </c>
      <c r="C983" s="15" t="s">
        <v>144</v>
      </c>
      <c r="D983" s="15" t="s">
        <v>145</v>
      </c>
      <c r="E983" s="15" t="s">
        <v>1421</v>
      </c>
      <c r="F983" s="15" t="s">
        <v>1421</v>
      </c>
      <c r="G983" s="15" t="s">
        <v>1421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1432</v>
      </c>
      <c r="N983" s="15"/>
      <c r="O983" s="8" t="s">
        <v>410</v>
      </c>
      <c r="P983" s="8" t="s">
        <v>41</v>
      </c>
      <c r="Q983" s="14">
        <v>0</v>
      </c>
      <c r="R983" s="139" t="s">
        <v>1433</v>
      </c>
      <c r="S983" s="15"/>
      <c r="T983" s="6">
        <v>0</v>
      </c>
      <c r="U983" s="6">
        <v>40000</v>
      </c>
      <c r="V983" s="6">
        <v>37751.5</v>
      </c>
      <c r="W983" s="18">
        <f t="shared" si="147"/>
        <v>2248.5</v>
      </c>
      <c r="X983" s="18">
        <f t="shared" si="141"/>
        <v>37751.5</v>
      </c>
      <c r="Y983" s="13">
        <f t="shared" si="142"/>
        <v>15140.040705490053</v>
      </c>
      <c r="Z983" s="14">
        <v>0</v>
      </c>
      <c r="AA983" s="4">
        <v>0</v>
      </c>
      <c r="AB983" s="4">
        <f t="shared" si="143"/>
        <v>37751.5</v>
      </c>
      <c r="AC983" s="6">
        <f t="shared" si="144"/>
        <v>0</v>
      </c>
      <c r="AD983" s="6">
        <f t="shared" si="148"/>
        <v>22611.459294509947</v>
      </c>
      <c r="AE983" s="2">
        <v>7.0000000000000007E-2</v>
      </c>
      <c r="AF983" s="5">
        <f t="shared" si="145"/>
        <v>1582.8021506156965</v>
      </c>
      <c r="AG983" s="14">
        <v>0</v>
      </c>
      <c r="AH983" s="19">
        <f t="shared" si="149"/>
        <v>37751.5</v>
      </c>
      <c r="AJ983" s="126" t="e">
        <v>#N/A</v>
      </c>
      <c r="AK983" s="80">
        <f t="shared" si="146"/>
        <v>0</v>
      </c>
      <c r="AM983" s="85"/>
    </row>
    <row r="984" spans="1:39" hidden="1" x14ac:dyDescent="0.3">
      <c r="A984" s="85" t="s">
        <v>34</v>
      </c>
      <c r="B984" s="15" t="s">
        <v>35</v>
      </c>
      <c r="C984" s="15" t="s">
        <v>144</v>
      </c>
      <c r="D984" s="15" t="s">
        <v>145</v>
      </c>
      <c r="E984" s="15" t="s">
        <v>1421</v>
      </c>
      <c r="F984" s="15" t="s">
        <v>1421</v>
      </c>
      <c r="G984" s="15" t="s">
        <v>1421</v>
      </c>
      <c r="H984" s="154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1434</v>
      </c>
      <c r="N984" s="15"/>
      <c r="O984" s="8" t="s">
        <v>410</v>
      </c>
      <c r="P984" s="8" t="s">
        <v>41</v>
      </c>
      <c r="Q984" s="14">
        <v>0</v>
      </c>
      <c r="R984" s="139" t="s">
        <v>1435</v>
      </c>
      <c r="S984" s="15"/>
      <c r="T984" s="6">
        <v>0</v>
      </c>
      <c r="U984" s="6">
        <v>8858.2999999999993</v>
      </c>
      <c r="V984" s="6">
        <v>6712.5</v>
      </c>
      <c r="W984" s="18">
        <f t="shared" si="147"/>
        <v>2145.7999999999993</v>
      </c>
      <c r="X984" s="18">
        <f t="shared" si="141"/>
        <v>6712.5</v>
      </c>
      <c r="Y984" s="13">
        <f t="shared" si="142"/>
        <v>2692.0128534124997</v>
      </c>
      <c r="Z984" s="14">
        <v>0</v>
      </c>
      <c r="AA984" s="4">
        <v>0</v>
      </c>
      <c r="AB984" s="4">
        <f t="shared" si="143"/>
        <v>6712.5</v>
      </c>
      <c r="AC984" s="6">
        <f t="shared" si="144"/>
        <v>0</v>
      </c>
      <c r="AD984" s="6">
        <f t="shared" si="148"/>
        <v>4020.4871465875003</v>
      </c>
      <c r="AE984" s="2">
        <v>7.0000000000000007E-2</v>
      </c>
      <c r="AF984" s="5">
        <f t="shared" si="145"/>
        <v>281.43410026112502</v>
      </c>
      <c r="AG984" s="14">
        <v>0</v>
      </c>
      <c r="AH984" s="19">
        <f t="shared" si="149"/>
        <v>6712.5</v>
      </c>
      <c r="AJ984" s="126" t="e">
        <v>#N/A</v>
      </c>
      <c r="AK984" s="80">
        <f t="shared" si="146"/>
        <v>0</v>
      </c>
      <c r="AM984" s="85"/>
    </row>
    <row r="985" spans="1:39" hidden="1" x14ac:dyDescent="0.3">
      <c r="A985" s="85" t="s">
        <v>34</v>
      </c>
      <c r="B985" s="15" t="s">
        <v>35</v>
      </c>
      <c r="C985" s="15" t="s">
        <v>144</v>
      </c>
      <c r="D985" s="15" t="s">
        <v>145</v>
      </c>
      <c r="E985" s="15" t="s">
        <v>1421</v>
      </c>
      <c r="F985" s="15" t="s">
        <v>1421</v>
      </c>
      <c r="G985" s="15" t="s">
        <v>1421</v>
      </c>
      <c r="H985" s="154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1436</v>
      </c>
      <c r="N985" s="15"/>
      <c r="O985" s="8" t="s">
        <v>410</v>
      </c>
      <c r="P985" s="8" t="s">
        <v>41</v>
      </c>
      <c r="Q985" s="14">
        <v>0</v>
      </c>
      <c r="R985" s="139" t="s">
        <v>1437</v>
      </c>
      <c r="S985" s="15"/>
      <c r="T985" s="6">
        <v>0</v>
      </c>
      <c r="U985" s="6">
        <v>7659.3099999999995</v>
      </c>
      <c r="V985" s="6">
        <v>3864.4000000000069</v>
      </c>
      <c r="W985" s="18">
        <f t="shared" si="147"/>
        <v>3794.9099999999926</v>
      </c>
      <c r="X985" s="18">
        <f t="shared" si="141"/>
        <v>3864.4000000000069</v>
      </c>
      <c r="Y985" s="13">
        <f t="shared" si="142"/>
        <v>1549.7973140748281</v>
      </c>
      <c r="Z985" s="14">
        <v>0</v>
      </c>
      <c r="AA985" s="4">
        <v>0</v>
      </c>
      <c r="AB985" s="4">
        <f t="shared" si="143"/>
        <v>3864.4000000000069</v>
      </c>
      <c r="AC985" s="6">
        <f t="shared" si="144"/>
        <v>0</v>
      </c>
      <c r="AD985" s="6">
        <f t="shared" si="148"/>
        <v>2314.6026859251788</v>
      </c>
      <c r="AE985" s="2">
        <v>7.0000000000000007E-2</v>
      </c>
      <c r="AF985" s="5">
        <f t="shared" si="145"/>
        <v>162.02218801476252</v>
      </c>
      <c r="AG985" s="14">
        <v>0</v>
      </c>
      <c r="AH985" s="19">
        <f t="shared" si="149"/>
        <v>3864.4000000000069</v>
      </c>
      <c r="AJ985" s="126" t="e">
        <v>#N/A</v>
      </c>
      <c r="AK985" s="80">
        <f t="shared" si="146"/>
        <v>0</v>
      </c>
      <c r="AM985" s="85"/>
    </row>
    <row r="986" spans="1:39" hidden="1" x14ac:dyDescent="0.3">
      <c r="A986" s="85" t="s">
        <v>34</v>
      </c>
      <c r="B986" s="15" t="s">
        <v>35</v>
      </c>
      <c r="C986" s="15" t="s">
        <v>144</v>
      </c>
      <c r="D986" s="15" t="s">
        <v>145</v>
      </c>
      <c r="E986" s="15" t="s">
        <v>1421</v>
      </c>
      <c r="F986" s="15" t="s">
        <v>1421</v>
      </c>
      <c r="G986" s="15" t="s">
        <v>1421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1438</v>
      </c>
      <c r="N986" s="15"/>
      <c r="O986" s="8" t="s">
        <v>410</v>
      </c>
      <c r="P986" s="8" t="s">
        <v>41</v>
      </c>
      <c r="Q986" s="14">
        <v>0</v>
      </c>
      <c r="R986" s="139" t="s">
        <v>1439</v>
      </c>
      <c r="S986" s="15"/>
      <c r="T986" s="6">
        <v>0</v>
      </c>
      <c r="U986" s="6">
        <v>45000</v>
      </c>
      <c r="V986" s="6">
        <v>27505.3</v>
      </c>
      <c r="W986" s="18">
        <f t="shared" si="147"/>
        <v>17494.7</v>
      </c>
      <c r="X986" s="18">
        <f t="shared" si="141"/>
        <v>27505.3</v>
      </c>
      <c r="Y986" s="13">
        <f t="shared" si="142"/>
        <v>11030.85603530232</v>
      </c>
      <c r="Z986" s="14">
        <v>0</v>
      </c>
      <c r="AA986" s="4">
        <v>0</v>
      </c>
      <c r="AB986" s="4">
        <f t="shared" si="143"/>
        <v>27505.3</v>
      </c>
      <c r="AC986" s="6">
        <f t="shared" si="144"/>
        <v>0</v>
      </c>
      <c r="AD986" s="6">
        <f t="shared" si="148"/>
        <v>16474.443964697679</v>
      </c>
      <c r="AE986" s="2">
        <v>7.0000000000000007E-2</v>
      </c>
      <c r="AF986" s="5">
        <f t="shared" si="145"/>
        <v>1153.2110775288377</v>
      </c>
      <c r="AG986" s="14">
        <v>0</v>
      </c>
      <c r="AH986" s="19">
        <f t="shared" si="149"/>
        <v>27505.3</v>
      </c>
      <c r="AJ986" s="126" t="e">
        <v>#N/A</v>
      </c>
      <c r="AK986" s="80">
        <f t="shared" si="146"/>
        <v>0</v>
      </c>
      <c r="AM986" s="85"/>
    </row>
    <row r="987" spans="1:39" hidden="1" x14ac:dyDescent="0.3">
      <c r="A987" s="85" t="s">
        <v>34</v>
      </c>
      <c r="B987" s="15" t="s">
        <v>35</v>
      </c>
      <c r="C987" s="15" t="s">
        <v>144</v>
      </c>
      <c r="D987" s="15" t="s">
        <v>145</v>
      </c>
      <c r="E987" s="15" t="s">
        <v>1421</v>
      </c>
      <c r="F987" s="15" t="s">
        <v>1421</v>
      </c>
      <c r="G987" s="15" t="s">
        <v>1421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1440</v>
      </c>
      <c r="N987" s="15"/>
      <c r="O987" s="8" t="s">
        <v>410</v>
      </c>
      <c r="P987" s="8" t="s">
        <v>41</v>
      </c>
      <c r="Q987" s="14">
        <v>0</v>
      </c>
      <c r="R987" s="139" t="s">
        <v>1441</v>
      </c>
      <c r="S987" s="15"/>
      <c r="T987" s="6">
        <v>0</v>
      </c>
      <c r="U987" s="6">
        <v>20000</v>
      </c>
      <c r="V987" s="6">
        <v>13789.7</v>
      </c>
      <c r="W987" s="18">
        <f t="shared" si="147"/>
        <v>6210.2999999999993</v>
      </c>
      <c r="X987" s="18">
        <f t="shared" si="141"/>
        <v>13789.7</v>
      </c>
      <c r="Y987" s="13">
        <f t="shared" si="142"/>
        <v>5530.2867254677622</v>
      </c>
      <c r="Z987" s="14">
        <v>0</v>
      </c>
      <c r="AA987" s="4">
        <v>0</v>
      </c>
      <c r="AB987" s="4">
        <f t="shared" si="143"/>
        <v>13789.7</v>
      </c>
      <c r="AC987" s="6">
        <f t="shared" si="144"/>
        <v>0</v>
      </c>
      <c r="AD987" s="6">
        <f t="shared" si="148"/>
        <v>8259.4132745322386</v>
      </c>
      <c r="AE987" s="2">
        <v>7.0000000000000007E-2</v>
      </c>
      <c r="AF987" s="5">
        <f t="shared" si="145"/>
        <v>578.15892921725674</v>
      </c>
      <c r="AG987" s="14">
        <v>0</v>
      </c>
      <c r="AH987" s="19">
        <f t="shared" si="149"/>
        <v>13789.7</v>
      </c>
      <c r="AJ987" s="126" t="e">
        <v>#N/A</v>
      </c>
      <c r="AK987" s="80">
        <f t="shared" si="146"/>
        <v>0</v>
      </c>
      <c r="AM987" s="85"/>
    </row>
    <row r="988" spans="1:39" hidden="1" x14ac:dyDescent="0.3">
      <c r="A988" s="85" t="s">
        <v>34</v>
      </c>
      <c r="B988" s="15" t="s">
        <v>35</v>
      </c>
      <c r="C988" s="15" t="s">
        <v>144</v>
      </c>
      <c r="D988" s="15" t="s">
        <v>145</v>
      </c>
      <c r="E988" s="15" t="s">
        <v>1421</v>
      </c>
      <c r="F988" s="15" t="s">
        <v>1421</v>
      </c>
      <c r="G988" s="15" t="s">
        <v>1421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1442</v>
      </c>
      <c r="N988" s="15"/>
      <c r="O988" s="8" t="s">
        <v>410</v>
      </c>
      <c r="P988" s="8" t="s">
        <v>41</v>
      </c>
      <c r="Q988" s="14">
        <v>0</v>
      </c>
      <c r="R988" s="139" t="s">
        <v>1443</v>
      </c>
      <c r="S988" s="15"/>
      <c r="T988" s="6">
        <v>0</v>
      </c>
      <c r="U988" s="6">
        <v>200000</v>
      </c>
      <c r="V988" s="6">
        <v>163584.1</v>
      </c>
      <c r="W988" s="18">
        <f t="shared" si="147"/>
        <v>36415.899999999994</v>
      </c>
      <c r="X988" s="18">
        <f t="shared" si="141"/>
        <v>163584.1</v>
      </c>
      <c r="Y988" s="13">
        <f t="shared" si="142"/>
        <v>65604.543733916682</v>
      </c>
      <c r="Z988" s="14">
        <v>0</v>
      </c>
      <c r="AA988" s="4">
        <v>0</v>
      </c>
      <c r="AB988" s="4">
        <f t="shared" si="143"/>
        <v>163584.1</v>
      </c>
      <c r="AC988" s="6">
        <f t="shared" si="144"/>
        <v>0</v>
      </c>
      <c r="AD988" s="6">
        <f t="shared" si="148"/>
        <v>97979.556266083324</v>
      </c>
      <c r="AE988" s="2">
        <v>7.0000000000000007E-2</v>
      </c>
      <c r="AF988" s="5">
        <f t="shared" si="145"/>
        <v>6858.5689386258337</v>
      </c>
      <c r="AG988" s="14">
        <v>0</v>
      </c>
      <c r="AH988" s="19">
        <f t="shared" si="149"/>
        <v>163584.1</v>
      </c>
      <c r="AJ988" s="126" t="e">
        <v>#N/A</v>
      </c>
      <c r="AK988" s="80">
        <f t="shared" si="146"/>
        <v>0</v>
      </c>
      <c r="AM988" s="85"/>
    </row>
    <row r="989" spans="1:39" hidden="1" x14ac:dyDescent="0.3">
      <c r="A989" s="85" t="s">
        <v>34</v>
      </c>
      <c r="B989" s="15" t="s">
        <v>35</v>
      </c>
      <c r="C989" s="15" t="s">
        <v>144</v>
      </c>
      <c r="D989" s="15" t="s">
        <v>145</v>
      </c>
      <c r="E989" s="15" t="s">
        <v>1421</v>
      </c>
      <c r="F989" s="15" t="s">
        <v>1421</v>
      </c>
      <c r="G989" s="15" t="s">
        <v>1421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1422</v>
      </c>
      <c r="N989" s="15"/>
      <c r="O989" s="8" t="s">
        <v>410</v>
      </c>
      <c r="P989" s="8" t="s">
        <v>46</v>
      </c>
      <c r="Q989" s="14">
        <v>0.02</v>
      </c>
      <c r="R989" s="139" t="s">
        <v>1423</v>
      </c>
      <c r="S989" s="15"/>
      <c r="T989" s="6">
        <v>3818.5999999999985</v>
      </c>
      <c r="U989" s="6">
        <v>-3818.59</v>
      </c>
      <c r="V989" s="6">
        <v>9.9999999983992893E-3</v>
      </c>
      <c r="W989" s="18">
        <f t="shared" si="147"/>
        <v>0</v>
      </c>
      <c r="X989" s="18">
        <f t="shared" si="141"/>
        <v>9.8039215670581263E-3</v>
      </c>
      <c r="Y989" s="13">
        <f t="shared" si="142"/>
        <v>3.8143690218902506E-3</v>
      </c>
      <c r="Z989" s="14">
        <v>0</v>
      </c>
      <c r="AA989" s="4">
        <v>0</v>
      </c>
      <c r="AB989" s="4">
        <f t="shared" si="143"/>
        <v>9.8039215670581263E-3</v>
      </c>
      <c r="AC989" s="6">
        <f t="shared" si="144"/>
        <v>1.9607843134116301E-4</v>
      </c>
      <c r="AD989" s="6">
        <f t="shared" si="148"/>
        <v>5.9895525451678757E-3</v>
      </c>
      <c r="AE989" s="2">
        <v>7.0000000000000007E-2</v>
      </c>
      <c r="AF989" s="5">
        <f t="shared" si="145"/>
        <v>4.1926867816175135E-4</v>
      </c>
      <c r="AG989" s="14">
        <v>0</v>
      </c>
      <c r="AH989" s="19">
        <f t="shared" si="149"/>
        <v>9.9999999983992893E-3</v>
      </c>
      <c r="AJ989" s="126" t="e">
        <v>#N/A</v>
      </c>
      <c r="AK989" s="80">
        <f t="shared" si="146"/>
        <v>0</v>
      </c>
      <c r="AM989" s="85"/>
    </row>
    <row r="990" spans="1:39" hidden="1" x14ac:dyDescent="0.3">
      <c r="A990" s="85" t="s">
        <v>34</v>
      </c>
      <c r="B990" s="15" t="s">
        <v>35</v>
      </c>
      <c r="C990" s="15" t="s">
        <v>144</v>
      </c>
      <c r="D990" s="15" t="s">
        <v>145</v>
      </c>
      <c r="E990" s="15" t="s">
        <v>1421</v>
      </c>
      <c r="F990" s="15" t="s">
        <v>1421</v>
      </c>
      <c r="G990" s="15" t="s">
        <v>1421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1424</v>
      </c>
      <c r="N990" s="15"/>
      <c r="O990" s="8" t="s">
        <v>410</v>
      </c>
      <c r="P990" s="8" t="s">
        <v>46</v>
      </c>
      <c r="Q990" s="14">
        <v>0.02</v>
      </c>
      <c r="R990" s="139" t="s">
        <v>1425</v>
      </c>
      <c r="S990" s="15"/>
      <c r="T990" s="6">
        <v>61287.70000000007</v>
      </c>
      <c r="U990" s="6">
        <v>-61273.8</v>
      </c>
      <c r="V990" s="6">
        <v>13.900000000066939</v>
      </c>
      <c r="W990" s="18">
        <f t="shared" si="147"/>
        <v>0</v>
      </c>
      <c r="X990" s="18">
        <f t="shared" si="141"/>
        <v>13.627450980457782</v>
      </c>
      <c r="Y990" s="13">
        <f t="shared" si="142"/>
        <v>5.3019729413016741</v>
      </c>
      <c r="Z990" s="14">
        <v>0</v>
      </c>
      <c r="AA990" s="4">
        <v>0</v>
      </c>
      <c r="AB990" s="4">
        <f t="shared" si="143"/>
        <v>13.627450980457782</v>
      </c>
      <c r="AC990" s="6">
        <f t="shared" si="144"/>
        <v>0.27254901960915667</v>
      </c>
      <c r="AD990" s="6">
        <f t="shared" si="148"/>
        <v>8.3254780391561081</v>
      </c>
      <c r="AE990" s="2">
        <v>7.0000000000000007E-2</v>
      </c>
      <c r="AF990" s="5">
        <f t="shared" si="145"/>
        <v>0.58278346274092763</v>
      </c>
      <c r="AG990" s="14">
        <v>0</v>
      </c>
      <c r="AH990" s="19">
        <f t="shared" si="149"/>
        <v>13.900000000066939</v>
      </c>
      <c r="AJ990" s="126" t="e">
        <v>#N/A</v>
      </c>
      <c r="AK990" s="80">
        <f t="shared" si="146"/>
        <v>0</v>
      </c>
      <c r="AM990" s="85"/>
    </row>
    <row r="991" spans="1:39" hidden="1" x14ac:dyDescent="0.3">
      <c r="A991" s="85" t="s">
        <v>34</v>
      </c>
      <c r="B991" s="15" t="s">
        <v>35</v>
      </c>
      <c r="C991" s="15" t="s">
        <v>144</v>
      </c>
      <c r="D991" s="15" t="s">
        <v>145</v>
      </c>
      <c r="E991" s="15" t="s">
        <v>1421</v>
      </c>
      <c r="F991" s="15" t="s">
        <v>1421</v>
      </c>
      <c r="G991" s="15" t="s">
        <v>1421</v>
      </c>
      <c r="H991" s="139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1426</v>
      </c>
      <c r="N991" s="15"/>
      <c r="O991" s="8" t="s">
        <v>410</v>
      </c>
      <c r="P991" s="8" t="s">
        <v>46</v>
      </c>
      <c r="Q991" s="14">
        <v>0.02</v>
      </c>
      <c r="R991" s="139" t="s">
        <v>1427</v>
      </c>
      <c r="S991" s="15"/>
      <c r="T991" s="6">
        <v>22943.299999999981</v>
      </c>
      <c r="U991" s="6">
        <v>-22943.3</v>
      </c>
      <c r="V991" s="6">
        <v>0</v>
      </c>
      <c r="W991" s="18">
        <v>0</v>
      </c>
      <c r="X991" s="18">
        <f t="shared" si="141"/>
        <v>0</v>
      </c>
      <c r="Y991" s="13">
        <f t="shared" si="142"/>
        <v>0</v>
      </c>
      <c r="Z991" s="14">
        <v>0</v>
      </c>
      <c r="AA991" s="4">
        <v>0</v>
      </c>
      <c r="AB991" s="4">
        <f t="shared" si="143"/>
        <v>0</v>
      </c>
      <c r="AC991" s="6">
        <f t="shared" si="144"/>
        <v>0</v>
      </c>
      <c r="AD991" s="6">
        <f t="shared" si="148"/>
        <v>0</v>
      </c>
      <c r="AE991" s="2">
        <v>7.0000000000000007E-2</v>
      </c>
      <c r="AF991" s="5">
        <f t="shared" si="145"/>
        <v>0</v>
      </c>
      <c r="AG991" s="14">
        <v>0</v>
      </c>
      <c r="AH991" s="19">
        <f t="shared" si="149"/>
        <v>0</v>
      </c>
      <c r="AJ991" s="126" t="e">
        <v>#N/A</v>
      </c>
      <c r="AK991" s="80">
        <f t="shared" si="146"/>
        <v>0</v>
      </c>
      <c r="AM991" s="85"/>
    </row>
    <row r="992" spans="1:39" hidden="1" x14ac:dyDescent="0.3">
      <c r="A992" s="85" t="s">
        <v>34</v>
      </c>
      <c r="B992" s="15" t="s">
        <v>35</v>
      </c>
      <c r="C992" s="15" t="s">
        <v>144</v>
      </c>
      <c r="D992" s="15" t="s">
        <v>145</v>
      </c>
      <c r="E992" s="15" t="s">
        <v>1421</v>
      </c>
      <c r="F992" s="15" t="s">
        <v>1421</v>
      </c>
      <c r="G992" s="15" t="s">
        <v>1421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1428</v>
      </c>
      <c r="N992" s="15"/>
      <c r="O992" s="8" t="s">
        <v>410</v>
      </c>
      <c r="P992" s="8" t="s">
        <v>46</v>
      </c>
      <c r="Q992" s="14">
        <v>0.02</v>
      </c>
      <c r="R992" s="139" t="s">
        <v>1429</v>
      </c>
      <c r="S992" s="15"/>
      <c r="T992" s="6">
        <v>20638.699999999997</v>
      </c>
      <c r="U992" s="6">
        <v>-20638.7</v>
      </c>
      <c r="V992" s="6">
        <v>0</v>
      </c>
      <c r="W992" s="18">
        <v>0</v>
      </c>
      <c r="X992" s="18">
        <f t="shared" si="141"/>
        <v>0</v>
      </c>
      <c r="Y992" s="13">
        <f t="shared" si="142"/>
        <v>0</v>
      </c>
      <c r="Z992" s="14">
        <v>0</v>
      </c>
      <c r="AA992" s="4">
        <v>0</v>
      </c>
      <c r="AB992" s="4">
        <f t="shared" si="143"/>
        <v>0</v>
      </c>
      <c r="AC992" s="6">
        <f t="shared" si="144"/>
        <v>0</v>
      </c>
      <c r="AD992" s="6">
        <f t="shared" si="148"/>
        <v>0</v>
      </c>
      <c r="AE992" s="2">
        <v>7.0000000000000007E-2</v>
      </c>
      <c r="AF992" s="5">
        <f t="shared" si="145"/>
        <v>0</v>
      </c>
      <c r="AG992" s="14">
        <v>0</v>
      </c>
      <c r="AH992" s="19">
        <f t="shared" si="149"/>
        <v>0</v>
      </c>
      <c r="AJ992" s="126" t="e">
        <v>#N/A</v>
      </c>
      <c r="AK992" s="80">
        <f t="shared" si="146"/>
        <v>0</v>
      </c>
      <c r="AM992" s="85"/>
    </row>
    <row r="993" spans="1:39" hidden="1" x14ac:dyDescent="0.3">
      <c r="A993" s="85" t="s">
        <v>34</v>
      </c>
      <c r="B993" s="15" t="s">
        <v>35</v>
      </c>
      <c r="C993" s="15" t="s">
        <v>144</v>
      </c>
      <c r="D993" s="15" t="s">
        <v>145</v>
      </c>
      <c r="E993" s="15" t="s">
        <v>1421</v>
      </c>
      <c r="F993" s="15" t="s">
        <v>1421</v>
      </c>
      <c r="G993" s="15" t="s">
        <v>1421</v>
      </c>
      <c r="H993" s="139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1434</v>
      </c>
      <c r="N993" s="15"/>
      <c r="O993" s="8" t="s">
        <v>410</v>
      </c>
      <c r="P993" s="8" t="s">
        <v>46</v>
      </c>
      <c r="Q993" s="14">
        <v>0.02</v>
      </c>
      <c r="R993" s="139" t="s">
        <v>1435</v>
      </c>
      <c r="S993" s="15"/>
      <c r="T993" s="6">
        <v>3858.3000000000011</v>
      </c>
      <c r="U993" s="6">
        <v>-3858.3</v>
      </c>
      <c r="V993" s="6">
        <v>0</v>
      </c>
      <c r="W993" s="18">
        <v>0</v>
      </c>
      <c r="X993" s="18">
        <f t="shared" si="141"/>
        <v>0</v>
      </c>
      <c r="Y993" s="13">
        <f t="shared" si="142"/>
        <v>0</v>
      </c>
      <c r="Z993" s="14">
        <v>0</v>
      </c>
      <c r="AA993" s="4">
        <v>0</v>
      </c>
      <c r="AB993" s="4">
        <f t="shared" si="143"/>
        <v>0</v>
      </c>
      <c r="AC993" s="6">
        <f t="shared" si="144"/>
        <v>0</v>
      </c>
      <c r="AD993" s="6">
        <f t="shared" si="148"/>
        <v>0</v>
      </c>
      <c r="AE993" s="2">
        <v>7.0000000000000007E-2</v>
      </c>
      <c r="AF993" s="5">
        <f t="shared" si="145"/>
        <v>0</v>
      </c>
      <c r="AG993" s="14">
        <v>0</v>
      </c>
      <c r="AH993" s="19">
        <f t="shared" si="149"/>
        <v>0</v>
      </c>
      <c r="AJ993" s="126" t="e">
        <v>#N/A</v>
      </c>
      <c r="AK993" s="80">
        <f t="shared" si="146"/>
        <v>0</v>
      </c>
      <c r="AM993" s="85"/>
    </row>
    <row r="994" spans="1:39" hidden="1" x14ac:dyDescent="0.3">
      <c r="A994" s="85" t="s">
        <v>34</v>
      </c>
      <c r="B994" s="15" t="s">
        <v>35</v>
      </c>
      <c r="C994" s="15" t="s">
        <v>144</v>
      </c>
      <c r="D994" s="15" t="s">
        <v>145</v>
      </c>
      <c r="E994" s="15" t="s">
        <v>1421</v>
      </c>
      <c r="F994" s="15" t="s">
        <v>1421</v>
      </c>
      <c r="G994" s="15" t="s">
        <v>1421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1436</v>
      </c>
      <c r="N994" s="15"/>
      <c r="O994" s="8" t="s">
        <v>410</v>
      </c>
      <c r="P994" s="8" t="s">
        <v>46</v>
      </c>
      <c r="Q994" s="14">
        <v>0.02</v>
      </c>
      <c r="R994" s="139" t="s">
        <v>1437</v>
      </c>
      <c r="S994" s="15"/>
      <c r="T994" s="6">
        <v>2713.5999999999931</v>
      </c>
      <c r="U994" s="6">
        <v>-2712.5</v>
      </c>
      <c r="V994" s="6">
        <v>1.0999999999930878</v>
      </c>
      <c r="W994" s="18">
        <f t="shared" ref="W994:W1006" si="150">T994+U994-V994</f>
        <v>0</v>
      </c>
      <c r="X994" s="18">
        <f t="shared" si="141"/>
        <v>1.078431372542243</v>
      </c>
      <c r="Y994" s="13">
        <f t="shared" si="142"/>
        <v>0.41958059247245383</v>
      </c>
      <c r="Z994" s="14">
        <v>0</v>
      </c>
      <c r="AA994" s="4">
        <v>0</v>
      </c>
      <c r="AB994" s="4">
        <f t="shared" si="143"/>
        <v>1.078431372542243</v>
      </c>
      <c r="AC994" s="6">
        <f t="shared" si="144"/>
        <v>2.1568627450844868E-2</v>
      </c>
      <c r="AD994" s="6">
        <f t="shared" si="148"/>
        <v>0.65885078006978914</v>
      </c>
      <c r="AE994" s="2">
        <v>7.0000000000000007E-2</v>
      </c>
      <c r="AF994" s="5">
        <f t="shared" si="145"/>
        <v>4.6119554604885246E-2</v>
      </c>
      <c r="AG994" s="14">
        <v>0</v>
      </c>
      <c r="AH994" s="19">
        <f t="shared" si="149"/>
        <v>1.0999999999930878</v>
      </c>
      <c r="AJ994" s="126" t="e">
        <v>#N/A</v>
      </c>
      <c r="AK994" s="80">
        <f t="shared" si="146"/>
        <v>0</v>
      </c>
      <c r="AM994" s="85"/>
    </row>
    <row r="995" spans="1:39" hidden="1" x14ac:dyDescent="0.3">
      <c r="A995" s="85" t="s">
        <v>34</v>
      </c>
      <c r="B995" s="15" t="s">
        <v>35</v>
      </c>
      <c r="C995" s="15" t="s">
        <v>144</v>
      </c>
      <c r="D995" s="15" t="s">
        <v>145</v>
      </c>
      <c r="E995" s="15" t="s">
        <v>585</v>
      </c>
      <c r="F995" s="15" t="s">
        <v>586</v>
      </c>
      <c r="G995" s="15" t="s">
        <v>585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1444</v>
      </c>
      <c r="N995" s="15"/>
      <c r="O995" s="8" t="s">
        <v>410</v>
      </c>
      <c r="P995" s="8" t="s">
        <v>46</v>
      </c>
      <c r="Q995" s="14">
        <v>0.02</v>
      </c>
      <c r="R995" s="139" t="s">
        <v>1445</v>
      </c>
      <c r="S995" s="15"/>
      <c r="T995" s="6">
        <v>0</v>
      </c>
      <c r="U995" s="6">
        <v>96293.67</v>
      </c>
      <c r="V995" s="6">
        <v>65565.100000000006</v>
      </c>
      <c r="W995" s="18">
        <f t="shared" si="150"/>
        <v>30728.569999999992</v>
      </c>
      <c r="X995" s="18">
        <f t="shared" si="141"/>
        <v>64279.509803921574</v>
      </c>
      <c r="Y995" s="13">
        <f t="shared" si="142"/>
        <v>25008.948639716858</v>
      </c>
      <c r="Z995" s="14">
        <v>0</v>
      </c>
      <c r="AA995" s="4">
        <v>0</v>
      </c>
      <c r="AB995" s="4">
        <f t="shared" si="143"/>
        <v>64279.509803921574</v>
      </c>
      <c r="AC995" s="6">
        <f t="shared" si="144"/>
        <v>1285.5901960784322</v>
      </c>
      <c r="AD995" s="6">
        <f t="shared" si="148"/>
        <v>39270.561164204715</v>
      </c>
      <c r="AE995" s="2">
        <v>7.0000000000000007E-2</v>
      </c>
      <c r="AF995" s="5">
        <f t="shared" si="145"/>
        <v>2748.9392814943303</v>
      </c>
      <c r="AG995" s="14">
        <v>0</v>
      </c>
      <c r="AH995" s="19">
        <f t="shared" si="149"/>
        <v>65565.100000000006</v>
      </c>
      <c r="AJ995" s="126" t="e">
        <v>#N/A</v>
      </c>
      <c r="AK995" s="80">
        <f t="shared" si="146"/>
        <v>0</v>
      </c>
      <c r="AM995" s="85"/>
    </row>
    <row r="996" spans="1:39" hidden="1" x14ac:dyDescent="0.3">
      <c r="A996" s="85" t="s">
        <v>34</v>
      </c>
      <c r="B996" s="15" t="s">
        <v>35</v>
      </c>
      <c r="C996" s="15" t="s">
        <v>144</v>
      </c>
      <c r="D996" s="15" t="s">
        <v>145</v>
      </c>
      <c r="E996" s="15" t="s">
        <v>585</v>
      </c>
      <c r="F996" s="15" t="s">
        <v>586</v>
      </c>
      <c r="G996" s="15" t="s">
        <v>585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585</v>
      </c>
      <c r="N996" s="15"/>
      <c r="O996" s="8" t="s">
        <v>410</v>
      </c>
      <c r="P996" s="8" t="s">
        <v>46</v>
      </c>
      <c r="Q996" s="14">
        <v>0.02</v>
      </c>
      <c r="R996" s="139" t="s">
        <v>1446</v>
      </c>
      <c r="S996" s="15"/>
      <c r="T996" s="6">
        <v>0</v>
      </c>
      <c r="U996" s="6">
        <v>-6113.35</v>
      </c>
      <c r="V996" s="6">
        <v>-6113.35</v>
      </c>
      <c r="W996" s="18">
        <f t="shared" si="150"/>
        <v>0</v>
      </c>
      <c r="X996" s="18">
        <f t="shared" si="141"/>
        <v>-5993.4803921568628</v>
      </c>
      <c r="Y996" s="13">
        <f t="shared" si="142"/>
        <v>0</v>
      </c>
      <c r="Z996" s="14">
        <v>0</v>
      </c>
      <c r="AA996" s="4">
        <v>0</v>
      </c>
      <c r="AB996" s="4">
        <f t="shared" si="143"/>
        <v>-5993.4803921568628</v>
      </c>
      <c r="AC996" s="6">
        <f t="shared" si="144"/>
        <v>-119.8696078431376</v>
      </c>
      <c r="AD996" s="6">
        <f t="shared" si="148"/>
        <v>-3661.6231057863233</v>
      </c>
      <c r="AE996" s="2">
        <v>7.0000000000000007E-2</v>
      </c>
      <c r="AF996" s="5">
        <f t="shared" si="145"/>
        <v>-256.31361740504263</v>
      </c>
      <c r="AG996" s="14">
        <v>0</v>
      </c>
      <c r="AH996" s="19">
        <f t="shared" si="149"/>
        <v>-6113.35</v>
      </c>
      <c r="AJ996" s="126" t="e">
        <v>#N/A</v>
      </c>
      <c r="AK996" s="80">
        <f t="shared" si="146"/>
        <v>0</v>
      </c>
      <c r="AM996" s="85"/>
    </row>
    <row r="997" spans="1:39" hidden="1" x14ac:dyDescent="0.3">
      <c r="A997" s="85" t="s">
        <v>34</v>
      </c>
      <c r="B997" s="15" t="s">
        <v>35</v>
      </c>
      <c r="C997" s="15" t="s">
        <v>144</v>
      </c>
      <c r="D997" s="15" t="s">
        <v>145</v>
      </c>
      <c r="E997" s="15" t="s">
        <v>1447</v>
      </c>
      <c r="F997" s="15" t="s">
        <v>1447</v>
      </c>
      <c r="G997" s="15" t="s">
        <v>1447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1447</v>
      </c>
      <c r="N997" s="15"/>
      <c r="O997" s="8" t="s">
        <v>410</v>
      </c>
      <c r="P997" s="8" t="s">
        <v>46</v>
      </c>
      <c r="Q997" s="14">
        <v>0.01</v>
      </c>
      <c r="R997" s="139" t="s">
        <v>1448</v>
      </c>
      <c r="S997" s="15"/>
      <c r="T997" s="6">
        <v>0</v>
      </c>
      <c r="U997" s="6">
        <v>10000</v>
      </c>
      <c r="V997" s="6">
        <v>9546.7999999999993</v>
      </c>
      <c r="W997" s="18">
        <f t="shared" si="150"/>
        <v>453.20000000000073</v>
      </c>
      <c r="X997" s="18">
        <f t="shared" si="141"/>
        <v>9452.2772277227723</v>
      </c>
      <c r="Y997" s="13">
        <f t="shared" si="142"/>
        <v>3734.1712029866021</v>
      </c>
      <c r="Z997" s="14">
        <v>0</v>
      </c>
      <c r="AA997" s="4">
        <v>0</v>
      </c>
      <c r="AB997" s="4">
        <f t="shared" si="143"/>
        <v>9452.2772277227723</v>
      </c>
      <c r="AC997" s="6">
        <f t="shared" si="144"/>
        <v>94.522772277226977</v>
      </c>
      <c r="AD997" s="6">
        <f t="shared" si="148"/>
        <v>5718.1060247361702</v>
      </c>
      <c r="AE997" s="2">
        <v>7.0000000000000007E-2</v>
      </c>
      <c r="AF997" s="5">
        <f t="shared" si="145"/>
        <v>400.26742173153195</v>
      </c>
      <c r="AG997" s="14">
        <v>0</v>
      </c>
      <c r="AH997" s="19">
        <f t="shared" si="149"/>
        <v>9546.7999999999993</v>
      </c>
      <c r="AJ997" s="126" t="e">
        <v>#N/A</v>
      </c>
      <c r="AK997" s="80">
        <f t="shared" si="146"/>
        <v>0</v>
      </c>
      <c r="AM997" s="85"/>
    </row>
    <row r="998" spans="1:39" hidden="1" x14ac:dyDescent="0.3">
      <c r="A998" s="85" t="s">
        <v>34</v>
      </c>
      <c r="B998" s="15" t="s">
        <v>35</v>
      </c>
      <c r="C998" s="15" t="s">
        <v>144</v>
      </c>
      <c r="D998" s="15" t="s">
        <v>145</v>
      </c>
      <c r="E998" s="15" t="s">
        <v>1449</v>
      </c>
      <c r="F998" s="15" t="s">
        <v>1449</v>
      </c>
      <c r="G998" s="15" t="s">
        <v>1449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1449</v>
      </c>
      <c r="N998" s="15"/>
      <c r="O998" s="8" t="s">
        <v>410</v>
      </c>
      <c r="P998" s="8" t="s">
        <v>46</v>
      </c>
      <c r="Q998" s="14">
        <v>0.02</v>
      </c>
      <c r="R998" s="139" t="s">
        <v>1450</v>
      </c>
      <c r="S998" s="15"/>
      <c r="T998" s="6">
        <v>0</v>
      </c>
      <c r="U998" s="6">
        <v>20000</v>
      </c>
      <c r="V998" s="6">
        <v>4509.5</v>
      </c>
      <c r="W998" s="18">
        <f t="shared" si="150"/>
        <v>15490.5</v>
      </c>
      <c r="X998" s="18">
        <f t="shared" si="141"/>
        <v>4421.0784313725489</v>
      </c>
      <c r="Y998" s="13">
        <f t="shared" si="142"/>
        <v>1720.0897106967454</v>
      </c>
      <c r="Z998" s="14">
        <v>0</v>
      </c>
      <c r="AA998" s="4">
        <v>0</v>
      </c>
      <c r="AB998" s="4">
        <f t="shared" si="143"/>
        <v>4421.0784313725489</v>
      </c>
      <c r="AC998" s="6">
        <f t="shared" si="144"/>
        <v>88.421568627451052</v>
      </c>
      <c r="AD998" s="6">
        <f t="shared" si="148"/>
        <v>2700.9887206758035</v>
      </c>
      <c r="AE998" s="2">
        <v>7.0000000000000007E-2</v>
      </c>
      <c r="AF998" s="5">
        <f t="shared" si="145"/>
        <v>189.06921044730626</v>
      </c>
      <c r="AG998" s="14">
        <v>0</v>
      </c>
      <c r="AH998" s="19">
        <f t="shared" si="149"/>
        <v>4509.5</v>
      </c>
      <c r="AJ998" s="126" t="e">
        <v>#N/A</v>
      </c>
      <c r="AK998" s="80">
        <f t="shared" si="146"/>
        <v>0</v>
      </c>
      <c r="AM998" s="85"/>
    </row>
    <row r="999" spans="1:39" hidden="1" x14ac:dyDescent="0.3">
      <c r="A999" s="85" t="s">
        <v>34</v>
      </c>
      <c r="B999" s="15" t="s">
        <v>35</v>
      </c>
      <c r="C999" s="15" t="s">
        <v>144</v>
      </c>
      <c r="D999" s="15" t="s">
        <v>145</v>
      </c>
      <c r="E999" s="15" t="s">
        <v>1451</v>
      </c>
      <c r="F999" s="15" t="s">
        <v>1452</v>
      </c>
      <c r="G999" s="15" t="s">
        <v>1451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1453</v>
      </c>
      <c r="N999" s="15"/>
      <c r="O999" s="8" t="s">
        <v>410</v>
      </c>
      <c r="P999" s="8" t="s">
        <v>46</v>
      </c>
      <c r="Q999" s="14">
        <v>0.01</v>
      </c>
      <c r="R999" s="139" t="s">
        <v>1454</v>
      </c>
      <c r="S999" s="15"/>
      <c r="T999" s="6">
        <v>0</v>
      </c>
      <c r="U999" s="6">
        <v>40000</v>
      </c>
      <c r="V999" s="6">
        <v>35822.899999999994</v>
      </c>
      <c r="W999" s="18">
        <f t="shared" si="150"/>
        <v>4177.1000000000058</v>
      </c>
      <c r="X999" s="18">
        <f t="shared" si="141"/>
        <v>35468.217821782171</v>
      </c>
      <c r="Y999" s="13">
        <f t="shared" si="142"/>
        <v>14011.903631318211</v>
      </c>
      <c r="Z999" s="14">
        <v>0</v>
      </c>
      <c r="AA999" s="4">
        <v>0</v>
      </c>
      <c r="AB999" s="4">
        <f t="shared" si="143"/>
        <v>35468.217821782171</v>
      </c>
      <c r="AC999" s="6">
        <f t="shared" si="144"/>
        <v>354.68217821782309</v>
      </c>
      <c r="AD999" s="6">
        <f t="shared" si="148"/>
        <v>21456.31419046396</v>
      </c>
      <c r="AE999" s="2">
        <v>7.0000000000000007E-2</v>
      </c>
      <c r="AF999" s="5">
        <f t="shared" si="145"/>
        <v>1501.9419933324773</v>
      </c>
      <c r="AG999" s="14">
        <v>0</v>
      </c>
      <c r="AH999" s="19">
        <f t="shared" si="149"/>
        <v>35822.899999999994</v>
      </c>
      <c r="AJ999" s="126" t="e">
        <v>#N/A</v>
      </c>
      <c r="AK999" s="80">
        <f t="shared" si="146"/>
        <v>0</v>
      </c>
      <c r="AM999" s="85"/>
    </row>
    <row r="1000" spans="1:39" hidden="1" x14ac:dyDescent="0.3">
      <c r="A1000" s="85" t="s">
        <v>34</v>
      </c>
      <c r="B1000" s="15" t="s">
        <v>35</v>
      </c>
      <c r="C1000" s="15" t="s">
        <v>144</v>
      </c>
      <c r="D1000" s="15" t="s">
        <v>145</v>
      </c>
      <c r="E1000" s="15" t="s">
        <v>1451</v>
      </c>
      <c r="F1000" s="15" t="s">
        <v>1452</v>
      </c>
      <c r="G1000" s="15" t="s">
        <v>1451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1455</v>
      </c>
      <c r="N1000" s="15"/>
      <c r="O1000" s="8" t="s">
        <v>410</v>
      </c>
      <c r="P1000" s="8" t="s">
        <v>46</v>
      </c>
      <c r="Q1000" s="14">
        <v>0.01</v>
      </c>
      <c r="R1000" s="139" t="s">
        <v>1456</v>
      </c>
      <c r="S1000" s="15"/>
      <c r="T1000" s="6">
        <v>0</v>
      </c>
      <c r="U1000" s="6">
        <v>30000</v>
      </c>
      <c r="V1000" s="6">
        <v>23354.02</v>
      </c>
      <c r="W1000" s="18">
        <f t="shared" si="150"/>
        <v>6645.98</v>
      </c>
      <c r="X1000" s="18">
        <f t="shared" si="141"/>
        <v>23122.79207920792</v>
      </c>
      <c r="Y1000" s="13">
        <f t="shared" si="142"/>
        <v>9134.7790838786968</v>
      </c>
      <c r="Z1000" s="14">
        <v>0</v>
      </c>
      <c r="AA1000" s="4">
        <v>0</v>
      </c>
      <c r="AB1000" s="4">
        <f t="shared" si="143"/>
        <v>23122.79207920792</v>
      </c>
      <c r="AC1000" s="6">
        <f t="shared" si="144"/>
        <v>231.22792079208011</v>
      </c>
      <c r="AD1000" s="6">
        <f t="shared" si="148"/>
        <v>13988.012995329223</v>
      </c>
      <c r="AE1000" s="2">
        <v>7.0000000000000007E-2</v>
      </c>
      <c r="AF1000" s="5">
        <f t="shared" si="145"/>
        <v>979.16090967304569</v>
      </c>
      <c r="AG1000" s="14">
        <v>0</v>
      </c>
      <c r="AH1000" s="19">
        <f t="shared" si="149"/>
        <v>23354.02</v>
      </c>
      <c r="AJ1000" s="126" t="e">
        <v>#N/A</v>
      </c>
      <c r="AK1000" s="80">
        <f t="shared" si="146"/>
        <v>0</v>
      </c>
      <c r="AM1000" s="85"/>
    </row>
    <row r="1001" spans="1:39" hidden="1" x14ac:dyDescent="0.3">
      <c r="A1001" s="85" t="s">
        <v>34</v>
      </c>
      <c r="B1001" s="15" t="s">
        <v>35</v>
      </c>
      <c r="C1001" s="15" t="s">
        <v>144</v>
      </c>
      <c r="D1001" s="15" t="s">
        <v>145</v>
      </c>
      <c r="E1001" s="15" t="s">
        <v>1451</v>
      </c>
      <c r="F1001" s="15" t="s">
        <v>1452</v>
      </c>
      <c r="G1001" s="15" t="s">
        <v>1451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1453</v>
      </c>
      <c r="N1001" s="15"/>
      <c r="O1001" s="8" t="s">
        <v>410</v>
      </c>
      <c r="P1001" s="8" t="s">
        <v>46</v>
      </c>
      <c r="Q1001" s="14">
        <v>1.4999999999999999E-2</v>
      </c>
      <c r="R1001" s="139" t="s">
        <v>1454</v>
      </c>
      <c r="S1001" s="15"/>
      <c r="T1001" s="6">
        <v>12200.000000000004</v>
      </c>
      <c r="U1001" s="6">
        <v>389</v>
      </c>
      <c r="V1001" s="6">
        <v>12589.000000000004</v>
      </c>
      <c r="W1001" s="18">
        <f t="shared" si="150"/>
        <v>0</v>
      </c>
      <c r="X1001" s="18">
        <f t="shared" si="141"/>
        <v>12402.955665024636</v>
      </c>
      <c r="Y1001" s="13">
        <f t="shared" si="142"/>
        <v>4862.7079647058199</v>
      </c>
      <c r="Z1001" s="14">
        <v>0</v>
      </c>
      <c r="AA1001" s="4">
        <v>0</v>
      </c>
      <c r="AB1001" s="4">
        <f t="shared" si="143"/>
        <v>12402.955665024636</v>
      </c>
      <c r="AC1001" s="6">
        <f t="shared" si="144"/>
        <v>186.04433497536775</v>
      </c>
      <c r="AD1001" s="6">
        <f t="shared" si="148"/>
        <v>7540.247700318816</v>
      </c>
      <c r="AE1001" s="2">
        <v>7.0000000000000007E-2</v>
      </c>
      <c r="AF1001" s="5">
        <f t="shared" si="145"/>
        <v>527.81733902231713</v>
      </c>
      <c r="AG1001" s="14">
        <v>0</v>
      </c>
      <c r="AH1001" s="19">
        <f t="shared" si="149"/>
        <v>12589.000000000004</v>
      </c>
      <c r="AJ1001" s="126" t="e">
        <v>#N/A</v>
      </c>
      <c r="AK1001" s="80">
        <f t="shared" si="146"/>
        <v>0</v>
      </c>
      <c r="AM1001" s="85"/>
    </row>
    <row r="1002" spans="1:39" hidden="1" x14ac:dyDescent="0.3">
      <c r="A1002" s="85" t="s">
        <v>34</v>
      </c>
      <c r="B1002" s="15" t="s">
        <v>35</v>
      </c>
      <c r="C1002" s="15" t="s">
        <v>144</v>
      </c>
      <c r="D1002" s="15" t="s">
        <v>145</v>
      </c>
      <c r="E1002" s="15" t="s">
        <v>1451</v>
      </c>
      <c r="F1002" s="15" t="s">
        <v>1452</v>
      </c>
      <c r="G1002" s="15" t="s">
        <v>1451</v>
      </c>
      <c r="H1002" s="154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1455</v>
      </c>
      <c r="N1002" s="15"/>
      <c r="O1002" s="8" t="s">
        <v>410</v>
      </c>
      <c r="P1002" s="8" t="s">
        <v>46</v>
      </c>
      <c r="Q1002" s="14">
        <v>1.4999999999999999E-2</v>
      </c>
      <c r="R1002" s="139" t="s">
        <v>1456</v>
      </c>
      <c r="S1002" s="15"/>
      <c r="T1002" s="6">
        <v>5244.2000000000007</v>
      </c>
      <c r="U1002" s="6">
        <v>273.77999999999997</v>
      </c>
      <c r="V1002" s="6">
        <v>5517.9800000000005</v>
      </c>
      <c r="W1002" s="18">
        <f t="shared" si="150"/>
        <v>0</v>
      </c>
      <c r="X1002" s="18">
        <f t="shared" si="141"/>
        <v>5436.4334975369466</v>
      </c>
      <c r="Y1002" s="13">
        <f t="shared" si="142"/>
        <v>2131.4103816893644</v>
      </c>
      <c r="Z1002" s="14">
        <v>0</v>
      </c>
      <c r="AA1002" s="4">
        <v>0</v>
      </c>
      <c r="AB1002" s="4">
        <f t="shared" si="143"/>
        <v>5436.4334975369466</v>
      </c>
      <c r="AC1002" s="6">
        <f t="shared" si="144"/>
        <v>81.546502463053912</v>
      </c>
      <c r="AD1002" s="6">
        <f t="shared" si="148"/>
        <v>3305.0231158475822</v>
      </c>
      <c r="AE1002" s="2">
        <v>7.0000000000000007E-2</v>
      </c>
      <c r="AF1002" s="5">
        <f t="shared" si="145"/>
        <v>231.35161810933079</v>
      </c>
      <c r="AG1002" s="14">
        <v>0</v>
      </c>
      <c r="AH1002" s="19">
        <f t="shared" si="149"/>
        <v>5517.9800000000005</v>
      </c>
      <c r="AJ1002" s="126" t="e">
        <v>#N/A</v>
      </c>
      <c r="AK1002" s="80">
        <f t="shared" si="146"/>
        <v>0</v>
      </c>
      <c r="AM1002" s="85"/>
    </row>
    <row r="1003" spans="1:39" hidden="1" x14ac:dyDescent="0.3">
      <c r="A1003" s="85" t="s">
        <v>34</v>
      </c>
      <c r="B1003" s="15" t="s">
        <v>35</v>
      </c>
      <c r="C1003" s="15" t="s">
        <v>144</v>
      </c>
      <c r="D1003" s="15" t="s">
        <v>145</v>
      </c>
      <c r="E1003" s="15" t="s">
        <v>1457</v>
      </c>
      <c r="F1003" s="15" t="s">
        <v>1458</v>
      </c>
      <c r="G1003" s="15" t="s">
        <v>1457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1457</v>
      </c>
      <c r="N1003" s="15"/>
      <c r="O1003" s="8" t="s">
        <v>410</v>
      </c>
      <c r="P1003" s="8" t="s">
        <v>41</v>
      </c>
      <c r="Q1003" s="14">
        <v>0</v>
      </c>
      <c r="R1003" s="139" t="s">
        <v>1459</v>
      </c>
      <c r="S1003" s="15"/>
      <c r="T1003" s="6">
        <v>0</v>
      </c>
      <c r="U1003" s="6">
        <v>10000</v>
      </c>
      <c r="V1003" s="6">
        <v>8055.9000000000015</v>
      </c>
      <c r="W1003" s="18">
        <f t="shared" si="150"/>
        <v>1944.0999999999985</v>
      </c>
      <c r="X1003" s="18">
        <f t="shared" si="141"/>
        <v>8055.9000000000015</v>
      </c>
      <c r="Y1003" s="13">
        <f t="shared" si="142"/>
        <v>3230.7763643658491</v>
      </c>
      <c r="Z1003" s="14">
        <v>0</v>
      </c>
      <c r="AA1003" s="4">
        <v>0</v>
      </c>
      <c r="AB1003" s="4">
        <f t="shared" si="143"/>
        <v>8055.9000000000015</v>
      </c>
      <c r="AC1003" s="6">
        <f t="shared" si="144"/>
        <v>0</v>
      </c>
      <c r="AD1003" s="6">
        <f t="shared" si="148"/>
        <v>4825.1236356341524</v>
      </c>
      <c r="AE1003" s="2">
        <v>7.0000000000000007E-2</v>
      </c>
      <c r="AF1003" s="5">
        <f t="shared" si="145"/>
        <v>337.75865449439073</v>
      </c>
      <c r="AG1003" s="14">
        <v>0</v>
      </c>
      <c r="AH1003" s="19">
        <f t="shared" si="149"/>
        <v>8055.9000000000015</v>
      </c>
      <c r="AJ1003" s="126" t="e">
        <v>#N/A</v>
      </c>
      <c r="AK1003" s="80">
        <f t="shared" si="146"/>
        <v>0</v>
      </c>
      <c r="AM1003" s="85"/>
    </row>
    <row r="1004" spans="1:39" hidden="1" x14ac:dyDescent="0.3">
      <c r="A1004" s="85" t="s">
        <v>34</v>
      </c>
      <c r="B1004" s="15" t="s">
        <v>35</v>
      </c>
      <c r="C1004" s="15" t="s">
        <v>144</v>
      </c>
      <c r="D1004" s="15" t="s">
        <v>152</v>
      </c>
      <c r="E1004" s="15" t="s">
        <v>1460</v>
      </c>
      <c r="F1004" s="15" t="s">
        <v>1460</v>
      </c>
      <c r="G1004" s="15" t="s">
        <v>1460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1461</v>
      </c>
      <c r="N1004" s="15"/>
      <c r="O1004" s="8" t="s">
        <v>410</v>
      </c>
      <c r="P1004" s="8" t="s">
        <v>41</v>
      </c>
      <c r="Q1004" s="14">
        <v>0</v>
      </c>
      <c r="R1004" s="139" t="s">
        <v>1462</v>
      </c>
      <c r="S1004" s="15"/>
      <c r="T1004" s="6">
        <v>9448.9</v>
      </c>
      <c r="U1004" s="6">
        <v>20000</v>
      </c>
      <c r="V1004" s="6">
        <v>26118.7</v>
      </c>
      <c r="W1004" s="18">
        <f t="shared" si="150"/>
        <v>3330.2000000000007</v>
      </c>
      <c r="X1004" s="18">
        <f t="shared" si="141"/>
        <v>26118.7</v>
      </c>
      <c r="Y1004" s="13">
        <f t="shared" si="142"/>
        <v>10474.767391348239</v>
      </c>
      <c r="Z1004" s="14">
        <v>0</v>
      </c>
      <c r="AA1004" s="4">
        <v>0</v>
      </c>
      <c r="AB1004" s="4">
        <f t="shared" si="143"/>
        <v>26118.7</v>
      </c>
      <c r="AC1004" s="6">
        <f t="shared" si="144"/>
        <v>0</v>
      </c>
      <c r="AD1004" s="6">
        <f t="shared" si="148"/>
        <v>15643.932608651761</v>
      </c>
      <c r="AE1004" s="2">
        <v>7.0000000000000007E-2</v>
      </c>
      <c r="AF1004" s="5">
        <f t="shared" si="145"/>
        <v>1095.0752826056234</v>
      </c>
      <c r="AG1004" s="14">
        <v>0</v>
      </c>
      <c r="AH1004" s="19">
        <f t="shared" si="149"/>
        <v>26118.7</v>
      </c>
      <c r="AJ1004" s="126" t="e">
        <v>#N/A</v>
      </c>
      <c r="AK1004" s="80">
        <f t="shared" si="146"/>
        <v>0</v>
      </c>
      <c r="AM1004" s="85"/>
    </row>
    <row r="1005" spans="1:39" hidden="1" x14ac:dyDescent="0.3">
      <c r="A1005" s="85" t="s">
        <v>34</v>
      </c>
      <c r="B1005" s="15" t="s">
        <v>35</v>
      </c>
      <c r="C1005" s="15" t="s">
        <v>144</v>
      </c>
      <c r="D1005" s="15" t="s">
        <v>152</v>
      </c>
      <c r="E1005" s="15" t="s">
        <v>1463</v>
      </c>
      <c r="F1005" s="15" t="s">
        <v>1463</v>
      </c>
      <c r="G1005" s="15" t="s">
        <v>1463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1463</v>
      </c>
      <c r="N1005" s="15"/>
      <c r="O1005" s="8" t="s">
        <v>410</v>
      </c>
      <c r="P1005" s="8" t="s">
        <v>41</v>
      </c>
      <c r="Q1005" s="14">
        <v>0</v>
      </c>
      <c r="R1005" s="139" t="s">
        <v>1464</v>
      </c>
      <c r="S1005" s="15"/>
      <c r="T1005" s="6">
        <v>0</v>
      </c>
      <c r="U1005" s="6">
        <v>100000</v>
      </c>
      <c r="V1005" s="6">
        <v>49607.64</v>
      </c>
      <c r="W1005" s="18">
        <f t="shared" si="150"/>
        <v>50392.36</v>
      </c>
      <c r="X1005" s="18">
        <f t="shared" si="141"/>
        <v>49607.64</v>
      </c>
      <c r="Y1005" s="13">
        <f t="shared" si="142"/>
        <v>19894.883353066674</v>
      </c>
      <c r="Z1005" s="14">
        <v>0</v>
      </c>
      <c r="AA1005" s="4">
        <v>0</v>
      </c>
      <c r="AB1005" s="4">
        <f t="shared" si="143"/>
        <v>49607.64</v>
      </c>
      <c r="AC1005" s="6">
        <f t="shared" si="144"/>
        <v>0</v>
      </c>
      <c r="AD1005" s="6">
        <f t="shared" si="148"/>
        <v>29712.756646933325</v>
      </c>
      <c r="AE1005" s="2">
        <v>7.0000000000000007E-2</v>
      </c>
      <c r="AF1005" s="5">
        <f t="shared" si="145"/>
        <v>2079.892965285333</v>
      </c>
      <c r="AG1005" s="14">
        <v>0</v>
      </c>
      <c r="AH1005" s="19">
        <f t="shared" si="149"/>
        <v>49607.64</v>
      </c>
      <c r="AJ1005" s="126" t="e">
        <v>#N/A</v>
      </c>
      <c r="AK1005" s="80">
        <f t="shared" si="146"/>
        <v>0</v>
      </c>
      <c r="AM1005" s="85"/>
    </row>
    <row r="1006" spans="1:39" hidden="1" x14ac:dyDescent="0.3">
      <c r="A1006" s="85" t="s">
        <v>34</v>
      </c>
      <c r="B1006" s="15" t="s">
        <v>35</v>
      </c>
      <c r="C1006" s="15" t="s">
        <v>144</v>
      </c>
      <c r="D1006" s="15" t="s">
        <v>152</v>
      </c>
      <c r="E1006" s="15" t="s">
        <v>155</v>
      </c>
      <c r="F1006" s="15" t="s">
        <v>1465</v>
      </c>
      <c r="G1006" s="15" t="s">
        <v>155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1466</v>
      </c>
      <c r="N1006" s="15"/>
      <c r="O1006" s="8" t="s">
        <v>410</v>
      </c>
      <c r="P1006" s="8" t="s">
        <v>41</v>
      </c>
      <c r="Q1006" s="14">
        <v>0</v>
      </c>
      <c r="R1006" s="139" t="s">
        <v>1467</v>
      </c>
      <c r="S1006" s="15"/>
      <c r="T1006" s="6">
        <v>0</v>
      </c>
      <c r="U1006" s="6">
        <v>195550.27</v>
      </c>
      <c r="V1006" s="6">
        <v>124327.03999999986</v>
      </c>
      <c r="W1006" s="18">
        <f t="shared" si="150"/>
        <v>71223.230000000127</v>
      </c>
      <c r="X1006" s="18">
        <f t="shared" si="141"/>
        <v>124327.03999999986</v>
      </c>
      <c r="Y1006" s="13">
        <f t="shared" si="142"/>
        <v>49860.706101561213</v>
      </c>
      <c r="Z1006" s="14">
        <v>0</v>
      </c>
      <c r="AA1006" s="4">
        <v>0</v>
      </c>
      <c r="AB1006" s="4">
        <f t="shared" si="143"/>
        <v>124327.03999999986</v>
      </c>
      <c r="AC1006" s="6">
        <f t="shared" si="144"/>
        <v>0</v>
      </c>
      <c r="AD1006" s="6">
        <f t="shared" si="148"/>
        <v>74466.33389843865</v>
      </c>
      <c r="AE1006" s="2">
        <v>7.0000000000000007E-2</v>
      </c>
      <c r="AF1006" s="5">
        <f t="shared" si="145"/>
        <v>5212.6433728907059</v>
      </c>
      <c r="AG1006" s="14">
        <v>0</v>
      </c>
      <c r="AH1006" s="19">
        <f t="shared" si="149"/>
        <v>124327.03999999986</v>
      </c>
      <c r="AJ1006" s="126" t="e">
        <v>#N/A</v>
      </c>
      <c r="AK1006" s="80">
        <f t="shared" si="146"/>
        <v>0</v>
      </c>
      <c r="AM1006" s="85"/>
    </row>
    <row r="1007" spans="1:39" hidden="1" x14ac:dyDescent="0.3">
      <c r="A1007" s="85" t="s">
        <v>34</v>
      </c>
      <c r="B1007" s="15" t="s">
        <v>35</v>
      </c>
      <c r="C1007" s="15" t="s">
        <v>144</v>
      </c>
      <c r="D1007" s="15" t="s">
        <v>152</v>
      </c>
      <c r="E1007" s="15" t="s">
        <v>155</v>
      </c>
      <c r="F1007" s="15" t="s">
        <v>1465</v>
      </c>
      <c r="G1007" s="15" t="s">
        <v>155</v>
      </c>
      <c r="H1007" s="154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1466</v>
      </c>
      <c r="N1007" s="15"/>
      <c r="O1007" s="8" t="s">
        <v>410</v>
      </c>
      <c r="P1007" s="8" t="s">
        <v>92</v>
      </c>
      <c r="Q1007" s="14">
        <v>0.98499999999999999</v>
      </c>
      <c r="R1007" s="139" t="s">
        <v>1467</v>
      </c>
      <c r="S1007" s="15"/>
      <c r="T1007" s="6">
        <v>-295241.73999999987</v>
      </c>
      <c r="U1007" s="6">
        <v>50000</v>
      </c>
      <c r="V1007" s="6">
        <v>54758.260000000126</v>
      </c>
      <c r="W1007" s="18">
        <v>0</v>
      </c>
      <c r="X1007" s="18">
        <f t="shared" si="141"/>
        <v>53936.88610000012</v>
      </c>
      <c r="Y1007" s="13">
        <f t="shared" si="142"/>
        <v>21139.138539553649</v>
      </c>
      <c r="Z1007" s="14">
        <v>0</v>
      </c>
      <c r="AA1007" s="4">
        <v>0</v>
      </c>
      <c r="AB1007" s="4">
        <f t="shared" si="143"/>
        <v>53936.88610000012</v>
      </c>
      <c r="AC1007" s="6">
        <f t="shared" si="144"/>
        <v>821.37390000000596</v>
      </c>
      <c r="AD1007" s="6">
        <f t="shared" si="148"/>
        <v>32797.747560446471</v>
      </c>
      <c r="AE1007" s="2">
        <v>7.0000000000000007E-2</v>
      </c>
      <c r="AF1007" s="5">
        <f t="shared" si="145"/>
        <v>2295.8423292312532</v>
      </c>
      <c r="AG1007" s="14">
        <v>0</v>
      </c>
      <c r="AH1007" s="19">
        <f t="shared" si="149"/>
        <v>54758.260000000126</v>
      </c>
      <c r="AJ1007" s="126" t="e">
        <v>#N/A</v>
      </c>
      <c r="AK1007" s="80">
        <f t="shared" si="146"/>
        <v>0</v>
      </c>
      <c r="AM1007" s="85"/>
    </row>
    <row r="1008" spans="1:39" hidden="1" x14ac:dyDescent="0.3">
      <c r="A1008" s="85" t="s">
        <v>34</v>
      </c>
      <c r="B1008" s="15" t="s">
        <v>35</v>
      </c>
      <c r="C1008" s="15" t="s">
        <v>144</v>
      </c>
      <c r="D1008" s="15" t="s">
        <v>152</v>
      </c>
      <c r="E1008" s="15" t="s">
        <v>1468</v>
      </c>
      <c r="F1008" s="15" t="s">
        <v>1468</v>
      </c>
      <c r="G1008" s="15" t="s">
        <v>1468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1468</v>
      </c>
      <c r="N1008" s="15"/>
      <c r="O1008" s="8" t="s">
        <v>410</v>
      </c>
      <c r="P1008" s="8" t="s">
        <v>1327</v>
      </c>
      <c r="Q1008" s="14">
        <v>0</v>
      </c>
      <c r="R1008" s="139" t="s">
        <v>1469</v>
      </c>
      <c r="S1008" s="15"/>
      <c r="T1008" s="6">
        <v>0</v>
      </c>
      <c r="U1008" s="6">
        <v>37340.239999999998</v>
      </c>
      <c r="V1008" s="6">
        <v>37340.239999999998</v>
      </c>
      <c r="W1008" s="18">
        <f t="shared" ref="W1008:W1046" si="151">T1008+U1008-V1008</f>
        <v>0</v>
      </c>
      <c r="X1008" s="18">
        <f t="shared" si="141"/>
        <v>37340.239999999998</v>
      </c>
      <c r="Y1008" s="13">
        <f t="shared" si="142"/>
        <v>14975.107043502056</v>
      </c>
      <c r="Z1008" s="14">
        <v>0</v>
      </c>
      <c r="AA1008" s="4">
        <v>0</v>
      </c>
      <c r="AB1008" s="4">
        <f t="shared" si="143"/>
        <v>37340.239999999998</v>
      </c>
      <c r="AC1008" s="6">
        <f t="shared" si="144"/>
        <v>0</v>
      </c>
      <c r="AD1008" s="6">
        <f t="shared" si="148"/>
        <v>22365.132956497942</v>
      </c>
      <c r="AE1008" s="2">
        <v>7.0000000000000007E-2</v>
      </c>
      <c r="AF1008" s="5">
        <f t="shared" si="145"/>
        <v>1565.5593069548561</v>
      </c>
      <c r="AG1008" s="14">
        <v>0</v>
      </c>
      <c r="AH1008" s="19">
        <f t="shared" si="149"/>
        <v>37340.239999999998</v>
      </c>
      <c r="AJ1008" s="126" t="e">
        <v>#N/A</v>
      </c>
      <c r="AK1008" s="80">
        <f t="shared" si="146"/>
        <v>0</v>
      </c>
      <c r="AM1008" s="85"/>
    </row>
    <row r="1009" spans="1:39" hidden="1" x14ac:dyDescent="0.3">
      <c r="A1009" s="85" t="s">
        <v>34</v>
      </c>
      <c r="B1009" s="15" t="s">
        <v>35</v>
      </c>
      <c r="C1009" s="15" t="s">
        <v>144</v>
      </c>
      <c r="D1009" s="15" t="s">
        <v>152</v>
      </c>
      <c r="E1009" s="15" t="s">
        <v>1468</v>
      </c>
      <c r="F1009" s="15" t="s">
        <v>1468</v>
      </c>
      <c r="G1009" s="15" t="s">
        <v>1468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1468</v>
      </c>
      <c r="N1009" s="15"/>
      <c r="O1009" s="8" t="s">
        <v>410</v>
      </c>
      <c r="P1009" s="8" t="s">
        <v>46</v>
      </c>
      <c r="Q1009" s="14">
        <v>0.02</v>
      </c>
      <c r="R1009" s="139" t="s">
        <v>1469</v>
      </c>
      <c r="S1009" s="15"/>
      <c r="T1009" s="6">
        <v>37712.35</v>
      </c>
      <c r="U1009" s="6">
        <v>-37466.589999999997</v>
      </c>
      <c r="V1009" s="6">
        <v>245.76000000000204</v>
      </c>
      <c r="W1009" s="18">
        <f t="shared" si="151"/>
        <v>0</v>
      </c>
      <c r="X1009" s="18">
        <f t="shared" si="141"/>
        <v>240.94117647059022</v>
      </c>
      <c r="Y1009" s="13">
        <f t="shared" si="142"/>
        <v>93.741933096980944</v>
      </c>
      <c r="Z1009" s="14">
        <v>0</v>
      </c>
      <c r="AA1009" s="4">
        <v>0</v>
      </c>
      <c r="AB1009" s="4">
        <f t="shared" si="143"/>
        <v>240.94117647059022</v>
      </c>
      <c r="AC1009" s="6">
        <f t="shared" si="144"/>
        <v>4.8188235294118158</v>
      </c>
      <c r="AD1009" s="6">
        <f t="shared" si="148"/>
        <v>147.19924337360928</v>
      </c>
      <c r="AE1009" s="2">
        <v>7.0000000000000007E-2</v>
      </c>
      <c r="AF1009" s="5">
        <f t="shared" si="145"/>
        <v>10.30394703615265</v>
      </c>
      <c r="AG1009" s="14">
        <v>0</v>
      </c>
      <c r="AH1009" s="19">
        <f t="shared" si="149"/>
        <v>245.76000000000204</v>
      </c>
      <c r="AJ1009" s="126" t="e">
        <v>#N/A</v>
      </c>
      <c r="AK1009" s="80">
        <f t="shared" si="146"/>
        <v>0</v>
      </c>
      <c r="AM1009" s="85"/>
    </row>
    <row r="1010" spans="1:39" hidden="1" x14ac:dyDescent="0.3">
      <c r="A1010" s="85" t="s">
        <v>34</v>
      </c>
      <c r="B1010" s="15" t="s">
        <v>35</v>
      </c>
      <c r="C1010" s="15" t="s">
        <v>144</v>
      </c>
      <c r="D1010" s="15" t="s">
        <v>152</v>
      </c>
      <c r="E1010" s="15" t="s">
        <v>157</v>
      </c>
      <c r="F1010" s="15" t="s">
        <v>157</v>
      </c>
      <c r="G1010" s="15" t="s">
        <v>157</v>
      </c>
      <c r="H1010" s="154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157</v>
      </c>
      <c r="N1010" s="15"/>
      <c r="O1010" s="8" t="s">
        <v>1196</v>
      </c>
      <c r="P1010" s="8" t="s">
        <v>41</v>
      </c>
      <c r="Q1010" s="14">
        <v>0</v>
      </c>
      <c r="R1010" s="139" t="s">
        <v>1470</v>
      </c>
      <c r="S1010" s="15"/>
      <c r="T1010" s="6">
        <v>0</v>
      </c>
      <c r="U1010" s="6">
        <v>30000</v>
      </c>
      <c r="V1010" s="6">
        <v>6900.3</v>
      </c>
      <c r="W1010" s="18">
        <f t="shared" si="151"/>
        <v>23099.7</v>
      </c>
      <c r="X1010" s="18">
        <f t="shared" si="141"/>
        <v>6900.3</v>
      </c>
      <c r="Y1010" s="13">
        <f t="shared" si="142"/>
        <v>2767.3290565962416</v>
      </c>
      <c r="Z1010" s="14">
        <v>0</v>
      </c>
      <c r="AA1010" s="4">
        <v>0</v>
      </c>
      <c r="AB1010" s="4">
        <f t="shared" si="143"/>
        <v>6900.3</v>
      </c>
      <c r="AC1010" s="6">
        <f t="shared" si="144"/>
        <v>0</v>
      </c>
      <c r="AD1010" s="6">
        <f t="shared" si="148"/>
        <v>4132.9709434037586</v>
      </c>
      <c r="AE1010" s="2">
        <v>0.12</v>
      </c>
      <c r="AF1010" s="5">
        <f t="shared" si="145"/>
        <v>495.95651320845104</v>
      </c>
      <c r="AG1010" s="14">
        <v>0</v>
      </c>
      <c r="AH1010" s="19">
        <f t="shared" si="149"/>
        <v>6900.3</v>
      </c>
      <c r="AJ1010" s="126" t="e">
        <v>#N/A</v>
      </c>
      <c r="AK1010" s="80">
        <f t="shared" si="146"/>
        <v>0</v>
      </c>
      <c r="AM1010" s="85"/>
    </row>
    <row r="1011" spans="1:39" hidden="1" x14ac:dyDescent="0.3">
      <c r="A1011" s="85" t="s">
        <v>34</v>
      </c>
      <c r="B1011" s="15" t="s">
        <v>35</v>
      </c>
      <c r="C1011" s="15" t="s">
        <v>144</v>
      </c>
      <c r="D1011" s="15" t="s">
        <v>152</v>
      </c>
      <c r="E1011" s="15" t="s">
        <v>157</v>
      </c>
      <c r="F1011" s="15" t="s">
        <v>157</v>
      </c>
      <c r="G1011" s="15" t="s">
        <v>157</v>
      </c>
      <c r="H1011" s="139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157</v>
      </c>
      <c r="N1011" s="15"/>
      <c r="O1011" s="8" t="s">
        <v>1196</v>
      </c>
      <c r="P1011" s="8" t="s">
        <v>41</v>
      </c>
      <c r="Q1011" s="14">
        <v>0</v>
      </c>
      <c r="R1011" s="139" t="s">
        <v>1471</v>
      </c>
      <c r="S1011" s="15"/>
      <c r="T1011" s="6">
        <v>0</v>
      </c>
      <c r="U1011" s="6">
        <v>100000</v>
      </c>
      <c r="V1011" s="6">
        <v>0</v>
      </c>
      <c r="W1011" s="18">
        <f t="shared" si="151"/>
        <v>100000</v>
      </c>
      <c r="X1011" s="18">
        <f t="shared" si="141"/>
        <v>0</v>
      </c>
      <c r="Y1011" s="13">
        <f t="shared" si="142"/>
        <v>0</v>
      </c>
      <c r="Z1011" s="14">
        <v>0</v>
      </c>
      <c r="AA1011" s="4">
        <v>0</v>
      </c>
      <c r="AB1011" s="4">
        <f t="shared" si="143"/>
        <v>0</v>
      </c>
      <c r="AC1011" s="6">
        <f t="shared" si="144"/>
        <v>0</v>
      </c>
      <c r="AD1011" s="6">
        <f t="shared" si="148"/>
        <v>0</v>
      </c>
      <c r="AE1011" s="2">
        <v>0.12</v>
      </c>
      <c r="AF1011" s="5">
        <f t="shared" si="145"/>
        <v>0</v>
      </c>
      <c r="AG1011" s="14">
        <v>0</v>
      </c>
      <c r="AH1011" s="19">
        <f t="shared" si="149"/>
        <v>0</v>
      </c>
      <c r="AJ1011" s="126" t="e">
        <v>#N/A</v>
      </c>
      <c r="AK1011" s="80">
        <f t="shared" si="146"/>
        <v>0</v>
      </c>
      <c r="AM1011" s="85"/>
    </row>
    <row r="1012" spans="1:39" hidden="1" x14ac:dyDescent="0.3">
      <c r="A1012" s="85" t="s">
        <v>34</v>
      </c>
      <c r="B1012" s="15" t="s">
        <v>35</v>
      </c>
      <c r="C1012" s="15" t="s">
        <v>144</v>
      </c>
      <c r="D1012" s="15" t="s">
        <v>152</v>
      </c>
      <c r="E1012" s="15" t="s">
        <v>157</v>
      </c>
      <c r="F1012" s="15" t="s">
        <v>157</v>
      </c>
      <c r="G1012" s="15" t="s">
        <v>157</v>
      </c>
      <c r="H1012" s="154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157</v>
      </c>
      <c r="N1012" s="15"/>
      <c r="O1012" s="8" t="s">
        <v>410</v>
      </c>
      <c r="P1012" s="8" t="s">
        <v>41</v>
      </c>
      <c r="Q1012" s="14">
        <v>0</v>
      </c>
      <c r="R1012" s="139" t="s">
        <v>1471</v>
      </c>
      <c r="S1012" s="15" t="s">
        <v>3350</v>
      </c>
      <c r="T1012" s="6">
        <v>0</v>
      </c>
      <c r="U1012" s="6">
        <v>350000</v>
      </c>
      <c r="V1012" s="6">
        <v>389825.9</v>
      </c>
      <c r="W1012" s="18">
        <f t="shared" si="151"/>
        <v>-39825.900000000023</v>
      </c>
      <c r="X1012" s="18">
        <f>IF(P1012="折扣",V1012*Q1012,IF(P1012="返现",V1012,V1012/(1+Q1012)))+33.9</f>
        <v>389859.80000000005</v>
      </c>
      <c r="Y1012" s="13">
        <f t="shared" si="142"/>
        <v>156371.52881088955</v>
      </c>
      <c r="Z1012" s="14">
        <v>0</v>
      </c>
      <c r="AA1012" s="4">
        <v>0</v>
      </c>
      <c r="AB1012" s="4">
        <f t="shared" si="143"/>
        <v>389859.80000000005</v>
      </c>
      <c r="AC1012" s="6">
        <f t="shared" si="144"/>
        <v>-33.900000000023283</v>
      </c>
      <c r="AD1012" s="6">
        <f t="shared" si="148"/>
        <v>233488.2711891105</v>
      </c>
      <c r="AE1012" s="2">
        <v>7.0000000000000007E-2</v>
      </c>
      <c r="AF1012" s="5">
        <f t="shared" si="145"/>
        <v>16344.178983237736</v>
      </c>
      <c r="AG1012" s="14">
        <v>0</v>
      </c>
      <c r="AH1012" s="19">
        <f t="shared" si="149"/>
        <v>389825.9</v>
      </c>
      <c r="AJ1012" s="126" t="e">
        <v>#N/A</v>
      </c>
      <c r="AK1012" s="80">
        <f t="shared" si="146"/>
        <v>0</v>
      </c>
      <c r="AM1012" s="85"/>
    </row>
    <row r="1013" spans="1:39" hidden="1" x14ac:dyDescent="0.3">
      <c r="A1013" s="85" t="s">
        <v>34</v>
      </c>
      <c r="B1013" s="15" t="s">
        <v>35</v>
      </c>
      <c r="C1013" s="15" t="s">
        <v>144</v>
      </c>
      <c r="D1013" s="15" t="s">
        <v>152</v>
      </c>
      <c r="E1013" s="15" t="s">
        <v>1472</v>
      </c>
      <c r="F1013" s="15" t="s">
        <v>1472</v>
      </c>
      <c r="G1013" s="15" t="s">
        <v>1472</v>
      </c>
      <c r="H1013" s="154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1472</v>
      </c>
      <c r="N1013" s="15"/>
      <c r="O1013" s="8" t="s">
        <v>410</v>
      </c>
      <c r="P1013" s="8" t="s">
        <v>41</v>
      </c>
      <c r="Q1013" s="14">
        <v>0</v>
      </c>
      <c r="R1013" s="139" t="s">
        <v>1473</v>
      </c>
      <c r="S1013" s="15"/>
      <c r="T1013" s="6">
        <v>0</v>
      </c>
      <c r="U1013" s="6">
        <v>70000</v>
      </c>
      <c r="V1013" s="6">
        <v>40029</v>
      </c>
      <c r="W1013" s="18">
        <f t="shared" si="151"/>
        <v>29971</v>
      </c>
      <c r="X1013" s="18">
        <f t="shared" si="141"/>
        <v>40029</v>
      </c>
      <c r="Y1013" s="13">
        <f t="shared" si="142"/>
        <v>16053.420113109714</v>
      </c>
      <c r="Z1013" s="14">
        <v>0</v>
      </c>
      <c r="AA1013" s="4">
        <v>0</v>
      </c>
      <c r="AB1013" s="4">
        <f t="shared" si="143"/>
        <v>40029</v>
      </c>
      <c r="AC1013" s="6">
        <f t="shared" si="144"/>
        <v>0</v>
      </c>
      <c r="AD1013" s="6">
        <f t="shared" si="148"/>
        <v>23975.579886890286</v>
      </c>
      <c r="AE1013" s="2">
        <v>7.0000000000000007E-2</v>
      </c>
      <c r="AF1013" s="5">
        <f t="shared" si="145"/>
        <v>1678.2905920823202</v>
      </c>
      <c r="AG1013" s="14">
        <v>0</v>
      </c>
      <c r="AH1013" s="19">
        <f t="shared" si="149"/>
        <v>40029</v>
      </c>
      <c r="AJ1013" s="126" t="e">
        <v>#N/A</v>
      </c>
      <c r="AK1013" s="80">
        <f t="shared" si="146"/>
        <v>0</v>
      </c>
      <c r="AM1013" s="85"/>
    </row>
    <row r="1014" spans="1:39" hidden="1" x14ac:dyDescent="0.3">
      <c r="A1014" s="85" t="s">
        <v>34</v>
      </c>
      <c r="B1014" s="15" t="s">
        <v>35</v>
      </c>
      <c r="C1014" s="15" t="s">
        <v>144</v>
      </c>
      <c r="D1014" s="15" t="s">
        <v>152</v>
      </c>
      <c r="E1014" s="15" t="s">
        <v>1474</v>
      </c>
      <c r="F1014" s="15" t="s">
        <v>1474</v>
      </c>
      <c r="G1014" s="15" t="s">
        <v>1474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1475</v>
      </c>
      <c r="N1014" s="15"/>
      <c r="O1014" s="8" t="s">
        <v>410</v>
      </c>
      <c r="P1014" s="8" t="s">
        <v>46</v>
      </c>
      <c r="Q1014" s="14">
        <v>0.01</v>
      </c>
      <c r="R1014" s="139" t="s">
        <v>1476</v>
      </c>
      <c r="S1014" s="15"/>
      <c r="T1014" s="6">
        <v>0</v>
      </c>
      <c r="U1014" s="6">
        <v>390000</v>
      </c>
      <c r="V1014" s="6">
        <v>354645.43999999994</v>
      </c>
      <c r="W1014" s="18">
        <f t="shared" si="151"/>
        <v>35354.560000000056</v>
      </c>
      <c r="X1014" s="18">
        <f t="shared" si="141"/>
        <v>351134.09900990094</v>
      </c>
      <c r="Y1014" s="13">
        <f t="shared" si="142"/>
        <v>138717.34919748109</v>
      </c>
      <c r="Z1014" s="14">
        <v>0</v>
      </c>
      <c r="AA1014" s="4">
        <v>0</v>
      </c>
      <c r="AB1014" s="4">
        <f t="shared" si="143"/>
        <v>351134.09900990094</v>
      </c>
      <c r="AC1014" s="6">
        <f t="shared" si="144"/>
        <v>3511.3409900990082</v>
      </c>
      <c r="AD1014" s="6">
        <f t="shared" si="148"/>
        <v>212416.74981241985</v>
      </c>
      <c r="AE1014" s="2">
        <v>7.0000000000000007E-2</v>
      </c>
      <c r="AF1014" s="5">
        <f t="shared" si="145"/>
        <v>14869.172486869391</v>
      </c>
      <c r="AG1014" s="14">
        <v>0</v>
      </c>
      <c r="AH1014" s="19">
        <f t="shared" si="149"/>
        <v>354645.43999999994</v>
      </c>
      <c r="AJ1014" s="126" t="e">
        <v>#N/A</v>
      </c>
      <c r="AK1014" s="80">
        <f t="shared" si="146"/>
        <v>0</v>
      </c>
      <c r="AM1014" s="85"/>
    </row>
    <row r="1015" spans="1:39" hidden="1" x14ac:dyDescent="0.3">
      <c r="A1015" s="85" t="s">
        <v>34</v>
      </c>
      <c r="B1015" s="15" t="s">
        <v>35</v>
      </c>
      <c r="C1015" s="15" t="s">
        <v>144</v>
      </c>
      <c r="D1015" s="15" t="s">
        <v>152</v>
      </c>
      <c r="E1015" s="15" t="s">
        <v>1474</v>
      </c>
      <c r="F1015" s="15" t="s">
        <v>1474</v>
      </c>
      <c r="G1015" s="15" t="s">
        <v>1474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1474</v>
      </c>
      <c r="N1015" s="15"/>
      <c r="O1015" s="8" t="s">
        <v>410</v>
      </c>
      <c r="P1015" s="8" t="s">
        <v>46</v>
      </c>
      <c r="Q1015" s="14">
        <v>0.01</v>
      </c>
      <c r="R1015" s="139" t="s">
        <v>1477</v>
      </c>
      <c r="S1015" s="15"/>
      <c r="T1015" s="6">
        <v>0</v>
      </c>
      <c r="U1015" s="6">
        <v>1060000</v>
      </c>
      <c r="V1015" s="6">
        <v>966650.79985000018</v>
      </c>
      <c r="W1015" s="18">
        <f t="shared" si="151"/>
        <v>93349.200149999815</v>
      </c>
      <c r="X1015" s="18">
        <f t="shared" si="141"/>
        <v>957079.99985148537</v>
      </c>
      <c r="Y1015" s="13">
        <f t="shared" si="142"/>
        <v>378099.42390579416</v>
      </c>
      <c r="Z1015" s="14">
        <v>0</v>
      </c>
      <c r="AA1015" s="4">
        <v>0</v>
      </c>
      <c r="AB1015" s="4">
        <f t="shared" si="143"/>
        <v>957079.99985148537</v>
      </c>
      <c r="AC1015" s="6">
        <f t="shared" si="144"/>
        <v>9570.7999985148199</v>
      </c>
      <c r="AD1015" s="6">
        <f t="shared" si="148"/>
        <v>578980.57594569121</v>
      </c>
      <c r="AE1015" s="2">
        <v>7.0000000000000007E-2</v>
      </c>
      <c r="AF1015" s="5">
        <f t="shared" si="145"/>
        <v>40528.640316198391</v>
      </c>
      <c r="AG1015" s="14">
        <v>0</v>
      </c>
      <c r="AH1015" s="19">
        <f t="shared" si="149"/>
        <v>966650.79985000018</v>
      </c>
      <c r="AJ1015" s="126" t="e">
        <v>#N/A</v>
      </c>
      <c r="AK1015" s="80">
        <f t="shared" si="146"/>
        <v>0</v>
      </c>
      <c r="AM1015" s="85"/>
    </row>
    <row r="1016" spans="1:39" hidden="1" x14ac:dyDescent="0.3">
      <c r="A1016" s="85" t="s">
        <v>34</v>
      </c>
      <c r="B1016" s="15" t="s">
        <v>35</v>
      </c>
      <c r="C1016" s="15" t="s">
        <v>144</v>
      </c>
      <c r="D1016" s="15" t="s">
        <v>152</v>
      </c>
      <c r="E1016" s="15" t="s">
        <v>1406</v>
      </c>
      <c r="F1016" s="15" t="s">
        <v>1406</v>
      </c>
      <c r="G1016" s="15" t="s">
        <v>1406</v>
      </c>
      <c r="H1016" s="139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1407</v>
      </c>
      <c r="N1016" s="15"/>
      <c r="O1016" s="8" t="s">
        <v>410</v>
      </c>
      <c r="P1016" s="8" t="s">
        <v>41</v>
      </c>
      <c r="Q1016" s="14">
        <v>0</v>
      </c>
      <c r="R1016" s="139" t="s">
        <v>1408</v>
      </c>
      <c r="S1016" s="15"/>
      <c r="T1016" s="6">
        <v>0</v>
      </c>
      <c r="U1016" s="6">
        <v>0</v>
      </c>
      <c r="V1016" s="6">
        <v>0</v>
      </c>
      <c r="W1016" s="18">
        <f t="shared" si="151"/>
        <v>0</v>
      </c>
      <c r="X1016" s="18">
        <f t="shared" si="141"/>
        <v>0</v>
      </c>
      <c r="Y1016" s="13">
        <f t="shared" si="142"/>
        <v>0</v>
      </c>
      <c r="Z1016" s="14">
        <v>0</v>
      </c>
      <c r="AA1016" s="4">
        <v>0</v>
      </c>
      <c r="AB1016" s="4">
        <f t="shared" si="143"/>
        <v>0</v>
      </c>
      <c r="AC1016" s="6">
        <f t="shared" si="144"/>
        <v>0</v>
      </c>
      <c r="AD1016" s="6">
        <f t="shared" si="148"/>
        <v>0</v>
      </c>
      <c r="AE1016" s="2">
        <v>7.0000000000000007E-2</v>
      </c>
      <c r="AF1016" s="5">
        <f t="shared" si="145"/>
        <v>0</v>
      </c>
      <c r="AG1016" s="14">
        <v>0</v>
      </c>
      <c r="AH1016" s="19">
        <f t="shared" si="149"/>
        <v>0</v>
      </c>
      <c r="AJ1016" s="126" t="e">
        <v>#N/A</v>
      </c>
      <c r="AK1016" s="80">
        <f t="shared" si="146"/>
        <v>0</v>
      </c>
      <c r="AM1016" s="85"/>
    </row>
    <row r="1017" spans="1:39" hidden="1" x14ac:dyDescent="0.3">
      <c r="A1017" s="85" t="s">
        <v>34</v>
      </c>
      <c r="B1017" s="15" t="s">
        <v>35</v>
      </c>
      <c r="C1017" s="15" t="s">
        <v>144</v>
      </c>
      <c r="D1017" s="15" t="s">
        <v>152</v>
      </c>
      <c r="E1017" s="15" t="s">
        <v>1406</v>
      </c>
      <c r="F1017" s="15" t="s">
        <v>1406</v>
      </c>
      <c r="G1017" s="15" t="s">
        <v>1406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1407</v>
      </c>
      <c r="N1017" s="15"/>
      <c r="O1017" s="8" t="s">
        <v>410</v>
      </c>
      <c r="P1017" s="8" t="s">
        <v>41</v>
      </c>
      <c r="Q1017" s="14">
        <v>0</v>
      </c>
      <c r="R1017" s="139" t="s">
        <v>1408</v>
      </c>
      <c r="S1017" s="15"/>
      <c r="T1017" s="6">
        <v>256772.4</v>
      </c>
      <c r="U1017" s="6">
        <v>400000</v>
      </c>
      <c r="V1017" s="6">
        <v>559002.6</v>
      </c>
      <c r="W1017" s="18">
        <f t="shared" si="151"/>
        <v>97769.800000000047</v>
      </c>
      <c r="X1017" s="18">
        <f t="shared" ref="X1017:X1080" si="152">IF(P1017="折扣",V1017*Q1017,IF(P1017="返现",V1017,V1017/(1+Q1017)))</f>
        <v>559002.6</v>
      </c>
      <c r="Y1017" s="13">
        <f t="shared" si="142"/>
        <v>224185.05538785941</v>
      </c>
      <c r="Z1017" s="14">
        <v>0</v>
      </c>
      <c r="AA1017" s="4">
        <v>0</v>
      </c>
      <c r="AB1017" s="4">
        <f t="shared" si="143"/>
        <v>559002.6</v>
      </c>
      <c r="AC1017" s="6">
        <f t="shared" si="144"/>
        <v>0</v>
      </c>
      <c r="AD1017" s="6">
        <f t="shared" si="148"/>
        <v>334817.54461214057</v>
      </c>
      <c r="AE1017" s="2">
        <v>7.0000000000000007E-2</v>
      </c>
      <c r="AF1017" s="5">
        <f t="shared" si="145"/>
        <v>23437.228122849843</v>
      </c>
      <c r="AG1017" s="14">
        <v>0</v>
      </c>
      <c r="AH1017" s="19">
        <f t="shared" si="149"/>
        <v>559002.6</v>
      </c>
      <c r="AJ1017" s="126" t="e">
        <v>#N/A</v>
      </c>
      <c r="AK1017" s="80">
        <f t="shared" si="146"/>
        <v>0</v>
      </c>
      <c r="AM1017" s="85"/>
    </row>
    <row r="1018" spans="1:39" hidden="1" x14ac:dyDescent="0.3">
      <c r="A1018" s="85" t="s">
        <v>34</v>
      </c>
      <c r="B1018" s="15" t="s">
        <v>35</v>
      </c>
      <c r="C1018" s="15" t="s">
        <v>144</v>
      </c>
      <c r="D1018" s="15" t="s">
        <v>152</v>
      </c>
      <c r="E1018" s="15" t="s">
        <v>1478</v>
      </c>
      <c r="F1018" s="15" t="s">
        <v>1478</v>
      </c>
      <c r="G1018" s="15" t="s">
        <v>1478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1479</v>
      </c>
      <c r="N1018" s="15"/>
      <c r="O1018" s="8" t="s">
        <v>1196</v>
      </c>
      <c r="P1018" s="8" t="s">
        <v>3360</v>
      </c>
      <c r="Q1018" s="14">
        <v>0.02</v>
      </c>
      <c r="R1018" s="139" t="s">
        <v>1480</v>
      </c>
      <c r="S1018" s="15"/>
      <c r="T1018" s="6">
        <v>0</v>
      </c>
      <c r="U1018" s="6">
        <v>50000</v>
      </c>
      <c r="V1018" s="6">
        <v>4826.4593100000002</v>
      </c>
      <c r="W1018" s="18">
        <f t="shared" si="151"/>
        <v>45173.540690000002</v>
      </c>
      <c r="X1018" s="18">
        <f t="shared" si="152"/>
        <v>4731.8228529411763</v>
      </c>
      <c r="Y1018" s="13">
        <f t="shared" si="142"/>
        <v>1840.9896880424685</v>
      </c>
      <c r="Z1018" s="14">
        <v>0</v>
      </c>
      <c r="AA1018" s="4">
        <v>0</v>
      </c>
      <c r="AB1018" s="4">
        <f t="shared" si="143"/>
        <v>4731.8228529411763</v>
      </c>
      <c r="AC1018" s="6">
        <f t="shared" si="144"/>
        <v>94.636457058823908</v>
      </c>
      <c r="AD1018" s="6">
        <f t="shared" si="148"/>
        <v>2890.8331648987078</v>
      </c>
      <c r="AE1018" s="2">
        <v>0.12</v>
      </c>
      <c r="AF1018" s="5">
        <f t="shared" si="145"/>
        <v>346.89997978784493</v>
      </c>
      <c r="AG1018" s="14">
        <v>0</v>
      </c>
      <c r="AH1018" s="19">
        <f t="shared" si="149"/>
        <v>4826.4593100000002</v>
      </c>
      <c r="AJ1018" s="126" t="e">
        <v>#N/A</v>
      </c>
      <c r="AK1018" s="80">
        <f t="shared" si="146"/>
        <v>0</v>
      </c>
      <c r="AM1018" s="85"/>
    </row>
    <row r="1019" spans="1:39" hidden="1" x14ac:dyDescent="0.3">
      <c r="A1019" s="85" t="s">
        <v>34</v>
      </c>
      <c r="B1019" s="15" t="s">
        <v>35</v>
      </c>
      <c r="C1019" s="15" t="s">
        <v>144</v>
      </c>
      <c r="D1019" s="15" t="s">
        <v>152</v>
      </c>
      <c r="E1019" s="15" t="s">
        <v>1478</v>
      </c>
      <c r="F1019" s="15" t="s">
        <v>1478</v>
      </c>
      <c r="G1019" s="15" t="s">
        <v>1478</v>
      </c>
      <c r="H1019" s="139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1479</v>
      </c>
      <c r="N1019" s="15"/>
      <c r="O1019" s="8" t="s">
        <v>410</v>
      </c>
      <c r="P1019" s="8" t="s">
        <v>3360</v>
      </c>
      <c r="Q1019" s="14">
        <v>0.02</v>
      </c>
      <c r="R1019" s="139" t="s">
        <v>1480</v>
      </c>
      <c r="S1019" s="15"/>
      <c r="T1019" s="6">
        <v>0</v>
      </c>
      <c r="U1019" s="6">
        <v>700000</v>
      </c>
      <c r="V1019" s="6">
        <v>0</v>
      </c>
      <c r="W1019" s="18">
        <f t="shared" si="151"/>
        <v>700000</v>
      </c>
      <c r="X1019" s="18">
        <f t="shared" si="152"/>
        <v>0</v>
      </c>
      <c r="Y1019" s="13">
        <f t="shared" si="142"/>
        <v>0</v>
      </c>
      <c r="Z1019" s="14">
        <v>0</v>
      </c>
      <c r="AA1019" s="4">
        <v>0</v>
      </c>
      <c r="AB1019" s="4">
        <f t="shared" si="143"/>
        <v>0</v>
      </c>
      <c r="AC1019" s="6">
        <f t="shared" si="144"/>
        <v>0</v>
      </c>
      <c r="AD1019" s="6">
        <f t="shared" si="148"/>
        <v>0</v>
      </c>
      <c r="AE1019" s="2">
        <v>7.0000000000000007E-2</v>
      </c>
      <c r="AF1019" s="5">
        <f t="shared" si="145"/>
        <v>0</v>
      </c>
      <c r="AG1019" s="14">
        <v>0</v>
      </c>
      <c r="AH1019" s="19">
        <f t="shared" si="149"/>
        <v>0</v>
      </c>
      <c r="AJ1019" s="126" t="e">
        <v>#N/A</v>
      </c>
      <c r="AK1019" s="80">
        <f t="shared" si="146"/>
        <v>0</v>
      </c>
      <c r="AM1019" s="85"/>
    </row>
    <row r="1020" spans="1:39" hidden="1" x14ac:dyDescent="0.3">
      <c r="A1020" s="85" t="s">
        <v>34</v>
      </c>
      <c r="B1020" s="15" t="s">
        <v>35</v>
      </c>
      <c r="C1020" s="15" t="s">
        <v>144</v>
      </c>
      <c r="D1020" s="15" t="s">
        <v>152</v>
      </c>
      <c r="E1020" s="15" t="s">
        <v>160</v>
      </c>
      <c r="F1020" s="15" t="s">
        <v>160</v>
      </c>
      <c r="G1020" s="15" t="s">
        <v>160</v>
      </c>
      <c r="H1020" s="139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160</v>
      </c>
      <c r="N1020" s="15"/>
      <c r="O1020" s="8" t="s">
        <v>410</v>
      </c>
      <c r="P1020" s="8" t="s">
        <v>46</v>
      </c>
      <c r="Q1020" s="14">
        <v>0.02</v>
      </c>
      <c r="R1020" s="139" t="s">
        <v>1481</v>
      </c>
      <c r="S1020" s="15"/>
      <c r="T1020" s="6">
        <v>1.180000000007567</v>
      </c>
      <c r="U1020" s="6">
        <v>-1.18</v>
      </c>
      <c r="V1020" s="6">
        <v>0</v>
      </c>
      <c r="W1020" s="18">
        <f t="shared" si="151"/>
        <v>7.5670580912401419E-12</v>
      </c>
      <c r="X1020" s="18">
        <f t="shared" si="152"/>
        <v>0</v>
      </c>
      <c r="Y1020" s="13">
        <f t="shared" si="142"/>
        <v>0</v>
      </c>
      <c r="Z1020" s="14">
        <v>0</v>
      </c>
      <c r="AA1020" s="4">
        <v>0</v>
      </c>
      <c r="AB1020" s="4">
        <f t="shared" si="143"/>
        <v>0</v>
      </c>
      <c r="AC1020" s="6">
        <f t="shared" si="144"/>
        <v>0</v>
      </c>
      <c r="AD1020" s="6">
        <f t="shared" si="148"/>
        <v>0</v>
      </c>
      <c r="AE1020" s="2">
        <v>7.0000000000000007E-2</v>
      </c>
      <c r="AF1020" s="5">
        <f t="shared" si="145"/>
        <v>0</v>
      </c>
      <c r="AG1020" s="14">
        <v>0</v>
      </c>
      <c r="AH1020" s="19">
        <f t="shared" si="149"/>
        <v>0</v>
      </c>
      <c r="AJ1020" s="126" t="e">
        <v>#N/A</v>
      </c>
      <c r="AK1020" s="80">
        <f t="shared" si="146"/>
        <v>0</v>
      </c>
      <c r="AM1020" s="85"/>
    </row>
    <row r="1021" spans="1:39" hidden="1" x14ac:dyDescent="0.3">
      <c r="A1021" s="85" t="s">
        <v>34</v>
      </c>
      <c r="B1021" s="15" t="s">
        <v>35</v>
      </c>
      <c r="C1021" s="15" t="s">
        <v>144</v>
      </c>
      <c r="D1021" s="15" t="s">
        <v>152</v>
      </c>
      <c r="E1021" s="15" t="s">
        <v>1482</v>
      </c>
      <c r="F1021" s="15" t="s">
        <v>1482</v>
      </c>
      <c r="G1021" s="15" t="s">
        <v>1482</v>
      </c>
      <c r="H1021" s="154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1482</v>
      </c>
      <c r="N1021" s="15"/>
      <c r="O1021" s="8" t="s">
        <v>410</v>
      </c>
      <c r="P1021" s="8" t="s">
        <v>41</v>
      </c>
      <c r="Q1021" s="14">
        <v>0</v>
      </c>
      <c r="R1021" s="139" t="s">
        <v>1483</v>
      </c>
      <c r="S1021" s="15"/>
      <c r="T1021" s="6">
        <v>0</v>
      </c>
      <c r="U1021" s="6">
        <v>60000</v>
      </c>
      <c r="V1021" s="6">
        <v>49072.5</v>
      </c>
      <c r="W1021" s="18">
        <f t="shared" si="151"/>
        <v>10927.5</v>
      </c>
      <c r="X1021" s="18">
        <f t="shared" si="152"/>
        <v>49072.5</v>
      </c>
      <c r="Y1021" s="13">
        <f t="shared" si="142"/>
        <v>19680.268268020096</v>
      </c>
      <c r="Z1021" s="14">
        <v>0</v>
      </c>
      <c r="AA1021" s="4">
        <v>0</v>
      </c>
      <c r="AB1021" s="4">
        <f t="shared" si="143"/>
        <v>49072.5</v>
      </c>
      <c r="AC1021" s="6">
        <f t="shared" si="144"/>
        <v>0</v>
      </c>
      <c r="AD1021" s="6">
        <f t="shared" si="148"/>
        <v>29392.231731979904</v>
      </c>
      <c r="AE1021" s="2">
        <v>7.0000000000000007E-2</v>
      </c>
      <c r="AF1021" s="5">
        <f t="shared" si="145"/>
        <v>2057.4562212385936</v>
      </c>
      <c r="AG1021" s="14">
        <v>0</v>
      </c>
      <c r="AH1021" s="19">
        <f t="shared" si="149"/>
        <v>49072.5</v>
      </c>
      <c r="AJ1021" s="126" t="e">
        <v>#N/A</v>
      </c>
      <c r="AK1021" s="80">
        <f t="shared" si="146"/>
        <v>0</v>
      </c>
      <c r="AM1021" s="85"/>
    </row>
    <row r="1022" spans="1:39" hidden="1" x14ac:dyDescent="0.3">
      <c r="A1022" s="85" t="s">
        <v>34</v>
      </c>
      <c r="B1022" s="15" t="s">
        <v>35</v>
      </c>
      <c r="C1022" s="15" t="s">
        <v>144</v>
      </c>
      <c r="D1022" s="15" t="s">
        <v>152</v>
      </c>
      <c r="E1022" s="15" t="s">
        <v>1484</v>
      </c>
      <c r="F1022" s="15" t="s">
        <v>1485</v>
      </c>
      <c r="G1022" s="15" t="s">
        <v>1484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1486</v>
      </c>
      <c r="N1022" s="15"/>
      <c r="O1022" s="8" t="s">
        <v>410</v>
      </c>
      <c r="P1022" s="8" t="s">
        <v>41</v>
      </c>
      <c r="Q1022" s="14">
        <v>0</v>
      </c>
      <c r="R1022" s="139" t="s">
        <v>1487</v>
      </c>
      <c r="S1022" s="15"/>
      <c r="T1022" s="6">
        <v>1300000</v>
      </c>
      <c r="U1022" s="6">
        <v>4500000</v>
      </c>
      <c r="V1022" s="6">
        <v>5240498.3797199996</v>
      </c>
      <c r="W1022" s="18">
        <f t="shared" si="151"/>
        <v>559501.62028000038</v>
      </c>
      <c r="X1022" s="18">
        <f t="shared" si="152"/>
        <v>5240498.3797199996</v>
      </c>
      <c r="Y1022" s="13">
        <f t="shared" si="142"/>
        <v>2101674.3383975597</v>
      </c>
      <c r="Z1022" s="14">
        <v>0</v>
      </c>
      <c r="AA1022" s="4">
        <v>0</v>
      </c>
      <c r="AB1022" s="4">
        <f t="shared" si="143"/>
        <v>5240498.3797199996</v>
      </c>
      <c r="AC1022" s="6">
        <f t="shared" si="144"/>
        <v>0</v>
      </c>
      <c r="AD1022" s="6">
        <f t="shared" si="148"/>
        <v>3138824.0413224399</v>
      </c>
      <c r="AE1022" s="2">
        <v>7.0000000000000007E-2</v>
      </c>
      <c r="AF1022" s="5">
        <f t="shared" si="145"/>
        <v>219717.68289257083</v>
      </c>
      <c r="AG1022" s="14">
        <v>0</v>
      </c>
      <c r="AH1022" s="19">
        <f t="shared" si="149"/>
        <v>5240498.3797199996</v>
      </c>
      <c r="AJ1022" s="126" t="e">
        <v>#N/A</v>
      </c>
      <c r="AK1022" s="80">
        <f t="shared" si="146"/>
        <v>0</v>
      </c>
      <c r="AM1022" s="85"/>
    </row>
    <row r="1023" spans="1:39" hidden="1" x14ac:dyDescent="0.3">
      <c r="A1023" s="85" t="s">
        <v>34</v>
      </c>
      <c r="B1023" s="15" t="s">
        <v>35</v>
      </c>
      <c r="C1023" s="15" t="s">
        <v>144</v>
      </c>
      <c r="D1023" s="15" t="s">
        <v>152</v>
      </c>
      <c r="E1023" s="15" t="s">
        <v>1488</v>
      </c>
      <c r="F1023" s="15" t="s">
        <v>1488</v>
      </c>
      <c r="G1023" s="15" t="s">
        <v>1488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1489</v>
      </c>
      <c r="N1023" s="15"/>
      <c r="O1023" s="8" t="s">
        <v>410</v>
      </c>
      <c r="P1023" s="8" t="s">
        <v>41</v>
      </c>
      <c r="Q1023" s="14">
        <v>0</v>
      </c>
      <c r="R1023" s="139" t="s">
        <v>1490</v>
      </c>
      <c r="S1023" s="15"/>
      <c r="T1023" s="6">
        <v>0</v>
      </c>
      <c r="U1023" s="6">
        <v>160000</v>
      </c>
      <c r="V1023" s="6">
        <v>109268.9</v>
      </c>
      <c r="W1023" s="18">
        <f t="shared" si="151"/>
        <v>50731.100000000006</v>
      </c>
      <c r="X1023" s="18">
        <f t="shared" si="152"/>
        <v>109268.9</v>
      </c>
      <c r="Y1023" s="13">
        <f t="shared" si="142"/>
        <v>43821.718179254392</v>
      </c>
      <c r="Z1023" s="14">
        <v>0</v>
      </c>
      <c r="AA1023" s="4">
        <v>0</v>
      </c>
      <c r="AB1023" s="4">
        <f t="shared" si="143"/>
        <v>109268.9</v>
      </c>
      <c r="AC1023" s="6">
        <f t="shared" si="144"/>
        <v>0</v>
      </c>
      <c r="AD1023" s="6">
        <f t="shared" si="148"/>
        <v>65447.181820745602</v>
      </c>
      <c r="AE1023" s="2">
        <v>7.0000000000000007E-2</v>
      </c>
      <c r="AF1023" s="5">
        <f t="shared" si="145"/>
        <v>4581.3027274521928</v>
      </c>
      <c r="AG1023" s="14">
        <v>0</v>
      </c>
      <c r="AH1023" s="19">
        <f t="shared" si="149"/>
        <v>109268.9</v>
      </c>
      <c r="AJ1023" s="126" t="e">
        <v>#N/A</v>
      </c>
      <c r="AK1023" s="80">
        <f t="shared" si="146"/>
        <v>0</v>
      </c>
      <c r="AM1023" s="85"/>
    </row>
    <row r="1024" spans="1:39" hidden="1" x14ac:dyDescent="0.3">
      <c r="A1024" s="85" t="s">
        <v>34</v>
      </c>
      <c r="B1024" s="15" t="s">
        <v>35</v>
      </c>
      <c r="C1024" s="15" t="s">
        <v>144</v>
      </c>
      <c r="D1024" s="15" t="s">
        <v>152</v>
      </c>
      <c r="E1024" s="15" t="s">
        <v>1488</v>
      </c>
      <c r="F1024" s="15" t="s">
        <v>1488</v>
      </c>
      <c r="G1024" s="15" t="s">
        <v>1488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1491</v>
      </c>
      <c r="N1024" s="15"/>
      <c r="O1024" s="8" t="s">
        <v>410</v>
      </c>
      <c r="P1024" s="8" t="s">
        <v>41</v>
      </c>
      <c r="Q1024" s="14">
        <v>0</v>
      </c>
      <c r="R1024" s="139" t="s">
        <v>1492</v>
      </c>
      <c r="S1024" s="15"/>
      <c r="T1024" s="6">
        <v>97924.800000000003</v>
      </c>
      <c r="U1024" s="6">
        <v>470000</v>
      </c>
      <c r="V1024" s="6">
        <v>452888.7</v>
      </c>
      <c r="W1024" s="18">
        <f t="shared" si="151"/>
        <v>115036.10000000003</v>
      </c>
      <c r="X1024" s="18">
        <f t="shared" si="152"/>
        <v>452888.7</v>
      </c>
      <c r="Y1024" s="13">
        <f t="shared" si="142"/>
        <v>181628.63338030205</v>
      </c>
      <c r="Z1024" s="14">
        <v>0</v>
      </c>
      <c r="AA1024" s="4">
        <v>0</v>
      </c>
      <c r="AB1024" s="4">
        <f t="shared" si="143"/>
        <v>452888.7</v>
      </c>
      <c r="AC1024" s="6">
        <f t="shared" si="144"/>
        <v>0</v>
      </c>
      <c r="AD1024" s="6">
        <f t="shared" si="148"/>
        <v>271260.06661969796</v>
      </c>
      <c r="AE1024" s="2">
        <v>7.0000000000000007E-2</v>
      </c>
      <c r="AF1024" s="5">
        <f t="shared" si="145"/>
        <v>18988.20466337886</v>
      </c>
      <c r="AG1024" s="14">
        <v>0</v>
      </c>
      <c r="AH1024" s="19">
        <f t="shared" si="149"/>
        <v>452888.7</v>
      </c>
      <c r="AJ1024" s="126" t="e">
        <v>#N/A</v>
      </c>
      <c r="AK1024" s="80">
        <f t="shared" si="146"/>
        <v>0</v>
      </c>
      <c r="AM1024" s="85"/>
    </row>
    <row r="1025" spans="1:39" hidden="1" x14ac:dyDescent="0.3">
      <c r="A1025" s="85" t="s">
        <v>34</v>
      </c>
      <c r="B1025" s="15" t="s">
        <v>35</v>
      </c>
      <c r="C1025" s="15" t="s">
        <v>144</v>
      </c>
      <c r="D1025" s="15" t="s">
        <v>152</v>
      </c>
      <c r="E1025" s="15" t="s">
        <v>1493</v>
      </c>
      <c r="F1025" s="15" t="s">
        <v>1493</v>
      </c>
      <c r="G1025" s="15" t="s">
        <v>1493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1494</v>
      </c>
      <c r="N1025" s="15"/>
      <c r="O1025" s="8" t="s">
        <v>410</v>
      </c>
      <c r="P1025" s="8" t="s">
        <v>46</v>
      </c>
      <c r="Q1025" s="14">
        <v>0.01</v>
      </c>
      <c r="R1025" s="139" t="s">
        <v>1495</v>
      </c>
      <c r="S1025" s="15"/>
      <c r="T1025" s="6">
        <v>0</v>
      </c>
      <c r="U1025" s="6">
        <v>100000</v>
      </c>
      <c r="V1025" s="6">
        <v>84813.4</v>
      </c>
      <c r="W1025" s="18">
        <f t="shared" si="151"/>
        <v>15186.600000000006</v>
      </c>
      <c r="X1025" s="18">
        <f t="shared" si="152"/>
        <v>83973.663366336623</v>
      </c>
      <c r="Y1025" s="13">
        <f t="shared" si="142"/>
        <v>33174.231774770997</v>
      </c>
      <c r="Z1025" s="14">
        <v>0</v>
      </c>
      <c r="AA1025" s="4">
        <v>0</v>
      </c>
      <c r="AB1025" s="4">
        <f t="shared" si="143"/>
        <v>83973.663366336623</v>
      </c>
      <c r="AC1025" s="6">
        <f t="shared" si="144"/>
        <v>839.73663366337132</v>
      </c>
      <c r="AD1025" s="6">
        <f t="shared" si="148"/>
        <v>50799.431591565626</v>
      </c>
      <c r="AE1025" s="2">
        <v>7.0000000000000007E-2</v>
      </c>
      <c r="AF1025" s="5">
        <f t="shared" si="145"/>
        <v>3555.9602114095942</v>
      </c>
      <c r="AG1025" s="14">
        <v>0</v>
      </c>
      <c r="AH1025" s="19">
        <f t="shared" si="149"/>
        <v>84813.4</v>
      </c>
      <c r="AJ1025" s="126" t="e">
        <v>#N/A</v>
      </c>
      <c r="AK1025" s="80">
        <f t="shared" si="146"/>
        <v>0</v>
      </c>
      <c r="AM1025" s="85"/>
    </row>
    <row r="1026" spans="1:39" hidden="1" x14ac:dyDescent="0.3">
      <c r="A1026" s="85" t="s">
        <v>34</v>
      </c>
      <c r="B1026" s="15" t="s">
        <v>35</v>
      </c>
      <c r="C1026" s="15" t="s">
        <v>144</v>
      </c>
      <c r="D1026" s="15" t="s">
        <v>152</v>
      </c>
      <c r="E1026" s="15" t="s">
        <v>1496</v>
      </c>
      <c r="F1026" s="15" t="s">
        <v>1497</v>
      </c>
      <c r="G1026" s="15" t="s">
        <v>1496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1498</v>
      </c>
      <c r="N1026" s="15"/>
      <c r="O1026" s="8" t="s">
        <v>410</v>
      </c>
      <c r="P1026" s="8" t="s">
        <v>46</v>
      </c>
      <c r="Q1026" s="14">
        <v>0.02</v>
      </c>
      <c r="R1026" s="139" t="s">
        <v>1499</v>
      </c>
      <c r="S1026" s="15"/>
      <c r="T1026" s="6">
        <v>0</v>
      </c>
      <c r="U1026" s="6">
        <v>0</v>
      </c>
      <c r="V1026" s="6">
        <v>0</v>
      </c>
      <c r="W1026" s="18">
        <f t="shared" si="151"/>
        <v>0</v>
      </c>
      <c r="X1026" s="18">
        <f t="shared" si="152"/>
        <v>0</v>
      </c>
      <c r="Y1026" s="13">
        <f t="shared" si="142"/>
        <v>0</v>
      </c>
      <c r="Z1026" s="14">
        <v>0</v>
      </c>
      <c r="AA1026" s="4">
        <v>0</v>
      </c>
      <c r="AB1026" s="4">
        <f t="shared" si="143"/>
        <v>0</v>
      </c>
      <c r="AC1026" s="6">
        <f t="shared" si="144"/>
        <v>0</v>
      </c>
      <c r="AD1026" s="6">
        <f t="shared" si="148"/>
        <v>0</v>
      </c>
      <c r="AE1026" s="2">
        <v>7.0000000000000007E-2</v>
      </c>
      <c r="AF1026" s="5">
        <f t="shared" si="145"/>
        <v>0</v>
      </c>
      <c r="AG1026" s="14">
        <v>0</v>
      </c>
      <c r="AH1026" s="19">
        <f t="shared" si="149"/>
        <v>0</v>
      </c>
      <c r="AJ1026" s="126" t="e">
        <v>#N/A</v>
      </c>
      <c r="AK1026" s="80">
        <f t="shared" si="146"/>
        <v>0</v>
      </c>
      <c r="AM1026" s="85"/>
    </row>
    <row r="1027" spans="1:39" hidden="1" x14ac:dyDescent="0.3">
      <c r="A1027" s="85" t="s">
        <v>34</v>
      </c>
      <c r="B1027" s="15" t="s">
        <v>35</v>
      </c>
      <c r="C1027" s="15" t="s">
        <v>144</v>
      </c>
      <c r="D1027" s="15" t="s">
        <v>152</v>
      </c>
      <c r="E1027" s="15" t="s">
        <v>1496</v>
      </c>
      <c r="F1027" s="15" t="s">
        <v>1497</v>
      </c>
      <c r="G1027" s="15" t="s">
        <v>1496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1500</v>
      </c>
      <c r="N1027" s="15"/>
      <c r="O1027" s="8" t="s">
        <v>410</v>
      </c>
      <c r="P1027" s="8" t="s">
        <v>46</v>
      </c>
      <c r="Q1027" s="14">
        <v>0.02</v>
      </c>
      <c r="R1027" s="139" t="s">
        <v>1501</v>
      </c>
      <c r="S1027" s="15"/>
      <c r="T1027" s="6">
        <v>7940.1</v>
      </c>
      <c r="U1027" s="6">
        <v>0</v>
      </c>
      <c r="V1027" s="6">
        <v>7939</v>
      </c>
      <c r="W1027" s="18">
        <f t="shared" si="151"/>
        <v>1.1000000000003638</v>
      </c>
      <c r="X1027" s="18">
        <f t="shared" si="152"/>
        <v>7783.333333333333</v>
      </c>
      <c r="Y1027" s="13">
        <f t="shared" ref="Y1027:Y1090" si="153">IF(X1027-AD1027&lt;=0,0,IF(P1027="返现",MAX(X1027-AC1027-AD1027,0),MAX(X1027-AD1027)))</f>
        <v>3028.2275669634018</v>
      </c>
      <c r="Z1027" s="14">
        <v>0</v>
      </c>
      <c r="AA1027" s="4">
        <v>0</v>
      </c>
      <c r="AB1027" s="4">
        <f t="shared" ref="AB1027:AB1090" si="154">X1027+AA1027</f>
        <v>7783.333333333333</v>
      </c>
      <c r="AC1027" s="6">
        <f t="shared" ref="AC1027:AC1090" si="155">IF(P1027="返现",X1027*Q1027,V1027-X1027)</f>
        <v>155.66666666666697</v>
      </c>
      <c r="AD1027" s="6">
        <f t="shared" si="148"/>
        <v>4755.1057663699312</v>
      </c>
      <c r="AE1027" s="2">
        <v>7.0000000000000007E-2</v>
      </c>
      <c r="AF1027" s="5">
        <f t="shared" ref="AF1027:AF1090" si="156">AD1027*AE1027</f>
        <v>332.8574036458952</v>
      </c>
      <c r="AG1027" s="14">
        <v>0</v>
      </c>
      <c r="AH1027" s="19">
        <f t="shared" si="149"/>
        <v>7939</v>
      </c>
      <c r="AJ1027" s="126" t="e">
        <v>#N/A</v>
      </c>
      <c r="AK1027" s="80">
        <f t="shared" ref="AK1027:AK1090" si="157">X1027+AA1027-AB1027</f>
        <v>0</v>
      </c>
      <c r="AM1027" s="85"/>
    </row>
    <row r="1028" spans="1:39" hidden="1" x14ac:dyDescent="0.3">
      <c r="A1028" s="85" t="s">
        <v>34</v>
      </c>
      <c r="B1028" s="15" t="s">
        <v>35</v>
      </c>
      <c r="C1028" s="15" t="s">
        <v>144</v>
      </c>
      <c r="D1028" s="15" t="s">
        <v>152</v>
      </c>
      <c r="E1028" s="15" t="s">
        <v>1496</v>
      </c>
      <c r="F1028" s="15" t="s">
        <v>1497</v>
      </c>
      <c r="G1028" s="15" t="s">
        <v>1496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1502</v>
      </c>
      <c r="N1028" s="15"/>
      <c r="O1028" s="8" t="s">
        <v>410</v>
      </c>
      <c r="P1028" s="8" t="s">
        <v>46</v>
      </c>
      <c r="Q1028" s="14">
        <v>0.02</v>
      </c>
      <c r="R1028" s="139" t="s">
        <v>1503</v>
      </c>
      <c r="S1028" s="15"/>
      <c r="T1028" s="6">
        <v>0</v>
      </c>
      <c r="U1028" s="6">
        <v>5000</v>
      </c>
      <c r="V1028" s="6">
        <v>4517.8999999999996</v>
      </c>
      <c r="W1028" s="18">
        <f t="shared" si="151"/>
        <v>482.10000000000036</v>
      </c>
      <c r="X1028" s="18">
        <f t="shared" si="152"/>
        <v>4429.3137254901958</v>
      </c>
      <c r="Y1028" s="13">
        <f t="shared" si="153"/>
        <v>1723.2937806756458</v>
      </c>
      <c r="Z1028" s="14">
        <v>0</v>
      </c>
      <c r="AA1028" s="4">
        <v>0</v>
      </c>
      <c r="AB1028" s="4">
        <f t="shared" si="154"/>
        <v>4429.3137254901958</v>
      </c>
      <c r="AC1028" s="6">
        <f t="shared" si="155"/>
        <v>88.586274509803843</v>
      </c>
      <c r="AD1028" s="6">
        <f t="shared" si="148"/>
        <v>2706.0199448145499</v>
      </c>
      <c r="AE1028" s="2">
        <v>7.0000000000000007E-2</v>
      </c>
      <c r="AF1028" s="5">
        <f t="shared" si="156"/>
        <v>189.42139613701852</v>
      </c>
      <c r="AG1028" s="14">
        <v>0</v>
      </c>
      <c r="AH1028" s="19">
        <f t="shared" si="149"/>
        <v>4517.8999999999996</v>
      </c>
      <c r="AJ1028" s="126" t="e">
        <v>#N/A</v>
      </c>
      <c r="AK1028" s="80">
        <f t="shared" si="157"/>
        <v>0</v>
      </c>
      <c r="AM1028" s="85"/>
    </row>
    <row r="1029" spans="1:39" hidden="1" x14ac:dyDescent="0.3">
      <c r="A1029" s="85" t="s">
        <v>34</v>
      </c>
      <c r="B1029" s="15" t="s">
        <v>35</v>
      </c>
      <c r="C1029" s="15" t="s">
        <v>144</v>
      </c>
      <c r="D1029" s="15" t="s">
        <v>152</v>
      </c>
      <c r="E1029" s="15" t="s">
        <v>1496</v>
      </c>
      <c r="F1029" s="15" t="s">
        <v>1497</v>
      </c>
      <c r="G1029" s="15" t="s">
        <v>1496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1498</v>
      </c>
      <c r="N1029" s="15"/>
      <c r="O1029" s="8" t="s">
        <v>410</v>
      </c>
      <c r="P1029" s="8" t="s">
        <v>46</v>
      </c>
      <c r="Q1029" s="14">
        <v>0.02</v>
      </c>
      <c r="R1029" s="139" t="s">
        <v>1499</v>
      </c>
      <c r="S1029" s="15"/>
      <c r="T1029" s="6">
        <v>30739.959999999992</v>
      </c>
      <c r="U1029" s="6">
        <v>75000</v>
      </c>
      <c r="V1029" s="6">
        <v>71178.91</v>
      </c>
      <c r="W1029" s="18">
        <f t="shared" si="151"/>
        <v>34561.049999999988</v>
      </c>
      <c r="X1029" s="18">
        <f t="shared" si="152"/>
        <v>69783.245098039217</v>
      </c>
      <c r="Y1029" s="13">
        <f t="shared" si="153"/>
        <v>27150.26293593739</v>
      </c>
      <c r="Z1029" s="14">
        <v>0</v>
      </c>
      <c r="AA1029" s="4">
        <v>0</v>
      </c>
      <c r="AB1029" s="4">
        <f t="shared" si="154"/>
        <v>69783.245098039217</v>
      </c>
      <c r="AC1029" s="6">
        <f t="shared" si="155"/>
        <v>1395.6649019607867</v>
      </c>
      <c r="AD1029" s="6">
        <f t="shared" si="148"/>
        <v>42632.982162101827</v>
      </c>
      <c r="AE1029" s="2">
        <v>7.0000000000000007E-2</v>
      </c>
      <c r="AF1029" s="5">
        <f t="shared" si="156"/>
        <v>2984.3087513471282</v>
      </c>
      <c r="AG1029" s="14">
        <v>0</v>
      </c>
      <c r="AH1029" s="19">
        <f t="shared" si="149"/>
        <v>71178.91</v>
      </c>
      <c r="AJ1029" s="126" t="e">
        <v>#N/A</v>
      </c>
      <c r="AK1029" s="80">
        <f t="shared" si="157"/>
        <v>0</v>
      </c>
      <c r="AM1029" s="85"/>
    </row>
    <row r="1030" spans="1:39" hidden="1" x14ac:dyDescent="0.3">
      <c r="A1030" s="85" t="s">
        <v>34</v>
      </c>
      <c r="B1030" s="15" t="s">
        <v>35</v>
      </c>
      <c r="C1030" s="15" t="s">
        <v>144</v>
      </c>
      <c r="D1030" s="15" t="s">
        <v>161</v>
      </c>
      <c r="E1030" s="15" t="s">
        <v>1504</v>
      </c>
      <c r="F1030" s="15" t="s">
        <v>1505</v>
      </c>
      <c r="G1030" s="15" t="s">
        <v>1504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1506</v>
      </c>
      <c r="N1030" s="15"/>
      <c r="O1030" s="8" t="s">
        <v>410</v>
      </c>
      <c r="P1030" s="8" t="s">
        <v>46</v>
      </c>
      <c r="Q1030" s="14">
        <v>0.02</v>
      </c>
      <c r="R1030" s="139" t="s">
        <v>1507</v>
      </c>
      <c r="S1030" s="15"/>
      <c r="T1030" s="6">
        <v>0</v>
      </c>
      <c r="U1030" s="6">
        <v>20000</v>
      </c>
      <c r="V1030" s="6">
        <v>11381.620000000003</v>
      </c>
      <c r="W1030" s="18">
        <f t="shared" si="151"/>
        <v>8618.3799999999974</v>
      </c>
      <c r="X1030" s="18">
        <f t="shared" si="152"/>
        <v>11158.450980392159</v>
      </c>
      <c r="Y1030" s="13">
        <f t="shared" si="153"/>
        <v>4341.3698753875806</v>
      </c>
      <c r="Z1030" s="14">
        <v>0</v>
      </c>
      <c r="AA1030" s="4">
        <v>0</v>
      </c>
      <c r="AB1030" s="4">
        <f t="shared" si="154"/>
        <v>11158.450980392159</v>
      </c>
      <c r="AC1030" s="6">
        <f t="shared" si="155"/>
        <v>223.16901960784344</v>
      </c>
      <c r="AD1030" s="6">
        <f t="shared" si="148"/>
        <v>6817.0811050045786</v>
      </c>
      <c r="AE1030" s="2">
        <v>7.0000000000000007E-2</v>
      </c>
      <c r="AF1030" s="5">
        <f t="shared" si="156"/>
        <v>477.19567735032052</v>
      </c>
      <c r="AG1030" s="14">
        <v>0</v>
      </c>
      <c r="AH1030" s="19">
        <f t="shared" si="149"/>
        <v>11381.620000000003</v>
      </c>
      <c r="AJ1030" s="126" t="e">
        <v>#N/A</v>
      </c>
      <c r="AK1030" s="80">
        <f t="shared" si="157"/>
        <v>0</v>
      </c>
      <c r="AM1030" s="85"/>
    </row>
    <row r="1031" spans="1:39" hidden="1" x14ac:dyDescent="0.3">
      <c r="A1031" s="85" t="s">
        <v>34</v>
      </c>
      <c r="B1031" s="15" t="s">
        <v>35</v>
      </c>
      <c r="C1031" s="15" t="s">
        <v>144</v>
      </c>
      <c r="D1031" s="15" t="s">
        <v>161</v>
      </c>
      <c r="E1031" s="15" t="s">
        <v>162</v>
      </c>
      <c r="F1031" s="15" t="s">
        <v>162</v>
      </c>
      <c r="G1031" s="15" t="s">
        <v>162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162</v>
      </c>
      <c r="N1031" s="15"/>
      <c r="O1031" s="8" t="s">
        <v>1196</v>
      </c>
      <c r="P1031" s="8" t="s">
        <v>46</v>
      </c>
      <c r="Q1031" s="14">
        <v>0.02</v>
      </c>
      <c r="R1031" s="139" t="s">
        <v>1508</v>
      </c>
      <c r="S1031" s="15"/>
      <c r="T1031" s="6">
        <v>451484.99560999993</v>
      </c>
      <c r="U1031" s="6">
        <v>100000</v>
      </c>
      <c r="V1031" s="6">
        <v>4834.6425600000002</v>
      </c>
      <c r="W1031" s="18">
        <f t="shared" si="151"/>
        <v>546650.35304999992</v>
      </c>
      <c r="X1031" s="18">
        <f t="shared" si="152"/>
        <v>4739.8456470588235</v>
      </c>
      <c r="Y1031" s="13">
        <f t="shared" si="153"/>
        <v>1844.1110815728066</v>
      </c>
      <c r="Z1031" s="14">
        <v>0</v>
      </c>
      <c r="AA1031" s="4">
        <v>0</v>
      </c>
      <c r="AB1031" s="4">
        <f t="shared" si="154"/>
        <v>4739.8456470588235</v>
      </c>
      <c r="AC1031" s="6">
        <f t="shared" si="155"/>
        <v>94.796912941176743</v>
      </c>
      <c r="AD1031" s="6">
        <f t="shared" si="148"/>
        <v>2895.7345654860169</v>
      </c>
      <c r="AE1031" s="2">
        <v>0.12</v>
      </c>
      <c r="AF1031" s="5">
        <f t="shared" si="156"/>
        <v>347.48814785832201</v>
      </c>
      <c r="AG1031" s="14">
        <v>0</v>
      </c>
      <c r="AH1031" s="19">
        <f t="shared" si="149"/>
        <v>4834.6425600000002</v>
      </c>
      <c r="AJ1031" s="126" t="e">
        <v>#N/A</v>
      </c>
      <c r="AK1031" s="80">
        <f t="shared" si="157"/>
        <v>0</v>
      </c>
      <c r="AM1031" s="85"/>
    </row>
    <row r="1032" spans="1:39" hidden="1" x14ac:dyDescent="0.3">
      <c r="A1032" s="85" t="s">
        <v>34</v>
      </c>
      <c r="B1032" s="15" t="s">
        <v>35</v>
      </c>
      <c r="C1032" s="15" t="s">
        <v>144</v>
      </c>
      <c r="D1032" s="15" t="s">
        <v>161</v>
      </c>
      <c r="E1032" s="15" t="s">
        <v>162</v>
      </c>
      <c r="F1032" s="15" t="s">
        <v>162</v>
      </c>
      <c r="G1032" s="15" t="s">
        <v>162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162</v>
      </c>
      <c r="N1032" s="15"/>
      <c r="O1032" s="8" t="s">
        <v>410</v>
      </c>
      <c r="P1032" s="8" t="s">
        <v>46</v>
      </c>
      <c r="Q1032" s="14">
        <v>0.02</v>
      </c>
      <c r="R1032" s="139" t="s">
        <v>1509</v>
      </c>
      <c r="S1032" s="15"/>
      <c r="T1032" s="6">
        <v>2756594.433579999</v>
      </c>
      <c r="U1032" s="6">
        <v>1900000</v>
      </c>
      <c r="V1032" s="6">
        <v>4390991.6286399998</v>
      </c>
      <c r="W1032" s="18">
        <f t="shared" si="151"/>
        <v>265602.80493999925</v>
      </c>
      <c r="X1032" s="18">
        <f t="shared" si="152"/>
        <v>4304893.7535686269</v>
      </c>
      <c r="Y1032" s="13">
        <f t="shared" si="153"/>
        <v>1674886.2446344844</v>
      </c>
      <c r="Z1032" s="14">
        <v>0</v>
      </c>
      <c r="AA1032" s="4">
        <v>0</v>
      </c>
      <c r="AB1032" s="4">
        <f t="shared" si="154"/>
        <v>4304893.7535686269</v>
      </c>
      <c r="AC1032" s="6">
        <f t="shared" si="155"/>
        <v>86097.875071372837</v>
      </c>
      <c r="AD1032" s="6">
        <f t="shared" si="148"/>
        <v>2630007.5089341425</v>
      </c>
      <c r="AE1032" s="2">
        <v>7.0000000000000007E-2</v>
      </c>
      <c r="AF1032" s="5">
        <f t="shared" si="156"/>
        <v>184100.52562539</v>
      </c>
      <c r="AG1032" s="14">
        <v>0</v>
      </c>
      <c r="AH1032" s="19">
        <f t="shared" si="149"/>
        <v>4390991.6286399998</v>
      </c>
      <c r="AJ1032" s="126" t="e">
        <v>#N/A</v>
      </c>
      <c r="AK1032" s="80">
        <f t="shared" si="157"/>
        <v>0</v>
      </c>
      <c r="AM1032" s="85"/>
    </row>
    <row r="1033" spans="1:39" hidden="1" x14ac:dyDescent="0.3">
      <c r="A1033" s="85" t="s">
        <v>34</v>
      </c>
      <c r="B1033" s="15" t="s">
        <v>35</v>
      </c>
      <c r="C1033" s="15" t="s">
        <v>144</v>
      </c>
      <c r="D1033" s="15" t="s">
        <v>161</v>
      </c>
      <c r="E1033" s="15" t="s">
        <v>162</v>
      </c>
      <c r="F1033" s="15" t="s">
        <v>162</v>
      </c>
      <c r="G1033" s="15" t="s">
        <v>162</v>
      </c>
      <c r="H1033" s="139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162</v>
      </c>
      <c r="N1033" s="15"/>
      <c r="O1033" s="8" t="s">
        <v>410</v>
      </c>
      <c r="P1033" s="8" t="s">
        <v>46</v>
      </c>
      <c r="Q1033" s="14">
        <v>0.02</v>
      </c>
      <c r="R1033" s="139" t="s">
        <v>1508</v>
      </c>
      <c r="S1033" s="15"/>
      <c r="T1033" s="6">
        <v>0</v>
      </c>
      <c r="U1033" s="6">
        <v>100000</v>
      </c>
      <c r="V1033" s="6">
        <v>0</v>
      </c>
      <c r="W1033" s="18">
        <f t="shared" si="151"/>
        <v>100000</v>
      </c>
      <c r="X1033" s="18">
        <f t="shared" si="152"/>
        <v>0</v>
      </c>
      <c r="Y1033" s="13">
        <f t="shared" si="153"/>
        <v>0</v>
      </c>
      <c r="Z1033" s="14">
        <v>0</v>
      </c>
      <c r="AA1033" s="4">
        <v>0</v>
      </c>
      <c r="AB1033" s="4">
        <f t="shared" si="154"/>
        <v>0</v>
      </c>
      <c r="AC1033" s="6">
        <f t="shared" si="155"/>
        <v>0</v>
      </c>
      <c r="AD1033" s="6">
        <f t="shared" si="148"/>
        <v>0</v>
      </c>
      <c r="AE1033" s="2">
        <v>7.0000000000000007E-2</v>
      </c>
      <c r="AF1033" s="5">
        <f t="shared" si="156"/>
        <v>0</v>
      </c>
      <c r="AG1033" s="14">
        <v>0</v>
      </c>
      <c r="AH1033" s="19">
        <f t="shared" si="149"/>
        <v>0</v>
      </c>
      <c r="AJ1033" s="126" t="e">
        <v>#N/A</v>
      </c>
      <c r="AK1033" s="80">
        <f t="shared" si="157"/>
        <v>0</v>
      </c>
      <c r="AM1033" s="85"/>
    </row>
    <row r="1034" spans="1:39" hidden="1" x14ac:dyDescent="0.3">
      <c r="A1034" s="85" t="s">
        <v>34</v>
      </c>
      <c r="B1034" s="15" t="s">
        <v>35</v>
      </c>
      <c r="C1034" s="15" t="s">
        <v>144</v>
      </c>
      <c r="D1034" s="15" t="s">
        <v>161</v>
      </c>
      <c r="E1034" s="15" t="s">
        <v>1510</v>
      </c>
      <c r="F1034" s="15" t="s">
        <v>1510</v>
      </c>
      <c r="G1034" s="15" t="s">
        <v>1510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1510</v>
      </c>
      <c r="N1034" s="15"/>
      <c r="O1034" s="8" t="s">
        <v>410</v>
      </c>
      <c r="P1034" s="8" t="s">
        <v>46</v>
      </c>
      <c r="Q1034" s="14">
        <v>0.02</v>
      </c>
      <c r="R1034" s="139" t="s">
        <v>1511</v>
      </c>
      <c r="S1034" s="15"/>
      <c r="T1034" s="6">
        <v>0</v>
      </c>
      <c r="U1034" s="6">
        <v>150000</v>
      </c>
      <c r="V1034" s="6">
        <v>60567.884999999951</v>
      </c>
      <c r="W1034" s="18">
        <f t="shared" si="151"/>
        <v>89432.115000000049</v>
      </c>
      <c r="X1034" s="18">
        <f t="shared" si="152"/>
        <v>59380.279411764655</v>
      </c>
      <c r="Y1034" s="13">
        <f t="shared" si="153"/>
        <v>23102.826430239191</v>
      </c>
      <c r="Z1034" s="14">
        <v>0</v>
      </c>
      <c r="AA1034" s="4">
        <v>0</v>
      </c>
      <c r="AB1034" s="4">
        <f t="shared" si="154"/>
        <v>59380.279411764655</v>
      </c>
      <c r="AC1034" s="6">
        <f t="shared" si="155"/>
        <v>1187.6055882352957</v>
      </c>
      <c r="AD1034" s="6">
        <f t="shared" si="148"/>
        <v>36277.452981525465</v>
      </c>
      <c r="AE1034" s="2">
        <v>7.0000000000000007E-2</v>
      </c>
      <c r="AF1034" s="5">
        <f t="shared" si="156"/>
        <v>2539.4217087067827</v>
      </c>
      <c r="AG1034" s="14">
        <v>0</v>
      </c>
      <c r="AH1034" s="19">
        <f t="shared" si="149"/>
        <v>60567.884999999951</v>
      </c>
      <c r="AJ1034" s="126" t="e">
        <v>#N/A</v>
      </c>
      <c r="AK1034" s="80">
        <f t="shared" si="157"/>
        <v>0</v>
      </c>
      <c r="AM1034" s="85"/>
    </row>
    <row r="1035" spans="1:39" hidden="1" x14ac:dyDescent="0.3">
      <c r="A1035" s="85" t="s">
        <v>34</v>
      </c>
      <c r="B1035" s="15" t="s">
        <v>35</v>
      </c>
      <c r="C1035" s="15" t="s">
        <v>144</v>
      </c>
      <c r="D1035" s="15" t="s">
        <v>161</v>
      </c>
      <c r="E1035" s="15" t="s">
        <v>1512</v>
      </c>
      <c r="F1035" s="15" t="s">
        <v>1512</v>
      </c>
      <c r="G1035" s="15" t="s">
        <v>1512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1512</v>
      </c>
      <c r="N1035" s="15"/>
      <c r="O1035" s="8" t="s">
        <v>410</v>
      </c>
      <c r="P1035" s="8" t="s">
        <v>46</v>
      </c>
      <c r="Q1035" s="14">
        <v>0.02</v>
      </c>
      <c r="R1035" s="139" t="s">
        <v>1513</v>
      </c>
      <c r="S1035" s="15"/>
      <c r="T1035" s="6">
        <v>0</v>
      </c>
      <c r="U1035" s="6">
        <v>80000</v>
      </c>
      <c r="V1035" s="6">
        <v>78548.570000000007</v>
      </c>
      <c r="W1035" s="18">
        <f t="shared" si="151"/>
        <v>1451.429999999993</v>
      </c>
      <c r="X1035" s="18">
        <f t="shared" si="152"/>
        <v>77008.401960784322</v>
      </c>
      <c r="Y1035" s="13">
        <f t="shared" si="153"/>
        <v>29961.323216973738</v>
      </c>
      <c r="Z1035" s="14">
        <v>0</v>
      </c>
      <c r="AA1035" s="4">
        <v>0</v>
      </c>
      <c r="AB1035" s="4">
        <f t="shared" si="154"/>
        <v>77008.401960784322</v>
      </c>
      <c r="AC1035" s="6">
        <f t="shared" si="155"/>
        <v>1540.168039215685</v>
      </c>
      <c r="AD1035" s="6">
        <f t="shared" si="148"/>
        <v>47047.078743810584</v>
      </c>
      <c r="AE1035" s="2">
        <v>7.0000000000000007E-2</v>
      </c>
      <c r="AF1035" s="5">
        <f t="shared" si="156"/>
        <v>3293.2955120667411</v>
      </c>
      <c r="AG1035" s="14">
        <v>0</v>
      </c>
      <c r="AH1035" s="19">
        <f t="shared" si="149"/>
        <v>78548.570000000007</v>
      </c>
      <c r="AJ1035" s="126" t="e">
        <v>#N/A</v>
      </c>
      <c r="AK1035" s="80">
        <f t="shared" si="157"/>
        <v>0</v>
      </c>
      <c r="AM1035" s="85"/>
    </row>
    <row r="1036" spans="1:39" hidden="1" x14ac:dyDescent="0.3">
      <c r="A1036" s="85" t="s">
        <v>34</v>
      </c>
      <c r="B1036" s="15" t="s">
        <v>35</v>
      </c>
      <c r="C1036" s="15" t="s">
        <v>144</v>
      </c>
      <c r="D1036" s="15" t="s">
        <v>161</v>
      </c>
      <c r="E1036" s="15" t="s">
        <v>1514</v>
      </c>
      <c r="F1036" s="15" t="s">
        <v>1514</v>
      </c>
      <c r="G1036" s="15" t="s">
        <v>1514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1515</v>
      </c>
      <c r="N1036" s="15"/>
      <c r="O1036" s="8" t="s">
        <v>410</v>
      </c>
      <c r="P1036" s="8" t="s">
        <v>46</v>
      </c>
      <c r="Q1036" s="14">
        <v>0.02</v>
      </c>
      <c r="R1036" s="139" t="s">
        <v>1516</v>
      </c>
      <c r="S1036" s="15"/>
      <c r="T1036" s="6">
        <v>0</v>
      </c>
      <c r="U1036" s="6">
        <v>20000</v>
      </c>
      <c r="V1036" s="6">
        <v>19771.859999999993</v>
      </c>
      <c r="W1036" s="18">
        <f t="shared" si="151"/>
        <v>228.14000000000669</v>
      </c>
      <c r="X1036" s="18">
        <f t="shared" si="152"/>
        <v>19384.176470588227</v>
      </c>
      <c r="Y1036" s="13">
        <f t="shared" si="153"/>
        <v>7541.717030122305</v>
      </c>
      <c r="Z1036" s="14">
        <v>0</v>
      </c>
      <c r="AA1036" s="4">
        <v>0</v>
      </c>
      <c r="AB1036" s="4">
        <f t="shared" si="154"/>
        <v>19384.176470588227</v>
      </c>
      <c r="AC1036" s="6">
        <f t="shared" si="155"/>
        <v>387.68352941176636</v>
      </c>
      <c r="AD1036" s="6">
        <f t="shared" si="148"/>
        <v>11842.459440465922</v>
      </c>
      <c r="AE1036" s="2">
        <v>7.0000000000000007E-2</v>
      </c>
      <c r="AF1036" s="5">
        <f t="shared" si="156"/>
        <v>828.97216083261458</v>
      </c>
      <c r="AG1036" s="14">
        <v>0</v>
      </c>
      <c r="AH1036" s="19">
        <f t="shared" si="149"/>
        <v>19771.859999999993</v>
      </c>
      <c r="AJ1036" s="126" t="e">
        <v>#N/A</v>
      </c>
      <c r="AK1036" s="80">
        <f t="shared" si="157"/>
        <v>0</v>
      </c>
      <c r="AM1036" s="85"/>
    </row>
    <row r="1037" spans="1:39" hidden="1" x14ac:dyDescent="0.3">
      <c r="A1037" s="85" t="s">
        <v>34</v>
      </c>
      <c r="B1037" s="15" t="s">
        <v>35</v>
      </c>
      <c r="C1037" s="15" t="s">
        <v>144</v>
      </c>
      <c r="D1037" s="15" t="s">
        <v>161</v>
      </c>
      <c r="E1037" s="15" t="s">
        <v>1517</v>
      </c>
      <c r="F1037" s="15" t="s">
        <v>1517</v>
      </c>
      <c r="G1037" s="15" t="s">
        <v>1517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1517</v>
      </c>
      <c r="N1037" s="15"/>
      <c r="O1037" s="8" t="s">
        <v>410</v>
      </c>
      <c r="P1037" s="8" t="s">
        <v>41</v>
      </c>
      <c r="Q1037" s="14">
        <v>0</v>
      </c>
      <c r="R1037" s="139" t="s">
        <v>1518</v>
      </c>
      <c r="S1037" s="15"/>
      <c r="T1037" s="6">
        <v>47934</v>
      </c>
      <c r="U1037" s="6">
        <v>50000</v>
      </c>
      <c r="V1037" s="6">
        <v>81948.899999999994</v>
      </c>
      <c r="W1037" s="18">
        <f t="shared" si="151"/>
        <v>15985.100000000006</v>
      </c>
      <c r="X1037" s="18">
        <f t="shared" si="152"/>
        <v>81948.899999999994</v>
      </c>
      <c r="Y1037" s="13">
        <f t="shared" si="153"/>
        <v>32865.175735272343</v>
      </c>
      <c r="Z1037" s="14">
        <v>0</v>
      </c>
      <c r="AA1037" s="4">
        <v>0</v>
      </c>
      <c r="AB1037" s="4">
        <f t="shared" si="154"/>
        <v>81948.899999999994</v>
      </c>
      <c r="AC1037" s="6">
        <f t="shared" si="155"/>
        <v>0</v>
      </c>
      <c r="AD1037" s="6">
        <f t="shared" si="148"/>
        <v>49083.724264727651</v>
      </c>
      <c r="AE1037" s="2">
        <v>7.0000000000000007E-2</v>
      </c>
      <c r="AF1037" s="5">
        <f t="shared" si="156"/>
        <v>3435.8606985309357</v>
      </c>
      <c r="AG1037" s="14">
        <v>0</v>
      </c>
      <c r="AH1037" s="19">
        <f t="shared" si="149"/>
        <v>81948.899999999994</v>
      </c>
      <c r="AJ1037" s="126" t="e">
        <v>#N/A</v>
      </c>
      <c r="AK1037" s="80">
        <f t="shared" si="157"/>
        <v>0</v>
      </c>
      <c r="AM1037" s="85"/>
    </row>
    <row r="1038" spans="1:39" hidden="1" x14ac:dyDescent="0.3">
      <c r="A1038" s="85" t="s">
        <v>34</v>
      </c>
      <c r="B1038" s="15" t="s">
        <v>35</v>
      </c>
      <c r="C1038" s="15" t="s">
        <v>144</v>
      </c>
      <c r="D1038" s="15" t="s">
        <v>161</v>
      </c>
      <c r="E1038" s="15" t="s">
        <v>1519</v>
      </c>
      <c r="F1038" s="15" t="s">
        <v>1519</v>
      </c>
      <c r="G1038" s="15" t="s">
        <v>1519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1519</v>
      </c>
      <c r="N1038" s="15"/>
      <c r="O1038" s="8" t="s">
        <v>410</v>
      </c>
      <c r="P1038" s="8" t="s">
        <v>46</v>
      </c>
      <c r="Q1038" s="14">
        <v>0.02</v>
      </c>
      <c r="R1038" s="139" t="s">
        <v>1520</v>
      </c>
      <c r="S1038" s="15"/>
      <c r="T1038" s="6">
        <v>0</v>
      </c>
      <c r="U1038" s="6">
        <v>40000</v>
      </c>
      <c r="V1038" s="6">
        <v>39513</v>
      </c>
      <c r="W1038" s="18">
        <f t="shared" si="151"/>
        <v>487</v>
      </c>
      <c r="X1038" s="18">
        <f t="shared" si="152"/>
        <v>38738.235294117643</v>
      </c>
      <c r="Y1038" s="13">
        <f t="shared" si="153"/>
        <v>15071.71631860749</v>
      </c>
      <c r="Z1038" s="14">
        <v>0</v>
      </c>
      <c r="AA1038" s="4">
        <v>0</v>
      </c>
      <c r="AB1038" s="4">
        <f t="shared" si="154"/>
        <v>38738.235294117643</v>
      </c>
      <c r="AC1038" s="6">
        <f t="shared" si="155"/>
        <v>774.76470588235679</v>
      </c>
      <c r="AD1038" s="6">
        <f t="shared" si="148"/>
        <v>23666.518975510153</v>
      </c>
      <c r="AE1038" s="2">
        <v>7.0000000000000007E-2</v>
      </c>
      <c r="AF1038" s="5">
        <f t="shared" si="156"/>
        <v>1656.6563282857107</v>
      </c>
      <c r="AG1038" s="14">
        <v>0</v>
      </c>
      <c r="AH1038" s="19">
        <f t="shared" si="149"/>
        <v>39513</v>
      </c>
      <c r="AJ1038" s="126" t="e">
        <v>#N/A</v>
      </c>
      <c r="AK1038" s="80">
        <f t="shared" si="157"/>
        <v>0</v>
      </c>
      <c r="AM1038" s="85"/>
    </row>
    <row r="1039" spans="1:39" hidden="1" x14ac:dyDescent="0.3">
      <c r="A1039" s="85" t="s">
        <v>34</v>
      </c>
      <c r="B1039" s="15" t="s">
        <v>35</v>
      </c>
      <c r="C1039" s="15" t="s">
        <v>144</v>
      </c>
      <c r="D1039" s="15" t="s">
        <v>161</v>
      </c>
      <c r="E1039" s="15" t="s">
        <v>3759</v>
      </c>
      <c r="F1039" s="15" t="s">
        <v>3759</v>
      </c>
      <c r="G1039" s="15" t="s">
        <v>3759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605</v>
      </c>
      <c r="N1039" s="15"/>
      <c r="O1039" s="8" t="s">
        <v>410</v>
      </c>
      <c r="P1039" s="8" t="s">
        <v>46</v>
      </c>
      <c r="Q1039" s="14">
        <v>0.02</v>
      </c>
      <c r="R1039" s="139" t="s">
        <v>1521</v>
      </c>
      <c r="S1039" s="15"/>
      <c r="T1039" s="6">
        <v>0</v>
      </c>
      <c r="U1039" s="6">
        <v>10000</v>
      </c>
      <c r="V1039" s="6">
        <v>3046.3</v>
      </c>
      <c r="W1039" s="18">
        <f t="shared" si="151"/>
        <v>6953.7</v>
      </c>
      <c r="X1039" s="18">
        <f t="shared" si="152"/>
        <v>2986.5686274509803</v>
      </c>
      <c r="Y1039" s="13">
        <f t="shared" si="153"/>
        <v>1161.9712353244249</v>
      </c>
      <c r="Z1039" s="14">
        <v>0</v>
      </c>
      <c r="AA1039" s="4">
        <v>0</v>
      </c>
      <c r="AB1039" s="4">
        <f t="shared" si="154"/>
        <v>2986.5686274509803</v>
      </c>
      <c r="AC1039" s="6">
        <f t="shared" si="155"/>
        <v>59.731372549019852</v>
      </c>
      <c r="AD1039" s="6">
        <f t="shared" si="148"/>
        <v>1824.5973921265554</v>
      </c>
      <c r="AE1039" s="2">
        <v>7.0000000000000007E-2</v>
      </c>
      <c r="AF1039" s="5">
        <f t="shared" si="156"/>
        <v>127.72181744885889</v>
      </c>
      <c r="AG1039" s="14">
        <v>0</v>
      </c>
      <c r="AH1039" s="19">
        <f t="shared" si="149"/>
        <v>3046.3</v>
      </c>
      <c r="AJ1039" s="126" t="e">
        <v>#N/A</v>
      </c>
      <c r="AK1039" s="80">
        <f t="shared" si="157"/>
        <v>0</v>
      </c>
      <c r="AM1039" s="85"/>
    </row>
    <row r="1040" spans="1:39" hidden="1" x14ac:dyDescent="0.3">
      <c r="A1040" s="85" t="s">
        <v>34</v>
      </c>
      <c r="B1040" s="15" t="s">
        <v>35</v>
      </c>
      <c r="C1040" s="15" t="s">
        <v>144</v>
      </c>
      <c r="D1040" s="15" t="s">
        <v>161</v>
      </c>
      <c r="E1040" s="15" t="s">
        <v>1522</v>
      </c>
      <c r="F1040" s="15" t="s">
        <v>1522</v>
      </c>
      <c r="G1040" s="15" t="s">
        <v>1522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1523</v>
      </c>
      <c r="N1040" s="15"/>
      <c r="O1040" s="8" t="s">
        <v>410</v>
      </c>
      <c r="P1040" s="8" t="s">
        <v>41</v>
      </c>
      <c r="Q1040" s="14">
        <v>0</v>
      </c>
      <c r="R1040" s="139" t="s">
        <v>1524</v>
      </c>
      <c r="S1040" s="15"/>
      <c r="T1040" s="6">
        <v>0</v>
      </c>
      <c r="U1040" s="6">
        <v>69893.3</v>
      </c>
      <c r="V1040" s="6">
        <v>64777</v>
      </c>
      <c r="W1040" s="18">
        <f t="shared" si="151"/>
        <v>5116.3000000000029</v>
      </c>
      <c r="X1040" s="18">
        <f t="shared" si="152"/>
        <v>64777</v>
      </c>
      <c r="Y1040" s="13">
        <f t="shared" si="153"/>
        <v>25978.475471955528</v>
      </c>
      <c r="Z1040" s="14">
        <v>0</v>
      </c>
      <c r="AA1040" s="4">
        <v>0</v>
      </c>
      <c r="AB1040" s="4">
        <f t="shared" si="154"/>
        <v>64777</v>
      </c>
      <c r="AC1040" s="6">
        <f t="shared" si="155"/>
        <v>0</v>
      </c>
      <c r="AD1040" s="6">
        <f t="shared" si="148"/>
        <v>38798.524528044472</v>
      </c>
      <c r="AE1040" s="2">
        <v>7.0000000000000007E-2</v>
      </c>
      <c r="AF1040" s="5">
        <f t="shared" si="156"/>
        <v>2715.8967169631132</v>
      </c>
      <c r="AG1040" s="14">
        <v>0</v>
      </c>
      <c r="AH1040" s="19">
        <f t="shared" si="149"/>
        <v>64777</v>
      </c>
      <c r="AJ1040" s="126" t="e">
        <v>#N/A</v>
      </c>
      <c r="AK1040" s="80">
        <f t="shared" si="157"/>
        <v>0</v>
      </c>
      <c r="AM1040" s="85"/>
    </row>
    <row r="1041" spans="1:39" hidden="1" x14ac:dyDescent="0.3">
      <c r="A1041" s="85" t="s">
        <v>34</v>
      </c>
      <c r="B1041" s="15" t="s">
        <v>35</v>
      </c>
      <c r="C1041" s="15" t="s">
        <v>144</v>
      </c>
      <c r="D1041" s="15" t="s">
        <v>161</v>
      </c>
      <c r="E1041" s="15" t="s">
        <v>1522</v>
      </c>
      <c r="F1041" s="15" t="s">
        <v>1522</v>
      </c>
      <c r="G1041" s="15" t="s">
        <v>1522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1525</v>
      </c>
      <c r="N1041" s="15"/>
      <c r="O1041" s="8" t="s">
        <v>410</v>
      </c>
      <c r="P1041" s="8" t="s">
        <v>41</v>
      </c>
      <c r="Q1041" s="14">
        <v>0</v>
      </c>
      <c r="R1041" s="139" t="s">
        <v>1526</v>
      </c>
      <c r="S1041" s="15"/>
      <c r="T1041" s="6">
        <v>0</v>
      </c>
      <c r="U1041" s="6">
        <v>60000</v>
      </c>
      <c r="V1041" s="6">
        <v>56209.1</v>
      </c>
      <c r="W1041" s="18">
        <f t="shared" si="151"/>
        <v>3790.9000000000015</v>
      </c>
      <c r="X1041" s="18">
        <f t="shared" si="152"/>
        <v>56209.1</v>
      </c>
      <c r="Y1041" s="13">
        <f t="shared" si="153"/>
        <v>22542.364197951363</v>
      </c>
      <c r="Z1041" s="14">
        <v>0</v>
      </c>
      <c r="AA1041" s="4">
        <v>0</v>
      </c>
      <c r="AB1041" s="4">
        <f t="shared" si="154"/>
        <v>56209.1</v>
      </c>
      <c r="AC1041" s="6">
        <f t="shared" si="155"/>
        <v>0</v>
      </c>
      <c r="AD1041" s="6">
        <f t="shared" si="148"/>
        <v>33666.735802048635</v>
      </c>
      <c r="AE1041" s="2">
        <v>7.0000000000000007E-2</v>
      </c>
      <c r="AF1041" s="5">
        <f t="shared" si="156"/>
        <v>2356.6715061434047</v>
      </c>
      <c r="AG1041" s="14">
        <v>0</v>
      </c>
      <c r="AH1041" s="19">
        <f t="shared" si="149"/>
        <v>56209.1</v>
      </c>
      <c r="AJ1041" s="126" t="e">
        <v>#N/A</v>
      </c>
      <c r="AK1041" s="80">
        <f t="shared" si="157"/>
        <v>0</v>
      </c>
      <c r="AM1041" s="85"/>
    </row>
    <row r="1042" spans="1:39" hidden="1" x14ac:dyDescent="0.3">
      <c r="A1042" s="85" t="s">
        <v>34</v>
      </c>
      <c r="B1042" s="15" t="s">
        <v>35</v>
      </c>
      <c r="C1042" s="15" t="s">
        <v>144</v>
      </c>
      <c r="D1042" s="15" t="s">
        <v>161</v>
      </c>
      <c r="E1042" s="15" t="s">
        <v>1522</v>
      </c>
      <c r="F1042" s="15" t="s">
        <v>1522</v>
      </c>
      <c r="G1042" s="15" t="s">
        <v>1522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1522</v>
      </c>
      <c r="N1042" s="15"/>
      <c r="O1042" s="8" t="s">
        <v>1196</v>
      </c>
      <c r="P1042" s="8" t="s">
        <v>41</v>
      </c>
      <c r="Q1042" s="14">
        <v>0</v>
      </c>
      <c r="R1042" s="139" t="s">
        <v>1527</v>
      </c>
      <c r="S1042" s="15"/>
      <c r="T1042" s="6">
        <v>0</v>
      </c>
      <c r="U1042" s="6">
        <v>8029.93</v>
      </c>
      <c r="V1042" s="6">
        <v>5691.6746000000003</v>
      </c>
      <c r="W1042" s="18">
        <f t="shared" si="151"/>
        <v>2338.2554</v>
      </c>
      <c r="X1042" s="18">
        <f t="shared" si="152"/>
        <v>5691.6746000000003</v>
      </c>
      <c r="Y1042" s="13">
        <f t="shared" si="153"/>
        <v>2282.6161907845735</v>
      </c>
      <c r="Z1042" s="14">
        <v>0</v>
      </c>
      <c r="AA1042" s="4">
        <v>0</v>
      </c>
      <c r="AB1042" s="4">
        <f t="shared" si="154"/>
        <v>5691.6746000000003</v>
      </c>
      <c r="AC1042" s="6">
        <f t="shared" si="155"/>
        <v>0</v>
      </c>
      <c r="AD1042" s="6">
        <f t="shared" si="148"/>
        <v>3409.0584092154268</v>
      </c>
      <c r="AE1042" s="2">
        <v>0.12</v>
      </c>
      <c r="AF1042" s="5">
        <f t="shared" si="156"/>
        <v>409.08700910585122</v>
      </c>
      <c r="AG1042" s="14">
        <v>0</v>
      </c>
      <c r="AH1042" s="19">
        <f t="shared" si="149"/>
        <v>5691.6746000000003</v>
      </c>
      <c r="AJ1042" s="126" t="e">
        <v>#N/A</v>
      </c>
      <c r="AK1042" s="80">
        <f t="shared" si="157"/>
        <v>0</v>
      </c>
      <c r="AM1042" s="85"/>
    </row>
    <row r="1043" spans="1:39" hidden="1" x14ac:dyDescent="0.3">
      <c r="A1043" s="85" t="s">
        <v>34</v>
      </c>
      <c r="B1043" s="15" t="s">
        <v>35</v>
      </c>
      <c r="C1043" s="15" t="s">
        <v>144</v>
      </c>
      <c r="D1043" s="15" t="s">
        <v>161</v>
      </c>
      <c r="E1043" s="15" t="s">
        <v>1522</v>
      </c>
      <c r="F1043" s="15" t="s">
        <v>1522</v>
      </c>
      <c r="G1043" s="15" t="s">
        <v>1522</v>
      </c>
      <c r="H1043" s="154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1522</v>
      </c>
      <c r="N1043" s="15"/>
      <c r="O1043" s="8" t="s">
        <v>410</v>
      </c>
      <c r="P1043" s="8" t="s">
        <v>41</v>
      </c>
      <c r="Q1043" s="14">
        <v>0</v>
      </c>
      <c r="R1043" s="139" t="s">
        <v>1527</v>
      </c>
      <c r="S1043" s="15"/>
      <c r="T1043" s="6">
        <v>0</v>
      </c>
      <c r="U1043" s="6">
        <v>8210</v>
      </c>
      <c r="V1043" s="6">
        <v>8210</v>
      </c>
      <c r="W1043" s="18">
        <f t="shared" si="151"/>
        <v>0</v>
      </c>
      <c r="X1043" s="18">
        <f t="shared" si="152"/>
        <v>8210</v>
      </c>
      <c r="Y1043" s="13">
        <f t="shared" si="153"/>
        <v>3292.5773596300369</v>
      </c>
      <c r="Z1043" s="14">
        <v>0</v>
      </c>
      <c r="AA1043" s="4">
        <v>0</v>
      </c>
      <c r="AB1043" s="4">
        <f t="shared" si="154"/>
        <v>8210</v>
      </c>
      <c r="AC1043" s="6">
        <f t="shared" si="155"/>
        <v>0</v>
      </c>
      <c r="AD1043" s="6">
        <f t="shared" si="148"/>
        <v>4917.4226403699631</v>
      </c>
      <c r="AE1043" s="2">
        <v>7.0000000000000007E-2</v>
      </c>
      <c r="AF1043" s="5">
        <f t="shared" si="156"/>
        <v>344.21958482589747</v>
      </c>
      <c r="AG1043" s="14">
        <v>0</v>
      </c>
      <c r="AH1043" s="19">
        <f t="shared" si="149"/>
        <v>8210</v>
      </c>
      <c r="AJ1043" s="126" t="e">
        <v>#N/A</v>
      </c>
      <c r="AK1043" s="80">
        <f t="shared" si="157"/>
        <v>0</v>
      </c>
      <c r="AM1043" s="85"/>
    </row>
    <row r="1044" spans="1:39" hidden="1" x14ac:dyDescent="0.3">
      <c r="A1044" s="85" t="s">
        <v>34</v>
      </c>
      <c r="B1044" s="15" t="s">
        <v>35</v>
      </c>
      <c r="C1044" s="15" t="s">
        <v>144</v>
      </c>
      <c r="D1044" s="15" t="s">
        <v>161</v>
      </c>
      <c r="E1044" s="15" t="s">
        <v>1522</v>
      </c>
      <c r="F1044" s="15" t="s">
        <v>1522</v>
      </c>
      <c r="G1044" s="15" t="s">
        <v>1522</v>
      </c>
      <c r="H1044" s="139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1522</v>
      </c>
      <c r="N1044" s="15"/>
      <c r="O1044" s="8" t="s">
        <v>410</v>
      </c>
      <c r="P1044" s="8" t="s">
        <v>41</v>
      </c>
      <c r="Q1044" s="14">
        <v>0</v>
      </c>
      <c r="R1044" s="139" t="s">
        <v>1528</v>
      </c>
      <c r="S1044" s="15"/>
      <c r="T1044" s="6">
        <v>0</v>
      </c>
      <c r="U1044" s="6">
        <v>0</v>
      </c>
      <c r="V1044" s="6">
        <v>0</v>
      </c>
      <c r="W1044" s="18">
        <f t="shared" si="151"/>
        <v>0</v>
      </c>
      <c r="X1044" s="18">
        <f t="shared" si="152"/>
        <v>0</v>
      </c>
      <c r="Y1044" s="13">
        <f t="shared" si="153"/>
        <v>0</v>
      </c>
      <c r="Z1044" s="14">
        <v>0</v>
      </c>
      <c r="AA1044" s="4">
        <v>0</v>
      </c>
      <c r="AB1044" s="4">
        <f t="shared" si="154"/>
        <v>0</v>
      </c>
      <c r="AC1044" s="6">
        <f t="shared" si="155"/>
        <v>0</v>
      </c>
      <c r="AD1044" s="6">
        <f t="shared" si="148"/>
        <v>0</v>
      </c>
      <c r="AE1044" s="2">
        <v>7.0000000000000007E-2</v>
      </c>
      <c r="AF1044" s="5">
        <f t="shared" si="156"/>
        <v>0</v>
      </c>
      <c r="AG1044" s="14">
        <v>0</v>
      </c>
      <c r="AH1044" s="19">
        <f t="shared" si="149"/>
        <v>0</v>
      </c>
      <c r="AJ1044" s="126" t="e">
        <v>#N/A</v>
      </c>
      <c r="AK1044" s="80">
        <f t="shared" si="157"/>
        <v>0</v>
      </c>
      <c r="AM1044" s="85"/>
    </row>
    <row r="1045" spans="1:39" hidden="1" x14ac:dyDescent="0.3">
      <c r="A1045" s="85" t="s">
        <v>34</v>
      </c>
      <c r="B1045" s="15" t="s">
        <v>35</v>
      </c>
      <c r="C1045" s="15" t="s">
        <v>144</v>
      </c>
      <c r="D1045" s="15" t="s">
        <v>161</v>
      </c>
      <c r="E1045" s="15" t="s">
        <v>1522</v>
      </c>
      <c r="F1045" s="15" t="s">
        <v>1522</v>
      </c>
      <c r="G1045" s="15" t="s">
        <v>1522</v>
      </c>
      <c r="H1045" s="139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1523</v>
      </c>
      <c r="N1045" s="15"/>
      <c r="O1045" s="8" t="s">
        <v>410</v>
      </c>
      <c r="P1045" s="8" t="s">
        <v>1327</v>
      </c>
      <c r="Q1045" s="14">
        <v>0</v>
      </c>
      <c r="R1045" s="139" t="s">
        <v>1524</v>
      </c>
      <c r="S1045" s="15"/>
      <c r="T1045" s="6">
        <v>0</v>
      </c>
      <c r="U1045" s="6">
        <v>0</v>
      </c>
      <c r="V1045" s="6">
        <v>0</v>
      </c>
      <c r="W1045" s="18">
        <f t="shared" si="151"/>
        <v>0</v>
      </c>
      <c r="X1045" s="18">
        <f t="shared" si="152"/>
        <v>0</v>
      </c>
      <c r="Y1045" s="13">
        <f t="shared" si="153"/>
        <v>0</v>
      </c>
      <c r="Z1045" s="14">
        <v>0</v>
      </c>
      <c r="AA1045" s="4">
        <v>0</v>
      </c>
      <c r="AB1045" s="4">
        <f t="shared" si="154"/>
        <v>0</v>
      </c>
      <c r="AC1045" s="6">
        <f t="shared" si="155"/>
        <v>0</v>
      </c>
      <c r="AD1045" s="6">
        <f t="shared" ref="AD1045:AD1055" si="158">V1045*0.598955254612663</f>
        <v>0</v>
      </c>
      <c r="AE1045" s="2">
        <v>7.0000000000000007E-2</v>
      </c>
      <c r="AF1045" s="5">
        <f t="shared" si="156"/>
        <v>0</v>
      </c>
      <c r="AG1045" s="14">
        <v>0</v>
      </c>
      <c r="AH1045" s="19">
        <f t="shared" ref="AH1045:AH1108" si="159">V1045</f>
        <v>0</v>
      </c>
      <c r="AJ1045" s="126" t="e">
        <v>#N/A</v>
      </c>
      <c r="AK1045" s="80">
        <f t="shared" si="157"/>
        <v>0</v>
      </c>
      <c r="AM1045" s="85"/>
    </row>
    <row r="1046" spans="1:39" hidden="1" x14ac:dyDescent="0.3">
      <c r="A1046" s="85" t="s">
        <v>34</v>
      </c>
      <c r="B1046" s="15" t="s">
        <v>35</v>
      </c>
      <c r="C1046" s="15" t="s">
        <v>144</v>
      </c>
      <c r="D1046" s="15" t="s">
        <v>161</v>
      </c>
      <c r="E1046" s="15" t="s">
        <v>1522</v>
      </c>
      <c r="F1046" s="15" t="s">
        <v>1522</v>
      </c>
      <c r="G1046" s="15" t="s">
        <v>1522</v>
      </c>
      <c r="H1046" s="154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1523</v>
      </c>
      <c r="N1046" s="15"/>
      <c r="O1046" s="8" t="s">
        <v>410</v>
      </c>
      <c r="P1046" s="8" t="s">
        <v>46</v>
      </c>
      <c r="Q1046" s="14">
        <v>0.03</v>
      </c>
      <c r="R1046" s="139" t="s">
        <v>1524</v>
      </c>
      <c r="S1046" s="15"/>
      <c r="T1046" s="6">
        <v>1443.2999999999997</v>
      </c>
      <c r="U1046" s="6">
        <v>106.70000000000073</v>
      </c>
      <c r="V1046" s="6">
        <v>1550.0000000000005</v>
      </c>
      <c r="W1046" s="18">
        <f t="shared" si="151"/>
        <v>0</v>
      </c>
      <c r="X1046" s="18">
        <f t="shared" si="152"/>
        <v>1504.8543689320393</v>
      </c>
      <c r="Y1046" s="13">
        <f t="shared" si="153"/>
        <v>576.47372428241135</v>
      </c>
      <c r="Z1046" s="14">
        <v>0</v>
      </c>
      <c r="AA1046" s="4">
        <v>0</v>
      </c>
      <c r="AB1046" s="4">
        <f t="shared" si="154"/>
        <v>1504.8543689320393</v>
      </c>
      <c r="AC1046" s="6">
        <f t="shared" si="155"/>
        <v>45.145631067961176</v>
      </c>
      <c r="AD1046" s="6">
        <f t="shared" si="158"/>
        <v>928.38064464962792</v>
      </c>
      <c r="AE1046" s="2">
        <v>7.0000000000000007E-2</v>
      </c>
      <c r="AF1046" s="5">
        <f t="shared" si="156"/>
        <v>64.986645125473956</v>
      </c>
      <c r="AG1046" s="14">
        <v>0</v>
      </c>
      <c r="AH1046" s="19">
        <f t="shared" si="159"/>
        <v>1550.0000000000005</v>
      </c>
      <c r="AJ1046" s="126" t="e">
        <v>#N/A</v>
      </c>
      <c r="AK1046" s="80">
        <f t="shared" si="157"/>
        <v>0</v>
      </c>
      <c r="AM1046" s="85"/>
    </row>
    <row r="1047" spans="1:39" hidden="1" x14ac:dyDescent="0.3">
      <c r="A1047" s="85" t="s">
        <v>34</v>
      </c>
      <c r="B1047" s="15" t="s">
        <v>35</v>
      </c>
      <c r="C1047" s="15" t="s">
        <v>144</v>
      </c>
      <c r="D1047" s="15" t="s">
        <v>161</v>
      </c>
      <c r="E1047" s="15" t="s">
        <v>1522</v>
      </c>
      <c r="F1047" s="15" t="s">
        <v>1522</v>
      </c>
      <c r="G1047" s="15" t="s">
        <v>1522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1522</v>
      </c>
      <c r="N1047" s="15"/>
      <c r="O1047" s="8" t="s">
        <v>1196</v>
      </c>
      <c r="P1047" s="8" t="s">
        <v>46</v>
      </c>
      <c r="Q1047" s="14">
        <v>7.0000000000000007E-2</v>
      </c>
      <c r="R1047" s="139" t="s">
        <v>1527</v>
      </c>
      <c r="S1047" s="15"/>
      <c r="T1047" s="6">
        <v>8592.0233399999997</v>
      </c>
      <c r="U1047" s="6">
        <v>-8592.0300000000007</v>
      </c>
      <c r="V1047" s="6">
        <v>0</v>
      </c>
      <c r="W1047" s="18">
        <v>0</v>
      </c>
      <c r="X1047" s="18">
        <f t="shared" si="152"/>
        <v>0</v>
      </c>
      <c r="Y1047" s="13">
        <f t="shared" si="153"/>
        <v>0</v>
      </c>
      <c r="Z1047" s="14">
        <v>0</v>
      </c>
      <c r="AA1047" s="4">
        <v>0</v>
      </c>
      <c r="AB1047" s="4">
        <f t="shared" si="154"/>
        <v>0</v>
      </c>
      <c r="AC1047" s="6">
        <f t="shared" si="155"/>
        <v>0</v>
      </c>
      <c r="AD1047" s="6">
        <f t="shared" si="158"/>
        <v>0</v>
      </c>
      <c r="AE1047" s="2">
        <v>0.12</v>
      </c>
      <c r="AF1047" s="5">
        <f t="shared" si="156"/>
        <v>0</v>
      </c>
      <c r="AG1047" s="14">
        <v>0</v>
      </c>
      <c r="AH1047" s="19">
        <f t="shared" si="159"/>
        <v>0</v>
      </c>
      <c r="AJ1047" s="126" t="e">
        <v>#N/A</v>
      </c>
      <c r="AK1047" s="80">
        <f t="shared" si="157"/>
        <v>0</v>
      </c>
      <c r="AM1047" s="85"/>
    </row>
    <row r="1048" spans="1:39" hidden="1" x14ac:dyDescent="0.3">
      <c r="A1048" s="85" t="s">
        <v>34</v>
      </c>
      <c r="B1048" s="15" t="s">
        <v>35</v>
      </c>
      <c r="C1048" s="15" t="s">
        <v>144</v>
      </c>
      <c r="D1048" s="15" t="s">
        <v>161</v>
      </c>
      <c r="E1048" s="15" t="s">
        <v>1522</v>
      </c>
      <c r="F1048" s="15" t="s">
        <v>1522</v>
      </c>
      <c r="G1048" s="15" t="s">
        <v>1522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1522</v>
      </c>
      <c r="N1048" s="15"/>
      <c r="O1048" s="8" t="s">
        <v>410</v>
      </c>
      <c r="P1048" s="8" t="s">
        <v>1327</v>
      </c>
      <c r="Q1048" s="14">
        <v>0</v>
      </c>
      <c r="R1048" s="139" t="s">
        <v>1528</v>
      </c>
      <c r="S1048" s="15"/>
      <c r="T1048" s="6">
        <v>80000</v>
      </c>
      <c r="U1048" s="6">
        <v>128815.09</v>
      </c>
      <c r="V1048" s="6">
        <v>202909.69998999999</v>
      </c>
      <c r="W1048" s="18">
        <f t="shared" ref="W1048:W1111" si="160">T1048+U1048-V1048</f>
        <v>5905.3900100000028</v>
      </c>
      <c r="X1048" s="18">
        <f t="shared" si="152"/>
        <v>202909.69998999999</v>
      </c>
      <c r="Y1048" s="13">
        <f t="shared" si="153"/>
        <v>81375.868969110496</v>
      </c>
      <c r="Z1048" s="14">
        <v>0</v>
      </c>
      <c r="AA1048" s="4">
        <v>0</v>
      </c>
      <c r="AB1048" s="4">
        <f t="shared" si="154"/>
        <v>202909.69998999999</v>
      </c>
      <c r="AC1048" s="6">
        <f t="shared" si="155"/>
        <v>0</v>
      </c>
      <c r="AD1048" s="6">
        <f t="shared" si="158"/>
        <v>121533.8310208895</v>
      </c>
      <c r="AE1048" s="2">
        <v>7.0000000000000007E-2</v>
      </c>
      <c r="AF1048" s="5">
        <f t="shared" si="156"/>
        <v>8507.3681714622653</v>
      </c>
      <c r="AG1048" s="14">
        <v>0</v>
      </c>
      <c r="AH1048" s="19">
        <f t="shared" si="159"/>
        <v>202909.69998999999</v>
      </c>
      <c r="AJ1048" s="126" t="e">
        <v>#N/A</v>
      </c>
      <c r="AK1048" s="80">
        <f t="shared" si="157"/>
        <v>0</v>
      </c>
      <c r="AM1048" s="85"/>
    </row>
    <row r="1049" spans="1:39" hidden="1" x14ac:dyDescent="0.3">
      <c r="A1049" s="85" t="s">
        <v>34</v>
      </c>
      <c r="B1049" s="15" t="s">
        <v>35</v>
      </c>
      <c r="C1049" s="15" t="s">
        <v>144</v>
      </c>
      <c r="D1049" s="15" t="s">
        <v>161</v>
      </c>
      <c r="E1049" s="15" t="s">
        <v>1522</v>
      </c>
      <c r="F1049" s="15" t="s">
        <v>1522</v>
      </c>
      <c r="G1049" s="15" t="s">
        <v>1522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1522</v>
      </c>
      <c r="N1049" s="15"/>
      <c r="O1049" s="8" t="s">
        <v>410</v>
      </c>
      <c r="P1049" s="8" t="s">
        <v>46</v>
      </c>
      <c r="Q1049" s="14">
        <v>0.03</v>
      </c>
      <c r="R1049" s="139" t="s">
        <v>1527</v>
      </c>
      <c r="S1049" s="15"/>
      <c r="T1049" s="6">
        <v>0</v>
      </c>
      <c r="U1049" s="6">
        <v>-8210</v>
      </c>
      <c r="V1049" s="6">
        <v>-8210</v>
      </c>
      <c r="W1049" s="18">
        <f t="shared" si="160"/>
        <v>0</v>
      </c>
      <c r="X1049" s="18">
        <f t="shared" si="152"/>
        <v>-7970.8737864077666</v>
      </c>
      <c r="Y1049" s="13">
        <f t="shared" si="153"/>
        <v>0</v>
      </c>
      <c r="Z1049" s="14">
        <v>0</v>
      </c>
      <c r="AA1049" s="4">
        <v>0</v>
      </c>
      <c r="AB1049" s="4">
        <f t="shared" si="154"/>
        <v>-7970.8737864077666</v>
      </c>
      <c r="AC1049" s="6">
        <f t="shared" si="155"/>
        <v>-239.1262135922334</v>
      </c>
      <c r="AD1049" s="6">
        <f t="shared" si="158"/>
        <v>-4917.4226403699631</v>
      </c>
      <c r="AE1049" s="2">
        <v>7.0000000000000007E-2</v>
      </c>
      <c r="AF1049" s="5">
        <f t="shared" si="156"/>
        <v>-344.21958482589747</v>
      </c>
      <c r="AG1049" s="14">
        <v>0</v>
      </c>
      <c r="AH1049" s="19">
        <f t="shared" si="159"/>
        <v>-8210</v>
      </c>
      <c r="AJ1049" s="126" t="e">
        <v>#N/A</v>
      </c>
      <c r="AK1049" s="80">
        <f t="shared" si="157"/>
        <v>0</v>
      </c>
      <c r="AM1049" s="85"/>
    </row>
    <row r="1050" spans="1:39" hidden="1" x14ac:dyDescent="0.3">
      <c r="A1050" s="85" t="s">
        <v>34</v>
      </c>
      <c r="B1050" s="15" t="s">
        <v>35</v>
      </c>
      <c r="C1050" s="15" t="s">
        <v>144</v>
      </c>
      <c r="D1050" s="15" t="s">
        <v>161</v>
      </c>
      <c r="E1050" s="15" t="s">
        <v>1522</v>
      </c>
      <c r="F1050" s="15" t="s">
        <v>1522</v>
      </c>
      <c r="G1050" s="15" t="s">
        <v>1522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1522</v>
      </c>
      <c r="N1050" s="15"/>
      <c r="O1050" s="8" t="s">
        <v>410</v>
      </c>
      <c r="P1050" s="8" t="s">
        <v>46</v>
      </c>
      <c r="Q1050" s="14">
        <v>0.03</v>
      </c>
      <c r="R1050" s="139" t="s">
        <v>1528</v>
      </c>
      <c r="S1050" s="15"/>
      <c r="T1050" s="6">
        <v>6768.6000099999947</v>
      </c>
      <c r="U1050" s="6">
        <v>1747</v>
      </c>
      <c r="V1050" s="6">
        <v>8515.6000099999947</v>
      </c>
      <c r="W1050" s="18">
        <f t="shared" si="160"/>
        <v>0</v>
      </c>
      <c r="X1050" s="18">
        <f t="shared" si="152"/>
        <v>8267.5728252427125</v>
      </c>
      <c r="Y1050" s="13">
        <f t="shared" si="153"/>
        <v>3167.10945307357</v>
      </c>
      <c r="Z1050" s="14">
        <v>0</v>
      </c>
      <c r="AA1050" s="4">
        <v>0</v>
      </c>
      <c r="AB1050" s="4">
        <f t="shared" si="154"/>
        <v>8267.5728252427125</v>
      </c>
      <c r="AC1050" s="6">
        <f t="shared" si="155"/>
        <v>248.02718475728216</v>
      </c>
      <c r="AD1050" s="6">
        <f t="shared" si="158"/>
        <v>5100.4633721691425</v>
      </c>
      <c r="AE1050" s="2">
        <v>7.0000000000000007E-2</v>
      </c>
      <c r="AF1050" s="5">
        <f t="shared" si="156"/>
        <v>357.03243605184002</v>
      </c>
      <c r="AG1050" s="14">
        <v>0</v>
      </c>
      <c r="AH1050" s="19">
        <f t="shared" si="159"/>
        <v>8515.6000099999947</v>
      </c>
      <c r="AJ1050" s="126" t="e">
        <v>#N/A</v>
      </c>
      <c r="AK1050" s="80">
        <f t="shared" si="157"/>
        <v>0</v>
      </c>
      <c r="AM1050" s="85"/>
    </row>
    <row r="1051" spans="1:39" hidden="1" x14ac:dyDescent="0.3">
      <c r="A1051" s="85" t="s">
        <v>34</v>
      </c>
      <c r="B1051" s="15" t="s">
        <v>35</v>
      </c>
      <c r="C1051" s="15" t="s">
        <v>144</v>
      </c>
      <c r="D1051" s="15" t="s">
        <v>161</v>
      </c>
      <c r="E1051" s="15" t="s">
        <v>1529</v>
      </c>
      <c r="F1051" s="15" t="s">
        <v>1529</v>
      </c>
      <c r="G1051" s="15" t="s">
        <v>1529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1529</v>
      </c>
      <c r="N1051" s="15"/>
      <c r="O1051" s="8" t="s">
        <v>410</v>
      </c>
      <c r="P1051" s="8" t="s">
        <v>41</v>
      </c>
      <c r="Q1051" s="14">
        <v>0</v>
      </c>
      <c r="R1051" s="139" t="s">
        <v>1530</v>
      </c>
      <c r="S1051" s="15"/>
      <c r="T1051" s="6">
        <v>0</v>
      </c>
      <c r="U1051" s="6">
        <v>700000</v>
      </c>
      <c r="V1051" s="6">
        <v>94869.2</v>
      </c>
      <c r="W1051" s="18">
        <f t="shared" si="160"/>
        <v>605130.80000000005</v>
      </c>
      <c r="X1051" s="18">
        <f t="shared" si="152"/>
        <v>94869.2</v>
      </c>
      <c r="Y1051" s="13">
        <f t="shared" si="153"/>
        <v>38046.794159100355</v>
      </c>
      <c r="Z1051" s="14">
        <v>0</v>
      </c>
      <c r="AA1051" s="4">
        <v>0</v>
      </c>
      <c r="AB1051" s="4">
        <f t="shared" si="154"/>
        <v>94869.2</v>
      </c>
      <c r="AC1051" s="6">
        <f t="shared" si="155"/>
        <v>0</v>
      </c>
      <c r="AD1051" s="6">
        <f t="shared" si="158"/>
        <v>56822.405840899642</v>
      </c>
      <c r="AE1051" s="2">
        <v>7.0000000000000007E-2</v>
      </c>
      <c r="AF1051" s="5">
        <f t="shared" si="156"/>
        <v>3977.5684088629755</v>
      </c>
      <c r="AG1051" s="14">
        <v>0</v>
      </c>
      <c r="AH1051" s="19">
        <f t="shared" si="159"/>
        <v>94869.2</v>
      </c>
      <c r="AJ1051" s="126" t="e">
        <v>#N/A</v>
      </c>
      <c r="AK1051" s="80">
        <f t="shared" si="157"/>
        <v>0</v>
      </c>
      <c r="AM1051" s="85"/>
    </row>
    <row r="1052" spans="1:39" hidden="1" x14ac:dyDescent="0.3">
      <c r="A1052" s="85" t="s">
        <v>34</v>
      </c>
      <c r="B1052" s="15" t="s">
        <v>35</v>
      </c>
      <c r="C1052" s="15" t="s">
        <v>144</v>
      </c>
      <c r="D1052" s="15" t="s">
        <v>161</v>
      </c>
      <c r="E1052" s="15" t="s">
        <v>1529</v>
      </c>
      <c r="F1052" s="15" t="s">
        <v>1529</v>
      </c>
      <c r="G1052" s="15" t="s">
        <v>1529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1529</v>
      </c>
      <c r="N1052" s="15"/>
      <c r="O1052" s="8" t="s">
        <v>410</v>
      </c>
      <c r="P1052" s="8" t="s">
        <v>41</v>
      </c>
      <c r="Q1052" s="14">
        <v>0</v>
      </c>
      <c r="R1052" s="139" t="s">
        <v>1531</v>
      </c>
      <c r="S1052" s="15"/>
      <c r="T1052" s="6">
        <v>0</v>
      </c>
      <c r="U1052" s="6">
        <v>16002.5</v>
      </c>
      <c r="V1052" s="6">
        <v>16002.5</v>
      </c>
      <c r="W1052" s="18">
        <f t="shared" si="160"/>
        <v>0</v>
      </c>
      <c r="X1052" s="18">
        <f t="shared" si="152"/>
        <v>16002.5</v>
      </c>
      <c r="Y1052" s="13">
        <f t="shared" si="153"/>
        <v>6417.7185380608607</v>
      </c>
      <c r="Z1052" s="14">
        <v>0</v>
      </c>
      <c r="AA1052" s="4">
        <v>0</v>
      </c>
      <c r="AB1052" s="4">
        <f t="shared" si="154"/>
        <v>16002.5</v>
      </c>
      <c r="AC1052" s="6">
        <f t="shared" si="155"/>
        <v>0</v>
      </c>
      <c r="AD1052" s="6">
        <f t="shared" si="158"/>
        <v>9584.7814619391393</v>
      </c>
      <c r="AE1052" s="2">
        <v>7.0000000000000007E-2</v>
      </c>
      <c r="AF1052" s="5">
        <f t="shared" si="156"/>
        <v>670.93470233573976</v>
      </c>
      <c r="AG1052" s="14">
        <v>0</v>
      </c>
      <c r="AH1052" s="19">
        <f t="shared" si="159"/>
        <v>16002.5</v>
      </c>
      <c r="AJ1052" s="126" t="e">
        <v>#N/A</v>
      </c>
      <c r="AK1052" s="80">
        <f t="shared" si="157"/>
        <v>0</v>
      </c>
      <c r="AM1052" s="85"/>
    </row>
    <row r="1053" spans="1:39" hidden="1" x14ac:dyDescent="0.3">
      <c r="A1053" s="85" t="s">
        <v>34</v>
      </c>
      <c r="B1053" s="15" t="s">
        <v>35</v>
      </c>
      <c r="C1053" s="15" t="s">
        <v>144</v>
      </c>
      <c r="D1053" s="15" t="s">
        <v>161</v>
      </c>
      <c r="E1053" s="15" t="s">
        <v>1532</v>
      </c>
      <c r="F1053" s="15" t="s">
        <v>1532</v>
      </c>
      <c r="G1053" s="15" t="s">
        <v>1532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1532</v>
      </c>
      <c r="N1053" s="15"/>
      <c r="O1053" s="8" t="s">
        <v>410</v>
      </c>
      <c r="P1053" s="8" t="s">
        <v>41</v>
      </c>
      <c r="Q1053" s="14">
        <v>0</v>
      </c>
      <c r="R1053" s="139" t="s">
        <v>1533</v>
      </c>
      <c r="S1053" s="15"/>
      <c r="T1053" s="6">
        <v>4846.5</v>
      </c>
      <c r="U1053" s="6">
        <v>22564</v>
      </c>
      <c r="V1053" s="6">
        <v>2583</v>
      </c>
      <c r="W1053" s="18">
        <f t="shared" si="160"/>
        <v>24827.5</v>
      </c>
      <c r="X1053" s="18">
        <f t="shared" si="152"/>
        <v>2583</v>
      </c>
      <c r="Y1053" s="13">
        <f t="shared" si="153"/>
        <v>1035.8985773354916</v>
      </c>
      <c r="Z1053" s="14">
        <v>0</v>
      </c>
      <c r="AA1053" s="4">
        <v>0</v>
      </c>
      <c r="AB1053" s="4">
        <f t="shared" si="154"/>
        <v>2583</v>
      </c>
      <c r="AC1053" s="6">
        <f t="shared" si="155"/>
        <v>0</v>
      </c>
      <c r="AD1053" s="6">
        <f t="shared" si="158"/>
        <v>1547.1014226645084</v>
      </c>
      <c r="AE1053" s="2">
        <v>7.0000000000000007E-2</v>
      </c>
      <c r="AF1053" s="5">
        <f t="shared" si="156"/>
        <v>108.2970995865156</v>
      </c>
      <c r="AG1053" s="14">
        <v>0</v>
      </c>
      <c r="AH1053" s="19">
        <f t="shared" si="159"/>
        <v>2583</v>
      </c>
      <c r="AJ1053" s="126" t="e">
        <v>#N/A</v>
      </c>
      <c r="AK1053" s="80">
        <f t="shared" si="157"/>
        <v>0</v>
      </c>
      <c r="AM1053" s="85"/>
    </row>
    <row r="1054" spans="1:39" hidden="1" x14ac:dyDescent="0.3">
      <c r="A1054" s="85" t="s">
        <v>34</v>
      </c>
      <c r="B1054" s="15" t="s">
        <v>35</v>
      </c>
      <c r="C1054" s="15" t="s">
        <v>164</v>
      </c>
      <c r="D1054" s="15" t="s">
        <v>165</v>
      </c>
      <c r="E1054" s="15" t="s">
        <v>619</v>
      </c>
      <c r="F1054" s="15" t="s">
        <v>620</v>
      </c>
      <c r="G1054" s="15" t="s">
        <v>619</v>
      </c>
      <c r="H1054" s="139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619</v>
      </c>
      <c r="N1054" s="15"/>
      <c r="O1054" s="8" t="s">
        <v>410</v>
      </c>
      <c r="P1054" s="8" t="s">
        <v>46</v>
      </c>
      <c r="Q1054" s="14">
        <v>0.02</v>
      </c>
      <c r="R1054" s="139" t="s">
        <v>1534</v>
      </c>
      <c r="S1054" s="15"/>
      <c r="T1054" s="6">
        <v>-15066.489960000094</v>
      </c>
      <c r="U1054" s="6">
        <v>66.489999999999995</v>
      </c>
      <c r="V1054" s="6">
        <v>0</v>
      </c>
      <c r="W1054" s="18">
        <f t="shared" si="160"/>
        <v>-14999.999960000094</v>
      </c>
      <c r="X1054" s="18">
        <f t="shared" si="152"/>
        <v>0</v>
      </c>
      <c r="Y1054" s="13">
        <f t="shared" si="153"/>
        <v>0</v>
      </c>
      <c r="Z1054" s="14">
        <v>0</v>
      </c>
      <c r="AA1054" s="4">
        <v>0</v>
      </c>
      <c r="AB1054" s="4">
        <f t="shared" si="154"/>
        <v>0</v>
      </c>
      <c r="AC1054" s="6">
        <f t="shared" si="155"/>
        <v>0</v>
      </c>
      <c r="AD1054" s="6">
        <f t="shared" si="158"/>
        <v>0</v>
      </c>
      <c r="AE1054" s="2">
        <v>7.0000000000000007E-2</v>
      </c>
      <c r="AF1054" s="5">
        <f t="shared" si="156"/>
        <v>0</v>
      </c>
      <c r="AG1054" s="14">
        <v>0</v>
      </c>
      <c r="AH1054" s="19">
        <f t="shared" si="159"/>
        <v>0</v>
      </c>
      <c r="AJ1054" s="126" t="e">
        <v>#N/A</v>
      </c>
      <c r="AK1054" s="80">
        <f t="shared" si="157"/>
        <v>0</v>
      </c>
      <c r="AM1054" s="85"/>
    </row>
    <row r="1055" spans="1:39" hidden="1" x14ac:dyDescent="0.3">
      <c r="A1055" s="85" t="s">
        <v>34</v>
      </c>
      <c r="B1055" s="15" t="s">
        <v>35</v>
      </c>
      <c r="C1055" s="15" t="s">
        <v>164</v>
      </c>
      <c r="D1055" s="15" t="s">
        <v>165</v>
      </c>
      <c r="E1055" s="15" t="s">
        <v>1535</v>
      </c>
      <c r="F1055" s="15" t="s">
        <v>1536</v>
      </c>
      <c r="G1055" s="15" t="s">
        <v>1535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1535</v>
      </c>
      <c r="N1055" s="15"/>
      <c r="O1055" s="8" t="s">
        <v>410</v>
      </c>
      <c r="P1055" s="8" t="s">
        <v>41</v>
      </c>
      <c r="Q1055" s="14">
        <v>0</v>
      </c>
      <c r="R1055" s="139" t="s">
        <v>1537</v>
      </c>
      <c r="S1055" s="15"/>
      <c r="T1055" s="6">
        <v>0</v>
      </c>
      <c r="U1055" s="6">
        <v>203000</v>
      </c>
      <c r="V1055" s="6">
        <v>159517.59995999999</v>
      </c>
      <c r="W1055" s="18">
        <f t="shared" si="160"/>
        <v>43482.400040000008</v>
      </c>
      <c r="X1055" s="18">
        <f t="shared" si="152"/>
        <v>159517.59995999999</v>
      </c>
      <c r="Y1055" s="13">
        <f t="shared" si="153"/>
        <v>63973.695260757275</v>
      </c>
      <c r="Z1055" s="14">
        <v>0</v>
      </c>
      <c r="AA1055" s="4">
        <v>0</v>
      </c>
      <c r="AB1055" s="4">
        <f t="shared" si="154"/>
        <v>159517.59995999999</v>
      </c>
      <c r="AC1055" s="6">
        <f t="shared" si="155"/>
        <v>0</v>
      </c>
      <c r="AD1055" s="6">
        <f t="shared" si="158"/>
        <v>95543.904699242717</v>
      </c>
      <c r="AE1055" s="2">
        <v>7.0000000000000007E-2</v>
      </c>
      <c r="AF1055" s="5">
        <f t="shared" si="156"/>
        <v>6688.0733289469908</v>
      </c>
      <c r="AG1055" s="14">
        <v>0</v>
      </c>
      <c r="AH1055" s="19">
        <f t="shared" si="159"/>
        <v>159517.59995999999</v>
      </c>
      <c r="AJ1055" s="126" t="e">
        <v>#N/A</v>
      </c>
      <c r="AK1055" s="80">
        <f t="shared" si="157"/>
        <v>0</v>
      </c>
      <c r="AM1055" s="85"/>
    </row>
    <row r="1056" spans="1:39" hidden="1" x14ac:dyDescent="0.3">
      <c r="A1056" s="85" t="s">
        <v>34</v>
      </c>
      <c r="B1056" s="15" t="s">
        <v>35</v>
      </c>
      <c r="C1056" s="15" t="s">
        <v>164</v>
      </c>
      <c r="D1056" s="15" t="s">
        <v>165</v>
      </c>
      <c r="E1056" s="15" t="s">
        <v>1538</v>
      </c>
      <c r="F1056" s="15" t="s">
        <v>1538</v>
      </c>
      <c r="G1056" s="15" t="s">
        <v>1538</v>
      </c>
      <c r="H1056" s="154"/>
      <c r="I1056" s="15" t="s">
        <v>887</v>
      </c>
      <c r="J1056" s="1" t="s">
        <v>3323</v>
      </c>
      <c r="K1056" s="1" t="s">
        <v>3277</v>
      </c>
      <c r="L1056" s="1" t="s">
        <v>35</v>
      </c>
      <c r="M1056" s="15" t="s">
        <v>1539</v>
      </c>
      <c r="N1056" s="15"/>
      <c r="O1056" s="8" t="s">
        <v>410</v>
      </c>
      <c r="P1056" s="8" t="s">
        <v>41</v>
      </c>
      <c r="Q1056" s="14">
        <v>0</v>
      </c>
      <c r="R1056" s="139" t="s">
        <v>1540</v>
      </c>
      <c r="S1056" s="15"/>
      <c r="T1056" s="6">
        <v>0</v>
      </c>
      <c r="U1056" s="6">
        <v>1628747.58</v>
      </c>
      <c r="V1056" s="6">
        <v>1115103.0396</v>
      </c>
      <c r="W1056" s="18">
        <f t="shared" si="160"/>
        <v>513644.54040000006</v>
      </c>
      <c r="X1056" s="18">
        <f t="shared" si="152"/>
        <v>1115103.0396</v>
      </c>
      <c r="Y1056" s="13">
        <f t="shared" si="153"/>
        <v>0</v>
      </c>
      <c r="Z1056" s="14">
        <v>0</v>
      </c>
      <c r="AA1056" s="4">
        <v>0</v>
      </c>
      <c r="AB1056" s="4">
        <f t="shared" si="154"/>
        <v>1115103.0396</v>
      </c>
      <c r="AC1056" s="6">
        <f t="shared" si="155"/>
        <v>0</v>
      </c>
      <c r="AD1056" s="18">
        <f>V1056</f>
        <v>1115103.0396</v>
      </c>
      <c r="AE1056" s="2">
        <v>0.02</v>
      </c>
      <c r="AF1056" s="5">
        <f t="shared" si="156"/>
        <v>22302.060792</v>
      </c>
      <c r="AG1056" s="14">
        <v>0</v>
      </c>
      <c r="AH1056" s="19">
        <f t="shared" si="159"/>
        <v>1115103.0396</v>
      </c>
      <c r="AJ1056" s="126" t="e">
        <v>#N/A</v>
      </c>
      <c r="AK1056" s="80">
        <f t="shared" si="157"/>
        <v>0</v>
      </c>
      <c r="AM1056" s="85"/>
    </row>
    <row r="1057" spans="1:39" hidden="1" x14ac:dyDescent="0.3">
      <c r="A1057" s="85" t="s">
        <v>34</v>
      </c>
      <c r="B1057" s="15" t="s">
        <v>35</v>
      </c>
      <c r="C1057" s="15" t="s">
        <v>164</v>
      </c>
      <c r="D1057" s="15" t="s">
        <v>165</v>
      </c>
      <c r="E1057" s="15" t="s">
        <v>1538</v>
      </c>
      <c r="F1057" s="15" t="s">
        <v>1538</v>
      </c>
      <c r="G1057" s="15" t="s">
        <v>1538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1539</v>
      </c>
      <c r="N1057" s="15"/>
      <c r="O1057" s="8" t="s">
        <v>410</v>
      </c>
      <c r="P1057" s="8" t="s">
        <v>41</v>
      </c>
      <c r="Q1057" s="14">
        <v>0</v>
      </c>
      <c r="R1057" s="139" t="s">
        <v>1540</v>
      </c>
      <c r="S1057" s="15"/>
      <c r="T1057" s="6">
        <v>3621910.5083500007</v>
      </c>
      <c r="U1057" s="6">
        <v>0</v>
      </c>
      <c r="V1057" s="6">
        <v>236.89874</v>
      </c>
      <c r="W1057" s="18">
        <f t="shared" si="160"/>
        <v>3621673.6096100006</v>
      </c>
      <c r="X1057" s="18">
        <f t="shared" si="152"/>
        <v>236.89874</v>
      </c>
      <c r="Y1057" s="13">
        <f t="shared" si="153"/>
        <v>95.006994865880955</v>
      </c>
      <c r="Z1057" s="14">
        <v>0</v>
      </c>
      <c r="AA1057" s="4">
        <v>0</v>
      </c>
      <c r="AB1057" s="4">
        <f t="shared" si="154"/>
        <v>236.89874</v>
      </c>
      <c r="AC1057" s="6">
        <f t="shared" si="155"/>
        <v>0</v>
      </c>
      <c r="AD1057" s="6">
        <f t="shared" ref="AD1057:AD1120" si="161">V1057*0.598955254612663</f>
        <v>141.89174513411905</v>
      </c>
      <c r="AE1057" s="2">
        <v>7.0000000000000007E-2</v>
      </c>
      <c r="AF1057" s="5">
        <f t="shared" si="156"/>
        <v>9.9324221593883344</v>
      </c>
      <c r="AG1057" s="14">
        <v>0</v>
      </c>
      <c r="AH1057" s="19">
        <f t="shared" si="159"/>
        <v>236.89874</v>
      </c>
      <c r="AJ1057" s="126" t="e">
        <v>#N/A</v>
      </c>
      <c r="AK1057" s="80">
        <f t="shared" si="157"/>
        <v>0</v>
      </c>
      <c r="AM1057" s="85"/>
    </row>
    <row r="1058" spans="1:39" hidden="1" x14ac:dyDescent="0.3">
      <c r="A1058" s="85" t="s">
        <v>34</v>
      </c>
      <c r="B1058" s="15" t="s">
        <v>35</v>
      </c>
      <c r="C1058" s="15" t="s">
        <v>164</v>
      </c>
      <c r="D1058" s="15" t="s">
        <v>165</v>
      </c>
      <c r="E1058" s="15" t="s">
        <v>1541</v>
      </c>
      <c r="F1058" s="15" t="s">
        <v>1541</v>
      </c>
      <c r="G1058" s="15" t="s">
        <v>1541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1541</v>
      </c>
      <c r="N1058" s="15"/>
      <c r="O1058" s="8" t="s">
        <v>410</v>
      </c>
      <c r="P1058" s="8" t="s">
        <v>41</v>
      </c>
      <c r="Q1058" s="14">
        <v>0</v>
      </c>
      <c r="R1058" s="139" t="s">
        <v>1542</v>
      </c>
      <c r="S1058" s="15"/>
      <c r="T1058" s="6">
        <v>0</v>
      </c>
      <c r="U1058" s="6">
        <v>430000</v>
      </c>
      <c r="V1058" s="6">
        <v>325172.22000000003</v>
      </c>
      <c r="W1058" s="18">
        <f t="shared" si="160"/>
        <v>104827.77999999997</v>
      </c>
      <c r="X1058" s="18">
        <f t="shared" si="152"/>
        <v>325172.22000000003</v>
      </c>
      <c r="Y1058" s="13">
        <f t="shared" si="153"/>
        <v>130408.61017693515</v>
      </c>
      <c r="Z1058" s="14">
        <v>0</v>
      </c>
      <c r="AA1058" s="4">
        <v>0</v>
      </c>
      <c r="AB1058" s="4">
        <f t="shared" si="154"/>
        <v>325172.22000000003</v>
      </c>
      <c r="AC1058" s="6">
        <f t="shared" si="155"/>
        <v>0</v>
      </c>
      <c r="AD1058" s="6">
        <f t="shared" si="161"/>
        <v>194763.60982306488</v>
      </c>
      <c r="AE1058" s="2">
        <v>7.0000000000000007E-2</v>
      </c>
      <c r="AF1058" s="5">
        <f t="shared" si="156"/>
        <v>13633.452687614543</v>
      </c>
      <c r="AG1058" s="14">
        <v>0</v>
      </c>
      <c r="AH1058" s="19">
        <f t="shared" si="159"/>
        <v>325172.22000000003</v>
      </c>
      <c r="AJ1058" s="126" t="e">
        <v>#N/A</v>
      </c>
      <c r="AK1058" s="80">
        <f t="shared" si="157"/>
        <v>0</v>
      </c>
      <c r="AM1058" s="85"/>
    </row>
    <row r="1059" spans="1:39" hidden="1" x14ac:dyDescent="0.3">
      <c r="A1059" s="85" t="s">
        <v>34</v>
      </c>
      <c r="B1059" s="15" t="s">
        <v>35</v>
      </c>
      <c r="C1059" s="15" t="s">
        <v>164</v>
      </c>
      <c r="D1059" s="15" t="s">
        <v>165</v>
      </c>
      <c r="E1059" s="15" t="s">
        <v>1543</v>
      </c>
      <c r="F1059" s="15" t="s">
        <v>1543</v>
      </c>
      <c r="G1059" s="15" t="s">
        <v>1543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1543</v>
      </c>
      <c r="N1059" s="15"/>
      <c r="O1059" s="8" t="s">
        <v>410</v>
      </c>
      <c r="P1059" s="8" t="s">
        <v>41</v>
      </c>
      <c r="Q1059" s="14">
        <v>0</v>
      </c>
      <c r="R1059" s="139">
        <v>17728178884</v>
      </c>
      <c r="S1059" s="15"/>
      <c r="T1059" s="6">
        <v>0</v>
      </c>
      <c r="U1059" s="6">
        <v>30000</v>
      </c>
      <c r="V1059" s="6">
        <v>19906.2</v>
      </c>
      <c r="W1059" s="18">
        <f t="shared" si="160"/>
        <v>10093.799999999999</v>
      </c>
      <c r="X1059" s="18">
        <f t="shared" si="152"/>
        <v>19906.2</v>
      </c>
      <c r="Y1059" s="13">
        <f t="shared" si="153"/>
        <v>7983.276910629409</v>
      </c>
      <c r="Z1059" s="14">
        <v>0</v>
      </c>
      <c r="AA1059" s="4">
        <v>0</v>
      </c>
      <c r="AB1059" s="4">
        <f t="shared" si="154"/>
        <v>19906.2</v>
      </c>
      <c r="AC1059" s="6">
        <f t="shared" si="155"/>
        <v>0</v>
      </c>
      <c r="AD1059" s="6">
        <f t="shared" si="161"/>
        <v>11922.923089370592</v>
      </c>
      <c r="AE1059" s="2">
        <v>7.0000000000000007E-2</v>
      </c>
      <c r="AF1059" s="5">
        <f t="shared" si="156"/>
        <v>834.60461625594155</v>
      </c>
      <c r="AG1059" s="14">
        <v>0</v>
      </c>
      <c r="AH1059" s="19">
        <f t="shared" si="159"/>
        <v>19906.2</v>
      </c>
      <c r="AJ1059" s="126" t="e">
        <v>#N/A</v>
      </c>
      <c r="AK1059" s="80">
        <f t="shared" si="157"/>
        <v>0</v>
      </c>
      <c r="AM1059" s="85"/>
    </row>
    <row r="1060" spans="1:39" hidden="1" x14ac:dyDescent="0.3">
      <c r="A1060" s="85" t="s">
        <v>34</v>
      </c>
      <c r="B1060" s="15" t="s">
        <v>35</v>
      </c>
      <c r="C1060" s="15" t="s">
        <v>164</v>
      </c>
      <c r="D1060" s="15" t="s">
        <v>165</v>
      </c>
      <c r="E1060" s="15" t="s">
        <v>1544</v>
      </c>
      <c r="F1060" s="15" t="s">
        <v>1544</v>
      </c>
      <c r="G1060" s="15" t="s">
        <v>1544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1545</v>
      </c>
      <c r="N1060" s="15"/>
      <c r="O1060" s="8" t="s">
        <v>410</v>
      </c>
      <c r="P1060" s="8" t="s">
        <v>41</v>
      </c>
      <c r="Q1060" s="14">
        <v>0</v>
      </c>
      <c r="R1060" s="139" t="s">
        <v>1546</v>
      </c>
      <c r="S1060" s="15"/>
      <c r="T1060" s="6">
        <v>0</v>
      </c>
      <c r="U1060" s="6">
        <v>20000</v>
      </c>
      <c r="V1060" s="6">
        <v>16230.3</v>
      </c>
      <c r="W1060" s="18">
        <f t="shared" si="160"/>
        <v>3769.7000000000007</v>
      </c>
      <c r="X1060" s="18">
        <f t="shared" si="152"/>
        <v>16230.3</v>
      </c>
      <c r="Y1060" s="13">
        <f t="shared" si="153"/>
        <v>6509.0765310600964</v>
      </c>
      <c r="Z1060" s="14">
        <v>0</v>
      </c>
      <c r="AA1060" s="4">
        <v>0</v>
      </c>
      <c r="AB1060" s="4">
        <f t="shared" si="154"/>
        <v>16230.3</v>
      </c>
      <c r="AC1060" s="6">
        <f t="shared" si="155"/>
        <v>0</v>
      </c>
      <c r="AD1060" s="6">
        <f t="shared" si="161"/>
        <v>9721.2234689399029</v>
      </c>
      <c r="AE1060" s="2">
        <v>7.0000000000000007E-2</v>
      </c>
      <c r="AF1060" s="5">
        <f t="shared" si="156"/>
        <v>680.48564282579332</v>
      </c>
      <c r="AG1060" s="14">
        <v>0</v>
      </c>
      <c r="AH1060" s="19">
        <f t="shared" si="159"/>
        <v>16230.3</v>
      </c>
      <c r="AJ1060" s="126" t="e">
        <v>#N/A</v>
      </c>
      <c r="AK1060" s="80">
        <f t="shared" si="157"/>
        <v>0</v>
      </c>
      <c r="AM1060" s="85"/>
    </row>
    <row r="1061" spans="1:39" hidden="1" x14ac:dyDescent="0.3">
      <c r="A1061" s="85" t="s">
        <v>34</v>
      </c>
      <c r="B1061" s="15" t="s">
        <v>35</v>
      </c>
      <c r="C1061" s="15" t="s">
        <v>164</v>
      </c>
      <c r="D1061" s="15" t="s">
        <v>165</v>
      </c>
      <c r="E1061" s="15" t="s">
        <v>1544</v>
      </c>
      <c r="F1061" s="15" t="s">
        <v>1544</v>
      </c>
      <c r="G1061" s="15" t="s">
        <v>1544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1547</v>
      </c>
      <c r="N1061" s="15"/>
      <c r="O1061" s="8" t="s">
        <v>410</v>
      </c>
      <c r="P1061" s="8" t="s">
        <v>41</v>
      </c>
      <c r="Q1061" s="14">
        <v>0</v>
      </c>
      <c r="R1061" s="139" t="s">
        <v>1548</v>
      </c>
      <c r="S1061" s="15"/>
      <c r="T1061" s="6">
        <v>0</v>
      </c>
      <c r="U1061" s="6">
        <v>110000</v>
      </c>
      <c r="V1061" s="6">
        <v>107292.04</v>
      </c>
      <c r="W1061" s="18">
        <f t="shared" si="160"/>
        <v>2707.9600000000064</v>
      </c>
      <c r="X1061" s="18">
        <f t="shared" si="152"/>
        <v>107292.04</v>
      </c>
      <c r="Y1061" s="13">
        <f t="shared" si="153"/>
        <v>43028.908863887977</v>
      </c>
      <c r="Z1061" s="14">
        <v>0</v>
      </c>
      <c r="AA1061" s="4">
        <v>0</v>
      </c>
      <c r="AB1061" s="4">
        <f t="shared" si="154"/>
        <v>107292.04</v>
      </c>
      <c r="AC1061" s="6">
        <f t="shared" si="155"/>
        <v>0</v>
      </c>
      <c r="AD1061" s="6">
        <f t="shared" si="161"/>
        <v>64263.131136112017</v>
      </c>
      <c r="AE1061" s="2">
        <v>7.0000000000000007E-2</v>
      </c>
      <c r="AF1061" s="5">
        <f t="shared" si="156"/>
        <v>4498.4191795278421</v>
      </c>
      <c r="AG1061" s="14">
        <v>0</v>
      </c>
      <c r="AH1061" s="19">
        <f t="shared" si="159"/>
        <v>107292.04</v>
      </c>
      <c r="AJ1061" s="126" t="e">
        <v>#N/A</v>
      </c>
      <c r="AK1061" s="80">
        <f t="shared" si="157"/>
        <v>0</v>
      </c>
      <c r="AM1061" s="85"/>
    </row>
    <row r="1062" spans="1:39" hidden="1" x14ac:dyDescent="0.3">
      <c r="A1062" s="85" t="s">
        <v>34</v>
      </c>
      <c r="B1062" s="15" t="s">
        <v>35</v>
      </c>
      <c r="C1062" s="15" t="s">
        <v>164</v>
      </c>
      <c r="D1062" s="15" t="s">
        <v>165</v>
      </c>
      <c r="E1062" s="15" t="s">
        <v>1549</v>
      </c>
      <c r="F1062" s="15" t="s">
        <v>1550</v>
      </c>
      <c r="G1062" s="15" t="s">
        <v>1549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1551</v>
      </c>
      <c r="N1062" s="15"/>
      <c r="O1062" s="8" t="s">
        <v>410</v>
      </c>
      <c r="P1062" s="8" t="s">
        <v>41</v>
      </c>
      <c r="Q1062" s="14">
        <v>0</v>
      </c>
      <c r="R1062" s="139" t="s">
        <v>1552</v>
      </c>
      <c r="S1062" s="15"/>
      <c r="T1062" s="6">
        <v>0</v>
      </c>
      <c r="U1062" s="6">
        <v>10000</v>
      </c>
      <c r="V1062" s="6">
        <v>8990.2000000000007</v>
      </c>
      <c r="W1062" s="18">
        <f t="shared" si="160"/>
        <v>1009.7999999999993</v>
      </c>
      <c r="X1062" s="18">
        <f t="shared" si="152"/>
        <v>8990.2000000000007</v>
      </c>
      <c r="Y1062" s="13">
        <f t="shared" si="153"/>
        <v>3605.4724699812377</v>
      </c>
      <c r="Z1062" s="14">
        <v>0</v>
      </c>
      <c r="AA1062" s="4">
        <v>0</v>
      </c>
      <c r="AB1062" s="4">
        <f t="shared" si="154"/>
        <v>8990.2000000000007</v>
      </c>
      <c r="AC1062" s="6">
        <f t="shared" si="155"/>
        <v>0</v>
      </c>
      <c r="AD1062" s="6">
        <f t="shared" si="161"/>
        <v>5384.727530018763</v>
      </c>
      <c r="AE1062" s="2">
        <v>7.0000000000000007E-2</v>
      </c>
      <c r="AF1062" s="5">
        <f t="shared" si="156"/>
        <v>376.93092710131344</v>
      </c>
      <c r="AG1062" s="14">
        <v>0</v>
      </c>
      <c r="AH1062" s="19">
        <f t="shared" si="159"/>
        <v>8990.2000000000007</v>
      </c>
      <c r="AJ1062" s="126" t="e">
        <v>#N/A</v>
      </c>
      <c r="AK1062" s="80">
        <f t="shared" si="157"/>
        <v>0</v>
      </c>
      <c r="AM1062" s="85"/>
    </row>
    <row r="1063" spans="1:39" hidden="1" x14ac:dyDescent="0.3">
      <c r="A1063" s="85" t="s">
        <v>34</v>
      </c>
      <c r="B1063" s="15" t="s">
        <v>35</v>
      </c>
      <c r="C1063" s="15" t="s">
        <v>164</v>
      </c>
      <c r="D1063" s="15" t="s">
        <v>165</v>
      </c>
      <c r="E1063" s="15" t="s">
        <v>1549</v>
      </c>
      <c r="F1063" s="15" t="s">
        <v>1550</v>
      </c>
      <c r="G1063" s="15" t="s">
        <v>1549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1549</v>
      </c>
      <c r="N1063" s="15"/>
      <c r="O1063" s="8" t="s">
        <v>410</v>
      </c>
      <c r="P1063" s="8" t="s">
        <v>41</v>
      </c>
      <c r="Q1063" s="14">
        <v>0</v>
      </c>
      <c r="R1063" s="139" t="s">
        <v>1553</v>
      </c>
      <c r="S1063" s="15"/>
      <c r="T1063" s="6">
        <v>0</v>
      </c>
      <c r="U1063" s="6">
        <v>80000</v>
      </c>
      <c r="V1063" s="6">
        <v>68844.430000000008</v>
      </c>
      <c r="W1063" s="18">
        <f t="shared" si="160"/>
        <v>11155.569999999992</v>
      </c>
      <c r="X1063" s="18">
        <f t="shared" si="152"/>
        <v>68844.430000000008</v>
      </c>
      <c r="Y1063" s="13">
        <f t="shared" si="153"/>
        <v>27609.696900686351</v>
      </c>
      <c r="Z1063" s="14">
        <v>0</v>
      </c>
      <c r="AA1063" s="4">
        <v>0</v>
      </c>
      <c r="AB1063" s="4">
        <f t="shared" si="154"/>
        <v>68844.430000000008</v>
      </c>
      <c r="AC1063" s="6">
        <f t="shared" si="155"/>
        <v>0</v>
      </c>
      <c r="AD1063" s="6">
        <f t="shared" si="161"/>
        <v>41234.733099313657</v>
      </c>
      <c r="AE1063" s="2">
        <v>7.0000000000000007E-2</v>
      </c>
      <c r="AF1063" s="5">
        <f t="shared" si="156"/>
        <v>2886.4313169519564</v>
      </c>
      <c r="AG1063" s="14">
        <v>0</v>
      </c>
      <c r="AH1063" s="19">
        <f t="shared" si="159"/>
        <v>68844.430000000008</v>
      </c>
      <c r="AJ1063" s="126" t="e">
        <v>#N/A</v>
      </c>
      <c r="AK1063" s="80">
        <f t="shared" si="157"/>
        <v>0</v>
      </c>
      <c r="AM1063" s="85"/>
    </row>
    <row r="1064" spans="1:39" hidden="1" x14ac:dyDescent="0.3">
      <c r="A1064" s="85" t="s">
        <v>34</v>
      </c>
      <c r="B1064" s="15" t="s">
        <v>35</v>
      </c>
      <c r="C1064" s="15" t="s">
        <v>164</v>
      </c>
      <c r="D1064" s="15" t="s">
        <v>165</v>
      </c>
      <c r="E1064" s="15" t="s">
        <v>1554</v>
      </c>
      <c r="F1064" s="15" t="s">
        <v>1555</v>
      </c>
      <c r="G1064" s="15" t="s">
        <v>1554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1554</v>
      </c>
      <c r="N1064" s="15"/>
      <c r="O1064" s="8" t="s">
        <v>410</v>
      </c>
      <c r="P1064" s="8" t="s">
        <v>41</v>
      </c>
      <c r="Q1064" s="14">
        <v>0</v>
      </c>
      <c r="R1064" s="139" t="s">
        <v>1556</v>
      </c>
      <c r="S1064" s="15"/>
      <c r="T1064" s="6">
        <v>30001.720000000023</v>
      </c>
      <c r="U1064" s="6">
        <v>19027.38</v>
      </c>
      <c r="V1064" s="6">
        <v>49029.1</v>
      </c>
      <c r="W1064" s="18">
        <f t="shared" si="160"/>
        <v>0</v>
      </c>
      <c r="X1064" s="18">
        <f t="shared" si="152"/>
        <v>49029.1</v>
      </c>
      <c r="Y1064" s="13">
        <f t="shared" si="153"/>
        <v>19662.862926070284</v>
      </c>
      <c r="Z1064" s="14">
        <v>0</v>
      </c>
      <c r="AA1064" s="4">
        <v>0</v>
      </c>
      <c r="AB1064" s="4">
        <f t="shared" si="154"/>
        <v>49029.1</v>
      </c>
      <c r="AC1064" s="6">
        <f t="shared" si="155"/>
        <v>0</v>
      </c>
      <c r="AD1064" s="6">
        <f t="shared" si="161"/>
        <v>29366.237073929715</v>
      </c>
      <c r="AE1064" s="2">
        <v>7.0000000000000007E-2</v>
      </c>
      <c r="AF1064" s="5">
        <f t="shared" si="156"/>
        <v>2055.6365951750804</v>
      </c>
      <c r="AG1064" s="14">
        <v>0</v>
      </c>
      <c r="AH1064" s="19">
        <f t="shared" si="159"/>
        <v>49029.1</v>
      </c>
      <c r="AJ1064" s="126" t="e">
        <v>#N/A</v>
      </c>
      <c r="AK1064" s="80">
        <f t="shared" si="157"/>
        <v>0</v>
      </c>
      <c r="AM1064" s="85"/>
    </row>
    <row r="1065" spans="1:39" hidden="1" x14ac:dyDescent="0.3">
      <c r="A1065" s="85" t="s">
        <v>34</v>
      </c>
      <c r="B1065" s="15" t="s">
        <v>35</v>
      </c>
      <c r="C1065" s="15" t="s">
        <v>164</v>
      </c>
      <c r="D1065" s="15" t="s">
        <v>165</v>
      </c>
      <c r="E1065" s="15" t="s">
        <v>1557</v>
      </c>
      <c r="F1065" s="15" t="s">
        <v>1558</v>
      </c>
      <c r="G1065" s="15" t="s">
        <v>1557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1557</v>
      </c>
      <c r="N1065" s="15"/>
      <c r="O1065" s="8" t="s">
        <v>410</v>
      </c>
      <c r="P1065" s="8" t="s">
        <v>46</v>
      </c>
      <c r="Q1065" s="14">
        <v>0.02</v>
      </c>
      <c r="R1065" s="139" t="s">
        <v>1559</v>
      </c>
      <c r="S1065" s="15"/>
      <c r="T1065" s="6">
        <v>0</v>
      </c>
      <c r="U1065" s="6">
        <v>163775.37</v>
      </c>
      <c r="V1065" s="6">
        <v>143979.32999999999</v>
      </c>
      <c r="W1065" s="18">
        <f t="shared" si="160"/>
        <v>19796.040000000008</v>
      </c>
      <c r="X1065" s="18">
        <f t="shared" si="152"/>
        <v>141156.20588235292</v>
      </c>
      <c r="Y1065" s="13">
        <f t="shared" si="153"/>
        <v>54919.029623242313</v>
      </c>
      <c r="Z1065" s="14">
        <v>0</v>
      </c>
      <c r="AA1065" s="4">
        <v>0</v>
      </c>
      <c r="AB1065" s="4">
        <f t="shared" si="154"/>
        <v>141156.20588235292</v>
      </c>
      <c r="AC1065" s="6">
        <f t="shared" si="155"/>
        <v>2823.1241176470648</v>
      </c>
      <c r="AD1065" s="6">
        <f t="shared" si="161"/>
        <v>86237.176259110609</v>
      </c>
      <c r="AE1065" s="2">
        <v>7.0000000000000007E-2</v>
      </c>
      <c r="AF1065" s="5">
        <f t="shared" si="156"/>
        <v>6036.6023381377436</v>
      </c>
      <c r="AG1065" s="14">
        <v>0</v>
      </c>
      <c r="AH1065" s="19">
        <f t="shared" si="159"/>
        <v>143979.32999999999</v>
      </c>
      <c r="AJ1065" s="126" t="e">
        <v>#N/A</v>
      </c>
      <c r="AK1065" s="80">
        <f t="shared" si="157"/>
        <v>0</v>
      </c>
      <c r="AM1065" s="85"/>
    </row>
    <row r="1066" spans="1:39" hidden="1" x14ac:dyDescent="0.3">
      <c r="A1066" s="85" t="s">
        <v>34</v>
      </c>
      <c r="B1066" s="15" t="s">
        <v>35</v>
      </c>
      <c r="C1066" s="15" t="s">
        <v>164</v>
      </c>
      <c r="D1066" s="15" t="s">
        <v>165</v>
      </c>
      <c r="E1066" s="15" t="s">
        <v>167</v>
      </c>
      <c r="F1066" s="15" t="s">
        <v>167</v>
      </c>
      <c r="G1066" s="15" t="s">
        <v>167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1560</v>
      </c>
      <c r="N1066" s="15"/>
      <c r="O1066" s="8" t="s">
        <v>410</v>
      </c>
      <c r="P1066" s="8" t="s">
        <v>41</v>
      </c>
      <c r="Q1066" s="14">
        <v>0</v>
      </c>
      <c r="R1066" s="139" t="s">
        <v>1561</v>
      </c>
      <c r="S1066" s="15"/>
      <c r="T1066" s="6">
        <v>16458.199999999983</v>
      </c>
      <c r="U1066" s="6">
        <v>-2297.7999999999993</v>
      </c>
      <c r="V1066" s="6">
        <v>14160.4</v>
      </c>
      <c r="W1066" s="18">
        <f t="shared" si="160"/>
        <v>-1.6370904631912708E-11</v>
      </c>
      <c r="X1066" s="18">
        <f t="shared" si="152"/>
        <v>14160.4</v>
      </c>
      <c r="Y1066" s="13">
        <f t="shared" si="153"/>
        <v>5678.954012582848</v>
      </c>
      <c r="Z1066" s="14">
        <v>0</v>
      </c>
      <c r="AA1066" s="4">
        <v>0</v>
      </c>
      <c r="AB1066" s="4">
        <f t="shared" si="154"/>
        <v>14160.4</v>
      </c>
      <c r="AC1066" s="6">
        <f t="shared" si="155"/>
        <v>0</v>
      </c>
      <c r="AD1066" s="6">
        <f t="shared" si="161"/>
        <v>8481.4459874171516</v>
      </c>
      <c r="AE1066" s="2">
        <v>7.0000000000000007E-2</v>
      </c>
      <c r="AF1066" s="5">
        <f t="shared" si="156"/>
        <v>593.70121911920069</v>
      </c>
      <c r="AG1066" s="14">
        <v>0</v>
      </c>
      <c r="AH1066" s="19">
        <f t="shared" si="159"/>
        <v>14160.4</v>
      </c>
      <c r="AJ1066" s="126" t="e">
        <v>#N/A</v>
      </c>
      <c r="AK1066" s="80">
        <f t="shared" si="157"/>
        <v>0</v>
      </c>
      <c r="AM1066" s="85"/>
    </row>
    <row r="1067" spans="1:39" hidden="1" x14ac:dyDescent="0.3">
      <c r="A1067" s="85" t="s">
        <v>34</v>
      </c>
      <c r="B1067" s="15" t="s">
        <v>35</v>
      </c>
      <c r="C1067" s="15" t="s">
        <v>164</v>
      </c>
      <c r="D1067" s="15" t="s">
        <v>165</v>
      </c>
      <c r="E1067" s="15" t="s">
        <v>167</v>
      </c>
      <c r="F1067" s="15" t="s">
        <v>167</v>
      </c>
      <c r="G1067" s="15" t="s">
        <v>167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167</v>
      </c>
      <c r="N1067" s="15"/>
      <c r="O1067" s="8" t="s">
        <v>410</v>
      </c>
      <c r="P1067" s="8" t="s">
        <v>41</v>
      </c>
      <c r="Q1067" s="14">
        <v>0</v>
      </c>
      <c r="R1067" s="139" t="s">
        <v>1562</v>
      </c>
      <c r="S1067" s="15"/>
      <c r="T1067" s="6">
        <v>30393.590000000007</v>
      </c>
      <c r="U1067" s="6">
        <v>-8842.89</v>
      </c>
      <c r="V1067" s="6">
        <v>21550.7</v>
      </c>
      <c r="W1067" s="18">
        <f t="shared" si="160"/>
        <v>0</v>
      </c>
      <c r="X1067" s="18">
        <f t="shared" si="152"/>
        <v>21550.7</v>
      </c>
      <c r="Y1067" s="13">
        <f t="shared" si="153"/>
        <v>8642.794994418884</v>
      </c>
      <c r="Z1067" s="14">
        <v>0</v>
      </c>
      <c r="AA1067" s="4">
        <v>0</v>
      </c>
      <c r="AB1067" s="4">
        <f t="shared" si="154"/>
        <v>21550.7</v>
      </c>
      <c r="AC1067" s="6">
        <f t="shared" si="155"/>
        <v>0</v>
      </c>
      <c r="AD1067" s="6">
        <f t="shared" si="161"/>
        <v>12907.905005581117</v>
      </c>
      <c r="AE1067" s="2">
        <v>7.0000000000000007E-2</v>
      </c>
      <c r="AF1067" s="5">
        <f t="shared" si="156"/>
        <v>903.55335039067825</v>
      </c>
      <c r="AG1067" s="14">
        <v>0</v>
      </c>
      <c r="AH1067" s="19">
        <f t="shared" si="159"/>
        <v>21550.7</v>
      </c>
      <c r="AJ1067" s="126" t="e">
        <v>#N/A</v>
      </c>
      <c r="AK1067" s="80">
        <f t="shared" si="157"/>
        <v>0</v>
      </c>
      <c r="AM1067" s="85"/>
    </row>
    <row r="1068" spans="1:39" hidden="1" x14ac:dyDescent="0.3">
      <c r="A1068" s="85" t="s">
        <v>34</v>
      </c>
      <c r="B1068" s="15" t="s">
        <v>35</v>
      </c>
      <c r="C1068" s="15" t="s">
        <v>164</v>
      </c>
      <c r="D1068" s="15" t="s">
        <v>165</v>
      </c>
      <c r="E1068" s="15" t="s">
        <v>1563</v>
      </c>
      <c r="F1068" s="15" t="s">
        <v>1564</v>
      </c>
      <c r="G1068" s="15" t="s">
        <v>1563</v>
      </c>
      <c r="H1068" s="154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1563</v>
      </c>
      <c r="N1068" s="15"/>
      <c r="O1068" s="8" t="s">
        <v>410</v>
      </c>
      <c r="P1068" s="8" t="s">
        <v>46</v>
      </c>
      <c r="Q1068" s="14">
        <v>0.02</v>
      </c>
      <c r="R1068" s="139" t="s">
        <v>1565</v>
      </c>
      <c r="S1068" s="15"/>
      <c r="T1068" s="6">
        <v>0</v>
      </c>
      <c r="U1068" s="6">
        <v>30000</v>
      </c>
      <c r="V1068" s="6">
        <v>15735.2</v>
      </c>
      <c r="W1068" s="18">
        <f t="shared" si="160"/>
        <v>14264.8</v>
      </c>
      <c r="X1068" s="18">
        <f>IF(P1068="折扣",V1068*Q1068,IF(P1068="返现",V1068,V1068/(1+Q1068)))+0.24</f>
        <v>15426.906666666668</v>
      </c>
      <c r="Y1068" s="13">
        <f t="shared" si="153"/>
        <v>6002.225944285492</v>
      </c>
      <c r="Z1068" s="14">
        <v>0</v>
      </c>
      <c r="AA1068" s="4">
        <v>0</v>
      </c>
      <c r="AB1068" s="4">
        <f t="shared" si="154"/>
        <v>15426.906666666668</v>
      </c>
      <c r="AC1068" s="6">
        <f t="shared" si="155"/>
        <v>308.29333333333307</v>
      </c>
      <c r="AD1068" s="6">
        <f t="shared" si="161"/>
        <v>9424.6807223811757</v>
      </c>
      <c r="AE1068" s="2">
        <v>7.0000000000000007E-2</v>
      </c>
      <c r="AF1068" s="5">
        <f t="shared" si="156"/>
        <v>659.72765056668231</v>
      </c>
      <c r="AG1068" s="14">
        <v>0</v>
      </c>
      <c r="AH1068" s="19">
        <f t="shared" si="159"/>
        <v>15735.2</v>
      </c>
      <c r="AJ1068" s="126" t="e">
        <v>#N/A</v>
      </c>
      <c r="AK1068" s="80">
        <f t="shared" si="157"/>
        <v>0</v>
      </c>
      <c r="AM1068" s="85"/>
    </row>
    <row r="1069" spans="1:39" hidden="1" x14ac:dyDescent="0.3">
      <c r="A1069" s="85" t="s">
        <v>34</v>
      </c>
      <c r="B1069" s="15" t="s">
        <v>35</v>
      </c>
      <c r="C1069" s="15" t="s">
        <v>164</v>
      </c>
      <c r="D1069" s="15" t="s">
        <v>165</v>
      </c>
      <c r="E1069" s="15" t="s">
        <v>1566</v>
      </c>
      <c r="F1069" s="15" t="s">
        <v>1566</v>
      </c>
      <c r="G1069" s="15" t="s">
        <v>1566</v>
      </c>
      <c r="H1069" s="154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1566</v>
      </c>
      <c r="N1069" s="15"/>
      <c r="O1069" s="8" t="s">
        <v>410</v>
      </c>
      <c r="P1069" s="8" t="s">
        <v>41</v>
      </c>
      <c r="Q1069" s="14">
        <v>0</v>
      </c>
      <c r="R1069" s="139" t="s">
        <v>1567</v>
      </c>
      <c r="S1069" s="15"/>
      <c r="T1069" s="6">
        <v>0</v>
      </c>
      <c r="U1069" s="6">
        <v>150000</v>
      </c>
      <c r="V1069" s="6">
        <v>148974.28999999995</v>
      </c>
      <c r="W1069" s="18">
        <f t="shared" si="160"/>
        <v>1025.7100000000501</v>
      </c>
      <c r="X1069" s="18">
        <f t="shared" si="152"/>
        <v>148974.28999999995</v>
      </c>
      <c r="Y1069" s="13">
        <f t="shared" si="153"/>
        <v>59745.356202309296</v>
      </c>
      <c r="Z1069" s="14">
        <v>0</v>
      </c>
      <c r="AA1069" s="4">
        <v>0</v>
      </c>
      <c r="AB1069" s="4">
        <f t="shared" si="154"/>
        <v>148974.28999999995</v>
      </c>
      <c r="AC1069" s="6">
        <f t="shared" si="155"/>
        <v>0</v>
      </c>
      <c r="AD1069" s="6">
        <f t="shared" si="161"/>
        <v>89228.933797690654</v>
      </c>
      <c r="AE1069" s="2">
        <v>7.0000000000000007E-2</v>
      </c>
      <c r="AF1069" s="5">
        <f t="shared" si="156"/>
        <v>6246.0253658383463</v>
      </c>
      <c r="AG1069" s="14">
        <v>0</v>
      </c>
      <c r="AH1069" s="19">
        <f t="shared" si="159"/>
        <v>148974.28999999995</v>
      </c>
      <c r="AJ1069" s="126" t="e">
        <v>#N/A</v>
      </c>
      <c r="AK1069" s="80">
        <f t="shared" si="157"/>
        <v>0</v>
      </c>
      <c r="AM1069" s="85"/>
    </row>
    <row r="1070" spans="1:39" hidden="1" x14ac:dyDescent="0.3">
      <c r="A1070" s="85" t="s">
        <v>34</v>
      </c>
      <c r="B1070" s="15" t="s">
        <v>35</v>
      </c>
      <c r="C1070" s="15" t="s">
        <v>164</v>
      </c>
      <c r="D1070" s="15" t="s">
        <v>165</v>
      </c>
      <c r="E1070" s="15" t="s">
        <v>1568</v>
      </c>
      <c r="F1070" s="15" t="s">
        <v>1568</v>
      </c>
      <c r="G1070" s="15" t="s">
        <v>1568</v>
      </c>
      <c r="H1070" s="154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1568</v>
      </c>
      <c r="N1070" s="15"/>
      <c r="O1070" s="8" t="s">
        <v>410</v>
      </c>
      <c r="P1070" s="8" t="s">
        <v>41</v>
      </c>
      <c r="Q1070" s="14">
        <v>0</v>
      </c>
      <c r="R1070" s="139" t="s">
        <v>1569</v>
      </c>
      <c r="S1070" s="15"/>
      <c r="T1070" s="6">
        <v>0</v>
      </c>
      <c r="U1070" s="6">
        <v>10000</v>
      </c>
      <c r="V1070" s="6">
        <v>2395.3499999999913</v>
      </c>
      <c r="W1070" s="18">
        <f t="shared" si="160"/>
        <v>7604.6500000000087</v>
      </c>
      <c r="X1070" s="18">
        <f t="shared" si="152"/>
        <v>2395.3499999999913</v>
      </c>
      <c r="Y1070" s="13">
        <f t="shared" si="153"/>
        <v>960.64253086355416</v>
      </c>
      <c r="Z1070" s="14">
        <v>0</v>
      </c>
      <c r="AA1070" s="4">
        <v>0</v>
      </c>
      <c r="AB1070" s="4">
        <f t="shared" si="154"/>
        <v>2395.3499999999913</v>
      </c>
      <c r="AC1070" s="6">
        <f t="shared" si="155"/>
        <v>0</v>
      </c>
      <c r="AD1070" s="6">
        <f t="shared" si="161"/>
        <v>1434.7074691364371</v>
      </c>
      <c r="AE1070" s="2">
        <v>7.0000000000000007E-2</v>
      </c>
      <c r="AF1070" s="5">
        <f t="shared" si="156"/>
        <v>100.42952283955061</v>
      </c>
      <c r="AG1070" s="14">
        <v>0</v>
      </c>
      <c r="AH1070" s="19">
        <f t="shared" si="159"/>
        <v>2395.3499999999913</v>
      </c>
      <c r="AJ1070" s="126" t="e">
        <v>#N/A</v>
      </c>
      <c r="AK1070" s="80">
        <f t="shared" si="157"/>
        <v>0</v>
      </c>
      <c r="AM1070" s="85"/>
    </row>
    <row r="1071" spans="1:39" hidden="1" x14ac:dyDescent="0.3">
      <c r="A1071" s="85" t="s">
        <v>34</v>
      </c>
      <c r="B1071" s="15" t="s">
        <v>35</v>
      </c>
      <c r="C1071" s="15" t="s">
        <v>164</v>
      </c>
      <c r="D1071" s="15" t="s">
        <v>165</v>
      </c>
      <c r="E1071" s="15" t="s">
        <v>1570</v>
      </c>
      <c r="F1071" s="15" t="s">
        <v>1570</v>
      </c>
      <c r="G1071" s="15" t="s">
        <v>1570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1570</v>
      </c>
      <c r="N1071" s="15"/>
      <c r="O1071" s="8" t="s">
        <v>410</v>
      </c>
      <c r="P1071" s="8" t="s">
        <v>41</v>
      </c>
      <c r="Q1071" s="14">
        <v>0</v>
      </c>
      <c r="R1071" s="139">
        <v>17638827813</v>
      </c>
      <c r="S1071" s="15"/>
      <c r="T1071" s="6">
        <v>5407.2</v>
      </c>
      <c r="U1071" s="6">
        <v>10000</v>
      </c>
      <c r="V1071" s="6">
        <v>14956.5</v>
      </c>
      <c r="W1071" s="18">
        <f t="shared" si="160"/>
        <v>450.70000000000073</v>
      </c>
      <c r="X1071" s="18">
        <f t="shared" si="152"/>
        <v>14956.5</v>
      </c>
      <c r="Y1071" s="13">
        <f t="shared" si="153"/>
        <v>5998.2257343857054</v>
      </c>
      <c r="Z1071" s="14">
        <v>0</v>
      </c>
      <c r="AA1071" s="4">
        <v>0</v>
      </c>
      <c r="AB1071" s="4">
        <f t="shared" si="154"/>
        <v>14956.5</v>
      </c>
      <c r="AC1071" s="6">
        <f t="shared" si="155"/>
        <v>0</v>
      </c>
      <c r="AD1071" s="6">
        <f t="shared" si="161"/>
        <v>8958.2742656142946</v>
      </c>
      <c r="AE1071" s="2">
        <v>7.0000000000000007E-2</v>
      </c>
      <c r="AF1071" s="5">
        <f t="shared" si="156"/>
        <v>627.07919859300068</v>
      </c>
      <c r="AG1071" s="14">
        <v>0</v>
      </c>
      <c r="AH1071" s="19">
        <f t="shared" si="159"/>
        <v>14956.5</v>
      </c>
      <c r="AJ1071" s="126" t="e">
        <v>#N/A</v>
      </c>
      <c r="AK1071" s="80">
        <f t="shared" si="157"/>
        <v>0</v>
      </c>
      <c r="AM1071" s="85"/>
    </row>
    <row r="1072" spans="1:39" hidden="1" x14ac:dyDescent="0.3">
      <c r="A1072" s="85" t="s">
        <v>34</v>
      </c>
      <c r="B1072" s="15" t="s">
        <v>35</v>
      </c>
      <c r="C1072" s="15" t="s">
        <v>164</v>
      </c>
      <c r="D1072" s="15" t="s">
        <v>165</v>
      </c>
      <c r="E1072" s="15" t="s">
        <v>1571</v>
      </c>
      <c r="F1072" s="15" t="s">
        <v>1571</v>
      </c>
      <c r="G1072" s="15" t="s">
        <v>1571</v>
      </c>
      <c r="H1072" s="139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1571</v>
      </c>
      <c r="N1072" s="15"/>
      <c r="O1072" s="8" t="s">
        <v>410</v>
      </c>
      <c r="P1072" s="8" t="s">
        <v>41</v>
      </c>
      <c r="Q1072" s="14">
        <v>0</v>
      </c>
      <c r="R1072" s="139" t="s">
        <v>1572</v>
      </c>
      <c r="S1072" s="15"/>
      <c r="T1072" s="6">
        <v>0</v>
      </c>
      <c r="U1072" s="6">
        <v>0</v>
      </c>
      <c r="V1072" s="6">
        <v>0</v>
      </c>
      <c r="W1072" s="18">
        <f t="shared" si="160"/>
        <v>0</v>
      </c>
      <c r="X1072" s="18">
        <f t="shared" si="152"/>
        <v>0</v>
      </c>
      <c r="Y1072" s="13">
        <f t="shared" si="153"/>
        <v>0</v>
      </c>
      <c r="Z1072" s="14">
        <v>0</v>
      </c>
      <c r="AA1072" s="4">
        <v>0</v>
      </c>
      <c r="AB1072" s="4">
        <f t="shared" si="154"/>
        <v>0</v>
      </c>
      <c r="AC1072" s="6">
        <f t="shared" si="155"/>
        <v>0</v>
      </c>
      <c r="AD1072" s="6">
        <f t="shared" si="161"/>
        <v>0</v>
      </c>
      <c r="AE1072" s="2">
        <v>7.0000000000000007E-2</v>
      </c>
      <c r="AF1072" s="5">
        <f t="shared" si="156"/>
        <v>0</v>
      </c>
      <c r="AG1072" s="14">
        <v>0</v>
      </c>
      <c r="AH1072" s="19">
        <f t="shared" si="159"/>
        <v>0</v>
      </c>
      <c r="AJ1072" s="126" t="e">
        <v>#N/A</v>
      </c>
      <c r="AK1072" s="80">
        <f t="shared" si="157"/>
        <v>0</v>
      </c>
      <c r="AM1072" s="85"/>
    </row>
    <row r="1073" spans="1:39" hidden="1" x14ac:dyDescent="0.3">
      <c r="A1073" s="85" t="s">
        <v>34</v>
      </c>
      <c r="B1073" s="15" t="s">
        <v>35</v>
      </c>
      <c r="C1073" s="15" t="s">
        <v>164</v>
      </c>
      <c r="D1073" s="15" t="s">
        <v>165</v>
      </c>
      <c r="E1073" s="15" t="s">
        <v>1571</v>
      </c>
      <c r="F1073" s="15" t="s">
        <v>1571</v>
      </c>
      <c r="G1073" s="15" t="s">
        <v>1571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1571</v>
      </c>
      <c r="N1073" s="15"/>
      <c r="O1073" s="8" t="s">
        <v>410</v>
      </c>
      <c r="P1073" s="8" t="s">
        <v>41</v>
      </c>
      <c r="Q1073" s="14">
        <v>0</v>
      </c>
      <c r="R1073" s="139" t="s">
        <v>1572</v>
      </c>
      <c r="S1073" s="15"/>
      <c r="T1073" s="6">
        <v>9473.7850100000014</v>
      </c>
      <c r="U1073" s="6">
        <v>61251.8</v>
      </c>
      <c r="V1073" s="6">
        <v>60228.5</v>
      </c>
      <c r="W1073" s="18">
        <f t="shared" si="160"/>
        <v>10497.08501000001</v>
      </c>
      <c r="X1073" s="18">
        <f t="shared" si="152"/>
        <v>60228.5</v>
      </c>
      <c r="Y1073" s="13">
        <f t="shared" si="153"/>
        <v>24154.323447561226</v>
      </c>
      <c r="Z1073" s="14">
        <v>0</v>
      </c>
      <c r="AA1073" s="4">
        <v>0</v>
      </c>
      <c r="AB1073" s="4">
        <f t="shared" si="154"/>
        <v>60228.5</v>
      </c>
      <c r="AC1073" s="6">
        <f t="shared" si="155"/>
        <v>0</v>
      </c>
      <c r="AD1073" s="6">
        <f t="shared" si="161"/>
        <v>36074.176552438774</v>
      </c>
      <c r="AE1073" s="2">
        <v>7.0000000000000007E-2</v>
      </c>
      <c r="AF1073" s="5">
        <f t="shared" si="156"/>
        <v>2525.1923586707144</v>
      </c>
      <c r="AG1073" s="14">
        <v>0</v>
      </c>
      <c r="AH1073" s="19">
        <f t="shared" si="159"/>
        <v>60228.5</v>
      </c>
      <c r="AJ1073" s="126" t="e">
        <v>#N/A</v>
      </c>
      <c r="AK1073" s="80">
        <f t="shared" si="157"/>
        <v>0</v>
      </c>
      <c r="AM1073" s="85"/>
    </row>
    <row r="1074" spans="1:39" hidden="1" x14ac:dyDescent="0.3">
      <c r="A1074" s="85" t="s">
        <v>34</v>
      </c>
      <c r="B1074" s="15" t="s">
        <v>35</v>
      </c>
      <c r="C1074" s="15" t="s">
        <v>164</v>
      </c>
      <c r="D1074" s="15" t="s">
        <v>169</v>
      </c>
      <c r="E1074" s="15" t="s">
        <v>1573</v>
      </c>
      <c r="F1074" s="15" t="s">
        <v>1573</v>
      </c>
      <c r="G1074" s="15" t="s">
        <v>1573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1573</v>
      </c>
      <c r="N1074" s="15"/>
      <c r="O1074" s="8" t="s">
        <v>410</v>
      </c>
      <c r="P1074" s="8" t="s">
        <v>41</v>
      </c>
      <c r="Q1074" s="14">
        <v>0</v>
      </c>
      <c r="R1074" s="139" t="s">
        <v>1574</v>
      </c>
      <c r="S1074" s="15"/>
      <c r="T1074" s="6">
        <v>0</v>
      </c>
      <c r="U1074" s="6">
        <v>20000</v>
      </c>
      <c r="V1074" s="6">
        <v>11717</v>
      </c>
      <c r="W1074" s="18">
        <f t="shared" si="160"/>
        <v>8283</v>
      </c>
      <c r="X1074" s="18">
        <f t="shared" si="152"/>
        <v>11717</v>
      </c>
      <c r="Y1074" s="13">
        <f t="shared" si="153"/>
        <v>4699.0412817034276</v>
      </c>
      <c r="Z1074" s="14">
        <v>0</v>
      </c>
      <c r="AA1074" s="4">
        <v>0</v>
      </c>
      <c r="AB1074" s="4">
        <f t="shared" si="154"/>
        <v>11717</v>
      </c>
      <c r="AC1074" s="6">
        <f t="shared" si="155"/>
        <v>0</v>
      </c>
      <c r="AD1074" s="6">
        <f t="shared" si="161"/>
        <v>7017.9587182965724</v>
      </c>
      <c r="AE1074" s="2">
        <v>7.0000000000000007E-2</v>
      </c>
      <c r="AF1074" s="5">
        <f t="shared" si="156"/>
        <v>491.25711028076012</v>
      </c>
      <c r="AG1074" s="14">
        <v>0</v>
      </c>
      <c r="AH1074" s="19">
        <f t="shared" si="159"/>
        <v>11717</v>
      </c>
      <c r="AJ1074" s="126" t="e">
        <v>#N/A</v>
      </c>
      <c r="AK1074" s="80">
        <f t="shared" si="157"/>
        <v>0</v>
      </c>
      <c r="AM1074" s="85"/>
    </row>
    <row r="1075" spans="1:39" hidden="1" x14ac:dyDescent="0.3">
      <c r="A1075" s="85" t="s">
        <v>34</v>
      </c>
      <c r="B1075" s="15" t="s">
        <v>35</v>
      </c>
      <c r="C1075" s="15" t="s">
        <v>164</v>
      </c>
      <c r="D1075" s="15" t="s">
        <v>169</v>
      </c>
      <c r="E1075" s="15" t="s">
        <v>1575</v>
      </c>
      <c r="F1075" s="15" t="s">
        <v>1575</v>
      </c>
      <c r="G1075" s="15" t="s">
        <v>1575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1575</v>
      </c>
      <c r="N1075" s="15"/>
      <c r="O1075" s="8" t="s">
        <v>1196</v>
      </c>
      <c r="P1075" s="8" t="s">
        <v>41</v>
      </c>
      <c r="Q1075" s="14">
        <v>0</v>
      </c>
      <c r="R1075" s="139" t="s">
        <v>1576</v>
      </c>
      <c r="S1075" s="15"/>
      <c r="T1075" s="6">
        <v>0</v>
      </c>
      <c r="U1075" s="6">
        <v>200000</v>
      </c>
      <c r="V1075" s="6">
        <v>64307.520790000002</v>
      </c>
      <c r="W1075" s="18">
        <f t="shared" si="160"/>
        <v>135692.47920999999</v>
      </c>
      <c r="X1075" s="18">
        <f t="shared" si="152"/>
        <v>64307.520790000002</v>
      </c>
      <c r="Y1075" s="13">
        <f t="shared" si="153"/>
        <v>25790.193301716434</v>
      </c>
      <c r="Z1075" s="14">
        <v>0</v>
      </c>
      <c r="AA1075" s="4">
        <v>0</v>
      </c>
      <c r="AB1075" s="4">
        <f t="shared" si="154"/>
        <v>64307.520790000002</v>
      </c>
      <c r="AC1075" s="6">
        <f t="shared" si="155"/>
        <v>0</v>
      </c>
      <c r="AD1075" s="6">
        <f t="shared" si="161"/>
        <v>38517.327488283569</v>
      </c>
      <c r="AE1075" s="2">
        <v>0.12</v>
      </c>
      <c r="AF1075" s="5">
        <f t="shared" si="156"/>
        <v>4622.0792985940279</v>
      </c>
      <c r="AG1075" s="14">
        <v>0</v>
      </c>
      <c r="AH1075" s="19">
        <f t="shared" si="159"/>
        <v>64307.520790000002</v>
      </c>
      <c r="AJ1075" s="126" t="e">
        <v>#N/A</v>
      </c>
      <c r="AK1075" s="80">
        <f t="shared" si="157"/>
        <v>0</v>
      </c>
      <c r="AM1075" s="85"/>
    </row>
    <row r="1076" spans="1:39" hidden="1" x14ac:dyDescent="0.3">
      <c r="A1076" s="85" t="s">
        <v>34</v>
      </c>
      <c r="B1076" s="15" t="s">
        <v>35</v>
      </c>
      <c r="C1076" s="15" t="s">
        <v>164</v>
      </c>
      <c r="D1076" s="15" t="s">
        <v>169</v>
      </c>
      <c r="E1076" s="15" t="s">
        <v>1575</v>
      </c>
      <c r="F1076" s="15" t="s">
        <v>1575</v>
      </c>
      <c r="G1076" s="15" t="s">
        <v>1575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1575</v>
      </c>
      <c r="N1076" s="15"/>
      <c r="O1076" s="8" t="s">
        <v>410</v>
      </c>
      <c r="P1076" s="8" t="s">
        <v>41</v>
      </c>
      <c r="Q1076" s="14">
        <v>0</v>
      </c>
      <c r="R1076" s="139" t="s">
        <v>1576</v>
      </c>
      <c r="S1076" s="15"/>
      <c r="T1076" s="6">
        <v>0</v>
      </c>
      <c r="U1076" s="6">
        <v>1110000</v>
      </c>
      <c r="V1076" s="6">
        <v>1022581.2</v>
      </c>
      <c r="W1076" s="18">
        <f t="shared" si="160"/>
        <v>87418.800000000047</v>
      </c>
      <c r="X1076" s="18">
        <f t="shared" si="152"/>
        <v>1022581.2</v>
      </c>
      <c r="Y1076" s="13">
        <f t="shared" si="153"/>
        <v>410100.81699187751</v>
      </c>
      <c r="Z1076" s="14">
        <v>0</v>
      </c>
      <c r="AA1076" s="4">
        <v>0</v>
      </c>
      <c r="AB1076" s="4">
        <f t="shared" si="154"/>
        <v>1022581.2</v>
      </c>
      <c r="AC1076" s="6">
        <f t="shared" si="155"/>
        <v>0</v>
      </c>
      <c r="AD1076" s="6">
        <f t="shared" si="161"/>
        <v>612480.38300812244</v>
      </c>
      <c r="AE1076" s="2">
        <v>7.0000000000000007E-2</v>
      </c>
      <c r="AF1076" s="5">
        <f t="shared" si="156"/>
        <v>42873.626810568574</v>
      </c>
      <c r="AG1076" s="14">
        <v>0</v>
      </c>
      <c r="AH1076" s="19">
        <f t="shared" si="159"/>
        <v>1022581.2</v>
      </c>
      <c r="AJ1076" s="126" t="e">
        <v>#N/A</v>
      </c>
      <c r="AK1076" s="80">
        <f t="shared" si="157"/>
        <v>0</v>
      </c>
      <c r="AM1076" s="85"/>
    </row>
    <row r="1077" spans="1:39" hidden="1" x14ac:dyDescent="0.3">
      <c r="A1077" s="85" t="s">
        <v>34</v>
      </c>
      <c r="B1077" s="15" t="s">
        <v>35</v>
      </c>
      <c r="C1077" s="15" t="s">
        <v>164</v>
      </c>
      <c r="D1077" s="15" t="s">
        <v>169</v>
      </c>
      <c r="E1077" s="15" t="s">
        <v>1577</v>
      </c>
      <c r="F1077" s="15" t="s">
        <v>1577</v>
      </c>
      <c r="G1077" s="15" t="s">
        <v>1577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1577</v>
      </c>
      <c r="N1077" s="15"/>
      <c r="O1077" s="8" t="s">
        <v>410</v>
      </c>
      <c r="P1077" s="8" t="s">
        <v>41</v>
      </c>
      <c r="Q1077" s="14">
        <v>0</v>
      </c>
      <c r="R1077" s="139" t="s">
        <v>1578</v>
      </c>
      <c r="S1077" s="15"/>
      <c r="T1077" s="6">
        <v>0</v>
      </c>
      <c r="U1077" s="6">
        <v>2250000</v>
      </c>
      <c r="V1077" s="6">
        <v>2139322.4991600001</v>
      </c>
      <c r="W1077" s="18">
        <f t="shared" si="160"/>
        <v>110677.50083999988</v>
      </c>
      <c r="X1077" s="18">
        <f t="shared" si="152"/>
        <v>2139322.4991600001</v>
      </c>
      <c r="Y1077" s="13">
        <f t="shared" si="153"/>
        <v>857964.04697702383</v>
      </c>
      <c r="Z1077" s="14">
        <v>0</v>
      </c>
      <c r="AA1077" s="4">
        <v>0</v>
      </c>
      <c r="AB1077" s="4">
        <f t="shared" si="154"/>
        <v>2139322.4991600001</v>
      </c>
      <c r="AC1077" s="6">
        <f t="shared" si="155"/>
        <v>0</v>
      </c>
      <c r="AD1077" s="6">
        <f t="shared" si="161"/>
        <v>1281358.4521829763</v>
      </c>
      <c r="AE1077" s="2">
        <v>7.0000000000000007E-2</v>
      </c>
      <c r="AF1077" s="5">
        <f t="shared" si="156"/>
        <v>89695.091652808347</v>
      </c>
      <c r="AG1077" s="14">
        <v>0</v>
      </c>
      <c r="AH1077" s="19">
        <f t="shared" si="159"/>
        <v>2139322.4991600001</v>
      </c>
      <c r="AJ1077" s="126" t="e">
        <v>#N/A</v>
      </c>
      <c r="AK1077" s="80">
        <f t="shared" si="157"/>
        <v>0</v>
      </c>
      <c r="AM1077" s="85"/>
    </row>
    <row r="1078" spans="1:39" hidden="1" x14ac:dyDescent="0.3">
      <c r="A1078" s="85" t="s">
        <v>34</v>
      </c>
      <c r="B1078" s="15" t="s">
        <v>35</v>
      </c>
      <c r="C1078" s="15" t="s">
        <v>164</v>
      </c>
      <c r="D1078" s="15" t="s">
        <v>169</v>
      </c>
      <c r="E1078" s="15" t="s">
        <v>1579</v>
      </c>
      <c r="F1078" s="15" t="s">
        <v>1579</v>
      </c>
      <c r="G1078" s="15" t="s">
        <v>1579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1579</v>
      </c>
      <c r="N1078" s="15"/>
      <c r="O1078" s="8" t="s">
        <v>410</v>
      </c>
      <c r="P1078" s="8" t="s">
        <v>41</v>
      </c>
      <c r="Q1078" s="14">
        <v>0</v>
      </c>
      <c r="R1078" s="139" t="s">
        <v>1580</v>
      </c>
      <c r="S1078" s="15"/>
      <c r="T1078" s="6">
        <v>0</v>
      </c>
      <c r="U1078" s="6">
        <v>580000</v>
      </c>
      <c r="V1078" s="6">
        <v>484673.1</v>
      </c>
      <c r="W1078" s="18">
        <f t="shared" si="160"/>
        <v>95326.900000000023</v>
      </c>
      <c r="X1078" s="18">
        <f t="shared" si="152"/>
        <v>484673.1</v>
      </c>
      <c r="Y1078" s="13">
        <f t="shared" si="153"/>
        <v>194375.59998559131</v>
      </c>
      <c r="Z1078" s="14">
        <v>0</v>
      </c>
      <c r="AA1078" s="4">
        <v>0</v>
      </c>
      <c r="AB1078" s="4">
        <f t="shared" si="154"/>
        <v>484673.1</v>
      </c>
      <c r="AC1078" s="6">
        <f t="shared" si="155"/>
        <v>0</v>
      </c>
      <c r="AD1078" s="6">
        <f t="shared" si="161"/>
        <v>290297.50001440867</v>
      </c>
      <c r="AE1078" s="2">
        <v>7.0000000000000007E-2</v>
      </c>
      <c r="AF1078" s="5">
        <f t="shared" si="156"/>
        <v>20320.825001008609</v>
      </c>
      <c r="AG1078" s="14">
        <v>0</v>
      </c>
      <c r="AH1078" s="19">
        <f t="shared" si="159"/>
        <v>484673.1</v>
      </c>
      <c r="AJ1078" s="126" t="e">
        <v>#N/A</v>
      </c>
      <c r="AK1078" s="80">
        <f t="shared" si="157"/>
        <v>0</v>
      </c>
      <c r="AM1078" s="85"/>
    </row>
    <row r="1079" spans="1:39" hidden="1" x14ac:dyDescent="0.3">
      <c r="A1079" s="85" t="s">
        <v>34</v>
      </c>
      <c r="B1079" s="15" t="s">
        <v>35</v>
      </c>
      <c r="C1079" s="15" t="s">
        <v>164</v>
      </c>
      <c r="D1079" s="15" t="s">
        <v>169</v>
      </c>
      <c r="E1079" s="15" t="s">
        <v>724</v>
      </c>
      <c r="F1079" s="15" t="s">
        <v>724</v>
      </c>
      <c r="G1079" s="15" t="s">
        <v>724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1581</v>
      </c>
      <c r="N1079" s="15"/>
      <c r="O1079" s="8" t="s">
        <v>410</v>
      </c>
      <c r="P1079" s="8" t="s">
        <v>41</v>
      </c>
      <c r="Q1079" s="14">
        <v>0</v>
      </c>
      <c r="R1079" s="139" t="s">
        <v>1582</v>
      </c>
      <c r="S1079" s="15"/>
      <c r="T1079" s="6">
        <v>0</v>
      </c>
      <c r="U1079" s="6">
        <v>10000</v>
      </c>
      <c r="V1079" s="6">
        <v>1368</v>
      </c>
      <c r="W1079" s="18">
        <f t="shared" si="160"/>
        <v>8632</v>
      </c>
      <c r="X1079" s="18">
        <f t="shared" si="152"/>
        <v>1368</v>
      </c>
      <c r="Y1079" s="13">
        <f t="shared" si="153"/>
        <v>548.62921168987702</v>
      </c>
      <c r="Z1079" s="14">
        <v>0</v>
      </c>
      <c r="AA1079" s="4">
        <v>0</v>
      </c>
      <c r="AB1079" s="4">
        <f t="shared" si="154"/>
        <v>1368</v>
      </c>
      <c r="AC1079" s="6">
        <f t="shared" si="155"/>
        <v>0</v>
      </c>
      <c r="AD1079" s="6">
        <f t="shared" si="161"/>
        <v>819.37078831012298</v>
      </c>
      <c r="AE1079" s="2">
        <v>7.0000000000000007E-2</v>
      </c>
      <c r="AF1079" s="5">
        <f t="shared" si="156"/>
        <v>57.355955181708616</v>
      </c>
      <c r="AG1079" s="14">
        <v>0</v>
      </c>
      <c r="AH1079" s="19">
        <f t="shared" si="159"/>
        <v>1368</v>
      </c>
      <c r="AJ1079" s="126" t="e">
        <v>#N/A</v>
      </c>
      <c r="AK1079" s="80">
        <f t="shared" si="157"/>
        <v>0</v>
      </c>
      <c r="AM1079" s="85"/>
    </row>
    <row r="1080" spans="1:39" hidden="1" x14ac:dyDescent="0.3">
      <c r="A1080" s="85" t="s">
        <v>34</v>
      </c>
      <c r="B1080" s="15" t="s">
        <v>35</v>
      </c>
      <c r="C1080" s="15" t="s">
        <v>164</v>
      </c>
      <c r="D1080" s="15" t="s">
        <v>169</v>
      </c>
      <c r="E1080" s="15" t="s">
        <v>724</v>
      </c>
      <c r="F1080" s="15" t="s">
        <v>724</v>
      </c>
      <c r="G1080" s="15" t="s">
        <v>724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1583</v>
      </c>
      <c r="N1080" s="15"/>
      <c r="O1080" s="8" t="s">
        <v>410</v>
      </c>
      <c r="P1080" s="8" t="s">
        <v>41</v>
      </c>
      <c r="Q1080" s="14">
        <v>0</v>
      </c>
      <c r="R1080" s="139" t="s">
        <v>1584</v>
      </c>
      <c r="S1080" s="15"/>
      <c r="T1080" s="6">
        <v>0</v>
      </c>
      <c r="U1080" s="6">
        <v>90000</v>
      </c>
      <c r="V1080" s="6">
        <v>63614.9</v>
      </c>
      <c r="W1080" s="18">
        <f t="shared" si="160"/>
        <v>26385.1</v>
      </c>
      <c r="X1080" s="18">
        <f t="shared" si="152"/>
        <v>63614.9</v>
      </c>
      <c r="Y1080" s="13">
        <f t="shared" si="153"/>
        <v>25512.421373340905</v>
      </c>
      <c r="Z1080" s="14">
        <v>0</v>
      </c>
      <c r="AA1080" s="4">
        <v>0</v>
      </c>
      <c r="AB1080" s="4">
        <f t="shared" si="154"/>
        <v>63614.9</v>
      </c>
      <c r="AC1080" s="6">
        <f t="shared" si="155"/>
        <v>0</v>
      </c>
      <c r="AD1080" s="6">
        <f t="shared" si="161"/>
        <v>38102.478626659096</v>
      </c>
      <c r="AE1080" s="2">
        <v>7.0000000000000007E-2</v>
      </c>
      <c r="AF1080" s="5">
        <f t="shared" si="156"/>
        <v>2667.1735038661368</v>
      </c>
      <c r="AG1080" s="14">
        <v>0</v>
      </c>
      <c r="AH1080" s="19">
        <f t="shared" si="159"/>
        <v>63614.9</v>
      </c>
      <c r="AJ1080" s="126" t="e">
        <v>#N/A</v>
      </c>
      <c r="AK1080" s="80">
        <f t="shared" si="157"/>
        <v>0</v>
      </c>
      <c r="AM1080" s="85"/>
    </row>
    <row r="1081" spans="1:39" hidden="1" x14ac:dyDescent="0.3">
      <c r="A1081" s="85" t="s">
        <v>34</v>
      </c>
      <c r="B1081" s="15" t="s">
        <v>35</v>
      </c>
      <c r="C1081" s="15" t="s">
        <v>164</v>
      </c>
      <c r="D1081" s="15" t="s">
        <v>169</v>
      </c>
      <c r="E1081" s="15" t="s">
        <v>724</v>
      </c>
      <c r="F1081" s="15" t="s">
        <v>724</v>
      </c>
      <c r="G1081" s="15" t="s">
        <v>724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724</v>
      </c>
      <c r="N1081" s="15"/>
      <c r="O1081" s="8" t="s">
        <v>410</v>
      </c>
      <c r="P1081" s="8" t="s">
        <v>41</v>
      </c>
      <c r="Q1081" s="14">
        <v>0</v>
      </c>
      <c r="R1081" s="139" t="s">
        <v>1585</v>
      </c>
      <c r="S1081" s="15"/>
      <c r="T1081" s="6">
        <v>0</v>
      </c>
      <c r="U1081" s="6">
        <v>260000</v>
      </c>
      <c r="V1081" s="6">
        <v>187839.9</v>
      </c>
      <c r="W1081" s="18">
        <f t="shared" si="160"/>
        <v>72160.100000000006</v>
      </c>
      <c r="X1081" s="18">
        <f t="shared" ref="X1081:X1124" si="162">IF(P1081="折扣",V1081*Q1081,IF(P1081="返现",V1081,V1081/(1+Q1081)))</f>
        <v>187839.9</v>
      </c>
      <c r="Y1081" s="13">
        <f t="shared" si="153"/>
        <v>75332.204869082852</v>
      </c>
      <c r="Z1081" s="14">
        <v>0</v>
      </c>
      <c r="AA1081" s="4">
        <v>0</v>
      </c>
      <c r="AB1081" s="4">
        <f t="shared" si="154"/>
        <v>187839.9</v>
      </c>
      <c r="AC1081" s="6">
        <f t="shared" si="155"/>
        <v>0</v>
      </c>
      <c r="AD1081" s="6">
        <f t="shared" si="161"/>
        <v>112507.69513091714</v>
      </c>
      <c r="AE1081" s="2">
        <v>7.0000000000000007E-2</v>
      </c>
      <c r="AF1081" s="5">
        <f t="shared" si="156"/>
        <v>7875.5386591642009</v>
      </c>
      <c r="AG1081" s="14">
        <v>0</v>
      </c>
      <c r="AH1081" s="19">
        <f t="shared" si="159"/>
        <v>187839.9</v>
      </c>
      <c r="AJ1081" s="126" t="e">
        <v>#N/A</v>
      </c>
      <c r="AK1081" s="80">
        <f t="shared" si="157"/>
        <v>0</v>
      </c>
      <c r="AM1081" s="85"/>
    </row>
    <row r="1082" spans="1:39" hidden="1" x14ac:dyDescent="0.3">
      <c r="A1082" s="85" t="s">
        <v>34</v>
      </c>
      <c r="B1082" s="15" t="s">
        <v>35</v>
      </c>
      <c r="C1082" s="15" t="s">
        <v>164</v>
      </c>
      <c r="D1082" s="15" t="s">
        <v>169</v>
      </c>
      <c r="E1082" s="15" t="s">
        <v>724</v>
      </c>
      <c r="F1082" s="15" t="s">
        <v>724</v>
      </c>
      <c r="G1082" s="15" t="s">
        <v>724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1586</v>
      </c>
      <c r="N1082" s="15"/>
      <c r="O1082" s="8" t="s">
        <v>410</v>
      </c>
      <c r="P1082" s="8" t="s">
        <v>41</v>
      </c>
      <c r="Q1082" s="14">
        <v>0</v>
      </c>
      <c r="R1082" s="139" t="s">
        <v>1587</v>
      </c>
      <c r="S1082" s="15"/>
      <c r="T1082" s="6">
        <v>0</v>
      </c>
      <c r="U1082" s="6">
        <v>120000</v>
      </c>
      <c r="V1082" s="6">
        <v>74770.100000000006</v>
      </c>
      <c r="W1082" s="18">
        <f t="shared" si="160"/>
        <v>45229.899999999994</v>
      </c>
      <c r="X1082" s="18">
        <f t="shared" si="162"/>
        <v>74770.100000000006</v>
      </c>
      <c r="Y1082" s="13">
        <f t="shared" si="153"/>
        <v>29986.155717085734</v>
      </c>
      <c r="Z1082" s="14">
        <v>0</v>
      </c>
      <c r="AA1082" s="4">
        <v>0</v>
      </c>
      <c r="AB1082" s="4">
        <f t="shared" si="154"/>
        <v>74770.100000000006</v>
      </c>
      <c r="AC1082" s="6">
        <f t="shared" si="155"/>
        <v>0</v>
      </c>
      <c r="AD1082" s="6">
        <f t="shared" si="161"/>
        <v>44783.944282914272</v>
      </c>
      <c r="AE1082" s="2">
        <v>7.0000000000000007E-2</v>
      </c>
      <c r="AF1082" s="5">
        <f t="shared" si="156"/>
        <v>3134.8760998039993</v>
      </c>
      <c r="AG1082" s="14">
        <v>0</v>
      </c>
      <c r="AH1082" s="19">
        <f t="shared" si="159"/>
        <v>74770.100000000006</v>
      </c>
      <c r="AJ1082" s="126" t="e">
        <v>#N/A</v>
      </c>
      <c r="AK1082" s="80">
        <f t="shared" si="157"/>
        <v>0</v>
      </c>
      <c r="AM1082" s="85"/>
    </row>
    <row r="1083" spans="1:39" hidden="1" x14ac:dyDescent="0.3">
      <c r="A1083" s="85" t="s">
        <v>34</v>
      </c>
      <c r="B1083" s="15" t="s">
        <v>35</v>
      </c>
      <c r="C1083" s="15" t="s">
        <v>164</v>
      </c>
      <c r="D1083" s="15" t="s">
        <v>169</v>
      </c>
      <c r="E1083" s="15" t="s">
        <v>1588</v>
      </c>
      <c r="F1083" s="15" t="s">
        <v>1588</v>
      </c>
      <c r="G1083" s="15" t="s">
        <v>1588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1589</v>
      </c>
      <c r="N1083" s="15"/>
      <c r="O1083" s="8" t="s">
        <v>410</v>
      </c>
      <c r="P1083" s="8" t="s">
        <v>41</v>
      </c>
      <c r="Q1083" s="14">
        <v>0</v>
      </c>
      <c r="R1083" s="139" t="s">
        <v>1590</v>
      </c>
      <c r="S1083" s="15"/>
      <c r="T1083" s="6">
        <v>0</v>
      </c>
      <c r="U1083" s="6">
        <v>20000</v>
      </c>
      <c r="V1083" s="6">
        <v>5276</v>
      </c>
      <c r="W1083" s="18">
        <f t="shared" si="160"/>
        <v>14724</v>
      </c>
      <c r="X1083" s="18">
        <f t="shared" si="162"/>
        <v>5276</v>
      </c>
      <c r="Y1083" s="13">
        <f t="shared" si="153"/>
        <v>2115.9120766635901</v>
      </c>
      <c r="Z1083" s="14">
        <v>0</v>
      </c>
      <c r="AA1083" s="4">
        <v>0</v>
      </c>
      <c r="AB1083" s="4">
        <f t="shared" si="154"/>
        <v>5276</v>
      </c>
      <c r="AC1083" s="6">
        <f t="shared" si="155"/>
        <v>0</v>
      </c>
      <c r="AD1083" s="6">
        <f t="shared" si="161"/>
        <v>3160.0879233364099</v>
      </c>
      <c r="AE1083" s="2">
        <v>7.0000000000000007E-2</v>
      </c>
      <c r="AF1083" s="5">
        <f t="shared" si="156"/>
        <v>221.20615463354872</v>
      </c>
      <c r="AG1083" s="14">
        <v>0</v>
      </c>
      <c r="AH1083" s="19">
        <f t="shared" si="159"/>
        <v>5276</v>
      </c>
      <c r="AJ1083" s="126" t="e">
        <v>#N/A</v>
      </c>
      <c r="AK1083" s="80">
        <f t="shared" si="157"/>
        <v>0</v>
      </c>
      <c r="AM1083" s="85"/>
    </row>
    <row r="1084" spans="1:39" hidden="1" x14ac:dyDescent="0.3">
      <c r="A1084" s="85" t="s">
        <v>34</v>
      </c>
      <c r="B1084" s="15" t="s">
        <v>35</v>
      </c>
      <c r="C1084" s="15" t="s">
        <v>164</v>
      </c>
      <c r="D1084" s="15" t="s">
        <v>169</v>
      </c>
      <c r="E1084" s="15" t="s">
        <v>1588</v>
      </c>
      <c r="F1084" s="15" t="s">
        <v>1588</v>
      </c>
      <c r="G1084" s="15" t="s">
        <v>1588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1591</v>
      </c>
      <c r="N1084" s="15"/>
      <c r="O1084" s="8" t="s">
        <v>410</v>
      </c>
      <c r="P1084" s="8" t="s">
        <v>41</v>
      </c>
      <c r="Q1084" s="14">
        <v>0</v>
      </c>
      <c r="R1084" s="139" t="s">
        <v>1592</v>
      </c>
      <c r="S1084" s="15"/>
      <c r="T1084" s="6">
        <v>12798.500000000029</v>
      </c>
      <c r="U1084" s="6">
        <v>20000</v>
      </c>
      <c r="V1084" s="6">
        <v>18102.8</v>
      </c>
      <c r="W1084" s="18">
        <f t="shared" si="160"/>
        <v>14695.70000000003</v>
      </c>
      <c r="X1084" s="18">
        <f t="shared" si="162"/>
        <v>18102.8</v>
      </c>
      <c r="Y1084" s="13">
        <f t="shared" si="153"/>
        <v>7260.0328167978842</v>
      </c>
      <c r="Z1084" s="14">
        <v>0</v>
      </c>
      <c r="AA1084" s="4">
        <v>0</v>
      </c>
      <c r="AB1084" s="4">
        <f t="shared" si="154"/>
        <v>18102.8</v>
      </c>
      <c r="AC1084" s="6">
        <f t="shared" si="155"/>
        <v>0</v>
      </c>
      <c r="AD1084" s="6">
        <f t="shared" si="161"/>
        <v>10842.767183202115</v>
      </c>
      <c r="AE1084" s="2">
        <v>7.0000000000000007E-2</v>
      </c>
      <c r="AF1084" s="5">
        <f t="shared" si="156"/>
        <v>758.99370282414816</v>
      </c>
      <c r="AG1084" s="14">
        <v>0</v>
      </c>
      <c r="AH1084" s="19">
        <f t="shared" si="159"/>
        <v>18102.8</v>
      </c>
      <c r="AJ1084" s="126" t="e">
        <v>#N/A</v>
      </c>
      <c r="AK1084" s="80">
        <f t="shared" si="157"/>
        <v>0</v>
      </c>
      <c r="AM1084" s="85"/>
    </row>
    <row r="1085" spans="1:39" hidden="1" x14ac:dyDescent="0.3">
      <c r="A1085" s="85" t="s">
        <v>34</v>
      </c>
      <c r="B1085" s="15" t="s">
        <v>35</v>
      </c>
      <c r="C1085" s="15" t="s">
        <v>164</v>
      </c>
      <c r="D1085" s="15" t="s">
        <v>174</v>
      </c>
      <c r="E1085" s="15" t="s">
        <v>1593</v>
      </c>
      <c r="F1085" s="15" t="s">
        <v>1594</v>
      </c>
      <c r="G1085" s="15" t="s">
        <v>1593</v>
      </c>
      <c r="H1085" s="139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1595</v>
      </c>
      <c r="N1085" s="15"/>
      <c r="O1085" s="8" t="s">
        <v>410</v>
      </c>
      <c r="P1085" s="8" t="s">
        <v>41</v>
      </c>
      <c r="Q1085" s="14">
        <v>0</v>
      </c>
      <c r="R1085" s="139" t="s">
        <v>1596</v>
      </c>
      <c r="S1085" s="15"/>
      <c r="T1085" s="6">
        <v>0</v>
      </c>
      <c r="U1085" s="6">
        <v>0</v>
      </c>
      <c r="V1085" s="6">
        <v>0</v>
      </c>
      <c r="W1085" s="18">
        <f t="shared" si="160"/>
        <v>0</v>
      </c>
      <c r="X1085" s="18">
        <f t="shared" si="162"/>
        <v>0</v>
      </c>
      <c r="Y1085" s="13">
        <f t="shared" si="153"/>
        <v>0</v>
      </c>
      <c r="Z1085" s="14">
        <v>0</v>
      </c>
      <c r="AA1085" s="4">
        <v>0</v>
      </c>
      <c r="AB1085" s="4">
        <f t="shared" si="154"/>
        <v>0</v>
      </c>
      <c r="AC1085" s="6">
        <f t="shared" si="155"/>
        <v>0</v>
      </c>
      <c r="AD1085" s="6">
        <f t="shared" si="161"/>
        <v>0</v>
      </c>
      <c r="AE1085" s="2">
        <v>7.0000000000000007E-2</v>
      </c>
      <c r="AF1085" s="5">
        <f t="shared" si="156"/>
        <v>0</v>
      </c>
      <c r="AG1085" s="14">
        <v>0</v>
      </c>
      <c r="AH1085" s="19">
        <f t="shared" si="159"/>
        <v>0</v>
      </c>
      <c r="AJ1085" s="126" t="e">
        <v>#N/A</v>
      </c>
      <c r="AK1085" s="80">
        <f t="shared" si="157"/>
        <v>0</v>
      </c>
      <c r="AM1085" s="85"/>
    </row>
    <row r="1086" spans="1:39" hidden="1" x14ac:dyDescent="0.3">
      <c r="A1086" s="85" t="s">
        <v>34</v>
      </c>
      <c r="B1086" s="15" t="s">
        <v>35</v>
      </c>
      <c r="C1086" s="15" t="s">
        <v>164</v>
      </c>
      <c r="D1086" s="15" t="s">
        <v>174</v>
      </c>
      <c r="E1086" s="15" t="s">
        <v>1593</v>
      </c>
      <c r="F1086" s="15" t="s">
        <v>1594</v>
      </c>
      <c r="G1086" s="15" t="s">
        <v>1593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1595</v>
      </c>
      <c r="N1086" s="15"/>
      <c r="O1086" s="8" t="s">
        <v>410</v>
      </c>
      <c r="P1086" s="8" t="s">
        <v>41</v>
      </c>
      <c r="Q1086" s="14">
        <v>0</v>
      </c>
      <c r="R1086" s="139" t="s">
        <v>1596</v>
      </c>
      <c r="S1086" s="15"/>
      <c r="T1086" s="6">
        <v>0</v>
      </c>
      <c r="U1086" s="6">
        <v>700000</v>
      </c>
      <c r="V1086" s="6">
        <v>378877.3</v>
      </c>
      <c r="W1086" s="18">
        <f t="shared" si="160"/>
        <v>321122.7</v>
      </c>
      <c r="X1086" s="18">
        <f t="shared" si="162"/>
        <v>378877.3</v>
      </c>
      <c r="Y1086" s="13">
        <f t="shared" si="153"/>
        <v>151946.75031154169</v>
      </c>
      <c r="Z1086" s="14">
        <v>0</v>
      </c>
      <c r="AA1086" s="4">
        <v>0</v>
      </c>
      <c r="AB1086" s="4">
        <f t="shared" si="154"/>
        <v>378877.3</v>
      </c>
      <c r="AC1086" s="6">
        <f t="shared" si="155"/>
        <v>0</v>
      </c>
      <c r="AD1086" s="6">
        <f t="shared" si="161"/>
        <v>226930.5496884583</v>
      </c>
      <c r="AE1086" s="2">
        <v>7.0000000000000007E-2</v>
      </c>
      <c r="AF1086" s="5">
        <f t="shared" si="156"/>
        <v>15885.138478192082</v>
      </c>
      <c r="AG1086" s="14">
        <v>0</v>
      </c>
      <c r="AH1086" s="19">
        <f t="shared" si="159"/>
        <v>378877.3</v>
      </c>
      <c r="AJ1086" s="126" t="e">
        <v>#N/A</v>
      </c>
      <c r="AK1086" s="80">
        <f t="shared" si="157"/>
        <v>0</v>
      </c>
      <c r="AM1086" s="85"/>
    </row>
    <row r="1087" spans="1:39" hidden="1" x14ac:dyDescent="0.3">
      <c r="A1087" s="85" t="s">
        <v>34</v>
      </c>
      <c r="B1087" s="15" t="s">
        <v>35</v>
      </c>
      <c r="C1087" s="15" t="s">
        <v>164</v>
      </c>
      <c r="D1087" s="15" t="s">
        <v>174</v>
      </c>
      <c r="E1087" s="15" t="s">
        <v>1597</v>
      </c>
      <c r="F1087" s="15" t="s">
        <v>1597</v>
      </c>
      <c r="G1087" s="15" t="s">
        <v>1597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1597</v>
      </c>
      <c r="N1087" s="15"/>
      <c r="O1087" s="8" t="s">
        <v>1196</v>
      </c>
      <c r="P1087" s="8" t="s">
        <v>46</v>
      </c>
      <c r="Q1087" s="14">
        <v>0.02</v>
      </c>
      <c r="R1087" s="139" t="s">
        <v>1598</v>
      </c>
      <c r="S1087" s="15"/>
      <c r="T1087" s="6">
        <v>0</v>
      </c>
      <c r="U1087" s="6">
        <v>20000</v>
      </c>
      <c r="V1087" s="6">
        <v>1489.8</v>
      </c>
      <c r="W1087" s="18">
        <f t="shared" si="160"/>
        <v>18510.2</v>
      </c>
      <c r="X1087" s="18">
        <f t="shared" si="162"/>
        <v>1460.5882352941176</v>
      </c>
      <c r="Y1087" s="13">
        <f t="shared" si="153"/>
        <v>568.26469697217226</v>
      </c>
      <c r="Z1087" s="14">
        <v>0</v>
      </c>
      <c r="AA1087" s="4">
        <v>0</v>
      </c>
      <c r="AB1087" s="4">
        <f t="shared" si="154"/>
        <v>1460.5882352941176</v>
      </c>
      <c r="AC1087" s="6">
        <f t="shared" si="155"/>
        <v>29.211764705882388</v>
      </c>
      <c r="AD1087" s="6">
        <f t="shared" si="161"/>
        <v>892.32353832194531</v>
      </c>
      <c r="AE1087" s="2">
        <v>0.12</v>
      </c>
      <c r="AF1087" s="5">
        <f t="shared" si="156"/>
        <v>107.07882459863343</v>
      </c>
      <c r="AG1087" s="14">
        <v>0</v>
      </c>
      <c r="AH1087" s="19">
        <f t="shared" si="159"/>
        <v>1489.8</v>
      </c>
      <c r="AJ1087" s="126" t="e">
        <v>#N/A</v>
      </c>
      <c r="AK1087" s="80">
        <f t="shared" si="157"/>
        <v>0</v>
      </c>
      <c r="AM1087" s="85"/>
    </row>
    <row r="1088" spans="1:39" hidden="1" x14ac:dyDescent="0.3">
      <c r="A1088" s="85" t="s">
        <v>34</v>
      </c>
      <c r="B1088" s="15" t="s">
        <v>35</v>
      </c>
      <c r="C1088" s="15" t="s">
        <v>164</v>
      </c>
      <c r="D1088" s="15" t="s">
        <v>174</v>
      </c>
      <c r="E1088" s="15" t="s">
        <v>1597</v>
      </c>
      <c r="F1088" s="15" t="s">
        <v>1597</v>
      </c>
      <c r="G1088" s="15" t="s">
        <v>1597</v>
      </c>
      <c r="H1088" s="154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1597</v>
      </c>
      <c r="N1088" s="15"/>
      <c r="O1088" s="8" t="s">
        <v>410</v>
      </c>
      <c r="P1088" s="8" t="s">
        <v>46</v>
      </c>
      <c r="Q1088" s="14">
        <v>0.01</v>
      </c>
      <c r="R1088" s="139" t="s">
        <v>1599</v>
      </c>
      <c r="S1088" s="15"/>
      <c r="T1088" s="6">
        <v>0</v>
      </c>
      <c r="U1088" s="6">
        <v>385496.64</v>
      </c>
      <c r="V1088" s="6">
        <v>312284.59999999992</v>
      </c>
      <c r="W1088" s="18">
        <f t="shared" si="160"/>
        <v>73212.040000000095</v>
      </c>
      <c r="X1088" s="18">
        <f t="shared" si="162"/>
        <v>309192.67326732667</v>
      </c>
      <c r="Y1088" s="13">
        <f t="shared" si="153"/>
        <v>122148.17116271312</v>
      </c>
      <c r="Z1088" s="14">
        <v>0</v>
      </c>
      <c r="AA1088" s="4">
        <v>0</v>
      </c>
      <c r="AB1088" s="4">
        <f t="shared" si="154"/>
        <v>309192.67326732667</v>
      </c>
      <c r="AC1088" s="6">
        <f t="shared" si="155"/>
        <v>3091.9267326732515</v>
      </c>
      <c r="AD1088" s="6">
        <f t="shared" si="161"/>
        <v>187044.50210461355</v>
      </c>
      <c r="AE1088" s="2">
        <v>7.0000000000000007E-2</v>
      </c>
      <c r="AF1088" s="5">
        <f t="shared" si="156"/>
        <v>13093.115147322949</v>
      </c>
      <c r="AG1088" s="14">
        <v>0</v>
      </c>
      <c r="AH1088" s="19">
        <f t="shared" si="159"/>
        <v>312284.59999999992</v>
      </c>
      <c r="AJ1088" s="126" t="e">
        <v>#N/A</v>
      </c>
      <c r="AK1088" s="80">
        <f t="shared" si="157"/>
        <v>0</v>
      </c>
      <c r="AM1088" s="85"/>
    </row>
    <row r="1089" spans="1:39" hidden="1" x14ac:dyDescent="0.3">
      <c r="A1089" s="85" t="s">
        <v>34</v>
      </c>
      <c r="B1089" s="15" t="s">
        <v>35</v>
      </c>
      <c r="C1089" s="15" t="s">
        <v>164</v>
      </c>
      <c r="D1089" s="15" t="s">
        <v>174</v>
      </c>
      <c r="E1089" s="15" t="s">
        <v>1597</v>
      </c>
      <c r="F1089" s="15" t="s">
        <v>1597</v>
      </c>
      <c r="G1089" s="15" t="s">
        <v>1597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1597</v>
      </c>
      <c r="N1089" s="15"/>
      <c r="O1089" s="8" t="s">
        <v>410</v>
      </c>
      <c r="P1089" s="8" t="s">
        <v>46</v>
      </c>
      <c r="Q1089" s="14">
        <v>0.03</v>
      </c>
      <c r="R1089" s="139" t="s">
        <v>1599</v>
      </c>
      <c r="S1089" s="15"/>
      <c r="T1089" s="6">
        <v>9019.6000000000931</v>
      </c>
      <c r="U1089" s="6">
        <v>-7183.6999999999971</v>
      </c>
      <c r="V1089" s="6">
        <v>1835.900000000096</v>
      </c>
      <c r="W1089" s="18">
        <f t="shared" si="160"/>
        <v>0</v>
      </c>
      <c r="X1089" s="18">
        <f t="shared" si="162"/>
        <v>1782.4271844661125</v>
      </c>
      <c r="Y1089" s="13">
        <f t="shared" si="153"/>
        <v>682.80523252266698</v>
      </c>
      <c r="Z1089" s="14">
        <v>0</v>
      </c>
      <c r="AA1089" s="4">
        <v>0</v>
      </c>
      <c r="AB1089" s="4">
        <f t="shared" si="154"/>
        <v>1782.4271844661125</v>
      </c>
      <c r="AC1089" s="6">
        <f t="shared" si="155"/>
        <v>53.472815533983521</v>
      </c>
      <c r="AD1089" s="6">
        <f t="shared" si="161"/>
        <v>1099.6219519434455</v>
      </c>
      <c r="AE1089" s="2">
        <v>7.0000000000000007E-2</v>
      </c>
      <c r="AF1089" s="5">
        <f t="shared" si="156"/>
        <v>76.973536636041189</v>
      </c>
      <c r="AG1089" s="14">
        <v>0</v>
      </c>
      <c r="AH1089" s="19">
        <f t="shared" si="159"/>
        <v>1835.900000000096</v>
      </c>
      <c r="AJ1089" s="126" t="e">
        <v>#N/A</v>
      </c>
      <c r="AK1089" s="80">
        <f t="shared" si="157"/>
        <v>0</v>
      </c>
      <c r="AM1089" s="85"/>
    </row>
    <row r="1090" spans="1:39" hidden="1" x14ac:dyDescent="0.3">
      <c r="A1090" s="85" t="s">
        <v>34</v>
      </c>
      <c r="B1090" s="15" t="s">
        <v>35</v>
      </c>
      <c r="C1090" s="15" t="s">
        <v>164</v>
      </c>
      <c r="D1090" s="15" t="s">
        <v>174</v>
      </c>
      <c r="E1090" s="15" t="s">
        <v>1600</v>
      </c>
      <c r="F1090" s="15" t="s">
        <v>1600</v>
      </c>
      <c r="G1090" s="15" t="s">
        <v>1600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1601</v>
      </c>
      <c r="N1090" s="15"/>
      <c r="O1090" s="8" t="s">
        <v>410</v>
      </c>
      <c r="P1090" s="8" t="s">
        <v>41</v>
      </c>
      <c r="Q1090" s="14">
        <v>0</v>
      </c>
      <c r="R1090" s="139" t="s">
        <v>1602</v>
      </c>
      <c r="S1090" s="15"/>
      <c r="T1090" s="6">
        <v>0</v>
      </c>
      <c r="U1090" s="6">
        <v>3600000</v>
      </c>
      <c r="V1090" s="6">
        <v>1322827.64127</v>
      </c>
      <c r="W1090" s="18">
        <f t="shared" si="160"/>
        <v>2277172.35873</v>
      </c>
      <c r="X1090" s="18">
        <f t="shared" si="162"/>
        <v>1322827.64127</v>
      </c>
      <c r="Y1090" s="13">
        <f t="shared" si="153"/>
        <v>530513.07458445872</v>
      </c>
      <c r="Z1090" s="14">
        <v>0</v>
      </c>
      <c r="AA1090" s="4">
        <v>0</v>
      </c>
      <c r="AB1090" s="4">
        <f t="shared" si="154"/>
        <v>1322827.64127</v>
      </c>
      <c r="AC1090" s="6">
        <f t="shared" si="155"/>
        <v>0</v>
      </c>
      <c r="AD1090" s="6">
        <f t="shared" si="161"/>
        <v>792314.5666855413</v>
      </c>
      <c r="AE1090" s="2">
        <v>7.0000000000000007E-2</v>
      </c>
      <c r="AF1090" s="5">
        <f t="shared" si="156"/>
        <v>55462.019667987894</v>
      </c>
      <c r="AG1090" s="14">
        <v>0</v>
      </c>
      <c r="AH1090" s="19">
        <f t="shared" si="159"/>
        <v>1322827.64127</v>
      </c>
      <c r="AJ1090" s="126" t="e">
        <v>#N/A</v>
      </c>
      <c r="AK1090" s="80">
        <f t="shared" si="157"/>
        <v>0</v>
      </c>
      <c r="AM1090" s="85"/>
    </row>
    <row r="1091" spans="1:39" hidden="1" x14ac:dyDescent="0.3">
      <c r="A1091" s="85" t="s">
        <v>34</v>
      </c>
      <c r="B1091" s="15" t="s">
        <v>35</v>
      </c>
      <c r="C1091" s="15" t="s">
        <v>164</v>
      </c>
      <c r="D1091" s="15" t="s">
        <v>174</v>
      </c>
      <c r="E1091" s="15" t="s">
        <v>1603</v>
      </c>
      <c r="F1091" s="15" t="s">
        <v>1603</v>
      </c>
      <c r="G1091" s="15" t="s">
        <v>1603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1603</v>
      </c>
      <c r="N1091" s="15"/>
      <c r="O1091" s="8" t="s">
        <v>410</v>
      </c>
      <c r="P1091" s="8" t="s">
        <v>1327</v>
      </c>
      <c r="Q1091" s="14">
        <v>0</v>
      </c>
      <c r="R1091" s="139" t="s">
        <v>1604</v>
      </c>
      <c r="S1091" s="15"/>
      <c r="T1091" s="6">
        <v>14510.9</v>
      </c>
      <c r="U1091" s="6">
        <v>-4253.47</v>
      </c>
      <c r="V1091" s="6">
        <v>10257.43</v>
      </c>
      <c r="W1091" s="18">
        <f t="shared" si="160"/>
        <v>0</v>
      </c>
      <c r="X1091" s="18">
        <f t="shared" si="162"/>
        <v>10257.43</v>
      </c>
      <c r="Y1091" s="13">
        <f t="shared" ref="Y1091:Y1154" si="163">IF(X1091-AD1091&lt;=0,0,IF(P1091="返现",MAX(X1091-AC1091-AD1091,0),MAX(X1091-AD1091)))</f>
        <v>4113.6884026784328</v>
      </c>
      <c r="Z1091" s="14">
        <v>0</v>
      </c>
      <c r="AA1091" s="4">
        <v>0</v>
      </c>
      <c r="AB1091" s="4">
        <f t="shared" ref="AB1091:AB1154" si="164">X1091+AA1091</f>
        <v>10257.43</v>
      </c>
      <c r="AC1091" s="6">
        <f t="shared" ref="AC1091:AC1154" si="165">IF(P1091="返现",X1091*Q1091,V1091-X1091)</f>
        <v>0</v>
      </c>
      <c r="AD1091" s="6">
        <f t="shared" si="161"/>
        <v>6143.7415973215675</v>
      </c>
      <c r="AE1091" s="2">
        <v>7.0000000000000007E-2</v>
      </c>
      <c r="AF1091" s="5">
        <f t="shared" ref="AF1091:AF1154" si="166">AD1091*AE1091</f>
        <v>430.06191181250978</v>
      </c>
      <c r="AG1091" s="14">
        <v>0</v>
      </c>
      <c r="AH1091" s="19">
        <f t="shared" si="159"/>
        <v>10257.43</v>
      </c>
      <c r="AJ1091" s="126" t="e">
        <v>#N/A</v>
      </c>
      <c r="AK1091" s="80">
        <f t="shared" ref="AK1091:AK1154" si="167">X1091+AA1091-AB1091</f>
        <v>0</v>
      </c>
      <c r="AM1091" s="85"/>
    </row>
    <row r="1092" spans="1:39" hidden="1" x14ac:dyDescent="0.3">
      <c r="A1092" s="85" t="s">
        <v>34</v>
      </c>
      <c r="B1092" s="15" t="s">
        <v>35</v>
      </c>
      <c r="C1092" s="15" t="s">
        <v>164</v>
      </c>
      <c r="D1092" s="15" t="s">
        <v>174</v>
      </c>
      <c r="E1092" s="15" t="s">
        <v>1603</v>
      </c>
      <c r="F1092" s="15" t="s">
        <v>1603</v>
      </c>
      <c r="G1092" s="15" t="s">
        <v>1603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1603</v>
      </c>
      <c r="N1092" s="15"/>
      <c r="O1092" s="8" t="s">
        <v>410</v>
      </c>
      <c r="P1092" s="8" t="s">
        <v>46</v>
      </c>
      <c r="Q1092" s="14">
        <v>0.03</v>
      </c>
      <c r="R1092" s="139" t="s">
        <v>1604</v>
      </c>
      <c r="S1092" s="15"/>
      <c r="T1092" s="6">
        <v>0</v>
      </c>
      <c r="U1092" s="6">
        <v>164.67</v>
      </c>
      <c r="V1092" s="6">
        <v>164.67</v>
      </c>
      <c r="W1092" s="18">
        <f t="shared" si="160"/>
        <v>0</v>
      </c>
      <c r="X1092" s="18">
        <f t="shared" si="162"/>
        <v>159.87378640776697</v>
      </c>
      <c r="Y1092" s="13">
        <f t="shared" si="163"/>
        <v>61.243824630699763</v>
      </c>
      <c r="Z1092" s="14">
        <v>0</v>
      </c>
      <c r="AA1092" s="4">
        <v>0</v>
      </c>
      <c r="AB1092" s="4">
        <f t="shared" si="164"/>
        <v>159.87378640776697</v>
      </c>
      <c r="AC1092" s="6">
        <f t="shared" si="165"/>
        <v>4.7962135922330162</v>
      </c>
      <c r="AD1092" s="6">
        <f t="shared" si="161"/>
        <v>98.629961777067209</v>
      </c>
      <c r="AE1092" s="2">
        <v>7.0000000000000007E-2</v>
      </c>
      <c r="AF1092" s="5">
        <f t="shared" si="166"/>
        <v>6.904097324394705</v>
      </c>
      <c r="AG1092" s="14">
        <v>0</v>
      </c>
      <c r="AH1092" s="19">
        <f t="shared" si="159"/>
        <v>164.67</v>
      </c>
      <c r="AJ1092" s="126" t="e">
        <v>#N/A</v>
      </c>
      <c r="AK1092" s="80">
        <f t="shared" si="167"/>
        <v>0</v>
      </c>
      <c r="AM1092" s="85"/>
    </row>
    <row r="1093" spans="1:39" hidden="1" x14ac:dyDescent="0.3">
      <c r="A1093" s="85" t="s">
        <v>34</v>
      </c>
      <c r="B1093" s="15" t="s">
        <v>35</v>
      </c>
      <c r="C1093" s="15" t="s">
        <v>164</v>
      </c>
      <c r="D1093" s="15" t="s">
        <v>174</v>
      </c>
      <c r="E1093" s="15" t="s">
        <v>1605</v>
      </c>
      <c r="F1093" s="15" t="s">
        <v>1605</v>
      </c>
      <c r="G1093" s="15" t="s">
        <v>1605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1606</v>
      </c>
      <c r="N1093" s="15"/>
      <c r="O1093" s="8" t="s">
        <v>410</v>
      </c>
      <c r="P1093" s="8" t="s">
        <v>41</v>
      </c>
      <c r="Q1093" s="14">
        <v>0</v>
      </c>
      <c r="R1093" s="139" t="s">
        <v>1607</v>
      </c>
      <c r="S1093" s="15"/>
      <c r="T1093" s="6">
        <v>38472.459999999992</v>
      </c>
      <c r="U1093" s="6">
        <v>-38472.46</v>
      </c>
      <c r="V1093" s="6">
        <v>0</v>
      </c>
      <c r="W1093" s="18">
        <f t="shared" si="160"/>
        <v>-7.2759576141834259E-12</v>
      </c>
      <c r="X1093" s="18">
        <f t="shared" si="162"/>
        <v>0</v>
      </c>
      <c r="Y1093" s="13">
        <f t="shared" si="163"/>
        <v>0</v>
      </c>
      <c r="Z1093" s="14">
        <v>0</v>
      </c>
      <c r="AA1093" s="4">
        <v>0</v>
      </c>
      <c r="AB1093" s="4">
        <f t="shared" si="164"/>
        <v>0</v>
      </c>
      <c r="AC1093" s="6">
        <f t="shared" si="165"/>
        <v>0</v>
      </c>
      <c r="AD1093" s="6">
        <f t="shared" si="161"/>
        <v>0</v>
      </c>
      <c r="AE1093" s="2">
        <v>7.0000000000000007E-2</v>
      </c>
      <c r="AF1093" s="5">
        <f t="shared" si="166"/>
        <v>0</v>
      </c>
      <c r="AG1093" s="14">
        <v>0</v>
      </c>
      <c r="AH1093" s="19">
        <f t="shared" si="159"/>
        <v>0</v>
      </c>
      <c r="AJ1093" s="126" t="e">
        <v>#N/A</v>
      </c>
      <c r="AK1093" s="80">
        <f t="shared" si="167"/>
        <v>0</v>
      </c>
      <c r="AM1093" s="85"/>
    </row>
    <row r="1094" spans="1:39" hidden="1" x14ac:dyDescent="0.3">
      <c r="A1094" s="85" t="s">
        <v>34</v>
      </c>
      <c r="B1094" s="15" t="s">
        <v>35</v>
      </c>
      <c r="C1094" s="15" t="s">
        <v>164</v>
      </c>
      <c r="D1094" s="15" t="s">
        <v>174</v>
      </c>
      <c r="E1094" s="15" t="s">
        <v>1608</v>
      </c>
      <c r="F1094" s="15" t="s">
        <v>1608</v>
      </c>
      <c r="G1094" s="15" t="s">
        <v>1608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1608</v>
      </c>
      <c r="N1094" s="15"/>
      <c r="O1094" s="8" t="s">
        <v>410</v>
      </c>
      <c r="P1094" s="8" t="s">
        <v>41</v>
      </c>
      <c r="Q1094" s="14">
        <v>0</v>
      </c>
      <c r="R1094" s="139" t="s">
        <v>1609</v>
      </c>
      <c r="S1094" s="15"/>
      <c r="T1094" s="6">
        <v>0</v>
      </c>
      <c r="U1094" s="6">
        <v>120000</v>
      </c>
      <c r="V1094" s="6">
        <v>99573.6</v>
      </c>
      <c r="W1094" s="18">
        <f t="shared" si="160"/>
        <v>20426.399999999994</v>
      </c>
      <c r="X1094" s="18">
        <f t="shared" si="162"/>
        <v>99573.6</v>
      </c>
      <c r="Y1094" s="13">
        <f t="shared" si="163"/>
        <v>39933.469059300543</v>
      </c>
      <c r="Z1094" s="14">
        <v>0</v>
      </c>
      <c r="AA1094" s="4">
        <v>0</v>
      </c>
      <c r="AB1094" s="4">
        <f t="shared" si="164"/>
        <v>99573.6</v>
      </c>
      <c r="AC1094" s="6">
        <f t="shared" si="165"/>
        <v>0</v>
      </c>
      <c r="AD1094" s="6">
        <f t="shared" si="161"/>
        <v>59640.130940699462</v>
      </c>
      <c r="AE1094" s="2">
        <v>7.0000000000000007E-2</v>
      </c>
      <c r="AF1094" s="5">
        <f t="shared" si="166"/>
        <v>4174.8091658489629</v>
      </c>
      <c r="AG1094" s="14">
        <v>0</v>
      </c>
      <c r="AH1094" s="19">
        <f t="shared" si="159"/>
        <v>99573.6</v>
      </c>
      <c r="AJ1094" s="126" t="e">
        <v>#N/A</v>
      </c>
      <c r="AK1094" s="80">
        <f t="shared" si="167"/>
        <v>0</v>
      </c>
      <c r="AM1094" s="85"/>
    </row>
    <row r="1095" spans="1:39" hidden="1" x14ac:dyDescent="0.3">
      <c r="A1095" s="85" t="s">
        <v>34</v>
      </c>
      <c r="B1095" s="15" t="s">
        <v>35</v>
      </c>
      <c r="C1095" s="15" t="s">
        <v>164</v>
      </c>
      <c r="D1095" s="15" t="s">
        <v>174</v>
      </c>
      <c r="E1095" s="15" t="s">
        <v>1610</v>
      </c>
      <c r="F1095" s="15" t="s">
        <v>1610</v>
      </c>
      <c r="G1095" s="15" t="s">
        <v>1610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1610</v>
      </c>
      <c r="N1095" s="15"/>
      <c r="O1095" s="8" t="s">
        <v>410</v>
      </c>
      <c r="P1095" s="8" t="s">
        <v>41</v>
      </c>
      <c r="Q1095" s="14">
        <v>0</v>
      </c>
      <c r="R1095" s="139" t="s">
        <v>1611</v>
      </c>
      <c r="S1095" s="15"/>
      <c r="T1095" s="6">
        <v>0</v>
      </c>
      <c r="U1095" s="6">
        <v>10000</v>
      </c>
      <c r="V1095" s="6">
        <v>7781.9</v>
      </c>
      <c r="W1095" s="18">
        <f t="shared" si="160"/>
        <v>2218.1000000000004</v>
      </c>
      <c r="X1095" s="18">
        <f t="shared" si="162"/>
        <v>7781.9</v>
      </c>
      <c r="Y1095" s="13">
        <f t="shared" si="163"/>
        <v>3120.8901041297177</v>
      </c>
      <c r="Z1095" s="14">
        <v>0</v>
      </c>
      <c r="AA1095" s="4">
        <v>0</v>
      </c>
      <c r="AB1095" s="4">
        <f t="shared" si="164"/>
        <v>7781.9</v>
      </c>
      <c r="AC1095" s="6">
        <f t="shared" si="165"/>
        <v>0</v>
      </c>
      <c r="AD1095" s="6">
        <f t="shared" si="161"/>
        <v>4661.009895870282</v>
      </c>
      <c r="AE1095" s="2">
        <v>7.0000000000000007E-2</v>
      </c>
      <c r="AF1095" s="5">
        <f t="shared" si="166"/>
        <v>326.27069271091977</v>
      </c>
      <c r="AG1095" s="14">
        <v>0</v>
      </c>
      <c r="AH1095" s="19">
        <f t="shared" si="159"/>
        <v>7781.9</v>
      </c>
      <c r="AJ1095" s="126" t="e">
        <v>#N/A</v>
      </c>
      <c r="AK1095" s="80">
        <f t="shared" si="167"/>
        <v>0</v>
      </c>
      <c r="AM1095" s="85"/>
    </row>
    <row r="1096" spans="1:39" hidden="1" x14ac:dyDescent="0.3">
      <c r="A1096" s="85" t="s">
        <v>34</v>
      </c>
      <c r="B1096" s="15" t="s">
        <v>35</v>
      </c>
      <c r="C1096" s="15" t="s">
        <v>164</v>
      </c>
      <c r="D1096" s="15" t="s">
        <v>174</v>
      </c>
      <c r="E1096" s="15" t="s">
        <v>1612</v>
      </c>
      <c r="F1096" s="15" t="s">
        <v>1612</v>
      </c>
      <c r="G1096" s="15" t="s">
        <v>1612</v>
      </c>
      <c r="H1096" s="154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1612</v>
      </c>
      <c r="N1096" s="15"/>
      <c r="O1096" s="8" t="s">
        <v>410</v>
      </c>
      <c r="P1096" s="8" t="s">
        <v>41</v>
      </c>
      <c r="Q1096" s="14">
        <v>0</v>
      </c>
      <c r="R1096" s="139" t="s">
        <v>1613</v>
      </c>
      <c r="S1096" s="15"/>
      <c r="T1096" s="6">
        <v>8174.6</v>
      </c>
      <c r="U1096" s="6">
        <v>50000</v>
      </c>
      <c r="V1096" s="6">
        <v>57720</v>
      </c>
      <c r="W1096" s="18">
        <f t="shared" si="160"/>
        <v>454.59999999999854</v>
      </c>
      <c r="X1096" s="18">
        <f t="shared" si="162"/>
        <v>57720</v>
      </c>
      <c r="Y1096" s="13">
        <f t="shared" si="163"/>
        <v>23148.302703757094</v>
      </c>
      <c r="Z1096" s="14">
        <v>0</v>
      </c>
      <c r="AA1096" s="4">
        <v>0</v>
      </c>
      <c r="AB1096" s="4">
        <f t="shared" si="164"/>
        <v>57720</v>
      </c>
      <c r="AC1096" s="6">
        <f t="shared" si="165"/>
        <v>0</v>
      </c>
      <c r="AD1096" s="6">
        <f t="shared" si="161"/>
        <v>34571.697296242906</v>
      </c>
      <c r="AE1096" s="2">
        <v>7.0000000000000007E-2</v>
      </c>
      <c r="AF1096" s="5">
        <f t="shared" si="166"/>
        <v>2420.0188107370036</v>
      </c>
      <c r="AG1096" s="14">
        <v>0</v>
      </c>
      <c r="AH1096" s="19">
        <f t="shared" si="159"/>
        <v>57720</v>
      </c>
      <c r="AJ1096" s="126" t="e">
        <v>#N/A</v>
      </c>
      <c r="AK1096" s="80">
        <f t="shared" si="167"/>
        <v>0</v>
      </c>
      <c r="AM1096" s="85"/>
    </row>
    <row r="1097" spans="1:39" hidden="1" x14ac:dyDescent="0.3">
      <c r="A1097" s="85" t="s">
        <v>34</v>
      </c>
      <c r="B1097" s="15" t="s">
        <v>35</v>
      </c>
      <c r="C1097" s="15" t="s">
        <v>164</v>
      </c>
      <c r="D1097" s="15" t="s">
        <v>174</v>
      </c>
      <c r="E1097" s="15" t="s">
        <v>644</v>
      </c>
      <c r="F1097" s="15" t="s">
        <v>644</v>
      </c>
      <c r="G1097" s="15" t="s">
        <v>644</v>
      </c>
      <c r="H1097" s="154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1614</v>
      </c>
      <c r="N1097" s="15"/>
      <c r="O1097" s="8" t="s">
        <v>410</v>
      </c>
      <c r="P1097" s="8" t="s">
        <v>41</v>
      </c>
      <c r="Q1097" s="14">
        <v>0</v>
      </c>
      <c r="R1097" s="139" t="s">
        <v>1615</v>
      </c>
      <c r="S1097" s="15"/>
      <c r="T1097" s="6">
        <v>0</v>
      </c>
      <c r="U1097" s="6">
        <v>40000</v>
      </c>
      <c r="V1097" s="6">
        <v>19973.2</v>
      </c>
      <c r="W1097" s="18">
        <f t="shared" si="160"/>
        <v>20026.8</v>
      </c>
      <c r="X1097" s="18">
        <f t="shared" si="162"/>
        <v>19973.2</v>
      </c>
      <c r="Y1097" s="13">
        <f t="shared" si="163"/>
        <v>8010.1469085703611</v>
      </c>
      <c r="Z1097" s="14">
        <v>0</v>
      </c>
      <c r="AA1097" s="4">
        <v>0</v>
      </c>
      <c r="AB1097" s="4">
        <f t="shared" si="164"/>
        <v>19973.2</v>
      </c>
      <c r="AC1097" s="6">
        <f t="shared" si="165"/>
        <v>0</v>
      </c>
      <c r="AD1097" s="6">
        <f t="shared" si="161"/>
        <v>11963.05309142964</v>
      </c>
      <c r="AE1097" s="2">
        <v>7.0000000000000007E-2</v>
      </c>
      <c r="AF1097" s="5">
        <f t="shared" si="166"/>
        <v>837.4137164000748</v>
      </c>
      <c r="AG1097" s="14">
        <v>0</v>
      </c>
      <c r="AH1097" s="19">
        <f t="shared" si="159"/>
        <v>19973.2</v>
      </c>
      <c r="AJ1097" s="126" t="e">
        <v>#N/A</v>
      </c>
      <c r="AK1097" s="80">
        <f t="shared" si="167"/>
        <v>0</v>
      </c>
      <c r="AM1097" s="85"/>
    </row>
    <row r="1098" spans="1:39" hidden="1" x14ac:dyDescent="0.3">
      <c r="A1098" s="85" t="s">
        <v>34</v>
      </c>
      <c r="B1098" s="15" t="s">
        <v>35</v>
      </c>
      <c r="C1098" s="15" t="s">
        <v>164</v>
      </c>
      <c r="D1098" s="15" t="s">
        <v>174</v>
      </c>
      <c r="E1098" s="15" t="s">
        <v>646</v>
      </c>
      <c r="F1098" s="15" t="s">
        <v>646</v>
      </c>
      <c r="G1098" s="15" t="s">
        <v>646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646</v>
      </c>
      <c r="N1098" s="15"/>
      <c r="O1098" s="8" t="s">
        <v>410</v>
      </c>
      <c r="P1098" s="8" t="s">
        <v>41</v>
      </c>
      <c r="Q1098" s="14">
        <v>0</v>
      </c>
      <c r="R1098" s="139" t="s">
        <v>1616</v>
      </c>
      <c r="S1098" s="15"/>
      <c r="T1098" s="6">
        <v>0</v>
      </c>
      <c r="U1098" s="6">
        <v>30000</v>
      </c>
      <c r="V1098" s="6">
        <v>26502</v>
      </c>
      <c r="W1098" s="18">
        <f t="shared" si="160"/>
        <v>3498</v>
      </c>
      <c r="X1098" s="18">
        <f t="shared" si="162"/>
        <v>26502</v>
      </c>
      <c r="Y1098" s="13">
        <f t="shared" si="163"/>
        <v>10628.487842255206</v>
      </c>
      <c r="Z1098" s="14">
        <v>0</v>
      </c>
      <c r="AA1098" s="4">
        <v>0</v>
      </c>
      <c r="AB1098" s="4">
        <f t="shared" si="164"/>
        <v>26502</v>
      </c>
      <c r="AC1098" s="6">
        <f t="shared" si="165"/>
        <v>0</v>
      </c>
      <c r="AD1098" s="6">
        <f t="shared" si="161"/>
        <v>15873.512157744794</v>
      </c>
      <c r="AE1098" s="2">
        <v>7.0000000000000007E-2</v>
      </c>
      <c r="AF1098" s="5">
        <f t="shared" si="166"/>
        <v>1111.1458510421357</v>
      </c>
      <c r="AG1098" s="14">
        <v>0</v>
      </c>
      <c r="AH1098" s="19">
        <f t="shared" si="159"/>
        <v>26502</v>
      </c>
      <c r="AJ1098" s="126" t="e">
        <v>#N/A</v>
      </c>
      <c r="AK1098" s="80">
        <f t="shared" si="167"/>
        <v>0</v>
      </c>
      <c r="AM1098" s="85"/>
    </row>
    <row r="1099" spans="1:39" hidden="1" x14ac:dyDescent="0.3">
      <c r="A1099" s="85" t="s">
        <v>34</v>
      </c>
      <c r="B1099" s="15" t="s">
        <v>35</v>
      </c>
      <c r="C1099" s="15" t="s">
        <v>164</v>
      </c>
      <c r="D1099" s="15" t="s">
        <v>174</v>
      </c>
      <c r="E1099" s="15" t="s">
        <v>1617</v>
      </c>
      <c r="F1099" s="15" t="s">
        <v>1617</v>
      </c>
      <c r="G1099" s="15" t="s">
        <v>1617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1617</v>
      </c>
      <c r="N1099" s="15"/>
      <c r="O1099" s="8" t="s">
        <v>1196</v>
      </c>
      <c r="P1099" s="8" t="s">
        <v>46</v>
      </c>
      <c r="Q1099" s="14">
        <v>0.01</v>
      </c>
      <c r="R1099" s="139" t="s">
        <v>1618</v>
      </c>
      <c r="S1099" s="15"/>
      <c r="T1099" s="6">
        <v>229459.44263000001</v>
      </c>
      <c r="U1099" s="6">
        <v>50000</v>
      </c>
      <c r="V1099" s="6">
        <v>31117.53384</v>
      </c>
      <c r="W1099" s="18">
        <f t="shared" si="160"/>
        <v>248341.90879000002</v>
      </c>
      <c r="X1099" s="18">
        <f t="shared" si="162"/>
        <v>30809.439445544554</v>
      </c>
      <c r="Y1099" s="13">
        <f t="shared" si="163"/>
        <v>12171.429041489198</v>
      </c>
      <c r="Z1099" s="14">
        <v>0</v>
      </c>
      <c r="AA1099" s="4">
        <v>0</v>
      </c>
      <c r="AB1099" s="4">
        <f t="shared" si="164"/>
        <v>30809.439445544554</v>
      </c>
      <c r="AC1099" s="6">
        <f t="shared" si="165"/>
        <v>308.09439445544558</v>
      </c>
      <c r="AD1099" s="6">
        <f t="shared" si="161"/>
        <v>18638.010404055356</v>
      </c>
      <c r="AE1099" s="2">
        <v>0.12</v>
      </c>
      <c r="AF1099" s="5">
        <f t="shared" si="166"/>
        <v>2236.5612484866429</v>
      </c>
      <c r="AG1099" s="14">
        <v>0</v>
      </c>
      <c r="AH1099" s="19">
        <f t="shared" si="159"/>
        <v>31117.53384</v>
      </c>
      <c r="AJ1099" s="126" t="e">
        <v>#N/A</v>
      </c>
      <c r="AK1099" s="80">
        <f t="shared" si="167"/>
        <v>0</v>
      </c>
      <c r="AM1099" s="85"/>
    </row>
    <row r="1100" spans="1:39" hidden="1" x14ac:dyDescent="0.3">
      <c r="A1100" s="85" t="s">
        <v>34</v>
      </c>
      <c r="B1100" s="15" t="s">
        <v>35</v>
      </c>
      <c r="C1100" s="15" t="s">
        <v>164</v>
      </c>
      <c r="D1100" s="15" t="s">
        <v>174</v>
      </c>
      <c r="E1100" s="15" t="s">
        <v>1617</v>
      </c>
      <c r="F1100" s="15" t="s">
        <v>1617</v>
      </c>
      <c r="G1100" s="15" t="s">
        <v>1617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1617</v>
      </c>
      <c r="N1100" s="15"/>
      <c r="O1100" s="8" t="s">
        <v>1196</v>
      </c>
      <c r="P1100" s="8" t="s">
        <v>46</v>
      </c>
      <c r="Q1100" s="14">
        <v>0.01</v>
      </c>
      <c r="R1100" s="139" t="s">
        <v>1619</v>
      </c>
      <c r="S1100" s="15"/>
      <c r="T1100" s="6">
        <v>657219.20766999992</v>
      </c>
      <c r="U1100" s="6">
        <v>90000</v>
      </c>
      <c r="V1100" s="6">
        <v>13570.261270000001</v>
      </c>
      <c r="W1100" s="18">
        <f t="shared" si="160"/>
        <v>733648.9463999999</v>
      </c>
      <c r="X1100" s="18">
        <f t="shared" si="162"/>
        <v>13435.902247524753</v>
      </c>
      <c r="Y1100" s="13">
        <f t="shared" si="163"/>
        <v>5307.9229533915432</v>
      </c>
      <c r="Z1100" s="14">
        <v>0</v>
      </c>
      <c r="AA1100" s="4">
        <v>0</v>
      </c>
      <c r="AB1100" s="4">
        <f t="shared" si="164"/>
        <v>13435.902247524753</v>
      </c>
      <c r="AC1100" s="6">
        <f t="shared" si="165"/>
        <v>134.35902247524791</v>
      </c>
      <c r="AD1100" s="6">
        <f t="shared" si="161"/>
        <v>8127.9792941332098</v>
      </c>
      <c r="AE1100" s="2">
        <v>0.12</v>
      </c>
      <c r="AF1100" s="5">
        <f t="shared" si="166"/>
        <v>975.35751529598519</v>
      </c>
      <c r="AG1100" s="14">
        <v>0</v>
      </c>
      <c r="AH1100" s="19">
        <f t="shared" si="159"/>
        <v>13570.261270000001</v>
      </c>
      <c r="AJ1100" s="126" t="e">
        <v>#N/A</v>
      </c>
      <c r="AK1100" s="80">
        <f t="shared" si="167"/>
        <v>0</v>
      </c>
      <c r="AM1100" s="85"/>
    </row>
    <row r="1101" spans="1:39" hidden="1" x14ac:dyDescent="0.3">
      <c r="A1101" s="85" t="s">
        <v>34</v>
      </c>
      <c r="B1101" s="15" t="s">
        <v>35</v>
      </c>
      <c r="C1101" s="15" t="s">
        <v>164</v>
      </c>
      <c r="D1101" s="15" t="s">
        <v>174</v>
      </c>
      <c r="E1101" s="15" t="s">
        <v>1617</v>
      </c>
      <c r="F1101" s="15" t="s">
        <v>1617</v>
      </c>
      <c r="G1101" s="15" t="s">
        <v>1617</v>
      </c>
      <c r="H1101" s="139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1617</v>
      </c>
      <c r="N1101" s="15"/>
      <c r="O1101" s="8" t="s">
        <v>1196</v>
      </c>
      <c r="P1101" s="8" t="s">
        <v>46</v>
      </c>
      <c r="Q1101" s="14">
        <v>0.01</v>
      </c>
      <c r="R1101" s="139" t="s">
        <v>1620</v>
      </c>
      <c r="S1101" s="15"/>
      <c r="T1101" s="6">
        <v>90000</v>
      </c>
      <c r="U1101" s="6">
        <v>90000</v>
      </c>
      <c r="V1101" s="6">
        <v>0</v>
      </c>
      <c r="W1101" s="18">
        <f t="shared" si="160"/>
        <v>180000</v>
      </c>
      <c r="X1101" s="18">
        <f t="shared" si="162"/>
        <v>0</v>
      </c>
      <c r="Y1101" s="13">
        <f t="shared" si="163"/>
        <v>0</v>
      </c>
      <c r="Z1101" s="14">
        <v>0</v>
      </c>
      <c r="AA1101" s="4">
        <v>0</v>
      </c>
      <c r="AB1101" s="4">
        <f t="shared" si="164"/>
        <v>0</v>
      </c>
      <c r="AC1101" s="6">
        <f t="shared" si="165"/>
        <v>0</v>
      </c>
      <c r="AD1101" s="6">
        <f t="shared" si="161"/>
        <v>0</v>
      </c>
      <c r="AE1101" s="2">
        <v>0.12</v>
      </c>
      <c r="AF1101" s="5">
        <f t="shared" si="166"/>
        <v>0</v>
      </c>
      <c r="AG1101" s="14">
        <v>0</v>
      </c>
      <c r="AH1101" s="19">
        <f t="shared" si="159"/>
        <v>0</v>
      </c>
      <c r="AJ1101" s="126" t="e">
        <v>#N/A</v>
      </c>
      <c r="AK1101" s="80">
        <f t="shared" si="167"/>
        <v>0</v>
      </c>
      <c r="AM1101" s="85"/>
    </row>
    <row r="1102" spans="1:39" hidden="1" x14ac:dyDescent="0.3">
      <c r="A1102" s="85" t="s">
        <v>34</v>
      </c>
      <c r="B1102" s="15" t="s">
        <v>35</v>
      </c>
      <c r="C1102" s="15" t="s">
        <v>164</v>
      </c>
      <c r="D1102" s="15" t="s">
        <v>174</v>
      </c>
      <c r="E1102" s="15" t="s">
        <v>1617</v>
      </c>
      <c r="F1102" s="15" t="s">
        <v>1617</v>
      </c>
      <c r="G1102" s="15" t="s">
        <v>1617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1617</v>
      </c>
      <c r="N1102" s="15"/>
      <c r="O1102" s="8" t="s">
        <v>1196</v>
      </c>
      <c r="P1102" s="8" t="s">
        <v>46</v>
      </c>
      <c r="Q1102" s="14">
        <v>0.01</v>
      </c>
      <c r="R1102" s="139" t="s">
        <v>1621</v>
      </c>
      <c r="S1102" s="15"/>
      <c r="T1102" s="6">
        <v>19550.106530000008</v>
      </c>
      <c r="U1102" s="6">
        <v>70000</v>
      </c>
      <c r="V1102" s="6">
        <v>34234.757980000002</v>
      </c>
      <c r="W1102" s="18">
        <f t="shared" si="160"/>
        <v>55315.348550000002</v>
      </c>
      <c r="X1102" s="18">
        <f t="shared" si="162"/>
        <v>33895.799980198019</v>
      </c>
      <c r="Y1102" s="13">
        <f t="shared" si="163"/>
        <v>13390.711797684224</v>
      </c>
      <c r="Z1102" s="14">
        <v>0</v>
      </c>
      <c r="AA1102" s="4">
        <v>0</v>
      </c>
      <c r="AB1102" s="4">
        <f t="shared" si="164"/>
        <v>33895.799980198019</v>
      </c>
      <c r="AC1102" s="6">
        <f t="shared" si="165"/>
        <v>338.95799980198353</v>
      </c>
      <c r="AD1102" s="6">
        <f t="shared" si="161"/>
        <v>20505.088182513795</v>
      </c>
      <c r="AE1102" s="2">
        <v>0.12</v>
      </c>
      <c r="AF1102" s="5">
        <f t="shared" si="166"/>
        <v>2460.6105819016552</v>
      </c>
      <c r="AG1102" s="14">
        <v>0</v>
      </c>
      <c r="AH1102" s="19">
        <f t="shared" si="159"/>
        <v>34234.757980000002</v>
      </c>
      <c r="AJ1102" s="126" t="e">
        <v>#N/A</v>
      </c>
      <c r="AK1102" s="80">
        <f t="shared" si="167"/>
        <v>0</v>
      </c>
      <c r="AM1102" s="85"/>
    </row>
    <row r="1103" spans="1:39" hidden="1" x14ac:dyDescent="0.3">
      <c r="A1103" s="85" t="s">
        <v>34</v>
      </c>
      <c r="B1103" s="15" t="s">
        <v>35</v>
      </c>
      <c r="C1103" s="15" t="s">
        <v>164</v>
      </c>
      <c r="D1103" s="15" t="s">
        <v>174</v>
      </c>
      <c r="E1103" s="15" t="s">
        <v>1617</v>
      </c>
      <c r="F1103" s="15" t="s">
        <v>1617</v>
      </c>
      <c r="G1103" s="15" t="s">
        <v>1617</v>
      </c>
      <c r="H1103" s="154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1617</v>
      </c>
      <c r="N1103" s="15"/>
      <c r="O1103" s="8" t="s">
        <v>1196</v>
      </c>
      <c r="P1103" s="8" t="s">
        <v>46</v>
      </c>
      <c r="Q1103" s="14">
        <v>0.01</v>
      </c>
      <c r="R1103" s="139" t="s">
        <v>1622</v>
      </c>
      <c r="S1103" s="15"/>
      <c r="T1103" s="6">
        <v>36845.221470000004</v>
      </c>
      <c r="U1103" s="6">
        <v>50000</v>
      </c>
      <c r="V1103" s="6">
        <v>1432.8281899999999</v>
      </c>
      <c r="W1103" s="18">
        <f t="shared" si="160"/>
        <v>85412.393280000004</v>
      </c>
      <c r="X1103" s="18">
        <f t="shared" si="162"/>
        <v>1418.6417722772276</v>
      </c>
      <c r="Y1103" s="13">
        <f t="shared" si="163"/>
        <v>560.44179891957663</v>
      </c>
      <c r="Z1103" s="14">
        <v>0</v>
      </c>
      <c r="AA1103" s="4">
        <v>0</v>
      </c>
      <c r="AB1103" s="4">
        <f t="shared" si="164"/>
        <v>1418.6417722772276</v>
      </c>
      <c r="AC1103" s="6">
        <f t="shared" si="165"/>
        <v>14.186417722772376</v>
      </c>
      <c r="AD1103" s="6">
        <f t="shared" si="161"/>
        <v>858.19997335765095</v>
      </c>
      <c r="AE1103" s="2">
        <v>0.12</v>
      </c>
      <c r="AF1103" s="5">
        <f t="shared" si="166"/>
        <v>102.98399680291811</v>
      </c>
      <c r="AG1103" s="14">
        <v>0</v>
      </c>
      <c r="AH1103" s="19">
        <f t="shared" si="159"/>
        <v>1432.8281899999999</v>
      </c>
      <c r="AJ1103" s="126" t="e">
        <v>#N/A</v>
      </c>
      <c r="AK1103" s="80">
        <f t="shared" si="167"/>
        <v>0</v>
      </c>
      <c r="AM1103" s="85"/>
    </row>
    <row r="1104" spans="1:39" hidden="1" x14ac:dyDescent="0.3">
      <c r="A1104" s="85" t="s">
        <v>34</v>
      </c>
      <c r="B1104" s="15" t="s">
        <v>35</v>
      </c>
      <c r="C1104" s="15" t="s">
        <v>164</v>
      </c>
      <c r="D1104" s="15" t="s">
        <v>174</v>
      </c>
      <c r="E1104" s="15" t="s">
        <v>1617</v>
      </c>
      <c r="F1104" s="15" t="s">
        <v>1617</v>
      </c>
      <c r="G1104" s="15" t="s">
        <v>1617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1617</v>
      </c>
      <c r="N1104" s="15"/>
      <c r="O1104" s="8" t="s">
        <v>410</v>
      </c>
      <c r="P1104" s="8" t="s">
        <v>41</v>
      </c>
      <c r="Q1104" s="14">
        <v>0</v>
      </c>
      <c r="R1104" s="139" t="s">
        <v>1623</v>
      </c>
      <c r="S1104" s="15"/>
      <c r="T1104" s="6">
        <v>2631797.0556800012</v>
      </c>
      <c r="U1104" s="6">
        <v>6000000</v>
      </c>
      <c r="V1104" s="6">
        <v>6307582.4299900001</v>
      </c>
      <c r="W1104" s="18">
        <f t="shared" si="160"/>
        <v>2324214.6256900011</v>
      </c>
      <c r="X1104" s="18">
        <f t="shared" si="162"/>
        <v>6307582.4299900001</v>
      </c>
      <c r="Y1104" s="13">
        <f t="shared" si="163"/>
        <v>2529622.7896449803</v>
      </c>
      <c r="Z1104" s="14">
        <v>0</v>
      </c>
      <c r="AA1104" s="4">
        <v>0</v>
      </c>
      <c r="AB1104" s="4">
        <f t="shared" si="164"/>
        <v>6307582.4299900001</v>
      </c>
      <c r="AC1104" s="6">
        <f t="shared" si="165"/>
        <v>0</v>
      </c>
      <c r="AD1104" s="6">
        <f t="shared" si="161"/>
        <v>3777959.6403450198</v>
      </c>
      <c r="AE1104" s="2">
        <v>7.0000000000000007E-2</v>
      </c>
      <c r="AF1104" s="5">
        <f t="shared" si="166"/>
        <v>264457.17482415139</v>
      </c>
      <c r="AG1104" s="14">
        <v>0</v>
      </c>
      <c r="AH1104" s="19">
        <f t="shared" si="159"/>
        <v>6307582.4299900001</v>
      </c>
      <c r="AJ1104" s="126" t="e">
        <v>#N/A</v>
      </c>
      <c r="AK1104" s="80">
        <f t="shared" si="167"/>
        <v>0</v>
      </c>
      <c r="AM1104" s="85"/>
    </row>
    <row r="1105" spans="1:39" hidden="1" x14ac:dyDescent="0.3">
      <c r="A1105" s="85" t="s">
        <v>34</v>
      </c>
      <c r="B1105" s="15" t="s">
        <v>35</v>
      </c>
      <c r="C1105" s="15" t="s">
        <v>164</v>
      </c>
      <c r="D1105" s="15" t="s">
        <v>174</v>
      </c>
      <c r="E1105" s="15" t="s">
        <v>1624</v>
      </c>
      <c r="F1105" s="15" t="s">
        <v>1624</v>
      </c>
      <c r="G1105" s="15" t="s">
        <v>1624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1625</v>
      </c>
      <c r="N1105" s="15"/>
      <c r="O1105" s="8" t="s">
        <v>410</v>
      </c>
      <c r="P1105" s="8" t="s">
        <v>41</v>
      </c>
      <c r="Q1105" s="14">
        <v>0</v>
      </c>
      <c r="R1105" s="139" t="s">
        <v>1626</v>
      </c>
      <c r="S1105" s="15"/>
      <c r="T1105" s="6">
        <v>0</v>
      </c>
      <c r="U1105" s="6">
        <v>400000</v>
      </c>
      <c r="V1105" s="6">
        <v>378027.1</v>
      </c>
      <c r="W1105" s="18">
        <f t="shared" si="160"/>
        <v>21972.900000000023</v>
      </c>
      <c r="X1105" s="18">
        <f t="shared" si="162"/>
        <v>378027.1</v>
      </c>
      <c r="Y1105" s="13">
        <f t="shared" si="163"/>
        <v>151605.7820690134</v>
      </c>
      <c r="Z1105" s="14">
        <v>0</v>
      </c>
      <c r="AA1105" s="4">
        <v>0</v>
      </c>
      <c r="AB1105" s="4">
        <f t="shared" si="164"/>
        <v>378027.1</v>
      </c>
      <c r="AC1105" s="6">
        <f t="shared" si="165"/>
        <v>0</v>
      </c>
      <c r="AD1105" s="6">
        <f t="shared" si="161"/>
        <v>226421.31793098658</v>
      </c>
      <c r="AE1105" s="2">
        <v>7.0000000000000007E-2</v>
      </c>
      <c r="AF1105" s="5">
        <f t="shared" si="166"/>
        <v>15849.492255169062</v>
      </c>
      <c r="AG1105" s="14">
        <v>0</v>
      </c>
      <c r="AH1105" s="19">
        <f t="shared" si="159"/>
        <v>378027.1</v>
      </c>
      <c r="AJ1105" s="126" t="e">
        <v>#N/A</v>
      </c>
      <c r="AK1105" s="80">
        <f t="shared" si="167"/>
        <v>0</v>
      </c>
      <c r="AM1105" s="85"/>
    </row>
    <row r="1106" spans="1:39" hidden="1" x14ac:dyDescent="0.3">
      <c r="A1106" s="85" t="s">
        <v>34</v>
      </c>
      <c r="B1106" s="15" t="s">
        <v>35</v>
      </c>
      <c r="C1106" s="15" t="s">
        <v>164</v>
      </c>
      <c r="D1106" s="15" t="s">
        <v>174</v>
      </c>
      <c r="E1106" s="15" t="s">
        <v>1624</v>
      </c>
      <c r="F1106" s="15" t="s">
        <v>1624</v>
      </c>
      <c r="G1106" s="15" t="s">
        <v>1624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1624</v>
      </c>
      <c r="N1106" s="15"/>
      <c r="O1106" s="8" t="s">
        <v>410</v>
      </c>
      <c r="P1106" s="8" t="s">
        <v>41</v>
      </c>
      <c r="Q1106" s="14">
        <v>0</v>
      </c>
      <c r="R1106" s="139" t="s">
        <v>1627</v>
      </c>
      <c r="S1106" s="15"/>
      <c r="T1106" s="6">
        <v>0</v>
      </c>
      <c r="U1106" s="6">
        <v>404100.1</v>
      </c>
      <c r="V1106" s="6">
        <v>342659.80999999994</v>
      </c>
      <c r="W1106" s="18">
        <f t="shared" si="160"/>
        <v>61440.290000000037</v>
      </c>
      <c r="X1106" s="18">
        <f t="shared" si="162"/>
        <v>342659.80999999994</v>
      </c>
      <c r="Y1106" s="13">
        <f t="shared" si="163"/>
        <v>137421.91625592325</v>
      </c>
      <c r="Z1106" s="14">
        <v>0</v>
      </c>
      <c r="AA1106" s="4">
        <v>0</v>
      </c>
      <c r="AB1106" s="4">
        <f t="shared" si="164"/>
        <v>342659.80999999994</v>
      </c>
      <c r="AC1106" s="6">
        <f t="shared" si="165"/>
        <v>0</v>
      </c>
      <c r="AD1106" s="6">
        <f t="shared" si="161"/>
        <v>205237.89374407669</v>
      </c>
      <c r="AE1106" s="2">
        <v>7.0000000000000007E-2</v>
      </c>
      <c r="AF1106" s="5">
        <f t="shared" si="166"/>
        <v>14366.65256208537</v>
      </c>
      <c r="AG1106" s="14">
        <v>0</v>
      </c>
      <c r="AH1106" s="19">
        <f t="shared" si="159"/>
        <v>342659.80999999994</v>
      </c>
      <c r="AJ1106" s="126" t="e">
        <v>#N/A</v>
      </c>
      <c r="AK1106" s="80">
        <f t="shared" si="167"/>
        <v>0</v>
      </c>
      <c r="AM1106" s="85"/>
    </row>
    <row r="1107" spans="1:39" hidden="1" x14ac:dyDescent="0.3">
      <c r="A1107" s="85" t="s">
        <v>34</v>
      </c>
      <c r="B1107" s="15" t="s">
        <v>35</v>
      </c>
      <c r="C1107" s="15" t="s">
        <v>164</v>
      </c>
      <c r="D1107" s="15" t="s">
        <v>174</v>
      </c>
      <c r="E1107" s="15" t="s">
        <v>1624</v>
      </c>
      <c r="F1107" s="15" t="s">
        <v>1624</v>
      </c>
      <c r="G1107" s="15" t="s">
        <v>1624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1624</v>
      </c>
      <c r="N1107" s="15"/>
      <c r="O1107" s="8" t="s">
        <v>410</v>
      </c>
      <c r="P1107" s="8" t="s">
        <v>41</v>
      </c>
      <c r="Q1107" s="14">
        <v>0</v>
      </c>
      <c r="R1107" s="139" t="s">
        <v>1628</v>
      </c>
      <c r="S1107" s="15"/>
      <c r="T1107" s="6">
        <v>0</v>
      </c>
      <c r="U1107" s="6">
        <v>50000</v>
      </c>
      <c r="V1107" s="6">
        <v>4093</v>
      </c>
      <c r="W1107" s="18">
        <f t="shared" si="160"/>
        <v>45907</v>
      </c>
      <c r="X1107" s="18">
        <f t="shared" si="162"/>
        <v>4093</v>
      </c>
      <c r="Y1107" s="13">
        <f t="shared" si="163"/>
        <v>1641.4761428703705</v>
      </c>
      <c r="Z1107" s="14">
        <v>0</v>
      </c>
      <c r="AA1107" s="4">
        <v>0</v>
      </c>
      <c r="AB1107" s="4">
        <f t="shared" si="164"/>
        <v>4093</v>
      </c>
      <c r="AC1107" s="6">
        <f t="shared" si="165"/>
        <v>0</v>
      </c>
      <c r="AD1107" s="6">
        <f t="shared" si="161"/>
        <v>2451.5238571296295</v>
      </c>
      <c r="AE1107" s="2">
        <v>7.0000000000000007E-2</v>
      </c>
      <c r="AF1107" s="5">
        <f t="shared" si="166"/>
        <v>171.60666999907409</v>
      </c>
      <c r="AG1107" s="14">
        <v>0</v>
      </c>
      <c r="AH1107" s="19">
        <f t="shared" si="159"/>
        <v>4093</v>
      </c>
      <c r="AJ1107" s="126" t="e">
        <v>#N/A</v>
      </c>
      <c r="AK1107" s="80">
        <f t="shared" si="167"/>
        <v>0</v>
      </c>
      <c r="AM1107" s="85"/>
    </row>
    <row r="1108" spans="1:39" hidden="1" x14ac:dyDescent="0.3">
      <c r="A1108" s="85" t="s">
        <v>34</v>
      </c>
      <c r="B1108" s="15" t="s">
        <v>35</v>
      </c>
      <c r="C1108" s="15" t="s">
        <v>164</v>
      </c>
      <c r="D1108" s="15" t="s">
        <v>174</v>
      </c>
      <c r="E1108" s="15" t="s">
        <v>1624</v>
      </c>
      <c r="F1108" s="15" t="s">
        <v>1624</v>
      </c>
      <c r="G1108" s="15" t="s">
        <v>1624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1624</v>
      </c>
      <c r="N1108" s="15"/>
      <c r="O1108" s="8" t="s">
        <v>410</v>
      </c>
      <c r="P1108" s="8" t="s">
        <v>46</v>
      </c>
      <c r="Q1108" s="14">
        <v>0.03</v>
      </c>
      <c r="R1108" s="139" t="s">
        <v>1627</v>
      </c>
      <c r="S1108" s="15"/>
      <c r="T1108" s="6">
        <v>4101.6000000000349</v>
      </c>
      <c r="U1108" s="6">
        <v>-3923.109999999986</v>
      </c>
      <c r="V1108" s="6">
        <v>178.49000000004889</v>
      </c>
      <c r="W1108" s="18">
        <f t="shared" si="160"/>
        <v>0</v>
      </c>
      <c r="X1108" s="18">
        <f t="shared" si="162"/>
        <v>173.29126213596979</v>
      </c>
      <c r="Y1108" s="13">
        <f t="shared" si="163"/>
        <v>66.38373874012629</v>
      </c>
      <c r="Z1108" s="14">
        <v>0</v>
      </c>
      <c r="AA1108" s="4">
        <v>0</v>
      </c>
      <c r="AB1108" s="4">
        <f t="shared" si="164"/>
        <v>173.29126213596979</v>
      </c>
      <c r="AC1108" s="6">
        <f t="shared" si="165"/>
        <v>5.1987378640791064</v>
      </c>
      <c r="AD1108" s="6">
        <f t="shared" si="161"/>
        <v>106.9075233958435</v>
      </c>
      <c r="AE1108" s="2">
        <v>7.0000000000000007E-2</v>
      </c>
      <c r="AF1108" s="5">
        <f t="shared" si="166"/>
        <v>7.4835266377090459</v>
      </c>
      <c r="AG1108" s="14">
        <v>0</v>
      </c>
      <c r="AH1108" s="19">
        <f t="shared" si="159"/>
        <v>178.49000000004889</v>
      </c>
      <c r="AJ1108" s="126" t="e">
        <v>#N/A</v>
      </c>
      <c r="AK1108" s="80">
        <f t="shared" si="167"/>
        <v>0</v>
      </c>
      <c r="AM1108" s="85"/>
    </row>
    <row r="1109" spans="1:39" hidden="1" x14ac:dyDescent="0.3">
      <c r="A1109" s="85" t="s">
        <v>34</v>
      </c>
      <c r="B1109" s="15" t="s">
        <v>35</v>
      </c>
      <c r="C1109" s="15" t="s">
        <v>164</v>
      </c>
      <c r="D1109" s="15" t="s">
        <v>174</v>
      </c>
      <c r="E1109" s="15" t="s">
        <v>1624</v>
      </c>
      <c r="F1109" s="15" t="s">
        <v>1624</v>
      </c>
      <c r="G1109" s="15" t="s">
        <v>1624</v>
      </c>
      <c r="H1109" s="139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1624</v>
      </c>
      <c r="N1109" s="15"/>
      <c r="O1109" s="8" t="s">
        <v>410</v>
      </c>
      <c r="P1109" s="8" t="s">
        <v>46</v>
      </c>
      <c r="Q1109" s="14">
        <v>0.03</v>
      </c>
      <c r="R1109" s="139" t="s">
        <v>1628</v>
      </c>
      <c r="S1109" s="15"/>
      <c r="T1109" s="6">
        <v>0</v>
      </c>
      <c r="U1109" s="6">
        <v>0</v>
      </c>
      <c r="V1109" s="6">
        <v>0</v>
      </c>
      <c r="W1109" s="18">
        <f t="shared" si="160"/>
        <v>0</v>
      </c>
      <c r="X1109" s="18">
        <f t="shared" si="162"/>
        <v>0</v>
      </c>
      <c r="Y1109" s="13">
        <f t="shared" si="163"/>
        <v>0</v>
      </c>
      <c r="Z1109" s="14">
        <v>0</v>
      </c>
      <c r="AA1109" s="4">
        <v>0</v>
      </c>
      <c r="AB1109" s="4">
        <f t="shared" si="164"/>
        <v>0</v>
      </c>
      <c r="AC1109" s="6">
        <f t="shared" si="165"/>
        <v>0</v>
      </c>
      <c r="AD1109" s="6">
        <f t="shared" si="161"/>
        <v>0</v>
      </c>
      <c r="AE1109" s="2">
        <v>7.0000000000000007E-2</v>
      </c>
      <c r="AF1109" s="5">
        <f t="shared" si="166"/>
        <v>0</v>
      </c>
      <c r="AG1109" s="14">
        <v>0</v>
      </c>
      <c r="AH1109" s="19">
        <f t="shared" ref="AH1109:AH1172" si="168">V1109</f>
        <v>0</v>
      </c>
      <c r="AJ1109" s="126" t="e">
        <v>#N/A</v>
      </c>
      <c r="AK1109" s="80">
        <f t="shared" si="167"/>
        <v>0</v>
      </c>
      <c r="AM1109" s="85"/>
    </row>
    <row r="1110" spans="1:39" hidden="1" x14ac:dyDescent="0.3">
      <c r="A1110" s="85" t="s">
        <v>34</v>
      </c>
      <c r="B1110" s="15" t="s">
        <v>35</v>
      </c>
      <c r="C1110" s="15" t="s">
        <v>164</v>
      </c>
      <c r="D1110" s="15" t="s">
        <v>174</v>
      </c>
      <c r="E1110" s="15" t="s">
        <v>651</v>
      </c>
      <c r="F1110" s="15" t="s">
        <v>651</v>
      </c>
      <c r="G1110" s="15" t="s">
        <v>651</v>
      </c>
      <c r="H1110" s="154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1629</v>
      </c>
      <c r="N1110" s="15"/>
      <c r="O1110" s="8" t="s">
        <v>1196</v>
      </c>
      <c r="P1110" s="8" t="s">
        <v>46</v>
      </c>
      <c r="Q1110" s="14">
        <v>0.06</v>
      </c>
      <c r="R1110" s="139" t="s">
        <v>1630</v>
      </c>
      <c r="S1110" s="15"/>
      <c r="T1110" s="6">
        <v>579382.92492000002</v>
      </c>
      <c r="U1110" s="6">
        <v>0</v>
      </c>
      <c r="V1110" s="6">
        <v>0.41150999999999999</v>
      </c>
      <c r="W1110" s="18">
        <f t="shared" si="160"/>
        <v>579382.51341000001</v>
      </c>
      <c r="X1110" s="18">
        <f t="shared" si="162"/>
        <v>0.38821698113207542</v>
      </c>
      <c r="Y1110" s="13">
        <f t="shared" si="163"/>
        <v>0.1417409043064185</v>
      </c>
      <c r="Z1110" s="14">
        <v>0</v>
      </c>
      <c r="AA1110" s="4">
        <v>0</v>
      </c>
      <c r="AB1110" s="4">
        <f t="shared" si="164"/>
        <v>0.38821698113207542</v>
      </c>
      <c r="AC1110" s="6">
        <f t="shared" si="165"/>
        <v>2.3293018867924564E-2</v>
      </c>
      <c r="AD1110" s="6">
        <f t="shared" si="161"/>
        <v>0.24647607682565692</v>
      </c>
      <c r="AE1110" s="2">
        <v>0.12</v>
      </c>
      <c r="AF1110" s="5">
        <f t="shared" si="166"/>
        <v>2.9577129219078829E-2</v>
      </c>
      <c r="AG1110" s="14">
        <v>0</v>
      </c>
      <c r="AH1110" s="19">
        <f t="shared" si="168"/>
        <v>0.41150999999999999</v>
      </c>
      <c r="AJ1110" s="126" t="e">
        <v>#N/A</v>
      </c>
      <c r="AK1110" s="80">
        <f t="shared" si="167"/>
        <v>0</v>
      </c>
      <c r="AM1110" s="85"/>
    </row>
    <row r="1111" spans="1:39" hidden="1" x14ac:dyDescent="0.3">
      <c r="A1111" s="85" t="s">
        <v>34</v>
      </c>
      <c r="B1111" s="15" t="s">
        <v>35</v>
      </c>
      <c r="C1111" s="15" t="s">
        <v>164</v>
      </c>
      <c r="D1111" s="15" t="s">
        <v>174</v>
      </c>
      <c r="E1111" s="15" t="s">
        <v>1631</v>
      </c>
      <c r="F1111" s="15" t="s">
        <v>1632</v>
      </c>
      <c r="G1111" s="15" t="s">
        <v>1631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1631</v>
      </c>
      <c r="N1111" s="15"/>
      <c r="O1111" s="8" t="s">
        <v>410</v>
      </c>
      <c r="P1111" s="8" t="s">
        <v>41</v>
      </c>
      <c r="Q1111" s="14">
        <v>0</v>
      </c>
      <c r="R1111" s="139" t="s">
        <v>1633</v>
      </c>
      <c r="S1111" s="15"/>
      <c r="T1111" s="6">
        <v>0</v>
      </c>
      <c r="U1111" s="6">
        <v>160000</v>
      </c>
      <c r="V1111" s="6">
        <v>102383.2</v>
      </c>
      <c r="W1111" s="18">
        <f t="shared" si="160"/>
        <v>57616.800000000003</v>
      </c>
      <c r="X1111" s="18">
        <f t="shared" si="162"/>
        <v>102383.2</v>
      </c>
      <c r="Y1111" s="13">
        <f t="shared" si="163"/>
        <v>41060.244375940805</v>
      </c>
      <c r="Z1111" s="14">
        <v>0</v>
      </c>
      <c r="AA1111" s="4">
        <v>0</v>
      </c>
      <c r="AB1111" s="4">
        <f t="shared" si="164"/>
        <v>102383.2</v>
      </c>
      <c r="AC1111" s="6">
        <f t="shared" si="165"/>
        <v>0</v>
      </c>
      <c r="AD1111" s="6">
        <f t="shared" si="161"/>
        <v>61322.955624059192</v>
      </c>
      <c r="AE1111" s="2">
        <v>7.0000000000000007E-2</v>
      </c>
      <c r="AF1111" s="5">
        <f t="shared" si="166"/>
        <v>4292.6068936841439</v>
      </c>
      <c r="AG1111" s="14">
        <v>0</v>
      </c>
      <c r="AH1111" s="19">
        <f t="shared" si="168"/>
        <v>102383.2</v>
      </c>
      <c r="AJ1111" s="126" t="e">
        <v>#N/A</v>
      </c>
      <c r="AK1111" s="80">
        <f t="shared" si="167"/>
        <v>0</v>
      </c>
      <c r="AM1111" s="85"/>
    </row>
    <row r="1112" spans="1:39" hidden="1" x14ac:dyDescent="0.3">
      <c r="A1112" s="85" t="s">
        <v>34</v>
      </c>
      <c r="B1112" s="15" t="s">
        <v>35</v>
      </c>
      <c r="C1112" s="15" t="s">
        <v>164</v>
      </c>
      <c r="D1112" s="15" t="s">
        <v>174</v>
      </c>
      <c r="E1112" s="15" t="s">
        <v>1634</v>
      </c>
      <c r="F1112" s="15" t="s">
        <v>1635</v>
      </c>
      <c r="G1112" s="15" t="s">
        <v>1634</v>
      </c>
      <c r="H1112" s="139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1634</v>
      </c>
      <c r="N1112" s="15"/>
      <c r="O1112" s="8" t="s">
        <v>410</v>
      </c>
      <c r="P1112" s="8" t="s">
        <v>41</v>
      </c>
      <c r="Q1112" s="14">
        <v>0</v>
      </c>
      <c r="R1112" s="139" t="s">
        <v>1636</v>
      </c>
      <c r="S1112" s="15"/>
      <c r="T1112" s="6">
        <v>-4.3100000000849832</v>
      </c>
      <c r="U1112" s="6">
        <v>0</v>
      </c>
      <c r="V1112" s="6">
        <v>0</v>
      </c>
      <c r="W1112" s="18">
        <f t="shared" ref="W1112:W1175" si="169">T1112+U1112-V1112</f>
        <v>-4.3100000000849832</v>
      </c>
      <c r="X1112" s="18">
        <f t="shared" si="162"/>
        <v>0</v>
      </c>
      <c r="Y1112" s="13">
        <f t="shared" si="163"/>
        <v>0</v>
      </c>
      <c r="Z1112" s="14">
        <v>0</v>
      </c>
      <c r="AA1112" s="4">
        <v>0</v>
      </c>
      <c r="AB1112" s="4">
        <f t="shared" si="164"/>
        <v>0</v>
      </c>
      <c r="AC1112" s="6">
        <f t="shared" si="165"/>
        <v>0</v>
      </c>
      <c r="AD1112" s="6">
        <f t="shared" si="161"/>
        <v>0</v>
      </c>
      <c r="AE1112" s="2">
        <v>7.0000000000000007E-2</v>
      </c>
      <c r="AF1112" s="5">
        <f t="shared" si="166"/>
        <v>0</v>
      </c>
      <c r="AG1112" s="14">
        <v>0</v>
      </c>
      <c r="AH1112" s="19">
        <f t="shared" si="168"/>
        <v>0</v>
      </c>
      <c r="AJ1112" s="126" t="e">
        <v>#N/A</v>
      </c>
      <c r="AK1112" s="80">
        <f t="shared" si="167"/>
        <v>0</v>
      </c>
      <c r="AM1112" s="85"/>
    </row>
    <row r="1113" spans="1:39" hidden="1" x14ac:dyDescent="0.3">
      <c r="A1113" s="85" t="s">
        <v>34</v>
      </c>
      <c r="B1113" s="15" t="s">
        <v>35</v>
      </c>
      <c r="C1113" s="15" t="s">
        <v>164</v>
      </c>
      <c r="D1113" s="15" t="s">
        <v>174</v>
      </c>
      <c r="E1113" s="15" t="s">
        <v>1637</v>
      </c>
      <c r="F1113" s="15" t="s">
        <v>1637</v>
      </c>
      <c r="G1113" s="15" t="s">
        <v>1637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1637</v>
      </c>
      <c r="N1113" s="15"/>
      <c r="O1113" s="8" t="s">
        <v>410</v>
      </c>
      <c r="P1113" s="8" t="s">
        <v>41</v>
      </c>
      <c r="Q1113" s="14">
        <v>0</v>
      </c>
      <c r="R1113" s="139" t="s">
        <v>1638</v>
      </c>
      <c r="S1113" s="15"/>
      <c r="T1113" s="6">
        <v>0</v>
      </c>
      <c r="U1113" s="6">
        <v>40000</v>
      </c>
      <c r="V1113" s="6">
        <v>32627.5</v>
      </c>
      <c r="W1113" s="18">
        <f t="shared" si="169"/>
        <v>7372.5</v>
      </c>
      <c r="X1113" s="18">
        <f t="shared" si="162"/>
        <v>32627.5</v>
      </c>
      <c r="Y1113" s="13">
        <f t="shared" si="163"/>
        <v>13085.087430125339</v>
      </c>
      <c r="Z1113" s="14">
        <v>0</v>
      </c>
      <c r="AA1113" s="4">
        <v>0</v>
      </c>
      <c r="AB1113" s="4">
        <f t="shared" si="164"/>
        <v>32627.5</v>
      </c>
      <c r="AC1113" s="6">
        <f t="shared" si="165"/>
        <v>0</v>
      </c>
      <c r="AD1113" s="6">
        <f t="shared" si="161"/>
        <v>19542.412569874661</v>
      </c>
      <c r="AE1113" s="2">
        <v>7.0000000000000007E-2</v>
      </c>
      <c r="AF1113" s="5">
        <f t="shared" si="166"/>
        <v>1367.9688798912264</v>
      </c>
      <c r="AG1113" s="14">
        <v>0</v>
      </c>
      <c r="AH1113" s="19">
        <f t="shared" si="168"/>
        <v>32627.5</v>
      </c>
      <c r="AJ1113" s="126" t="e">
        <v>#N/A</v>
      </c>
      <c r="AK1113" s="80">
        <f t="shared" si="167"/>
        <v>0</v>
      </c>
      <c r="AM1113" s="85"/>
    </row>
    <row r="1114" spans="1:39" hidden="1" x14ac:dyDescent="0.3">
      <c r="A1114" s="85" t="s">
        <v>34</v>
      </c>
      <c r="B1114" s="15" t="s">
        <v>35</v>
      </c>
      <c r="C1114" s="15" t="s">
        <v>164</v>
      </c>
      <c r="D1114" s="15" t="s">
        <v>174</v>
      </c>
      <c r="E1114" s="15" t="s">
        <v>1639</v>
      </c>
      <c r="F1114" s="15" t="s">
        <v>1639</v>
      </c>
      <c r="G1114" s="15" t="s">
        <v>1639</v>
      </c>
      <c r="H1114" s="139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1639</v>
      </c>
      <c r="N1114" s="15"/>
      <c r="O1114" s="8" t="s">
        <v>410</v>
      </c>
      <c r="P1114" s="8" t="s">
        <v>41</v>
      </c>
      <c r="Q1114" s="14">
        <v>0</v>
      </c>
      <c r="R1114" s="139" t="s">
        <v>1640</v>
      </c>
      <c r="S1114" s="15"/>
      <c r="T1114" s="6">
        <v>0</v>
      </c>
      <c r="U1114" s="6">
        <v>0</v>
      </c>
      <c r="V1114" s="6">
        <v>0</v>
      </c>
      <c r="W1114" s="18">
        <f t="shared" si="169"/>
        <v>0</v>
      </c>
      <c r="X1114" s="18">
        <f t="shared" si="162"/>
        <v>0</v>
      </c>
      <c r="Y1114" s="13">
        <f t="shared" si="163"/>
        <v>0</v>
      </c>
      <c r="Z1114" s="14">
        <v>0</v>
      </c>
      <c r="AA1114" s="4">
        <v>0</v>
      </c>
      <c r="AB1114" s="4">
        <f t="shared" si="164"/>
        <v>0</v>
      </c>
      <c r="AC1114" s="6">
        <f t="shared" si="165"/>
        <v>0</v>
      </c>
      <c r="AD1114" s="6">
        <f t="shared" si="161"/>
        <v>0</v>
      </c>
      <c r="AE1114" s="2">
        <v>7.0000000000000007E-2</v>
      </c>
      <c r="AF1114" s="5">
        <f t="shared" si="166"/>
        <v>0</v>
      </c>
      <c r="AG1114" s="14">
        <v>0</v>
      </c>
      <c r="AH1114" s="19">
        <f t="shared" si="168"/>
        <v>0</v>
      </c>
      <c r="AJ1114" s="126" t="e">
        <v>#N/A</v>
      </c>
      <c r="AK1114" s="80">
        <f t="shared" si="167"/>
        <v>0</v>
      </c>
      <c r="AM1114" s="85"/>
    </row>
    <row r="1115" spans="1:39" hidden="1" x14ac:dyDescent="0.3">
      <c r="A1115" s="85" t="s">
        <v>34</v>
      </c>
      <c r="B1115" s="15" t="s">
        <v>35</v>
      </c>
      <c r="C1115" s="15" t="s">
        <v>164</v>
      </c>
      <c r="D1115" s="15" t="s">
        <v>174</v>
      </c>
      <c r="E1115" s="15" t="s">
        <v>1639</v>
      </c>
      <c r="F1115" s="15" t="s">
        <v>1639</v>
      </c>
      <c r="G1115" s="15" t="s">
        <v>1639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1639</v>
      </c>
      <c r="N1115" s="15"/>
      <c r="O1115" s="8" t="s">
        <v>410</v>
      </c>
      <c r="P1115" s="8" t="s">
        <v>41</v>
      </c>
      <c r="Q1115" s="14">
        <v>0</v>
      </c>
      <c r="R1115" s="139" t="s">
        <v>1641</v>
      </c>
      <c r="S1115" s="15"/>
      <c r="T1115" s="6">
        <v>17980.07</v>
      </c>
      <c r="U1115" s="6">
        <v>90000</v>
      </c>
      <c r="V1115" s="6">
        <v>70334.83</v>
      </c>
      <c r="W1115" s="18">
        <f t="shared" si="169"/>
        <v>37645.240000000005</v>
      </c>
      <c r="X1115" s="18">
        <f t="shared" si="162"/>
        <v>70334.83</v>
      </c>
      <c r="Y1115" s="13">
        <f t="shared" si="163"/>
        <v>28207.413989211636</v>
      </c>
      <c r="Z1115" s="14">
        <v>0</v>
      </c>
      <c r="AA1115" s="4">
        <v>0</v>
      </c>
      <c r="AB1115" s="4">
        <f t="shared" si="164"/>
        <v>70334.83</v>
      </c>
      <c r="AC1115" s="6">
        <f t="shared" si="165"/>
        <v>0</v>
      </c>
      <c r="AD1115" s="6">
        <f t="shared" si="161"/>
        <v>42127.416010788365</v>
      </c>
      <c r="AE1115" s="2">
        <v>7.0000000000000007E-2</v>
      </c>
      <c r="AF1115" s="5">
        <f t="shared" si="166"/>
        <v>2948.9191207551858</v>
      </c>
      <c r="AG1115" s="14">
        <v>0</v>
      </c>
      <c r="AH1115" s="19">
        <f t="shared" si="168"/>
        <v>70334.83</v>
      </c>
      <c r="AJ1115" s="126" t="e">
        <v>#N/A</v>
      </c>
      <c r="AK1115" s="80">
        <f t="shared" si="167"/>
        <v>0</v>
      </c>
      <c r="AM1115" s="85"/>
    </row>
    <row r="1116" spans="1:39" hidden="1" x14ac:dyDescent="0.3">
      <c r="A1116" s="85" t="s">
        <v>34</v>
      </c>
      <c r="B1116" s="15" t="s">
        <v>35</v>
      </c>
      <c r="C1116" s="15" t="s">
        <v>164</v>
      </c>
      <c r="D1116" s="15" t="s">
        <v>174</v>
      </c>
      <c r="E1116" s="15" t="s">
        <v>1642</v>
      </c>
      <c r="F1116" s="15" t="s">
        <v>1642</v>
      </c>
      <c r="G1116" s="15" t="s">
        <v>1642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1643</v>
      </c>
      <c r="N1116" s="15"/>
      <c r="O1116" s="8" t="s">
        <v>410</v>
      </c>
      <c r="P1116" s="8" t="s">
        <v>46</v>
      </c>
      <c r="Q1116" s="14">
        <v>0.02</v>
      </c>
      <c r="R1116" s="139">
        <v>13145946544</v>
      </c>
      <c r="S1116" s="15"/>
      <c r="T1116" s="6">
        <v>0</v>
      </c>
      <c r="U1116" s="6">
        <v>-9649</v>
      </c>
      <c r="V1116" s="6">
        <v>-9649</v>
      </c>
      <c r="W1116" s="18">
        <f t="shared" si="169"/>
        <v>0</v>
      </c>
      <c r="X1116" s="18">
        <f t="shared" si="162"/>
        <v>-9459.8039215686276</v>
      </c>
      <c r="Y1116" s="13">
        <f t="shared" si="163"/>
        <v>0</v>
      </c>
      <c r="Z1116" s="14">
        <v>0</v>
      </c>
      <c r="AA1116" s="4">
        <v>0</v>
      </c>
      <c r="AB1116" s="4">
        <f t="shared" si="164"/>
        <v>-9459.8039215686276</v>
      </c>
      <c r="AC1116" s="6">
        <f t="shared" si="165"/>
        <v>-189.19607843137237</v>
      </c>
      <c r="AD1116" s="6">
        <f t="shared" si="161"/>
        <v>-5779.3192517575853</v>
      </c>
      <c r="AE1116" s="2">
        <v>7.0000000000000007E-2</v>
      </c>
      <c r="AF1116" s="5">
        <f t="shared" si="166"/>
        <v>-404.55234762303104</v>
      </c>
      <c r="AG1116" s="14">
        <v>0</v>
      </c>
      <c r="AH1116" s="19">
        <f t="shared" si="168"/>
        <v>-9649</v>
      </c>
      <c r="AJ1116" s="126" t="e">
        <v>#N/A</v>
      </c>
      <c r="AK1116" s="80">
        <f t="shared" si="167"/>
        <v>0</v>
      </c>
      <c r="AM1116" s="85"/>
    </row>
    <row r="1117" spans="1:39" hidden="1" x14ac:dyDescent="0.3">
      <c r="A1117" s="85" t="s">
        <v>34</v>
      </c>
      <c r="B1117" s="15" t="s">
        <v>35</v>
      </c>
      <c r="C1117" s="15" t="s">
        <v>164</v>
      </c>
      <c r="D1117" s="15" t="s">
        <v>174</v>
      </c>
      <c r="E1117" s="15" t="s">
        <v>1642</v>
      </c>
      <c r="F1117" s="15" t="s">
        <v>1642</v>
      </c>
      <c r="G1117" s="15" t="s">
        <v>1642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1644</v>
      </c>
      <c r="N1117" s="15"/>
      <c r="O1117" s="8" t="s">
        <v>410</v>
      </c>
      <c r="P1117" s="8" t="s">
        <v>46</v>
      </c>
      <c r="Q1117" s="14">
        <v>0.02</v>
      </c>
      <c r="R1117" s="139" t="s">
        <v>3362</v>
      </c>
      <c r="S1117" s="15"/>
      <c r="T1117" s="6">
        <v>0</v>
      </c>
      <c r="U1117" s="6">
        <v>209649</v>
      </c>
      <c r="V1117" s="6">
        <v>148882.5</v>
      </c>
      <c r="W1117" s="18">
        <f t="shared" si="169"/>
        <v>60766.5</v>
      </c>
      <c r="X1117" s="18">
        <f t="shared" si="162"/>
        <v>145963.23529411765</v>
      </c>
      <c r="Y1117" s="13">
        <f t="shared" si="163"/>
        <v>56789.27959924785</v>
      </c>
      <c r="Z1117" s="14">
        <v>0</v>
      </c>
      <c r="AA1117" s="4">
        <v>0</v>
      </c>
      <c r="AB1117" s="4">
        <f t="shared" si="164"/>
        <v>145963.23529411765</v>
      </c>
      <c r="AC1117" s="6">
        <f t="shared" si="165"/>
        <v>2919.2647058823495</v>
      </c>
      <c r="AD1117" s="6">
        <f t="shared" si="161"/>
        <v>89173.955694869801</v>
      </c>
      <c r="AE1117" s="2">
        <v>7.0000000000000007E-2</v>
      </c>
      <c r="AF1117" s="5">
        <f t="shared" si="166"/>
        <v>6242.176898640887</v>
      </c>
      <c r="AG1117" s="14">
        <v>0</v>
      </c>
      <c r="AH1117" s="19">
        <f t="shared" si="168"/>
        <v>148882.5</v>
      </c>
      <c r="AJ1117" s="126" t="e">
        <v>#N/A</v>
      </c>
      <c r="AK1117" s="80">
        <f t="shared" si="167"/>
        <v>0</v>
      </c>
      <c r="AM1117" s="85"/>
    </row>
    <row r="1118" spans="1:39" hidden="1" x14ac:dyDescent="0.3">
      <c r="A1118" s="85" t="s">
        <v>34</v>
      </c>
      <c r="B1118" s="15" t="s">
        <v>35</v>
      </c>
      <c r="C1118" s="15" t="s">
        <v>164</v>
      </c>
      <c r="D1118" s="15" t="s">
        <v>174</v>
      </c>
      <c r="E1118" s="15" t="s">
        <v>1646</v>
      </c>
      <c r="F1118" s="15" t="s">
        <v>1646</v>
      </c>
      <c r="G1118" s="15" t="s">
        <v>1646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1646</v>
      </c>
      <c r="N1118" s="15"/>
      <c r="O1118" s="8" t="s">
        <v>410</v>
      </c>
      <c r="P1118" s="8" t="s">
        <v>41</v>
      </c>
      <c r="Q1118" s="14">
        <v>0</v>
      </c>
      <c r="R1118" s="139" t="s">
        <v>1647</v>
      </c>
      <c r="S1118" s="15"/>
      <c r="T1118" s="6">
        <v>11973.5</v>
      </c>
      <c r="U1118" s="6">
        <v>-2748.4</v>
      </c>
      <c r="V1118" s="6">
        <v>9225.1</v>
      </c>
      <c r="W1118" s="18">
        <f t="shared" si="169"/>
        <v>0</v>
      </c>
      <c r="X1118" s="18">
        <f t="shared" si="162"/>
        <v>9225.1</v>
      </c>
      <c r="Y1118" s="13">
        <f t="shared" si="163"/>
        <v>3699.6778806727234</v>
      </c>
      <c r="Z1118" s="14">
        <v>0</v>
      </c>
      <c r="AA1118" s="4">
        <v>0</v>
      </c>
      <c r="AB1118" s="4">
        <f t="shared" si="164"/>
        <v>9225.1</v>
      </c>
      <c r="AC1118" s="6">
        <f t="shared" si="165"/>
        <v>0</v>
      </c>
      <c r="AD1118" s="6">
        <f t="shared" si="161"/>
        <v>5525.422119327277</v>
      </c>
      <c r="AE1118" s="2">
        <v>7.0000000000000007E-2</v>
      </c>
      <c r="AF1118" s="5">
        <f t="shared" si="166"/>
        <v>386.77954835290944</v>
      </c>
      <c r="AG1118" s="14">
        <v>0</v>
      </c>
      <c r="AH1118" s="19">
        <f t="shared" si="168"/>
        <v>9225.1</v>
      </c>
      <c r="AJ1118" s="126" t="e">
        <v>#N/A</v>
      </c>
      <c r="AK1118" s="80">
        <f t="shared" si="167"/>
        <v>0</v>
      </c>
      <c r="AM1118" s="85"/>
    </row>
    <row r="1119" spans="1:39" hidden="1" x14ac:dyDescent="0.3">
      <c r="A1119" s="85" t="s">
        <v>34</v>
      </c>
      <c r="B1119" s="15" t="s">
        <v>35</v>
      </c>
      <c r="C1119" s="15" t="s">
        <v>164</v>
      </c>
      <c r="D1119" s="15" t="s">
        <v>174</v>
      </c>
      <c r="E1119" s="15" t="s">
        <v>1648</v>
      </c>
      <c r="F1119" s="15" t="s">
        <v>1648</v>
      </c>
      <c r="G1119" s="15" t="s">
        <v>1648</v>
      </c>
      <c r="H1119" s="139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1649</v>
      </c>
      <c r="N1119" s="15"/>
      <c r="O1119" s="8" t="s">
        <v>410</v>
      </c>
      <c r="P1119" s="8" t="s">
        <v>46</v>
      </c>
      <c r="Q1119" s="14">
        <v>0.03</v>
      </c>
      <c r="R1119" s="139" t="s">
        <v>1650</v>
      </c>
      <c r="S1119" s="15"/>
      <c r="T1119" s="6">
        <v>0</v>
      </c>
      <c r="U1119" s="6">
        <v>0</v>
      </c>
      <c r="V1119" s="6">
        <v>0</v>
      </c>
      <c r="W1119" s="18">
        <f t="shared" si="169"/>
        <v>0</v>
      </c>
      <c r="X1119" s="18">
        <f t="shared" si="162"/>
        <v>0</v>
      </c>
      <c r="Y1119" s="13">
        <f t="shared" si="163"/>
        <v>0</v>
      </c>
      <c r="Z1119" s="14">
        <v>0</v>
      </c>
      <c r="AA1119" s="4">
        <v>0</v>
      </c>
      <c r="AB1119" s="4">
        <f t="shared" si="164"/>
        <v>0</v>
      </c>
      <c r="AC1119" s="6">
        <f t="shared" si="165"/>
        <v>0</v>
      </c>
      <c r="AD1119" s="6">
        <f t="shared" si="161"/>
        <v>0</v>
      </c>
      <c r="AE1119" s="2">
        <v>7.0000000000000007E-2</v>
      </c>
      <c r="AF1119" s="5">
        <f t="shared" si="166"/>
        <v>0</v>
      </c>
      <c r="AG1119" s="14">
        <v>0</v>
      </c>
      <c r="AH1119" s="19">
        <f t="shared" si="168"/>
        <v>0</v>
      </c>
      <c r="AJ1119" s="126" t="e">
        <v>#N/A</v>
      </c>
      <c r="AK1119" s="80">
        <f t="shared" si="167"/>
        <v>0</v>
      </c>
      <c r="AM1119" s="85"/>
    </row>
    <row r="1120" spans="1:39" hidden="1" x14ac:dyDescent="0.3">
      <c r="A1120" s="85" t="s">
        <v>34</v>
      </c>
      <c r="B1120" s="15" t="s">
        <v>35</v>
      </c>
      <c r="C1120" s="15" t="s">
        <v>164</v>
      </c>
      <c r="D1120" s="15" t="s">
        <v>174</v>
      </c>
      <c r="E1120" s="15" t="s">
        <v>1651</v>
      </c>
      <c r="F1120" s="15" t="s">
        <v>1651</v>
      </c>
      <c r="G1120" s="15" t="s">
        <v>1651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1652</v>
      </c>
      <c r="N1120" s="15"/>
      <c r="O1120" s="8" t="s">
        <v>410</v>
      </c>
      <c r="P1120" s="8" t="s">
        <v>41</v>
      </c>
      <c r="Q1120" s="14">
        <v>0</v>
      </c>
      <c r="R1120" s="139" t="s">
        <v>1653</v>
      </c>
      <c r="S1120" s="15"/>
      <c r="T1120" s="6">
        <v>3102.84</v>
      </c>
      <c r="U1120" s="6">
        <v>9000</v>
      </c>
      <c r="V1120" s="6">
        <v>8744.1</v>
      </c>
      <c r="W1120" s="18">
        <f t="shared" si="169"/>
        <v>3358.74</v>
      </c>
      <c r="X1120" s="18">
        <f t="shared" si="162"/>
        <v>8744.1</v>
      </c>
      <c r="Y1120" s="13">
        <f t="shared" si="163"/>
        <v>3506.7753581414136</v>
      </c>
      <c r="Z1120" s="14">
        <v>0</v>
      </c>
      <c r="AA1120" s="4">
        <v>0</v>
      </c>
      <c r="AB1120" s="4">
        <f t="shared" si="164"/>
        <v>8744.1</v>
      </c>
      <c r="AC1120" s="6">
        <f t="shared" si="165"/>
        <v>0</v>
      </c>
      <c r="AD1120" s="6">
        <f t="shared" si="161"/>
        <v>5237.3246418585868</v>
      </c>
      <c r="AE1120" s="2">
        <v>7.0000000000000007E-2</v>
      </c>
      <c r="AF1120" s="5">
        <f t="shared" si="166"/>
        <v>366.61272493010114</v>
      </c>
      <c r="AG1120" s="14">
        <v>0</v>
      </c>
      <c r="AH1120" s="19">
        <f t="shared" si="168"/>
        <v>8744.1</v>
      </c>
      <c r="AJ1120" s="126" t="e">
        <v>#N/A</v>
      </c>
      <c r="AK1120" s="80">
        <f t="shared" si="167"/>
        <v>0</v>
      </c>
      <c r="AM1120" s="85"/>
    </row>
    <row r="1121" spans="1:39" hidden="1" x14ac:dyDescent="0.3">
      <c r="A1121" s="85" t="s">
        <v>34</v>
      </c>
      <c r="B1121" s="15" t="s">
        <v>35</v>
      </c>
      <c r="C1121" s="15" t="s">
        <v>164</v>
      </c>
      <c r="D1121" s="15" t="s">
        <v>174</v>
      </c>
      <c r="E1121" s="15" t="s">
        <v>1654</v>
      </c>
      <c r="F1121" s="15" t="s">
        <v>1654</v>
      </c>
      <c r="G1121" s="15" t="s">
        <v>1654</v>
      </c>
      <c r="H1121" s="154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1654</v>
      </c>
      <c r="N1121" s="15"/>
      <c r="O1121" s="8" t="s">
        <v>410</v>
      </c>
      <c r="P1121" s="8" t="s">
        <v>41</v>
      </c>
      <c r="Q1121" s="14">
        <v>0</v>
      </c>
      <c r="R1121" s="139" t="s">
        <v>1655</v>
      </c>
      <c r="S1121" s="15"/>
      <c r="T1121" s="6">
        <v>3000</v>
      </c>
      <c r="U1121" s="6">
        <v>3000</v>
      </c>
      <c r="V1121" s="6">
        <v>3705.8499999999995</v>
      </c>
      <c r="W1121" s="18">
        <f t="shared" si="169"/>
        <v>2294.1500000000005</v>
      </c>
      <c r="X1121" s="18">
        <f t="shared" si="162"/>
        <v>3705.8499999999995</v>
      </c>
      <c r="Y1121" s="13">
        <f t="shared" si="163"/>
        <v>1486.2116696936628</v>
      </c>
      <c r="Z1121" s="14">
        <v>0</v>
      </c>
      <c r="AA1121" s="4">
        <v>0</v>
      </c>
      <c r="AB1121" s="4">
        <f t="shared" si="164"/>
        <v>3705.8499999999995</v>
      </c>
      <c r="AC1121" s="6">
        <f t="shared" si="165"/>
        <v>0</v>
      </c>
      <c r="AD1121" s="6">
        <f t="shared" ref="AD1121:AD1184" si="170">V1121*0.598955254612663</f>
        <v>2219.6383303063367</v>
      </c>
      <c r="AE1121" s="2">
        <v>7.0000000000000007E-2</v>
      </c>
      <c r="AF1121" s="5">
        <f t="shared" si="166"/>
        <v>155.37468312144358</v>
      </c>
      <c r="AG1121" s="14">
        <v>0</v>
      </c>
      <c r="AH1121" s="19">
        <f t="shared" si="168"/>
        <v>3705.8499999999995</v>
      </c>
      <c r="AJ1121" s="126" t="e">
        <v>#N/A</v>
      </c>
      <c r="AK1121" s="80">
        <f t="shared" si="167"/>
        <v>0</v>
      </c>
      <c r="AM1121" s="85"/>
    </row>
    <row r="1122" spans="1:39" hidden="1" x14ac:dyDescent="0.3">
      <c r="A1122" s="85" t="s">
        <v>34</v>
      </c>
      <c r="B1122" s="15" t="s">
        <v>35</v>
      </c>
      <c r="C1122" s="15" t="s">
        <v>164</v>
      </c>
      <c r="D1122" s="15" t="s">
        <v>174</v>
      </c>
      <c r="E1122" s="15" t="s">
        <v>1656</v>
      </c>
      <c r="F1122" s="15" t="s">
        <v>1656</v>
      </c>
      <c r="G1122" s="15" t="s">
        <v>1656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1656</v>
      </c>
      <c r="N1122" s="15"/>
      <c r="O1122" s="8" t="s">
        <v>410</v>
      </c>
      <c r="P1122" s="8" t="s">
        <v>41</v>
      </c>
      <c r="Q1122" s="14">
        <v>0</v>
      </c>
      <c r="R1122" s="139" t="s">
        <v>1657</v>
      </c>
      <c r="S1122" s="15"/>
      <c r="T1122" s="6">
        <v>9352.2000000000007</v>
      </c>
      <c r="U1122" s="6">
        <v>10000</v>
      </c>
      <c r="V1122" s="6">
        <v>12367.5</v>
      </c>
      <c r="W1122" s="18">
        <f t="shared" si="169"/>
        <v>6984.7000000000007</v>
      </c>
      <c r="X1122" s="18">
        <f t="shared" si="162"/>
        <v>12367.5</v>
      </c>
      <c r="Y1122" s="13">
        <f t="shared" si="163"/>
        <v>4959.9208885778908</v>
      </c>
      <c r="Z1122" s="14">
        <v>0</v>
      </c>
      <c r="AA1122" s="4">
        <v>0</v>
      </c>
      <c r="AB1122" s="4"/>
      <c r="AC1122" s="6">
        <f t="shared" si="165"/>
        <v>0</v>
      </c>
      <c r="AD1122" s="6">
        <f t="shared" si="170"/>
        <v>7407.5791114221092</v>
      </c>
      <c r="AE1122" s="2">
        <v>7.0000000000000007E-2</v>
      </c>
      <c r="AF1122" s="5">
        <f t="shared" si="166"/>
        <v>518.53053779954769</v>
      </c>
      <c r="AG1122" s="14">
        <v>0</v>
      </c>
      <c r="AH1122" s="19">
        <f t="shared" si="168"/>
        <v>12367.5</v>
      </c>
      <c r="AJ1122" s="126">
        <v>114</v>
      </c>
      <c r="AK1122" s="80">
        <f t="shared" si="167"/>
        <v>12367.5</v>
      </c>
      <c r="AM1122" s="85"/>
    </row>
    <row r="1123" spans="1:39" hidden="1" x14ac:dyDescent="0.3">
      <c r="A1123" s="85" t="s">
        <v>34</v>
      </c>
      <c r="B1123" s="15" t="s">
        <v>35</v>
      </c>
      <c r="C1123" s="15" t="s">
        <v>164</v>
      </c>
      <c r="D1123" s="15" t="s">
        <v>174</v>
      </c>
      <c r="E1123" s="15" t="s">
        <v>1658</v>
      </c>
      <c r="F1123" s="15" t="s">
        <v>1658</v>
      </c>
      <c r="G1123" s="15" t="s">
        <v>1658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1659</v>
      </c>
      <c r="N1123" s="15"/>
      <c r="O1123" s="8" t="s">
        <v>410</v>
      </c>
      <c r="P1123" s="8" t="s">
        <v>41</v>
      </c>
      <c r="Q1123" s="14">
        <v>0</v>
      </c>
      <c r="R1123" s="139" t="s">
        <v>1660</v>
      </c>
      <c r="S1123" s="15"/>
      <c r="T1123" s="6">
        <v>0</v>
      </c>
      <c r="U1123" s="6">
        <v>20000</v>
      </c>
      <c r="V1123" s="6">
        <v>16380.26</v>
      </c>
      <c r="W1123" s="18">
        <f t="shared" si="169"/>
        <v>3619.74</v>
      </c>
      <c r="X1123" s="18">
        <f t="shared" si="162"/>
        <v>16380.26</v>
      </c>
      <c r="Y1123" s="13">
        <f t="shared" si="163"/>
        <v>6569.2172010783815</v>
      </c>
      <c r="Z1123" s="14">
        <v>0</v>
      </c>
      <c r="AA1123" s="4">
        <v>0</v>
      </c>
      <c r="AB1123" s="4">
        <f t="shared" si="164"/>
        <v>16380.26</v>
      </c>
      <c r="AC1123" s="6">
        <f t="shared" si="165"/>
        <v>0</v>
      </c>
      <c r="AD1123" s="6">
        <f t="shared" si="170"/>
        <v>9811.0427989216187</v>
      </c>
      <c r="AE1123" s="2">
        <v>7.0000000000000007E-2</v>
      </c>
      <c r="AF1123" s="5">
        <f t="shared" si="166"/>
        <v>686.77299592451334</v>
      </c>
      <c r="AG1123" s="14">
        <v>0</v>
      </c>
      <c r="AH1123" s="19">
        <f t="shared" si="168"/>
        <v>16380.26</v>
      </c>
      <c r="AJ1123" s="126" t="e">
        <v>#N/A</v>
      </c>
      <c r="AK1123" s="80">
        <f t="shared" si="167"/>
        <v>0</v>
      </c>
      <c r="AM1123" s="85"/>
    </row>
    <row r="1124" spans="1:39" hidden="1" x14ac:dyDescent="0.3">
      <c r="A1124" s="85" t="s">
        <v>34</v>
      </c>
      <c r="B1124" s="15" t="s">
        <v>35</v>
      </c>
      <c r="C1124" s="15" t="s">
        <v>164</v>
      </c>
      <c r="D1124" s="15" t="s">
        <v>174</v>
      </c>
      <c r="E1124" s="15" t="s">
        <v>1661</v>
      </c>
      <c r="F1124" s="15" t="s">
        <v>1661</v>
      </c>
      <c r="G1124" s="15" t="s">
        <v>1661</v>
      </c>
      <c r="H1124" s="154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1661</v>
      </c>
      <c r="N1124" s="15"/>
      <c r="O1124" s="8" t="s">
        <v>410</v>
      </c>
      <c r="P1124" s="8" t="s">
        <v>41</v>
      </c>
      <c r="Q1124" s="14">
        <v>0</v>
      </c>
      <c r="R1124" s="139">
        <v>3157172745</v>
      </c>
      <c r="S1124" s="15"/>
      <c r="T1124" s="6">
        <v>24333.3</v>
      </c>
      <c r="U1124" s="6">
        <v>80000</v>
      </c>
      <c r="V1124" s="6">
        <v>84197.17</v>
      </c>
      <c r="W1124" s="18">
        <f t="shared" si="169"/>
        <v>20136.130000000005</v>
      </c>
      <c r="X1124" s="18">
        <f t="shared" si="162"/>
        <v>84197.17</v>
      </c>
      <c r="Y1124" s="13">
        <f t="shared" si="163"/>
        <v>33766.832604984331</v>
      </c>
      <c r="Z1124" s="14">
        <v>0</v>
      </c>
      <c r="AA1124" s="4">
        <v>0</v>
      </c>
      <c r="AB1124" s="4">
        <f t="shared" si="164"/>
        <v>84197.17</v>
      </c>
      <c r="AC1124" s="6">
        <f t="shared" si="165"/>
        <v>0</v>
      </c>
      <c r="AD1124" s="6">
        <f t="shared" si="170"/>
        <v>50430.337395015667</v>
      </c>
      <c r="AE1124" s="2">
        <v>7.0000000000000007E-2</v>
      </c>
      <c r="AF1124" s="5">
        <f t="shared" si="166"/>
        <v>3530.123617651097</v>
      </c>
      <c r="AG1124" s="14">
        <v>0</v>
      </c>
      <c r="AH1124" s="19">
        <f t="shared" si="168"/>
        <v>84197.17</v>
      </c>
      <c r="AJ1124" s="126" t="e">
        <v>#N/A</v>
      </c>
      <c r="AK1124" s="80">
        <f t="shared" si="167"/>
        <v>0</v>
      </c>
      <c r="AM1124" s="85"/>
    </row>
    <row r="1125" spans="1:39" hidden="1" x14ac:dyDescent="0.3">
      <c r="A1125" s="85" t="s">
        <v>34</v>
      </c>
      <c r="B1125" s="15" t="s">
        <v>35</v>
      </c>
      <c r="C1125" s="15" t="s">
        <v>164</v>
      </c>
      <c r="D1125" s="15" t="s">
        <v>174</v>
      </c>
      <c r="E1125" s="15" t="s">
        <v>1661</v>
      </c>
      <c r="F1125" s="15" t="s">
        <v>1661</v>
      </c>
      <c r="G1125" s="15" t="s">
        <v>1661</v>
      </c>
      <c r="H1125" s="139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1661</v>
      </c>
      <c r="N1125" s="15"/>
      <c r="O1125" s="8" t="s">
        <v>410</v>
      </c>
      <c r="P1125" s="8" t="s">
        <v>46</v>
      </c>
      <c r="Q1125" s="14">
        <v>0.02</v>
      </c>
      <c r="R1125" s="139">
        <v>3157172745</v>
      </c>
      <c r="S1125" s="15" t="s">
        <v>1168</v>
      </c>
      <c r="T1125" s="6">
        <v>0</v>
      </c>
      <c r="U1125" s="6">
        <v>513.33000000000004</v>
      </c>
      <c r="V1125" s="6">
        <v>513.33000000000004</v>
      </c>
      <c r="W1125" s="18">
        <f t="shared" si="169"/>
        <v>0</v>
      </c>
      <c r="X1125" s="18">
        <v>0</v>
      </c>
      <c r="Y1125" s="13">
        <f t="shared" si="163"/>
        <v>0</v>
      </c>
      <c r="Z1125" s="14">
        <v>0</v>
      </c>
      <c r="AA1125" s="4">
        <v>0</v>
      </c>
      <c r="AB1125" s="4">
        <f t="shared" si="164"/>
        <v>0</v>
      </c>
      <c r="AC1125" s="6">
        <f t="shared" si="165"/>
        <v>513.33000000000004</v>
      </c>
      <c r="AD1125" s="6">
        <f t="shared" si="170"/>
        <v>307.46170085031832</v>
      </c>
      <c r="AE1125" s="2">
        <v>7.0000000000000007E-2</v>
      </c>
      <c r="AF1125" s="5">
        <f t="shared" si="166"/>
        <v>21.522319059522285</v>
      </c>
      <c r="AG1125" s="14">
        <v>0</v>
      </c>
      <c r="AH1125" s="19">
        <f t="shared" si="168"/>
        <v>513.33000000000004</v>
      </c>
      <c r="AJ1125" s="126" t="e">
        <v>#N/A</v>
      </c>
      <c r="AK1125" s="80">
        <f t="shared" si="167"/>
        <v>0</v>
      </c>
      <c r="AM1125" s="85"/>
    </row>
    <row r="1126" spans="1:39" hidden="1" x14ac:dyDescent="0.3">
      <c r="A1126" s="85" t="s">
        <v>34</v>
      </c>
      <c r="B1126" s="15" t="s">
        <v>35</v>
      </c>
      <c r="C1126" s="15" t="s">
        <v>164</v>
      </c>
      <c r="D1126" s="15" t="s">
        <v>174</v>
      </c>
      <c r="E1126" s="15" t="s">
        <v>1662</v>
      </c>
      <c r="F1126" s="15" t="s">
        <v>1662</v>
      </c>
      <c r="G1126" s="15" t="s">
        <v>1662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1662</v>
      </c>
      <c r="N1126" s="15"/>
      <c r="O1126" s="8" t="s">
        <v>410</v>
      </c>
      <c r="P1126" s="8" t="s">
        <v>41</v>
      </c>
      <c r="Q1126" s="14">
        <v>0</v>
      </c>
      <c r="R1126" s="139" t="s">
        <v>1663</v>
      </c>
      <c r="S1126" s="15"/>
      <c r="T1126" s="6">
        <v>0</v>
      </c>
      <c r="U1126" s="6">
        <v>25000</v>
      </c>
      <c r="V1126" s="6">
        <v>17448.599999999999</v>
      </c>
      <c r="W1126" s="18">
        <f t="shared" si="169"/>
        <v>7551.4000000000015</v>
      </c>
      <c r="X1126" s="18">
        <f t="shared" ref="X1126:X1189" si="171">IF(P1126="折扣",V1126*Q1126,IF(P1126="返现",V1126,V1126/(1+Q1126)))</f>
        <v>17448.599999999999</v>
      </c>
      <c r="Y1126" s="13">
        <f t="shared" si="163"/>
        <v>6997.6693443654876</v>
      </c>
      <c r="Z1126" s="14">
        <v>0</v>
      </c>
      <c r="AA1126" s="4">
        <v>0</v>
      </c>
      <c r="AB1126" s="4">
        <f t="shared" si="164"/>
        <v>17448.599999999999</v>
      </c>
      <c r="AC1126" s="6">
        <f t="shared" si="165"/>
        <v>0</v>
      </c>
      <c r="AD1126" s="6">
        <f t="shared" si="170"/>
        <v>10450.930655634511</v>
      </c>
      <c r="AE1126" s="2">
        <v>7.0000000000000007E-2</v>
      </c>
      <c r="AF1126" s="5">
        <f t="shared" si="166"/>
        <v>731.56514589441588</v>
      </c>
      <c r="AG1126" s="14">
        <v>0</v>
      </c>
      <c r="AH1126" s="19">
        <f t="shared" si="168"/>
        <v>17448.599999999999</v>
      </c>
      <c r="AJ1126" s="126" t="e">
        <v>#N/A</v>
      </c>
      <c r="AK1126" s="80">
        <f t="shared" si="167"/>
        <v>0</v>
      </c>
      <c r="AM1126" s="85"/>
    </row>
    <row r="1127" spans="1:39" hidden="1" x14ac:dyDescent="0.3">
      <c r="A1127" s="85" t="s">
        <v>34</v>
      </c>
      <c r="B1127" s="15" t="s">
        <v>35</v>
      </c>
      <c r="C1127" s="15" t="s">
        <v>164</v>
      </c>
      <c r="D1127" s="15" t="s">
        <v>174</v>
      </c>
      <c r="E1127" s="15" t="s">
        <v>1664</v>
      </c>
      <c r="F1127" s="15" t="s">
        <v>1664</v>
      </c>
      <c r="G1127" s="15" t="s">
        <v>1664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1664</v>
      </c>
      <c r="N1127" s="15"/>
      <c r="O1127" s="8" t="s">
        <v>410</v>
      </c>
      <c r="P1127" s="8" t="s">
        <v>41</v>
      </c>
      <c r="Q1127" s="14">
        <v>0</v>
      </c>
      <c r="R1127" s="139" t="s">
        <v>1665</v>
      </c>
      <c r="S1127" s="15"/>
      <c r="T1127" s="6">
        <v>191062.60000000003</v>
      </c>
      <c r="U1127" s="6">
        <v>130000</v>
      </c>
      <c r="V1127" s="6">
        <v>235679.9</v>
      </c>
      <c r="W1127" s="18">
        <f t="shared" si="169"/>
        <v>85382.700000000041</v>
      </c>
      <c r="X1127" s="18">
        <f t="shared" si="171"/>
        <v>235679.9</v>
      </c>
      <c r="Y1127" s="13">
        <f t="shared" si="163"/>
        <v>94518.185488413059</v>
      </c>
      <c r="Z1127" s="14">
        <v>0</v>
      </c>
      <c r="AA1127" s="4">
        <v>0</v>
      </c>
      <c r="AB1127" s="4">
        <f t="shared" si="164"/>
        <v>235679.9</v>
      </c>
      <c r="AC1127" s="6">
        <f t="shared" si="165"/>
        <v>0</v>
      </c>
      <c r="AD1127" s="6">
        <f t="shared" si="170"/>
        <v>141161.71451158694</v>
      </c>
      <c r="AE1127" s="2">
        <v>7.0000000000000007E-2</v>
      </c>
      <c r="AF1127" s="5">
        <f t="shared" si="166"/>
        <v>9881.3200158110867</v>
      </c>
      <c r="AG1127" s="14">
        <v>0</v>
      </c>
      <c r="AH1127" s="19">
        <f t="shared" si="168"/>
        <v>235679.9</v>
      </c>
      <c r="AJ1127" s="126" t="e">
        <v>#N/A</v>
      </c>
      <c r="AK1127" s="80">
        <f t="shared" si="167"/>
        <v>0</v>
      </c>
      <c r="AM1127" s="85"/>
    </row>
    <row r="1128" spans="1:39" hidden="1" x14ac:dyDescent="0.3">
      <c r="A1128" s="85" t="s">
        <v>34</v>
      </c>
      <c r="B1128" s="15" t="s">
        <v>35</v>
      </c>
      <c r="C1128" s="15" t="s">
        <v>164</v>
      </c>
      <c r="D1128" s="15" t="s">
        <v>174</v>
      </c>
      <c r="E1128" s="15" t="s">
        <v>1666</v>
      </c>
      <c r="F1128" s="15" t="s">
        <v>1666</v>
      </c>
      <c r="G1128" s="15" t="s">
        <v>1666</v>
      </c>
      <c r="H1128" s="139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1666</v>
      </c>
      <c r="N1128" s="15"/>
      <c r="O1128" s="8" t="s">
        <v>410</v>
      </c>
      <c r="P1128" s="8" t="s">
        <v>41</v>
      </c>
      <c r="Q1128" s="14">
        <v>0</v>
      </c>
      <c r="R1128" s="139" t="s">
        <v>1667</v>
      </c>
      <c r="S1128" s="15"/>
      <c r="T1128" s="6">
        <v>9592.1</v>
      </c>
      <c r="U1128" s="6">
        <v>10000</v>
      </c>
      <c r="V1128" s="6">
        <v>11173.3</v>
      </c>
      <c r="W1128" s="18">
        <f t="shared" si="169"/>
        <v>8418.7999999999993</v>
      </c>
      <c r="X1128" s="18">
        <f t="shared" si="171"/>
        <v>11173.3</v>
      </c>
      <c r="Y1128" s="13">
        <f t="shared" si="163"/>
        <v>4480.9932536363322</v>
      </c>
      <c r="Z1128" s="14">
        <v>0</v>
      </c>
      <c r="AA1128" s="4">
        <v>0</v>
      </c>
      <c r="AB1128" s="4"/>
      <c r="AC1128" s="6">
        <f t="shared" si="165"/>
        <v>0</v>
      </c>
      <c r="AD1128" s="6">
        <f t="shared" si="170"/>
        <v>6692.3067463636671</v>
      </c>
      <c r="AE1128" s="2">
        <v>7.0000000000000007E-2</v>
      </c>
      <c r="AF1128" s="5">
        <f t="shared" si="166"/>
        <v>468.46147224545672</v>
      </c>
      <c r="AG1128" s="14">
        <v>0</v>
      </c>
      <c r="AH1128" s="19">
        <f t="shared" si="168"/>
        <v>11173.3</v>
      </c>
      <c r="AJ1128" s="126">
        <v>111</v>
      </c>
      <c r="AK1128" s="80">
        <f t="shared" si="167"/>
        <v>11173.3</v>
      </c>
      <c r="AM1128" s="85"/>
    </row>
    <row r="1129" spans="1:39" hidden="1" x14ac:dyDescent="0.3">
      <c r="A1129" s="85" t="s">
        <v>34</v>
      </c>
      <c r="B1129" s="15" t="s">
        <v>35</v>
      </c>
      <c r="C1129" s="15" t="s">
        <v>164</v>
      </c>
      <c r="D1129" s="15" t="s">
        <v>174</v>
      </c>
      <c r="E1129" s="15" t="s">
        <v>1668</v>
      </c>
      <c r="F1129" s="15" t="s">
        <v>1669</v>
      </c>
      <c r="G1129" s="15" t="s">
        <v>1668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1668</v>
      </c>
      <c r="N1129" s="15"/>
      <c r="O1129" s="8" t="s">
        <v>410</v>
      </c>
      <c r="P1129" s="8" t="s">
        <v>46</v>
      </c>
      <c r="Q1129" s="14">
        <v>0.02</v>
      </c>
      <c r="R1129" s="139" t="s">
        <v>1670</v>
      </c>
      <c r="S1129" s="15"/>
      <c r="T1129" s="6">
        <v>0</v>
      </c>
      <c r="U1129" s="6">
        <v>66175.44</v>
      </c>
      <c r="V1129" s="6">
        <v>41090.6</v>
      </c>
      <c r="W1129" s="18">
        <f t="shared" si="169"/>
        <v>25084.840000000004</v>
      </c>
      <c r="X1129" s="18">
        <f t="shared" si="171"/>
        <v>40284.901960784315</v>
      </c>
      <c r="Y1129" s="13">
        <f t="shared" si="163"/>
        <v>15673.471175597228</v>
      </c>
      <c r="Z1129" s="14">
        <v>0</v>
      </c>
      <c r="AA1129" s="4">
        <v>0</v>
      </c>
      <c r="AB1129" s="4">
        <f t="shared" si="164"/>
        <v>40284.901960784315</v>
      </c>
      <c r="AC1129" s="6">
        <f t="shared" si="165"/>
        <v>805.69803921568382</v>
      </c>
      <c r="AD1129" s="6">
        <f t="shared" si="170"/>
        <v>24611.430785187087</v>
      </c>
      <c r="AE1129" s="2">
        <v>7.0000000000000007E-2</v>
      </c>
      <c r="AF1129" s="5">
        <f t="shared" si="166"/>
        <v>1722.8001549630962</v>
      </c>
      <c r="AG1129" s="14">
        <v>0</v>
      </c>
      <c r="AH1129" s="19">
        <f t="shared" si="168"/>
        <v>41090.6</v>
      </c>
      <c r="AJ1129" s="126" t="e">
        <v>#N/A</v>
      </c>
      <c r="AK1129" s="80">
        <f t="shared" si="167"/>
        <v>0</v>
      </c>
      <c r="AM1129" s="85"/>
    </row>
    <row r="1130" spans="1:39" hidden="1" x14ac:dyDescent="0.3">
      <c r="A1130" s="85" t="s">
        <v>34</v>
      </c>
      <c r="B1130" s="15" t="s">
        <v>35</v>
      </c>
      <c r="C1130" s="15" t="s">
        <v>164</v>
      </c>
      <c r="D1130" s="15" t="s">
        <v>174</v>
      </c>
      <c r="E1130" s="15" t="s">
        <v>1671</v>
      </c>
      <c r="F1130" s="15" t="s">
        <v>1671</v>
      </c>
      <c r="G1130" s="15" t="s">
        <v>1671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1671</v>
      </c>
      <c r="N1130" s="15"/>
      <c r="O1130" s="8" t="s">
        <v>410</v>
      </c>
      <c r="P1130" s="8" t="s">
        <v>41</v>
      </c>
      <c r="Q1130" s="14">
        <v>0</v>
      </c>
      <c r="R1130" s="139" t="s">
        <v>1672</v>
      </c>
      <c r="S1130" s="15"/>
      <c r="T1130" s="6">
        <v>20000</v>
      </c>
      <c r="U1130" s="6">
        <v>20000</v>
      </c>
      <c r="V1130" s="6">
        <v>24273.350000000013</v>
      </c>
      <c r="W1130" s="18">
        <f t="shared" si="169"/>
        <v>15726.649999999987</v>
      </c>
      <c r="X1130" s="18">
        <f t="shared" si="171"/>
        <v>24273.350000000013</v>
      </c>
      <c r="Y1130" s="13">
        <f t="shared" si="163"/>
        <v>9734.699470447722</v>
      </c>
      <c r="Z1130" s="14">
        <v>0</v>
      </c>
      <c r="AA1130" s="4">
        <v>0</v>
      </c>
      <c r="AB1130" s="4">
        <f t="shared" si="164"/>
        <v>24273.350000000013</v>
      </c>
      <c r="AC1130" s="6">
        <f t="shared" si="165"/>
        <v>0</v>
      </c>
      <c r="AD1130" s="6">
        <f t="shared" si="170"/>
        <v>14538.650529552291</v>
      </c>
      <c r="AE1130" s="2">
        <v>7.0000000000000007E-2</v>
      </c>
      <c r="AF1130" s="5">
        <f t="shared" si="166"/>
        <v>1017.7055370686604</v>
      </c>
      <c r="AG1130" s="14">
        <v>0</v>
      </c>
      <c r="AH1130" s="19">
        <f t="shared" si="168"/>
        <v>24273.350000000013</v>
      </c>
      <c r="AJ1130" s="126" t="e">
        <v>#N/A</v>
      </c>
      <c r="AK1130" s="80">
        <f t="shared" si="167"/>
        <v>0</v>
      </c>
      <c r="AM1130" s="85"/>
    </row>
    <row r="1131" spans="1:39" hidden="1" x14ac:dyDescent="0.3">
      <c r="A1131" s="85" t="s">
        <v>34</v>
      </c>
      <c r="B1131" s="15" t="s">
        <v>35</v>
      </c>
      <c r="C1131" s="15" t="s">
        <v>164</v>
      </c>
      <c r="D1131" s="15" t="s">
        <v>174</v>
      </c>
      <c r="E1131" s="15" t="s">
        <v>1673</v>
      </c>
      <c r="F1131" s="15" t="s">
        <v>1674</v>
      </c>
      <c r="G1131" s="15" t="s">
        <v>1673</v>
      </c>
      <c r="H1131" s="154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1673</v>
      </c>
      <c r="N1131" s="15"/>
      <c r="O1131" s="8" t="s">
        <v>410</v>
      </c>
      <c r="P1131" s="8" t="s">
        <v>41</v>
      </c>
      <c r="Q1131" s="14">
        <v>0</v>
      </c>
      <c r="R1131" s="139" t="s">
        <v>1675</v>
      </c>
      <c r="S1131" s="15"/>
      <c r="T1131" s="6">
        <v>0</v>
      </c>
      <c r="U1131" s="6">
        <v>150000</v>
      </c>
      <c r="V1131" s="6">
        <v>149489.5</v>
      </c>
      <c r="W1131" s="18">
        <f t="shared" si="169"/>
        <v>510.5</v>
      </c>
      <c r="X1131" s="18">
        <f t="shared" si="171"/>
        <v>149489.5</v>
      </c>
      <c r="Y1131" s="13">
        <f t="shared" si="163"/>
        <v>59951.978465580323</v>
      </c>
      <c r="Z1131" s="14">
        <v>0</v>
      </c>
      <c r="AA1131" s="4">
        <v>0</v>
      </c>
      <c r="AB1131" s="4">
        <f t="shared" si="164"/>
        <v>149489.5</v>
      </c>
      <c r="AC1131" s="6">
        <f t="shared" si="165"/>
        <v>0</v>
      </c>
      <c r="AD1131" s="6">
        <f t="shared" si="170"/>
        <v>89537.521534419677</v>
      </c>
      <c r="AE1131" s="2">
        <v>7.0000000000000007E-2</v>
      </c>
      <c r="AF1131" s="5">
        <f t="shared" si="166"/>
        <v>6267.6265074093781</v>
      </c>
      <c r="AG1131" s="14">
        <v>0</v>
      </c>
      <c r="AH1131" s="19">
        <f t="shared" si="168"/>
        <v>149489.5</v>
      </c>
      <c r="AJ1131" s="126" t="e">
        <v>#N/A</v>
      </c>
      <c r="AK1131" s="80">
        <f t="shared" si="167"/>
        <v>0</v>
      </c>
      <c r="AM1131" s="85"/>
    </row>
    <row r="1132" spans="1:39" hidden="1" x14ac:dyDescent="0.3">
      <c r="A1132" s="85" t="s">
        <v>34</v>
      </c>
      <c r="B1132" s="15" t="s">
        <v>35</v>
      </c>
      <c r="C1132" s="15" t="s">
        <v>164</v>
      </c>
      <c r="D1132" s="15" t="s">
        <v>174</v>
      </c>
      <c r="E1132" s="15" t="s">
        <v>1676</v>
      </c>
      <c r="F1132" s="15" t="s">
        <v>1676</v>
      </c>
      <c r="G1132" s="15" t="s">
        <v>1676</v>
      </c>
      <c r="H1132" s="139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1676</v>
      </c>
      <c r="N1132" s="15"/>
      <c r="O1132" s="8" t="s">
        <v>410</v>
      </c>
      <c r="P1132" s="8" t="s">
        <v>41</v>
      </c>
      <c r="Q1132" s="14">
        <v>0</v>
      </c>
      <c r="R1132" s="139" t="s">
        <v>1677</v>
      </c>
      <c r="S1132" s="15"/>
      <c r="T1132" s="6">
        <v>20151.60000000002</v>
      </c>
      <c r="U1132" s="6">
        <v>-20151.599999999999</v>
      </c>
      <c r="V1132" s="6">
        <v>0</v>
      </c>
      <c r="W1132" s="18">
        <f t="shared" si="169"/>
        <v>2.1827872842550278E-11</v>
      </c>
      <c r="X1132" s="18">
        <f t="shared" si="171"/>
        <v>0</v>
      </c>
      <c r="Y1132" s="13">
        <f t="shared" si="163"/>
        <v>0</v>
      </c>
      <c r="Z1132" s="14">
        <v>0</v>
      </c>
      <c r="AA1132" s="4">
        <v>0</v>
      </c>
      <c r="AB1132" s="4">
        <f t="shared" si="164"/>
        <v>0</v>
      </c>
      <c r="AC1132" s="6">
        <f t="shared" si="165"/>
        <v>0</v>
      </c>
      <c r="AD1132" s="6">
        <f t="shared" si="170"/>
        <v>0</v>
      </c>
      <c r="AE1132" s="2">
        <v>7.0000000000000007E-2</v>
      </c>
      <c r="AF1132" s="5">
        <f t="shared" si="166"/>
        <v>0</v>
      </c>
      <c r="AG1132" s="14">
        <v>0</v>
      </c>
      <c r="AH1132" s="19">
        <f t="shared" si="168"/>
        <v>0</v>
      </c>
      <c r="AJ1132" s="126" t="e">
        <v>#N/A</v>
      </c>
      <c r="AK1132" s="80">
        <f t="shared" si="167"/>
        <v>0</v>
      </c>
      <c r="AM1132" s="85"/>
    </row>
    <row r="1133" spans="1:39" hidden="1" x14ac:dyDescent="0.3">
      <c r="A1133" s="85" t="s">
        <v>34</v>
      </c>
      <c r="B1133" s="15" t="s">
        <v>35</v>
      </c>
      <c r="C1133" s="15" t="s">
        <v>164</v>
      </c>
      <c r="D1133" s="15" t="s">
        <v>174</v>
      </c>
      <c r="E1133" s="15" t="s">
        <v>1678</v>
      </c>
      <c r="F1133" s="15" t="s">
        <v>1678</v>
      </c>
      <c r="G1133" s="15" t="s">
        <v>1678</v>
      </c>
      <c r="H1133" s="139"/>
      <c r="I1133" s="15" t="s">
        <v>1679</v>
      </c>
      <c r="J1133" s="1" t="s">
        <v>3325</v>
      </c>
      <c r="K1133" s="1" t="s">
        <v>3279</v>
      </c>
      <c r="L1133" s="1" t="s">
        <v>35</v>
      </c>
      <c r="M1133" s="15" t="s">
        <v>1678</v>
      </c>
      <c r="N1133" s="15"/>
      <c r="O1133" s="8" t="s">
        <v>410</v>
      </c>
      <c r="P1133" s="8" t="s">
        <v>1327</v>
      </c>
      <c r="Q1133" s="14">
        <v>0</v>
      </c>
      <c r="R1133" s="139" t="s">
        <v>1680</v>
      </c>
      <c r="S1133" s="15"/>
      <c r="T1133" s="6">
        <v>0</v>
      </c>
      <c r="U1133" s="6">
        <v>50000</v>
      </c>
      <c r="V1133" s="6">
        <v>0</v>
      </c>
      <c r="W1133" s="18">
        <f t="shared" si="169"/>
        <v>50000</v>
      </c>
      <c r="X1133" s="18">
        <f t="shared" si="171"/>
        <v>0</v>
      </c>
      <c r="Y1133" s="13">
        <f t="shared" si="163"/>
        <v>0</v>
      </c>
      <c r="Z1133" s="14">
        <v>0</v>
      </c>
      <c r="AA1133" s="4">
        <v>0</v>
      </c>
      <c r="AB1133" s="4">
        <f t="shared" si="164"/>
        <v>0</v>
      </c>
      <c r="AC1133" s="6">
        <f t="shared" si="165"/>
        <v>0</v>
      </c>
      <c r="AD1133" s="6">
        <f t="shared" si="170"/>
        <v>0</v>
      </c>
      <c r="AE1133" s="2">
        <v>7.0000000000000007E-2</v>
      </c>
      <c r="AF1133" s="5">
        <f t="shared" si="166"/>
        <v>0</v>
      </c>
      <c r="AG1133" s="14">
        <v>0</v>
      </c>
      <c r="AH1133" s="19">
        <f t="shared" si="168"/>
        <v>0</v>
      </c>
      <c r="AJ1133" s="126" t="e">
        <v>#N/A</v>
      </c>
      <c r="AK1133" s="80">
        <f t="shared" si="167"/>
        <v>0</v>
      </c>
      <c r="AM1133" s="85"/>
    </row>
    <row r="1134" spans="1:39" hidden="1" x14ac:dyDescent="0.3">
      <c r="A1134" s="85" t="s">
        <v>34</v>
      </c>
      <c r="B1134" s="15" t="s">
        <v>35</v>
      </c>
      <c r="C1134" s="15" t="s">
        <v>164</v>
      </c>
      <c r="D1134" s="15" t="s">
        <v>174</v>
      </c>
      <c r="E1134" s="15" t="s">
        <v>1681</v>
      </c>
      <c r="F1134" s="15" t="s">
        <v>1682</v>
      </c>
      <c r="G1134" s="15" t="s">
        <v>1681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1683</v>
      </c>
      <c r="N1134" s="15"/>
      <c r="O1134" s="8" t="s">
        <v>410</v>
      </c>
      <c r="P1134" s="8" t="s">
        <v>41</v>
      </c>
      <c r="Q1134" s="14">
        <v>0</v>
      </c>
      <c r="R1134" s="139" t="s">
        <v>1684</v>
      </c>
      <c r="S1134" s="15"/>
      <c r="T1134" s="6">
        <v>58887.54</v>
      </c>
      <c r="U1134" s="6">
        <v>140000</v>
      </c>
      <c r="V1134" s="6">
        <v>163670.23000000001</v>
      </c>
      <c r="W1134" s="18">
        <f t="shared" si="169"/>
        <v>35217.31</v>
      </c>
      <c r="X1134" s="18">
        <f t="shared" si="171"/>
        <v>163670.23000000001</v>
      </c>
      <c r="Y1134" s="13">
        <f t="shared" si="163"/>
        <v>65639.08571783689</v>
      </c>
      <c r="Z1134" s="14">
        <v>0</v>
      </c>
      <c r="AA1134" s="4">
        <v>0</v>
      </c>
      <c r="AB1134" s="4">
        <f t="shared" si="164"/>
        <v>163670.23000000001</v>
      </c>
      <c r="AC1134" s="6">
        <f t="shared" si="165"/>
        <v>0</v>
      </c>
      <c r="AD1134" s="6">
        <f t="shared" si="170"/>
        <v>98031.144282163121</v>
      </c>
      <c r="AE1134" s="2">
        <v>7.0000000000000007E-2</v>
      </c>
      <c r="AF1134" s="5">
        <f t="shared" si="166"/>
        <v>6862.1800997514192</v>
      </c>
      <c r="AG1134" s="14">
        <v>0</v>
      </c>
      <c r="AH1134" s="19">
        <f t="shared" si="168"/>
        <v>163670.23000000001</v>
      </c>
      <c r="AJ1134" s="126" t="e">
        <v>#N/A</v>
      </c>
      <c r="AK1134" s="80">
        <f t="shared" si="167"/>
        <v>0</v>
      </c>
      <c r="AM1134" s="85"/>
    </row>
    <row r="1135" spans="1:39" hidden="1" x14ac:dyDescent="0.3">
      <c r="A1135" s="85" t="s">
        <v>34</v>
      </c>
      <c r="B1135" s="15" t="s">
        <v>35</v>
      </c>
      <c r="C1135" s="15" t="s">
        <v>164</v>
      </c>
      <c r="D1135" s="15" t="s">
        <v>174</v>
      </c>
      <c r="E1135" s="15" t="s">
        <v>1681</v>
      </c>
      <c r="F1135" s="15" t="s">
        <v>1682</v>
      </c>
      <c r="G1135" s="15" t="s">
        <v>1681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1685</v>
      </c>
      <c r="N1135" s="15"/>
      <c r="O1135" s="8" t="s">
        <v>410</v>
      </c>
      <c r="P1135" s="8" t="s">
        <v>41</v>
      </c>
      <c r="Q1135" s="14">
        <v>0</v>
      </c>
      <c r="R1135" s="139" t="s">
        <v>1686</v>
      </c>
      <c r="S1135" s="15"/>
      <c r="T1135" s="6">
        <v>81881.810000000056</v>
      </c>
      <c r="U1135" s="6">
        <v>340000</v>
      </c>
      <c r="V1135" s="6">
        <v>346261.76000000001</v>
      </c>
      <c r="W1135" s="18">
        <f t="shared" si="169"/>
        <v>75620.050000000047</v>
      </c>
      <c r="X1135" s="18">
        <f t="shared" si="171"/>
        <v>346261.76000000001</v>
      </c>
      <c r="Y1135" s="13">
        <f t="shared" si="163"/>
        <v>138866.45937657121</v>
      </c>
      <c r="Z1135" s="14">
        <v>0</v>
      </c>
      <c r="AA1135" s="4">
        <v>0</v>
      </c>
      <c r="AB1135" s="4">
        <f t="shared" si="164"/>
        <v>346261.76000000001</v>
      </c>
      <c r="AC1135" s="6">
        <f t="shared" si="165"/>
        <v>0</v>
      </c>
      <c r="AD1135" s="6">
        <f t="shared" si="170"/>
        <v>207395.3006234288</v>
      </c>
      <c r="AE1135" s="2">
        <v>7.0000000000000007E-2</v>
      </c>
      <c r="AF1135" s="5">
        <f t="shared" si="166"/>
        <v>14517.671043640017</v>
      </c>
      <c r="AG1135" s="14">
        <v>0</v>
      </c>
      <c r="AH1135" s="19">
        <f t="shared" si="168"/>
        <v>346261.76000000001</v>
      </c>
      <c r="AJ1135" s="126" t="e">
        <v>#N/A</v>
      </c>
      <c r="AK1135" s="80">
        <f t="shared" si="167"/>
        <v>0</v>
      </c>
      <c r="AM1135" s="85"/>
    </row>
    <row r="1136" spans="1:39" hidden="1" x14ac:dyDescent="0.3">
      <c r="A1136" s="85" t="s">
        <v>34</v>
      </c>
      <c r="B1136" s="15" t="s">
        <v>35</v>
      </c>
      <c r="C1136" s="15" t="s">
        <v>164</v>
      </c>
      <c r="D1136" s="15" t="s">
        <v>174</v>
      </c>
      <c r="E1136" s="15" t="s">
        <v>1687</v>
      </c>
      <c r="F1136" s="15" t="s">
        <v>1687</v>
      </c>
      <c r="G1136" s="15" t="s">
        <v>1687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1687</v>
      </c>
      <c r="N1136" s="15"/>
      <c r="O1136" s="8" t="s">
        <v>410</v>
      </c>
      <c r="P1136" s="8" t="s">
        <v>1327</v>
      </c>
      <c r="Q1136" s="14">
        <v>0</v>
      </c>
      <c r="R1136" s="139">
        <v>18668181711</v>
      </c>
      <c r="S1136" s="15"/>
      <c r="T1136" s="6">
        <v>89336.504999999888</v>
      </c>
      <c r="U1136" s="6">
        <v>-0.23</v>
      </c>
      <c r="V1136" s="6">
        <v>89337.554999999993</v>
      </c>
      <c r="W1136" s="18">
        <f t="shared" si="169"/>
        <v>-1.2800000001006993</v>
      </c>
      <c r="X1136" s="18">
        <f t="shared" si="171"/>
        <v>89337.554999999993</v>
      </c>
      <c r="Y1136" s="13">
        <f t="shared" si="163"/>
        <v>35828.356998502219</v>
      </c>
      <c r="Z1136" s="14">
        <v>0</v>
      </c>
      <c r="AA1136" s="4">
        <v>0</v>
      </c>
      <c r="AB1136" s="4">
        <f t="shared" si="164"/>
        <v>89337.554999999993</v>
      </c>
      <c r="AC1136" s="6">
        <f t="shared" si="165"/>
        <v>0</v>
      </c>
      <c r="AD1136" s="6">
        <f t="shared" si="170"/>
        <v>53509.198001497774</v>
      </c>
      <c r="AE1136" s="2">
        <v>7.0000000000000007E-2</v>
      </c>
      <c r="AF1136" s="5">
        <f t="shared" si="166"/>
        <v>3745.6438601048444</v>
      </c>
      <c r="AG1136" s="14">
        <v>0</v>
      </c>
      <c r="AH1136" s="19">
        <f t="shared" si="168"/>
        <v>89337.554999999993</v>
      </c>
      <c r="AJ1136" s="126" t="e">
        <v>#N/A</v>
      </c>
      <c r="AK1136" s="80">
        <f t="shared" si="167"/>
        <v>0</v>
      </c>
      <c r="AM1136" s="85"/>
    </row>
    <row r="1137" spans="1:39" hidden="1" x14ac:dyDescent="0.3">
      <c r="A1137" s="85" t="s">
        <v>34</v>
      </c>
      <c r="B1137" s="15" t="s">
        <v>35</v>
      </c>
      <c r="C1137" s="15" t="s">
        <v>164</v>
      </c>
      <c r="D1137" s="15" t="s">
        <v>174</v>
      </c>
      <c r="E1137" s="15" t="s">
        <v>1687</v>
      </c>
      <c r="F1137" s="15" t="s">
        <v>1687</v>
      </c>
      <c r="G1137" s="15" t="s">
        <v>1687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1687</v>
      </c>
      <c r="N1137" s="15"/>
      <c r="O1137" s="8" t="s">
        <v>410</v>
      </c>
      <c r="P1137" s="8" t="s">
        <v>1327</v>
      </c>
      <c r="Q1137" s="14">
        <v>0</v>
      </c>
      <c r="R1137" s="139" t="s">
        <v>1688</v>
      </c>
      <c r="S1137" s="15"/>
      <c r="T1137" s="6">
        <v>40000</v>
      </c>
      <c r="U1137" s="6">
        <v>-7.0000000000000007E-2</v>
      </c>
      <c r="V1137" s="6">
        <v>39992.834959999993</v>
      </c>
      <c r="W1137" s="18">
        <f t="shared" si="169"/>
        <v>7.0950400000074296</v>
      </c>
      <c r="X1137" s="18">
        <f t="shared" si="171"/>
        <v>39992.834959999993</v>
      </c>
      <c r="Y1137" s="13">
        <f t="shared" si="163"/>
        <v>16038.916313850987</v>
      </c>
      <c r="Z1137" s="14">
        <v>0</v>
      </c>
      <c r="AA1137" s="4">
        <v>0</v>
      </c>
      <c r="AB1137" s="4">
        <f t="shared" si="164"/>
        <v>39992.834959999993</v>
      </c>
      <c r="AC1137" s="6">
        <f t="shared" si="165"/>
        <v>0</v>
      </c>
      <c r="AD1137" s="6">
        <f t="shared" si="170"/>
        <v>23953.918646149006</v>
      </c>
      <c r="AE1137" s="2">
        <v>7.0000000000000007E-2</v>
      </c>
      <c r="AF1137" s="5">
        <f t="shared" si="166"/>
        <v>1676.7743052304306</v>
      </c>
      <c r="AG1137" s="14">
        <v>0</v>
      </c>
      <c r="AH1137" s="19">
        <f t="shared" si="168"/>
        <v>39992.834959999993</v>
      </c>
      <c r="AJ1137" s="126" t="e">
        <v>#N/A</v>
      </c>
      <c r="AK1137" s="80">
        <f t="shared" si="167"/>
        <v>0</v>
      </c>
      <c r="AM1137" s="85"/>
    </row>
    <row r="1138" spans="1:39" hidden="1" x14ac:dyDescent="0.3">
      <c r="A1138" s="85" t="s">
        <v>34</v>
      </c>
      <c r="B1138" s="15" t="s">
        <v>35</v>
      </c>
      <c r="C1138" s="15" t="s">
        <v>164</v>
      </c>
      <c r="D1138" s="15" t="s">
        <v>174</v>
      </c>
      <c r="E1138" s="15" t="s">
        <v>1687</v>
      </c>
      <c r="F1138" s="15" t="s">
        <v>1687</v>
      </c>
      <c r="G1138" s="15" t="s">
        <v>1687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1689</v>
      </c>
      <c r="N1138" s="15"/>
      <c r="O1138" s="8" t="s">
        <v>410</v>
      </c>
      <c r="P1138" s="8" t="s">
        <v>1327</v>
      </c>
      <c r="Q1138" s="14">
        <v>0</v>
      </c>
      <c r="R1138" s="139" t="s">
        <v>1690</v>
      </c>
      <c r="S1138" s="15"/>
      <c r="T1138" s="6">
        <v>4000</v>
      </c>
      <c r="U1138" s="6">
        <v>-0.71</v>
      </c>
      <c r="V1138" s="6">
        <v>3999.3399999999647</v>
      </c>
      <c r="W1138" s="18">
        <f t="shared" si="169"/>
        <v>-4.9999999964711606E-2</v>
      </c>
      <c r="X1138" s="18">
        <f t="shared" si="171"/>
        <v>3999.3399999999647</v>
      </c>
      <c r="Y1138" s="13">
        <f t="shared" si="163"/>
        <v>1603.9142920173781</v>
      </c>
      <c r="Z1138" s="14">
        <v>0</v>
      </c>
      <c r="AA1138" s="4">
        <v>0</v>
      </c>
      <c r="AB1138" s="4">
        <f t="shared" si="164"/>
        <v>3999.3399999999647</v>
      </c>
      <c r="AC1138" s="6">
        <f t="shared" si="165"/>
        <v>0</v>
      </c>
      <c r="AD1138" s="6">
        <f t="shared" si="170"/>
        <v>2395.4257079825866</v>
      </c>
      <c r="AE1138" s="2">
        <v>7.0000000000000007E-2</v>
      </c>
      <c r="AF1138" s="5">
        <f t="shared" si="166"/>
        <v>167.67979955878107</v>
      </c>
      <c r="AG1138" s="14">
        <v>0</v>
      </c>
      <c r="AH1138" s="19">
        <f t="shared" si="168"/>
        <v>3999.3399999999647</v>
      </c>
      <c r="AJ1138" s="126" t="e">
        <v>#N/A</v>
      </c>
      <c r="AK1138" s="80">
        <f t="shared" si="167"/>
        <v>0</v>
      </c>
      <c r="AM1138" s="85"/>
    </row>
    <row r="1139" spans="1:39" hidden="1" x14ac:dyDescent="0.3">
      <c r="A1139" s="85" t="s">
        <v>34</v>
      </c>
      <c r="B1139" s="15" t="s">
        <v>35</v>
      </c>
      <c r="C1139" s="15" t="s">
        <v>164</v>
      </c>
      <c r="D1139" s="15" t="s">
        <v>174</v>
      </c>
      <c r="E1139" s="15" t="s">
        <v>1687</v>
      </c>
      <c r="F1139" s="15" t="s">
        <v>1687</v>
      </c>
      <c r="G1139" s="15" t="s">
        <v>1687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1689</v>
      </c>
      <c r="N1139" s="15"/>
      <c r="O1139" s="8" t="s">
        <v>410</v>
      </c>
      <c r="P1139" s="8" t="s">
        <v>1327</v>
      </c>
      <c r="Q1139" s="14">
        <v>0</v>
      </c>
      <c r="R1139" s="139" t="s">
        <v>1691</v>
      </c>
      <c r="S1139" s="15"/>
      <c r="T1139" s="6">
        <v>0</v>
      </c>
      <c r="U1139" s="6">
        <v>-463.88</v>
      </c>
      <c r="V1139" s="6">
        <v>-463.88</v>
      </c>
      <c r="W1139" s="18">
        <f t="shared" si="169"/>
        <v>0</v>
      </c>
      <c r="X1139" s="18">
        <f t="shared" si="171"/>
        <v>-463.88</v>
      </c>
      <c r="Y1139" s="13">
        <f t="shared" si="163"/>
        <v>0</v>
      </c>
      <c r="Z1139" s="14">
        <v>0</v>
      </c>
      <c r="AA1139" s="4">
        <v>0</v>
      </c>
      <c r="AB1139" s="4">
        <f t="shared" si="164"/>
        <v>-463.88</v>
      </c>
      <c r="AC1139" s="6">
        <f t="shared" si="165"/>
        <v>0</v>
      </c>
      <c r="AD1139" s="6">
        <f t="shared" si="170"/>
        <v>-277.84336350972211</v>
      </c>
      <c r="AE1139" s="2">
        <v>7.0000000000000007E-2</v>
      </c>
      <c r="AF1139" s="5">
        <f t="shared" si="166"/>
        <v>-19.449035445680551</v>
      </c>
      <c r="AG1139" s="14">
        <v>0</v>
      </c>
      <c r="AH1139" s="19">
        <f t="shared" si="168"/>
        <v>-463.88</v>
      </c>
      <c r="AJ1139" s="126" t="e">
        <v>#N/A</v>
      </c>
      <c r="AK1139" s="80">
        <f t="shared" si="167"/>
        <v>0</v>
      </c>
      <c r="AM1139" s="85"/>
    </row>
    <row r="1140" spans="1:39" hidden="1" x14ac:dyDescent="0.3">
      <c r="A1140" s="85" t="s">
        <v>34</v>
      </c>
      <c r="B1140" s="15" t="s">
        <v>35</v>
      </c>
      <c r="C1140" s="15" t="s">
        <v>164</v>
      </c>
      <c r="D1140" s="15" t="s">
        <v>174</v>
      </c>
      <c r="E1140" s="15" t="s">
        <v>1687</v>
      </c>
      <c r="F1140" s="15" t="s">
        <v>1687</v>
      </c>
      <c r="G1140" s="15" t="s">
        <v>1687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1692</v>
      </c>
      <c r="N1140" s="15"/>
      <c r="O1140" s="8" t="s">
        <v>410</v>
      </c>
      <c r="P1140" s="8" t="s">
        <v>1327</v>
      </c>
      <c r="Q1140" s="14">
        <v>0</v>
      </c>
      <c r="R1140" s="139" t="s">
        <v>1693</v>
      </c>
      <c r="S1140" s="15"/>
      <c r="T1140" s="6">
        <v>6000</v>
      </c>
      <c r="U1140" s="6">
        <v>463.53999999999996</v>
      </c>
      <c r="V1140" s="6">
        <v>6463.5599999999959</v>
      </c>
      <c r="W1140" s="18">
        <f t="shared" si="169"/>
        <v>-1.9999999995889084E-2</v>
      </c>
      <c r="X1140" s="18">
        <f t="shared" si="171"/>
        <v>6463.5599999999959</v>
      </c>
      <c r="Y1140" s="13">
        <f t="shared" si="163"/>
        <v>2592.1767744957747</v>
      </c>
      <c r="Z1140" s="14">
        <v>0</v>
      </c>
      <c r="AA1140" s="4">
        <v>0</v>
      </c>
      <c r="AB1140" s="4">
        <f t="shared" si="164"/>
        <v>6463.5599999999959</v>
      </c>
      <c r="AC1140" s="6">
        <f t="shared" si="165"/>
        <v>0</v>
      </c>
      <c r="AD1140" s="6">
        <f t="shared" si="170"/>
        <v>3871.3832255042212</v>
      </c>
      <c r="AE1140" s="2">
        <v>7.0000000000000007E-2</v>
      </c>
      <c r="AF1140" s="5">
        <f t="shared" si="166"/>
        <v>270.99682578529553</v>
      </c>
      <c r="AG1140" s="14">
        <v>0</v>
      </c>
      <c r="AH1140" s="19">
        <f t="shared" si="168"/>
        <v>6463.5599999999959</v>
      </c>
      <c r="AJ1140" s="126" t="e">
        <v>#N/A</v>
      </c>
      <c r="AK1140" s="80">
        <f t="shared" si="167"/>
        <v>0</v>
      </c>
      <c r="AM1140" s="85"/>
    </row>
    <row r="1141" spans="1:39" hidden="1" x14ac:dyDescent="0.3">
      <c r="A1141" s="85" t="s">
        <v>34</v>
      </c>
      <c r="B1141" s="15" t="s">
        <v>35</v>
      </c>
      <c r="C1141" s="15" t="s">
        <v>164</v>
      </c>
      <c r="D1141" s="15" t="s">
        <v>174</v>
      </c>
      <c r="E1141" s="15" t="s">
        <v>1694</v>
      </c>
      <c r="F1141" s="15" t="s">
        <v>1694</v>
      </c>
      <c r="G1141" s="15" t="s">
        <v>1694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1694</v>
      </c>
      <c r="N1141" s="15"/>
      <c r="O1141" s="8" t="s">
        <v>410</v>
      </c>
      <c r="P1141" s="8" t="s">
        <v>41</v>
      </c>
      <c r="Q1141" s="14">
        <v>0</v>
      </c>
      <c r="R1141" s="139" t="s">
        <v>1695</v>
      </c>
      <c r="S1141" s="15"/>
      <c r="T1141" s="6">
        <v>0</v>
      </c>
      <c r="U1141" s="6">
        <v>30000</v>
      </c>
      <c r="V1141" s="6">
        <v>24485.1</v>
      </c>
      <c r="W1141" s="18">
        <f t="shared" si="169"/>
        <v>5514.9000000000015</v>
      </c>
      <c r="X1141" s="18">
        <f t="shared" si="171"/>
        <v>24485.1</v>
      </c>
      <c r="Y1141" s="13">
        <f t="shared" si="163"/>
        <v>9819.6206952834855</v>
      </c>
      <c r="Z1141" s="14">
        <v>0</v>
      </c>
      <c r="AA1141" s="4">
        <v>0</v>
      </c>
      <c r="AB1141" s="4">
        <f t="shared" si="164"/>
        <v>24485.1</v>
      </c>
      <c r="AC1141" s="6">
        <f t="shared" si="165"/>
        <v>0</v>
      </c>
      <c r="AD1141" s="6">
        <f t="shared" si="170"/>
        <v>14665.479304716513</v>
      </c>
      <c r="AE1141" s="2">
        <v>7.0000000000000007E-2</v>
      </c>
      <c r="AF1141" s="5">
        <f t="shared" si="166"/>
        <v>1026.5835513301561</v>
      </c>
      <c r="AG1141" s="14">
        <v>0</v>
      </c>
      <c r="AH1141" s="19">
        <f t="shared" si="168"/>
        <v>24485.1</v>
      </c>
      <c r="AJ1141" s="126" t="e">
        <v>#N/A</v>
      </c>
      <c r="AK1141" s="80">
        <f t="shared" si="167"/>
        <v>0</v>
      </c>
      <c r="AM1141" s="85"/>
    </row>
    <row r="1142" spans="1:39" hidden="1" x14ac:dyDescent="0.3">
      <c r="A1142" s="85" t="s">
        <v>34</v>
      </c>
      <c r="B1142" s="15" t="s">
        <v>35</v>
      </c>
      <c r="C1142" s="15" t="s">
        <v>164</v>
      </c>
      <c r="D1142" s="15" t="s">
        <v>174</v>
      </c>
      <c r="E1142" s="15" t="s">
        <v>1696</v>
      </c>
      <c r="F1142" s="15" t="s">
        <v>1696</v>
      </c>
      <c r="G1142" s="15" t="s">
        <v>1696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1696</v>
      </c>
      <c r="N1142" s="15"/>
      <c r="O1142" s="8" t="s">
        <v>410</v>
      </c>
      <c r="P1142" s="8" t="s">
        <v>46</v>
      </c>
      <c r="Q1142" s="14">
        <v>0.02</v>
      </c>
      <c r="R1142" s="139" t="s">
        <v>1697</v>
      </c>
      <c r="S1142" s="15"/>
      <c r="T1142" s="6">
        <v>0</v>
      </c>
      <c r="U1142" s="6">
        <v>600000</v>
      </c>
      <c r="V1142" s="6">
        <v>479937.9</v>
      </c>
      <c r="W1142" s="18">
        <f t="shared" si="169"/>
        <v>120062.09999999998</v>
      </c>
      <c r="X1142" s="18">
        <f t="shared" si="171"/>
        <v>470527.3529411765</v>
      </c>
      <c r="Y1142" s="13">
        <f t="shared" si="163"/>
        <v>183066.02584840968</v>
      </c>
      <c r="Z1142" s="14">
        <v>0</v>
      </c>
      <c r="AA1142" s="4">
        <v>0</v>
      </c>
      <c r="AB1142" s="4">
        <f t="shared" si="164"/>
        <v>470527.3529411765</v>
      </c>
      <c r="AC1142" s="6">
        <f t="shared" si="165"/>
        <v>9410.5470588235185</v>
      </c>
      <c r="AD1142" s="6">
        <f t="shared" si="170"/>
        <v>287461.32709276682</v>
      </c>
      <c r="AE1142" s="2">
        <v>7.0000000000000007E-2</v>
      </c>
      <c r="AF1142" s="5">
        <f t="shared" si="166"/>
        <v>20122.29289649368</v>
      </c>
      <c r="AG1142" s="14">
        <v>0</v>
      </c>
      <c r="AH1142" s="19">
        <f t="shared" si="168"/>
        <v>479937.9</v>
      </c>
      <c r="AJ1142" s="126" t="e">
        <v>#N/A</v>
      </c>
      <c r="AK1142" s="80">
        <f t="shared" si="167"/>
        <v>0</v>
      </c>
      <c r="AM1142" s="85"/>
    </row>
    <row r="1143" spans="1:39" hidden="1" x14ac:dyDescent="0.3">
      <c r="A1143" s="85" t="s">
        <v>34</v>
      </c>
      <c r="B1143" s="15" t="s">
        <v>35</v>
      </c>
      <c r="C1143" s="15" t="s">
        <v>164</v>
      </c>
      <c r="D1143" s="15" t="s">
        <v>174</v>
      </c>
      <c r="E1143" s="15" t="s">
        <v>1698</v>
      </c>
      <c r="F1143" s="15" t="s">
        <v>1699</v>
      </c>
      <c r="G1143" s="15" t="s">
        <v>1698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1698</v>
      </c>
      <c r="N1143" s="15"/>
      <c r="O1143" s="8" t="s">
        <v>410</v>
      </c>
      <c r="P1143" s="8" t="s">
        <v>41</v>
      </c>
      <c r="Q1143" s="14">
        <v>0</v>
      </c>
      <c r="R1143" s="139">
        <v>13989814374</v>
      </c>
      <c r="S1143" s="15"/>
      <c r="T1143" s="6">
        <v>9586.4</v>
      </c>
      <c r="U1143" s="6">
        <v>10000</v>
      </c>
      <c r="V1143" s="6">
        <v>16800.2</v>
      </c>
      <c r="W1143" s="18">
        <f t="shared" si="169"/>
        <v>2786.2000000000007</v>
      </c>
      <c r="X1143" s="18">
        <f t="shared" si="171"/>
        <v>16800.2</v>
      </c>
      <c r="Y1143" s="13">
        <f t="shared" si="163"/>
        <v>6737.6319314563407</v>
      </c>
      <c r="Z1143" s="14">
        <v>0</v>
      </c>
      <c r="AA1143" s="4">
        <v>0</v>
      </c>
      <c r="AB1143" s="4">
        <f t="shared" si="164"/>
        <v>16800.2</v>
      </c>
      <c r="AC1143" s="6">
        <f t="shared" si="165"/>
        <v>0</v>
      </c>
      <c r="AD1143" s="6">
        <f t="shared" si="170"/>
        <v>10062.56806854366</v>
      </c>
      <c r="AE1143" s="2">
        <v>7.0000000000000007E-2</v>
      </c>
      <c r="AF1143" s="5">
        <f t="shared" si="166"/>
        <v>704.37976479805627</v>
      </c>
      <c r="AG1143" s="14">
        <v>0</v>
      </c>
      <c r="AH1143" s="19">
        <f t="shared" si="168"/>
        <v>16800.2</v>
      </c>
      <c r="AJ1143" s="126" t="e">
        <v>#N/A</v>
      </c>
      <c r="AK1143" s="80">
        <f t="shared" si="167"/>
        <v>0</v>
      </c>
      <c r="AM1143" s="85"/>
    </row>
    <row r="1144" spans="1:39" hidden="1" x14ac:dyDescent="0.3">
      <c r="A1144" s="85" t="s">
        <v>34</v>
      </c>
      <c r="B1144" s="15" t="s">
        <v>35</v>
      </c>
      <c r="C1144" s="15" t="s">
        <v>164</v>
      </c>
      <c r="D1144" s="15" t="s">
        <v>174</v>
      </c>
      <c r="E1144" s="15" t="s">
        <v>1700</v>
      </c>
      <c r="F1144" s="15" t="s">
        <v>1700</v>
      </c>
      <c r="G1144" s="15" t="s">
        <v>1700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1701</v>
      </c>
      <c r="N1144" s="15"/>
      <c r="O1144" s="8" t="s">
        <v>410</v>
      </c>
      <c r="P1144" s="8" t="s">
        <v>41</v>
      </c>
      <c r="Q1144" s="14">
        <v>0</v>
      </c>
      <c r="R1144" s="139" t="s">
        <v>1702</v>
      </c>
      <c r="S1144" s="15"/>
      <c r="T1144" s="6">
        <v>0</v>
      </c>
      <c r="U1144" s="6">
        <v>240000</v>
      </c>
      <c r="V1144" s="6">
        <v>183630.99</v>
      </c>
      <c r="W1144" s="18">
        <f t="shared" si="169"/>
        <v>56369.010000000009</v>
      </c>
      <c r="X1144" s="18">
        <f t="shared" si="171"/>
        <v>183630.99</v>
      </c>
      <c r="Y1144" s="13">
        <f t="shared" si="163"/>
        <v>73644.243629774632</v>
      </c>
      <c r="Z1144" s="14">
        <v>0</v>
      </c>
      <c r="AA1144" s="4">
        <v>0</v>
      </c>
      <c r="AB1144" s="4">
        <f t="shared" si="164"/>
        <v>183630.99</v>
      </c>
      <c r="AC1144" s="6">
        <f t="shared" si="165"/>
        <v>0</v>
      </c>
      <c r="AD1144" s="6">
        <f t="shared" si="170"/>
        <v>109986.74637022536</v>
      </c>
      <c r="AE1144" s="2">
        <v>7.0000000000000007E-2</v>
      </c>
      <c r="AF1144" s="5">
        <f t="shared" si="166"/>
        <v>7699.072245915776</v>
      </c>
      <c r="AG1144" s="14">
        <v>0</v>
      </c>
      <c r="AH1144" s="19">
        <f t="shared" si="168"/>
        <v>183630.99</v>
      </c>
      <c r="AJ1144" s="126" t="e">
        <v>#N/A</v>
      </c>
      <c r="AK1144" s="80">
        <f t="shared" si="167"/>
        <v>0</v>
      </c>
      <c r="AM1144" s="85"/>
    </row>
    <row r="1145" spans="1:39" hidden="1" x14ac:dyDescent="0.3">
      <c r="A1145" s="85" t="s">
        <v>34</v>
      </c>
      <c r="B1145" s="15" t="s">
        <v>35</v>
      </c>
      <c r="C1145" s="15" t="s">
        <v>164</v>
      </c>
      <c r="D1145" s="15" t="s">
        <v>174</v>
      </c>
      <c r="E1145" s="15" t="s">
        <v>1703</v>
      </c>
      <c r="F1145" s="15" t="s">
        <v>1703</v>
      </c>
      <c r="G1145" s="15" t="s">
        <v>1703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1703</v>
      </c>
      <c r="N1145" s="15"/>
      <c r="O1145" s="8" t="s">
        <v>410</v>
      </c>
      <c r="P1145" s="8" t="s">
        <v>41</v>
      </c>
      <c r="Q1145" s="14">
        <v>0</v>
      </c>
      <c r="R1145" s="139" t="s">
        <v>1704</v>
      </c>
      <c r="S1145" s="15"/>
      <c r="T1145" s="6">
        <v>0</v>
      </c>
      <c r="U1145" s="6">
        <v>40000</v>
      </c>
      <c r="V1145" s="6">
        <v>35213.49000000002</v>
      </c>
      <c r="W1145" s="18">
        <f t="shared" si="169"/>
        <v>4786.5099999999802</v>
      </c>
      <c r="X1145" s="18">
        <f t="shared" si="171"/>
        <v>35213.49000000002</v>
      </c>
      <c r="Y1145" s="13">
        <f t="shared" si="163"/>
        <v>14122.185131249546</v>
      </c>
      <c r="Z1145" s="14">
        <v>0</v>
      </c>
      <c r="AA1145" s="4">
        <v>0</v>
      </c>
      <c r="AB1145" s="4">
        <f t="shared" si="164"/>
        <v>35213.49000000002</v>
      </c>
      <c r="AC1145" s="6">
        <f t="shared" si="165"/>
        <v>0</v>
      </c>
      <c r="AD1145" s="6">
        <f t="shared" si="170"/>
        <v>21091.304868750474</v>
      </c>
      <c r="AE1145" s="2">
        <v>7.0000000000000007E-2</v>
      </c>
      <c r="AF1145" s="5">
        <f t="shared" si="166"/>
        <v>1476.3913408125334</v>
      </c>
      <c r="AG1145" s="14">
        <v>0</v>
      </c>
      <c r="AH1145" s="19">
        <f t="shared" si="168"/>
        <v>35213.49000000002</v>
      </c>
      <c r="AJ1145" s="126" t="e">
        <v>#N/A</v>
      </c>
      <c r="AK1145" s="80">
        <f t="shared" si="167"/>
        <v>0</v>
      </c>
      <c r="AM1145" s="85"/>
    </row>
    <row r="1146" spans="1:39" hidden="1" x14ac:dyDescent="0.3">
      <c r="A1146" s="85" t="s">
        <v>34</v>
      </c>
      <c r="B1146" s="15" t="s">
        <v>35</v>
      </c>
      <c r="C1146" s="15" t="s">
        <v>164</v>
      </c>
      <c r="D1146" s="15" t="s">
        <v>174</v>
      </c>
      <c r="E1146" s="15" t="s">
        <v>1703</v>
      </c>
      <c r="F1146" s="15" t="s">
        <v>1703</v>
      </c>
      <c r="G1146" s="15" t="s">
        <v>1703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1705</v>
      </c>
      <c r="N1146" s="15"/>
      <c r="O1146" s="8" t="s">
        <v>410</v>
      </c>
      <c r="P1146" s="8" t="s">
        <v>41</v>
      </c>
      <c r="Q1146" s="14">
        <v>0</v>
      </c>
      <c r="R1146" s="139" t="s">
        <v>1706</v>
      </c>
      <c r="S1146" s="15"/>
      <c r="T1146" s="6">
        <v>0</v>
      </c>
      <c r="U1146" s="6">
        <v>5000</v>
      </c>
      <c r="V1146" s="6">
        <v>2228.1</v>
      </c>
      <c r="W1146" s="18">
        <f t="shared" si="169"/>
        <v>2771.9</v>
      </c>
      <c r="X1146" s="18">
        <f t="shared" si="171"/>
        <v>2228.1</v>
      </c>
      <c r="Y1146" s="13">
        <f t="shared" si="163"/>
        <v>893.56779719752558</v>
      </c>
      <c r="Z1146" s="14">
        <v>0</v>
      </c>
      <c r="AA1146" s="4">
        <v>0</v>
      </c>
      <c r="AB1146" s="4">
        <f t="shared" si="164"/>
        <v>2228.1</v>
      </c>
      <c r="AC1146" s="6">
        <f t="shared" si="165"/>
        <v>0</v>
      </c>
      <c r="AD1146" s="6">
        <f t="shared" si="170"/>
        <v>1334.5322028024743</v>
      </c>
      <c r="AE1146" s="2">
        <v>7.0000000000000007E-2</v>
      </c>
      <c r="AF1146" s="5">
        <f t="shared" si="166"/>
        <v>93.417254196173218</v>
      </c>
      <c r="AG1146" s="14">
        <v>0</v>
      </c>
      <c r="AH1146" s="19">
        <f t="shared" si="168"/>
        <v>2228.1</v>
      </c>
      <c r="AJ1146" s="126" t="e">
        <v>#N/A</v>
      </c>
      <c r="AK1146" s="80">
        <f t="shared" si="167"/>
        <v>0</v>
      </c>
      <c r="AM1146" s="85"/>
    </row>
    <row r="1147" spans="1:39" hidden="1" x14ac:dyDescent="0.3">
      <c r="A1147" s="85" t="s">
        <v>34</v>
      </c>
      <c r="B1147" s="15" t="s">
        <v>35</v>
      </c>
      <c r="C1147" s="15" t="s">
        <v>164</v>
      </c>
      <c r="D1147" s="15" t="s">
        <v>174</v>
      </c>
      <c r="E1147" s="15" t="s">
        <v>1703</v>
      </c>
      <c r="F1147" s="15" t="s">
        <v>1703</v>
      </c>
      <c r="G1147" s="15" t="s">
        <v>1703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1707</v>
      </c>
      <c r="N1147" s="15"/>
      <c r="O1147" s="8" t="s">
        <v>410</v>
      </c>
      <c r="P1147" s="8" t="s">
        <v>41</v>
      </c>
      <c r="Q1147" s="14">
        <v>0</v>
      </c>
      <c r="R1147" s="139" t="s">
        <v>1708</v>
      </c>
      <c r="S1147" s="15"/>
      <c r="T1147" s="6">
        <v>5000</v>
      </c>
      <c r="U1147" s="6">
        <v>15000</v>
      </c>
      <c r="V1147" s="6">
        <v>14349.6</v>
      </c>
      <c r="W1147" s="18">
        <f t="shared" si="169"/>
        <v>5650.4</v>
      </c>
      <c r="X1147" s="18">
        <f t="shared" si="171"/>
        <v>14349.6</v>
      </c>
      <c r="Y1147" s="13">
        <f t="shared" si="163"/>
        <v>5754.8316784101316</v>
      </c>
      <c r="Z1147" s="14">
        <v>0</v>
      </c>
      <c r="AA1147" s="4">
        <v>0</v>
      </c>
      <c r="AB1147" s="4">
        <f t="shared" si="164"/>
        <v>14349.6</v>
      </c>
      <c r="AC1147" s="6">
        <f t="shared" si="165"/>
        <v>0</v>
      </c>
      <c r="AD1147" s="6">
        <f t="shared" si="170"/>
        <v>8594.7683215898687</v>
      </c>
      <c r="AE1147" s="2">
        <v>7.0000000000000007E-2</v>
      </c>
      <c r="AF1147" s="5">
        <f t="shared" si="166"/>
        <v>601.63378251129086</v>
      </c>
      <c r="AG1147" s="14">
        <v>0</v>
      </c>
      <c r="AH1147" s="19">
        <f t="shared" si="168"/>
        <v>14349.6</v>
      </c>
      <c r="AJ1147" s="126" t="e">
        <v>#N/A</v>
      </c>
      <c r="AK1147" s="80">
        <f t="shared" si="167"/>
        <v>0</v>
      </c>
      <c r="AM1147" s="85"/>
    </row>
    <row r="1148" spans="1:39" hidden="1" x14ac:dyDescent="0.3">
      <c r="A1148" s="85" t="s">
        <v>34</v>
      </c>
      <c r="B1148" s="15" t="s">
        <v>35</v>
      </c>
      <c r="C1148" s="15" t="s">
        <v>164</v>
      </c>
      <c r="D1148" s="15" t="s">
        <v>174</v>
      </c>
      <c r="E1148" s="15" t="s">
        <v>1703</v>
      </c>
      <c r="F1148" s="15" t="s">
        <v>1703</v>
      </c>
      <c r="G1148" s="15" t="s">
        <v>1703</v>
      </c>
      <c r="H1148" s="154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1709</v>
      </c>
      <c r="N1148" s="15"/>
      <c r="O1148" s="8" t="s">
        <v>410</v>
      </c>
      <c r="P1148" s="8" t="s">
        <v>41</v>
      </c>
      <c r="Q1148" s="14">
        <v>0</v>
      </c>
      <c r="R1148" s="139" t="s">
        <v>1710</v>
      </c>
      <c r="S1148" s="15"/>
      <c r="T1148" s="6">
        <v>0</v>
      </c>
      <c r="U1148" s="6">
        <v>20000</v>
      </c>
      <c r="V1148" s="6">
        <v>8336.6999999999844</v>
      </c>
      <c r="W1148" s="18">
        <f t="shared" si="169"/>
        <v>11663.300000000016</v>
      </c>
      <c r="X1148" s="18">
        <f t="shared" si="171"/>
        <v>8336.6999999999844</v>
      </c>
      <c r="Y1148" s="13">
        <f t="shared" si="163"/>
        <v>3343.3897288706066</v>
      </c>
      <c r="Z1148" s="14">
        <v>0</v>
      </c>
      <c r="AA1148" s="4">
        <v>0</v>
      </c>
      <c r="AB1148" s="4">
        <f t="shared" si="164"/>
        <v>8336.6999999999844</v>
      </c>
      <c r="AC1148" s="6">
        <f t="shared" si="165"/>
        <v>0</v>
      </c>
      <c r="AD1148" s="6">
        <f t="shared" si="170"/>
        <v>4993.3102711293777</v>
      </c>
      <c r="AE1148" s="2">
        <v>7.0000000000000007E-2</v>
      </c>
      <c r="AF1148" s="5">
        <f t="shared" si="166"/>
        <v>349.53171897905645</v>
      </c>
      <c r="AG1148" s="14">
        <v>0</v>
      </c>
      <c r="AH1148" s="19">
        <f t="shared" si="168"/>
        <v>8336.6999999999844</v>
      </c>
      <c r="AJ1148" s="126" t="e">
        <v>#N/A</v>
      </c>
      <c r="AK1148" s="80">
        <f t="shared" si="167"/>
        <v>0</v>
      </c>
      <c r="AM1148" s="85"/>
    </row>
    <row r="1149" spans="1:39" hidden="1" x14ac:dyDescent="0.3">
      <c r="A1149" s="85" t="s">
        <v>34</v>
      </c>
      <c r="B1149" s="15" t="s">
        <v>35</v>
      </c>
      <c r="C1149" s="15" t="s">
        <v>164</v>
      </c>
      <c r="D1149" s="15" t="s">
        <v>174</v>
      </c>
      <c r="E1149" s="15" t="s">
        <v>1711</v>
      </c>
      <c r="F1149" s="15" t="s">
        <v>1711</v>
      </c>
      <c r="G1149" s="15" t="s">
        <v>1711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1711</v>
      </c>
      <c r="N1149" s="15"/>
      <c r="O1149" s="8" t="s">
        <v>1196</v>
      </c>
      <c r="P1149" s="8" t="s">
        <v>41</v>
      </c>
      <c r="Q1149" s="14">
        <v>0</v>
      </c>
      <c r="R1149" s="139" t="s">
        <v>1712</v>
      </c>
      <c r="S1149" s="15"/>
      <c r="T1149" s="6">
        <v>0</v>
      </c>
      <c r="U1149" s="6">
        <v>25000</v>
      </c>
      <c r="V1149" s="6">
        <v>6211.9720900000029</v>
      </c>
      <c r="W1149" s="18">
        <f t="shared" si="169"/>
        <v>18788.027909999997</v>
      </c>
      <c r="X1149" s="18">
        <f t="shared" si="171"/>
        <v>6211.9720900000029</v>
      </c>
      <c r="Y1149" s="13">
        <f t="shared" si="163"/>
        <v>2491.278765187295</v>
      </c>
      <c r="Z1149" s="14">
        <v>0</v>
      </c>
      <c r="AA1149" s="4">
        <v>0</v>
      </c>
      <c r="AB1149" s="4">
        <f t="shared" si="164"/>
        <v>6211.9720900000029</v>
      </c>
      <c r="AC1149" s="6">
        <f t="shared" si="165"/>
        <v>0</v>
      </c>
      <c r="AD1149" s="6">
        <f t="shared" si="170"/>
        <v>3720.6933248127079</v>
      </c>
      <c r="AE1149" s="2">
        <v>0.12</v>
      </c>
      <c r="AF1149" s="5">
        <f t="shared" si="166"/>
        <v>446.48319897752492</v>
      </c>
      <c r="AG1149" s="14">
        <v>0</v>
      </c>
      <c r="AH1149" s="19">
        <f t="shared" si="168"/>
        <v>6211.9720900000029</v>
      </c>
      <c r="AJ1149" s="126" t="e">
        <v>#N/A</v>
      </c>
      <c r="AK1149" s="80">
        <f t="shared" si="167"/>
        <v>0</v>
      </c>
      <c r="AM1149" s="85"/>
    </row>
    <row r="1150" spans="1:39" hidden="1" x14ac:dyDescent="0.3">
      <c r="A1150" s="85" t="s">
        <v>34</v>
      </c>
      <c r="B1150" s="15" t="s">
        <v>35</v>
      </c>
      <c r="C1150" s="15" t="s">
        <v>164</v>
      </c>
      <c r="D1150" s="15" t="s">
        <v>174</v>
      </c>
      <c r="E1150" s="15" t="s">
        <v>1711</v>
      </c>
      <c r="F1150" s="15" t="s">
        <v>1711</v>
      </c>
      <c r="G1150" s="15" t="s">
        <v>1711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1711</v>
      </c>
      <c r="N1150" s="15"/>
      <c r="O1150" s="8" t="s">
        <v>410</v>
      </c>
      <c r="P1150" s="8" t="s">
        <v>41</v>
      </c>
      <c r="Q1150" s="14">
        <v>0</v>
      </c>
      <c r="R1150" s="139" t="s">
        <v>1713</v>
      </c>
      <c r="S1150" s="15"/>
      <c r="T1150" s="6">
        <v>69281.2</v>
      </c>
      <c r="U1150" s="6">
        <v>162000</v>
      </c>
      <c r="V1150" s="6">
        <v>196650.96</v>
      </c>
      <c r="W1150" s="18">
        <f t="shared" si="169"/>
        <v>34630.24000000002</v>
      </c>
      <c r="X1150" s="18">
        <f t="shared" si="171"/>
        <v>196650.96</v>
      </c>
      <c r="Y1150" s="13">
        <f t="shared" si="163"/>
        <v>78865.834183375395</v>
      </c>
      <c r="Z1150" s="14">
        <v>0</v>
      </c>
      <c r="AA1150" s="4">
        <v>0</v>
      </c>
      <c r="AB1150" s="4">
        <f t="shared" si="164"/>
        <v>196650.96</v>
      </c>
      <c r="AC1150" s="6">
        <f t="shared" si="165"/>
        <v>0</v>
      </c>
      <c r="AD1150" s="6">
        <f t="shared" si="170"/>
        <v>117785.1258166246</v>
      </c>
      <c r="AE1150" s="2">
        <v>7.0000000000000007E-2</v>
      </c>
      <c r="AF1150" s="5">
        <f t="shared" si="166"/>
        <v>8244.9588071637227</v>
      </c>
      <c r="AG1150" s="14">
        <v>0</v>
      </c>
      <c r="AH1150" s="19">
        <f t="shared" si="168"/>
        <v>196650.96</v>
      </c>
      <c r="AJ1150" s="126" t="e">
        <v>#N/A</v>
      </c>
      <c r="AK1150" s="80">
        <f t="shared" si="167"/>
        <v>0</v>
      </c>
      <c r="AM1150" s="85"/>
    </row>
    <row r="1151" spans="1:39" hidden="1" x14ac:dyDescent="0.3">
      <c r="A1151" s="85" t="s">
        <v>34</v>
      </c>
      <c r="B1151" s="15" t="s">
        <v>35</v>
      </c>
      <c r="C1151" s="15" t="s">
        <v>164</v>
      </c>
      <c r="D1151" s="15" t="s">
        <v>174</v>
      </c>
      <c r="E1151" s="15" t="s">
        <v>666</v>
      </c>
      <c r="F1151" s="15" t="s">
        <v>666</v>
      </c>
      <c r="G1151" s="15" t="s">
        <v>666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666</v>
      </c>
      <c r="N1151" s="15"/>
      <c r="O1151" s="8" t="s">
        <v>410</v>
      </c>
      <c r="P1151" s="8" t="s">
        <v>41</v>
      </c>
      <c r="Q1151" s="14">
        <v>0</v>
      </c>
      <c r="R1151" s="139" t="s">
        <v>1714</v>
      </c>
      <c r="S1151" s="15"/>
      <c r="T1151" s="6">
        <v>0</v>
      </c>
      <c r="U1151" s="6">
        <v>10000</v>
      </c>
      <c r="V1151" s="6">
        <v>9647.1</v>
      </c>
      <c r="W1151" s="18">
        <f t="shared" si="169"/>
        <v>352.89999999999964</v>
      </c>
      <c r="X1151" s="18">
        <f t="shared" si="171"/>
        <v>9647.1</v>
      </c>
      <c r="Y1151" s="13">
        <f t="shared" si="163"/>
        <v>3868.9187632261792</v>
      </c>
      <c r="Z1151" s="14">
        <v>0</v>
      </c>
      <c r="AA1151" s="4">
        <v>0</v>
      </c>
      <c r="AB1151" s="4">
        <f t="shared" si="164"/>
        <v>9647.1</v>
      </c>
      <c r="AC1151" s="6">
        <f t="shared" si="165"/>
        <v>0</v>
      </c>
      <c r="AD1151" s="6">
        <f t="shared" si="170"/>
        <v>5778.1812367738212</v>
      </c>
      <c r="AE1151" s="2">
        <v>7.0000000000000007E-2</v>
      </c>
      <c r="AF1151" s="5">
        <f t="shared" si="166"/>
        <v>404.47268657416754</v>
      </c>
      <c r="AG1151" s="14">
        <v>0</v>
      </c>
      <c r="AH1151" s="19">
        <f t="shared" si="168"/>
        <v>9647.1</v>
      </c>
      <c r="AJ1151" s="126" t="e">
        <v>#N/A</v>
      </c>
      <c r="AK1151" s="80">
        <f t="shared" si="167"/>
        <v>0</v>
      </c>
      <c r="AM1151" s="85"/>
    </row>
    <row r="1152" spans="1:39" hidden="1" x14ac:dyDescent="0.3">
      <c r="A1152" s="85" t="s">
        <v>34</v>
      </c>
      <c r="B1152" s="15" t="s">
        <v>35</v>
      </c>
      <c r="C1152" s="15" t="s">
        <v>164</v>
      </c>
      <c r="D1152" s="15" t="s">
        <v>174</v>
      </c>
      <c r="E1152" s="15" t="s">
        <v>1715</v>
      </c>
      <c r="F1152" s="15" t="s">
        <v>1716</v>
      </c>
      <c r="G1152" s="15" t="s">
        <v>1715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1715</v>
      </c>
      <c r="N1152" s="15"/>
      <c r="O1152" s="8" t="s">
        <v>410</v>
      </c>
      <c r="P1152" s="8" t="s">
        <v>41</v>
      </c>
      <c r="Q1152" s="14">
        <v>0</v>
      </c>
      <c r="R1152" s="139" t="s">
        <v>1717</v>
      </c>
      <c r="S1152" s="15"/>
      <c r="T1152" s="6">
        <v>0</v>
      </c>
      <c r="U1152" s="6">
        <v>98281.5</v>
      </c>
      <c r="V1152" s="6">
        <v>79451.329999999958</v>
      </c>
      <c r="W1152" s="18">
        <f t="shared" si="169"/>
        <v>18830.170000000042</v>
      </c>
      <c r="X1152" s="18">
        <f t="shared" si="171"/>
        <v>79451.329999999958</v>
      </c>
      <c r="Y1152" s="13">
        <f t="shared" si="163"/>
        <v>31863.538410535279</v>
      </c>
      <c r="Z1152" s="14">
        <v>0</v>
      </c>
      <c r="AA1152" s="4">
        <v>0</v>
      </c>
      <c r="AB1152" s="4">
        <f t="shared" si="164"/>
        <v>79451.329999999958</v>
      </c>
      <c r="AC1152" s="6">
        <f t="shared" si="165"/>
        <v>0</v>
      </c>
      <c r="AD1152" s="6">
        <f t="shared" si="170"/>
        <v>47587.791589464679</v>
      </c>
      <c r="AE1152" s="2">
        <v>7.0000000000000007E-2</v>
      </c>
      <c r="AF1152" s="5">
        <f t="shared" si="166"/>
        <v>3331.1454112625279</v>
      </c>
      <c r="AG1152" s="14">
        <v>0</v>
      </c>
      <c r="AH1152" s="19">
        <f t="shared" si="168"/>
        <v>79451.329999999958</v>
      </c>
      <c r="AJ1152" s="126" t="e">
        <v>#N/A</v>
      </c>
      <c r="AK1152" s="80">
        <f t="shared" si="167"/>
        <v>0</v>
      </c>
      <c r="AM1152" s="85"/>
    </row>
    <row r="1153" spans="1:39" hidden="1" x14ac:dyDescent="0.3">
      <c r="A1153" s="85" t="s">
        <v>34</v>
      </c>
      <c r="B1153" s="15" t="s">
        <v>35</v>
      </c>
      <c r="C1153" s="15" t="s">
        <v>164</v>
      </c>
      <c r="D1153" s="15" t="s">
        <v>174</v>
      </c>
      <c r="E1153" s="15" t="s">
        <v>1715</v>
      </c>
      <c r="F1153" s="15" t="s">
        <v>1716</v>
      </c>
      <c r="G1153" s="15" t="s">
        <v>1715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1715</v>
      </c>
      <c r="N1153" s="15"/>
      <c r="O1153" s="8" t="s">
        <v>410</v>
      </c>
      <c r="P1153" s="8" t="s">
        <v>46</v>
      </c>
      <c r="Q1153" s="14">
        <v>0.02</v>
      </c>
      <c r="R1153" s="139" t="s">
        <v>1717</v>
      </c>
      <c r="S1153" s="15"/>
      <c r="T1153" s="6">
        <v>38283.100000000035</v>
      </c>
      <c r="U1153" s="6">
        <v>-38247.129999999997</v>
      </c>
      <c r="V1153" s="6">
        <v>35.970000000037544</v>
      </c>
      <c r="W1153" s="18">
        <f t="shared" si="169"/>
        <v>0</v>
      </c>
      <c r="X1153" s="18">
        <f t="shared" si="171"/>
        <v>35.264705882389748</v>
      </c>
      <c r="Y1153" s="13">
        <f t="shared" si="163"/>
        <v>13.720285373949775</v>
      </c>
      <c r="Z1153" s="14">
        <v>0</v>
      </c>
      <c r="AA1153" s="4">
        <v>0</v>
      </c>
      <c r="AB1153" s="4">
        <f t="shared" si="164"/>
        <v>35.264705882389748</v>
      </c>
      <c r="AC1153" s="6">
        <f t="shared" si="165"/>
        <v>0.70529411764779582</v>
      </c>
      <c r="AD1153" s="6">
        <f t="shared" si="170"/>
        <v>21.544420508439973</v>
      </c>
      <c r="AE1153" s="2">
        <v>7.0000000000000007E-2</v>
      </c>
      <c r="AF1153" s="5">
        <f t="shared" si="166"/>
        <v>1.5081094355907982</v>
      </c>
      <c r="AG1153" s="14">
        <v>0</v>
      </c>
      <c r="AH1153" s="19">
        <f t="shared" si="168"/>
        <v>35.970000000037544</v>
      </c>
      <c r="AJ1153" s="126" t="e">
        <v>#N/A</v>
      </c>
      <c r="AK1153" s="80">
        <f t="shared" si="167"/>
        <v>0</v>
      </c>
      <c r="AM1153" s="85"/>
    </row>
    <row r="1154" spans="1:39" hidden="1" x14ac:dyDescent="0.3">
      <c r="A1154" s="85" t="s">
        <v>34</v>
      </c>
      <c r="B1154" s="15" t="s">
        <v>35</v>
      </c>
      <c r="C1154" s="15" t="s">
        <v>164</v>
      </c>
      <c r="D1154" s="15" t="s">
        <v>174</v>
      </c>
      <c r="E1154" s="15" t="s">
        <v>1718</v>
      </c>
      <c r="F1154" s="15" t="s">
        <v>1719</v>
      </c>
      <c r="G1154" s="15" t="s">
        <v>1718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1720</v>
      </c>
      <c r="N1154" s="15"/>
      <c r="O1154" s="8" t="s">
        <v>410</v>
      </c>
      <c r="P1154" s="8" t="s">
        <v>41</v>
      </c>
      <c r="Q1154" s="14">
        <v>0</v>
      </c>
      <c r="R1154" s="139" t="s">
        <v>1721</v>
      </c>
      <c r="S1154" s="15"/>
      <c r="T1154" s="6">
        <v>104382.95000000001</v>
      </c>
      <c r="U1154" s="6">
        <v>350000</v>
      </c>
      <c r="V1154" s="6">
        <v>396648.31157999998</v>
      </c>
      <c r="W1154" s="18">
        <f t="shared" si="169"/>
        <v>57734.638420000032</v>
      </c>
      <c r="X1154" s="18">
        <f t="shared" si="171"/>
        <v>396648.31157999998</v>
      </c>
      <c r="Y1154" s="13">
        <f t="shared" si="163"/>
        <v>159073.72112591821</v>
      </c>
      <c r="Z1154" s="14">
        <v>0</v>
      </c>
      <c r="AA1154" s="4">
        <v>0</v>
      </c>
      <c r="AB1154" s="4">
        <f t="shared" si="164"/>
        <v>396648.31157999998</v>
      </c>
      <c r="AC1154" s="6">
        <f t="shared" si="165"/>
        <v>0</v>
      </c>
      <c r="AD1154" s="6">
        <f t="shared" si="170"/>
        <v>237574.59045408177</v>
      </c>
      <c r="AE1154" s="2">
        <v>7.0000000000000007E-2</v>
      </c>
      <c r="AF1154" s="5">
        <f t="shared" si="166"/>
        <v>16630.221331785724</v>
      </c>
      <c r="AG1154" s="14">
        <v>0</v>
      </c>
      <c r="AH1154" s="19">
        <f t="shared" si="168"/>
        <v>396648.31157999998</v>
      </c>
      <c r="AJ1154" s="126" t="e">
        <v>#N/A</v>
      </c>
      <c r="AK1154" s="80">
        <f t="shared" si="167"/>
        <v>0</v>
      </c>
      <c r="AM1154" s="85"/>
    </row>
    <row r="1155" spans="1:39" hidden="1" x14ac:dyDescent="0.3">
      <c r="A1155" s="85" t="s">
        <v>34</v>
      </c>
      <c r="B1155" s="15" t="s">
        <v>35</v>
      </c>
      <c r="C1155" s="15" t="s">
        <v>164</v>
      </c>
      <c r="D1155" s="15" t="s">
        <v>174</v>
      </c>
      <c r="E1155" s="15" t="s">
        <v>1718</v>
      </c>
      <c r="F1155" s="15" t="s">
        <v>1719</v>
      </c>
      <c r="G1155" s="15" t="s">
        <v>1718</v>
      </c>
      <c r="H1155" s="139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1722</v>
      </c>
      <c r="N1155" s="15"/>
      <c r="O1155" s="8" t="s">
        <v>410</v>
      </c>
      <c r="P1155" s="8" t="s">
        <v>41</v>
      </c>
      <c r="Q1155" s="14">
        <v>0</v>
      </c>
      <c r="R1155" s="139" t="s">
        <v>1723</v>
      </c>
      <c r="S1155" s="15"/>
      <c r="T1155" s="6">
        <v>0</v>
      </c>
      <c r="U1155" s="6">
        <v>0</v>
      </c>
      <c r="V1155" s="6">
        <v>0</v>
      </c>
      <c r="W1155" s="18">
        <f t="shared" si="169"/>
        <v>0</v>
      </c>
      <c r="X1155" s="18">
        <f t="shared" si="171"/>
        <v>0</v>
      </c>
      <c r="Y1155" s="13">
        <f t="shared" ref="Y1155:Y1218" si="172">IF(X1155-AD1155&lt;=0,0,IF(P1155="返现",MAX(X1155-AC1155-AD1155,0),MAX(X1155-AD1155)))</f>
        <v>0</v>
      </c>
      <c r="Z1155" s="14">
        <v>0</v>
      </c>
      <c r="AA1155" s="4">
        <v>0</v>
      </c>
      <c r="AB1155" s="4">
        <f t="shared" ref="AB1155:AB1218" si="173">X1155+AA1155</f>
        <v>0</v>
      </c>
      <c r="AC1155" s="6">
        <f t="shared" ref="AC1155:AC1218" si="174">IF(P1155="返现",X1155*Q1155,V1155-X1155)</f>
        <v>0</v>
      </c>
      <c r="AD1155" s="6">
        <f t="shared" si="170"/>
        <v>0</v>
      </c>
      <c r="AE1155" s="2">
        <v>7.0000000000000007E-2</v>
      </c>
      <c r="AF1155" s="5">
        <f t="shared" ref="AF1155:AF1218" si="175">AD1155*AE1155</f>
        <v>0</v>
      </c>
      <c r="AG1155" s="14">
        <v>0</v>
      </c>
      <c r="AH1155" s="19">
        <f t="shared" si="168"/>
        <v>0</v>
      </c>
      <c r="AJ1155" s="126" t="e">
        <v>#N/A</v>
      </c>
      <c r="AK1155" s="80">
        <f t="shared" ref="AK1155:AK1218" si="176">X1155+AA1155-AB1155</f>
        <v>0</v>
      </c>
      <c r="AM1155" s="85"/>
    </row>
    <row r="1156" spans="1:39" hidden="1" x14ac:dyDescent="0.3">
      <c r="A1156" s="85" t="s">
        <v>34</v>
      </c>
      <c r="B1156" s="15" t="s">
        <v>35</v>
      </c>
      <c r="C1156" s="15" t="s">
        <v>164</v>
      </c>
      <c r="D1156" s="15" t="s">
        <v>174</v>
      </c>
      <c r="E1156" s="15" t="s">
        <v>1718</v>
      </c>
      <c r="F1156" s="15" t="s">
        <v>1719</v>
      </c>
      <c r="G1156" s="15" t="s">
        <v>1718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1722</v>
      </c>
      <c r="N1156" s="15"/>
      <c r="O1156" s="8" t="s">
        <v>410</v>
      </c>
      <c r="P1156" s="8" t="s">
        <v>41</v>
      </c>
      <c r="Q1156" s="14">
        <v>0</v>
      </c>
      <c r="R1156" s="139" t="s">
        <v>1724</v>
      </c>
      <c r="S1156" s="15"/>
      <c r="T1156" s="6">
        <v>86678.400000000009</v>
      </c>
      <c r="U1156" s="6">
        <v>230000</v>
      </c>
      <c r="V1156" s="6">
        <v>275440.2</v>
      </c>
      <c r="W1156" s="18">
        <f t="shared" si="169"/>
        <v>41238.200000000012</v>
      </c>
      <c r="X1156" s="18">
        <f t="shared" si="171"/>
        <v>275440.2</v>
      </c>
      <c r="Y1156" s="13">
        <f t="shared" si="172"/>
        <v>110463.8448784372</v>
      </c>
      <c r="Z1156" s="14">
        <v>0</v>
      </c>
      <c r="AA1156" s="4">
        <v>0</v>
      </c>
      <c r="AB1156" s="4">
        <f t="shared" si="173"/>
        <v>275440.2</v>
      </c>
      <c r="AC1156" s="6">
        <f t="shared" si="174"/>
        <v>0</v>
      </c>
      <c r="AD1156" s="6">
        <f t="shared" si="170"/>
        <v>164976.35512156281</v>
      </c>
      <c r="AE1156" s="2">
        <v>7.0000000000000007E-2</v>
      </c>
      <c r="AF1156" s="5">
        <f t="shared" si="175"/>
        <v>11548.344858509397</v>
      </c>
      <c r="AG1156" s="14">
        <v>0</v>
      </c>
      <c r="AH1156" s="19">
        <f t="shared" si="168"/>
        <v>275440.2</v>
      </c>
      <c r="AJ1156" s="126" t="e">
        <v>#N/A</v>
      </c>
      <c r="AK1156" s="80">
        <f t="shared" si="176"/>
        <v>0</v>
      </c>
      <c r="AM1156" s="85"/>
    </row>
    <row r="1157" spans="1:39" hidden="1" x14ac:dyDescent="0.3">
      <c r="A1157" s="85" t="s">
        <v>34</v>
      </c>
      <c r="B1157" s="15" t="s">
        <v>35</v>
      </c>
      <c r="C1157" s="15" t="s">
        <v>164</v>
      </c>
      <c r="D1157" s="15" t="s">
        <v>174</v>
      </c>
      <c r="E1157" s="15" t="s">
        <v>1718</v>
      </c>
      <c r="F1157" s="15" t="s">
        <v>1719</v>
      </c>
      <c r="G1157" s="15" t="s">
        <v>1718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1725</v>
      </c>
      <c r="N1157" s="15"/>
      <c r="O1157" s="8" t="s">
        <v>410</v>
      </c>
      <c r="P1157" s="8" t="s">
        <v>41</v>
      </c>
      <c r="Q1157" s="14">
        <v>0</v>
      </c>
      <c r="R1157" s="139" t="s">
        <v>1726</v>
      </c>
      <c r="S1157" s="15"/>
      <c r="T1157" s="6">
        <v>50000</v>
      </c>
      <c r="U1157" s="6">
        <v>50000</v>
      </c>
      <c r="V1157" s="6">
        <v>49576.7</v>
      </c>
      <c r="W1157" s="18">
        <f t="shared" si="169"/>
        <v>50423.3</v>
      </c>
      <c r="X1157" s="18">
        <f t="shared" si="171"/>
        <v>49576.7</v>
      </c>
      <c r="Y1157" s="13">
        <f t="shared" si="172"/>
        <v>19882.475028644392</v>
      </c>
      <c r="Z1157" s="14">
        <v>0</v>
      </c>
      <c r="AA1157" s="4">
        <v>0</v>
      </c>
      <c r="AB1157" s="4">
        <f t="shared" si="173"/>
        <v>49576.7</v>
      </c>
      <c r="AC1157" s="6">
        <f t="shared" si="174"/>
        <v>0</v>
      </c>
      <c r="AD1157" s="6">
        <f t="shared" si="170"/>
        <v>29694.224971355605</v>
      </c>
      <c r="AE1157" s="2">
        <v>7.0000000000000007E-2</v>
      </c>
      <c r="AF1157" s="5">
        <f t="shared" si="175"/>
        <v>2078.5957479948925</v>
      </c>
      <c r="AG1157" s="14">
        <v>0</v>
      </c>
      <c r="AH1157" s="19">
        <f t="shared" si="168"/>
        <v>49576.7</v>
      </c>
      <c r="AJ1157" s="126" t="e">
        <v>#N/A</v>
      </c>
      <c r="AK1157" s="80">
        <f t="shared" si="176"/>
        <v>0</v>
      </c>
      <c r="AM1157" s="85"/>
    </row>
    <row r="1158" spans="1:39" hidden="1" x14ac:dyDescent="0.3">
      <c r="A1158" s="85" t="s">
        <v>34</v>
      </c>
      <c r="B1158" s="15" t="s">
        <v>35</v>
      </c>
      <c r="C1158" s="15" t="s">
        <v>164</v>
      </c>
      <c r="D1158" s="15" t="s">
        <v>174</v>
      </c>
      <c r="E1158" s="15" t="s">
        <v>1727</v>
      </c>
      <c r="F1158" s="15" t="s">
        <v>1727</v>
      </c>
      <c r="G1158" s="15" t="s">
        <v>1727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1728</v>
      </c>
      <c r="N1158" s="15"/>
      <c r="O1158" s="8" t="s">
        <v>410</v>
      </c>
      <c r="P1158" s="8" t="s">
        <v>41</v>
      </c>
      <c r="Q1158" s="14">
        <v>0</v>
      </c>
      <c r="R1158" s="139" t="s">
        <v>1729</v>
      </c>
      <c r="S1158" s="15"/>
      <c r="T1158" s="6">
        <v>0</v>
      </c>
      <c r="U1158" s="6">
        <v>80000</v>
      </c>
      <c r="V1158" s="6">
        <v>67852.7</v>
      </c>
      <c r="W1158" s="18">
        <f t="shared" si="169"/>
        <v>12147.300000000003</v>
      </c>
      <c r="X1158" s="18">
        <f t="shared" si="171"/>
        <v>67852.7</v>
      </c>
      <c r="Y1158" s="13">
        <f t="shared" si="172"/>
        <v>27211.96879534336</v>
      </c>
      <c r="Z1158" s="14">
        <v>0</v>
      </c>
      <c r="AA1158" s="4">
        <v>0</v>
      </c>
      <c r="AB1158" s="4">
        <f t="shared" si="173"/>
        <v>67852.7</v>
      </c>
      <c r="AC1158" s="6">
        <f t="shared" si="174"/>
        <v>0</v>
      </c>
      <c r="AD1158" s="6">
        <f t="shared" si="170"/>
        <v>40640.731204656637</v>
      </c>
      <c r="AE1158" s="2">
        <v>7.0000000000000007E-2</v>
      </c>
      <c r="AF1158" s="5">
        <f t="shared" si="175"/>
        <v>2844.8511843259648</v>
      </c>
      <c r="AG1158" s="14">
        <v>0</v>
      </c>
      <c r="AH1158" s="19">
        <f t="shared" si="168"/>
        <v>67852.7</v>
      </c>
      <c r="AJ1158" s="126" t="e">
        <v>#N/A</v>
      </c>
      <c r="AK1158" s="80">
        <f t="shared" si="176"/>
        <v>0</v>
      </c>
      <c r="AM1158" s="85"/>
    </row>
    <row r="1159" spans="1:39" hidden="1" x14ac:dyDescent="0.3">
      <c r="A1159" s="85" t="s">
        <v>34</v>
      </c>
      <c r="B1159" s="15" t="s">
        <v>35</v>
      </c>
      <c r="C1159" s="15" t="s">
        <v>164</v>
      </c>
      <c r="D1159" s="15" t="s">
        <v>174</v>
      </c>
      <c r="E1159" s="15" t="s">
        <v>1730</v>
      </c>
      <c r="F1159" s="15" t="s">
        <v>1730</v>
      </c>
      <c r="G1159" s="15" t="s">
        <v>4224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1730</v>
      </c>
      <c r="N1159" s="15"/>
      <c r="O1159" s="8" t="s">
        <v>410</v>
      </c>
      <c r="P1159" s="8" t="s">
        <v>41</v>
      </c>
      <c r="Q1159" s="14">
        <v>0</v>
      </c>
      <c r="R1159" s="139" t="s">
        <v>1731</v>
      </c>
      <c r="S1159" s="15"/>
      <c r="T1159" s="6">
        <v>0</v>
      </c>
      <c r="U1159" s="6">
        <v>60000</v>
      </c>
      <c r="V1159" s="6">
        <v>50673.279999999999</v>
      </c>
      <c r="W1159" s="18">
        <f t="shared" si="169"/>
        <v>9326.7200000000012</v>
      </c>
      <c r="X1159" s="18">
        <f t="shared" si="171"/>
        <v>50673.279999999999</v>
      </c>
      <c r="Y1159" s="13">
        <f t="shared" si="172"/>
        <v>20322.252675541236</v>
      </c>
      <c r="Z1159" s="14">
        <v>0</v>
      </c>
      <c r="AA1159" s="4">
        <v>0</v>
      </c>
      <c r="AB1159" s="4">
        <v>50673.279999999999</v>
      </c>
      <c r="AC1159" s="6">
        <f t="shared" si="174"/>
        <v>0</v>
      </c>
      <c r="AD1159" s="6">
        <f t="shared" si="170"/>
        <v>30351.027324458762</v>
      </c>
      <c r="AE1159" s="2">
        <v>7.0000000000000007E-2</v>
      </c>
      <c r="AF1159" s="5">
        <f t="shared" si="175"/>
        <v>2124.5719127121138</v>
      </c>
      <c r="AG1159" s="14">
        <v>0</v>
      </c>
      <c r="AH1159" s="19">
        <f t="shared" si="168"/>
        <v>50673.279999999999</v>
      </c>
      <c r="AJ1159" s="126" t="s">
        <v>4225</v>
      </c>
      <c r="AK1159" s="80">
        <f t="shared" si="176"/>
        <v>0</v>
      </c>
      <c r="AM1159" s="85"/>
    </row>
    <row r="1160" spans="1:39" hidden="1" x14ac:dyDescent="0.3">
      <c r="A1160" s="85" t="s">
        <v>34</v>
      </c>
      <c r="B1160" s="15" t="s">
        <v>35</v>
      </c>
      <c r="C1160" s="15" t="s">
        <v>164</v>
      </c>
      <c r="D1160" s="15" t="s">
        <v>174</v>
      </c>
      <c r="E1160" s="15" t="s">
        <v>1732</v>
      </c>
      <c r="F1160" s="15" t="s">
        <v>1732</v>
      </c>
      <c r="G1160" s="15" t="s">
        <v>1732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1733</v>
      </c>
      <c r="N1160" s="15"/>
      <c r="O1160" s="8" t="s">
        <v>410</v>
      </c>
      <c r="P1160" s="8" t="s">
        <v>41</v>
      </c>
      <c r="Q1160" s="14">
        <v>0</v>
      </c>
      <c r="R1160" s="139" t="s">
        <v>1734</v>
      </c>
      <c r="S1160" s="15"/>
      <c r="T1160" s="6">
        <v>0</v>
      </c>
      <c r="U1160" s="6">
        <v>120000</v>
      </c>
      <c r="V1160" s="6">
        <v>111868.9</v>
      </c>
      <c r="W1160" s="18">
        <f t="shared" si="169"/>
        <v>8131.1000000000058</v>
      </c>
      <c r="X1160" s="18">
        <f t="shared" si="171"/>
        <v>111868.9</v>
      </c>
      <c r="Y1160" s="13">
        <f t="shared" si="172"/>
        <v>44864.43451726147</v>
      </c>
      <c r="Z1160" s="14">
        <v>0</v>
      </c>
      <c r="AA1160" s="4">
        <v>0</v>
      </c>
      <c r="AB1160" s="4">
        <f t="shared" si="173"/>
        <v>111868.9</v>
      </c>
      <c r="AC1160" s="6">
        <f t="shared" si="174"/>
        <v>0</v>
      </c>
      <c r="AD1160" s="6">
        <f t="shared" si="170"/>
        <v>67004.465482738524</v>
      </c>
      <c r="AE1160" s="2">
        <v>7.0000000000000007E-2</v>
      </c>
      <c r="AF1160" s="5">
        <f t="shared" si="175"/>
        <v>4690.3125837916969</v>
      </c>
      <c r="AG1160" s="14">
        <v>0</v>
      </c>
      <c r="AH1160" s="19">
        <f t="shared" si="168"/>
        <v>111868.9</v>
      </c>
      <c r="AJ1160" s="126" t="e">
        <v>#N/A</v>
      </c>
      <c r="AK1160" s="80">
        <f t="shared" si="176"/>
        <v>0</v>
      </c>
      <c r="AM1160" s="85"/>
    </row>
    <row r="1161" spans="1:39" hidden="1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1735</v>
      </c>
      <c r="F1161" s="15" t="s">
        <v>1735</v>
      </c>
      <c r="G1161" s="15" t="s">
        <v>1735</v>
      </c>
      <c r="H1161" s="154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1735</v>
      </c>
      <c r="N1161" s="15"/>
      <c r="O1161" s="8" t="s">
        <v>410</v>
      </c>
      <c r="P1161" s="8" t="s">
        <v>41</v>
      </c>
      <c r="Q1161" s="14">
        <v>0</v>
      </c>
      <c r="R1161" s="139" t="s">
        <v>1736</v>
      </c>
      <c r="S1161" s="15"/>
      <c r="T1161" s="6">
        <v>42760.489999999962</v>
      </c>
      <c r="U1161" s="6">
        <v>40000.000000000007</v>
      </c>
      <c r="V1161" s="6">
        <v>15124.6</v>
      </c>
      <c r="W1161" s="18">
        <f t="shared" si="169"/>
        <v>67635.889999999956</v>
      </c>
      <c r="X1161" s="18">
        <f t="shared" si="171"/>
        <v>15124.6</v>
      </c>
      <c r="Y1161" s="13">
        <f t="shared" si="172"/>
        <v>6065.641356085318</v>
      </c>
      <c r="Z1161" s="14">
        <v>0</v>
      </c>
      <c r="AA1161" s="4">
        <v>0</v>
      </c>
      <c r="AB1161" s="4">
        <f t="shared" si="173"/>
        <v>15124.6</v>
      </c>
      <c r="AC1161" s="6">
        <f t="shared" si="174"/>
        <v>0</v>
      </c>
      <c r="AD1161" s="6">
        <f t="shared" si="170"/>
        <v>9058.9586439146824</v>
      </c>
      <c r="AE1161" s="2">
        <v>7.0000000000000007E-2</v>
      </c>
      <c r="AF1161" s="5">
        <f t="shared" si="175"/>
        <v>634.12710507402778</v>
      </c>
      <c r="AG1161" s="14">
        <v>0</v>
      </c>
      <c r="AH1161" s="19">
        <f t="shared" si="168"/>
        <v>15124.6</v>
      </c>
      <c r="AJ1161" s="126" t="e">
        <v>#N/A</v>
      </c>
      <c r="AK1161" s="80">
        <f t="shared" si="176"/>
        <v>0</v>
      </c>
      <c r="AM1161" s="85"/>
    </row>
    <row r="1162" spans="1:39" hidden="1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1737</v>
      </c>
      <c r="F1162" s="15" t="s">
        <v>1737</v>
      </c>
      <c r="G1162" s="15" t="s">
        <v>1737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1738</v>
      </c>
      <c r="N1162" s="15"/>
      <c r="O1162" s="8" t="s">
        <v>410</v>
      </c>
      <c r="P1162" s="8" t="s">
        <v>46</v>
      </c>
      <c r="Q1162" s="14">
        <v>0.01</v>
      </c>
      <c r="R1162" s="139" t="s">
        <v>1739</v>
      </c>
      <c r="S1162" s="15"/>
      <c r="T1162" s="6">
        <v>0</v>
      </c>
      <c r="U1162" s="6">
        <v>60300</v>
      </c>
      <c r="V1162" s="6">
        <v>41099.300000000003</v>
      </c>
      <c r="W1162" s="18">
        <f t="shared" si="169"/>
        <v>19200.699999999997</v>
      </c>
      <c r="X1162" s="18">
        <f t="shared" si="171"/>
        <v>40692.376237623765</v>
      </c>
      <c r="Y1162" s="13">
        <f t="shared" si="172"/>
        <v>16075.734541721544</v>
      </c>
      <c r="Z1162" s="14">
        <v>0</v>
      </c>
      <c r="AA1162" s="4">
        <v>0</v>
      </c>
      <c r="AB1162" s="4">
        <f t="shared" si="173"/>
        <v>40692.376237623765</v>
      </c>
      <c r="AC1162" s="6">
        <f t="shared" si="174"/>
        <v>406.9237623762383</v>
      </c>
      <c r="AD1162" s="6">
        <f t="shared" si="170"/>
        <v>24616.641695902221</v>
      </c>
      <c r="AE1162" s="2">
        <v>7.0000000000000007E-2</v>
      </c>
      <c r="AF1162" s="5">
        <f t="shared" si="175"/>
        <v>1723.1649187131557</v>
      </c>
      <c r="AG1162" s="14">
        <v>0</v>
      </c>
      <c r="AH1162" s="19">
        <f t="shared" si="168"/>
        <v>41099.300000000003</v>
      </c>
      <c r="AJ1162" s="126" t="e">
        <v>#N/A</v>
      </c>
      <c r="AK1162" s="80">
        <f t="shared" si="176"/>
        <v>0</v>
      </c>
      <c r="AM1162" s="85"/>
    </row>
    <row r="1163" spans="1:39" hidden="1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1737</v>
      </c>
      <c r="F1163" s="15" t="s">
        <v>1737</v>
      </c>
      <c r="G1163" s="15" t="s">
        <v>1737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1740</v>
      </c>
      <c r="N1163" s="15"/>
      <c r="O1163" s="8" t="s">
        <v>410</v>
      </c>
      <c r="P1163" s="8" t="s">
        <v>46</v>
      </c>
      <c r="Q1163" s="14">
        <v>0.01</v>
      </c>
      <c r="R1163" s="139" t="s">
        <v>1741</v>
      </c>
      <c r="S1163" s="15"/>
      <c r="T1163" s="6">
        <v>0</v>
      </c>
      <c r="U1163" s="6">
        <v>140600</v>
      </c>
      <c r="V1163" s="6">
        <v>128677.2</v>
      </c>
      <c r="W1163" s="18">
        <f t="shared" si="169"/>
        <v>11922.800000000003</v>
      </c>
      <c r="X1163" s="18">
        <f t="shared" si="171"/>
        <v>127403.16831683168</v>
      </c>
      <c r="Y1163" s="13">
        <f t="shared" si="172"/>
        <v>50331.283227987122</v>
      </c>
      <c r="Z1163" s="14">
        <v>0</v>
      </c>
      <c r="AA1163" s="4">
        <v>0</v>
      </c>
      <c r="AB1163" s="4">
        <f t="shared" si="173"/>
        <v>127403.16831683168</v>
      </c>
      <c r="AC1163" s="6">
        <f t="shared" si="174"/>
        <v>1274.0316831683158</v>
      </c>
      <c r="AD1163" s="6">
        <f t="shared" si="170"/>
        <v>77071.88508884456</v>
      </c>
      <c r="AE1163" s="2">
        <v>7.0000000000000007E-2</v>
      </c>
      <c r="AF1163" s="5">
        <f t="shared" si="175"/>
        <v>5395.0319562191198</v>
      </c>
      <c r="AG1163" s="14">
        <v>0</v>
      </c>
      <c r="AH1163" s="19">
        <f t="shared" si="168"/>
        <v>128677.2</v>
      </c>
      <c r="AJ1163" s="126" t="e">
        <v>#N/A</v>
      </c>
      <c r="AK1163" s="80">
        <f t="shared" si="176"/>
        <v>0</v>
      </c>
      <c r="AM1163" s="85"/>
    </row>
    <row r="1164" spans="1:39" hidden="1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1742</v>
      </c>
      <c r="F1164" s="15" t="s">
        <v>1742</v>
      </c>
      <c r="G1164" s="15" t="s">
        <v>1742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1743</v>
      </c>
      <c r="N1164" s="15"/>
      <c r="O1164" s="8" t="s">
        <v>410</v>
      </c>
      <c r="P1164" s="8" t="s">
        <v>41</v>
      </c>
      <c r="Q1164" s="14">
        <v>0</v>
      </c>
      <c r="R1164" s="139" t="s">
        <v>1744</v>
      </c>
      <c r="S1164" s="15"/>
      <c r="T1164" s="6">
        <v>485023.35000000009</v>
      </c>
      <c r="U1164" s="6">
        <v>150000</v>
      </c>
      <c r="V1164" s="6">
        <v>482416.6</v>
      </c>
      <c r="W1164" s="18">
        <f t="shared" si="169"/>
        <v>152606.75000000012</v>
      </c>
      <c r="X1164" s="18">
        <f t="shared" si="171"/>
        <v>482416.6</v>
      </c>
      <c r="Y1164" s="13">
        <f t="shared" si="172"/>
        <v>193470.64251762483</v>
      </c>
      <c r="Z1164" s="14">
        <v>0</v>
      </c>
      <c r="AA1164" s="4">
        <v>0</v>
      </c>
      <c r="AB1164" s="4">
        <f t="shared" si="173"/>
        <v>482416.6</v>
      </c>
      <c r="AC1164" s="6">
        <f t="shared" si="174"/>
        <v>0</v>
      </c>
      <c r="AD1164" s="6">
        <f t="shared" si="170"/>
        <v>288945.95748237515</v>
      </c>
      <c r="AE1164" s="2">
        <v>7.0000000000000007E-2</v>
      </c>
      <c r="AF1164" s="5">
        <f t="shared" si="175"/>
        <v>20226.217023766261</v>
      </c>
      <c r="AG1164" s="14">
        <v>0</v>
      </c>
      <c r="AH1164" s="19">
        <f t="shared" si="168"/>
        <v>482416.6</v>
      </c>
      <c r="AJ1164" s="126" t="e">
        <v>#N/A</v>
      </c>
      <c r="AK1164" s="80">
        <f t="shared" si="176"/>
        <v>0</v>
      </c>
      <c r="AM1164" s="85"/>
    </row>
    <row r="1165" spans="1:39" hidden="1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1742</v>
      </c>
      <c r="F1165" s="15" t="s">
        <v>1742</v>
      </c>
      <c r="G1165" s="15" t="s">
        <v>1742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1742</v>
      </c>
      <c r="N1165" s="15"/>
      <c r="O1165" s="8" t="s">
        <v>410</v>
      </c>
      <c r="P1165" s="8" t="s">
        <v>41</v>
      </c>
      <c r="Q1165" s="14">
        <v>0</v>
      </c>
      <c r="R1165" s="139" t="s">
        <v>1745</v>
      </c>
      <c r="S1165" s="15"/>
      <c r="T1165" s="6">
        <v>867873.45006999967</v>
      </c>
      <c r="U1165" s="6">
        <v>200000</v>
      </c>
      <c r="V1165" s="6">
        <v>745365.4</v>
      </c>
      <c r="W1165" s="18">
        <f t="shared" si="169"/>
        <v>322508.05006999976</v>
      </c>
      <c r="X1165" s="18">
        <f t="shared" si="171"/>
        <v>745365.4</v>
      </c>
      <c r="Y1165" s="13">
        <f t="shared" si="172"/>
        <v>298924.87706353061</v>
      </c>
      <c r="Z1165" s="14">
        <v>0</v>
      </c>
      <c r="AA1165" s="4">
        <v>0</v>
      </c>
      <c r="AB1165" s="4">
        <f t="shared" si="173"/>
        <v>745365.4</v>
      </c>
      <c r="AC1165" s="6">
        <f t="shared" si="174"/>
        <v>0</v>
      </c>
      <c r="AD1165" s="6">
        <f t="shared" si="170"/>
        <v>446440.52293646941</v>
      </c>
      <c r="AE1165" s="2">
        <v>7.0000000000000007E-2</v>
      </c>
      <c r="AF1165" s="5">
        <f t="shared" si="175"/>
        <v>31250.83660555286</v>
      </c>
      <c r="AG1165" s="14">
        <v>0</v>
      </c>
      <c r="AH1165" s="19">
        <f t="shared" si="168"/>
        <v>745365.4</v>
      </c>
      <c r="AJ1165" s="126" t="e">
        <v>#N/A</v>
      </c>
      <c r="AK1165" s="80">
        <f t="shared" si="176"/>
        <v>0</v>
      </c>
      <c r="AM1165" s="85"/>
    </row>
    <row r="1166" spans="1:39" hidden="1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1746</v>
      </c>
      <c r="F1166" s="15" t="s">
        <v>1746</v>
      </c>
      <c r="G1166" s="15" t="s">
        <v>1746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1746</v>
      </c>
      <c r="N1166" s="15"/>
      <c r="O1166" s="8" t="s">
        <v>410</v>
      </c>
      <c r="P1166" s="8" t="s">
        <v>41</v>
      </c>
      <c r="Q1166" s="14">
        <v>0</v>
      </c>
      <c r="R1166" s="139" t="s">
        <v>1747</v>
      </c>
      <c r="S1166" s="15"/>
      <c r="T1166" s="6">
        <v>0</v>
      </c>
      <c r="U1166" s="6">
        <v>20000</v>
      </c>
      <c r="V1166" s="6">
        <v>4625.6000000000004</v>
      </c>
      <c r="W1166" s="18">
        <f t="shared" si="169"/>
        <v>15374.4</v>
      </c>
      <c r="X1166" s="18">
        <f t="shared" si="171"/>
        <v>4625.6000000000004</v>
      </c>
      <c r="Y1166" s="13">
        <f t="shared" si="172"/>
        <v>1855.0725742636664</v>
      </c>
      <c r="Z1166" s="14">
        <v>0</v>
      </c>
      <c r="AA1166" s="4">
        <v>0</v>
      </c>
      <c r="AB1166" s="4">
        <f t="shared" si="173"/>
        <v>4625.6000000000004</v>
      </c>
      <c r="AC1166" s="6">
        <f t="shared" si="174"/>
        <v>0</v>
      </c>
      <c r="AD1166" s="6">
        <f t="shared" si="170"/>
        <v>2770.527425736334</v>
      </c>
      <c r="AE1166" s="2">
        <v>7.0000000000000007E-2</v>
      </c>
      <c r="AF1166" s="5">
        <f t="shared" si="175"/>
        <v>193.93691980154338</v>
      </c>
      <c r="AG1166" s="14">
        <v>0</v>
      </c>
      <c r="AH1166" s="19">
        <f t="shared" si="168"/>
        <v>4625.6000000000004</v>
      </c>
      <c r="AJ1166" s="126" t="e">
        <v>#N/A</v>
      </c>
      <c r="AK1166" s="80">
        <f t="shared" si="176"/>
        <v>0</v>
      </c>
      <c r="AM1166" s="85"/>
    </row>
    <row r="1167" spans="1:39" hidden="1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1748</v>
      </c>
      <c r="F1167" s="15" t="s">
        <v>1748</v>
      </c>
      <c r="G1167" s="15" t="s">
        <v>1748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1748</v>
      </c>
      <c r="N1167" s="15"/>
      <c r="O1167" s="8" t="s">
        <v>410</v>
      </c>
      <c r="P1167" s="8" t="s">
        <v>46</v>
      </c>
      <c r="Q1167" s="14">
        <v>0.02</v>
      </c>
      <c r="R1167" s="139" t="s">
        <v>1749</v>
      </c>
      <c r="S1167" s="15"/>
      <c r="T1167" s="6">
        <v>0</v>
      </c>
      <c r="U1167" s="6">
        <v>2018902.53</v>
      </c>
      <c r="V1167" s="6">
        <v>1807448.3</v>
      </c>
      <c r="W1167" s="18">
        <f t="shared" si="169"/>
        <v>211454.22999999998</v>
      </c>
      <c r="X1167" s="18">
        <f t="shared" si="171"/>
        <v>1772008.1372549019</v>
      </c>
      <c r="Y1167" s="13">
        <f t="shared" si="172"/>
        <v>689427.480529177</v>
      </c>
      <c r="Z1167" s="14">
        <v>0</v>
      </c>
      <c r="AA1167" s="4">
        <v>0</v>
      </c>
      <c r="AB1167" s="4">
        <f t="shared" si="173"/>
        <v>1772008.1372549019</v>
      </c>
      <c r="AC1167" s="6">
        <f t="shared" si="174"/>
        <v>35440.162745098118</v>
      </c>
      <c r="AD1167" s="6">
        <f t="shared" si="170"/>
        <v>1082580.6567257249</v>
      </c>
      <c r="AE1167" s="2">
        <v>7.0000000000000007E-2</v>
      </c>
      <c r="AF1167" s="5">
        <f t="shared" si="175"/>
        <v>75780.645970800746</v>
      </c>
      <c r="AG1167" s="14">
        <v>0</v>
      </c>
      <c r="AH1167" s="19">
        <f t="shared" si="168"/>
        <v>1807448.3</v>
      </c>
      <c r="AJ1167" s="126" t="e">
        <v>#N/A</v>
      </c>
      <c r="AK1167" s="80">
        <f t="shared" si="176"/>
        <v>0</v>
      </c>
      <c r="AM1167" s="85"/>
    </row>
    <row r="1168" spans="1:39" hidden="1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1750</v>
      </c>
      <c r="F1168" s="15" t="s">
        <v>1750</v>
      </c>
      <c r="G1168" s="15" t="s">
        <v>1750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1751</v>
      </c>
      <c r="N1168" s="15"/>
      <c r="O1168" s="8" t="s">
        <v>410</v>
      </c>
      <c r="P1168" s="8" t="s">
        <v>41</v>
      </c>
      <c r="Q1168" s="14">
        <v>0</v>
      </c>
      <c r="R1168" s="139" t="s">
        <v>1752</v>
      </c>
      <c r="S1168" s="15"/>
      <c r="T1168" s="6">
        <v>0</v>
      </c>
      <c r="U1168" s="6">
        <v>50000</v>
      </c>
      <c r="V1168" s="6">
        <v>27761.7</v>
      </c>
      <c r="W1168" s="18">
        <f t="shared" si="169"/>
        <v>22238.3</v>
      </c>
      <c r="X1168" s="18">
        <f t="shared" si="171"/>
        <v>27761.7</v>
      </c>
      <c r="Y1168" s="13">
        <f t="shared" si="172"/>
        <v>11133.683908019633</v>
      </c>
      <c r="Z1168" s="14">
        <v>0</v>
      </c>
      <c r="AA1168" s="4">
        <v>0</v>
      </c>
      <c r="AB1168" s="4">
        <f t="shared" si="173"/>
        <v>27761.7</v>
      </c>
      <c r="AC1168" s="6">
        <f t="shared" si="174"/>
        <v>0</v>
      </c>
      <c r="AD1168" s="6">
        <f t="shared" si="170"/>
        <v>16628.016091980367</v>
      </c>
      <c r="AE1168" s="2">
        <v>7.0000000000000007E-2</v>
      </c>
      <c r="AF1168" s="5">
        <f t="shared" si="175"/>
        <v>1163.9611264386258</v>
      </c>
      <c r="AG1168" s="14">
        <v>0</v>
      </c>
      <c r="AH1168" s="19">
        <f t="shared" si="168"/>
        <v>27761.7</v>
      </c>
      <c r="AJ1168" s="126" t="e">
        <v>#N/A</v>
      </c>
      <c r="AK1168" s="80">
        <f t="shared" si="176"/>
        <v>0</v>
      </c>
      <c r="AM1168" s="85"/>
    </row>
    <row r="1169" spans="1:39" hidden="1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1750</v>
      </c>
      <c r="F1169" s="15" t="s">
        <v>1750</v>
      </c>
      <c r="G1169" s="15" t="s">
        <v>1750</v>
      </c>
      <c r="H1169" s="154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1750</v>
      </c>
      <c r="N1169" s="15"/>
      <c r="O1169" s="8" t="s">
        <v>410</v>
      </c>
      <c r="P1169" s="8" t="s">
        <v>41</v>
      </c>
      <c r="Q1169" s="14">
        <v>0</v>
      </c>
      <c r="R1169" s="139" t="s">
        <v>1753</v>
      </c>
      <c r="S1169" s="15"/>
      <c r="T1169" s="6">
        <v>0</v>
      </c>
      <c r="U1169" s="6">
        <v>70000</v>
      </c>
      <c r="V1169" s="6">
        <v>55634.3</v>
      </c>
      <c r="W1169" s="18">
        <f t="shared" si="169"/>
        <v>14365.699999999997</v>
      </c>
      <c r="X1169" s="18">
        <f t="shared" si="171"/>
        <v>55634.3</v>
      </c>
      <c r="Y1169" s="13">
        <f t="shared" si="172"/>
        <v>22311.843678302728</v>
      </c>
      <c r="Z1169" s="14">
        <v>0</v>
      </c>
      <c r="AA1169" s="4">
        <v>0</v>
      </c>
      <c r="AB1169" s="4">
        <f t="shared" si="173"/>
        <v>55634.3</v>
      </c>
      <c r="AC1169" s="6">
        <f t="shared" si="174"/>
        <v>0</v>
      </c>
      <c r="AD1169" s="6">
        <f t="shared" si="170"/>
        <v>33322.456321697275</v>
      </c>
      <c r="AE1169" s="2">
        <v>7.0000000000000007E-2</v>
      </c>
      <c r="AF1169" s="5">
        <f t="shared" si="175"/>
        <v>2332.5719425188095</v>
      </c>
      <c r="AG1169" s="14">
        <v>0</v>
      </c>
      <c r="AH1169" s="19">
        <f t="shared" si="168"/>
        <v>55634.3</v>
      </c>
      <c r="AJ1169" s="126" t="e">
        <v>#N/A</v>
      </c>
      <c r="AK1169" s="80">
        <f t="shared" si="176"/>
        <v>0</v>
      </c>
      <c r="AM1169" s="85"/>
    </row>
    <row r="1170" spans="1:39" hidden="1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1754</v>
      </c>
      <c r="F1170" s="15" t="s">
        <v>1754</v>
      </c>
      <c r="G1170" s="15" t="s">
        <v>1754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1754</v>
      </c>
      <c r="N1170" s="15"/>
      <c r="O1170" s="8" t="s">
        <v>410</v>
      </c>
      <c r="P1170" s="8" t="s">
        <v>41</v>
      </c>
      <c r="Q1170" s="14">
        <v>0</v>
      </c>
      <c r="R1170" s="139" t="s">
        <v>1755</v>
      </c>
      <c r="S1170" s="15"/>
      <c r="T1170" s="6">
        <v>0</v>
      </c>
      <c r="U1170" s="6">
        <v>10000</v>
      </c>
      <c r="V1170" s="6">
        <v>4564.5</v>
      </c>
      <c r="W1170" s="18">
        <f t="shared" si="169"/>
        <v>5435.5</v>
      </c>
      <c r="X1170" s="18">
        <f t="shared" si="171"/>
        <v>4564.5</v>
      </c>
      <c r="Y1170" s="13">
        <f t="shared" si="172"/>
        <v>1830.5687403204997</v>
      </c>
      <c r="Z1170" s="14">
        <v>0</v>
      </c>
      <c r="AA1170" s="4">
        <v>0</v>
      </c>
      <c r="AB1170" s="4">
        <f t="shared" si="173"/>
        <v>4564.5</v>
      </c>
      <c r="AC1170" s="6">
        <f t="shared" si="174"/>
        <v>0</v>
      </c>
      <c r="AD1170" s="6">
        <f t="shared" si="170"/>
        <v>2733.9312596795003</v>
      </c>
      <c r="AE1170" s="2">
        <v>7.0000000000000007E-2</v>
      </c>
      <c r="AF1170" s="5">
        <f t="shared" si="175"/>
        <v>191.37518817756504</v>
      </c>
      <c r="AG1170" s="14">
        <v>0</v>
      </c>
      <c r="AH1170" s="19">
        <f t="shared" si="168"/>
        <v>4564.5</v>
      </c>
      <c r="AJ1170" s="126" t="e">
        <v>#N/A</v>
      </c>
      <c r="AK1170" s="80">
        <f t="shared" si="176"/>
        <v>0</v>
      </c>
      <c r="AM1170" s="85"/>
    </row>
    <row r="1171" spans="1:39" hidden="1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1756</v>
      </c>
      <c r="F1171" s="15" t="s">
        <v>1756</v>
      </c>
      <c r="G1171" s="15" t="s">
        <v>1756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1757</v>
      </c>
      <c r="N1171" s="15"/>
      <c r="O1171" s="8" t="s">
        <v>410</v>
      </c>
      <c r="P1171" s="8" t="s">
        <v>41</v>
      </c>
      <c r="Q1171" s="14">
        <v>0</v>
      </c>
      <c r="R1171" s="139" t="s">
        <v>1758</v>
      </c>
      <c r="S1171" s="15"/>
      <c r="T1171" s="6">
        <v>0</v>
      </c>
      <c r="U1171" s="6">
        <v>210000</v>
      </c>
      <c r="V1171" s="6">
        <v>119719.2</v>
      </c>
      <c r="W1171" s="18">
        <f t="shared" si="169"/>
        <v>90280.8</v>
      </c>
      <c r="X1171" s="18">
        <f t="shared" si="171"/>
        <v>119719.2</v>
      </c>
      <c r="Y1171" s="13">
        <f t="shared" si="172"/>
        <v>48012.756081975676</v>
      </c>
      <c r="Z1171" s="14">
        <v>0</v>
      </c>
      <c r="AA1171" s="4">
        <v>0</v>
      </c>
      <c r="AB1171" s="4">
        <f t="shared" si="173"/>
        <v>119719.2</v>
      </c>
      <c r="AC1171" s="6">
        <f t="shared" si="174"/>
        <v>0</v>
      </c>
      <c r="AD1171" s="6">
        <f t="shared" si="170"/>
        <v>71706.443918024321</v>
      </c>
      <c r="AE1171" s="2">
        <v>7.0000000000000007E-2</v>
      </c>
      <c r="AF1171" s="5">
        <f t="shared" si="175"/>
        <v>5019.4510742617031</v>
      </c>
      <c r="AG1171" s="14">
        <v>0</v>
      </c>
      <c r="AH1171" s="19">
        <f t="shared" si="168"/>
        <v>119719.2</v>
      </c>
      <c r="AJ1171" s="126" t="e">
        <v>#N/A</v>
      </c>
      <c r="AK1171" s="80">
        <f t="shared" si="176"/>
        <v>0</v>
      </c>
      <c r="AM1171" s="85"/>
    </row>
    <row r="1172" spans="1:39" hidden="1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1756</v>
      </c>
      <c r="F1172" s="15" t="s">
        <v>1756</v>
      </c>
      <c r="G1172" s="15" t="s">
        <v>1756</v>
      </c>
      <c r="H1172" s="139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1759</v>
      </c>
      <c r="N1172" s="15"/>
      <c r="O1172" s="8" t="s">
        <v>410</v>
      </c>
      <c r="P1172" s="8" t="s">
        <v>41</v>
      </c>
      <c r="Q1172" s="14">
        <v>0</v>
      </c>
      <c r="R1172" s="139" t="s">
        <v>1758</v>
      </c>
      <c r="S1172" s="15"/>
      <c r="T1172" s="6">
        <v>0</v>
      </c>
      <c r="U1172" s="6">
        <v>0</v>
      </c>
      <c r="V1172" s="6">
        <v>0</v>
      </c>
      <c r="W1172" s="18">
        <f t="shared" si="169"/>
        <v>0</v>
      </c>
      <c r="X1172" s="18">
        <f t="shared" si="171"/>
        <v>0</v>
      </c>
      <c r="Y1172" s="13">
        <f t="shared" si="172"/>
        <v>0</v>
      </c>
      <c r="Z1172" s="14">
        <v>0</v>
      </c>
      <c r="AA1172" s="4">
        <v>0</v>
      </c>
      <c r="AB1172" s="4">
        <f t="shared" si="173"/>
        <v>0</v>
      </c>
      <c r="AC1172" s="6">
        <f t="shared" si="174"/>
        <v>0</v>
      </c>
      <c r="AD1172" s="6">
        <f t="shared" si="170"/>
        <v>0</v>
      </c>
      <c r="AE1172" s="2">
        <v>7.0000000000000007E-2</v>
      </c>
      <c r="AF1172" s="5">
        <f t="shared" si="175"/>
        <v>0</v>
      </c>
      <c r="AG1172" s="14">
        <v>0</v>
      </c>
      <c r="AH1172" s="19">
        <f t="shared" si="168"/>
        <v>0</v>
      </c>
      <c r="AJ1172" s="126" t="e">
        <v>#N/A</v>
      </c>
      <c r="AK1172" s="80">
        <f t="shared" si="176"/>
        <v>0</v>
      </c>
      <c r="AM1172" s="85"/>
    </row>
    <row r="1173" spans="1:39" hidden="1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1756</v>
      </c>
      <c r="F1173" s="15" t="s">
        <v>1756</v>
      </c>
      <c r="G1173" s="15" t="s">
        <v>1756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1759</v>
      </c>
      <c r="N1173" s="15"/>
      <c r="O1173" s="8" t="s">
        <v>410</v>
      </c>
      <c r="P1173" s="8" t="s">
        <v>41</v>
      </c>
      <c r="Q1173" s="14">
        <v>0</v>
      </c>
      <c r="R1173" s="139" t="s">
        <v>1760</v>
      </c>
      <c r="S1173" s="15"/>
      <c r="T1173" s="6">
        <v>0</v>
      </c>
      <c r="U1173" s="6">
        <v>540000</v>
      </c>
      <c r="V1173" s="6">
        <v>239805.3</v>
      </c>
      <c r="W1173" s="18">
        <f t="shared" si="169"/>
        <v>300194.7</v>
      </c>
      <c r="X1173" s="18">
        <f t="shared" si="171"/>
        <v>239805.3</v>
      </c>
      <c r="Y1173" s="13">
        <f t="shared" si="172"/>
        <v>96172.655481033958</v>
      </c>
      <c r="Z1173" s="14">
        <v>0</v>
      </c>
      <c r="AA1173" s="4">
        <v>0</v>
      </c>
      <c r="AB1173" s="4">
        <f t="shared" si="173"/>
        <v>239805.3</v>
      </c>
      <c r="AC1173" s="6">
        <f t="shared" si="174"/>
        <v>0</v>
      </c>
      <c r="AD1173" s="6">
        <f t="shared" si="170"/>
        <v>143632.64451896603</v>
      </c>
      <c r="AE1173" s="2">
        <v>7.0000000000000007E-2</v>
      </c>
      <c r="AF1173" s="5">
        <f t="shared" si="175"/>
        <v>10054.285116327623</v>
      </c>
      <c r="AG1173" s="14">
        <v>0</v>
      </c>
      <c r="AH1173" s="19">
        <f t="shared" ref="AH1173:AH1236" si="177">V1173</f>
        <v>239805.3</v>
      </c>
      <c r="AJ1173" s="126" t="e">
        <v>#N/A</v>
      </c>
      <c r="AK1173" s="80">
        <f t="shared" si="176"/>
        <v>0</v>
      </c>
      <c r="AM1173" s="85"/>
    </row>
    <row r="1174" spans="1:39" hidden="1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1761</v>
      </c>
      <c r="F1174" s="15" t="s">
        <v>1761</v>
      </c>
      <c r="G1174" s="15" t="s">
        <v>1761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1761</v>
      </c>
      <c r="N1174" s="15"/>
      <c r="O1174" s="8" t="s">
        <v>410</v>
      </c>
      <c r="P1174" s="8" t="s">
        <v>41</v>
      </c>
      <c r="Q1174" s="14">
        <v>0</v>
      </c>
      <c r="R1174" s="139" t="s">
        <v>1762</v>
      </c>
      <c r="S1174" s="15"/>
      <c r="T1174" s="6">
        <v>119664.8</v>
      </c>
      <c r="U1174" s="6">
        <v>350000</v>
      </c>
      <c r="V1174" s="6">
        <v>383514.8</v>
      </c>
      <c r="W1174" s="18">
        <f t="shared" si="169"/>
        <v>86150</v>
      </c>
      <c r="X1174" s="18">
        <f t="shared" si="171"/>
        <v>383514.8</v>
      </c>
      <c r="Y1174" s="13">
        <f t="shared" si="172"/>
        <v>153806.59531827547</v>
      </c>
      <c r="Z1174" s="14">
        <v>0</v>
      </c>
      <c r="AA1174" s="4">
        <v>0</v>
      </c>
      <c r="AB1174" s="4">
        <f t="shared" si="173"/>
        <v>383514.8</v>
      </c>
      <c r="AC1174" s="6">
        <f t="shared" si="174"/>
        <v>0</v>
      </c>
      <c r="AD1174" s="6">
        <f t="shared" si="170"/>
        <v>229708.20468172451</v>
      </c>
      <c r="AE1174" s="2">
        <v>7.0000000000000007E-2</v>
      </c>
      <c r="AF1174" s="5">
        <f t="shared" si="175"/>
        <v>16079.574327720717</v>
      </c>
      <c r="AG1174" s="14">
        <v>0</v>
      </c>
      <c r="AH1174" s="19">
        <f t="shared" si="177"/>
        <v>383514.8</v>
      </c>
      <c r="AJ1174" s="126" t="e">
        <v>#N/A</v>
      </c>
      <c r="AK1174" s="80">
        <f t="shared" si="176"/>
        <v>0</v>
      </c>
      <c r="AM1174" s="85"/>
    </row>
    <row r="1175" spans="1:39" hidden="1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1763</v>
      </c>
      <c r="F1175" s="15" t="s">
        <v>1763</v>
      </c>
      <c r="G1175" s="15" t="s">
        <v>1763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1763</v>
      </c>
      <c r="N1175" s="15"/>
      <c r="O1175" s="8" t="s">
        <v>410</v>
      </c>
      <c r="P1175" s="8" t="s">
        <v>41</v>
      </c>
      <c r="Q1175" s="14">
        <v>0</v>
      </c>
      <c r="R1175" s="139" t="s">
        <v>1764</v>
      </c>
      <c r="S1175" s="15"/>
      <c r="T1175" s="6">
        <v>0</v>
      </c>
      <c r="U1175" s="6">
        <v>20000</v>
      </c>
      <c r="V1175" s="6">
        <v>14479.3</v>
      </c>
      <c r="W1175" s="18">
        <f t="shared" si="169"/>
        <v>5520.7000000000007</v>
      </c>
      <c r="X1175" s="18">
        <f t="shared" si="171"/>
        <v>14479.3</v>
      </c>
      <c r="Y1175" s="13">
        <f t="shared" si="172"/>
        <v>5806.8471818868693</v>
      </c>
      <c r="Z1175" s="14">
        <v>0</v>
      </c>
      <c r="AA1175" s="4">
        <v>0</v>
      </c>
      <c r="AB1175" s="4">
        <f t="shared" si="173"/>
        <v>14479.3</v>
      </c>
      <c r="AC1175" s="6">
        <f t="shared" si="174"/>
        <v>0</v>
      </c>
      <c r="AD1175" s="6">
        <f t="shared" si="170"/>
        <v>8672.45281811313</v>
      </c>
      <c r="AE1175" s="2">
        <v>7.0000000000000007E-2</v>
      </c>
      <c r="AF1175" s="5">
        <f t="shared" si="175"/>
        <v>607.07169726791915</v>
      </c>
      <c r="AG1175" s="14">
        <v>0</v>
      </c>
      <c r="AH1175" s="19">
        <f t="shared" si="177"/>
        <v>14479.3</v>
      </c>
      <c r="AJ1175" s="126" t="e">
        <v>#N/A</v>
      </c>
      <c r="AK1175" s="80">
        <f t="shared" si="176"/>
        <v>0</v>
      </c>
      <c r="AM1175" s="85"/>
    </row>
    <row r="1176" spans="1:39" hidden="1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1765</v>
      </c>
      <c r="F1176" s="15" t="s">
        <v>1765</v>
      </c>
      <c r="G1176" s="15" t="s">
        <v>1765</v>
      </c>
      <c r="H1176" s="139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1766</v>
      </c>
      <c r="N1176" s="15"/>
      <c r="O1176" s="8" t="s">
        <v>410</v>
      </c>
      <c r="P1176" s="8" t="s">
        <v>41</v>
      </c>
      <c r="Q1176" s="14">
        <v>0</v>
      </c>
      <c r="R1176" s="139" t="s">
        <v>1767</v>
      </c>
      <c r="S1176" s="15"/>
      <c r="T1176" s="6">
        <v>0</v>
      </c>
      <c r="U1176" s="6">
        <v>0</v>
      </c>
      <c r="V1176" s="6">
        <v>0</v>
      </c>
      <c r="W1176" s="18">
        <f t="shared" ref="W1176:W1239" si="178">T1176+U1176-V1176</f>
        <v>0</v>
      </c>
      <c r="X1176" s="18">
        <f t="shared" si="171"/>
        <v>0</v>
      </c>
      <c r="Y1176" s="13">
        <f t="shared" si="172"/>
        <v>0</v>
      </c>
      <c r="Z1176" s="14">
        <v>0</v>
      </c>
      <c r="AA1176" s="4">
        <v>0</v>
      </c>
      <c r="AB1176" s="4">
        <f t="shared" si="173"/>
        <v>0</v>
      </c>
      <c r="AC1176" s="6">
        <f t="shared" si="174"/>
        <v>0</v>
      </c>
      <c r="AD1176" s="6">
        <f t="shared" si="170"/>
        <v>0</v>
      </c>
      <c r="AE1176" s="2">
        <v>7.0000000000000007E-2</v>
      </c>
      <c r="AF1176" s="5">
        <f t="shared" si="175"/>
        <v>0</v>
      </c>
      <c r="AG1176" s="14">
        <v>0</v>
      </c>
      <c r="AH1176" s="19">
        <f t="shared" si="177"/>
        <v>0</v>
      </c>
      <c r="AJ1176" s="126" t="e">
        <v>#N/A</v>
      </c>
      <c r="AK1176" s="80">
        <f t="shared" si="176"/>
        <v>0</v>
      </c>
      <c r="AM1176" s="85"/>
    </row>
    <row r="1177" spans="1:39" s="15" customFormat="1" hidden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1765</v>
      </c>
      <c r="F1177" s="15" t="s">
        <v>1765</v>
      </c>
      <c r="G1177" s="15" t="s">
        <v>1765</v>
      </c>
      <c r="H1177" s="154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1766</v>
      </c>
      <c r="O1177" s="8" t="s">
        <v>410</v>
      </c>
      <c r="P1177" s="8" t="s">
        <v>41</v>
      </c>
      <c r="Q1177" s="14">
        <v>0</v>
      </c>
      <c r="R1177" s="139" t="s">
        <v>1768</v>
      </c>
      <c r="T1177" s="6">
        <v>0</v>
      </c>
      <c r="U1177" s="6">
        <v>25000</v>
      </c>
      <c r="V1177" s="6">
        <v>22628.400000000001</v>
      </c>
      <c r="W1177" s="18">
        <f t="shared" si="178"/>
        <v>2371.5999999999985</v>
      </c>
      <c r="X1177" s="18">
        <f t="shared" si="171"/>
        <v>22628.400000000001</v>
      </c>
      <c r="Y1177" s="13">
        <f t="shared" si="172"/>
        <v>9075.0009165228184</v>
      </c>
      <c r="Z1177" s="14">
        <v>0</v>
      </c>
      <c r="AA1177" s="6">
        <v>0</v>
      </c>
      <c r="AB1177" s="4">
        <f t="shared" si="173"/>
        <v>22628.400000000001</v>
      </c>
      <c r="AC1177" s="6">
        <f t="shared" si="174"/>
        <v>0</v>
      </c>
      <c r="AD1177" s="6">
        <f t="shared" si="170"/>
        <v>13553.399083477183</v>
      </c>
      <c r="AE1177" s="14">
        <v>7.0000000000000007E-2</v>
      </c>
      <c r="AF1177" s="10">
        <f t="shared" si="175"/>
        <v>948.73793584340285</v>
      </c>
      <c r="AG1177" s="14">
        <v>0</v>
      </c>
      <c r="AH1177" s="19">
        <f t="shared" si="177"/>
        <v>22628.400000000001</v>
      </c>
      <c r="AI1177" s="16"/>
      <c r="AJ1177" s="126" t="e">
        <v>#N/A</v>
      </c>
      <c r="AK1177" s="80">
        <f t="shared" si="176"/>
        <v>0</v>
      </c>
      <c r="AL1177" s="85"/>
      <c r="AM1177" s="85"/>
    </row>
    <row r="1178" spans="1:39" hidden="1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1765</v>
      </c>
      <c r="F1178" s="15" t="s">
        <v>1765</v>
      </c>
      <c r="G1178" s="15" t="s">
        <v>1765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1766</v>
      </c>
      <c r="N1178" s="15"/>
      <c r="O1178" s="8" t="s">
        <v>410</v>
      </c>
      <c r="P1178" s="8" t="s">
        <v>41</v>
      </c>
      <c r="Q1178" s="14">
        <v>0</v>
      </c>
      <c r="R1178" s="139" t="s">
        <v>1767</v>
      </c>
      <c r="S1178" s="15"/>
      <c r="T1178" s="6">
        <v>48644</v>
      </c>
      <c r="U1178" s="6">
        <v>45000</v>
      </c>
      <c r="V1178" s="6">
        <v>71573.7</v>
      </c>
      <c r="W1178" s="18">
        <f t="shared" si="178"/>
        <v>22070.300000000003</v>
      </c>
      <c r="X1178" s="18">
        <f t="shared" si="171"/>
        <v>71573.7</v>
      </c>
      <c r="Y1178" s="13">
        <f t="shared" si="172"/>
        <v>28704.25629292964</v>
      </c>
      <c r="Z1178" s="14">
        <v>0</v>
      </c>
      <c r="AA1178" s="4">
        <v>0</v>
      </c>
      <c r="AB1178" s="4">
        <f t="shared" si="173"/>
        <v>71573.7</v>
      </c>
      <c r="AC1178" s="6">
        <f t="shared" si="174"/>
        <v>0</v>
      </c>
      <c r="AD1178" s="6">
        <f t="shared" si="170"/>
        <v>42869.443707070357</v>
      </c>
      <c r="AE1178" s="2">
        <v>7.0000000000000007E-2</v>
      </c>
      <c r="AF1178" s="5">
        <f t="shared" si="175"/>
        <v>3000.8610594949255</v>
      </c>
      <c r="AG1178" s="14">
        <v>0</v>
      </c>
      <c r="AH1178" s="19">
        <f t="shared" si="177"/>
        <v>71573.7</v>
      </c>
      <c r="AJ1178" s="126" t="e">
        <v>#N/A</v>
      </c>
      <c r="AK1178" s="80">
        <f t="shared" si="176"/>
        <v>0</v>
      </c>
      <c r="AM1178" s="85"/>
    </row>
    <row r="1179" spans="1:39" hidden="1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1765</v>
      </c>
      <c r="F1179" s="15" t="s">
        <v>1765</v>
      </c>
      <c r="G1179" s="15" t="s">
        <v>1765</v>
      </c>
      <c r="H1179" s="139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1766</v>
      </c>
      <c r="N1179" s="15"/>
      <c r="O1179" s="8" t="s">
        <v>410</v>
      </c>
      <c r="P1179" s="8" t="s">
        <v>41</v>
      </c>
      <c r="Q1179" s="14">
        <v>0</v>
      </c>
      <c r="R1179" s="139" t="s">
        <v>1768</v>
      </c>
      <c r="S1179" s="15"/>
      <c r="T1179" s="6">
        <v>0</v>
      </c>
      <c r="U1179" s="6">
        <v>0</v>
      </c>
      <c r="V1179" s="6">
        <v>0</v>
      </c>
      <c r="W1179" s="18">
        <f t="shared" si="178"/>
        <v>0</v>
      </c>
      <c r="X1179" s="18">
        <f t="shared" si="171"/>
        <v>0</v>
      </c>
      <c r="Y1179" s="13">
        <f t="shared" si="172"/>
        <v>0</v>
      </c>
      <c r="Z1179" s="14">
        <v>0</v>
      </c>
      <c r="AA1179" s="4">
        <v>0</v>
      </c>
      <c r="AB1179" s="4">
        <f t="shared" si="173"/>
        <v>0</v>
      </c>
      <c r="AC1179" s="6">
        <f t="shared" si="174"/>
        <v>0</v>
      </c>
      <c r="AD1179" s="6">
        <f t="shared" si="170"/>
        <v>0</v>
      </c>
      <c r="AE1179" s="2">
        <v>7.0000000000000007E-2</v>
      </c>
      <c r="AF1179" s="5">
        <f t="shared" si="175"/>
        <v>0</v>
      </c>
      <c r="AG1179" s="14">
        <v>0</v>
      </c>
      <c r="AH1179" s="19">
        <f t="shared" si="177"/>
        <v>0</v>
      </c>
      <c r="AJ1179" s="126" t="e">
        <v>#N/A</v>
      </c>
      <c r="AK1179" s="80">
        <f t="shared" si="176"/>
        <v>0</v>
      </c>
      <c r="AM1179" s="85"/>
    </row>
    <row r="1180" spans="1:39" hidden="1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1769</v>
      </c>
      <c r="F1180" s="15" t="s">
        <v>1769</v>
      </c>
      <c r="G1180" s="15" t="s">
        <v>1769</v>
      </c>
      <c r="H1180" s="139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1769</v>
      </c>
      <c r="N1180" s="15"/>
      <c r="O1180" s="8" t="s">
        <v>410</v>
      </c>
      <c r="P1180" s="8" t="s">
        <v>41</v>
      </c>
      <c r="Q1180" s="14">
        <v>0</v>
      </c>
      <c r="R1180" s="139" t="s">
        <v>1640</v>
      </c>
      <c r="S1180" s="15"/>
      <c r="T1180" s="6">
        <v>0</v>
      </c>
      <c r="U1180" s="6">
        <v>20000</v>
      </c>
      <c r="V1180" s="6">
        <v>16705.3</v>
      </c>
      <c r="W1180" s="18">
        <f t="shared" si="178"/>
        <v>3294.7000000000007</v>
      </c>
      <c r="X1180" s="18">
        <f t="shared" si="171"/>
        <v>16705.3</v>
      </c>
      <c r="Y1180" s="13">
        <f t="shared" si="172"/>
        <v>6699.5727851190804</v>
      </c>
      <c r="Z1180" s="14">
        <v>0</v>
      </c>
      <c r="AA1180" s="4">
        <v>0</v>
      </c>
      <c r="AB1180" s="4"/>
      <c r="AC1180" s="6">
        <f t="shared" si="174"/>
        <v>0</v>
      </c>
      <c r="AD1180" s="6">
        <f t="shared" si="170"/>
        <v>10005.727214880919</v>
      </c>
      <c r="AE1180" s="2">
        <v>7.0000000000000007E-2</v>
      </c>
      <c r="AF1180" s="5">
        <f t="shared" si="175"/>
        <v>700.40090504166437</v>
      </c>
      <c r="AG1180" s="14">
        <v>0</v>
      </c>
      <c r="AH1180" s="19">
        <f t="shared" si="177"/>
        <v>16705.3</v>
      </c>
      <c r="AJ1180" s="126">
        <v>113</v>
      </c>
      <c r="AK1180" s="80">
        <f t="shared" si="176"/>
        <v>16705.3</v>
      </c>
      <c r="AM1180" s="85"/>
    </row>
    <row r="1181" spans="1:39" hidden="1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1769</v>
      </c>
      <c r="F1181" s="15" t="s">
        <v>1769</v>
      </c>
      <c r="G1181" s="15" t="s">
        <v>1769</v>
      </c>
      <c r="H1181" s="139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1770</v>
      </c>
      <c r="N1181" s="15"/>
      <c r="O1181" s="8" t="s">
        <v>410</v>
      </c>
      <c r="P1181" s="8" t="s">
        <v>41</v>
      </c>
      <c r="Q1181" s="14">
        <v>0</v>
      </c>
      <c r="R1181" s="139" t="s">
        <v>1771</v>
      </c>
      <c r="S1181" s="15"/>
      <c r="T1181" s="6">
        <v>0</v>
      </c>
      <c r="U1181" s="6">
        <v>50000</v>
      </c>
      <c r="V1181" s="6">
        <v>41436.800000000003</v>
      </c>
      <c r="W1181" s="18">
        <f t="shared" si="178"/>
        <v>8563.1999999999971</v>
      </c>
      <c r="X1181" s="18">
        <f t="shared" si="171"/>
        <v>41436.800000000003</v>
      </c>
      <c r="Y1181" s="13">
        <f t="shared" si="172"/>
        <v>16618.010905666008</v>
      </c>
      <c r="Z1181" s="14">
        <v>0</v>
      </c>
      <c r="AA1181" s="4">
        <v>0</v>
      </c>
      <c r="AB1181" s="4"/>
      <c r="AC1181" s="6">
        <f t="shared" si="174"/>
        <v>0</v>
      </c>
      <c r="AD1181" s="6">
        <f t="shared" si="170"/>
        <v>24818.789094333995</v>
      </c>
      <c r="AE1181" s="2">
        <v>7.0000000000000007E-2</v>
      </c>
      <c r="AF1181" s="5">
        <f t="shared" si="175"/>
        <v>1737.3152366033798</v>
      </c>
      <c r="AG1181" s="14">
        <v>0</v>
      </c>
      <c r="AH1181" s="19">
        <f t="shared" si="177"/>
        <v>41436.800000000003</v>
      </c>
      <c r="AJ1181" s="126">
        <v>113</v>
      </c>
      <c r="AK1181" s="80">
        <f t="shared" si="176"/>
        <v>41436.800000000003</v>
      </c>
      <c r="AM1181" s="85"/>
    </row>
    <row r="1182" spans="1:39" hidden="1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1769</v>
      </c>
      <c r="F1182" s="15" t="s">
        <v>1769</v>
      </c>
      <c r="G1182" s="15" t="s">
        <v>1769</v>
      </c>
      <c r="H1182" s="139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1769</v>
      </c>
      <c r="N1182" s="15"/>
      <c r="O1182" s="8" t="s">
        <v>410</v>
      </c>
      <c r="P1182" s="8" t="s">
        <v>41</v>
      </c>
      <c r="Q1182" s="14">
        <v>0</v>
      </c>
      <c r="R1182" s="139" t="s">
        <v>1640</v>
      </c>
      <c r="S1182" s="15"/>
      <c r="T1182" s="6">
        <v>0</v>
      </c>
      <c r="U1182" s="6">
        <v>0</v>
      </c>
      <c r="V1182" s="6">
        <v>0</v>
      </c>
      <c r="W1182" s="18">
        <f t="shared" si="178"/>
        <v>0</v>
      </c>
      <c r="X1182" s="18">
        <f t="shared" si="171"/>
        <v>0</v>
      </c>
      <c r="Y1182" s="13">
        <f t="shared" si="172"/>
        <v>0</v>
      </c>
      <c r="Z1182" s="14">
        <v>0</v>
      </c>
      <c r="AA1182" s="4">
        <v>0</v>
      </c>
      <c r="AB1182" s="4"/>
      <c r="AC1182" s="6">
        <f t="shared" si="174"/>
        <v>0</v>
      </c>
      <c r="AD1182" s="6">
        <f t="shared" si="170"/>
        <v>0</v>
      </c>
      <c r="AE1182" s="2">
        <v>7.0000000000000007E-2</v>
      </c>
      <c r="AF1182" s="5">
        <f t="shared" si="175"/>
        <v>0</v>
      </c>
      <c r="AG1182" s="14">
        <v>0</v>
      </c>
      <c r="AH1182" s="19">
        <f t="shared" si="177"/>
        <v>0</v>
      </c>
      <c r="AJ1182" s="126">
        <v>113</v>
      </c>
      <c r="AK1182" s="80">
        <f t="shared" si="176"/>
        <v>0</v>
      </c>
      <c r="AM1182" s="85"/>
    </row>
    <row r="1183" spans="1:39" hidden="1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1772</v>
      </c>
      <c r="F1183" s="15" t="s">
        <v>1772</v>
      </c>
      <c r="G1183" s="15" t="s">
        <v>1772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1773</v>
      </c>
      <c r="N1183" s="15"/>
      <c r="O1183" s="8" t="s">
        <v>410</v>
      </c>
      <c r="P1183" s="8" t="s">
        <v>41</v>
      </c>
      <c r="Q1183" s="14">
        <v>0</v>
      </c>
      <c r="R1183" s="139" t="s">
        <v>1774</v>
      </c>
      <c r="S1183" s="15"/>
      <c r="T1183" s="6">
        <v>50000</v>
      </c>
      <c r="U1183" s="6">
        <v>150000</v>
      </c>
      <c r="V1183" s="6">
        <v>153858.75</v>
      </c>
      <c r="W1183" s="18">
        <f t="shared" si="178"/>
        <v>46141.25</v>
      </c>
      <c r="X1183" s="18">
        <f t="shared" si="171"/>
        <v>153858.75</v>
      </c>
      <c r="Y1183" s="13">
        <f t="shared" si="172"/>
        <v>61704.24321936394</v>
      </c>
      <c r="Z1183" s="14">
        <v>0</v>
      </c>
      <c r="AA1183" s="4">
        <v>0</v>
      </c>
      <c r="AB1183" s="4">
        <f t="shared" si="173"/>
        <v>153858.75</v>
      </c>
      <c r="AC1183" s="6">
        <f t="shared" si="174"/>
        <v>0</v>
      </c>
      <c r="AD1183" s="6">
        <f t="shared" si="170"/>
        <v>92154.50678063606</v>
      </c>
      <c r="AE1183" s="2">
        <v>7.0000000000000007E-2</v>
      </c>
      <c r="AF1183" s="5">
        <f t="shared" si="175"/>
        <v>6450.8154746445252</v>
      </c>
      <c r="AG1183" s="14">
        <v>0</v>
      </c>
      <c r="AH1183" s="19">
        <f t="shared" si="177"/>
        <v>153858.75</v>
      </c>
      <c r="AJ1183" s="126" t="e">
        <v>#N/A</v>
      </c>
      <c r="AK1183" s="80">
        <f t="shared" si="176"/>
        <v>0</v>
      </c>
      <c r="AM1183" s="85"/>
    </row>
    <row r="1184" spans="1:39" hidden="1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1775</v>
      </c>
      <c r="F1184" s="15" t="s">
        <v>1775</v>
      </c>
      <c r="G1184" s="15" t="s">
        <v>1775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1775</v>
      </c>
      <c r="N1184" s="15"/>
      <c r="O1184" s="8" t="s">
        <v>410</v>
      </c>
      <c r="P1184" s="8" t="s">
        <v>41</v>
      </c>
      <c r="Q1184" s="14">
        <v>0</v>
      </c>
      <c r="R1184" s="139" t="s">
        <v>1776</v>
      </c>
      <c r="S1184" s="15"/>
      <c r="T1184" s="6">
        <v>4769.2</v>
      </c>
      <c r="U1184" s="6">
        <v>15000</v>
      </c>
      <c r="V1184" s="6">
        <v>15980.7</v>
      </c>
      <c r="W1184" s="18">
        <f t="shared" si="178"/>
        <v>3788.5</v>
      </c>
      <c r="X1184" s="18">
        <f t="shared" si="171"/>
        <v>15980.7</v>
      </c>
      <c r="Y1184" s="13">
        <f t="shared" si="172"/>
        <v>6408.9757626114169</v>
      </c>
      <c r="Z1184" s="14">
        <v>0</v>
      </c>
      <c r="AA1184" s="4">
        <v>0</v>
      </c>
      <c r="AB1184" s="4">
        <f t="shared" si="173"/>
        <v>15980.7</v>
      </c>
      <c r="AC1184" s="6">
        <f t="shared" si="174"/>
        <v>0</v>
      </c>
      <c r="AD1184" s="6">
        <f t="shared" si="170"/>
        <v>9571.7242373885838</v>
      </c>
      <c r="AE1184" s="2">
        <v>7.0000000000000007E-2</v>
      </c>
      <c r="AF1184" s="5">
        <f t="shared" si="175"/>
        <v>670.02069661720088</v>
      </c>
      <c r="AG1184" s="14">
        <v>0</v>
      </c>
      <c r="AH1184" s="19">
        <f t="shared" si="177"/>
        <v>15980.7</v>
      </c>
      <c r="AJ1184" s="126" t="e">
        <v>#N/A</v>
      </c>
      <c r="AK1184" s="80">
        <f t="shared" si="176"/>
        <v>0</v>
      </c>
      <c r="AM1184" s="85"/>
    </row>
    <row r="1185" spans="1:39" hidden="1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1777</v>
      </c>
      <c r="F1185" s="15" t="s">
        <v>1777</v>
      </c>
      <c r="G1185" s="15" t="s">
        <v>1777</v>
      </c>
      <c r="H1185" s="154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1778</v>
      </c>
      <c r="N1185" s="15"/>
      <c r="O1185" s="8" t="s">
        <v>410</v>
      </c>
      <c r="P1185" s="8" t="s">
        <v>46</v>
      </c>
      <c r="Q1185" s="14">
        <v>0.01</v>
      </c>
      <c r="R1185" s="139" t="s">
        <v>1779</v>
      </c>
      <c r="S1185" s="15"/>
      <c r="T1185" s="6">
        <v>0</v>
      </c>
      <c r="U1185" s="6">
        <v>20195.8</v>
      </c>
      <c r="V1185" s="6">
        <v>20195.8</v>
      </c>
      <c r="W1185" s="18">
        <f t="shared" si="178"/>
        <v>0</v>
      </c>
      <c r="X1185" s="18">
        <f t="shared" si="171"/>
        <v>19995.841584158414</v>
      </c>
      <c r="Y1185" s="13">
        <f t="shared" si="172"/>
        <v>7899.4610530519949</v>
      </c>
      <c r="Z1185" s="14">
        <v>0</v>
      </c>
      <c r="AA1185" s="4">
        <v>0</v>
      </c>
      <c r="AB1185" s="4">
        <f t="shared" si="173"/>
        <v>19995.841584158414</v>
      </c>
      <c r="AC1185" s="6">
        <f t="shared" si="174"/>
        <v>199.95841584158552</v>
      </c>
      <c r="AD1185" s="6">
        <f t="shared" ref="AD1185:AD1214" si="179">V1185*0.598955254612663</f>
        <v>12096.380531106419</v>
      </c>
      <c r="AE1185" s="2">
        <v>7.0000000000000007E-2</v>
      </c>
      <c r="AF1185" s="5">
        <f t="shared" si="175"/>
        <v>846.74663717744943</v>
      </c>
      <c r="AG1185" s="14">
        <v>0</v>
      </c>
      <c r="AH1185" s="19">
        <f t="shared" si="177"/>
        <v>20195.8</v>
      </c>
      <c r="AJ1185" s="126" t="e">
        <v>#N/A</v>
      </c>
      <c r="AK1185" s="80">
        <f t="shared" si="176"/>
        <v>0</v>
      </c>
      <c r="AM1185" s="85"/>
    </row>
    <row r="1186" spans="1:39" hidden="1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1777</v>
      </c>
      <c r="F1186" s="15" t="s">
        <v>1777</v>
      </c>
      <c r="G1186" s="15" t="s">
        <v>1777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1780</v>
      </c>
      <c r="N1186" s="15"/>
      <c r="O1186" s="8" t="s">
        <v>410</v>
      </c>
      <c r="P1186" s="8" t="s">
        <v>46</v>
      </c>
      <c r="Q1186" s="14">
        <v>0.01</v>
      </c>
      <c r="R1186" s="139" t="s">
        <v>1781</v>
      </c>
      <c r="S1186" s="15"/>
      <c r="T1186" s="6">
        <v>0</v>
      </c>
      <c r="U1186" s="6">
        <v>45000</v>
      </c>
      <c r="V1186" s="6">
        <v>37538.120000000003</v>
      </c>
      <c r="W1186" s="18">
        <f t="shared" si="178"/>
        <v>7461.8799999999974</v>
      </c>
      <c r="X1186" s="18">
        <f t="shared" si="171"/>
        <v>37166.455445544554</v>
      </c>
      <c r="Y1186" s="13">
        <f t="shared" si="172"/>
        <v>14682.801223263858</v>
      </c>
      <c r="Z1186" s="14">
        <v>0</v>
      </c>
      <c r="AA1186" s="4">
        <v>0</v>
      </c>
      <c r="AB1186" s="4">
        <f t="shared" si="173"/>
        <v>37166.455445544554</v>
      </c>
      <c r="AC1186" s="6">
        <f t="shared" si="174"/>
        <v>371.66455445544852</v>
      </c>
      <c r="AD1186" s="6">
        <f t="shared" si="179"/>
        <v>22483.654222280697</v>
      </c>
      <c r="AE1186" s="2">
        <v>7.0000000000000007E-2</v>
      </c>
      <c r="AF1186" s="5">
        <f t="shared" si="175"/>
        <v>1573.8557955596489</v>
      </c>
      <c r="AG1186" s="14">
        <v>0</v>
      </c>
      <c r="AH1186" s="19">
        <f t="shared" si="177"/>
        <v>37538.120000000003</v>
      </c>
      <c r="AJ1186" s="126" t="e">
        <v>#N/A</v>
      </c>
      <c r="AK1186" s="80">
        <f t="shared" si="176"/>
        <v>0</v>
      </c>
      <c r="AM1186" s="85"/>
    </row>
    <row r="1187" spans="1:39" hidden="1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1777</v>
      </c>
      <c r="F1187" s="15" t="s">
        <v>1777</v>
      </c>
      <c r="G1187" s="15" t="s">
        <v>1777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1777</v>
      </c>
      <c r="N1187" s="15"/>
      <c r="O1187" s="8" t="s">
        <v>410</v>
      </c>
      <c r="P1187" s="8" t="s">
        <v>46</v>
      </c>
      <c r="Q1187" s="14">
        <v>0.01</v>
      </c>
      <c r="R1187" s="139" t="s">
        <v>1782</v>
      </c>
      <c r="S1187" s="15"/>
      <c r="T1187" s="6">
        <v>0</v>
      </c>
      <c r="U1187" s="6">
        <v>144804.20000000001</v>
      </c>
      <c r="V1187" s="6">
        <v>131024.59999999999</v>
      </c>
      <c r="W1187" s="18">
        <f t="shared" si="178"/>
        <v>13779.60000000002</v>
      </c>
      <c r="X1187" s="18">
        <f t="shared" si="171"/>
        <v>129727.32673267326</v>
      </c>
      <c r="Y1187" s="13">
        <f t="shared" si="172"/>
        <v>51249.45407915095</v>
      </c>
      <c r="Z1187" s="14">
        <v>0</v>
      </c>
      <c r="AA1187" s="4">
        <v>0</v>
      </c>
      <c r="AB1187" s="4">
        <f t="shared" si="173"/>
        <v>129727.32673267326</v>
      </c>
      <c r="AC1187" s="6">
        <f t="shared" si="174"/>
        <v>1297.273267326731</v>
      </c>
      <c r="AD1187" s="6">
        <f t="shared" si="179"/>
        <v>78477.87265352231</v>
      </c>
      <c r="AE1187" s="2">
        <v>7.0000000000000007E-2</v>
      </c>
      <c r="AF1187" s="5">
        <f t="shared" si="175"/>
        <v>5493.4510857465621</v>
      </c>
      <c r="AG1187" s="14">
        <v>0</v>
      </c>
      <c r="AH1187" s="19">
        <f t="shared" si="177"/>
        <v>131024.59999999999</v>
      </c>
      <c r="AJ1187" s="126" t="e">
        <v>#N/A</v>
      </c>
      <c r="AK1187" s="80">
        <f t="shared" si="176"/>
        <v>0</v>
      </c>
      <c r="AM1187" s="85"/>
    </row>
    <row r="1188" spans="1:39" hidden="1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1783</v>
      </c>
      <c r="F1188" s="15" t="s">
        <v>1783</v>
      </c>
      <c r="G1188" s="15" t="s">
        <v>1783</v>
      </c>
      <c r="H1188" s="154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1783</v>
      </c>
      <c r="N1188" s="15"/>
      <c r="O1188" s="8" t="s">
        <v>410</v>
      </c>
      <c r="P1188" s="8" t="s">
        <v>46</v>
      </c>
      <c r="Q1188" s="14">
        <v>0.02</v>
      </c>
      <c r="R1188" s="139" t="s">
        <v>1784</v>
      </c>
      <c r="S1188" s="15"/>
      <c r="T1188" s="6">
        <v>0</v>
      </c>
      <c r="U1188" s="6">
        <v>480000</v>
      </c>
      <c r="V1188" s="6">
        <v>480000</v>
      </c>
      <c r="W1188" s="18">
        <f t="shared" si="178"/>
        <v>0</v>
      </c>
      <c r="X1188" s="18">
        <f t="shared" si="171"/>
        <v>470588.23529411765</v>
      </c>
      <c r="Y1188" s="13">
        <f t="shared" si="172"/>
        <v>183089.71308003942</v>
      </c>
      <c r="Z1188" s="14">
        <v>0</v>
      </c>
      <c r="AA1188" s="4">
        <v>0</v>
      </c>
      <c r="AB1188" s="4">
        <f t="shared" si="173"/>
        <v>470588.23529411765</v>
      </c>
      <c r="AC1188" s="6">
        <f t="shared" si="174"/>
        <v>9411.7647058823495</v>
      </c>
      <c r="AD1188" s="6">
        <f t="shared" si="179"/>
        <v>287498.52221407823</v>
      </c>
      <c r="AE1188" s="2">
        <v>7.0000000000000007E-2</v>
      </c>
      <c r="AF1188" s="5">
        <f t="shared" si="175"/>
        <v>20124.896554985477</v>
      </c>
      <c r="AG1188" s="14">
        <v>0</v>
      </c>
      <c r="AH1188" s="19">
        <f t="shared" si="177"/>
        <v>480000</v>
      </c>
      <c r="AJ1188" s="126" t="e">
        <v>#N/A</v>
      </c>
      <c r="AK1188" s="80">
        <f t="shared" si="176"/>
        <v>0</v>
      </c>
      <c r="AM1188" s="85"/>
    </row>
    <row r="1189" spans="1:39" hidden="1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1783</v>
      </c>
      <c r="F1189" s="15" t="s">
        <v>1783</v>
      </c>
      <c r="G1189" s="15" t="s">
        <v>1783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1783</v>
      </c>
      <c r="N1189" s="15"/>
      <c r="O1189" s="8" t="s">
        <v>410</v>
      </c>
      <c r="P1189" s="8" t="s">
        <v>41</v>
      </c>
      <c r="Q1189" s="14">
        <v>0</v>
      </c>
      <c r="R1189" s="139" t="s">
        <v>1784</v>
      </c>
      <c r="S1189" s="15"/>
      <c r="T1189" s="6">
        <v>0</v>
      </c>
      <c r="U1189" s="6">
        <v>35000</v>
      </c>
      <c r="V1189" s="6">
        <v>35000</v>
      </c>
      <c r="W1189" s="18">
        <f t="shared" si="178"/>
        <v>0</v>
      </c>
      <c r="X1189" s="18">
        <f t="shared" si="171"/>
        <v>35000</v>
      </c>
      <c r="Y1189" s="13">
        <f t="shared" si="172"/>
        <v>14036.566088556796</v>
      </c>
      <c r="Z1189" s="14">
        <v>0</v>
      </c>
      <c r="AA1189" s="4">
        <v>0</v>
      </c>
      <c r="AB1189" s="4">
        <f t="shared" si="173"/>
        <v>35000</v>
      </c>
      <c r="AC1189" s="6">
        <f t="shared" si="174"/>
        <v>0</v>
      </c>
      <c r="AD1189" s="6">
        <f t="shared" si="179"/>
        <v>20963.433911443204</v>
      </c>
      <c r="AE1189" s="2">
        <v>7.0000000000000007E-2</v>
      </c>
      <c r="AF1189" s="5">
        <f t="shared" si="175"/>
        <v>1467.4403738010244</v>
      </c>
      <c r="AG1189" s="14">
        <v>0</v>
      </c>
      <c r="AH1189" s="19">
        <f t="shared" si="177"/>
        <v>35000</v>
      </c>
      <c r="AJ1189" s="126" t="e">
        <v>#N/A</v>
      </c>
      <c r="AK1189" s="80">
        <f t="shared" si="176"/>
        <v>0</v>
      </c>
      <c r="AM1189" s="85"/>
    </row>
    <row r="1190" spans="1:39" hidden="1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1785</v>
      </c>
      <c r="F1190" s="15" t="s">
        <v>1785</v>
      </c>
      <c r="G1190" s="15" t="s">
        <v>1785</v>
      </c>
      <c r="H1190" s="154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1783</v>
      </c>
      <c r="N1190" s="15"/>
      <c r="O1190" s="8" t="s">
        <v>410</v>
      </c>
      <c r="P1190" s="8" t="s">
        <v>46</v>
      </c>
      <c r="Q1190" s="14">
        <v>0.02</v>
      </c>
      <c r="R1190" s="139" t="s">
        <v>1784</v>
      </c>
      <c r="S1190" s="15"/>
      <c r="T1190" s="6">
        <v>0</v>
      </c>
      <c r="U1190" s="6">
        <v>150000</v>
      </c>
      <c r="V1190" s="6">
        <v>936.65999999997405</v>
      </c>
      <c r="W1190" s="18">
        <f t="shared" si="178"/>
        <v>149063.34000000003</v>
      </c>
      <c r="X1190" s="18">
        <f t="shared" ref="X1190:X1253" si="180">IF(P1190="折扣",V1190*Q1190,IF(P1190="返现",V1190,V1190/(1+Q1190)))</f>
        <v>918.29411764703332</v>
      </c>
      <c r="Y1190" s="13">
        <f t="shared" si="172"/>
        <v>357.27668886155197</v>
      </c>
      <c r="Z1190" s="14">
        <v>0</v>
      </c>
      <c r="AA1190" s="4">
        <v>0</v>
      </c>
      <c r="AB1190" s="4">
        <f t="shared" si="173"/>
        <v>918.29411764703332</v>
      </c>
      <c r="AC1190" s="6">
        <f t="shared" si="174"/>
        <v>18.36588235294073</v>
      </c>
      <c r="AD1190" s="6">
        <f t="shared" si="179"/>
        <v>561.01742878548134</v>
      </c>
      <c r="AE1190" s="2">
        <v>7.0000000000000007E-2</v>
      </c>
      <c r="AF1190" s="5">
        <f t="shared" si="175"/>
        <v>39.271220014983697</v>
      </c>
      <c r="AG1190" s="14">
        <v>0</v>
      </c>
      <c r="AH1190" s="19">
        <f t="shared" si="177"/>
        <v>936.65999999997405</v>
      </c>
      <c r="AJ1190" s="126" t="e">
        <v>#N/A</v>
      </c>
      <c r="AK1190" s="80">
        <f t="shared" si="176"/>
        <v>0</v>
      </c>
      <c r="AM1190" s="85"/>
    </row>
    <row r="1191" spans="1:39" hidden="1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1786</v>
      </c>
      <c r="F1191" s="15" t="s">
        <v>1786</v>
      </c>
      <c r="G1191" s="15" t="s">
        <v>1786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1786</v>
      </c>
      <c r="N1191" s="15"/>
      <c r="O1191" s="8" t="s">
        <v>410</v>
      </c>
      <c r="P1191" s="8" t="s">
        <v>46</v>
      </c>
      <c r="Q1191" s="14">
        <v>0.02</v>
      </c>
      <c r="R1191" s="139" t="s">
        <v>1787</v>
      </c>
      <c r="S1191" s="15"/>
      <c r="T1191" s="6">
        <v>0</v>
      </c>
      <c r="U1191" s="6">
        <v>21220.400000000001</v>
      </c>
      <c r="V1191" s="6">
        <v>6480.6</v>
      </c>
      <c r="W1191" s="18">
        <f t="shared" si="178"/>
        <v>14739.800000000001</v>
      </c>
      <c r="X1191" s="18">
        <f t="shared" si="180"/>
        <v>6353.5294117647063</v>
      </c>
      <c r="Y1191" s="13">
        <f t="shared" si="172"/>
        <v>2471.9399887218824</v>
      </c>
      <c r="Z1191" s="14">
        <v>0</v>
      </c>
      <c r="AA1191" s="4">
        <v>0</v>
      </c>
      <c r="AB1191" s="4">
        <f t="shared" si="173"/>
        <v>6353.5294117647063</v>
      </c>
      <c r="AC1191" s="6">
        <f t="shared" si="174"/>
        <v>127.07058823529405</v>
      </c>
      <c r="AD1191" s="6">
        <f t="shared" si="179"/>
        <v>3881.5894230428239</v>
      </c>
      <c r="AE1191" s="2">
        <v>7.0000000000000007E-2</v>
      </c>
      <c r="AF1191" s="5">
        <f t="shared" si="175"/>
        <v>271.71125961299771</v>
      </c>
      <c r="AG1191" s="14">
        <v>0</v>
      </c>
      <c r="AH1191" s="19">
        <f t="shared" si="177"/>
        <v>6480.6</v>
      </c>
      <c r="AJ1191" s="126" t="e">
        <v>#N/A</v>
      </c>
      <c r="AK1191" s="80">
        <f t="shared" si="176"/>
        <v>0</v>
      </c>
      <c r="AM1191" s="85"/>
    </row>
    <row r="1192" spans="1:39" hidden="1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685</v>
      </c>
      <c r="F1192" s="15" t="s">
        <v>686</v>
      </c>
      <c r="G1192" s="15" t="s">
        <v>685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685</v>
      </c>
      <c r="N1192" s="15"/>
      <c r="O1192" s="8" t="s">
        <v>410</v>
      </c>
      <c r="P1192" s="8" t="s">
        <v>41</v>
      </c>
      <c r="Q1192" s="14">
        <v>0</v>
      </c>
      <c r="R1192" s="139" t="s">
        <v>1788</v>
      </c>
      <c r="S1192" s="15"/>
      <c r="T1192" s="6">
        <v>0</v>
      </c>
      <c r="U1192" s="6">
        <v>5000</v>
      </c>
      <c r="V1192" s="6">
        <v>4431</v>
      </c>
      <c r="W1192" s="18">
        <f t="shared" si="178"/>
        <v>569</v>
      </c>
      <c r="X1192" s="18">
        <f t="shared" si="180"/>
        <v>4431</v>
      </c>
      <c r="Y1192" s="13">
        <f t="shared" si="172"/>
        <v>1777.0292668112902</v>
      </c>
      <c r="Z1192" s="14">
        <v>0</v>
      </c>
      <c r="AA1192" s="4">
        <v>0</v>
      </c>
      <c r="AB1192" s="4">
        <f t="shared" si="173"/>
        <v>4431</v>
      </c>
      <c r="AC1192" s="6">
        <f t="shared" si="174"/>
        <v>0</v>
      </c>
      <c r="AD1192" s="6">
        <f t="shared" si="179"/>
        <v>2653.9707331887098</v>
      </c>
      <c r="AE1192" s="2">
        <v>7.0000000000000007E-2</v>
      </c>
      <c r="AF1192" s="5">
        <f t="shared" si="175"/>
        <v>185.77795132320969</v>
      </c>
      <c r="AG1192" s="14">
        <v>0</v>
      </c>
      <c r="AH1192" s="19">
        <f t="shared" si="177"/>
        <v>4431</v>
      </c>
      <c r="AJ1192" s="126" t="e">
        <v>#N/A</v>
      </c>
      <c r="AK1192" s="80">
        <f t="shared" si="176"/>
        <v>0</v>
      </c>
      <c r="AM1192" s="85"/>
    </row>
    <row r="1193" spans="1:39" hidden="1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1789</v>
      </c>
      <c r="F1193" s="15" t="s">
        <v>1789</v>
      </c>
      <c r="G1193" s="15" t="s">
        <v>1789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1789</v>
      </c>
      <c r="N1193" s="15"/>
      <c r="O1193" s="8" t="s">
        <v>410</v>
      </c>
      <c r="P1193" s="8" t="s">
        <v>41</v>
      </c>
      <c r="Q1193" s="14">
        <v>0</v>
      </c>
      <c r="R1193" s="139" t="s">
        <v>1790</v>
      </c>
      <c r="S1193" s="15"/>
      <c r="T1193" s="6">
        <v>0</v>
      </c>
      <c r="U1193" s="6">
        <v>10000</v>
      </c>
      <c r="V1193" s="6">
        <v>9757.2999999999993</v>
      </c>
      <c r="W1193" s="18">
        <f t="shared" si="178"/>
        <v>242.70000000000073</v>
      </c>
      <c r="X1193" s="18">
        <f t="shared" si="180"/>
        <v>9757.2999999999993</v>
      </c>
      <c r="Y1193" s="13">
        <f t="shared" si="172"/>
        <v>3913.1138941678637</v>
      </c>
      <c r="Z1193" s="14">
        <v>0</v>
      </c>
      <c r="AA1193" s="4">
        <v>0</v>
      </c>
      <c r="AB1193" s="4">
        <f t="shared" si="173"/>
        <v>9757.2999999999993</v>
      </c>
      <c r="AC1193" s="6">
        <f t="shared" si="174"/>
        <v>0</v>
      </c>
      <c r="AD1193" s="6">
        <f t="shared" si="179"/>
        <v>5844.1861058321356</v>
      </c>
      <c r="AE1193" s="2">
        <v>7.0000000000000007E-2</v>
      </c>
      <c r="AF1193" s="5">
        <f t="shared" si="175"/>
        <v>409.09302740824955</v>
      </c>
      <c r="AG1193" s="14">
        <v>0</v>
      </c>
      <c r="AH1193" s="19">
        <f t="shared" si="177"/>
        <v>9757.2999999999993</v>
      </c>
      <c r="AJ1193" s="126" t="e">
        <v>#N/A</v>
      </c>
      <c r="AK1193" s="80">
        <f t="shared" si="176"/>
        <v>0</v>
      </c>
      <c r="AM1193" s="85"/>
    </row>
    <row r="1194" spans="1:39" hidden="1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1791</v>
      </c>
      <c r="F1194" s="15" t="s">
        <v>1791</v>
      </c>
      <c r="G1194" s="15" t="s">
        <v>1791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1791</v>
      </c>
      <c r="N1194" s="15"/>
      <c r="O1194" s="8" t="s">
        <v>410</v>
      </c>
      <c r="P1194" s="8" t="s">
        <v>41</v>
      </c>
      <c r="Q1194" s="14">
        <v>0</v>
      </c>
      <c r="R1194" s="139" t="s">
        <v>1792</v>
      </c>
      <c r="S1194" s="15"/>
      <c r="T1194" s="6">
        <v>0</v>
      </c>
      <c r="U1194" s="6">
        <v>12857.3</v>
      </c>
      <c r="V1194" s="6">
        <v>12857.3</v>
      </c>
      <c r="W1194" s="18">
        <f t="shared" si="178"/>
        <v>0</v>
      </c>
      <c r="X1194" s="18">
        <f t="shared" si="180"/>
        <v>12857.3</v>
      </c>
      <c r="Y1194" s="13">
        <f t="shared" si="172"/>
        <v>5156.3526048686081</v>
      </c>
      <c r="Z1194" s="14">
        <v>0</v>
      </c>
      <c r="AA1194" s="4">
        <v>0</v>
      </c>
      <c r="AB1194" s="4">
        <f t="shared" si="173"/>
        <v>12857.3</v>
      </c>
      <c r="AC1194" s="6">
        <f t="shared" si="174"/>
        <v>0</v>
      </c>
      <c r="AD1194" s="6">
        <f t="shared" si="179"/>
        <v>7700.9473951313912</v>
      </c>
      <c r="AE1194" s="2">
        <v>7.0000000000000007E-2</v>
      </c>
      <c r="AF1194" s="5">
        <f t="shared" si="175"/>
        <v>539.06631765919747</v>
      </c>
      <c r="AG1194" s="14">
        <v>0</v>
      </c>
      <c r="AH1194" s="19">
        <f t="shared" si="177"/>
        <v>12857.3</v>
      </c>
      <c r="AJ1194" s="126" t="e">
        <v>#N/A</v>
      </c>
      <c r="AK1194" s="80">
        <f t="shared" si="176"/>
        <v>0</v>
      </c>
      <c r="AM1194" s="85"/>
    </row>
    <row r="1195" spans="1:39" hidden="1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1793</v>
      </c>
      <c r="F1195" s="15" t="s">
        <v>1793</v>
      </c>
      <c r="G1195" s="15" t="s">
        <v>1793</v>
      </c>
      <c r="H1195" s="154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1793</v>
      </c>
      <c r="N1195" s="15"/>
      <c r="O1195" s="8" t="s">
        <v>410</v>
      </c>
      <c r="P1195" s="8" t="s">
        <v>41</v>
      </c>
      <c r="Q1195" s="14">
        <v>0</v>
      </c>
      <c r="R1195" s="139" t="s">
        <v>1794</v>
      </c>
      <c r="S1195" s="15"/>
      <c r="T1195" s="6">
        <v>0</v>
      </c>
      <c r="U1195" s="6">
        <v>5000</v>
      </c>
      <c r="V1195" s="6">
        <v>903</v>
      </c>
      <c r="W1195" s="18">
        <f t="shared" si="178"/>
        <v>4097</v>
      </c>
      <c r="X1195" s="18">
        <f t="shared" si="180"/>
        <v>903</v>
      </c>
      <c r="Y1195" s="13">
        <f t="shared" si="172"/>
        <v>362.14340508476539</v>
      </c>
      <c r="Z1195" s="14">
        <v>0</v>
      </c>
      <c r="AA1195" s="4">
        <v>0</v>
      </c>
      <c r="AB1195" s="4">
        <f t="shared" si="173"/>
        <v>903</v>
      </c>
      <c r="AC1195" s="6">
        <f t="shared" si="174"/>
        <v>0</v>
      </c>
      <c r="AD1195" s="6">
        <f t="shared" si="179"/>
        <v>540.85659491523461</v>
      </c>
      <c r="AE1195" s="2">
        <v>7.0000000000000007E-2</v>
      </c>
      <c r="AF1195" s="5">
        <f t="shared" si="175"/>
        <v>37.859961644066424</v>
      </c>
      <c r="AG1195" s="14">
        <v>0</v>
      </c>
      <c r="AH1195" s="19">
        <f t="shared" si="177"/>
        <v>903</v>
      </c>
      <c r="AJ1195" s="126" t="e">
        <v>#N/A</v>
      </c>
      <c r="AK1195" s="80">
        <f t="shared" si="176"/>
        <v>0</v>
      </c>
      <c r="AM1195" s="85"/>
    </row>
    <row r="1196" spans="1:39" hidden="1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1795</v>
      </c>
      <c r="F1196" s="15" t="s">
        <v>1795</v>
      </c>
      <c r="G1196" s="15" t="s">
        <v>1795</v>
      </c>
      <c r="H1196" s="139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1796</v>
      </c>
      <c r="N1196" s="15"/>
      <c r="O1196" s="8" t="s">
        <v>410</v>
      </c>
      <c r="P1196" s="8" t="s">
        <v>46</v>
      </c>
      <c r="Q1196" s="14">
        <v>0.02</v>
      </c>
      <c r="R1196" s="139" t="s">
        <v>1797</v>
      </c>
      <c r="S1196" s="15"/>
      <c r="T1196" s="6">
        <v>0</v>
      </c>
      <c r="U1196" s="6">
        <v>0</v>
      </c>
      <c r="V1196" s="6">
        <v>0</v>
      </c>
      <c r="W1196" s="18">
        <f t="shared" si="178"/>
        <v>0</v>
      </c>
      <c r="X1196" s="18">
        <f t="shared" si="180"/>
        <v>0</v>
      </c>
      <c r="Y1196" s="13">
        <f t="shared" si="172"/>
        <v>0</v>
      </c>
      <c r="Z1196" s="14">
        <v>0</v>
      </c>
      <c r="AA1196" s="4">
        <v>0</v>
      </c>
      <c r="AB1196" s="4">
        <f t="shared" si="173"/>
        <v>0</v>
      </c>
      <c r="AC1196" s="6">
        <f t="shared" si="174"/>
        <v>0</v>
      </c>
      <c r="AD1196" s="6">
        <f t="shared" si="179"/>
        <v>0</v>
      </c>
      <c r="AE1196" s="2">
        <v>7.0000000000000007E-2</v>
      </c>
      <c r="AF1196" s="5">
        <f t="shared" si="175"/>
        <v>0</v>
      </c>
      <c r="AG1196" s="14">
        <v>0</v>
      </c>
      <c r="AH1196" s="19">
        <f t="shared" si="177"/>
        <v>0</v>
      </c>
      <c r="AJ1196" s="126" t="e">
        <v>#N/A</v>
      </c>
      <c r="AK1196" s="80">
        <f t="shared" si="176"/>
        <v>0</v>
      </c>
      <c r="AM1196" s="85"/>
    </row>
    <row r="1197" spans="1:39" hidden="1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1798</v>
      </c>
      <c r="F1197" s="15" t="s">
        <v>1798</v>
      </c>
      <c r="G1197" s="15" t="s">
        <v>1798</v>
      </c>
      <c r="H1197" s="139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1798</v>
      </c>
      <c r="N1197" s="15"/>
      <c r="O1197" s="8" t="s">
        <v>410</v>
      </c>
      <c r="P1197" s="8" t="s">
        <v>46</v>
      </c>
      <c r="Q1197" s="14">
        <v>0.03</v>
      </c>
      <c r="R1197" s="139" t="s">
        <v>1799</v>
      </c>
      <c r="S1197" s="15"/>
      <c r="T1197" s="6">
        <v>0</v>
      </c>
      <c r="U1197" s="6">
        <v>0</v>
      </c>
      <c r="V1197" s="6">
        <v>0</v>
      </c>
      <c r="W1197" s="18">
        <f t="shared" si="178"/>
        <v>0</v>
      </c>
      <c r="X1197" s="18">
        <f t="shared" si="180"/>
        <v>0</v>
      </c>
      <c r="Y1197" s="13">
        <f t="shared" si="172"/>
        <v>0</v>
      </c>
      <c r="Z1197" s="14">
        <v>0</v>
      </c>
      <c r="AA1197" s="4">
        <v>0</v>
      </c>
      <c r="AB1197" s="4">
        <f t="shared" si="173"/>
        <v>0</v>
      </c>
      <c r="AC1197" s="6">
        <f t="shared" si="174"/>
        <v>0</v>
      </c>
      <c r="AD1197" s="6">
        <f t="shared" si="179"/>
        <v>0</v>
      </c>
      <c r="AE1197" s="2">
        <v>7.0000000000000007E-2</v>
      </c>
      <c r="AF1197" s="5">
        <f t="shared" si="175"/>
        <v>0</v>
      </c>
      <c r="AG1197" s="14">
        <v>0</v>
      </c>
      <c r="AH1197" s="19">
        <f t="shared" si="177"/>
        <v>0</v>
      </c>
      <c r="AJ1197" s="126" t="e">
        <v>#N/A</v>
      </c>
      <c r="AK1197" s="80">
        <f t="shared" si="176"/>
        <v>0</v>
      </c>
      <c r="AM1197" s="85"/>
    </row>
    <row r="1198" spans="1:39" hidden="1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1800</v>
      </c>
      <c r="F1198" s="15" t="s">
        <v>1800</v>
      </c>
      <c r="G1198" s="15" t="s">
        <v>1800</v>
      </c>
      <c r="H1198" s="154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1800</v>
      </c>
      <c r="N1198" s="15"/>
      <c r="O1198" s="8" t="s">
        <v>410</v>
      </c>
      <c r="P1198" s="8" t="s">
        <v>46</v>
      </c>
      <c r="Q1198" s="14">
        <v>0.01</v>
      </c>
      <c r="R1198" s="139" t="s">
        <v>1801</v>
      </c>
      <c r="S1198" s="15"/>
      <c r="T1198" s="6">
        <v>0</v>
      </c>
      <c r="U1198" s="6">
        <v>150000</v>
      </c>
      <c r="V1198" s="6">
        <v>114972.09999999998</v>
      </c>
      <c r="W1198" s="18">
        <f t="shared" si="178"/>
        <v>35027.900000000023</v>
      </c>
      <c r="X1198" s="18">
        <f t="shared" si="180"/>
        <v>113833.7623762376</v>
      </c>
      <c r="Y1198" s="13">
        <f t="shared" si="172"/>
        <v>44970.618947385068</v>
      </c>
      <c r="Z1198" s="14">
        <v>0</v>
      </c>
      <c r="AA1198" s="4">
        <v>0</v>
      </c>
      <c r="AB1198" s="4">
        <f t="shared" si="173"/>
        <v>113833.7623762376</v>
      </c>
      <c r="AC1198" s="6">
        <f t="shared" si="174"/>
        <v>1138.3376237623743</v>
      </c>
      <c r="AD1198" s="6">
        <f t="shared" si="179"/>
        <v>68863.143428852534</v>
      </c>
      <c r="AE1198" s="2">
        <v>7.0000000000000007E-2</v>
      </c>
      <c r="AF1198" s="5">
        <f t="shared" si="175"/>
        <v>4820.4200400196778</v>
      </c>
      <c r="AG1198" s="14">
        <v>0</v>
      </c>
      <c r="AH1198" s="19">
        <f t="shared" si="177"/>
        <v>114972.09999999998</v>
      </c>
      <c r="AJ1198" s="126" t="e">
        <v>#N/A</v>
      </c>
      <c r="AK1198" s="80">
        <f t="shared" si="176"/>
        <v>0</v>
      </c>
      <c r="AM1198" s="85"/>
    </row>
    <row r="1199" spans="1:39" hidden="1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1802</v>
      </c>
      <c r="F1199" s="15" t="s">
        <v>1802</v>
      </c>
      <c r="G1199" s="15" t="s">
        <v>1802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1802</v>
      </c>
      <c r="N1199" s="15"/>
      <c r="O1199" s="8" t="s">
        <v>410</v>
      </c>
      <c r="P1199" s="8" t="s">
        <v>41</v>
      </c>
      <c r="Q1199" s="14">
        <v>0</v>
      </c>
      <c r="R1199" s="139" t="s">
        <v>1803</v>
      </c>
      <c r="S1199" s="15"/>
      <c r="T1199" s="6">
        <v>0</v>
      </c>
      <c r="U1199" s="6">
        <v>20000</v>
      </c>
      <c r="V1199" s="6">
        <v>17259</v>
      </c>
      <c r="W1199" s="18">
        <f t="shared" si="178"/>
        <v>2741</v>
      </c>
      <c r="X1199" s="18">
        <f t="shared" si="180"/>
        <v>17259</v>
      </c>
      <c r="Y1199" s="13">
        <f t="shared" si="172"/>
        <v>6921.6312606400497</v>
      </c>
      <c r="Z1199" s="14">
        <v>0</v>
      </c>
      <c r="AA1199" s="4">
        <v>0</v>
      </c>
      <c r="AB1199" s="4">
        <f t="shared" si="173"/>
        <v>17259</v>
      </c>
      <c r="AC1199" s="6">
        <f t="shared" si="174"/>
        <v>0</v>
      </c>
      <c r="AD1199" s="6">
        <f t="shared" si="179"/>
        <v>10337.36873935995</v>
      </c>
      <c r="AE1199" s="2">
        <v>7.0000000000000007E-2</v>
      </c>
      <c r="AF1199" s="5">
        <f t="shared" si="175"/>
        <v>723.61581175519655</v>
      </c>
      <c r="AG1199" s="14">
        <v>0</v>
      </c>
      <c r="AH1199" s="19">
        <f t="shared" si="177"/>
        <v>17259</v>
      </c>
      <c r="AJ1199" s="126" t="e">
        <v>#N/A</v>
      </c>
      <c r="AK1199" s="80">
        <f t="shared" si="176"/>
        <v>0</v>
      </c>
      <c r="AM1199" s="85"/>
    </row>
    <row r="1200" spans="1:39" hidden="1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1804</v>
      </c>
      <c r="F1200" s="15" t="s">
        <v>1804</v>
      </c>
      <c r="G1200" s="15" t="s">
        <v>1804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1804</v>
      </c>
      <c r="N1200" s="15"/>
      <c r="O1200" s="8" t="s">
        <v>410</v>
      </c>
      <c r="P1200" s="8" t="s">
        <v>41</v>
      </c>
      <c r="Q1200" s="14">
        <v>0</v>
      </c>
      <c r="R1200" s="139" t="s">
        <v>1805</v>
      </c>
      <c r="S1200" s="15"/>
      <c r="T1200" s="6">
        <v>0</v>
      </c>
      <c r="U1200" s="6">
        <v>10000</v>
      </c>
      <c r="V1200" s="6">
        <v>8195.5</v>
      </c>
      <c r="W1200" s="18">
        <f t="shared" si="178"/>
        <v>1804.5</v>
      </c>
      <c r="X1200" s="18">
        <f t="shared" si="180"/>
        <v>8195.5</v>
      </c>
      <c r="Y1200" s="13">
        <f t="shared" si="172"/>
        <v>3286.7622108219202</v>
      </c>
      <c r="Z1200" s="14">
        <v>0</v>
      </c>
      <c r="AA1200" s="4">
        <v>0</v>
      </c>
      <c r="AB1200" s="4">
        <f t="shared" si="173"/>
        <v>8195.5</v>
      </c>
      <c r="AC1200" s="6">
        <f t="shared" si="174"/>
        <v>0</v>
      </c>
      <c r="AD1200" s="6">
        <f t="shared" si="179"/>
        <v>4908.7377891780798</v>
      </c>
      <c r="AE1200" s="2">
        <v>7.0000000000000007E-2</v>
      </c>
      <c r="AF1200" s="5">
        <f t="shared" si="175"/>
        <v>343.61164524246561</v>
      </c>
      <c r="AG1200" s="14">
        <v>0</v>
      </c>
      <c r="AH1200" s="19">
        <f t="shared" si="177"/>
        <v>8195.5</v>
      </c>
      <c r="AJ1200" s="126" t="e">
        <v>#N/A</v>
      </c>
      <c r="AK1200" s="80">
        <f t="shared" si="176"/>
        <v>0</v>
      </c>
      <c r="AM1200" s="85"/>
    </row>
    <row r="1201" spans="1:39" hidden="1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178</v>
      </c>
      <c r="F1201" s="15" t="s">
        <v>178</v>
      </c>
      <c r="G1201" s="15" t="s">
        <v>178</v>
      </c>
      <c r="H1201" s="154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178</v>
      </c>
      <c r="N1201" s="15"/>
      <c r="O1201" s="8" t="s">
        <v>410</v>
      </c>
      <c r="P1201" s="8" t="s">
        <v>41</v>
      </c>
      <c r="Q1201" s="14">
        <v>0</v>
      </c>
      <c r="R1201" s="139" t="s">
        <v>1806</v>
      </c>
      <c r="S1201" s="15"/>
      <c r="T1201" s="6">
        <v>0</v>
      </c>
      <c r="U1201" s="6">
        <v>1500000</v>
      </c>
      <c r="V1201" s="6">
        <v>1410582.9</v>
      </c>
      <c r="W1201" s="18">
        <f t="shared" si="178"/>
        <v>89417.100000000093</v>
      </c>
      <c r="X1201" s="18">
        <f t="shared" si="180"/>
        <v>1410582.9</v>
      </c>
      <c r="Y1201" s="13">
        <f t="shared" si="172"/>
        <v>565706.85997823149</v>
      </c>
      <c r="Z1201" s="14">
        <v>0</v>
      </c>
      <c r="AA1201" s="4">
        <v>0</v>
      </c>
      <c r="AB1201" s="4">
        <f t="shared" si="173"/>
        <v>1410582.9</v>
      </c>
      <c r="AC1201" s="6">
        <f t="shared" si="174"/>
        <v>0</v>
      </c>
      <c r="AD1201" s="6">
        <f t="shared" si="179"/>
        <v>844876.04002176842</v>
      </c>
      <c r="AE1201" s="2">
        <v>7.0000000000000007E-2</v>
      </c>
      <c r="AF1201" s="5">
        <f t="shared" si="175"/>
        <v>59141.322801523798</v>
      </c>
      <c r="AG1201" s="14">
        <v>0</v>
      </c>
      <c r="AH1201" s="19">
        <f t="shared" si="177"/>
        <v>1410582.9</v>
      </c>
      <c r="AJ1201" s="126" t="e">
        <v>#N/A</v>
      </c>
      <c r="AK1201" s="80">
        <f t="shared" si="176"/>
        <v>0</v>
      </c>
      <c r="AM1201" s="85"/>
    </row>
    <row r="1202" spans="1:39" hidden="1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1807</v>
      </c>
      <c r="F1202" s="15" t="s">
        <v>1807</v>
      </c>
      <c r="G1202" s="15" t="s">
        <v>1807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1807</v>
      </c>
      <c r="N1202" s="15"/>
      <c r="O1202" s="8" t="s">
        <v>410</v>
      </c>
      <c r="P1202" s="8" t="s">
        <v>41</v>
      </c>
      <c r="Q1202" s="14">
        <v>0</v>
      </c>
      <c r="R1202" s="139" t="s">
        <v>1808</v>
      </c>
      <c r="S1202" s="15"/>
      <c r="T1202" s="6">
        <v>0</v>
      </c>
      <c r="U1202" s="6">
        <v>10000</v>
      </c>
      <c r="V1202" s="6">
        <v>4372.1000000000004</v>
      </c>
      <c r="W1202" s="18">
        <f t="shared" si="178"/>
        <v>5627.9</v>
      </c>
      <c r="X1202" s="18">
        <f t="shared" si="180"/>
        <v>4372.1000000000004</v>
      </c>
      <c r="Y1202" s="13">
        <f t="shared" si="172"/>
        <v>1753.4077313079765</v>
      </c>
      <c r="Z1202" s="14">
        <v>0</v>
      </c>
      <c r="AA1202" s="4">
        <v>0</v>
      </c>
      <c r="AB1202" s="4">
        <f t="shared" si="173"/>
        <v>4372.1000000000004</v>
      </c>
      <c r="AC1202" s="6">
        <f t="shared" si="174"/>
        <v>0</v>
      </c>
      <c r="AD1202" s="6">
        <f t="shared" si="179"/>
        <v>2618.6922686920238</v>
      </c>
      <c r="AE1202" s="2">
        <v>7.0000000000000007E-2</v>
      </c>
      <c r="AF1202" s="5">
        <f t="shared" si="175"/>
        <v>183.30845880844169</v>
      </c>
      <c r="AG1202" s="14">
        <v>0</v>
      </c>
      <c r="AH1202" s="19">
        <f t="shared" si="177"/>
        <v>4372.1000000000004</v>
      </c>
      <c r="AJ1202" s="126" t="e">
        <v>#N/A</v>
      </c>
      <c r="AK1202" s="80">
        <f t="shared" si="176"/>
        <v>0</v>
      </c>
      <c r="AM1202" s="85"/>
    </row>
    <row r="1203" spans="1:39" hidden="1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1809</v>
      </c>
      <c r="F1203" s="15" t="s">
        <v>1809</v>
      </c>
      <c r="G1203" s="15" t="s">
        <v>1809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1678</v>
      </c>
      <c r="N1203" s="15"/>
      <c r="O1203" s="8" t="s">
        <v>410</v>
      </c>
      <c r="P1203" s="8" t="s">
        <v>41</v>
      </c>
      <c r="Q1203" s="14">
        <v>0</v>
      </c>
      <c r="R1203" s="139" t="s">
        <v>1680</v>
      </c>
      <c r="S1203" s="15"/>
      <c r="T1203" s="6">
        <v>0</v>
      </c>
      <c r="U1203" s="6">
        <v>150000</v>
      </c>
      <c r="V1203" s="6">
        <v>175235.10000000003</v>
      </c>
      <c r="W1203" s="18">
        <f t="shared" si="178"/>
        <v>-25235.100000000035</v>
      </c>
      <c r="X1203" s="18">
        <f t="shared" si="180"/>
        <v>175235.10000000003</v>
      </c>
      <c r="Y1203" s="13">
        <f t="shared" si="172"/>
        <v>70277.116062424553</v>
      </c>
      <c r="Z1203" s="14">
        <v>0</v>
      </c>
      <c r="AA1203" s="4">
        <v>0</v>
      </c>
      <c r="AB1203" s="4">
        <f t="shared" si="173"/>
        <v>175235.10000000003</v>
      </c>
      <c r="AC1203" s="6">
        <f t="shared" si="174"/>
        <v>0</v>
      </c>
      <c r="AD1203" s="6">
        <f t="shared" si="179"/>
        <v>104957.98393757548</v>
      </c>
      <c r="AE1203" s="2">
        <v>7.0000000000000007E-2</v>
      </c>
      <c r="AF1203" s="5">
        <f t="shared" si="175"/>
        <v>7347.0588756302841</v>
      </c>
      <c r="AG1203" s="14">
        <v>0</v>
      </c>
      <c r="AH1203" s="19">
        <f t="shared" si="177"/>
        <v>175235.10000000003</v>
      </c>
      <c r="AJ1203" s="126" t="e">
        <v>#N/A</v>
      </c>
      <c r="AK1203" s="80">
        <f t="shared" si="176"/>
        <v>0</v>
      </c>
      <c r="AM1203" s="85"/>
    </row>
    <row r="1204" spans="1:39" hidden="1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1810</v>
      </c>
      <c r="F1204" s="15" t="s">
        <v>1810</v>
      </c>
      <c r="G1204" s="15" t="s">
        <v>1810</v>
      </c>
      <c r="H1204" s="154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1789</v>
      </c>
      <c r="N1204" s="15"/>
      <c r="O1204" s="8" t="s">
        <v>410</v>
      </c>
      <c r="P1204" s="8" t="s">
        <v>46</v>
      </c>
      <c r="Q1204" s="14">
        <v>0.02</v>
      </c>
      <c r="R1204" s="139" t="s">
        <v>1790</v>
      </c>
      <c r="S1204" s="15"/>
      <c r="T1204" s="6">
        <v>0</v>
      </c>
      <c r="U1204" s="6">
        <v>20000</v>
      </c>
      <c r="V1204" s="6">
        <v>20000</v>
      </c>
      <c r="W1204" s="18">
        <f t="shared" si="178"/>
        <v>0</v>
      </c>
      <c r="X1204" s="18">
        <f t="shared" si="180"/>
        <v>19607.843137254902</v>
      </c>
      <c r="Y1204" s="13">
        <f t="shared" si="172"/>
        <v>7628.7380450016426</v>
      </c>
      <c r="Z1204" s="14">
        <v>0</v>
      </c>
      <c r="AA1204" s="4">
        <v>0</v>
      </c>
      <c r="AB1204" s="4">
        <f t="shared" si="173"/>
        <v>19607.843137254902</v>
      </c>
      <c r="AC1204" s="6">
        <f t="shared" si="174"/>
        <v>392.1568627450979</v>
      </c>
      <c r="AD1204" s="6">
        <f t="shared" si="179"/>
        <v>11979.105092253259</v>
      </c>
      <c r="AE1204" s="2">
        <v>7.0000000000000007E-2</v>
      </c>
      <c r="AF1204" s="5">
        <f t="shared" si="175"/>
        <v>838.53735645772827</v>
      </c>
      <c r="AG1204" s="14">
        <v>0</v>
      </c>
      <c r="AH1204" s="19">
        <f t="shared" si="177"/>
        <v>20000</v>
      </c>
      <c r="AJ1204" s="126" t="e">
        <v>#N/A</v>
      </c>
      <c r="AK1204" s="80">
        <f t="shared" si="176"/>
        <v>0</v>
      </c>
      <c r="AM1204" s="85"/>
    </row>
    <row r="1205" spans="1:39" hidden="1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692</v>
      </c>
      <c r="F1205" s="15" t="s">
        <v>692</v>
      </c>
      <c r="G1205" s="15" t="s">
        <v>692</v>
      </c>
      <c r="H1205" s="139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1811</v>
      </c>
      <c r="N1205" s="15"/>
      <c r="O1205" s="8" t="s">
        <v>410</v>
      </c>
      <c r="P1205" s="8" t="s">
        <v>41</v>
      </c>
      <c r="Q1205" s="14">
        <v>0</v>
      </c>
      <c r="R1205" s="139" t="s">
        <v>1812</v>
      </c>
      <c r="S1205" s="15"/>
      <c r="T1205" s="6">
        <v>-3.3000000000029104</v>
      </c>
      <c r="U1205" s="6">
        <v>0</v>
      </c>
      <c r="V1205" s="6">
        <v>0</v>
      </c>
      <c r="W1205" s="18">
        <f t="shared" si="178"/>
        <v>-3.3000000000029104</v>
      </c>
      <c r="X1205" s="18">
        <f t="shared" si="180"/>
        <v>0</v>
      </c>
      <c r="Y1205" s="13">
        <f t="shared" si="172"/>
        <v>0</v>
      </c>
      <c r="Z1205" s="14">
        <v>0</v>
      </c>
      <c r="AA1205" s="4">
        <v>0</v>
      </c>
      <c r="AB1205" s="4">
        <f t="shared" si="173"/>
        <v>0</v>
      </c>
      <c r="AC1205" s="6">
        <f t="shared" si="174"/>
        <v>0</v>
      </c>
      <c r="AD1205" s="6">
        <f t="shared" si="179"/>
        <v>0</v>
      </c>
      <c r="AE1205" s="2">
        <v>7.0000000000000007E-2</v>
      </c>
      <c r="AF1205" s="5">
        <f t="shared" si="175"/>
        <v>0</v>
      </c>
      <c r="AG1205" s="14">
        <v>0</v>
      </c>
      <c r="AH1205" s="19">
        <f t="shared" si="177"/>
        <v>0</v>
      </c>
      <c r="AJ1205" s="126" t="e">
        <v>#N/A</v>
      </c>
      <c r="AK1205" s="80">
        <f t="shared" si="176"/>
        <v>0</v>
      </c>
      <c r="AM1205" s="85"/>
    </row>
    <row r="1206" spans="1:39" hidden="1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1813</v>
      </c>
      <c r="F1206" s="15" t="s">
        <v>1813</v>
      </c>
      <c r="G1206" s="15" t="s">
        <v>1813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1814</v>
      </c>
      <c r="N1206" s="15"/>
      <c r="O1206" s="8" t="s">
        <v>410</v>
      </c>
      <c r="P1206" s="8" t="s">
        <v>41</v>
      </c>
      <c r="Q1206" s="14">
        <v>0</v>
      </c>
      <c r="R1206" s="139" t="s">
        <v>1815</v>
      </c>
      <c r="S1206" s="15"/>
      <c r="T1206" s="6">
        <v>0</v>
      </c>
      <c r="U1206" s="6">
        <v>100000</v>
      </c>
      <c r="V1206" s="6">
        <v>13213.4</v>
      </c>
      <c r="W1206" s="18">
        <f t="shared" si="178"/>
        <v>86786.6</v>
      </c>
      <c r="X1206" s="18">
        <f t="shared" si="180"/>
        <v>13213.4</v>
      </c>
      <c r="Y1206" s="13">
        <f t="shared" si="172"/>
        <v>5299.1646387010387</v>
      </c>
      <c r="Z1206" s="14">
        <v>0</v>
      </c>
      <c r="AA1206" s="4">
        <v>0</v>
      </c>
      <c r="AB1206" s="4">
        <f t="shared" si="173"/>
        <v>13213.4</v>
      </c>
      <c r="AC1206" s="6">
        <f t="shared" si="174"/>
        <v>0</v>
      </c>
      <c r="AD1206" s="6">
        <f t="shared" si="179"/>
        <v>7914.2353612989609</v>
      </c>
      <c r="AE1206" s="2">
        <v>7.0000000000000007E-2</v>
      </c>
      <c r="AF1206" s="5">
        <f t="shared" si="175"/>
        <v>553.99647529092726</v>
      </c>
      <c r="AG1206" s="14">
        <v>0</v>
      </c>
      <c r="AH1206" s="19">
        <f t="shared" si="177"/>
        <v>13213.4</v>
      </c>
      <c r="AJ1206" s="126" t="e">
        <v>#N/A</v>
      </c>
      <c r="AK1206" s="80">
        <f t="shared" si="176"/>
        <v>0</v>
      </c>
      <c r="AM1206" s="85"/>
    </row>
    <row r="1207" spans="1:39" hidden="1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180</v>
      </c>
      <c r="F1207" s="15" t="s">
        <v>180</v>
      </c>
      <c r="G1207" s="15" t="s">
        <v>180</v>
      </c>
      <c r="H1207" s="139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1816</v>
      </c>
      <c r="N1207" s="15"/>
      <c r="O1207" s="8" t="s">
        <v>410</v>
      </c>
      <c r="P1207" s="8" t="s">
        <v>41</v>
      </c>
      <c r="Q1207" s="14">
        <v>0</v>
      </c>
      <c r="R1207" s="139" t="s">
        <v>1817</v>
      </c>
      <c r="S1207" s="15"/>
      <c r="T1207" s="6">
        <v>0</v>
      </c>
      <c r="U1207" s="6">
        <v>240000</v>
      </c>
      <c r="V1207" s="6">
        <v>0</v>
      </c>
      <c r="W1207" s="18">
        <f t="shared" si="178"/>
        <v>240000</v>
      </c>
      <c r="X1207" s="18">
        <f t="shared" si="180"/>
        <v>0</v>
      </c>
      <c r="Y1207" s="13">
        <f t="shared" si="172"/>
        <v>0</v>
      </c>
      <c r="Z1207" s="14">
        <v>0</v>
      </c>
      <c r="AA1207" s="4">
        <v>0</v>
      </c>
      <c r="AB1207" s="4">
        <f t="shared" si="173"/>
        <v>0</v>
      </c>
      <c r="AC1207" s="6">
        <f t="shared" si="174"/>
        <v>0</v>
      </c>
      <c r="AD1207" s="6">
        <f t="shared" si="179"/>
        <v>0</v>
      </c>
      <c r="AE1207" s="2">
        <v>7.0000000000000007E-2</v>
      </c>
      <c r="AF1207" s="5">
        <f t="shared" si="175"/>
        <v>0</v>
      </c>
      <c r="AG1207" s="14">
        <v>0</v>
      </c>
      <c r="AH1207" s="19">
        <f t="shared" si="177"/>
        <v>0</v>
      </c>
      <c r="AJ1207" s="126" t="e">
        <v>#N/A</v>
      </c>
      <c r="AK1207" s="80">
        <f t="shared" si="176"/>
        <v>0</v>
      </c>
      <c r="AM1207" s="85"/>
    </row>
    <row r="1208" spans="1:39" hidden="1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180</v>
      </c>
      <c r="F1208" s="15" t="s">
        <v>180</v>
      </c>
      <c r="G1208" s="15" t="s">
        <v>180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1818</v>
      </c>
      <c r="N1208" s="15"/>
      <c r="O1208" s="8" t="s">
        <v>410</v>
      </c>
      <c r="P1208" s="8" t="s">
        <v>41</v>
      </c>
      <c r="Q1208" s="14">
        <v>0</v>
      </c>
      <c r="R1208" s="139" t="s">
        <v>1819</v>
      </c>
      <c r="S1208" s="15"/>
      <c r="T1208" s="6">
        <v>0</v>
      </c>
      <c r="U1208" s="6">
        <v>130000</v>
      </c>
      <c r="V1208" s="6">
        <v>0</v>
      </c>
      <c r="W1208" s="18">
        <f t="shared" si="178"/>
        <v>130000</v>
      </c>
      <c r="X1208" s="18">
        <f t="shared" si="180"/>
        <v>0</v>
      </c>
      <c r="Y1208" s="13">
        <f t="shared" si="172"/>
        <v>0</v>
      </c>
      <c r="Z1208" s="14">
        <v>0</v>
      </c>
      <c r="AA1208" s="4">
        <v>0</v>
      </c>
      <c r="AB1208" s="4">
        <f t="shared" si="173"/>
        <v>0</v>
      </c>
      <c r="AC1208" s="6">
        <f t="shared" si="174"/>
        <v>0</v>
      </c>
      <c r="AD1208" s="6">
        <f t="shared" si="179"/>
        <v>0</v>
      </c>
      <c r="AE1208" s="2">
        <v>7.0000000000000007E-2</v>
      </c>
      <c r="AF1208" s="5">
        <f t="shared" si="175"/>
        <v>0</v>
      </c>
      <c r="AG1208" s="14">
        <v>0</v>
      </c>
      <c r="AH1208" s="19">
        <f t="shared" si="177"/>
        <v>0</v>
      </c>
      <c r="AJ1208" s="126" t="e">
        <v>#N/A</v>
      </c>
      <c r="AK1208" s="80">
        <f t="shared" si="176"/>
        <v>0</v>
      </c>
      <c r="AM1208" s="85"/>
    </row>
    <row r="1209" spans="1:39" hidden="1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180</v>
      </c>
      <c r="F1209" s="15" t="s">
        <v>180</v>
      </c>
      <c r="G1209" s="15" t="s">
        <v>180</v>
      </c>
      <c r="H1209" s="139"/>
      <c r="I1209" s="15" t="s">
        <v>1060</v>
      </c>
      <c r="J1209" s="1" t="s">
        <v>3325</v>
      </c>
      <c r="K1209" s="1" t="s">
        <v>3279</v>
      </c>
      <c r="L1209" s="1" t="s">
        <v>35</v>
      </c>
      <c r="M1209" s="15" t="s">
        <v>1820</v>
      </c>
      <c r="N1209" s="15"/>
      <c r="O1209" s="8" t="s">
        <v>410</v>
      </c>
      <c r="P1209" s="8" t="s">
        <v>41</v>
      </c>
      <c r="Q1209" s="14">
        <v>0</v>
      </c>
      <c r="R1209" s="139" t="s">
        <v>1821</v>
      </c>
      <c r="S1209" s="15"/>
      <c r="T1209" s="6">
        <v>0</v>
      </c>
      <c r="U1209" s="6">
        <v>1050000</v>
      </c>
      <c r="V1209" s="6">
        <v>0</v>
      </c>
      <c r="W1209" s="18">
        <f t="shared" si="178"/>
        <v>1050000</v>
      </c>
      <c r="X1209" s="18">
        <f t="shared" si="180"/>
        <v>0</v>
      </c>
      <c r="Y1209" s="13">
        <f t="shared" si="172"/>
        <v>0</v>
      </c>
      <c r="Z1209" s="14">
        <v>0</v>
      </c>
      <c r="AA1209" s="4">
        <v>0</v>
      </c>
      <c r="AB1209" s="4">
        <f t="shared" si="173"/>
        <v>0</v>
      </c>
      <c r="AC1209" s="6">
        <f t="shared" si="174"/>
        <v>0</v>
      </c>
      <c r="AD1209" s="6">
        <f t="shared" si="179"/>
        <v>0</v>
      </c>
      <c r="AE1209" s="2">
        <v>7.0000000000000007E-2</v>
      </c>
      <c r="AF1209" s="5">
        <f t="shared" si="175"/>
        <v>0</v>
      </c>
      <c r="AG1209" s="14">
        <v>0</v>
      </c>
      <c r="AH1209" s="19">
        <f t="shared" si="177"/>
        <v>0</v>
      </c>
      <c r="AJ1209" s="126" t="e">
        <v>#N/A</v>
      </c>
      <c r="AK1209" s="80">
        <f t="shared" si="176"/>
        <v>0</v>
      </c>
      <c r="AM1209" s="85"/>
    </row>
    <row r="1210" spans="1:39" hidden="1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180</v>
      </c>
      <c r="F1210" s="15" t="s">
        <v>180</v>
      </c>
      <c r="G1210" s="15" t="s">
        <v>180</v>
      </c>
      <c r="H1210" s="139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1820</v>
      </c>
      <c r="N1210" s="15"/>
      <c r="O1210" s="8" t="s">
        <v>410</v>
      </c>
      <c r="P1210" s="8" t="s">
        <v>41</v>
      </c>
      <c r="Q1210" s="14">
        <v>0</v>
      </c>
      <c r="R1210" s="139" t="s">
        <v>1822</v>
      </c>
      <c r="S1210" s="15"/>
      <c r="T1210" s="6">
        <v>0</v>
      </c>
      <c r="U1210" s="6">
        <v>0</v>
      </c>
      <c r="V1210" s="6">
        <v>0</v>
      </c>
      <c r="W1210" s="18">
        <f t="shared" si="178"/>
        <v>0</v>
      </c>
      <c r="X1210" s="18">
        <f t="shared" si="180"/>
        <v>0</v>
      </c>
      <c r="Y1210" s="13">
        <f t="shared" si="172"/>
        <v>0</v>
      </c>
      <c r="Z1210" s="14">
        <v>0</v>
      </c>
      <c r="AA1210" s="4">
        <v>0</v>
      </c>
      <c r="AB1210" s="4">
        <f t="shared" si="173"/>
        <v>0</v>
      </c>
      <c r="AC1210" s="6">
        <f t="shared" si="174"/>
        <v>0</v>
      </c>
      <c r="AD1210" s="6">
        <f t="shared" si="179"/>
        <v>0</v>
      </c>
      <c r="AE1210" s="2">
        <v>7.0000000000000007E-2</v>
      </c>
      <c r="AF1210" s="5">
        <f t="shared" si="175"/>
        <v>0</v>
      </c>
      <c r="AG1210" s="14">
        <v>0</v>
      </c>
      <c r="AH1210" s="19">
        <f t="shared" si="177"/>
        <v>0</v>
      </c>
      <c r="AJ1210" s="126" t="e">
        <v>#N/A</v>
      </c>
      <c r="AK1210" s="80">
        <f t="shared" si="176"/>
        <v>0</v>
      </c>
      <c r="AM1210" s="85"/>
    </row>
    <row r="1211" spans="1:39" hidden="1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180</v>
      </c>
      <c r="F1211" s="15" t="s">
        <v>180</v>
      </c>
      <c r="G1211" s="15" t="s">
        <v>180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180</v>
      </c>
      <c r="N1211" s="15"/>
      <c r="O1211" s="8" t="s">
        <v>410</v>
      </c>
      <c r="P1211" s="8" t="s">
        <v>41</v>
      </c>
      <c r="Q1211" s="14">
        <v>0</v>
      </c>
      <c r="R1211" s="139" t="s">
        <v>1823</v>
      </c>
      <c r="S1211" s="15"/>
      <c r="T1211" s="6">
        <v>0</v>
      </c>
      <c r="U1211" s="6">
        <v>1150000</v>
      </c>
      <c r="V1211" s="6">
        <v>3830</v>
      </c>
      <c r="W1211" s="18">
        <f t="shared" si="178"/>
        <v>1146170</v>
      </c>
      <c r="X1211" s="18">
        <f t="shared" si="180"/>
        <v>3830</v>
      </c>
      <c r="Y1211" s="13">
        <f t="shared" si="172"/>
        <v>1536.0013748335009</v>
      </c>
      <c r="Z1211" s="14">
        <v>0</v>
      </c>
      <c r="AA1211" s="4">
        <v>0</v>
      </c>
      <c r="AB1211" s="4">
        <f t="shared" si="173"/>
        <v>3830</v>
      </c>
      <c r="AC1211" s="6">
        <f t="shared" si="174"/>
        <v>0</v>
      </c>
      <c r="AD1211" s="6">
        <f t="shared" si="179"/>
        <v>2293.9986251664991</v>
      </c>
      <c r="AE1211" s="2">
        <v>7.0000000000000007E-2</v>
      </c>
      <c r="AF1211" s="5">
        <f t="shared" si="175"/>
        <v>160.57990376165495</v>
      </c>
      <c r="AG1211" s="14">
        <v>0</v>
      </c>
      <c r="AH1211" s="19">
        <f t="shared" si="177"/>
        <v>3830</v>
      </c>
      <c r="AJ1211" s="126" t="e">
        <v>#N/A</v>
      </c>
      <c r="AK1211" s="80">
        <f t="shared" si="176"/>
        <v>0</v>
      </c>
      <c r="AM1211" s="85"/>
    </row>
    <row r="1212" spans="1:39" hidden="1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180</v>
      </c>
      <c r="F1212" s="15" t="s">
        <v>180</v>
      </c>
      <c r="G1212" s="15" t="s">
        <v>180</v>
      </c>
      <c r="H1212" s="139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180</v>
      </c>
      <c r="N1212" s="15"/>
      <c r="O1212" s="8" t="s">
        <v>410</v>
      </c>
      <c r="P1212" s="8" t="s">
        <v>41</v>
      </c>
      <c r="Q1212" s="14">
        <v>0</v>
      </c>
      <c r="R1212" s="139" t="s">
        <v>1824</v>
      </c>
      <c r="S1212" s="15"/>
      <c r="T1212" s="6">
        <v>0</v>
      </c>
      <c r="U1212" s="6">
        <v>1430000</v>
      </c>
      <c r="V1212" s="6">
        <v>0</v>
      </c>
      <c r="W1212" s="18">
        <f t="shared" si="178"/>
        <v>1430000</v>
      </c>
      <c r="X1212" s="18">
        <f t="shared" si="180"/>
        <v>0</v>
      </c>
      <c r="Y1212" s="13">
        <f t="shared" si="172"/>
        <v>0</v>
      </c>
      <c r="Z1212" s="14">
        <v>0</v>
      </c>
      <c r="AA1212" s="4">
        <v>0</v>
      </c>
      <c r="AB1212" s="4">
        <f t="shared" si="173"/>
        <v>0</v>
      </c>
      <c r="AC1212" s="6">
        <f t="shared" si="174"/>
        <v>0</v>
      </c>
      <c r="AD1212" s="6">
        <f t="shared" si="179"/>
        <v>0</v>
      </c>
      <c r="AE1212" s="2">
        <v>7.0000000000000007E-2</v>
      </c>
      <c r="AF1212" s="5">
        <f t="shared" si="175"/>
        <v>0</v>
      </c>
      <c r="AG1212" s="14">
        <v>0</v>
      </c>
      <c r="AH1212" s="19">
        <f t="shared" si="177"/>
        <v>0</v>
      </c>
      <c r="AJ1212" s="126" t="e">
        <v>#N/A</v>
      </c>
      <c r="AK1212" s="80">
        <f t="shared" si="176"/>
        <v>0</v>
      </c>
      <c r="AM1212" s="85"/>
    </row>
    <row r="1213" spans="1:39" hidden="1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180</v>
      </c>
      <c r="F1213" s="15" t="s">
        <v>180</v>
      </c>
      <c r="G1213" s="15" t="s">
        <v>180</v>
      </c>
      <c r="H1213" s="139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1825</v>
      </c>
      <c r="N1213" s="15"/>
      <c r="O1213" s="8" t="s">
        <v>410</v>
      </c>
      <c r="P1213" s="8" t="s">
        <v>41</v>
      </c>
      <c r="Q1213" s="14">
        <v>0</v>
      </c>
      <c r="R1213" s="139" t="s">
        <v>1826</v>
      </c>
      <c r="S1213" s="15"/>
      <c r="T1213" s="6">
        <v>0</v>
      </c>
      <c r="U1213" s="6">
        <v>350000</v>
      </c>
      <c r="V1213" s="6">
        <v>0</v>
      </c>
      <c r="W1213" s="18">
        <f t="shared" si="178"/>
        <v>350000</v>
      </c>
      <c r="X1213" s="18">
        <f t="shared" si="180"/>
        <v>0</v>
      </c>
      <c r="Y1213" s="13">
        <f t="shared" si="172"/>
        <v>0</v>
      </c>
      <c r="Z1213" s="14">
        <v>0</v>
      </c>
      <c r="AA1213" s="4">
        <v>0</v>
      </c>
      <c r="AB1213" s="4">
        <f t="shared" si="173"/>
        <v>0</v>
      </c>
      <c r="AC1213" s="6">
        <f t="shared" si="174"/>
        <v>0</v>
      </c>
      <c r="AD1213" s="6">
        <f t="shared" si="179"/>
        <v>0</v>
      </c>
      <c r="AE1213" s="2">
        <v>7.0000000000000007E-2</v>
      </c>
      <c r="AF1213" s="5">
        <f t="shared" si="175"/>
        <v>0</v>
      </c>
      <c r="AG1213" s="14">
        <v>0</v>
      </c>
      <c r="AH1213" s="19">
        <f t="shared" si="177"/>
        <v>0</v>
      </c>
      <c r="AJ1213" s="126" t="e">
        <v>#N/A</v>
      </c>
      <c r="AK1213" s="80">
        <f t="shared" si="176"/>
        <v>0</v>
      </c>
      <c r="AM1213" s="85"/>
    </row>
    <row r="1214" spans="1:39" hidden="1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1827</v>
      </c>
      <c r="F1214" s="15" t="s">
        <v>1827</v>
      </c>
      <c r="G1214" s="15" t="s">
        <v>1827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1827</v>
      </c>
      <c r="N1214" s="15"/>
      <c r="O1214" s="8" t="s">
        <v>410</v>
      </c>
      <c r="P1214" s="8" t="s">
        <v>41</v>
      </c>
      <c r="Q1214" s="14">
        <v>0</v>
      </c>
      <c r="R1214" s="139" t="s">
        <v>1828</v>
      </c>
      <c r="S1214" s="15"/>
      <c r="T1214" s="6">
        <v>0</v>
      </c>
      <c r="U1214" s="6">
        <v>20000</v>
      </c>
      <c r="V1214" s="6">
        <v>7425.9</v>
      </c>
      <c r="W1214" s="18">
        <f t="shared" si="178"/>
        <v>12574.1</v>
      </c>
      <c r="X1214" s="18">
        <f t="shared" si="180"/>
        <v>7425.9</v>
      </c>
      <c r="Y1214" s="13">
        <f t="shared" si="172"/>
        <v>2978.1181747718256</v>
      </c>
      <c r="Z1214" s="14">
        <v>0</v>
      </c>
      <c r="AA1214" s="4">
        <v>0</v>
      </c>
      <c r="AB1214" s="4">
        <f t="shared" si="173"/>
        <v>7425.9</v>
      </c>
      <c r="AC1214" s="6">
        <f t="shared" si="174"/>
        <v>0</v>
      </c>
      <c r="AD1214" s="6">
        <f t="shared" si="179"/>
        <v>4447.7818252281741</v>
      </c>
      <c r="AE1214" s="2">
        <v>7.0000000000000007E-2</v>
      </c>
      <c r="AF1214" s="5">
        <f t="shared" si="175"/>
        <v>311.34472776597221</v>
      </c>
      <c r="AG1214" s="14">
        <v>0</v>
      </c>
      <c r="AH1214" s="19">
        <f t="shared" si="177"/>
        <v>7425.9</v>
      </c>
      <c r="AJ1214" s="126" t="e">
        <v>#N/A</v>
      </c>
      <c r="AK1214" s="80">
        <f t="shared" si="176"/>
        <v>0</v>
      </c>
      <c r="AM1214" s="85"/>
    </row>
    <row r="1215" spans="1:39" hidden="1" x14ac:dyDescent="0.3">
      <c r="A1215" s="85" t="s">
        <v>34</v>
      </c>
      <c r="B1215" s="15" t="s">
        <v>35</v>
      </c>
      <c r="C1215" s="15" t="s">
        <v>164</v>
      </c>
      <c r="D1215" s="15" t="s">
        <v>181</v>
      </c>
      <c r="E1215" s="15" t="s">
        <v>182</v>
      </c>
      <c r="F1215" s="15" t="s">
        <v>183</v>
      </c>
      <c r="G1215" s="15" t="s">
        <v>182</v>
      </c>
      <c r="H1215" s="154"/>
      <c r="I1215" s="15" t="s">
        <v>610</v>
      </c>
      <c r="J1215" s="1" t="s">
        <v>3323</v>
      </c>
      <c r="K1215" s="1" t="s">
        <v>3275</v>
      </c>
      <c r="L1215" s="1" t="s">
        <v>35</v>
      </c>
      <c r="M1215" s="15" t="s">
        <v>1829</v>
      </c>
      <c r="N1215" s="15"/>
      <c r="O1215" s="8" t="s">
        <v>410</v>
      </c>
      <c r="P1215" s="8" t="s">
        <v>41</v>
      </c>
      <c r="Q1215" s="14">
        <v>0</v>
      </c>
      <c r="R1215" s="139" t="s">
        <v>1830</v>
      </c>
      <c r="S1215" s="15"/>
      <c r="T1215" s="6">
        <v>0</v>
      </c>
      <c r="U1215" s="6">
        <v>431389.73</v>
      </c>
      <c r="V1215" s="6">
        <v>393570.7</v>
      </c>
      <c r="W1215" s="18">
        <f t="shared" si="178"/>
        <v>37819.02999999997</v>
      </c>
      <c r="X1215" s="18">
        <f t="shared" si="180"/>
        <v>393570.7</v>
      </c>
      <c r="Y1215" s="13">
        <f t="shared" si="172"/>
        <v>0</v>
      </c>
      <c r="Z1215" s="14">
        <v>0.02</v>
      </c>
      <c r="AA1215" s="6">
        <f>X1215/(1-Z1215)*Z1215</f>
        <v>8032.0551020408166</v>
      </c>
      <c r="AB1215" s="4">
        <f t="shared" si="173"/>
        <v>401602.75510204083</v>
      </c>
      <c r="AC1215" s="6">
        <f t="shared" si="174"/>
        <v>0</v>
      </c>
      <c r="AD1215" s="18">
        <f>V1215</f>
        <v>393570.7</v>
      </c>
      <c r="AE1215" s="2">
        <v>0.02</v>
      </c>
      <c r="AF1215" s="5">
        <f t="shared" si="175"/>
        <v>7871.4140000000007</v>
      </c>
      <c r="AG1215" s="14">
        <v>0</v>
      </c>
      <c r="AH1215" s="19">
        <f t="shared" si="177"/>
        <v>393570.7</v>
      </c>
      <c r="AJ1215" s="126" t="e">
        <v>#N/A</v>
      </c>
      <c r="AK1215" s="80">
        <f t="shared" si="176"/>
        <v>0</v>
      </c>
      <c r="AM1215" s="85"/>
    </row>
    <row r="1216" spans="1:39" hidden="1" x14ac:dyDescent="0.3">
      <c r="A1216" s="85" t="s">
        <v>34</v>
      </c>
      <c r="B1216" s="15" t="s">
        <v>35</v>
      </c>
      <c r="C1216" s="15" t="s">
        <v>164</v>
      </c>
      <c r="D1216" s="15" t="s">
        <v>181</v>
      </c>
      <c r="E1216" s="15" t="s">
        <v>182</v>
      </c>
      <c r="F1216" s="15" t="s">
        <v>183</v>
      </c>
      <c r="G1216" s="15" t="s">
        <v>182</v>
      </c>
      <c r="H1216" s="154"/>
      <c r="I1216" s="15" t="s">
        <v>1557</v>
      </c>
      <c r="J1216" s="1" t="s">
        <v>3323</v>
      </c>
      <c r="K1216" s="1" t="s">
        <v>3286</v>
      </c>
      <c r="L1216" s="1" t="s">
        <v>35</v>
      </c>
      <c r="M1216" s="15" t="s">
        <v>182</v>
      </c>
      <c r="N1216" s="15"/>
      <c r="O1216" s="8" t="s">
        <v>410</v>
      </c>
      <c r="P1216" s="8" t="s">
        <v>41</v>
      </c>
      <c r="Q1216" s="14">
        <v>0</v>
      </c>
      <c r="R1216" s="139" t="s">
        <v>1831</v>
      </c>
      <c r="S1216" s="15"/>
      <c r="T1216" s="6">
        <v>0</v>
      </c>
      <c r="U1216" s="6">
        <v>570176.65</v>
      </c>
      <c r="V1216" s="6">
        <v>487372.6</v>
      </c>
      <c r="W1216" s="18">
        <f t="shared" si="178"/>
        <v>82804.050000000047</v>
      </c>
      <c r="X1216" s="18">
        <f t="shared" si="180"/>
        <v>487372.6</v>
      </c>
      <c r="Y1216" s="13">
        <f t="shared" si="172"/>
        <v>0</v>
      </c>
      <c r="Z1216" s="14">
        <v>0.02</v>
      </c>
      <c r="AA1216" s="6">
        <f t="shared" ref="AA1216:AA1220" si="181">X1216/(1-Z1216)*Z1216</f>
        <v>9946.3795918367359</v>
      </c>
      <c r="AB1216" s="4">
        <f t="shared" si="173"/>
        <v>497318.97959183669</v>
      </c>
      <c r="AC1216" s="6">
        <f t="shared" si="174"/>
        <v>0</v>
      </c>
      <c r="AD1216" s="18">
        <f>V1216</f>
        <v>487372.6</v>
      </c>
      <c r="AE1216" s="2">
        <v>0.02</v>
      </c>
      <c r="AF1216" s="5">
        <f t="shared" si="175"/>
        <v>9747.4519999999993</v>
      </c>
      <c r="AG1216" s="14">
        <v>0</v>
      </c>
      <c r="AH1216" s="19">
        <f t="shared" si="177"/>
        <v>487372.6</v>
      </c>
      <c r="AJ1216" s="126" t="e">
        <v>#N/A</v>
      </c>
      <c r="AK1216" s="80">
        <f t="shared" si="176"/>
        <v>0</v>
      </c>
      <c r="AM1216" s="85"/>
    </row>
    <row r="1217" spans="1:39" hidden="1" x14ac:dyDescent="0.3">
      <c r="A1217" s="85" t="s">
        <v>34</v>
      </c>
      <c r="B1217" s="15" t="s">
        <v>35</v>
      </c>
      <c r="C1217" s="15" t="s">
        <v>164</v>
      </c>
      <c r="D1217" s="15" t="s">
        <v>181</v>
      </c>
      <c r="E1217" s="15" t="s">
        <v>182</v>
      </c>
      <c r="F1217" s="15" t="s">
        <v>183</v>
      </c>
      <c r="G1217" s="15" t="s">
        <v>182</v>
      </c>
      <c r="H1217" s="139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182</v>
      </c>
      <c r="N1217" s="15"/>
      <c r="O1217" s="8" t="s">
        <v>410</v>
      </c>
      <c r="P1217" s="8" t="s">
        <v>41</v>
      </c>
      <c r="Q1217" s="14">
        <v>0</v>
      </c>
      <c r="R1217" s="139" t="s">
        <v>1831</v>
      </c>
      <c r="S1217" s="15"/>
      <c r="T1217" s="6">
        <v>-28.299999999871943</v>
      </c>
      <c r="U1217" s="6">
        <v>0</v>
      </c>
      <c r="V1217" s="6">
        <v>0</v>
      </c>
      <c r="W1217" s="18">
        <f t="shared" si="178"/>
        <v>-28.299999999871943</v>
      </c>
      <c r="X1217" s="18">
        <f t="shared" si="180"/>
        <v>0</v>
      </c>
      <c r="Y1217" s="13">
        <f t="shared" si="172"/>
        <v>0</v>
      </c>
      <c r="Z1217" s="14">
        <v>0.02</v>
      </c>
      <c r="AA1217" s="6">
        <f t="shared" si="181"/>
        <v>0</v>
      </c>
      <c r="AB1217" s="4">
        <f t="shared" si="173"/>
        <v>0</v>
      </c>
      <c r="AC1217" s="6">
        <f t="shared" si="174"/>
        <v>0</v>
      </c>
      <c r="AD1217" s="6">
        <f t="shared" ref="AD1217:AD1280" si="182">V1217*0.598955254612663</f>
        <v>0</v>
      </c>
      <c r="AE1217" s="2">
        <v>7.0000000000000007E-2</v>
      </c>
      <c r="AF1217" s="5">
        <f t="shared" si="175"/>
        <v>0</v>
      </c>
      <c r="AG1217" s="14">
        <v>0</v>
      </c>
      <c r="AH1217" s="19">
        <f t="shared" si="177"/>
        <v>0</v>
      </c>
      <c r="AJ1217" s="126" t="e">
        <v>#N/A</v>
      </c>
      <c r="AK1217" s="80">
        <f t="shared" si="176"/>
        <v>0</v>
      </c>
      <c r="AM1217" s="85"/>
    </row>
    <row r="1218" spans="1:39" hidden="1" x14ac:dyDescent="0.3">
      <c r="A1218" s="85" t="s">
        <v>34</v>
      </c>
      <c r="B1218" s="15" t="s">
        <v>35</v>
      </c>
      <c r="C1218" s="15" t="s">
        <v>164</v>
      </c>
      <c r="D1218" s="15" t="s">
        <v>181</v>
      </c>
      <c r="E1218" s="15" t="s">
        <v>182</v>
      </c>
      <c r="F1218" s="15" t="s">
        <v>183</v>
      </c>
      <c r="G1218" s="15" t="s">
        <v>182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1832</v>
      </c>
      <c r="N1218" s="15"/>
      <c r="O1218" s="8" t="s">
        <v>410</v>
      </c>
      <c r="P1218" s="8" t="s">
        <v>41</v>
      </c>
      <c r="Q1218" s="14">
        <v>0</v>
      </c>
      <c r="R1218" s="139" t="s">
        <v>1833</v>
      </c>
      <c r="S1218" s="15"/>
      <c r="T1218" s="6">
        <v>750031.02587999997</v>
      </c>
      <c r="U1218" s="6">
        <v>0</v>
      </c>
      <c r="V1218" s="6">
        <v>77.428700000000006</v>
      </c>
      <c r="W1218" s="18">
        <f t="shared" si="178"/>
        <v>749953.59717999992</v>
      </c>
      <c r="X1218" s="18">
        <f t="shared" si="180"/>
        <v>77.428700000000006</v>
      </c>
      <c r="Y1218" s="13">
        <f t="shared" si="172"/>
        <v>31.052373277172507</v>
      </c>
      <c r="Z1218" s="14">
        <v>0.02</v>
      </c>
      <c r="AA1218" s="6">
        <f t="shared" si="181"/>
        <v>1.5801775510204084</v>
      </c>
      <c r="AB1218" s="4">
        <f t="shared" si="173"/>
        <v>79.008877551020419</v>
      </c>
      <c r="AC1218" s="6">
        <f t="shared" si="174"/>
        <v>0</v>
      </c>
      <c r="AD1218" s="6">
        <f t="shared" si="182"/>
        <v>46.3763267228275</v>
      </c>
      <c r="AE1218" s="2">
        <v>7.0000000000000007E-2</v>
      </c>
      <c r="AF1218" s="5">
        <f t="shared" si="175"/>
        <v>3.2463428705979251</v>
      </c>
      <c r="AG1218" s="14">
        <v>0</v>
      </c>
      <c r="AH1218" s="19">
        <f t="shared" si="177"/>
        <v>77.428700000000006</v>
      </c>
      <c r="AJ1218" s="126" t="e">
        <v>#N/A</v>
      </c>
      <c r="AK1218" s="80">
        <f t="shared" si="176"/>
        <v>0</v>
      </c>
      <c r="AM1218" s="85"/>
    </row>
    <row r="1219" spans="1:39" hidden="1" x14ac:dyDescent="0.3">
      <c r="A1219" s="85" t="s">
        <v>34</v>
      </c>
      <c r="B1219" s="15" t="s">
        <v>35</v>
      </c>
      <c r="C1219" s="15" t="s">
        <v>164</v>
      </c>
      <c r="D1219" s="15" t="s">
        <v>181</v>
      </c>
      <c r="E1219" s="15" t="s">
        <v>182</v>
      </c>
      <c r="F1219" s="15" t="s">
        <v>183</v>
      </c>
      <c r="G1219" s="15" t="s">
        <v>182</v>
      </c>
      <c r="H1219" s="139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1832</v>
      </c>
      <c r="N1219" s="15"/>
      <c r="O1219" s="8" t="s">
        <v>410</v>
      </c>
      <c r="P1219" s="8" t="s">
        <v>41</v>
      </c>
      <c r="Q1219" s="14">
        <v>0</v>
      </c>
      <c r="R1219" s="139" t="s">
        <v>1834</v>
      </c>
      <c r="S1219" s="15"/>
      <c r="T1219" s="6">
        <v>2303972.0599999996</v>
      </c>
      <c r="U1219" s="6">
        <v>0</v>
      </c>
      <c r="V1219" s="6">
        <v>0</v>
      </c>
      <c r="W1219" s="18">
        <f t="shared" si="178"/>
        <v>2303972.0599999996</v>
      </c>
      <c r="X1219" s="18">
        <f t="shared" si="180"/>
        <v>0</v>
      </c>
      <c r="Y1219" s="13">
        <f t="shared" ref="Y1219:Y1282" si="183">IF(X1219-AD1219&lt;=0,0,IF(P1219="返现",MAX(X1219-AC1219-AD1219,0),MAX(X1219-AD1219)))</f>
        <v>0</v>
      </c>
      <c r="Z1219" s="14">
        <v>0.02</v>
      </c>
      <c r="AA1219" s="6">
        <f t="shared" si="181"/>
        <v>0</v>
      </c>
      <c r="AB1219" s="4">
        <f t="shared" ref="AB1219:AB1282" si="184">X1219+AA1219</f>
        <v>0</v>
      </c>
      <c r="AC1219" s="6">
        <f t="shared" ref="AC1219:AC1282" si="185">IF(P1219="返现",X1219*Q1219,V1219-X1219)</f>
        <v>0</v>
      </c>
      <c r="AD1219" s="6">
        <f t="shared" si="182"/>
        <v>0</v>
      </c>
      <c r="AE1219" s="2">
        <v>7.0000000000000007E-2</v>
      </c>
      <c r="AF1219" s="5">
        <f t="shared" ref="AF1219:AF1282" si="186">AD1219*AE1219</f>
        <v>0</v>
      </c>
      <c r="AG1219" s="14">
        <v>0</v>
      </c>
      <c r="AH1219" s="19">
        <f t="shared" si="177"/>
        <v>0</v>
      </c>
      <c r="AJ1219" s="126" t="e">
        <v>#N/A</v>
      </c>
      <c r="AK1219" s="80">
        <f t="shared" ref="AK1219:AK1282" si="187">X1219+AA1219-AB1219</f>
        <v>0</v>
      </c>
      <c r="AM1219" s="85"/>
    </row>
    <row r="1220" spans="1:39" hidden="1" x14ac:dyDescent="0.3">
      <c r="A1220" s="85" t="s">
        <v>34</v>
      </c>
      <c r="B1220" s="15" t="s">
        <v>35</v>
      </c>
      <c r="C1220" s="15" t="s">
        <v>164</v>
      </c>
      <c r="D1220" s="15" t="s">
        <v>181</v>
      </c>
      <c r="E1220" s="15" t="s">
        <v>182</v>
      </c>
      <c r="F1220" s="15" t="s">
        <v>183</v>
      </c>
      <c r="G1220" s="15" t="s">
        <v>182</v>
      </c>
      <c r="H1220" s="139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1829</v>
      </c>
      <c r="N1220" s="15"/>
      <c r="O1220" s="8" t="s">
        <v>410</v>
      </c>
      <c r="P1220" s="8" t="s">
        <v>41</v>
      </c>
      <c r="Q1220" s="14">
        <v>0</v>
      </c>
      <c r="R1220" s="139" t="s">
        <v>1830</v>
      </c>
      <c r="S1220" s="15"/>
      <c r="T1220" s="6">
        <v>23987.050000000338</v>
      </c>
      <c r="U1220" s="6">
        <v>0</v>
      </c>
      <c r="V1220" s="6">
        <v>0</v>
      </c>
      <c r="W1220" s="18">
        <f t="shared" si="178"/>
        <v>23987.050000000338</v>
      </c>
      <c r="X1220" s="18">
        <f t="shared" si="180"/>
        <v>0</v>
      </c>
      <c r="Y1220" s="13">
        <f t="shared" si="183"/>
        <v>0</v>
      </c>
      <c r="Z1220" s="14">
        <v>0.02</v>
      </c>
      <c r="AA1220" s="6">
        <f t="shared" si="181"/>
        <v>0</v>
      </c>
      <c r="AB1220" s="4">
        <f t="shared" si="184"/>
        <v>0</v>
      </c>
      <c r="AC1220" s="6">
        <f t="shared" si="185"/>
        <v>0</v>
      </c>
      <c r="AD1220" s="6">
        <f t="shared" si="182"/>
        <v>0</v>
      </c>
      <c r="AE1220" s="2">
        <v>7.0000000000000007E-2</v>
      </c>
      <c r="AF1220" s="5">
        <f t="shared" si="186"/>
        <v>0</v>
      </c>
      <c r="AG1220" s="14">
        <v>0</v>
      </c>
      <c r="AH1220" s="19">
        <f t="shared" si="177"/>
        <v>0</v>
      </c>
      <c r="AJ1220" s="126" t="e">
        <v>#N/A</v>
      </c>
      <c r="AK1220" s="80">
        <f t="shared" si="187"/>
        <v>0</v>
      </c>
      <c r="AM1220" s="85"/>
    </row>
    <row r="1221" spans="1:39" hidden="1" x14ac:dyDescent="0.3">
      <c r="A1221" s="85" t="s">
        <v>34</v>
      </c>
      <c r="B1221" s="15" t="s">
        <v>35</v>
      </c>
      <c r="C1221" s="15" t="s">
        <v>184</v>
      </c>
      <c r="D1221" s="15" t="s">
        <v>298</v>
      </c>
      <c r="E1221" s="15" t="s">
        <v>1547</v>
      </c>
      <c r="F1221" s="15" t="s">
        <v>1547</v>
      </c>
      <c r="G1221" s="15" t="s">
        <v>1547</v>
      </c>
      <c r="H1221" s="139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1835</v>
      </c>
      <c r="N1221" s="15"/>
      <c r="O1221" s="8" t="s">
        <v>1196</v>
      </c>
      <c r="P1221" s="8" t="s">
        <v>46</v>
      </c>
      <c r="Q1221" s="14">
        <v>0.04</v>
      </c>
      <c r="R1221" s="139" t="s">
        <v>1836</v>
      </c>
      <c r="S1221" s="15"/>
      <c r="T1221" s="6">
        <v>160</v>
      </c>
      <c r="U1221" s="6">
        <v>-160</v>
      </c>
      <c r="V1221" s="6">
        <v>0</v>
      </c>
      <c r="W1221" s="18">
        <f t="shared" si="178"/>
        <v>0</v>
      </c>
      <c r="X1221" s="18">
        <f t="shared" si="180"/>
        <v>0</v>
      </c>
      <c r="Y1221" s="13">
        <f t="shared" si="183"/>
        <v>0</v>
      </c>
      <c r="Z1221" s="14">
        <v>0</v>
      </c>
      <c r="AA1221" s="4">
        <v>0</v>
      </c>
      <c r="AB1221" s="4">
        <f t="shared" si="184"/>
        <v>0</v>
      </c>
      <c r="AC1221" s="6">
        <f t="shared" si="185"/>
        <v>0</v>
      </c>
      <c r="AD1221" s="6">
        <f t="shared" si="182"/>
        <v>0</v>
      </c>
      <c r="AE1221" s="2">
        <v>0.12</v>
      </c>
      <c r="AF1221" s="5">
        <f t="shared" si="186"/>
        <v>0</v>
      </c>
      <c r="AG1221" s="14">
        <v>0</v>
      </c>
      <c r="AH1221" s="19">
        <f t="shared" si="177"/>
        <v>0</v>
      </c>
      <c r="AJ1221" s="126" t="e">
        <v>#N/A</v>
      </c>
      <c r="AK1221" s="80">
        <f t="shared" si="187"/>
        <v>0</v>
      </c>
      <c r="AM1221" s="85"/>
    </row>
    <row r="1222" spans="1:39" hidden="1" x14ac:dyDescent="0.3">
      <c r="A1222" s="85" t="s">
        <v>34</v>
      </c>
      <c r="B1222" s="15" t="s">
        <v>35</v>
      </c>
      <c r="C1222" s="15" t="s">
        <v>184</v>
      </c>
      <c r="D1222" s="15" t="s">
        <v>298</v>
      </c>
      <c r="E1222" s="15" t="s">
        <v>1547</v>
      </c>
      <c r="F1222" s="15" t="s">
        <v>1547</v>
      </c>
      <c r="G1222" s="15" t="s">
        <v>1547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1835</v>
      </c>
      <c r="N1222" s="15"/>
      <c r="O1222" s="8" t="s">
        <v>410</v>
      </c>
      <c r="P1222" s="8" t="s">
        <v>46</v>
      </c>
      <c r="Q1222" s="14">
        <v>0.02</v>
      </c>
      <c r="R1222" s="139" t="s">
        <v>1837</v>
      </c>
      <c r="S1222" s="15"/>
      <c r="T1222" s="18">
        <v>2221.0700000000002</v>
      </c>
      <c r="U1222" s="6">
        <v>-477.1</v>
      </c>
      <c r="V1222" s="18">
        <v>1731.8699999999899</v>
      </c>
      <c r="W1222" s="18">
        <f t="shared" si="178"/>
        <v>12.100000000010368</v>
      </c>
      <c r="X1222" s="18">
        <f t="shared" si="180"/>
        <v>1697.9117647058724</v>
      </c>
      <c r="Y1222" s="13">
        <f t="shared" si="183"/>
        <v>660.59912789984583</v>
      </c>
      <c r="Z1222" s="14">
        <v>0</v>
      </c>
      <c r="AA1222" s="4">
        <v>0</v>
      </c>
      <c r="AB1222" s="4">
        <f t="shared" si="184"/>
        <v>1697.9117647058724</v>
      </c>
      <c r="AC1222" s="6">
        <f t="shared" si="185"/>
        <v>33.958235294117458</v>
      </c>
      <c r="AD1222" s="6">
        <f t="shared" si="182"/>
        <v>1037.3126368060266</v>
      </c>
      <c r="AE1222" s="2">
        <v>7.0000000000000007E-2</v>
      </c>
      <c r="AF1222" s="5">
        <f t="shared" si="186"/>
        <v>72.611884576421872</v>
      </c>
      <c r="AG1222" s="14">
        <v>0</v>
      </c>
      <c r="AH1222" s="19">
        <f t="shared" si="177"/>
        <v>1731.8699999999899</v>
      </c>
      <c r="AJ1222" s="126" t="e">
        <v>#N/A</v>
      </c>
      <c r="AK1222" s="80">
        <f t="shared" si="187"/>
        <v>0</v>
      </c>
      <c r="AM1222" s="85"/>
    </row>
    <row r="1223" spans="1:39" hidden="1" x14ac:dyDescent="0.3">
      <c r="A1223" s="85" t="s">
        <v>34</v>
      </c>
      <c r="B1223" s="15" t="s">
        <v>35</v>
      </c>
      <c r="C1223" s="15" t="s">
        <v>184</v>
      </c>
      <c r="D1223" s="15" t="s">
        <v>298</v>
      </c>
      <c r="E1223" s="15" t="s">
        <v>1547</v>
      </c>
      <c r="F1223" s="15" t="s">
        <v>1547</v>
      </c>
      <c r="G1223" s="15" t="s">
        <v>1547</v>
      </c>
      <c r="H1223" s="139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1545</v>
      </c>
      <c r="N1223" s="15"/>
      <c r="O1223" s="8" t="s">
        <v>1196</v>
      </c>
      <c r="P1223" s="8" t="s">
        <v>46</v>
      </c>
      <c r="Q1223" s="14">
        <v>0.04</v>
      </c>
      <c r="R1223" s="139" t="s">
        <v>1546</v>
      </c>
      <c r="S1223" s="15"/>
      <c r="T1223" s="6">
        <v>0</v>
      </c>
      <c r="U1223" s="6">
        <v>160</v>
      </c>
      <c r="V1223" s="6">
        <v>0</v>
      </c>
      <c r="W1223" s="18">
        <f t="shared" si="178"/>
        <v>160</v>
      </c>
      <c r="X1223" s="18">
        <f t="shared" si="180"/>
        <v>0</v>
      </c>
      <c r="Y1223" s="13">
        <f t="shared" si="183"/>
        <v>0</v>
      </c>
      <c r="Z1223" s="14">
        <v>0</v>
      </c>
      <c r="AA1223" s="4">
        <v>0</v>
      </c>
      <c r="AB1223" s="4">
        <f t="shared" si="184"/>
        <v>0</v>
      </c>
      <c r="AC1223" s="6">
        <f t="shared" si="185"/>
        <v>0</v>
      </c>
      <c r="AD1223" s="6">
        <f t="shared" si="182"/>
        <v>0</v>
      </c>
      <c r="AE1223" s="2">
        <v>0.12</v>
      </c>
      <c r="AF1223" s="5">
        <f t="shared" si="186"/>
        <v>0</v>
      </c>
      <c r="AG1223" s="14">
        <v>0</v>
      </c>
      <c r="AH1223" s="19">
        <f t="shared" si="177"/>
        <v>0</v>
      </c>
      <c r="AJ1223" s="126" t="e">
        <v>#N/A</v>
      </c>
      <c r="AK1223" s="80">
        <f t="shared" si="187"/>
        <v>0</v>
      </c>
      <c r="AM1223" s="85"/>
    </row>
    <row r="1224" spans="1:39" hidden="1" x14ac:dyDescent="0.3">
      <c r="A1224" s="85" t="s">
        <v>34</v>
      </c>
      <c r="B1224" s="15" t="s">
        <v>35</v>
      </c>
      <c r="C1224" s="15" t="s">
        <v>184</v>
      </c>
      <c r="D1224" s="15" t="s">
        <v>298</v>
      </c>
      <c r="E1224" s="15" t="s">
        <v>1547</v>
      </c>
      <c r="F1224" s="15" t="s">
        <v>1547</v>
      </c>
      <c r="G1224" s="15" t="s">
        <v>1547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1547</v>
      </c>
      <c r="N1224" s="15"/>
      <c r="O1224" s="8" t="s">
        <v>410</v>
      </c>
      <c r="P1224" s="8" t="s">
        <v>46</v>
      </c>
      <c r="Q1224" s="14">
        <v>0.02</v>
      </c>
      <c r="R1224" s="139" t="s">
        <v>1548</v>
      </c>
      <c r="S1224" s="15"/>
      <c r="T1224" s="6">
        <v>0</v>
      </c>
      <c r="U1224" s="6">
        <v>477.1</v>
      </c>
      <c r="V1224" s="6">
        <v>477.1</v>
      </c>
      <c r="W1224" s="18">
        <f t="shared" si="178"/>
        <v>0</v>
      </c>
      <c r="X1224" s="18">
        <f t="shared" si="180"/>
        <v>467.74509803921569</v>
      </c>
      <c r="Y1224" s="13">
        <f t="shared" si="183"/>
        <v>181.98354606351415</v>
      </c>
      <c r="Z1224" s="14">
        <v>0</v>
      </c>
      <c r="AA1224" s="4">
        <v>0</v>
      </c>
      <c r="AB1224" s="4">
        <f t="shared" si="184"/>
        <v>467.74509803921569</v>
      </c>
      <c r="AC1224" s="6">
        <f t="shared" si="185"/>
        <v>9.354901960784332</v>
      </c>
      <c r="AD1224" s="6">
        <f t="shared" si="182"/>
        <v>285.76155197570154</v>
      </c>
      <c r="AE1224" s="2">
        <v>7.0000000000000007E-2</v>
      </c>
      <c r="AF1224" s="5">
        <f t="shared" si="186"/>
        <v>20.00330863829911</v>
      </c>
      <c r="AG1224" s="14">
        <v>0</v>
      </c>
      <c r="AH1224" s="19">
        <f t="shared" si="177"/>
        <v>477.1</v>
      </c>
      <c r="AJ1224" s="126" t="e">
        <v>#N/A</v>
      </c>
      <c r="AK1224" s="80">
        <f t="shared" si="187"/>
        <v>0</v>
      </c>
      <c r="AM1224" s="85"/>
    </row>
    <row r="1225" spans="1:39" hidden="1" x14ac:dyDescent="0.3">
      <c r="A1225" s="85" t="s">
        <v>34</v>
      </c>
      <c r="B1225" s="15" t="s">
        <v>35</v>
      </c>
      <c r="C1225" s="15" t="s">
        <v>184</v>
      </c>
      <c r="D1225" s="15" t="s">
        <v>298</v>
      </c>
      <c r="E1225" s="15" t="s">
        <v>1838</v>
      </c>
      <c r="F1225" s="15" t="s">
        <v>1838</v>
      </c>
      <c r="G1225" s="15" t="s">
        <v>1838</v>
      </c>
      <c r="H1225" s="139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1838</v>
      </c>
      <c r="N1225" s="15"/>
      <c r="O1225" s="8" t="s">
        <v>410</v>
      </c>
      <c r="P1225" s="8" t="s">
        <v>46</v>
      </c>
      <c r="Q1225" s="14">
        <v>0.02</v>
      </c>
      <c r="R1225" s="139" t="s">
        <v>1839</v>
      </c>
      <c r="S1225" s="15"/>
      <c r="T1225" s="6">
        <v>0</v>
      </c>
      <c r="U1225" s="6">
        <v>0</v>
      </c>
      <c r="V1225" s="6">
        <v>0</v>
      </c>
      <c r="W1225" s="18">
        <f t="shared" si="178"/>
        <v>0</v>
      </c>
      <c r="X1225" s="18">
        <f t="shared" si="180"/>
        <v>0</v>
      </c>
      <c r="Y1225" s="13">
        <f t="shared" si="183"/>
        <v>0</v>
      </c>
      <c r="Z1225" s="14">
        <v>0</v>
      </c>
      <c r="AA1225" s="4">
        <v>0</v>
      </c>
      <c r="AB1225" s="4">
        <f t="shared" si="184"/>
        <v>0</v>
      </c>
      <c r="AC1225" s="6">
        <f t="shared" si="185"/>
        <v>0</v>
      </c>
      <c r="AD1225" s="6">
        <f t="shared" si="182"/>
        <v>0</v>
      </c>
      <c r="AE1225" s="2">
        <v>7.0000000000000007E-2</v>
      </c>
      <c r="AF1225" s="5">
        <f t="shared" si="186"/>
        <v>0</v>
      </c>
      <c r="AG1225" s="14">
        <v>0</v>
      </c>
      <c r="AH1225" s="19">
        <f t="shared" si="177"/>
        <v>0</v>
      </c>
      <c r="AJ1225" s="126" t="e">
        <v>#N/A</v>
      </c>
      <c r="AK1225" s="80">
        <f t="shared" si="187"/>
        <v>0</v>
      </c>
      <c r="AM1225" s="85"/>
    </row>
    <row r="1226" spans="1:39" hidden="1" x14ac:dyDescent="0.3">
      <c r="A1226" s="85" t="s">
        <v>34</v>
      </c>
      <c r="B1226" s="15" t="s">
        <v>35</v>
      </c>
      <c r="C1226" s="15" t="s">
        <v>184</v>
      </c>
      <c r="D1226" s="15" t="s">
        <v>298</v>
      </c>
      <c r="E1226" s="15" t="s">
        <v>1838</v>
      </c>
      <c r="F1226" s="15" t="s">
        <v>1838</v>
      </c>
      <c r="G1226" s="15" t="s">
        <v>1838</v>
      </c>
      <c r="H1226" s="139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1838</v>
      </c>
      <c r="N1226" s="15"/>
      <c r="O1226" s="8" t="s">
        <v>410</v>
      </c>
      <c r="P1226" s="8" t="s">
        <v>46</v>
      </c>
      <c r="Q1226" s="14">
        <v>0.02</v>
      </c>
      <c r="R1226" s="139" t="s">
        <v>1840</v>
      </c>
      <c r="S1226" s="15"/>
      <c r="T1226" s="6">
        <v>0</v>
      </c>
      <c r="U1226" s="6">
        <v>1.1368683772161603E-13</v>
      </c>
      <c r="V1226" s="6">
        <v>0</v>
      </c>
      <c r="W1226" s="18">
        <f t="shared" si="178"/>
        <v>1.1368683772161603E-13</v>
      </c>
      <c r="X1226" s="18">
        <f t="shared" si="180"/>
        <v>0</v>
      </c>
      <c r="Y1226" s="13">
        <f t="shared" si="183"/>
        <v>0</v>
      </c>
      <c r="Z1226" s="14">
        <v>0</v>
      </c>
      <c r="AA1226" s="4">
        <v>0</v>
      </c>
      <c r="AB1226" s="4">
        <f t="shared" si="184"/>
        <v>0</v>
      </c>
      <c r="AC1226" s="6">
        <f t="shared" si="185"/>
        <v>0</v>
      </c>
      <c r="AD1226" s="6">
        <f t="shared" si="182"/>
        <v>0</v>
      </c>
      <c r="AE1226" s="2">
        <v>7.0000000000000007E-2</v>
      </c>
      <c r="AF1226" s="5">
        <f t="shared" si="186"/>
        <v>0</v>
      </c>
      <c r="AG1226" s="14">
        <v>0</v>
      </c>
      <c r="AH1226" s="19">
        <f t="shared" si="177"/>
        <v>0</v>
      </c>
      <c r="AJ1226" s="126" t="e">
        <v>#N/A</v>
      </c>
      <c r="AK1226" s="80">
        <f t="shared" si="187"/>
        <v>0</v>
      </c>
      <c r="AM1226" s="85"/>
    </row>
    <row r="1227" spans="1:39" hidden="1" x14ac:dyDescent="0.3">
      <c r="A1227" s="85" t="s">
        <v>34</v>
      </c>
      <c r="B1227" s="15" t="s">
        <v>35</v>
      </c>
      <c r="C1227" s="15" t="s">
        <v>59</v>
      </c>
      <c r="D1227" s="15" t="s">
        <v>60</v>
      </c>
      <c r="E1227" s="15" t="s">
        <v>412</v>
      </c>
      <c r="F1227" s="15" t="s">
        <v>412</v>
      </c>
      <c r="G1227" s="15" t="s">
        <v>412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412</v>
      </c>
      <c r="N1227" s="15"/>
      <c r="O1227" s="8" t="s">
        <v>410</v>
      </c>
      <c r="P1227" s="8" t="s">
        <v>46</v>
      </c>
      <c r="Q1227" s="9">
        <v>0.03</v>
      </c>
      <c r="R1227" s="139" t="s">
        <v>1064</v>
      </c>
      <c r="S1227" s="15"/>
      <c r="T1227" s="18">
        <v>215.55999999999767</v>
      </c>
      <c r="U1227" s="4">
        <v>0</v>
      </c>
      <c r="V1227" s="18">
        <v>215.55999999999767</v>
      </c>
      <c r="W1227" s="18">
        <f t="shared" si="178"/>
        <v>0</v>
      </c>
      <c r="X1227" s="18">
        <f t="shared" si="180"/>
        <v>209.28155339805599</v>
      </c>
      <c r="Y1227" s="13">
        <f t="shared" si="183"/>
        <v>80.170758713751752</v>
      </c>
      <c r="Z1227" s="14">
        <v>0</v>
      </c>
      <c r="AA1227" s="4">
        <v>0</v>
      </c>
      <c r="AB1227" s="4">
        <f t="shared" si="184"/>
        <v>209.28155339805599</v>
      </c>
      <c r="AC1227" s="6">
        <f t="shared" si="185"/>
        <v>6.2784466019416811</v>
      </c>
      <c r="AD1227" s="6">
        <f t="shared" si="182"/>
        <v>129.11079468430424</v>
      </c>
      <c r="AE1227" s="2">
        <v>7.0000000000000007E-2</v>
      </c>
      <c r="AF1227" s="5">
        <f t="shared" si="186"/>
        <v>9.0377556279012978</v>
      </c>
      <c r="AG1227" s="14">
        <v>0</v>
      </c>
      <c r="AH1227" s="19">
        <f t="shared" si="177"/>
        <v>215.55999999999767</v>
      </c>
      <c r="AJ1227" s="126" t="e">
        <v>#N/A</v>
      </c>
      <c r="AK1227" s="80">
        <f t="shared" si="187"/>
        <v>0</v>
      </c>
      <c r="AM1227" s="85"/>
    </row>
    <row r="1228" spans="1:39" hidden="1" x14ac:dyDescent="0.3">
      <c r="A1228" s="85" t="s">
        <v>34</v>
      </c>
      <c r="B1228" s="15" t="s">
        <v>35</v>
      </c>
      <c r="C1228" s="15" t="s">
        <v>59</v>
      </c>
      <c r="D1228" s="15" t="s">
        <v>60</v>
      </c>
      <c r="E1228" s="15" t="s">
        <v>61</v>
      </c>
      <c r="F1228" s="15" t="s">
        <v>62</v>
      </c>
      <c r="G1228" s="15" t="s">
        <v>61</v>
      </c>
      <c r="H1228" s="139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61</v>
      </c>
      <c r="N1228" s="15"/>
      <c r="O1228" s="8" t="s">
        <v>410</v>
      </c>
      <c r="P1228" s="8" t="s">
        <v>41</v>
      </c>
      <c r="Q1228" s="9">
        <v>0</v>
      </c>
      <c r="R1228" s="139" t="s">
        <v>1841</v>
      </c>
      <c r="S1228" s="15"/>
      <c r="T1228" s="18">
        <v>1166028.6700099998</v>
      </c>
      <c r="U1228" s="4">
        <v>0</v>
      </c>
      <c r="V1228" s="6">
        <v>0</v>
      </c>
      <c r="W1228" s="18">
        <f t="shared" si="178"/>
        <v>1166028.6700099998</v>
      </c>
      <c r="X1228" s="18">
        <f t="shared" si="180"/>
        <v>0</v>
      </c>
      <c r="Y1228" s="13">
        <f t="shared" si="183"/>
        <v>0</v>
      </c>
      <c r="Z1228" s="14">
        <v>0</v>
      </c>
      <c r="AA1228" s="4">
        <v>0</v>
      </c>
      <c r="AB1228" s="4">
        <f t="shared" si="184"/>
        <v>0</v>
      </c>
      <c r="AC1228" s="6">
        <f t="shared" si="185"/>
        <v>0</v>
      </c>
      <c r="AD1228" s="6">
        <f t="shared" si="182"/>
        <v>0</v>
      </c>
      <c r="AE1228" s="2">
        <v>7.0000000000000007E-2</v>
      </c>
      <c r="AF1228" s="5">
        <f t="shared" si="186"/>
        <v>0</v>
      </c>
      <c r="AG1228" s="14">
        <v>0</v>
      </c>
      <c r="AH1228" s="19">
        <f t="shared" si="177"/>
        <v>0</v>
      </c>
      <c r="AJ1228" s="126" t="e">
        <v>#N/A</v>
      </c>
      <c r="AK1228" s="80">
        <f t="shared" si="187"/>
        <v>0</v>
      </c>
      <c r="AM1228" s="85"/>
    </row>
    <row r="1229" spans="1:39" hidden="1" x14ac:dyDescent="0.3">
      <c r="A1229" s="85" t="s">
        <v>34</v>
      </c>
      <c r="B1229" s="15" t="s">
        <v>35</v>
      </c>
      <c r="C1229" s="15" t="s">
        <v>59</v>
      </c>
      <c r="D1229" s="15" t="s">
        <v>60</v>
      </c>
      <c r="E1229" s="15" t="s">
        <v>765</v>
      </c>
      <c r="F1229" s="15" t="s">
        <v>766</v>
      </c>
      <c r="G1229" s="15" t="s">
        <v>765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765</v>
      </c>
      <c r="N1229" s="15"/>
      <c r="O1229" s="8" t="s">
        <v>410</v>
      </c>
      <c r="P1229" s="8" t="s">
        <v>75</v>
      </c>
      <c r="Q1229" s="9">
        <v>0.04</v>
      </c>
      <c r="R1229" s="139" t="s">
        <v>1078</v>
      </c>
      <c r="S1229" s="15" t="s">
        <v>1842</v>
      </c>
      <c r="T1229" s="18">
        <f>130665.76055+23573.97</f>
        <v>154239.73055000001</v>
      </c>
      <c r="U1229" s="4">
        <v>0</v>
      </c>
      <c r="V1229" s="18">
        <v>130665.76055000001</v>
      </c>
      <c r="W1229" s="18">
        <f t="shared" si="178"/>
        <v>23573.97</v>
      </c>
      <c r="X1229" s="18">
        <f t="shared" si="180"/>
        <v>130665.76055000001</v>
      </c>
      <c r="Y1229" s="13">
        <f t="shared" si="183"/>
        <v>47176.186248617494</v>
      </c>
      <c r="Z1229" s="14">
        <v>0</v>
      </c>
      <c r="AA1229" s="4">
        <v>0</v>
      </c>
      <c r="AB1229" s="4">
        <f t="shared" si="184"/>
        <v>130665.76055000001</v>
      </c>
      <c r="AC1229" s="6">
        <f t="shared" si="185"/>
        <v>5226.6304220000002</v>
      </c>
      <c r="AD1229" s="6">
        <f t="shared" si="182"/>
        <v>78262.94387938251</v>
      </c>
      <c r="AE1229" s="2">
        <v>7.0000000000000007E-2</v>
      </c>
      <c r="AF1229" s="5">
        <f t="shared" si="186"/>
        <v>5478.4060715567766</v>
      </c>
      <c r="AG1229" s="14">
        <v>0</v>
      </c>
      <c r="AH1229" s="19">
        <f t="shared" si="177"/>
        <v>130665.76055000001</v>
      </c>
      <c r="AJ1229" s="126" t="e">
        <v>#N/A</v>
      </c>
      <c r="AK1229" s="80">
        <f t="shared" si="187"/>
        <v>0</v>
      </c>
      <c r="AM1229" s="85"/>
    </row>
    <row r="1230" spans="1:39" hidden="1" x14ac:dyDescent="0.3">
      <c r="A1230" s="85" t="s">
        <v>34</v>
      </c>
      <c r="B1230" s="15" t="s">
        <v>35</v>
      </c>
      <c r="C1230" s="15" t="s">
        <v>59</v>
      </c>
      <c r="D1230" s="15" t="s">
        <v>60</v>
      </c>
      <c r="E1230" s="15" t="s">
        <v>417</v>
      </c>
      <c r="F1230" s="15" t="s">
        <v>418</v>
      </c>
      <c r="G1230" s="15" t="s">
        <v>417</v>
      </c>
      <c r="H1230" s="139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417</v>
      </c>
      <c r="N1230" s="15"/>
      <c r="O1230" s="8" t="s">
        <v>410</v>
      </c>
      <c r="P1230" s="8" t="s">
        <v>41</v>
      </c>
      <c r="Q1230" s="9">
        <v>0</v>
      </c>
      <c r="R1230" s="139" t="s">
        <v>1843</v>
      </c>
      <c r="S1230" s="15"/>
      <c r="T1230" s="18">
        <v>-24.899999999994179</v>
      </c>
      <c r="U1230" s="4">
        <v>0</v>
      </c>
      <c r="V1230" s="6">
        <v>0</v>
      </c>
      <c r="W1230" s="18">
        <f t="shared" si="178"/>
        <v>-24.899999999994179</v>
      </c>
      <c r="X1230" s="18">
        <f t="shared" si="180"/>
        <v>0</v>
      </c>
      <c r="Y1230" s="13">
        <f t="shared" si="183"/>
        <v>0</v>
      </c>
      <c r="Z1230" s="14">
        <v>0</v>
      </c>
      <c r="AA1230" s="4">
        <v>0</v>
      </c>
      <c r="AB1230" s="4">
        <f t="shared" si="184"/>
        <v>0</v>
      </c>
      <c r="AC1230" s="6">
        <f t="shared" si="185"/>
        <v>0</v>
      </c>
      <c r="AD1230" s="6">
        <f t="shared" si="182"/>
        <v>0</v>
      </c>
      <c r="AE1230" s="2">
        <v>7.0000000000000007E-2</v>
      </c>
      <c r="AF1230" s="5">
        <f t="shared" si="186"/>
        <v>0</v>
      </c>
      <c r="AG1230" s="14">
        <v>0</v>
      </c>
      <c r="AH1230" s="19">
        <f t="shared" si="177"/>
        <v>0</v>
      </c>
      <c r="AJ1230" s="126" t="e">
        <v>#N/A</v>
      </c>
      <c r="AK1230" s="80">
        <f t="shared" si="187"/>
        <v>0</v>
      </c>
      <c r="AM1230" s="85"/>
    </row>
    <row r="1231" spans="1:39" hidden="1" x14ac:dyDescent="0.3">
      <c r="A1231" s="85" t="s">
        <v>34</v>
      </c>
      <c r="B1231" s="15" t="s">
        <v>35</v>
      </c>
      <c r="C1231" s="15" t="s">
        <v>59</v>
      </c>
      <c r="D1231" s="15" t="s">
        <v>60</v>
      </c>
      <c r="E1231" s="15" t="s">
        <v>1844</v>
      </c>
      <c r="F1231" s="15" t="s">
        <v>1844</v>
      </c>
      <c r="G1231" s="15" t="s">
        <v>1844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1845</v>
      </c>
      <c r="N1231" s="15"/>
      <c r="O1231" s="8" t="s">
        <v>410</v>
      </c>
      <c r="P1231" s="8" t="s">
        <v>1327</v>
      </c>
      <c r="Q1231" s="9">
        <v>0</v>
      </c>
      <c r="R1231" s="139" t="s">
        <v>1846</v>
      </c>
      <c r="S1231" s="15"/>
      <c r="T1231" s="18">
        <v>7.999999999992724E-2</v>
      </c>
      <c r="U1231" s="4">
        <v>0</v>
      </c>
      <c r="V1231" s="6">
        <v>0</v>
      </c>
      <c r="W1231" s="18">
        <f t="shared" si="178"/>
        <v>7.999999999992724E-2</v>
      </c>
      <c r="X1231" s="18">
        <f t="shared" si="180"/>
        <v>0</v>
      </c>
      <c r="Y1231" s="13">
        <f t="shared" si="183"/>
        <v>0</v>
      </c>
      <c r="Z1231" s="14">
        <v>0</v>
      </c>
      <c r="AA1231" s="4">
        <v>0</v>
      </c>
      <c r="AB1231" s="4">
        <f t="shared" si="184"/>
        <v>0</v>
      </c>
      <c r="AC1231" s="6">
        <f t="shared" si="185"/>
        <v>0</v>
      </c>
      <c r="AD1231" s="6">
        <f t="shared" si="182"/>
        <v>0</v>
      </c>
      <c r="AE1231" s="2">
        <v>7.0000000000000007E-2</v>
      </c>
      <c r="AF1231" s="5">
        <f t="shared" si="186"/>
        <v>0</v>
      </c>
      <c r="AG1231" s="14">
        <v>0</v>
      </c>
      <c r="AH1231" s="19">
        <f t="shared" si="177"/>
        <v>0</v>
      </c>
      <c r="AJ1231" s="126" t="e">
        <v>#N/A</v>
      </c>
      <c r="AK1231" s="80">
        <f t="shared" si="187"/>
        <v>0</v>
      </c>
      <c r="AM1231" s="85"/>
    </row>
    <row r="1232" spans="1:39" hidden="1" x14ac:dyDescent="0.3">
      <c r="A1232" s="85" t="s">
        <v>34</v>
      </c>
      <c r="B1232" s="15" t="s">
        <v>35</v>
      </c>
      <c r="C1232" s="15" t="s">
        <v>59</v>
      </c>
      <c r="D1232" s="15" t="s">
        <v>60</v>
      </c>
      <c r="E1232" s="15" t="s">
        <v>1844</v>
      </c>
      <c r="F1232" s="15" t="s">
        <v>1844</v>
      </c>
      <c r="G1232" s="15" t="s">
        <v>1844</v>
      </c>
      <c r="H1232" s="139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1847</v>
      </c>
      <c r="N1232" s="15"/>
      <c r="O1232" s="8" t="s">
        <v>410</v>
      </c>
      <c r="P1232" s="8" t="s">
        <v>1327</v>
      </c>
      <c r="Q1232" s="9">
        <v>0</v>
      </c>
      <c r="R1232" s="139" t="s">
        <v>1848</v>
      </c>
      <c r="S1232" s="15"/>
      <c r="T1232" s="18">
        <v>5.0000000082945917E-2</v>
      </c>
      <c r="U1232" s="4">
        <v>0</v>
      </c>
      <c r="V1232" s="6">
        <v>0</v>
      </c>
      <c r="W1232" s="18">
        <f t="shared" si="178"/>
        <v>5.0000000082945917E-2</v>
      </c>
      <c r="X1232" s="18">
        <f t="shared" si="180"/>
        <v>0</v>
      </c>
      <c r="Y1232" s="13">
        <f t="shared" si="183"/>
        <v>0</v>
      </c>
      <c r="Z1232" s="14">
        <v>0</v>
      </c>
      <c r="AA1232" s="4">
        <v>0</v>
      </c>
      <c r="AB1232" s="4">
        <f t="shared" si="184"/>
        <v>0</v>
      </c>
      <c r="AC1232" s="6">
        <f t="shared" si="185"/>
        <v>0</v>
      </c>
      <c r="AD1232" s="6">
        <f t="shared" si="182"/>
        <v>0</v>
      </c>
      <c r="AE1232" s="2">
        <v>7.0000000000000007E-2</v>
      </c>
      <c r="AF1232" s="5">
        <f t="shared" si="186"/>
        <v>0</v>
      </c>
      <c r="AG1232" s="14">
        <v>0</v>
      </c>
      <c r="AH1232" s="19">
        <f t="shared" si="177"/>
        <v>0</v>
      </c>
      <c r="AJ1232" s="126" t="e">
        <v>#N/A</v>
      </c>
      <c r="AK1232" s="80">
        <f t="shared" si="187"/>
        <v>0</v>
      </c>
      <c r="AM1232" s="85"/>
    </row>
    <row r="1233" spans="1:39" hidden="1" x14ac:dyDescent="0.3">
      <c r="A1233" s="85" t="s">
        <v>34</v>
      </c>
      <c r="B1233" s="15" t="s">
        <v>35</v>
      </c>
      <c r="C1233" s="15" t="s">
        <v>59</v>
      </c>
      <c r="D1233" s="15" t="s">
        <v>60</v>
      </c>
      <c r="E1233" s="15" t="s">
        <v>1844</v>
      </c>
      <c r="F1233" s="15" t="s">
        <v>1844</v>
      </c>
      <c r="G1233" s="15" t="s">
        <v>1844</v>
      </c>
      <c r="H1233" s="139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1849</v>
      </c>
      <c r="N1233" s="15"/>
      <c r="O1233" s="8" t="s">
        <v>410</v>
      </c>
      <c r="P1233" s="8" t="s">
        <v>1327</v>
      </c>
      <c r="Q1233" s="9">
        <v>0</v>
      </c>
      <c r="R1233" s="139" t="s">
        <v>1850</v>
      </c>
      <c r="S1233" s="15"/>
      <c r="T1233" s="18">
        <v>8.9999999981955625E-2</v>
      </c>
      <c r="U1233" s="4">
        <v>0</v>
      </c>
      <c r="V1233" s="6">
        <v>0</v>
      </c>
      <c r="W1233" s="18">
        <f t="shared" si="178"/>
        <v>8.9999999981955625E-2</v>
      </c>
      <c r="X1233" s="18">
        <f t="shared" si="180"/>
        <v>0</v>
      </c>
      <c r="Y1233" s="13">
        <f t="shared" si="183"/>
        <v>0</v>
      </c>
      <c r="Z1233" s="14">
        <v>0</v>
      </c>
      <c r="AA1233" s="4">
        <v>0</v>
      </c>
      <c r="AB1233" s="4">
        <f t="shared" si="184"/>
        <v>0</v>
      </c>
      <c r="AC1233" s="6">
        <f t="shared" si="185"/>
        <v>0</v>
      </c>
      <c r="AD1233" s="6">
        <f t="shared" si="182"/>
        <v>0</v>
      </c>
      <c r="AE1233" s="2">
        <v>7.0000000000000007E-2</v>
      </c>
      <c r="AF1233" s="5">
        <f t="shared" si="186"/>
        <v>0</v>
      </c>
      <c r="AG1233" s="14">
        <v>0</v>
      </c>
      <c r="AH1233" s="19">
        <f t="shared" si="177"/>
        <v>0</v>
      </c>
      <c r="AJ1233" s="126" t="e">
        <v>#N/A</v>
      </c>
      <c r="AK1233" s="80">
        <f t="shared" si="187"/>
        <v>0</v>
      </c>
      <c r="AM1233" s="85"/>
    </row>
    <row r="1234" spans="1:39" hidden="1" x14ac:dyDescent="0.3">
      <c r="A1234" s="85" t="s">
        <v>34</v>
      </c>
      <c r="B1234" s="15" t="s">
        <v>35</v>
      </c>
      <c r="C1234" s="15" t="s">
        <v>59</v>
      </c>
      <c r="D1234" s="15" t="s">
        <v>60</v>
      </c>
      <c r="E1234" s="15" t="s">
        <v>784</v>
      </c>
      <c r="F1234" s="15" t="s">
        <v>784</v>
      </c>
      <c r="G1234" s="15" t="s">
        <v>784</v>
      </c>
      <c r="H1234" s="139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774</v>
      </c>
      <c r="N1234" s="15"/>
      <c r="O1234" s="8" t="s">
        <v>410</v>
      </c>
      <c r="P1234" s="8" t="s">
        <v>46</v>
      </c>
      <c r="Q1234" s="9">
        <v>0.04</v>
      </c>
      <c r="R1234" s="139" t="s">
        <v>1851</v>
      </c>
      <c r="S1234" s="15"/>
      <c r="T1234" s="18">
        <v>23338.525000000023</v>
      </c>
      <c r="U1234" s="4">
        <v>0</v>
      </c>
      <c r="V1234" s="6">
        <v>0</v>
      </c>
      <c r="W1234" s="18">
        <f t="shared" si="178"/>
        <v>23338.525000000023</v>
      </c>
      <c r="X1234" s="18">
        <f t="shared" si="180"/>
        <v>0</v>
      </c>
      <c r="Y1234" s="13">
        <f t="shared" si="183"/>
        <v>0</v>
      </c>
      <c r="Z1234" s="14">
        <v>0</v>
      </c>
      <c r="AA1234" s="4">
        <v>0</v>
      </c>
      <c r="AB1234" s="4">
        <f t="shared" si="184"/>
        <v>0</v>
      </c>
      <c r="AC1234" s="6">
        <f t="shared" si="185"/>
        <v>0</v>
      </c>
      <c r="AD1234" s="6">
        <f t="shared" si="182"/>
        <v>0</v>
      </c>
      <c r="AE1234" s="2">
        <v>7.0000000000000007E-2</v>
      </c>
      <c r="AF1234" s="5">
        <f t="shared" si="186"/>
        <v>0</v>
      </c>
      <c r="AG1234" s="14">
        <v>0</v>
      </c>
      <c r="AH1234" s="19">
        <f t="shared" si="177"/>
        <v>0</v>
      </c>
      <c r="AJ1234" s="126" t="e">
        <v>#N/A</v>
      </c>
      <c r="AK1234" s="80">
        <f t="shared" si="187"/>
        <v>0</v>
      </c>
      <c r="AM1234" s="85"/>
    </row>
    <row r="1235" spans="1:39" hidden="1" x14ac:dyDescent="0.3">
      <c r="A1235" s="85" t="s">
        <v>34</v>
      </c>
      <c r="B1235" s="15" t="s">
        <v>35</v>
      </c>
      <c r="C1235" s="15" t="s">
        <v>36</v>
      </c>
      <c r="D1235" s="15" t="s">
        <v>224</v>
      </c>
      <c r="E1235" s="15" t="s">
        <v>1852</v>
      </c>
      <c r="F1235" s="15" t="s">
        <v>1852</v>
      </c>
      <c r="G1235" s="15" t="s">
        <v>1852</v>
      </c>
      <c r="H1235" s="139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1852</v>
      </c>
      <c r="N1235" s="15"/>
      <c r="O1235" s="8" t="s">
        <v>410</v>
      </c>
      <c r="P1235" s="8" t="s">
        <v>46</v>
      </c>
      <c r="Q1235" s="9">
        <v>0.02</v>
      </c>
      <c r="R1235" s="139" t="s">
        <v>1853</v>
      </c>
      <c r="S1235" s="15"/>
      <c r="T1235" s="18">
        <v>-1.1999999999534339</v>
      </c>
      <c r="U1235" s="4">
        <v>0</v>
      </c>
      <c r="V1235" s="6">
        <v>0</v>
      </c>
      <c r="W1235" s="18">
        <f t="shared" si="178"/>
        <v>-1.1999999999534339</v>
      </c>
      <c r="X1235" s="18">
        <f t="shared" si="180"/>
        <v>0</v>
      </c>
      <c r="Y1235" s="13">
        <f t="shared" si="183"/>
        <v>0</v>
      </c>
      <c r="Z1235" s="14">
        <v>0</v>
      </c>
      <c r="AA1235" s="4">
        <v>0</v>
      </c>
      <c r="AB1235" s="4">
        <f t="shared" si="184"/>
        <v>0</v>
      </c>
      <c r="AC1235" s="6">
        <f t="shared" si="185"/>
        <v>0</v>
      </c>
      <c r="AD1235" s="6">
        <f t="shared" si="182"/>
        <v>0</v>
      </c>
      <c r="AE1235" s="2">
        <v>7.0000000000000007E-2</v>
      </c>
      <c r="AF1235" s="5">
        <f t="shared" si="186"/>
        <v>0</v>
      </c>
      <c r="AG1235" s="14">
        <v>0</v>
      </c>
      <c r="AH1235" s="19">
        <f t="shared" si="177"/>
        <v>0</v>
      </c>
      <c r="AJ1235" s="126" t="e">
        <v>#N/A</v>
      </c>
      <c r="AK1235" s="80">
        <f t="shared" si="187"/>
        <v>0</v>
      </c>
      <c r="AM1235" s="85"/>
    </row>
    <row r="1236" spans="1:39" hidden="1" x14ac:dyDescent="0.3">
      <c r="A1236" s="85" t="s">
        <v>34</v>
      </c>
      <c r="B1236" s="15" t="s">
        <v>35</v>
      </c>
      <c r="C1236" s="15" t="s">
        <v>36</v>
      </c>
      <c r="D1236" s="15" t="s">
        <v>224</v>
      </c>
      <c r="E1236" s="15" t="s">
        <v>1149</v>
      </c>
      <c r="F1236" s="15" t="s">
        <v>1149</v>
      </c>
      <c r="G1236" s="15" t="s">
        <v>1149</v>
      </c>
      <c r="H1236" s="139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1854</v>
      </c>
      <c r="N1236" s="15"/>
      <c r="O1236" s="8" t="s">
        <v>410</v>
      </c>
      <c r="P1236" s="8" t="s">
        <v>41</v>
      </c>
      <c r="Q1236" s="9">
        <v>0</v>
      </c>
      <c r="R1236" s="139" t="s">
        <v>1855</v>
      </c>
      <c r="S1236" s="15"/>
      <c r="T1236" s="18">
        <v>-52.80000000002326</v>
      </c>
      <c r="U1236" s="4">
        <v>0</v>
      </c>
      <c r="V1236" s="6">
        <v>0</v>
      </c>
      <c r="W1236" s="18">
        <f t="shared" si="178"/>
        <v>-52.80000000002326</v>
      </c>
      <c r="X1236" s="18">
        <f t="shared" si="180"/>
        <v>0</v>
      </c>
      <c r="Y1236" s="13">
        <f t="shared" si="183"/>
        <v>0</v>
      </c>
      <c r="Z1236" s="14">
        <v>0</v>
      </c>
      <c r="AA1236" s="4">
        <v>0</v>
      </c>
      <c r="AB1236" s="4">
        <f t="shared" si="184"/>
        <v>0</v>
      </c>
      <c r="AC1236" s="6">
        <f t="shared" si="185"/>
        <v>0</v>
      </c>
      <c r="AD1236" s="6">
        <f t="shared" si="182"/>
        <v>0</v>
      </c>
      <c r="AE1236" s="2">
        <v>7.0000000000000007E-2</v>
      </c>
      <c r="AF1236" s="5">
        <f t="shared" si="186"/>
        <v>0</v>
      </c>
      <c r="AG1236" s="14">
        <v>0</v>
      </c>
      <c r="AH1236" s="19">
        <f t="shared" si="177"/>
        <v>0</v>
      </c>
      <c r="AJ1236" s="126" t="e">
        <v>#N/A</v>
      </c>
      <c r="AK1236" s="80">
        <f t="shared" si="187"/>
        <v>0</v>
      </c>
      <c r="AM1236" s="85"/>
    </row>
    <row r="1237" spans="1:39" hidden="1" x14ac:dyDescent="0.3">
      <c r="A1237" s="85" t="s">
        <v>34</v>
      </c>
      <c r="B1237" s="15" t="s">
        <v>35</v>
      </c>
      <c r="C1237" s="15" t="s">
        <v>36</v>
      </c>
      <c r="D1237" s="15" t="s">
        <v>224</v>
      </c>
      <c r="E1237" s="15" t="s">
        <v>1149</v>
      </c>
      <c r="F1237" s="15" t="s">
        <v>1149</v>
      </c>
      <c r="G1237" s="15" t="s">
        <v>1149</v>
      </c>
      <c r="H1237" s="139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1856</v>
      </c>
      <c r="N1237" s="15"/>
      <c r="O1237" s="8" t="s">
        <v>410</v>
      </c>
      <c r="P1237" s="8" t="s">
        <v>41</v>
      </c>
      <c r="Q1237" s="9">
        <v>0</v>
      </c>
      <c r="R1237" s="139" t="s">
        <v>1857</v>
      </c>
      <c r="S1237" s="15"/>
      <c r="T1237" s="18">
        <v>0.18000000003667083</v>
      </c>
      <c r="U1237" s="4">
        <v>0</v>
      </c>
      <c r="V1237" s="6">
        <v>0</v>
      </c>
      <c r="W1237" s="18">
        <f t="shared" si="178"/>
        <v>0.18000000003667083</v>
      </c>
      <c r="X1237" s="18">
        <f t="shared" si="180"/>
        <v>0</v>
      </c>
      <c r="Y1237" s="13">
        <f t="shared" si="183"/>
        <v>0</v>
      </c>
      <c r="Z1237" s="14">
        <v>0</v>
      </c>
      <c r="AA1237" s="4">
        <v>0</v>
      </c>
      <c r="AB1237" s="4">
        <f t="shared" si="184"/>
        <v>0</v>
      </c>
      <c r="AC1237" s="6">
        <f t="shared" si="185"/>
        <v>0</v>
      </c>
      <c r="AD1237" s="6">
        <f t="shared" si="182"/>
        <v>0</v>
      </c>
      <c r="AE1237" s="2">
        <v>7.0000000000000007E-2</v>
      </c>
      <c r="AF1237" s="5">
        <f t="shared" si="186"/>
        <v>0</v>
      </c>
      <c r="AG1237" s="14">
        <v>0</v>
      </c>
      <c r="AH1237" s="19">
        <f t="shared" ref="AH1237:AH1300" si="188">V1237</f>
        <v>0</v>
      </c>
      <c r="AJ1237" s="126" t="e">
        <v>#N/A</v>
      </c>
      <c r="AK1237" s="80">
        <f t="shared" si="187"/>
        <v>0</v>
      </c>
      <c r="AM1237" s="85"/>
    </row>
    <row r="1238" spans="1:39" hidden="1" x14ac:dyDescent="0.3">
      <c r="A1238" s="85" t="s">
        <v>34</v>
      </c>
      <c r="B1238" s="15" t="s">
        <v>35</v>
      </c>
      <c r="C1238" s="15" t="s">
        <v>36</v>
      </c>
      <c r="D1238" s="15" t="s">
        <v>54</v>
      </c>
      <c r="E1238" s="15" t="s">
        <v>71</v>
      </c>
      <c r="F1238" s="15" t="s">
        <v>71</v>
      </c>
      <c r="G1238" s="15" t="s">
        <v>71</v>
      </c>
      <c r="H1238" s="139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1858</v>
      </c>
      <c r="N1238" s="15"/>
      <c r="O1238" s="8" t="s">
        <v>410</v>
      </c>
      <c r="P1238" s="8" t="s">
        <v>41</v>
      </c>
      <c r="Q1238" s="9">
        <v>0</v>
      </c>
      <c r="R1238" s="139" t="s">
        <v>1859</v>
      </c>
      <c r="S1238" s="15"/>
      <c r="T1238" s="18">
        <v>477114.46809999994</v>
      </c>
      <c r="U1238" s="4">
        <v>0</v>
      </c>
      <c r="V1238" s="6">
        <v>0</v>
      </c>
      <c r="W1238" s="18">
        <f t="shared" si="178"/>
        <v>477114.46809999994</v>
      </c>
      <c r="X1238" s="18">
        <f t="shared" si="180"/>
        <v>0</v>
      </c>
      <c r="Y1238" s="13">
        <f t="shared" si="183"/>
        <v>0</v>
      </c>
      <c r="Z1238" s="14">
        <v>0</v>
      </c>
      <c r="AA1238" s="4">
        <v>0</v>
      </c>
      <c r="AB1238" s="4">
        <f t="shared" si="184"/>
        <v>0</v>
      </c>
      <c r="AC1238" s="6">
        <f t="shared" si="185"/>
        <v>0</v>
      </c>
      <c r="AD1238" s="6">
        <f t="shared" si="182"/>
        <v>0</v>
      </c>
      <c r="AE1238" s="2">
        <v>7.0000000000000007E-2</v>
      </c>
      <c r="AF1238" s="5">
        <f t="shared" si="186"/>
        <v>0</v>
      </c>
      <c r="AG1238" s="14">
        <v>0</v>
      </c>
      <c r="AH1238" s="19">
        <f t="shared" si="188"/>
        <v>0</v>
      </c>
      <c r="AJ1238" s="126" t="e">
        <v>#N/A</v>
      </c>
      <c r="AK1238" s="80">
        <f t="shared" si="187"/>
        <v>0</v>
      </c>
      <c r="AM1238" s="85"/>
    </row>
    <row r="1239" spans="1:39" hidden="1" x14ac:dyDescent="0.3">
      <c r="A1239" s="85" t="s">
        <v>34</v>
      </c>
      <c r="B1239" s="15" t="s">
        <v>35</v>
      </c>
      <c r="C1239" s="15" t="s">
        <v>36</v>
      </c>
      <c r="D1239" s="15" t="s">
        <v>54</v>
      </c>
      <c r="E1239" s="15" t="s">
        <v>71</v>
      </c>
      <c r="F1239" s="15" t="s">
        <v>71</v>
      </c>
      <c r="G1239" s="15" t="s">
        <v>71</v>
      </c>
      <c r="H1239" s="139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73</v>
      </c>
      <c r="N1239" s="15"/>
      <c r="O1239" s="8" t="s">
        <v>410</v>
      </c>
      <c r="P1239" s="8" t="s">
        <v>41</v>
      </c>
      <c r="Q1239" s="9">
        <v>0</v>
      </c>
      <c r="R1239" s="139" t="s">
        <v>1860</v>
      </c>
      <c r="S1239" s="15"/>
      <c r="T1239" s="18">
        <v>3848357.4428999987</v>
      </c>
      <c r="U1239" s="4">
        <v>0</v>
      </c>
      <c r="V1239" s="6">
        <v>0</v>
      </c>
      <c r="W1239" s="18">
        <f t="shared" si="178"/>
        <v>3848357.4428999987</v>
      </c>
      <c r="X1239" s="18">
        <f t="shared" si="180"/>
        <v>0</v>
      </c>
      <c r="Y1239" s="13">
        <f t="shared" si="183"/>
        <v>0</v>
      </c>
      <c r="Z1239" s="14">
        <v>0</v>
      </c>
      <c r="AA1239" s="4">
        <v>0</v>
      </c>
      <c r="AB1239" s="4">
        <f t="shared" si="184"/>
        <v>0</v>
      </c>
      <c r="AC1239" s="6">
        <f t="shared" si="185"/>
        <v>0</v>
      </c>
      <c r="AD1239" s="6">
        <f t="shared" si="182"/>
        <v>0</v>
      </c>
      <c r="AE1239" s="2">
        <v>7.0000000000000007E-2</v>
      </c>
      <c r="AF1239" s="5">
        <f t="shared" si="186"/>
        <v>0</v>
      </c>
      <c r="AG1239" s="14">
        <v>0</v>
      </c>
      <c r="AH1239" s="19">
        <f t="shared" si="188"/>
        <v>0</v>
      </c>
      <c r="AJ1239" s="126" t="e">
        <v>#N/A</v>
      </c>
      <c r="AK1239" s="80">
        <f t="shared" si="187"/>
        <v>0</v>
      </c>
      <c r="AM1239" s="85"/>
    </row>
    <row r="1240" spans="1:39" hidden="1" x14ac:dyDescent="0.3">
      <c r="A1240" s="85" t="s">
        <v>34</v>
      </c>
      <c r="B1240" s="15" t="s">
        <v>35</v>
      </c>
      <c r="C1240" s="15" t="s">
        <v>36</v>
      </c>
      <c r="D1240" s="15" t="s">
        <v>54</v>
      </c>
      <c r="E1240" s="15" t="s">
        <v>1861</v>
      </c>
      <c r="F1240" s="15" t="s">
        <v>1861</v>
      </c>
      <c r="G1240" s="15" t="s">
        <v>1861</v>
      </c>
      <c r="H1240" s="139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1861</v>
      </c>
      <c r="N1240" s="15"/>
      <c r="O1240" s="8" t="s">
        <v>410</v>
      </c>
      <c r="P1240" s="8" t="s">
        <v>46</v>
      </c>
      <c r="Q1240" s="9">
        <v>0.02</v>
      </c>
      <c r="R1240" s="139" t="s">
        <v>1862</v>
      </c>
      <c r="S1240" s="15"/>
      <c r="T1240" s="18">
        <v>0</v>
      </c>
      <c r="U1240" s="4">
        <v>0</v>
      </c>
      <c r="V1240" s="6">
        <v>0</v>
      </c>
      <c r="W1240" s="18">
        <f t="shared" ref="W1240:W1303" si="189">T1240+U1240-V1240</f>
        <v>0</v>
      </c>
      <c r="X1240" s="18">
        <f t="shared" si="180"/>
        <v>0</v>
      </c>
      <c r="Y1240" s="13">
        <f t="shared" si="183"/>
        <v>0</v>
      </c>
      <c r="Z1240" s="14">
        <v>0</v>
      </c>
      <c r="AA1240" s="4">
        <v>0</v>
      </c>
      <c r="AB1240" s="4">
        <f t="shared" si="184"/>
        <v>0</v>
      </c>
      <c r="AC1240" s="6">
        <f t="shared" si="185"/>
        <v>0</v>
      </c>
      <c r="AD1240" s="6">
        <f t="shared" si="182"/>
        <v>0</v>
      </c>
      <c r="AE1240" s="2">
        <v>7.0000000000000007E-2</v>
      </c>
      <c r="AF1240" s="5">
        <f t="shared" si="186"/>
        <v>0</v>
      </c>
      <c r="AG1240" s="14">
        <v>0</v>
      </c>
      <c r="AH1240" s="19">
        <f t="shared" si="188"/>
        <v>0</v>
      </c>
      <c r="AJ1240" s="126" t="e">
        <v>#N/A</v>
      </c>
      <c r="AK1240" s="80">
        <f t="shared" si="187"/>
        <v>0</v>
      </c>
      <c r="AM1240" s="85"/>
    </row>
    <row r="1241" spans="1:39" hidden="1" x14ac:dyDescent="0.3">
      <c r="A1241" s="85" t="s">
        <v>34</v>
      </c>
      <c r="B1241" s="15" t="s">
        <v>35</v>
      </c>
      <c r="C1241" s="15" t="s">
        <v>36</v>
      </c>
      <c r="D1241" s="15" t="s">
        <v>54</v>
      </c>
      <c r="E1241" s="15" t="s">
        <v>1863</v>
      </c>
      <c r="F1241" s="15" t="s">
        <v>1863</v>
      </c>
      <c r="G1241" s="15" t="s">
        <v>1863</v>
      </c>
      <c r="H1241" s="139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1864</v>
      </c>
      <c r="N1241" s="15"/>
      <c r="O1241" s="8" t="s">
        <v>410</v>
      </c>
      <c r="P1241" s="8" t="s">
        <v>46</v>
      </c>
      <c r="Q1241" s="9">
        <v>0.02</v>
      </c>
      <c r="R1241" s="139" t="s">
        <v>1865</v>
      </c>
      <c r="S1241" s="15"/>
      <c r="T1241" s="18">
        <v>42528.9</v>
      </c>
      <c r="U1241" s="4">
        <v>0</v>
      </c>
      <c r="V1241" s="6">
        <v>0</v>
      </c>
      <c r="W1241" s="18">
        <f t="shared" si="189"/>
        <v>42528.9</v>
      </c>
      <c r="X1241" s="18">
        <f t="shared" si="180"/>
        <v>0</v>
      </c>
      <c r="Y1241" s="13">
        <f t="shared" si="183"/>
        <v>0</v>
      </c>
      <c r="Z1241" s="14">
        <v>0</v>
      </c>
      <c r="AA1241" s="4">
        <v>0</v>
      </c>
      <c r="AB1241" s="4">
        <f t="shared" si="184"/>
        <v>0</v>
      </c>
      <c r="AC1241" s="6">
        <f t="shared" si="185"/>
        <v>0</v>
      </c>
      <c r="AD1241" s="6">
        <f t="shared" si="182"/>
        <v>0</v>
      </c>
      <c r="AE1241" s="2">
        <v>7.0000000000000007E-2</v>
      </c>
      <c r="AF1241" s="5">
        <f t="shared" si="186"/>
        <v>0</v>
      </c>
      <c r="AG1241" s="14">
        <v>0</v>
      </c>
      <c r="AH1241" s="19">
        <f t="shared" si="188"/>
        <v>0</v>
      </c>
      <c r="AJ1241" s="126" t="e">
        <v>#N/A</v>
      </c>
      <c r="AK1241" s="80">
        <f t="shared" si="187"/>
        <v>0</v>
      </c>
      <c r="AM1241" s="85"/>
    </row>
    <row r="1242" spans="1:39" hidden="1" x14ac:dyDescent="0.3">
      <c r="A1242" s="85" t="s">
        <v>34</v>
      </c>
      <c r="B1242" s="15" t="s">
        <v>35</v>
      </c>
      <c r="C1242" s="15" t="s">
        <v>36</v>
      </c>
      <c r="D1242" s="15" t="s">
        <v>54</v>
      </c>
      <c r="E1242" s="15" t="s">
        <v>114</v>
      </c>
      <c r="F1242" s="15" t="s">
        <v>114</v>
      </c>
      <c r="G1242" s="15" t="s">
        <v>114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1866</v>
      </c>
      <c r="N1242" s="15"/>
      <c r="O1242" s="8" t="s">
        <v>410</v>
      </c>
      <c r="P1242" s="8" t="s">
        <v>41</v>
      </c>
      <c r="Q1242" s="9">
        <v>0</v>
      </c>
      <c r="R1242" s="139" t="s">
        <v>1867</v>
      </c>
      <c r="S1242" s="15"/>
      <c r="T1242" s="18">
        <v>22381.472099998966</v>
      </c>
      <c r="U1242" s="4">
        <v>0</v>
      </c>
      <c r="V1242" s="6">
        <v>645.17912000000001</v>
      </c>
      <c r="W1242" s="18">
        <f t="shared" si="189"/>
        <v>21736.292979998965</v>
      </c>
      <c r="X1242" s="18">
        <f t="shared" si="180"/>
        <v>645.17912000000001</v>
      </c>
      <c r="Y1242" s="13">
        <f t="shared" si="183"/>
        <v>258.74569590962619</v>
      </c>
      <c r="Z1242" s="14">
        <v>0</v>
      </c>
      <c r="AA1242" s="4">
        <v>0</v>
      </c>
      <c r="AB1242" s="4">
        <f t="shared" si="184"/>
        <v>645.17912000000001</v>
      </c>
      <c r="AC1242" s="6">
        <f t="shared" si="185"/>
        <v>0</v>
      </c>
      <c r="AD1242" s="6">
        <f t="shared" si="182"/>
        <v>386.43342409037382</v>
      </c>
      <c r="AE1242" s="2">
        <v>7.0000000000000007E-2</v>
      </c>
      <c r="AF1242" s="5">
        <f t="shared" si="186"/>
        <v>27.050339686326168</v>
      </c>
      <c r="AG1242" s="14">
        <v>0</v>
      </c>
      <c r="AH1242" s="19">
        <f t="shared" si="188"/>
        <v>645.17912000000001</v>
      </c>
      <c r="AJ1242" s="126" t="e">
        <v>#N/A</v>
      </c>
      <c r="AK1242" s="80">
        <f t="shared" si="187"/>
        <v>0</v>
      </c>
      <c r="AM1242" s="85"/>
    </row>
    <row r="1243" spans="1:39" hidden="1" x14ac:dyDescent="0.3">
      <c r="A1243" s="85" t="s">
        <v>34</v>
      </c>
      <c r="B1243" s="15" t="s">
        <v>35</v>
      </c>
      <c r="C1243" s="15" t="s">
        <v>36</v>
      </c>
      <c r="D1243" s="15" t="s">
        <v>54</v>
      </c>
      <c r="E1243" s="15" t="s">
        <v>114</v>
      </c>
      <c r="F1243" s="15" t="s">
        <v>114</v>
      </c>
      <c r="G1243" s="15" t="s">
        <v>114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1866</v>
      </c>
      <c r="N1243" s="15"/>
      <c r="O1243" s="8" t="s">
        <v>410</v>
      </c>
      <c r="P1243" s="8" t="s">
        <v>41</v>
      </c>
      <c r="Q1243" s="9">
        <v>0</v>
      </c>
      <c r="R1243" s="139" t="s">
        <v>1868</v>
      </c>
      <c r="S1243" s="15"/>
      <c r="T1243" s="18">
        <v>105.00240000011399</v>
      </c>
      <c r="U1243" s="4">
        <v>0</v>
      </c>
      <c r="V1243" s="6">
        <v>105</v>
      </c>
      <c r="W1243" s="18">
        <f t="shared" si="189"/>
        <v>2.4000001139938831E-3</v>
      </c>
      <c r="X1243" s="18">
        <f t="shared" si="180"/>
        <v>105</v>
      </c>
      <c r="Y1243" s="13">
        <f t="shared" si="183"/>
        <v>42.109698265670389</v>
      </c>
      <c r="Z1243" s="14">
        <v>0</v>
      </c>
      <c r="AA1243" s="4">
        <v>0</v>
      </c>
      <c r="AB1243" s="4">
        <f t="shared" si="184"/>
        <v>105</v>
      </c>
      <c r="AC1243" s="6">
        <f t="shared" si="185"/>
        <v>0</v>
      </c>
      <c r="AD1243" s="6">
        <f t="shared" si="182"/>
        <v>62.890301734329611</v>
      </c>
      <c r="AE1243" s="2">
        <v>7.0000000000000007E-2</v>
      </c>
      <c r="AF1243" s="5">
        <f t="shared" si="186"/>
        <v>4.4023211214030731</v>
      </c>
      <c r="AG1243" s="14">
        <v>0</v>
      </c>
      <c r="AH1243" s="19">
        <f t="shared" si="188"/>
        <v>105</v>
      </c>
      <c r="AJ1243" s="126" t="e">
        <v>#N/A</v>
      </c>
      <c r="AK1243" s="80">
        <f t="shared" si="187"/>
        <v>0</v>
      </c>
      <c r="AM1243" s="85"/>
    </row>
    <row r="1244" spans="1:39" hidden="1" x14ac:dyDescent="0.3">
      <c r="A1244" s="85" t="s">
        <v>34</v>
      </c>
      <c r="B1244" s="15" t="s">
        <v>35</v>
      </c>
      <c r="C1244" s="15" t="s">
        <v>36</v>
      </c>
      <c r="D1244" s="15" t="s">
        <v>54</v>
      </c>
      <c r="E1244" s="15" t="s">
        <v>55</v>
      </c>
      <c r="F1244" s="15" t="s">
        <v>55</v>
      </c>
      <c r="G1244" s="15" t="s">
        <v>55</v>
      </c>
      <c r="H1244" s="139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55</v>
      </c>
      <c r="N1244" s="15"/>
      <c r="O1244" s="8" t="s">
        <v>410</v>
      </c>
      <c r="P1244" s="8" t="s">
        <v>41</v>
      </c>
      <c r="Q1244" s="9">
        <v>0</v>
      </c>
      <c r="R1244" s="139" t="s">
        <v>1869</v>
      </c>
      <c r="S1244" s="15"/>
      <c r="T1244" s="18">
        <v>7908627.8600000003</v>
      </c>
      <c r="U1244" s="4">
        <v>0</v>
      </c>
      <c r="V1244" s="6">
        <v>0</v>
      </c>
      <c r="W1244" s="18">
        <f t="shared" si="189"/>
        <v>7908627.8600000003</v>
      </c>
      <c r="X1244" s="18">
        <f t="shared" si="180"/>
        <v>0</v>
      </c>
      <c r="Y1244" s="13">
        <f t="shared" si="183"/>
        <v>0</v>
      </c>
      <c r="Z1244" s="14">
        <v>0</v>
      </c>
      <c r="AA1244" s="4">
        <v>0</v>
      </c>
      <c r="AB1244" s="4">
        <f t="shared" si="184"/>
        <v>0</v>
      </c>
      <c r="AC1244" s="6">
        <f t="shared" si="185"/>
        <v>0</v>
      </c>
      <c r="AD1244" s="6">
        <f t="shared" si="182"/>
        <v>0</v>
      </c>
      <c r="AE1244" s="2">
        <v>7.0000000000000007E-2</v>
      </c>
      <c r="AF1244" s="5">
        <f t="shared" si="186"/>
        <v>0</v>
      </c>
      <c r="AG1244" s="14">
        <v>0</v>
      </c>
      <c r="AH1244" s="19">
        <f t="shared" si="188"/>
        <v>0</v>
      </c>
      <c r="AJ1244" s="126" t="e">
        <v>#N/A</v>
      </c>
      <c r="AK1244" s="80">
        <f t="shared" si="187"/>
        <v>0</v>
      </c>
      <c r="AM1244" s="85"/>
    </row>
    <row r="1245" spans="1:39" hidden="1" x14ac:dyDescent="0.3">
      <c r="A1245" s="85" t="s">
        <v>34</v>
      </c>
      <c r="B1245" s="15" t="s">
        <v>35</v>
      </c>
      <c r="C1245" s="15" t="s">
        <v>36</v>
      </c>
      <c r="D1245" s="15" t="s">
        <v>37</v>
      </c>
      <c r="E1245" s="15" t="s">
        <v>1870</v>
      </c>
      <c r="F1245" s="15" t="s">
        <v>1871</v>
      </c>
      <c r="G1245" s="15" t="s">
        <v>1870</v>
      </c>
      <c r="H1245" s="139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1870</v>
      </c>
      <c r="N1245" s="15"/>
      <c r="O1245" s="8" t="s">
        <v>410</v>
      </c>
      <c r="P1245" s="8" t="s">
        <v>41</v>
      </c>
      <c r="Q1245" s="9">
        <v>0</v>
      </c>
      <c r="R1245" s="139" t="s">
        <v>1872</v>
      </c>
      <c r="S1245" s="15"/>
      <c r="T1245" s="18">
        <v>-12.799999999988358</v>
      </c>
      <c r="U1245" s="4">
        <v>0</v>
      </c>
      <c r="V1245" s="6">
        <v>0</v>
      </c>
      <c r="W1245" s="18">
        <f t="shared" si="189"/>
        <v>-12.799999999988358</v>
      </c>
      <c r="X1245" s="18">
        <f t="shared" si="180"/>
        <v>0</v>
      </c>
      <c r="Y1245" s="13">
        <f t="shared" si="183"/>
        <v>0</v>
      </c>
      <c r="Z1245" s="14">
        <v>0</v>
      </c>
      <c r="AA1245" s="4">
        <v>0</v>
      </c>
      <c r="AB1245" s="4">
        <f t="shared" si="184"/>
        <v>0</v>
      </c>
      <c r="AC1245" s="6">
        <f t="shared" si="185"/>
        <v>0</v>
      </c>
      <c r="AD1245" s="6">
        <f t="shared" si="182"/>
        <v>0</v>
      </c>
      <c r="AE1245" s="2">
        <v>7.0000000000000007E-2</v>
      </c>
      <c r="AF1245" s="5">
        <f t="shared" si="186"/>
        <v>0</v>
      </c>
      <c r="AG1245" s="14">
        <v>0</v>
      </c>
      <c r="AH1245" s="19">
        <f t="shared" si="188"/>
        <v>0</v>
      </c>
      <c r="AJ1245" s="126" t="e">
        <v>#N/A</v>
      </c>
      <c r="AK1245" s="80">
        <f t="shared" si="187"/>
        <v>0</v>
      </c>
      <c r="AM1245" s="85"/>
    </row>
    <row r="1246" spans="1:39" hidden="1" x14ac:dyDescent="0.3">
      <c r="A1246" s="85" t="s">
        <v>34</v>
      </c>
      <c r="B1246" s="15" t="s">
        <v>35</v>
      </c>
      <c r="C1246" s="15" t="s">
        <v>36</v>
      </c>
      <c r="D1246" s="15" t="s">
        <v>37</v>
      </c>
      <c r="E1246" s="15" t="s">
        <v>57</v>
      </c>
      <c r="F1246" s="15" t="s">
        <v>57</v>
      </c>
      <c r="G1246" s="15" t="s">
        <v>57</v>
      </c>
      <c r="H1246" s="139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57</v>
      </c>
      <c r="N1246" s="15"/>
      <c r="O1246" s="8" t="s">
        <v>410</v>
      </c>
      <c r="P1246" s="8" t="s">
        <v>41</v>
      </c>
      <c r="Q1246" s="9">
        <v>0</v>
      </c>
      <c r="R1246" s="139" t="s">
        <v>1873</v>
      </c>
      <c r="S1246" s="15"/>
      <c r="T1246" s="18">
        <v>-5.2999999999919964</v>
      </c>
      <c r="U1246" s="4">
        <v>0</v>
      </c>
      <c r="V1246" s="6">
        <v>0</v>
      </c>
      <c r="W1246" s="18">
        <f t="shared" si="189"/>
        <v>-5.2999999999919964</v>
      </c>
      <c r="X1246" s="18">
        <f t="shared" si="180"/>
        <v>0</v>
      </c>
      <c r="Y1246" s="13">
        <f t="shared" si="183"/>
        <v>0</v>
      </c>
      <c r="Z1246" s="14">
        <v>0</v>
      </c>
      <c r="AA1246" s="4">
        <v>0</v>
      </c>
      <c r="AB1246" s="4">
        <f t="shared" si="184"/>
        <v>0</v>
      </c>
      <c r="AC1246" s="6">
        <f t="shared" si="185"/>
        <v>0</v>
      </c>
      <c r="AD1246" s="6">
        <f t="shared" si="182"/>
        <v>0</v>
      </c>
      <c r="AE1246" s="2">
        <v>7.0000000000000007E-2</v>
      </c>
      <c r="AF1246" s="5">
        <f t="shared" si="186"/>
        <v>0</v>
      </c>
      <c r="AG1246" s="14">
        <v>0</v>
      </c>
      <c r="AH1246" s="19">
        <f t="shared" si="188"/>
        <v>0</v>
      </c>
      <c r="AJ1246" s="126" t="e">
        <v>#N/A</v>
      </c>
      <c r="AK1246" s="80">
        <f t="shared" si="187"/>
        <v>0</v>
      </c>
      <c r="AM1246" s="85"/>
    </row>
    <row r="1247" spans="1:39" hidden="1" x14ac:dyDescent="0.3">
      <c r="A1247" s="85" t="s">
        <v>34</v>
      </c>
      <c r="B1247" s="15" t="s">
        <v>35</v>
      </c>
      <c r="C1247" s="15" t="s">
        <v>65</v>
      </c>
      <c r="D1247" s="15" t="s">
        <v>66</v>
      </c>
      <c r="E1247" s="15" t="s">
        <v>713</v>
      </c>
      <c r="F1247" s="15" t="s">
        <v>713</v>
      </c>
      <c r="G1247" s="15" t="s">
        <v>713</v>
      </c>
      <c r="H1247" s="139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1874</v>
      </c>
      <c r="N1247" s="15"/>
      <c r="O1247" s="8" t="s">
        <v>410</v>
      </c>
      <c r="P1247" s="8" t="s">
        <v>46</v>
      </c>
      <c r="Q1247" s="9">
        <v>0.02</v>
      </c>
      <c r="R1247" s="139" t="s">
        <v>1875</v>
      </c>
      <c r="S1247" s="15"/>
      <c r="T1247" s="18">
        <v>10000</v>
      </c>
      <c r="U1247" s="4">
        <v>0</v>
      </c>
      <c r="V1247" s="6">
        <v>0</v>
      </c>
      <c r="W1247" s="18">
        <f t="shared" si="189"/>
        <v>10000</v>
      </c>
      <c r="X1247" s="18">
        <f t="shared" si="180"/>
        <v>0</v>
      </c>
      <c r="Y1247" s="13">
        <f t="shared" si="183"/>
        <v>0</v>
      </c>
      <c r="Z1247" s="14">
        <v>0</v>
      </c>
      <c r="AA1247" s="4">
        <v>0</v>
      </c>
      <c r="AB1247" s="4">
        <f t="shared" si="184"/>
        <v>0</v>
      </c>
      <c r="AC1247" s="6">
        <f t="shared" si="185"/>
        <v>0</v>
      </c>
      <c r="AD1247" s="6">
        <f t="shared" si="182"/>
        <v>0</v>
      </c>
      <c r="AE1247" s="2">
        <v>7.0000000000000007E-2</v>
      </c>
      <c r="AF1247" s="5">
        <f t="shared" si="186"/>
        <v>0</v>
      </c>
      <c r="AG1247" s="14">
        <v>0</v>
      </c>
      <c r="AH1247" s="19">
        <f t="shared" si="188"/>
        <v>0</v>
      </c>
      <c r="AJ1247" s="126" t="e">
        <v>#N/A</v>
      </c>
      <c r="AK1247" s="80">
        <f t="shared" si="187"/>
        <v>0</v>
      </c>
      <c r="AM1247" s="85"/>
    </row>
    <row r="1248" spans="1:39" hidden="1" x14ac:dyDescent="0.3">
      <c r="A1248" s="85" t="s">
        <v>34</v>
      </c>
      <c r="B1248" s="15" t="s">
        <v>35</v>
      </c>
      <c r="C1248" s="15" t="s">
        <v>65</v>
      </c>
      <c r="D1248" s="15" t="s">
        <v>66</v>
      </c>
      <c r="E1248" s="15" t="s">
        <v>493</v>
      </c>
      <c r="F1248" s="15" t="s">
        <v>493</v>
      </c>
      <c r="G1248" s="15" t="s">
        <v>493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493</v>
      </c>
      <c r="N1248" s="15"/>
      <c r="O1248" s="8" t="s">
        <v>410</v>
      </c>
      <c r="P1248" s="8" t="s">
        <v>41</v>
      </c>
      <c r="Q1248" s="9">
        <v>0</v>
      </c>
      <c r="R1248" s="139" t="s">
        <v>1876</v>
      </c>
      <c r="S1248" s="15"/>
      <c r="T1248" s="18">
        <v>-28.555000000167638</v>
      </c>
      <c r="U1248" s="4">
        <v>0</v>
      </c>
      <c r="V1248" s="6">
        <v>0</v>
      </c>
      <c r="W1248" s="18">
        <f t="shared" si="189"/>
        <v>-28.555000000167638</v>
      </c>
      <c r="X1248" s="18">
        <f t="shared" si="180"/>
        <v>0</v>
      </c>
      <c r="Y1248" s="13">
        <f t="shared" si="183"/>
        <v>0</v>
      </c>
      <c r="Z1248" s="14">
        <v>0</v>
      </c>
      <c r="AA1248" s="4">
        <v>0</v>
      </c>
      <c r="AB1248" s="4">
        <f t="shared" si="184"/>
        <v>0</v>
      </c>
      <c r="AC1248" s="6">
        <f t="shared" si="185"/>
        <v>0</v>
      </c>
      <c r="AD1248" s="6">
        <f t="shared" si="182"/>
        <v>0</v>
      </c>
      <c r="AE1248" s="2">
        <v>7.0000000000000007E-2</v>
      </c>
      <c r="AF1248" s="5">
        <f t="shared" si="186"/>
        <v>0</v>
      </c>
      <c r="AG1248" s="14">
        <v>0</v>
      </c>
      <c r="AH1248" s="19">
        <f t="shared" si="188"/>
        <v>0</v>
      </c>
      <c r="AJ1248" s="126" t="e">
        <v>#N/A</v>
      </c>
      <c r="AK1248" s="80">
        <f t="shared" si="187"/>
        <v>0</v>
      </c>
      <c r="AM1248" s="85"/>
    </row>
    <row r="1249" spans="1:39" hidden="1" x14ac:dyDescent="0.3">
      <c r="A1249" s="85" t="s">
        <v>34</v>
      </c>
      <c r="B1249" s="15" t="s">
        <v>35</v>
      </c>
      <c r="C1249" s="15" t="s">
        <v>65</v>
      </c>
      <c r="D1249" s="15" t="s">
        <v>66</v>
      </c>
      <c r="E1249" s="15" t="s">
        <v>1877</v>
      </c>
      <c r="F1249" s="15" t="s">
        <v>1877</v>
      </c>
      <c r="G1249" s="15" t="s">
        <v>1877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1877</v>
      </c>
      <c r="N1249" s="15"/>
      <c r="O1249" s="8" t="s">
        <v>1196</v>
      </c>
      <c r="P1249" s="8" t="s">
        <v>1327</v>
      </c>
      <c r="Q1249" s="9">
        <v>0</v>
      </c>
      <c r="R1249" s="139" t="s">
        <v>1878</v>
      </c>
      <c r="S1249" s="15"/>
      <c r="T1249" s="18">
        <v>9245.2000000000007</v>
      </c>
      <c r="U1249" s="4">
        <v>0</v>
      </c>
      <c r="V1249" s="6">
        <v>8961.7099999999991</v>
      </c>
      <c r="W1249" s="18">
        <f t="shared" si="189"/>
        <v>283.4900000000016</v>
      </c>
      <c r="X1249" s="18">
        <f t="shared" si="180"/>
        <v>8961.7099999999991</v>
      </c>
      <c r="Y1249" s="13">
        <f t="shared" si="183"/>
        <v>3594.0467051851519</v>
      </c>
      <c r="Z1249" s="14">
        <v>0</v>
      </c>
      <c r="AA1249" s="4">
        <v>0</v>
      </c>
      <c r="AB1249" s="4">
        <f t="shared" si="184"/>
        <v>8961.7099999999991</v>
      </c>
      <c r="AC1249" s="6">
        <f t="shared" si="185"/>
        <v>0</v>
      </c>
      <c r="AD1249" s="6">
        <f t="shared" si="182"/>
        <v>5367.6632948148472</v>
      </c>
      <c r="AE1249" s="2">
        <v>0.12</v>
      </c>
      <c r="AF1249" s="5">
        <f t="shared" si="186"/>
        <v>644.11959537778159</v>
      </c>
      <c r="AG1249" s="14">
        <v>0</v>
      </c>
      <c r="AH1249" s="19">
        <f t="shared" si="188"/>
        <v>8961.7099999999991</v>
      </c>
      <c r="AJ1249" s="126" t="e">
        <v>#N/A</v>
      </c>
      <c r="AK1249" s="80">
        <f t="shared" si="187"/>
        <v>0</v>
      </c>
      <c r="AM1249" s="85"/>
    </row>
    <row r="1250" spans="1:39" hidden="1" x14ac:dyDescent="0.3">
      <c r="A1250" s="85" t="s">
        <v>34</v>
      </c>
      <c r="B1250" s="15" t="s">
        <v>35</v>
      </c>
      <c r="C1250" s="15" t="s">
        <v>65</v>
      </c>
      <c r="D1250" s="15" t="s">
        <v>66</v>
      </c>
      <c r="E1250" s="15" t="s">
        <v>494</v>
      </c>
      <c r="F1250" s="15" t="s">
        <v>494</v>
      </c>
      <c r="G1250" s="15" t="s">
        <v>494</v>
      </c>
      <c r="H1250" s="139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495</v>
      </c>
      <c r="N1250" s="15"/>
      <c r="O1250" s="8" t="s">
        <v>1196</v>
      </c>
      <c r="P1250" s="8" t="s">
        <v>46</v>
      </c>
      <c r="Q1250" s="9">
        <v>0.02</v>
      </c>
      <c r="R1250" s="139" t="s">
        <v>1879</v>
      </c>
      <c r="S1250" s="15"/>
      <c r="T1250" s="18">
        <v>108831.65385999993</v>
      </c>
      <c r="U1250" s="4">
        <v>0</v>
      </c>
      <c r="V1250" s="6">
        <v>0</v>
      </c>
      <c r="W1250" s="18">
        <f t="shared" si="189"/>
        <v>108831.65385999993</v>
      </c>
      <c r="X1250" s="18">
        <f t="shared" si="180"/>
        <v>0</v>
      </c>
      <c r="Y1250" s="13">
        <f t="shared" si="183"/>
        <v>0</v>
      </c>
      <c r="Z1250" s="14">
        <v>0</v>
      </c>
      <c r="AA1250" s="4">
        <v>0</v>
      </c>
      <c r="AB1250" s="4">
        <f t="shared" si="184"/>
        <v>0</v>
      </c>
      <c r="AC1250" s="6">
        <f t="shared" si="185"/>
        <v>0</v>
      </c>
      <c r="AD1250" s="6">
        <f t="shared" si="182"/>
        <v>0</v>
      </c>
      <c r="AE1250" s="2">
        <v>0.12</v>
      </c>
      <c r="AF1250" s="5">
        <f t="shared" si="186"/>
        <v>0</v>
      </c>
      <c r="AG1250" s="14">
        <v>0</v>
      </c>
      <c r="AH1250" s="19">
        <f t="shared" si="188"/>
        <v>0</v>
      </c>
      <c r="AJ1250" s="126" t="e">
        <v>#N/A</v>
      </c>
      <c r="AK1250" s="80">
        <f t="shared" si="187"/>
        <v>0</v>
      </c>
      <c r="AM1250" s="85"/>
    </row>
    <row r="1251" spans="1:39" hidden="1" x14ac:dyDescent="0.3">
      <c r="A1251" s="85" t="s">
        <v>34</v>
      </c>
      <c r="B1251" s="15" t="s">
        <v>35</v>
      </c>
      <c r="C1251" s="15" t="s">
        <v>65</v>
      </c>
      <c r="D1251" s="15" t="s">
        <v>66</v>
      </c>
      <c r="E1251" s="15" t="s">
        <v>494</v>
      </c>
      <c r="F1251" s="15" t="s">
        <v>494</v>
      </c>
      <c r="G1251" s="15" t="s">
        <v>494</v>
      </c>
      <c r="H1251" s="139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495</v>
      </c>
      <c r="N1251" s="15"/>
      <c r="O1251" s="8" t="s">
        <v>410</v>
      </c>
      <c r="P1251" s="8" t="s">
        <v>41</v>
      </c>
      <c r="Q1251" s="9">
        <v>0</v>
      </c>
      <c r="R1251" s="139" t="s">
        <v>1880</v>
      </c>
      <c r="S1251" s="15"/>
      <c r="T1251" s="18">
        <v>13.353929999982938</v>
      </c>
      <c r="U1251" s="4">
        <v>0</v>
      </c>
      <c r="V1251" s="6">
        <v>0</v>
      </c>
      <c r="W1251" s="18">
        <f t="shared" si="189"/>
        <v>13.353929999982938</v>
      </c>
      <c r="X1251" s="18">
        <f t="shared" si="180"/>
        <v>0</v>
      </c>
      <c r="Y1251" s="13">
        <f t="shared" si="183"/>
        <v>0</v>
      </c>
      <c r="Z1251" s="14">
        <v>0</v>
      </c>
      <c r="AA1251" s="4">
        <v>0</v>
      </c>
      <c r="AB1251" s="4">
        <f t="shared" si="184"/>
        <v>0</v>
      </c>
      <c r="AC1251" s="6">
        <f t="shared" si="185"/>
        <v>0</v>
      </c>
      <c r="AD1251" s="6">
        <f t="shared" si="182"/>
        <v>0</v>
      </c>
      <c r="AE1251" s="2">
        <v>7.0000000000000007E-2</v>
      </c>
      <c r="AF1251" s="5">
        <f t="shared" si="186"/>
        <v>0</v>
      </c>
      <c r="AG1251" s="14">
        <v>0</v>
      </c>
      <c r="AH1251" s="19">
        <f t="shared" si="188"/>
        <v>0</v>
      </c>
      <c r="AJ1251" s="126" t="e">
        <v>#N/A</v>
      </c>
      <c r="AK1251" s="80">
        <f t="shared" si="187"/>
        <v>0</v>
      </c>
      <c r="AM1251" s="85"/>
    </row>
    <row r="1252" spans="1:39" hidden="1" x14ac:dyDescent="0.3">
      <c r="A1252" s="85" t="s">
        <v>34</v>
      </c>
      <c r="B1252" s="15" t="s">
        <v>35</v>
      </c>
      <c r="C1252" s="15" t="s">
        <v>65</v>
      </c>
      <c r="D1252" s="15" t="s">
        <v>66</v>
      </c>
      <c r="E1252" s="15" t="s">
        <v>1881</v>
      </c>
      <c r="F1252" s="15" t="s">
        <v>1881</v>
      </c>
      <c r="G1252" s="15" t="s">
        <v>1881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1881</v>
      </c>
      <c r="N1252" s="15"/>
      <c r="O1252" s="8" t="s">
        <v>1196</v>
      </c>
      <c r="P1252" s="8" t="s">
        <v>1327</v>
      </c>
      <c r="Q1252" s="9">
        <v>0</v>
      </c>
      <c r="R1252" s="139" t="s">
        <v>1882</v>
      </c>
      <c r="S1252" s="15"/>
      <c r="T1252" s="18">
        <v>3676.6520300000002</v>
      </c>
      <c r="U1252" s="4">
        <v>0</v>
      </c>
      <c r="V1252" s="6">
        <v>0</v>
      </c>
      <c r="W1252" s="18">
        <v>0</v>
      </c>
      <c r="X1252" s="18">
        <f t="shared" si="180"/>
        <v>0</v>
      </c>
      <c r="Y1252" s="13">
        <f t="shared" si="183"/>
        <v>0</v>
      </c>
      <c r="Z1252" s="14">
        <v>0</v>
      </c>
      <c r="AA1252" s="4">
        <v>0</v>
      </c>
      <c r="AB1252" s="4">
        <f t="shared" si="184"/>
        <v>0</v>
      </c>
      <c r="AC1252" s="6">
        <f t="shared" si="185"/>
        <v>0</v>
      </c>
      <c r="AD1252" s="6">
        <f t="shared" si="182"/>
        <v>0</v>
      </c>
      <c r="AE1252" s="2">
        <v>0.12</v>
      </c>
      <c r="AF1252" s="5">
        <f t="shared" si="186"/>
        <v>0</v>
      </c>
      <c r="AG1252" s="14">
        <v>0</v>
      </c>
      <c r="AH1252" s="19">
        <f t="shared" si="188"/>
        <v>0</v>
      </c>
      <c r="AJ1252" s="126" t="e">
        <v>#N/A</v>
      </c>
      <c r="AK1252" s="80">
        <f t="shared" si="187"/>
        <v>0</v>
      </c>
      <c r="AM1252" s="85"/>
    </row>
    <row r="1253" spans="1:39" hidden="1" x14ac:dyDescent="0.3">
      <c r="A1253" s="85" t="s">
        <v>34</v>
      </c>
      <c r="B1253" s="15" t="s">
        <v>35</v>
      </c>
      <c r="C1253" s="15" t="s">
        <v>65</v>
      </c>
      <c r="D1253" s="15" t="s">
        <v>66</v>
      </c>
      <c r="E1253" s="15" t="s">
        <v>1881</v>
      </c>
      <c r="F1253" s="15" t="s">
        <v>1881</v>
      </c>
      <c r="G1253" s="15" t="s">
        <v>1881</v>
      </c>
      <c r="H1253" s="139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1881</v>
      </c>
      <c r="N1253" s="15"/>
      <c r="O1253" s="8" t="s">
        <v>1196</v>
      </c>
      <c r="P1253" s="8" t="s">
        <v>46</v>
      </c>
      <c r="Q1253" s="9">
        <v>0.02</v>
      </c>
      <c r="R1253" s="139" t="s">
        <v>1883</v>
      </c>
      <c r="S1253" s="15"/>
      <c r="T1253" s="18">
        <v>2294920.5</v>
      </c>
      <c r="U1253" s="4">
        <v>0</v>
      </c>
      <c r="V1253" s="6">
        <v>0</v>
      </c>
      <c r="W1253" s="18">
        <f t="shared" si="189"/>
        <v>2294920.5</v>
      </c>
      <c r="X1253" s="18">
        <f t="shared" si="180"/>
        <v>0</v>
      </c>
      <c r="Y1253" s="13">
        <f t="shared" si="183"/>
        <v>0</v>
      </c>
      <c r="Z1253" s="14">
        <v>0</v>
      </c>
      <c r="AA1253" s="4">
        <v>0</v>
      </c>
      <c r="AB1253" s="4">
        <f t="shared" si="184"/>
        <v>0</v>
      </c>
      <c r="AC1253" s="6">
        <f t="shared" si="185"/>
        <v>0</v>
      </c>
      <c r="AD1253" s="6">
        <f t="shared" si="182"/>
        <v>0</v>
      </c>
      <c r="AE1253" s="2">
        <v>0.12</v>
      </c>
      <c r="AF1253" s="5">
        <f t="shared" si="186"/>
        <v>0</v>
      </c>
      <c r="AG1253" s="14">
        <v>0</v>
      </c>
      <c r="AH1253" s="19">
        <f t="shared" si="188"/>
        <v>0</v>
      </c>
      <c r="AJ1253" s="126" t="e">
        <v>#N/A</v>
      </c>
      <c r="AK1253" s="80">
        <f t="shared" si="187"/>
        <v>0</v>
      </c>
      <c r="AM1253" s="85"/>
    </row>
    <row r="1254" spans="1:39" hidden="1" x14ac:dyDescent="0.3">
      <c r="A1254" s="85" t="s">
        <v>34</v>
      </c>
      <c r="B1254" s="15" t="s">
        <v>35</v>
      </c>
      <c r="C1254" s="15" t="s">
        <v>65</v>
      </c>
      <c r="D1254" s="15" t="s">
        <v>66</v>
      </c>
      <c r="E1254" s="15" t="s">
        <v>1881</v>
      </c>
      <c r="F1254" s="15" t="s">
        <v>1881</v>
      </c>
      <c r="G1254" s="15" t="s">
        <v>1881</v>
      </c>
      <c r="H1254" s="139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1881</v>
      </c>
      <c r="N1254" s="15"/>
      <c r="O1254" s="8" t="s">
        <v>410</v>
      </c>
      <c r="P1254" s="8" t="s">
        <v>41</v>
      </c>
      <c r="Q1254" s="9">
        <v>0</v>
      </c>
      <c r="R1254" s="139" t="s">
        <v>1883</v>
      </c>
      <c r="S1254" s="15"/>
      <c r="T1254" s="18">
        <v>-2299872.2176199993</v>
      </c>
      <c r="U1254" s="4">
        <v>0</v>
      </c>
      <c r="V1254" s="6">
        <v>0</v>
      </c>
      <c r="W1254" s="18">
        <f t="shared" si="189"/>
        <v>-2299872.2176199993</v>
      </c>
      <c r="X1254" s="18">
        <f t="shared" ref="X1254:X1317" si="190">IF(P1254="折扣",V1254*Q1254,IF(P1254="返现",V1254,V1254/(1+Q1254)))</f>
        <v>0</v>
      </c>
      <c r="Y1254" s="13">
        <f t="shared" si="183"/>
        <v>0</v>
      </c>
      <c r="Z1254" s="14">
        <v>0</v>
      </c>
      <c r="AA1254" s="4">
        <v>0</v>
      </c>
      <c r="AB1254" s="4">
        <f t="shared" si="184"/>
        <v>0</v>
      </c>
      <c r="AC1254" s="6">
        <f t="shared" si="185"/>
        <v>0</v>
      </c>
      <c r="AD1254" s="6">
        <f t="shared" si="182"/>
        <v>0</v>
      </c>
      <c r="AE1254" s="2">
        <v>7.0000000000000007E-2</v>
      </c>
      <c r="AF1254" s="5">
        <f t="shared" si="186"/>
        <v>0</v>
      </c>
      <c r="AG1254" s="14">
        <v>0</v>
      </c>
      <c r="AH1254" s="19">
        <f t="shared" si="188"/>
        <v>0</v>
      </c>
      <c r="AJ1254" s="126" t="e">
        <v>#N/A</v>
      </c>
      <c r="AK1254" s="80">
        <f t="shared" si="187"/>
        <v>0</v>
      </c>
      <c r="AM1254" s="85"/>
    </row>
    <row r="1255" spans="1:39" hidden="1" x14ac:dyDescent="0.3">
      <c r="A1255" s="85" t="s">
        <v>34</v>
      </c>
      <c r="B1255" s="15" t="s">
        <v>35</v>
      </c>
      <c r="C1255" s="15" t="s">
        <v>65</v>
      </c>
      <c r="D1255" s="15" t="s">
        <v>66</v>
      </c>
      <c r="E1255" s="15" t="s">
        <v>496</v>
      </c>
      <c r="F1255" s="15" t="s">
        <v>497</v>
      </c>
      <c r="G1255" s="15" t="s">
        <v>496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498</v>
      </c>
      <c r="N1255" s="15"/>
      <c r="O1255" s="8" t="s">
        <v>410</v>
      </c>
      <c r="P1255" s="8" t="s">
        <v>46</v>
      </c>
      <c r="Q1255" s="9">
        <v>0.02</v>
      </c>
      <c r="R1255" s="139" t="s">
        <v>1884</v>
      </c>
      <c r="S1255" s="15"/>
      <c r="T1255" s="18">
        <v>656.99999999994179</v>
      </c>
      <c r="U1255" s="4">
        <v>0</v>
      </c>
      <c r="V1255" s="6">
        <v>0</v>
      </c>
      <c r="W1255" s="18">
        <f t="shared" si="189"/>
        <v>656.99999999994179</v>
      </c>
      <c r="X1255" s="18">
        <f t="shared" si="190"/>
        <v>0</v>
      </c>
      <c r="Y1255" s="13">
        <f t="shared" si="183"/>
        <v>0</v>
      </c>
      <c r="Z1255" s="14">
        <v>0</v>
      </c>
      <c r="AA1255" s="4">
        <v>0</v>
      </c>
      <c r="AB1255" s="4">
        <f t="shared" si="184"/>
        <v>0</v>
      </c>
      <c r="AC1255" s="6">
        <f t="shared" si="185"/>
        <v>0</v>
      </c>
      <c r="AD1255" s="6">
        <f t="shared" si="182"/>
        <v>0</v>
      </c>
      <c r="AE1255" s="2">
        <v>7.0000000000000007E-2</v>
      </c>
      <c r="AF1255" s="5">
        <f t="shared" si="186"/>
        <v>0</v>
      </c>
      <c r="AG1255" s="14">
        <v>0</v>
      </c>
      <c r="AH1255" s="19">
        <f t="shared" si="188"/>
        <v>0</v>
      </c>
      <c r="AJ1255" s="126" t="e">
        <v>#N/A</v>
      </c>
      <c r="AK1255" s="80">
        <f t="shared" si="187"/>
        <v>0</v>
      </c>
      <c r="AM1255" s="85"/>
    </row>
    <row r="1256" spans="1:39" hidden="1" x14ac:dyDescent="0.3">
      <c r="A1256" s="85" t="s">
        <v>34</v>
      </c>
      <c r="B1256" s="15" t="s">
        <v>35</v>
      </c>
      <c r="C1256" s="15" t="s">
        <v>65</v>
      </c>
      <c r="D1256" s="15" t="s">
        <v>66</v>
      </c>
      <c r="E1256" s="15" t="s">
        <v>1234</v>
      </c>
      <c r="F1256" s="15" t="s">
        <v>1234</v>
      </c>
      <c r="G1256" s="15" t="s">
        <v>1234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1234</v>
      </c>
      <c r="N1256" s="15"/>
      <c r="O1256" s="8" t="s">
        <v>410</v>
      </c>
      <c r="P1256" s="8" t="s">
        <v>41</v>
      </c>
      <c r="Q1256" s="9">
        <v>0</v>
      </c>
      <c r="R1256" s="139" t="s">
        <v>1885</v>
      </c>
      <c r="S1256" s="15"/>
      <c r="T1256" s="18">
        <v>-47.45000000030268</v>
      </c>
      <c r="U1256" s="4">
        <v>0</v>
      </c>
      <c r="V1256" s="6">
        <v>0</v>
      </c>
      <c r="W1256" s="18">
        <f t="shared" si="189"/>
        <v>-47.45000000030268</v>
      </c>
      <c r="X1256" s="18">
        <f t="shared" si="190"/>
        <v>0</v>
      </c>
      <c r="Y1256" s="13">
        <f t="shared" si="183"/>
        <v>0</v>
      </c>
      <c r="Z1256" s="14">
        <v>0</v>
      </c>
      <c r="AA1256" s="4">
        <v>0</v>
      </c>
      <c r="AB1256" s="4">
        <f t="shared" si="184"/>
        <v>0</v>
      </c>
      <c r="AC1256" s="6">
        <f t="shared" si="185"/>
        <v>0</v>
      </c>
      <c r="AD1256" s="6">
        <f t="shared" si="182"/>
        <v>0</v>
      </c>
      <c r="AE1256" s="2">
        <v>7.0000000000000007E-2</v>
      </c>
      <c r="AF1256" s="5">
        <f t="shared" si="186"/>
        <v>0</v>
      </c>
      <c r="AG1256" s="14">
        <v>0</v>
      </c>
      <c r="AH1256" s="19">
        <f t="shared" si="188"/>
        <v>0</v>
      </c>
      <c r="AJ1256" s="126" t="e">
        <v>#N/A</v>
      </c>
      <c r="AK1256" s="80">
        <f t="shared" si="187"/>
        <v>0</v>
      </c>
      <c r="AM1256" s="85"/>
    </row>
    <row r="1257" spans="1:39" hidden="1" x14ac:dyDescent="0.3">
      <c r="A1257" s="85" t="s">
        <v>34</v>
      </c>
      <c r="B1257" s="15" t="s">
        <v>35</v>
      </c>
      <c r="C1257" s="15" t="s">
        <v>65</v>
      </c>
      <c r="D1257" s="15" t="s">
        <v>66</v>
      </c>
      <c r="E1257" s="15" t="s">
        <v>1234</v>
      </c>
      <c r="F1257" s="15" t="s">
        <v>1886</v>
      </c>
      <c r="G1257" s="15" t="s">
        <v>1234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1235</v>
      </c>
      <c r="N1257" s="15"/>
      <c r="O1257" s="8" t="s">
        <v>410</v>
      </c>
      <c r="P1257" s="8" t="s">
        <v>46</v>
      </c>
      <c r="Q1257" s="9">
        <v>0.02</v>
      </c>
      <c r="R1257" s="139" t="s">
        <v>1887</v>
      </c>
      <c r="S1257" s="15"/>
      <c r="T1257" s="18">
        <v>-2.4999999999892566</v>
      </c>
      <c r="U1257" s="4">
        <v>0</v>
      </c>
      <c r="V1257" s="6">
        <v>0</v>
      </c>
      <c r="W1257" s="18">
        <f t="shared" si="189"/>
        <v>-2.4999999999892566</v>
      </c>
      <c r="X1257" s="18">
        <f t="shared" si="190"/>
        <v>0</v>
      </c>
      <c r="Y1257" s="13">
        <f t="shared" si="183"/>
        <v>0</v>
      </c>
      <c r="Z1257" s="14">
        <v>0</v>
      </c>
      <c r="AA1257" s="4">
        <v>0</v>
      </c>
      <c r="AB1257" s="4">
        <f t="shared" si="184"/>
        <v>0</v>
      </c>
      <c r="AC1257" s="6">
        <f t="shared" si="185"/>
        <v>0</v>
      </c>
      <c r="AD1257" s="6">
        <f t="shared" si="182"/>
        <v>0</v>
      </c>
      <c r="AE1257" s="2">
        <v>7.0000000000000007E-2</v>
      </c>
      <c r="AF1257" s="5">
        <f t="shared" si="186"/>
        <v>0</v>
      </c>
      <c r="AG1257" s="14">
        <v>0</v>
      </c>
      <c r="AH1257" s="19">
        <f t="shared" si="188"/>
        <v>0</v>
      </c>
      <c r="AJ1257" s="126" t="e">
        <v>#N/A</v>
      </c>
      <c r="AK1257" s="80">
        <f t="shared" si="187"/>
        <v>0</v>
      </c>
      <c r="AM1257" s="85"/>
    </row>
    <row r="1258" spans="1:39" hidden="1" x14ac:dyDescent="0.3">
      <c r="A1258" s="85" t="s">
        <v>34</v>
      </c>
      <c r="B1258" s="15" t="s">
        <v>35</v>
      </c>
      <c r="C1258" s="15" t="s">
        <v>65</v>
      </c>
      <c r="D1258" s="15" t="s">
        <v>66</v>
      </c>
      <c r="E1258" s="15" t="s">
        <v>501</v>
      </c>
      <c r="F1258" s="15" t="s">
        <v>501</v>
      </c>
      <c r="G1258" s="15" t="s">
        <v>501</v>
      </c>
      <c r="H1258" s="154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501</v>
      </c>
      <c r="N1258" s="15"/>
      <c r="O1258" s="8" t="s">
        <v>410</v>
      </c>
      <c r="P1258" s="8" t="s">
        <v>41</v>
      </c>
      <c r="Q1258" s="9">
        <v>0</v>
      </c>
      <c r="R1258" s="139" t="s">
        <v>1888</v>
      </c>
      <c r="S1258" s="15"/>
      <c r="T1258" s="18">
        <v>-2.7999999998719431</v>
      </c>
      <c r="U1258" s="4">
        <v>0</v>
      </c>
      <c r="V1258" s="6">
        <v>1.7</v>
      </c>
      <c r="W1258" s="18">
        <f t="shared" si="189"/>
        <v>-4.4999999998719433</v>
      </c>
      <c r="X1258" s="18">
        <f t="shared" si="190"/>
        <v>1.7</v>
      </c>
      <c r="Y1258" s="13">
        <f t="shared" si="183"/>
        <v>0.68177606715847294</v>
      </c>
      <c r="Z1258" s="14">
        <v>0</v>
      </c>
      <c r="AA1258" s="4">
        <v>0</v>
      </c>
      <c r="AB1258" s="4">
        <f t="shared" si="184"/>
        <v>1.7</v>
      </c>
      <c r="AC1258" s="6">
        <f t="shared" si="185"/>
        <v>0</v>
      </c>
      <c r="AD1258" s="6">
        <f t="shared" si="182"/>
        <v>1.018223932841527</v>
      </c>
      <c r="AE1258" s="2">
        <v>7.0000000000000007E-2</v>
      </c>
      <c r="AF1258" s="5">
        <f t="shared" si="186"/>
        <v>7.1275675298906896E-2</v>
      </c>
      <c r="AG1258" s="14">
        <v>0</v>
      </c>
      <c r="AH1258" s="19">
        <f t="shared" si="188"/>
        <v>1.7</v>
      </c>
      <c r="AJ1258" s="126" t="e">
        <v>#N/A</v>
      </c>
      <c r="AK1258" s="80">
        <f t="shared" si="187"/>
        <v>0</v>
      </c>
      <c r="AM1258" s="85"/>
    </row>
    <row r="1259" spans="1:39" hidden="1" x14ac:dyDescent="0.3">
      <c r="A1259" s="85" t="s">
        <v>34</v>
      </c>
      <c r="B1259" s="15" t="s">
        <v>35</v>
      </c>
      <c r="C1259" s="15" t="s">
        <v>65</v>
      </c>
      <c r="D1259" s="15" t="s">
        <v>66</v>
      </c>
      <c r="E1259" s="15" t="s">
        <v>1889</v>
      </c>
      <c r="F1259" s="15" t="s">
        <v>1889</v>
      </c>
      <c r="G1259" s="15" t="s">
        <v>1889</v>
      </c>
      <c r="H1259" s="139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1889</v>
      </c>
      <c r="N1259" s="15"/>
      <c r="O1259" s="8" t="s">
        <v>410</v>
      </c>
      <c r="P1259" s="8" t="s">
        <v>46</v>
      </c>
      <c r="Q1259" s="9">
        <v>0.01</v>
      </c>
      <c r="R1259" s="139" t="s">
        <v>1890</v>
      </c>
      <c r="S1259" s="15"/>
      <c r="T1259" s="18">
        <v>-4.1000000000065029</v>
      </c>
      <c r="U1259" s="4">
        <v>0</v>
      </c>
      <c r="V1259" s="6">
        <v>0</v>
      </c>
      <c r="W1259" s="18">
        <f t="shared" si="189"/>
        <v>-4.1000000000065029</v>
      </c>
      <c r="X1259" s="18">
        <f t="shared" si="190"/>
        <v>0</v>
      </c>
      <c r="Y1259" s="13">
        <f t="shared" si="183"/>
        <v>0</v>
      </c>
      <c r="Z1259" s="14">
        <v>0</v>
      </c>
      <c r="AA1259" s="4">
        <v>0</v>
      </c>
      <c r="AB1259" s="4">
        <f t="shared" si="184"/>
        <v>0</v>
      </c>
      <c r="AC1259" s="6">
        <f t="shared" si="185"/>
        <v>0</v>
      </c>
      <c r="AD1259" s="6">
        <f t="shared" si="182"/>
        <v>0</v>
      </c>
      <c r="AE1259" s="2">
        <v>7.0000000000000007E-2</v>
      </c>
      <c r="AF1259" s="5">
        <f t="shared" si="186"/>
        <v>0</v>
      </c>
      <c r="AG1259" s="14">
        <v>0</v>
      </c>
      <c r="AH1259" s="19">
        <f t="shared" si="188"/>
        <v>0</v>
      </c>
      <c r="AJ1259" s="126" t="e">
        <v>#N/A</v>
      </c>
      <c r="AK1259" s="80">
        <f t="shared" si="187"/>
        <v>0</v>
      </c>
      <c r="AM1259" s="85"/>
    </row>
    <row r="1260" spans="1:39" hidden="1" x14ac:dyDescent="0.3">
      <c r="A1260" s="85" t="s">
        <v>34</v>
      </c>
      <c r="B1260" s="15" t="s">
        <v>35</v>
      </c>
      <c r="C1260" s="15" t="s">
        <v>65</v>
      </c>
      <c r="D1260" s="15" t="s">
        <v>66</v>
      </c>
      <c r="E1260" s="15" t="s">
        <v>1891</v>
      </c>
      <c r="F1260" s="15" t="s">
        <v>1891</v>
      </c>
      <c r="G1260" s="15" t="s">
        <v>1891</v>
      </c>
      <c r="H1260" s="139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1892</v>
      </c>
      <c r="N1260" s="15"/>
      <c r="O1260" s="8" t="s">
        <v>410</v>
      </c>
      <c r="P1260" s="8" t="s">
        <v>46</v>
      </c>
      <c r="Q1260" s="9">
        <v>0.06</v>
      </c>
      <c r="R1260" s="139" t="s">
        <v>1893</v>
      </c>
      <c r="S1260" s="15"/>
      <c r="T1260" s="18">
        <v>0</v>
      </c>
      <c r="U1260" s="4">
        <v>0</v>
      </c>
      <c r="V1260" s="6">
        <v>0</v>
      </c>
      <c r="W1260" s="18">
        <f t="shared" si="189"/>
        <v>0</v>
      </c>
      <c r="X1260" s="18">
        <f t="shared" si="190"/>
        <v>0</v>
      </c>
      <c r="Y1260" s="13">
        <f t="shared" si="183"/>
        <v>0</v>
      </c>
      <c r="Z1260" s="14">
        <v>0</v>
      </c>
      <c r="AA1260" s="4">
        <v>0</v>
      </c>
      <c r="AB1260" s="4">
        <f t="shared" si="184"/>
        <v>0</v>
      </c>
      <c r="AC1260" s="6">
        <f t="shared" si="185"/>
        <v>0</v>
      </c>
      <c r="AD1260" s="6">
        <f t="shared" si="182"/>
        <v>0</v>
      </c>
      <c r="AE1260" s="2">
        <v>7.0000000000000007E-2</v>
      </c>
      <c r="AF1260" s="5">
        <f t="shared" si="186"/>
        <v>0</v>
      </c>
      <c r="AG1260" s="14">
        <v>0</v>
      </c>
      <c r="AH1260" s="19">
        <f t="shared" si="188"/>
        <v>0</v>
      </c>
      <c r="AJ1260" s="126" t="e">
        <v>#N/A</v>
      </c>
      <c r="AK1260" s="80">
        <f t="shared" si="187"/>
        <v>0</v>
      </c>
      <c r="AM1260" s="85"/>
    </row>
    <row r="1261" spans="1:39" hidden="1" x14ac:dyDescent="0.3">
      <c r="A1261" s="85" t="s">
        <v>34</v>
      </c>
      <c r="B1261" s="15" t="s">
        <v>35</v>
      </c>
      <c r="C1261" s="15" t="s">
        <v>65</v>
      </c>
      <c r="D1261" s="15" t="s">
        <v>122</v>
      </c>
      <c r="E1261" s="15" t="s">
        <v>1894</v>
      </c>
      <c r="F1261" s="15" t="s">
        <v>1894</v>
      </c>
      <c r="G1261" s="15" t="s">
        <v>1894</v>
      </c>
      <c r="H1261" s="139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1894</v>
      </c>
      <c r="N1261" s="15"/>
      <c r="O1261" s="8" t="s">
        <v>410</v>
      </c>
      <c r="P1261" s="8" t="s">
        <v>41</v>
      </c>
      <c r="Q1261" s="9">
        <v>0</v>
      </c>
      <c r="R1261" s="139" t="s">
        <v>1895</v>
      </c>
      <c r="S1261" s="15"/>
      <c r="T1261" s="18">
        <v>-88.000000000025466</v>
      </c>
      <c r="U1261" s="4">
        <v>0</v>
      </c>
      <c r="V1261" s="6">
        <v>0</v>
      </c>
      <c r="W1261" s="18">
        <f t="shared" si="189"/>
        <v>-88.000000000025466</v>
      </c>
      <c r="X1261" s="18">
        <f t="shared" si="190"/>
        <v>0</v>
      </c>
      <c r="Y1261" s="13">
        <f t="shared" si="183"/>
        <v>0</v>
      </c>
      <c r="Z1261" s="14">
        <v>0</v>
      </c>
      <c r="AA1261" s="4">
        <v>0</v>
      </c>
      <c r="AB1261" s="4">
        <f t="shared" si="184"/>
        <v>0</v>
      </c>
      <c r="AC1261" s="6">
        <f t="shared" si="185"/>
        <v>0</v>
      </c>
      <c r="AD1261" s="6">
        <f t="shared" si="182"/>
        <v>0</v>
      </c>
      <c r="AE1261" s="2">
        <v>7.0000000000000007E-2</v>
      </c>
      <c r="AF1261" s="5">
        <f t="shared" si="186"/>
        <v>0</v>
      </c>
      <c r="AG1261" s="14">
        <v>0</v>
      </c>
      <c r="AH1261" s="19">
        <f t="shared" si="188"/>
        <v>0</v>
      </c>
      <c r="AJ1261" s="126" t="e">
        <v>#N/A</v>
      </c>
      <c r="AK1261" s="80">
        <f t="shared" si="187"/>
        <v>0</v>
      </c>
      <c r="AM1261" s="85"/>
    </row>
    <row r="1262" spans="1:39" hidden="1" x14ac:dyDescent="0.3">
      <c r="A1262" s="85" t="s">
        <v>34</v>
      </c>
      <c r="B1262" s="15" t="s">
        <v>35</v>
      </c>
      <c r="C1262" s="15" t="s">
        <v>65</v>
      </c>
      <c r="D1262" s="15" t="s">
        <v>122</v>
      </c>
      <c r="E1262" s="15" t="s">
        <v>1896</v>
      </c>
      <c r="F1262" s="15" t="s">
        <v>1896</v>
      </c>
      <c r="G1262" s="15" t="s">
        <v>1896</v>
      </c>
      <c r="H1262" s="139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1896</v>
      </c>
      <c r="N1262" s="15"/>
      <c r="O1262" s="8" t="s">
        <v>410</v>
      </c>
      <c r="P1262" s="8" t="s">
        <v>46</v>
      </c>
      <c r="Q1262" s="9">
        <v>0.02</v>
      </c>
      <c r="R1262" s="139" t="s">
        <v>1897</v>
      </c>
      <c r="S1262" s="15"/>
      <c r="T1262" s="18">
        <v>-1.45</v>
      </c>
      <c r="U1262" s="4">
        <v>0</v>
      </c>
      <c r="V1262" s="6">
        <v>0</v>
      </c>
      <c r="W1262" s="18">
        <f t="shared" si="189"/>
        <v>-1.45</v>
      </c>
      <c r="X1262" s="18">
        <f t="shared" si="190"/>
        <v>0</v>
      </c>
      <c r="Y1262" s="13">
        <f t="shared" si="183"/>
        <v>0</v>
      </c>
      <c r="Z1262" s="14">
        <v>0</v>
      </c>
      <c r="AA1262" s="4">
        <v>0</v>
      </c>
      <c r="AB1262" s="4">
        <f t="shared" si="184"/>
        <v>0</v>
      </c>
      <c r="AC1262" s="6">
        <f t="shared" si="185"/>
        <v>0</v>
      </c>
      <c r="AD1262" s="6">
        <f t="shared" si="182"/>
        <v>0</v>
      </c>
      <c r="AE1262" s="2">
        <v>7.0000000000000007E-2</v>
      </c>
      <c r="AF1262" s="5">
        <f t="shared" si="186"/>
        <v>0</v>
      </c>
      <c r="AG1262" s="14">
        <v>0</v>
      </c>
      <c r="AH1262" s="19">
        <f t="shared" si="188"/>
        <v>0</v>
      </c>
      <c r="AJ1262" s="126" t="e">
        <v>#N/A</v>
      </c>
      <c r="AK1262" s="80">
        <f t="shared" si="187"/>
        <v>0</v>
      </c>
      <c r="AM1262" s="85"/>
    </row>
    <row r="1263" spans="1:39" hidden="1" x14ac:dyDescent="0.3">
      <c r="A1263" s="85" t="s">
        <v>34</v>
      </c>
      <c r="B1263" s="15" t="s">
        <v>35</v>
      </c>
      <c r="C1263" s="15" t="s">
        <v>65</v>
      </c>
      <c r="D1263" s="15" t="s">
        <v>122</v>
      </c>
      <c r="E1263" s="15" t="s">
        <v>1898</v>
      </c>
      <c r="F1263" s="15" t="s">
        <v>1898</v>
      </c>
      <c r="G1263" s="15" t="s">
        <v>1898</v>
      </c>
      <c r="H1263" s="139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1898</v>
      </c>
      <c r="N1263" s="15"/>
      <c r="O1263" s="8" t="s">
        <v>1196</v>
      </c>
      <c r="P1263" s="8" t="s">
        <v>46</v>
      </c>
      <c r="Q1263" s="9">
        <v>0.08</v>
      </c>
      <c r="R1263" s="139" t="s">
        <v>1899</v>
      </c>
      <c r="S1263" s="15"/>
      <c r="T1263" s="18">
        <v>0.29000000000145504</v>
      </c>
      <c r="U1263" s="4">
        <v>0</v>
      </c>
      <c r="V1263" s="6">
        <v>0</v>
      </c>
      <c r="W1263" s="18">
        <f t="shared" si="189"/>
        <v>0.29000000000145504</v>
      </c>
      <c r="X1263" s="18">
        <f t="shared" si="190"/>
        <v>0</v>
      </c>
      <c r="Y1263" s="13">
        <f t="shared" si="183"/>
        <v>0</v>
      </c>
      <c r="Z1263" s="14">
        <v>0</v>
      </c>
      <c r="AA1263" s="4">
        <v>0</v>
      </c>
      <c r="AB1263" s="4">
        <f t="shared" si="184"/>
        <v>0</v>
      </c>
      <c r="AC1263" s="6">
        <f t="shared" si="185"/>
        <v>0</v>
      </c>
      <c r="AD1263" s="6">
        <f t="shared" si="182"/>
        <v>0</v>
      </c>
      <c r="AE1263" s="2">
        <v>0.12</v>
      </c>
      <c r="AF1263" s="5">
        <f t="shared" si="186"/>
        <v>0</v>
      </c>
      <c r="AG1263" s="14">
        <v>0</v>
      </c>
      <c r="AH1263" s="19">
        <f t="shared" si="188"/>
        <v>0</v>
      </c>
      <c r="AJ1263" s="126" t="e">
        <v>#N/A</v>
      </c>
      <c r="AK1263" s="80">
        <f t="shared" si="187"/>
        <v>0</v>
      </c>
      <c r="AM1263" s="85"/>
    </row>
    <row r="1264" spans="1:39" hidden="1" x14ac:dyDescent="0.3">
      <c r="A1264" s="85" t="s">
        <v>34</v>
      </c>
      <c r="B1264" s="15" t="s">
        <v>35</v>
      </c>
      <c r="C1264" s="15" t="s">
        <v>65</v>
      </c>
      <c r="D1264" s="15" t="s">
        <v>125</v>
      </c>
      <c r="E1264" s="15" t="s">
        <v>1900</v>
      </c>
      <c r="F1264" s="15" t="s">
        <v>1900</v>
      </c>
      <c r="G1264" s="15" t="s">
        <v>1900</v>
      </c>
      <c r="H1264" s="139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1901</v>
      </c>
      <c r="N1264" s="15"/>
      <c r="O1264" s="8" t="s">
        <v>410</v>
      </c>
      <c r="P1264" s="8" t="s">
        <v>46</v>
      </c>
      <c r="Q1264" s="9">
        <v>0.04</v>
      </c>
      <c r="R1264" s="139" t="s">
        <v>1902</v>
      </c>
      <c r="S1264" s="15"/>
      <c r="T1264" s="18">
        <v>257.24999999999818</v>
      </c>
      <c r="U1264" s="4">
        <v>0</v>
      </c>
      <c r="V1264" s="6">
        <v>0</v>
      </c>
      <c r="W1264" s="18">
        <f t="shared" si="189"/>
        <v>257.24999999999818</v>
      </c>
      <c r="X1264" s="18">
        <f t="shared" si="190"/>
        <v>0</v>
      </c>
      <c r="Y1264" s="13">
        <f t="shared" si="183"/>
        <v>0</v>
      </c>
      <c r="Z1264" s="14">
        <v>0</v>
      </c>
      <c r="AA1264" s="4">
        <v>0</v>
      </c>
      <c r="AB1264" s="4">
        <f t="shared" si="184"/>
        <v>0</v>
      </c>
      <c r="AC1264" s="6">
        <f t="shared" si="185"/>
        <v>0</v>
      </c>
      <c r="AD1264" s="6">
        <f t="shared" si="182"/>
        <v>0</v>
      </c>
      <c r="AE1264" s="2">
        <v>7.0000000000000007E-2</v>
      </c>
      <c r="AF1264" s="5">
        <f t="shared" si="186"/>
        <v>0</v>
      </c>
      <c r="AG1264" s="14">
        <v>0</v>
      </c>
      <c r="AH1264" s="19">
        <f t="shared" si="188"/>
        <v>0</v>
      </c>
      <c r="AJ1264" s="126" t="e">
        <v>#N/A</v>
      </c>
      <c r="AK1264" s="80">
        <f t="shared" si="187"/>
        <v>0</v>
      </c>
      <c r="AM1264" s="85"/>
    </row>
    <row r="1265" spans="1:39" hidden="1" x14ac:dyDescent="0.3">
      <c r="A1265" s="85" t="s">
        <v>34</v>
      </c>
      <c r="B1265" s="15" t="s">
        <v>35</v>
      </c>
      <c r="C1265" s="15" t="s">
        <v>65</v>
      </c>
      <c r="D1265" s="15" t="s">
        <v>125</v>
      </c>
      <c r="E1265" s="15" t="s">
        <v>1903</v>
      </c>
      <c r="F1265" s="15" t="s">
        <v>1904</v>
      </c>
      <c r="G1265" s="15" t="s">
        <v>1903</v>
      </c>
      <c r="H1265" s="139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1905</v>
      </c>
      <c r="N1265" s="15"/>
      <c r="O1265" s="8" t="s">
        <v>410</v>
      </c>
      <c r="P1265" s="8" t="s">
        <v>41</v>
      </c>
      <c r="Q1265" s="9">
        <v>0</v>
      </c>
      <c r="R1265" s="139" t="s">
        <v>1906</v>
      </c>
      <c r="S1265" s="15"/>
      <c r="T1265" s="18">
        <v>2768595.0750100003</v>
      </c>
      <c r="U1265" s="4">
        <v>0</v>
      </c>
      <c r="V1265" s="6">
        <v>0</v>
      </c>
      <c r="W1265" s="18">
        <f t="shared" si="189"/>
        <v>2768595.0750100003</v>
      </c>
      <c r="X1265" s="18">
        <f t="shared" si="190"/>
        <v>0</v>
      </c>
      <c r="Y1265" s="13">
        <f t="shared" si="183"/>
        <v>0</v>
      </c>
      <c r="Z1265" s="14">
        <v>0</v>
      </c>
      <c r="AA1265" s="4">
        <v>0</v>
      </c>
      <c r="AB1265" s="4">
        <f t="shared" si="184"/>
        <v>0</v>
      </c>
      <c r="AC1265" s="6">
        <f t="shared" si="185"/>
        <v>0</v>
      </c>
      <c r="AD1265" s="6">
        <f t="shared" si="182"/>
        <v>0</v>
      </c>
      <c r="AE1265" s="2">
        <v>7.0000000000000007E-2</v>
      </c>
      <c r="AF1265" s="5">
        <f t="shared" si="186"/>
        <v>0</v>
      </c>
      <c r="AG1265" s="14">
        <v>0</v>
      </c>
      <c r="AH1265" s="19">
        <f t="shared" si="188"/>
        <v>0</v>
      </c>
      <c r="AJ1265" s="126" t="e">
        <v>#N/A</v>
      </c>
      <c r="AK1265" s="80">
        <f t="shared" si="187"/>
        <v>0</v>
      </c>
      <c r="AM1265" s="85"/>
    </row>
    <row r="1266" spans="1:39" hidden="1" x14ac:dyDescent="0.3">
      <c r="A1266" s="85" t="s">
        <v>34</v>
      </c>
      <c r="B1266" s="15" t="s">
        <v>35</v>
      </c>
      <c r="C1266" s="15" t="s">
        <v>65</v>
      </c>
      <c r="D1266" s="15" t="s">
        <v>232</v>
      </c>
      <c r="E1266" s="15" t="s">
        <v>1907</v>
      </c>
      <c r="F1266" s="15" t="s">
        <v>1908</v>
      </c>
      <c r="G1266" s="15" t="s">
        <v>1907</v>
      </c>
      <c r="H1266" s="139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484</v>
      </c>
      <c r="N1266" s="15"/>
      <c r="O1266" s="8" t="s">
        <v>410</v>
      </c>
      <c r="P1266" s="8" t="s">
        <v>41</v>
      </c>
      <c r="Q1266" s="9">
        <v>0</v>
      </c>
      <c r="R1266" s="139" t="s">
        <v>1909</v>
      </c>
      <c r="S1266" s="15"/>
      <c r="T1266" s="18">
        <v>-6.5200000000186265</v>
      </c>
      <c r="U1266" s="4">
        <v>0</v>
      </c>
      <c r="V1266" s="6">
        <v>0</v>
      </c>
      <c r="W1266" s="18">
        <f t="shared" si="189"/>
        <v>-6.5200000000186265</v>
      </c>
      <c r="X1266" s="18">
        <f t="shared" si="190"/>
        <v>0</v>
      </c>
      <c r="Y1266" s="13">
        <f t="shared" si="183"/>
        <v>0</v>
      </c>
      <c r="Z1266" s="14">
        <v>0</v>
      </c>
      <c r="AA1266" s="4">
        <v>0</v>
      </c>
      <c r="AB1266" s="4">
        <f t="shared" si="184"/>
        <v>0</v>
      </c>
      <c r="AC1266" s="6">
        <f t="shared" si="185"/>
        <v>0</v>
      </c>
      <c r="AD1266" s="6">
        <f t="shared" si="182"/>
        <v>0</v>
      </c>
      <c r="AE1266" s="2">
        <v>7.0000000000000007E-2</v>
      </c>
      <c r="AF1266" s="5">
        <f t="shared" si="186"/>
        <v>0</v>
      </c>
      <c r="AG1266" s="14">
        <v>0</v>
      </c>
      <c r="AH1266" s="19">
        <f t="shared" si="188"/>
        <v>0</v>
      </c>
      <c r="AJ1266" s="126" t="e">
        <v>#N/A</v>
      </c>
      <c r="AK1266" s="80">
        <f t="shared" si="187"/>
        <v>0</v>
      </c>
      <c r="AM1266" s="85"/>
    </row>
    <row r="1267" spans="1:39" hidden="1" x14ac:dyDescent="0.3">
      <c r="A1267" s="85" t="s">
        <v>34</v>
      </c>
      <c r="B1267" s="15" t="s">
        <v>35</v>
      </c>
      <c r="C1267" s="15" t="s">
        <v>47</v>
      </c>
      <c r="D1267" s="15" t="s">
        <v>878</v>
      </c>
      <c r="E1267" s="15" t="s">
        <v>1910</v>
      </c>
      <c r="F1267" s="15" t="s">
        <v>1910</v>
      </c>
      <c r="G1267" s="15" t="s">
        <v>1910</v>
      </c>
      <c r="H1267" s="139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1910</v>
      </c>
      <c r="N1267" s="15"/>
      <c r="O1267" s="8" t="s">
        <v>1196</v>
      </c>
      <c r="P1267" s="8" t="s">
        <v>46</v>
      </c>
      <c r="Q1267" s="9">
        <v>0.02</v>
      </c>
      <c r="R1267" s="139" t="s">
        <v>1911</v>
      </c>
      <c r="S1267" s="15"/>
      <c r="T1267" s="18">
        <v>0.34000000000014552</v>
      </c>
      <c r="U1267" s="4">
        <v>0</v>
      </c>
      <c r="V1267" s="6">
        <v>0</v>
      </c>
      <c r="W1267" s="18">
        <f t="shared" si="189"/>
        <v>0.34000000000014552</v>
      </c>
      <c r="X1267" s="18">
        <f t="shared" si="190"/>
        <v>0</v>
      </c>
      <c r="Y1267" s="13">
        <f t="shared" si="183"/>
        <v>0</v>
      </c>
      <c r="Z1267" s="14">
        <v>0</v>
      </c>
      <c r="AA1267" s="4">
        <v>0</v>
      </c>
      <c r="AB1267" s="4">
        <f t="shared" si="184"/>
        <v>0</v>
      </c>
      <c r="AC1267" s="6">
        <f t="shared" si="185"/>
        <v>0</v>
      </c>
      <c r="AD1267" s="6">
        <f t="shared" si="182"/>
        <v>0</v>
      </c>
      <c r="AE1267" s="2">
        <v>0.12</v>
      </c>
      <c r="AF1267" s="5">
        <f t="shared" si="186"/>
        <v>0</v>
      </c>
      <c r="AG1267" s="14">
        <v>0</v>
      </c>
      <c r="AH1267" s="19">
        <f t="shared" si="188"/>
        <v>0</v>
      </c>
      <c r="AJ1267" s="126" t="e">
        <v>#N/A</v>
      </c>
      <c r="AK1267" s="80">
        <f t="shared" si="187"/>
        <v>0</v>
      </c>
      <c r="AM1267" s="85"/>
    </row>
    <row r="1268" spans="1:39" hidden="1" x14ac:dyDescent="0.3">
      <c r="A1268" s="85" t="s">
        <v>34</v>
      </c>
      <c r="B1268" s="15" t="s">
        <v>35</v>
      </c>
      <c r="C1268" s="15" t="s">
        <v>47</v>
      </c>
      <c r="D1268" s="15" t="s">
        <v>63</v>
      </c>
      <c r="E1268" s="15" t="s">
        <v>1912</v>
      </c>
      <c r="F1268" s="15" t="s">
        <v>1912</v>
      </c>
      <c r="G1268" s="15" t="s">
        <v>1912</v>
      </c>
      <c r="H1268" s="139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1912</v>
      </c>
      <c r="N1268" s="15"/>
      <c r="O1268" s="8" t="s">
        <v>410</v>
      </c>
      <c r="P1268" s="8" t="s">
        <v>46</v>
      </c>
      <c r="Q1268" s="9">
        <v>0.02</v>
      </c>
      <c r="R1268" s="139" t="s">
        <v>1913</v>
      </c>
      <c r="S1268" s="15"/>
      <c r="T1268" s="18">
        <v>-4.0000000007012204E-2</v>
      </c>
      <c r="U1268" s="4">
        <v>0</v>
      </c>
      <c r="V1268" s="6">
        <v>0</v>
      </c>
      <c r="W1268" s="18">
        <f t="shared" si="189"/>
        <v>-4.0000000007012204E-2</v>
      </c>
      <c r="X1268" s="18">
        <f t="shared" si="190"/>
        <v>0</v>
      </c>
      <c r="Y1268" s="13">
        <f t="shared" si="183"/>
        <v>0</v>
      </c>
      <c r="Z1268" s="14">
        <v>0</v>
      </c>
      <c r="AA1268" s="4">
        <v>0</v>
      </c>
      <c r="AB1268" s="4">
        <f t="shared" si="184"/>
        <v>0</v>
      </c>
      <c r="AC1268" s="6">
        <f t="shared" si="185"/>
        <v>0</v>
      </c>
      <c r="AD1268" s="6">
        <f t="shared" si="182"/>
        <v>0</v>
      </c>
      <c r="AE1268" s="2">
        <v>7.0000000000000007E-2</v>
      </c>
      <c r="AF1268" s="5">
        <f t="shared" si="186"/>
        <v>0</v>
      </c>
      <c r="AG1268" s="14">
        <v>0</v>
      </c>
      <c r="AH1268" s="19">
        <f t="shared" si="188"/>
        <v>0</v>
      </c>
      <c r="AJ1268" s="126" t="e">
        <v>#N/A</v>
      </c>
      <c r="AK1268" s="80">
        <f t="shared" si="187"/>
        <v>0</v>
      </c>
      <c r="AM1268" s="85"/>
    </row>
    <row r="1269" spans="1:39" hidden="1" x14ac:dyDescent="0.3">
      <c r="A1269" s="85" t="s">
        <v>34</v>
      </c>
      <c r="B1269" s="15" t="s">
        <v>35</v>
      </c>
      <c r="C1269" s="15" t="s">
        <v>47</v>
      </c>
      <c r="D1269" s="15" t="s">
        <v>63</v>
      </c>
      <c r="E1269" s="15" t="s">
        <v>1914</v>
      </c>
      <c r="F1269" s="15" t="s">
        <v>1914</v>
      </c>
      <c r="G1269" s="15" t="s">
        <v>1914</v>
      </c>
      <c r="H1269" s="139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1914</v>
      </c>
      <c r="N1269" s="15"/>
      <c r="O1269" s="8" t="s">
        <v>410</v>
      </c>
      <c r="P1269" s="8" t="s">
        <v>46</v>
      </c>
      <c r="Q1269" s="9">
        <v>0.02</v>
      </c>
      <c r="R1269" s="139" t="s">
        <v>1915</v>
      </c>
      <c r="S1269" s="15"/>
      <c r="T1269" s="18">
        <v>-245.00000000000364</v>
      </c>
      <c r="U1269" s="4">
        <v>0</v>
      </c>
      <c r="V1269" s="6">
        <v>0</v>
      </c>
      <c r="W1269" s="18">
        <f t="shared" si="189"/>
        <v>-245.00000000000364</v>
      </c>
      <c r="X1269" s="18">
        <f t="shared" si="190"/>
        <v>0</v>
      </c>
      <c r="Y1269" s="13">
        <f t="shared" si="183"/>
        <v>0</v>
      </c>
      <c r="Z1269" s="14">
        <v>0</v>
      </c>
      <c r="AA1269" s="4">
        <v>0</v>
      </c>
      <c r="AB1269" s="4">
        <f t="shared" si="184"/>
        <v>0</v>
      </c>
      <c r="AC1269" s="6">
        <f t="shared" si="185"/>
        <v>0</v>
      </c>
      <c r="AD1269" s="6">
        <f t="shared" si="182"/>
        <v>0</v>
      </c>
      <c r="AE1269" s="2">
        <v>7.0000000000000007E-2</v>
      </c>
      <c r="AF1269" s="5">
        <f t="shared" si="186"/>
        <v>0</v>
      </c>
      <c r="AG1269" s="14">
        <v>0</v>
      </c>
      <c r="AH1269" s="19">
        <f t="shared" si="188"/>
        <v>0</v>
      </c>
      <c r="AJ1269" s="126" t="e">
        <v>#N/A</v>
      </c>
      <c r="AK1269" s="80">
        <f t="shared" si="187"/>
        <v>0</v>
      </c>
      <c r="AM1269" s="85"/>
    </row>
    <row r="1270" spans="1:39" hidden="1" x14ac:dyDescent="0.3">
      <c r="A1270" s="85" t="s">
        <v>34</v>
      </c>
      <c r="B1270" s="15" t="s">
        <v>35</v>
      </c>
      <c r="C1270" s="15" t="s">
        <v>47</v>
      </c>
      <c r="D1270" s="15" t="s">
        <v>48</v>
      </c>
      <c r="E1270" s="15" t="s">
        <v>1916</v>
      </c>
      <c r="F1270" s="15" t="s">
        <v>1916</v>
      </c>
      <c r="G1270" s="15" t="s">
        <v>1916</v>
      </c>
      <c r="H1270" s="139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1917</v>
      </c>
      <c r="N1270" s="15"/>
      <c r="O1270" s="8" t="s">
        <v>410</v>
      </c>
      <c r="P1270" s="8" t="s">
        <v>41</v>
      </c>
      <c r="Q1270" s="9">
        <v>0</v>
      </c>
      <c r="R1270" s="139" t="s">
        <v>1918</v>
      </c>
      <c r="S1270" s="15"/>
      <c r="T1270" s="18">
        <v>5.8789900001138449</v>
      </c>
      <c r="U1270" s="4">
        <v>0</v>
      </c>
      <c r="V1270" s="6">
        <v>0</v>
      </c>
      <c r="W1270" s="18">
        <f t="shared" si="189"/>
        <v>5.8789900001138449</v>
      </c>
      <c r="X1270" s="18">
        <f t="shared" si="190"/>
        <v>0</v>
      </c>
      <c r="Y1270" s="13">
        <f t="shared" si="183"/>
        <v>0</v>
      </c>
      <c r="Z1270" s="14">
        <v>0</v>
      </c>
      <c r="AA1270" s="4">
        <v>0</v>
      </c>
      <c r="AB1270" s="4">
        <f t="shared" si="184"/>
        <v>0</v>
      </c>
      <c r="AC1270" s="6">
        <f t="shared" si="185"/>
        <v>0</v>
      </c>
      <c r="AD1270" s="6">
        <f t="shared" si="182"/>
        <v>0</v>
      </c>
      <c r="AE1270" s="2">
        <v>7.0000000000000007E-2</v>
      </c>
      <c r="AF1270" s="5">
        <f t="shared" si="186"/>
        <v>0</v>
      </c>
      <c r="AG1270" s="14">
        <v>0</v>
      </c>
      <c r="AH1270" s="19">
        <f t="shared" si="188"/>
        <v>0</v>
      </c>
      <c r="AJ1270" s="126" t="e">
        <v>#N/A</v>
      </c>
      <c r="AK1270" s="80">
        <f t="shared" si="187"/>
        <v>0</v>
      </c>
      <c r="AM1270" s="85"/>
    </row>
    <row r="1271" spans="1:39" hidden="1" x14ac:dyDescent="0.3">
      <c r="A1271" s="85" t="s">
        <v>34</v>
      </c>
      <c r="B1271" s="15" t="s">
        <v>35</v>
      </c>
      <c r="C1271" s="15" t="s">
        <v>47</v>
      </c>
      <c r="D1271" s="15" t="s">
        <v>48</v>
      </c>
      <c r="E1271" s="15" t="s">
        <v>542</v>
      </c>
      <c r="F1271" s="15" t="s">
        <v>543</v>
      </c>
      <c r="G1271" s="15" t="s">
        <v>542</v>
      </c>
      <c r="H1271" s="139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542</v>
      </c>
      <c r="N1271" s="15"/>
      <c r="O1271" s="8" t="s">
        <v>410</v>
      </c>
      <c r="P1271" s="8" t="s">
        <v>41</v>
      </c>
      <c r="Q1271" s="9">
        <v>0</v>
      </c>
      <c r="R1271" s="139" t="s">
        <v>1919</v>
      </c>
      <c r="S1271" s="15"/>
      <c r="T1271" s="18">
        <v>35.500050000031479</v>
      </c>
      <c r="U1271" s="4">
        <v>0</v>
      </c>
      <c r="V1271" s="6">
        <v>0</v>
      </c>
      <c r="W1271" s="18">
        <f t="shared" si="189"/>
        <v>35.500050000031479</v>
      </c>
      <c r="X1271" s="18">
        <f t="shared" si="190"/>
        <v>0</v>
      </c>
      <c r="Y1271" s="13">
        <f t="shared" si="183"/>
        <v>0</v>
      </c>
      <c r="Z1271" s="14">
        <v>0</v>
      </c>
      <c r="AA1271" s="4">
        <v>0</v>
      </c>
      <c r="AB1271" s="4">
        <f t="shared" si="184"/>
        <v>0</v>
      </c>
      <c r="AC1271" s="6">
        <f t="shared" si="185"/>
        <v>0</v>
      </c>
      <c r="AD1271" s="6">
        <f t="shared" si="182"/>
        <v>0</v>
      </c>
      <c r="AE1271" s="2">
        <v>7.0000000000000007E-2</v>
      </c>
      <c r="AF1271" s="5">
        <f t="shared" si="186"/>
        <v>0</v>
      </c>
      <c r="AG1271" s="14">
        <v>0</v>
      </c>
      <c r="AH1271" s="19">
        <f t="shared" si="188"/>
        <v>0</v>
      </c>
      <c r="AJ1271" s="126" t="e">
        <v>#N/A</v>
      </c>
      <c r="AK1271" s="80">
        <f t="shared" si="187"/>
        <v>0</v>
      </c>
      <c r="AM1271" s="85"/>
    </row>
    <row r="1272" spans="1:39" hidden="1" x14ac:dyDescent="0.3">
      <c r="A1272" s="85" t="s">
        <v>34</v>
      </c>
      <c r="B1272" s="15" t="s">
        <v>35</v>
      </c>
      <c r="C1272" s="15" t="s">
        <v>47</v>
      </c>
      <c r="D1272" s="15" t="s">
        <v>48</v>
      </c>
      <c r="E1272" s="15" t="s">
        <v>550</v>
      </c>
      <c r="F1272" s="15" t="s">
        <v>551</v>
      </c>
      <c r="G1272" s="15" t="s">
        <v>550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550</v>
      </c>
      <c r="N1272" s="15"/>
      <c r="O1272" s="8" t="s">
        <v>410</v>
      </c>
      <c r="P1272" s="8" t="s">
        <v>41</v>
      </c>
      <c r="Q1272" s="9">
        <v>0</v>
      </c>
      <c r="R1272" s="139" t="s">
        <v>1920</v>
      </c>
      <c r="S1272" s="15"/>
      <c r="T1272" s="18">
        <v>190585.96999999997</v>
      </c>
      <c r="U1272" s="4">
        <v>0</v>
      </c>
      <c r="V1272" s="6">
        <v>0</v>
      </c>
      <c r="W1272" s="18">
        <f t="shared" si="189"/>
        <v>190585.96999999997</v>
      </c>
      <c r="X1272" s="18">
        <f t="shared" si="190"/>
        <v>0</v>
      </c>
      <c r="Y1272" s="13">
        <f t="shared" si="183"/>
        <v>0</v>
      </c>
      <c r="Z1272" s="14">
        <v>0</v>
      </c>
      <c r="AA1272" s="4">
        <v>0</v>
      </c>
      <c r="AB1272" s="4">
        <f t="shared" si="184"/>
        <v>0</v>
      </c>
      <c r="AC1272" s="6">
        <f t="shared" si="185"/>
        <v>0</v>
      </c>
      <c r="AD1272" s="6">
        <f t="shared" si="182"/>
        <v>0</v>
      </c>
      <c r="AE1272" s="2">
        <v>7.0000000000000007E-2</v>
      </c>
      <c r="AF1272" s="5">
        <f t="shared" si="186"/>
        <v>0</v>
      </c>
      <c r="AG1272" s="14">
        <v>0</v>
      </c>
      <c r="AH1272" s="19">
        <f t="shared" si="188"/>
        <v>0</v>
      </c>
      <c r="AJ1272" s="126" t="e">
        <v>#N/A</v>
      </c>
      <c r="AK1272" s="80">
        <f t="shared" si="187"/>
        <v>0</v>
      </c>
      <c r="AM1272" s="85"/>
    </row>
    <row r="1273" spans="1:39" hidden="1" x14ac:dyDescent="0.3">
      <c r="A1273" s="85" t="s">
        <v>34</v>
      </c>
      <c r="B1273" s="15" t="s">
        <v>35</v>
      </c>
      <c r="C1273" s="15" t="s">
        <v>47</v>
      </c>
      <c r="D1273" s="15" t="s">
        <v>48</v>
      </c>
      <c r="E1273" s="15" t="s">
        <v>1921</v>
      </c>
      <c r="F1273" s="15" t="s">
        <v>1921</v>
      </c>
      <c r="G1273" s="15" t="s">
        <v>1921</v>
      </c>
      <c r="H1273" s="154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1921</v>
      </c>
      <c r="N1273" s="15"/>
      <c r="O1273" s="8" t="s">
        <v>410</v>
      </c>
      <c r="P1273" s="8" t="s">
        <v>41</v>
      </c>
      <c r="Q1273" s="9">
        <v>0</v>
      </c>
      <c r="R1273" s="139" t="s">
        <v>1922</v>
      </c>
      <c r="S1273" s="15"/>
      <c r="T1273" s="18">
        <v>1921.0100000000002</v>
      </c>
      <c r="U1273" s="4">
        <v>0</v>
      </c>
      <c r="V1273" s="6">
        <v>1442.1</v>
      </c>
      <c r="W1273" s="18">
        <f t="shared" si="189"/>
        <v>478.91000000000031</v>
      </c>
      <c r="X1273" s="18">
        <f t="shared" si="190"/>
        <v>1442.1</v>
      </c>
      <c r="Y1273" s="13">
        <f t="shared" si="183"/>
        <v>578.34662732307868</v>
      </c>
      <c r="Z1273" s="14">
        <v>0</v>
      </c>
      <c r="AA1273" s="4">
        <v>0</v>
      </c>
      <c r="AB1273" s="4">
        <f t="shared" si="184"/>
        <v>1442.1</v>
      </c>
      <c r="AC1273" s="6">
        <f t="shared" si="185"/>
        <v>0</v>
      </c>
      <c r="AD1273" s="6">
        <f t="shared" si="182"/>
        <v>863.75337267692123</v>
      </c>
      <c r="AE1273" s="2">
        <v>7.0000000000000007E-2</v>
      </c>
      <c r="AF1273" s="5">
        <f t="shared" si="186"/>
        <v>60.462736087384492</v>
      </c>
      <c r="AG1273" s="14">
        <v>0</v>
      </c>
      <c r="AH1273" s="19">
        <f t="shared" si="188"/>
        <v>1442.1</v>
      </c>
      <c r="AJ1273" s="126" t="e">
        <v>#N/A</v>
      </c>
      <c r="AK1273" s="80">
        <f t="shared" si="187"/>
        <v>0</v>
      </c>
      <c r="AM1273" s="85"/>
    </row>
    <row r="1274" spans="1:39" hidden="1" x14ac:dyDescent="0.3">
      <c r="A1274" s="85" t="s">
        <v>34</v>
      </c>
      <c r="B1274" s="15" t="s">
        <v>35</v>
      </c>
      <c r="C1274" s="15" t="s">
        <v>144</v>
      </c>
      <c r="D1274" s="15" t="s">
        <v>145</v>
      </c>
      <c r="E1274" s="15" t="s">
        <v>805</v>
      </c>
      <c r="F1274" s="15" t="s">
        <v>805</v>
      </c>
      <c r="G1274" s="15" t="s">
        <v>805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805</v>
      </c>
      <c r="N1274" s="15"/>
      <c r="O1274" s="8" t="s">
        <v>410</v>
      </c>
      <c r="P1274" s="8" t="s">
        <v>46</v>
      </c>
      <c r="Q1274" s="9">
        <v>0.04</v>
      </c>
      <c r="R1274" s="139" t="s">
        <v>1401</v>
      </c>
      <c r="S1274" s="15" t="s">
        <v>1923</v>
      </c>
      <c r="T1274" s="18">
        <f>48586.1400000001-9413.01</f>
        <v>39173.130000000099</v>
      </c>
      <c r="U1274" s="4">
        <v>0</v>
      </c>
      <c r="V1274" s="6">
        <v>8199.4</v>
      </c>
      <c r="W1274" s="18">
        <f t="shared" si="189"/>
        <v>30973.730000000098</v>
      </c>
      <c r="X1274" s="18">
        <f t="shared" si="190"/>
        <v>7884.038461538461</v>
      </c>
      <c r="Y1274" s="13">
        <f t="shared" si="183"/>
        <v>2972.964746867392</v>
      </c>
      <c r="Z1274" s="14">
        <v>0</v>
      </c>
      <c r="AA1274" s="4">
        <v>0</v>
      </c>
      <c r="AB1274" s="4">
        <f t="shared" si="184"/>
        <v>7884.038461538461</v>
      </c>
      <c r="AC1274" s="6">
        <f t="shared" si="185"/>
        <v>315.36153846153866</v>
      </c>
      <c r="AD1274" s="6">
        <f t="shared" si="182"/>
        <v>4911.073714671069</v>
      </c>
      <c r="AE1274" s="2">
        <v>7.0000000000000007E-2</v>
      </c>
      <c r="AF1274" s="5">
        <f t="shared" si="186"/>
        <v>343.77516002697485</v>
      </c>
      <c r="AG1274" s="14">
        <v>0</v>
      </c>
      <c r="AH1274" s="19">
        <f t="shared" si="188"/>
        <v>8199.4</v>
      </c>
      <c r="AJ1274" s="126" t="e">
        <v>#N/A</v>
      </c>
      <c r="AK1274" s="80">
        <f t="shared" si="187"/>
        <v>0</v>
      </c>
      <c r="AM1274" s="85"/>
    </row>
    <row r="1275" spans="1:39" hidden="1" x14ac:dyDescent="0.3">
      <c r="A1275" s="85" t="s">
        <v>34</v>
      </c>
      <c r="B1275" s="15" t="s">
        <v>35</v>
      </c>
      <c r="C1275" s="15" t="s">
        <v>144</v>
      </c>
      <c r="D1275" s="15" t="s">
        <v>145</v>
      </c>
      <c r="E1275" s="15" t="s">
        <v>1416</v>
      </c>
      <c r="F1275" s="15" t="s">
        <v>1416</v>
      </c>
      <c r="G1275" s="15" t="s">
        <v>1416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1417</v>
      </c>
      <c r="N1275" s="15"/>
      <c r="O1275" s="8" t="s">
        <v>1196</v>
      </c>
      <c r="P1275" s="8" t="s">
        <v>46</v>
      </c>
      <c r="Q1275" s="9">
        <v>0.02</v>
      </c>
      <c r="R1275" s="139" t="s">
        <v>1924</v>
      </c>
      <c r="S1275" s="15"/>
      <c r="T1275" s="18">
        <v>30000</v>
      </c>
      <c r="U1275" s="4">
        <v>0</v>
      </c>
      <c r="V1275" s="6">
        <v>8094.2316099999998</v>
      </c>
      <c r="W1275" s="18">
        <f t="shared" si="189"/>
        <v>21905.768390000001</v>
      </c>
      <c r="X1275" s="18">
        <f t="shared" si="190"/>
        <v>7935.5211862745091</v>
      </c>
      <c r="Y1275" s="13">
        <f t="shared" si="183"/>
        <v>3087.4386314130943</v>
      </c>
      <c r="Z1275" s="14">
        <v>0</v>
      </c>
      <c r="AA1275" s="4">
        <v>0</v>
      </c>
      <c r="AB1275" s="4">
        <f t="shared" si="184"/>
        <v>7935.5211862745091</v>
      </c>
      <c r="AC1275" s="6">
        <f t="shared" si="185"/>
        <v>158.71042372549073</v>
      </c>
      <c r="AD1275" s="6">
        <f t="shared" si="182"/>
        <v>4848.0825548614148</v>
      </c>
      <c r="AE1275" s="2">
        <v>0.12</v>
      </c>
      <c r="AF1275" s="5">
        <f t="shared" si="186"/>
        <v>581.76990658336979</v>
      </c>
      <c r="AG1275" s="14">
        <v>0</v>
      </c>
      <c r="AH1275" s="19">
        <f t="shared" si="188"/>
        <v>8094.2316099999998</v>
      </c>
      <c r="AJ1275" s="126" t="e">
        <v>#N/A</v>
      </c>
      <c r="AK1275" s="80">
        <f t="shared" si="187"/>
        <v>0</v>
      </c>
      <c r="AM1275" s="85"/>
    </row>
    <row r="1276" spans="1:39" hidden="1" x14ac:dyDescent="0.3">
      <c r="A1276" s="85" t="s">
        <v>34</v>
      </c>
      <c r="B1276" s="15" t="s">
        <v>35</v>
      </c>
      <c r="C1276" s="15" t="s">
        <v>144</v>
      </c>
      <c r="D1276" s="15" t="s">
        <v>145</v>
      </c>
      <c r="E1276" s="15" t="s">
        <v>585</v>
      </c>
      <c r="F1276" s="15" t="s">
        <v>586</v>
      </c>
      <c r="G1276" s="15" t="s">
        <v>585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585</v>
      </c>
      <c r="N1276" s="15"/>
      <c r="O1276" s="8" t="s">
        <v>410</v>
      </c>
      <c r="P1276" s="8" t="s">
        <v>41</v>
      </c>
      <c r="Q1276" s="9">
        <v>0</v>
      </c>
      <c r="R1276" s="139" t="s">
        <v>1446</v>
      </c>
      <c r="S1276" s="15"/>
      <c r="T1276" s="18">
        <v>9015.85</v>
      </c>
      <c r="U1276" s="4">
        <v>0</v>
      </c>
      <c r="V1276" s="18">
        <v>9015.85</v>
      </c>
      <c r="W1276" s="18">
        <f t="shared" si="189"/>
        <v>0</v>
      </c>
      <c r="X1276" s="18">
        <f t="shared" si="190"/>
        <v>9015.85</v>
      </c>
      <c r="Y1276" s="13">
        <f t="shared" si="183"/>
        <v>3615.7592677004232</v>
      </c>
      <c r="Z1276" s="14">
        <v>0</v>
      </c>
      <c r="AA1276" s="4">
        <v>0</v>
      </c>
      <c r="AB1276" s="4">
        <f t="shared" si="184"/>
        <v>9015.85</v>
      </c>
      <c r="AC1276" s="6">
        <f t="shared" si="185"/>
        <v>0</v>
      </c>
      <c r="AD1276" s="6">
        <f t="shared" si="182"/>
        <v>5400.0907322995772</v>
      </c>
      <c r="AE1276" s="2">
        <v>7.0000000000000007E-2</v>
      </c>
      <c r="AF1276" s="5">
        <f t="shared" si="186"/>
        <v>378.00635126097046</v>
      </c>
      <c r="AG1276" s="14">
        <v>0</v>
      </c>
      <c r="AH1276" s="19">
        <f t="shared" si="188"/>
        <v>9015.85</v>
      </c>
      <c r="AJ1276" s="126" t="e">
        <v>#N/A</v>
      </c>
      <c r="AK1276" s="80">
        <f t="shared" si="187"/>
        <v>0</v>
      </c>
      <c r="AM1276" s="85"/>
    </row>
    <row r="1277" spans="1:39" hidden="1" x14ac:dyDescent="0.3">
      <c r="A1277" s="85" t="s">
        <v>34</v>
      </c>
      <c r="B1277" s="15" t="s">
        <v>35</v>
      </c>
      <c r="C1277" s="15" t="s">
        <v>144</v>
      </c>
      <c r="D1277" s="15" t="s">
        <v>145</v>
      </c>
      <c r="E1277" s="15" t="s">
        <v>1925</v>
      </c>
      <c r="F1277" s="15" t="s">
        <v>1925</v>
      </c>
      <c r="G1277" s="15" t="s">
        <v>1925</v>
      </c>
      <c r="H1277" s="139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1925</v>
      </c>
      <c r="N1277" s="15"/>
      <c r="O1277" s="8" t="s">
        <v>410</v>
      </c>
      <c r="P1277" s="8" t="s">
        <v>46</v>
      </c>
      <c r="Q1277" s="9">
        <v>0.02</v>
      </c>
      <c r="R1277" s="139" t="s">
        <v>1926</v>
      </c>
      <c r="S1277" s="15"/>
      <c r="T1277" s="18">
        <v>-5.5000000007566996E-2</v>
      </c>
      <c r="U1277" s="4">
        <v>0</v>
      </c>
      <c r="V1277" s="6">
        <v>0</v>
      </c>
      <c r="W1277" s="18">
        <f t="shared" si="189"/>
        <v>-5.5000000007566996E-2</v>
      </c>
      <c r="X1277" s="18">
        <f t="shared" si="190"/>
        <v>0</v>
      </c>
      <c r="Y1277" s="13">
        <f t="shared" si="183"/>
        <v>0</v>
      </c>
      <c r="Z1277" s="14">
        <v>0</v>
      </c>
      <c r="AA1277" s="4">
        <v>0</v>
      </c>
      <c r="AB1277" s="4">
        <f t="shared" si="184"/>
        <v>0</v>
      </c>
      <c r="AC1277" s="6">
        <f t="shared" si="185"/>
        <v>0</v>
      </c>
      <c r="AD1277" s="6">
        <f t="shared" si="182"/>
        <v>0</v>
      </c>
      <c r="AE1277" s="2">
        <v>7.0000000000000007E-2</v>
      </c>
      <c r="AF1277" s="5">
        <f t="shared" si="186"/>
        <v>0</v>
      </c>
      <c r="AG1277" s="14">
        <v>0</v>
      </c>
      <c r="AH1277" s="19">
        <f t="shared" si="188"/>
        <v>0</v>
      </c>
      <c r="AJ1277" s="126" t="e">
        <v>#N/A</v>
      </c>
      <c r="AK1277" s="80">
        <f t="shared" si="187"/>
        <v>0</v>
      </c>
      <c r="AM1277" s="85"/>
    </row>
    <row r="1278" spans="1:39" hidden="1" x14ac:dyDescent="0.3">
      <c r="A1278" s="85" t="s">
        <v>34</v>
      </c>
      <c r="B1278" s="15" t="s">
        <v>35</v>
      </c>
      <c r="C1278" s="15" t="s">
        <v>144</v>
      </c>
      <c r="D1278" s="15" t="s">
        <v>145</v>
      </c>
      <c r="E1278" s="15" t="s">
        <v>1457</v>
      </c>
      <c r="F1278" s="15" t="s">
        <v>1458</v>
      </c>
      <c r="G1278" s="15" t="s">
        <v>1457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1457</v>
      </c>
      <c r="N1278" s="15"/>
      <c r="O1278" s="8" t="s">
        <v>410</v>
      </c>
      <c r="P1278" s="8" t="s">
        <v>46</v>
      </c>
      <c r="Q1278" s="9">
        <v>0.03</v>
      </c>
      <c r="R1278" s="139" t="s">
        <v>1459</v>
      </c>
      <c r="S1278" s="15"/>
      <c r="T1278" s="18">
        <v>9515.2999999999993</v>
      </c>
      <c r="U1278" s="4">
        <v>0</v>
      </c>
      <c r="V1278" s="18">
        <v>9515.2999999999993</v>
      </c>
      <c r="W1278" s="18">
        <f t="shared" si="189"/>
        <v>0</v>
      </c>
      <c r="X1278" s="18">
        <f t="shared" si="190"/>
        <v>9238.155339805824</v>
      </c>
      <c r="Y1278" s="13">
        <f t="shared" si="183"/>
        <v>3538.9164055899528</v>
      </c>
      <c r="Z1278" s="14">
        <v>0</v>
      </c>
      <c r="AA1278" s="4">
        <v>0</v>
      </c>
      <c r="AB1278" s="4">
        <f t="shared" si="184"/>
        <v>9238.155339805824</v>
      </c>
      <c r="AC1278" s="6">
        <f t="shared" si="185"/>
        <v>277.14466019417523</v>
      </c>
      <c r="AD1278" s="6">
        <f t="shared" si="182"/>
        <v>5699.2389342158713</v>
      </c>
      <c r="AE1278" s="2">
        <v>7.0000000000000007E-2</v>
      </c>
      <c r="AF1278" s="5">
        <f t="shared" si="186"/>
        <v>398.946725395111</v>
      </c>
      <c r="AG1278" s="14">
        <v>0</v>
      </c>
      <c r="AH1278" s="19">
        <f t="shared" si="188"/>
        <v>9515.2999999999993</v>
      </c>
      <c r="AJ1278" s="126" t="e">
        <v>#N/A</v>
      </c>
      <c r="AK1278" s="80">
        <f t="shared" si="187"/>
        <v>0</v>
      </c>
      <c r="AM1278" s="85"/>
    </row>
    <row r="1279" spans="1:39" hidden="1" x14ac:dyDescent="0.3">
      <c r="A1279" s="85" t="s">
        <v>34</v>
      </c>
      <c r="B1279" s="15" t="s">
        <v>35</v>
      </c>
      <c r="C1279" s="15" t="s">
        <v>144</v>
      </c>
      <c r="D1279" s="15" t="s">
        <v>152</v>
      </c>
      <c r="E1279" s="15" t="s">
        <v>159</v>
      </c>
      <c r="F1279" s="15" t="s">
        <v>159</v>
      </c>
      <c r="G1279" s="15" t="s">
        <v>159</v>
      </c>
      <c r="H1279" s="139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1927</v>
      </c>
      <c r="N1279" s="15"/>
      <c r="O1279" s="8" t="s">
        <v>410</v>
      </c>
      <c r="P1279" s="8" t="s">
        <v>41</v>
      </c>
      <c r="Q1279" s="9">
        <v>0</v>
      </c>
      <c r="R1279" s="139" t="s">
        <v>1928</v>
      </c>
      <c r="S1279" s="15"/>
      <c r="T1279" s="18">
        <v>-36.899999999906868</v>
      </c>
      <c r="U1279" s="4">
        <v>0</v>
      </c>
      <c r="V1279" s="6">
        <v>0</v>
      </c>
      <c r="W1279" s="18">
        <f t="shared" si="189"/>
        <v>-36.899999999906868</v>
      </c>
      <c r="X1279" s="18">
        <f t="shared" si="190"/>
        <v>0</v>
      </c>
      <c r="Y1279" s="13">
        <f t="shared" si="183"/>
        <v>0</v>
      </c>
      <c r="Z1279" s="14">
        <v>0</v>
      </c>
      <c r="AA1279" s="4">
        <v>0</v>
      </c>
      <c r="AB1279" s="4">
        <f t="shared" si="184"/>
        <v>0</v>
      </c>
      <c r="AC1279" s="6">
        <f t="shared" si="185"/>
        <v>0</v>
      </c>
      <c r="AD1279" s="6">
        <f t="shared" si="182"/>
        <v>0</v>
      </c>
      <c r="AE1279" s="2">
        <v>7.0000000000000007E-2</v>
      </c>
      <c r="AF1279" s="5">
        <f t="shared" si="186"/>
        <v>0</v>
      </c>
      <c r="AG1279" s="14">
        <v>0</v>
      </c>
      <c r="AH1279" s="19">
        <f t="shared" si="188"/>
        <v>0</v>
      </c>
      <c r="AJ1279" s="126" t="e">
        <v>#N/A</v>
      </c>
      <c r="AK1279" s="80">
        <f t="shared" si="187"/>
        <v>0</v>
      </c>
      <c r="AM1279" s="85"/>
    </row>
    <row r="1280" spans="1:39" hidden="1" x14ac:dyDescent="0.3">
      <c r="A1280" s="85" t="s">
        <v>34</v>
      </c>
      <c r="B1280" s="15" t="s">
        <v>35</v>
      </c>
      <c r="C1280" s="15" t="s">
        <v>144</v>
      </c>
      <c r="D1280" s="15" t="s">
        <v>152</v>
      </c>
      <c r="E1280" s="15" t="s">
        <v>159</v>
      </c>
      <c r="F1280" s="15" t="s">
        <v>159</v>
      </c>
      <c r="G1280" s="15" t="s">
        <v>159</v>
      </c>
      <c r="H1280" s="139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159</v>
      </c>
      <c r="N1280" s="15"/>
      <c r="O1280" s="8" t="s">
        <v>410</v>
      </c>
      <c r="P1280" s="8" t="s">
        <v>41</v>
      </c>
      <c r="Q1280" s="9">
        <v>0</v>
      </c>
      <c r="R1280" s="139" t="s">
        <v>1929</v>
      </c>
      <c r="S1280" s="15"/>
      <c r="T1280" s="18">
        <v>90013.975139999529</v>
      </c>
      <c r="U1280" s="4">
        <v>0</v>
      </c>
      <c r="V1280" s="6">
        <v>0</v>
      </c>
      <c r="W1280" s="18">
        <f t="shared" si="189"/>
        <v>90013.975139999529</v>
      </c>
      <c r="X1280" s="18">
        <f t="shared" si="190"/>
        <v>0</v>
      </c>
      <c r="Y1280" s="13">
        <f t="shared" si="183"/>
        <v>0</v>
      </c>
      <c r="Z1280" s="14">
        <v>0</v>
      </c>
      <c r="AA1280" s="4">
        <v>0</v>
      </c>
      <c r="AB1280" s="4">
        <f t="shared" si="184"/>
        <v>0</v>
      </c>
      <c r="AC1280" s="6">
        <f t="shared" si="185"/>
        <v>0</v>
      </c>
      <c r="AD1280" s="6">
        <f t="shared" si="182"/>
        <v>0</v>
      </c>
      <c r="AE1280" s="2">
        <v>7.0000000000000007E-2</v>
      </c>
      <c r="AF1280" s="5">
        <f t="shared" si="186"/>
        <v>0</v>
      </c>
      <c r="AG1280" s="14">
        <v>0</v>
      </c>
      <c r="AH1280" s="19">
        <f t="shared" si="188"/>
        <v>0</v>
      </c>
      <c r="AJ1280" s="126" t="e">
        <v>#N/A</v>
      </c>
      <c r="AK1280" s="80">
        <f t="shared" si="187"/>
        <v>0</v>
      </c>
      <c r="AM1280" s="85"/>
    </row>
    <row r="1281" spans="1:39" hidden="1" x14ac:dyDescent="0.3">
      <c r="A1281" s="85" t="s">
        <v>34</v>
      </c>
      <c r="B1281" s="15" t="s">
        <v>35</v>
      </c>
      <c r="C1281" s="15" t="s">
        <v>144</v>
      </c>
      <c r="D1281" s="15" t="s">
        <v>152</v>
      </c>
      <c r="E1281" s="15" t="s">
        <v>1474</v>
      </c>
      <c r="F1281" s="15" t="s">
        <v>1474</v>
      </c>
      <c r="G1281" s="15" t="s">
        <v>1474</v>
      </c>
      <c r="H1281" s="154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1475</v>
      </c>
      <c r="N1281" s="15"/>
      <c r="O1281" s="8" t="s">
        <v>410</v>
      </c>
      <c r="P1281" s="8" t="s">
        <v>46</v>
      </c>
      <c r="Q1281" s="9">
        <v>1.4999999999999999E-2</v>
      </c>
      <c r="R1281" s="139" t="s">
        <v>1476</v>
      </c>
      <c r="S1281" s="15"/>
      <c r="T1281" s="18">
        <v>49124.660000000033</v>
      </c>
      <c r="U1281" s="4">
        <v>0</v>
      </c>
      <c r="V1281" s="18">
        <v>49124.660000000033</v>
      </c>
      <c r="W1281" s="18">
        <f t="shared" si="189"/>
        <v>0</v>
      </c>
      <c r="X1281" s="18">
        <f t="shared" si="190"/>
        <v>48398.679802955703</v>
      </c>
      <c r="Y1281" s="13">
        <f t="shared" si="183"/>
        <v>18975.206564895183</v>
      </c>
      <c r="Z1281" s="14">
        <v>0</v>
      </c>
      <c r="AA1281" s="4">
        <v>0</v>
      </c>
      <c r="AB1281" s="4">
        <f t="shared" si="184"/>
        <v>48398.679802955703</v>
      </c>
      <c r="AC1281" s="6">
        <f t="shared" si="185"/>
        <v>725.98019704432954</v>
      </c>
      <c r="AD1281" s="6">
        <f t="shared" ref="AD1281:AD1308" si="191">V1281*0.598955254612663</f>
        <v>29423.47323806052</v>
      </c>
      <c r="AE1281" s="2">
        <v>7.0000000000000007E-2</v>
      </c>
      <c r="AF1281" s="5">
        <f t="shared" si="186"/>
        <v>2059.6431266642367</v>
      </c>
      <c r="AG1281" s="14">
        <v>0</v>
      </c>
      <c r="AH1281" s="19">
        <f t="shared" si="188"/>
        <v>49124.660000000033</v>
      </c>
      <c r="AJ1281" s="126" t="e">
        <v>#N/A</v>
      </c>
      <c r="AK1281" s="80">
        <f t="shared" si="187"/>
        <v>0</v>
      </c>
      <c r="AM1281" s="85"/>
    </row>
    <row r="1282" spans="1:39" hidden="1" x14ac:dyDescent="0.3">
      <c r="A1282" s="85" t="s">
        <v>34</v>
      </c>
      <c r="B1282" s="15" t="s">
        <v>35</v>
      </c>
      <c r="C1282" s="15" t="s">
        <v>144</v>
      </c>
      <c r="D1282" s="15" t="s">
        <v>152</v>
      </c>
      <c r="E1282" s="15" t="s">
        <v>1474</v>
      </c>
      <c r="F1282" s="15" t="s">
        <v>1474</v>
      </c>
      <c r="G1282" s="15" t="s">
        <v>1474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1930</v>
      </c>
      <c r="N1282" s="15"/>
      <c r="O1282" s="8" t="s">
        <v>410</v>
      </c>
      <c r="P1282" s="8" t="s">
        <v>46</v>
      </c>
      <c r="Q1282" s="9">
        <v>1.4999999999999999E-2</v>
      </c>
      <c r="R1282" s="139" t="s">
        <v>1477</v>
      </c>
      <c r="S1282" s="15"/>
      <c r="T1282" s="18">
        <v>109986.79999999993</v>
      </c>
      <c r="U1282" s="4">
        <v>0</v>
      </c>
      <c r="V1282" s="18">
        <v>109986.79999999993</v>
      </c>
      <c r="W1282" s="18">
        <f t="shared" si="189"/>
        <v>0</v>
      </c>
      <c r="X1282" s="18">
        <f t="shared" si="190"/>
        <v>108361.37931034477</v>
      </c>
      <c r="Y1282" s="13">
        <f t="shared" si="183"/>
        <v>42484.207512312772</v>
      </c>
      <c r="Z1282" s="14">
        <v>0</v>
      </c>
      <c r="AA1282" s="4">
        <v>0</v>
      </c>
      <c r="AB1282" s="4">
        <f t="shared" si="184"/>
        <v>108361.37931034477</v>
      </c>
      <c r="AC1282" s="6">
        <f t="shared" si="185"/>
        <v>1625.4206896551623</v>
      </c>
      <c r="AD1282" s="6">
        <f t="shared" si="191"/>
        <v>65877.171798031995</v>
      </c>
      <c r="AE1282" s="2">
        <v>7.0000000000000007E-2</v>
      </c>
      <c r="AF1282" s="5">
        <f t="shared" si="186"/>
        <v>4611.4020258622404</v>
      </c>
      <c r="AG1282" s="14">
        <v>0</v>
      </c>
      <c r="AH1282" s="19">
        <f t="shared" si="188"/>
        <v>109986.79999999993</v>
      </c>
      <c r="AJ1282" s="126" t="e">
        <v>#N/A</v>
      </c>
      <c r="AK1282" s="80">
        <f t="shared" si="187"/>
        <v>0</v>
      </c>
      <c r="AM1282" s="85"/>
    </row>
    <row r="1283" spans="1:39" hidden="1" x14ac:dyDescent="0.3">
      <c r="A1283" s="85" t="s">
        <v>34</v>
      </c>
      <c r="B1283" s="15" t="s">
        <v>35</v>
      </c>
      <c r="C1283" s="15" t="s">
        <v>144</v>
      </c>
      <c r="D1283" s="15" t="s">
        <v>152</v>
      </c>
      <c r="E1283" s="15" t="s">
        <v>1484</v>
      </c>
      <c r="F1283" s="15" t="s">
        <v>1485</v>
      </c>
      <c r="G1283" s="15" t="s">
        <v>1484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1486</v>
      </c>
      <c r="N1283" s="15"/>
      <c r="O1283" s="8" t="s">
        <v>410</v>
      </c>
      <c r="P1283" s="8" t="s">
        <v>46</v>
      </c>
      <c r="Q1283" s="9">
        <v>0.02</v>
      </c>
      <c r="R1283" s="139" t="s">
        <v>1487</v>
      </c>
      <c r="S1283" s="15"/>
      <c r="T1283" s="18">
        <v>291548.18693000003</v>
      </c>
      <c r="U1283" s="4">
        <v>0</v>
      </c>
      <c r="V1283" s="6">
        <v>0</v>
      </c>
      <c r="W1283" s="18">
        <f t="shared" si="189"/>
        <v>291548.18693000003</v>
      </c>
      <c r="X1283" s="18">
        <f t="shared" si="190"/>
        <v>0</v>
      </c>
      <c r="Y1283" s="13">
        <f t="shared" ref="Y1283:Y1346" si="192">IF(X1283-AD1283&lt;=0,0,IF(P1283="返现",MAX(X1283-AC1283-AD1283,0),MAX(X1283-AD1283)))</f>
        <v>0</v>
      </c>
      <c r="Z1283" s="14">
        <v>0</v>
      </c>
      <c r="AA1283" s="4">
        <v>0</v>
      </c>
      <c r="AB1283" s="4">
        <f t="shared" ref="AB1283:AB1346" si="193">X1283+AA1283</f>
        <v>0</v>
      </c>
      <c r="AC1283" s="6">
        <f t="shared" ref="AC1283:AC1346" si="194">IF(P1283="返现",X1283*Q1283,V1283-X1283)</f>
        <v>0</v>
      </c>
      <c r="AD1283" s="6">
        <f t="shared" si="191"/>
        <v>0</v>
      </c>
      <c r="AE1283" s="2">
        <v>7.0000000000000007E-2</v>
      </c>
      <c r="AF1283" s="5">
        <f t="shared" ref="AF1283:AF1346" si="195">AD1283*AE1283</f>
        <v>0</v>
      </c>
      <c r="AG1283" s="14">
        <v>0</v>
      </c>
      <c r="AH1283" s="19">
        <f t="shared" si="188"/>
        <v>0</v>
      </c>
      <c r="AJ1283" s="126" t="e">
        <v>#N/A</v>
      </c>
      <c r="AK1283" s="80">
        <f t="shared" ref="AK1283:AK1346" si="196">X1283+AA1283-AB1283</f>
        <v>0</v>
      </c>
      <c r="AM1283" s="85"/>
    </row>
    <row r="1284" spans="1:39" hidden="1" x14ac:dyDescent="0.3">
      <c r="A1284" s="85" t="s">
        <v>34</v>
      </c>
      <c r="B1284" s="15" t="s">
        <v>35</v>
      </c>
      <c r="C1284" s="15" t="s">
        <v>144</v>
      </c>
      <c r="D1284" s="15" t="s">
        <v>152</v>
      </c>
      <c r="E1284" s="15" t="s">
        <v>1931</v>
      </c>
      <c r="F1284" s="15" t="s">
        <v>1931</v>
      </c>
      <c r="G1284" s="15" t="s">
        <v>1931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1931</v>
      </c>
      <c r="N1284" s="15"/>
      <c r="O1284" s="8" t="s">
        <v>410</v>
      </c>
      <c r="P1284" s="8" t="s">
        <v>46</v>
      </c>
      <c r="Q1284" s="9">
        <v>0.02</v>
      </c>
      <c r="R1284" s="139" t="s">
        <v>1932</v>
      </c>
      <c r="S1284" s="15"/>
      <c r="T1284" s="18">
        <v>-2.1000000000009891</v>
      </c>
      <c r="U1284" s="4">
        <v>0</v>
      </c>
      <c r="V1284" s="6">
        <v>0</v>
      </c>
      <c r="W1284" s="18">
        <f t="shared" si="189"/>
        <v>-2.1000000000009891</v>
      </c>
      <c r="X1284" s="18">
        <f t="shared" si="190"/>
        <v>0</v>
      </c>
      <c r="Y1284" s="13">
        <f t="shared" si="192"/>
        <v>0</v>
      </c>
      <c r="Z1284" s="14">
        <v>0</v>
      </c>
      <c r="AA1284" s="4">
        <v>0</v>
      </c>
      <c r="AB1284" s="4">
        <f t="shared" si="193"/>
        <v>0</v>
      </c>
      <c r="AC1284" s="6">
        <f t="shared" si="194"/>
        <v>0</v>
      </c>
      <c r="AD1284" s="6">
        <f t="shared" si="191"/>
        <v>0</v>
      </c>
      <c r="AE1284" s="2">
        <v>7.0000000000000007E-2</v>
      </c>
      <c r="AF1284" s="5">
        <f t="shared" si="195"/>
        <v>0</v>
      </c>
      <c r="AG1284" s="14">
        <v>0</v>
      </c>
      <c r="AH1284" s="19">
        <f t="shared" si="188"/>
        <v>0</v>
      </c>
      <c r="AJ1284" s="126" t="e">
        <v>#N/A</v>
      </c>
      <c r="AK1284" s="80">
        <f t="shared" si="196"/>
        <v>0</v>
      </c>
      <c r="AM1284" s="85"/>
    </row>
    <row r="1285" spans="1:39" hidden="1" x14ac:dyDescent="0.3">
      <c r="A1285" s="85" t="s">
        <v>34</v>
      </c>
      <c r="B1285" s="15" t="s">
        <v>35</v>
      </c>
      <c r="C1285" s="15" t="s">
        <v>144</v>
      </c>
      <c r="D1285" s="15" t="s">
        <v>161</v>
      </c>
      <c r="E1285" s="15" t="s">
        <v>1504</v>
      </c>
      <c r="F1285" s="15" t="s">
        <v>1505</v>
      </c>
      <c r="G1285" s="15" t="s">
        <v>1504</v>
      </c>
      <c r="H1285" s="154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1506</v>
      </c>
      <c r="N1285" s="15"/>
      <c r="O1285" s="8" t="s">
        <v>410</v>
      </c>
      <c r="P1285" s="8" t="s">
        <v>46</v>
      </c>
      <c r="Q1285" s="9">
        <v>0.04</v>
      </c>
      <c r="R1285" s="139" t="s">
        <v>1507</v>
      </c>
      <c r="S1285" s="15"/>
      <c r="T1285" s="18">
        <v>9154.3799999999974</v>
      </c>
      <c r="U1285" s="4">
        <v>0</v>
      </c>
      <c r="V1285" s="18">
        <v>9154.3799999999974</v>
      </c>
      <c r="W1285" s="18">
        <f t="shared" si="189"/>
        <v>0</v>
      </c>
      <c r="X1285" s="18">
        <f t="shared" si="190"/>
        <v>8802.2884615384592</v>
      </c>
      <c r="Y1285" s="13">
        <f t="shared" si="192"/>
        <v>3319.2244578173913</v>
      </c>
      <c r="Z1285" s="14">
        <v>0</v>
      </c>
      <c r="AA1285" s="4">
        <v>0</v>
      </c>
      <c r="AB1285" s="4">
        <f t="shared" si="193"/>
        <v>8802.2884615384592</v>
      </c>
      <c r="AC1285" s="6">
        <f t="shared" si="194"/>
        <v>352.09153846153822</v>
      </c>
      <c r="AD1285" s="6">
        <f t="shared" si="191"/>
        <v>5483.0640037210678</v>
      </c>
      <c r="AE1285" s="2">
        <v>7.0000000000000007E-2</v>
      </c>
      <c r="AF1285" s="5">
        <f t="shared" si="195"/>
        <v>383.8144802604748</v>
      </c>
      <c r="AG1285" s="14">
        <v>0</v>
      </c>
      <c r="AH1285" s="19">
        <f t="shared" si="188"/>
        <v>9154.3799999999974</v>
      </c>
      <c r="AJ1285" s="126" t="e">
        <v>#N/A</v>
      </c>
      <c r="AK1285" s="80">
        <f t="shared" si="196"/>
        <v>0</v>
      </c>
      <c r="AM1285" s="85"/>
    </row>
    <row r="1286" spans="1:39" hidden="1" x14ac:dyDescent="0.3">
      <c r="A1286" s="85" t="s">
        <v>34</v>
      </c>
      <c r="B1286" s="15" t="s">
        <v>35</v>
      </c>
      <c r="C1286" s="15" t="s">
        <v>144</v>
      </c>
      <c r="D1286" s="15" t="s">
        <v>161</v>
      </c>
      <c r="E1286" s="15" t="s">
        <v>1510</v>
      </c>
      <c r="F1286" s="15" t="s">
        <v>1510</v>
      </c>
      <c r="G1286" s="15" t="s">
        <v>1510</v>
      </c>
      <c r="H1286" s="154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1510</v>
      </c>
      <c r="N1286" s="15"/>
      <c r="O1286" s="8" t="s">
        <v>410</v>
      </c>
      <c r="P1286" s="8" t="s">
        <v>46</v>
      </c>
      <c r="Q1286" s="9">
        <v>0.04</v>
      </c>
      <c r="R1286" s="139" t="s">
        <v>1511</v>
      </c>
      <c r="S1286" s="15"/>
      <c r="T1286" s="18">
        <v>86994.575000000041</v>
      </c>
      <c r="U1286" s="4">
        <v>0</v>
      </c>
      <c r="V1286" s="18">
        <v>86994.575000000041</v>
      </c>
      <c r="W1286" s="18">
        <f t="shared" si="189"/>
        <v>0</v>
      </c>
      <c r="X1286" s="18">
        <f t="shared" si="190"/>
        <v>83648.629807692341</v>
      </c>
      <c r="Y1286" s="13">
        <f t="shared" si="192"/>
        <v>31542.771988646913</v>
      </c>
      <c r="Z1286" s="14">
        <v>0</v>
      </c>
      <c r="AA1286" s="4">
        <v>0</v>
      </c>
      <c r="AB1286" s="4">
        <f t="shared" si="193"/>
        <v>83648.629807692341</v>
      </c>
      <c r="AC1286" s="6">
        <f t="shared" si="194"/>
        <v>3345.9451923076995</v>
      </c>
      <c r="AD1286" s="6">
        <f t="shared" si="191"/>
        <v>52105.857819045428</v>
      </c>
      <c r="AE1286" s="2">
        <v>7.0000000000000007E-2</v>
      </c>
      <c r="AF1286" s="5">
        <f t="shared" si="195"/>
        <v>3647.4100473331805</v>
      </c>
      <c r="AG1286" s="14">
        <v>0</v>
      </c>
      <c r="AH1286" s="19">
        <f t="shared" si="188"/>
        <v>86994.575000000041</v>
      </c>
      <c r="AJ1286" s="126" t="e">
        <v>#N/A</v>
      </c>
      <c r="AK1286" s="80">
        <f t="shared" si="196"/>
        <v>0</v>
      </c>
      <c r="AM1286" s="85"/>
    </row>
    <row r="1287" spans="1:39" hidden="1" x14ac:dyDescent="0.3">
      <c r="A1287" s="85" t="s">
        <v>34</v>
      </c>
      <c r="B1287" s="15" t="s">
        <v>35</v>
      </c>
      <c r="C1287" s="15" t="s">
        <v>144</v>
      </c>
      <c r="D1287" s="15" t="s">
        <v>161</v>
      </c>
      <c r="E1287" s="15" t="s">
        <v>1514</v>
      </c>
      <c r="F1287" s="15" t="s">
        <v>1514</v>
      </c>
      <c r="G1287" s="15" t="s">
        <v>1514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1514</v>
      </c>
      <c r="N1287" s="15"/>
      <c r="O1287" s="8" t="s">
        <v>410</v>
      </c>
      <c r="P1287" s="8" t="s">
        <v>46</v>
      </c>
      <c r="Q1287" s="9">
        <v>0.04</v>
      </c>
      <c r="R1287" s="139" t="s">
        <v>1516</v>
      </c>
      <c r="S1287" s="15"/>
      <c r="T1287" s="18">
        <v>11915.140000000007</v>
      </c>
      <c r="U1287" s="4">
        <v>0</v>
      </c>
      <c r="V1287" s="18">
        <v>11915.140000000007</v>
      </c>
      <c r="W1287" s="18">
        <f t="shared" si="189"/>
        <v>0</v>
      </c>
      <c r="X1287" s="18">
        <f t="shared" si="190"/>
        <v>11456.86538461539</v>
      </c>
      <c r="Y1287" s="13">
        <f t="shared" si="192"/>
        <v>4320.2296721698613</v>
      </c>
      <c r="Z1287" s="14">
        <v>0</v>
      </c>
      <c r="AA1287" s="4">
        <v>0</v>
      </c>
      <c r="AB1287" s="4">
        <f t="shared" si="193"/>
        <v>11456.86538461539</v>
      </c>
      <c r="AC1287" s="6">
        <f t="shared" si="194"/>
        <v>458.27461538461648</v>
      </c>
      <c r="AD1287" s="6">
        <f t="shared" si="191"/>
        <v>7136.635712445529</v>
      </c>
      <c r="AE1287" s="2">
        <v>7.0000000000000007E-2</v>
      </c>
      <c r="AF1287" s="5">
        <f t="shared" si="195"/>
        <v>499.56449987118708</v>
      </c>
      <c r="AG1287" s="14">
        <v>0</v>
      </c>
      <c r="AH1287" s="19">
        <f t="shared" si="188"/>
        <v>11915.140000000007</v>
      </c>
      <c r="AJ1287" s="126" t="e">
        <v>#N/A</v>
      </c>
      <c r="AK1287" s="80">
        <f t="shared" si="196"/>
        <v>0</v>
      </c>
      <c r="AM1287" s="85"/>
    </row>
    <row r="1288" spans="1:39" hidden="1" x14ac:dyDescent="0.3">
      <c r="A1288" s="85" t="s">
        <v>34</v>
      </c>
      <c r="B1288" s="15" t="s">
        <v>35</v>
      </c>
      <c r="C1288" s="15" t="s">
        <v>144</v>
      </c>
      <c r="D1288" s="15" t="s">
        <v>161</v>
      </c>
      <c r="E1288" s="15" t="s">
        <v>1933</v>
      </c>
      <c r="F1288" s="15" t="s">
        <v>1933</v>
      </c>
      <c r="G1288" s="15" t="s">
        <v>1933</v>
      </c>
      <c r="H1288" s="154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1933</v>
      </c>
      <c r="N1288" s="15"/>
      <c r="O1288" s="8" t="s">
        <v>410</v>
      </c>
      <c r="P1288" s="8" t="s">
        <v>1327</v>
      </c>
      <c r="Q1288" s="9">
        <v>0</v>
      </c>
      <c r="R1288" s="139" t="s">
        <v>1934</v>
      </c>
      <c r="S1288" s="15"/>
      <c r="T1288" s="18">
        <v>144384.79999999999</v>
      </c>
      <c r="U1288" s="4">
        <v>0</v>
      </c>
      <c r="V1288" s="6">
        <v>111853.9</v>
      </c>
      <c r="W1288" s="18">
        <f t="shared" si="189"/>
        <v>32530.899999999994</v>
      </c>
      <c r="X1288" s="18">
        <f t="shared" si="190"/>
        <v>111853.9</v>
      </c>
      <c r="Y1288" s="13">
        <f t="shared" si="192"/>
        <v>44858.418846080662</v>
      </c>
      <c r="Z1288" s="14">
        <v>0</v>
      </c>
      <c r="AA1288" s="4">
        <v>0</v>
      </c>
      <c r="AB1288" s="4">
        <f t="shared" si="193"/>
        <v>111853.9</v>
      </c>
      <c r="AC1288" s="6">
        <f t="shared" si="194"/>
        <v>0</v>
      </c>
      <c r="AD1288" s="6">
        <f t="shared" si="191"/>
        <v>66995.481153919332</v>
      </c>
      <c r="AE1288" s="2">
        <v>7.0000000000000007E-2</v>
      </c>
      <c r="AF1288" s="5">
        <f t="shared" si="195"/>
        <v>4689.6836807743539</v>
      </c>
      <c r="AG1288" s="14">
        <v>0</v>
      </c>
      <c r="AH1288" s="19">
        <f t="shared" si="188"/>
        <v>111853.9</v>
      </c>
      <c r="AJ1288" s="126" t="e">
        <v>#N/A</v>
      </c>
      <c r="AK1288" s="80">
        <f t="shared" si="196"/>
        <v>0</v>
      </c>
      <c r="AM1288" s="85"/>
    </row>
    <row r="1289" spans="1:39" hidden="1" x14ac:dyDescent="0.3">
      <c r="A1289" s="85" t="s">
        <v>34</v>
      </c>
      <c r="B1289" s="15" t="s">
        <v>35</v>
      </c>
      <c r="C1289" s="15" t="s">
        <v>144</v>
      </c>
      <c r="D1289" s="15" t="s">
        <v>161</v>
      </c>
      <c r="E1289" s="15" t="s">
        <v>1935</v>
      </c>
      <c r="F1289" s="15" t="s">
        <v>1935</v>
      </c>
      <c r="G1289" s="15" t="s">
        <v>1935</v>
      </c>
      <c r="H1289" s="154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1935</v>
      </c>
      <c r="N1289" s="15"/>
      <c r="O1289" s="8" t="s">
        <v>410</v>
      </c>
      <c r="P1289" s="8" t="s">
        <v>41</v>
      </c>
      <c r="Q1289" s="9">
        <v>0</v>
      </c>
      <c r="R1289" s="139" t="s">
        <v>1936</v>
      </c>
      <c r="S1289" s="15"/>
      <c r="T1289" s="18">
        <v>149.60143000027165</v>
      </c>
      <c r="U1289" s="4">
        <v>0</v>
      </c>
      <c r="V1289" s="6">
        <v>152.19999999999999</v>
      </c>
      <c r="W1289" s="18">
        <f t="shared" si="189"/>
        <v>-2.5985699997283405</v>
      </c>
      <c r="X1289" s="18">
        <f t="shared" si="190"/>
        <v>152.19999999999999</v>
      </c>
      <c r="Y1289" s="13">
        <f t="shared" si="192"/>
        <v>61.039010247952689</v>
      </c>
      <c r="Z1289" s="14">
        <v>0</v>
      </c>
      <c r="AA1289" s="4">
        <v>0</v>
      </c>
      <c r="AB1289" s="4">
        <f t="shared" si="193"/>
        <v>152.19999999999999</v>
      </c>
      <c r="AC1289" s="6">
        <f t="shared" si="194"/>
        <v>0</v>
      </c>
      <c r="AD1289" s="6">
        <f t="shared" si="191"/>
        <v>91.1609897520473</v>
      </c>
      <c r="AE1289" s="2">
        <v>7.0000000000000007E-2</v>
      </c>
      <c r="AF1289" s="5">
        <f t="shared" si="195"/>
        <v>6.3812692826433119</v>
      </c>
      <c r="AG1289" s="14">
        <v>0</v>
      </c>
      <c r="AH1289" s="19">
        <f t="shared" si="188"/>
        <v>152.19999999999999</v>
      </c>
      <c r="AJ1289" s="126" t="e">
        <v>#N/A</v>
      </c>
      <c r="AK1289" s="80">
        <f t="shared" si="196"/>
        <v>0</v>
      </c>
      <c r="AM1289" s="85"/>
    </row>
    <row r="1290" spans="1:39" hidden="1" x14ac:dyDescent="0.3">
      <c r="A1290" s="85" t="s">
        <v>34</v>
      </c>
      <c r="B1290" s="15" t="s">
        <v>35</v>
      </c>
      <c r="C1290" s="15" t="s">
        <v>144</v>
      </c>
      <c r="D1290" s="15" t="s">
        <v>161</v>
      </c>
      <c r="E1290" s="15" t="s">
        <v>1937</v>
      </c>
      <c r="F1290" s="15" t="s">
        <v>1937</v>
      </c>
      <c r="G1290" s="15" t="s">
        <v>1937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1525</v>
      </c>
      <c r="N1290" s="15"/>
      <c r="O1290" s="8" t="s">
        <v>410</v>
      </c>
      <c r="P1290" s="8" t="s">
        <v>46</v>
      </c>
      <c r="Q1290" s="9">
        <v>0.03</v>
      </c>
      <c r="R1290" s="139" t="s">
        <v>1526</v>
      </c>
      <c r="S1290" s="15"/>
      <c r="T1290" s="18">
        <v>3</v>
      </c>
      <c r="U1290" s="4">
        <v>0</v>
      </c>
      <c r="V1290" s="18">
        <v>3</v>
      </c>
      <c r="W1290" s="18">
        <f t="shared" si="189"/>
        <v>0</v>
      </c>
      <c r="X1290" s="18">
        <f t="shared" si="190"/>
        <v>2.912621359223301</v>
      </c>
      <c r="Y1290" s="13">
        <f t="shared" si="192"/>
        <v>1.1157555953853122</v>
      </c>
      <c r="Z1290" s="14">
        <v>0</v>
      </c>
      <c r="AA1290" s="4">
        <v>0</v>
      </c>
      <c r="AB1290" s="4">
        <f t="shared" si="193"/>
        <v>2.912621359223301</v>
      </c>
      <c r="AC1290" s="6">
        <f t="shared" si="194"/>
        <v>8.737864077669899E-2</v>
      </c>
      <c r="AD1290" s="6">
        <f t="shared" si="191"/>
        <v>1.7968657638379888</v>
      </c>
      <c r="AE1290" s="2">
        <v>7.0000000000000007E-2</v>
      </c>
      <c r="AF1290" s="5">
        <f t="shared" si="195"/>
        <v>0.12578060346865924</v>
      </c>
      <c r="AG1290" s="14">
        <v>0</v>
      </c>
      <c r="AH1290" s="19">
        <f t="shared" si="188"/>
        <v>3</v>
      </c>
      <c r="AJ1290" s="126" t="e">
        <v>#N/A</v>
      </c>
      <c r="AK1290" s="80">
        <f t="shared" si="196"/>
        <v>0</v>
      </c>
      <c r="AM1290" s="85"/>
    </row>
    <row r="1291" spans="1:39" hidden="1" x14ac:dyDescent="0.3">
      <c r="A1291" s="85" t="s">
        <v>34</v>
      </c>
      <c r="B1291" s="15" t="s">
        <v>35</v>
      </c>
      <c r="C1291" s="15" t="s">
        <v>144</v>
      </c>
      <c r="D1291" s="15" t="s">
        <v>161</v>
      </c>
      <c r="E1291" s="15" t="s">
        <v>1937</v>
      </c>
      <c r="F1291" s="15" t="s">
        <v>1937</v>
      </c>
      <c r="G1291" s="15" t="s">
        <v>1937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1938</v>
      </c>
      <c r="N1291" s="15"/>
      <c r="O1291" s="8" t="s">
        <v>410</v>
      </c>
      <c r="P1291" s="8" t="s">
        <v>46</v>
      </c>
      <c r="Q1291" s="9">
        <v>0.03</v>
      </c>
      <c r="R1291" s="139" t="s">
        <v>1939</v>
      </c>
      <c r="S1291" s="15"/>
      <c r="T1291" s="18">
        <v>-1.2099999999991269</v>
      </c>
      <c r="U1291" s="4">
        <v>0</v>
      </c>
      <c r="V1291" s="6">
        <v>0</v>
      </c>
      <c r="W1291" s="18">
        <f t="shared" si="189"/>
        <v>-1.2099999999991269</v>
      </c>
      <c r="X1291" s="18">
        <f t="shared" si="190"/>
        <v>0</v>
      </c>
      <c r="Y1291" s="13">
        <f t="shared" si="192"/>
        <v>0</v>
      </c>
      <c r="Z1291" s="14">
        <v>0</v>
      </c>
      <c r="AA1291" s="4">
        <v>0</v>
      </c>
      <c r="AB1291" s="4">
        <f t="shared" si="193"/>
        <v>0</v>
      </c>
      <c r="AC1291" s="6">
        <f t="shared" si="194"/>
        <v>0</v>
      </c>
      <c r="AD1291" s="6">
        <f t="shared" si="191"/>
        <v>0</v>
      </c>
      <c r="AE1291" s="2">
        <v>7.0000000000000007E-2</v>
      </c>
      <c r="AF1291" s="5">
        <f t="shared" si="195"/>
        <v>0</v>
      </c>
      <c r="AG1291" s="14">
        <v>0</v>
      </c>
      <c r="AH1291" s="19">
        <f t="shared" si="188"/>
        <v>0</v>
      </c>
      <c r="AJ1291" s="126" t="e">
        <v>#N/A</v>
      </c>
      <c r="AK1291" s="80">
        <f t="shared" si="196"/>
        <v>0</v>
      </c>
      <c r="AM1291" s="85"/>
    </row>
    <row r="1292" spans="1:39" hidden="1" x14ac:dyDescent="0.3">
      <c r="A1292" s="85" t="s">
        <v>34</v>
      </c>
      <c r="B1292" s="15" t="s">
        <v>35</v>
      </c>
      <c r="C1292" s="15" t="s">
        <v>144</v>
      </c>
      <c r="D1292" s="15" t="s">
        <v>161</v>
      </c>
      <c r="E1292" s="15" t="s">
        <v>1937</v>
      </c>
      <c r="F1292" s="15" t="s">
        <v>1937</v>
      </c>
      <c r="G1292" s="15" t="s">
        <v>1937</v>
      </c>
      <c r="H1292" s="139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1940</v>
      </c>
      <c r="N1292" s="15"/>
      <c r="O1292" s="8" t="s">
        <v>410</v>
      </c>
      <c r="P1292" s="8" t="s">
        <v>46</v>
      </c>
      <c r="Q1292" s="9">
        <v>0.03</v>
      </c>
      <c r="R1292" s="139" t="s">
        <v>1941</v>
      </c>
      <c r="S1292" s="15"/>
      <c r="T1292" s="18">
        <v>-0.8000000000174623</v>
      </c>
      <c r="U1292" s="4">
        <v>0</v>
      </c>
      <c r="V1292" s="6">
        <v>0</v>
      </c>
      <c r="W1292" s="18">
        <f t="shared" si="189"/>
        <v>-0.8000000000174623</v>
      </c>
      <c r="X1292" s="18">
        <f t="shared" si="190"/>
        <v>0</v>
      </c>
      <c r="Y1292" s="13">
        <f t="shared" si="192"/>
        <v>0</v>
      </c>
      <c r="Z1292" s="14">
        <v>0</v>
      </c>
      <c r="AA1292" s="4">
        <v>0</v>
      </c>
      <c r="AB1292" s="4">
        <f t="shared" si="193"/>
        <v>0</v>
      </c>
      <c r="AC1292" s="6">
        <f t="shared" si="194"/>
        <v>0</v>
      </c>
      <c r="AD1292" s="6">
        <f t="shared" si="191"/>
        <v>0</v>
      </c>
      <c r="AE1292" s="2">
        <v>7.0000000000000007E-2</v>
      </c>
      <c r="AF1292" s="5">
        <f t="shared" si="195"/>
        <v>0</v>
      </c>
      <c r="AG1292" s="14">
        <v>0</v>
      </c>
      <c r="AH1292" s="19">
        <f t="shared" si="188"/>
        <v>0</v>
      </c>
      <c r="AJ1292" s="126" t="e">
        <v>#N/A</v>
      </c>
      <c r="AK1292" s="80">
        <f t="shared" si="196"/>
        <v>0</v>
      </c>
      <c r="AM1292" s="85"/>
    </row>
    <row r="1293" spans="1:39" hidden="1" x14ac:dyDescent="0.3">
      <c r="A1293" s="85" t="s">
        <v>34</v>
      </c>
      <c r="B1293" s="15" t="s">
        <v>35</v>
      </c>
      <c r="C1293" s="15" t="s">
        <v>144</v>
      </c>
      <c r="D1293" s="15" t="s">
        <v>161</v>
      </c>
      <c r="E1293" s="15" t="s">
        <v>1937</v>
      </c>
      <c r="F1293" s="15" t="s">
        <v>1937</v>
      </c>
      <c r="G1293" s="15" t="s">
        <v>1937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1937</v>
      </c>
      <c r="N1293" s="15"/>
      <c r="O1293" s="8" t="s">
        <v>410</v>
      </c>
      <c r="P1293" s="8" t="s">
        <v>46</v>
      </c>
      <c r="Q1293" s="9">
        <v>0.03</v>
      </c>
      <c r="R1293" s="139" t="s">
        <v>1942</v>
      </c>
      <c r="S1293" s="15"/>
      <c r="T1293" s="18">
        <v>7.2300000000104774</v>
      </c>
      <c r="U1293" s="4">
        <v>0</v>
      </c>
      <c r="V1293" s="6">
        <v>0</v>
      </c>
      <c r="W1293" s="18">
        <f t="shared" si="189"/>
        <v>7.2300000000104774</v>
      </c>
      <c r="X1293" s="18">
        <f t="shared" si="190"/>
        <v>0</v>
      </c>
      <c r="Y1293" s="13">
        <f t="shared" si="192"/>
        <v>0</v>
      </c>
      <c r="Z1293" s="14">
        <v>0</v>
      </c>
      <c r="AA1293" s="4">
        <v>0</v>
      </c>
      <c r="AB1293" s="4">
        <f t="shared" si="193"/>
        <v>0</v>
      </c>
      <c r="AC1293" s="6">
        <f t="shared" si="194"/>
        <v>0</v>
      </c>
      <c r="AD1293" s="6">
        <f t="shared" si="191"/>
        <v>0</v>
      </c>
      <c r="AE1293" s="2">
        <v>7.0000000000000007E-2</v>
      </c>
      <c r="AF1293" s="5">
        <f t="shared" si="195"/>
        <v>0</v>
      </c>
      <c r="AG1293" s="14">
        <v>0</v>
      </c>
      <c r="AH1293" s="19">
        <f t="shared" si="188"/>
        <v>0</v>
      </c>
      <c r="AJ1293" s="126" t="e">
        <v>#N/A</v>
      </c>
      <c r="AK1293" s="80">
        <f t="shared" si="196"/>
        <v>0</v>
      </c>
      <c r="AM1293" s="85"/>
    </row>
    <row r="1294" spans="1:39" hidden="1" x14ac:dyDescent="0.3">
      <c r="A1294" s="85" t="s">
        <v>34</v>
      </c>
      <c r="B1294" s="15" t="s">
        <v>35</v>
      </c>
      <c r="C1294" s="15" t="s">
        <v>164</v>
      </c>
      <c r="D1294" s="15" t="s">
        <v>165</v>
      </c>
      <c r="E1294" s="15" t="s">
        <v>615</v>
      </c>
      <c r="F1294" s="15" t="s">
        <v>615</v>
      </c>
      <c r="G1294" s="15" t="s">
        <v>615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616</v>
      </c>
      <c r="N1294" s="15"/>
      <c r="O1294" s="8" t="s">
        <v>410</v>
      </c>
      <c r="P1294" s="8" t="s">
        <v>46</v>
      </c>
      <c r="Q1294" s="9">
        <v>0.02</v>
      </c>
      <c r="R1294" s="139" t="s">
        <v>1943</v>
      </c>
      <c r="S1294" s="15"/>
      <c r="T1294" s="18">
        <v>-70.300000000337604</v>
      </c>
      <c r="U1294" s="4">
        <v>0</v>
      </c>
      <c r="V1294" s="6">
        <v>0</v>
      </c>
      <c r="W1294" s="18">
        <f t="shared" si="189"/>
        <v>-70.300000000337604</v>
      </c>
      <c r="X1294" s="18">
        <f t="shared" si="190"/>
        <v>0</v>
      </c>
      <c r="Y1294" s="13">
        <f t="shared" si="192"/>
        <v>0</v>
      </c>
      <c r="Z1294" s="14">
        <v>0</v>
      </c>
      <c r="AA1294" s="4">
        <v>0</v>
      </c>
      <c r="AB1294" s="4">
        <f t="shared" si="193"/>
        <v>0</v>
      </c>
      <c r="AC1294" s="6">
        <f t="shared" si="194"/>
        <v>0</v>
      </c>
      <c r="AD1294" s="6">
        <f t="shared" si="191"/>
        <v>0</v>
      </c>
      <c r="AE1294" s="2">
        <v>7.0000000000000007E-2</v>
      </c>
      <c r="AF1294" s="5">
        <f t="shared" si="195"/>
        <v>0</v>
      </c>
      <c r="AG1294" s="14">
        <v>0</v>
      </c>
      <c r="AH1294" s="19">
        <f t="shared" si="188"/>
        <v>0</v>
      </c>
      <c r="AJ1294" s="126" t="e">
        <v>#N/A</v>
      </c>
      <c r="AK1294" s="80">
        <f t="shared" si="196"/>
        <v>0</v>
      </c>
      <c r="AM1294" s="85"/>
    </row>
    <row r="1295" spans="1:39" hidden="1" x14ac:dyDescent="0.3">
      <c r="A1295" s="85" t="s">
        <v>34</v>
      </c>
      <c r="B1295" s="15" t="s">
        <v>35</v>
      </c>
      <c r="C1295" s="15" t="s">
        <v>164</v>
      </c>
      <c r="D1295" s="15" t="s">
        <v>165</v>
      </c>
      <c r="E1295" s="15" t="s">
        <v>1944</v>
      </c>
      <c r="F1295" s="15" t="s">
        <v>1944</v>
      </c>
      <c r="G1295" s="15" t="s">
        <v>1944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1945</v>
      </c>
      <c r="N1295" s="15"/>
      <c r="O1295" s="8" t="s">
        <v>410</v>
      </c>
      <c r="P1295" s="8" t="s">
        <v>46</v>
      </c>
      <c r="Q1295" s="9">
        <v>0.02</v>
      </c>
      <c r="R1295" s="139" t="s">
        <v>1946</v>
      </c>
      <c r="S1295" s="15"/>
      <c r="T1295" s="18">
        <v>-0.9</v>
      </c>
      <c r="U1295" s="4">
        <v>0</v>
      </c>
      <c r="V1295" s="6">
        <v>0</v>
      </c>
      <c r="W1295" s="18">
        <f t="shared" si="189"/>
        <v>-0.9</v>
      </c>
      <c r="X1295" s="18">
        <f t="shared" si="190"/>
        <v>0</v>
      </c>
      <c r="Y1295" s="13">
        <f t="shared" si="192"/>
        <v>0</v>
      </c>
      <c r="Z1295" s="14">
        <v>0</v>
      </c>
      <c r="AA1295" s="4">
        <v>0</v>
      </c>
      <c r="AB1295" s="4">
        <f t="shared" si="193"/>
        <v>0</v>
      </c>
      <c r="AC1295" s="6">
        <f t="shared" si="194"/>
        <v>0</v>
      </c>
      <c r="AD1295" s="6">
        <f t="shared" si="191"/>
        <v>0</v>
      </c>
      <c r="AE1295" s="2">
        <v>7.0000000000000007E-2</v>
      </c>
      <c r="AF1295" s="5">
        <f t="shared" si="195"/>
        <v>0</v>
      </c>
      <c r="AG1295" s="14">
        <v>0</v>
      </c>
      <c r="AH1295" s="19">
        <f t="shared" si="188"/>
        <v>0</v>
      </c>
      <c r="AJ1295" s="126" t="e">
        <v>#N/A</v>
      </c>
      <c r="AK1295" s="80">
        <f t="shared" si="196"/>
        <v>0</v>
      </c>
      <c r="AM1295" s="85"/>
    </row>
    <row r="1296" spans="1:39" hidden="1" x14ac:dyDescent="0.3">
      <c r="A1296" s="85" t="s">
        <v>34</v>
      </c>
      <c r="B1296" s="15" t="s">
        <v>35</v>
      </c>
      <c r="C1296" s="15" t="s">
        <v>164</v>
      </c>
      <c r="D1296" s="15" t="s">
        <v>165</v>
      </c>
      <c r="E1296" s="15" t="s">
        <v>619</v>
      </c>
      <c r="F1296" s="15" t="s">
        <v>620</v>
      </c>
      <c r="G1296" s="15" t="s">
        <v>619</v>
      </c>
      <c r="H1296" s="139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619</v>
      </c>
      <c r="N1296" s="15"/>
      <c r="O1296" s="8" t="s">
        <v>1196</v>
      </c>
      <c r="P1296" s="8" t="s">
        <v>46</v>
      </c>
      <c r="Q1296" s="9">
        <v>0.04</v>
      </c>
      <c r="R1296" s="139" t="s">
        <v>1534</v>
      </c>
      <c r="S1296" s="15"/>
      <c r="T1296" s="18">
        <v>15000</v>
      </c>
      <c r="U1296" s="4">
        <v>0</v>
      </c>
      <c r="V1296" s="6">
        <v>0</v>
      </c>
      <c r="W1296" s="18">
        <f t="shared" si="189"/>
        <v>15000</v>
      </c>
      <c r="X1296" s="18">
        <f t="shared" si="190"/>
        <v>0</v>
      </c>
      <c r="Y1296" s="13">
        <f t="shared" si="192"/>
        <v>0</v>
      </c>
      <c r="Z1296" s="14">
        <v>0</v>
      </c>
      <c r="AA1296" s="4">
        <v>0</v>
      </c>
      <c r="AB1296" s="4">
        <f t="shared" si="193"/>
        <v>0</v>
      </c>
      <c r="AC1296" s="6">
        <f t="shared" si="194"/>
        <v>0</v>
      </c>
      <c r="AD1296" s="6">
        <f t="shared" si="191"/>
        <v>0</v>
      </c>
      <c r="AE1296" s="2">
        <v>0.12</v>
      </c>
      <c r="AF1296" s="5">
        <f t="shared" si="195"/>
        <v>0</v>
      </c>
      <c r="AG1296" s="14">
        <v>0</v>
      </c>
      <c r="AH1296" s="19">
        <f t="shared" si="188"/>
        <v>0</v>
      </c>
      <c r="AJ1296" s="126" t="e">
        <v>#N/A</v>
      </c>
      <c r="AK1296" s="80">
        <f t="shared" si="196"/>
        <v>0</v>
      </c>
      <c r="AM1296" s="85"/>
    </row>
    <row r="1297" spans="1:39" hidden="1" x14ac:dyDescent="0.3">
      <c r="A1297" s="85" t="s">
        <v>34</v>
      </c>
      <c r="B1297" s="15" t="s">
        <v>35</v>
      </c>
      <c r="C1297" s="15" t="s">
        <v>164</v>
      </c>
      <c r="D1297" s="15" t="s">
        <v>165</v>
      </c>
      <c r="E1297" s="15" t="s">
        <v>1541</v>
      </c>
      <c r="F1297" s="15" t="s">
        <v>1541</v>
      </c>
      <c r="G1297" s="15" t="s">
        <v>1541</v>
      </c>
      <c r="H1297" s="154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1541</v>
      </c>
      <c r="N1297" s="15"/>
      <c r="O1297" s="8" t="s">
        <v>410</v>
      </c>
      <c r="P1297" s="8" t="s">
        <v>46</v>
      </c>
      <c r="Q1297" s="9">
        <v>0.02</v>
      </c>
      <c r="R1297" s="139" t="s">
        <v>1542</v>
      </c>
      <c r="S1297" s="15"/>
      <c r="T1297" s="18">
        <v>37139.27999999997</v>
      </c>
      <c r="U1297" s="4">
        <v>0</v>
      </c>
      <c r="V1297" s="18">
        <v>37139.27999999997</v>
      </c>
      <c r="W1297" s="18">
        <f t="shared" si="189"/>
        <v>0</v>
      </c>
      <c r="X1297" s="18">
        <f t="shared" si="190"/>
        <v>36411.058823529384</v>
      </c>
      <c r="Y1297" s="13">
        <f t="shared" si="192"/>
        <v>14166.291914998419</v>
      </c>
      <c r="Z1297" s="14">
        <v>0</v>
      </c>
      <c r="AA1297" s="4">
        <v>0</v>
      </c>
      <c r="AB1297" s="4">
        <f t="shared" si="193"/>
        <v>36411.058823529384</v>
      </c>
      <c r="AC1297" s="6">
        <f t="shared" si="194"/>
        <v>728.22117647058622</v>
      </c>
      <c r="AD1297" s="6">
        <f t="shared" si="191"/>
        <v>22244.766908530964</v>
      </c>
      <c r="AE1297" s="2">
        <v>7.0000000000000007E-2</v>
      </c>
      <c r="AF1297" s="5">
        <f t="shared" si="195"/>
        <v>1557.1336835971676</v>
      </c>
      <c r="AG1297" s="14">
        <v>0</v>
      </c>
      <c r="AH1297" s="19">
        <f t="shared" si="188"/>
        <v>37139.27999999997</v>
      </c>
      <c r="AJ1297" s="126" t="e">
        <v>#N/A</v>
      </c>
      <c r="AK1297" s="80">
        <f t="shared" si="196"/>
        <v>0</v>
      </c>
      <c r="AM1297" s="85"/>
    </row>
    <row r="1298" spans="1:39" hidden="1" x14ac:dyDescent="0.3">
      <c r="A1298" s="85" t="s">
        <v>34</v>
      </c>
      <c r="B1298" s="15" t="s">
        <v>35</v>
      </c>
      <c r="C1298" s="15" t="s">
        <v>164</v>
      </c>
      <c r="D1298" s="15" t="s">
        <v>165</v>
      </c>
      <c r="E1298" s="15" t="s">
        <v>1541</v>
      </c>
      <c r="F1298" s="15" t="s">
        <v>1541</v>
      </c>
      <c r="G1298" s="15" t="s">
        <v>1541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1947</v>
      </c>
      <c r="N1298" s="15"/>
      <c r="O1298" s="8" t="s">
        <v>410</v>
      </c>
      <c r="P1298" s="8" t="s">
        <v>46</v>
      </c>
      <c r="Q1298" s="9">
        <v>0.02</v>
      </c>
      <c r="R1298" s="139" t="s">
        <v>1948</v>
      </c>
      <c r="S1298" s="15"/>
      <c r="T1298" s="18">
        <v>1276.4000000000015</v>
      </c>
      <c r="U1298" s="4">
        <v>0</v>
      </c>
      <c r="V1298" s="6">
        <v>864</v>
      </c>
      <c r="W1298" s="18">
        <f t="shared" si="189"/>
        <v>412.40000000000146</v>
      </c>
      <c r="X1298" s="18">
        <f t="shared" si="190"/>
        <v>847.05882352941171</v>
      </c>
      <c r="Y1298" s="13">
        <f t="shared" si="192"/>
        <v>329.56148354407094</v>
      </c>
      <c r="Z1298" s="14">
        <v>0</v>
      </c>
      <c r="AA1298" s="4">
        <v>0</v>
      </c>
      <c r="AB1298" s="4">
        <f t="shared" si="193"/>
        <v>847.05882352941171</v>
      </c>
      <c r="AC1298" s="6">
        <f t="shared" si="194"/>
        <v>16.941176470588289</v>
      </c>
      <c r="AD1298" s="6">
        <f t="shared" si="191"/>
        <v>517.49733998534077</v>
      </c>
      <c r="AE1298" s="2">
        <v>7.0000000000000007E-2</v>
      </c>
      <c r="AF1298" s="5">
        <f t="shared" si="195"/>
        <v>36.224813798973855</v>
      </c>
      <c r="AG1298" s="14">
        <v>0</v>
      </c>
      <c r="AH1298" s="19">
        <f t="shared" si="188"/>
        <v>864</v>
      </c>
      <c r="AJ1298" s="126" t="e">
        <v>#N/A</v>
      </c>
      <c r="AK1298" s="80">
        <f t="shared" si="196"/>
        <v>0</v>
      </c>
      <c r="AM1298" s="85"/>
    </row>
    <row r="1299" spans="1:39" hidden="1" x14ac:dyDescent="0.3">
      <c r="A1299" s="85" t="s">
        <v>34</v>
      </c>
      <c r="B1299" s="15" t="s">
        <v>35</v>
      </c>
      <c r="C1299" s="15" t="s">
        <v>164</v>
      </c>
      <c r="D1299" s="15" t="s">
        <v>165</v>
      </c>
      <c r="E1299" s="15" t="s">
        <v>1549</v>
      </c>
      <c r="F1299" s="15" t="s">
        <v>1550</v>
      </c>
      <c r="G1299" s="15" t="s">
        <v>1549</v>
      </c>
      <c r="H1299" s="154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1549</v>
      </c>
      <c r="N1299" s="15"/>
      <c r="O1299" s="8" t="s">
        <v>410</v>
      </c>
      <c r="P1299" s="8" t="s">
        <v>46</v>
      </c>
      <c r="Q1299" s="9">
        <v>0.02</v>
      </c>
      <c r="R1299" s="139" t="s">
        <v>1553</v>
      </c>
      <c r="S1299" s="15"/>
      <c r="T1299" s="18">
        <v>15856.469999999987</v>
      </c>
      <c r="U1299" s="4">
        <v>0</v>
      </c>
      <c r="V1299" s="18">
        <v>15856.469999999987</v>
      </c>
      <c r="W1299" s="18">
        <f t="shared" si="189"/>
        <v>0</v>
      </c>
      <c r="X1299" s="18">
        <f t="shared" si="190"/>
        <v>15545.558823529398</v>
      </c>
      <c r="Y1299" s="13">
        <f t="shared" si="192"/>
        <v>6048.2427974213533</v>
      </c>
      <c r="Z1299" s="14">
        <v>0</v>
      </c>
      <c r="AA1299" s="4">
        <v>0</v>
      </c>
      <c r="AB1299" s="4">
        <f t="shared" si="193"/>
        <v>15545.558823529398</v>
      </c>
      <c r="AC1299" s="6">
        <f t="shared" si="194"/>
        <v>310.91117647058854</v>
      </c>
      <c r="AD1299" s="6">
        <f t="shared" si="191"/>
        <v>9497.3160261080448</v>
      </c>
      <c r="AE1299" s="2">
        <v>7.0000000000000007E-2</v>
      </c>
      <c r="AF1299" s="5">
        <f t="shared" si="195"/>
        <v>664.81212182756315</v>
      </c>
      <c r="AG1299" s="14">
        <v>0</v>
      </c>
      <c r="AH1299" s="19">
        <f t="shared" si="188"/>
        <v>15856.469999999987</v>
      </c>
      <c r="AJ1299" s="126" t="e">
        <v>#N/A</v>
      </c>
      <c r="AK1299" s="80">
        <f t="shared" si="196"/>
        <v>0</v>
      </c>
      <c r="AM1299" s="85"/>
    </row>
    <row r="1300" spans="1:39" hidden="1" x14ac:dyDescent="0.3">
      <c r="A1300" s="85" t="s">
        <v>34</v>
      </c>
      <c r="B1300" s="15" t="s">
        <v>35</v>
      </c>
      <c r="C1300" s="15" t="s">
        <v>164</v>
      </c>
      <c r="D1300" s="15" t="s">
        <v>165</v>
      </c>
      <c r="E1300" s="15" t="s">
        <v>1566</v>
      </c>
      <c r="F1300" s="15" t="s">
        <v>1566</v>
      </c>
      <c r="G1300" s="15" t="s">
        <v>1566</v>
      </c>
      <c r="H1300" s="154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1566</v>
      </c>
      <c r="N1300" s="15"/>
      <c r="O1300" s="8" t="s">
        <v>410</v>
      </c>
      <c r="P1300" s="8" t="s">
        <v>46</v>
      </c>
      <c r="Q1300" s="9">
        <v>0.02</v>
      </c>
      <c r="R1300" s="139" t="s">
        <v>1567</v>
      </c>
      <c r="S1300" s="15"/>
      <c r="T1300" s="18">
        <v>19124.110000000044</v>
      </c>
      <c r="U1300" s="4">
        <v>0</v>
      </c>
      <c r="V1300" s="18">
        <v>19124.110000000044</v>
      </c>
      <c r="W1300" s="18">
        <f t="shared" si="189"/>
        <v>0</v>
      </c>
      <c r="X1300" s="18">
        <f t="shared" si="190"/>
        <v>18749.127450980435</v>
      </c>
      <c r="Y1300" s="13">
        <f t="shared" si="192"/>
        <v>7294.6412766898356</v>
      </c>
      <c r="Z1300" s="14">
        <v>0</v>
      </c>
      <c r="AA1300" s="4">
        <v>0</v>
      </c>
      <c r="AB1300" s="4">
        <f t="shared" si="193"/>
        <v>18749.127450980435</v>
      </c>
      <c r="AC1300" s="6">
        <f t="shared" si="194"/>
        <v>374.982549019609</v>
      </c>
      <c r="AD1300" s="6">
        <f t="shared" si="191"/>
        <v>11454.4861742906</v>
      </c>
      <c r="AE1300" s="2">
        <v>7.0000000000000007E-2</v>
      </c>
      <c r="AF1300" s="5">
        <f t="shared" si="195"/>
        <v>801.81403220034201</v>
      </c>
      <c r="AG1300" s="14">
        <v>0</v>
      </c>
      <c r="AH1300" s="19">
        <f t="shared" si="188"/>
        <v>19124.110000000044</v>
      </c>
      <c r="AJ1300" s="126" t="e">
        <v>#N/A</v>
      </c>
      <c r="AK1300" s="80">
        <f t="shared" si="196"/>
        <v>0</v>
      </c>
      <c r="AM1300" s="85"/>
    </row>
    <row r="1301" spans="1:39" hidden="1" x14ac:dyDescent="0.3">
      <c r="A1301" s="85" t="s">
        <v>34</v>
      </c>
      <c r="B1301" s="15" t="s">
        <v>35</v>
      </c>
      <c r="C1301" s="15" t="s">
        <v>164</v>
      </c>
      <c r="D1301" s="15" t="s">
        <v>165</v>
      </c>
      <c r="E1301" s="15" t="s">
        <v>1949</v>
      </c>
      <c r="F1301" s="15" t="s">
        <v>1949</v>
      </c>
      <c r="G1301" s="15" t="s">
        <v>1949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1950</v>
      </c>
      <c r="N1301" s="15"/>
      <c r="O1301" s="8" t="s">
        <v>410</v>
      </c>
      <c r="P1301" s="8" t="s">
        <v>41</v>
      </c>
      <c r="Q1301" s="9">
        <v>0</v>
      </c>
      <c r="R1301" s="139" t="s">
        <v>1951</v>
      </c>
      <c r="S1301" s="15"/>
      <c r="T1301" s="18">
        <v>3594.9999999999964</v>
      </c>
      <c r="U1301" s="4">
        <v>0</v>
      </c>
      <c r="V1301" s="6">
        <v>3152.5</v>
      </c>
      <c r="W1301" s="18">
        <f t="shared" si="189"/>
        <v>442.49999999999636</v>
      </c>
      <c r="X1301" s="18">
        <f t="shared" si="190"/>
        <v>3152.5</v>
      </c>
      <c r="Y1301" s="13">
        <f t="shared" si="192"/>
        <v>1264.29355983358</v>
      </c>
      <c r="Z1301" s="14">
        <v>0</v>
      </c>
      <c r="AA1301" s="4">
        <v>0</v>
      </c>
      <c r="AB1301" s="4">
        <f t="shared" si="193"/>
        <v>3152.5</v>
      </c>
      <c r="AC1301" s="6">
        <f t="shared" si="194"/>
        <v>0</v>
      </c>
      <c r="AD1301" s="6">
        <f t="shared" si="191"/>
        <v>1888.20644016642</v>
      </c>
      <c r="AE1301" s="2">
        <v>7.0000000000000007E-2</v>
      </c>
      <c r="AF1301" s="5">
        <f t="shared" si="195"/>
        <v>132.17445081164942</v>
      </c>
      <c r="AG1301" s="14">
        <v>0</v>
      </c>
      <c r="AH1301" s="19">
        <f t="shared" ref="AH1301:AH1364" si="197">V1301</f>
        <v>3152.5</v>
      </c>
      <c r="AJ1301" s="126" t="e">
        <v>#N/A</v>
      </c>
      <c r="AK1301" s="80">
        <f t="shared" si="196"/>
        <v>0</v>
      </c>
      <c r="AM1301" s="85"/>
    </row>
    <row r="1302" spans="1:39" hidden="1" x14ac:dyDescent="0.3">
      <c r="A1302" s="85" t="s">
        <v>34</v>
      </c>
      <c r="B1302" s="15" t="s">
        <v>35</v>
      </c>
      <c r="C1302" s="15" t="s">
        <v>164</v>
      </c>
      <c r="D1302" s="15" t="s">
        <v>165</v>
      </c>
      <c r="E1302" s="15" t="s">
        <v>1568</v>
      </c>
      <c r="F1302" s="15" t="s">
        <v>1568</v>
      </c>
      <c r="G1302" s="15" t="s">
        <v>1568</v>
      </c>
      <c r="H1302" s="154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1568</v>
      </c>
      <c r="N1302" s="15"/>
      <c r="O1302" s="8" t="s">
        <v>410</v>
      </c>
      <c r="P1302" s="8" t="s">
        <v>46</v>
      </c>
      <c r="Q1302" s="9">
        <v>0.02</v>
      </c>
      <c r="R1302" s="139" t="s">
        <v>1569</v>
      </c>
      <c r="S1302" s="15"/>
      <c r="T1302" s="18">
        <v>15461.250000000007</v>
      </c>
      <c r="U1302" s="4">
        <v>0</v>
      </c>
      <c r="V1302" s="18">
        <v>15461.250000000007</v>
      </c>
      <c r="W1302" s="18">
        <f t="shared" si="189"/>
        <v>0</v>
      </c>
      <c r="X1302" s="18">
        <f t="shared" si="190"/>
        <v>15158.088235294124</v>
      </c>
      <c r="Y1302" s="13">
        <f t="shared" si="192"/>
        <v>5897.491304914085</v>
      </c>
      <c r="Z1302" s="14">
        <v>0</v>
      </c>
      <c r="AA1302" s="4">
        <v>0</v>
      </c>
      <c r="AB1302" s="4">
        <f t="shared" si="193"/>
        <v>15158.088235294124</v>
      </c>
      <c r="AC1302" s="6">
        <f t="shared" si="194"/>
        <v>303.16176470588289</v>
      </c>
      <c r="AD1302" s="6">
        <f t="shared" si="191"/>
        <v>9260.5969303800393</v>
      </c>
      <c r="AE1302" s="2">
        <v>7.0000000000000007E-2</v>
      </c>
      <c r="AF1302" s="5">
        <f t="shared" si="195"/>
        <v>648.24178512660285</v>
      </c>
      <c r="AG1302" s="14">
        <v>0</v>
      </c>
      <c r="AH1302" s="19">
        <f t="shared" si="197"/>
        <v>15461.250000000007</v>
      </c>
      <c r="AJ1302" s="126" t="e">
        <v>#N/A</v>
      </c>
      <c r="AK1302" s="80">
        <f t="shared" si="196"/>
        <v>0</v>
      </c>
      <c r="AM1302" s="85"/>
    </row>
    <row r="1303" spans="1:39" hidden="1" x14ac:dyDescent="0.3">
      <c r="A1303" s="85" t="s">
        <v>34</v>
      </c>
      <c r="B1303" s="15" t="s">
        <v>35</v>
      </c>
      <c r="C1303" s="15" t="s">
        <v>164</v>
      </c>
      <c r="D1303" s="15" t="s">
        <v>169</v>
      </c>
      <c r="E1303" s="15" t="s">
        <v>1952</v>
      </c>
      <c r="F1303" s="15" t="s">
        <v>1952</v>
      </c>
      <c r="G1303" s="15" t="s">
        <v>1952</v>
      </c>
      <c r="H1303" s="139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1952</v>
      </c>
      <c r="N1303" s="15"/>
      <c r="O1303" s="8" t="s">
        <v>410</v>
      </c>
      <c r="P1303" s="8" t="s">
        <v>46</v>
      </c>
      <c r="Q1303" s="9">
        <v>0.04</v>
      </c>
      <c r="R1303" s="139" t="s">
        <v>1953</v>
      </c>
      <c r="S1303" s="15"/>
      <c r="T1303" s="18">
        <v>-0.1</v>
      </c>
      <c r="U1303" s="4">
        <v>0</v>
      </c>
      <c r="V1303" s="6">
        <v>0</v>
      </c>
      <c r="W1303" s="18">
        <f t="shared" si="189"/>
        <v>-0.1</v>
      </c>
      <c r="X1303" s="18">
        <f t="shared" si="190"/>
        <v>0</v>
      </c>
      <c r="Y1303" s="13">
        <f t="shared" si="192"/>
        <v>0</v>
      </c>
      <c r="Z1303" s="14">
        <v>0</v>
      </c>
      <c r="AA1303" s="4">
        <v>0</v>
      </c>
      <c r="AB1303" s="4">
        <f t="shared" si="193"/>
        <v>0</v>
      </c>
      <c r="AC1303" s="6">
        <f t="shared" si="194"/>
        <v>0</v>
      </c>
      <c r="AD1303" s="6">
        <f t="shared" si="191"/>
        <v>0</v>
      </c>
      <c r="AE1303" s="2">
        <v>7.0000000000000007E-2</v>
      </c>
      <c r="AF1303" s="5">
        <f t="shared" si="195"/>
        <v>0</v>
      </c>
      <c r="AG1303" s="14">
        <v>0</v>
      </c>
      <c r="AH1303" s="19">
        <f t="shared" si="197"/>
        <v>0</v>
      </c>
      <c r="AJ1303" s="126" t="e">
        <v>#N/A</v>
      </c>
      <c r="AK1303" s="80">
        <f t="shared" si="196"/>
        <v>0</v>
      </c>
      <c r="AM1303" s="85"/>
    </row>
    <row r="1304" spans="1:39" hidden="1" x14ac:dyDescent="0.3">
      <c r="A1304" s="85" t="s">
        <v>34</v>
      </c>
      <c r="B1304" s="15" t="s">
        <v>35</v>
      </c>
      <c r="C1304" s="15" t="s">
        <v>164</v>
      </c>
      <c r="D1304" s="15" t="s">
        <v>169</v>
      </c>
      <c r="E1304" s="15" t="s">
        <v>1954</v>
      </c>
      <c r="F1304" s="15" t="s">
        <v>1954</v>
      </c>
      <c r="G1304" s="15" t="s">
        <v>1954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1954</v>
      </c>
      <c r="N1304" s="15"/>
      <c r="O1304" s="8" t="s">
        <v>1196</v>
      </c>
      <c r="P1304" s="8" t="s">
        <v>46</v>
      </c>
      <c r="Q1304" s="9">
        <v>0.02</v>
      </c>
      <c r="R1304" s="139" t="s">
        <v>1955</v>
      </c>
      <c r="S1304" s="15"/>
      <c r="T1304" s="18">
        <v>569024.13454000012</v>
      </c>
      <c r="U1304" s="4">
        <v>0</v>
      </c>
      <c r="V1304" s="6">
        <v>0</v>
      </c>
      <c r="W1304" s="18">
        <f t="shared" ref="W1304:W1367" si="198">T1304+U1304-V1304</f>
        <v>569024.13454000012</v>
      </c>
      <c r="X1304" s="18">
        <f t="shared" si="190"/>
        <v>0</v>
      </c>
      <c r="Y1304" s="13">
        <f t="shared" si="192"/>
        <v>0</v>
      </c>
      <c r="Z1304" s="14">
        <v>0</v>
      </c>
      <c r="AA1304" s="4">
        <v>0</v>
      </c>
      <c r="AB1304" s="4">
        <f t="shared" si="193"/>
        <v>0</v>
      </c>
      <c r="AC1304" s="6">
        <f t="shared" si="194"/>
        <v>0</v>
      </c>
      <c r="AD1304" s="6">
        <f t="shared" si="191"/>
        <v>0</v>
      </c>
      <c r="AE1304" s="2">
        <v>0.12</v>
      </c>
      <c r="AF1304" s="5">
        <f t="shared" si="195"/>
        <v>0</v>
      </c>
      <c r="AG1304" s="14">
        <v>0</v>
      </c>
      <c r="AH1304" s="19">
        <f t="shared" si="197"/>
        <v>0</v>
      </c>
      <c r="AJ1304" s="126" t="e">
        <v>#N/A</v>
      </c>
      <c r="AK1304" s="80">
        <f t="shared" si="196"/>
        <v>0</v>
      </c>
      <c r="AM1304" s="85"/>
    </row>
    <row r="1305" spans="1:39" hidden="1" x14ac:dyDescent="0.3">
      <c r="A1305" s="85" t="s">
        <v>34</v>
      </c>
      <c r="B1305" s="15" t="s">
        <v>35</v>
      </c>
      <c r="C1305" s="15" t="s">
        <v>164</v>
      </c>
      <c r="D1305" s="15" t="s">
        <v>169</v>
      </c>
      <c r="E1305" s="15" t="s">
        <v>1954</v>
      </c>
      <c r="F1305" s="15" t="s">
        <v>1954</v>
      </c>
      <c r="G1305" s="15" t="s">
        <v>1954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1954</v>
      </c>
      <c r="N1305" s="15"/>
      <c r="O1305" s="8" t="s">
        <v>410</v>
      </c>
      <c r="P1305" s="8" t="s">
        <v>46</v>
      </c>
      <c r="Q1305" s="9">
        <v>0.01</v>
      </c>
      <c r="R1305" s="139" t="s">
        <v>1956</v>
      </c>
      <c r="S1305" s="15"/>
      <c r="T1305" s="18">
        <v>-95730.62</v>
      </c>
      <c r="U1305" s="4">
        <v>0</v>
      </c>
      <c r="V1305" s="6">
        <v>0</v>
      </c>
      <c r="W1305" s="18">
        <f t="shared" si="198"/>
        <v>-95730.62</v>
      </c>
      <c r="X1305" s="18">
        <f t="shared" si="190"/>
        <v>0</v>
      </c>
      <c r="Y1305" s="13">
        <f t="shared" si="192"/>
        <v>0</v>
      </c>
      <c r="Z1305" s="14">
        <v>0</v>
      </c>
      <c r="AA1305" s="4">
        <v>0</v>
      </c>
      <c r="AB1305" s="4">
        <f t="shared" si="193"/>
        <v>0</v>
      </c>
      <c r="AC1305" s="6">
        <f t="shared" si="194"/>
        <v>0</v>
      </c>
      <c r="AD1305" s="6">
        <f t="shared" si="191"/>
        <v>0</v>
      </c>
      <c r="AE1305" s="2">
        <v>7.0000000000000007E-2</v>
      </c>
      <c r="AF1305" s="5">
        <f t="shared" si="195"/>
        <v>0</v>
      </c>
      <c r="AG1305" s="14">
        <v>0</v>
      </c>
      <c r="AH1305" s="19">
        <f t="shared" si="197"/>
        <v>0</v>
      </c>
      <c r="AJ1305" s="126" t="e">
        <v>#N/A</v>
      </c>
      <c r="AK1305" s="80">
        <f t="shared" si="196"/>
        <v>0</v>
      </c>
      <c r="AM1305" s="85"/>
    </row>
    <row r="1306" spans="1:39" hidden="1" x14ac:dyDescent="0.3">
      <c r="A1306" s="85" t="s">
        <v>34</v>
      </c>
      <c r="B1306" s="15" t="s">
        <v>35</v>
      </c>
      <c r="C1306" s="15" t="s">
        <v>164</v>
      </c>
      <c r="D1306" s="15" t="s">
        <v>169</v>
      </c>
      <c r="E1306" s="15" t="s">
        <v>628</v>
      </c>
      <c r="F1306" s="15" t="s">
        <v>628</v>
      </c>
      <c r="G1306" s="15" t="s">
        <v>628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628</v>
      </c>
      <c r="N1306" s="15"/>
      <c r="O1306" s="8" t="s">
        <v>1196</v>
      </c>
      <c r="P1306" s="8" t="s">
        <v>46</v>
      </c>
      <c r="Q1306" s="9">
        <v>0.1</v>
      </c>
      <c r="R1306" s="139" t="s">
        <v>1957</v>
      </c>
      <c r="S1306" s="15"/>
      <c r="T1306" s="18">
        <v>-69520.026129999998</v>
      </c>
      <c r="U1306" s="4">
        <v>0</v>
      </c>
      <c r="V1306" s="6">
        <v>0</v>
      </c>
      <c r="W1306" s="18">
        <f t="shared" si="198"/>
        <v>-69520.026129999998</v>
      </c>
      <c r="X1306" s="18">
        <f t="shared" si="190"/>
        <v>0</v>
      </c>
      <c r="Y1306" s="13">
        <f t="shared" si="192"/>
        <v>0</v>
      </c>
      <c r="Z1306" s="14">
        <v>0</v>
      </c>
      <c r="AA1306" s="4">
        <v>0</v>
      </c>
      <c r="AB1306" s="4">
        <f t="shared" si="193"/>
        <v>0</v>
      </c>
      <c r="AC1306" s="6">
        <f t="shared" si="194"/>
        <v>0</v>
      </c>
      <c r="AD1306" s="6">
        <f t="shared" si="191"/>
        <v>0</v>
      </c>
      <c r="AE1306" s="2">
        <v>0.12</v>
      </c>
      <c r="AF1306" s="5">
        <f t="shared" si="195"/>
        <v>0</v>
      </c>
      <c r="AG1306" s="14">
        <v>0</v>
      </c>
      <c r="AH1306" s="19">
        <f t="shared" si="197"/>
        <v>0</v>
      </c>
      <c r="AJ1306" s="126" t="e">
        <v>#N/A</v>
      </c>
      <c r="AK1306" s="80">
        <f t="shared" si="196"/>
        <v>0</v>
      </c>
      <c r="AM1306" s="85"/>
    </row>
    <row r="1307" spans="1:39" hidden="1" x14ac:dyDescent="0.3">
      <c r="A1307" s="85" t="s">
        <v>34</v>
      </c>
      <c r="B1307" s="15" t="s">
        <v>35</v>
      </c>
      <c r="C1307" s="15" t="s">
        <v>164</v>
      </c>
      <c r="D1307" s="15" t="s">
        <v>169</v>
      </c>
      <c r="E1307" s="15" t="s">
        <v>628</v>
      </c>
      <c r="F1307" s="15" t="s">
        <v>628</v>
      </c>
      <c r="G1307" s="15" t="s">
        <v>628</v>
      </c>
      <c r="H1307" s="154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628</v>
      </c>
      <c r="N1307" s="15"/>
      <c r="O1307" s="8" t="s">
        <v>410</v>
      </c>
      <c r="P1307" s="8" t="s">
        <v>46</v>
      </c>
      <c r="Q1307" s="9">
        <v>0.05</v>
      </c>
      <c r="R1307" s="139" t="s">
        <v>1957</v>
      </c>
      <c r="S1307" s="15"/>
      <c r="T1307" s="18">
        <v>96915.872560000047</v>
      </c>
      <c r="U1307" s="4">
        <v>0</v>
      </c>
      <c r="V1307" s="6">
        <v>1412.5</v>
      </c>
      <c r="W1307" s="18">
        <f t="shared" si="198"/>
        <v>95503.372560000047</v>
      </c>
      <c r="X1307" s="18">
        <f t="shared" si="190"/>
        <v>1345.2380952380952</v>
      </c>
      <c r="Y1307" s="13">
        <f t="shared" si="192"/>
        <v>499.21379809770872</v>
      </c>
      <c r="Z1307" s="14">
        <v>0</v>
      </c>
      <c r="AA1307" s="4">
        <v>0</v>
      </c>
      <c r="AB1307" s="4">
        <f t="shared" si="193"/>
        <v>1345.2380952380952</v>
      </c>
      <c r="AC1307" s="6">
        <f t="shared" si="194"/>
        <v>67.261904761904816</v>
      </c>
      <c r="AD1307" s="6">
        <f t="shared" si="191"/>
        <v>846.02429714038647</v>
      </c>
      <c r="AE1307" s="2">
        <v>7.0000000000000007E-2</v>
      </c>
      <c r="AF1307" s="5">
        <f t="shared" si="195"/>
        <v>59.221700799827062</v>
      </c>
      <c r="AG1307" s="14">
        <v>0</v>
      </c>
      <c r="AH1307" s="19">
        <f t="shared" si="197"/>
        <v>1412.5</v>
      </c>
      <c r="AJ1307" s="126" t="e">
        <v>#N/A</v>
      </c>
      <c r="AK1307" s="80">
        <f t="shared" si="196"/>
        <v>0</v>
      </c>
      <c r="AM1307" s="85"/>
    </row>
    <row r="1308" spans="1:39" hidden="1" x14ac:dyDescent="0.3">
      <c r="A1308" s="85" t="s">
        <v>34</v>
      </c>
      <c r="B1308" s="15" t="s">
        <v>35</v>
      </c>
      <c r="C1308" s="15" t="s">
        <v>164</v>
      </c>
      <c r="D1308" s="15" t="s">
        <v>169</v>
      </c>
      <c r="E1308" s="15" t="s">
        <v>1958</v>
      </c>
      <c r="F1308" s="15" t="s">
        <v>1958</v>
      </c>
      <c r="G1308" s="15" t="s">
        <v>1958</v>
      </c>
      <c r="H1308" s="154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1958</v>
      </c>
      <c r="N1308" s="15"/>
      <c r="O1308" s="8" t="s">
        <v>410</v>
      </c>
      <c r="P1308" s="8" t="s">
        <v>41</v>
      </c>
      <c r="Q1308" s="9">
        <v>0</v>
      </c>
      <c r="R1308" s="139" t="s">
        <v>1959</v>
      </c>
      <c r="S1308" s="15"/>
      <c r="T1308" s="18">
        <v>47640.7</v>
      </c>
      <c r="U1308" s="4">
        <v>0</v>
      </c>
      <c r="V1308" s="6">
        <v>34124.199999999997</v>
      </c>
      <c r="W1308" s="18">
        <f t="shared" si="198"/>
        <v>13516.5</v>
      </c>
      <c r="X1308" s="18">
        <f t="shared" si="190"/>
        <v>34124.199999999997</v>
      </c>
      <c r="Y1308" s="13">
        <f t="shared" si="192"/>
        <v>13685.331100546566</v>
      </c>
      <c r="Z1308" s="14">
        <v>0</v>
      </c>
      <c r="AA1308" s="4">
        <v>0</v>
      </c>
      <c r="AB1308" s="4">
        <f t="shared" si="193"/>
        <v>34124.199999999997</v>
      </c>
      <c r="AC1308" s="6">
        <f t="shared" si="194"/>
        <v>0</v>
      </c>
      <c r="AD1308" s="6">
        <f t="shared" si="191"/>
        <v>20438.868899453431</v>
      </c>
      <c r="AE1308" s="2">
        <v>7.0000000000000007E-2</v>
      </c>
      <c r="AF1308" s="5">
        <f t="shared" si="195"/>
        <v>1430.7208229617404</v>
      </c>
      <c r="AG1308" s="14">
        <v>0</v>
      </c>
      <c r="AH1308" s="19">
        <f t="shared" si="197"/>
        <v>34124.199999999997</v>
      </c>
      <c r="AJ1308" s="126" t="e">
        <v>#N/A</v>
      </c>
      <c r="AK1308" s="80">
        <f t="shared" si="196"/>
        <v>0</v>
      </c>
      <c r="AM1308" s="85"/>
    </row>
    <row r="1309" spans="1:39" hidden="1" x14ac:dyDescent="0.3">
      <c r="A1309" s="85" t="s">
        <v>34</v>
      </c>
      <c r="B1309" s="15" t="s">
        <v>35</v>
      </c>
      <c r="C1309" s="15" t="s">
        <v>164</v>
      </c>
      <c r="D1309" s="15" t="s">
        <v>169</v>
      </c>
      <c r="E1309" s="15" t="s">
        <v>1960</v>
      </c>
      <c r="F1309" s="15" t="s">
        <v>1960</v>
      </c>
      <c r="G1309" s="15" t="s">
        <v>1960</v>
      </c>
      <c r="H1309" s="139"/>
      <c r="I1309" s="15" t="s">
        <v>1961</v>
      </c>
      <c r="J1309" s="1" t="s">
        <v>3671</v>
      </c>
      <c r="L1309" s="1" t="s">
        <v>3388</v>
      </c>
      <c r="M1309" s="15" t="s">
        <v>1962</v>
      </c>
      <c r="N1309" s="15"/>
      <c r="O1309" s="8" t="s">
        <v>410</v>
      </c>
      <c r="P1309" s="8" t="s">
        <v>46</v>
      </c>
      <c r="Q1309" s="9">
        <v>2.0000000000000018E-2</v>
      </c>
      <c r="R1309" s="139" t="s">
        <v>1963</v>
      </c>
      <c r="S1309" s="15"/>
      <c r="T1309" s="18">
        <v>0</v>
      </c>
      <c r="U1309" s="4">
        <v>0</v>
      </c>
      <c r="V1309" s="6">
        <v>0</v>
      </c>
      <c r="W1309" s="18">
        <f t="shared" si="198"/>
        <v>0</v>
      </c>
      <c r="X1309" s="18">
        <f t="shared" si="190"/>
        <v>0</v>
      </c>
      <c r="Y1309" s="13">
        <f t="shared" si="192"/>
        <v>0</v>
      </c>
      <c r="Z1309" s="14">
        <v>0</v>
      </c>
      <c r="AA1309" s="4">
        <v>0</v>
      </c>
      <c r="AB1309" s="4">
        <f t="shared" si="193"/>
        <v>0</v>
      </c>
      <c r="AC1309" s="6">
        <f t="shared" si="194"/>
        <v>0</v>
      </c>
      <c r="AD1309" s="18">
        <f>V1309</f>
        <v>0</v>
      </c>
      <c r="AE1309" s="2">
        <v>0</v>
      </c>
      <c r="AF1309" s="5">
        <f t="shared" si="195"/>
        <v>0</v>
      </c>
      <c r="AG1309" s="14">
        <v>0</v>
      </c>
      <c r="AH1309" s="19">
        <f t="shared" si="197"/>
        <v>0</v>
      </c>
      <c r="AJ1309" s="126" t="e">
        <v>#N/A</v>
      </c>
      <c r="AK1309" s="80">
        <f t="shared" si="196"/>
        <v>0</v>
      </c>
      <c r="AM1309" s="85"/>
    </row>
    <row r="1310" spans="1:39" hidden="1" x14ac:dyDescent="0.3">
      <c r="A1310" s="85" t="s">
        <v>34</v>
      </c>
      <c r="B1310" s="15" t="s">
        <v>35</v>
      </c>
      <c r="C1310" s="15" t="s">
        <v>164</v>
      </c>
      <c r="D1310" s="15" t="s">
        <v>174</v>
      </c>
      <c r="E1310" s="15" t="s">
        <v>1964</v>
      </c>
      <c r="F1310" s="15" t="s">
        <v>1964</v>
      </c>
      <c r="G1310" s="15" t="s">
        <v>1964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1964</v>
      </c>
      <c r="N1310" s="15"/>
      <c r="O1310" s="8" t="s">
        <v>410</v>
      </c>
      <c r="P1310" s="8" t="s">
        <v>46</v>
      </c>
      <c r="Q1310" s="9">
        <v>0.03</v>
      </c>
      <c r="R1310" s="139" t="s">
        <v>1965</v>
      </c>
      <c r="S1310" s="15"/>
      <c r="T1310" s="18">
        <v>-1.3</v>
      </c>
      <c r="U1310" s="4">
        <v>0</v>
      </c>
      <c r="V1310" s="6">
        <v>0</v>
      </c>
      <c r="W1310" s="18">
        <f t="shared" si="198"/>
        <v>-1.3</v>
      </c>
      <c r="X1310" s="18">
        <f t="shared" si="190"/>
        <v>0</v>
      </c>
      <c r="Y1310" s="13">
        <f t="shared" si="192"/>
        <v>0</v>
      </c>
      <c r="Z1310" s="14">
        <v>0</v>
      </c>
      <c r="AA1310" s="4">
        <v>0</v>
      </c>
      <c r="AB1310" s="4">
        <f t="shared" si="193"/>
        <v>0</v>
      </c>
      <c r="AC1310" s="6">
        <f t="shared" si="194"/>
        <v>0</v>
      </c>
      <c r="AD1310" s="6">
        <f t="shared" ref="AD1310:AD1373" si="199">V1310*0.598955254612663</f>
        <v>0</v>
      </c>
      <c r="AE1310" s="2">
        <v>7.0000000000000007E-2</v>
      </c>
      <c r="AF1310" s="5">
        <f t="shared" si="195"/>
        <v>0</v>
      </c>
      <c r="AG1310" s="14">
        <v>0</v>
      </c>
      <c r="AH1310" s="19">
        <f t="shared" si="197"/>
        <v>0</v>
      </c>
      <c r="AJ1310" s="126" t="e">
        <v>#N/A</v>
      </c>
      <c r="AK1310" s="80">
        <f t="shared" si="196"/>
        <v>0</v>
      </c>
      <c r="AM1310" s="85"/>
    </row>
    <row r="1311" spans="1:39" hidden="1" x14ac:dyDescent="0.3">
      <c r="A1311" s="85" t="s">
        <v>34</v>
      </c>
      <c r="B1311" s="15" t="s">
        <v>35</v>
      </c>
      <c r="C1311" s="15" t="s">
        <v>164</v>
      </c>
      <c r="D1311" s="15" t="s">
        <v>174</v>
      </c>
      <c r="E1311" s="15" t="s">
        <v>1966</v>
      </c>
      <c r="F1311" s="15" t="s">
        <v>1966</v>
      </c>
      <c r="G1311" s="15" t="s">
        <v>1966</v>
      </c>
      <c r="H1311" s="154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1967</v>
      </c>
      <c r="N1311" s="15"/>
      <c r="O1311" s="8" t="s">
        <v>1196</v>
      </c>
      <c r="P1311" s="8" t="s">
        <v>41</v>
      </c>
      <c r="Q1311" s="9">
        <v>0</v>
      </c>
      <c r="R1311" s="139" t="s">
        <v>1968</v>
      </c>
      <c r="S1311" s="15"/>
      <c r="T1311" s="18">
        <v>1104312.9500000002</v>
      </c>
      <c r="U1311" s="4">
        <v>0</v>
      </c>
      <c r="V1311" s="6">
        <v>0.8</v>
      </c>
      <c r="W1311" s="18">
        <v>-203229.41070999985</v>
      </c>
      <c r="X1311" s="18">
        <f t="shared" si="190"/>
        <v>0.8</v>
      </c>
      <c r="Y1311" s="13">
        <f t="shared" si="192"/>
        <v>0.32083579630986964</v>
      </c>
      <c r="Z1311" s="14">
        <v>0</v>
      </c>
      <c r="AA1311" s="4">
        <v>0</v>
      </c>
      <c r="AB1311" s="4">
        <f t="shared" si="193"/>
        <v>0.8</v>
      </c>
      <c r="AC1311" s="6">
        <f t="shared" si="194"/>
        <v>0</v>
      </c>
      <c r="AD1311" s="6">
        <f t="shared" si="199"/>
        <v>0.47916420369013041</v>
      </c>
      <c r="AE1311" s="2">
        <v>0.12</v>
      </c>
      <c r="AF1311" s="5">
        <f t="shared" si="195"/>
        <v>5.7499704442815644E-2</v>
      </c>
      <c r="AG1311" s="14">
        <v>0</v>
      </c>
      <c r="AH1311" s="19">
        <f t="shared" si="197"/>
        <v>0.8</v>
      </c>
      <c r="AJ1311" s="126" t="e">
        <v>#N/A</v>
      </c>
      <c r="AK1311" s="80">
        <f t="shared" si="196"/>
        <v>0</v>
      </c>
      <c r="AM1311" s="85"/>
    </row>
    <row r="1312" spans="1:39" hidden="1" x14ac:dyDescent="0.3">
      <c r="A1312" s="85" t="s">
        <v>34</v>
      </c>
      <c r="B1312" s="15" t="s">
        <v>35</v>
      </c>
      <c r="C1312" s="15" t="s">
        <v>164</v>
      </c>
      <c r="D1312" s="15" t="s">
        <v>174</v>
      </c>
      <c r="E1312" s="15" t="s">
        <v>1969</v>
      </c>
      <c r="F1312" s="15" t="s">
        <v>1969</v>
      </c>
      <c r="G1312" s="15" t="s">
        <v>1969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1969</v>
      </c>
      <c r="N1312" s="15"/>
      <c r="O1312" s="8" t="s">
        <v>410</v>
      </c>
      <c r="P1312" s="8" t="s">
        <v>41</v>
      </c>
      <c r="Q1312" s="9">
        <v>0</v>
      </c>
      <c r="R1312" s="139" t="s">
        <v>1970</v>
      </c>
      <c r="S1312" s="15"/>
      <c r="T1312" s="18">
        <v>-42.80000000003929</v>
      </c>
      <c r="U1312" s="4">
        <v>0</v>
      </c>
      <c r="V1312" s="6">
        <v>0</v>
      </c>
      <c r="W1312" s="18">
        <f t="shared" si="198"/>
        <v>-42.80000000003929</v>
      </c>
      <c r="X1312" s="18">
        <f t="shared" si="190"/>
        <v>0</v>
      </c>
      <c r="Y1312" s="13">
        <f t="shared" si="192"/>
        <v>0</v>
      </c>
      <c r="Z1312" s="14">
        <v>0</v>
      </c>
      <c r="AA1312" s="4">
        <v>0</v>
      </c>
      <c r="AB1312" s="4">
        <f t="shared" si="193"/>
        <v>0</v>
      </c>
      <c r="AC1312" s="6">
        <f t="shared" si="194"/>
        <v>0</v>
      </c>
      <c r="AD1312" s="6">
        <f t="shared" si="199"/>
        <v>0</v>
      </c>
      <c r="AE1312" s="2">
        <v>7.0000000000000007E-2</v>
      </c>
      <c r="AF1312" s="5">
        <f t="shared" si="195"/>
        <v>0</v>
      </c>
      <c r="AG1312" s="14">
        <v>0</v>
      </c>
      <c r="AH1312" s="19">
        <f t="shared" si="197"/>
        <v>0</v>
      </c>
      <c r="AJ1312" s="126" t="e">
        <v>#N/A</v>
      </c>
      <c r="AK1312" s="80">
        <f t="shared" si="196"/>
        <v>0</v>
      </c>
      <c r="AM1312" s="85"/>
    </row>
    <row r="1313" spans="1:39" hidden="1" x14ac:dyDescent="0.3">
      <c r="A1313" s="85" t="s">
        <v>34</v>
      </c>
      <c r="B1313" s="15" t="s">
        <v>35</v>
      </c>
      <c r="C1313" s="15" t="s">
        <v>164</v>
      </c>
      <c r="D1313" s="15" t="s">
        <v>174</v>
      </c>
      <c r="E1313" s="15" t="s">
        <v>1969</v>
      </c>
      <c r="F1313" s="15" t="s">
        <v>1969</v>
      </c>
      <c r="G1313" s="15" t="s">
        <v>1969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1971</v>
      </c>
      <c r="N1313" s="15"/>
      <c r="O1313" s="8" t="s">
        <v>410</v>
      </c>
      <c r="P1313" s="8" t="s">
        <v>41</v>
      </c>
      <c r="Q1313" s="9">
        <v>0</v>
      </c>
      <c r="R1313" s="139" t="s">
        <v>1972</v>
      </c>
      <c r="S1313" s="15"/>
      <c r="T1313" s="18">
        <v>-117.30000000010477</v>
      </c>
      <c r="U1313" s="4">
        <v>0</v>
      </c>
      <c r="V1313" s="6">
        <v>0</v>
      </c>
      <c r="W1313" s="18">
        <f t="shared" si="198"/>
        <v>-117.30000000010477</v>
      </c>
      <c r="X1313" s="18">
        <f t="shared" si="190"/>
        <v>0</v>
      </c>
      <c r="Y1313" s="13">
        <f t="shared" si="192"/>
        <v>0</v>
      </c>
      <c r="Z1313" s="14">
        <v>0</v>
      </c>
      <c r="AA1313" s="4">
        <v>0</v>
      </c>
      <c r="AB1313" s="4">
        <f t="shared" si="193"/>
        <v>0</v>
      </c>
      <c r="AC1313" s="6">
        <f t="shared" si="194"/>
        <v>0</v>
      </c>
      <c r="AD1313" s="6">
        <f t="shared" si="199"/>
        <v>0</v>
      </c>
      <c r="AE1313" s="2">
        <v>7.0000000000000007E-2</v>
      </c>
      <c r="AF1313" s="5">
        <f t="shared" si="195"/>
        <v>0</v>
      </c>
      <c r="AG1313" s="14">
        <v>0</v>
      </c>
      <c r="AH1313" s="19">
        <f t="shared" si="197"/>
        <v>0</v>
      </c>
      <c r="AJ1313" s="126" t="e">
        <v>#N/A</v>
      </c>
      <c r="AK1313" s="80">
        <f t="shared" si="196"/>
        <v>0</v>
      </c>
      <c r="AM1313" s="85"/>
    </row>
    <row r="1314" spans="1:39" hidden="1" x14ac:dyDescent="0.3">
      <c r="A1314" s="85" t="s">
        <v>34</v>
      </c>
      <c r="B1314" s="15" t="s">
        <v>35</v>
      </c>
      <c r="C1314" s="15" t="s">
        <v>164</v>
      </c>
      <c r="D1314" s="15" t="s">
        <v>174</v>
      </c>
      <c r="E1314" s="15" t="s">
        <v>651</v>
      </c>
      <c r="F1314" s="15" t="s">
        <v>651</v>
      </c>
      <c r="G1314" s="15" t="s">
        <v>651</v>
      </c>
      <c r="H1314" s="154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651</v>
      </c>
      <c r="N1314" s="15"/>
      <c r="O1314" s="8" t="s">
        <v>1196</v>
      </c>
      <c r="P1314" s="8" t="s">
        <v>46</v>
      </c>
      <c r="Q1314" s="9">
        <v>0.06</v>
      </c>
      <c r="R1314" s="139" t="s">
        <v>1973</v>
      </c>
      <c r="S1314" s="15"/>
      <c r="T1314" s="18">
        <v>518667.2159200001</v>
      </c>
      <c r="U1314" s="4">
        <v>0</v>
      </c>
      <c r="V1314" s="6">
        <v>0.79788000000000003</v>
      </c>
      <c r="W1314" s="18">
        <f t="shared" si="198"/>
        <v>518666.41804000008</v>
      </c>
      <c r="X1314" s="18">
        <f t="shared" si="190"/>
        <v>0.75271698113207541</v>
      </c>
      <c r="Y1314" s="13">
        <f t="shared" si="192"/>
        <v>0.27482256258172388</v>
      </c>
      <c r="Z1314" s="14">
        <v>0</v>
      </c>
      <c r="AA1314" s="4">
        <v>0</v>
      </c>
      <c r="AB1314" s="4">
        <f t="shared" si="193"/>
        <v>0.75271698113207541</v>
      </c>
      <c r="AC1314" s="6">
        <f t="shared" si="194"/>
        <v>4.516301886792462E-2</v>
      </c>
      <c r="AD1314" s="6">
        <f t="shared" si="199"/>
        <v>0.47789441855035153</v>
      </c>
      <c r="AE1314" s="2">
        <v>0.12</v>
      </c>
      <c r="AF1314" s="5">
        <f t="shared" si="195"/>
        <v>5.734733022604218E-2</v>
      </c>
      <c r="AG1314" s="14">
        <v>0</v>
      </c>
      <c r="AH1314" s="19">
        <f t="shared" si="197"/>
        <v>0.79788000000000003</v>
      </c>
      <c r="AJ1314" s="126" t="e">
        <v>#N/A</v>
      </c>
      <c r="AK1314" s="80">
        <f t="shared" si="196"/>
        <v>0</v>
      </c>
      <c r="AM1314" s="85"/>
    </row>
    <row r="1315" spans="1:39" hidden="1" x14ac:dyDescent="0.3">
      <c r="A1315" s="85" t="s">
        <v>34</v>
      </c>
      <c r="B1315" s="15" t="s">
        <v>35</v>
      </c>
      <c r="C1315" s="15" t="s">
        <v>164</v>
      </c>
      <c r="D1315" s="15" t="s">
        <v>174</v>
      </c>
      <c r="E1315" s="15" t="s">
        <v>651</v>
      </c>
      <c r="F1315" s="15" t="s">
        <v>651</v>
      </c>
      <c r="G1315" s="15" t="s">
        <v>651</v>
      </c>
      <c r="H1315" s="154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651</v>
      </c>
      <c r="N1315" s="15"/>
      <c r="O1315" s="8" t="s">
        <v>1196</v>
      </c>
      <c r="P1315" s="8" t="s">
        <v>46</v>
      </c>
      <c r="Q1315" s="9">
        <v>0.06</v>
      </c>
      <c r="R1315" s="139" t="s">
        <v>1974</v>
      </c>
      <c r="S1315" s="15"/>
      <c r="T1315" s="18">
        <v>805462.82549999992</v>
      </c>
      <c r="U1315" s="4">
        <v>0</v>
      </c>
      <c r="V1315" s="6">
        <v>9.9979999999999999E-2</v>
      </c>
      <c r="W1315" s="18">
        <f t="shared" si="198"/>
        <v>805462.72551999986</v>
      </c>
      <c r="X1315" s="18">
        <f t="shared" si="190"/>
        <v>9.432075471698112E-2</v>
      </c>
      <c r="Y1315" s="13">
        <f t="shared" si="192"/>
        <v>3.4437208360807076E-2</v>
      </c>
      <c r="Z1315" s="14">
        <v>0</v>
      </c>
      <c r="AA1315" s="4">
        <v>0</v>
      </c>
      <c r="AB1315" s="4">
        <f t="shared" si="193"/>
        <v>9.432075471698112E-2</v>
      </c>
      <c r="AC1315" s="6">
        <f t="shared" si="194"/>
        <v>5.6592452830188794E-3</v>
      </c>
      <c r="AD1315" s="6">
        <f t="shared" si="199"/>
        <v>5.9883546356174044E-2</v>
      </c>
      <c r="AE1315" s="2">
        <v>0.12</v>
      </c>
      <c r="AF1315" s="5">
        <f t="shared" si="195"/>
        <v>7.1860255627408847E-3</v>
      </c>
      <c r="AG1315" s="14">
        <v>0</v>
      </c>
      <c r="AH1315" s="19">
        <f t="shared" si="197"/>
        <v>9.9979999999999999E-2</v>
      </c>
      <c r="AJ1315" s="126" t="e">
        <v>#N/A</v>
      </c>
      <c r="AK1315" s="80">
        <f t="shared" si="196"/>
        <v>0</v>
      </c>
      <c r="AM1315" s="85"/>
    </row>
    <row r="1316" spans="1:39" hidden="1" x14ac:dyDescent="0.3">
      <c r="A1316" s="85" t="s">
        <v>34</v>
      </c>
      <c r="B1316" s="15" t="s">
        <v>35</v>
      </c>
      <c r="C1316" s="15" t="s">
        <v>164</v>
      </c>
      <c r="D1316" s="15" t="s">
        <v>174</v>
      </c>
      <c r="E1316" s="15" t="s">
        <v>651</v>
      </c>
      <c r="F1316" s="15" t="s">
        <v>651</v>
      </c>
      <c r="G1316" s="15" t="s">
        <v>651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1629</v>
      </c>
      <c r="N1316" s="15"/>
      <c r="O1316" s="8" t="s">
        <v>1196</v>
      </c>
      <c r="P1316" s="8" t="s">
        <v>46</v>
      </c>
      <c r="Q1316" s="9">
        <v>0.06</v>
      </c>
      <c r="R1316" s="139" t="s">
        <v>1975</v>
      </c>
      <c r="S1316" s="15"/>
      <c r="T1316" s="18">
        <v>579764.42471000017</v>
      </c>
      <c r="U1316" s="4">
        <v>0</v>
      </c>
      <c r="V1316" s="6">
        <v>0.51043000000000005</v>
      </c>
      <c r="W1316" s="18">
        <f t="shared" si="198"/>
        <v>579763.91428000014</v>
      </c>
      <c r="X1316" s="18">
        <f t="shared" si="190"/>
        <v>0.48153773584905663</v>
      </c>
      <c r="Y1316" s="13">
        <f t="shared" si="192"/>
        <v>0.17581300523711502</v>
      </c>
      <c r="Z1316" s="14">
        <v>0</v>
      </c>
      <c r="AA1316" s="4">
        <v>0</v>
      </c>
      <c r="AB1316" s="4">
        <f t="shared" si="193"/>
        <v>0.48153773584905663</v>
      </c>
      <c r="AC1316" s="6">
        <f t="shared" si="194"/>
        <v>2.8892264150943425E-2</v>
      </c>
      <c r="AD1316" s="6">
        <f t="shared" si="199"/>
        <v>0.30572473061194161</v>
      </c>
      <c r="AE1316" s="2">
        <v>0.12</v>
      </c>
      <c r="AF1316" s="5">
        <f t="shared" si="195"/>
        <v>3.6686967673432991E-2</v>
      </c>
      <c r="AG1316" s="14">
        <v>0</v>
      </c>
      <c r="AH1316" s="19">
        <f t="shared" si="197"/>
        <v>0.51043000000000005</v>
      </c>
      <c r="AJ1316" s="126" t="e">
        <v>#N/A</v>
      </c>
      <c r="AK1316" s="80">
        <f t="shared" si="196"/>
        <v>0</v>
      </c>
      <c r="AM1316" s="85"/>
    </row>
    <row r="1317" spans="1:39" hidden="1" x14ac:dyDescent="0.3">
      <c r="A1317" s="85" t="s">
        <v>34</v>
      </c>
      <c r="B1317" s="15" t="s">
        <v>35</v>
      </c>
      <c r="C1317" s="15" t="s">
        <v>164</v>
      </c>
      <c r="D1317" s="15" t="s">
        <v>174</v>
      </c>
      <c r="E1317" s="15" t="s">
        <v>1976</v>
      </c>
      <c r="F1317" s="15" t="s">
        <v>1976</v>
      </c>
      <c r="G1317" s="15" t="s">
        <v>1976</v>
      </c>
      <c r="H1317" s="139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1976</v>
      </c>
      <c r="N1317" s="15"/>
      <c r="O1317" s="8" t="s">
        <v>410</v>
      </c>
      <c r="P1317" s="8" t="s">
        <v>46</v>
      </c>
      <c r="Q1317" s="9">
        <v>0.02</v>
      </c>
      <c r="R1317" s="139" t="s">
        <v>1977</v>
      </c>
      <c r="S1317" s="15"/>
      <c r="T1317" s="18">
        <v>-0.7</v>
      </c>
      <c r="U1317" s="4">
        <v>0</v>
      </c>
      <c r="V1317" s="6">
        <v>0</v>
      </c>
      <c r="W1317" s="18">
        <f t="shared" si="198"/>
        <v>-0.7</v>
      </c>
      <c r="X1317" s="18">
        <f t="shared" si="190"/>
        <v>0</v>
      </c>
      <c r="Y1317" s="13">
        <f t="shared" si="192"/>
        <v>0</v>
      </c>
      <c r="Z1317" s="14">
        <v>0</v>
      </c>
      <c r="AA1317" s="4">
        <v>0</v>
      </c>
      <c r="AB1317" s="4">
        <f t="shared" si="193"/>
        <v>0</v>
      </c>
      <c r="AC1317" s="6">
        <f t="shared" si="194"/>
        <v>0</v>
      </c>
      <c r="AD1317" s="6">
        <f t="shared" si="199"/>
        <v>0</v>
      </c>
      <c r="AE1317" s="2">
        <v>7.0000000000000007E-2</v>
      </c>
      <c r="AF1317" s="5">
        <f t="shared" si="195"/>
        <v>0</v>
      </c>
      <c r="AG1317" s="14">
        <v>0</v>
      </c>
      <c r="AH1317" s="19">
        <f t="shared" si="197"/>
        <v>0</v>
      </c>
      <c r="AJ1317" s="126" t="e">
        <v>#N/A</v>
      </c>
      <c r="AK1317" s="80">
        <f t="shared" si="196"/>
        <v>0</v>
      </c>
      <c r="AM1317" s="85"/>
    </row>
    <row r="1318" spans="1:39" hidden="1" x14ac:dyDescent="0.3">
      <c r="A1318" s="85" t="s">
        <v>34</v>
      </c>
      <c r="B1318" s="15" t="s">
        <v>35</v>
      </c>
      <c r="C1318" s="15" t="s">
        <v>164</v>
      </c>
      <c r="D1318" s="15" t="s">
        <v>174</v>
      </c>
      <c r="E1318" s="15" t="s">
        <v>1978</v>
      </c>
      <c r="F1318" s="15" t="s">
        <v>1978</v>
      </c>
      <c r="G1318" s="15" t="s">
        <v>1978</v>
      </c>
      <c r="H1318" s="154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1978</v>
      </c>
      <c r="N1318" s="15"/>
      <c r="O1318" s="8" t="s">
        <v>410</v>
      </c>
      <c r="P1318" s="8" t="s">
        <v>41</v>
      </c>
      <c r="Q1318" s="9">
        <v>0</v>
      </c>
      <c r="R1318" s="139" t="s">
        <v>1979</v>
      </c>
      <c r="S1318" s="15"/>
      <c r="T1318" s="18">
        <v>9747.9349999999995</v>
      </c>
      <c r="U1318" s="4">
        <v>0</v>
      </c>
      <c r="V1318" s="6">
        <v>4183.2</v>
      </c>
      <c r="W1318" s="18">
        <f t="shared" si="198"/>
        <v>5564.7349999999997</v>
      </c>
      <c r="X1318" s="18">
        <f t="shared" ref="X1318:X1381" si="200">IF(P1318="折扣",V1318*Q1318,IF(P1318="返现",V1318,V1318/(1+Q1318)))</f>
        <v>4183.2</v>
      </c>
      <c r="Y1318" s="13">
        <f t="shared" si="192"/>
        <v>1677.6503789043081</v>
      </c>
      <c r="Z1318" s="14">
        <v>0</v>
      </c>
      <c r="AA1318" s="4">
        <v>0</v>
      </c>
      <c r="AB1318" s="4">
        <f t="shared" si="193"/>
        <v>4183.2</v>
      </c>
      <c r="AC1318" s="6">
        <f t="shared" si="194"/>
        <v>0</v>
      </c>
      <c r="AD1318" s="6">
        <f t="shared" si="199"/>
        <v>2505.5496210956917</v>
      </c>
      <c r="AE1318" s="2">
        <v>7.0000000000000007E-2</v>
      </c>
      <c r="AF1318" s="5">
        <f t="shared" si="195"/>
        <v>175.38847347669844</v>
      </c>
      <c r="AG1318" s="14">
        <v>0</v>
      </c>
      <c r="AH1318" s="19">
        <f t="shared" si="197"/>
        <v>4183.2</v>
      </c>
      <c r="AJ1318" s="126" t="e">
        <v>#N/A</v>
      </c>
      <c r="AK1318" s="80">
        <f t="shared" si="196"/>
        <v>0</v>
      </c>
      <c r="AM1318" s="85"/>
    </row>
    <row r="1319" spans="1:39" hidden="1" x14ac:dyDescent="0.3">
      <c r="A1319" s="85" t="s">
        <v>34</v>
      </c>
      <c r="B1319" s="15" t="s">
        <v>35</v>
      </c>
      <c r="C1319" s="15" t="s">
        <v>164</v>
      </c>
      <c r="D1319" s="15" t="s">
        <v>174</v>
      </c>
      <c r="E1319" s="15" t="s">
        <v>1678</v>
      </c>
      <c r="F1319" s="15" t="s">
        <v>1678</v>
      </c>
      <c r="G1319" s="15" t="s">
        <v>1678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1678</v>
      </c>
      <c r="N1319" s="15"/>
      <c r="O1319" s="8" t="s">
        <v>410</v>
      </c>
      <c r="P1319" s="8" t="s">
        <v>46</v>
      </c>
      <c r="Q1319" s="9">
        <v>0.02</v>
      </c>
      <c r="R1319" s="139" t="s">
        <v>1680</v>
      </c>
      <c r="S1319" s="15"/>
      <c r="T1319" s="18">
        <v>10439.330000000002</v>
      </c>
      <c r="U1319" s="4">
        <v>0</v>
      </c>
      <c r="V1319" s="18">
        <v>0</v>
      </c>
      <c r="W1319" s="18">
        <f t="shared" si="198"/>
        <v>10439.330000000002</v>
      </c>
      <c r="X1319" s="18">
        <f t="shared" si="200"/>
        <v>0</v>
      </c>
      <c r="Y1319" s="13">
        <f t="shared" si="192"/>
        <v>0</v>
      </c>
      <c r="Z1319" s="14">
        <v>0</v>
      </c>
      <c r="AA1319" s="4">
        <v>0</v>
      </c>
      <c r="AB1319" s="4">
        <f t="shared" si="193"/>
        <v>0</v>
      </c>
      <c r="AC1319" s="6">
        <f t="shared" si="194"/>
        <v>0</v>
      </c>
      <c r="AD1319" s="6">
        <f t="shared" si="199"/>
        <v>0</v>
      </c>
      <c r="AE1319" s="2">
        <v>7.0000000000000007E-2</v>
      </c>
      <c r="AF1319" s="5">
        <f t="shared" si="195"/>
        <v>0</v>
      </c>
      <c r="AG1319" s="14">
        <v>0</v>
      </c>
      <c r="AH1319" s="19">
        <f t="shared" si="197"/>
        <v>0</v>
      </c>
      <c r="AJ1319" s="126" t="e">
        <v>#N/A</v>
      </c>
      <c r="AK1319" s="80">
        <f t="shared" si="196"/>
        <v>0</v>
      </c>
      <c r="AM1319" s="85"/>
    </row>
    <row r="1320" spans="1:39" hidden="1" x14ac:dyDescent="0.3">
      <c r="A1320" s="85" t="s">
        <v>34</v>
      </c>
      <c r="B1320" s="15" t="s">
        <v>35</v>
      </c>
      <c r="C1320" s="15" t="s">
        <v>164</v>
      </c>
      <c r="D1320" s="15" t="s">
        <v>174</v>
      </c>
      <c r="E1320" s="15" t="s">
        <v>1980</v>
      </c>
      <c r="F1320" s="15" t="s">
        <v>1980</v>
      </c>
      <c r="G1320" s="15" t="s">
        <v>1980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1981</v>
      </c>
      <c r="N1320" s="15"/>
      <c r="O1320" s="8" t="s">
        <v>410</v>
      </c>
      <c r="P1320" s="8" t="s">
        <v>46</v>
      </c>
      <c r="Q1320" s="9">
        <v>0.04</v>
      </c>
      <c r="R1320" s="139" t="s">
        <v>1982</v>
      </c>
      <c r="S1320" s="15"/>
      <c r="T1320" s="18">
        <v>-0.4</v>
      </c>
      <c r="U1320" s="4">
        <v>0</v>
      </c>
      <c r="V1320" s="6">
        <v>0</v>
      </c>
      <c r="W1320" s="18">
        <f t="shared" si="198"/>
        <v>-0.4</v>
      </c>
      <c r="X1320" s="18">
        <f t="shared" si="200"/>
        <v>0</v>
      </c>
      <c r="Y1320" s="13">
        <f t="shared" si="192"/>
        <v>0</v>
      </c>
      <c r="Z1320" s="14">
        <v>0</v>
      </c>
      <c r="AA1320" s="4">
        <v>0</v>
      </c>
      <c r="AB1320" s="4">
        <f t="shared" si="193"/>
        <v>0</v>
      </c>
      <c r="AC1320" s="6">
        <f t="shared" si="194"/>
        <v>0</v>
      </c>
      <c r="AD1320" s="6">
        <f t="shared" si="199"/>
        <v>0</v>
      </c>
      <c r="AE1320" s="2">
        <v>7.0000000000000007E-2</v>
      </c>
      <c r="AF1320" s="5">
        <f t="shared" si="195"/>
        <v>0</v>
      </c>
      <c r="AG1320" s="14">
        <v>0</v>
      </c>
      <c r="AH1320" s="19">
        <f t="shared" si="197"/>
        <v>0</v>
      </c>
      <c r="AJ1320" s="126" t="e">
        <v>#N/A</v>
      </c>
      <c r="AK1320" s="80">
        <f t="shared" si="196"/>
        <v>0</v>
      </c>
      <c r="AM1320" s="85"/>
    </row>
    <row r="1321" spans="1:39" hidden="1" x14ac:dyDescent="0.3">
      <c r="A1321" s="85" t="s">
        <v>34</v>
      </c>
      <c r="B1321" s="15" t="s">
        <v>35</v>
      </c>
      <c r="C1321" s="15" t="s">
        <v>164</v>
      </c>
      <c r="D1321" s="15" t="s">
        <v>174</v>
      </c>
      <c r="E1321" s="15" t="s">
        <v>1980</v>
      </c>
      <c r="F1321" s="15" t="s">
        <v>1980</v>
      </c>
      <c r="G1321" s="15" t="s">
        <v>1980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1983</v>
      </c>
      <c r="N1321" s="15"/>
      <c r="O1321" s="8" t="s">
        <v>410</v>
      </c>
      <c r="P1321" s="8" t="s">
        <v>46</v>
      </c>
      <c r="Q1321" s="9">
        <v>0.04</v>
      </c>
      <c r="R1321" s="139" t="s">
        <v>1984</v>
      </c>
      <c r="S1321" s="15"/>
      <c r="T1321" s="18">
        <v>-0.3</v>
      </c>
      <c r="U1321" s="4">
        <v>0</v>
      </c>
      <c r="V1321" s="6">
        <v>0</v>
      </c>
      <c r="W1321" s="18">
        <f t="shared" si="198"/>
        <v>-0.3</v>
      </c>
      <c r="X1321" s="18">
        <f t="shared" si="200"/>
        <v>0</v>
      </c>
      <c r="Y1321" s="13">
        <f t="shared" si="192"/>
        <v>0</v>
      </c>
      <c r="Z1321" s="14">
        <v>0</v>
      </c>
      <c r="AA1321" s="4">
        <v>0</v>
      </c>
      <c r="AB1321" s="4">
        <f t="shared" si="193"/>
        <v>0</v>
      </c>
      <c r="AC1321" s="6">
        <f t="shared" si="194"/>
        <v>0</v>
      </c>
      <c r="AD1321" s="6">
        <f t="shared" si="199"/>
        <v>0</v>
      </c>
      <c r="AE1321" s="2">
        <v>7.0000000000000007E-2</v>
      </c>
      <c r="AF1321" s="5">
        <f t="shared" si="195"/>
        <v>0</v>
      </c>
      <c r="AG1321" s="14">
        <v>0</v>
      </c>
      <c r="AH1321" s="19">
        <f t="shared" si="197"/>
        <v>0</v>
      </c>
      <c r="AJ1321" s="126" t="e">
        <v>#N/A</v>
      </c>
      <c r="AK1321" s="80">
        <f t="shared" si="196"/>
        <v>0</v>
      </c>
      <c r="AM1321" s="85"/>
    </row>
    <row r="1322" spans="1:39" hidden="1" x14ac:dyDescent="0.3">
      <c r="A1322" s="85" t="s">
        <v>34</v>
      </c>
      <c r="B1322" s="15" t="s">
        <v>35</v>
      </c>
      <c r="C1322" s="15" t="s">
        <v>164</v>
      </c>
      <c r="D1322" s="15" t="s">
        <v>174</v>
      </c>
      <c r="E1322" s="15" t="s">
        <v>1687</v>
      </c>
      <c r="F1322" s="15" t="s">
        <v>1687</v>
      </c>
      <c r="G1322" s="15" t="s">
        <v>1687</v>
      </c>
      <c r="H1322" s="154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1687</v>
      </c>
      <c r="N1322" s="15"/>
      <c r="O1322" s="8" t="s">
        <v>410</v>
      </c>
      <c r="P1322" s="8" t="s">
        <v>46</v>
      </c>
      <c r="Q1322" s="9">
        <v>0.02</v>
      </c>
      <c r="R1322" s="139" t="s">
        <v>1688</v>
      </c>
      <c r="S1322" s="15"/>
      <c r="T1322" s="18">
        <v>26117.245040000009</v>
      </c>
      <c r="U1322" s="4">
        <v>0</v>
      </c>
      <c r="V1322" s="18">
        <v>26117.245040000009</v>
      </c>
      <c r="W1322" s="18">
        <f t="shared" si="198"/>
        <v>0</v>
      </c>
      <c r="X1322" s="18">
        <f t="shared" si="200"/>
        <v>25605.142196078439</v>
      </c>
      <c r="Y1322" s="13">
        <f t="shared" si="192"/>
        <v>9962.0810433639253</v>
      </c>
      <c r="Z1322" s="14">
        <v>0</v>
      </c>
      <c r="AA1322" s="4">
        <v>0</v>
      </c>
      <c r="AB1322" s="4">
        <f t="shared" si="193"/>
        <v>25605.142196078439</v>
      </c>
      <c r="AC1322" s="6">
        <f t="shared" si="194"/>
        <v>512.10284392156973</v>
      </c>
      <c r="AD1322" s="6">
        <f t="shared" si="199"/>
        <v>15643.061152714514</v>
      </c>
      <c r="AE1322" s="2">
        <v>7.0000000000000007E-2</v>
      </c>
      <c r="AF1322" s="5">
        <f t="shared" si="195"/>
        <v>1095.014280690016</v>
      </c>
      <c r="AG1322" s="14">
        <v>0</v>
      </c>
      <c r="AH1322" s="19">
        <f t="shared" si="197"/>
        <v>26117.245040000009</v>
      </c>
      <c r="AJ1322" s="126" t="e">
        <v>#N/A</v>
      </c>
      <c r="AK1322" s="80">
        <f t="shared" si="196"/>
        <v>0</v>
      </c>
      <c r="AM1322" s="85"/>
    </row>
    <row r="1323" spans="1:39" hidden="1" x14ac:dyDescent="0.3">
      <c r="A1323" s="85" t="s">
        <v>34</v>
      </c>
      <c r="B1323" s="15" t="s">
        <v>35</v>
      </c>
      <c r="C1323" s="15" t="s">
        <v>164</v>
      </c>
      <c r="D1323" s="15" t="s">
        <v>174</v>
      </c>
      <c r="E1323" s="15" t="s">
        <v>1687</v>
      </c>
      <c r="F1323" s="15" t="s">
        <v>1687</v>
      </c>
      <c r="G1323" s="15" t="s">
        <v>1687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1689</v>
      </c>
      <c r="N1323" s="15"/>
      <c r="O1323" s="8" t="s">
        <v>410</v>
      </c>
      <c r="P1323" s="8" t="s">
        <v>46</v>
      </c>
      <c r="Q1323" s="9">
        <v>0.02</v>
      </c>
      <c r="R1323" s="139" t="s">
        <v>1690</v>
      </c>
      <c r="S1323" s="15"/>
      <c r="T1323" s="18">
        <v>1120.9600000000355</v>
      </c>
      <c r="U1323" s="4">
        <v>0</v>
      </c>
      <c r="V1323" s="18">
        <v>1120.9600000000355</v>
      </c>
      <c r="W1323" s="18">
        <f t="shared" si="198"/>
        <v>0</v>
      </c>
      <c r="X1323" s="18">
        <f t="shared" si="200"/>
        <v>1098.9803921568976</v>
      </c>
      <c r="Y1323" s="13">
        <f t="shared" si="192"/>
        <v>427.57550994626558</v>
      </c>
      <c r="Z1323" s="14">
        <v>0</v>
      </c>
      <c r="AA1323" s="4">
        <v>0</v>
      </c>
      <c r="AB1323" s="4">
        <f t="shared" si="193"/>
        <v>1098.9803921568976</v>
      </c>
      <c r="AC1323" s="6">
        <f t="shared" si="194"/>
        <v>21.979607843137956</v>
      </c>
      <c r="AD1323" s="6">
        <f t="shared" si="199"/>
        <v>671.40488221063197</v>
      </c>
      <c r="AE1323" s="2">
        <v>7.0000000000000007E-2</v>
      </c>
      <c r="AF1323" s="5">
        <f t="shared" si="195"/>
        <v>46.998341754744246</v>
      </c>
      <c r="AG1323" s="14">
        <v>0</v>
      </c>
      <c r="AH1323" s="19">
        <f t="shared" si="197"/>
        <v>1120.9600000000355</v>
      </c>
      <c r="AJ1323" s="126" t="e">
        <v>#N/A</v>
      </c>
      <c r="AK1323" s="80">
        <f t="shared" si="196"/>
        <v>0</v>
      </c>
      <c r="AM1323" s="85"/>
    </row>
    <row r="1324" spans="1:39" hidden="1" x14ac:dyDescent="0.3">
      <c r="A1324" s="85" t="s">
        <v>34</v>
      </c>
      <c r="B1324" s="15" t="s">
        <v>35</v>
      </c>
      <c r="C1324" s="15" t="s">
        <v>164</v>
      </c>
      <c r="D1324" s="15" t="s">
        <v>174</v>
      </c>
      <c r="E1324" s="15" t="s">
        <v>1687</v>
      </c>
      <c r="F1324" s="15" t="s">
        <v>1687</v>
      </c>
      <c r="G1324" s="15" t="s">
        <v>1687</v>
      </c>
      <c r="H1324" s="154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1689</v>
      </c>
      <c r="N1324" s="15"/>
      <c r="O1324" s="8" t="s">
        <v>410</v>
      </c>
      <c r="P1324" s="8" t="s">
        <v>46</v>
      </c>
      <c r="Q1324" s="9">
        <v>0.02</v>
      </c>
      <c r="R1324" s="139" t="s">
        <v>1691</v>
      </c>
      <c r="S1324" s="15"/>
      <c r="T1324" s="18">
        <v>1982.0300000000334</v>
      </c>
      <c r="U1324" s="4">
        <v>0</v>
      </c>
      <c r="V1324" s="6">
        <v>1464.28</v>
      </c>
      <c r="W1324" s="18">
        <f t="shared" si="198"/>
        <v>517.75000000003342</v>
      </c>
      <c r="X1324" s="18">
        <f t="shared" si="200"/>
        <v>1435.5686274509803</v>
      </c>
      <c r="Y1324" s="13">
        <f t="shared" si="192"/>
        <v>558.53042722675025</v>
      </c>
      <c r="Z1324" s="14">
        <v>0</v>
      </c>
      <c r="AA1324" s="4">
        <v>0</v>
      </c>
      <c r="AB1324" s="4">
        <f t="shared" si="193"/>
        <v>1435.5686274509803</v>
      </c>
      <c r="AC1324" s="6">
        <f t="shared" si="194"/>
        <v>28.711372549019643</v>
      </c>
      <c r="AD1324" s="6">
        <f t="shared" si="199"/>
        <v>877.03820022423008</v>
      </c>
      <c r="AE1324" s="2">
        <v>7.0000000000000007E-2</v>
      </c>
      <c r="AF1324" s="5">
        <f t="shared" si="195"/>
        <v>61.392674015696109</v>
      </c>
      <c r="AG1324" s="14">
        <v>0</v>
      </c>
      <c r="AH1324" s="19">
        <f t="shared" si="197"/>
        <v>1464.28</v>
      </c>
      <c r="AJ1324" s="126" t="e">
        <v>#N/A</v>
      </c>
      <c r="AK1324" s="80">
        <f t="shared" si="196"/>
        <v>0</v>
      </c>
      <c r="AM1324" s="85"/>
    </row>
    <row r="1325" spans="1:39" hidden="1" x14ac:dyDescent="0.3">
      <c r="A1325" s="85" t="s">
        <v>34</v>
      </c>
      <c r="B1325" s="15" t="s">
        <v>35</v>
      </c>
      <c r="C1325" s="15" t="s">
        <v>164</v>
      </c>
      <c r="D1325" s="15" t="s">
        <v>174</v>
      </c>
      <c r="E1325" s="15" t="s">
        <v>1687</v>
      </c>
      <c r="F1325" s="15" t="s">
        <v>1687</v>
      </c>
      <c r="G1325" s="15" t="s">
        <v>1687</v>
      </c>
      <c r="H1325" s="154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1692</v>
      </c>
      <c r="N1325" s="15"/>
      <c r="O1325" s="8" t="s">
        <v>410</v>
      </c>
      <c r="P1325" s="8" t="s">
        <v>46</v>
      </c>
      <c r="Q1325" s="9">
        <v>0.02</v>
      </c>
      <c r="R1325" s="139" t="s">
        <v>1693</v>
      </c>
      <c r="S1325" s="15"/>
      <c r="T1325" s="18">
        <v>302.34000000000378</v>
      </c>
      <c r="U1325" s="4">
        <v>0</v>
      </c>
      <c r="V1325" s="18">
        <v>302.34000000000378</v>
      </c>
      <c r="W1325" s="18">
        <f t="shared" si="198"/>
        <v>0</v>
      </c>
      <c r="X1325" s="18">
        <f t="shared" si="200"/>
        <v>296.41176470588607</v>
      </c>
      <c r="Y1325" s="13">
        <f t="shared" si="192"/>
        <v>115.32363302629128</v>
      </c>
      <c r="Z1325" s="14">
        <v>0</v>
      </c>
      <c r="AA1325" s="4">
        <v>0</v>
      </c>
      <c r="AB1325" s="4">
        <f t="shared" si="193"/>
        <v>296.41176470588607</v>
      </c>
      <c r="AC1325" s="6">
        <f t="shared" si="194"/>
        <v>5.9282352941177123</v>
      </c>
      <c r="AD1325" s="6">
        <f t="shared" si="199"/>
        <v>181.0881316795948</v>
      </c>
      <c r="AE1325" s="2">
        <v>7.0000000000000007E-2</v>
      </c>
      <c r="AF1325" s="5">
        <f t="shared" si="195"/>
        <v>12.676169217571637</v>
      </c>
      <c r="AG1325" s="14">
        <v>0</v>
      </c>
      <c r="AH1325" s="19">
        <f t="shared" si="197"/>
        <v>302.34000000000378</v>
      </c>
      <c r="AJ1325" s="126" t="e">
        <v>#N/A</v>
      </c>
      <c r="AK1325" s="80">
        <f t="shared" si="196"/>
        <v>0</v>
      </c>
      <c r="AM1325" s="85"/>
    </row>
    <row r="1326" spans="1:39" hidden="1" x14ac:dyDescent="0.3">
      <c r="A1326" s="85" t="s">
        <v>34</v>
      </c>
      <c r="B1326" s="15" t="s">
        <v>35</v>
      </c>
      <c r="C1326" s="15" t="s">
        <v>164</v>
      </c>
      <c r="D1326" s="15" t="s">
        <v>174</v>
      </c>
      <c r="E1326" s="15" t="s">
        <v>1985</v>
      </c>
      <c r="F1326" s="15" t="s">
        <v>1985</v>
      </c>
      <c r="G1326" s="15" t="s">
        <v>1985</v>
      </c>
      <c r="H1326" s="154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1985</v>
      </c>
      <c r="N1326" s="15"/>
      <c r="O1326" s="8" t="s">
        <v>410</v>
      </c>
      <c r="P1326" s="8" t="s">
        <v>41</v>
      </c>
      <c r="Q1326" s="9">
        <v>0</v>
      </c>
      <c r="R1326" s="139" t="s">
        <v>1986</v>
      </c>
      <c r="S1326" s="15"/>
      <c r="T1326" s="18">
        <v>9757.0999999999985</v>
      </c>
      <c r="U1326" s="4">
        <v>0</v>
      </c>
      <c r="V1326" s="6">
        <v>9417.7000000000007</v>
      </c>
      <c r="W1326" s="18">
        <f t="shared" si="198"/>
        <v>339.39999999999782</v>
      </c>
      <c r="X1326" s="18">
        <f t="shared" si="200"/>
        <v>9417.7000000000007</v>
      </c>
      <c r="Y1326" s="13">
        <f t="shared" si="192"/>
        <v>3776.9190986343247</v>
      </c>
      <c r="Z1326" s="14">
        <v>0</v>
      </c>
      <c r="AA1326" s="4">
        <v>0</v>
      </c>
      <c r="AB1326" s="4">
        <f t="shared" si="193"/>
        <v>9417.7000000000007</v>
      </c>
      <c r="AC1326" s="6">
        <f t="shared" si="194"/>
        <v>0</v>
      </c>
      <c r="AD1326" s="6">
        <f t="shared" si="199"/>
        <v>5640.7809013656761</v>
      </c>
      <c r="AE1326" s="2">
        <v>7.0000000000000007E-2</v>
      </c>
      <c r="AF1326" s="5">
        <f t="shared" si="195"/>
        <v>394.85466309559735</v>
      </c>
      <c r="AG1326" s="14">
        <v>0</v>
      </c>
      <c r="AH1326" s="19">
        <f t="shared" si="197"/>
        <v>9417.7000000000007</v>
      </c>
      <c r="AJ1326" s="126" t="e">
        <v>#N/A</v>
      </c>
      <c r="AK1326" s="80">
        <f t="shared" si="196"/>
        <v>0</v>
      </c>
      <c r="AM1326" s="85"/>
    </row>
    <row r="1327" spans="1:39" hidden="1" x14ac:dyDescent="0.3">
      <c r="A1327" s="85" t="s">
        <v>34</v>
      </c>
      <c r="B1327" s="15" t="s">
        <v>35</v>
      </c>
      <c r="C1327" s="15" t="s">
        <v>164</v>
      </c>
      <c r="D1327" s="15" t="s">
        <v>174</v>
      </c>
      <c r="E1327" s="15" t="s">
        <v>1703</v>
      </c>
      <c r="F1327" s="15" t="s">
        <v>1703</v>
      </c>
      <c r="G1327" s="15" t="s">
        <v>1703</v>
      </c>
      <c r="H1327" s="154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1703</v>
      </c>
      <c r="N1327" s="15"/>
      <c r="O1327" s="8" t="s">
        <v>410</v>
      </c>
      <c r="P1327" s="8" t="s">
        <v>46</v>
      </c>
      <c r="Q1327" s="9">
        <v>0.02</v>
      </c>
      <c r="R1327" s="139" t="s">
        <v>1704</v>
      </c>
      <c r="S1327" s="15"/>
      <c r="T1327" s="18">
        <v>11965.909999999982</v>
      </c>
      <c r="U1327" s="4">
        <v>0</v>
      </c>
      <c r="V1327" s="18">
        <v>11965.909999999982</v>
      </c>
      <c r="W1327" s="18">
        <f t="shared" si="198"/>
        <v>0</v>
      </c>
      <c r="X1327" s="18">
        <f t="shared" si="200"/>
        <v>11731.284313725471</v>
      </c>
      <c r="Y1327" s="13">
        <f t="shared" si="192"/>
        <v>4564.2396430032722</v>
      </c>
      <c r="Z1327" s="14">
        <v>0</v>
      </c>
      <c r="AA1327" s="4">
        <v>0</v>
      </c>
      <c r="AB1327" s="4">
        <f t="shared" si="193"/>
        <v>11731.284313725471</v>
      </c>
      <c r="AC1327" s="6">
        <f t="shared" si="194"/>
        <v>234.62568627451037</v>
      </c>
      <c r="AD1327" s="6">
        <f t="shared" si="199"/>
        <v>7167.044670722199</v>
      </c>
      <c r="AE1327" s="2">
        <v>7.0000000000000007E-2</v>
      </c>
      <c r="AF1327" s="5">
        <f t="shared" si="195"/>
        <v>501.69312695055396</v>
      </c>
      <c r="AG1327" s="14">
        <v>0</v>
      </c>
      <c r="AH1327" s="19">
        <f t="shared" si="197"/>
        <v>11965.909999999982</v>
      </c>
      <c r="AJ1327" s="126" t="e">
        <v>#N/A</v>
      </c>
      <c r="AK1327" s="80">
        <f t="shared" si="196"/>
        <v>0</v>
      </c>
      <c r="AM1327" s="85"/>
    </row>
    <row r="1328" spans="1:39" hidden="1" x14ac:dyDescent="0.3">
      <c r="A1328" s="85" t="s">
        <v>34</v>
      </c>
      <c r="B1328" s="15" t="s">
        <v>35</v>
      </c>
      <c r="C1328" s="15" t="s">
        <v>164</v>
      </c>
      <c r="D1328" s="15" t="s">
        <v>174</v>
      </c>
      <c r="E1328" s="15" t="s">
        <v>1703</v>
      </c>
      <c r="F1328" s="15" t="s">
        <v>1703</v>
      </c>
      <c r="G1328" s="15" t="s">
        <v>1703</v>
      </c>
      <c r="H1328" s="154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1707</v>
      </c>
      <c r="N1328" s="15"/>
      <c r="O1328" s="8" t="s">
        <v>410</v>
      </c>
      <c r="P1328" s="8" t="s">
        <v>46</v>
      </c>
      <c r="Q1328" s="9">
        <v>0.02</v>
      </c>
      <c r="R1328" s="139" t="s">
        <v>1708</v>
      </c>
      <c r="S1328" s="15"/>
      <c r="T1328" s="18">
        <v>8790.4</v>
      </c>
      <c r="U1328" s="4">
        <v>0</v>
      </c>
      <c r="V1328" s="18">
        <v>8790.4</v>
      </c>
      <c r="W1328" s="18">
        <f t="shared" si="198"/>
        <v>0</v>
      </c>
      <c r="X1328" s="18">
        <f t="shared" si="200"/>
        <v>8618.0392156862745</v>
      </c>
      <c r="Y1328" s="13">
        <f t="shared" si="192"/>
        <v>3352.9829455391218</v>
      </c>
      <c r="Z1328" s="14">
        <v>0</v>
      </c>
      <c r="AA1328" s="4">
        <v>0</v>
      </c>
      <c r="AB1328" s="4">
        <f t="shared" si="193"/>
        <v>8618.0392156862745</v>
      </c>
      <c r="AC1328" s="6">
        <f t="shared" si="194"/>
        <v>172.36078431372516</v>
      </c>
      <c r="AD1328" s="6">
        <f t="shared" si="199"/>
        <v>5265.0562701471526</v>
      </c>
      <c r="AE1328" s="2">
        <v>7.0000000000000007E-2</v>
      </c>
      <c r="AF1328" s="5">
        <f t="shared" si="195"/>
        <v>368.5539389103007</v>
      </c>
      <c r="AG1328" s="14">
        <v>0</v>
      </c>
      <c r="AH1328" s="19">
        <f t="shared" si="197"/>
        <v>8790.4</v>
      </c>
      <c r="AJ1328" s="126" t="e">
        <v>#N/A</v>
      </c>
      <c r="AK1328" s="80">
        <f t="shared" si="196"/>
        <v>0</v>
      </c>
      <c r="AM1328" s="85"/>
    </row>
    <row r="1329" spans="1:39" hidden="1" x14ac:dyDescent="0.3">
      <c r="A1329" s="85" t="s">
        <v>34</v>
      </c>
      <c r="B1329" s="15" t="s">
        <v>35</v>
      </c>
      <c r="C1329" s="15" t="s">
        <v>164</v>
      </c>
      <c r="D1329" s="15" t="s">
        <v>174</v>
      </c>
      <c r="E1329" s="15" t="s">
        <v>1703</v>
      </c>
      <c r="F1329" s="15" t="s">
        <v>1703</v>
      </c>
      <c r="G1329" s="15" t="s">
        <v>1703</v>
      </c>
      <c r="H1329" s="154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1709</v>
      </c>
      <c r="N1329" s="15"/>
      <c r="O1329" s="8" t="s">
        <v>410</v>
      </c>
      <c r="P1329" s="8" t="s">
        <v>46</v>
      </c>
      <c r="Q1329" s="9">
        <v>0.02</v>
      </c>
      <c r="R1329" s="139" t="s">
        <v>1710</v>
      </c>
      <c r="S1329" s="15"/>
      <c r="T1329" s="18">
        <v>4989.5000000000164</v>
      </c>
      <c r="U1329" s="4">
        <v>0</v>
      </c>
      <c r="V1329" s="18">
        <v>4989.5000000000164</v>
      </c>
      <c r="W1329" s="18">
        <f t="shared" si="198"/>
        <v>0</v>
      </c>
      <c r="X1329" s="18">
        <f t="shared" si="200"/>
        <v>4891.6666666666824</v>
      </c>
      <c r="Y1329" s="13">
        <f t="shared" si="192"/>
        <v>1903.1794237767908</v>
      </c>
      <c r="Z1329" s="14">
        <v>0</v>
      </c>
      <c r="AA1329" s="4">
        <v>0</v>
      </c>
      <c r="AB1329" s="4">
        <f t="shared" si="193"/>
        <v>4891.6666666666824</v>
      </c>
      <c r="AC1329" s="6">
        <f t="shared" si="194"/>
        <v>97.83333333333394</v>
      </c>
      <c r="AD1329" s="6">
        <f t="shared" si="199"/>
        <v>2988.4872428898916</v>
      </c>
      <c r="AE1329" s="2">
        <v>7.0000000000000007E-2</v>
      </c>
      <c r="AF1329" s="5">
        <f t="shared" si="195"/>
        <v>209.19410700229244</v>
      </c>
      <c r="AG1329" s="14">
        <v>0</v>
      </c>
      <c r="AH1329" s="19">
        <f t="shared" si="197"/>
        <v>4989.5000000000164</v>
      </c>
      <c r="AJ1329" s="126" t="e">
        <v>#N/A</v>
      </c>
      <c r="AK1329" s="80">
        <f t="shared" si="196"/>
        <v>0</v>
      </c>
      <c r="AM1329" s="85"/>
    </row>
    <row r="1330" spans="1:39" hidden="1" x14ac:dyDescent="0.3">
      <c r="A1330" s="85" t="s">
        <v>34</v>
      </c>
      <c r="B1330" s="15" t="s">
        <v>35</v>
      </c>
      <c r="C1330" s="15" t="s">
        <v>164</v>
      </c>
      <c r="D1330" s="15" t="s">
        <v>174</v>
      </c>
      <c r="E1330" s="15" t="s">
        <v>1711</v>
      </c>
      <c r="F1330" s="15" t="s">
        <v>1711</v>
      </c>
      <c r="G1330" s="15" t="s">
        <v>1711</v>
      </c>
      <c r="H1330" s="154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1711</v>
      </c>
      <c r="N1330" s="15"/>
      <c r="O1330" s="8" t="s">
        <v>1196</v>
      </c>
      <c r="P1330" s="8" t="s">
        <v>46</v>
      </c>
      <c r="Q1330" s="9">
        <v>0.04</v>
      </c>
      <c r="R1330" s="139" t="s">
        <v>1987</v>
      </c>
      <c r="S1330" s="15"/>
      <c r="T1330" s="18">
        <v>18001.306580000004</v>
      </c>
      <c r="U1330" s="4">
        <v>0</v>
      </c>
      <c r="V1330" s="6">
        <v>7995.2235300000002</v>
      </c>
      <c r="W1330" s="18">
        <f t="shared" si="198"/>
        <v>10006.083050000005</v>
      </c>
      <c r="X1330" s="18">
        <f t="shared" si="200"/>
        <v>7687.7149326923072</v>
      </c>
      <c r="Y1330" s="13">
        <f t="shared" si="192"/>
        <v>2898.9337875960027</v>
      </c>
      <c r="Z1330" s="14">
        <v>0</v>
      </c>
      <c r="AA1330" s="4">
        <v>0</v>
      </c>
      <c r="AB1330" s="4">
        <f t="shared" si="193"/>
        <v>7687.7149326923072</v>
      </c>
      <c r="AC1330" s="6">
        <f t="shared" si="194"/>
        <v>307.50859730769298</v>
      </c>
      <c r="AD1330" s="6">
        <f t="shared" si="199"/>
        <v>4788.7811450963045</v>
      </c>
      <c r="AE1330" s="2">
        <v>0.12</v>
      </c>
      <c r="AF1330" s="5">
        <f t="shared" si="195"/>
        <v>574.65373741155656</v>
      </c>
      <c r="AG1330" s="14">
        <v>0</v>
      </c>
      <c r="AH1330" s="19">
        <f t="shared" si="197"/>
        <v>7995.2235300000002</v>
      </c>
      <c r="AJ1330" s="126" t="e">
        <v>#N/A</v>
      </c>
      <c r="AK1330" s="80">
        <f t="shared" si="196"/>
        <v>0</v>
      </c>
      <c r="AM1330" s="85"/>
    </row>
    <row r="1331" spans="1:39" hidden="1" x14ac:dyDescent="0.3">
      <c r="A1331" s="85" t="s">
        <v>34</v>
      </c>
      <c r="B1331" s="15" t="s">
        <v>35</v>
      </c>
      <c r="C1331" s="15" t="s">
        <v>164</v>
      </c>
      <c r="D1331" s="15" t="s">
        <v>174</v>
      </c>
      <c r="E1331" s="15" t="s">
        <v>1718</v>
      </c>
      <c r="F1331" s="15" t="s">
        <v>1719</v>
      </c>
      <c r="G1331" s="15" t="s">
        <v>1718</v>
      </c>
      <c r="H1331" s="154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1722</v>
      </c>
      <c r="N1331" s="15"/>
      <c r="O1331" s="8" t="s">
        <v>410</v>
      </c>
      <c r="P1331" s="8" t="s">
        <v>41</v>
      </c>
      <c r="Q1331" s="9">
        <v>0</v>
      </c>
      <c r="R1331" s="139" t="s">
        <v>1988</v>
      </c>
      <c r="S1331" s="15"/>
      <c r="T1331" s="18">
        <v>97601.5</v>
      </c>
      <c r="U1331" s="6">
        <v>50000</v>
      </c>
      <c r="V1331" s="6">
        <v>102112.6</v>
      </c>
      <c r="W1331" s="18">
        <f t="shared" si="198"/>
        <v>45488.899999999994</v>
      </c>
      <c r="X1331" s="18">
        <f t="shared" si="200"/>
        <v>102112.6</v>
      </c>
      <c r="Y1331" s="13">
        <f t="shared" si="192"/>
        <v>40951.721667838996</v>
      </c>
      <c r="Z1331" s="14">
        <v>0</v>
      </c>
      <c r="AA1331" s="4">
        <v>0</v>
      </c>
      <c r="AB1331" s="4">
        <f t="shared" si="193"/>
        <v>102112.6</v>
      </c>
      <c r="AC1331" s="6">
        <f t="shared" si="194"/>
        <v>0</v>
      </c>
      <c r="AD1331" s="6">
        <f t="shared" si="199"/>
        <v>61160.87833216101</v>
      </c>
      <c r="AE1331" s="2">
        <v>7.0000000000000007E-2</v>
      </c>
      <c r="AF1331" s="5">
        <f t="shared" si="195"/>
        <v>4281.2614832512709</v>
      </c>
      <c r="AG1331" s="14">
        <v>0</v>
      </c>
      <c r="AH1331" s="19">
        <f t="shared" si="197"/>
        <v>102112.6</v>
      </c>
      <c r="AJ1331" s="126" t="e">
        <v>#N/A</v>
      </c>
      <c r="AK1331" s="80">
        <f t="shared" si="196"/>
        <v>0</v>
      </c>
      <c r="AM1331" s="85"/>
    </row>
    <row r="1332" spans="1:39" hidden="1" x14ac:dyDescent="0.3">
      <c r="A1332" s="85" t="s">
        <v>34</v>
      </c>
      <c r="B1332" s="15" t="s">
        <v>35</v>
      </c>
      <c r="C1332" s="15" t="s">
        <v>164</v>
      </c>
      <c r="D1332" s="15" t="s">
        <v>174</v>
      </c>
      <c r="E1332" s="15" t="s">
        <v>1730</v>
      </c>
      <c r="F1332" s="15" t="s">
        <v>1730</v>
      </c>
      <c r="G1332" s="15" t="s">
        <v>1730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1730</v>
      </c>
      <c r="N1332" s="15"/>
      <c r="O1332" s="8" t="s">
        <v>410</v>
      </c>
      <c r="P1332" s="8" t="s">
        <v>46</v>
      </c>
      <c r="Q1332" s="9">
        <v>0.02</v>
      </c>
      <c r="R1332" s="139" t="s">
        <v>1731</v>
      </c>
      <c r="S1332" s="15"/>
      <c r="T1332" s="18">
        <v>8946.0200000000041</v>
      </c>
      <c r="U1332" s="4">
        <v>0</v>
      </c>
      <c r="V1332" s="18">
        <v>8946.0200000000041</v>
      </c>
      <c r="W1332" s="18">
        <f t="shared" si="198"/>
        <v>0</v>
      </c>
      <c r="X1332" s="18">
        <f t="shared" si="200"/>
        <v>8770.6078431372589</v>
      </c>
      <c r="Y1332" s="13">
        <f t="shared" si="192"/>
        <v>3412.3421562672811</v>
      </c>
      <c r="Z1332" s="14">
        <v>0</v>
      </c>
      <c r="AA1332" s="4">
        <v>0</v>
      </c>
      <c r="AB1332" s="4">
        <v>8770.6078431372589</v>
      </c>
      <c r="AC1332" s="6">
        <f t="shared" si="194"/>
        <v>175.41215686274518</v>
      </c>
      <c r="AD1332" s="6">
        <f t="shared" si="199"/>
        <v>5358.2656868699778</v>
      </c>
      <c r="AE1332" s="2">
        <v>7.0000000000000007E-2</v>
      </c>
      <c r="AF1332" s="5">
        <f t="shared" si="195"/>
        <v>375.07859808089847</v>
      </c>
      <c r="AG1332" s="14">
        <v>0</v>
      </c>
      <c r="AH1332" s="19">
        <f t="shared" si="197"/>
        <v>8946.0200000000041</v>
      </c>
      <c r="AJ1332" s="126" t="s">
        <v>4225</v>
      </c>
      <c r="AK1332" s="80">
        <f t="shared" si="196"/>
        <v>0</v>
      </c>
      <c r="AM1332" s="85"/>
    </row>
    <row r="1333" spans="1:39" hidden="1" x14ac:dyDescent="0.3">
      <c r="A1333" s="85" t="s">
        <v>34</v>
      </c>
      <c r="B1333" s="15" t="s">
        <v>35</v>
      </c>
      <c r="C1333" s="15" t="s">
        <v>164</v>
      </c>
      <c r="D1333" s="15" t="s">
        <v>174</v>
      </c>
      <c r="E1333" s="15" t="s">
        <v>1989</v>
      </c>
      <c r="F1333" s="15" t="s">
        <v>1989</v>
      </c>
      <c r="G1333" s="15" t="s">
        <v>1989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1990</v>
      </c>
      <c r="N1333" s="15"/>
      <c r="O1333" s="8" t="s">
        <v>410</v>
      </c>
      <c r="P1333" s="8" t="s">
        <v>46</v>
      </c>
      <c r="Q1333" s="9">
        <v>0.02</v>
      </c>
      <c r="R1333" s="139" t="s">
        <v>1991</v>
      </c>
      <c r="S1333" s="15"/>
      <c r="T1333" s="18">
        <v>-0.8999999999888928</v>
      </c>
      <c r="U1333" s="4">
        <v>0</v>
      </c>
      <c r="V1333" s="6">
        <v>0</v>
      </c>
      <c r="W1333" s="18">
        <f t="shared" si="198"/>
        <v>-0.8999999999888928</v>
      </c>
      <c r="X1333" s="18">
        <f t="shared" si="200"/>
        <v>0</v>
      </c>
      <c r="Y1333" s="13">
        <f t="shared" si="192"/>
        <v>0</v>
      </c>
      <c r="Z1333" s="14">
        <v>0</v>
      </c>
      <c r="AA1333" s="4">
        <v>0</v>
      </c>
      <c r="AB1333" s="4">
        <f t="shared" si="193"/>
        <v>0</v>
      </c>
      <c r="AC1333" s="6">
        <f t="shared" si="194"/>
        <v>0</v>
      </c>
      <c r="AD1333" s="6">
        <f t="shared" si="199"/>
        <v>0</v>
      </c>
      <c r="AE1333" s="2">
        <v>7.0000000000000007E-2</v>
      </c>
      <c r="AF1333" s="5">
        <f t="shared" si="195"/>
        <v>0</v>
      </c>
      <c r="AG1333" s="14">
        <v>0</v>
      </c>
      <c r="AH1333" s="19">
        <f t="shared" si="197"/>
        <v>0</v>
      </c>
      <c r="AJ1333" s="126" t="e">
        <v>#N/A</v>
      </c>
      <c r="AK1333" s="80">
        <f t="shared" si="196"/>
        <v>0</v>
      </c>
      <c r="AM1333" s="85"/>
    </row>
    <row r="1334" spans="1:39" hidden="1" x14ac:dyDescent="0.3">
      <c r="A1334" s="85" t="s">
        <v>34</v>
      </c>
      <c r="B1334" s="15" t="s">
        <v>35</v>
      </c>
      <c r="C1334" s="15" t="s">
        <v>164</v>
      </c>
      <c r="D1334" s="15" t="s">
        <v>174</v>
      </c>
      <c r="E1334" s="15" t="s">
        <v>1992</v>
      </c>
      <c r="F1334" s="15" t="s">
        <v>1992</v>
      </c>
      <c r="G1334" s="15" t="s">
        <v>1992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1992</v>
      </c>
      <c r="N1334" s="15"/>
      <c r="O1334" s="8" t="s">
        <v>410</v>
      </c>
      <c r="P1334" s="8" t="s">
        <v>41</v>
      </c>
      <c r="Q1334" s="9">
        <v>0</v>
      </c>
      <c r="R1334" s="139" t="s">
        <v>1993</v>
      </c>
      <c r="S1334" s="15"/>
      <c r="T1334" s="18">
        <v>-1</v>
      </c>
      <c r="U1334" s="4">
        <v>0</v>
      </c>
      <c r="V1334" s="6">
        <v>0</v>
      </c>
      <c r="W1334" s="18">
        <f t="shared" si="198"/>
        <v>-1</v>
      </c>
      <c r="X1334" s="18">
        <f t="shared" si="200"/>
        <v>0</v>
      </c>
      <c r="Y1334" s="13">
        <f t="shared" si="192"/>
        <v>0</v>
      </c>
      <c r="Z1334" s="14">
        <v>0</v>
      </c>
      <c r="AA1334" s="4">
        <v>0</v>
      </c>
      <c r="AB1334" s="4"/>
      <c r="AC1334" s="6">
        <f t="shared" si="194"/>
        <v>0</v>
      </c>
      <c r="AD1334" s="6">
        <f t="shared" si="199"/>
        <v>0</v>
      </c>
      <c r="AE1334" s="2">
        <v>7.0000000000000007E-2</v>
      </c>
      <c r="AF1334" s="5">
        <f t="shared" si="195"/>
        <v>0</v>
      </c>
      <c r="AG1334" s="14">
        <v>0</v>
      </c>
      <c r="AH1334" s="19">
        <f t="shared" si="197"/>
        <v>0</v>
      </c>
      <c r="AJ1334" s="126">
        <v>81</v>
      </c>
      <c r="AK1334" s="80">
        <f t="shared" si="196"/>
        <v>0</v>
      </c>
      <c r="AM1334" s="85"/>
    </row>
    <row r="1335" spans="1:39" hidden="1" x14ac:dyDescent="0.3">
      <c r="A1335" s="85" t="s">
        <v>34</v>
      </c>
      <c r="B1335" s="15" t="s">
        <v>35</v>
      </c>
      <c r="C1335" s="15" t="s">
        <v>164</v>
      </c>
      <c r="D1335" s="15" t="s">
        <v>174</v>
      </c>
      <c r="E1335" s="15" t="s">
        <v>1994</v>
      </c>
      <c r="F1335" s="15" t="s">
        <v>1994</v>
      </c>
      <c r="G1335" s="15" t="s">
        <v>1994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1994</v>
      </c>
      <c r="N1335" s="15"/>
      <c r="O1335" s="8" t="s">
        <v>410</v>
      </c>
      <c r="P1335" s="8" t="s">
        <v>46</v>
      </c>
      <c r="Q1335" s="9">
        <v>0.03</v>
      </c>
      <c r="R1335" s="139" t="s">
        <v>1995</v>
      </c>
      <c r="S1335" s="15"/>
      <c r="T1335" s="18">
        <v>-1.26</v>
      </c>
      <c r="U1335" s="4">
        <v>0</v>
      </c>
      <c r="V1335" s="6">
        <v>0</v>
      </c>
      <c r="W1335" s="18">
        <f t="shared" si="198"/>
        <v>-1.26</v>
      </c>
      <c r="X1335" s="18">
        <f t="shared" si="200"/>
        <v>0</v>
      </c>
      <c r="Y1335" s="13">
        <f t="shared" si="192"/>
        <v>0</v>
      </c>
      <c r="Z1335" s="14">
        <v>0</v>
      </c>
      <c r="AA1335" s="4">
        <v>0</v>
      </c>
      <c r="AB1335" s="4">
        <f t="shared" si="193"/>
        <v>0</v>
      </c>
      <c r="AC1335" s="6">
        <f t="shared" si="194"/>
        <v>0</v>
      </c>
      <c r="AD1335" s="6">
        <f t="shared" si="199"/>
        <v>0</v>
      </c>
      <c r="AE1335" s="2">
        <v>7.0000000000000007E-2</v>
      </c>
      <c r="AF1335" s="5">
        <f t="shared" si="195"/>
        <v>0</v>
      </c>
      <c r="AG1335" s="14">
        <v>0</v>
      </c>
      <c r="AH1335" s="19">
        <f t="shared" si="197"/>
        <v>0</v>
      </c>
      <c r="AJ1335" s="126" t="e">
        <v>#N/A</v>
      </c>
      <c r="AK1335" s="80">
        <f t="shared" si="196"/>
        <v>0</v>
      </c>
      <c r="AM1335" s="85"/>
    </row>
    <row r="1336" spans="1:39" hidden="1" x14ac:dyDescent="0.3">
      <c r="A1336" s="85" t="s">
        <v>34</v>
      </c>
      <c r="B1336" s="15" t="s">
        <v>35</v>
      </c>
      <c r="C1336" s="15" t="s">
        <v>164</v>
      </c>
      <c r="D1336" s="15" t="s">
        <v>174</v>
      </c>
      <c r="E1336" s="15" t="s">
        <v>1772</v>
      </c>
      <c r="F1336" s="15" t="s">
        <v>1772</v>
      </c>
      <c r="G1336" s="15" t="s">
        <v>1772</v>
      </c>
      <c r="H1336" s="154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1772</v>
      </c>
      <c r="N1336" s="15"/>
      <c r="O1336" s="8" t="s">
        <v>410</v>
      </c>
      <c r="P1336" s="8" t="s">
        <v>46</v>
      </c>
      <c r="Q1336" s="9">
        <v>0.02</v>
      </c>
      <c r="R1336" s="139" t="s">
        <v>1774</v>
      </c>
      <c r="S1336" s="15"/>
      <c r="T1336" s="18">
        <v>41141.69</v>
      </c>
      <c r="U1336" s="4">
        <v>0</v>
      </c>
      <c r="V1336" s="18">
        <v>41141.69</v>
      </c>
      <c r="W1336" s="18">
        <f t="shared" si="198"/>
        <v>0</v>
      </c>
      <c r="X1336" s="18">
        <f t="shared" si="200"/>
        <v>40334.990196078434</v>
      </c>
      <c r="Y1336" s="13">
        <f t="shared" si="192"/>
        <v>15692.958786933181</v>
      </c>
      <c r="Z1336" s="14">
        <v>0</v>
      </c>
      <c r="AA1336" s="4">
        <v>0</v>
      </c>
      <c r="AB1336" s="4">
        <f t="shared" si="193"/>
        <v>40334.990196078434</v>
      </c>
      <c r="AC1336" s="6">
        <f t="shared" si="194"/>
        <v>806.69980392156867</v>
      </c>
      <c r="AD1336" s="6">
        <f t="shared" si="199"/>
        <v>24642.031409145253</v>
      </c>
      <c r="AE1336" s="2">
        <v>7.0000000000000007E-2</v>
      </c>
      <c r="AF1336" s="5">
        <f t="shared" si="195"/>
        <v>1724.9421986401678</v>
      </c>
      <c r="AG1336" s="14">
        <v>0</v>
      </c>
      <c r="AH1336" s="19">
        <f t="shared" si="197"/>
        <v>41141.69</v>
      </c>
      <c r="AJ1336" s="126" t="e">
        <v>#N/A</v>
      </c>
      <c r="AK1336" s="80">
        <f t="shared" si="196"/>
        <v>0</v>
      </c>
      <c r="AM1336" s="85"/>
    </row>
    <row r="1337" spans="1:39" hidden="1" x14ac:dyDescent="0.3">
      <c r="A1337" s="85" t="s">
        <v>34</v>
      </c>
      <c r="B1337" s="15" t="s">
        <v>35</v>
      </c>
      <c r="C1337" s="15" t="s">
        <v>164</v>
      </c>
      <c r="D1337" s="15" t="s">
        <v>174</v>
      </c>
      <c r="E1337" s="15" t="s">
        <v>1996</v>
      </c>
      <c r="F1337" s="15" t="s">
        <v>1996</v>
      </c>
      <c r="G1337" s="15" t="s">
        <v>1996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1997</v>
      </c>
      <c r="N1337" s="15"/>
      <c r="O1337" s="8" t="s">
        <v>410</v>
      </c>
      <c r="P1337" s="8" t="s">
        <v>46</v>
      </c>
      <c r="Q1337" s="9">
        <v>0.02</v>
      </c>
      <c r="R1337" s="139" t="s">
        <v>1998</v>
      </c>
      <c r="S1337" s="15"/>
      <c r="T1337" s="18">
        <v>16064.199999999997</v>
      </c>
      <c r="U1337" s="4">
        <v>0</v>
      </c>
      <c r="V1337" s="6">
        <v>0</v>
      </c>
      <c r="W1337" s="18">
        <f t="shared" si="198"/>
        <v>16064.199999999997</v>
      </c>
      <c r="X1337" s="18">
        <f t="shared" si="200"/>
        <v>0</v>
      </c>
      <c r="Y1337" s="13">
        <f t="shared" si="192"/>
        <v>0</v>
      </c>
      <c r="Z1337" s="14">
        <v>0</v>
      </c>
      <c r="AA1337" s="4">
        <v>0</v>
      </c>
      <c r="AB1337" s="4">
        <f t="shared" si="193"/>
        <v>0</v>
      </c>
      <c r="AC1337" s="6">
        <f t="shared" si="194"/>
        <v>0</v>
      </c>
      <c r="AD1337" s="6">
        <f t="shared" si="199"/>
        <v>0</v>
      </c>
      <c r="AE1337" s="2">
        <v>7.0000000000000007E-2</v>
      </c>
      <c r="AF1337" s="5">
        <f t="shared" si="195"/>
        <v>0</v>
      </c>
      <c r="AG1337" s="14">
        <v>0</v>
      </c>
      <c r="AH1337" s="19">
        <f t="shared" si="197"/>
        <v>0</v>
      </c>
      <c r="AJ1337" s="126" t="e">
        <v>#N/A</v>
      </c>
      <c r="AK1337" s="80">
        <f t="shared" si="196"/>
        <v>0</v>
      </c>
      <c r="AM1337" s="85"/>
    </row>
    <row r="1338" spans="1:39" hidden="1" x14ac:dyDescent="0.3">
      <c r="A1338" s="85" t="s">
        <v>34</v>
      </c>
      <c r="B1338" s="15" t="s">
        <v>35</v>
      </c>
      <c r="C1338" s="15" t="s">
        <v>164</v>
      </c>
      <c r="D1338" s="15" t="s">
        <v>174</v>
      </c>
      <c r="E1338" s="15" t="s">
        <v>1777</v>
      </c>
      <c r="F1338" s="15" t="s">
        <v>1777</v>
      </c>
      <c r="G1338" s="15" t="s">
        <v>1777</v>
      </c>
      <c r="H1338" s="154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1778</v>
      </c>
      <c r="N1338" s="15"/>
      <c r="O1338" s="8" t="s">
        <v>410</v>
      </c>
      <c r="P1338" s="8" t="s">
        <v>1327</v>
      </c>
      <c r="Q1338" s="9">
        <v>0</v>
      </c>
      <c r="R1338" s="139" t="s">
        <v>1779</v>
      </c>
      <c r="S1338" s="15"/>
      <c r="T1338" s="18">
        <v>8876.2999999999993</v>
      </c>
      <c r="U1338" s="4">
        <v>0</v>
      </c>
      <c r="V1338" s="18">
        <v>8876.2999999999993</v>
      </c>
      <c r="W1338" s="18">
        <f t="shared" si="198"/>
        <v>0</v>
      </c>
      <c r="X1338" s="18">
        <f t="shared" si="200"/>
        <v>8876.2999999999993</v>
      </c>
      <c r="Y1338" s="13">
        <f t="shared" si="192"/>
        <v>3559.793473481619</v>
      </c>
      <c r="Z1338" s="14">
        <v>0</v>
      </c>
      <c r="AA1338" s="4">
        <v>0</v>
      </c>
      <c r="AB1338" s="4">
        <f t="shared" si="193"/>
        <v>8876.2999999999993</v>
      </c>
      <c r="AC1338" s="6">
        <f t="shared" si="194"/>
        <v>0</v>
      </c>
      <c r="AD1338" s="6">
        <f t="shared" si="199"/>
        <v>5316.5065265183803</v>
      </c>
      <c r="AE1338" s="2">
        <v>7.0000000000000007E-2</v>
      </c>
      <c r="AF1338" s="5">
        <f t="shared" si="195"/>
        <v>372.15545685628666</v>
      </c>
      <c r="AG1338" s="14">
        <v>0</v>
      </c>
      <c r="AH1338" s="19">
        <f t="shared" si="197"/>
        <v>8876.2999999999993</v>
      </c>
      <c r="AJ1338" s="126" t="e">
        <v>#N/A</v>
      </c>
      <c r="AK1338" s="80">
        <f t="shared" si="196"/>
        <v>0</v>
      </c>
      <c r="AM1338" s="85"/>
    </row>
    <row r="1339" spans="1:39" hidden="1" x14ac:dyDescent="0.3">
      <c r="A1339" s="85" t="s">
        <v>34</v>
      </c>
      <c r="B1339" s="15" t="s">
        <v>35</v>
      </c>
      <c r="C1339" s="15" t="s">
        <v>164</v>
      </c>
      <c r="D1339" s="15" t="s">
        <v>174</v>
      </c>
      <c r="E1339" s="15" t="s">
        <v>1777</v>
      </c>
      <c r="F1339" s="15" t="s">
        <v>1777</v>
      </c>
      <c r="G1339" s="15" t="s">
        <v>1777</v>
      </c>
      <c r="H1339" s="154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1780</v>
      </c>
      <c r="N1339" s="15"/>
      <c r="O1339" s="8" t="s">
        <v>410</v>
      </c>
      <c r="P1339" s="8" t="s">
        <v>1327</v>
      </c>
      <c r="Q1339" s="9">
        <v>0</v>
      </c>
      <c r="R1339" s="139" t="s">
        <v>1781</v>
      </c>
      <c r="S1339" s="15"/>
      <c r="T1339" s="18">
        <v>8267.2799999999988</v>
      </c>
      <c r="U1339" s="4">
        <v>0</v>
      </c>
      <c r="V1339" s="18">
        <v>8267.2799999999988</v>
      </c>
      <c r="W1339" s="18">
        <f t="shared" si="198"/>
        <v>0</v>
      </c>
      <c r="X1339" s="18">
        <f t="shared" si="200"/>
        <v>8267.2799999999988</v>
      </c>
      <c r="Y1339" s="13">
        <f t="shared" si="192"/>
        <v>3315.5492026458232</v>
      </c>
      <c r="Z1339" s="14">
        <v>0</v>
      </c>
      <c r="AA1339" s="4">
        <v>0</v>
      </c>
      <c r="AB1339" s="4">
        <f t="shared" si="193"/>
        <v>8267.2799999999988</v>
      </c>
      <c r="AC1339" s="6">
        <f t="shared" si="194"/>
        <v>0</v>
      </c>
      <c r="AD1339" s="6">
        <f t="shared" si="199"/>
        <v>4951.7307973541756</v>
      </c>
      <c r="AE1339" s="2">
        <v>7.0000000000000007E-2</v>
      </c>
      <c r="AF1339" s="5">
        <f t="shared" si="195"/>
        <v>346.6211558147923</v>
      </c>
      <c r="AG1339" s="14">
        <v>0</v>
      </c>
      <c r="AH1339" s="19">
        <f t="shared" si="197"/>
        <v>8267.2799999999988</v>
      </c>
      <c r="AJ1339" s="126" t="e">
        <v>#N/A</v>
      </c>
      <c r="AK1339" s="80">
        <f t="shared" si="196"/>
        <v>0</v>
      </c>
      <c r="AM1339" s="85"/>
    </row>
    <row r="1340" spans="1:39" hidden="1" x14ac:dyDescent="0.3">
      <c r="A1340" s="85" t="s">
        <v>34</v>
      </c>
      <c r="B1340" s="15" t="s">
        <v>35</v>
      </c>
      <c r="C1340" s="15" t="s">
        <v>164</v>
      </c>
      <c r="D1340" s="15" t="s">
        <v>174</v>
      </c>
      <c r="E1340" s="15" t="s">
        <v>1777</v>
      </c>
      <c r="F1340" s="15" t="s">
        <v>1777</v>
      </c>
      <c r="G1340" s="15" t="s">
        <v>1777</v>
      </c>
      <c r="H1340" s="154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1777</v>
      </c>
      <c r="N1340" s="15"/>
      <c r="O1340" s="8" t="s">
        <v>410</v>
      </c>
      <c r="P1340" s="8" t="s">
        <v>1327</v>
      </c>
      <c r="Q1340" s="9">
        <v>0</v>
      </c>
      <c r="R1340" s="139" t="s">
        <v>1782</v>
      </c>
      <c r="S1340" s="15"/>
      <c r="T1340" s="18">
        <v>18334.2</v>
      </c>
      <c r="U1340" s="4">
        <v>0</v>
      </c>
      <c r="V1340" s="18">
        <v>18334.2</v>
      </c>
      <c r="W1340" s="18">
        <f t="shared" si="198"/>
        <v>0</v>
      </c>
      <c r="X1340" s="18">
        <f t="shared" si="200"/>
        <v>18334.2</v>
      </c>
      <c r="Y1340" s="13">
        <f t="shared" si="192"/>
        <v>7352.8345708805155</v>
      </c>
      <c r="Z1340" s="14">
        <v>0</v>
      </c>
      <c r="AA1340" s="4">
        <v>0</v>
      </c>
      <c r="AB1340" s="4">
        <f t="shared" si="193"/>
        <v>18334.2</v>
      </c>
      <c r="AC1340" s="6">
        <f t="shared" si="194"/>
        <v>0</v>
      </c>
      <c r="AD1340" s="6">
        <f t="shared" si="199"/>
        <v>10981.365429119485</v>
      </c>
      <c r="AE1340" s="2">
        <v>7.0000000000000007E-2</v>
      </c>
      <c r="AF1340" s="5">
        <f t="shared" si="195"/>
        <v>768.69558003836403</v>
      </c>
      <c r="AG1340" s="14">
        <v>0</v>
      </c>
      <c r="AH1340" s="19">
        <f t="shared" si="197"/>
        <v>18334.2</v>
      </c>
      <c r="AJ1340" s="126" t="e">
        <v>#N/A</v>
      </c>
      <c r="AK1340" s="80">
        <f t="shared" si="196"/>
        <v>0</v>
      </c>
      <c r="AM1340" s="85"/>
    </row>
    <row r="1341" spans="1:39" hidden="1" x14ac:dyDescent="0.3">
      <c r="A1341" s="85" t="s">
        <v>34</v>
      </c>
      <c r="B1341" s="15" t="s">
        <v>35</v>
      </c>
      <c r="C1341" s="15" t="s">
        <v>164</v>
      </c>
      <c r="D1341" s="15" t="s">
        <v>174</v>
      </c>
      <c r="E1341" s="15" t="s">
        <v>1999</v>
      </c>
      <c r="F1341" s="15" t="s">
        <v>1999</v>
      </c>
      <c r="G1341" s="15" t="s">
        <v>1999</v>
      </c>
      <c r="H1341" s="154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1999</v>
      </c>
      <c r="N1341" s="15"/>
      <c r="O1341" s="8" t="s">
        <v>410</v>
      </c>
      <c r="P1341" s="8" t="s">
        <v>46</v>
      </c>
      <c r="Q1341" s="9">
        <v>0.02</v>
      </c>
      <c r="R1341" s="139" t="s">
        <v>2000</v>
      </c>
      <c r="S1341" s="15"/>
      <c r="T1341" s="18">
        <v>20382.650000000001</v>
      </c>
      <c r="U1341" s="4">
        <v>0</v>
      </c>
      <c r="V1341" s="6">
        <v>19924.36</v>
      </c>
      <c r="W1341" s="18">
        <f t="shared" si="198"/>
        <v>458.29000000000087</v>
      </c>
      <c r="X1341" s="18">
        <f t="shared" si="200"/>
        <v>19533.686274509804</v>
      </c>
      <c r="Y1341" s="13">
        <f t="shared" si="192"/>
        <v>7599.8861577154457</v>
      </c>
      <c r="Z1341" s="14">
        <v>0</v>
      </c>
      <c r="AA1341" s="4">
        <v>0</v>
      </c>
      <c r="AB1341" s="4">
        <f t="shared" si="193"/>
        <v>19533.686274509804</v>
      </c>
      <c r="AC1341" s="6">
        <f t="shared" si="194"/>
        <v>390.67372549019638</v>
      </c>
      <c r="AD1341" s="6">
        <f t="shared" si="199"/>
        <v>11933.800116794358</v>
      </c>
      <c r="AE1341" s="2">
        <v>7.0000000000000007E-2</v>
      </c>
      <c r="AF1341" s="5">
        <f t="shared" si="195"/>
        <v>835.3660081756052</v>
      </c>
      <c r="AG1341" s="14">
        <v>0</v>
      </c>
      <c r="AH1341" s="19">
        <f t="shared" si="197"/>
        <v>19924.36</v>
      </c>
      <c r="AJ1341" s="126" t="e">
        <v>#N/A</v>
      </c>
      <c r="AK1341" s="80">
        <f t="shared" si="196"/>
        <v>0</v>
      </c>
      <c r="AM1341" s="85"/>
    </row>
    <row r="1342" spans="1:39" hidden="1" x14ac:dyDescent="0.3">
      <c r="A1342" s="85" t="s">
        <v>34</v>
      </c>
      <c r="B1342" s="15" t="s">
        <v>35</v>
      </c>
      <c r="C1342" s="15" t="s">
        <v>164</v>
      </c>
      <c r="D1342" s="15" t="s">
        <v>174</v>
      </c>
      <c r="E1342" s="15" t="s">
        <v>2001</v>
      </c>
      <c r="F1342" s="15" t="s">
        <v>2001</v>
      </c>
      <c r="G1342" s="15" t="s">
        <v>2001</v>
      </c>
      <c r="H1342" s="154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2001</v>
      </c>
      <c r="N1342" s="15"/>
      <c r="O1342" s="8" t="s">
        <v>410</v>
      </c>
      <c r="P1342" s="8" t="s">
        <v>46</v>
      </c>
      <c r="Q1342" s="9">
        <v>0.02</v>
      </c>
      <c r="R1342" s="139" t="s">
        <v>2002</v>
      </c>
      <c r="S1342" s="15"/>
      <c r="T1342" s="18">
        <v>3186.3</v>
      </c>
      <c r="U1342" s="4">
        <v>0</v>
      </c>
      <c r="V1342" s="6">
        <v>2800.3</v>
      </c>
      <c r="W1342" s="18">
        <f t="shared" si="198"/>
        <v>386</v>
      </c>
      <c r="X1342" s="18">
        <f t="shared" si="200"/>
        <v>2745.3921568627452</v>
      </c>
      <c r="Y1342" s="13">
        <f t="shared" si="192"/>
        <v>1068.1377573709049</v>
      </c>
      <c r="Z1342" s="14">
        <v>0</v>
      </c>
      <c r="AA1342" s="4">
        <v>0</v>
      </c>
      <c r="AB1342" s="4">
        <f t="shared" si="193"/>
        <v>2745.3921568627452</v>
      </c>
      <c r="AC1342" s="6">
        <f t="shared" si="194"/>
        <v>54.907843137254986</v>
      </c>
      <c r="AD1342" s="6">
        <f t="shared" si="199"/>
        <v>1677.2543994918403</v>
      </c>
      <c r="AE1342" s="2">
        <v>7.0000000000000007E-2</v>
      </c>
      <c r="AF1342" s="5">
        <f t="shared" si="195"/>
        <v>117.40780796442884</v>
      </c>
      <c r="AG1342" s="14">
        <v>0</v>
      </c>
      <c r="AH1342" s="19">
        <f t="shared" si="197"/>
        <v>2800.3</v>
      </c>
      <c r="AJ1342" s="126" t="e">
        <v>#N/A</v>
      </c>
      <c r="AK1342" s="80">
        <f t="shared" si="196"/>
        <v>0</v>
      </c>
      <c r="AM1342" s="85"/>
    </row>
    <row r="1343" spans="1:39" hidden="1" x14ac:dyDescent="0.3">
      <c r="A1343" s="85" t="s">
        <v>34</v>
      </c>
      <c r="B1343" s="15" t="s">
        <v>35</v>
      </c>
      <c r="C1343" s="15" t="s">
        <v>164</v>
      </c>
      <c r="D1343" s="15" t="s">
        <v>174</v>
      </c>
      <c r="E1343" s="15" t="s">
        <v>2003</v>
      </c>
      <c r="F1343" s="15" t="s">
        <v>2003</v>
      </c>
      <c r="G1343" s="15" t="s">
        <v>2003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2003</v>
      </c>
      <c r="N1343" s="15"/>
      <c r="O1343" s="8" t="s">
        <v>410</v>
      </c>
      <c r="P1343" s="8" t="s">
        <v>41</v>
      </c>
      <c r="Q1343" s="9">
        <v>0</v>
      </c>
      <c r="R1343" s="139" t="s">
        <v>2004</v>
      </c>
      <c r="S1343" s="15"/>
      <c r="T1343" s="18">
        <v>0.99999999998544808</v>
      </c>
      <c r="U1343" s="4">
        <v>0</v>
      </c>
      <c r="V1343" s="6">
        <v>0</v>
      </c>
      <c r="W1343" s="18">
        <f t="shared" si="198"/>
        <v>0.99999999998544808</v>
      </c>
      <c r="X1343" s="18">
        <f t="shared" si="200"/>
        <v>0</v>
      </c>
      <c r="Y1343" s="13">
        <f t="shared" si="192"/>
        <v>0</v>
      </c>
      <c r="Z1343" s="14">
        <v>0</v>
      </c>
      <c r="AA1343" s="4">
        <v>0</v>
      </c>
      <c r="AB1343" s="4">
        <f t="shared" si="193"/>
        <v>0</v>
      </c>
      <c r="AC1343" s="6">
        <f t="shared" si="194"/>
        <v>0</v>
      </c>
      <c r="AD1343" s="6">
        <f t="shared" si="199"/>
        <v>0</v>
      </c>
      <c r="AE1343" s="2">
        <v>7.0000000000000007E-2</v>
      </c>
      <c r="AF1343" s="5">
        <f t="shared" si="195"/>
        <v>0</v>
      </c>
      <c r="AG1343" s="14">
        <v>0</v>
      </c>
      <c r="AH1343" s="19">
        <f t="shared" si="197"/>
        <v>0</v>
      </c>
      <c r="AJ1343" s="126" t="e">
        <v>#N/A</v>
      </c>
      <c r="AK1343" s="80">
        <f t="shared" si="196"/>
        <v>0</v>
      </c>
      <c r="AM1343" s="85"/>
    </row>
    <row r="1344" spans="1:39" hidden="1" x14ac:dyDescent="0.3">
      <c r="A1344" s="85" t="s">
        <v>34</v>
      </c>
      <c r="B1344" s="15" t="s">
        <v>35</v>
      </c>
      <c r="C1344" s="15" t="s">
        <v>164</v>
      </c>
      <c r="D1344" s="15" t="s">
        <v>174</v>
      </c>
      <c r="E1344" s="15" t="s">
        <v>1800</v>
      </c>
      <c r="F1344" s="15" t="s">
        <v>1800</v>
      </c>
      <c r="G1344" s="15" t="s">
        <v>1800</v>
      </c>
      <c r="H1344" s="154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1800</v>
      </c>
      <c r="N1344" s="15"/>
      <c r="O1344" s="8" t="s">
        <v>410</v>
      </c>
      <c r="P1344" s="8" t="s">
        <v>46</v>
      </c>
      <c r="Q1344" s="9">
        <v>0.04</v>
      </c>
      <c r="R1344" s="139" t="s">
        <v>1801</v>
      </c>
      <c r="S1344" s="15"/>
      <c r="T1344" s="18">
        <v>12947.700000000026</v>
      </c>
      <c r="U1344" s="4">
        <v>0</v>
      </c>
      <c r="V1344" s="18">
        <v>12947.700000000026</v>
      </c>
      <c r="W1344" s="18">
        <f t="shared" si="198"/>
        <v>0</v>
      </c>
      <c r="X1344" s="18">
        <f t="shared" si="200"/>
        <v>12449.711538461563</v>
      </c>
      <c r="Y1344" s="13">
        <f t="shared" si="192"/>
        <v>4694.6185883131702</v>
      </c>
      <c r="Z1344" s="14">
        <v>0</v>
      </c>
      <c r="AA1344" s="4">
        <v>0</v>
      </c>
      <c r="AB1344" s="4">
        <f t="shared" si="193"/>
        <v>12449.711538461563</v>
      </c>
      <c r="AC1344" s="6">
        <f t="shared" si="194"/>
        <v>497.98846153846353</v>
      </c>
      <c r="AD1344" s="6">
        <f t="shared" si="199"/>
        <v>7755.0929501483924</v>
      </c>
      <c r="AE1344" s="2">
        <v>7.0000000000000007E-2</v>
      </c>
      <c r="AF1344" s="5">
        <f t="shared" si="195"/>
        <v>542.85650651038748</v>
      </c>
      <c r="AG1344" s="14">
        <v>0</v>
      </c>
      <c r="AH1344" s="19">
        <f t="shared" si="197"/>
        <v>12947.700000000026</v>
      </c>
      <c r="AJ1344" s="126" t="e">
        <v>#N/A</v>
      </c>
      <c r="AK1344" s="80">
        <f t="shared" si="196"/>
        <v>0</v>
      </c>
      <c r="AM1344" s="85"/>
    </row>
    <row r="1345" spans="1:39" hidden="1" x14ac:dyDescent="0.3">
      <c r="A1345" s="85" t="s">
        <v>34</v>
      </c>
      <c r="B1345" s="15" t="s">
        <v>35</v>
      </c>
      <c r="C1345" s="15" t="s">
        <v>164</v>
      </c>
      <c r="D1345" s="15" t="s">
        <v>174</v>
      </c>
      <c r="E1345" s="15" t="s">
        <v>2005</v>
      </c>
      <c r="F1345" s="15" t="s">
        <v>2005</v>
      </c>
      <c r="G1345" s="15" t="s">
        <v>2005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2005</v>
      </c>
      <c r="N1345" s="15"/>
      <c r="O1345" s="8" t="s">
        <v>410</v>
      </c>
      <c r="P1345" s="8" t="s">
        <v>46</v>
      </c>
      <c r="Q1345" s="9">
        <v>0.03</v>
      </c>
      <c r="R1345" s="139" t="s">
        <v>2006</v>
      </c>
      <c r="S1345" s="15"/>
      <c r="T1345" s="18">
        <v>-1.3</v>
      </c>
      <c r="U1345" s="4">
        <v>0</v>
      </c>
      <c r="V1345" s="6">
        <v>0</v>
      </c>
      <c r="W1345" s="18">
        <f t="shared" si="198"/>
        <v>-1.3</v>
      </c>
      <c r="X1345" s="18">
        <f t="shared" si="200"/>
        <v>0</v>
      </c>
      <c r="Y1345" s="13">
        <f t="shared" si="192"/>
        <v>0</v>
      </c>
      <c r="Z1345" s="14">
        <v>0</v>
      </c>
      <c r="AA1345" s="4">
        <v>0</v>
      </c>
      <c r="AB1345" s="4">
        <f t="shared" si="193"/>
        <v>0</v>
      </c>
      <c r="AC1345" s="6">
        <f t="shared" si="194"/>
        <v>0</v>
      </c>
      <c r="AD1345" s="6">
        <f t="shared" si="199"/>
        <v>0</v>
      </c>
      <c r="AE1345" s="2">
        <v>7.0000000000000007E-2</v>
      </c>
      <c r="AF1345" s="5">
        <f t="shared" si="195"/>
        <v>0</v>
      </c>
      <c r="AG1345" s="14">
        <v>0</v>
      </c>
      <c r="AH1345" s="19">
        <f t="shared" si="197"/>
        <v>0</v>
      </c>
      <c r="AJ1345" s="126" t="e">
        <v>#N/A</v>
      </c>
      <c r="AK1345" s="80">
        <f t="shared" si="196"/>
        <v>0</v>
      </c>
      <c r="AM1345" s="85"/>
    </row>
    <row r="1346" spans="1:39" hidden="1" x14ac:dyDescent="0.3">
      <c r="A1346" s="85" t="s">
        <v>34</v>
      </c>
      <c r="B1346" s="15" t="s">
        <v>35</v>
      </c>
      <c r="C1346" s="15" t="s">
        <v>164</v>
      </c>
      <c r="D1346" s="15" t="s">
        <v>174</v>
      </c>
      <c r="E1346" s="15" t="s">
        <v>2007</v>
      </c>
      <c r="F1346" s="15" t="s">
        <v>2007</v>
      </c>
      <c r="G1346" s="15" t="s">
        <v>2007</v>
      </c>
      <c r="H1346" s="154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2007</v>
      </c>
      <c r="N1346" s="15"/>
      <c r="O1346" s="8" t="s">
        <v>410</v>
      </c>
      <c r="P1346" s="8" t="s">
        <v>1327</v>
      </c>
      <c r="Q1346" s="9">
        <v>0</v>
      </c>
      <c r="R1346" s="139" t="s">
        <v>2008</v>
      </c>
      <c r="S1346" s="15"/>
      <c r="T1346" s="18">
        <v>20000</v>
      </c>
      <c r="U1346" s="4">
        <v>0</v>
      </c>
      <c r="V1346" s="6">
        <v>12804.599999999999</v>
      </c>
      <c r="W1346" s="18">
        <f t="shared" si="198"/>
        <v>7195.4000000000015</v>
      </c>
      <c r="X1346" s="18">
        <f t="shared" si="200"/>
        <v>12804.599999999999</v>
      </c>
      <c r="Y1346" s="13">
        <f t="shared" si="192"/>
        <v>5135.2175467866955</v>
      </c>
      <c r="Z1346" s="14">
        <v>0</v>
      </c>
      <c r="AA1346" s="4">
        <v>0</v>
      </c>
      <c r="AB1346" s="4">
        <f t="shared" si="193"/>
        <v>12804.599999999999</v>
      </c>
      <c r="AC1346" s="6">
        <f t="shared" si="194"/>
        <v>0</v>
      </c>
      <c r="AD1346" s="6">
        <f t="shared" si="199"/>
        <v>7669.3824532133031</v>
      </c>
      <c r="AE1346" s="2">
        <v>7.0000000000000007E-2</v>
      </c>
      <c r="AF1346" s="5">
        <f t="shared" si="195"/>
        <v>536.85677172493126</v>
      </c>
      <c r="AG1346" s="14">
        <v>0</v>
      </c>
      <c r="AH1346" s="19">
        <f t="shared" si="197"/>
        <v>12804.599999999999</v>
      </c>
      <c r="AJ1346" s="126" t="e">
        <v>#N/A</v>
      </c>
      <c r="AK1346" s="80">
        <f t="shared" si="196"/>
        <v>0</v>
      </c>
      <c r="AM1346" s="85"/>
    </row>
    <row r="1347" spans="1:39" hidden="1" x14ac:dyDescent="0.3">
      <c r="A1347" s="85" t="s">
        <v>34</v>
      </c>
      <c r="B1347" s="15" t="s">
        <v>35</v>
      </c>
      <c r="C1347" s="15" t="s">
        <v>164</v>
      </c>
      <c r="D1347" s="15" t="s">
        <v>174</v>
      </c>
      <c r="E1347" s="15" t="s">
        <v>2007</v>
      </c>
      <c r="F1347" s="15" t="s">
        <v>2007</v>
      </c>
      <c r="G1347" s="15" t="s">
        <v>2007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2007</v>
      </c>
      <c r="N1347" s="15"/>
      <c r="O1347" s="8" t="s">
        <v>410</v>
      </c>
      <c r="P1347" s="8" t="s">
        <v>46</v>
      </c>
      <c r="Q1347" s="9">
        <v>0.02</v>
      </c>
      <c r="R1347" s="139" t="s">
        <v>2008</v>
      </c>
      <c r="S1347" s="15"/>
      <c r="T1347" s="18">
        <v>8966</v>
      </c>
      <c r="U1347" s="4">
        <v>0</v>
      </c>
      <c r="V1347" s="18">
        <v>8966</v>
      </c>
      <c r="W1347" s="18">
        <f t="shared" si="198"/>
        <v>0</v>
      </c>
      <c r="X1347" s="18">
        <f t="shared" si="200"/>
        <v>8790.1960784313724</v>
      </c>
      <c r="Y1347" s="13">
        <f t="shared" ref="Y1347:Y1410" si="201">IF(X1347-AD1347&lt;=0,0,IF(P1347="返现",MAX(X1347-AC1347-AD1347,0),MAX(X1347-AD1347)))</f>
        <v>3419.9632655742362</v>
      </c>
      <c r="Z1347" s="14">
        <v>0</v>
      </c>
      <c r="AA1347" s="4">
        <v>0</v>
      </c>
      <c r="AB1347" s="4">
        <f t="shared" ref="AB1347:AB1410" si="202">X1347+AA1347</f>
        <v>8790.1960784313724</v>
      </c>
      <c r="AC1347" s="6">
        <f t="shared" ref="AC1347:AC1410" si="203">IF(P1347="返现",X1347*Q1347,V1347-X1347)</f>
        <v>175.80392156862763</v>
      </c>
      <c r="AD1347" s="6">
        <f t="shared" si="199"/>
        <v>5370.2328128571362</v>
      </c>
      <c r="AE1347" s="2">
        <v>7.0000000000000007E-2</v>
      </c>
      <c r="AF1347" s="5">
        <f t="shared" ref="AF1347:AF1410" si="204">AD1347*AE1347</f>
        <v>375.91629689999957</v>
      </c>
      <c r="AG1347" s="14">
        <v>0</v>
      </c>
      <c r="AH1347" s="19">
        <f t="shared" si="197"/>
        <v>8966</v>
      </c>
      <c r="AJ1347" s="126" t="e">
        <v>#N/A</v>
      </c>
      <c r="AK1347" s="80">
        <f t="shared" ref="AK1347:AK1410" si="205">X1347+AA1347-AB1347</f>
        <v>0</v>
      </c>
      <c r="AM1347" s="85"/>
    </row>
    <row r="1348" spans="1:39" hidden="1" x14ac:dyDescent="0.3">
      <c r="A1348" s="85" t="s">
        <v>34</v>
      </c>
      <c r="B1348" s="15" t="s">
        <v>35</v>
      </c>
      <c r="C1348" s="15" t="s">
        <v>164</v>
      </c>
      <c r="D1348" s="15" t="s">
        <v>174</v>
      </c>
      <c r="E1348" s="15" t="s">
        <v>2009</v>
      </c>
      <c r="F1348" s="15" t="s">
        <v>2009</v>
      </c>
      <c r="G1348" s="15" t="s">
        <v>2009</v>
      </c>
      <c r="H1348" s="139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2010</v>
      </c>
      <c r="N1348" s="15"/>
      <c r="O1348" s="8" t="s">
        <v>410</v>
      </c>
      <c r="P1348" s="8" t="s">
        <v>46</v>
      </c>
      <c r="Q1348" s="9">
        <v>0.03</v>
      </c>
      <c r="R1348" s="139" t="s">
        <v>2011</v>
      </c>
      <c r="S1348" s="15"/>
      <c r="T1348" s="18">
        <v>11005.900000000001</v>
      </c>
      <c r="U1348" s="4">
        <v>0</v>
      </c>
      <c r="V1348" s="6">
        <v>10771.9</v>
      </c>
      <c r="W1348" s="18">
        <f t="shared" si="198"/>
        <v>234.00000000000182</v>
      </c>
      <c r="X1348" s="18">
        <f t="shared" si="200"/>
        <v>10458.155339805824</v>
      </c>
      <c r="Y1348" s="13">
        <f t="shared" si="201"/>
        <v>4006.26923264368</v>
      </c>
      <c r="Z1348" s="14">
        <v>0</v>
      </c>
      <c r="AA1348" s="4">
        <v>0</v>
      </c>
      <c r="AB1348" s="4"/>
      <c r="AC1348" s="6">
        <f t="shared" si="203"/>
        <v>313.74466019417559</v>
      </c>
      <c r="AD1348" s="6">
        <f t="shared" si="199"/>
        <v>6451.8861071621441</v>
      </c>
      <c r="AE1348" s="2">
        <v>7.0000000000000007E-2</v>
      </c>
      <c r="AF1348" s="5">
        <f t="shared" si="204"/>
        <v>451.63202750135014</v>
      </c>
      <c r="AG1348" s="14">
        <v>0</v>
      </c>
      <c r="AH1348" s="19">
        <f t="shared" si="197"/>
        <v>10771.9</v>
      </c>
      <c r="AJ1348" s="126">
        <v>110</v>
      </c>
      <c r="AK1348" s="80">
        <f t="shared" si="205"/>
        <v>10458.155339805824</v>
      </c>
      <c r="AM1348" s="85"/>
    </row>
    <row r="1349" spans="1:39" hidden="1" x14ac:dyDescent="0.3">
      <c r="A1349" s="85" t="s">
        <v>34</v>
      </c>
      <c r="B1349" s="15" t="s">
        <v>35</v>
      </c>
      <c r="C1349" s="15" t="s">
        <v>164</v>
      </c>
      <c r="D1349" s="15" t="s">
        <v>174</v>
      </c>
      <c r="E1349" s="15" t="s">
        <v>2012</v>
      </c>
      <c r="F1349" s="15" t="s">
        <v>2012</v>
      </c>
      <c r="G1349" s="15" t="s">
        <v>2012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2013</v>
      </c>
      <c r="N1349" s="15"/>
      <c r="O1349" s="8" t="s">
        <v>410</v>
      </c>
      <c r="P1349" s="8" t="s">
        <v>46</v>
      </c>
      <c r="Q1349" s="9">
        <v>0.02</v>
      </c>
      <c r="R1349" s="139" t="s">
        <v>2014</v>
      </c>
      <c r="S1349" s="15"/>
      <c r="T1349" s="18">
        <v>75241.340000000026</v>
      </c>
      <c r="U1349" s="4">
        <v>0</v>
      </c>
      <c r="V1349" s="6">
        <v>10377.5</v>
      </c>
      <c r="W1349" s="18">
        <f t="shared" si="198"/>
        <v>64863.840000000026</v>
      </c>
      <c r="X1349" s="18">
        <f t="shared" si="200"/>
        <v>10174.019607843136</v>
      </c>
      <c r="Y1349" s="13">
        <f t="shared" si="201"/>
        <v>3958.3614531002268</v>
      </c>
      <c r="Z1349" s="14">
        <v>0</v>
      </c>
      <c r="AA1349" s="4">
        <v>0</v>
      </c>
      <c r="AB1349" s="4">
        <f t="shared" si="202"/>
        <v>10174.019607843136</v>
      </c>
      <c r="AC1349" s="6">
        <f t="shared" si="203"/>
        <v>203.48039215686367</v>
      </c>
      <c r="AD1349" s="6">
        <f t="shared" si="199"/>
        <v>6215.6581547429096</v>
      </c>
      <c r="AE1349" s="2">
        <v>7.0000000000000007E-2</v>
      </c>
      <c r="AF1349" s="5">
        <f t="shared" si="204"/>
        <v>435.0960708320037</v>
      </c>
      <c r="AG1349" s="14">
        <v>0</v>
      </c>
      <c r="AH1349" s="19">
        <f t="shared" si="197"/>
        <v>10377.5</v>
      </c>
      <c r="AJ1349" s="126" t="e">
        <v>#N/A</v>
      </c>
      <c r="AK1349" s="80">
        <f t="shared" si="205"/>
        <v>0</v>
      </c>
      <c r="AM1349" s="85"/>
    </row>
    <row r="1350" spans="1:39" hidden="1" x14ac:dyDescent="0.3">
      <c r="A1350" s="85" t="s">
        <v>34</v>
      </c>
      <c r="B1350" s="15" t="s">
        <v>35</v>
      </c>
      <c r="C1350" s="15" t="s">
        <v>164</v>
      </c>
      <c r="D1350" s="15" t="s">
        <v>174</v>
      </c>
      <c r="E1350" s="15" t="s">
        <v>2015</v>
      </c>
      <c r="F1350" s="15" t="s">
        <v>2015</v>
      </c>
      <c r="G1350" s="15" t="s">
        <v>2015</v>
      </c>
      <c r="H1350" s="139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2015</v>
      </c>
      <c r="N1350" s="15"/>
      <c r="O1350" s="8" t="s">
        <v>410</v>
      </c>
      <c r="P1350" s="8" t="s">
        <v>46</v>
      </c>
      <c r="Q1350" s="9">
        <v>0.04</v>
      </c>
      <c r="R1350" s="139" t="s">
        <v>2016</v>
      </c>
      <c r="S1350" s="15"/>
      <c r="T1350" s="18">
        <v>-1.4</v>
      </c>
      <c r="U1350" s="4">
        <v>0</v>
      </c>
      <c r="V1350" s="6">
        <v>0</v>
      </c>
      <c r="W1350" s="18">
        <f t="shared" si="198"/>
        <v>-1.4</v>
      </c>
      <c r="X1350" s="18">
        <f t="shared" si="200"/>
        <v>0</v>
      </c>
      <c r="Y1350" s="13">
        <f t="shared" si="201"/>
        <v>0</v>
      </c>
      <c r="Z1350" s="14">
        <v>0</v>
      </c>
      <c r="AA1350" s="4">
        <v>0</v>
      </c>
      <c r="AB1350" s="4"/>
      <c r="AC1350" s="6">
        <f t="shared" si="203"/>
        <v>0</v>
      </c>
      <c r="AD1350" s="6">
        <f t="shared" si="199"/>
        <v>0</v>
      </c>
      <c r="AE1350" s="2">
        <v>7.0000000000000007E-2</v>
      </c>
      <c r="AF1350" s="5">
        <f t="shared" si="204"/>
        <v>0</v>
      </c>
      <c r="AG1350" s="14">
        <v>0</v>
      </c>
      <c r="AH1350" s="19">
        <f t="shared" si="197"/>
        <v>0</v>
      </c>
      <c r="AJ1350" s="126">
        <v>17</v>
      </c>
      <c r="AK1350" s="80">
        <f t="shared" si="205"/>
        <v>0</v>
      </c>
      <c r="AM1350" s="85"/>
    </row>
    <row r="1351" spans="1:39" hidden="1" x14ac:dyDescent="0.3">
      <c r="A1351" s="85" t="s">
        <v>34</v>
      </c>
      <c r="B1351" s="15" t="s">
        <v>35</v>
      </c>
      <c r="C1351" s="15" t="s">
        <v>164</v>
      </c>
      <c r="D1351" s="15" t="s">
        <v>181</v>
      </c>
      <c r="E1351" s="15" t="s">
        <v>182</v>
      </c>
      <c r="F1351" s="15" t="s">
        <v>183</v>
      </c>
      <c r="G1351" s="15" t="s">
        <v>182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2017</v>
      </c>
      <c r="N1351" s="15"/>
      <c r="O1351" s="8" t="s">
        <v>1196</v>
      </c>
      <c r="P1351" s="8" t="s">
        <v>41</v>
      </c>
      <c r="Q1351" s="9">
        <v>0</v>
      </c>
      <c r="R1351" s="139" t="s">
        <v>2018</v>
      </c>
      <c r="S1351" s="15"/>
      <c r="T1351" s="18">
        <v>-619057.95222000009</v>
      </c>
      <c r="U1351" s="4">
        <v>0</v>
      </c>
      <c r="V1351" s="6">
        <v>0</v>
      </c>
      <c r="W1351" s="18">
        <f t="shared" si="198"/>
        <v>-619057.95222000009</v>
      </c>
      <c r="X1351" s="18">
        <f t="shared" si="200"/>
        <v>0</v>
      </c>
      <c r="Y1351" s="13">
        <f t="shared" si="201"/>
        <v>0</v>
      </c>
      <c r="Z1351" s="14">
        <v>0</v>
      </c>
      <c r="AA1351" s="4">
        <v>0</v>
      </c>
      <c r="AB1351" s="4">
        <f t="shared" si="202"/>
        <v>0</v>
      </c>
      <c r="AC1351" s="6">
        <f t="shared" si="203"/>
        <v>0</v>
      </c>
      <c r="AD1351" s="6">
        <f t="shared" si="199"/>
        <v>0</v>
      </c>
      <c r="AE1351" s="2">
        <v>0.12</v>
      </c>
      <c r="AF1351" s="5">
        <f t="shared" si="204"/>
        <v>0</v>
      </c>
      <c r="AG1351" s="14">
        <v>0</v>
      </c>
      <c r="AH1351" s="19">
        <f t="shared" si="197"/>
        <v>0</v>
      </c>
      <c r="AJ1351" s="126" t="e">
        <v>#N/A</v>
      </c>
      <c r="AK1351" s="80">
        <f t="shared" si="205"/>
        <v>0</v>
      </c>
      <c r="AM1351" s="85"/>
    </row>
    <row r="1352" spans="1:39" hidden="1" x14ac:dyDescent="0.3">
      <c r="A1352" s="85" t="s">
        <v>34</v>
      </c>
      <c r="B1352" s="15" t="s">
        <v>35</v>
      </c>
      <c r="C1352" s="15" t="s">
        <v>164</v>
      </c>
      <c r="D1352" s="15" t="s">
        <v>181</v>
      </c>
      <c r="E1352" s="15" t="s">
        <v>182</v>
      </c>
      <c r="F1352" s="15" t="s">
        <v>183</v>
      </c>
      <c r="G1352" s="15" t="s">
        <v>182</v>
      </c>
      <c r="H1352" s="139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2017</v>
      </c>
      <c r="N1352" s="15"/>
      <c r="O1352" s="8" t="s">
        <v>410</v>
      </c>
      <c r="P1352" s="8" t="s">
        <v>41</v>
      </c>
      <c r="Q1352" s="9">
        <v>0</v>
      </c>
      <c r="R1352" s="139" t="s">
        <v>2018</v>
      </c>
      <c r="S1352" s="15"/>
      <c r="T1352" s="18">
        <v>718898.98</v>
      </c>
      <c r="U1352" s="4">
        <v>0</v>
      </c>
      <c r="V1352" s="6">
        <v>0</v>
      </c>
      <c r="W1352" s="18">
        <f t="shared" si="198"/>
        <v>718898.98</v>
      </c>
      <c r="X1352" s="18">
        <f t="shared" si="200"/>
        <v>0</v>
      </c>
      <c r="Y1352" s="13">
        <f t="shared" si="201"/>
        <v>0</v>
      </c>
      <c r="Z1352" s="14">
        <v>0.02</v>
      </c>
      <c r="AA1352" s="6">
        <f>X1352/(1-Z1352)*Z1352</f>
        <v>0</v>
      </c>
      <c r="AB1352" s="4">
        <f t="shared" si="202"/>
        <v>0</v>
      </c>
      <c r="AC1352" s="6">
        <f t="shared" si="203"/>
        <v>0</v>
      </c>
      <c r="AD1352" s="6">
        <f t="shared" si="199"/>
        <v>0</v>
      </c>
      <c r="AE1352" s="2">
        <v>7.0000000000000007E-2</v>
      </c>
      <c r="AF1352" s="5">
        <f t="shared" si="204"/>
        <v>0</v>
      </c>
      <c r="AG1352" s="14">
        <v>0</v>
      </c>
      <c r="AH1352" s="19">
        <f t="shared" si="197"/>
        <v>0</v>
      </c>
      <c r="AJ1352" s="126" t="e">
        <v>#N/A</v>
      </c>
      <c r="AK1352" s="80">
        <f t="shared" si="205"/>
        <v>0</v>
      </c>
      <c r="AM1352" s="85"/>
    </row>
    <row r="1353" spans="1:39" hidden="1" x14ac:dyDescent="0.3">
      <c r="A1353" s="85" t="s">
        <v>34</v>
      </c>
      <c r="B1353" s="15" t="s">
        <v>35</v>
      </c>
      <c r="C1353" s="15" t="s">
        <v>65</v>
      </c>
      <c r="D1353" s="15" t="s">
        <v>66</v>
      </c>
      <c r="E1353" s="15" t="s">
        <v>1877</v>
      </c>
      <c r="F1353" s="15" t="s">
        <v>1877</v>
      </c>
      <c r="G1353" s="15" t="s">
        <v>1877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1877</v>
      </c>
      <c r="N1353" s="15"/>
      <c r="O1353" s="8" t="s">
        <v>410</v>
      </c>
      <c r="P1353" s="8" t="s">
        <v>46</v>
      </c>
      <c r="Q1353" s="9">
        <v>0.03</v>
      </c>
      <c r="R1353" s="139" t="s">
        <v>2019</v>
      </c>
      <c r="S1353" s="15"/>
      <c r="T1353" s="18">
        <v>0.99999999999965894</v>
      </c>
      <c r="U1353" s="4">
        <v>0</v>
      </c>
      <c r="V1353" s="6">
        <v>0</v>
      </c>
      <c r="W1353" s="18">
        <f t="shared" si="198"/>
        <v>0.99999999999965894</v>
      </c>
      <c r="X1353" s="18">
        <f t="shared" si="200"/>
        <v>0</v>
      </c>
      <c r="Y1353" s="13">
        <f t="shared" si="201"/>
        <v>0</v>
      </c>
      <c r="Z1353" s="14">
        <v>0</v>
      </c>
      <c r="AA1353" s="4">
        <v>0</v>
      </c>
      <c r="AB1353" s="4">
        <f t="shared" si="202"/>
        <v>0</v>
      </c>
      <c r="AC1353" s="6">
        <f t="shared" si="203"/>
        <v>0</v>
      </c>
      <c r="AD1353" s="6">
        <f t="shared" si="199"/>
        <v>0</v>
      </c>
      <c r="AE1353" s="2">
        <v>7.0000000000000007E-2</v>
      </c>
      <c r="AF1353" s="5">
        <f t="shared" si="204"/>
        <v>0</v>
      </c>
      <c r="AG1353" s="14">
        <v>0</v>
      </c>
      <c r="AH1353" s="19">
        <f t="shared" si="197"/>
        <v>0</v>
      </c>
      <c r="AJ1353" s="126" t="e">
        <v>#N/A</v>
      </c>
      <c r="AK1353" s="80">
        <f t="shared" si="205"/>
        <v>0</v>
      </c>
      <c r="AM1353" s="85"/>
    </row>
    <row r="1354" spans="1:39" hidden="1" x14ac:dyDescent="0.3">
      <c r="A1354" s="85" t="s">
        <v>34</v>
      </c>
      <c r="B1354" s="15" t="s">
        <v>35</v>
      </c>
      <c r="C1354" s="15" t="s">
        <v>65</v>
      </c>
      <c r="D1354" s="15" t="s">
        <v>66</v>
      </c>
      <c r="E1354" s="15" t="s">
        <v>2020</v>
      </c>
      <c r="F1354" s="15" t="s">
        <v>2020</v>
      </c>
      <c r="G1354" s="15" t="s">
        <v>2020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2020</v>
      </c>
      <c r="N1354" s="15"/>
      <c r="O1354" s="8" t="s">
        <v>410</v>
      </c>
      <c r="P1354" s="8" t="s">
        <v>46</v>
      </c>
      <c r="Q1354" s="9">
        <v>0.02</v>
      </c>
      <c r="R1354" s="139" t="s">
        <v>2021</v>
      </c>
      <c r="S1354" s="15"/>
      <c r="T1354" s="18">
        <v>485.58999999999651</v>
      </c>
      <c r="U1354" s="4">
        <v>0</v>
      </c>
      <c r="V1354" s="6">
        <v>0</v>
      </c>
      <c r="W1354" s="18">
        <f t="shared" si="198"/>
        <v>485.58999999999651</v>
      </c>
      <c r="X1354" s="18">
        <f t="shared" si="200"/>
        <v>0</v>
      </c>
      <c r="Y1354" s="13">
        <f t="shared" si="201"/>
        <v>0</v>
      </c>
      <c r="Z1354" s="14">
        <v>0</v>
      </c>
      <c r="AA1354" s="4">
        <v>0</v>
      </c>
      <c r="AB1354" s="4">
        <f t="shared" si="202"/>
        <v>0</v>
      </c>
      <c r="AC1354" s="6">
        <f t="shared" si="203"/>
        <v>0</v>
      </c>
      <c r="AD1354" s="6">
        <f t="shared" si="199"/>
        <v>0</v>
      </c>
      <c r="AE1354" s="2">
        <v>7.0000000000000007E-2</v>
      </c>
      <c r="AF1354" s="5">
        <f t="shared" si="204"/>
        <v>0</v>
      </c>
      <c r="AG1354" s="14">
        <v>0</v>
      </c>
      <c r="AH1354" s="19">
        <f t="shared" si="197"/>
        <v>0</v>
      </c>
      <c r="AJ1354" s="126" t="e">
        <v>#N/A</v>
      </c>
      <c r="AK1354" s="80">
        <f t="shared" si="205"/>
        <v>0</v>
      </c>
      <c r="AM1354" s="85"/>
    </row>
    <row r="1355" spans="1:39" hidden="1" x14ac:dyDescent="0.3">
      <c r="A1355" s="85" t="s">
        <v>34</v>
      </c>
      <c r="B1355" s="15" t="s">
        <v>35</v>
      </c>
      <c r="C1355" s="15" t="s">
        <v>47</v>
      </c>
      <c r="D1355" s="15" t="s">
        <v>48</v>
      </c>
      <c r="E1355" s="15" t="s">
        <v>1349</v>
      </c>
      <c r="F1355" s="15" t="s">
        <v>1349</v>
      </c>
      <c r="G1355" s="15" t="s">
        <v>1349</v>
      </c>
      <c r="H1355" s="139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1349</v>
      </c>
      <c r="N1355" s="15"/>
      <c r="O1355" s="8" t="s">
        <v>410</v>
      </c>
      <c r="P1355" s="8" t="s">
        <v>41</v>
      </c>
      <c r="Q1355" s="9">
        <v>0</v>
      </c>
      <c r="R1355" s="139" t="s">
        <v>2022</v>
      </c>
      <c r="S1355" s="15"/>
      <c r="T1355" s="18">
        <v>-3.6999999999970896</v>
      </c>
      <c r="U1355" s="4">
        <v>0</v>
      </c>
      <c r="V1355" s="6">
        <v>0</v>
      </c>
      <c r="W1355" s="18">
        <f t="shared" si="198"/>
        <v>-3.6999999999970896</v>
      </c>
      <c r="X1355" s="18">
        <f t="shared" si="200"/>
        <v>0</v>
      </c>
      <c r="Y1355" s="13">
        <f t="shared" si="201"/>
        <v>0</v>
      </c>
      <c r="Z1355" s="14">
        <v>0</v>
      </c>
      <c r="AA1355" s="4">
        <v>0</v>
      </c>
      <c r="AB1355" s="4">
        <f t="shared" si="202"/>
        <v>0</v>
      </c>
      <c r="AC1355" s="6">
        <f t="shared" si="203"/>
        <v>0</v>
      </c>
      <c r="AD1355" s="6">
        <f t="shared" si="199"/>
        <v>0</v>
      </c>
      <c r="AE1355" s="2">
        <v>7.0000000000000007E-2</v>
      </c>
      <c r="AF1355" s="5">
        <f t="shared" si="204"/>
        <v>0</v>
      </c>
      <c r="AG1355" s="14">
        <v>0</v>
      </c>
      <c r="AH1355" s="19">
        <f t="shared" si="197"/>
        <v>0</v>
      </c>
      <c r="AJ1355" s="126" t="e">
        <v>#N/A</v>
      </c>
      <c r="AK1355" s="80">
        <f t="shared" si="205"/>
        <v>0</v>
      </c>
      <c r="AM1355" s="85"/>
    </row>
    <row r="1356" spans="1:39" hidden="1" x14ac:dyDescent="0.3">
      <c r="A1356" s="85" t="s">
        <v>34</v>
      </c>
      <c r="B1356" s="15" t="s">
        <v>35</v>
      </c>
      <c r="C1356" s="15" t="s">
        <v>164</v>
      </c>
      <c r="D1356" s="15" t="s">
        <v>174</v>
      </c>
      <c r="E1356" s="15" t="s">
        <v>2023</v>
      </c>
      <c r="F1356" s="15" t="s">
        <v>2023</v>
      </c>
      <c r="G1356" s="15" t="s">
        <v>2023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2023</v>
      </c>
      <c r="N1356" s="15"/>
      <c r="O1356" s="8" t="s">
        <v>410</v>
      </c>
      <c r="P1356" s="8" t="s">
        <v>46</v>
      </c>
      <c r="Q1356" s="9">
        <v>0.02</v>
      </c>
      <c r="R1356" s="139" t="s">
        <v>2024</v>
      </c>
      <c r="S1356" s="15"/>
      <c r="T1356" s="18">
        <v>35278.100000000006</v>
      </c>
      <c r="U1356" s="4">
        <v>0</v>
      </c>
      <c r="V1356" s="6">
        <v>16221.2</v>
      </c>
      <c r="W1356" s="18">
        <f t="shared" si="198"/>
        <v>19056.900000000005</v>
      </c>
      <c r="X1356" s="18">
        <f t="shared" si="200"/>
        <v>15903.137254901962</v>
      </c>
      <c r="Y1356" s="13">
        <f t="shared" si="201"/>
        <v>6187.3642787790322</v>
      </c>
      <c r="Z1356" s="14">
        <v>0</v>
      </c>
      <c r="AA1356" s="4">
        <v>0</v>
      </c>
      <c r="AB1356" s="4">
        <f t="shared" si="202"/>
        <v>15903.137254901962</v>
      </c>
      <c r="AC1356" s="6">
        <f t="shared" si="203"/>
        <v>318.06274509803916</v>
      </c>
      <c r="AD1356" s="6">
        <f t="shared" si="199"/>
        <v>9715.7729761229293</v>
      </c>
      <c r="AE1356" s="2">
        <v>7.0000000000000007E-2</v>
      </c>
      <c r="AF1356" s="5">
        <f t="shared" si="204"/>
        <v>680.10410832860509</v>
      </c>
      <c r="AG1356" s="14">
        <v>0</v>
      </c>
      <c r="AH1356" s="19">
        <f t="shared" si="197"/>
        <v>16221.2</v>
      </c>
      <c r="AJ1356" s="126" t="e">
        <v>#N/A</v>
      </c>
      <c r="AK1356" s="80">
        <f t="shared" si="205"/>
        <v>0</v>
      </c>
      <c r="AM1356" s="85"/>
    </row>
    <row r="1357" spans="1:39" hidden="1" x14ac:dyDescent="0.3">
      <c r="A1357" s="85" t="s">
        <v>34</v>
      </c>
      <c r="B1357" s="15" t="s">
        <v>35</v>
      </c>
      <c r="C1357" s="15" t="s">
        <v>164</v>
      </c>
      <c r="D1357" s="15" t="s">
        <v>174</v>
      </c>
      <c r="E1357" s="15" t="s">
        <v>1654</v>
      </c>
      <c r="F1357" s="15" t="s">
        <v>1654</v>
      </c>
      <c r="G1357" s="15" t="s">
        <v>1654</v>
      </c>
      <c r="H1357" s="154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1654</v>
      </c>
      <c r="N1357" s="15"/>
      <c r="O1357" s="8" t="s">
        <v>410</v>
      </c>
      <c r="P1357" s="8" t="s">
        <v>46</v>
      </c>
      <c r="Q1357" s="9">
        <v>0.02</v>
      </c>
      <c r="R1357" s="139" t="s">
        <v>1655</v>
      </c>
      <c r="S1357" s="15"/>
      <c r="T1357" s="18">
        <v>1479.3500000000001</v>
      </c>
      <c r="U1357" s="4">
        <v>0</v>
      </c>
      <c r="V1357" s="18">
        <v>1479.3500000000001</v>
      </c>
      <c r="W1357" s="18">
        <f t="shared" si="198"/>
        <v>0</v>
      </c>
      <c r="X1357" s="18">
        <f t="shared" si="200"/>
        <v>1450.3431372549021</v>
      </c>
      <c r="Y1357" s="13">
        <f t="shared" si="201"/>
        <v>564.27868134365906</v>
      </c>
      <c r="Z1357" s="14">
        <v>0</v>
      </c>
      <c r="AA1357" s="4">
        <v>0</v>
      </c>
      <c r="AB1357" s="4">
        <f t="shared" si="202"/>
        <v>1450.3431372549021</v>
      </c>
      <c r="AC1357" s="6">
        <f t="shared" si="203"/>
        <v>29.006862745098033</v>
      </c>
      <c r="AD1357" s="6">
        <f t="shared" si="199"/>
        <v>886.06445591124304</v>
      </c>
      <c r="AE1357" s="2">
        <v>7.0000000000000007E-2</v>
      </c>
      <c r="AF1357" s="5">
        <f t="shared" si="204"/>
        <v>62.024511913787016</v>
      </c>
      <c r="AG1357" s="14">
        <v>0</v>
      </c>
      <c r="AH1357" s="19">
        <f t="shared" si="197"/>
        <v>1479.3500000000001</v>
      </c>
      <c r="AJ1357" s="126" t="e">
        <v>#N/A</v>
      </c>
      <c r="AK1357" s="80">
        <f t="shared" si="205"/>
        <v>0</v>
      </c>
      <c r="AM1357" s="85"/>
    </row>
    <row r="1358" spans="1:39" hidden="1" x14ac:dyDescent="0.3">
      <c r="A1358" s="85" t="s">
        <v>34</v>
      </c>
      <c r="B1358" s="15" t="s">
        <v>35</v>
      </c>
      <c r="C1358" s="15" t="s">
        <v>164</v>
      </c>
      <c r="D1358" s="15" t="s">
        <v>174</v>
      </c>
      <c r="E1358" s="15" t="s">
        <v>239</v>
      </c>
      <c r="F1358" s="15" t="s">
        <v>308</v>
      </c>
      <c r="G1358" s="15" t="s">
        <v>239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239</v>
      </c>
      <c r="N1358" s="15"/>
      <c r="O1358" s="8" t="s">
        <v>410</v>
      </c>
      <c r="P1358" s="8" t="s">
        <v>41</v>
      </c>
      <c r="Q1358" s="9">
        <v>0</v>
      </c>
      <c r="R1358" s="139" t="s">
        <v>2025</v>
      </c>
      <c r="S1358" s="15"/>
      <c r="T1358" s="18">
        <v>10222.209999999999</v>
      </c>
      <c r="U1358" s="4">
        <v>0</v>
      </c>
      <c r="V1358" s="6">
        <v>0</v>
      </c>
      <c r="W1358" s="18">
        <f t="shared" si="198"/>
        <v>10222.209999999999</v>
      </c>
      <c r="X1358" s="18">
        <f t="shared" si="200"/>
        <v>0</v>
      </c>
      <c r="Y1358" s="13">
        <f t="shared" si="201"/>
        <v>0</v>
      </c>
      <c r="Z1358" s="14">
        <v>0</v>
      </c>
      <c r="AA1358" s="4">
        <v>0</v>
      </c>
      <c r="AB1358" s="4">
        <f t="shared" si="202"/>
        <v>0</v>
      </c>
      <c r="AC1358" s="6">
        <f t="shared" si="203"/>
        <v>0</v>
      </c>
      <c r="AD1358" s="6">
        <f t="shared" si="199"/>
        <v>0</v>
      </c>
      <c r="AE1358" s="2">
        <v>7.0000000000000007E-2</v>
      </c>
      <c r="AF1358" s="5">
        <f t="shared" si="204"/>
        <v>0</v>
      </c>
      <c r="AG1358" s="14">
        <v>0</v>
      </c>
      <c r="AH1358" s="19">
        <f t="shared" si="197"/>
        <v>0</v>
      </c>
      <c r="AJ1358" s="126" t="e">
        <v>#N/A</v>
      </c>
      <c r="AK1358" s="80">
        <f t="shared" si="205"/>
        <v>0</v>
      </c>
      <c r="AM1358" s="85"/>
    </row>
    <row r="1359" spans="1:39" hidden="1" x14ac:dyDescent="0.3">
      <c r="A1359" s="85" t="s">
        <v>34</v>
      </c>
      <c r="B1359" s="15" t="s">
        <v>35</v>
      </c>
      <c r="C1359" s="15" t="s">
        <v>164</v>
      </c>
      <c r="D1359" s="15" t="s">
        <v>174</v>
      </c>
      <c r="E1359" s="15" t="s">
        <v>1711</v>
      </c>
      <c r="F1359" s="15" t="s">
        <v>1711</v>
      </c>
      <c r="G1359" s="15" t="s">
        <v>1711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1711</v>
      </c>
      <c r="N1359" s="15"/>
      <c r="O1359" s="8" t="s">
        <v>1196</v>
      </c>
      <c r="P1359" s="8" t="s">
        <v>46</v>
      </c>
      <c r="Q1359" s="9">
        <v>0.04</v>
      </c>
      <c r="R1359" s="139" t="s">
        <v>1712</v>
      </c>
      <c r="S1359" s="15"/>
      <c r="T1359" s="18">
        <v>3244.4308299999975</v>
      </c>
      <c r="U1359" s="4">
        <v>0</v>
      </c>
      <c r="V1359" s="18">
        <v>3244.4308299999975</v>
      </c>
      <c r="W1359" s="18">
        <f t="shared" si="198"/>
        <v>0</v>
      </c>
      <c r="X1359" s="18">
        <f t="shared" si="200"/>
        <v>3119.6450288461515</v>
      </c>
      <c r="Y1359" s="13">
        <f t="shared" si="201"/>
        <v>1176.3761349903295</v>
      </c>
      <c r="Z1359" s="14">
        <v>0</v>
      </c>
      <c r="AA1359" s="4">
        <v>0</v>
      </c>
      <c r="AB1359" s="4">
        <f t="shared" si="202"/>
        <v>3119.6450288461515</v>
      </c>
      <c r="AC1359" s="6">
        <f t="shared" si="203"/>
        <v>124.78580115384602</v>
      </c>
      <c r="AD1359" s="6">
        <f t="shared" si="199"/>
        <v>1943.2688938558219</v>
      </c>
      <c r="AE1359" s="2">
        <v>0.12</v>
      </c>
      <c r="AF1359" s="5">
        <f t="shared" si="204"/>
        <v>233.19226726269864</v>
      </c>
      <c r="AG1359" s="14">
        <v>0</v>
      </c>
      <c r="AH1359" s="19">
        <f t="shared" si="197"/>
        <v>3244.4308299999975</v>
      </c>
      <c r="AJ1359" s="126" t="e">
        <v>#N/A</v>
      </c>
      <c r="AK1359" s="80">
        <f t="shared" si="205"/>
        <v>0</v>
      </c>
      <c r="AM1359" s="85"/>
    </row>
    <row r="1360" spans="1:39" hidden="1" x14ac:dyDescent="0.3">
      <c r="A1360" s="85" t="s">
        <v>34</v>
      </c>
      <c r="B1360" s="15" t="s">
        <v>35</v>
      </c>
      <c r="C1360" s="15" t="s">
        <v>164</v>
      </c>
      <c r="D1360" s="15" t="s">
        <v>174</v>
      </c>
      <c r="E1360" s="15" t="s">
        <v>1711</v>
      </c>
      <c r="F1360" s="15" t="s">
        <v>1711</v>
      </c>
      <c r="G1360" s="15" t="s">
        <v>1711</v>
      </c>
      <c r="H1360" s="139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2026</v>
      </c>
      <c r="N1360" s="15"/>
      <c r="O1360" s="8" t="s">
        <v>410</v>
      </c>
      <c r="P1360" s="8" t="s">
        <v>46</v>
      </c>
      <c r="Q1360" s="9">
        <v>0.02</v>
      </c>
      <c r="R1360" s="139" t="s">
        <v>2027</v>
      </c>
      <c r="S1360" s="15"/>
      <c r="T1360" s="18">
        <v>30</v>
      </c>
      <c r="U1360" s="4">
        <v>0</v>
      </c>
      <c r="V1360" s="6">
        <v>0</v>
      </c>
      <c r="W1360" s="18">
        <f t="shared" si="198"/>
        <v>30</v>
      </c>
      <c r="X1360" s="18">
        <f t="shared" si="200"/>
        <v>0</v>
      </c>
      <c r="Y1360" s="13">
        <f t="shared" si="201"/>
        <v>0</v>
      </c>
      <c r="Z1360" s="14">
        <v>0</v>
      </c>
      <c r="AA1360" s="4">
        <v>0</v>
      </c>
      <c r="AB1360" s="4">
        <f t="shared" si="202"/>
        <v>0</v>
      </c>
      <c r="AC1360" s="6">
        <f t="shared" si="203"/>
        <v>0</v>
      </c>
      <c r="AD1360" s="6">
        <f t="shared" si="199"/>
        <v>0</v>
      </c>
      <c r="AE1360" s="2">
        <v>7.0000000000000007E-2</v>
      </c>
      <c r="AF1360" s="5">
        <f t="shared" si="204"/>
        <v>0</v>
      </c>
      <c r="AG1360" s="14">
        <v>0</v>
      </c>
      <c r="AH1360" s="19">
        <f t="shared" si="197"/>
        <v>0</v>
      </c>
      <c r="AJ1360" s="126" t="e">
        <v>#N/A</v>
      </c>
      <c r="AK1360" s="80">
        <f t="shared" si="205"/>
        <v>0</v>
      </c>
      <c r="AM1360" s="85"/>
    </row>
    <row r="1361" spans="1:39" hidden="1" x14ac:dyDescent="0.3">
      <c r="A1361" s="85" t="s">
        <v>34</v>
      </c>
      <c r="B1361" s="15" t="s">
        <v>35</v>
      </c>
      <c r="C1361" s="15" t="s">
        <v>164</v>
      </c>
      <c r="D1361" s="15" t="s">
        <v>174</v>
      </c>
      <c r="E1361" s="15" t="s">
        <v>2028</v>
      </c>
      <c r="F1361" s="15" t="s">
        <v>2028</v>
      </c>
      <c r="G1361" s="15" t="s">
        <v>2028</v>
      </c>
      <c r="H1361" s="139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2028</v>
      </c>
      <c r="N1361" s="15"/>
      <c r="O1361" s="8" t="s">
        <v>410</v>
      </c>
      <c r="P1361" s="8" t="s">
        <v>46</v>
      </c>
      <c r="Q1361" s="9">
        <v>0.03</v>
      </c>
      <c r="R1361" s="139">
        <v>13472654320</v>
      </c>
      <c r="S1361" s="15"/>
      <c r="T1361" s="18">
        <v>459.70000000000073</v>
      </c>
      <c r="U1361" s="4">
        <v>0</v>
      </c>
      <c r="V1361" s="6">
        <v>0</v>
      </c>
      <c r="W1361" s="18">
        <f t="shared" si="198"/>
        <v>459.70000000000073</v>
      </c>
      <c r="X1361" s="18">
        <f t="shared" si="200"/>
        <v>0</v>
      </c>
      <c r="Y1361" s="13">
        <f t="shared" si="201"/>
        <v>0</v>
      </c>
      <c r="Z1361" s="14">
        <v>0</v>
      </c>
      <c r="AA1361" s="4">
        <v>0</v>
      </c>
      <c r="AB1361" s="4">
        <f t="shared" si="202"/>
        <v>0</v>
      </c>
      <c r="AC1361" s="6">
        <f t="shared" si="203"/>
        <v>0</v>
      </c>
      <c r="AD1361" s="6">
        <f t="shared" si="199"/>
        <v>0</v>
      </c>
      <c r="AE1361" s="2">
        <v>7.0000000000000007E-2</v>
      </c>
      <c r="AF1361" s="5">
        <f t="shared" si="204"/>
        <v>0</v>
      </c>
      <c r="AG1361" s="14">
        <v>0</v>
      </c>
      <c r="AH1361" s="19">
        <f t="shared" si="197"/>
        <v>0</v>
      </c>
      <c r="AJ1361" s="126" t="e">
        <v>#N/A</v>
      </c>
      <c r="AK1361" s="80">
        <f t="shared" si="205"/>
        <v>0</v>
      </c>
      <c r="AM1361" s="85"/>
    </row>
    <row r="1362" spans="1:39" hidden="1" x14ac:dyDescent="0.3">
      <c r="A1362" s="85" t="s">
        <v>34</v>
      </c>
      <c r="B1362" s="15" t="s">
        <v>35</v>
      </c>
      <c r="C1362" s="15" t="s">
        <v>2029</v>
      </c>
      <c r="D1362" s="15" t="s">
        <v>224</v>
      </c>
      <c r="E1362" s="15" t="s">
        <v>1108</v>
      </c>
      <c r="F1362" s="15" t="s">
        <v>1108</v>
      </c>
      <c r="G1362" s="15" t="s">
        <v>1108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2030</v>
      </c>
      <c r="N1362" s="15"/>
      <c r="O1362" s="8" t="s">
        <v>410</v>
      </c>
      <c r="P1362" s="8" t="s">
        <v>41</v>
      </c>
      <c r="Q1362" s="14">
        <v>0</v>
      </c>
      <c r="R1362" s="139" t="s">
        <v>1112</v>
      </c>
      <c r="S1362" s="15"/>
      <c r="T1362" s="18">
        <v>8163</v>
      </c>
      <c r="U1362" s="6">
        <v>-237.76</v>
      </c>
      <c r="V1362" s="6">
        <v>744.6</v>
      </c>
      <c r="W1362" s="18">
        <f t="shared" si="198"/>
        <v>7180.6399999999994</v>
      </c>
      <c r="X1362" s="18">
        <f t="shared" si="200"/>
        <v>744.6</v>
      </c>
      <c r="Y1362" s="13">
        <f t="shared" si="201"/>
        <v>298.61791741541117</v>
      </c>
      <c r="Z1362" s="14">
        <v>0</v>
      </c>
      <c r="AA1362" s="4">
        <v>0</v>
      </c>
      <c r="AB1362" s="4">
        <f t="shared" si="202"/>
        <v>744.6</v>
      </c>
      <c r="AC1362" s="6">
        <f t="shared" si="203"/>
        <v>0</v>
      </c>
      <c r="AD1362" s="6">
        <f t="shared" si="199"/>
        <v>445.98208258458885</v>
      </c>
      <c r="AE1362" s="2">
        <v>7.0000000000000007E-2</v>
      </c>
      <c r="AF1362" s="5">
        <f t="shared" si="204"/>
        <v>31.218745780921221</v>
      </c>
      <c r="AG1362" s="14">
        <v>0</v>
      </c>
      <c r="AH1362" s="19">
        <f t="shared" si="197"/>
        <v>744.6</v>
      </c>
      <c r="AJ1362" s="126" t="e">
        <v>#N/A</v>
      </c>
      <c r="AK1362" s="80">
        <f t="shared" si="205"/>
        <v>0</v>
      </c>
      <c r="AM1362" s="85"/>
    </row>
    <row r="1363" spans="1:39" hidden="1" x14ac:dyDescent="0.3">
      <c r="A1363" s="85" t="s">
        <v>34</v>
      </c>
      <c r="B1363" s="15" t="s">
        <v>35</v>
      </c>
      <c r="C1363" s="15" t="s">
        <v>65</v>
      </c>
      <c r="D1363" s="15" t="s">
        <v>66</v>
      </c>
      <c r="E1363" s="15" t="s">
        <v>2031</v>
      </c>
      <c r="F1363" s="15" t="s">
        <v>2031</v>
      </c>
      <c r="G1363" s="15" t="s">
        <v>2031</v>
      </c>
      <c r="H1363" s="139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2032</v>
      </c>
      <c r="N1363" s="15"/>
      <c r="O1363" s="8" t="s">
        <v>410</v>
      </c>
      <c r="P1363" s="8" t="s">
        <v>41</v>
      </c>
      <c r="Q1363" s="9">
        <v>0</v>
      </c>
      <c r="R1363" s="139" t="s">
        <v>2033</v>
      </c>
      <c r="S1363" s="15"/>
      <c r="T1363" s="18">
        <v>473.05999999999767</v>
      </c>
      <c r="U1363" s="4">
        <v>0</v>
      </c>
      <c r="V1363" s="6">
        <v>0</v>
      </c>
      <c r="W1363" s="18">
        <f t="shared" si="198"/>
        <v>473.05999999999767</v>
      </c>
      <c r="X1363" s="18">
        <f t="shared" si="200"/>
        <v>0</v>
      </c>
      <c r="Y1363" s="13">
        <f t="shared" si="201"/>
        <v>0</v>
      </c>
      <c r="Z1363" s="14">
        <v>0</v>
      </c>
      <c r="AA1363" s="4">
        <v>0</v>
      </c>
      <c r="AB1363" s="4">
        <f t="shared" si="202"/>
        <v>0</v>
      </c>
      <c r="AC1363" s="6">
        <f t="shared" si="203"/>
        <v>0</v>
      </c>
      <c r="AD1363" s="6">
        <f t="shared" si="199"/>
        <v>0</v>
      </c>
      <c r="AE1363" s="2">
        <v>7.0000000000000007E-2</v>
      </c>
      <c r="AF1363" s="5">
        <f t="shared" si="204"/>
        <v>0</v>
      </c>
      <c r="AG1363" s="14">
        <v>0</v>
      </c>
      <c r="AH1363" s="19">
        <f t="shared" si="197"/>
        <v>0</v>
      </c>
      <c r="AJ1363" s="126" t="e">
        <v>#N/A</v>
      </c>
      <c r="AK1363" s="80">
        <f t="shared" si="205"/>
        <v>0</v>
      </c>
      <c r="AM1363" s="85"/>
    </row>
    <row r="1364" spans="1:39" hidden="1" x14ac:dyDescent="0.3">
      <c r="A1364" s="85" t="s">
        <v>34</v>
      </c>
      <c r="B1364" s="15" t="s">
        <v>35</v>
      </c>
      <c r="C1364" s="15" t="s">
        <v>144</v>
      </c>
      <c r="D1364" s="15" t="s">
        <v>145</v>
      </c>
      <c r="E1364" s="15" t="s">
        <v>1416</v>
      </c>
      <c r="F1364" s="15" t="s">
        <v>1416</v>
      </c>
      <c r="G1364" s="15" t="s">
        <v>1416</v>
      </c>
      <c r="H1364" s="139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1416</v>
      </c>
      <c r="N1364" s="15"/>
      <c r="O1364" s="8" t="s">
        <v>1196</v>
      </c>
      <c r="P1364" s="8" t="s">
        <v>46</v>
      </c>
      <c r="Q1364" s="9">
        <v>0.02</v>
      </c>
      <c r="R1364" s="139" t="s">
        <v>2034</v>
      </c>
      <c r="S1364" s="15"/>
      <c r="T1364" s="18">
        <v>1161555.46</v>
      </c>
      <c r="U1364" s="4">
        <v>0</v>
      </c>
      <c r="V1364" s="6">
        <v>0</v>
      </c>
      <c r="W1364" s="18">
        <f t="shared" si="198"/>
        <v>1161555.46</v>
      </c>
      <c r="X1364" s="18">
        <f t="shared" si="200"/>
        <v>0</v>
      </c>
      <c r="Y1364" s="13">
        <f t="shared" si="201"/>
        <v>0</v>
      </c>
      <c r="Z1364" s="14">
        <v>0</v>
      </c>
      <c r="AA1364" s="4">
        <v>0</v>
      </c>
      <c r="AB1364" s="4">
        <f t="shared" si="202"/>
        <v>0</v>
      </c>
      <c r="AC1364" s="6">
        <f t="shared" si="203"/>
        <v>0</v>
      </c>
      <c r="AD1364" s="6">
        <f t="shared" si="199"/>
        <v>0</v>
      </c>
      <c r="AE1364" s="2">
        <v>0.12</v>
      </c>
      <c r="AF1364" s="5">
        <f t="shared" si="204"/>
        <v>0</v>
      </c>
      <c r="AG1364" s="14">
        <v>0</v>
      </c>
      <c r="AH1364" s="19">
        <f t="shared" si="197"/>
        <v>0</v>
      </c>
      <c r="AJ1364" s="126" t="e">
        <v>#N/A</v>
      </c>
      <c r="AK1364" s="80">
        <f t="shared" si="205"/>
        <v>0</v>
      </c>
      <c r="AM1364" s="85"/>
    </row>
    <row r="1365" spans="1:39" hidden="1" x14ac:dyDescent="0.3">
      <c r="A1365" s="85" t="s">
        <v>34</v>
      </c>
      <c r="B1365" s="15" t="s">
        <v>35</v>
      </c>
      <c r="C1365" s="15" t="s">
        <v>164</v>
      </c>
      <c r="D1365" s="15" t="s">
        <v>165</v>
      </c>
      <c r="E1365" s="15" t="s">
        <v>2035</v>
      </c>
      <c r="F1365" s="15" t="s">
        <v>2036</v>
      </c>
      <c r="G1365" s="15" t="s">
        <v>2035</v>
      </c>
      <c r="H1365" s="154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2037</v>
      </c>
      <c r="N1365" s="15"/>
      <c r="O1365" s="8" t="s">
        <v>410</v>
      </c>
      <c r="P1365" s="8" t="s">
        <v>46</v>
      </c>
      <c r="Q1365" s="9">
        <v>0.05</v>
      </c>
      <c r="R1365" s="139" t="s">
        <v>2038</v>
      </c>
      <c r="S1365" s="15"/>
      <c r="T1365" s="18">
        <v>496.06999999999971</v>
      </c>
      <c r="U1365" s="4">
        <v>0</v>
      </c>
      <c r="V1365" s="6">
        <v>29.7</v>
      </c>
      <c r="W1365" s="18">
        <f t="shared" si="198"/>
        <v>466.36999999999972</v>
      </c>
      <c r="X1365" s="18">
        <f t="shared" si="200"/>
        <v>28.285714285714285</v>
      </c>
      <c r="Y1365" s="13">
        <f t="shared" si="201"/>
        <v>10.496743223718195</v>
      </c>
      <c r="Z1365" s="14">
        <v>0</v>
      </c>
      <c r="AA1365" s="4">
        <v>0</v>
      </c>
      <c r="AB1365" s="4">
        <f t="shared" si="202"/>
        <v>28.285714285714285</v>
      </c>
      <c r="AC1365" s="6">
        <f t="shared" si="203"/>
        <v>1.4142857142857146</v>
      </c>
      <c r="AD1365" s="6">
        <f t="shared" si="199"/>
        <v>17.78897106199609</v>
      </c>
      <c r="AE1365" s="2">
        <v>7.0000000000000007E-2</v>
      </c>
      <c r="AF1365" s="5">
        <f t="shared" si="204"/>
        <v>1.2452279743397263</v>
      </c>
      <c r="AG1365" s="14">
        <v>0</v>
      </c>
      <c r="AH1365" s="19">
        <f t="shared" ref="AH1365:AH1428" si="206">V1365</f>
        <v>29.7</v>
      </c>
      <c r="AJ1365" s="126" t="e">
        <v>#N/A</v>
      </c>
      <c r="AK1365" s="80">
        <f t="shared" si="205"/>
        <v>0</v>
      </c>
      <c r="AM1365" s="85"/>
    </row>
    <row r="1366" spans="1:39" hidden="1" x14ac:dyDescent="0.3">
      <c r="A1366" s="85" t="s">
        <v>34</v>
      </c>
      <c r="B1366" s="15" t="s">
        <v>35</v>
      </c>
      <c r="C1366" s="15" t="s">
        <v>164</v>
      </c>
      <c r="D1366" s="15" t="s">
        <v>174</v>
      </c>
      <c r="E1366" s="15" t="s">
        <v>1671</v>
      </c>
      <c r="F1366" s="15" t="s">
        <v>1671</v>
      </c>
      <c r="G1366" s="15" t="s">
        <v>1671</v>
      </c>
      <c r="H1366" s="154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1671</v>
      </c>
      <c r="N1366" s="15"/>
      <c r="O1366" s="8" t="s">
        <v>410</v>
      </c>
      <c r="P1366" s="8" t="s">
        <v>46</v>
      </c>
      <c r="Q1366" s="9">
        <v>0.02</v>
      </c>
      <c r="R1366" s="139" t="s">
        <v>1672</v>
      </c>
      <c r="S1366" s="15"/>
      <c r="T1366" s="18">
        <v>2027.1499999999869</v>
      </c>
      <c r="U1366" s="4">
        <v>0</v>
      </c>
      <c r="V1366" s="18">
        <v>2027.1499999999869</v>
      </c>
      <c r="W1366" s="18">
        <f t="shared" si="198"/>
        <v>0</v>
      </c>
      <c r="X1366" s="18">
        <f t="shared" si="200"/>
        <v>1987.4019607843009</v>
      </c>
      <c r="Y1366" s="13">
        <f t="shared" si="201"/>
        <v>773.22981639624891</v>
      </c>
      <c r="Z1366" s="14">
        <v>0</v>
      </c>
      <c r="AA1366" s="4">
        <v>0</v>
      </c>
      <c r="AB1366" s="4">
        <f t="shared" si="202"/>
        <v>1987.4019607843009</v>
      </c>
      <c r="AC1366" s="6">
        <f t="shared" si="203"/>
        <v>39.748039215686049</v>
      </c>
      <c r="AD1366" s="6">
        <f t="shared" si="199"/>
        <v>1214.1721443880519</v>
      </c>
      <c r="AE1366" s="2">
        <v>7.0000000000000007E-2</v>
      </c>
      <c r="AF1366" s="5">
        <f t="shared" si="204"/>
        <v>84.992050107163649</v>
      </c>
      <c r="AG1366" s="14">
        <v>0</v>
      </c>
      <c r="AH1366" s="19">
        <f t="shared" si="206"/>
        <v>2027.1499999999869</v>
      </c>
      <c r="AJ1366" s="126" t="e">
        <v>#N/A</v>
      </c>
      <c r="AK1366" s="80">
        <f t="shared" si="205"/>
        <v>0</v>
      </c>
      <c r="AM1366" s="85"/>
    </row>
    <row r="1367" spans="1:39" hidden="1" x14ac:dyDescent="0.3">
      <c r="A1367" s="85" t="s">
        <v>34</v>
      </c>
      <c r="B1367" s="15" t="s">
        <v>35</v>
      </c>
      <c r="C1367" s="15" t="s">
        <v>164</v>
      </c>
      <c r="D1367" s="15" t="s">
        <v>174</v>
      </c>
      <c r="E1367" s="15" t="s">
        <v>2039</v>
      </c>
      <c r="F1367" s="15" t="s">
        <v>2039</v>
      </c>
      <c r="G1367" s="15" t="s">
        <v>2039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2039</v>
      </c>
      <c r="N1367" s="15"/>
      <c r="O1367" s="8" t="s">
        <v>410</v>
      </c>
      <c r="P1367" s="8" t="s">
        <v>46</v>
      </c>
      <c r="Q1367" s="9">
        <v>0.02</v>
      </c>
      <c r="R1367" s="139" t="s">
        <v>2040</v>
      </c>
      <c r="S1367" s="15"/>
      <c r="T1367" s="18">
        <v>485.10000000000036</v>
      </c>
      <c r="U1367" s="4">
        <v>0</v>
      </c>
      <c r="V1367" s="6">
        <v>0</v>
      </c>
      <c r="W1367" s="18">
        <f t="shared" si="198"/>
        <v>485.10000000000036</v>
      </c>
      <c r="X1367" s="18">
        <f t="shared" si="200"/>
        <v>0</v>
      </c>
      <c r="Y1367" s="13">
        <f t="shared" si="201"/>
        <v>0</v>
      </c>
      <c r="Z1367" s="14">
        <v>0</v>
      </c>
      <c r="AA1367" s="4">
        <v>0</v>
      </c>
      <c r="AB1367" s="4">
        <f t="shared" si="202"/>
        <v>0</v>
      </c>
      <c r="AC1367" s="6">
        <f t="shared" si="203"/>
        <v>0</v>
      </c>
      <c r="AD1367" s="6">
        <f t="shared" si="199"/>
        <v>0</v>
      </c>
      <c r="AE1367" s="2">
        <v>7.0000000000000007E-2</v>
      </c>
      <c r="AF1367" s="5">
        <f t="shared" si="204"/>
        <v>0</v>
      </c>
      <c r="AG1367" s="14">
        <v>0</v>
      </c>
      <c r="AH1367" s="19">
        <f t="shared" si="206"/>
        <v>0</v>
      </c>
      <c r="AJ1367" s="126" t="e">
        <v>#N/A</v>
      </c>
      <c r="AK1367" s="80">
        <f t="shared" si="205"/>
        <v>0</v>
      </c>
      <c r="AM1367" s="85"/>
    </row>
    <row r="1368" spans="1:39" hidden="1" x14ac:dyDescent="0.3">
      <c r="A1368" s="85" t="s">
        <v>34</v>
      </c>
      <c r="B1368" s="15" t="s">
        <v>35</v>
      </c>
      <c r="C1368" s="15" t="s">
        <v>164</v>
      </c>
      <c r="D1368" s="15" t="s">
        <v>174</v>
      </c>
      <c r="E1368" s="15" t="s">
        <v>2041</v>
      </c>
      <c r="F1368" s="15" t="s">
        <v>2041</v>
      </c>
      <c r="G1368" s="15" t="s">
        <v>2041</v>
      </c>
      <c r="H1368" s="154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1789</v>
      </c>
      <c r="N1368" s="15"/>
      <c r="O1368" s="8" t="s">
        <v>410</v>
      </c>
      <c r="P1368" s="8" t="s">
        <v>46</v>
      </c>
      <c r="Q1368" s="9">
        <v>0.04</v>
      </c>
      <c r="R1368" s="139" t="s">
        <v>1790</v>
      </c>
      <c r="S1368" s="15"/>
      <c r="T1368" s="18">
        <v>470.5</v>
      </c>
      <c r="U1368" s="4">
        <v>0</v>
      </c>
      <c r="V1368" s="18">
        <v>470.5</v>
      </c>
      <c r="W1368" s="18">
        <f t="shared" ref="W1368:W1431" si="207">T1368+U1368-V1368</f>
        <v>0</v>
      </c>
      <c r="X1368" s="18">
        <f t="shared" si="200"/>
        <v>452.40384615384613</v>
      </c>
      <c r="Y1368" s="13">
        <f t="shared" si="201"/>
        <v>170.59539885858823</v>
      </c>
      <c r="Z1368" s="14">
        <v>0</v>
      </c>
      <c r="AA1368" s="4">
        <v>0</v>
      </c>
      <c r="AB1368" s="4">
        <f t="shared" si="202"/>
        <v>452.40384615384613</v>
      </c>
      <c r="AC1368" s="6">
        <f t="shared" si="203"/>
        <v>18.096153846153868</v>
      </c>
      <c r="AD1368" s="6">
        <f t="shared" si="199"/>
        <v>281.80844729525791</v>
      </c>
      <c r="AE1368" s="2">
        <v>7.0000000000000007E-2</v>
      </c>
      <c r="AF1368" s="5">
        <f t="shared" si="204"/>
        <v>19.726591310668056</v>
      </c>
      <c r="AG1368" s="14">
        <v>0</v>
      </c>
      <c r="AH1368" s="19">
        <f t="shared" si="206"/>
        <v>470.5</v>
      </c>
      <c r="AJ1368" s="126" t="e">
        <v>#N/A</v>
      </c>
      <c r="AK1368" s="80">
        <f t="shared" si="205"/>
        <v>0</v>
      </c>
      <c r="AM1368" s="85"/>
    </row>
    <row r="1369" spans="1:39" hidden="1" x14ac:dyDescent="0.3">
      <c r="A1369" s="85" t="s">
        <v>34</v>
      </c>
      <c r="B1369" s="15" t="s">
        <v>35</v>
      </c>
      <c r="C1369" s="15" t="s">
        <v>2029</v>
      </c>
      <c r="D1369" s="15" t="s">
        <v>224</v>
      </c>
      <c r="E1369" s="15" t="s">
        <v>2042</v>
      </c>
      <c r="F1369" s="15" t="s">
        <v>2042</v>
      </c>
      <c r="G1369" s="15" t="s">
        <v>2042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2042</v>
      </c>
      <c r="N1369" s="15"/>
      <c r="O1369" s="8" t="s">
        <v>410</v>
      </c>
      <c r="P1369" s="8" t="s">
        <v>46</v>
      </c>
      <c r="Q1369" s="9">
        <v>0.02</v>
      </c>
      <c r="R1369" s="139" t="s">
        <v>2043</v>
      </c>
      <c r="S1369" s="15"/>
      <c r="T1369" s="18">
        <v>489.29999999999927</v>
      </c>
      <c r="U1369" s="4">
        <v>0</v>
      </c>
      <c r="V1369" s="6">
        <v>0</v>
      </c>
      <c r="W1369" s="18">
        <f t="shared" si="207"/>
        <v>489.29999999999927</v>
      </c>
      <c r="X1369" s="18">
        <f t="shared" si="200"/>
        <v>0</v>
      </c>
      <c r="Y1369" s="13">
        <f t="shared" si="201"/>
        <v>0</v>
      </c>
      <c r="Z1369" s="14">
        <v>0</v>
      </c>
      <c r="AA1369" s="4">
        <v>0</v>
      </c>
      <c r="AB1369" s="4">
        <f t="shared" si="202"/>
        <v>0</v>
      </c>
      <c r="AC1369" s="6">
        <f t="shared" si="203"/>
        <v>0</v>
      </c>
      <c r="AD1369" s="6">
        <f t="shared" si="199"/>
        <v>0</v>
      </c>
      <c r="AE1369" s="2">
        <v>7.0000000000000007E-2</v>
      </c>
      <c r="AF1369" s="5">
        <f t="shared" si="204"/>
        <v>0</v>
      </c>
      <c r="AG1369" s="14">
        <v>0</v>
      </c>
      <c r="AH1369" s="19">
        <f t="shared" si="206"/>
        <v>0</v>
      </c>
      <c r="AJ1369" s="126" t="e">
        <v>#N/A</v>
      </c>
      <c r="AK1369" s="80">
        <f t="shared" si="205"/>
        <v>0</v>
      </c>
      <c r="AM1369" s="85"/>
    </row>
    <row r="1370" spans="1:39" hidden="1" x14ac:dyDescent="0.3">
      <c r="A1370" s="85" t="s">
        <v>34</v>
      </c>
      <c r="B1370" s="15" t="s">
        <v>35</v>
      </c>
      <c r="C1370" s="15" t="s">
        <v>59</v>
      </c>
      <c r="D1370" s="15" t="s">
        <v>60</v>
      </c>
      <c r="E1370" s="15" t="s">
        <v>610</v>
      </c>
      <c r="F1370" s="15" t="s">
        <v>1062</v>
      </c>
      <c r="G1370" s="15" t="s">
        <v>610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610</v>
      </c>
      <c r="N1370" s="15"/>
      <c r="O1370" s="8" t="s">
        <v>410</v>
      </c>
      <c r="P1370" s="8" t="s">
        <v>41</v>
      </c>
      <c r="Q1370" s="9">
        <v>0</v>
      </c>
      <c r="R1370" s="139" t="s">
        <v>1063</v>
      </c>
      <c r="S1370" s="15"/>
      <c r="T1370" s="18">
        <v>0</v>
      </c>
      <c r="U1370" s="4">
        <v>0</v>
      </c>
      <c r="V1370" s="6">
        <v>0</v>
      </c>
      <c r="W1370" s="18">
        <f t="shared" si="207"/>
        <v>0</v>
      </c>
      <c r="X1370" s="18">
        <f t="shared" si="200"/>
        <v>0</v>
      </c>
      <c r="Y1370" s="13">
        <f t="shared" si="201"/>
        <v>0</v>
      </c>
      <c r="Z1370" s="14">
        <v>0</v>
      </c>
      <c r="AA1370" s="4">
        <v>0</v>
      </c>
      <c r="AB1370" s="4">
        <f t="shared" si="202"/>
        <v>0</v>
      </c>
      <c r="AC1370" s="6">
        <f t="shared" si="203"/>
        <v>0</v>
      </c>
      <c r="AD1370" s="6">
        <f t="shared" si="199"/>
        <v>0</v>
      </c>
      <c r="AE1370" s="2">
        <v>7.0000000000000007E-2</v>
      </c>
      <c r="AF1370" s="5">
        <f t="shared" si="204"/>
        <v>0</v>
      </c>
      <c r="AG1370" s="14">
        <v>0</v>
      </c>
      <c r="AH1370" s="19">
        <f t="shared" si="206"/>
        <v>0</v>
      </c>
      <c r="AJ1370" s="126" t="e">
        <v>#N/A</v>
      </c>
      <c r="AK1370" s="80">
        <f t="shared" si="205"/>
        <v>0</v>
      </c>
      <c r="AM1370" s="85"/>
    </row>
    <row r="1371" spans="1:39" hidden="1" x14ac:dyDescent="0.3">
      <c r="A1371" s="85" t="s">
        <v>34</v>
      </c>
      <c r="B1371" s="15" t="s">
        <v>35</v>
      </c>
      <c r="C1371" s="15" t="s">
        <v>65</v>
      </c>
      <c r="D1371" s="15" t="s">
        <v>232</v>
      </c>
      <c r="E1371" s="15" t="s">
        <v>2044</v>
      </c>
      <c r="F1371" s="15" t="s">
        <v>2044</v>
      </c>
      <c r="G1371" s="15" t="s">
        <v>2044</v>
      </c>
      <c r="H1371" s="139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2044</v>
      </c>
      <c r="N1371" s="15"/>
      <c r="O1371" s="8" t="s">
        <v>410</v>
      </c>
      <c r="P1371" s="8" t="s">
        <v>46</v>
      </c>
      <c r="Q1371" s="9">
        <v>0.02</v>
      </c>
      <c r="R1371" s="139" t="s">
        <v>2045</v>
      </c>
      <c r="S1371" s="15"/>
      <c r="T1371" s="18">
        <v>4407.9000000000005</v>
      </c>
      <c r="U1371" s="4">
        <v>0</v>
      </c>
      <c r="V1371" s="6">
        <v>0</v>
      </c>
      <c r="W1371" s="18">
        <f t="shared" si="207"/>
        <v>4407.9000000000005</v>
      </c>
      <c r="X1371" s="18">
        <f t="shared" si="200"/>
        <v>0</v>
      </c>
      <c r="Y1371" s="13">
        <f t="shared" si="201"/>
        <v>0</v>
      </c>
      <c r="Z1371" s="14">
        <v>0</v>
      </c>
      <c r="AA1371" s="4">
        <v>0</v>
      </c>
      <c r="AB1371" s="4">
        <f t="shared" si="202"/>
        <v>0</v>
      </c>
      <c r="AC1371" s="6">
        <f t="shared" si="203"/>
        <v>0</v>
      </c>
      <c r="AD1371" s="6">
        <f t="shared" si="199"/>
        <v>0</v>
      </c>
      <c r="AE1371" s="2">
        <v>7.0000000000000007E-2</v>
      </c>
      <c r="AF1371" s="5">
        <f t="shared" si="204"/>
        <v>0</v>
      </c>
      <c r="AG1371" s="14">
        <v>0</v>
      </c>
      <c r="AH1371" s="19">
        <f t="shared" si="206"/>
        <v>0</v>
      </c>
      <c r="AJ1371" s="126" t="e">
        <v>#N/A</v>
      </c>
      <c r="AK1371" s="80">
        <f t="shared" si="205"/>
        <v>0</v>
      </c>
      <c r="AM1371" s="85"/>
    </row>
    <row r="1372" spans="1:39" hidden="1" x14ac:dyDescent="0.3">
      <c r="A1372" s="85" t="s">
        <v>34</v>
      </c>
      <c r="B1372" s="15" t="s">
        <v>35</v>
      </c>
      <c r="C1372" s="15" t="s">
        <v>144</v>
      </c>
      <c r="D1372" s="15" t="s">
        <v>145</v>
      </c>
      <c r="E1372" s="15" t="s">
        <v>2046</v>
      </c>
      <c r="F1372" s="15" t="s">
        <v>2046</v>
      </c>
      <c r="G1372" s="15" t="s">
        <v>2046</v>
      </c>
      <c r="H1372" s="139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2046</v>
      </c>
      <c r="N1372" s="15"/>
      <c r="O1372" s="8" t="s">
        <v>410</v>
      </c>
      <c r="P1372" s="8" t="s">
        <v>46</v>
      </c>
      <c r="Q1372" s="9">
        <v>0.02</v>
      </c>
      <c r="R1372" s="139" t="s">
        <v>2047</v>
      </c>
      <c r="S1372" s="15"/>
      <c r="T1372" s="18">
        <v>496.09999999999746</v>
      </c>
      <c r="U1372" s="4">
        <v>0</v>
      </c>
      <c r="V1372" s="6">
        <v>0</v>
      </c>
      <c r="W1372" s="18">
        <f t="shared" si="207"/>
        <v>496.09999999999746</v>
      </c>
      <c r="X1372" s="18">
        <f t="shared" si="200"/>
        <v>0</v>
      </c>
      <c r="Y1372" s="13">
        <f t="shared" si="201"/>
        <v>0</v>
      </c>
      <c r="Z1372" s="14">
        <v>0</v>
      </c>
      <c r="AA1372" s="4">
        <v>0</v>
      </c>
      <c r="AB1372" s="4">
        <f t="shared" si="202"/>
        <v>0</v>
      </c>
      <c r="AC1372" s="6">
        <f t="shared" si="203"/>
        <v>0</v>
      </c>
      <c r="AD1372" s="6">
        <f t="shared" si="199"/>
        <v>0</v>
      </c>
      <c r="AE1372" s="2">
        <v>7.0000000000000007E-2</v>
      </c>
      <c r="AF1372" s="5">
        <f t="shared" si="204"/>
        <v>0</v>
      </c>
      <c r="AG1372" s="14">
        <v>0</v>
      </c>
      <c r="AH1372" s="19">
        <f t="shared" si="206"/>
        <v>0</v>
      </c>
      <c r="AJ1372" s="126" t="e">
        <v>#N/A</v>
      </c>
      <c r="AK1372" s="80">
        <f t="shared" si="205"/>
        <v>0</v>
      </c>
      <c r="AM1372" s="85"/>
    </row>
    <row r="1373" spans="1:39" hidden="1" x14ac:dyDescent="0.3">
      <c r="A1373" s="85" t="s">
        <v>34</v>
      </c>
      <c r="B1373" s="15" t="s">
        <v>35</v>
      </c>
      <c r="C1373" s="15" t="s">
        <v>144</v>
      </c>
      <c r="D1373" s="15" t="s">
        <v>152</v>
      </c>
      <c r="E1373" s="15" t="s">
        <v>155</v>
      </c>
      <c r="F1373" s="15" t="s">
        <v>1465</v>
      </c>
      <c r="G1373" s="15" t="s">
        <v>155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2048</v>
      </c>
      <c r="N1373" s="15"/>
      <c r="O1373" s="8" t="s">
        <v>410</v>
      </c>
      <c r="P1373" s="8" t="s">
        <v>92</v>
      </c>
      <c r="Q1373" s="9">
        <v>0.98499999999999999</v>
      </c>
      <c r="R1373" s="139" t="s">
        <v>2049</v>
      </c>
      <c r="S1373" s="15"/>
      <c r="T1373" s="18">
        <v>18498.039999999972</v>
      </c>
      <c r="U1373" s="4">
        <v>0</v>
      </c>
      <c r="V1373" s="6">
        <v>6177.2</v>
      </c>
      <c r="W1373" s="18">
        <f t="shared" si="207"/>
        <v>12320.839999999971</v>
      </c>
      <c r="X1373" s="18">
        <f t="shared" si="200"/>
        <v>6084.5419999999995</v>
      </c>
      <c r="Y1373" s="13">
        <f t="shared" si="201"/>
        <v>2384.675601206658</v>
      </c>
      <c r="Z1373" s="14">
        <v>0</v>
      </c>
      <c r="AA1373" s="4">
        <v>0</v>
      </c>
      <c r="AB1373" s="4">
        <f t="shared" si="202"/>
        <v>6084.5419999999995</v>
      </c>
      <c r="AC1373" s="6">
        <f t="shared" si="203"/>
        <v>92.658000000000357</v>
      </c>
      <c r="AD1373" s="6">
        <f t="shared" si="199"/>
        <v>3699.8663987933414</v>
      </c>
      <c r="AE1373" s="2">
        <v>7.0000000000000007E-2</v>
      </c>
      <c r="AF1373" s="5">
        <f t="shared" si="204"/>
        <v>258.99064791553394</v>
      </c>
      <c r="AG1373" s="14">
        <v>0</v>
      </c>
      <c r="AH1373" s="19">
        <f t="shared" si="206"/>
        <v>6177.2</v>
      </c>
      <c r="AJ1373" s="126" t="e">
        <v>#N/A</v>
      </c>
      <c r="AK1373" s="80">
        <f t="shared" si="205"/>
        <v>0</v>
      </c>
      <c r="AM1373" s="85"/>
    </row>
    <row r="1374" spans="1:39" hidden="1" x14ac:dyDescent="0.3">
      <c r="A1374" s="85" t="s">
        <v>34</v>
      </c>
      <c r="B1374" s="15" t="s">
        <v>35</v>
      </c>
      <c r="C1374" s="15" t="s">
        <v>144</v>
      </c>
      <c r="D1374" s="15" t="s">
        <v>152</v>
      </c>
      <c r="E1374" s="15" t="s">
        <v>155</v>
      </c>
      <c r="F1374" s="15" t="s">
        <v>1465</v>
      </c>
      <c r="G1374" s="15" t="s">
        <v>155</v>
      </c>
      <c r="H1374" s="139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1466</v>
      </c>
      <c r="N1374" s="15"/>
      <c r="O1374" s="8" t="s">
        <v>1196</v>
      </c>
      <c r="P1374" s="8" t="s">
        <v>92</v>
      </c>
      <c r="Q1374" s="9">
        <v>0.98499999999999999</v>
      </c>
      <c r="R1374" s="139" t="s">
        <v>1467</v>
      </c>
      <c r="S1374" s="15"/>
      <c r="T1374" s="18">
        <v>300000</v>
      </c>
      <c r="U1374" s="4">
        <v>0</v>
      </c>
      <c r="V1374" s="6">
        <v>0</v>
      </c>
      <c r="W1374" s="18">
        <v>0</v>
      </c>
      <c r="X1374" s="18">
        <f t="shared" si="200"/>
        <v>0</v>
      </c>
      <c r="Y1374" s="13">
        <f t="shared" si="201"/>
        <v>0</v>
      </c>
      <c r="Z1374" s="14">
        <v>0</v>
      </c>
      <c r="AA1374" s="4">
        <v>0</v>
      </c>
      <c r="AB1374" s="4">
        <f t="shared" si="202"/>
        <v>0</v>
      </c>
      <c r="AC1374" s="6">
        <f t="shared" si="203"/>
        <v>0</v>
      </c>
      <c r="AD1374" s="6">
        <f>V1374*0.598955254612663</f>
        <v>0</v>
      </c>
      <c r="AE1374" s="2">
        <v>0.12</v>
      </c>
      <c r="AF1374" s="5">
        <f t="shared" si="204"/>
        <v>0</v>
      </c>
      <c r="AG1374" s="14">
        <v>0</v>
      </c>
      <c r="AH1374" s="19">
        <f t="shared" si="206"/>
        <v>0</v>
      </c>
      <c r="AJ1374" s="126" t="e">
        <v>#N/A</v>
      </c>
      <c r="AK1374" s="80">
        <f t="shared" si="205"/>
        <v>0</v>
      </c>
      <c r="AM1374" s="85"/>
    </row>
    <row r="1375" spans="1:39" hidden="1" x14ac:dyDescent="0.3">
      <c r="A1375" s="85" t="s">
        <v>34</v>
      </c>
      <c r="B1375" s="15" t="s">
        <v>35</v>
      </c>
      <c r="C1375" s="15" t="s">
        <v>144</v>
      </c>
      <c r="D1375" s="15" t="s">
        <v>152</v>
      </c>
      <c r="E1375" s="15" t="s">
        <v>2050</v>
      </c>
      <c r="F1375" s="15" t="s">
        <v>2050</v>
      </c>
      <c r="G1375" s="15" t="s">
        <v>2050</v>
      </c>
      <c r="H1375" s="139"/>
      <c r="I1375" s="15" t="s">
        <v>610</v>
      </c>
      <c r="J1375" s="1" t="s">
        <v>3323</v>
      </c>
      <c r="K1375" s="1" t="s">
        <v>3275</v>
      </c>
      <c r="L1375" s="1" t="s">
        <v>35</v>
      </c>
      <c r="M1375" s="15" t="s">
        <v>2050</v>
      </c>
      <c r="N1375" s="15"/>
      <c r="O1375" s="8" t="s">
        <v>410</v>
      </c>
      <c r="P1375" s="8" t="s">
        <v>41</v>
      </c>
      <c r="Q1375" s="9">
        <v>0</v>
      </c>
      <c r="R1375" s="139" t="s">
        <v>2051</v>
      </c>
      <c r="S1375" s="15"/>
      <c r="T1375" s="18">
        <v>60018.100000000006</v>
      </c>
      <c r="U1375" s="4">
        <v>0</v>
      </c>
      <c r="V1375" s="6">
        <v>0</v>
      </c>
      <c r="W1375" s="18">
        <f t="shared" si="207"/>
        <v>60018.100000000006</v>
      </c>
      <c r="X1375" s="18">
        <f t="shared" si="200"/>
        <v>0</v>
      </c>
      <c r="Y1375" s="13">
        <f t="shared" si="201"/>
        <v>0</v>
      </c>
      <c r="Z1375" s="14">
        <v>0</v>
      </c>
      <c r="AA1375" s="4">
        <v>0</v>
      </c>
      <c r="AB1375" s="4">
        <f t="shared" si="202"/>
        <v>0</v>
      </c>
      <c r="AC1375" s="6">
        <f t="shared" si="203"/>
        <v>0</v>
      </c>
      <c r="AD1375" s="18">
        <f>V1375</f>
        <v>0</v>
      </c>
      <c r="AE1375" s="2">
        <v>0.02</v>
      </c>
      <c r="AF1375" s="5">
        <f t="shared" si="204"/>
        <v>0</v>
      </c>
      <c r="AG1375" s="14">
        <v>0</v>
      </c>
      <c r="AH1375" s="19">
        <f t="shared" si="206"/>
        <v>0</v>
      </c>
      <c r="AJ1375" s="126" t="e">
        <v>#N/A</v>
      </c>
      <c r="AK1375" s="80">
        <f t="shared" si="205"/>
        <v>0</v>
      </c>
      <c r="AM1375" s="85"/>
    </row>
    <row r="1376" spans="1:39" hidden="1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2052</v>
      </c>
      <c r="F1376" s="15" t="s">
        <v>2052</v>
      </c>
      <c r="G1376" s="15" t="s">
        <v>2052</v>
      </c>
      <c r="H1376" s="139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2052</v>
      </c>
      <c r="N1376" s="15"/>
      <c r="O1376" s="8" t="s">
        <v>410</v>
      </c>
      <c r="P1376" s="8" t="s">
        <v>46</v>
      </c>
      <c r="Q1376" s="9">
        <v>0.02</v>
      </c>
      <c r="R1376" s="139" t="s">
        <v>2053</v>
      </c>
      <c r="S1376" s="15"/>
      <c r="T1376" s="18">
        <v>286.97000000000116</v>
      </c>
      <c r="U1376" s="4">
        <v>0</v>
      </c>
      <c r="V1376" s="6">
        <v>0</v>
      </c>
      <c r="W1376" s="18">
        <f t="shared" si="207"/>
        <v>286.97000000000116</v>
      </c>
      <c r="X1376" s="18">
        <f t="shared" si="200"/>
        <v>0</v>
      </c>
      <c r="Y1376" s="13">
        <f t="shared" si="201"/>
        <v>0</v>
      </c>
      <c r="Z1376" s="14">
        <v>0</v>
      </c>
      <c r="AA1376" s="4">
        <v>0</v>
      </c>
      <c r="AB1376" s="4">
        <f t="shared" si="202"/>
        <v>0</v>
      </c>
      <c r="AC1376" s="6">
        <f t="shared" si="203"/>
        <v>0</v>
      </c>
      <c r="AD1376" s="6">
        <f t="shared" ref="AD1376:AD1398" si="208">V1376*0.598955254612663</f>
        <v>0</v>
      </c>
      <c r="AE1376" s="2">
        <v>7.0000000000000007E-2</v>
      </c>
      <c r="AF1376" s="5">
        <f t="shared" si="204"/>
        <v>0</v>
      </c>
      <c r="AG1376" s="14">
        <v>0</v>
      </c>
      <c r="AH1376" s="19">
        <f t="shared" si="206"/>
        <v>0</v>
      </c>
      <c r="AJ1376" s="126" t="e">
        <v>#N/A</v>
      </c>
      <c r="AK1376" s="80">
        <f t="shared" si="205"/>
        <v>0</v>
      </c>
      <c r="AM1376" s="85"/>
    </row>
    <row r="1377" spans="1:39" hidden="1" x14ac:dyDescent="0.3">
      <c r="A1377" s="85" t="s">
        <v>34</v>
      </c>
      <c r="B1377" s="15" t="s">
        <v>35</v>
      </c>
      <c r="C1377" s="15" t="s">
        <v>164</v>
      </c>
      <c r="D1377" s="15" t="s">
        <v>174</v>
      </c>
      <c r="E1377" s="15" t="s">
        <v>651</v>
      </c>
      <c r="F1377" s="15" t="s">
        <v>651</v>
      </c>
      <c r="G1377" s="15" t="s">
        <v>651</v>
      </c>
      <c r="H1377" s="154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651</v>
      </c>
      <c r="N1377" s="15"/>
      <c r="O1377" s="8" t="s">
        <v>2054</v>
      </c>
      <c r="P1377" s="8" t="s">
        <v>46</v>
      </c>
      <c r="Q1377" s="9">
        <v>0.06</v>
      </c>
      <c r="R1377" s="139" t="s">
        <v>1974</v>
      </c>
      <c r="S1377" s="15"/>
      <c r="T1377" s="18">
        <v>-76668.076589999997</v>
      </c>
      <c r="U1377" s="4">
        <v>0</v>
      </c>
      <c r="V1377" s="6">
        <v>2.589E-2</v>
      </c>
      <c r="W1377" s="18">
        <f t="shared" si="207"/>
        <v>-76668.102480000001</v>
      </c>
      <c r="X1377" s="18">
        <f t="shared" si="200"/>
        <v>2.4424528301886791E-2</v>
      </c>
      <c r="Y1377" s="13">
        <f t="shared" si="201"/>
        <v>8.9175767599649469E-3</v>
      </c>
      <c r="Z1377" s="14">
        <v>0</v>
      </c>
      <c r="AA1377" s="4">
        <v>0</v>
      </c>
      <c r="AB1377" s="4">
        <f t="shared" si="202"/>
        <v>2.4424528301886791E-2</v>
      </c>
      <c r="AC1377" s="6">
        <f t="shared" si="203"/>
        <v>1.465471698113209E-3</v>
      </c>
      <c r="AD1377" s="6">
        <f t="shared" si="208"/>
        <v>1.5506951541921844E-2</v>
      </c>
      <c r="AE1377" s="2">
        <v>0.12</v>
      </c>
      <c r="AF1377" s="5">
        <f t="shared" si="204"/>
        <v>1.8608341850306213E-3</v>
      </c>
      <c r="AG1377" s="14">
        <v>0</v>
      </c>
      <c r="AH1377" s="19">
        <f t="shared" si="206"/>
        <v>2.589E-2</v>
      </c>
      <c r="AJ1377" s="126" t="e">
        <v>#N/A</v>
      </c>
      <c r="AK1377" s="80">
        <f t="shared" si="205"/>
        <v>0</v>
      </c>
      <c r="AM1377" s="85"/>
    </row>
    <row r="1378" spans="1:39" hidden="1" x14ac:dyDescent="0.3">
      <c r="A1378" s="85" t="s">
        <v>34</v>
      </c>
      <c r="B1378" s="15" t="s">
        <v>35</v>
      </c>
      <c r="C1378" s="15" t="s">
        <v>164</v>
      </c>
      <c r="D1378" s="15" t="s">
        <v>174</v>
      </c>
      <c r="E1378" s="15" t="s">
        <v>1700</v>
      </c>
      <c r="F1378" s="15" t="s">
        <v>1700</v>
      </c>
      <c r="G1378" s="15" t="s">
        <v>1700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1700</v>
      </c>
      <c r="N1378" s="15"/>
      <c r="O1378" s="8" t="s">
        <v>410</v>
      </c>
      <c r="P1378" s="8" t="s">
        <v>46</v>
      </c>
      <c r="Q1378" s="9">
        <v>0.03</v>
      </c>
      <c r="R1378" s="139" t="s">
        <v>2055</v>
      </c>
      <c r="S1378" s="15"/>
      <c r="T1378" s="18">
        <v>18883.900000000001</v>
      </c>
      <c r="U1378" s="4">
        <v>0</v>
      </c>
      <c r="V1378" s="6">
        <v>0</v>
      </c>
      <c r="W1378" s="18">
        <f t="shared" si="207"/>
        <v>18883.900000000001</v>
      </c>
      <c r="X1378" s="18">
        <f t="shared" si="200"/>
        <v>0</v>
      </c>
      <c r="Y1378" s="13">
        <f t="shared" si="201"/>
        <v>0</v>
      </c>
      <c r="Z1378" s="14">
        <v>0</v>
      </c>
      <c r="AA1378" s="4">
        <v>0</v>
      </c>
      <c r="AB1378" s="4">
        <f t="shared" si="202"/>
        <v>0</v>
      </c>
      <c r="AC1378" s="6">
        <f t="shared" si="203"/>
        <v>0</v>
      </c>
      <c r="AD1378" s="6">
        <f t="shared" si="208"/>
        <v>0</v>
      </c>
      <c r="AE1378" s="2">
        <v>7.0000000000000007E-2</v>
      </c>
      <c r="AF1378" s="5">
        <f t="shared" si="204"/>
        <v>0</v>
      </c>
      <c r="AG1378" s="14">
        <v>0</v>
      </c>
      <c r="AH1378" s="19">
        <f t="shared" si="206"/>
        <v>0</v>
      </c>
      <c r="AJ1378" s="126" t="e">
        <v>#N/A</v>
      </c>
      <c r="AK1378" s="80">
        <f t="shared" si="205"/>
        <v>0</v>
      </c>
      <c r="AM1378" s="85"/>
    </row>
    <row r="1379" spans="1:39" hidden="1" x14ac:dyDescent="0.3">
      <c r="A1379" s="85" t="s">
        <v>34</v>
      </c>
      <c r="B1379" s="15" t="s">
        <v>35</v>
      </c>
      <c r="C1379" s="15" t="s">
        <v>59</v>
      </c>
      <c r="D1379" s="15" t="s">
        <v>60</v>
      </c>
      <c r="E1379" s="15" t="s">
        <v>2056</v>
      </c>
      <c r="F1379" s="15" t="s">
        <v>2056</v>
      </c>
      <c r="G1379" s="15" t="s">
        <v>2056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2057</v>
      </c>
      <c r="N1379" s="15"/>
      <c r="O1379" s="8" t="s">
        <v>1196</v>
      </c>
      <c r="P1379" s="8" t="s">
        <v>46</v>
      </c>
      <c r="Q1379" s="9">
        <v>0.22</v>
      </c>
      <c r="R1379" s="139" t="s">
        <v>2058</v>
      </c>
      <c r="S1379" s="15"/>
      <c r="T1379" s="18">
        <v>1676.5299999999988</v>
      </c>
      <c r="U1379" s="4">
        <v>0</v>
      </c>
      <c r="V1379" s="6">
        <v>0</v>
      </c>
      <c r="W1379" s="18">
        <f t="shared" si="207"/>
        <v>1676.5299999999988</v>
      </c>
      <c r="X1379" s="18">
        <f t="shared" si="200"/>
        <v>0</v>
      </c>
      <c r="Y1379" s="13">
        <f t="shared" si="201"/>
        <v>0</v>
      </c>
      <c r="Z1379" s="14">
        <v>0</v>
      </c>
      <c r="AA1379" s="4">
        <v>0</v>
      </c>
      <c r="AB1379" s="4"/>
      <c r="AC1379" s="6">
        <f t="shared" si="203"/>
        <v>0</v>
      </c>
      <c r="AD1379" s="6">
        <f t="shared" si="208"/>
        <v>0</v>
      </c>
      <c r="AE1379" s="2">
        <v>0.12</v>
      </c>
      <c r="AF1379" s="5">
        <f t="shared" si="204"/>
        <v>0</v>
      </c>
      <c r="AG1379" s="14">
        <v>0</v>
      </c>
      <c r="AH1379" s="19">
        <f t="shared" si="206"/>
        <v>0</v>
      </c>
      <c r="AJ1379" s="126">
        <v>20</v>
      </c>
      <c r="AK1379" s="80">
        <f t="shared" si="205"/>
        <v>0</v>
      </c>
      <c r="AM1379" s="85"/>
    </row>
    <row r="1380" spans="1:39" hidden="1" x14ac:dyDescent="0.3">
      <c r="A1380" s="85" t="s">
        <v>34</v>
      </c>
      <c r="B1380" s="15" t="s">
        <v>35</v>
      </c>
      <c r="C1380" s="15" t="s">
        <v>2059</v>
      </c>
      <c r="D1380" s="15" t="s">
        <v>298</v>
      </c>
      <c r="E1380" s="15" t="s">
        <v>1835</v>
      </c>
      <c r="F1380" s="15" t="s">
        <v>1835</v>
      </c>
      <c r="G1380" s="15" t="s">
        <v>1835</v>
      </c>
      <c r="H1380" s="154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1835</v>
      </c>
      <c r="N1380" s="15"/>
      <c r="O1380" s="8" t="s">
        <v>410</v>
      </c>
      <c r="P1380" s="8" t="s">
        <v>41</v>
      </c>
      <c r="Q1380" s="9">
        <v>0</v>
      </c>
      <c r="R1380" s="139" t="s">
        <v>1837</v>
      </c>
      <c r="S1380" s="15"/>
      <c r="T1380" s="18">
        <v>-1731.8699999999899</v>
      </c>
      <c r="U1380" s="4">
        <v>0</v>
      </c>
      <c r="V1380" s="18">
        <v>-1731.8699999999899</v>
      </c>
      <c r="W1380" s="18">
        <f t="shared" si="207"/>
        <v>0</v>
      </c>
      <c r="X1380" s="18">
        <f t="shared" si="200"/>
        <v>-1731.8699999999899</v>
      </c>
      <c r="Y1380" s="13">
        <f t="shared" si="201"/>
        <v>0</v>
      </c>
      <c r="Z1380" s="14">
        <v>0</v>
      </c>
      <c r="AA1380" s="4">
        <v>0</v>
      </c>
      <c r="AB1380" s="4">
        <f t="shared" si="202"/>
        <v>-1731.8699999999899</v>
      </c>
      <c r="AC1380" s="6">
        <f t="shared" si="203"/>
        <v>0</v>
      </c>
      <c r="AD1380" s="6">
        <f t="shared" si="208"/>
        <v>-1037.3126368060266</v>
      </c>
      <c r="AE1380" s="2">
        <v>7.0000000000000007E-2</v>
      </c>
      <c r="AF1380" s="5">
        <f t="shared" si="204"/>
        <v>-72.611884576421872</v>
      </c>
      <c r="AG1380" s="14">
        <v>0</v>
      </c>
      <c r="AH1380" s="19">
        <f t="shared" si="206"/>
        <v>-1731.8699999999899</v>
      </c>
      <c r="AJ1380" s="126" t="e">
        <v>#N/A</v>
      </c>
      <c r="AK1380" s="80">
        <f t="shared" si="205"/>
        <v>0</v>
      </c>
      <c r="AM1380" s="85"/>
    </row>
    <row r="1381" spans="1:39" hidden="1" x14ac:dyDescent="0.3">
      <c r="A1381" s="85" t="s">
        <v>34</v>
      </c>
      <c r="B1381" s="15" t="s">
        <v>35</v>
      </c>
      <c r="C1381" s="15" t="s">
        <v>47</v>
      </c>
      <c r="D1381" s="15" t="s">
        <v>48</v>
      </c>
      <c r="E1381" s="15" t="s">
        <v>2060</v>
      </c>
      <c r="F1381" s="15" t="s">
        <v>2060</v>
      </c>
      <c r="G1381" s="15" t="s">
        <v>2060</v>
      </c>
      <c r="H1381" s="139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2060</v>
      </c>
      <c r="N1381" s="15"/>
      <c r="O1381" s="8" t="s">
        <v>410</v>
      </c>
      <c r="P1381" s="8" t="s">
        <v>41</v>
      </c>
      <c r="Q1381" s="9">
        <v>0</v>
      </c>
      <c r="R1381" s="139" t="s">
        <v>2061</v>
      </c>
      <c r="S1381" s="15"/>
      <c r="T1381" s="18">
        <v>1716.83</v>
      </c>
      <c r="U1381" s="4">
        <v>0</v>
      </c>
      <c r="V1381" s="6">
        <v>0</v>
      </c>
      <c r="W1381" s="18">
        <f t="shared" si="207"/>
        <v>1716.83</v>
      </c>
      <c r="X1381" s="18">
        <f t="shared" si="200"/>
        <v>0</v>
      </c>
      <c r="Y1381" s="13">
        <f t="shared" si="201"/>
        <v>0</v>
      </c>
      <c r="Z1381" s="14">
        <v>0</v>
      </c>
      <c r="AA1381" s="4">
        <v>0</v>
      </c>
      <c r="AB1381" s="4">
        <f t="shared" si="202"/>
        <v>0</v>
      </c>
      <c r="AC1381" s="6">
        <f t="shared" si="203"/>
        <v>0</v>
      </c>
      <c r="AD1381" s="6">
        <f t="shared" si="208"/>
        <v>0</v>
      </c>
      <c r="AE1381" s="2">
        <v>7.0000000000000007E-2</v>
      </c>
      <c r="AF1381" s="5">
        <f t="shared" si="204"/>
        <v>0</v>
      </c>
      <c r="AG1381" s="14">
        <v>0</v>
      </c>
      <c r="AH1381" s="19">
        <f t="shared" si="206"/>
        <v>0</v>
      </c>
      <c r="AJ1381" s="126" t="e">
        <v>#N/A</v>
      </c>
      <c r="AK1381" s="80">
        <f t="shared" si="205"/>
        <v>0</v>
      </c>
      <c r="AM1381" s="85"/>
    </row>
    <row r="1382" spans="1:39" hidden="1" x14ac:dyDescent="0.3">
      <c r="A1382" s="85" t="s">
        <v>34</v>
      </c>
      <c r="B1382" s="15" t="s">
        <v>35</v>
      </c>
      <c r="C1382" s="15" t="s">
        <v>144</v>
      </c>
      <c r="D1382" s="15" t="s">
        <v>161</v>
      </c>
      <c r="E1382" s="15" t="s">
        <v>1937</v>
      </c>
      <c r="F1382" s="15" t="s">
        <v>1937</v>
      </c>
      <c r="G1382" s="15" t="s">
        <v>1937</v>
      </c>
      <c r="H1382" s="139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2062</v>
      </c>
      <c r="N1382" s="15"/>
      <c r="O1382" s="8" t="s">
        <v>410</v>
      </c>
      <c r="P1382" s="8" t="s">
        <v>46</v>
      </c>
      <c r="Q1382" s="9">
        <v>0.03</v>
      </c>
      <c r="R1382" s="139" t="s">
        <v>2063</v>
      </c>
      <c r="S1382" s="15"/>
      <c r="T1382" s="18">
        <v>2.0199999999895226</v>
      </c>
      <c r="U1382" s="4">
        <v>0</v>
      </c>
      <c r="V1382" s="6">
        <v>0</v>
      </c>
      <c r="W1382" s="18">
        <f t="shared" si="207"/>
        <v>2.0199999999895226</v>
      </c>
      <c r="X1382" s="18">
        <f t="shared" ref="X1382:X1445" si="209">IF(P1382="折扣",V1382*Q1382,IF(P1382="返现",V1382,V1382/(1+Q1382)))</f>
        <v>0</v>
      </c>
      <c r="Y1382" s="13">
        <f t="shared" si="201"/>
        <v>0</v>
      </c>
      <c r="Z1382" s="14">
        <v>0</v>
      </c>
      <c r="AA1382" s="4">
        <v>0</v>
      </c>
      <c r="AB1382" s="4">
        <f t="shared" si="202"/>
        <v>0</v>
      </c>
      <c r="AC1382" s="6">
        <f t="shared" si="203"/>
        <v>0</v>
      </c>
      <c r="AD1382" s="6">
        <f t="shared" si="208"/>
        <v>0</v>
      </c>
      <c r="AE1382" s="2">
        <v>7.0000000000000007E-2</v>
      </c>
      <c r="AF1382" s="5">
        <f t="shared" si="204"/>
        <v>0</v>
      </c>
      <c r="AG1382" s="14">
        <v>0</v>
      </c>
      <c r="AH1382" s="19">
        <f t="shared" si="206"/>
        <v>0</v>
      </c>
      <c r="AJ1382" s="126" t="e">
        <v>#N/A</v>
      </c>
      <c r="AK1382" s="80">
        <f t="shared" si="205"/>
        <v>0</v>
      </c>
      <c r="AM1382" s="85"/>
    </row>
    <row r="1383" spans="1:39" hidden="1" x14ac:dyDescent="0.3">
      <c r="A1383" s="85" t="s">
        <v>34</v>
      </c>
      <c r="B1383" s="15" t="s">
        <v>35</v>
      </c>
      <c r="C1383" s="15" t="s">
        <v>164</v>
      </c>
      <c r="D1383" s="15" t="s">
        <v>165</v>
      </c>
      <c r="E1383" s="15" t="s">
        <v>619</v>
      </c>
      <c r="F1383" s="15" t="s">
        <v>620</v>
      </c>
      <c r="G1383" s="15" t="s">
        <v>619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619</v>
      </c>
      <c r="N1383" s="15"/>
      <c r="O1383" s="8" t="s">
        <v>1196</v>
      </c>
      <c r="P1383" s="8" t="s">
        <v>46</v>
      </c>
      <c r="Q1383" s="9">
        <v>0.04</v>
      </c>
      <c r="R1383" s="139" t="s">
        <v>2064</v>
      </c>
      <c r="S1383" s="15"/>
      <c r="T1383" s="18">
        <v>2027.2165199999936</v>
      </c>
      <c r="U1383" s="4">
        <v>0</v>
      </c>
      <c r="V1383" s="6">
        <v>0</v>
      </c>
      <c r="W1383" s="18">
        <f t="shared" si="207"/>
        <v>2027.2165199999936</v>
      </c>
      <c r="X1383" s="18">
        <f t="shared" si="209"/>
        <v>0</v>
      </c>
      <c r="Y1383" s="13">
        <f t="shared" si="201"/>
        <v>0</v>
      </c>
      <c r="Z1383" s="14">
        <v>0</v>
      </c>
      <c r="AA1383" s="4">
        <v>0</v>
      </c>
      <c r="AB1383" s="4">
        <f t="shared" si="202"/>
        <v>0</v>
      </c>
      <c r="AC1383" s="6">
        <f t="shared" si="203"/>
        <v>0</v>
      </c>
      <c r="AD1383" s="6">
        <f t="shared" si="208"/>
        <v>0</v>
      </c>
      <c r="AE1383" s="2">
        <v>0.12</v>
      </c>
      <c r="AF1383" s="5">
        <f t="shared" si="204"/>
        <v>0</v>
      </c>
      <c r="AG1383" s="14">
        <v>0</v>
      </c>
      <c r="AH1383" s="19">
        <f t="shared" si="206"/>
        <v>0</v>
      </c>
      <c r="AJ1383" s="126" t="e">
        <v>#N/A</v>
      </c>
      <c r="AK1383" s="80">
        <f t="shared" si="205"/>
        <v>0</v>
      </c>
      <c r="AM1383" s="85"/>
    </row>
    <row r="1384" spans="1:39" hidden="1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1658</v>
      </c>
      <c r="F1384" s="15" t="s">
        <v>1658</v>
      </c>
      <c r="G1384" s="15" t="s">
        <v>1658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1659</v>
      </c>
      <c r="N1384" s="15"/>
      <c r="O1384" s="8" t="s">
        <v>410</v>
      </c>
      <c r="P1384" s="8" t="s">
        <v>46</v>
      </c>
      <c r="Q1384" s="9">
        <v>0.02</v>
      </c>
      <c r="R1384" s="139" t="s">
        <v>1660</v>
      </c>
      <c r="S1384" s="15"/>
      <c r="T1384" s="18">
        <v>6195.4</v>
      </c>
      <c r="U1384" s="4">
        <v>0</v>
      </c>
      <c r="V1384" s="18">
        <v>6195.4</v>
      </c>
      <c r="W1384" s="18">
        <f t="shared" si="207"/>
        <v>0</v>
      </c>
      <c r="X1384" s="18">
        <f t="shared" si="209"/>
        <v>6073.9215686274501</v>
      </c>
      <c r="Y1384" s="13">
        <f t="shared" si="201"/>
        <v>2363.1541842001584</v>
      </c>
      <c r="Z1384" s="14">
        <v>0</v>
      </c>
      <c r="AA1384" s="4">
        <v>0</v>
      </c>
      <c r="AB1384" s="4">
        <f t="shared" si="202"/>
        <v>6073.9215686274501</v>
      </c>
      <c r="AC1384" s="6">
        <f t="shared" si="203"/>
        <v>121.47843137254949</v>
      </c>
      <c r="AD1384" s="6">
        <f t="shared" si="208"/>
        <v>3710.7673844272917</v>
      </c>
      <c r="AE1384" s="2">
        <v>7.0000000000000007E-2</v>
      </c>
      <c r="AF1384" s="5">
        <f t="shared" si="204"/>
        <v>259.75371690991045</v>
      </c>
      <c r="AG1384" s="14">
        <v>0</v>
      </c>
      <c r="AH1384" s="19">
        <f t="shared" si="206"/>
        <v>6195.4</v>
      </c>
      <c r="AJ1384" s="126" t="e">
        <v>#N/A</v>
      </c>
      <c r="AK1384" s="80">
        <f t="shared" si="205"/>
        <v>0</v>
      </c>
      <c r="AM1384" s="85"/>
    </row>
    <row r="1385" spans="1:39" hidden="1" x14ac:dyDescent="0.3">
      <c r="A1385" s="85" t="s">
        <v>34</v>
      </c>
      <c r="B1385" s="15" t="s">
        <v>35</v>
      </c>
      <c r="C1385" s="15" t="s">
        <v>2029</v>
      </c>
      <c r="D1385" s="15" t="s">
        <v>224</v>
      </c>
      <c r="E1385" s="15" t="s">
        <v>2065</v>
      </c>
      <c r="F1385" s="15" t="s">
        <v>2065</v>
      </c>
      <c r="G1385" s="15" t="s">
        <v>2065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2065</v>
      </c>
      <c r="N1385" s="15"/>
      <c r="O1385" s="8" t="s">
        <v>410</v>
      </c>
      <c r="P1385" s="8" t="s">
        <v>46</v>
      </c>
      <c r="Q1385" s="9">
        <v>0.02</v>
      </c>
      <c r="R1385" s="139">
        <v>198089020</v>
      </c>
      <c r="S1385" s="15"/>
      <c r="T1385" s="18">
        <v>397.55999999999403</v>
      </c>
      <c r="U1385" s="4">
        <v>0</v>
      </c>
      <c r="V1385" s="6">
        <v>0</v>
      </c>
      <c r="W1385" s="18">
        <f t="shared" si="207"/>
        <v>397.55999999999403</v>
      </c>
      <c r="X1385" s="18">
        <f t="shared" si="209"/>
        <v>0</v>
      </c>
      <c r="Y1385" s="13">
        <f t="shared" si="201"/>
        <v>0</v>
      </c>
      <c r="Z1385" s="14">
        <v>0</v>
      </c>
      <c r="AA1385" s="4">
        <v>0</v>
      </c>
      <c r="AB1385" s="4">
        <f t="shared" si="202"/>
        <v>0</v>
      </c>
      <c r="AC1385" s="6">
        <f t="shared" si="203"/>
        <v>0</v>
      </c>
      <c r="AD1385" s="6">
        <f t="shared" si="208"/>
        <v>0</v>
      </c>
      <c r="AE1385" s="2">
        <v>7.0000000000000007E-2</v>
      </c>
      <c r="AF1385" s="5">
        <f t="shared" si="204"/>
        <v>0</v>
      </c>
      <c r="AG1385" s="14">
        <v>0</v>
      </c>
      <c r="AH1385" s="19">
        <f t="shared" si="206"/>
        <v>0</v>
      </c>
      <c r="AJ1385" s="126" t="s">
        <v>4222</v>
      </c>
      <c r="AK1385" s="80">
        <f t="shared" si="205"/>
        <v>0</v>
      </c>
      <c r="AL1385" s="150"/>
      <c r="AM1385" s="85"/>
    </row>
    <row r="1386" spans="1:39" hidden="1" x14ac:dyDescent="0.3">
      <c r="A1386" s="85" t="s">
        <v>34</v>
      </c>
      <c r="B1386" s="15" t="s">
        <v>35</v>
      </c>
      <c r="C1386" s="15" t="s">
        <v>144</v>
      </c>
      <c r="D1386" s="15" t="s">
        <v>145</v>
      </c>
      <c r="E1386" s="15" t="s">
        <v>2066</v>
      </c>
      <c r="F1386" s="15" t="s">
        <v>2066</v>
      </c>
      <c r="G1386" s="15" t="s">
        <v>2066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833</v>
      </c>
      <c r="N1386" s="15"/>
      <c r="O1386" s="8" t="s">
        <v>410</v>
      </c>
      <c r="P1386" s="8" t="s">
        <v>46</v>
      </c>
      <c r="Q1386" s="9">
        <v>0.04</v>
      </c>
      <c r="R1386" s="139" t="s">
        <v>2067</v>
      </c>
      <c r="S1386" s="15"/>
      <c r="T1386" s="18">
        <v>8138.9999999999927</v>
      </c>
      <c r="U1386" s="4">
        <v>0</v>
      </c>
      <c r="V1386" s="6">
        <v>0</v>
      </c>
      <c r="W1386" s="18">
        <f t="shared" si="207"/>
        <v>8138.9999999999927</v>
      </c>
      <c r="X1386" s="18">
        <f t="shared" si="209"/>
        <v>0</v>
      </c>
      <c r="Y1386" s="13">
        <f t="shared" si="201"/>
        <v>0</v>
      </c>
      <c r="Z1386" s="14">
        <v>0</v>
      </c>
      <c r="AA1386" s="4">
        <v>0</v>
      </c>
      <c r="AB1386" s="4">
        <f t="shared" si="202"/>
        <v>0</v>
      </c>
      <c r="AC1386" s="6">
        <f t="shared" si="203"/>
        <v>0</v>
      </c>
      <c r="AD1386" s="6">
        <f t="shared" si="208"/>
        <v>0</v>
      </c>
      <c r="AE1386" s="2">
        <v>7.0000000000000007E-2</v>
      </c>
      <c r="AF1386" s="5">
        <f t="shared" si="204"/>
        <v>0</v>
      </c>
      <c r="AG1386" s="14">
        <v>0</v>
      </c>
      <c r="AH1386" s="19">
        <f t="shared" si="206"/>
        <v>0</v>
      </c>
      <c r="AJ1386" s="126" t="e">
        <v>#N/A</v>
      </c>
      <c r="AK1386" s="80">
        <f t="shared" si="205"/>
        <v>0</v>
      </c>
      <c r="AM1386" s="85"/>
    </row>
    <row r="1387" spans="1:39" hidden="1" x14ac:dyDescent="0.3">
      <c r="A1387" s="85" t="s">
        <v>34</v>
      </c>
      <c r="B1387" s="15" t="s">
        <v>35</v>
      </c>
      <c r="C1387" s="15" t="s">
        <v>2059</v>
      </c>
      <c r="D1387" s="15" t="s">
        <v>298</v>
      </c>
      <c r="E1387" s="15" t="s">
        <v>1547</v>
      </c>
      <c r="F1387" s="15" t="s">
        <v>1547</v>
      </c>
      <c r="G1387" s="15" t="s">
        <v>1547</v>
      </c>
      <c r="H1387" s="139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1835</v>
      </c>
      <c r="N1387" s="15"/>
      <c r="O1387" s="8" t="s">
        <v>1196</v>
      </c>
      <c r="P1387" s="8" t="s">
        <v>46</v>
      </c>
      <c r="Q1387" s="9">
        <v>0.04</v>
      </c>
      <c r="R1387" s="139" t="s">
        <v>1837</v>
      </c>
      <c r="S1387" s="15"/>
      <c r="T1387" s="18">
        <v>0</v>
      </c>
      <c r="U1387" s="4">
        <v>0</v>
      </c>
      <c r="V1387" s="6">
        <v>0</v>
      </c>
      <c r="W1387" s="18">
        <f t="shared" si="207"/>
        <v>0</v>
      </c>
      <c r="X1387" s="18">
        <f t="shared" si="209"/>
        <v>0</v>
      </c>
      <c r="Y1387" s="13">
        <f t="shared" si="201"/>
        <v>0</v>
      </c>
      <c r="Z1387" s="14">
        <v>0</v>
      </c>
      <c r="AA1387" s="4">
        <v>0</v>
      </c>
      <c r="AB1387" s="4">
        <f t="shared" si="202"/>
        <v>0</v>
      </c>
      <c r="AC1387" s="6">
        <f t="shared" si="203"/>
        <v>0</v>
      </c>
      <c r="AD1387" s="6">
        <f t="shared" si="208"/>
        <v>0</v>
      </c>
      <c r="AE1387" s="2">
        <v>0.12</v>
      </c>
      <c r="AF1387" s="5">
        <f t="shared" si="204"/>
        <v>0</v>
      </c>
      <c r="AG1387" s="14">
        <v>0</v>
      </c>
      <c r="AH1387" s="19">
        <f t="shared" si="206"/>
        <v>0</v>
      </c>
      <c r="AJ1387" s="126" t="e">
        <v>#N/A</v>
      </c>
      <c r="AK1387" s="80">
        <f t="shared" si="205"/>
        <v>0</v>
      </c>
      <c r="AM1387" s="85"/>
    </row>
    <row r="1388" spans="1:39" hidden="1" x14ac:dyDescent="0.3">
      <c r="A1388" s="85" t="s">
        <v>34</v>
      </c>
      <c r="B1388" s="15" t="s">
        <v>35</v>
      </c>
      <c r="C1388" s="15" t="s">
        <v>144</v>
      </c>
      <c r="D1388" s="15" t="s">
        <v>145</v>
      </c>
      <c r="E1388" s="15" t="s">
        <v>2068</v>
      </c>
      <c r="F1388" s="15" t="s">
        <v>2068</v>
      </c>
      <c r="G1388" s="15" t="s">
        <v>2068</v>
      </c>
      <c r="H1388" s="139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2069</v>
      </c>
      <c r="N1388" s="15"/>
      <c r="O1388" s="8" t="s">
        <v>410</v>
      </c>
      <c r="P1388" s="8" t="s">
        <v>46</v>
      </c>
      <c r="Q1388" s="9">
        <v>2.0000000000000018E-2</v>
      </c>
      <c r="R1388" s="139" t="s">
        <v>2070</v>
      </c>
      <c r="S1388" s="15"/>
      <c r="T1388" s="18">
        <v>2957.1000000000004</v>
      </c>
      <c r="U1388" s="4">
        <v>0</v>
      </c>
      <c r="V1388" s="6">
        <v>0</v>
      </c>
      <c r="W1388" s="18">
        <f t="shared" si="207"/>
        <v>2957.1000000000004</v>
      </c>
      <c r="X1388" s="18">
        <f t="shared" si="209"/>
        <v>0</v>
      </c>
      <c r="Y1388" s="13">
        <f t="shared" si="201"/>
        <v>0</v>
      </c>
      <c r="Z1388" s="14">
        <v>0</v>
      </c>
      <c r="AA1388" s="4">
        <v>0</v>
      </c>
      <c r="AB1388" s="4">
        <f t="shared" si="202"/>
        <v>0</v>
      </c>
      <c r="AC1388" s="6">
        <f t="shared" si="203"/>
        <v>0</v>
      </c>
      <c r="AD1388" s="6">
        <f t="shared" si="208"/>
        <v>0</v>
      </c>
      <c r="AE1388" s="2">
        <v>7.0000000000000007E-2</v>
      </c>
      <c r="AF1388" s="5">
        <f t="shared" si="204"/>
        <v>0</v>
      </c>
      <c r="AG1388" s="14">
        <v>0</v>
      </c>
      <c r="AH1388" s="19">
        <f t="shared" si="206"/>
        <v>0</v>
      </c>
      <c r="AJ1388" s="126" t="e">
        <v>#N/A</v>
      </c>
      <c r="AK1388" s="80">
        <f t="shared" si="205"/>
        <v>0</v>
      </c>
      <c r="AM1388" s="85"/>
    </row>
    <row r="1389" spans="1:39" hidden="1" x14ac:dyDescent="0.3">
      <c r="A1389" s="85" t="s">
        <v>34</v>
      </c>
      <c r="B1389" s="15" t="s">
        <v>35</v>
      </c>
      <c r="C1389" s="15" t="s">
        <v>144</v>
      </c>
      <c r="D1389" s="15" t="s">
        <v>152</v>
      </c>
      <c r="E1389" s="15" t="s">
        <v>2071</v>
      </c>
      <c r="F1389" s="15" t="s">
        <v>2071</v>
      </c>
      <c r="G1389" s="15" t="s">
        <v>2071</v>
      </c>
      <c r="H1389" s="139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2072</v>
      </c>
      <c r="N1389" s="15"/>
      <c r="O1389" s="8" t="s">
        <v>410</v>
      </c>
      <c r="P1389" s="8" t="s">
        <v>41</v>
      </c>
      <c r="Q1389" s="9">
        <v>0</v>
      </c>
      <c r="R1389" s="139" t="s">
        <v>2073</v>
      </c>
      <c r="S1389" s="15"/>
      <c r="T1389" s="18">
        <v>376.56999999999971</v>
      </c>
      <c r="U1389" s="4">
        <v>0</v>
      </c>
      <c r="V1389" s="6">
        <v>0</v>
      </c>
      <c r="W1389" s="18">
        <f t="shared" si="207"/>
        <v>376.56999999999971</v>
      </c>
      <c r="X1389" s="18">
        <f t="shared" si="209"/>
        <v>0</v>
      </c>
      <c r="Y1389" s="13">
        <f t="shared" si="201"/>
        <v>0</v>
      </c>
      <c r="Z1389" s="14">
        <v>0</v>
      </c>
      <c r="AA1389" s="4">
        <v>0</v>
      </c>
      <c r="AB1389" s="4">
        <f t="shared" si="202"/>
        <v>0</v>
      </c>
      <c r="AC1389" s="6">
        <f t="shared" si="203"/>
        <v>0</v>
      </c>
      <c r="AD1389" s="6">
        <f t="shared" si="208"/>
        <v>0</v>
      </c>
      <c r="AE1389" s="2">
        <v>7.0000000000000007E-2</v>
      </c>
      <c r="AF1389" s="5">
        <f t="shared" si="204"/>
        <v>0</v>
      </c>
      <c r="AG1389" s="14">
        <v>0</v>
      </c>
      <c r="AH1389" s="19">
        <f t="shared" si="206"/>
        <v>0</v>
      </c>
      <c r="AJ1389" s="126" t="e">
        <v>#N/A</v>
      </c>
      <c r="AK1389" s="80">
        <f t="shared" si="205"/>
        <v>0</v>
      </c>
      <c r="AM1389" s="85"/>
    </row>
    <row r="1390" spans="1:39" hidden="1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1658</v>
      </c>
      <c r="F1390" s="15" t="s">
        <v>1658</v>
      </c>
      <c r="G1390" s="15" t="s">
        <v>1658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1658</v>
      </c>
      <c r="N1390" s="15"/>
      <c r="O1390" s="8" t="s">
        <v>410</v>
      </c>
      <c r="P1390" s="8" t="s">
        <v>46</v>
      </c>
      <c r="Q1390" s="9">
        <v>2.0000000000000018E-2</v>
      </c>
      <c r="R1390" s="139" t="s">
        <v>2074</v>
      </c>
      <c r="S1390" s="15"/>
      <c r="T1390" s="18">
        <v>459.09999999999854</v>
      </c>
      <c r="U1390" s="4">
        <v>0</v>
      </c>
      <c r="V1390" s="6">
        <v>0</v>
      </c>
      <c r="W1390" s="18">
        <f t="shared" si="207"/>
        <v>459.09999999999854</v>
      </c>
      <c r="X1390" s="18">
        <f t="shared" si="209"/>
        <v>0</v>
      </c>
      <c r="Y1390" s="13">
        <f t="shared" si="201"/>
        <v>0</v>
      </c>
      <c r="Z1390" s="14">
        <v>0</v>
      </c>
      <c r="AA1390" s="4">
        <v>0</v>
      </c>
      <c r="AB1390" s="4">
        <f t="shared" si="202"/>
        <v>0</v>
      </c>
      <c r="AC1390" s="6">
        <f t="shared" si="203"/>
        <v>0</v>
      </c>
      <c r="AD1390" s="6">
        <f t="shared" si="208"/>
        <v>0</v>
      </c>
      <c r="AE1390" s="2">
        <v>7.0000000000000007E-2</v>
      </c>
      <c r="AF1390" s="5">
        <f t="shared" si="204"/>
        <v>0</v>
      </c>
      <c r="AG1390" s="14">
        <v>0</v>
      </c>
      <c r="AH1390" s="19">
        <f t="shared" si="206"/>
        <v>0</v>
      </c>
      <c r="AJ1390" s="126" t="e">
        <v>#N/A</v>
      </c>
      <c r="AK1390" s="80">
        <f t="shared" si="205"/>
        <v>0</v>
      </c>
      <c r="AM1390" s="85"/>
    </row>
    <row r="1391" spans="1:39" hidden="1" x14ac:dyDescent="0.3">
      <c r="A1391" s="85" t="s">
        <v>34</v>
      </c>
      <c r="B1391" s="15" t="s">
        <v>35</v>
      </c>
      <c r="C1391" s="15" t="s">
        <v>2029</v>
      </c>
      <c r="D1391" s="15" t="s">
        <v>54</v>
      </c>
      <c r="E1391" s="15" t="s">
        <v>71</v>
      </c>
      <c r="F1391" s="15" t="s">
        <v>71</v>
      </c>
      <c r="G1391" s="15" t="s">
        <v>71</v>
      </c>
      <c r="H1391" s="139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1858</v>
      </c>
      <c r="N1391" s="15"/>
      <c r="O1391" s="8" t="s">
        <v>1196</v>
      </c>
      <c r="P1391" s="8" t="s">
        <v>41</v>
      </c>
      <c r="Q1391" s="9">
        <v>0</v>
      </c>
      <c r="R1391" s="139" t="s">
        <v>1859</v>
      </c>
      <c r="S1391" s="15"/>
      <c r="T1391" s="18">
        <v>-36306.883640000022</v>
      </c>
      <c r="U1391" s="4">
        <v>0</v>
      </c>
      <c r="V1391" s="6">
        <v>0</v>
      </c>
      <c r="W1391" s="18">
        <f t="shared" si="207"/>
        <v>-36306.883640000022</v>
      </c>
      <c r="X1391" s="18">
        <f t="shared" si="209"/>
        <v>0</v>
      </c>
      <c r="Y1391" s="13">
        <f t="shared" si="201"/>
        <v>0</v>
      </c>
      <c r="Z1391" s="14">
        <v>0</v>
      </c>
      <c r="AA1391" s="4">
        <v>0</v>
      </c>
      <c r="AB1391" s="4">
        <f t="shared" si="202"/>
        <v>0</v>
      </c>
      <c r="AC1391" s="6">
        <f t="shared" si="203"/>
        <v>0</v>
      </c>
      <c r="AD1391" s="6">
        <f t="shared" si="208"/>
        <v>0</v>
      </c>
      <c r="AE1391" s="2">
        <v>0.12</v>
      </c>
      <c r="AF1391" s="5">
        <f t="shared" si="204"/>
        <v>0</v>
      </c>
      <c r="AG1391" s="14">
        <v>0</v>
      </c>
      <c r="AH1391" s="19">
        <f t="shared" si="206"/>
        <v>0</v>
      </c>
      <c r="AJ1391" s="126" t="e">
        <v>#N/A</v>
      </c>
      <c r="AK1391" s="80">
        <f t="shared" si="205"/>
        <v>0</v>
      </c>
      <c r="AM1391" s="85"/>
    </row>
    <row r="1392" spans="1:39" hidden="1" x14ac:dyDescent="0.3">
      <c r="A1392" s="85" t="s">
        <v>34</v>
      </c>
      <c r="B1392" s="15" t="s">
        <v>35</v>
      </c>
      <c r="C1392" s="15" t="s">
        <v>2029</v>
      </c>
      <c r="D1392" s="15" t="s">
        <v>54</v>
      </c>
      <c r="E1392" s="15" t="s">
        <v>71</v>
      </c>
      <c r="F1392" s="15" t="s">
        <v>71</v>
      </c>
      <c r="G1392" s="15" t="s">
        <v>71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73</v>
      </c>
      <c r="N1392" s="15"/>
      <c r="O1392" s="8" t="s">
        <v>1196</v>
      </c>
      <c r="P1392" s="8" t="s">
        <v>41</v>
      </c>
      <c r="Q1392" s="9">
        <v>0</v>
      </c>
      <c r="R1392" s="139" t="s">
        <v>1860</v>
      </c>
      <c r="S1392" s="15"/>
      <c r="T1392" s="18">
        <v>-1590008.6081399997</v>
      </c>
      <c r="U1392" s="4">
        <v>0</v>
      </c>
      <c r="V1392" s="6">
        <v>0</v>
      </c>
      <c r="W1392" s="18">
        <f t="shared" si="207"/>
        <v>-1590008.6081399997</v>
      </c>
      <c r="X1392" s="18">
        <f t="shared" si="209"/>
        <v>0</v>
      </c>
      <c r="Y1392" s="13">
        <f t="shared" si="201"/>
        <v>0</v>
      </c>
      <c r="Z1392" s="14">
        <v>0</v>
      </c>
      <c r="AA1392" s="4">
        <v>0</v>
      </c>
      <c r="AB1392" s="4">
        <f t="shared" si="202"/>
        <v>0</v>
      </c>
      <c r="AC1392" s="6">
        <f t="shared" si="203"/>
        <v>0</v>
      </c>
      <c r="AD1392" s="6">
        <f t="shared" si="208"/>
        <v>0</v>
      </c>
      <c r="AE1392" s="2">
        <v>0.12</v>
      </c>
      <c r="AF1392" s="5">
        <f t="shared" si="204"/>
        <v>0</v>
      </c>
      <c r="AG1392" s="14">
        <v>0</v>
      </c>
      <c r="AH1392" s="19">
        <f t="shared" si="206"/>
        <v>0</v>
      </c>
      <c r="AJ1392" s="126" t="e">
        <v>#N/A</v>
      </c>
      <c r="AK1392" s="80">
        <f t="shared" si="205"/>
        <v>0</v>
      </c>
      <c r="AM1392" s="85"/>
    </row>
    <row r="1393" spans="1:39" hidden="1" x14ac:dyDescent="0.3">
      <c r="A1393" s="85" t="s">
        <v>34</v>
      </c>
      <c r="B1393" s="15" t="s">
        <v>35</v>
      </c>
      <c r="C1393" s="15" t="s">
        <v>47</v>
      </c>
      <c r="D1393" s="15" t="s">
        <v>63</v>
      </c>
      <c r="E1393" s="15" t="s">
        <v>2075</v>
      </c>
      <c r="F1393" s="15" t="s">
        <v>2075</v>
      </c>
      <c r="G1393" s="15" t="s">
        <v>2075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2075</v>
      </c>
      <c r="N1393" s="15"/>
      <c r="O1393" s="8" t="s">
        <v>410</v>
      </c>
      <c r="P1393" s="8" t="s">
        <v>46</v>
      </c>
      <c r="Q1393" s="9">
        <v>0.02</v>
      </c>
      <c r="R1393" s="139" t="s">
        <v>2076</v>
      </c>
      <c r="S1393" s="15"/>
      <c r="T1393" s="18">
        <v>492.5</v>
      </c>
      <c r="U1393" s="4">
        <v>0</v>
      </c>
      <c r="V1393" s="6">
        <v>0</v>
      </c>
      <c r="W1393" s="18">
        <f t="shared" si="207"/>
        <v>492.5</v>
      </c>
      <c r="X1393" s="18">
        <f t="shared" si="209"/>
        <v>0</v>
      </c>
      <c r="Y1393" s="13">
        <f t="shared" si="201"/>
        <v>0</v>
      </c>
      <c r="Z1393" s="14">
        <v>0</v>
      </c>
      <c r="AA1393" s="4">
        <v>0</v>
      </c>
      <c r="AB1393" s="4">
        <f t="shared" si="202"/>
        <v>0</v>
      </c>
      <c r="AC1393" s="6">
        <f t="shared" si="203"/>
        <v>0</v>
      </c>
      <c r="AD1393" s="6">
        <f t="shared" si="208"/>
        <v>0</v>
      </c>
      <c r="AE1393" s="2">
        <v>7.0000000000000007E-2</v>
      </c>
      <c r="AF1393" s="5">
        <f t="shared" si="204"/>
        <v>0</v>
      </c>
      <c r="AG1393" s="14">
        <v>0</v>
      </c>
      <c r="AH1393" s="19">
        <f t="shared" si="206"/>
        <v>0</v>
      </c>
      <c r="AJ1393" s="126" t="e">
        <v>#N/A</v>
      </c>
      <c r="AK1393" s="80">
        <f t="shared" si="205"/>
        <v>0</v>
      </c>
      <c r="AM1393" s="85"/>
    </row>
    <row r="1394" spans="1:39" hidden="1" x14ac:dyDescent="0.3">
      <c r="A1394" s="85" t="s">
        <v>34</v>
      </c>
      <c r="B1394" s="15" t="s">
        <v>35</v>
      </c>
      <c r="C1394" s="15" t="s">
        <v>144</v>
      </c>
      <c r="D1394" s="15" t="s">
        <v>145</v>
      </c>
      <c r="E1394" s="15" t="s">
        <v>2077</v>
      </c>
      <c r="F1394" s="15" t="s">
        <v>2077</v>
      </c>
      <c r="G1394" s="15" t="s">
        <v>2077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2078</v>
      </c>
      <c r="N1394" s="15"/>
      <c r="O1394" s="8" t="s">
        <v>410</v>
      </c>
      <c r="P1394" s="8" t="s">
        <v>46</v>
      </c>
      <c r="Q1394" s="9">
        <v>0.04</v>
      </c>
      <c r="R1394" s="139" t="s">
        <v>2079</v>
      </c>
      <c r="S1394" s="15"/>
      <c r="T1394" s="18">
        <v>1.8000000000029104</v>
      </c>
      <c r="U1394" s="4">
        <v>0</v>
      </c>
      <c r="V1394" s="6">
        <v>0</v>
      </c>
      <c r="W1394" s="18">
        <f t="shared" si="207"/>
        <v>1.8000000000029104</v>
      </c>
      <c r="X1394" s="18">
        <f t="shared" si="209"/>
        <v>0</v>
      </c>
      <c r="Y1394" s="13">
        <f t="shared" si="201"/>
        <v>0</v>
      </c>
      <c r="Z1394" s="14">
        <v>0</v>
      </c>
      <c r="AA1394" s="4">
        <v>0</v>
      </c>
      <c r="AB1394" s="4">
        <f t="shared" si="202"/>
        <v>0</v>
      </c>
      <c r="AC1394" s="6">
        <f t="shared" si="203"/>
        <v>0</v>
      </c>
      <c r="AD1394" s="6">
        <f t="shared" si="208"/>
        <v>0</v>
      </c>
      <c r="AE1394" s="2">
        <v>7.0000000000000007E-2</v>
      </c>
      <c r="AF1394" s="5">
        <f t="shared" si="204"/>
        <v>0</v>
      </c>
      <c r="AG1394" s="14">
        <v>0</v>
      </c>
      <c r="AH1394" s="19">
        <f t="shared" si="206"/>
        <v>0</v>
      </c>
      <c r="AJ1394" s="126" t="e">
        <v>#N/A</v>
      </c>
      <c r="AK1394" s="80">
        <f t="shared" si="205"/>
        <v>0</v>
      </c>
      <c r="AM1394" s="85"/>
    </row>
    <row r="1395" spans="1:39" hidden="1" x14ac:dyDescent="0.3">
      <c r="A1395" s="85" t="s">
        <v>34</v>
      </c>
      <c r="B1395" s="15" t="s">
        <v>35</v>
      </c>
      <c r="C1395" s="15" t="s">
        <v>144</v>
      </c>
      <c r="D1395" s="15" t="s">
        <v>145</v>
      </c>
      <c r="E1395" s="15" t="s">
        <v>2080</v>
      </c>
      <c r="F1395" s="15" t="s">
        <v>2080</v>
      </c>
      <c r="G1395" s="15" t="s">
        <v>2080</v>
      </c>
      <c r="H1395" s="139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2080</v>
      </c>
      <c r="N1395" s="15"/>
      <c r="O1395" s="8" t="s">
        <v>410</v>
      </c>
      <c r="P1395" s="8" t="s">
        <v>46</v>
      </c>
      <c r="Q1395" s="9">
        <v>0.02</v>
      </c>
      <c r="R1395" s="139" t="s">
        <v>2081</v>
      </c>
      <c r="S1395" s="15"/>
      <c r="T1395" s="18">
        <v>476.60000000000036</v>
      </c>
      <c r="U1395" s="4">
        <v>0</v>
      </c>
      <c r="V1395" s="6">
        <v>0</v>
      </c>
      <c r="W1395" s="18">
        <f t="shared" si="207"/>
        <v>476.60000000000036</v>
      </c>
      <c r="X1395" s="18">
        <f t="shared" si="209"/>
        <v>0</v>
      </c>
      <c r="Y1395" s="13">
        <f t="shared" si="201"/>
        <v>0</v>
      </c>
      <c r="Z1395" s="14">
        <v>0</v>
      </c>
      <c r="AA1395" s="4">
        <v>0</v>
      </c>
      <c r="AB1395" s="4">
        <f t="shared" si="202"/>
        <v>0</v>
      </c>
      <c r="AC1395" s="6">
        <f t="shared" si="203"/>
        <v>0</v>
      </c>
      <c r="AD1395" s="6">
        <f t="shared" si="208"/>
        <v>0</v>
      </c>
      <c r="AE1395" s="2">
        <v>7.0000000000000007E-2</v>
      </c>
      <c r="AF1395" s="5">
        <f t="shared" si="204"/>
        <v>0</v>
      </c>
      <c r="AG1395" s="14">
        <v>0</v>
      </c>
      <c r="AH1395" s="19">
        <f t="shared" si="206"/>
        <v>0</v>
      </c>
      <c r="AJ1395" s="126" t="e">
        <v>#N/A</v>
      </c>
      <c r="AK1395" s="80">
        <f t="shared" si="205"/>
        <v>0</v>
      </c>
      <c r="AM1395" s="85"/>
    </row>
    <row r="1396" spans="1:39" hidden="1" x14ac:dyDescent="0.3">
      <c r="A1396" s="85" t="s">
        <v>34</v>
      </c>
      <c r="B1396" s="15" t="s">
        <v>35</v>
      </c>
      <c r="C1396" s="15" t="s">
        <v>144</v>
      </c>
      <c r="D1396" s="15" t="s">
        <v>152</v>
      </c>
      <c r="E1396" s="15" t="s">
        <v>155</v>
      </c>
      <c r="F1396" s="15" t="s">
        <v>1465</v>
      </c>
      <c r="G1396" s="15" t="s">
        <v>155</v>
      </c>
      <c r="H1396" s="139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1466</v>
      </c>
      <c r="N1396" s="15"/>
      <c r="O1396" s="8" t="s">
        <v>410</v>
      </c>
      <c r="P1396" s="8" t="s">
        <v>92</v>
      </c>
      <c r="Q1396" s="9">
        <v>0.98499999999999999</v>
      </c>
      <c r="R1396" s="139" t="s">
        <v>2082</v>
      </c>
      <c r="S1396" s="15"/>
      <c r="T1396" s="18">
        <v>78867.899999999994</v>
      </c>
      <c r="U1396" s="4">
        <v>0</v>
      </c>
      <c r="V1396" s="6">
        <v>0</v>
      </c>
      <c r="W1396" s="18">
        <f t="shared" si="207"/>
        <v>78867.899999999994</v>
      </c>
      <c r="X1396" s="18">
        <f t="shared" si="209"/>
        <v>0</v>
      </c>
      <c r="Y1396" s="13">
        <f t="shared" si="201"/>
        <v>0</v>
      </c>
      <c r="Z1396" s="14">
        <v>0</v>
      </c>
      <c r="AA1396" s="4">
        <v>0</v>
      </c>
      <c r="AB1396" s="4">
        <f t="shared" si="202"/>
        <v>0</v>
      </c>
      <c r="AC1396" s="6">
        <f t="shared" si="203"/>
        <v>0</v>
      </c>
      <c r="AD1396" s="6">
        <f t="shared" si="208"/>
        <v>0</v>
      </c>
      <c r="AE1396" s="2">
        <v>7.0000000000000007E-2</v>
      </c>
      <c r="AF1396" s="5">
        <f t="shared" si="204"/>
        <v>0</v>
      </c>
      <c r="AG1396" s="14">
        <v>0</v>
      </c>
      <c r="AH1396" s="19">
        <f t="shared" si="206"/>
        <v>0</v>
      </c>
      <c r="AJ1396" s="126" t="e">
        <v>#N/A</v>
      </c>
      <c r="AK1396" s="80">
        <f t="shared" si="205"/>
        <v>0</v>
      </c>
      <c r="AM1396" s="85"/>
    </row>
    <row r="1397" spans="1:39" hidden="1" x14ac:dyDescent="0.3">
      <c r="A1397" s="85" t="s">
        <v>34</v>
      </c>
      <c r="B1397" s="15" t="s">
        <v>35</v>
      </c>
      <c r="C1397" s="15" t="s">
        <v>164</v>
      </c>
      <c r="D1397" s="15" t="s">
        <v>169</v>
      </c>
      <c r="E1397" s="15" t="s">
        <v>1954</v>
      </c>
      <c r="F1397" s="15" t="s">
        <v>1954</v>
      </c>
      <c r="G1397" s="15" t="s">
        <v>1954</v>
      </c>
      <c r="H1397" s="139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1954</v>
      </c>
      <c r="N1397" s="15"/>
      <c r="O1397" s="8" t="s">
        <v>410</v>
      </c>
      <c r="P1397" s="8" t="s">
        <v>46</v>
      </c>
      <c r="Q1397" s="9">
        <v>0.01</v>
      </c>
      <c r="R1397" s="139" t="s">
        <v>1955</v>
      </c>
      <c r="S1397" s="15"/>
      <c r="T1397" s="18">
        <v>30000</v>
      </c>
      <c r="U1397" s="4">
        <v>0</v>
      </c>
      <c r="V1397" s="6">
        <v>0</v>
      </c>
      <c r="W1397" s="18">
        <f t="shared" si="207"/>
        <v>30000</v>
      </c>
      <c r="X1397" s="18">
        <f t="shared" si="209"/>
        <v>0</v>
      </c>
      <c r="Y1397" s="13">
        <f t="shared" si="201"/>
        <v>0</v>
      </c>
      <c r="Z1397" s="14">
        <v>0</v>
      </c>
      <c r="AA1397" s="4">
        <v>0</v>
      </c>
      <c r="AB1397" s="4">
        <f t="shared" si="202"/>
        <v>0</v>
      </c>
      <c r="AC1397" s="6">
        <f t="shared" si="203"/>
        <v>0</v>
      </c>
      <c r="AD1397" s="6">
        <f t="shared" si="208"/>
        <v>0</v>
      </c>
      <c r="AE1397" s="2">
        <v>7.0000000000000007E-2</v>
      </c>
      <c r="AF1397" s="5">
        <f t="shared" si="204"/>
        <v>0</v>
      </c>
      <c r="AG1397" s="14">
        <v>0</v>
      </c>
      <c r="AH1397" s="19">
        <f t="shared" si="206"/>
        <v>0</v>
      </c>
      <c r="AJ1397" s="126" t="e">
        <v>#N/A</v>
      </c>
      <c r="AK1397" s="80">
        <f t="shared" si="205"/>
        <v>0</v>
      </c>
      <c r="AM1397" s="85"/>
    </row>
    <row r="1398" spans="1:39" hidden="1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1681</v>
      </c>
      <c r="F1398" s="15" t="s">
        <v>1682</v>
      </c>
      <c r="G1398" s="15" t="s">
        <v>1681</v>
      </c>
      <c r="H1398" s="139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1685</v>
      </c>
      <c r="N1398" s="15"/>
      <c r="O1398" s="8" t="s">
        <v>1196</v>
      </c>
      <c r="P1398" s="8" t="s">
        <v>46</v>
      </c>
      <c r="Q1398" s="9">
        <v>0.04</v>
      </c>
      <c r="R1398" s="139" t="s">
        <v>2083</v>
      </c>
      <c r="S1398" s="15"/>
      <c r="T1398" s="18">
        <v>7976.3767700000008</v>
      </c>
      <c r="U1398" s="4">
        <v>0</v>
      </c>
      <c r="V1398" s="6">
        <v>0</v>
      </c>
      <c r="W1398" s="18">
        <f t="shared" si="207"/>
        <v>7976.3767700000008</v>
      </c>
      <c r="X1398" s="18">
        <f t="shared" si="209"/>
        <v>0</v>
      </c>
      <c r="Y1398" s="13">
        <f t="shared" si="201"/>
        <v>0</v>
      </c>
      <c r="Z1398" s="14">
        <v>0</v>
      </c>
      <c r="AA1398" s="4">
        <v>0</v>
      </c>
      <c r="AB1398" s="4">
        <f t="shared" si="202"/>
        <v>0</v>
      </c>
      <c r="AC1398" s="6">
        <f t="shared" si="203"/>
        <v>0</v>
      </c>
      <c r="AD1398" s="6">
        <f t="shared" si="208"/>
        <v>0</v>
      </c>
      <c r="AE1398" s="2">
        <v>0.12</v>
      </c>
      <c r="AF1398" s="5">
        <f t="shared" si="204"/>
        <v>0</v>
      </c>
      <c r="AG1398" s="14">
        <v>0</v>
      </c>
      <c r="AH1398" s="19">
        <f t="shared" si="206"/>
        <v>0</v>
      </c>
      <c r="AJ1398" s="126" t="e">
        <v>#N/A</v>
      </c>
      <c r="AK1398" s="80">
        <f t="shared" si="205"/>
        <v>0</v>
      </c>
      <c r="AM1398" s="85"/>
    </row>
    <row r="1399" spans="1:39" hidden="1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2012</v>
      </c>
      <c r="F1399" s="15" t="s">
        <v>2012</v>
      </c>
      <c r="G1399" s="15" t="s">
        <v>2012</v>
      </c>
      <c r="H1399" s="139"/>
      <c r="I1399" s="15" t="s">
        <v>1961</v>
      </c>
      <c r="J1399" s="1" t="s">
        <v>3671</v>
      </c>
      <c r="L1399" s="1" t="s">
        <v>3388</v>
      </c>
      <c r="M1399" s="15" t="s">
        <v>2012</v>
      </c>
      <c r="N1399" s="15"/>
      <c r="O1399" s="8" t="s">
        <v>410</v>
      </c>
      <c r="P1399" s="8" t="s">
        <v>41</v>
      </c>
      <c r="Q1399" s="9">
        <v>0</v>
      </c>
      <c r="R1399" s="139" t="s">
        <v>2084</v>
      </c>
      <c r="S1399" s="15"/>
      <c r="T1399" s="18">
        <v>48179.8</v>
      </c>
      <c r="U1399" s="4">
        <v>0</v>
      </c>
      <c r="V1399" s="6">
        <v>0</v>
      </c>
      <c r="W1399" s="18">
        <f t="shared" si="207"/>
        <v>48179.8</v>
      </c>
      <c r="X1399" s="18">
        <f t="shared" si="209"/>
        <v>0</v>
      </c>
      <c r="Y1399" s="13">
        <f t="shared" si="201"/>
        <v>0</v>
      </c>
      <c r="Z1399" s="14">
        <v>0</v>
      </c>
      <c r="AA1399" s="4">
        <v>0</v>
      </c>
      <c r="AB1399" s="4">
        <f t="shared" si="202"/>
        <v>0</v>
      </c>
      <c r="AC1399" s="6">
        <f t="shared" si="203"/>
        <v>0</v>
      </c>
      <c r="AD1399" s="18">
        <f>V1399</f>
        <v>0</v>
      </c>
      <c r="AE1399" s="2">
        <v>0</v>
      </c>
      <c r="AF1399" s="5">
        <f t="shared" si="204"/>
        <v>0</v>
      </c>
      <c r="AG1399" s="14">
        <v>0</v>
      </c>
      <c r="AH1399" s="19">
        <f t="shared" si="206"/>
        <v>0</v>
      </c>
      <c r="AJ1399" s="126" t="e">
        <v>#N/A</v>
      </c>
      <c r="AK1399" s="80">
        <f t="shared" si="205"/>
        <v>0</v>
      </c>
      <c r="AM1399" s="85"/>
    </row>
    <row r="1400" spans="1:39" hidden="1" x14ac:dyDescent="0.3">
      <c r="A1400" s="85" t="s">
        <v>34</v>
      </c>
      <c r="B1400" s="15" t="s">
        <v>35</v>
      </c>
      <c r="C1400" s="15" t="s">
        <v>47</v>
      </c>
      <c r="D1400" s="15" t="s">
        <v>48</v>
      </c>
      <c r="E1400" s="15" t="s">
        <v>50</v>
      </c>
      <c r="F1400" s="15" t="s">
        <v>50</v>
      </c>
      <c r="G1400" s="15" t="s">
        <v>50</v>
      </c>
      <c r="H1400" s="139"/>
      <c r="I1400" s="15" t="s">
        <v>1961</v>
      </c>
      <c r="J1400" s="1" t="s">
        <v>3671</v>
      </c>
      <c r="L1400" s="1" t="s">
        <v>3388</v>
      </c>
      <c r="M1400" s="15" t="s">
        <v>50</v>
      </c>
      <c r="N1400" s="15"/>
      <c r="O1400" s="8" t="s">
        <v>410</v>
      </c>
      <c r="P1400" s="8" t="s">
        <v>41</v>
      </c>
      <c r="Q1400" s="9">
        <v>0</v>
      </c>
      <c r="R1400" s="139" t="s">
        <v>2085</v>
      </c>
      <c r="S1400" s="15"/>
      <c r="T1400" s="18">
        <v>-14.2</v>
      </c>
      <c r="U1400" s="4">
        <v>0</v>
      </c>
      <c r="V1400" s="6">
        <v>0</v>
      </c>
      <c r="W1400" s="18">
        <f t="shared" si="207"/>
        <v>-14.2</v>
      </c>
      <c r="X1400" s="18">
        <f t="shared" si="209"/>
        <v>0</v>
      </c>
      <c r="Y1400" s="13">
        <f t="shared" si="201"/>
        <v>0</v>
      </c>
      <c r="Z1400" s="14">
        <v>0</v>
      </c>
      <c r="AA1400" s="4">
        <v>0</v>
      </c>
      <c r="AB1400" s="4">
        <f t="shared" si="202"/>
        <v>0</v>
      </c>
      <c r="AC1400" s="6">
        <f t="shared" si="203"/>
        <v>0</v>
      </c>
      <c r="AD1400" s="18">
        <f>V1400</f>
        <v>0</v>
      </c>
      <c r="AE1400" s="2">
        <v>0</v>
      </c>
      <c r="AF1400" s="5">
        <f t="shared" si="204"/>
        <v>0</v>
      </c>
      <c r="AG1400" s="14">
        <v>0</v>
      </c>
      <c r="AH1400" s="19">
        <f t="shared" si="206"/>
        <v>0</v>
      </c>
      <c r="AJ1400" s="126" t="e">
        <v>#N/A</v>
      </c>
      <c r="AK1400" s="80">
        <f t="shared" si="205"/>
        <v>0</v>
      </c>
      <c r="AM1400" s="85"/>
    </row>
    <row r="1401" spans="1:39" hidden="1" x14ac:dyDescent="0.3">
      <c r="A1401" s="85" t="s">
        <v>34</v>
      </c>
      <c r="B1401" s="15" t="s">
        <v>1007</v>
      </c>
      <c r="C1401" s="15" t="s">
        <v>2029</v>
      </c>
      <c r="D1401" s="15" t="s">
        <v>54</v>
      </c>
      <c r="E1401" s="15" t="s">
        <v>2086</v>
      </c>
      <c r="F1401" s="15" t="s">
        <v>2087</v>
      </c>
      <c r="G1401" s="15" t="s">
        <v>1010</v>
      </c>
      <c r="H1401" s="139"/>
      <c r="I1401" s="15" t="s">
        <v>1961</v>
      </c>
      <c r="J1401" s="1" t="s">
        <v>3671</v>
      </c>
      <c r="L1401" s="1" t="s">
        <v>3388</v>
      </c>
      <c r="M1401" s="15" t="s">
        <v>2086</v>
      </c>
      <c r="N1401" s="15"/>
      <c r="O1401" s="8" t="s">
        <v>410</v>
      </c>
      <c r="P1401" s="8" t="s">
        <v>46</v>
      </c>
      <c r="Q1401" s="9">
        <v>0.02</v>
      </c>
      <c r="R1401" s="139" t="s">
        <v>2088</v>
      </c>
      <c r="S1401" s="15" t="s">
        <v>2089</v>
      </c>
      <c r="T1401" s="18">
        <v>3183.65</v>
      </c>
      <c r="U1401" s="4">
        <v>0</v>
      </c>
      <c r="V1401" s="6">
        <v>0</v>
      </c>
      <c r="W1401" s="18">
        <v>0</v>
      </c>
      <c r="X1401" s="18">
        <f t="shared" si="209"/>
        <v>0</v>
      </c>
      <c r="Y1401" s="13">
        <f t="shared" si="201"/>
        <v>0</v>
      </c>
      <c r="Z1401" s="14">
        <v>0</v>
      </c>
      <c r="AA1401" s="4">
        <v>0</v>
      </c>
      <c r="AB1401" s="4">
        <f t="shared" si="202"/>
        <v>0</v>
      </c>
      <c r="AC1401" s="6">
        <f t="shared" si="203"/>
        <v>0</v>
      </c>
      <c r="AD1401" s="18">
        <f>V1401</f>
        <v>0</v>
      </c>
      <c r="AE1401" s="2">
        <v>0</v>
      </c>
      <c r="AF1401" s="5">
        <f t="shared" si="204"/>
        <v>0</v>
      </c>
      <c r="AG1401" s="14">
        <v>0</v>
      </c>
      <c r="AH1401" s="19">
        <f t="shared" si="206"/>
        <v>0</v>
      </c>
      <c r="AJ1401" s="126" t="e">
        <v>#N/A</v>
      </c>
      <c r="AK1401" s="80">
        <f t="shared" si="205"/>
        <v>0</v>
      </c>
      <c r="AM1401" s="85"/>
    </row>
    <row r="1402" spans="1:39" hidden="1" x14ac:dyDescent="0.3">
      <c r="A1402" s="85" t="s">
        <v>34</v>
      </c>
      <c r="B1402" s="15" t="s">
        <v>35</v>
      </c>
      <c r="C1402" s="15" t="s">
        <v>47</v>
      </c>
      <c r="D1402" s="15" t="s">
        <v>48</v>
      </c>
      <c r="E1402" s="15" t="s">
        <v>2090</v>
      </c>
      <c r="F1402" s="15" t="s">
        <v>2090</v>
      </c>
      <c r="G1402" s="15" t="s">
        <v>2090</v>
      </c>
      <c r="H1402" s="139"/>
      <c r="I1402" s="15" t="s">
        <v>610</v>
      </c>
      <c r="J1402" s="1" t="s">
        <v>3323</v>
      </c>
      <c r="K1402" s="1" t="s">
        <v>3275</v>
      </c>
      <c r="L1402" s="1" t="s">
        <v>35</v>
      </c>
      <c r="M1402" s="15" t="s">
        <v>2091</v>
      </c>
      <c r="N1402" s="15"/>
      <c r="O1402" s="8" t="s">
        <v>410</v>
      </c>
      <c r="P1402" s="8" t="s">
        <v>41</v>
      </c>
      <c r="Q1402" s="9">
        <v>0</v>
      </c>
      <c r="R1402" s="139" t="s">
        <v>2092</v>
      </c>
      <c r="S1402" s="15"/>
      <c r="T1402" s="18">
        <v>5697.7</v>
      </c>
      <c r="U1402" s="4">
        <v>0</v>
      </c>
      <c r="V1402" s="6">
        <v>0</v>
      </c>
      <c r="W1402" s="18">
        <f t="shared" si="207"/>
        <v>5697.7</v>
      </c>
      <c r="X1402" s="18">
        <f t="shared" si="209"/>
        <v>0</v>
      </c>
      <c r="Y1402" s="13">
        <f t="shared" si="201"/>
        <v>0</v>
      </c>
      <c r="Z1402" s="14">
        <v>0</v>
      </c>
      <c r="AA1402" s="4">
        <v>0</v>
      </c>
      <c r="AB1402" s="4">
        <f t="shared" si="202"/>
        <v>0</v>
      </c>
      <c r="AC1402" s="6">
        <f t="shared" si="203"/>
        <v>0</v>
      </c>
      <c r="AD1402" s="18">
        <f>V1402</f>
        <v>0</v>
      </c>
      <c r="AE1402" s="2">
        <v>0.02</v>
      </c>
      <c r="AF1402" s="5">
        <f t="shared" si="204"/>
        <v>0</v>
      </c>
      <c r="AG1402" s="14">
        <v>0</v>
      </c>
      <c r="AH1402" s="19">
        <f t="shared" si="206"/>
        <v>0</v>
      </c>
      <c r="AJ1402" s="126" t="e">
        <v>#N/A</v>
      </c>
      <c r="AK1402" s="80">
        <f t="shared" si="205"/>
        <v>0</v>
      </c>
      <c r="AM1402" s="85"/>
    </row>
    <row r="1403" spans="1:39" hidden="1" x14ac:dyDescent="0.3">
      <c r="A1403" s="85" t="s">
        <v>34</v>
      </c>
      <c r="B1403" s="15" t="s">
        <v>35</v>
      </c>
      <c r="C1403" s="15" t="s">
        <v>59</v>
      </c>
      <c r="D1403" s="15" t="s">
        <v>60</v>
      </c>
      <c r="E1403" s="15" t="s">
        <v>2093</v>
      </c>
      <c r="F1403" s="15" t="s">
        <v>2093</v>
      </c>
      <c r="G1403" s="15" t="s">
        <v>2093</v>
      </c>
      <c r="H1403" s="139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2094</v>
      </c>
      <c r="N1403" s="15"/>
      <c r="O1403" s="8" t="s">
        <v>410</v>
      </c>
      <c r="P1403" s="8" t="s">
        <v>46</v>
      </c>
      <c r="Q1403" s="9">
        <v>0.04</v>
      </c>
      <c r="R1403" s="139" t="s">
        <v>2095</v>
      </c>
      <c r="S1403" s="15"/>
      <c r="T1403" s="18">
        <v>0</v>
      </c>
      <c r="U1403" s="4">
        <v>0</v>
      </c>
      <c r="V1403" s="6">
        <v>0</v>
      </c>
      <c r="W1403" s="18">
        <f t="shared" si="207"/>
        <v>0</v>
      </c>
      <c r="X1403" s="18">
        <f t="shared" si="209"/>
        <v>0</v>
      </c>
      <c r="Y1403" s="13">
        <f t="shared" si="201"/>
        <v>0</v>
      </c>
      <c r="Z1403" s="14">
        <v>0</v>
      </c>
      <c r="AA1403" s="4">
        <v>0</v>
      </c>
      <c r="AB1403" s="4">
        <f t="shared" si="202"/>
        <v>0</v>
      </c>
      <c r="AC1403" s="6">
        <f t="shared" si="203"/>
        <v>0</v>
      </c>
      <c r="AD1403" s="6">
        <f t="shared" ref="AD1403:AD1466" si="210">V1403*0.598955254612663</f>
        <v>0</v>
      </c>
      <c r="AE1403" s="2">
        <v>7.0000000000000007E-2</v>
      </c>
      <c r="AF1403" s="5">
        <f t="shared" si="204"/>
        <v>0</v>
      </c>
      <c r="AG1403" s="14">
        <v>0</v>
      </c>
      <c r="AH1403" s="19">
        <f t="shared" si="206"/>
        <v>0</v>
      </c>
      <c r="AJ1403" s="126" t="e">
        <v>#N/A</v>
      </c>
      <c r="AK1403" s="80">
        <f t="shared" si="205"/>
        <v>0</v>
      </c>
      <c r="AM1403" s="85"/>
    </row>
    <row r="1404" spans="1:39" hidden="1" x14ac:dyDescent="0.3">
      <c r="A1404" s="85" t="s">
        <v>34</v>
      </c>
      <c r="B1404" s="15" t="s">
        <v>35</v>
      </c>
      <c r="C1404" s="15" t="s">
        <v>59</v>
      </c>
      <c r="D1404" s="15" t="s">
        <v>60</v>
      </c>
      <c r="E1404" s="15" t="s">
        <v>61</v>
      </c>
      <c r="F1404" s="15" t="s">
        <v>62</v>
      </c>
      <c r="G1404" s="15" t="s">
        <v>61</v>
      </c>
      <c r="H1404" s="139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61</v>
      </c>
      <c r="N1404" s="15"/>
      <c r="O1404" s="8" t="s">
        <v>1196</v>
      </c>
      <c r="P1404" s="8" t="s">
        <v>46</v>
      </c>
      <c r="Q1404" s="9">
        <v>0.02</v>
      </c>
      <c r="R1404" s="139" t="s">
        <v>1841</v>
      </c>
      <c r="S1404" s="15"/>
      <c r="T1404" s="18">
        <v>-936905.81706000003</v>
      </c>
      <c r="U1404" s="4">
        <v>0</v>
      </c>
      <c r="V1404" s="6">
        <v>0</v>
      </c>
      <c r="W1404" s="18">
        <f t="shared" si="207"/>
        <v>-936905.81706000003</v>
      </c>
      <c r="X1404" s="18">
        <f t="shared" si="209"/>
        <v>0</v>
      </c>
      <c r="Y1404" s="13">
        <f t="shared" si="201"/>
        <v>0</v>
      </c>
      <c r="Z1404" s="14">
        <v>0</v>
      </c>
      <c r="AA1404" s="4">
        <v>0</v>
      </c>
      <c r="AB1404" s="4">
        <f t="shared" si="202"/>
        <v>0</v>
      </c>
      <c r="AC1404" s="6">
        <f t="shared" si="203"/>
        <v>0</v>
      </c>
      <c r="AD1404" s="6">
        <f t="shared" si="210"/>
        <v>0</v>
      </c>
      <c r="AE1404" s="2">
        <v>0.12</v>
      </c>
      <c r="AF1404" s="5">
        <f t="shared" si="204"/>
        <v>0</v>
      </c>
      <c r="AG1404" s="14">
        <v>0</v>
      </c>
      <c r="AH1404" s="19">
        <f t="shared" si="206"/>
        <v>0</v>
      </c>
      <c r="AJ1404" s="126" t="e">
        <v>#N/A</v>
      </c>
      <c r="AK1404" s="80">
        <f t="shared" si="205"/>
        <v>0</v>
      </c>
      <c r="AM1404" s="85"/>
    </row>
    <row r="1405" spans="1:39" hidden="1" x14ac:dyDescent="0.3">
      <c r="A1405" s="85" t="s">
        <v>34</v>
      </c>
      <c r="B1405" s="15" t="s">
        <v>35</v>
      </c>
      <c r="C1405" s="15" t="s">
        <v>59</v>
      </c>
      <c r="D1405" s="15" t="s">
        <v>60</v>
      </c>
      <c r="E1405" s="15" t="s">
        <v>61</v>
      </c>
      <c r="F1405" s="15" t="s">
        <v>62</v>
      </c>
      <c r="G1405" s="15" t="s">
        <v>61</v>
      </c>
      <c r="H1405" s="139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61</v>
      </c>
      <c r="N1405" s="15"/>
      <c r="O1405" s="8" t="s">
        <v>941</v>
      </c>
      <c r="P1405" s="8" t="s">
        <v>46</v>
      </c>
      <c r="Q1405" s="9">
        <v>0.02</v>
      </c>
      <c r="R1405" s="139" t="s">
        <v>1841</v>
      </c>
      <c r="S1405" s="15"/>
      <c r="T1405" s="18">
        <v>-185345.80999999997</v>
      </c>
      <c r="U1405" s="4">
        <v>0</v>
      </c>
      <c r="V1405" s="6">
        <v>0</v>
      </c>
      <c r="W1405" s="18">
        <f t="shared" si="207"/>
        <v>-185345.80999999997</v>
      </c>
      <c r="X1405" s="18">
        <f t="shared" si="209"/>
        <v>0</v>
      </c>
      <c r="Y1405" s="13">
        <f t="shared" si="201"/>
        <v>0</v>
      </c>
      <c r="Z1405" s="14">
        <v>0</v>
      </c>
      <c r="AA1405" s="4">
        <v>0</v>
      </c>
      <c r="AB1405" s="4">
        <f t="shared" si="202"/>
        <v>0</v>
      </c>
      <c r="AC1405" s="6">
        <f t="shared" si="203"/>
        <v>0</v>
      </c>
      <c r="AD1405" s="6">
        <f t="shared" si="210"/>
        <v>0</v>
      </c>
      <c r="AE1405" s="2">
        <v>0.15</v>
      </c>
      <c r="AF1405" s="5">
        <f t="shared" si="204"/>
        <v>0</v>
      </c>
      <c r="AG1405" s="14">
        <v>0</v>
      </c>
      <c r="AH1405" s="19">
        <f t="shared" si="206"/>
        <v>0</v>
      </c>
      <c r="AJ1405" s="126" t="e">
        <v>#N/A</v>
      </c>
      <c r="AK1405" s="80">
        <f t="shared" si="205"/>
        <v>0</v>
      </c>
      <c r="AM1405" s="85"/>
    </row>
    <row r="1406" spans="1:39" hidden="1" x14ac:dyDescent="0.3">
      <c r="A1406" s="85" t="s">
        <v>34</v>
      </c>
      <c r="B1406" s="15" t="s">
        <v>35</v>
      </c>
      <c r="C1406" s="15" t="s">
        <v>59</v>
      </c>
      <c r="D1406" s="15" t="s">
        <v>60</v>
      </c>
      <c r="E1406" s="15" t="s">
        <v>61</v>
      </c>
      <c r="F1406" s="15" t="s">
        <v>62</v>
      </c>
      <c r="G1406" s="15" t="s">
        <v>61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61</v>
      </c>
      <c r="N1406" s="15"/>
      <c r="O1406" s="8" t="s">
        <v>2054</v>
      </c>
      <c r="P1406" s="8" t="s">
        <v>46</v>
      </c>
      <c r="Q1406" s="9">
        <v>0.02</v>
      </c>
      <c r="R1406" s="139" t="s">
        <v>1841</v>
      </c>
      <c r="S1406" s="15"/>
      <c r="T1406" s="18">
        <v>-43803.945879999999</v>
      </c>
      <c r="U1406" s="4">
        <v>0</v>
      </c>
      <c r="V1406" s="6">
        <v>0</v>
      </c>
      <c r="W1406" s="18">
        <f t="shared" si="207"/>
        <v>-43803.945879999999</v>
      </c>
      <c r="X1406" s="18">
        <f t="shared" si="209"/>
        <v>0</v>
      </c>
      <c r="Y1406" s="13">
        <f t="shared" si="201"/>
        <v>0</v>
      </c>
      <c r="Z1406" s="14">
        <v>0</v>
      </c>
      <c r="AA1406" s="4">
        <v>0</v>
      </c>
      <c r="AB1406" s="4">
        <f t="shared" si="202"/>
        <v>0</v>
      </c>
      <c r="AC1406" s="6">
        <f t="shared" si="203"/>
        <v>0</v>
      </c>
      <c r="AD1406" s="6">
        <f t="shared" si="210"/>
        <v>0</v>
      </c>
      <c r="AE1406" s="2">
        <v>0.12</v>
      </c>
      <c r="AF1406" s="5">
        <f t="shared" si="204"/>
        <v>0</v>
      </c>
      <c r="AG1406" s="14">
        <v>0</v>
      </c>
      <c r="AH1406" s="19">
        <f t="shared" si="206"/>
        <v>0</v>
      </c>
      <c r="AJ1406" s="126" t="e">
        <v>#N/A</v>
      </c>
      <c r="AK1406" s="80">
        <f t="shared" si="205"/>
        <v>0</v>
      </c>
      <c r="AM1406" s="85"/>
    </row>
    <row r="1407" spans="1:39" hidden="1" x14ac:dyDescent="0.3">
      <c r="A1407" s="85" t="s">
        <v>34</v>
      </c>
      <c r="B1407" s="15" t="s">
        <v>35</v>
      </c>
      <c r="C1407" s="15" t="s">
        <v>59</v>
      </c>
      <c r="D1407" s="15" t="s">
        <v>60</v>
      </c>
      <c r="E1407" s="15" t="s">
        <v>765</v>
      </c>
      <c r="F1407" s="15" t="s">
        <v>766</v>
      </c>
      <c r="G1407" s="15" t="s">
        <v>765</v>
      </c>
      <c r="H1407" s="154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765</v>
      </c>
      <c r="N1407" s="15"/>
      <c r="O1407" s="8" t="s">
        <v>941</v>
      </c>
      <c r="P1407" s="8" t="s">
        <v>46</v>
      </c>
      <c r="Q1407" s="9">
        <v>0.04</v>
      </c>
      <c r="R1407" s="139" t="s">
        <v>1078</v>
      </c>
      <c r="S1407" s="15"/>
      <c r="T1407" s="18">
        <v>0</v>
      </c>
      <c r="U1407" s="4">
        <v>0</v>
      </c>
      <c r="V1407" s="6">
        <v>1556696.7951199999</v>
      </c>
      <c r="W1407" s="18">
        <f t="shared" si="207"/>
        <v>-1556696.7951199999</v>
      </c>
      <c r="X1407" s="18">
        <f t="shared" si="209"/>
        <v>1496823.8414615383</v>
      </c>
      <c r="Y1407" s="13">
        <f t="shared" si="201"/>
        <v>564432.11618572241</v>
      </c>
      <c r="Z1407" s="14">
        <v>0</v>
      </c>
      <c r="AA1407" s="4">
        <v>0</v>
      </c>
      <c r="AB1407" s="4">
        <f t="shared" si="202"/>
        <v>1496823.8414615383</v>
      </c>
      <c r="AC1407" s="6">
        <f t="shared" si="203"/>
        <v>59872.953658461571</v>
      </c>
      <c r="AD1407" s="6">
        <f t="shared" si="210"/>
        <v>932391.72527581593</v>
      </c>
      <c r="AE1407" s="2">
        <v>0.15</v>
      </c>
      <c r="AF1407" s="5">
        <f t="shared" si="204"/>
        <v>139858.75879137238</v>
      </c>
      <c r="AG1407" s="14">
        <v>0</v>
      </c>
      <c r="AH1407" s="19">
        <f t="shared" si="206"/>
        <v>1556696.7951199999</v>
      </c>
      <c r="AJ1407" s="126" t="e">
        <v>#N/A</v>
      </c>
      <c r="AK1407" s="80">
        <f t="shared" si="205"/>
        <v>0</v>
      </c>
      <c r="AM1407" s="85"/>
    </row>
    <row r="1408" spans="1:39" hidden="1" x14ac:dyDescent="0.3">
      <c r="A1408" s="85" t="s">
        <v>34</v>
      </c>
      <c r="B1408" s="15" t="s">
        <v>35</v>
      </c>
      <c r="C1408" s="15" t="s">
        <v>59</v>
      </c>
      <c r="D1408" s="15" t="s">
        <v>60</v>
      </c>
      <c r="E1408" s="15" t="s">
        <v>2096</v>
      </c>
      <c r="F1408" s="15" t="s">
        <v>2096</v>
      </c>
      <c r="G1408" s="15" t="s">
        <v>2096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778</v>
      </c>
      <c r="N1408" s="15"/>
      <c r="O1408" s="8" t="s">
        <v>410</v>
      </c>
      <c r="P1408" s="8" t="s">
        <v>46</v>
      </c>
      <c r="Q1408" s="9">
        <v>0.08</v>
      </c>
      <c r="R1408" s="139" t="s">
        <v>2097</v>
      </c>
      <c r="S1408" s="15"/>
      <c r="T1408" s="18">
        <v>1111.7</v>
      </c>
      <c r="U1408" s="4">
        <v>0</v>
      </c>
      <c r="V1408" s="6">
        <v>0</v>
      </c>
      <c r="W1408" s="18">
        <f t="shared" si="207"/>
        <v>1111.7</v>
      </c>
      <c r="X1408" s="18">
        <f t="shared" si="209"/>
        <v>0</v>
      </c>
      <c r="Y1408" s="13">
        <f t="shared" si="201"/>
        <v>0</v>
      </c>
      <c r="Z1408" s="14">
        <v>0</v>
      </c>
      <c r="AA1408" s="4">
        <v>0</v>
      </c>
      <c r="AB1408" s="4">
        <f t="shared" si="202"/>
        <v>0</v>
      </c>
      <c r="AC1408" s="6">
        <f t="shared" si="203"/>
        <v>0</v>
      </c>
      <c r="AD1408" s="6">
        <f t="shared" si="210"/>
        <v>0</v>
      </c>
      <c r="AE1408" s="2">
        <v>7.0000000000000007E-2</v>
      </c>
      <c r="AF1408" s="5">
        <f t="shared" si="204"/>
        <v>0</v>
      </c>
      <c r="AG1408" s="14">
        <v>0</v>
      </c>
      <c r="AH1408" s="19">
        <f t="shared" si="206"/>
        <v>0</v>
      </c>
      <c r="AJ1408" s="126" t="e">
        <v>#N/A</v>
      </c>
      <c r="AK1408" s="80">
        <f t="shared" si="205"/>
        <v>0</v>
      </c>
      <c r="AM1408" s="85"/>
    </row>
    <row r="1409" spans="1:39" hidden="1" x14ac:dyDescent="0.3">
      <c r="A1409" s="85" t="s">
        <v>34</v>
      </c>
      <c r="B1409" s="15" t="s">
        <v>35</v>
      </c>
      <c r="C1409" s="15" t="s">
        <v>59</v>
      </c>
      <c r="D1409" s="15" t="s">
        <v>60</v>
      </c>
      <c r="E1409" s="15" t="s">
        <v>784</v>
      </c>
      <c r="F1409" s="15" t="s">
        <v>784</v>
      </c>
      <c r="G1409" s="15" t="s">
        <v>784</v>
      </c>
      <c r="H1409" s="139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2098</v>
      </c>
      <c r="N1409" s="15"/>
      <c r="O1409" s="8" t="s">
        <v>941</v>
      </c>
      <c r="P1409" s="8" t="s">
        <v>46</v>
      </c>
      <c r="Q1409" s="9">
        <v>0.04</v>
      </c>
      <c r="R1409" s="139" t="s">
        <v>1851</v>
      </c>
      <c r="S1409" s="15"/>
      <c r="T1409" s="18">
        <v>-23338.6</v>
      </c>
      <c r="U1409" s="4">
        <v>0</v>
      </c>
      <c r="V1409" s="6">
        <v>0</v>
      </c>
      <c r="W1409" s="18">
        <f t="shared" si="207"/>
        <v>-23338.6</v>
      </c>
      <c r="X1409" s="18">
        <f t="shared" si="209"/>
        <v>0</v>
      </c>
      <c r="Y1409" s="13">
        <f t="shared" si="201"/>
        <v>0</v>
      </c>
      <c r="Z1409" s="14">
        <v>0</v>
      </c>
      <c r="AA1409" s="4">
        <v>0</v>
      </c>
      <c r="AB1409" s="4">
        <f t="shared" si="202"/>
        <v>0</v>
      </c>
      <c r="AC1409" s="6">
        <f t="shared" si="203"/>
        <v>0</v>
      </c>
      <c r="AD1409" s="6">
        <f t="shared" si="210"/>
        <v>0</v>
      </c>
      <c r="AE1409" s="2">
        <v>0.15</v>
      </c>
      <c r="AF1409" s="5">
        <f t="shared" si="204"/>
        <v>0</v>
      </c>
      <c r="AG1409" s="14">
        <v>0</v>
      </c>
      <c r="AH1409" s="19">
        <f t="shared" si="206"/>
        <v>0</v>
      </c>
      <c r="AJ1409" s="126" t="e">
        <v>#N/A</v>
      </c>
      <c r="AK1409" s="80">
        <f t="shared" si="205"/>
        <v>0</v>
      </c>
      <c r="AM1409" s="85"/>
    </row>
    <row r="1410" spans="1:39" hidden="1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1966</v>
      </c>
      <c r="F1410" s="15" t="s">
        <v>1966</v>
      </c>
      <c r="G1410" s="15" t="s">
        <v>1966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2099</v>
      </c>
      <c r="N1410" s="15"/>
      <c r="O1410" s="8" t="s">
        <v>1196</v>
      </c>
      <c r="P1410" s="8" t="s">
        <v>46</v>
      </c>
      <c r="Q1410" s="9">
        <v>0.04</v>
      </c>
      <c r="R1410" s="139" t="s">
        <v>2100</v>
      </c>
      <c r="S1410" s="15"/>
      <c r="T1410" s="18">
        <v>12.47</v>
      </c>
      <c r="U1410" s="4">
        <v>0</v>
      </c>
      <c r="V1410" s="6">
        <v>0</v>
      </c>
      <c r="W1410" s="18">
        <f t="shared" si="207"/>
        <v>12.47</v>
      </c>
      <c r="X1410" s="18">
        <f t="shared" si="209"/>
        <v>0</v>
      </c>
      <c r="Y1410" s="13">
        <f t="shared" si="201"/>
        <v>0</v>
      </c>
      <c r="Z1410" s="14">
        <v>0</v>
      </c>
      <c r="AA1410" s="4">
        <v>0</v>
      </c>
      <c r="AB1410" s="4">
        <f t="shared" si="202"/>
        <v>0</v>
      </c>
      <c r="AC1410" s="6">
        <f t="shared" si="203"/>
        <v>0</v>
      </c>
      <c r="AD1410" s="6">
        <f t="shared" si="210"/>
        <v>0</v>
      </c>
      <c r="AE1410" s="2">
        <v>0.12</v>
      </c>
      <c r="AF1410" s="5">
        <f t="shared" si="204"/>
        <v>0</v>
      </c>
      <c r="AG1410" s="14">
        <v>0</v>
      </c>
      <c r="AH1410" s="19">
        <f t="shared" si="206"/>
        <v>0</v>
      </c>
      <c r="AJ1410" s="126" t="e">
        <v>#N/A</v>
      </c>
      <c r="AK1410" s="80">
        <f t="shared" si="205"/>
        <v>0</v>
      </c>
      <c r="AM1410" s="85"/>
    </row>
    <row r="1411" spans="1:39" hidden="1" x14ac:dyDescent="0.3">
      <c r="A1411" s="85" t="s">
        <v>34</v>
      </c>
      <c r="B1411" s="15" t="s">
        <v>35</v>
      </c>
      <c r="C1411" s="15" t="s">
        <v>2059</v>
      </c>
      <c r="D1411" s="15" t="s">
        <v>185</v>
      </c>
      <c r="E1411" s="15" t="s">
        <v>2101</v>
      </c>
      <c r="F1411" s="15" t="s">
        <v>2101</v>
      </c>
      <c r="G1411" s="15" t="s">
        <v>2101</v>
      </c>
      <c r="H1411" s="139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2102</v>
      </c>
      <c r="N1411" s="15"/>
      <c r="O1411" s="8" t="s">
        <v>410</v>
      </c>
      <c r="P1411" s="8" t="s">
        <v>46</v>
      </c>
      <c r="Q1411" s="9">
        <v>0.02</v>
      </c>
      <c r="R1411" s="139" t="s">
        <v>2103</v>
      </c>
      <c r="S1411" s="15"/>
      <c r="T1411" s="18">
        <v>450.89999999998997</v>
      </c>
      <c r="U1411" s="4">
        <v>0</v>
      </c>
      <c r="V1411" s="6">
        <v>0</v>
      </c>
      <c r="W1411" s="18">
        <f t="shared" si="207"/>
        <v>450.89999999998997</v>
      </c>
      <c r="X1411" s="18">
        <f t="shared" si="209"/>
        <v>0</v>
      </c>
      <c r="Y1411" s="13">
        <f t="shared" ref="Y1411:Y1474" si="211">IF(X1411-AD1411&lt;=0,0,IF(P1411="返现",MAX(X1411-AC1411-AD1411,0),MAX(X1411-AD1411)))</f>
        <v>0</v>
      </c>
      <c r="Z1411" s="14">
        <v>0</v>
      </c>
      <c r="AA1411" s="4">
        <v>0</v>
      </c>
      <c r="AB1411" s="4">
        <f t="shared" ref="AB1411:AB1473" si="212">X1411+AA1411</f>
        <v>0</v>
      </c>
      <c r="AC1411" s="6">
        <f t="shared" ref="AC1411:AC1474" si="213">IF(P1411="返现",X1411*Q1411,V1411-X1411)</f>
        <v>0</v>
      </c>
      <c r="AD1411" s="6">
        <f t="shared" si="210"/>
        <v>0</v>
      </c>
      <c r="AE1411" s="2">
        <v>7.0000000000000007E-2</v>
      </c>
      <c r="AF1411" s="5">
        <f t="shared" ref="AF1411:AF1474" si="214">AD1411*AE1411</f>
        <v>0</v>
      </c>
      <c r="AG1411" s="14">
        <v>0</v>
      </c>
      <c r="AH1411" s="19">
        <f t="shared" si="206"/>
        <v>0</v>
      </c>
      <c r="AJ1411" s="126" t="e">
        <v>#N/A</v>
      </c>
      <c r="AK1411" s="80">
        <f t="shared" ref="AK1411:AK1474" si="215">X1411+AA1411-AB1411</f>
        <v>0</v>
      </c>
      <c r="AM1411" s="85"/>
    </row>
    <row r="1412" spans="1:39" hidden="1" x14ac:dyDescent="0.3">
      <c r="A1412" s="85" t="s">
        <v>34</v>
      </c>
      <c r="B1412" s="15" t="s">
        <v>35</v>
      </c>
      <c r="C1412" s="15" t="s">
        <v>2059</v>
      </c>
      <c r="D1412" s="15" t="s">
        <v>185</v>
      </c>
      <c r="E1412" s="15" t="s">
        <v>2104</v>
      </c>
      <c r="F1412" s="15" t="s">
        <v>2105</v>
      </c>
      <c r="G1412" s="15" t="s">
        <v>2104</v>
      </c>
      <c r="H1412" s="139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2104</v>
      </c>
      <c r="N1412" s="15"/>
      <c r="O1412" s="8" t="s">
        <v>1196</v>
      </c>
      <c r="P1412" s="8" t="s">
        <v>41</v>
      </c>
      <c r="Q1412" s="9">
        <v>0</v>
      </c>
      <c r="R1412" s="139" t="s">
        <v>2106</v>
      </c>
      <c r="S1412" s="15"/>
      <c r="T1412" s="18">
        <v>4.9999999999954498E-2</v>
      </c>
      <c r="U1412" s="4">
        <v>0</v>
      </c>
      <c r="V1412" s="6">
        <v>0</v>
      </c>
      <c r="W1412" s="18">
        <f t="shared" si="207"/>
        <v>4.9999999999954498E-2</v>
      </c>
      <c r="X1412" s="18">
        <f t="shared" si="209"/>
        <v>0</v>
      </c>
      <c r="Y1412" s="13">
        <f t="shared" si="211"/>
        <v>0</v>
      </c>
      <c r="Z1412" s="14">
        <v>0</v>
      </c>
      <c r="AA1412" s="4">
        <v>0</v>
      </c>
      <c r="AB1412" s="4">
        <f t="shared" si="212"/>
        <v>0</v>
      </c>
      <c r="AC1412" s="6">
        <f t="shared" si="213"/>
        <v>0</v>
      </c>
      <c r="AD1412" s="6">
        <f t="shared" si="210"/>
        <v>0</v>
      </c>
      <c r="AE1412" s="2">
        <v>0.12</v>
      </c>
      <c r="AF1412" s="5">
        <f t="shared" si="214"/>
        <v>0</v>
      </c>
      <c r="AG1412" s="14">
        <v>0</v>
      </c>
      <c r="AH1412" s="19">
        <f t="shared" si="206"/>
        <v>0</v>
      </c>
      <c r="AJ1412" s="126" t="e">
        <v>#N/A</v>
      </c>
      <c r="AK1412" s="80">
        <f t="shared" si="215"/>
        <v>0</v>
      </c>
      <c r="AM1412" s="85"/>
    </row>
    <row r="1413" spans="1:39" hidden="1" x14ac:dyDescent="0.3">
      <c r="A1413" s="85" t="s">
        <v>34</v>
      </c>
      <c r="B1413" s="15" t="s">
        <v>35</v>
      </c>
      <c r="C1413" s="15" t="s">
        <v>2059</v>
      </c>
      <c r="D1413" s="15" t="s">
        <v>185</v>
      </c>
      <c r="E1413" s="15" t="s">
        <v>2107</v>
      </c>
      <c r="F1413" s="15" t="s">
        <v>2107</v>
      </c>
      <c r="G1413" s="15" t="s">
        <v>2107</v>
      </c>
      <c r="H1413" s="139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2108</v>
      </c>
      <c r="N1413" s="15"/>
      <c r="O1413" s="8" t="s">
        <v>410</v>
      </c>
      <c r="P1413" s="8" t="s">
        <v>41</v>
      </c>
      <c r="Q1413" s="9">
        <v>0</v>
      </c>
      <c r="R1413" s="139" t="s">
        <v>2109</v>
      </c>
      <c r="S1413" s="15"/>
      <c r="T1413" s="18">
        <v>1.1000000000000001</v>
      </c>
      <c r="U1413" s="4">
        <v>0</v>
      </c>
      <c r="V1413" s="6">
        <v>0</v>
      </c>
      <c r="W1413" s="18">
        <f t="shared" si="207"/>
        <v>1.1000000000000001</v>
      </c>
      <c r="X1413" s="18">
        <f t="shared" si="209"/>
        <v>0</v>
      </c>
      <c r="Y1413" s="13">
        <f t="shared" si="211"/>
        <v>0</v>
      </c>
      <c r="Z1413" s="14">
        <v>0</v>
      </c>
      <c r="AA1413" s="4">
        <v>0</v>
      </c>
      <c r="AB1413" s="4">
        <f t="shared" si="212"/>
        <v>0</v>
      </c>
      <c r="AC1413" s="6">
        <f t="shared" si="213"/>
        <v>0</v>
      </c>
      <c r="AD1413" s="6">
        <f t="shared" si="210"/>
        <v>0</v>
      </c>
      <c r="AE1413" s="2">
        <v>7.0000000000000007E-2</v>
      </c>
      <c r="AF1413" s="5">
        <f t="shared" si="214"/>
        <v>0</v>
      </c>
      <c r="AG1413" s="14">
        <v>0</v>
      </c>
      <c r="AH1413" s="19">
        <f t="shared" si="206"/>
        <v>0</v>
      </c>
      <c r="AJ1413" s="126" t="e">
        <v>#N/A</v>
      </c>
      <c r="AK1413" s="80">
        <f t="shared" si="215"/>
        <v>0</v>
      </c>
      <c r="AM1413" s="85"/>
    </row>
    <row r="1414" spans="1:39" hidden="1" x14ac:dyDescent="0.3">
      <c r="A1414" s="85" t="s">
        <v>34</v>
      </c>
      <c r="B1414" s="15" t="s">
        <v>35</v>
      </c>
      <c r="C1414" s="15" t="s">
        <v>2059</v>
      </c>
      <c r="D1414" s="15" t="s">
        <v>185</v>
      </c>
      <c r="E1414" s="15" t="s">
        <v>2110</v>
      </c>
      <c r="F1414" s="15" t="s">
        <v>2110</v>
      </c>
      <c r="G1414" s="15" t="s">
        <v>2110</v>
      </c>
      <c r="H1414" s="139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2111</v>
      </c>
      <c r="N1414" s="15"/>
      <c r="O1414" s="8" t="s">
        <v>1196</v>
      </c>
      <c r="P1414" s="8" t="s">
        <v>46</v>
      </c>
      <c r="Q1414" s="9">
        <v>7.0000000000000007E-2</v>
      </c>
      <c r="R1414" s="139" t="s">
        <v>2112</v>
      </c>
      <c r="S1414" s="15"/>
      <c r="T1414" s="18">
        <v>447.35000000001003</v>
      </c>
      <c r="U1414" s="4">
        <v>0</v>
      </c>
      <c r="V1414" s="6">
        <v>0</v>
      </c>
      <c r="W1414" s="18">
        <f t="shared" si="207"/>
        <v>447.35000000001003</v>
      </c>
      <c r="X1414" s="18">
        <f t="shared" si="209"/>
        <v>0</v>
      </c>
      <c r="Y1414" s="13">
        <f t="shared" si="211"/>
        <v>0</v>
      </c>
      <c r="Z1414" s="14">
        <v>0</v>
      </c>
      <c r="AA1414" s="4">
        <v>0</v>
      </c>
      <c r="AB1414" s="4"/>
      <c r="AC1414" s="6">
        <f t="shared" si="213"/>
        <v>0</v>
      </c>
      <c r="AD1414" s="6">
        <f t="shared" si="210"/>
        <v>0</v>
      </c>
      <c r="AE1414" s="2">
        <v>0.12</v>
      </c>
      <c r="AF1414" s="5">
        <f t="shared" si="214"/>
        <v>0</v>
      </c>
      <c r="AG1414" s="14">
        <v>0</v>
      </c>
      <c r="AH1414" s="19">
        <f t="shared" si="206"/>
        <v>0</v>
      </c>
      <c r="AJ1414" s="126">
        <v>66</v>
      </c>
      <c r="AK1414" s="80">
        <f t="shared" si="215"/>
        <v>0</v>
      </c>
      <c r="AM1414" s="85"/>
    </row>
    <row r="1415" spans="1:39" hidden="1" x14ac:dyDescent="0.3">
      <c r="A1415" s="85" t="s">
        <v>34</v>
      </c>
      <c r="B1415" s="15" t="s">
        <v>35</v>
      </c>
      <c r="C1415" s="15" t="s">
        <v>2059</v>
      </c>
      <c r="D1415" s="15" t="s">
        <v>185</v>
      </c>
      <c r="E1415" s="15" t="s">
        <v>2113</v>
      </c>
      <c r="F1415" s="15" t="s">
        <v>2113</v>
      </c>
      <c r="G1415" s="15" t="s">
        <v>2113</v>
      </c>
      <c r="H1415" s="139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2113</v>
      </c>
      <c r="N1415" s="15"/>
      <c r="O1415" s="8" t="s">
        <v>410</v>
      </c>
      <c r="P1415" s="8" t="s">
        <v>41</v>
      </c>
      <c r="Q1415" s="9">
        <v>0</v>
      </c>
      <c r="R1415" s="139" t="s">
        <v>2114</v>
      </c>
      <c r="S1415" s="15"/>
      <c r="T1415" s="18">
        <v>3627.9</v>
      </c>
      <c r="U1415" s="4">
        <v>0</v>
      </c>
      <c r="V1415" s="6">
        <v>0</v>
      </c>
      <c r="W1415" s="18">
        <f t="shared" si="207"/>
        <v>3627.9</v>
      </c>
      <c r="X1415" s="18">
        <f t="shared" si="209"/>
        <v>0</v>
      </c>
      <c r="Y1415" s="13">
        <f t="shared" si="211"/>
        <v>0</v>
      </c>
      <c r="Z1415" s="14">
        <v>0</v>
      </c>
      <c r="AA1415" s="4">
        <v>0</v>
      </c>
      <c r="AB1415" s="4">
        <f t="shared" si="212"/>
        <v>0</v>
      </c>
      <c r="AC1415" s="6">
        <f t="shared" si="213"/>
        <v>0</v>
      </c>
      <c r="AD1415" s="6">
        <f t="shared" si="210"/>
        <v>0</v>
      </c>
      <c r="AE1415" s="2">
        <v>7.0000000000000007E-2</v>
      </c>
      <c r="AF1415" s="5">
        <f t="shared" si="214"/>
        <v>0</v>
      </c>
      <c r="AG1415" s="14">
        <v>0</v>
      </c>
      <c r="AH1415" s="19">
        <f t="shared" si="206"/>
        <v>0</v>
      </c>
      <c r="AJ1415" s="126" t="e">
        <v>#N/A</v>
      </c>
      <c r="AK1415" s="80">
        <f t="shared" si="215"/>
        <v>0</v>
      </c>
      <c r="AM1415" s="85"/>
    </row>
    <row r="1416" spans="1:39" hidden="1" x14ac:dyDescent="0.3">
      <c r="A1416" s="85" t="s">
        <v>34</v>
      </c>
      <c r="B1416" s="15" t="s">
        <v>35</v>
      </c>
      <c r="C1416" s="15" t="s">
        <v>47</v>
      </c>
      <c r="D1416" s="15" t="s">
        <v>48</v>
      </c>
      <c r="E1416" s="15" t="s">
        <v>550</v>
      </c>
      <c r="F1416" s="15" t="s">
        <v>551</v>
      </c>
      <c r="G1416" s="15" t="s">
        <v>550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550</v>
      </c>
      <c r="N1416" s="15"/>
      <c r="O1416" s="8" t="s">
        <v>1196</v>
      </c>
      <c r="P1416" s="8" t="s">
        <v>41</v>
      </c>
      <c r="Q1416" s="9">
        <v>0</v>
      </c>
      <c r="R1416" s="139" t="s">
        <v>1920</v>
      </c>
      <c r="S1416" s="15"/>
      <c r="T1416" s="18">
        <v>-180715.45261000001</v>
      </c>
      <c r="U1416" s="4">
        <v>0</v>
      </c>
      <c r="V1416" s="6">
        <v>0</v>
      </c>
      <c r="W1416" s="18">
        <f t="shared" si="207"/>
        <v>-180715.45261000001</v>
      </c>
      <c r="X1416" s="18">
        <f t="shared" si="209"/>
        <v>0</v>
      </c>
      <c r="Y1416" s="13">
        <f t="shared" si="211"/>
        <v>0</v>
      </c>
      <c r="Z1416" s="14">
        <v>0</v>
      </c>
      <c r="AA1416" s="4">
        <v>0</v>
      </c>
      <c r="AB1416" s="4">
        <f t="shared" si="212"/>
        <v>0</v>
      </c>
      <c r="AC1416" s="6">
        <f t="shared" si="213"/>
        <v>0</v>
      </c>
      <c r="AD1416" s="6">
        <f t="shared" si="210"/>
        <v>0</v>
      </c>
      <c r="AE1416" s="2">
        <v>0.12</v>
      </c>
      <c r="AF1416" s="5">
        <f t="shared" si="214"/>
        <v>0</v>
      </c>
      <c r="AG1416" s="14">
        <v>0</v>
      </c>
      <c r="AH1416" s="19">
        <f t="shared" si="206"/>
        <v>0</v>
      </c>
      <c r="AJ1416" s="126" t="e">
        <v>#N/A</v>
      </c>
      <c r="AK1416" s="80">
        <f t="shared" si="215"/>
        <v>0</v>
      </c>
      <c r="AM1416" s="85"/>
    </row>
    <row r="1417" spans="1:39" hidden="1" x14ac:dyDescent="0.3">
      <c r="A1417" s="85" t="s">
        <v>34</v>
      </c>
      <c r="B1417" s="15" t="s">
        <v>35</v>
      </c>
      <c r="C1417" s="15" t="s">
        <v>47</v>
      </c>
      <c r="D1417" s="15" t="s">
        <v>48</v>
      </c>
      <c r="E1417" s="15" t="s">
        <v>550</v>
      </c>
      <c r="F1417" s="15" t="s">
        <v>551</v>
      </c>
      <c r="G1417" s="15" t="s">
        <v>550</v>
      </c>
      <c r="H1417" s="139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550</v>
      </c>
      <c r="N1417" s="15"/>
      <c r="O1417" s="8" t="s">
        <v>941</v>
      </c>
      <c r="P1417" s="8" t="s">
        <v>41</v>
      </c>
      <c r="Q1417" s="9">
        <v>0</v>
      </c>
      <c r="R1417" s="139" t="s">
        <v>1920</v>
      </c>
      <c r="S1417" s="15"/>
      <c r="T1417" s="18">
        <v>-4350.87</v>
      </c>
      <c r="U1417" s="4">
        <v>0</v>
      </c>
      <c r="V1417" s="6">
        <v>0</v>
      </c>
      <c r="W1417" s="18">
        <f t="shared" si="207"/>
        <v>-4350.87</v>
      </c>
      <c r="X1417" s="18">
        <f t="shared" si="209"/>
        <v>0</v>
      </c>
      <c r="Y1417" s="13">
        <f t="shared" si="211"/>
        <v>0</v>
      </c>
      <c r="Z1417" s="14">
        <v>0</v>
      </c>
      <c r="AA1417" s="4">
        <v>0</v>
      </c>
      <c r="AB1417" s="4">
        <f t="shared" si="212"/>
        <v>0</v>
      </c>
      <c r="AC1417" s="6">
        <f t="shared" si="213"/>
        <v>0</v>
      </c>
      <c r="AD1417" s="6">
        <f t="shared" si="210"/>
        <v>0</v>
      </c>
      <c r="AE1417" s="2">
        <v>0.15</v>
      </c>
      <c r="AF1417" s="5">
        <f t="shared" si="214"/>
        <v>0</v>
      </c>
      <c r="AG1417" s="14">
        <v>0</v>
      </c>
      <c r="AH1417" s="19">
        <f t="shared" si="206"/>
        <v>0</v>
      </c>
      <c r="AJ1417" s="126" t="e">
        <v>#N/A</v>
      </c>
      <c r="AK1417" s="80">
        <f t="shared" si="215"/>
        <v>0</v>
      </c>
      <c r="AM1417" s="85"/>
    </row>
    <row r="1418" spans="1:39" hidden="1" x14ac:dyDescent="0.3">
      <c r="A1418" s="85" t="s">
        <v>34</v>
      </c>
      <c r="B1418" s="15" t="s">
        <v>35</v>
      </c>
      <c r="C1418" s="15" t="s">
        <v>47</v>
      </c>
      <c r="D1418" s="15" t="s">
        <v>48</v>
      </c>
      <c r="E1418" s="15" t="s">
        <v>550</v>
      </c>
      <c r="F1418" s="15" t="s">
        <v>551</v>
      </c>
      <c r="G1418" s="15" t="s">
        <v>550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550</v>
      </c>
      <c r="N1418" s="15"/>
      <c r="O1418" s="8" t="s">
        <v>2054</v>
      </c>
      <c r="P1418" s="8" t="s">
        <v>41</v>
      </c>
      <c r="Q1418" s="9">
        <v>0</v>
      </c>
      <c r="R1418" s="139" t="s">
        <v>1920</v>
      </c>
      <c r="S1418" s="15"/>
      <c r="T1418" s="18">
        <v>-5507.8273900000013</v>
      </c>
      <c r="U1418" s="4">
        <v>0</v>
      </c>
      <c r="V1418" s="6">
        <v>0</v>
      </c>
      <c r="W1418" s="18">
        <f t="shared" si="207"/>
        <v>-5507.8273900000013</v>
      </c>
      <c r="X1418" s="18">
        <f t="shared" si="209"/>
        <v>0</v>
      </c>
      <c r="Y1418" s="13">
        <f t="shared" si="211"/>
        <v>0</v>
      </c>
      <c r="Z1418" s="14">
        <v>0</v>
      </c>
      <c r="AA1418" s="4">
        <v>0</v>
      </c>
      <c r="AB1418" s="4">
        <f t="shared" si="212"/>
        <v>0</v>
      </c>
      <c r="AC1418" s="6">
        <f t="shared" si="213"/>
        <v>0</v>
      </c>
      <c r="AD1418" s="6">
        <f t="shared" si="210"/>
        <v>0</v>
      </c>
      <c r="AE1418" s="2">
        <v>0.12</v>
      </c>
      <c r="AF1418" s="5">
        <f t="shared" si="214"/>
        <v>0</v>
      </c>
      <c r="AG1418" s="14">
        <v>0</v>
      </c>
      <c r="AH1418" s="19">
        <f t="shared" si="206"/>
        <v>0</v>
      </c>
      <c r="AJ1418" s="126" t="e">
        <v>#N/A</v>
      </c>
      <c r="AK1418" s="80">
        <f t="shared" si="215"/>
        <v>0</v>
      </c>
      <c r="AM1418" s="85"/>
    </row>
    <row r="1419" spans="1:39" hidden="1" x14ac:dyDescent="0.3">
      <c r="A1419" s="85" t="s">
        <v>34</v>
      </c>
      <c r="B1419" s="15" t="s">
        <v>35</v>
      </c>
      <c r="C1419" s="15" t="s">
        <v>2059</v>
      </c>
      <c r="D1419" s="15" t="s">
        <v>185</v>
      </c>
      <c r="E1419" s="15" t="s">
        <v>2115</v>
      </c>
      <c r="F1419" s="15" t="s">
        <v>2115</v>
      </c>
      <c r="G1419" s="15" t="s">
        <v>2115</v>
      </c>
      <c r="H1419" s="139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2115</v>
      </c>
      <c r="N1419" s="15"/>
      <c r="O1419" s="8" t="s">
        <v>410</v>
      </c>
      <c r="P1419" s="8" t="s">
        <v>46</v>
      </c>
      <c r="Q1419" s="9">
        <v>0.03</v>
      </c>
      <c r="R1419" s="139" t="s">
        <v>2116</v>
      </c>
      <c r="S1419" s="15"/>
      <c r="T1419" s="18">
        <v>2728.4</v>
      </c>
      <c r="U1419" s="4">
        <v>0</v>
      </c>
      <c r="V1419" s="6">
        <v>0</v>
      </c>
      <c r="W1419" s="18">
        <f t="shared" si="207"/>
        <v>2728.4</v>
      </c>
      <c r="X1419" s="18">
        <f t="shared" si="209"/>
        <v>0</v>
      </c>
      <c r="Y1419" s="13">
        <f t="shared" si="211"/>
        <v>0</v>
      </c>
      <c r="Z1419" s="14">
        <v>0</v>
      </c>
      <c r="AA1419" s="4">
        <v>0</v>
      </c>
      <c r="AB1419" s="4">
        <f t="shared" si="212"/>
        <v>0</v>
      </c>
      <c r="AC1419" s="6">
        <f t="shared" si="213"/>
        <v>0</v>
      </c>
      <c r="AD1419" s="6">
        <f t="shared" si="210"/>
        <v>0</v>
      </c>
      <c r="AE1419" s="2">
        <v>7.0000000000000007E-2</v>
      </c>
      <c r="AF1419" s="5">
        <f t="shared" si="214"/>
        <v>0</v>
      </c>
      <c r="AG1419" s="14">
        <v>0</v>
      </c>
      <c r="AH1419" s="19">
        <f t="shared" si="206"/>
        <v>0</v>
      </c>
      <c r="AJ1419" s="126" t="e">
        <v>#N/A</v>
      </c>
      <c r="AK1419" s="80">
        <f t="shared" si="215"/>
        <v>0</v>
      </c>
      <c r="AM1419" s="85"/>
    </row>
    <row r="1420" spans="1:39" hidden="1" x14ac:dyDescent="0.3">
      <c r="A1420" s="85" t="s">
        <v>34</v>
      </c>
      <c r="B1420" s="15" t="s">
        <v>35</v>
      </c>
      <c r="C1420" s="15" t="s">
        <v>2059</v>
      </c>
      <c r="D1420" s="15" t="s">
        <v>185</v>
      </c>
      <c r="E1420" s="15" t="s">
        <v>817</v>
      </c>
      <c r="F1420" s="15" t="s">
        <v>817</v>
      </c>
      <c r="G1420" s="15" t="s">
        <v>817</v>
      </c>
      <c r="H1420" s="139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811</v>
      </c>
      <c r="N1420" s="15"/>
      <c r="O1420" s="8" t="s">
        <v>1196</v>
      </c>
      <c r="P1420" s="8" t="s">
        <v>41</v>
      </c>
      <c r="Q1420" s="9">
        <v>0</v>
      </c>
      <c r="R1420" s="139" t="s">
        <v>2117</v>
      </c>
      <c r="S1420" s="15"/>
      <c r="T1420" s="18">
        <v>5706.5</v>
      </c>
      <c r="U1420" s="4">
        <v>0</v>
      </c>
      <c r="V1420" s="6">
        <v>0</v>
      </c>
      <c r="W1420" s="18">
        <f t="shared" si="207"/>
        <v>5706.5</v>
      </c>
      <c r="X1420" s="18">
        <f t="shared" si="209"/>
        <v>0</v>
      </c>
      <c r="Y1420" s="13">
        <f t="shared" si="211"/>
        <v>0</v>
      </c>
      <c r="Z1420" s="14">
        <v>0</v>
      </c>
      <c r="AA1420" s="4">
        <v>0</v>
      </c>
      <c r="AB1420" s="4">
        <f t="shared" si="212"/>
        <v>0</v>
      </c>
      <c r="AC1420" s="6">
        <f t="shared" si="213"/>
        <v>0</v>
      </c>
      <c r="AD1420" s="6">
        <f t="shared" si="210"/>
        <v>0</v>
      </c>
      <c r="AE1420" s="2">
        <v>0.12</v>
      </c>
      <c r="AF1420" s="5">
        <f t="shared" si="214"/>
        <v>0</v>
      </c>
      <c r="AG1420" s="14">
        <v>0</v>
      </c>
      <c r="AH1420" s="19">
        <f t="shared" si="206"/>
        <v>0</v>
      </c>
      <c r="AJ1420" s="126" t="e">
        <v>#N/A</v>
      </c>
      <c r="AK1420" s="80">
        <f t="shared" si="215"/>
        <v>0</v>
      </c>
      <c r="AM1420" s="85"/>
    </row>
    <row r="1421" spans="1:39" hidden="1" x14ac:dyDescent="0.3">
      <c r="A1421" s="85" t="s">
        <v>34</v>
      </c>
      <c r="B1421" s="15" t="s">
        <v>35</v>
      </c>
      <c r="C1421" s="15" t="s">
        <v>2059</v>
      </c>
      <c r="D1421" s="15" t="s">
        <v>185</v>
      </c>
      <c r="E1421" s="15" t="s">
        <v>2118</v>
      </c>
      <c r="F1421" s="15" t="s">
        <v>2118</v>
      </c>
      <c r="G1421" s="15" t="s">
        <v>2118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2118</v>
      </c>
      <c r="N1421" s="15"/>
      <c r="O1421" s="8" t="s">
        <v>410</v>
      </c>
      <c r="P1421" s="8" t="s">
        <v>41</v>
      </c>
      <c r="Q1421" s="9">
        <v>0</v>
      </c>
      <c r="R1421" s="139" t="s">
        <v>2119</v>
      </c>
      <c r="S1421" s="15"/>
      <c r="T1421" s="18">
        <v>352.30000000000098</v>
      </c>
      <c r="U1421" s="4">
        <v>0</v>
      </c>
      <c r="V1421" s="6">
        <v>0</v>
      </c>
      <c r="W1421" s="18">
        <f t="shared" si="207"/>
        <v>352.30000000000098</v>
      </c>
      <c r="X1421" s="18">
        <f t="shared" si="209"/>
        <v>0</v>
      </c>
      <c r="Y1421" s="13">
        <f t="shared" si="211"/>
        <v>0</v>
      </c>
      <c r="Z1421" s="14">
        <v>0</v>
      </c>
      <c r="AA1421" s="4">
        <v>0</v>
      </c>
      <c r="AB1421" s="4">
        <f t="shared" si="212"/>
        <v>0</v>
      </c>
      <c r="AC1421" s="6">
        <f t="shared" si="213"/>
        <v>0</v>
      </c>
      <c r="AD1421" s="6">
        <f t="shared" si="210"/>
        <v>0</v>
      </c>
      <c r="AE1421" s="2">
        <v>7.0000000000000007E-2</v>
      </c>
      <c r="AF1421" s="5">
        <f t="shared" si="214"/>
        <v>0</v>
      </c>
      <c r="AG1421" s="14">
        <v>0</v>
      </c>
      <c r="AH1421" s="19">
        <f t="shared" si="206"/>
        <v>0</v>
      </c>
      <c r="AJ1421" s="126" t="e">
        <v>#N/A</v>
      </c>
      <c r="AK1421" s="80">
        <f t="shared" si="215"/>
        <v>0</v>
      </c>
      <c r="AM1421" s="85"/>
    </row>
    <row r="1422" spans="1:39" hidden="1" x14ac:dyDescent="0.3">
      <c r="A1422" s="85" t="s">
        <v>34</v>
      </c>
      <c r="B1422" s="15" t="s">
        <v>35</v>
      </c>
      <c r="C1422" s="15" t="s">
        <v>2059</v>
      </c>
      <c r="D1422" s="15" t="s">
        <v>298</v>
      </c>
      <c r="E1422" s="15" t="s">
        <v>2120</v>
      </c>
      <c r="F1422" s="15" t="s">
        <v>2121</v>
      </c>
      <c r="G1422" s="15" t="s">
        <v>2120</v>
      </c>
      <c r="H1422" s="139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2120</v>
      </c>
      <c r="N1422" s="15"/>
      <c r="O1422" s="8" t="s">
        <v>410</v>
      </c>
      <c r="P1422" s="8" t="s">
        <v>46</v>
      </c>
      <c r="Q1422" s="9">
        <v>0.04</v>
      </c>
      <c r="R1422" s="139" t="s">
        <v>2122</v>
      </c>
      <c r="S1422" s="15"/>
      <c r="T1422" s="18">
        <v>720.7599999999984</v>
      </c>
      <c r="U1422" s="4">
        <v>0</v>
      </c>
      <c r="V1422" s="6">
        <v>0</v>
      </c>
      <c r="W1422" s="18">
        <f t="shared" si="207"/>
        <v>720.7599999999984</v>
      </c>
      <c r="X1422" s="18">
        <f t="shared" si="209"/>
        <v>0</v>
      </c>
      <c r="Y1422" s="13">
        <f t="shared" si="211"/>
        <v>0</v>
      </c>
      <c r="Z1422" s="14">
        <v>0</v>
      </c>
      <c r="AA1422" s="4">
        <v>0</v>
      </c>
      <c r="AB1422" s="4">
        <f t="shared" si="212"/>
        <v>0</v>
      </c>
      <c r="AC1422" s="6">
        <f t="shared" si="213"/>
        <v>0</v>
      </c>
      <c r="AD1422" s="6">
        <f t="shared" si="210"/>
        <v>0</v>
      </c>
      <c r="AE1422" s="2">
        <v>7.0000000000000007E-2</v>
      </c>
      <c r="AF1422" s="5">
        <f t="shared" si="214"/>
        <v>0</v>
      </c>
      <c r="AG1422" s="14">
        <v>0</v>
      </c>
      <c r="AH1422" s="19">
        <f t="shared" si="206"/>
        <v>0</v>
      </c>
      <c r="AJ1422" s="126" t="e">
        <v>#N/A</v>
      </c>
      <c r="AK1422" s="80">
        <f t="shared" si="215"/>
        <v>0</v>
      </c>
      <c r="AM1422" s="85"/>
    </row>
    <row r="1423" spans="1:39" hidden="1" x14ac:dyDescent="0.3">
      <c r="A1423" s="85" t="s">
        <v>34</v>
      </c>
      <c r="B1423" s="15" t="s">
        <v>35</v>
      </c>
      <c r="C1423" s="15" t="s">
        <v>2059</v>
      </c>
      <c r="D1423" s="15" t="s">
        <v>298</v>
      </c>
      <c r="E1423" s="15" t="s">
        <v>2123</v>
      </c>
      <c r="F1423" s="15" t="s">
        <v>2124</v>
      </c>
      <c r="G1423" s="15" t="s">
        <v>2123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2123</v>
      </c>
      <c r="N1423" s="15"/>
      <c r="O1423" s="8" t="s">
        <v>1196</v>
      </c>
      <c r="P1423" s="8" t="s">
        <v>46</v>
      </c>
      <c r="Q1423" s="9">
        <v>0.12</v>
      </c>
      <c r="R1423" s="139" t="s">
        <v>2125</v>
      </c>
      <c r="S1423" s="15"/>
      <c r="T1423" s="18">
        <v>120.71</v>
      </c>
      <c r="U1423" s="4">
        <v>0</v>
      </c>
      <c r="V1423" s="6">
        <v>0</v>
      </c>
      <c r="W1423" s="18">
        <f t="shared" si="207"/>
        <v>120.71</v>
      </c>
      <c r="X1423" s="18">
        <f t="shared" si="209"/>
        <v>0</v>
      </c>
      <c r="Y1423" s="13">
        <f t="shared" si="211"/>
        <v>0</v>
      </c>
      <c r="Z1423" s="14">
        <v>0</v>
      </c>
      <c r="AA1423" s="4">
        <v>0</v>
      </c>
      <c r="AB1423" s="4">
        <f t="shared" si="212"/>
        <v>0</v>
      </c>
      <c r="AC1423" s="6">
        <f t="shared" si="213"/>
        <v>0</v>
      </c>
      <c r="AD1423" s="6">
        <f t="shared" si="210"/>
        <v>0</v>
      </c>
      <c r="AE1423" s="2">
        <v>0.12</v>
      </c>
      <c r="AF1423" s="5">
        <f t="shared" si="214"/>
        <v>0</v>
      </c>
      <c r="AG1423" s="14">
        <v>0</v>
      </c>
      <c r="AH1423" s="19">
        <f t="shared" si="206"/>
        <v>0</v>
      </c>
      <c r="AJ1423" s="126" t="e">
        <v>#N/A</v>
      </c>
      <c r="AK1423" s="80">
        <f t="shared" si="215"/>
        <v>0</v>
      </c>
      <c r="AM1423" s="85"/>
    </row>
    <row r="1424" spans="1:39" hidden="1" x14ac:dyDescent="0.3">
      <c r="A1424" s="85" t="s">
        <v>34</v>
      </c>
      <c r="B1424" s="15" t="s">
        <v>35</v>
      </c>
      <c r="C1424" s="15" t="s">
        <v>2029</v>
      </c>
      <c r="D1424" s="15" t="s">
        <v>224</v>
      </c>
      <c r="E1424" s="15" t="s">
        <v>2126</v>
      </c>
      <c r="F1424" s="15" t="s">
        <v>2126</v>
      </c>
      <c r="G1424" s="15" t="s">
        <v>2126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2127</v>
      </c>
      <c r="N1424" s="15"/>
      <c r="O1424" s="8" t="s">
        <v>1196</v>
      </c>
      <c r="P1424" s="8" t="s">
        <v>46</v>
      </c>
      <c r="Q1424" s="9">
        <v>0.06</v>
      </c>
      <c r="R1424" s="139" t="s">
        <v>2128</v>
      </c>
      <c r="S1424" s="15"/>
      <c r="T1424" s="18">
        <v>0.100000000000023</v>
      </c>
      <c r="U1424" s="4">
        <v>0</v>
      </c>
      <c r="V1424" s="6">
        <v>0</v>
      </c>
      <c r="W1424" s="18">
        <f t="shared" si="207"/>
        <v>0.100000000000023</v>
      </c>
      <c r="X1424" s="18">
        <f t="shared" si="209"/>
        <v>0</v>
      </c>
      <c r="Y1424" s="13">
        <f t="shared" si="211"/>
        <v>0</v>
      </c>
      <c r="Z1424" s="14">
        <v>0</v>
      </c>
      <c r="AA1424" s="4">
        <v>0</v>
      </c>
      <c r="AB1424" s="4">
        <f t="shared" si="212"/>
        <v>0</v>
      </c>
      <c r="AC1424" s="6">
        <f t="shared" si="213"/>
        <v>0</v>
      </c>
      <c r="AD1424" s="6">
        <f t="shared" si="210"/>
        <v>0</v>
      </c>
      <c r="AE1424" s="2">
        <v>0.12</v>
      </c>
      <c r="AF1424" s="5">
        <f t="shared" si="214"/>
        <v>0</v>
      </c>
      <c r="AG1424" s="14">
        <v>0</v>
      </c>
      <c r="AH1424" s="19">
        <f t="shared" si="206"/>
        <v>0</v>
      </c>
      <c r="AJ1424" s="126" t="e">
        <v>#N/A</v>
      </c>
      <c r="AK1424" s="80">
        <f t="shared" si="215"/>
        <v>0</v>
      </c>
      <c r="AM1424" s="85"/>
    </row>
    <row r="1425" spans="1:39" hidden="1" x14ac:dyDescent="0.3">
      <c r="A1425" s="85" t="s">
        <v>34</v>
      </c>
      <c r="B1425" s="15" t="s">
        <v>35</v>
      </c>
      <c r="C1425" s="15" t="s">
        <v>164</v>
      </c>
      <c r="D1425" s="15" t="s">
        <v>165</v>
      </c>
      <c r="E1425" s="15" t="s">
        <v>1538</v>
      </c>
      <c r="F1425" s="15" t="s">
        <v>1538</v>
      </c>
      <c r="G1425" s="15" t="s">
        <v>1538</v>
      </c>
      <c r="H1425" s="154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1539</v>
      </c>
      <c r="N1425" s="15"/>
      <c r="O1425" s="8" t="s">
        <v>1196</v>
      </c>
      <c r="P1425" s="8" t="s">
        <v>41</v>
      </c>
      <c r="Q1425" s="9">
        <v>0</v>
      </c>
      <c r="R1425" s="139" t="s">
        <v>1540</v>
      </c>
      <c r="S1425" s="15"/>
      <c r="T1425" s="18">
        <v>-1687064.88754</v>
      </c>
      <c r="U1425" s="4">
        <v>0</v>
      </c>
      <c r="V1425" s="6">
        <v>0.73272000000000004</v>
      </c>
      <c r="W1425" s="18">
        <f t="shared" si="207"/>
        <v>-1687065.62026</v>
      </c>
      <c r="X1425" s="18">
        <f t="shared" si="209"/>
        <v>0.73272000000000004</v>
      </c>
      <c r="Y1425" s="13">
        <f t="shared" si="211"/>
        <v>0.29385350584020958</v>
      </c>
      <c r="Z1425" s="14">
        <v>0</v>
      </c>
      <c r="AA1425" s="4">
        <v>0</v>
      </c>
      <c r="AB1425" s="4">
        <f t="shared" si="212"/>
        <v>0.73272000000000004</v>
      </c>
      <c r="AC1425" s="6">
        <f t="shared" si="213"/>
        <v>0</v>
      </c>
      <c r="AD1425" s="6">
        <f t="shared" si="210"/>
        <v>0.43886649415979045</v>
      </c>
      <c r="AE1425" s="2">
        <v>0.12</v>
      </c>
      <c r="AF1425" s="5">
        <f t="shared" si="214"/>
        <v>5.2663979299174851E-2</v>
      </c>
      <c r="AG1425" s="14">
        <v>0</v>
      </c>
      <c r="AH1425" s="19">
        <f t="shared" si="206"/>
        <v>0.73272000000000004</v>
      </c>
      <c r="AJ1425" s="126" t="e">
        <v>#N/A</v>
      </c>
      <c r="AK1425" s="80">
        <f t="shared" si="215"/>
        <v>0</v>
      </c>
      <c r="AM1425" s="85"/>
    </row>
    <row r="1426" spans="1:39" hidden="1" x14ac:dyDescent="0.3">
      <c r="A1426" s="85" t="s">
        <v>34</v>
      </c>
      <c r="B1426" s="15" t="s">
        <v>35</v>
      </c>
      <c r="C1426" s="15" t="s">
        <v>164</v>
      </c>
      <c r="D1426" s="15" t="s">
        <v>165</v>
      </c>
      <c r="E1426" s="15" t="s">
        <v>1538</v>
      </c>
      <c r="F1426" s="15" t="s">
        <v>1538</v>
      </c>
      <c r="G1426" s="15" t="s">
        <v>1538</v>
      </c>
      <c r="H1426" s="154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1539</v>
      </c>
      <c r="N1426" s="15"/>
      <c r="O1426" s="8" t="s">
        <v>941</v>
      </c>
      <c r="P1426" s="8" t="s">
        <v>41</v>
      </c>
      <c r="Q1426" s="9">
        <v>0</v>
      </c>
      <c r="R1426" s="139" t="s">
        <v>1540</v>
      </c>
      <c r="S1426" s="15"/>
      <c r="T1426" s="18">
        <v>-1855134.0867900001</v>
      </c>
      <c r="U1426" s="4">
        <v>0</v>
      </c>
      <c r="V1426" s="6">
        <v>1.27871</v>
      </c>
      <c r="W1426" s="18">
        <f t="shared" si="207"/>
        <v>-1855135.3655000001</v>
      </c>
      <c r="X1426" s="18">
        <f t="shared" si="209"/>
        <v>1.27871</v>
      </c>
      <c r="Y1426" s="13">
        <f t="shared" si="211"/>
        <v>0.51281992637424179</v>
      </c>
      <c r="Z1426" s="14">
        <v>0</v>
      </c>
      <c r="AA1426" s="4">
        <v>0</v>
      </c>
      <c r="AB1426" s="4">
        <f t="shared" si="212"/>
        <v>1.27871</v>
      </c>
      <c r="AC1426" s="6">
        <f t="shared" si="213"/>
        <v>0</v>
      </c>
      <c r="AD1426" s="6">
        <f t="shared" si="210"/>
        <v>0.76589007362575823</v>
      </c>
      <c r="AE1426" s="2">
        <v>0.15</v>
      </c>
      <c r="AF1426" s="5">
        <f t="shared" si="214"/>
        <v>0.11488351104386373</v>
      </c>
      <c r="AG1426" s="14">
        <v>0</v>
      </c>
      <c r="AH1426" s="19">
        <f t="shared" si="206"/>
        <v>1.27871</v>
      </c>
      <c r="AJ1426" s="126" t="e">
        <v>#N/A</v>
      </c>
      <c r="AK1426" s="80">
        <f t="shared" si="215"/>
        <v>0</v>
      </c>
      <c r="AM1426" s="85"/>
    </row>
    <row r="1427" spans="1:39" hidden="1" x14ac:dyDescent="0.3">
      <c r="A1427" s="85" t="s">
        <v>34</v>
      </c>
      <c r="B1427" s="15" t="s">
        <v>35</v>
      </c>
      <c r="C1427" s="15" t="s">
        <v>164</v>
      </c>
      <c r="D1427" s="15" t="s">
        <v>165</v>
      </c>
      <c r="E1427" s="15" t="s">
        <v>1538</v>
      </c>
      <c r="F1427" s="15" t="s">
        <v>1538</v>
      </c>
      <c r="G1427" s="15" t="s">
        <v>1538</v>
      </c>
      <c r="H1427" s="154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1539</v>
      </c>
      <c r="N1427" s="15"/>
      <c r="O1427" s="8" t="s">
        <v>2054</v>
      </c>
      <c r="P1427" s="8" t="s">
        <v>41</v>
      </c>
      <c r="Q1427" s="9">
        <v>0</v>
      </c>
      <c r="R1427" s="139" t="s">
        <v>1540</v>
      </c>
      <c r="S1427" s="15"/>
      <c r="T1427" s="18">
        <v>-78646.313989999995</v>
      </c>
      <c r="U1427" s="4">
        <v>0</v>
      </c>
      <c r="V1427" s="6">
        <v>0.26506999999999997</v>
      </c>
      <c r="W1427" s="18">
        <f t="shared" si="207"/>
        <v>-78646.579059999989</v>
      </c>
      <c r="X1427" s="18">
        <f t="shared" si="209"/>
        <v>0.26506999999999997</v>
      </c>
      <c r="Y1427" s="13">
        <f t="shared" si="211"/>
        <v>0.10630493065982141</v>
      </c>
      <c r="Z1427" s="14">
        <v>0</v>
      </c>
      <c r="AA1427" s="4">
        <v>0</v>
      </c>
      <c r="AB1427" s="4">
        <f t="shared" si="212"/>
        <v>0.26506999999999997</v>
      </c>
      <c r="AC1427" s="6">
        <f t="shared" si="213"/>
        <v>0</v>
      </c>
      <c r="AD1427" s="6">
        <f t="shared" si="210"/>
        <v>0.15876506934017856</v>
      </c>
      <c r="AE1427" s="2">
        <v>0.12</v>
      </c>
      <c r="AF1427" s="5">
        <f t="shared" si="214"/>
        <v>1.9051808320821425E-2</v>
      </c>
      <c r="AG1427" s="14">
        <v>0</v>
      </c>
      <c r="AH1427" s="19">
        <f t="shared" si="206"/>
        <v>0.26506999999999997</v>
      </c>
      <c r="AJ1427" s="126" t="e">
        <v>#N/A</v>
      </c>
      <c r="AK1427" s="80">
        <f t="shared" si="215"/>
        <v>0</v>
      </c>
      <c r="AM1427" s="85"/>
    </row>
    <row r="1428" spans="1:39" hidden="1" x14ac:dyDescent="0.3">
      <c r="A1428" s="85" t="s">
        <v>34</v>
      </c>
      <c r="B1428" s="15" t="s">
        <v>35</v>
      </c>
      <c r="C1428" s="15" t="s">
        <v>164</v>
      </c>
      <c r="D1428" s="15" t="s">
        <v>165</v>
      </c>
      <c r="E1428" s="15" t="s">
        <v>1538</v>
      </c>
      <c r="F1428" s="15" t="s">
        <v>1538</v>
      </c>
      <c r="G1428" s="15" t="s">
        <v>1538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2129</v>
      </c>
      <c r="N1428" s="15"/>
      <c r="O1428" s="8" t="s">
        <v>410</v>
      </c>
      <c r="P1428" s="8" t="s">
        <v>46</v>
      </c>
      <c r="Q1428" s="9">
        <v>0.01</v>
      </c>
      <c r="R1428" s="139" t="s">
        <v>2130</v>
      </c>
      <c r="S1428" s="15"/>
      <c r="T1428" s="18">
        <v>59364.5</v>
      </c>
      <c r="U1428" s="4">
        <v>0</v>
      </c>
      <c r="V1428" s="6">
        <v>0</v>
      </c>
      <c r="W1428" s="18">
        <f t="shared" si="207"/>
        <v>59364.5</v>
      </c>
      <c r="X1428" s="18">
        <f t="shared" si="209"/>
        <v>0</v>
      </c>
      <c r="Y1428" s="13">
        <f t="shared" si="211"/>
        <v>0</v>
      </c>
      <c r="Z1428" s="14">
        <v>0</v>
      </c>
      <c r="AA1428" s="4">
        <v>0</v>
      </c>
      <c r="AB1428" s="4">
        <f t="shared" si="212"/>
        <v>0</v>
      </c>
      <c r="AC1428" s="6">
        <f t="shared" si="213"/>
        <v>0</v>
      </c>
      <c r="AD1428" s="6">
        <f t="shared" si="210"/>
        <v>0</v>
      </c>
      <c r="AE1428" s="2">
        <v>7.0000000000000007E-2</v>
      </c>
      <c r="AF1428" s="5">
        <f t="shared" si="214"/>
        <v>0</v>
      </c>
      <c r="AG1428" s="14">
        <v>0</v>
      </c>
      <c r="AH1428" s="19">
        <f t="shared" si="206"/>
        <v>0</v>
      </c>
      <c r="AJ1428" s="126" t="e">
        <v>#N/A</v>
      </c>
      <c r="AK1428" s="80">
        <f t="shared" si="215"/>
        <v>0</v>
      </c>
      <c r="AM1428" s="85"/>
    </row>
    <row r="1429" spans="1:39" hidden="1" x14ac:dyDescent="0.3">
      <c r="A1429" s="85" t="s">
        <v>34</v>
      </c>
      <c r="B1429" s="15" t="s">
        <v>35</v>
      </c>
      <c r="C1429" s="15" t="s">
        <v>164</v>
      </c>
      <c r="D1429" s="15" t="s">
        <v>165</v>
      </c>
      <c r="E1429" s="15" t="s">
        <v>1538</v>
      </c>
      <c r="F1429" s="15" t="s">
        <v>1538</v>
      </c>
      <c r="G1429" s="15" t="s">
        <v>1538</v>
      </c>
      <c r="H1429" s="139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2131</v>
      </c>
      <c r="N1429" s="15"/>
      <c r="O1429" s="8" t="s">
        <v>410</v>
      </c>
      <c r="P1429" s="8" t="s">
        <v>46</v>
      </c>
      <c r="Q1429" s="9">
        <v>0.01</v>
      </c>
      <c r="R1429" s="139" t="s">
        <v>2132</v>
      </c>
      <c r="S1429" s="15"/>
      <c r="T1429" s="18">
        <v>73906.899999999994</v>
      </c>
      <c r="U1429" s="4">
        <v>0</v>
      </c>
      <c r="V1429" s="6">
        <v>0</v>
      </c>
      <c r="W1429" s="18">
        <f t="shared" si="207"/>
        <v>73906.899999999994</v>
      </c>
      <c r="X1429" s="18">
        <f t="shared" si="209"/>
        <v>0</v>
      </c>
      <c r="Y1429" s="13">
        <f t="shared" si="211"/>
        <v>0</v>
      </c>
      <c r="Z1429" s="14">
        <v>0</v>
      </c>
      <c r="AA1429" s="4">
        <v>0</v>
      </c>
      <c r="AB1429" s="4">
        <f t="shared" si="212"/>
        <v>0</v>
      </c>
      <c r="AC1429" s="6">
        <f t="shared" si="213"/>
        <v>0</v>
      </c>
      <c r="AD1429" s="6">
        <f t="shared" si="210"/>
        <v>0</v>
      </c>
      <c r="AE1429" s="2">
        <v>7.0000000000000007E-2</v>
      </c>
      <c r="AF1429" s="5">
        <f t="shared" si="214"/>
        <v>0</v>
      </c>
      <c r="AG1429" s="14">
        <v>0</v>
      </c>
      <c r="AH1429" s="19">
        <f t="shared" ref="AH1429:AH1492" si="216">V1429</f>
        <v>0</v>
      </c>
      <c r="AJ1429" s="126" t="e">
        <v>#N/A</v>
      </c>
      <c r="AK1429" s="80">
        <f t="shared" si="215"/>
        <v>0</v>
      </c>
      <c r="AM1429" s="85"/>
    </row>
    <row r="1430" spans="1:39" hidden="1" x14ac:dyDescent="0.3">
      <c r="A1430" s="85" t="s">
        <v>34</v>
      </c>
      <c r="B1430" s="15" t="s">
        <v>35</v>
      </c>
      <c r="C1430" s="15" t="s">
        <v>164</v>
      </c>
      <c r="D1430" s="15" t="s">
        <v>165</v>
      </c>
      <c r="E1430" s="15" t="s">
        <v>1538</v>
      </c>
      <c r="F1430" s="15" t="s">
        <v>1538</v>
      </c>
      <c r="G1430" s="15" t="s">
        <v>1538</v>
      </c>
      <c r="H1430" s="139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1538</v>
      </c>
      <c r="N1430" s="15"/>
      <c r="O1430" s="8" t="s">
        <v>410</v>
      </c>
      <c r="P1430" s="8" t="s">
        <v>46</v>
      </c>
      <c r="Q1430" s="9">
        <v>0.01</v>
      </c>
      <c r="R1430" s="139" t="s">
        <v>2133</v>
      </c>
      <c r="S1430" s="15"/>
      <c r="T1430" s="18">
        <v>21552</v>
      </c>
      <c r="U1430" s="4">
        <v>0</v>
      </c>
      <c r="V1430" s="6">
        <v>0</v>
      </c>
      <c r="W1430" s="18">
        <f t="shared" si="207"/>
        <v>21552</v>
      </c>
      <c r="X1430" s="18">
        <f t="shared" si="209"/>
        <v>0</v>
      </c>
      <c r="Y1430" s="13">
        <f t="shared" si="211"/>
        <v>0</v>
      </c>
      <c r="Z1430" s="14">
        <v>0</v>
      </c>
      <c r="AA1430" s="4">
        <v>0</v>
      </c>
      <c r="AB1430" s="4">
        <f t="shared" si="212"/>
        <v>0</v>
      </c>
      <c r="AC1430" s="6">
        <f t="shared" si="213"/>
        <v>0</v>
      </c>
      <c r="AD1430" s="6">
        <f t="shared" si="210"/>
        <v>0</v>
      </c>
      <c r="AE1430" s="2">
        <v>7.0000000000000007E-2</v>
      </c>
      <c r="AF1430" s="5">
        <f t="shared" si="214"/>
        <v>0</v>
      </c>
      <c r="AG1430" s="14">
        <v>0</v>
      </c>
      <c r="AH1430" s="19">
        <f t="shared" si="216"/>
        <v>0</v>
      </c>
      <c r="AJ1430" s="126" t="e">
        <v>#N/A</v>
      </c>
      <c r="AK1430" s="80">
        <f t="shared" si="215"/>
        <v>0</v>
      </c>
      <c r="AM1430" s="85"/>
    </row>
    <row r="1431" spans="1:39" hidden="1" x14ac:dyDescent="0.3">
      <c r="A1431" s="85" t="s">
        <v>34</v>
      </c>
      <c r="B1431" s="15" t="s">
        <v>35</v>
      </c>
      <c r="C1431" s="15" t="s">
        <v>2029</v>
      </c>
      <c r="D1431" s="15" t="s">
        <v>54</v>
      </c>
      <c r="E1431" s="15" t="s">
        <v>55</v>
      </c>
      <c r="F1431" s="15" t="s">
        <v>55</v>
      </c>
      <c r="G1431" s="15" t="s">
        <v>55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55</v>
      </c>
      <c r="N1431" s="15"/>
      <c r="O1431" s="8" t="s">
        <v>941</v>
      </c>
      <c r="P1431" s="8" t="s">
        <v>41</v>
      </c>
      <c r="Q1431" s="9">
        <v>0</v>
      </c>
      <c r="R1431" s="139" t="s">
        <v>1869</v>
      </c>
      <c r="S1431" s="15"/>
      <c r="T1431" s="18">
        <v>-7905515.2958499994</v>
      </c>
      <c r="U1431" s="4">
        <v>0</v>
      </c>
      <c r="V1431" s="6">
        <v>0</v>
      </c>
      <c r="W1431" s="18">
        <f t="shared" si="207"/>
        <v>-7905515.2958499994</v>
      </c>
      <c r="X1431" s="18">
        <f t="shared" si="209"/>
        <v>0</v>
      </c>
      <c r="Y1431" s="13">
        <f t="shared" si="211"/>
        <v>0</v>
      </c>
      <c r="Z1431" s="14">
        <v>0</v>
      </c>
      <c r="AA1431" s="4">
        <v>0</v>
      </c>
      <c r="AB1431" s="4">
        <f t="shared" si="212"/>
        <v>0</v>
      </c>
      <c r="AC1431" s="6">
        <f t="shared" si="213"/>
        <v>0</v>
      </c>
      <c r="AD1431" s="6">
        <f t="shared" si="210"/>
        <v>0</v>
      </c>
      <c r="AE1431" s="2">
        <v>0.15</v>
      </c>
      <c r="AF1431" s="5">
        <f t="shared" si="214"/>
        <v>0</v>
      </c>
      <c r="AG1431" s="14">
        <v>0</v>
      </c>
      <c r="AH1431" s="19">
        <f t="shared" si="216"/>
        <v>0</v>
      </c>
      <c r="AJ1431" s="126" t="e">
        <v>#N/A</v>
      </c>
      <c r="AK1431" s="80">
        <f t="shared" si="215"/>
        <v>0</v>
      </c>
      <c r="AM1431" s="85"/>
    </row>
    <row r="1432" spans="1:39" hidden="1" x14ac:dyDescent="0.3">
      <c r="A1432" s="85" t="s">
        <v>34</v>
      </c>
      <c r="B1432" s="15" t="s">
        <v>35</v>
      </c>
      <c r="C1432" s="15" t="s">
        <v>2059</v>
      </c>
      <c r="D1432" s="15" t="s">
        <v>744</v>
      </c>
      <c r="E1432" s="15" t="s">
        <v>854</v>
      </c>
      <c r="F1432" s="15" t="s">
        <v>854</v>
      </c>
      <c r="G1432" s="15" t="s">
        <v>854</v>
      </c>
      <c r="H1432" s="139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2134</v>
      </c>
      <c r="N1432" s="15"/>
      <c r="O1432" s="8" t="s">
        <v>1196</v>
      </c>
      <c r="P1432" s="8" t="s">
        <v>46</v>
      </c>
      <c r="Q1432" s="9">
        <v>0.08</v>
      </c>
      <c r="R1432" s="139" t="s">
        <v>2135</v>
      </c>
      <c r="S1432" s="15"/>
      <c r="T1432" s="18">
        <v>9.6800000000100699</v>
      </c>
      <c r="U1432" s="4">
        <v>0</v>
      </c>
      <c r="V1432" s="6">
        <v>0</v>
      </c>
      <c r="W1432" s="18">
        <f t="shared" ref="W1432:W1495" si="217">T1432+U1432-V1432</f>
        <v>9.6800000000100699</v>
      </c>
      <c r="X1432" s="18">
        <f t="shared" si="209"/>
        <v>0</v>
      </c>
      <c r="Y1432" s="13">
        <f t="shared" si="211"/>
        <v>0</v>
      </c>
      <c r="Z1432" s="14">
        <v>0</v>
      </c>
      <c r="AA1432" s="4">
        <v>0</v>
      </c>
      <c r="AB1432" s="4"/>
      <c r="AC1432" s="6">
        <f t="shared" si="213"/>
        <v>0</v>
      </c>
      <c r="AD1432" s="6">
        <f t="shared" si="210"/>
        <v>0</v>
      </c>
      <c r="AE1432" s="2">
        <v>0.12</v>
      </c>
      <c r="AF1432" s="5">
        <f t="shared" si="214"/>
        <v>0</v>
      </c>
      <c r="AG1432" s="14">
        <v>0</v>
      </c>
      <c r="AH1432" s="19">
        <f t="shared" si="216"/>
        <v>0</v>
      </c>
      <c r="AJ1432" s="126">
        <v>31</v>
      </c>
      <c r="AK1432" s="80">
        <f t="shared" si="215"/>
        <v>0</v>
      </c>
      <c r="AM1432" s="85"/>
    </row>
    <row r="1433" spans="1:39" hidden="1" x14ac:dyDescent="0.3">
      <c r="A1433" s="85" t="s">
        <v>34</v>
      </c>
      <c r="B1433" s="15" t="s">
        <v>35</v>
      </c>
      <c r="C1433" s="15" t="s">
        <v>65</v>
      </c>
      <c r="D1433" s="15" t="s">
        <v>122</v>
      </c>
      <c r="E1433" s="15" t="s">
        <v>2136</v>
      </c>
      <c r="F1433" s="15" t="s">
        <v>2136</v>
      </c>
      <c r="G1433" s="15" t="s">
        <v>2136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2136</v>
      </c>
      <c r="N1433" s="15"/>
      <c r="O1433" s="8" t="s">
        <v>1196</v>
      </c>
      <c r="P1433" s="8" t="s">
        <v>46</v>
      </c>
      <c r="Q1433" s="9">
        <v>0.1</v>
      </c>
      <c r="R1433" s="139" t="s">
        <v>2137</v>
      </c>
      <c r="S1433" s="15"/>
      <c r="T1433" s="18">
        <v>5.0000000001034599E-2</v>
      </c>
      <c r="U1433" s="4">
        <v>0</v>
      </c>
      <c r="V1433" s="6">
        <v>0</v>
      </c>
      <c r="W1433" s="18">
        <f t="shared" si="217"/>
        <v>5.0000000001034599E-2</v>
      </c>
      <c r="X1433" s="18">
        <f t="shared" si="209"/>
        <v>0</v>
      </c>
      <c r="Y1433" s="13">
        <f t="shared" si="211"/>
        <v>0</v>
      </c>
      <c r="Z1433" s="14">
        <v>0</v>
      </c>
      <c r="AA1433" s="4">
        <v>0</v>
      </c>
      <c r="AB1433" s="4">
        <f t="shared" si="212"/>
        <v>0</v>
      </c>
      <c r="AC1433" s="6">
        <f t="shared" si="213"/>
        <v>0</v>
      </c>
      <c r="AD1433" s="6">
        <f t="shared" si="210"/>
        <v>0</v>
      </c>
      <c r="AE1433" s="2">
        <v>0.12</v>
      </c>
      <c r="AF1433" s="5">
        <f t="shared" si="214"/>
        <v>0</v>
      </c>
      <c r="AG1433" s="14">
        <v>0</v>
      </c>
      <c r="AH1433" s="19">
        <f t="shared" si="216"/>
        <v>0</v>
      </c>
      <c r="AJ1433" s="126" t="e">
        <v>#N/A</v>
      </c>
      <c r="AK1433" s="80">
        <f t="shared" si="215"/>
        <v>0</v>
      </c>
      <c r="AM1433" s="85"/>
    </row>
    <row r="1434" spans="1:39" hidden="1" x14ac:dyDescent="0.3">
      <c r="A1434" s="85" t="s">
        <v>34</v>
      </c>
      <c r="B1434" s="15" t="s">
        <v>35</v>
      </c>
      <c r="C1434" s="15" t="s">
        <v>65</v>
      </c>
      <c r="D1434" s="15" t="s">
        <v>122</v>
      </c>
      <c r="E1434" s="15" t="s">
        <v>2138</v>
      </c>
      <c r="F1434" s="15" t="s">
        <v>2138</v>
      </c>
      <c r="G1434" s="15" t="s">
        <v>2138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2139</v>
      </c>
      <c r="N1434" s="15"/>
      <c r="O1434" s="8" t="s">
        <v>410</v>
      </c>
      <c r="P1434" s="8" t="s">
        <v>41</v>
      </c>
      <c r="Q1434" s="9">
        <v>0</v>
      </c>
      <c r="R1434" s="139" t="s">
        <v>2140</v>
      </c>
      <c r="S1434" s="15"/>
      <c r="T1434" s="18">
        <v>492.7</v>
      </c>
      <c r="U1434" s="4">
        <v>0</v>
      </c>
      <c r="V1434" s="6">
        <v>0</v>
      </c>
      <c r="W1434" s="18">
        <f t="shared" si="217"/>
        <v>492.7</v>
      </c>
      <c r="X1434" s="18">
        <f t="shared" si="209"/>
        <v>0</v>
      </c>
      <c r="Y1434" s="13">
        <f t="shared" si="211"/>
        <v>0</v>
      </c>
      <c r="Z1434" s="14">
        <v>0</v>
      </c>
      <c r="AA1434" s="4">
        <v>0</v>
      </c>
      <c r="AB1434" s="4">
        <f t="shared" si="212"/>
        <v>0</v>
      </c>
      <c r="AC1434" s="6">
        <f t="shared" si="213"/>
        <v>0</v>
      </c>
      <c r="AD1434" s="6">
        <f t="shared" si="210"/>
        <v>0</v>
      </c>
      <c r="AE1434" s="2">
        <v>7.0000000000000007E-2</v>
      </c>
      <c r="AF1434" s="5">
        <f t="shared" si="214"/>
        <v>0</v>
      </c>
      <c r="AG1434" s="14">
        <v>0</v>
      </c>
      <c r="AH1434" s="19">
        <f t="shared" si="216"/>
        <v>0</v>
      </c>
      <c r="AJ1434" s="126" t="e">
        <v>#N/A</v>
      </c>
      <c r="AK1434" s="80">
        <f t="shared" si="215"/>
        <v>0</v>
      </c>
      <c r="AM1434" s="85"/>
    </row>
    <row r="1435" spans="1:39" hidden="1" x14ac:dyDescent="0.3">
      <c r="A1435" s="85" t="s">
        <v>34</v>
      </c>
      <c r="B1435" s="15" t="s">
        <v>35</v>
      </c>
      <c r="C1435" s="15" t="s">
        <v>65</v>
      </c>
      <c r="D1435" s="15" t="s">
        <v>122</v>
      </c>
      <c r="E1435" s="15" t="s">
        <v>2141</v>
      </c>
      <c r="F1435" s="15" t="s">
        <v>2141</v>
      </c>
      <c r="G1435" s="15" t="s">
        <v>2141</v>
      </c>
      <c r="H1435" s="139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2142</v>
      </c>
      <c r="N1435" s="15"/>
      <c r="O1435" s="8" t="s">
        <v>410</v>
      </c>
      <c r="P1435" s="8" t="s">
        <v>41</v>
      </c>
      <c r="Q1435" s="9">
        <v>0</v>
      </c>
      <c r="R1435" s="139" t="s">
        <v>2143</v>
      </c>
      <c r="S1435" s="15"/>
      <c r="T1435" s="18">
        <v>16886.5</v>
      </c>
      <c r="U1435" s="4">
        <v>0</v>
      </c>
      <c r="V1435" s="6">
        <v>0</v>
      </c>
      <c r="W1435" s="18">
        <f t="shared" si="217"/>
        <v>16886.5</v>
      </c>
      <c r="X1435" s="18">
        <f t="shared" si="209"/>
        <v>0</v>
      </c>
      <c r="Y1435" s="13">
        <f t="shared" si="211"/>
        <v>0</v>
      </c>
      <c r="Z1435" s="14">
        <v>0</v>
      </c>
      <c r="AA1435" s="4">
        <v>0</v>
      </c>
      <c r="AB1435" s="4">
        <f t="shared" si="212"/>
        <v>0</v>
      </c>
      <c r="AC1435" s="6">
        <f t="shared" si="213"/>
        <v>0</v>
      </c>
      <c r="AD1435" s="6">
        <f t="shared" si="210"/>
        <v>0</v>
      </c>
      <c r="AE1435" s="2">
        <v>7.0000000000000007E-2</v>
      </c>
      <c r="AF1435" s="5">
        <f t="shared" si="214"/>
        <v>0</v>
      </c>
      <c r="AG1435" s="14">
        <v>0</v>
      </c>
      <c r="AH1435" s="19">
        <f t="shared" si="216"/>
        <v>0</v>
      </c>
      <c r="AJ1435" s="126" t="e">
        <v>#N/A</v>
      </c>
      <c r="AK1435" s="80">
        <f t="shared" si="215"/>
        <v>0</v>
      </c>
      <c r="AM1435" s="85"/>
    </row>
    <row r="1436" spans="1:39" hidden="1" x14ac:dyDescent="0.3">
      <c r="A1436" s="85" t="s">
        <v>34</v>
      </c>
      <c r="B1436" s="15" t="s">
        <v>35</v>
      </c>
      <c r="C1436" s="15" t="s">
        <v>65</v>
      </c>
      <c r="D1436" s="15" t="s">
        <v>125</v>
      </c>
      <c r="E1436" s="15" t="s">
        <v>2144</v>
      </c>
      <c r="F1436" s="15" t="s">
        <v>2144</v>
      </c>
      <c r="G1436" s="15" t="s">
        <v>2144</v>
      </c>
      <c r="H1436" s="154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2144</v>
      </c>
      <c r="N1436" s="15"/>
      <c r="O1436" s="8" t="s">
        <v>410</v>
      </c>
      <c r="P1436" s="8" t="s">
        <v>46</v>
      </c>
      <c r="Q1436" s="9">
        <v>0.04</v>
      </c>
      <c r="R1436" s="139" t="s">
        <v>2145</v>
      </c>
      <c r="S1436" s="15"/>
      <c r="T1436" s="18">
        <v>360.9399999999996</v>
      </c>
      <c r="U1436" s="4">
        <v>0</v>
      </c>
      <c r="V1436" s="6">
        <v>357.5</v>
      </c>
      <c r="W1436" s="18">
        <f t="shared" si="217"/>
        <v>3.4399999999995998</v>
      </c>
      <c r="X1436" s="18">
        <f t="shared" si="209"/>
        <v>343.75</v>
      </c>
      <c r="Y1436" s="13">
        <f t="shared" si="211"/>
        <v>129.62349647597298</v>
      </c>
      <c r="Z1436" s="14">
        <v>0</v>
      </c>
      <c r="AA1436" s="4">
        <v>0</v>
      </c>
      <c r="AB1436" s="4">
        <f t="shared" si="212"/>
        <v>343.75</v>
      </c>
      <c r="AC1436" s="6">
        <f t="shared" si="213"/>
        <v>13.75</v>
      </c>
      <c r="AD1436" s="6">
        <f t="shared" si="210"/>
        <v>214.12650352402702</v>
      </c>
      <c r="AE1436" s="2">
        <v>7.0000000000000007E-2</v>
      </c>
      <c r="AF1436" s="5">
        <f t="shared" si="214"/>
        <v>14.988855246681892</v>
      </c>
      <c r="AG1436" s="14">
        <v>0</v>
      </c>
      <c r="AH1436" s="19">
        <f t="shared" si="216"/>
        <v>357.5</v>
      </c>
      <c r="AJ1436" s="126" t="e">
        <v>#N/A</v>
      </c>
      <c r="AK1436" s="80">
        <f t="shared" si="215"/>
        <v>0</v>
      </c>
      <c r="AM1436" s="85"/>
    </row>
    <row r="1437" spans="1:39" hidden="1" x14ac:dyDescent="0.3">
      <c r="A1437" s="85" t="s">
        <v>34</v>
      </c>
      <c r="B1437" s="15" t="s">
        <v>35</v>
      </c>
      <c r="C1437" s="15" t="s">
        <v>65</v>
      </c>
      <c r="D1437" s="15" t="s">
        <v>125</v>
      </c>
      <c r="E1437" s="15" t="s">
        <v>1286</v>
      </c>
      <c r="F1437" s="15" t="s">
        <v>1286</v>
      </c>
      <c r="G1437" s="15" t="s">
        <v>1286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2146</v>
      </c>
      <c r="N1437" s="15"/>
      <c r="O1437" s="8" t="s">
        <v>410</v>
      </c>
      <c r="P1437" s="8" t="s">
        <v>46</v>
      </c>
      <c r="Q1437" s="9">
        <v>0.01</v>
      </c>
      <c r="R1437" s="139" t="s">
        <v>2147</v>
      </c>
      <c r="S1437" s="15"/>
      <c r="T1437" s="18">
        <v>184.4</v>
      </c>
      <c r="U1437" s="4">
        <v>0</v>
      </c>
      <c r="V1437" s="6">
        <v>0</v>
      </c>
      <c r="W1437" s="18">
        <f t="shared" si="217"/>
        <v>184.4</v>
      </c>
      <c r="X1437" s="18">
        <f t="shared" si="209"/>
        <v>0</v>
      </c>
      <c r="Y1437" s="13">
        <f t="shared" si="211"/>
        <v>0</v>
      </c>
      <c r="Z1437" s="14">
        <v>0</v>
      </c>
      <c r="AA1437" s="4">
        <v>0</v>
      </c>
      <c r="AB1437" s="4">
        <f t="shared" si="212"/>
        <v>0</v>
      </c>
      <c r="AC1437" s="6">
        <f t="shared" si="213"/>
        <v>0</v>
      </c>
      <c r="AD1437" s="6">
        <f t="shared" si="210"/>
        <v>0</v>
      </c>
      <c r="AE1437" s="2">
        <v>7.0000000000000007E-2</v>
      </c>
      <c r="AF1437" s="5">
        <f t="shared" si="214"/>
        <v>0</v>
      </c>
      <c r="AG1437" s="14">
        <v>0</v>
      </c>
      <c r="AH1437" s="19">
        <f t="shared" si="216"/>
        <v>0</v>
      </c>
      <c r="AJ1437" s="126" t="e">
        <v>#N/A</v>
      </c>
      <c r="AK1437" s="80">
        <f t="shared" si="215"/>
        <v>0</v>
      </c>
      <c r="AM1437" s="85"/>
    </row>
    <row r="1438" spans="1:39" hidden="1" x14ac:dyDescent="0.3">
      <c r="A1438" s="85" t="s">
        <v>34</v>
      </c>
      <c r="B1438" s="15" t="s">
        <v>35</v>
      </c>
      <c r="C1438" s="15" t="s">
        <v>65</v>
      </c>
      <c r="D1438" s="15" t="s">
        <v>125</v>
      </c>
      <c r="E1438" s="15" t="s">
        <v>1903</v>
      </c>
      <c r="F1438" s="15" t="s">
        <v>1904</v>
      </c>
      <c r="G1438" s="15" t="s">
        <v>1903</v>
      </c>
      <c r="H1438" s="139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2148</v>
      </c>
      <c r="N1438" s="15"/>
      <c r="O1438" s="8" t="s">
        <v>1196</v>
      </c>
      <c r="P1438" s="8" t="s">
        <v>41</v>
      </c>
      <c r="Q1438" s="9">
        <v>0</v>
      </c>
      <c r="R1438" s="139" t="s">
        <v>1906</v>
      </c>
      <c r="S1438" s="15"/>
      <c r="T1438" s="18">
        <v>-1028420.64298</v>
      </c>
      <c r="U1438" s="4">
        <v>0</v>
      </c>
      <c r="V1438" s="6">
        <v>0</v>
      </c>
      <c r="W1438" s="18">
        <f t="shared" si="217"/>
        <v>-1028420.64298</v>
      </c>
      <c r="X1438" s="18">
        <f t="shared" si="209"/>
        <v>0</v>
      </c>
      <c r="Y1438" s="13">
        <f t="shared" si="211"/>
        <v>0</v>
      </c>
      <c r="Z1438" s="14">
        <v>0</v>
      </c>
      <c r="AA1438" s="4">
        <v>0</v>
      </c>
      <c r="AB1438" s="4">
        <f t="shared" si="212"/>
        <v>0</v>
      </c>
      <c r="AC1438" s="6">
        <f t="shared" si="213"/>
        <v>0</v>
      </c>
      <c r="AD1438" s="6">
        <f t="shared" si="210"/>
        <v>0</v>
      </c>
      <c r="AE1438" s="2">
        <v>0.12</v>
      </c>
      <c r="AF1438" s="5">
        <f t="shared" si="214"/>
        <v>0</v>
      </c>
      <c r="AG1438" s="14">
        <v>0</v>
      </c>
      <c r="AH1438" s="19">
        <f t="shared" si="216"/>
        <v>0</v>
      </c>
      <c r="AJ1438" s="126" t="e">
        <v>#N/A</v>
      </c>
      <c r="AK1438" s="80">
        <f t="shared" si="215"/>
        <v>0</v>
      </c>
      <c r="AM1438" s="85"/>
    </row>
    <row r="1439" spans="1:39" hidden="1" x14ac:dyDescent="0.3">
      <c r="A1439" s="85" t="s">
        <v>34</v>
      </c>
      <c r="B1439" s="15" t="s">
        <v>35</v>
      </c>
      <c r="C1439" s="15" t="s">
        <v>65</v>
      </c>
      <c r="D1439" s="15" t="s">
        <v>125</v>
      </c>
      <c r="E1439" s="15" t="s">
        <v>1903</v>
      </c>
      <c r="F1439" s="15" t="s">
        <v>1904</v>
      </c>
      <c r="G1439" s="15" t="s">
        <v>1903</v>
      </c>
      <c r="H1439" s="139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2148</v>
      </c>
      <c r="N1439" s="15"/>
      <c r="O1439" s="8" t="s">
        <v>941</v>
      </c>
      <c r="P1439" s="8" t="s">
        <v>41</v>
      </c>
      <c r="Q1439" s="9">
        <v>0</v>
      </c>
      <c r="R1439" s="139" t="s">
        <v>1906</v>
      </c>
      <c r="S1439" s="15"/>
      <c r="T1439" s="18">
        <v>-1595747.2432499998</v>
      </c>
      <c r="U1439" s="4">
        <v>0</v>
      </c>
      <c r="V1439" s="6">
        <v>0</v>
      </c>
      <c r="W1439" s="18">
        <f t="shared" si="217"/>
        <v>-1595747.2432499998</v>
      </c>
      <c r="X1439" s="18">
        <f t="shared" si="209"/>
        <v>0</v>
      </c>
      <c r="Y1439" s="13">
        <f t="shared" si="211"/>
        <v>0</v>
      </c>
      <c r="Z1439" s="14">
        <v>0</v>
      </c>
      <c r="AA1439" s="4">
        <v>0</v>
      </c>
      <c r="AB1439" s="4">
        <f t="shared" si="212"/>
        <v>0</v>
      </c>
      <c r="AC1439" s="6">
        <f t="shared" si="213"/>
        <v>0</v>
      </c>
      <c r="AD1439" s="6">
        <f t="shared" si="210"/>
        <v>0</v>
      </c>
      <c r="AE1439" s="2">
        <v>0.15</v>
      </c>
      <c r="AF1439" s="5">
        <f t="shared" si="214"/>
        <v>0</v>
      </c>
      <c r="AG1439" s="14">
        <v>0</v>
      </c>
      <c r="AH1439" s="19">
        <f t="shared" si="216"/>
        <v>0</v>
      </c>
      <c r="AJ1439" s="126" t="e">
        <v>#N/A</v>
      </c>
      <c r="AK1439" s="80">
        <f t="shared" si="215"/>
        <v>0</v>
      </c>
      <c r="AM1439" s="85"/>
    </row>
    <row r="1440" spans="1:39" hidden="1" x14ac:dyDescent="0.3">
      <c r="A1440" s="85" t="s">
        <v>34</v>
      </c>
      <c r="B1440" s="15" t="s">
        <v>35</v>
      </c>
      <c r="C1440" s="15" t="s">
        <v>65</v>
      </c>
      <c r="D1440" s="15" t="s">
        <v>125</v>
      </c>
      <c r="E1440" s="15" t="s">
        <v>1903</v>
      </c>
      <c r="F1440" s="15" t="s">
        <v>1904</v>
      </c>
      <c r="G1440" s="15" t="s">
        <v>1903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2148</v>
      </c>
      <c r="N1440" s="15"/>
      <c r="O1440" s="8" t="s">
        <v>2054</v>
      </c>
      <c r="P1440" s="8" t="s">
        <v>41</v>
      </c>
      <c r="Q1440" s="9">
        <v>0</v>
      </c>
      <c r="R1440" s="139" t="s">
        <v>1906</v>
      </c>
      <c r="S1440" s="15"/>
      <c r="T1440" s="18">
        <v>-144447.58701999995</v>
      </c>
      <c r="U1440" s="4">
        <v>0</v>
      </c>
      <c r="V1440" s="6">
        <v>0</v>
      </c>
      <c r="W1440" s="18">
        <f t="shared" si="217"/>
        <v>-144447.58701999995</v>
      </c>
      <c r="X1440" s="18">
        <f t="shared" si="209"/>
        <v>0</v>
      </c>
      <c r="Y1440" s="13">
        <f t="shared" si="211"/>
        <v>0</v>
      </c>
      <c r="Z1440" s="14">
        <v>0</v>
      </c>
      <c r="AA1440" s="4">
        <v>0</v>
      </c>
      <c r="AB1440" s="4">
        <f t="shared" si="212"/>
        <v>0</v>
      </c>
      <c r="AC1440" s="6">
        <f t="shared" si="213"/>
        <v>0</v>
      </c>
      <c r="AD1440" s="6">
        <f t="shared" si="210"/>
        <v>0</v>
      </c>
      <c r="AE1440" s="2">
        <v>0.12</v>
      </c>
      <c r="AF1440" s="5">
        <f t="shared" si="214"/>
        <v>0</v>
      </c>
      <c r="AG1440" s="14">
        <v>0</v>
      </c>
      <c r="AH1440" s="19">
        <f t="shared" si="216"/>
        <v>0</v>
      </c>
      <c r="AJ1440" s="126" t="e">
        <v>#N/A</v>
      </c>
      <c r="AK1440" s="80">
        <f t="shared" si="215"/>
        <v>0</v>
      </c>
      <c r="AM1440" s="85"/>
    </row>
    <row r="1441" spans="1:39" hidden="1" x14ac:dyDescent="0.3">
      <c r="A1441" s="85" t="s">
        <v>34</v>
      </c>
      <c r="B1441" s="15" t="s">
        <v>35</v>
      </c>
      <c r="C1441" s="15" t="s">
        <v>47</v>
      </c>
      <c r="D1441" s="15" t="s">
        <v>878</v>
      </c>
      <c r="E1441" s="15" t="s">
        <v>155</v>
      </c>
      <c r="F1441" s="15" t="s">
        <v>155</v>
      </c>
      <c r="G1441" s="15" t="s">
        <v>155</v>
      </c>
      <c r="H1441" s="139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155</v>
      </c>
      <c r="N1441" s="15"/>
      <c r="O1441" s="8" t="s">
        <v>410</v>
      </c>
      <c r="P1441" s="8" t="s">
        <v>41</v>
      </c>
      <c r="Q1441" s="9">
        <v>0</v>
      </c>
      <c r="R1441" s="139" t="s">
        <v>2149</v>
      </c>
      <c r="S1441" s="15"/>
      <c r="T1441" s="18">
        <v>34.220000000000255</v>
      </c>
      <c r="U1441" s="4">
        <v>0</v>
      </c>
      <c r="V1441" s="6">
        <v>0</v>
      </c>
      <c r="W1441" s="18">
        <f t="shared" si="217"/>
        <v>34.220000000000255</v>
      </c>
      <c r="X1441" s="18">
        <f t="shared" si="209"/>
        <v>0</v>
      </c>
      <c r="Y1441" s="13">
        <f t="shared" si="211"/>
        <v>0</v>
      </c>
      <c r="Z1441" s="14">
        <v>0</v>
      </c>
      <c r="AA1441" s="4">
        <v>0</v>
      </c>
      <c r="AB1441" s="4">
        <f t="shared" si="212"/>
        <v>0</v>
      </c>
      <c r="AC1441" s="6">
        <f t="shared" si="213"/>
        <v>0</v>
      </c>
      <c r="AD1441" s="6">
        <f t="shared" si="210"/>
        <v>0</v>
      </c>
      <c r="AE1441" s="2">
        <v>7.0000000000000007E-2</v>
      </c>
      <c r="AF1441" s="5">
        <f t="shared" si="214"/>
        <v>0</v>
      </c>
      <c r="AG1441" s="14">
        <v>0</v>
      </c>
      <c r="AH1441" s="19">
        <f t="shared" si="216"/>
        <v>0</v>
      </c>
      <c r="AJ1441" s="126" t="e">
        <v>#N/A</v>
      </c>
      <c r="AK1441" s="80">
        <f t="shared" si="215"/>
        <v>0</v>
      </c>
      <c r="AM1441" s="85"/>
    </row>
    <row r="1442" spans="1:39" hidden="1" x14ac:dyDescent="0.3">
      <c r="A1442" s="85" t="s">
        <v>34</v>
      </c>
      <c r="B1442" s="15" t="s">
        <v>35</v>
      </c>
      <c r="C1442" s="15" t="s">
        <v>47</v>
      </c>
      <c r="D1442" s="15" t="s">
        <v>878</v>
      </c>
      <c r="E1442" s="15" t="s">
        <v>2150</v>
      </c>
      <c r="F1442" s="15" t="s">
        <v>2150</v>
      </c>
      <c r="G1442" s="15" t="s">
        <v>2150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2150</v>
      </c>
      <c r="N1442" s="15"/>
      <c r="O1442" s="8" t="s">
        <v>1196</v>
      </c>
      <c r="P1442" s="8" t="s">
        <v>46</v>
      </c>
      <c r="Q1442" s="9">
        <v>0.06</v>
      </c>
      <c r="R1442" s="139" t="s">
        <v>2151</v>
      </c>
      <c r="S1442" s="15"/>
      <c r="T1442" s="18">
        <v>0.24000000000523899</v>
      </c>
      <c r="U1442" s="4">
        <v>0</v>
      </c>
      <c r="V1442" s="6">
        <v>0</v>
      </c>
      <c r="W1442" s="18">
        <f t="shared" si="217"/>
        <v>0.24000000000523899</v>
      </c>
      <c r="X1442" s="18">
        <f t="shared" si="209"/>
        <v>0</v>
      </c>
      <c r="Y1442" s="13">
        <f t="shared" si="211"/>
        <v>0</v>
      </c>
      <c r="Z1442" s="14">
        <v>0</v>
      </c>
      <c r="AA1442" s="4">
        <v>0</v>
      </c>
      <c r="AB1442" s="4">
        <f t="shared" si="212"/>
        <v>0</v>
      </c>
      <c r="AC1442" s="6">
        <f t="shared" si="213"/>
        <v>0</v>
      </c>
      <c r="AD1442" s="6">
        <f t="shared" si="210"/>
        <v>0</v>
      </c>
      <c r="AE1442" s="2">
        <v>0.12</v>
      </c>
      <c r="AF1442" s="5">
        <f t="shared" si="214"/>
        <v>0</v>
      </c>
      <c r="AG1442" s="14">
        <v>0</v>
      </c>
      <c r="AH1442" s="19">
        <f t="shared" si="216"/>
        <v>0</v>
      </c>
      <c r="AJ1442" s="126" t="e">
        <v>#N/A</v>
      </c>
      <c r="AK1442" s="80">
        <f t="shared" si="215"/>
        <v>0</v>
      </c>
      <c r="AM1442" s="85"/>
    </row>
    <row r="1443" spans="1:39" hidden="1" x14ac:dyDescent="0.3">
      <c r="A1443" s="85" t="s">
        <v>34</v>
      </c>
      <c r="B1443" s="15" t="s">
        <v>35</v>
      </c>
      <c r="C1443" s="15" t="s">
        <v>47</v>
      </c>
      <c r="D1443" s="15" t="s">
        <v>878</v>
      </c>
      <c r="E1443" s="15" t="s">
        <v>2035</v>
      </c>
      <c r="F1443" s="15" t="s">
        <v>2035</v>
      </c>
      <c r="G1443" s="15" t="s">
        <v>2035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2152</v>
      </c>
      <c r="N1443" s="15"/>
      <c r="O1443" s="8" t="s">
        <v>410</v>
      </c>
      <c r="P1443" s="8" t="s">
        <v>46</v>
      </c>
      <c r="Q1443" s="9">
        <v>0.03</v>
      </c>
      <c r="R1443" s="139" t="s">
        <v>2153</v>
      </c>
      <c r="S1443" s="15"/>
      <c r="T1443" s="18">
        <v>0.59999999999945397</v>
      </c>
      <c r="U1443" s="4">
        <v>0</v>
      </c>
      <c r="V1443" s="6">
        <v>0</v>
      </c>
      <c r="W1443" s="18">
        <f t="shared" si="217"/>
        <v>0.59999999999945397</v>
      </c>
      <c r="X1443" s="18">
        <f t="shared" si="209"/>
        <v>0</v>
      </c>
      <c r="Y1443" s="13">
        <f t="shared" si="211"/>
        <v>0</v>
      </c>
      <c r="Z1443" s="14">
        <v>0</v>
      </c>
      <c r="AA1443" s="4">
        <v>0</v>
      </c>
      <c r="AB1443" s="4">
        <f t="shared" si="212"/>
        <v>0</v>
      </c>
      <c r="AC1443" s="6">
        <f t="shared" si="213"/>
        <v>0</v>
      </c>
      <c r="AD1443" s="6">
        <f t="shared" si="210"/>
        <v>0</v>
      </c>
      <c r="AE1443" s="2">
        <v>7.0000000000000007E-2</v>
      </c>
      <c r="AF1443" s="5">
        <f t="shared" si="214"/>
        <v>0</v>
      </c>
      <c r="AG1443" s="14">
        <v>0</v>
      </c>
      <c r="AH1443" s="19">
        <f t="shared" si="216"/>
        <v>0</v>
      </c>
      <c r="AJ1443" s="126" t="e">
        <v>#N/A</v>
      </c>
      <c r="AK1443" s="80">
        <f t="shared" si="215"/>
        <v>0</v>
      </c>
      <c r="AM1443" s="85"/>
    </row>
    <row r="1444" spans="1:39" hidden="1" x14ac:dyDescent="0.3">
      <c r="A1444" s="85" t="s">
        <v>34</v>
      </c>
      <c r="B1444" s="15" t="s">
        <v>35</v>
      </c>
      <c r="C1444" s="15" t="s">
        <v>47</v>
      </c>
      <c r="D1444" s="15" t="s">
        <v>878</v>
      </c>
      <c r="E1444" s="15" t="s">
        <v>2154</v>
      </c>
      <c r="F1444" s="15" t="s">
        <v>2154</v>
      </c>
      <c r="G1444" s="15" t="s">
        <v>2154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2155</v>
      </c>
      <c r="N1444" s="15"/>
      <c r="O1444" s="8" t="s">
        <v>1196</v>
      </c>
      <c r="P1444" s="8" t="s">
        <v>46</v>
      </c>
      <c r="Q1444" s="9">
        <v>0.08</v>
      </c>
      <c r="R1444" s="139" t="s">
        <v>2156</v>
      </c>
      <c r="S1444" s="15"/>
      <c r="T1444" s="18">
        <v>5.3500000000301497</v>
      </c>
      <c r="U1444" s="4">
        <v>0</v>
      </c>
      <c r="V1444" s="6">
        <v>0</v>
      </c>
      <c r="W1444" s="18">
        <f t="shared" si="217"/>
        <v>5.3500000000301497</v>
      </c>
      <c r="X1444" s="18">
        <f t="shared" si="209"/>
        <v>0</v>
      </c>
      <c r="Y1444" s="13">
        <f t="shared" si="211"/>
        <v>0</v>
      </c>
      <c r="Z1444" s="14">
        <v>0</v>
      </c>
      <c r="AA1444" s="4">
        <v>0</v>
      </c>
      <c r="AB1444" s="4"/>
      <c r="AC1444" s="6">
        <f t="shared" si="213"/>
        <v>0</v>
      </c>
      <c r="AD1444" s="6">
        <f t="shared" si="210"/>
        <v>0</v>
      </c>
      <c r="AE1444" s="2">
        <v>0.12</v>
      </c>
      <c r="AF1444" s="5">
        <f t="shared" si="214"/>
        <v>0</v>
      </c>
      <c r="AG1444" s="14">
        <v>0</v>
      </c>
      <c r="AH1444" s="19">
        <f t="shared" si="216"/>
        <v>0</v>
      </c>
      <c r="AJ1444" s="126">
        <v>62</v>
      </c>
      <c r="AK1444" s="80">
        <f t="shared" si="215"/>
        <v>0</v>
      </c>
      <c r="AM1444" s="85"/>
    </row>
    <row r="1445" spans="1:39" hidden="1" x14ac:dyDescent="0.3">
      <c r="A1445" s="85" t="s">
        <v>34</v>
      </c>
      <c r="B1445" s="15" t="s">
        <v>35</v>
      </c>
      <c r="C1445" s="15" t="s">
        <v>47</v>
      </c>
      <c r="D1445" s="15" t="s">
        <v>1317</v>
      </c>
      <c r="E1445" s="15" t="s">
        <v>2157</v>
      </c>
      <c r="F1445" s="15" t="s">
        <v>2157</v>
      </c>
      <c r="G1445" s="15" t="s">
        <v>2157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2157</v>
      </c>
      <c r="N1445" s="15"/>
      <c r="O1445" s="8" t="s">
        <v>410</v>
      </c>
      <c r="P1445" s="8" t="s">
        <v>46</v>
      </c>
      <c r="Q1445" s="9">
        <v>0.03</v>
      </c>
      <c r="R1445" s="139" t="s">
        <v>2158</v>
      </c>
      <c r="S1445" s="15"/>
      <c r="T1445" s="18">
        <v>5541.4</v>
      </c>
      <c r="U1445" s="4">
        <v>0</v>
      </c>
      <c r="V1445" s="6">
        <v>0</v>
      </c>
      <c r="W1445" s="18">
        <f t="shared" si="217"/>
        <v>5541.4</v>
      </c>
      <c r="X1445" s="18">
        <f t="shared" si="209"/>
        <v>0</v>
      </c>
      <c r="Y1445" s="13">
        <f t="shared" si="211"/>
        <v>0</v>
      </c>
      <c r="Z1445" s="14">
        <v>0</v>
      </c>
      <c r="AA1445" s="4">
        <v>0</v>
      </c>
      <c r="AB1445" s="4">
        <f t="shared" si="212"/>
        <v>0</v>
      </c>
      <c r="AC1445" s="6">
        <f t="shared" si="213"/>
        <v>0</v>
      </c>
      <c r="AD1445" s="6">
        <f t="shared" si="210"/>
        <v>0</v>
      </c>
      <c r="AE1445" s="2">
        <v>7.0000000000000007E-2</v>
      </c>
      <c r="AF1445" s="5">
        <f t="shared" si="214"/>
        <v>0</v>
      </c>
      <c r="AG1445" s="14">
        <v>0</v>
      </c>
      <c r="AH1445" s="19">
        <f t="shared" si="216"/>
        <v>0</v>
      </c>
      <c r="AJ1445" s="126" t="e">
        <v>#N/A</v>
      </c>
      <c r="AK1445" s="80">
        <f t="shared" si="215"/>
        <v>0</v>
      </c>
      <c r="AM1445" s="85"/>
    </row>
    <row r="1446" spans="1:39" hidden="1" x14ac:dyDescent="0.3">
      <c r="A1446" s="85" t="s">
        <v>34</v>
      </c>
      <c r="B1446" s="15" t="s">
        <v>35</v>
      </c>
      <c r="C1446" s="15" t="s">
        <v>47</v>
      </c>
      <c r="D1446" s="15" t="s">
        <v>1317</v>
      </c>
      <c r="E1446" s="15" t="s">
        <v>2159</v>
      </c>
      <c r="F1446" s="15" t="s">
        <v>2159</v>
      </c>
      <c r="G1446" s="15" t="s">
        <v>2159</v>
      </c>
      <c r="H1446" s="139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2160</v>
      </c>
      <c r="N1446" s="15"/>
      <c r="O1446" s="8" t="s">
        <v>1196</v>
      </c>
      <c r="P1446" s="8" t="s">
        <v>46</v>
      </c>
      <c r="Q1446" s="9">
        <v>0.08</v>
      </c>
      <c r="R1446" s="139" t="s">
        <v>2161</v>
      </c>
      <c r="S1446" s="15"/>
      <c r="T1446" s="18">
        <v>589.11</v>
      </c>
      <c r="U1446" s="4">
        <v>0</v>
      </c>
      <c r="V1446" s="6">
        <v>0</v>
      </c>
      <c r="W1446" s="18">
        <f t="shared" si="217"/>
        <v>589.11</v>
      </c>
      <c r="X1446" s="18">
        <f t="shared" ref="X1446:X1509" si="218">IF(P1446="折扣",V1446*Q1446,IF(P1446="返现",V1446,V1446/(1+Q1446)))</f>
        <v>0</v>
      </c>
      <c r="Y1446" s="13">
        <f t="shared" si="211"/>
        <v>0</v>
      </c>
      <c r="Z1446" s="14">
        <v>0</v>
      </c>
      <c r="AA1446" s="4">
        <v>0</v>
      </c>
      <c r="AB1446" s="4">
        <f t="shared" si="212"/>
        <v>0</v>
      </c>
      <c r="AC1446" s="6">
        <f t="shared" si="213"/>
        <v>0</v>
      </c>
      <c r="AD1446" s="6">
        <f t="shared" si="210"/>
        <v>0</v>
      </c>
      <c r="AE1446" s="2">
        <v>0.12</v>
      </c>
      <c r="AF1446" s="5">
        <f t="shared" si="214"/>
        <v>0</v>
      </c>
      <c r="AG1446" s="14">
        <v>0</v>
      </c>
      <c r="AH1446" s="19">
        <f t="shared" si="216"/>
        <v>0</v>
      </c>
      <c r="AJ1446" s="126" t="e">
        <v>#N/A</v>
      </c>
      <c r="AK1446" s="80">
        <f t="shared" si="215"/>
        <v>0</v>
      </c>
      <c r="AM1446" s="85"/>
    </row>
    <row r="1447" spans="1:39" hidden="1" x14ac:dyDescent="0.3">
      <c r="A1447" s="85" t="s">
        <v>34</v>
      </c>
      <c r="B1447" s="15" t="s">
        <v>35</v>
      </c>
      <c r="C1447" s="15" t="s">
        <v>47</v>
      </c>
      <c r="D1447" s="15" t="s">
        <v>1317</v>
      </c>
      <c r="E1447" s="15" t="s">
        <v>2162</v>
      </c>
      <c r="F1447" s="15" t="s">
        <v>2162</v>
      </c>
      <c r="G1447" s="15" t="s">
        <v>2162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2162</v>
      </c>
      <c r="N1447" s="15"/>
      <c r="O1447" s="8" t="s">
        <v>410</v>
      </c>
      <c r="P1447" s="8" t="s">
        <v>41</v>
      </c>
      <c r="Q1447" s="9">
        <v>0</v>
      </c>
      <c r="R1447" s="139" t="s">
        <v>2163</v>
      </c>
      <c r="S1447" s="15"/>
      <c r="T1447" s="18">
        <v>593.24</v>
      </c>
      <c r="U1447" s="4">
        <v>0</v>
      </c>
      <c r="V1447" s="6">
        <v>0</v>
      </c>
      <c r="W1447" s="18">
        <f t="shared" si="217"/>
        <v>593.24</v>
      </c>
      <c r="X1447" s="18">
        <f t="shared" si="218"/>
        <v>0</v>
      </c>
      <c r="Y1447" s="13">
        <f t="shared" si="211"/>
        <v>0</v>
      </c>
      <c r="Z1447" s="14">
        <v>0</v>
      </c>
      <c r="AA1447" s="4">
        <v>0</v>
      </c>
      <c r="AB1447" s="4">
        <f t="shared" si="212"/>
        <v>0</v>
      </c>
      <c r="AC1447" s="6">
        <f t="shared" si="213"/>
        <v>0</v>
      </c>
      <c r="AD1447" s="6">
        <f t="shared" si="210"/>
        <v>0</v>
      </c>
      <c r="AE1447" s="2">
        <v>7.0000000000000007E-2</v>
      </c>
      <c r="AF1447" s="5">
        <f t="shared" si="214"/>
        <v>0</v>
      </c>
      <c r="AG1447" s="14">
        <v>0</v>
      </c>
      <c r="AH1447" s="19">
        <f t="shared" si="216"/>
        <v>0</v>
      </c>
      <c r="AJ1447" s="126" t="e">
        <v>#N/A</v>
      </c>
      <c r="AK1447" s="80">
        <f t="shared" si="215"/>
        <v>0</v>
      </c>
      <c r="AM1447" s="85"/>
    </row>
    <row r="1448" spans="1:39" hidden="1" x14ac:dyDescent="0.3">
      <c r="A1448" s="85" t="s">
        <v>34</v>
      </c>
      <c r="B1448" s="15" t="s">
        <v>35</v>
      </c>
      <c r="C1448" s="15" t="s">
        <v>47</v>
      </c>
      <c r="D1448" s="15" t="s">
        <v>1317</v>
      </c>
      <c r="E1448" s="15" t="s">
        <v>2164</v>
      </c>
      <c r="F1448" s="15" t="s">
        <v>2164</v>
      </c>
      <c r="G1448" s="15" t="s">
        <v>2164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2164</v>
      </c>
      <c r="N1448" s="15"/>
      <c r="O1448" s="8" t="s">
        <v>1196</v>
      </c>
      <c r="P1448" s="8" t="s">
        <v>75</v>
      </c>
      <c r="Q1448" s="9">
        <v>0.09</v>
      </c>
      <c r="R1448" s="139" t="s">
        <v>2165</v>
      </c>
      <c r="S1448" s="15"/>
      <c r="T1448" s="18">
        <v>10.049999999999301</v>
      </c>
      <c r="U1448" s="4">
        <v>0</v>
      </c>
      <c r="V1448" s="6">
        <v>0</v>
      </c>
      <c r="W1448" s="18">
        <f t="shared" si="217"/>
        <v>10.049999999999301</v>
      </c>
      <c r="X1448" s="18">
        <f t="shared" si="218"/>
        <v>0</v>
      </c>
      <c r="Y1448" s="13">
        <f t="shared" si="211"/>
        <v>0</v>
      </c>
      <c r="Z1448" s="14">
        <v>0</v>
      </c>
      <c r="AA1448" s="4">
        <v>0</v>
      </c>
      <c r="AB1448" s="4"/>
      <c r="AC1448" s="6">
        <f t="shared" si="213"/>
        <v>0</v>
      </c>
      <c r="AD1448" s="6">
        <f t="shared" si="210"/>
        <v>0</v>
      </c>
      <c r="AE1448" s="2">
        <v>0.12</v>
      </c>
      <c r="AF1448" s="5">
        <f t="shared" si="214"/>
        <v>0</v>
      </c>
      <c r="AG1448" s="14">
        <v>0</v>
      </c>
      <c r="AH1448" s="19">
        <f t="shared" si="216"/>
        <v>0</v>
      </c>
      <c r="AJ1448" s="126">
        <v>64</v>
      </c>
      <c r="AK1448" s="80">
        <f t="shared" si="215"/>
        <v>0</v>
      </c>
      <c r="AM1448" s="85"/>
    </row>
    <row r="1449" spans="1:39" hidden="1" x14ac:dyDescent="0.3">
      <c r="A1449" s="85" t="s">
        <v>34</v>
      </c>
      <c r="B1449" s="15" t="s">
        <v>35</v>
      </c>
      <c r="C1449" s="15" t="s">
        <v>47</v>
      </c>
      <c r="D1449" s="15" t="s">
        <v>1317</v>
      </c>
      <c r="E1449" s="15" t="s">
        <v>2166</v>
      </c>
      <c r="F1449" s="15" t="s">
        <v>2166</v>
      </c>
      <c r="G1449" s="15" t="s">
        <v>2166</v>
      </c>
      <c r="H1449" s="139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2167</v>
      </c>
      <c r="N1449" s="15"/>
      <c r="O1449" s="8" t="s">
        <v>1196</v>
      </c>
      <c r="P1449" s="8" t="s">
        <v>75</v>
      </c>
      <c r="Q1449" s="9">
        <v>9.0899999999999995E-2</v>
      </c>
      <c r="R1449" s="139" t="s">
        <v>2168</v>
      </c>
      <c r="S1449" s="15"/>
      <c r="T1449" s="18">
        <v>9.8799999998882395</v>
      </c>
      <c r="U1449" s="4">
        <v>0</v>
      </c>
      <c r="V1449" s="6">
        <v>0</v>
      </c>
      <c r="W1449" s="18">
        <f t="shared" si="217"/>
        <v>9.8799999998882395</v>
      </c>
      <c r="X1449" s="18">
        <f t="shared" si="218"/>
        <v>0</v>
      </c>
      <c r="Y1449" s="13">
        <f t="shared" si="211"/>
        <v>0</v>
      </c>
      <c r="Z1449" s="14">
        <v>0</v>
      </c>
      <c r="AA1449" s="4">
        <v>0</v>
      </c>
      <c r="AB1449" s="4"/>
      <c r="AC1449" s="6">
        <f t="shared" si="213"/>
        <v>0</v>
      </c>
      <c r="AD1449" s="6">
        <f t="shared" si="210"/>
        <v>0</v>
      </c>
      <c r="AE1449" s="2">
        <v>0.12</v>
      </c>
      <c r="AF1449" s="5">
        <f t="shared" si="214"/>
        <v>0</v>
      </c>
      <c r="AG1449" s="14">
        <v>0</v>
      </c>
      <c r="AH1449" s="19">
        <f t="shared" si="216"/>
        <v>0</v>
      </c>
      <c r="AJ1449" s="126">
        <v>63</v>
      </c>
      <c r="AK1449" s="80">
        <f t="shared" si="215"/>
        <v>0</v>
      </c>
      <c r="AM1449" s="85"/>
    </row>
    <row r="1450" spans="1:39" hidden="1" x14ac:dyDescent="0.3">
      <c r="A1450" s="85" t="s">
        <v>34</v>
      </c>
      <c r="B1450" s="15" t="s">
        <v>35</v>
      </c>
      <c r="C1450" s="15" t="s">
        <v>47</v>
      </c>
      <c r="D1450" s="15" t="s">
        <v>63</v>
      </c>
      <c r="E1450" s="15" t="s">
        <v>536</v>
      </c>
      <c r="F1450" s="15" t="s">
        <v>536</v>
      </c>
      <c r="G1450" s="15" t="s">
        <v>536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2169</v>
      </c>
      <c r="N1450" s="15"/>
      <c r="O1450" s="8" t="s">
        <v>410</v>
      </c>
      <c r="P1450" s="8" t="s">
        <v>92</v>
      </c>
      <c r="Q1450" s="9">
        <v>0.98</v>
      </c>
      <c r="R1450" s="139" t="s">
        <v>2170</v>
      </c>
      <c r="S1450" s="15"/>
      <c r="T1450" s="18">
        <v>3015.2</v>
      </c>
      <c r="U1450" s="4">
        <v>0</v>
      </c>
      <c r="V1450" s="6">
        <v>0</v>
      </c>
      <c r="W1450" s="18">
        <f t="shared" si="217"/>
        <v>3015.2</v>
      </c>
      <c r="X1450" s="18">
        <f t="shared" si="218"/>
        <v>0</v>
      </c>
      <c r="Y1450" s="13">
        <f t="shared" si="211"/>
        <v>0</v>
      </c>
      <c r="Z1450" s="14">
        <v>0</v>
      </c>
      <c r="AA1450" s="4">
        <v>0</v>
      </c>
      <c r="AB1450" s="4">
        <f t="shared" si="212"/>
        <v>0</v>
      </c>
      <c r="AC1450" s="6">
        <f t="shared" si="213"/>
        <v>0</v>
      </c>
      <c r="AD1450" s="6">
        <f t="shared" si="210"/>
        <v>0</v>
      </c>
      <c r="AE1450" s="2">
        <v>7.0000000000000007E-2</v>
      </c>
      <c r="AF1450" s="5">
        <f t="shared" si="214"/>
        <v>0</v>
      </c>
      <c r="AG1450" s="14">
        <v>0</v>
      </c>
      <c r="AH1450" s="19">
        <f t="shared" si="216"/>
        <v>0</v>
      </c>
      <c r="AJ1450" s="126" t="e">
        <v>#N/A</v>
      </c>
      <c r="AK1450" s="80">
        <f t="shared" si="215"/>
        <v>0</v>
      </c>
      <c r="AM1450" s="85"/>
    </row>
    <row r="1451" spans="1:39" hidden="1" x14ac:dyDescent="0.3">
      <c r="A1451" s="85" t="s">
        <v>34</v>
      </c>
      <c r="B1451" s="15" t="s">
        <v>35</v>
      </c>
      <c r="C1451" s="15" t="s">
        <v>47</v>
      </c>
      <c r="D1451" s="15" t="s">
        <v>63</v>
      </c>
      <c r="E1451" s="15" t="s">
        <v>904</v>
      </c>
      <c r="F1451" s="15" t="s">
        <v>904</v>
      </c>
      <c r="G1451" s="15" t="s">
        <v>904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1329</v>
      </c>
      <c r="N1451" s="15"/>
      <c r="O1451" s="8" t="s">
        <v>410</v>
      </c>
      <c r="P1451" s="8" t="s">
        <v>92</v>
      </c>
      <c r="Q1451" s="9">
        <v>0.96</v>
      </c>
      <c r="R1451" s="139" t="s">
        <v>2171</v>
      </c>
      <c r="S1451" s="15"/>
      <c r="T1451" s="18">
        <v>1135.989999999998</v>
      </c>
      <c r="U1451" s="4">
        <v>0</v>
      </c>
      <c r="V1451" s="6">
        <v>0</v>
      </c>
      <c r="W1451" s="18">
        <f t="shared" si="217"/>
        <v>1135.989999999998</v>
      </c>
      <c r="X1451" s="18">
        <f t="shared" si="218"/>
        <v>0</v>
      </c>
      <c r="Y1451" s="13">
        <f t="shared" si="211"/>
        <v>0</v>
      </c>
      <c r="Z1451" s="14">
        <v>0</v>
      </c>
      <c r="AA1451" s="4">
        <v>0</v>
      </c>
      <c r="AB1451" s="4">
        <f t="shared" si="212"/>
        <v>0</v>
      </c>
      <c r="AC1451" s="6">
        <f t="shared" si="213"/>
        <v>0</v>
      </c>
      <c r="AD1451" s="6">
        <f t="shared" si="210"/>
        <v>0</v>
      </c>
      <c r="AE1451" s="2">
        <v>7.0000000000000007E-2</v>
      </c>
      <c r="AF1451" s="5">
        <f t="shared" si="214"/>
        <v>0</v>
      </c>
      <c r="AG1451" s="14">
        <v>0</v>
      </c>
      <c r="AH1451" s="19">
        <f t="shared" si="216"/>
        <v>0</v>
      </c>
      <c r="AJ1451" s="126" t="e">
        <v>#N/A</v>
      </c>
      <c r="AK1451" s="80">
        <f t="shared" si="215"/>
        <v>0</v>
      </c>
      <c r="AM1451" s="85"/>
    </row>
    <row r="1452" spans="1:39" hidden="1" x14ac:dyDescent="0.3">
      <c r="A1452" s="85" t="s">
        <v>34</v>
      </c>
      <c r="B1452" s="15" t="s">
        <v>35</v>
      </c>
      <c r="C1452" s="15" t="s">
        <v>47</v>
      </c>
      <c r="D1452" s="15" t="s">
        <v>63</v>
      </c>
      <c r="E1452" s="15" t="s">
        <v>2172</v>
      </c>
      <c r="F1452" s="15" t="s">
        <v>2173</v>
      </c>
      <c r="G1452" s="15" t="s">
        <v>2172</v>
      </c>
      <c r="H1452" s="139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2174</v>
      </c>
      <c r="N1452" s="15"/>
      <c r="O1452" s="8" t="s">
        <v>410</v>
      </c>
      <c r="P1452" s="8" t="s">
        <v>46</v>
      </c>
      <c r="Q1452" s="9">
        <v>0.02</v>
      </c>
      <c r="R1452" s="139" t="s">
        <v>2175</v>
      </c>
      <c r="S1452" s="15"/>
      <c r="T1452" s="18">
        <v>20021.52</v>
      </c>
      <c r="U1452" s="4">
        <v>0</v>
      </c>
      <c r="V1452" s="6">
        <v>0</v>
      </c>
      <c r="W1452" s="18">
        <f t="shared" si="217"/>
        <v>20021.52</v>
      </c>
      <c r="X1452" s="18">
        <f t="shared" si="218"/>
        <v>0</v>
      </c>
      <c r="Y1452" s="13">
        <f t="shared" si="211"/>
        <v>0</v>
      </c>
      <c r="Z1452" s="14">
        <v>0</v>
      </c>
      <c r="AA1452" s="4">
        <v>0</v>
      </c>
      <c r="AB1452" s="4">
        <f t="shared" si="212"/>
        <v>0</v>
      </c>
      <c r="AC1452" s="6">
        <f t="shared" si="213"/>
        <v>0</v>
      </c>
      <c r="AD1452" s="6">
        <f t="shared" si="210"/>
        <v>0</v>
      </c>
      <c r="AE1452" s="2">
        <v>7.0000000000000007E-2</v>
      </c>
      <c r="AF1452" s="5">
        <f t="shared" si="214"/>
        <v>0</v>
      </c>
      <c r="AG1452" s="14">
        <v>0</v>
      </c>
      <c r="AH1452" s="19">
        <f t="shared" si="216"/>
        <v>0</v>
      </c>
      <c r="AJ1452" s="126" t="e">
        <v>#N/A</v>
      </c>
      <c r="AK1452" s="80">
        <f t="shared" si="215"/>
        <v>0</v>
      </c>
      <c r="AM1452" s="85"/>
    </row>
    <row r="1453" spans="1:39" hidden="1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2176</v>
      </c>
      <c r="F1453" s="15" t="s">
        <v>2177</v>
      </c>
      <c r="G1453" s="15" t="s">
        <v>2176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2178</v>
      </c>
      <c r="N1453" s="15"/>
      <c r="O1453" s="8" t="s">
        <v>410</v>
      </c>
      <c r="P1453" s="8" t="s">
        <v>46</v>
      </c>
      <c r="Q1453" s="9">
        <v>0.02</v>
      </c>
      <c r="R1453" s="139" t="s">
        <v>2179</v>
      </c>
      <c r="S1453" s="15"/>
      <c r="T1453" s="18">
        <v>434.58</v>
      </c>
      <c r="U1453" s="4">
        <v>0</v>
      </c>
      <c r="V1453" s="6">
        <v>0</v>
      </c>
      <c r="W1453" s="18">
        <f t="shared" si="217"/>
        <v>434.58</v>
      </c>
      <c r="X1453" s="18">
        <f t="shared" si="218"/>
        <v>0</v>
      </c>
      <c r="Y1453" s="13">
        <f t="shared" si="211"/>
        <v>0</v>
      </c>
      <c r="Z1453" s="14">
        <v>0</v>
      </c>
      <c r="AA1453" s="4">
        <v>0</v>
      </c>
      <c r="AB1453" s="4">
        <f t="shared" si="212"/>
        <v>0</v>
      </c>
      <c r="AC1453" s="6">
        <f t="shared" si="213"/>
        <v>0</v>
      </c>
      <c r="AD1453" s="6">
        <f t="shared" si="210"/>
        <v>0</v>
      </c>
      <c r="AE1453" s="2">
        <v>7.0000000000000007E-2</v>
      </c>
      <c r="AF1453" s="5">
        <f t="shared" si="214"/>
        <v>0</v>
      </c>
      <c r="AG1453" s="14">
        <v>0</v>
      </c>
      <c r="AH1453" s="19">
        <f t="shared" si="216"/>
        <v>0</v>
      </c>
      <c r="AJ1453" s="126" t="e">
        <v>#N/A</v>
      </c>
      <c r="AK1453" s="80">
        <f t="shared" si="215"/>
        <v>0</v>
      </c>
      <c r="AM1453" s="85"/>
    </row>
    <row r="1454" spans="1:39" hidden="1" x14ac:dyDescent="0.3">
      <c r="A1454" s="85" t="s">
        <v>34</v>
      </c>
      <c r="B1454" s="15" t="s">
        <v>35</v>
      </c>
      <c r="C1454" s="15" t="s">
        <v>47</v>
      </c>
      <c r="D1454" s="15" t="s">
        <v>48</v>
      </c>
      <c r="E1454" s="15" t="s">
        <v>2180</v>
      </c>
      <c r="F1454" s="15" t="s">
        <v>2180</v>
      </c>
      <c r="G1454" s="15" t="s">
        <v>2180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2180</v>
      </c>
      <c r="N1454" s="15"/>
      <c r="O1454" s="8" t="s">
        <v>410</v>
      </c>
      <c r="P1454" s="8" t="s">
        <v>92</v>
      </c>
      <c r="Q1454" s="9">
        <v>0.98</v>
      </c>
      <c r="R1454" s="139" t="s">
        <v>2181</v>
      </c>
      <c r="S1454" s="15"/>
      <c r="T1454" s="18">
        <v>440.79999999998802</v>
      </c>
      <c r="U1454" s="4">
        <v>0</v>
      </c>
      <c r="V1454" s="6">
        <v>0</v>
      </c>
      <c r="W1454" s="18">
        <f t="shared" si="217"/>
        <v>440.79999999998802</v>
      </c>
      <c r="X1454" s="18">
        <f t="shared" si="218"/>
        <v>0</v>
      </c>
      <c r="Y1454" s="13">
        <f t="shared" si="211"/>
        <v>0</v>
      </c>
      <c r="Z1454" s="14">
        <v>0</v>
      </c>
      <c r="AA1454" s="4">
        <v>0</v>
      </c>
      <c r="AB1454" s="4">
        <f t="shared" si="212"/>
        <v>0</v>
      </c>
      <c r="AC1454" s="6">
        <f t="shared" si="213"/>
        <v>0</v>
      </c>
      <c r="AD1454" s="6">
        <f t="shared" si="210"/>
        <v>0</v>
      </c>
      <c r="AE1454" s="2">
        <v>7.0000000000000007E-2</v>
      </c>
      <c r="AF1454" s="5">
        <f t="shared" si="214"/>
        <v>0</v>
      </c>
      <c r="AG1454" s="14">
        <v>0</v>
      </c>
      <c r="AH1454" s="19">
        <f t="shared" si="216"/>
        <v>0</v>
      </c>
      <c r="AJ1454" s="126" t="e">
        <v>#N/A</v>
      </c>
      <c r="AK1454" s="80">
        <f t="shared" si="215"/>
        <v>0</v>
      </c>
      <c r="AM1454" s="85"/>
    </row>
    <row r="1455" spans="1:39" hidden="1" x14ac:dyDescent="0.3">
      <c r="A1455" s="85" t="s">
        <v>34</v>
      </c>
      <c r="B1455" s="15" t="s">
        <v>35</v>
      </c>
      <c r="C1455" s="15" t="s">
        <v>47</v>
      </c>
      <c r="D1455" s="15" t="s">
        <v>48</v>
      </c>
      <c r="E1455" s="15" t="s">
        <v>50</v>
      </c>
      <c r="F1455" s="15" t="s">
        <v>50</v>
      </c>
      <c r="G1455" s="15" t="s">
        <v>50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50</v>
      </c>
      <c r="N1455" s="15"/>
      <c r="O1455" s="8" t="s">
        <v>1196</v>
      </c>
      <c r="P1455" s="8" t="s">
        <v>41</v>
      </c>
      <c r="Q1455" s="9">
        <v>0</v>
      </c>
      <c r="R1455" s="139" t="s">
        <v>2085</v>
      </c>
      <c r="S1455" s="15"/>
      <c r="T1455" s="18">
        <v>4033.89</v>
      </c>
      <c r="U1455" s="4">
        <v>0</v>
      </c>
      <c r="V1455" s="6">
        <v>0</v>
      </c>
      <c r="W1455" s="18">
        <f t="shared" si="217"/>
        <v>4033.89</v>
      </c>
      <c r="X1455" s="18">
        <f t="shared" si="218"/>
        <v>0</v>
      </c>
      <c r="Y1455" s="13">
        <f t="shared" si="211"/>
        <v>0</v>
      </c>
      <c r="Z1455" s="14">
        <v>0</v>
      </c>
      <c r="AA1455" s="4">
        <v>0</v>
      </c>
      <c r="AB1455" s="4">
        <f t="shared" si="212"/>
        <v>0</v>
      </c>
      <c r="AC1455" s="6">
        <f t="shared" si="213"/>
        <v>0</v>
      </c>
      <c r="AD1455" s="6">
        <f t="shared" si="210"/>
        <v>0</v>
      </c>
      <c r="AE1455" s="2">
        <v>0.12</v>
      </c>
      <c r="AF1455" s="5">
        <f t="shared" si="214"/>
        <v>0</v>
      </c>
      <c r="AG1455" s="14">
        <v>0</v>
      </c>
      <c r="AH1455" s="19">
        <f t="shared" si="216"/>
        <v>0</v>
      </c>
      <c r="AJ1455" s="126" t="e">
        <v>#N/A</v>
      </c>
      <c r="AK1455" s="80">
        <f t="shared" si="215"/>
        <v>0</v>
      </c>
      <c r="AM1455" s="85"/>
    </row>
    <row r="1456" spans="1:39" hidden="1" x14ac:dyDescent="0.3">
      <c r="A1456" s="85" t="s">
        <v>34</v>
      </c>
      <c r="B1456" s="15" t="s">
        <v>35</v>
      </c>
      <c r="C1456" s="15" t="s">
        <v>47</v>
      </c>
      <c r="D1456" s="15" t="s">
        <v>48</v>
      </c>
      <c r="E1456" s="15" t="s">
        <v>2060</v>
      </c>
      <c r="F1456" s="15" t="s">
        <v>2060</v>
      </c>
      <c r="G1456" s="15" t="s">
        <v>2060</v>
      </c>
      <c r="H1456" s="139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2060</v>
      </c>
      <c r="N1456" s="15"/>
      <c r="O1456" s="8" t="s">
        <v>941</v>
      </c>
      <c r="P1456" s="8" t="s">
        <v>41</v>
      </c>
      <c r="Q1456" s="9">
        <v>0</v>
      </c>
      <c r="R1456" s="139" t="s">
        <v>2061</v>
      </c>
      <c r="S1456" s="15"/>
      <c r="T1456" s="18">
        <v>-801.2</v>
      </c>
      <c r="U1456" s="4">
        <v>0</v>
      </c>
      <c r="V1456" s="6">
        <v>0</v>
      </c>
      <c r="W1456" s="18">
        <f t="shared" si="217"/>
        <v>-801.2</v>
      </c>
      <c r="X1456" s="18">
        <f t="shared" si="218"/>
        <v>0</v>
      </c>
      <c r="Y1456" s="13">
        <f t="shared" si="211"/>
        <v>0</v>
      </c>
      <c r="Z1456" s="14">
        <v>0</v>
      </c>
      <c r="AA1456" s="4">
        <v>0</v>
      </c>
      <c r="AB1456" s="4">
        <f t="shared" si="212"/>
        <v>0</v>
      </c>
      <c r="AC1456" s="6">
        <f t="shared" si="213"/>
        <v>0</v>
      </c>
      <c r="AD1456" s="6">
        <f t="shared" si="210"/>
        <v>0</v>
      </c>
      <c r="AE1456" s="2">
        <v>0.15</v>
      </c>
      <c r="AF1456" s="5">
        <f t="shared" si="214"/>
        <v>0</v>
      </c>
      <c r="AG1456" s="14">
        <v>0</v>
      </c>
      <c r="AH1456" s="19">
        <f t="shared" si="216"/>
        <v>0</v>
      </c>
      <c r="AJ1456" s="126" t="e">
        <v>#N/A</v>
      </c>
      <c r="AK1456" s="80">
        <f t="shared" si="215"/>
        <v>0</v>
      </c>
      <c r="AM1456" s="85"/>
    </row>
    <row r="1457" spans="1:39" hidden="1" x14ac:dyDescent="0.3">
      <c r="A1457" s="85" t="s">
        <v>34</v>
      </c>
      <c r="B1457" s="15" t="s">
        <v>35</v>
      </c>
      <c r="C1457" s="15" t="s">
        <v>144</v>
      </c>
      <c r="D1457" s="15" t="s">
        <v>145</v>
      </c>
      <c r="E1457" s="15" t="s">
        <v>2182</v>
      </c>
      <c r="F1457" s="15" t="s">
        <v>2183</v>
      </c>
      <c r="G1457" s="15" t="s">
        <v>2182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2182</v>
      </c>
      <c r="N1457" s="15"/>
      <c r="O1457" s="8" t="s">
        <v>410</v>
      </c>
      <c r="P1457" s="8" t="s">
        <v>46</v>
      </c>
      <c r="Q1457" s="9">
        <v>0.02</v>
      </c>
      <c r="R1457" s="139" t="s">
        <v>2184</v>
      </c>
      <c r="S1457" s="15"/>
      <c r="T1457" s="18">
        <v>18770.099999999999</v>
      </c>
      <c r="U1457" s="4">
        <v>0</v>
      </c>
      <c r="V1457" s="6">
        <v>0</v>
      </c>
      <c r="W1457" s="18">
        <f t="shared" si="217"/>
        <v>18770.099999999999</v>
      </c>
      <c r="X1457" s="18">
        <f t="shared" si="218"/>
        <v>0</v>
      </c>
      <c r="Y1457" s="13">
        <f t="shared" si="211"/>
        <v>0</v>
      </c>
      <c r="Z1457" s="14">
        <v>0</v>
      </c>
      <c r="AA1457" s="4">
        <v>0</v>
      </c>
      <c r="AB1457" s="4">
        <f t="shared" si="212"/>
        <v>0</v>
      </c>
      <c r="AC1457" s="6">
        <f t="shared" si="213"/>
        <v>0</v>
      </c>
      <c r="AD1457" s="6">
        <f t="shared" si="210"/>
        <v>0</v>
      </c>
      <c r="AE1457" s="2">
        <v>7.0000000000000007E-2</v>
      </c>
      <c r="AF1457" s="5">
        <f t="shared" si="214"/>
        <v>0</v>
      </c>
      <c r="AG1457" s="14">
        <v>0</v>
      </c>
      <c r="AH1457" s="19">
        <f t="shared" si="216"/>
        <v>0</v>
      </c>
      <c r="AJ1457" s="126" t="e">
        <v>#N/A</v>
      </c>
      <c r="AK1457" s="80">
        <f t="shared" si="215"/>
        <v>0</v>
      </c>
      <c r="AM1457" s="85"/>
    </row>
    <row r="1458" spans="1:39" hidden="1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2185</v>
      </c>
      <c r="F1458" s="15" t="s">
        <v>2185</v>
      </c>
      <c r="G1458" s="15" t="s">
        <v>2185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2185</v>
      </c>
      <c r="N1458" s="15"/>
      <c r="O1458" s="8" t="s">
        <v>1196</v>
      </c>
      <c r="P1458" s="8" t="s">
        <v>41</v>
      </c>
      <c r="Q1458" s="9">
        <v>0</v>
      </c>
      <c r="R1458" s="139" t="s">
        <v>2186</v>
      </c>
      <c r="S1458" s="15"/>
      <c r="T1458" s="18">
        <v>67.989999999999995</v>
      </c>
      <c r="U1458" s="4">
        <v>0</v>
      </c>
      <c r="V1458" s="6">
        <v>0</v>
      </c>
      <c r="W1458" s="18">
        <f t="shared" si="217"/>
        <v>67.989999999999995</v>
      </c>
      <c r="X1458" s="18">
        <f t="shared" si="218"/>
        <v>0</v>
      </c>
      <c r="Y1458" s="13">
        <f t="shared" si="211"/>
        <v>0</v>
      </c>
      <c r="Z1458" s="14">
        <v>0</v>
      </c>
      <c r="AA1458" s="4">
        <v>0</v>
      </c>
      <c r="AB1458" s="4">
        <f t="shared" si="212"/>
        <v>0</v>
      </c>
      <c r="AC1458" s="6">
        <f t="shared" si="213"/>
        <v>0</v>
      </c>
      <c r="AD1458" s="6">
        <f t="shared" si="210"/>
        <v>0</v>
      </c>
      <c r="AE1458" s="2">
        <v>0.12</v>
      </c>
      <c r="AF1458" s="5">
        <f t="shared" si="214"/>
        <v>0</v>
      </c>
      <c r="AG1458" s="14">
        <v>0</v>
      </c>
      <c r="AH1458" s="19">
        <f t="shared" si="216"/>
        <v>0</v>
      </c>
      <c r="AJ1458" s="126" t="e">
        <v>#N/A</v>
      </c>
      <c r="AK1458" s="80">
        <f t="shared" si="215"/>
        <v>0</v>
      </c>
      <c r="AM1458" s="85"/>
    </row>
    <row r="1459" spans="1:39" hidden="1" x14ac:dyDescent="0.3">
      <c r="A1459" s="85" t="s">
        <v>34</v>
      </c>
      <c r="B1459" s="15" t="s">
        <v>35</v>
      </c>
      <c r="C1459" s="15" t="s">
        <v>144</v>
      </c>
      <c r="D1459" s="15" t="s">
        <v>145</v>
      </c>
      <c r="E1459" s="15" t="s">
        <v>2187</v>
      </c>
      <c r="F1459" s="15" t="s">
        <v>2187</v>
      </c>
      <c r="G1459" s="15" t="s">
        <v>2187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2187</v>
      </c>
      <c r="N1459" s="15"/>
      <c r="O1459" s="8" t="s">
        <v>1196</v>
      </c>
      <c r="P1459" s="8" t="s">
        <v>46</v>
      </c>
      <c r="Q1459" s="9">
        <v>0.1</v>
      </c>
      <c r="R1459" s="139" t="s">
        <v>2188</v>
      </c>
      <c r="S1459" s="15"/>
      <c r="T1459" s="18">
        <v>1475.2</v>
      </c>
      <c r="U1459" s="4">
        <v>0</v>
      </c>
      <c r="V1459" s="6">
        <v>0</v>
      </c>
      <c r="W1459" s="18">
        <f t="shared" si="217"/>
        <v>1475.2</v>
      </c>
      <c r="X1459" s="18">
        <f t="shared" si="218"/>
        <v>0</v>
      </c>
      <c r="Y1459" s="13">
        <f t="shared" si="211"/>
        <v>0</v>
      </c>
      <c r="Z1459" s="14">
        <v>0</v>
      </c>
      <c r="AA1459" s="4">
        <v>0</v>
      </c>
      <c r="AB1459" s="4">
        <f t="shared" si="212"/>
        <v>0</v>
      </c>
      <c r="AC1459" s="6">
        <f t="shared" si="213"/>
        <v>0</v>
      </c>
      <c r="AD1459" s="6">
        <f t="shared" si="210"/>
        <v>0</v>
      </c>
      <c r="AE1459" s="2">
        <v>0.12</v>
      </c>
      <c r="AF1459" s="5">
        <f t="shared" si="214"/>
        <v>0</v>
      </c>
      <c r="AG1459" s="14">
        <v>0</v>
      </c>
      <c r="AH1459" s="19">
        <f t="shared" si="216"/>
        <v>0</v>
      </c>
      <c r="AJ1459" s="126" t="e">
        <v>#N/A</v>
      </c>
      <c r="AK1459" s="80">
        <f t="shared" si="215"/>
        <v>0</v>
      </c>
      <c r="AM1459" s="85"/>
    </row>
    <row r="1460" spans="1:39" hidden="1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925</v>
      </c>
      <c r="F1460" s="15" t="s">
        <v>925</v>
      </c>
      <c r="G1460" s="15" t="s">
        <v>925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2189</v>
      </c>
      <c r="N1460" s="15"/>
      <c r="O1460" s="8" t="s">
        <v>1196</v>
      </c>
      <c r="P1460" s="8" t="s">
        <v>46</v>
      </c>
      <c r="Q1460" s="9">
        <v>7.0000000000000007E-2</v>
      </c>
      <c r="R1460" s="139" t="s">
        <v>2190</v>
      </c>
      <c r="S1460" s="15"/>
      <c r="T1460" s="18">
        <v>10400</v>
      </c>
      <c r="U1460" s="4">
        <v>0</v>
      </c>
      <c r="V1460" s="6">
        <v>0</v>
      </c>
      <c r="W1460" s="18">
        <f t="shared" si="217"/>
        <v>10400</v>
      </c>
      <c r="X1460" s="18">
        <f t="shared" si="218"/>
        <v>0</v>
      </c>
      <c r="Y1460" s="13">
        <f t="shared" si="211"/>
        <v>0</v>
      </c>
      <c r="Z1460" s="14">
        <v>0</v>
      </c>
      <c r="AA1460" s="4">
        <v>0</v>
      </c>
      <c r="AB1460" s="4">
        <f t="shared" si="212"/>
        <v>0</v>
      </c>
      <c r="AC1460" s="6">
        <f t="shared" si="213"/>
        <v>0</v>
      </c>
      <c r="AD1460" s="6">
        <f t="shared" si="210"/>
        <v>0</v>
      </c>
      <c r="AE1460" s="2">
        <v>0.12</v>
      </c>
      <c r="AF1460" s="5">
        <f t="shared" si="214"/>
        <v>0</v>
      </c>
      <c r="AG1460" s="14">
        <v>0</v>
      </c>
      <c r="AH1460" s="19">
        <f t="shared" si="216"/>
        <v>0</v>
      </c>
      <c r="AJ1460" s="126" t="e">
        <v>#N/A</v>
      </c>
      <c r="AK1460" s="80">
        <f t="shared" si="215"/>
        <v>0</v>
      </c>
      <c r="AM1460" s="85"/>
    </row>
    <row r="1461" spans="1:39" hidden="1" x14ac:dyDescent="0.3">
      <c r="A1461" s="85" t="s">
        <v>34</v>
      </c>
      <c r="B1461" s="15" t="s">
        <v>35</v>
      </c>
      <c r="C1461" s="15" t="s">
        <v>144</v>
      </c>
      <c r="D1461" s="15" t="s">
        <v>303</v>
      </c>
      <c r="E1461" s="15" t="s">
        <v>2191</v>
      </c>
      <c r="F1461" s="15" t="s">
        <v>2191</v>
      </c>
      <c r="G1461" s="15" t="s">
        <v>2191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2192</v>
      </c>
      <c r="N1461" s="15"/>
      <c r="O1461" s="8" t="s">
        <v>410</v>
      </c>
      <c r="P1461" s="8" t="s">
        <v>46</v>
      </c>
      <c r="Q1461" s="9">
        <v>0.02</v>
      </c>
      <c r="R1461" s="139" t="s">
        <v>2193</v>
      </c>
      <c r="S1461" s="15"/>
      <c r="T1461" s="18">
        <v>32251.5</v>
      </c>
      <c r="U1461" s="4">
        <v>0</v>
      </c>
      <c r="V1461" s="6">
        <v>0</v>
      </c>
      <c r="W1461" s="18">
        <f t="shared" si="217"/>
        <v>32251.5</v>
      </c>
      <c r="X1461" s="18">
        <f t="shared" si="218"/>
        <v>0</v>
      </c>
      <c r="Y1461" s="13">
        <f t="shared" si="211"/>
        <v>0</v>
      </c>
      <c r="Z1461" s="14">
        <v>0</v>
      </c>
      <c r="AA1461" s="4">
        <v>0</v>
      </c>
      <c r="AB1461" s="4">
        <f t="shared" si="212"/>
        <v>0</v>
      </c>
      <c r="AC1461" s="6">
        <f t="shared" si="213"/>
        <v>0</v>
      </c>
      <c r="AD1461" s="6">
        <f t="shared" si="210"/>
        <v>0</v>
      </c>
      <c r="AE1461" s="2">
        <v>7.0000000000000007E-2</v>
      </c>
      <c r="AF1461" s="5">
        <f t="shared" si="214"/>
        <v>0</v>
      </c>
      <c r="AG1461" s="14">
        <v>0</v>
      </c>
      <c r="AH1461" s="19">
        <f t="shared" si="216"/>
        <v>0</v>
      </c>
      <c r="AJ1461" s="126" t="e">
        <v>#N/A</v>
      </c>
      <c r="AK1461" s="80">
        <f t="shared" si="215"/>
        <v>0</v>
      </c>
      <c r="AM1461" s="85"/>
    </row>
    <row r="1462" spans="1:39" hidden="1" x14ac:dyDescent="0.3">
      <c r="A1462" s="85" t="s">
        <v>34</v>
      </c>
      <c r="B1462" s="15" t="s">
        <v>35</v>
      </c>
      <c r="C1462" s="15" t="s">
        <v>144</v>
      </c>
      <c r="D1462" s="15" t="s">
        <v>303</v>
      </c>
      <c r="E1462" s="15" t="s">
        <v>2194</v>
      </c>
      <c r="F1462" s="15" t="s">
        <v>2195</v>
      </c>
      <c r="G1462" s="15" t="s">
        <v>2194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2196</v>
      </c>
      <c r="N1462" s="15"/>
      <c r="O1462" s="8" t="s">
        <v>410</v>
      </c>
      <c r="P1462" s="8" t="s">
        <v>46</v>
      </c>
      <c r="Q1462" s="9">
        <v>0.04</v>
      </c>
      <c r="R1462" s="139" t="s">
        <v>2197</v>
      </c>
      <c r="S1462" s="15"/>
      <c r="T1462" s="18">
        <v>360.6</v>
      </c>
      <c r="U1462" s="4">
        <v>0</v>
      </c>
      <c r="V1462" s="6">
        <v>0</v>
      </c>
      <c r="W1462" s="18">
        <f t="shared" si="217"/>
        <v>360.6</v>
      </c>
      <c r="X1462" s="18">
        <f t="shared" si="218"/>
        <v>0</v>
      </c>
      <c r="Y1462" s="13">
        <f t="shared" si="211"/>
        <v>0</v>
      </c>
      <c r="Z1462" s="14">
        <v>0</v>
      </c>
      <c r="AA1462" s="4">
        <v>0</v>
      </c>
      <c r="AB1462" s="4">
        <f t="shared" si="212"/>
        <v>0</v>
      </c>
      <c r="AC1462" s="6">
        <f t="shared" si="213"/>
        <v>0</v>
      </c>
      <c r="AD1462" s="6">
        <f t="shared" si="210"/>
        <v>0</v>
      </c>
      <c r="AE1462" s="2">
        <v>7.0000000000000007E-2</v>
      </c>
      <c r="AF1462" s="5">
        <f t="shared" si="214"/>
        <v>0</v>
      </c>
      <c r="AG1462" s="14">
        <v>0</v>
      </c>
      <c r="AH1462" s="19">
        <f t="shared" si="216"/>
        <v>0</v>
      </c>
      <c r="AJ1462" s="126" t="e">
        <v>#N/A</v>
      </c>
      <c r="AK1462" s="80">
        <f t="shared" si="215"/>
        <v>0</v>
      </c>
      <c r="AM1462" s="85"/>
    </row>
    <row r="1463" spans="1:39" hidden="1" x14ac:dyDescent="0.3">
      <c r="A1463" s="85" t="s">
        <v>34</v>
      </c>
      <c r="B1463" s="15" t="s">
        <v>35</v>
      </c>
      <c r="C1463" s="15" t="s">
        <v>144</v>
      </c>
      <c r="D1463" s="15" t="s">
        <v>303</v>
      </c>
      <c r="E1463" s="15" t="s">
        <v>1935</v>
      </c>
      <c r="F1463" s="15" t="s">
        <v>1935</v>
      </c>
      <c r="G1463" s="15" t="s">
        <v>1935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1935</v>
      </c>
      <c r="N1463" s="15"/>
      <c r="O1463" s="8" t="s">
        <v>1196</v>
      </c>
      <c r="P1463" s="8" t="s">
        <v>41</v>
      </c>
      <c r="Q1463" s="9">
        <v>0</v>
      </c>
      <c r="R1463" s="139" t="s">
        <v>2198</v>
      </c>
      <c r="S1463" s="15"/>
      <c r="T1463" s="18">
        <v>483.22</v>
      </c>
      <c r="U1463" s="4">
        <v>0</v>
      </c>
      <c r="V1463" s="6">
        <v>0</v>
      </c>
      <c r="W1463" s="18">
        <f t="shared" si="217"/>
        <v>483.22</v>
      </c>
      <c r="X1463" s="18">
        <f t="shared" si="218"/>
        <v>0</v>
      </c>
      <c r="Y1463" s="13">
        <f t="shared" si="211"/>
        <v>0</v>
      </c>
      <c r="Z1463" s="14">
        <v>0</v>
      </c>
      <c r="AA1463" s="4">
        <v>0</v>
      </c>
      <c r="AB1463" s="4">
        <f t="shared" si="212"/>
        <v>0</v>
      </c>
      <c r="AC1463" s="6">
        <f t="shared" si="213"/>
        <v>0</v>
      </c>
      <c r="AD1463" s="6">
        <f t="shared" si="210"/>
        <v>0</v>
      </c>
      <c r="AE1463" s="2">
        <v>0.12</v>
      </c>
      <c r="AF1463" s="5">
        <f t="shared" si="214"/>
        <v>0</v>
      </c>
      <c r="AG1463" s="14">
        <v>0</v>
      </c>
      <c r="AH1463" s="19">
        <f t="shared" si="216"/>
        <v>0</v>
      </c>
      <c r="AJ1463" s="126" t="e">
        <v>#N/A</v>
      </c>
      <c r="AK1463" s="80">
        <f t="shared" si="215"/>
        <v>0</v>
      </c>
      <c r="AM1463" s="85"/>
    </row>
    <row r="1464" spans="1:39" hidden="1" x14ac:dyDescent="0.3">
      <c r="A1464" s="85" t="s">
        <v>34</v>
      </c>
      <c r="B1464" s="15" t="s">
        <v>35</v>
      </c>
      <c r="C1464" s="15" t="s">
        <v>144</v>
      </c>
      <c r="D1464" s="15" t="s">
        <v>152</v>
      </c>
      <c r="E1464" s="15" t="s">
        <v>2199</v>
      </c>
      <c r="F1464" s="15" t="s">
        <v>2199</v>
      </c>
      <c r="G1464" s="15" t="s">
        <v>2199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2199</v>
      </c>
      <c r="N1464" s="15"/>
      <c r="O1464" s="8" t="s">
        <v>1196</v>
      </c>
      <c r="P1464" s="8" t="s">
        <v>46</v>
      </c>
      <c r="Q1464" s="9">
        <v>0.08</v>
      </c>
      <c r="R1464" s="139" t="s">
        <v>2200</v>
      </c>
      <c r="S1464" s="15"/>
      <c r="T1464" s="18">
        <v>61.709999999999098</v>
      </c>
      <c r="U1464" s="4">
        <v>0</v>
      </c>
      <c r="V1464" s="6">
        <v>0</v>
      </c>
      <c r="W1464" s="18">
        <f t="shared" si="217"/>
        <v>61.709999999999098</v>
      </c>
      <c r="X1464" s="18">
        <f t="shared" si="218"/>
        <v>0</v>
      </c>
      <c r="Y1464" s="13">
        <f t="shared" si="211"/>
        <v>0</v>
      </c>
      <c r="Z1464" s="14">
        <v>0</v>
      </c>
      <c r="AA1464" s="4">
        <v>0</v>
      </c>
      <c r="AB1464" s="4">
        <f t="shared" si="212"/>
        <v>0</v>
      </c>
      <c r="AC1464" s="6">
        <f t="shared" si="213"/>
        <v>0</v>
      </c>
      <c r="AD1464" s="6">
        <f t="shared" si="210"/>
        <v>0</v>
      </c>
      <c r="AE1464" s="2">
        <v>0.12</v>
      </c>
      <c r="AF1464" s="5">
        <f t="shared" si="214"/>
        <v>0</v>
      </c>
      <c r="AG1464" s="14">
        <v>0</v>
      </c>
      <c r="AH1464" s="19">
        <f t="shared" si="216"/>
        <v>0</v>
      </c>
      <c r="AJ1464" s="126" t="e">
        <v>#N/A</v>
      </c>
      <c r="AK1464" s="80">
        <f t="shared" si="215"/>
        <v>0</v>
      </c>
      <c r="AM1464" s="85"/>
    </row>
    <row r="1465" spans="1:39" hidden="1" x14ac:dyDescent="0.3">
      <c r="A1465" s="85" t="s">
        <v>34</v>
      </c>
      <c r="B1465" s="15" t="s">
        <v>35</v>
      </c>
      <c r="C1465" s="15" t="s">
        <v>144</v>
      </c>
      <c r="D1465" s="15" t="s">
        <v>152</v>
      </c>
      <c r="E1465" s="15" t="s">
        <v>2201</v>
      </c>
      <c r="F1465" s="15" t="s">
        <v>2201</v>
      </c>
      <c r="G1465" s="15" t="s">
        <v>2201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2201</v>
      </c>
      <c r="N1465" s="15"/>
      <c r="O1465" s="8" t="s">
        <v>1196</v>
      </c>
      <c r="P1465" s="8" t="s">
        <v>46</v>
      </c>
      <c r="Q1465" s="9">
        <v>0.08</v>
      </c>
      <c r="R1465" s="139" t="s">
        <v>2202</v>
      </c>
      <c r="S1465" s="15"/>
      <c r="T1465" s="18">
        <v>6.9999999992433004E-2</v>
      </c>
      <c r="U1465" s="4">
        <v>0</v>
      </c>
      <c r="V1465" s="6">
        <v>0</v>
      </c>
      <c r="W1465" s="18">
        <f t="shared" si="217"/>
        <v>6.9999999992433004E-2</v>
      </c>
      <c r="X1465" s="18">
        <f t="shared" si="218"/>
        <v>0</v>
      </c>
      <c r="Y1465" s="13">
        <f t="shared" si="211"/>
        <v>0</v>
      </c>
      <c r="Z1465" s="14">
        <v>0</v>
      </c>
      <c r="AA1465" s="4">
        <v>0</v>
      </c>
      <c r="AB1465" s="4">
        <f t="shared" si="212"/>
        <v>0</v>
      </c>
      <c r="AC1465" s="6">
        <f t="shared" si="213"/>
        <v>0</v>
      </c>
      <c r="AD1465" s="6">
        <f t="shared" si="210"/>
        <v>0</v>
      </c>
      <c r="AE1465" s="2">
        <v>0.12</v>
      </c>
      <c r="AF1465" s="5">
        <f t="shared" si="214"/>
        <v>0</v>
      </c>
      <c r="AG1465" s="14">
        <v>0</v>
      </c>
      <c r="AH1465" s="19">
        <f t="shared" si="216"/>
        <v>0</v>
      </c>
      <c r="AJ1465" s="126" t="e">
        <v>#N/A</v>
      </c>
      <c r="AK1465" s="80">
        <f t="shared" si="215"/>
        <v>0</v>
      </c>
      <c r="AM1465" s="85"/>
    </row>
    <row r="1466" spans="1:39" hidden="1" x14ac:dyDescent="0.3">
      <c r="A1466" s="85" t="s">
        <v>34</v>
      </c>
      <c r="B1466" s="15" t="s">
        <v>35</v>
      </c>
      <c r="C1466" s="15" t="s">
        <v>144</v>
      </c>
      <c r="D1466" s="15" t="s">
        <v>152</v>
      </c>
      <c r="E1466" s="15" t="s">
        <v>2203</v>
      </c>
      <c r="F1466" s="15" t="s">
        <v>2204</v>
      </c>
      <c r="G1466" s="15" t="s">
        <v>2203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2205</v>
      </c>
      <c r="N1466" s="15"/>
      <c r="O1466" s="8" t="s">
        <v>410</v>
      </c>
      <c r="P1466" s="8" t="s">
        <v>46</v>
      </c>
      <c r="Q1466" s="9">
        <v>0.03</v>
      </c>
      <c r="R1466" s="139" t="s">
        <v>2206</v>
      </c>
      <c r="S1466" s="15"/>
      <c r="T1466" s="18">
        <v>2.5599999999976699</v>
      </c>
      <c r="U1466" s="4">
        <v>0</v>
      </c>
      <c r="V1466" s="6">
        <v>0</v>
      </c>
      <c r="W1466" s="18">
        <f t="shared" si="217"/>
        <v>2.5599999999976699</v>
      </c>
      <c r="X1466" s="18">
        <f t="shared" si="218"/>
        <v>0</v>
      </c>
      <c r="Y1466" s="13">
        <f t="shared" si="211"/>
        <v>0</v>
      </c>
      <c r="Z1466" s="14">
        <v>0</v>
      </c>
      <c r="AA1466" s="4">
        <v>0</v>
      </c>
      <c r="AB1466" s="4">
        <f t="shared" si="212"/>
        <v>0</v>
      </c>
      <c r="AC1466" s="6">
        <f t="shared" si="213"/>
        <v>0</v>
      </c>
      <c r="AD1466" s="6">
        <f t="shared" si="210"/>
        <v>0</v>
      </c>
      <c r="AE1466" s="2">
        <v>7.0000000000000007E-2</v>
      </c>
      <c r="AF1466" s="5">
        <f t="shared" si="214"/>
        <v>0</v>
      </c>
      <c r="AG1466" s="14">
        <v>0</v>
      </c>
      <c r="AH1466" s="19">
        <f t="shared" si="216"/>
        <v>0</v>
      </c>
      <c r="AJ1466" s="126" t="e">
        <v>#N/A</v>
      </c>
      <c r="AK1466" s="80">
        <f t="shared" si="215"/>
        <v>0</v>
      </c>
      <c r="AM1466" s="85"/>
    </row>
    <row r="1467" spans="1:39" hidden="1" x14ac:dyDescent="0.3">
      <c r="A1467" s="85" t="s">
        <v>34</v>
      </c>
      <c r="B1467" s="15" t="s">
        <v>35</v>
      </c>
      <c r="C1467" s="15" t="s">
        <v>144</v>
      </c>
      <c r="D1467" s="15" t="s">
        <v>152</v>
      </c>
      <c r="E1467" s="15" t="s">
        <v>1484</v>
      </c>
      <c r="F1467" s="15" t="s">
        <v>1485</v>
      </c>
      <c r="G1467" s="15" t="s">
        <v>1484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1486</v>
      </c>
      <c r="N1467" s="15"/>
      <c r="O1467" s="8" t="s">
        <v>1196</v>
      </c>
      <c r="P1467" s="8" t="s">
        <v>41</v>
      </c>
      <c r="Q1467" s="14">
        <v>0</v>
      </c>
      <c r="R1467" s="139" t="s">
        <v>1487</v>
      </c>
      <c r="S1467" s="15"/>
      <c r="T1467" s="18">
        <v>0</v>
      </c>
      <c r="U1467" s="4">
        <v>0</v>
      </c>
      <c r="V1467" s="6">
        <v>0</v>
      </c>
      <c r="W1467" s="18">
        <f t="shared" si="217"/>
        <v>0</v>
      </c>
      <c r="X1467" s="18">
        <f t="shared" si="218"/>
        <v>0</v>
      </c>
      <c r="Y1467" s="13">
        <f t="shared" si="211"/>
        <v>0</v>
      </c>
      <c r="Z1467" s="14">
        <v>0</v>
      </c>
      <c r="AA1467" s="4">
        <v>0</v>
      </c>
      <c r="AB1467" s="4">
        <f t="shared" si="212"/>
        <v>0</v>
      </c>
      <c r="AC1467" s="6">
        <f t="shared" si="213"/>
        <v>0</v>
      </c>
      <c r="AD1467" s="6">
        <f t="shared" ref="AD1467:AD1530" si="219">V1467*0.598955254612663</f>
        <v>0</v>
      </c>
      <c r="AE1467" s="2">
        <v>0.12</v>
      </c>
      <c r="AF1467" s="5">
        <f t="shared" si="214"/>
        <v>0</v>
      </c>
      <c r="AG1467" s="14">
        <v>0</v>
      </c>
      <c r="AH1467" s="19">
        <f t="shared" si="216"/>
        <v>0</v>
      </c>
      <c r="AJ1467" s="126" t="e">
        <v>#N/A</v>
      </c>
      <c r="AK1467" s="80">
        <f t="shared" si="215"/>
        <v>0</v>
      </c>
      <c r="AM1467" s="85"/>
    </row>
    <row r="1468" spans="1:39" hidden="1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1484</v>
      </c>
      <c r="F1468" s="15" t="s">
        <v>1485</v>
      </c>
      <c r="G1468" s="15" t="s">
        <v>1484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1486</v>
      </c>
      <c r="N1468" s="15"/>
      <c r="O1468" s="8" t="s">
        <v>2054</v>
      </c>
      <c r="P1468" s="8" t="s">
        <v>41</v>
      </c>
      <c r="Q1468" s="14">
        <v>0</v>
      </c>
      <c r="R1468" s="139" t="s">
        <v>1487</v>
      </c>
      <c r="S1468" s="15"/>
      <c r="T1468" s="18">
        <v>0</v>
      </c>
      <c r="U1468" s="4">
        <v>0</v>
      </c>
      <c r="V1468" s="6">
        <v>0</v>
      </c>
      <c r="W1468" s="18">
        <f t="shared" si="217"/>
        <v>0</v>
      </c>
      <c r="X1468" s="18">
        <f t="shared" si="218"/>
        <v>0</v>
      </c>
      <c r="Y1468" s="13">
        <f t="shared" si="211"/>
        <v>0</v>
      </c>
      <c r="Z1468" s="14">
        <v>0</v>
      </c>
      <c r="AA1468" s="4">
        <v>0</v>
      </c>
      <c r="AB1468" s="4">
        <f t="shared" si="212"/>
        <v>0</v>
      </c>
      <c r="AC1468" s="6">
        <f t="shared" si="213"/>
        <v>0</v>
      </c>
      <c r="AD1468" s="6">
        <f t="shared" si="219"/>
        <v>0</v>
      </c>
      <c r="AE1468" s="2">
        <v>0.12</v>
      </c>
      <c r="AF1468" s="5">
        <f t="shared" si="214"/>
        <v>0</v>
      </c>
      <c r="AG1468" s="14">
        <v>0</v>
      </c>
      <c r="AH1468" s="19">
        <f t="shared" si="216"/>
        <v>0</v>
      </c>
      <c r="AJ1468" s="126" t="e">
        <v>#N/A</v>
      </c>
      <c r="AK1468" s="80">
        <f t="shared" si="215"/>
        <v>0</v>
      </c>
      <c r="AM1468" s="85"/>
    </row>
    <row r="1469" spans="1:39" hidden="1" x14ac:dyDescent="0.3">
      <c r="A1469" s="85" t="s">
        <v>34</v>
      </c>
      <c r="B1469" s="15" t="s">
        <v>35</v>
      </c>
      <c r="C1469" s="15" t="s">
        <v>144</v>
      </c>
      <c r="D1469" s="15" t="s">
        <v>152</v>
      </c>
      <c r="E1469" s="15" t="s">
        <v>2207</v>
      </c>
      <c r="F1469" s="15" t="s">
        <v>2207</v>
      </c>
      <c r="G1469" s="15" t="s">
        <v>2207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2207</v>
      </c>
      <c r="N1469" s="15"/>
      <c r="O1469" s="8" t="s">
        <v>1196</v>
      </c>
      <c r="P1469" s="8" t="s">
        <v>46</v>
      </c>
      <c r="Q1469" s="9">
        <v>0.04</v>
      </c>
      <c r="R1469" s="139" t="s">
        <v>2208</v>
      </c>
      <c r="S1469" s="15"/>
      <c r="T1469" s="18">
        <v>5518.78</v>
      </c>
      <c r="U1469" s="4">
        <v>0</v>
      </c>
      <c r="V1469" s="6">
        <v>0</v>
      </c>
      <c r="W1469" s="18">
        <f t="shared" si="217"/>
        <v>5518.78</v>
      </c>
      <c r="X1469" s="18">
        <f t="shared" si="218"/>
        <v>0</v>
      </c>
      <c r="Y1469" s="13">
        <f t="shared" si="211"/>
        <v>0</v>
      </c>
      <c r="Z1469" s="14">
        <v>0</v>
      </c>
      <c r="AA1469" s="4">
        <v>0</v>
      </c>
      <c r="AB1469" s="4">
        <f t="shared" si="212"/>
        <v>0</v>
      </c>
      <c r="AC1469" s="6">
        <f t="shared" si="213"/>
        <v>0</v>
      </c>
      <c r="AD1469" s="6">
        <f t="shared" si="219"/>
        <v>0</v>
      </c>
      <c r="AE1469" s="2">
        <v>0.12</v>
      </c>
      <c r="AF1469" s="5">
        <f t="shared" si="214"/>
        <v>0</v>
      </c>
      <c r="AG1469" s="14">
        <v>0</v>
      </c>
      <c r="AH1469" s="19">
        <f t="shared" si="216"/>
        <v>0</v>
      </c>
      <c r="AJ1469" s="126" t="e">
        <v>#N/A</v>
      </c>
      <c r="AK1469" s="80">
        <f t="shared" si="215"/>
        <v>0</v>
      </c>
      <c r="AM1469" s="85"/>
    </row>
    <row r="1470" spans="1:39" hidden="1" x14ac:dyDescent="0.3">
      <c r="A1470" s="85" t="s">
        <v>34</v>
      </c>
      <c r="B1470" s="15" t="s">
        <v>35</v>
      </c>
      <c r="C1470" s="15" t="s">
        <v>144</v>
      </c>
      <c r="D1470" s="15" t="s">
        <v>161</v>
      </c>
      <c r="E1470" s="15" t="s">
        <v>565</v>
      </c>
      <c r="F1470" s="15" t="s">
        <v>565</v>
      </c>
      <c r="G1470" s="15" t="s">
        <v>565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565</v>
      </c>
      <c r="N1470" s="15"/>
      <c r="O1470" s="8" t="s">
        <v>1196</v>
      </c>
      <c r="P1470" s="8" t="s">
        <v>46</v>
      </c>
      <c r="Q1470" s="9">
        <v>0.14000000000000001</v>
      </c>
      <c r="R1470" s="139" t="s">
        <v>2209</v>
      </c>
      <c r="S1470" s="15"/>
      <c r="T1470" s="18">
        <v>472</v>
      </c>
      <c r="U1470" s="4">
        <v>0</v>
      </c>
      <c r="V1470" s="6">
        <v>0</v>
      </c>
      <c r="W1470" s="18">
        <f t="shared" si="217"/>
        <v>472</v>
      </c>
      <c r="X1470" s="18">
        <f t="shared" si="218"/>
        <v>0</v>
      </c>
      <c r="Y1470" s="13">
        <f t="shared" si="211"/>
        <v>0</v>
      </c>
      <c r="Z1470" s="14">
        <v>0</v>
      </c>
      <c r="AA1470" s="4">
        <v>0</v>
      </c>
      <c r="AB1470" s="4">
        <f t="shared" si="212"/>
        <v>0</v>
      </c>
      <c r="AC1470" s="6">
        <f t="shared" si="213"/>
        <v>0</v>
      </c>
      <c r="AD1470" s="6">
        <f t="shared" si="219"/>
        <v>0</v>
      </c>
      <c r="AE1470" s="2">
        <v>0.12</v>
      </c>
      <c r="AF1470" s="5">
        <f t="shared" si="214"/>
        <v>0</v>
      </c>
      <c r="AG1470" s="14">
        <v>0</v>
      </c>
      <c r="AH1470" s="19">
        <f t="shared" si="216"/>
        <v>0</v>
      </c>
      <c r="AJ1470" s="126" t="e">
        <v>#N/A</v>
      </c>
      <c r="AK1470" s="80">
        <f t="shared" si="215"/>
        <v>0</v>
      </c>
      <c r="AM1470" s="85"/>
    </row>
    <row r="1471" spans="1:39" hidden="1" x14ac:dyDescent="0.3">
      <c r="A1471" s="85" t="s">
        <v>34</v>
      </c>
      <c r="B1471" s="15" t="s">
        <v>35</v>
      </c>
      <c r="C1471" s="15" t="s">
        <v>144</v>
      </c>
      <c r="D1471" s="15" t="s">
        <v>161</v>
      </c>
      <c r="E1471" s="15" t="s">
        <v>2210</v>
      </c>
      <c r="F1471" s="15" t="s">
        <v>2210</v>
      </c>
      <c r="G1471" s="15" t="s">
        <v>2210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2210</v>
      </c>
      <c r="N1471" s="15"/>
      <c r="O1471" s="8" t="s">
        <v>410</v>
      </c>
      <c r="P1471" s="8" t="s">
        <v>46</v>
      </c>
      <c r="Q1471" s="9">
        <v>0.02</v>
      </c>
      <c r="R1471" s="139" t="s">
        <v>2211</v>
      </c>
      <c r="S1471" s="15"/>
      <c r="T1471" s="18">
        <v>0.40000000000145502</v>
      </c>
      <c r="U1471" s="4">
        <v>0</v>
      </c>
      <c r="V1471" s="6">
        <v>0</v>
      </c>
      <c r="W1471" s="18">
        <f t="shared" si="217"/>
        <v>0.40000000000145502</v>
      </c>
      <c r="X1471" s="18">
        <f t="shared" si="218"/>
        <v>0</v>
      </c>
      <c r="Y1471" s="13">
        <f t="shared" si="211"/>
        <v>0</v>
      </c>
      <c r="Z1471" s="14">
        <v>0</v>
      </c>
      <c r="AA1471" s="4">
        <v>0</v>
      </c>
      <c r="AB1471" s="4">
        <f t="shared" si="212"/>
        <v>0</v>
      </c>
      <c r="AC1471" s="6">
        <f t="shared" si="213"/>
        <v>0</v>
      </c>
      <c r="AD1471" s="6">
        <f t="shared" si="219"/>
        <v>0</v>
      </c>
      <c r="AE1471" s="2">
        <v>7.0000000000000007E-2</v>
      </c>
      <c r="AF1471" s="5">
        <f t="shared" si="214"/>
        <v>0</v>
      </c>
      <c r="AG1471" s="14">
        <v>0</v>
      </c>
      <c r="AH1471" s="19">
        <f t="shared" si="216"/>
        <v>0</v>
      </c>
      <c r="AJ1471" s="126" t="e">
        <v>#N/A</v>
      </c>
      <c r="AK1471" s="80">
        <f t="shared" si="215"/>
        <v>0</v>
      </c>
      <c r="AM1471" s="85"/>
    </row>
    <row r="1472" spans="1:39" hidden="1" x14ac:dyDescent="0.3">
      <c r="A1472" s="85" t="s">
        <v>34</v>
      </c>
      <c r="B1472" s="15" t="s">
        <v>35</v>
      </c>
      <c r="C1472" s="15" t="s">
        <v>144</v>
      </c>
      <c r="D1472" s="15" t="s">
        <v>161</v>
      </c>
      <c r="E1472" s="15" t="s">
        <v>2212</v>
      </c>
      <c r="F1472" s="15" t="s">
        <v>2212</v>
      </c>
      <c r="G1472" s="15" t="s">
        <v>2212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2212</v>
      </c>
      <c r="N1472" s="15"/>
      <c r="O1472" s="8" t="s">
        <v>410</v>
      </c>
      <c r="P1472" s="8" t="s">
        <v>46</v>
      </c>
      <c r="Q1472" s="9">
        <v>0.02</v>
      </c>
      <c r="R1472" s="139" t="s">
        <v>2213</v>
      </c>
      <c r="S1472" s="15"/>
      <c r="T1472" s="18">
        <v>475.77999999999975</v>
      </c>
      <c r="U1472" s="4">
        <v>0</v>
      </c>
      <c r="V1472" s="6">
        <v>0</v>
      </c>
      <c r="W1472" s="18">
        <f t="shared" si="217"/>
        <v>475.77999999999975</v>
      </c>
      <c r="X1472" s="18">
        <f t="shared" si="218"/>
        <v>0</v>
      </c>
      <c r="Y1472" s="13">
        <f t="shared" si="211"/>
        <v>0</v>
      </c>
      <c r="Z1472" s="14">
        <v>0</v>
      </c>
      <c r="AA1472" s="4">
        <v>0</v>
      </c>
      <c r="AB1472" s="4">
        <f t="shared" si="212"/>
        <v>0</v>
      </c>
      <c r="AC1472" s="6">
        <f t="shared" si="213"/>
        <v>0</v>
      </c>
      <c r="AD1472" s="6">
        <f t="shared" si="219"/>
        <v>0</v>
      </c>
      <c r="AE1472" s="2">
        <v>7.0000000000000007E-2</v>
      </c>
      <c r="AF1472" s="5">
        <f t="shared" si="214"/>
        <v>0</v>
      </c>
      <c r="AG1472" s="14">
        <v>0</v>
      </c>
      <c r="AH1472" s="19">
        <f t="shared" si="216"/>
        <v>0</v>
      </c>
      <c r="AJ1472" s="126" t="e">
        <v>#N/A</v>
      </c>
      <c r="AK1472" s="80">
        <f t="shared" si="215"/>
        <v>0</v>
      </c>
      <c r="AM1472" s="85"/>
    </row>
    <row r="1473" spans="1:39" hidden="1" x14ac:dyDescent="0.3">
      <c r="A1473" s="85" t="s">
        <v>34</v>
      </c>
      <c r="B1473" s="15" t="s">
        <v>35</v>
      </c>
      <c r="C1473" s="15" t="s">
        <v>144</v>
      </c>
      <c r="D1473" s="15" t="s">
        <v>161</v>
      </c>
      <c r="E1473" s="15" t="s">
        <v>162</v>
      </c>
      <c r="F1473" s="15" t="s">
        <v>162</v>
      </c>
      <c r="G1473" s="15" t="s">
        <v>162</v>
      </c>
      <c r="H1473" s="154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162</v>
      </c>
      <c r="N1473" s="15"/>
      <c r="O1473" s="8" t="s">
        <v>2054</v>
      </c>
      <c r="P1473" s="8" t="s">
        <v>46</v>
      </c>
      <c r="Q1473" s="9">
        <v>0.02</v>
      </c>
      <c r="R1473" s="139" t="s">
        <v>1508</v>
      </c>
      <c r="S1473" s="15"/>
      <c r="T1473" s="18">
        <v>-88926.619210000004</v>
      </c>
      <c r="U1473" s="4">
        <v>0</v>
      </c>
      <c r="V1473" s="6">
        <v>4143.0573199999999</v>
      </c>
      <c r="W1473" s="18">
        <f t="shared" si="217"/>
        <v>-93069.676529999997</v>
      </c>
      <c r="X1473" s="18">
        <f t="shared" si="218"/>
        <v>4061.8209019607843</v>
      </c>
      <c r="Y1473" s="13">
        <f t="shared" si="211"/>
        <v>1580.3149499853275</v>
      </c>
      <c r="Z1473" s="14">
        <v>0</v>
      </c>
      <c r="AA1473" s="4">
        <v>0</v>
      </c>
      <c r="AB1473" s="4">
        <f t="shared" si="212"/>
        <v>4061.8209019607843</v>
      </c>
      <c r="AC1473" s="6">
        <f t="shared" si="213"/>
        <v>81.23641803921555</v>
      </c>
      <c r="AD1473" s="6">
        <f t="shared" si="219"/>
        <v>2481.5059519754568</v>
      </c>
      <c r="AE1473" s="2">
        <v>0.12</v>
      </c>
      <c r="AF1473" s="5">
        <f t="shared" si="214"/>
        <v>297.78071423705478</v>
      </c>
      <c r="AG1473" s="14">
        <v>0</v>
      </c>
      <c r="AH1473" s="19">
        <f t="shared" si="216"/>
        <v>4143.0573199999999</v>
      </c>
      <c r="AJ1473" s="126" t="e">
        <v>#N/A</v>
      </c>
      <c r="AK1473" s="80">
        <f t="shared" si="215"/>
        <v>0</v>
      </c>
      <c r="AM1473" s="85"/>
    </row>
    <row r="1474" spans="1:39" hidden="1" x14ac:dyDescent="0.3">
      <c r="A1474" s="85" t="s">
        <v>34</v>
      </c>
      <c r="B1474" s="15" t="s">
        <v>35</v>
      </c>
      <c r="C1474" s="15" t="s">
        <v>144</v>
      </c>
      <c r="D1474" s="15" t="s">
        <v>161</v>
      </c>
      <c r="E1474" s="15" t="s">
        <v>2214</v>
      </c>
      <c r="F1474" s="15" t="s">
        <v>2214</v>
      </c>
      <c r="G1474" s="15" t="s">
        <v>2214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2214</v>
      </c>
      <c r="N1474" s="15"/>
      <c r="O1474" s="8" t="s">
        <v>410</v>
      </c>
      <c r="P1474" s="8" t="s">
        <v>46</v>
      </c>
      <c r="Q1474" s="9">
        <v>0.02</v>
      </c>
      <c r="R1474" s="139" t="s">
        <v>2215</v>
      </c>
      <c r="S1474" s="15"/>
      <c r="T1474" s="18">
        <v>29740.7</v>
      </c>
      <c r="U1474" s="4">
        <v>0</v>
      </c>
      <c r="V1474" s="6">
        <v>0</v>
      </c>
      <c r="W1474" s="18">
        <f t="shared" si="217"/>
        <v>29740.7</v>
      </c>
      <c r="X1474" s="18">
        <f t="shared" si="218"/>
        <v>0</v>
      </c>
      <c r="Y1474" s="13">
        <f t="shared" si="211"/>
        <v>0</v>
      </c>
      <c r="Z1474" s="14">
        <v>0</v>
      </c>
      <c r="AA1474" s="4">
        <v>0</v>
      </c>
      <c r="AB1474" s="4"/>
      <c r="AC1474" s="6">
        <f t="shared" si="213"/>
        <v>0</v>
      </c>
      <c r="AD1474" s="6">
        <f t="shared" si="219"/>
        <v>0</v>
      </c>
      <c r="AE1474" s="2">
        <v>7.0000000000000007E-2</v>
      </c>
      <c r="AF1474" s="5">
        <f t="shared" si="214"/>
        <v>0</v>
      </c>
      <c r="AG1474" s="14">
        <v>0</v>
      </c>
      <c r="AH1474" s="19">
        <f t="shared" si="216"/>
        <v>0</v>
      </c>
      <c r="AJ1474" s="126">
        <v>85</v>
      </c>
      <c r="AK1474" s="80">
        <f t="shared" si="215"/>
        <v>0</v>
      </c>
      <c r="AM1474" s="85"/>
    </row>
    <row r="1475" spans="1:39" hidden="1" x14ac:dyDescent="0.3">
      <c r="A1475" s="85" t="s">
        <v>34</v>
      </c>
      <c r="B1475" s="15" t="s">
        <v>35</v>
      </c>
      <c r="C1475" s="15" t="s">
        <v>164</v>
      </c>
      <c r="D1475" s="15" t="s">
        <v>305</v>
      </c>
      <c r="E1475" s="15" t="s">
        <v>659</v>
      </c>
      <c r="F1475" s="15" t="s">
        <v>660</v>
      </c>
      <c r="G1475" s="15" t="s">
        <v>659</v>
      </c>
      <c r="H1475" s="139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2216</v>
      </c>
      <c r="N1475" s="15"/>
      <c r="O1475" s="8" t="s">
        <v>1196</v>
      </c>
      <c r="P1475" s="8" t="s">
        <v>46</v>
      </c>
      <c r="Q1475" s="9">
        <v>0.17</v>
      </c>
      <c r="R1475" s="139" t="s">
        <v>2217</v>
      </c>
      <c r="S1475" s="15"/>
      <c r="T1475" s="18">
        <v>6.4</v>
      </c>
      <c r="U1475" s="4">
        <v>0</v>
      </c>
      <c r="V1475" s="6">
        <v>0</v>
      </c>
      <c r="W1475" s="18">
        <f t="shared" si="217"/>
        <v>6.4</v>
      </c>
      <c r="X1475" s="18">
        <f t="shared" si="218"/>
        <v>0</v>
      </c>
      <c r="Y1475" s="13">
        <f t="shared" ref="Y1475:Y1538" si="220">IF(X1475-AD1475&lt;=0,0,IF(P1475="返现",MAX(X1475-AC1475-AD1475,0),MAX(X1475-AD1475)))</f>
        <v>0</v>
      </c>
      <c r="Z1475" s="14">
        <v>0</v>
      </c>
      <c r="AA1475" s="4">
        <v>0</v>
      </c>
      <c r="AB1475" s="4">
        <f t="shared" ref="AB1475:AB1535" si="221">X1475+AA1475</f>
        <v>0</v>
      </c>
      <c r="AC1475" s="6">
        <f t="shared" ref="AC1475:AC1538" si="222">IF(P1475="返现",X1475*Q1475,V1475-X1475)</f>
        <v>0</v>
      </c>
      <c r="AD1475" s="6">
        <f t="shared" si="219"/>
        <v>0</v>
      </c>
      <c r="AE1475" s="2">
        <v>0.12</v>
      </c>
      <c r="AF1475" s="5">
        <f t="shared" ref="AF1475:AF1538" si="223">AD1475*AE1475</f>
        <v>0</v>
      </c>
      <c r="AG1475" s="14">
        <v>0</v>
      </c>
      <c r="AH1475" s="19">
        <f t="shared" si="216"/>
        <v>0</v>
      </c>
      <c r="AJ1475" s="126" t="e">
        <v>#N/A</v>
      </c>
      <c r="AK1475" s="80">
        <f t="shared" ref="AK1475:AK1538" si="224">X1475+AA1475-AB1475</f>
        <v>0</v>
      </c>
      <c r="AM1475" s="85"/>
    </row>
    <row r="1476" spans="1:39" hidden="1" x14ac:dyDescent="0.3">
      <c r="A1476" s="85" t="s">
        <v>34</v>
      </c>
      <c r="B1476" s="15" t="s">
        <v>35</v>
      </c>
      <c r="C1476" s="15" t="s">
        <v>164</v>
      </c>
      <c r="D1476" s="15" t="s">
        <v>305</v>
      </c>
      <c r="E1476" s="15" t="s">
        <v>2218</v>
      </c>
      <c r="F1476" s="15" t="s">
        <v>2218</v>
      </c>
      <c r="G1476" s="15" t="s">
        <v>2218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2218</v>
      </c>
      <c r="N1476" s="15"/>
      <c r="O1476" s="8" t="s">
        <v>410</v>
      </c>
      <c r="P1476" s="8" t="s">
        <v>41</v>
      </c>
      <c r="Q1476" s="9">
        <v>0</v>
      </c>
      <c r="R1476" s="139" t="s">
        <v>2219</v>
      </c>
      <c r="S1476" s="15"/>
      <c r="T1476" s="18">
        <v>4109.4000000000015</v>
      </c>
      <c r="U1476" s="4">
        <v>0</v>
      </c>
      <c r="V1476" s="6">
        <v>0</v>
      </c>
      <c r="W1476" s="18">
        <f t="shared" si="217"/>
        <v>4109.4000000000015</v>
      </c>
      <c r="X1476" s="18">
        <f t="shared" si="218"/>
        <v>0</v>
      </c>
      <c r="Y1476" s="13">
        <f t="shared" si="220"/>
        <v>0</v>
      </c>
      <c r="Z1476" s="14">
        <v>0</v>
      </c>
      <c r="AA1476" s="4">
        <v>0</v>
      </c>
      <c r="AB1476" s="4">
        <f t="shared" si="221"/>
        <v>0</v>
      </c>
      <c r="AC1476" s="6">
        <f t="shared" si="222"/>
        <v>0</v>
      </c>
      <c r="AD1476" s="6">
        <f t="shared" si="219"/>
        <v>0</v>
      </c>
      <c r="AE1476" s="2">
        <v>7.0000000000000007E-2</v>
      </c>
      <c r="AF1476" s="5">
        <f t="shared" si="223"/>
        <v>0</v>
      </c>
      <c r="AG1476" s="14">
        <v>0</v>
      </c>
      <c r="AH1476" s="19">
        <f t="shared" si="216"/>
        <v>0</v>
      </c>
      <c r="AJ1476" s="126" t="e">
        <v>#N/A</v>
      </c>
      <c r="AK1476" s="80">
        <f t="shared" si="224"/>
        <v>0</v>
      </c>
      <c r="AM1476" s="85"/>
    </row>
    <row r="1477" spans="1:39" hidden="1" x14ac:dyDescent="0.3">
      <c r="A1477" s="85" t="s">
        <v>34</v>
      </c>
      <c r="B1477" s="15" t="s">
        <v>35</v>
      </c>
      <c r="C1477" s="15" t="s">
        <v>164</v>
      </c>
      <c r="D1477" s="15" t="s">
        <v>305</v>
      </c>
      <c r="E1477" s="15" t="s">
        <v>2220</v>
      </c>
      <c r="F1477" s="15" t="s">
        <v>2220</v>
      </c>
      <c r="G1477" s="15" t="s">
        <v>2220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2221</v>
      </c>
      <c r="N1477" s="15"/>
      <c r="O1477" s="8" t="s">
        <v>1196</v>
      </c>
      <c r="P1477" s="8" t="s">
        <v>46</v>
      </c>
      <c r="Q1477" s="9">
        <v>0.1</v>
      </c>
      <c r="R1477" s="139" t="s">
        <v>2222</v>
      </c>
      <c r="S1477" s="15"/>
      <c r="T1477" s="18">
        <v>628.40999999999894</v>
      </c>
      <c r="U1477" s="4">
        <v>0</v>
      </c>
      <c r="V1477" s="6">
        <v>0</v>
      </c>
      <c r="W1477" s="18">
        <f t="shared" si="217"/>
        <v>628.40999999999894</v>
      </c>
      <c r="X1477" s="18">
        <f t="shared" si="218"/>
        <v>0</v>
      </c>
      <c r="Y1477" s="13">
        <f t="shared" si="220"/>
        <v>0</v>
      </c>
      <c r="Z1477" s="14">
        <v>0</v>
      </c>
      <c r="AA1477" s="4">
        <v>0</v>
      </c>
      <c r="AB1477" s="4">
        <f t="shared" si="221"/>
        <v>0</v>
      </c>
      <c r="AC1477" s="6">
        <f t="shared" si="222"/>
        <v>0</v>
      </c>
      <c r="AD1477" s="6">
        <f t="shared" si="219"/>
        <v>0</v>
      </c>
      <c r="AE1477" s="2">
        <v>0.12</v>
      </c>
      <c r="AF1477" s="5">
        <f t="shared" si="223"/>
        <v>0</v>
      </c>
      <c r="AG1477" s="14">
        <v>0</v>
      </c>
      <c r="AH1477" s="19">
        <f t="shared" si="216"/>
        <v>0</v>
      </c>
      <c r="AJ1477" s="126" t="e">
        <v>#N/A</v>
      </c>
      <c r="AK1477" s="80">
        <f t="shared" si="224"/>
        <v>0</v>
      </c>
      <c r="AM1477" s="85"/>
    </row>
    <row r="1478" spans="1:39" hidden="1" x14ac:dyDescent="0.3">
      <c r="A1478" s="85" t="s">
        <v>34</v>
      </c>
      <c r="B1478" s="15" t="s">
        <v>35</v>
      </c>
      <c r="C1478" s="15" t="s">
        <v>164</v>
      </c>
      <c r="D1478" s="15" t="s">
        <v>305</v>
      </c>
      <c r="E1478" s="15" t="s">
        <v>1703</v>
      </c>
      <c r="F1478" s="15" t="s">
        <v>1703</v>
      </c>
      <c r="G1478" s="15" t="s">
        <v>1703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2223</v>
      </c>
      <c r="N1478" s="15"/>
      <c r="O1478" s="8" t="s">
        <v>410</v>
      </c>
      <c r="P1478" s="8" t="s">
        <v>46</v>
      </c>
      <c r="Q1478" s="9">
        <v>0.02</v>
      </c>
      <c r="R1478" s="139" t="s">
        <v>2224</v>
      </c>
      <c r="S1478" s="15"/>
      <c r="T1478" s="18">
        <v>3445.4</v>
      </c>
      <c r="U1478" s="4">
        <v>0</v>
      </c>
      <c r="V1478" s="6">
        <v>0</v>
      </c>
      <c r="W1478" s="18">
        <f t="shared" si="217"/>
        <v>3445.4</v>
      </c>
      <c r="X1478" s="18">
        <f t="shared" si="218"/>
        <v>0</v>
      </c>
      <c r="Y1478" s="13">
        <f t="shared" si="220"/>
        <v>0</v>
      </c>
      <c r="Z1478" s="14">
        <v>0</v>
      </c>
      <c r="AA1478" s="4">
        <v>0</v>
      </c>
      <c r="AB1478" s="4">
        <f t="shared" si="221"/>
        <v>0</v>
      </c>
      <c r="AC1478" s="6">
        <f t="shared" si="222"/>
        <v>0</v>
      </c>
      <c r="AD1478" s="6">
        <f t="shared" si="219"/>
        <v>0</v>
      </c>
      <c r="AE1478" s="2">
        <v>7.0000000000000007E-2</v>
      </c>
      <c r="AF1478" s="5">
        <f t="shared" si="223"/>
        <v>0</v>
      </c>
      <c r="AG1478" s="14">
        <v>0</v>
      </c>
      <c r="AH1478" s="19">
        <f t="shared" si="216"/>
        <v>0</v>
      </c>
      <c r="AJ1478" s="126" t="e">
        <v>#N/A</v>
      </c>
      <c r="AK1478" s="80">
        <f t="shared" si="224"/>
        <v>0</v>
      </c>
      <c r="AM1478" s="85"/>
    </row>
    <row r="1479" spans="1:39" hidden="1" x14ac:dyDescent="0.3">
      <c r="A1479" s="85" t="s">
        <v>34</v>
      </c>
      <c r="B1479" s="15" t="s">
        <v>35</v>
      </c>
      <c r="C1479" s="15" t="s">
        <v>164</v>
      </c>
      <c r="D1479" s="15" t="s">
        <v>305</v>
      </c>
      <c r="E1479" s="15" t="s">
        <v>1715</v>
      </c>
      <c r="F1479" s="15" t="s">
        <v>1716</v>
      </c>
      <c r="G1479" s="15" t="s">
        <v>1715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2225</v>
      </c>
      <c r="N1479" s="15"/>
      <c r="O1479" s="8" t="s">
        <v>1196</v>
      </c>
      <c r="P1479" s="8" t="s">
        <v>46</v>
      </c>
      <c r="Q1479" s="9">
        <v>0.06</v>
      </c>
      <c r="R1479" s="139" t="s">
        <v>2226</v>
      </c>
      <c r="S1479" s="15"/>
      <c r="T1479" s="18">
        <v>9481.92</v>
      </c>
      <c r="U1479" s="4">
        <v>0</v>
      </c>
      <c r="V1479" s="6">
        <v>0</v>
      </c>
      <c r="W1479" s="18">
        <f t="shared" si="217"/>
        <v>9481.92</v>
      </c>
      <c r="X1479" s="18">
        <f t="shared" si="218"/>
        <v>0</v>
      </c>
      <c r="Y1479" s="13">
        <f t="shared" si="220"/>
        <v>0</v>
      </c>
      <c r="Z1479" s="14">
        <v>0</v>
      </c>
      <c r="AA1479" s="4">
        <v>0</v>
      </c>
      <c r="AB1479" s="4">
        <f t="shared" si="221"/>
        <v>0</v>
      </c>
      <c r="AC1479" s="6">
        <f t="shared" si="222"/>
        <v>0</v>
      </c>
      <c r="AD1479" s="6">
        <f t="shared" si="219"/>
        <v>0</v>
      </c>
      <c r="AE1479" s="2">
        <v>0.12</v>
      </c>
      <c r="AF1479" s="5">
        <f t="shared" si="223"/>
        <v>0</v>
      </c>
      <c r="AG1479" s="14">
        <v>0</v>
      </c>
      <c r="AH1479" s="19">
        <f t="shared" si="216"/>
        <v>0</v>
      </c>
      <c r="AJ1479" s="126" t="e">
        <v>#N/A</v>
      </c>
      <c r="AK1479" s="80">
        <f t="shared" si="224"/>
        <v>0</v>
      </c>
      <c r="AM1479" s="85"/>
    </row>
    <row r="1480" spans="1:39" hidden="1" x14ac:dyDescent="0.3">
      <c r="A1480" s="85" t="s">
        <v>34</v>
      </c>
      <c r="B1480" s="15" t="s">
        <v>35</v>
      </c>
      <c r="C1480" s="15" t="s">
        <v>164</v>
      </c>
      <c r="D1480" s="15" t="s">
        <v>305</v>
      </c>
      <c r="E1480" s="15" t="s">
        <v>1715</v>
      </c>
      <c r="F1480" s="15" t="s">
        <v>1716</v>
      </c>
      <c r="G1480" s="15" t="s">
        <v>1715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2225</v>
      </c>
      <c r="N1480" s="15"/>
      <c r="O1480" s="8" t="s">
        <v>410</v>
      </c>
      <c r="P1480" s="8" t="s">
        <v>46</v>
      </c>
      <c r="Q1480" s="9">
        <v>0.02</v>
      </c>
      <c r="R1480" s="139" t="s">
        <v>2227</v>
      </c>
      <c r="S1480" s="15"/>
      <c r="T1480" s="18">
        <v>10200</v>
      </c>
      <c r="U1480" s="4">
        <v>0</v>
      </c>
      <c r="V1480" s="6">
        <v>0</v>
      </c>
      <c r="W1480" s="18">
        <f t="shared" si="217"/>
        <v>10200</v>
      </c>
      <c r="X1480" s="18">
        <f t="shared" si="218"/>
        <v>0</v>
      </c>
      <c r="Y1480" s="13">
        <f t="shared" si="220"/>
        <v>0</v>
      </c>
      <c r="Z1480" s="14">
        <v>0</v>
      </c>
      <c r="AA1480" s="4">
        <v>0</v>
      </c>
      <c r="AB1480" s="4">
        <f t="shared" si="221"/>
        <v>0</v>
      </c>
      <c r="AC1480" s="6">
        <f t="shared" si="222"/>
        <v>0</v>
      </c>
      <c r="AD1480" s="6">
        <f t="shared" si="219"/>
        <v>0</v>
      </c>
      <c r="AE1480" s="2">
        <v>7.0000000000000007E-2</v>
      </c>
      <c r="AF1480" s="5">
        <f t="shared" si="223"/>
        <v>0</v>
      </c>
      <c r="AG1480" s="14">
        <v>0</v>
      </c>
      <c r="AH1480" s="19">
        <f t="shared" si="216"/>
        <v>0</v>
      </c>
      <c r="AJ1480" s="126" t="e">
        <v>#N/A</v>
      </c>
      <c r="AK1480" s="80">
        <f t="shared" si="224"/>
        <v>0</v>
      </c>
      <c r="AM1480" s="85"/>
    </row>
    <row r="1481" spans="1:39" hidden="1" x14ac:dyDescent="0.3">
      <c r="A1481" s="85" t="s">
        <v>34</v>
      </c>
      <c r="B1481" s="15" t="s">
        <v>35</v>
      </c>
      <c r="C1481" s="15" t="s">
        <v>164</v>
      </c>
      <c r="D1481" s="15" t="s">
        <v>305</v>
      </c>
      <c r="E1481" s="15" t="s">
        <v>2228</v>
      </c>
      <c r="F1481" s="15" t="s">
        <v>2228</v>
      </c>
      <c r="G1481" s="15" t="s">
        <v>2228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2228</v>
      </c>
      <c r="N1481" s="15"/>
      <c r="O1481" s="8" t="s">
        <v>1196</v>
      </c>
      <c r="P1481" s="8" t="s">
        <v>41</v>
      </c>
      <c r="Q1481" s="9">
        <v>0</v>
      </c>
      <c r="R1481" s="139" t="s">
        <v>2229</v>
      </c>
      <c r="S1481" s="15"/>
      <c r="T1481" s="18">
        <v>3704.22</v>
      </c>
      <c r="U1481" s="4">
        <v>0</v>
      </c>
      <c r="V1481" s="6">
        <v>0</v>
      </c>
      <c r="W1481" s="18">
        <f t="shared" si="217"/>
        <v>3704.22</v>
      </c>
      <c r="X1481" s="18">
        <f t="shared" si="218"/>
        <v>0</v>
      </c>
      <c r="Y1481" s="13">
        <f t="shared" si="220"/>
        <v>0</v>
      </c>
      <c r="Z1481" s="14">
        <v>0</v>
      </c>
      <c r="AA1481" s="4">
        <v>0</v>
      </c>
      <c r="AB1481" s="4">
        <f t="shared" si="221"/>
        <v>0</v>
      </c>
      <c r="AC1481" s="6">
        <f t="shared" si="222"/>
        <v>0</v>
      </c>
      <c r="AD1481" s="6">
        <f t="shared" si="219"/>
        <v>0</v>
      </c>
      <c r="AE1481" s="2">
        <v>0.12</v>
      </c>
      <c r="AF1481" s="5">
        <f t="shared" si="223"/>
        <v>0</v>
      </c>
      <c r="AG1481" s="14">
        <v>0</v>
      </c>
      <c r="AH1481" s="19">
        <f t="shared" si="216"/>
        <v>0</v>
      </c>
      <c r="AJ1481" s="126" t="e">
        <v>#N/A</v>
      </c>
      <c r="AK1481" s="80">
        <f t="shared" si="224"/>
        <v>0</v>
      </c>
      <c r="AM1481" s="85"/>
    </row>
    <row r="1482" spans="1:39" hidden="1" x14ac:dyDescent="0.3">
      <c r="A1482" s="85" t="s">
        <v>34</v>
      </c>
      <c r="B1482" s="15" t="s">
        <v>35</v>
      </c>
      <c r="C1482" s="15" t="s">
        <v>164</v>
      </c>
      <c r="D1482" s="15" t="s">
        <v>305</v>
      </c>
      <c r="E1482" s="15" t="s">
        <v>2230</v>
      </c>
      <c r="F1482" s="15" t="s">
        <v>2231</v>
      </c>
      <c r="G1482" s="15" t="s">
        <v>2230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2230</v>
      </c>
      <c r="N1482" s="15"/>
      <c r="O1482" s="8" t="s">
        <v>1196</v>
      </c>
      <c r="P1482" s="8" t="s">
        <v>46</v>
      </c>
      <c r="Q1482" s="9">
        <v>0.2</v>
      </c>
      <c r="R1482" s="139" t="s">
        <v>2232</v>
      </c>
      <c r="S1482" s="15"/>
      <c r="T1482" s="18">
        <v>2.93</v>
      </c>
      <c r="U1482" s="4">
        <v>0</v>
      </c>
      <c r="V1482" s="6">
        <v>0</v>
      </c>
      <c r="W1482" s="18">
        <f t="shared" si="217"/>
        <v>2.93</v>
      </c>
      <c r="X1482" s="18">
        <f t="shared" si="218"/>
        <v>0</v>
      </c>
      <c r="Y1482" s="13">
        <f t="shared" si="220"/>
        <v>0</v>
      </c>
      <c r="Z1482" s="14">
        <v>0</v>
      </c>
      <c r="AA1482" s="4">
        <v>0</v>
      </c>
      <c r="AB1482" s="4"/>
      <c r="AC1482" s="6">
        <f t="shared" si="222"/>
        <v>0</v>
      </c>
      <c r="AD1482" s="6">
        <f t="shared" si="219"/>
        <v>0</v>
      </c>
      <c r="AE1482" s="2">
        <v>0.12</v>
      </c>
      <c r="AF1482" s="5">
        <f t="shared" si="223"/>
        <v>0</v>
      </c>
      <c r="AG1482" s="14">
        <v>0</v>
      </c>
      <c r="AH1482" s="19">
        <f t="shared" si="216"/>
        <v>0</v>
      </c>
      <c r="AJ1482" s="126">
        <v>12</v>
      </c>
      <c r="AK1482" s="80">
        <f t="shared" si="224"/>
        <v>0</v>
      </c>
      <c r="AM1482" s="85"/>
    </row>
    <row r="1483" spans="1:39" hidden="1" x14ac:dyDescent="0.3">
      <c r="A1483" s="85" t="s">
        <v>34</v>
      </c>
      <c r="B1483" s="15" t="s">
        <v>35</v>
      </c>
      <c r="C1483" s="15" t="s">
        <v>164</v>
      </c>
      <c r="D1483" s="15" t="s">
        <v>305</v>
      </c>
      <c r="E1483" s="15" t="s">
        <v>2233</v>
      </c>
      <c r="F1483" s="15" t="s">
        <v>2233</v>
      </c>
      <c r="G1483" s="15" t="s">
        <v>2233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2233</v>
      </c>
      <c r="N1483" s="15"/>
      <c r="O1483" s="8" t="s">
        <v>410</v>
      </c>
      <c r="P1483" s="8" t="s">
        <v>41</v>
      </c>
      <c r="Q1483" s="9">
        <v>0</v>
      </c>
      <c r="R1483" s="139" t="s">
        <v>2234</v>
      </c>
      <c r="S1483" s="15"/>
      <c r="T1483" s="18">
        <v>1166.5999999999999</v>
      </c>
      <c r="U1483" s="4">
        <v>0</v>
      </c>
      <c r="V1483" s="6">
        <v>0</v>
      </c>
      <c r="W1483" s="18">
        <f t="shared" si="217"/>
        <v>1166.5999999999999</v>
      </c>
      <c r="X1483" s="18">
        <f t="shared" si="218"/>
        <v>0</v>
      </c>
      <c r="Y1483" s="13">
        <f t="shared" si="220"/>
        <v>0</v>
      </c>
      <c r="Z1483" s="14">
        <v>0</v>
      </c>
      <c r="AA1483" s="4">
        <v>0</v>
      </c>
      <c r="AB1483" s="4">
        <f t="shared" si="221"/>
        <v>0</v>
      </c>
      <c r="AC1483" s="6">
        <f t="shared" si="222"/>
        <v>0</v>
      </c>
      <c r="AD1483" s="6">
        <f t="shared" si="219"/>
        <v>0</v>
      </c>
      <c r="AE1483" s="2">
        <v>7.0000000000000007E-2</v>
      </c>
      <c r="AF1483" s="5">
        <f t="shared" si="223"/>
        <v>0</v>
      </c>
      <c r="AG1483" s="14">
        <v>0</v>
      </c>
      <c r="AH1483" s="19">
        <f t="shared" si="216"/>
        <v>0</v>
      </c>
      <c r="AJ1483" s="126" t="e">
        <v>#N/A</v>
      </c>
      <c r="AK1483" s="80">
        <f t="shared" si="224"/>
        <v>0</v>
      </c>
      <c r="AM1483" s="85"/>
    </row>
    <row r="1484" spans="1:39" hidden="1" x14ac:dyDescent="0.3">
      <c r="A1484" s="85" t="s">
        <v>34</v>
      </c>
      <c r="B1484" s="15" t="s">
        <v>35</v>
      </c>
      <c r="C1484" s="15" t="s">
        <v>164</v>
      </c>
      <c r="D1484" s="15" t="s">
        <v>305</v>
      </c>
      <c r="E1484" s="15" t="s">
        <v>2235</v>
      </c>
      <c r="F1484" s="15" t="s">
        <v>2235</v>
      </c>
      <c r="G1484" s="15" t="s">
        <v>2235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2235</v>
      </c>
      <c r="N1484" s="15"/>
      <c r="O1484" s="8" t="s">
        <v>410</v>
      </c>
      <c r="P1484" s="8" t="s">
        <v>46</v>
      </c>
      <c r="Q1484" s="9">
        <v>0.04</v>
      </c>
      <c r="R1484" s="139" t="s">
        <v>2236</v>
      </c>
      <c r="S1484" s="15"/>
      <c r="T1484" s="18">
        <v>4759</v>
      </c>
      <c r="U1484" s="4">
        <v>0</v>
      </c>
      <c r="V1484" s="6">
        <v>0</v>
      </c>
      <c r="W1484" s="18">
        <f t="shared" si="217"/>
        <v>4759</v>
      </c>
      <c r="X1484" s="18">
        <f t="shared" si="218"/>
        <v>0</v>
      </c>
      <c r="Y1484" s="13">
        <f t="shared" si="220"/>
        <v>0</v>
      </c>
      <c r="Z1484" s="14">
        <v>0</v>
      </c>
      <c r="AA1484" s="4">
        <v>0</v>
      </c>
      <c r="AB1484" s="4">
        <f t="shared" si="221"/>
        <v>0</v>
      </c>
      <c r="AC1484" s="6">
        <f t="shared" si="222"/>
        <v>0</v>
      </c>
      <c r="AD1484" s="6">
        <f t="shared" si="219"/>
        <v>0</v>
      </c>
      <c r="AE1484" s="2">
        <v>7.0000000000000007E-2</v>
      </c>
      <c r="AF1484" s="5">
        <f t="shared" si="223"/>
        <v>0</v>
      </c>
      <c r="AG1484" s="14">
        <v>0</v>
      </c>
      <c r="AH1484" s="19">
        <f t="shared" si="216"/>
        <v>0</v>
      </c>
      <c r="AJ1484" s="126" t="e">
        <v>#N/A</v>
      </c>
      <c r="AK1484" s="80">
        <f t="shared" si="224"/>
        <v>0</v>
      </c>
      <c r="AM1484" s="85"/>
    </row>
    <row r="1485" spans="1:39" hidden="1" x14ac:dyDescent="0.3">
      <c r="A1485" s="85" t="s">
        <v>34</v>
      </c>
      <c r="B1485" s="15" t="s">
        <v>35</v>
      </c>
      <c r="C1485" s="15" t="s">
        <v>164</v>
      </c>
      <c r="D1485" s="15" t="s">
        <v>165</v>
      </c>
      <c r="E1485" s="15" t="s">
        <v>2237</v>
      </c>
      <c r="F1485" s="15" t="s">
        <v>2237</v>
      </c>
      <c r="G1485" s="15" t="s">
        <v>2237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2238</v>
      </c>
      <c r="N1485" s="15"/>
      <c r="O1485" s="8" t="s">
        <v>410</v>
      </c>
      <c r="P1485" s="8" t="s">
        <v>46</v>
      </c>
      <c r="Q1485" s="9">
        <v>0.02</v>
      </c>
      <c r="R1485" s="139" t="s">
        <v>2239</v>
      </c>
      <c r="S1485" s="15"/>
      <c r="T1485" s="18">
        <v>31033.109999999971</v>
      </c>
      <c r="U1485" s="4">
        <v>0</v>
      </c>
      <c r="V1485" s="6">
        <v>0</v>
      </c>
      <c r="W1485" s="18">
        <f t="shared" si="217"/>
        <v>31033.109999999971</v>
      </c>
      <c r="X1485" s="18">
        <f t="shared" si="218"/>
        <v>0</v>
      </c>
      <c r="Y1485" s="13">
        <f t="shared" si="220"/>
        <v>0</v>
      </c>
      <c r="Z1485" s="14">
        <v>0</v>
      </c>
      <c r="AA1485" s="4">
        <v>0</v>
      </c>
      <c r="AB1485" s="4">
        <f t="shared" si="221"/>
        <v>0</v>
      </c>
      <c r="AC1485" s="6">
        <f t="shared" si="222"/>
        <v>0</v>
      </c>
      <c r="AD1485" s="6">
        <f t="shared" si="219"/>
        <v>0</v>
      </c>
      <c r="AE1485" s="2">
        <v>7.0000000000000007E-2</v>
      </c>
      <c r="AF1485" s="5">
        <f t="shared" si="223"/>
        <v>0</v>
      </c>
      <c r="AG1485" s="14">
        <v>0</v>
      </c>
      <c r="AH1485" s="19">
        <f t="shared" si="216"/>
        <v>0</v>
      </c>
      <c r="AJ1485" s="126" t="e">
        <v>#N/A</v>
      </c>
      <c r="AK1485" s="80">
        <f t="shared" si="224"/>
        <v>0</v>
      </c>
      <c r="AM1485" s="85"/>
    </row>
    <row r="1486" spans="1:39" hidden="1" x14ac:dyDescent="0.3">
      <c r="A1486" s="85" t="s">
        <v>34</v>
      </c>
      <c r="B1486" s="15" t="s">
        <v>35</v>
      </c>
      <c r="C1486" s="15" t="s">
        <v>164</v>
      </c>
      <c r="D1486" s="15" t="s">
        <v>165</v>
      </c>
      <c r="E1486" s="15" t="s">
        <v>619</v>
      </c>
      <c r="F1486" s="15" t="s">
        <v>620</v>
      </c>
      <c r="G1486" s="15" t="s">
        <v>619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619</v>
      </c>
      <c r="N1486" s="15"/>
      <c r="O1486" s="8" t="s">
        <v>2054</v>
      </c>
      <c r="P1486" s="8" t="s">
        <v>46</v>
      </c>
      <c r="Q1486" s="9">
        <v>0.04</v>
      </c>
      <c r="R1486" s="139" t="s">
        <v>2064</v>
      </c>
      <c r="S1486" s="15"/>
      <c r="T1486" s="18">
        <v>-1993.4765199999997</v>
      </c>
      <c r="U1486" s="4">
        <v>0</v>
      </c>
      <c r="V1486" s="6">
        <v>0</v>
      </c>
      <c r="W1486" s="18">
        <f t="shared" si="217"/>
        <v>-1993.4765199999997</v>
      </c>
      <c r="X1486" s="18">
        <f t="shared" si="218"/>
        <v>0</v>
      </c>
      <c r="Y1486" s="13">
        <f t="shared" si="220"/>
        <v>0</v>
      </c>
      <c r="Z1486" s="14">
        <v>0</v>
      </c>
      <c r="AA1486" s="4">
        <v>0</v>
      </c>
      <c r="AB1486" s="4">
        <f t="shared" si="221"/>
        <v>0</v>
      </c>
      <c r="AC1486" s="6">
        <f t="shared" si="222"/>
        <v>0</v>
      </c>
      <c r="AD1486" s="6">
        <f t="shared" si="219"/>
        <v>0</v>
      </c>
      <c r="AE1486" s="2">
        <v>0.12</v>
      </c>
      <c r="AF1486" s="5">
        <f t="shared" si="223"/>
        <v>0</v>
      </c>
      <c r="AG1486" s="14">
        <v>0</v>
      </c>
      <c r="AH1486" s="19">
        <f t="shared" si="216"/>
        <v>0</v>
      </c>
      <c r="AJ1486" s="126" t="e">
        <v>#N/A</v>
      </c>
      <c r="AK1486" s="80">
        <f t="shared" si="224"/>
        <v>0</v>
      </c>
      <c r="AM1486" s="85"/>
    </row>
    <row r="1487" spans="1:39" hidden="1" x14ac:dyDescent="0.3">
      <c r="A1487" s="85" t="s">
        <v>34</v>
      </c>
      <c r="B1487" s="15" t="s">
        <v>35</v>
      </c>
      <c r="C1487" s="15" t="s">
        <v>164</v>
      </c>
      <c r="D1487" s="15" t="s">
        <v>165</v>
      </c>
      <c r="E1487" s="15" t="s">
        <v>2240</v>
      </c>
      <c r="F1487" s="15" t="s">
        <v>2240</v>
      </c>
      <c r="G1487" s="15" t="s">
        <v>2240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2240</v>
      </c>
      <c r="N1487" s="15"/>
      <c r="O1487" s="8" t="s">
        <v>410</v>
      </c>
      <c r="P1487" s="8" t="s">
        <v>41</v>
      </c>
      <c r="Q1487" s="9">
        <v>0</v>
      </c>
      <c r="R1487" s="139" t="s">
        <v>2241</v>
      </c>
      <c r="S1487" s="15"/>
      <c r="T1487" s="18">
        <v>3139.3</v>
      </c>
      <c r="U1487" s="4">
        <v>0</v>
      </c>
      <c r="V1487" s="6">
        <v>0</v>
      </c>
      <c r="W1487" s="18">
        <f t="shared" si="217"/>
        <v>3139.3</v>
      </c>
      <c r="X1487" s="18">
        <f t="shared" si="218"/>
        <v>0</v>
      </c>
      <c r="Y1487" s="13">
        <f t="shared" si="220"/>
        <v>0</v>
      </c>
      <c r="Z1487" s="14">
        <v>0</v>
      </c>
      <c r="AA1487" s="4">
        <v>0</v>
      </c>
      <c r="AB1487" s="4">
        <f t="shared" si="221"/>
        <v>0</v>
      </c>
      <c r="AC1487" s="6">
        <f t="shared" si="222"/>
        <v>0</v>
      </c>
      <c r="AD1487" s="6">
        <f t="shared" si="219"/>
        <v>0</v>
      </c>
      <c r="AE1487" s="2">
        <v>7.0000000000000007E-2</v>
      </c>
      <c r="AF1487" s="5">
        <f t="shared" si="223"/>
        <v>0</v>
      </c>
      <c r="AG1487" s="14">
        <v>0</v>
      </c>
      <c r="AH1487" s="19">
        <f t="shared" si="216"/>
        <v>0</v>
      </c>
      <c r="AJ1487" s="126" t="e">
        <v>#N/A</v>
      </c>
      <c r="AK1487" s="80">
        <f t="shared" si="224"/>
        <v>0</v>
      </c>
      <c r="AM1487" s="85"/>
    </row>
    <row r="1488" spans="1:39" hidden="1" x14ac:dyDescent="0.3">
      <c r="A1488" s="85" t="s">
        <v>34</v>
      </c>
      <c r="B1488" s="15" t="s">
        <v>35</v>
      </c>
      <c r="C1488" s="15" t="s">
        <v>164</v>
      </c>
      <c r="D1488" s="15" t="s">
        <v>165</v>
      </c>
      <c r="E1488" s="15" t="s">
        <v>2242</v>
      </c>
      <c r="F1488" s="15" t="s">
        <v>2242</v>
      </c>
      <c r="G1488" s="15" t="s">
        <v>2242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2242</v>
      </c>
      <c r="N1488" s="15"/>
      <c r="O1488" s="8" t="s">
        <v>410</v>
      </c>
      <c r="P1488" s="8" t="s">
        <v>46</v>
      </c>
      <c r="Q1488" s="9">
        <v>0.01</v>
      </c>
      <c r="R1488" s="139" t="s">
        <v>2243</v>
      </c>
      <c r="S1488" s="15"/>
      <c r="T1488" s="18">
        <v>4939.5</v>
      </c>
      <c r="U1488" s="4">
        <v>0</v>
      </c>
      <c r="V1488" s="6">
        <v>0</v>
      </c>
      <c r="W1488" s="18">
        <f t="shared" si="217"/>
        <v>4939.5</v>
      </c>
      <c r="X1488" s="18">
        <f t="shared" si="218"/>
        <v>0</v>
      </c>
      <c r="Y1488" s="13">
        <f t="shared" si="220"/>
        <v>0</v>
      </c>
      <c r="Z1488" s="14">
        <v>0</v>
      </c>
      <c r="AA1488" s="4">
        <v>0</v>
      </c>
      <c r="AB1488" s="4">
        <f t="shared" si="221"/>
        <v>0</v>
      </c>
      <c r="AC1488" s="6">
        <f t="shared" si="222"/>
        <v>0</v>
      </c>
      <c r="AD1488" s="6">
        <f t="shared" si="219"/>
        <v>0</v>
      </c>
      <c r="AE1488" s="2">
        <v>7.0000000000000007E-2</v>
      </c>
      <c r="AF1488" s="5">
        <f t="shared" si="223"/>
        <v>0</v>
      </c>
      <c r="AG1488" s="14">
        <v>0</v>
      </c>
      <c r="AH1488" s="19">
        <f t="shared" si="216"/>
        <v>0</v>
      </c>
      <c r="AJ1488" s="126" t="e">
        <v>#N/A</v>
      </c>
      <c r="AK1488" s="80">
        <f t="shared" si="224"/>
        <v>0</v>
      </c>
      <c r="AM1488" s="85"/>
    </row>
    <row r="1489" spans="1:39" hidden="1" x14ac:dyDescent="0.3">
      <c r="A1489" s="85" t="s">
        <v>34</v>
      </c>
      <c r="B1489" s="15" t="s">
        <v>35</v>
      </c>
      <c r="C1489" s="15" t="s">
        <v>164</v>
      </c>
      <c r="D1489" s="15" t="s">
        <v>169</v>
      </c>
      <c r="E1489" s="15" t="s">
        <v>2244</v>
      </c>
      <c r="F1489" s="15" t="s">
        <v>2244</v>
      </c>
      <c r="G1489" s="15" t="s">
        <v>2244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2245</v>
      </c>
      <c r="N1489" s="15"/>
      <c r="O1489" s="8" t="s">
        <v>410</v>
      </c>
      <c r="P1489" s="8" t="s">
        <v>46</v>
      </c>
      <c r="Q1489" s="9">
        <v>0.03</v>
      </c>
      <c r="R1489" s="139" t="s">
        <v>2246</v>
      </c>
      <c r="S1489" s="15"/>
      <c r="T1489" s="18">
        <v>1</v>
      </c>
      <c r="U1489" s="4">
        <v>0</v>
      </c>
      <c r="V1489" s="6">
        <v>0</v>
      </c>
      <c r="W1489" s="18">
        <f t="shared" si="217"/>
        <v>1</v>
      </c>
      <c r="X1489" s="18">
        <f t="shared" si="218"/>
        <v>0</v>
      </c>
      <c r="Y1489" s="13">
        <f t="shared" si="220"/>
        <v>0</v>
      </c>
      <c r="Z1489" s="14">
        <v>0</v>
      </c>
      <c r="AA1489" s="4">
        <v>0</v>
      </c>
      <c r="AB1489" s="4">
        <f t="shared" si="221"/>
        <v>0</v>
      </c>
      <c r="AC1489" s="6">
        <f t="shared" si="222"/>
        <v>0</v>
      </c>
      <c r="AD1489" s="6">
        <f t="shared" si="219"/>
        <v>0</v>
      </c>
      <c r="AE1489" s="2">
        <v>7.0000000000000007E-2</v>
      </c>
      <c r="AF1489" s="5">
        <f t="shared" si="223"/>
        <v>0</v>
      </c>
      <c r="AG1489" s="14">
        <v>0</v>
      </c>
      <c r="AH1489" s="19">
        <f t="shared" si="216"/>
        <v>0</v>
      </c>
      <c r="AJ1489" s="126" t="e">
        <v>#N/A</v>
      </c>
      <c r="AK1489" s="80">
        <f t="shared" si="224"/>
        <v>0</v>
      </c>
      <c r="AM1489" s="85"/>
    </row>
    <row r="1490" spans="1:39" hidden="1" x14ac:dyDescent="0.3">
      <c r="A1490" s="85" t="s">
        <v>34</v>
      </c>
      <c r="B1490" s="15" t="s">
        <v>35</v>
      </c>
      <c r="C1490" s="15" t="s">
        <v>164</v>
      </c>
      <c r="D1490" s="15" t="s">
        <v>169</v>
      </c>
      <c r="E1490" s="15" t="s">
        <v>2247</v>
      </c>
      <c r="F1490" s="15" t="s">
        <v>2247</v>
      </c>
      <c r="G1490" s="15" t="s">
        <v>2247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2248</v>
      </c>
      <c r="N1490" s="15"/>
      <c r="O1490" s="8" t="s">
        <v>410</v>
      </c>
      <c r="P1490" s="8" t="s">
        <v>41</v>
      </c>
      <c r="Q1490" s="9">
        <v>0</v>
      </c>
      <c r="R1490" s="139" t="s">
        <v>2249</v>
      </c>
      <c r="S1490" s="15"/>
      <c r="T1490" s="18">
        <v>62.199999999999818</v>
      </c>
      <c r="U1490" s="4">
        <v>0</v>
      </c>
      <c r="V1490" s="6">
        <v>0</v>
      </c>
      <c r="W1490" s="18">
        <f t="shared" si="217"/>
        <v>62.199999999999818</v>
      </c>
      <c r="X1490" s="18">
        <f t="shared" si="218"/>
        <v>0</v>
      </c>
      <c r="Y1490" s="13">
        <f t="shared" si="220"/>
        <v>0</v>
      </c>
      <c r="Z1490" s="14">
        <v>0</v>
      </c>
      <c r="AA1490" s="4">
        <v>0</v>
      </c>
      <c r="AB1490" s="4">
        <f t="shared" si="221"/>
        <v>0</v>
      </c>
      <c r="AC1490" s="6">
        <f t="shared" si="222"/>
        <v>0</v>
      </c>
      <c r="AD1490" s="6">
        <f t="shared" si="219"/>
        <v>0</v>
      </c>
      <c r="AE1490" s="2">
        <v>7.0000000000000007E-2</v>
      </c>
      <c r="AF1490" s="5">
        <f t="shared" si="223"/>
        <v>0</v>
      </c>
      <c r="AG1490" s="14">
        <v>0</v>
      </c>
      <c r="AH1490" s="19">
        <f t="shared" si="216"/>
        <v>0</v>
      </c>
      <c r="AJ1490" s="126" t="e">
        <v>#N/A</v>
      </c>
      <c r="AK1490" s="80">
        <f t="shared" si="224"/>
        <v>0</v>
      </c>
      <c r="AM1490" s="85"/>
    </row>
    <row r="1491" spans="1:39" hidden="1" x14ac:dyDescent="0.3">
      <c r="A1491" s="85" t="s">
        <v>34</v>
      </c>
      <c r="B1491" s="15" t="s">
        <v>35</v>
      </c>
      <c r="C1491" s="15" t="s">
        <v>164</v>
      </c>
      <c r="D1491" s="15" t="s">
        <v>169</v>
      </c>
      <c r="E1491" s="15" t="s">
        <v>2250</v>
      </c>
      <c r="F1491" s="15" t="s">
        <v>2250</v>
      </c>
      <c r="G1491" s="15" t="s">
        <v>2250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2251</v>
      </c>
      <c r="N1491" s="15"/>
      <c r="O1491" s="8" t="s">
        <v>410</v>
      </c>
      <c r="P1491" s="8" t="s">
        <v>41</v>
      </c>
      <c r="Q1491" s="9">
        <v>0</v>
      </c>
      <c r="R1491" s="139" t="s">
        <v>2252</v>
      </c>
      <c r="S1491" s="15"/>
      <c r="T1491" s="18">
        <v>54.699999999999903</v>
      </c>
      <c r="U1491" s="4">
        <v>0</v>
      </c>
      <c r="V1491" s="6">
        <v>0</v>
      </c>
      <c r="W1491" s="18">
        <f t="shared" si="217"/>
        <v>54.699999999999903</v>
      </c>
      <c r="X1491" s="18">
        <f t="shared" si="218"/>
        <v>0</v>
      </c>
      <c r="Y1491" s="13">
        <f t="shared" si="220"/>
        <v>0</v>
      </c>
      <c r="Z1491" s="14">
        <v>0</v>
      </c>
      <c r="AA1491" s="4">
        <v>0</v>
      </c>
      <c r="AB1491" s="4">
        <f t="shared" si="221"/>
        <v>0</v>
      </c>
      <c r="AC1491" s="6">
        <f t="shared" si="222"/>
        <v>0</v>
      </c>
      <c r="AD1491" s="6">
        <f t="shared" si="219"/>
        <v>0</v>
      </c>
      <c r="AE1491" s="2">
        <v>7.0000000000000007E-2</v>
      </c>
      <c r="AF1491" s="5">
        <f t="shared" si="223"/>
        <v>0</v>
      </c>
      <c r="AG1491" s="14">
        <v>0</v>
      </c>
      <c r="AH1491" s="19">
        <f t="shared" si="216"/>
        <v>0</v>
      </c>
      <c r="AJ1491" s="126" t="e">
        <v>#N/A</v>
      </c>
      <c r="AK1491" s="80">
        <f t="shared" si="224"/>
        <v>0</v>
      </c>
      <c r="AM1491" s="85"/>
    </row>
    <row r="1492" spans="1:39" hidden="1" x14ac:dyDescent="0.3">
      <c r="A1492" s="85" t="s">
        <v>34</v>
      </c>
      <c r="B1492" s="15" t="s">
        <v>35</v>
      </c>
      <c r="C1492" s="15" t="s">
        <v>164</v>
      </c>
      <c r="D1492" s="15" t="s">
        <v>169</v>
      </c>
      <c r="E1492" s="15" t="s">
        <v>1954</v>
      </c>
      <c r="F1492" s="15" t="s">
        <v>1954</v>
      </c>
      <c r="G1492" s="15" t="s">
        <v>1954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1954</v>
      </c>
      <c r="N1492" s="15"/>
      <c r="O1492" s="8" t="s">
        <v>1196</v>
      </c>
      <c r="P1492" s="8" t="s">
        <v>46</v>
      </c>
      <c r="Q1492" s="9">
        <v>0.02</v>
      </c>
      <c r="R1492" s="139" t="s">
        <v>1956</v>
      </c>
      <c r="S1492" s="15"/>
      <c r="T1492" s="18">
        <v>95600</v>
      </c>
      <c r="U1492" s="4">
        <v>0</v>
      </c>
      <c r="V1492" s="6">
        <v>0</v>
      </c>
      <c r="W1492" s="18">
        <f t="shared" si="217"/>
        <v>95600</v>
      </c>
      <c r="X1492" s="18">
        <f t="shared" si="218"/>
        <v>0</v>
      </c>
      <c r="Y1492" s="13">
        <f t="shared" si="220"/>
        <v>0</v>
      </c>
      <c r="Z1492" s="14">
        <v>0</v>
      </c>
      <c r="AA1492" s="4">
        <v>0</v>
      </c>
      <c r="AB1492" s="4">
        <f t="shared" si="221"/>
        <v>0</v>
      </c>
      <c r="AC1492" s="6">
        <f t="shared" si="222"/>
        <v>0</v>
      </c>
      <c r="AD1492" s="6">
        <f t="shared" si="219"/>
        <v>0</v>
      </c>
      <c r="AE1492" s="2">
        <v>0.12</v>
      </c>
      <c r="AF1492" s="5">
        <f t="shared" si="223"/>
        <v>0</v>
      </c>
      <c r="AG1492" s="14">
        <v>0</v>
      </c>
      <c r="AH1492" s="19">
        <f t="shared" si="216"/>
        <v>0</v>
      </c>
      <c r="AJ1492" s="126" t="e">
        <v>#N/A</v>
      </c>
      <c r="AK1492" s="80">
        <f t="shared" si="224"/>
        <v>0</v>
      </c>
      <c r="AM1492" s="85"/>
    </row>
    <row r="1493" spans="1:39" hidden="1" x14ac:dyDescent="0.3">
      <c r="A1493" s="85" t="s">
        <v>34</v>
      </c>
      <c r="B1493" s="15" t="s">
        <v>35</v>
      </c>
      <c r="C1493" s="15" t="s">
        <v>164</v>
      </c>
      <c r="D1493" s="15" t="s">
        <v>169</v>
      </c>
      <c r="E1493" s="15" t="s">
        <v>1954</v>
      </c>
      <c r="F1493" s="15" t="s">
        <v>1954</v>
      </c>
      <c r="G1493" s="15" t="s">
        <v>1954</v>
      </c>
      <c r="H1493" s="139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1954</v>
      </c>
      <c r="N1493" s="15"/>
      <c r="O1493" s="8" t="s">
        <v>941</v>
      </c>
      <c r="P1493" s="8" t="s">
        <v>46</v>
      </c>
      <c r="Q1493" s="9">
        <v>0.02</v>
      </c>
      <c r="R1493" s="139" t="s">
        <v>1955</v>
      </c>
      <c r="S1493" s="15"/>
      <c r="T1493" s="18">
        <v>-594818.11</v>
      </c>
      <c r="U1493" s="4">
        <v>0</v>
      </c>
      <c r="V1493" s="6">
        <v>0</v>
      </c>
      <c r="W1493" s="18">
        <f t="shared" si="217"/>
        <v>-594818.11</v>
      </c>
      <c r="X1493" s="18">
        <f t="shared" si="218"/>
        <v>0</v>
      </c>
      <c r="Y1493" s="13">
        <f t="shared" si="220"/>
        <v>0</v>
      </c>
      <c r="Z1493" s="14">
        <v>0</v>
      </c>
      <c r="AA1493" s="4">
        <v>0</v>
      </c>
      <c r="AB1493" s="4">
        <f t="shared" si="221"/>
        <v>0</v>
      </c>
      <c r="AC1493" s="6">
        <f t="shared" si="222"/>
        <v>0</v>
      </c>
      <c r="AD1493" s="6">
        <f t="shared" si="219"/>
        <v>0</v>
      </c>
      <c r="AE1493" s="2">
        <v>0.15</v>
      </c>
      <c r="AF1493" s="5">
        <f t="shared" si="223"/>
        <v>0</v>
      </c>
      <c r="AG1493" s="14">
        <v>0</v>
      </c>
      <c r="AH1493" s="19">
        <f t="shared" ref="AH1493:AH1556" si="225">V1493</f>
        <v>0</v>
      </c>
      <c r="AJ1493" s="126" t="e">
        <v>#N/A</v>
      </c>
      <c r="AK1493" s="80">
        <f t="shared" si="224"/>
        <v>0</v>
      </c>
      <c r="AM1493" s="85"/>
    </row>
    <row r="1494" spans="1:39" hidden="1" x14ac:dyDescent="0.3">
      <c r="A1494" s="85" t="s">
        <v>34</v>
      </c>
      <c r="B1494" s="15" t="s">
        <v>35</v>
      </c>
      <c r="C1494" s="15" t="s">
        <v>164</v>
      </c>
      <c r="D1494" s="15" t="s">
        <v>169</v>
      </c>
      <c r="E1494" s="15" t="s">
        <v>2253</v>
      </c>
      <c r="F1494" s="15" t="s">
        <v>2253</v>
      </c>
      <c r="G1494" s="15" t="s">
        <v>2253</v>
      </c>
      <c r="H1494" s="139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1996</v>
      </c>
      <c r="N1494" s="15"/>
      <c r="O1494" s="8" t="s">
        <v>410</v>
      </c>
      <c r="P1494" s="8" t="s">
        <v>41</v>
      </c>
      <c r="Q1494" s="9">
        <v>0</v>
      </c>
      <c r="R1494" s="139" t="s">
        <v>2254</v>
      </c>
      <c r="S1494" s="15"/>
      <c r="T1494" s="18">
        <v>8603.76</v>
      </c>
      <c r="U1494" s="4">
        <v>0</v>
      </c>
      <c r="V1494" s="6">
        <v>0</v>
      </c>
      <c r="W1494" s="18">
        <f t="shared" si="217"/>
        <v>8603.76</v>
      </c>
      <c r="X1494" s="18">
        <f t="shared" si="218"/>
        <v>0</v>
      </c>
      <c r="Y1494" s="13">
        <f t="shared" si="220"/>
        <v>0</v>
      </c>
      <c r="Z1494" s="14">
        <v>0</v>
      </c>
      <c r="AA1494" s="4">
        <v>0</v>
      </c>
      <c r="AB1494" s="4">
        <f t="shared" si="221"/>
        <v>0</v>
      </c>
      <c r="AC1494" s="6">
        <f t="shared" si="222"/>
        <v>0</v>
      </c>
      <c r="AD1494" s="6">
        <f t="shared" si="219"/>
        <v>0</v>
      </c>
      <c r="AE1494" s="2">
        <v>7.0000000000000007E-2</v>
      </c>
      <c r="AF1494" s="5">
        <f t="shared" si="223"/>
        <v>0</v>
      </c>
      <c r="AG1494" s="14">
        <v>0</v>
      </c>
      <c r="AH1494" s="19">
        <f t="shared" si="225"/>
        <v>0</v>
      </c>
      <c r="AJ1494" s="126" t="e">
        <v>#N/A</v>
      </c>
      <c r="AK1494" s="80">
        <f t="shared" si="224"/>
        <v>0</v>
      </c>
      <c r="AM1494" s="85"/>
    </row>
    <row r="1495" spans="1:39" hidden="1" x14ac:dyDescent="0.3">
      <c r="A1495" s="85" t="s">
        <v>34</v>
      </c>
      <c r="B1495" s="15" t="s">
        <v>35</v>
      </c>
      <c r="C1495" s="15" t="s">
        <v>164</v>
      </c>
      <c r="D1495" s="15" t="s">
        <v>174</v>
      </c>
      <c r="E1495" s="15" t="s">
        <v>2255</v>
      </c>
      <c r="F1495" s="15" t="s">
        <v>2255</v>
      </c>
      <c r="G1495" s="15" t="s">
        <v>2255</v>
      </c>
      <c r="H1495" s="139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2255</v>
      </c>
      <c r="N1495" s="15"/>
      <c r="O1495" s="8" t="s">
        <v>1196</v>
      </c>
      <c r="P1495" s="8" t="s">
        <v>41</v>
      </c>
      <c r="Q1495" s="9">
        <v>0</v>
      </c>
      <c r="R1495" s="139" t="s">
        <v>2256</v>
      </c>
      <c r="S1495" s="15"/>
      <c r="T1495" s="18">
        <v>9.9500000000007294</v>
      </c>
      <c r="U1495" s="4">
        <v>0</v>
      </c>
      <c r="V1495" s="6">
        <v>0</v>
      </c>
      <c r="W1495" s="18">
        <f t="shared" si="217"/>
        <v>9.9500000000007294</v>
      </c>
      <c r="X1495" s="18">
        <f t="shared" si="218"/>
        <v>0</v>
      </c>
      <c r="Y1495" s="13">
        <f t="shared" si="220"/>
        <v>0</v>
      </c>
      <c r="Z1495" s="14">
        <v>0</v>
      </c>
      <c r="AA1495" s="4">
        <v>0</v>
      </c>
      <c r="AB1495" s="4">
        <f t="shared" si="221"/>
        <v>0</v>
      </c>
      <c r="AC1495" s="6">
        <f t="shared" si="222"/>
        <v>0</v>
      </c>
      <c r="AD1495" s="6">
        <f t="shared" si="219"/>
        <v>0</v>
      </c>
      <c r="AE1495" s="2">
        <v>0.12</v>
      </c>
      <c r="AF1495" s="5">
        <f t="shared" si="223"/>
        <v>0</v>
      </c>
      <c r="AG1495" s="14">
        <v>0</v>
      </c>
      <c r="AH1495" s="19">
        <f t="shared" si="225"/>
        <v>0</v>
      </c>
      <c r="AJ1495" s="126" t="e">
        <v>#N/A</v>
      </c>
      <c r="AK1495" s="80">
        <f t="shared" si="224"/>
        <v>0</v>
      </c>
      <c r="AM1495" s="85"/>
    </row>
    <row r="1496" spans="1:39" hidden="1" x14ac:dyDescent="0.3">
      <c r="A1496" s="85" t="s">
        <v>34</v>
      </c>
      <c r="B1496" s="15" t="s">
        <v>35</v>
      </c>
      <c r="C1496" s="15" t="s">
        <v>164</v>
      </c>
      <c r="D1496" s="15" t="s">
        <v>174</v>
      </c>
      <c r="E1496" s="15" t="s">
        <v>942</v>
      </c>
      <c r="F1496" s="15" t="s">
        <v>942</v>
      </c>
      <c r="G1496" s="15" t="s">
        <v>942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2257</v>
      </c>
      <c r="N1496" s="15"/>
      <c r="O1496" s="8" t="s">
        <v>1196</v>
      </c>
      <c r="P1496" s="8" t="s">
        <v>46</v>
      </c>
      <c r="Q1496" s="9">
        <v>0.06</v>
      </c>
      <c r="R1496" s="139" t="s">
        <v>2258</v>
      </c>
      <c r="S1496" s="15"/>
      <c r="T1496" s="18">
        <v>5157.2</v>
      </c>
      <c r="U1496" s="4">
        <v>0</v>
      </c>
      <c r="V1496" s="6">
        <v>0</v>
      </c>
      <c r="W1496" s="18">
        <f t="shared" ref="W1496:W1559" si="226">T1496+U1496-V1496</f>
        <v>5157.2</v>
      </c>
      <c r="X1496" s="18">
        <f t="shared" si="218"/>
        <v>0</v>
      </c>
      <c r="Y1496" s="13">
        <f t="shared" si="220"/>
        <v>0</v>
      </c>
      <c r="Z1496" s="14">
        <v>0</v>
      </c>
      <c r="AA1496" s="4">
        <v>0</v>
      </c>
      <c r="AB1496" s="4">
        <f t="shared" si="221"/>
        <v>0</v>
      </c>
      <c r="AC1496" s="6">
        <f t="shared" si="222"/>
        <v>0</v>
      </c>
      <c r="AD1496" s="6">
        <f t="shared" si="219"/>
        <v>0</v>
      </c>
      <c r="AE1496" s="2">
        <v>0.12</v>
      </c>
      <c r="AF1496" s="5">
        <f t="shared" si="223"/>
        <v>0</v>
      </c>
      <c r="AG1496" s="14">
        <v>0</v>
      </c>
      <c r="AH1496" s="19">
        <f t="shared" si="225"/>
        <v>0</v>
      </c>
      <c r="AJ1496" s="126" t="e">
        <v>#N/A</v>
      </c>
      <c r="AK1496" s="80">
        <f t="shared" si="224"/>
        <v>0</v>
      </c>
      <c r="AM1496" s="85"/>
    </row>
    <row r="1497" spans="1:39" hidden="1" x14ac:dyDescent="0.3">
      <c r="A1497" s="85" t="s">
        <v>34</v>
      </c>
      <c r="B1497" s="15" t="s">
        <v>35</v>
      </c>
      <c r="C1497" s="15" t="s">
        <v>164</v>
      </c>
      <c r="D1497" s="15" t="s">
        <v>174</v>
      </c>
      <c r="E1497" s="15" t="s">
        <v>1617</v>
      </c>
      <c r="F1497" s="15" t="s">
        <v>1617</v>
      </c>
      <c r="G1497" s="15" t="s">
        <v>1617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1617</v>
      </c>
      <c r="N1497" s="15"/>
      <c r="O1497" s="8" t="s">
        <v>1196</v>
      </c>
      <c r="P1497" s="8" t="s">
        <v>46</v>
      </c>
      <c r="Q1497" s="9">
        <v>0.01</v>
      </c>
      <c r="R1497" s="139" t="s">
        <v>1623</v>
      </c>
      <c r="S1497" s="15"/>
      <c r="T1497" s="18">
        <v>-966783.75237999996</v>
      </c>
      <c r="U1497" s="4">
        <v>0</v>
      </c>
      <c r="V1497" s="6">
        <v>0</v>
      </c>
      <c r="W1497" s="18">
        <f t="shared" si="226"/>
        <v>-966783.75237999996</v>
      </c>
      <c r="X1497" s="18">
        <f t="shared" si="218"/>
        <v>0</v>
      </c>
      <c r="Y1497" s="13">
        <f t="shared" si="220"/>
        <v>0</v>
      </c>
      <c r="Z1497" s="14">
        <v>0</v>
      </c>
      <c r="AA1497" s="4">
        <v>0</v>
      </c>
      <c r="AB1497" s="4">
        <f t="shared" si="221"/>
        <v>0</v>
      </c>
      <c r="AC1497" s="6">
        <f t="shared" si="222"/>
        <v>0</v>
      </c>
      <c r="AD1497" s="6">
        <f t="shared" si="219"/>
        <v>0</v>
      </c>
      <c r="AE1497" s="2">
        <v>0.12</v>
      </c>
      <c r="AF1497" s="5">
        <f t="shared" si="223"/>
        <v>0</v>
      </c>
      <c r="AG1497" s="14">
        <v>0</v>
      </c>
      <c r="AH1497" s="19">
        <f t="shared" si="225"/>
        <v>0</v>
      </c>
      <c r="AJ1497" s="126" t="e">
        <v>#N/A</v>
      </c>
      <c r="AK1497" s="80">
        <f t="shared" si="224"/>
        <v>0</v>
      </c>
      <c r="AM1497" s="85"/>
    </row>
    <row r="1498" spans="1:39" hidden="1" x14ac:dyDescent="0.3">
      <c r="A1498" s="85" t="s">
        <v>34</v>
      </c>
      <c r="B1498" s="15" t="s">
        <v>35</v>
      </c>
      <c r="C1498" s="15" t="s">
        <v>164</v>
      </c>
      <c r="D1498" s="15" t="s">
        <v>174</v>
      </c>
      <c r="E1498" s="15" t="s">
        <v>1617</v>
      </c>
      <c r="F1498" s="15" t="s">
        <v>1617</v>
      </c>
      <c r="G1498" s="15" t="s">
        <v>1617</v>
      </c>
      <c r="H1498" s="154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1617</v>
      </c>
      <c r="N1498" s="15"/>
      <c r="O1498" s="8" t="s">
        <v>941</v>
      </c>
      <c r="P1498" s="8" t="s">
        <v>46</v>
      </c>
      <c r="Q1498" s="9">
        <v>0.01</v>
      </c>
      <c r="R1498" s="139" t="s">
        <v>1623</v>
      </c>
      <c r="S1498" s="15"/>
      <c r="T1498" s="18">
        <v>-781468.94337999984</v>
      </c>
      <c r="U1498" s="4">
        <v>0</v>
      </c>
      <c r="V1498" s="6">
        <v>14627.526879999999</v>
      </c>
      <c r="W1498" s="18">
        <f t="shared" si="226"/>
        <v>-796096.47025999986</v>
      </c>
      <c r="X1498" s="18">
        <f t="shared" si="218"/>
        <v>14482.699881188119</v>
      </c>
      <c r="Y1498" s="13">
        <f t="shared" si="220"/>
        <v>5721.465794424148</v>
      </c>
      <c r="Z1498" s="14">
        <v>0</v>
      </c>
      <c r="AA1498" s="4">
        <v>0</v>
      </c>
      <c r="AB1498" s="4">
        <f t="shared" si="221"/>
        <v>14482.699881188119</v>
      </c>
      <c r="AC1498" s="6">
        <f t="shared" si="222"/>
        <v>144.82699881188091</v>
      </c>
      <c r="AD1498" s="6">
        <f t="shared" si="219"/>
        <v>8761.2340867639705</v>
      </c>
      <c r="AE1498" s="2">
        <v>0.15</v>
      </c>
      <c r="AF1498" s="5">
        <f t="shared" si="223"/>
        <v>1314.1851130145956</v>
      </c>
      <c r="AG1498" s="14">
        <v>0</v>
      </c>
      <c r="AH1498" s="19">
        <f t="shared" si="225"/>
        <v>14627.526879999999</v>
      </c>
      <c r="AJ1498" s="126" t="e">
        <v>#N/A</v>
      </c>
      <c r="AK1498" s="80">
        <f t="shared" si="224"/>
        <v>0</v>
      </c>
      <c r="AM1498" s="85"/>
    </row>
    <row r="1499" spans="1:39" hidden="1" x14ac:dyDescent="0.3">
      <c r="A1499" s="85" t="s">
        <v>34</v>
      </c>
      <c r="B1499" s="15" t="s">
        <v>35</v>
      </c>
      <c r="C1499" s="15" t="s">
        <v>164</v>
      </c>
      <c r="D1499" s="15" t="s">
        <v>174</v>
      </c>
      <c r="E1499" s="15" t="s">
        <v>1617</v>
      </c>
      <c r="F1499" s="15" t="s">
        <v>1617</v>
      </c>
      <c r="G1499" s="15" t="s">
        <v>1617</v>
      </c>
      <c r="H1499" s="154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1617</v>
      </c>
      <c r="N1499" s="15"/>
      <c r="O1499" s="8" t="s">
        <v>941</v>
      </c>
      <c r="P1499" s="8" t="s">
        <v>46</v>
      </c>
      <c r="Q1499" s="9">
        <v>0.01</v>
      </c>
      <c r="R1499" s="139" t="s">
        <v>1618</v>
      </c>
      <c r="S1499" s="15"/>
      <c r="T1499" s="18">
        <v>-69752.940789999993</v>
      </c>
      <c r="U1499" s="4">
        <v>0</v>
      </c>
      <c r="V1499" s="6">
        <v>17261.19153</v>
      </c>
      <c r="W1499" s="18">
        <f t="shared" si="226"/>
        <v>-87014.13231999999</v>
      </c>
      <c r="X1499" s="18">
        <f t="shared" si="218"/>
        <v>17090.288643564356</v>
      </c>
      <c r="Y1499" s="13">
        <f t="shared" si="220"/>
        <v>6751.6072757952643</v>
      </c>
      <c r="Z1499" s="14">
        <v>0</v>
      </c>
      <c r="AA1499" s="4">
        <v>0</v>
      </c>
      <c r="AB1499" s="4">
        <f t="shared" si="221"/>
        <v>17090.288643564356</v>
      </c>
      <c r="AC1499" s="6">
        <f t="shared" si="222"/>
        <v>170.90288643564418</v>
      </c>
      <c r="AD1499" s="6">
        <f t="shared" si="219"/>
        <v>10338.681367769092</v>
      </c>
      <c r="AE1499" s="2">
        <v>0.15</v>
      </c>
      <c r="AF1499" s="5">
        <f t="shared" si="223"/>
        <v>1550.8022051653636</v>
      </c>
      <c r="AG1499" s="14">
        <v>0</v>
      </c>
      <c r="AH1499" s="19">
        <f t="shared" si="225"/>
        <v>17261.19153</v>
      </c>
      <c r="AJ1499" s="126" t="e">
        <v>#N/A</v>
      </c>
      <c r="AK1499" s="80">
        <f t="shared" si="224"/>
        <v>0</v>
      </c>
      <c r="AM1499" s="85"/>
    </row>
    <row r="1500" spans="1:39" hidden="1" x14ac:dyDescent="0.3">
      <c r="A1500" s="85" t="s">
        <v>34</v>
      </c>
      <c r="B1500" s="15" t="s">
        <v>35</v>
      </c>
      <c r="C1500" s="15" t="s">
        <v>164</v>
      </c>
      <c r="D1500" s="15" t="s">
        <v>174</v>
      </c>
      <c r="E1500" s="15" t="s">
        <v>1617</v>
      </c>
      <c r="F1500" s="15" t="s">
        <v>1617</v>
      </c>
      <c r="G1500" s="15" t="s">
        <v>1617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1617</v>
      </c>
      <c r="N1500" s="15"/>
      <c r="O1500" s="8" t="s">
        <v>2054</v>
      </c>
      <c r="P1500" s="8" t="s">
        <v>46</v>
      </c>
      <c r="Q1500" s="9">
        <v>0.01</v>
      </c>
      <c r="R1500" s="139" t="s">
        <v>1623</v>
      </c>
      <c r="S1500" s="15"/>
      <c r="T1500" s="18">
        <v>-7162.6865100000014</v>
      </c>
      <c r="U1500" s="4">
        <v>0</v>
      </c>
      <c r="V1500" s="6">
        <v>0</v>
      </c>
      <c r="W1500" s="18">
        <f t="shared" si="226"/>
        <v>-7162.6865100000014</v>
      </c>
      <c r="X1500" s="18">
        <f t="shared" si="218"/>
        <v>0</v>
      </c>
      <c r="Y1500" s="13">
        <f t="shared" si="220"/>
        <v>0</v>
      </c>
      <c r="Z1500" s="14">
        <v>0</v>
      </c>
      <c r="AA1500" s="4">
        <v>0</v>
      </c>
      <c r="AB1500" s="4">
        <f t="shared" si="221"/>
        <v>0</v>
      </c>
      <c r="AC1500" s="6">
        <f t="shared" si="222"/>
        <v>0</v>
      </c>
      <c r="AD1500" s="6">
        <f t="shared" si="219"/>
        <v>0</v>
      </c>
      <c r="AE1500" s="2">
        <v>0.12</v>
      </c>
      <c r="AF1500" s="5">
        <f t="shared" si="223"/>
        <v>0</v>
      </c>
      <c r="AG1500" s="14">
        <v>0</v>
      </c>
      <c r="AH1500" s="19">
        <f t="shared" si="225"/>
        <v>0</v>
      </c>
      <c r="AJ1500" s="126" t="e">
        <v>#N/A</v>
      </c>
      <c r="AK1500" s="80">
        <f t="shared" si="224"/>
        <v>0</v>
      </c>
      <c r="AM1500" s="85"/>
    </row>
    <row r="1501" spans="1:39" hidden="1" x14ac:dyDescent="0.3">
      <c r="A1501" s="85" t="s">
        <v>34</v>
      </c>
      <c r="B1501" s="15" t="s">
        <v>35</v>
      </c>
      <c r="C1501" s="15" t="s">
        <v>164</v>
      </c>
      <c r="D1501" s="15" t="s">
        <v>174</v>
      </c>
      <c r="E1501" s="15" t="s">
        <v>1617</v>
      </c>
      <c r="F1501" s="15" t="s">
        <v>1617</v>
      </c>
      <c r="G1501" s="15" t="s">
        <v>1617</v>
      </c>
      <c r="H1501" s="154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1617</v>
      </c>
      <c r="N1501" s="15"/>
      <c r="O1501" s="8" t="s">
        <v>2054</v>
      </c>
      <c r="P1501" s="8" t="s">
        <v>46</v>
      </c>
      <c r="Q1501" s="9">
        <v>0.01</v>
      </c>
      <c r="R1501" s="139" t="s">
        <v>1618</v>
      </c>
      <c r="S1501" s="15"/>
      <c r="T1501" s="18">
        <v>-110397.07481999999</v>
      </c>
      <c r="U1501" s="4">
        <v>0</v>
      </c>
      <c r="V1501" s="6">
        <v>2746.1614399999999</v>
      </c>
      <c r="W1501" s="18">
        <f t="shared" si="226"/>
        <v>-113143.23625999999</v>
      </c>
      <c r="X1501" s="18">
        <f t="shared" si="218"/>
        <v>2718.9717227722772</v>
      </c>
      <c r="Y1501" s="13">
        <f t="shared" si="220"/>
        <v>1074.1438982696002</v>
      </c>
      <c r="Z1501" s="14">
        <v>0</v>
      </c>
      <c r="AA1501" s="4">
        <v>0</v>
      </c>
      <c r="AB1501" s="4">
        <f t="shared" si="221"/>
        <v>2718.9717227722772</v>
      </c>
      <c r="AC1501" s="6">
        <f t="shared" si="222"/>
        <v>27.189717227722667</v>
      </c>
      <c r="AD1501" s="6">
        <f t="shared" si="219"/>
        <v>1644.827824502677</v>
      </c>
      <c r="AE1501" s="2">
        <v>0.12</v>
      </c>
      <c r="AF1501" s="5">
        <f t="shared" si="223"/>
        <v>197.37933894032125</v>
      </c>
      <c r="AG1501" s="14">
        <v>0</v>
      </c>
      <c r="AH1501" s="19">
        <f t="shared" si="225"/>
        <v>2746.1614399999999</v>
      </c>
      <c r="AJ1501" s="126" t="e">
        <v>#N/A</v>
      </c>
      <c r="AK1501" s="80">
        <f t="shared" si="224"/>
        <v>0</v>
      </c>
      <c r="AM1501" s="85"/>
    </row>
    <row r="1502" spans="1:39" hidden="1" x14ac:dyDescent="0.3">
      <c r="A1502" s="85" t="s">
        <v>34</v>
      </c>
      <c r="B1502" s="15" t="s">
        <v>35</v>
      </c>
      <c r="C1502" s="15" t="s">
        <v>164</v>
      </c>
      <c r="D1502" s="15" t="s">
        <v>174</v>
      </c>
      <c r="E1502" s="15" t="s">
        <v>1617</v>
      </c>
      <c r="F1502" s="15" t="s">
        <v>1617</v>
      </c>
      <c r="G1502" s="15" t="s">
        <v>1617</v>
      </c>
      <c r="H1502" s="154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1617</v>
      </c>
      <c r="N1502" s="15"/>
      <c r="O1502" s="8" t="s">
        <v>2054</v>
      </c>
      <c r="P1502" s="8" t="s">
        <v>46</v>
      </c>
      <c r="Q1502" s="9">
        <v>0.01</v>
      </c>
      <c r="R1502" s="139" t="s">
        <v>1619</v>
      </c>
      <c r="S1502" s="15"/>
      <c r="T1502" s="18">
        <v>-526571.51636999997</v>
      </c>
      <c r="U1502" s="4">
        <v>0</v>
      </c>
      <c r="V1502" s="6">
        <v>45697.97034</v>
      </c>
      <c r="W1502" s="18">
        <f t="shared" si="226"/>
        <v>-572269.48670999997</v>
      </c>
      <c r="X1502" s="18">
        <f t="shared" si="218"/>
        <v>45245.515188118814</v>
      </c>
      <c r="Y1502" s="13">
        <f t="shared" si="220"/>
        <v>17874.475727842193</v>
      </c>
      <c r="Z1502" s="14">
        <v>0</v>
      </c>
      <c r="AA1502" s="4">
        <v>0</v>
      </c>
      <c r="AB1502" s="4">
        <f t="shared" si="221"/>
        <v>45245.515188118814</v>
      </c>
      <c r="AC1502" s="6">
        <f t="shared" si="222"/>
        <v>452.45515188118588</v>
      </c>
      <c r="AD1502" s="6">
        <f t="shared" si="219"/>
        <v>27371.039460276621</v>
      </c>
      <c r="AE1502" s="2">
        <v>0.12</v>
      </c>
      <c r="AF1502" s="5">
        <f t="shared" si="223"/>
        <v>3284.5247352331944</v>
      </c>
      <c r="AG1502" s="14">
        <v>0</v>
      </c>
      <c r="AH1502" s="19">
        <f t="shared" si="225"/>
        <v>45697.97034</v>
      </c>
      <c r="AJ1502" s="126" t="e">
        <v>#N/A</v>
      </c>
      <c r="AK1502" s="80">
        <f t="shared" si="224"/>
        <v>0</v>
      </c>
      <c r="AM1502" s="85"/>
    </row>
    <row r="1503" spans="1:39" hidden="1" x14ac:dyDescent="0.3">
      <c r="A1503" s="85" t="s">
        <v>34</v>
      </c>
      <c r="B1503" s="15" t="s">
        <v>35</v>
      </c>
      <c r="C1503" s="15" t="s">
        <v>164</v>
      </c>
      <c r="D1503" s="15" t="s">
        <v>174</v>
      </c>
      <c r="E1503" s="15" t="s">
        <v>726</v>
      </c>
      <c r="F1503" s="15" t="s">
        <v>726</v>
      </c>
      <c r="G1503" s="15" t="s">
        <v>726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726</v>
      </c>
      <c r="N1503" s="15"/>
      <c r="O1503" s="8" t="s">
        <v>1196</v>
      </c>
      <c r="P1503" s="8" t="s">
        <v>46</v>
      </c>
      <c r="Q1503" s="9">
        <v>0.02</v>
      </c>
      <c r="R1503" s="139" t="s">
        <v>2259</v>
      </c>
      <c r="S1503" s="15"/>
      <c r="T1503" s="18">
        <v>0.16000000000349199</v>
      </c>
      <c r="U1503" s="4">
        <v>0</v>
      </c>
      <c r="V1503" s="6">
        <v>0</v>
      </c>
      <c r="W1503" s="18">
        <f t="shared" si="226"/>
        <v>0.16000000000349199</v>
      </c>
      <c r="X1503" s="18">
        <f t="shared" si="218"/>
        <v>0</v>
      </c>
      <c r="Y1503" s="13">
        <f t="shared" si="220"/>
        <v>0</v>
      </c>
      <c r="Z1503" s="14">
        <v>0</v>
      </c>
      <c r="AA1503" s="4">
        <v>0</v>
      </c>
      <c r="AB1503" s="4">
        <f t="shared" si="221"/>
        <v>0</v>
      </c>
      <c r="AC1503" s="6">
        <f t="shared" si="222"/>
        <v>0</v>
      </c>
      <c r="AD1503" s="6">
        <f t="shared" si="219"/>
        <v>0</v>
      </c>
      <c r="AE1503" s="2">
        <v>0.12</v>
      </c>
      <c r="AF1503" s="5">
        <f t="shared" si="223"/>
        <v>0</v>
      </c>
      <c r="AG1503" s="14">
        <v>0</v>
      </c>
      <c r="AH1503" s="19">
        <f t="shared" si="225"/>
        <v>0</v>
      </c>
      <c r="AJ1503" s="126" t="s">
        <v>4220</v>
      </c>
      <c r="AK1503" s="80">
        <f t="shared" si="224"/>
        <v>0</v>
      </c>
      <c r="AL1503" s="150"/>
      <c r="AM1503" s="85"/>
    </row>
    <row r="1504" spans="1:39" hidden="1" x14ac:dyDescent="0.3">
      <c r="A1504" s="85" t="s">
        <v>34</v>
      </c>
      <c r="B1504" s="15" t="s">
        <v>35</v>
      </c>
      <c r="C1504" s="15" t="s">
        <v>164</v>
      </c>
      <c r="D1504" s="15" t="s">
        <v>174</v>
      </c>
      <c r="E1504" s="15" t="s">
        <v>2260</v>
      </c>
      <c r="F1504" s="15" t="s">
        <v>2260</v>
      </c>
      <c r="G1504" s="15" t="s">
        <v>2260</v>
      </c>
      <c r="H1504" s="139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2261</v>
      </c>
      <c r="N1504" s="15"/>
      <c r="O1504" s="8" t="s">
        <v>410</v>
      </c>
      <c r="P1504" s="8" t="s">
        <v>46</v>
      </c>
      <c r="Q1504" s="9">
        <v>0.02</v>
      </c>
      <c r="R1504" s="139" t="s">
        <v>2262</v>
      </c>
      <c r="S1504" s="15"/>
      <c r="T1504" s="18">
        <v>1.2799999999988401</v>
      </c>
      <c r="U1504" s="4">
        <v>0</v>
      </c>
      <c r="V1504" s="6">
        <v>0</v>
      </c>
      <c r="W1504" s="18">
        <f t="shared" si="226"/>
        <v>1.2799999999988401</v>
      </c>
      <c r="X1504" s="18">
        <f t="shared" si="218"/>
        <v>0</v>
      </c>
      <c r="Y1504" s="13">
        <f t="shared" si="220"/>
        <v>0</v>
      </c>
      <c r="Z1504" s="14">
        <v>0</v>
      </c>
      <c r="AA1504" s="4">
        <v>0</v>
      </c>
      <c r="AB1504" s="4"/>
      <c r="AC1504" s="6">
        <f t="shared" si="222"/>
        <v>0</v>
      </c>
      <c r="AD1504" s="6">
        <f t="shared" si="219"/>
        <v>0</v>
      </c>
      <c r="AE1504" s="2">
        <v>7.0000000000000007E-2</v>
      </c>
      <c r="AF1504" s="5">
        <f t="shared" si="223"/>
        <v>0</v>
      </c>
      <c r="AG1504" s="14">
        <v>0</v>
      </c>
      <c r="AH1504" s="19">
        <f t="shared" si="225"/>
        <v>0</v>
      </c>
      <c r="AJ1504" s="126">
        <v>60</v>
      </c>
      <c r="AK1504" s="80">
        <f t="shared" si="224"/>
        <v>0</v>
      </c>
      <c r="AM1504" s="85"/>
    </row>
    <row r="1505" spans="1:39" hidden="1" x14ac:dyDescent="0.3">
      <c r="A1505" s="85" t="s">
        <v>34</v>
      </c>
      <c r="B1505" s="15" t="s">
        <v>35</v>
      </c>
      <c r="C1505" s="15" t="s">
        <v>164</v>
      </c>
      <c r="D1505" s="15" t="s">
        <v>174</v>
      </c>
      <c r="E1505" s="15" t="s">
        <v>2263</v>
      </c>
      <c r="F1505" s="15" t="s">
        <v>2263</v>
      </c>
      <c r="G1505" s="15" t="s">
        <v>2263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2264</v>
      </c>
      <c r="N1505" s="15"/>
      <c r="O1505" s="8" t="s">
        <v>410</v>
      </c>
      <c r="P1505" s="8" t="s">
        <v>46</v>
      </c>
      <c r="Q1505" s="9">
        <v>0.03</v>
      </c>
      <c r="R1505" s="139" t="s">
        <v>2265</v>
      </c>
      <c r="S1505" s="15"/>
      <c r="T1505" s="18">
        <v>489.4</v>
      </c>
      <c r="U1505" s="4">
        <v>0</v>
      </c>
      <c r="V1505" s="6">
        <v>0</v>
      </c>
      <c r="W1505" s="18">
        <f t="shared" si="226"/>
        <v>489.4</v>
      </c>
      <c r="X1505" s="18">
        <f t="shared" si="218"/>
        <v>0</v>
      </c>
      <c r="Y1505" s="13">
        <f t="shared" si="220"/>
        <v>0</v>
      </c>
      <c r="Z1505" s="14">
        <v>0</v>
      </c>
      <c r="AA1505" s="4">
        <v>0</v>
      </c>
      <c r="AB1505" s="4">
        <f t="shared" si="221"/>
        <v>0</v>
      </c>
      <c r="AC1505" s="6">
        <f t="shared" si="222"/>
        <v>0</v>
      </c>
      <c r="AD1505" s="6">
        <f t="shared" si="219"/>
        <v>0</v>
      </c>
      <c r="AE1505" s="2">
        <v>7.0000000000000007E-2</v>
      </c>
      <c r="AF1505" s="5">
        <f t="shared" si="223"/>
        <v>0</v>
      </c>
      <c r="AG1505" s="14">
        <v>0</v>
      </c>
      <c r="AH1505" s="19">
        <f t="shared" si="225"/>
        <v>0</v>
      </c>
      <c r="AJ1505" s="126" t="e">
        <v>#N/A</v>
      </c>
      <c r="AK1505" s="80">
        <f t="shared" si="224"/>
        <v>0</v>
      </c>
      <c r="AM1505" s="85"/>
    </row>
    <row r="1506" spans="1:39" hidden="1" x14ac:dyDescent="0.3">
      <c r="A1506" s="85" t="s">
        <v>34</v>
      </c>
      <c r="B1506" s="15" t="s">
        <v>35</v>
      </c>
      <c r="C1506" s="15" t="s">
        <v>164</v>
      </c>
      <c r="D1506" s="15" t="s">
        <v>174</v>
      </c>
      <c r="E1506" s="15" t="s">
        <v>2266</v>
      </c>
      <c r="F1506" s="15" t="s">
        <v>2266</v>
      </c>
      <c r="G1506" s="15" t="s">
        <v>2266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2267</v>
      </c>
      <c r="N1506" s="15"/>
      <c r="O1506" s="8" t="s">
        <v>1196</v>
      </c>
      <c r="P1506" s="8" t="s">
        <v>46</v>
      </c>
      <c r="Q1506" s="9">
        <v>0.06</v>
      </c>
      <c r="R1506" s="139" t="s">
        <v>2268</v>
      </c>
      <c r="S1506" s="15"/>
      <c r="T1506" s="18">
        <v>7206.97</v>
      </c>
      <c r="U1506" s="4">
        <v>0</v>
      </c>
      <c r="V1506" s="6">
        <v>0</v>
      </c>
      <c r="W1506" s="18">
        <f t="shared" si="226"/>
        <v>7206.97</v>
      </c>
      <c r="X1506" s="18">
        <f t="shared" si="218"/>
        <v>0</v>
      </c>
      <c r="Y1506" s="13">
        <f t="shared" si="220"/>
        <v>0</v>
      </c>
      <c r="Z1506" s="14">
        <v>0</v>
      </c>
      <c r="AA1506" s="4">
        <v>0</v>
      </c>
      <c r="AB1506" s="4">
        <f t="shared" si="221"/>
        <v>0</v>
      </c>
      <c r="AC1506" s="6">
        <f t="shared" si="222"/>
        <v>0</v>
      </c>
      <c r="AD1506" s="6">
        <f t="shared" si="219"/>
        <v>0</v>
      </c>
      <c r="AE1506" s="2">
        <v>0.12</v>
      </c>
      <c r="AF1506" s="5">
        <f t="shared" si="223"/>
        <v>0</v>
      </c>
      <c r="AG1506" s="14">
        <v>0</v>
      </c>
      <c r="AH1506" s="19">
        <f t="shared" si="225"/>
        <v>0</v>
      </c>
      <c r="AJ1506" s="126" t="e">
        <v>#N/A</v>
      </c>
      <c r="AK1506" s="80">
        <f t="shared" si="224"/>
        <v>0</v>
      </c>
      <c r="AM1506" s="85"/>
    </row>
    <row r="1507" spans="1:39" hidden="1" x14ac:dyDescent="0.3">
      <c r="A1507" s="85" t="s">
        <v>34</v>
      </c>
      <c r="B1507" s="15" t="s">
        <v>35</v>
      </c>
      <c r="C1507" s="15" t="s">
        <v>164</v>
      </c>
      <c r="D1507" s="15" t="s">
        <v>174</v>
      </c>
      <c r="E1507" s="15" t="s">
        <v>2266</v>
      </c>
      <c r="F1507" s="15" t="s">
        <v>2266</v>
      </c>
      <c r="G1507" s="15" t="s">
        <v>2266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2267</v>
      </c>
      <c r="N1507" s="15"/>
      <c r="O1507" s="8" t="s">
        <v>410</v>
      </c>
      <c r="P1507" s="8" t="s">
        <v>46</v>
      </c>
      <c r="Q1507" s="9">
        <v>0.02</v>
      </c>
      <c r="R1507" s="139" t="s">
        <v>2268</v>
      </c>
      <c r="S1507" s="15"/>
      <c r="T1507" s="18">
        <v>-6242</v>
      </c>
      <c r="U1507" s="4">
        <v>0</v>
      </c>
      <c r="V1507" s="6">
        <v>0</v>
      </c>
      <c r="W1507" s="18">
        <f t="shared" si="226"/>
        <v>-6242</v>
      </c>
      <c r="X1507" s="18">
        <f t="shared" si="218"/>
        <v>0</v>
      </c>
      <c r="Y1507" s="13">
        <f t="shared" si="220"/>
        <v>0</v>
      </c>
      <c r="Z1507" s="14">
        <v>0</v>
      </c>
      <c r="AA1507" s="4">
        <v>0</v>
      </c>
      <c r="AB1507" s="4">
        <f t="shared" si="221"/>
        <v>0</v>
      </c>
      <c r="AC1507" s="6">
        <f t="shared" si="222"/>
        <v>0</v>
      </c>
      <c r="AD1507" s="6">
        <f t="shared" si="219"/>
        <v>0</v>
      </c>
      <c r="AE1507" s="2">
        <v>7.0000000000000007E-2</v>
      </c>
      <c r="AF1507" s="5">
        <f t="shared" si="223"/>
        <v>0</v>
      </c>
      <c r="AG1507" s="14">
        <v>0</v>
      </c>
      <c r="AH1507" s="19">
        <f t="shared" si="225"/>
        <v>0</v>
      </c>
      <c r="AJ1507" s="126" t="e">
        <v>#N/A</v>
      </c>
      <c r="AK1507" s="80">
        <f t="shared" si="224"/>
        <v>0</v>
      </c>
      <c r="AM1507" s="85"/>
    </row>
    <row r="1508" spans="1:39" hidden="1" x14ac:dyDescent="0.3">
      <c r="A1508" s="85" t="s">
        <v>34</v>
      </c>
      <c r="B1508" s="15" t="s">
        <v>35</v>
      </c>
      <c r="C1508" s="15" t="s">
        <v>164</v>
      </c>
      <c r="D1508" s="15" t="s">
        <v>174</v>
      </c>
      <c r="E1508" s="15" t="s">
        <v>2266</v>
      </c>
      <c r="F1508" s="15" t="s">
        <v>2266</v>
      </c>
      <c r="G1508" s="15" t="s">
        <v>2266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2267</v>
      </c>
      <c r="N1508" s="15"/>
      <c r="O1508" s="8" t="s">
        <v>941</v>
      </c>
      <c r="P1508" s="8" t="s">
        <v>46</v>
      </c>
      <c r="Q1508" s="9">
        <v>0.06</v>
      </c>
      <c r="R1508" s="139" t="s">
        <v>2268</v>
      </c>
      <c r="S1508" s="15"/>
      <c r="T1508" s="18">
        <v>-513.77</v>
      </c>
      <c r="U1508" s="4">
        <v>0</v>
      </c>
      <c r="V1508" s="6">
        <v>0</v>
      </c>
      <c r="W1508" s="18">
        <f t="shared" si="226"/>
        <v>-513.77</v>
      </c>
      <c r="X1508" s="18">
        <f t="shared" si="218"/>
        <v>0</v>
      </c>
      <c r="Y1508" s="13">
        <f t="shared" si="220"/>
        <v>0</v>
      </c>
      <c r="Z1508" s="14">
        <v>0</v>
      </c>
      <c r="AA1508" s="4">
        <v>0</v>
      </c>
      <c r="AB1508" s="4">
        <f t="shared" si="221"/>
        <v>0</v>
      </c>
      <c r="AC1508" s="6">
        <f t="shared" si="222"/>
        <v>0</v>
      </c>
      <c r="AD1508" s="6">
        <f t="shared" si="219"/>
        <v>0</v>
      </c>
      <c r="AE1508" s="2">
        <v>0.15</v>
      </c>
      <c r="AF1508" s="5">
        <f t="shared" si="223"/>
        <v>0</v>
      </c>
      <c r="AG1508" s="14">
        <v>0</v>
      </c>
      <c r="AH1508" s="19">
        <f t="shared" si="225"/>
        <v>0</v>
      </c>
      <c r="AJ1508" s="126" t="e">
        <v>#N/A</v>
      </c>
      <c r="AK1508" s="80">
        <f t="shared" si="224"/>
        <v>0</v>
      </c>
      <c r="AM1508" s="85"/>
    </row>
    <row r="1509" spans="1:39" hidden="1" x14ac:dyDescent="0.3">
      <c r="A1509" s="85" t="s">
        <v>34</v>
      </c>
      <c r="B1509" s="15" t="s">
        <v>35</v>
      </c>
      <c r="C1509" s="15" t="s">
        <v>164</v>
      </c>
      <c r="D1509" s="15" t="s">
        <v>174</v>
      </c>
      <c r="E1509" s="15" t="s">
        <v>1742</v>
      </c>
      <c r="F1509" s="15" t="s">
        <v>1742</v>
      </c>
      <c r="G1509" s="15" t="s">
        <v>1742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1742</v>
      </c>
      <c r="N1509" s="15"/>
      <c r="O1509" s="8" t="s">
        <v>1196</v>
      </c>
      <c r="P1509" s="8" t="s">
        <v>41</v>
      </c>
      <c r="Q1509" s="9">
        <v>0</v>
      </c>
      <c r="R1509" s="139" t="s">
        <v>2269</v>
      </c>
      <c r="S1509" s="15"/>
      <c r="T1509" s="18">
        <v>0.229999999999563</v>
      </c>
      <c r="U1509" s="4">
        <v>0</v>
      </c>
      <c r="V1509" s="6">
        <v>0</v>
      </c>
      <c r="W1509" s="18">
        <f t="shared" si="226"/>
        <v>0.229999999999563</v>
      </c>
      <c r="X1509" s="18">
        <f t="shared" si="218"/>
        <v>0</v>
      </c>
      <c r="Y1509" s="13">
        <f t="shared" si="220"/>
        <v>0</v>
      </c>
      <c r="Z1509" s="14">
        <v>0</v>
      </c>
      <c r="AA1509" s="4">
        <v>0</v>
      </c>
      <c r="AB1509" s="4">
        <f t="shared" si="221"/>
        <v>0</v>
      </c>
      <c r="AC1509" s="6">
        <f t="shared" si="222"/>
        <v>0</v>
      </c>
      <c r="AD1509" s="6">
        <f t="shared" si="219"/>
        <v>0</v>
      </c>
      <c r="AE1509" s="2">
        <v>0.12</v>
      </c>
      <c r="AF1509" s="5">
        <f t="shared" si="223"/>
        <v>0</v>
      </c>
      <c r="AG1509" s="14">
        <v>0</v>
      </c>
      <c r="AH1509" s="19">
        <f t="shared" si="225"/>
        <v>0</v>
      </c>
      <c r="AJ1509" s="126" t="e">
        <v>#N/A</v>
      </c>
      <c r="AK1509" s="80">
        <f t="shared" si="224"/>
        <v>0</v>
      </c>
      <c r="AM1509" s="85"/>
    </row>
    <row r="1510" spans="1:39" hidden="1" x14ac:dyDescent="0.3">
      <c r="A1510" s="85" t="s">
        <v>34</v>
      </c>
      <c r="B1510" s="15" t="s">
        <v>35</v>
      </c>
      <c r="C1510" s="15" t="s">
        <v>164</v>
      </c>
      <c r="D1510" s="15" t="s">
        <v>174</v>
      </c>
      <c r="E1510" s="15" t="s">
        <v>2270</v>
      </c>
      <c r="F1510" s="15" t="s">
        <v>2270</v>
      </c>
      <c r="G1510" s="15" t="s">
        <v>2270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2270</v>
      </c>
      <c r="N1510" s="15"/>
      <c r="O1510" s="8" t="s">
        <v>410</v>
      </c>
      <c r="P1510" s="8" t="s">
        <v>41</v>
      </c>
      <c r="Q1510" s="9">
        <v>0</v>
      </c>
      <c r="R1510" s="139" t="s">
        <v>2271</v>
      </c>
      <c r="S1510" s="15"/>
      <c r="T1510" s="18">
        <v>10000</v>
      </c>
      <c r="U1510" s="4">
        <v>0</v>
      </c>
      <c r="V1510" s="6">
        <v>0</v>
      </c>
      <c r="W1510" s="18">
        <f t="shared" si="226"/>
        <v>10000</v>
      </c>
      <c r="X1510" s="18">
        <f t="shared" ref="X1510:X1573" si="227">IF(P1510="折扣",V1510*Q1510,IF(P1510="返现",V1510,V1510/(1+Q1510)))</f>
        <v>0</v>
      </c>
      <c r="Y1510" s="13">
        <f t="shared" si="220"/>
        <v>0</v>
      </c>
      <c r="Z1510" s="14">
        <v>0</v>
      </c>
      <c r="AA1510" s="4">
        <v>0</v>
      </c>
      <c r="AB1510" s="4">
        <f t="shared" si="221"/>
        <v>0</v>
      </c>
      <c r="AC1510" s="6">
        <f t="shared" si="222"/>
        <v>0</v>
      </c>
      <c r="AD1510" s="6">
        <f t="shared" si="219"/>
        <v>0</v>
      </c>
      <c r="AE1510" s="2">
        <v>7.0000000000000007E-2</v>
      </c>
      <c r="AF1510" s="5">
        <f t="shared" si="223"/>
        <v>0</v>
      </c>
      <c r="AG1510" s="14">
        <v>0</v>
      </c>
      <c r="AH1510" s="19">
        <f t="shared" si="225"/>
        <v>0</v>
      </c>
      <c r="AJ1510" s="126" t="e">
        <v>#N/A</v>
      </c>
      <c r="AK1510" s="80">
        <f t="shared" si="224"/>
        <v>0</v>
      </c>
      <c r="AM1510" s="85"/>
    </row>
    <row r="1511" spans="1:39" hidden="1" x14ac:dyDescent="0.3">
      <c r="A1511" s="85" t="s">
        <v>34</v>
      </c>
      <c r="B1511" s="15" t="s">
        <v>35</v>
      </c>
      <c r="C1511" s="15" t="s">
        <v>164</v>
      </c>
      <c r="D1511" s="15" t="s">
        <v>174</v>
      </c>
      <c r="E1511" s="15" t="s">
        <v>2272</v>
      </c>
      <c r="F1511" s="15" t="s">
        <v>2272</v>
      </c>
      <c r="G1511" s="15" t="s">
        <v>2272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2273</v>
      </c>
      <c r="N1511" s="15"/>
      <c r="O1511" s="8" t="s">
        <v>1196</v>
      </c>
      <c r="P1511" s="8" t="s">
        <v>46</v>
      </c>
      <c r="Q1511" s="9">
        <v>0.15</v>
      </c>
      <c r="R1511" s="139" t="s">
        <v>2274</v>
      </c>
      <c r="S1511" s="15"/>
      <c r="T1511" s="18">
        <v>12.079999999999927</v>
      </c>
      <c r="U1511" s="4">
        <v>0</v>
      </c>
      <c r="V1511" s="6">
        <v>0</v>
      </c>
      <c r="W1511" s="18">
        <f t="shared" si="226"/>
        <v>12.079999999999927</v>
      </c>
      <c r="X1511" s="18">
        <f t="shared" si="227"/>
        <v>0</v>
      </c>
      <c r="Y1511" s="13">
        <f t="shared" si="220"/>
        <v>0</v>
      </c>
      <c r="Z1511" s="14">
        <v>0</v>
      </c>
      <c r="AA1511" s="4">
        <v>0</v>
      </c>
      <c r="AB1511" s="4">
        <f t="shared" si="221"/>
        <v>0</v>
      </c>
      <c r="AC1511" s="6">
        <f t="shared" si="222"/>
        <v>0</v>
      </c>
      <c r="AD1511" s="6">
        <f t="shared" si="219"/>
        <v>0</v>
      </c>
      <c r="AE1511" s="2">
        <v>0.12</v>
      </c>
      <c r="AF1511" s="5">
        <f t="shared" si="223"/>
        <v>0</v>
      </c>
      <c r="AG1511" s="14">
        <v>0</v>
      </c>
      <c r="AH1511" s="19">
        <f t="shared" si="225"/>
        <v>0</v>
      </c>
      <c r="AJ1511" s="126" t="e">
        <v>#N/A</v>
      </c>
      <c r="AK1511" s="80">
        <f t="shared" si="224"/>
        <v>0</v>
      </c>
      <c r="AM1511" s="85"/>
    </row>
    <row r="1512" spans="1:39" hidden="1" x14ac:dyDescent="0.3">
      <c r="A1512" s="85" t="s">
        <v>34</v>
      </c>
      <c r="B1512" s="15" t="s">
        <v>35</v>
      </c>
      <c r="C1512" s="15" t="s">
        <v>164</v>
      </c>
      <c r="D1512" s="15" t="s">
        <v>174</v>
      </c>
      <c r="E1512" s="15" t="s">
        <v>2275</v>
      </c>
      <c r="F1512" s="15" t="s">
        <v>2276</v>
      </c>
      <c r="G1512" s="15" t="s">
        <v>2275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2277</v>
      </c>
      <c r="N1512" s="15"/>
      <c r="O1512" s="8" t="s">
        <v>410</v>
      </c>
      <c r="P1512" s="8" t="s">
        <v>41</v>
      </c>
      <c r="Q1512" s="9">
        <v>0</v>
      </c>
      <c r="R1512" s="139" t="s">
        <v>2278</v>
      </c>
      <c r="S1512" s="15"/>
      <c r="T1512" s="18">
        <v>463.2</v>
      </c>
      <c r="U1512" s="4">
        <v>0</v>
      </c>
      <c r="V1512" s="6">
        <v>0</v>
      </c>
      <c r="W1512" s="18">
        <f t="shared" si="226"/>
        <v>463.2</v>
      </c>
      <c r="X1512" s="18">
        <f t="shared" si="227"/>
        <v>0</v>
      </c>
      <c r="Y1512" s="13">
        <f t="shared" si="220"/>
        <v>0</v>
      </c>
      <c r="Z1512" s="14">
        <v>0</v>
      </c>
      <c r="AA1512" s="4">
        <v>0</v>
      </c>
      <c r="AB1512" s="4">
        <f t="shared" si="221"/>
        <v>0</v>
      </c>
      <c r="AC1512" s="6">
        <f t="shared" si="222"/>
        <v>0</v>
      </c>
      <c r="AD1512" s="6">
        <f t="shared" si="219"/>
        <v>0</v>
      </c>
      <c r="AE1512" s="2">
        <v>7.0000000000000007E-2</v>
      </c>
      <c r="AF1512" s="5">
        <f t="shared" si="223"/>
        <v>0</v>
      </c>
      <c r="AG1512" s="14">
        <v>0</v>
      </c>
      <c r="AH1512" s="19">
        <f t="shared" si="225"/>
        <v>0</v>
      </c>
      <c r="AJ1512" s="126" t="e">
        <v>#N/A</v>
      </c>
      <c r="AK1512" s="80">
        <f t="shared" si="224"/>
        <v>0</v>
      </c>
      <c r="AM1512" s="85"/>
    </row>
    <row r="1513" spans="1:39" hidden="1" x14ac:dyDescent="0.3">
      <c r="A1513" s="85" t="s">
        <v>34</v>
      </c>
      <c r="B1513" s="15" t="s">
        <v>35</v>
      </c>
      <c r="C1513" s="15" t="s">
        <v>164</v>
      </c>
      <c r="D1513" s="15" t="s">
        <v>181</v>
      </c>
      <c r="E1513" s="15" t="s">
        <v>2279</v>
      </c>
      <c r="F1513" s="15" t="s">
        <v>2279</v>
      </c>
      <c r="G1513" s="15" t="s">
        <v>2279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2279</v>
      </c>
      <c r="N1513" s="15"/>
      <c r="O1513" s="8" t="s">
        <v>1196</v>
      </c>
      <c r="P1513" s="8" t="s">
        <v>46</v>
      </c>
      <c r="Q1513" s="9">
        <v>0.06</v>
      </c>
      <c r="R1513" s="139" t="s">
        <v>2280</v>
      </c>
      <c r="S1513" s="15"/>
      <c r="T1513" s="18">
        <v>84.229999999999606</v>
      </c>
      <c r="U1513" s="4">
        <v>0</v>
      </c>
      <c r="V1513" s="6">
        <v>0</v>
      </c>
      <c r="W1513" s="18">
        <f t="shared" si="226"/>
        <v>84.229999999999606</v>
      </c>
      <c r="X1513" s="18">
        <f t="shared" si="227"/>
        <v>0</v>
      </c>
      <c r="Y1513" s="13">
        <f t="shared" si="220"/>
        <v>0</v>
      </c>
      <c r="Z1513" s="14">
        <v>0</v>
      </c>
      <c r="AA1513" s="4">
        <v>0</v>
      </c>
      <c r="AB1513" s="4">
        <f t="shared" si="221"/>
        <v>0</v>
      </c>
      <c r="AC1513" s="6">
        <f t="shared" si="222"/>
        <v>0</v>
      </c>
      <c r="AD1513" s="6">
        <f t="shared" si="219"/>
        <v>0</v>
      </c>
      <c r="AE1513" s="2">
        <v>0.12</v>
      </c>
      <c r="AF1513" s="5">
        <f t="shared" si="223"/>
        <v>0</v>
      </c>
      <c r="AG1513" s="14">
        <v>0</v>
      </c>
      <c r="AH1513" s="19">
        <f t="shared" si="225"/>
        <v>0</v>
      </c>
      <c r="AJ1513" s="126" t="e">
        <v>#N/A</v>
      </c>
      <c r="AK1513" s="80">
        <f t="shared" si="224"/>
        <v>0</v>
      </c>
      <c r="AM1513" s="85"/>
    </row>
    <row r="1514" spans="1:39" hidden="1" x14ac:dyDescent="0.3">
      <c r="A1514" s="85" t="s">
        <v>34</v>
      </c>
      <c r="B1514" s="15" t="s">
        <v>35</v>
      </c>
      <c r="C1514" s="15" t="s">
        <v>164</v>
      </c>
      <c r="D1514" s="15" t="s">
        <v>181</v>
      </c>
      <c r="E1514" s="15" t="s">
        <v>182</v>
      </c>
      <c r="F1514" s="15" t="s">
        <v>183</v>
      </c>
      <c r="G1514" s="15" t="s">
        <v>182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2017</v>
      </c>
      <c r="N1514" s="15"/>
      <c r="O1514" s="8" t="s">
        <v>941</v>
      </c>
      <c r="P1514" s="8" t="s">
        <v>41</v>
      </c>
      <c r="Q1514" s="9">
        <v>0</v>
      </c>
      <c r="R1514" s="139" t="s">
        <v>2018</v>
      </c>
      <c r="S1514" s="15"/>
      <c r="T1514" s="18">
        <v>-77447.75</v>
      </c>
      <c r="U1514" s="4">
        <v>0</v>
      </c>
      <c r="V1514" s="6">
        <v>0</v>
      </c>
      <c r="W1514" s="18">
        <f t="shared" si="226"/>
        <v>-77447.75</v>
      </c>
      <c r="X1514" s="18">
        <f t="shared" si="227"/>
        <v>0</v>
      </c>
      <c r="Y1514" s="13">
        <f t="shared" si="220"/>
        <v>0</v>
      </c>
      <c r="Z1514" s="14">
        <v>0</v>
      </c>
      <c r="AA1514" s="4">
        <v>0</v>
      </c>
      <c r="AB1514" s="4">
        <f t="shared" si="221"/>
        <v>0</v>
      </c>
      <c r="AC1514" s="6">
        <f t="shared" si="222"/>
        <v>0</v>
      </c>
      <c r="AD1514" s="6">
        <f t="shared" si="219"/>
        <v>0</v>
      </c>
      <c r="AE1514" s="2">
        <v>0.15</v>
      </c>
      <c r="AF1514" s="5">
        <f t="shared" si="223"/>
        <v>0</v>
      </c>
      <c r="AG1514" s="14">
        <v>0</v>
      </c>
      <c r="AH1514" s="19">
        <f t="shared" si="225"/>
        <v>0</v>
      </c>
      <c r="AJ1514" s="126" t="e">
        <v>#N/A</v>
      </c>
      <c r="AK1514" s="80">
        <f t="shared" si="224"/>
        <v>0</v>
      </c>
      <c r="AM1514" s="85"/>
    </row>
    <row r="1515" spans="1:39" hidden="1" x14ac:dyDescent="0.3">
      <c r="A1515" s="85" t="s">
        <v>34</v>
      </c>
      <c r="B1515" s="15" t="s">
        <v>35</v>
      </c>
      <c r="C1515" s="15" t="s">
        <v>164</v>
      </c>
      <c r="D1515" s="15" t="s">
        <v>181</v>
      </c>
      <c r="E1515" s="15" t="s">
        <v>182</v>
      </c>
      <c r="F1515" s="15" t="s">
        <v>183</v>
      </c>
      <c r="G1515" s="15" t="s">
        <v>182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2017</v>
      </c>
      <c r="N1515" s="15"/>
      <c r="O1515" s="8" t="s">
        <v>2054</v>
      </c>
      <c r="P1515" s="8" t="s">
        <v>41</v>
      </c>
      <c r="Q1515" s="9">
        <v>0</v>
      </c>
      <c r="R1515" s="139" t="s">
        <v>2018</v>
      </c>
      <c r="S1515" s="15"/>
      <c r="T1515" s="18">
        <v>-22392.737779999999</v>
      </c>
      <c r="U1515" s="4">
        <v>0</v>
      </c>
      <c r="V1515" s="6">
        <v>0</v>
      </c>
      <c r="W1515" s="18">
        <f t="shared" si="226"/>
        <v>-22392.737779999999</v>
      </c>
      <c r="X1515" s="18">
        <f t="shared" si="227"/>
        <v>0</v>
      </c>
      <c r="Y1515" s="13">
        <f t="shared" si="220"/>
        <v>0</v>
      </c>
      <c r="Z1515" s="14">
        <v>0</v>
      </c>
      <c r="AA1515" s="4">
        <v>0</v>
      </c>
      <c r="AB1515" s="4">
        <f t="shared" si="221"/>
        <v>0</v>
      </c>
      <c r="AC1515" s="6">
        <f t="shared" si="222"/>
        <v>0</v>
      </c>
      <c r="AD1515" s="6">
        <f t="shared" si="219"/>
        <v>0</v>
      </c>
      <c r="AE1515" s="2">
        <v>0.12</v>
      </c>
      <c r="AF1515" s="5">
        <f t="shared" si="223"/>
        <v>0</v>
      </c>
      <c r="AG1515" s="14">
        <v>0</v>
      </c>
      <c r="AH1515" s="19">
        <f t="shared" si="225"/>
        <v>0</v>
      </c>
      <c r="AJ1515" s="126" t="e">
        <v>#N/A</v>
      </c>
      <c r="AK1515" s="80">
        <f t="shared" si="224"/>
        <v>0</v>
      </c>
      <c r="AM1515" s="85"/>
    </row>
    <row r="1516" spans="1:39" hidden="1" x14ac:dyDescent="0.3">
      <c r="A1516" s="85" t="s">
        <v>34</v>
      </c>
      <c r="B1516" s="15" t="s">
        <v>35</v>
      </c>
      <c r="C1516" s="15" t="s">
        <v>164</v>
      </c>
      <c r="D1516" s="15" t="s">
        <v>181</v>
      </c>
      <c r="E1516" s="15" t="s">
        <v>182</v>
      </c>
      <c r="F1516" s="15" t="s">
        <v>183</v>
      </c>
      <c r="G1516" s="15" t="s">
        <v>182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1832</v>
      </c>
      <c r="N1516" s="15"/>
      <c r="O1516" s="8" t="s">
        <v>1196</v>
      </c>
      <c r="P1516" s="8" t="s">
        <v>41</v>
      </c>
      <c r="Q1516" s="9">
        <v>0</v>
      </c>
      <c r="R1516" s="139" t="s">
        <v>1833</v>
      </c>
      <c r="S1516" s="15"/>
      <c r="T1516" s="18">
        <v>-685889.37</v>
      </c>
      <c r="U1516" s="4">
        <v>0</v>
      </c>
      <c r="V1516" s="6">
        <v>0</v>
      </c>
      <c r="W1516" s="18">
        <f t="shared" si="226"/>
        <v>-685889.37</v>
      </c>
      <c r="X1516" s="18">
        <f t="shared" si="227"/>
        <v>0</v>
      </c>
      <c r="Y1516" s="13">
        <f t="shared" si="220"/>
        <v>0</v>
      </c>
      <c r="Z1516" s="14">
        <v>0</v>
      </c>
      <c r="AA1516" s="4">
        <v>0</v>
      </c>
      <c r="AB1516" s="4">
        <f t="shared" si="221"/>
        <v>0</v>
      </c>
      <c r="AC1516" s="6">
        <f t="shared" si="222"/>
        <v>0</v>
      </c>
      <c r="AD1516" s="6">
        <f t="shared" si="219"/>
        <v>0</v>
      </c>
      <c r="AE1516" s="2">
        <v>0.12</v>
      </c>
      <c r="AF1516" s="5">
        <f t="shared" si="223"/>
        <v>0</v>
      </c>
      <c r="AG1516" s="14">
        <v>0</v>
      </c>
      <c r="AH1516" s="19">
        <f t="shared" si="225"/>
        <v>0</v>
      </c>
      <c r="AJ1516" s="126" t="e">
        <v>#N/A</v>
      </c>
      <c r="AK1516" s="80">
        <f t="shared" si="224"/>
        <v>0</v>
      </c>
      <c r="AM1516" s="85"/>
    </row>
    <row r="1517" spans="1:39" hidden="1" x14ac:dyDescent="0.3">
      <c r="A1517" s="85" t="s">
        <v>34</v>
      </c>
      <c r="B1517" s="15" t="s">
        <v>35</v>
      </c>
      <c r="C1517" s="15" t="s">
        <v>164</v>
      </c>
      <c r="D1517" s="15" t="s">
        <v>181</v>
      </c>
      <c r="E1517" s="15" t="s">
        <v>182</v>
      </c>
      <c r="F1517" s="15" t="s">
        <v>183</v>
      </c>
      <c r="G1517" s="15" t="s">
        <v>182</v>
      </c>
      <c r="H1517" s="154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1832</v>
      </c>
      <c r="N1517" s="15"/>
      <c r="O1517" s="8" t="s">
        <v>1196</v>
      </c>
      <c r="P1517" s="8" t="s">
        <v>41</v>
      </c>
      <c r="Q1517" s="9">
        <v>0</v>
      </c>
      <c r="R1517" s="139" t="s">
        <v>1834</v>
      </c>
      <c r="S1517" s="15"/>
      <c r="T1517" s="18">
        <v>-1504158.1418200003</v>
      </c>
      <c r="U1517" s="4">
        <v>0</v>
      </c>
      <c r="V1517" s="6">
        <v>1.41004</v>
      </c>
      <c r="W1517" s="18">
        <f t="shared" si="226"/>
        <v>-1504159.5518600002</v>
      </c>
      <c r="X1517" s="18">
        <f t="shared" si="227"/>
        <v>1.41004</v>
      </c>
      <c r="Y1517" s="13">
        <f t="shared" si="220"/>
        <v>0.56548913278596069</v>
      </c>
      <c r="Z1517" s="14">
        <v>0</v>
      </c>
      <c r="AA1517" s="4">
        <v>0</v>
      </c>
      <c r="AB1517" s="4">
        <f t="shared" si="221"/>
        <v>1.41004</v>
      </c>
      <c r="AC1517" s="6">
        <f t="shared" si="222"/>
        <v>0</v>
      </c>
      <c r="AD1517" s="6">
        <f t="shared" si="219"/>
        <v>0.84455086721403927</v>
      </c>
      <c r="AE1517" s="2">
        <v>0.12</v>
      </c>
      <c r="AF1517" s="5">
        <f t="shared" si="223"/>
        <v>0.10134610406568471</v>
      </c>
      <c r="AG1517" s="14">
        <v>0</v>
      </c>
      <c r="AH1517" s="19">
        <f t="shared" si="225"/>
        <v>1.41004</v>
      </c>
      <c r="AJ1517" s="126" t="e">
        <v>#N/A</v>
      </c>
      <c r="AK1517" s="80">
        <f t="shared" si="224"/>
        <v>0</v>
      </c>
      <c r="AM1517" s="85"/>
    </row>
    <row r="1518" spans="1:39" hidden="1" x14ac:dyDescent="0.3">
      <c r="A1518" s="85" t="s">
        <v>34</v>
      </c>
      <c r="B1518" s="15" t="s">
        <v>35</v>
      </c>
      <c r="C1518" s="15" t="s">
        <v>164</v>
      </c>
      <c r="D1518" s="15" t="s">
        <v>181</v>
      </c>
      <c r="E1518" s="15" t="s">
        <v>182</v>
      </c>
      <c r="F1518" s="15" t="s">
        <v>183</v>
      </c>
      <c r="G1518" s="15" t="s">
        <v>182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1832</v>
      </c>
      <c r="N1518" s="15"/>
      <c r="O1518" s="8" t="s">
        <v>941</v>
      </c>
      <c r="P1518" s="8" t="s">
        <v>41</v>
      </c>
      <c r="Q1518" s="9">
        <v>0</v>
      </c>
      <c r="R1518" s="139" t="s">
        <v>1833</v>
      </c>
      <c r="S1518" s="15"/>
      <c r="T1518" s="18">
        <v>-60204.99</v>
      </c>
      <c r="U1518" s="4">
        <v>0</v>
      </c>
      <c r="V1518" s="6">
        <v>0</v>
      </c>
      <c r="W1518" s="18">
        <f t="shared" si="226"/>
        <v>-60204.99</v>
      </c>
      <c r="X1518" s="18">
        <f t="shared" si="227"/>
        <v>0</v>
      </c>
      <c r="Y1518" s="13">
        <f t="shared" si="220"/>
        <v>0</v>
      </c>
      <c r="Z1518" s="14">
        <v>0</v>
      </c>
      <c r="AA1518" s="4">
        <v>0</v>
      </c>
      <c r="AB1518" s="4">
        <f t="shared" si="221"/>
        <v>0</v>
      </c>
      <c r="AC1518" s="6">
        <f t="shared" si="222"/>
        <v>0</v>
      </c>
      <c r="AD1518" s="6">
        <f t="shared" si="219"/>
        <v>0</v>
      </c>
      <c r="AE1518" s="2">
        <v>0.15</v>
      </c>
      <c r="AF1518" s="5">
        <f t="shared" si="223"/>
        <v>0</v>
      </c>
      <c r="AG1518" s="14">
        <v>0</v>
      </c>
      <c r="AH1518" s="19">
        <f t="shared" si="225"/>
        <v>0</v>
      </c>
      <c r="AJ1518" s="126" t="e">
        <v>#N/A</v>
      </c>
      <c r="AK1518" s="80">
        <f t="shared" si="224"/>
        <v>0</v>
      </c>
      <c r="AM1518" s="85"/>
    </row>
    <row r="1519" spans="1:39" hidden="1" x14ac:dyDescent="0.3">
      <c r="A1519" s="85" t="s">
        <v>34</v>
      </c>
      <c r="B1519" s="15" t="s">
        <v>35</v>
      </c>
      <c r="C1519" s="15" t="s">
        <v>164</v>
      </c>
      <c r="D1519" s="15" t="s">
        <v>181</v>
      </c>
      <c r="E1519" s="15" t="s">
        <v>182</v>
      </c>
      <c r="F1519" s="15" t="s">
        <v>183</v>
      </c>
      <c r="G1519" s="15" t="s">
        <v>182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1832</v>
      </c>
      <c r="N1519" s="15"/>
      <c r="O1519" s="8" t="s">
        <v>941</v>
      </c>
      <c r="P1519" s="8" t="s">
        <v>41</v>
      </c>
      <c r="Q1519" s="9">
        <v>0</v>
      </c>
      <c r="R1519" s="139" t="s">
        <v>1834</v>
      </c>
      <c r="S1519" s="15"/>
      <c r="T1519" s="18">
        <v>-28357.105049999998</v>
      </c>
      <c r="U1519" s="4">
        <v>0</v>
      </c>
      <c r="V1519" s="6">
        <v>0</v>
      </c>
      <c r="W1519" s="18">
        <f t="shared" si="226"/>
        <v>-28357.105049999998</v>
      </c>
      <c r="X1519" s="18">
        <f t="shared" si="227"/>
        <v>0</v>
      </c>
      <c r="Y1519" s="13">
        <f t="shared" si="220"/>
        <v>0</v>
      </c>
      <c r="Z1519" s="14">
        <v>0</v>
      </c>
      <c r="AA1519" s="4">
        <v>0</v>
      </c>
      <c r="AB1519" s="4">
        <f t="shared" si="221"/>
        <v>0</v>
      </c>
      <c r="AC1519" s="6">
        <f t="shared" si="222"/>
        <v>0</v>
      </c>
      <c r="AD1519" s="6">
        <f t="shared" si="219"/>
        <v>0</v>
      </c>
      <c r="AE1519" s="2">
        <v>0.15</v>
      </c>
      <c r="AF1519" s="5">
        <f t="shared" si="223"/>
        <v>0</v>
      </c>
      <c r="AG1519" s="14">
        <v>0</v>
      </c>
      <c r="AH1519" s="19">
        <f t="shared" si="225"/>
        <v>0</v>
      </c>
      <c r="AJ1519" s="126" t="e">
        <v>#N/A</v>
      </c>
      <c r="AK1519" s="80">
        <f t="shared" si="224"/>
        <v>0</v>
      </c>
      <c r="AM1519" s="85"/>
    </row>
    <row r="1520" spans="1:39" hidden="1" x14ac:dyDescent="0.3">
      <c r="A1520" s="85" t="s">
        <v>34</v>
      </c>
      <c r="B1520" s="15" t="s">
        <v>35</v>
      </c>
      <c r="C1520" s="15" t="s">
        <v>164</v>
      </c>
      <c r="D1520" s="15" t="s">
        <v>181</v>
      </c>
      <c r="E1520" s="15" t="s">
        <v>182</v>
      </c>
      <c r="F1520" s="15" t="s">
        <v>183</v>
      </c>
      <c r="G1520" s="15" t="s">
        <v>182</v>
      </c>
      <c r="H1520" s="154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1832</v>
      </c>
      <c r="N1520" s="15"/>
      <c r="O1520" s="8" t="s">
        <v>2054</v>
      </c>
      <c r="P1520" s="8" t="s">
        <v>41</v>
      </c>
      <c r="Q1520" s="9">
        <v>0</v>
      </c>
      <c r="R1520" s="139" t="s">
        <v>1834</v>
      </c>
      <c r="S1520" s="15"/>
      <c r="T1520" s="18">
        <v>-771436.62670999998</v>
      </c>
      <c r="U1520" s="4">
        <v>0</v>
      </c>
      <c r="V1520" s="6">
        <v>18.918579999999999</v>
      </c>
      <c r="W1520" s="18">
        <f t="shared" si="226"/>
        <v>-771455.54529000004</v>
      </c>
      <c r="X1520" s="18">
        <f t="shared" si="227"/>
        <v>18.918579999999999</v>
      </c>
      <c r="Y1520" s="13">
        <f t="shared" si="220"/>
        <v>7.5871970991899662</v>
      </c>
      <c r="Z1520" s="14">
        <v>0</v>
      </c>
      <c r="AA1520" s="4">
        <v>0</v>
      </c>
      <c r="AB1520" s="4">
        <f t="shared" si="221"/>
        <v>18.918579999999999</v>
      </c>
      <c r="AC1520" s="6">
        <f t="shared" si="222"/>
        <v>0</v>
      </c>
      <c r="AD1520" s="6">
        <f t="shared" si="219"/>
        <v>11.331382900810032</v>
      </c>
      <c r="AE1520" s="2">
        <v>0.12</v>
      </c>
      <c r="AF1520" s="5">
        <f t="shared" si="223"/>
        <v>1.3597659480972037</v>
      </c>
      <c r="AG1520" s="14">
        <v>0</v>
      </c>
      <c r="AH1520" s="19">
        <f t="shared" si="225"/>
        <v>18.918579999999999</v>
      </c>
      <c r="AJ1520" s="126" t="e">
        <v>#N/A</v>
      </c>
      <c r="AK1520" s="80">
        <f t="shared" si="224"/>
        <v>0</v>
      </c>
      <c r="AM1520" s="85"/>
    </row>
    <row r="1521" spans="1:39" hidden="1" x14ac:dyDescent="0.3">
      <c r="A1521" s="85" t="s">
        <v>34</v>
      </c>
      <c r="B1521" s="15" t="s">
        <v>35</v>
      </c>
      <c r="C1521" s="15" t="s">
        <v>2029</v>
      </c>
      <c r="D1521" s="15" t="s">
        <v>961</v>
      </c>
      <c r="E1521" s="15" t="s">
        <v>962</v>
      </c>
      <c r="F1521" s="15" t="s">
        <v>962</v>
      </c>
      <c r="G1521" s="15" t="s">
        <v>962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2281</v>
      </c>
      <c r="N1521" s="15"/>
      <c r="O1521" s="8" t="s">
        <v>1196</v>
      </c>
      <c r="P1521" s="8" t="s">
        <v>41</v>
      </c>
      <c r="Q1521" s="9">
        <v>0</v>
      </c>
      <c r="R1521" s="139" t="s">
        <v>2282</v>
      </c>
      <c r="S1521" s="15"/>
      <c r="T1521" s="18">
        <v>15465.78</v>
      </c>
      <c r="U1521" s="4">
        <v>0</v>
      </c>
      <c r="V1521" s="6">
        <v>0</v>
      </c>
      <c r="W1521" s="18">
        <f t="shared" si="226"/>
        <v>15465.78</v>
      </c>
      <c r="X1521" s="18">
        <f t="shared" si="227"/>
        <v>0</v>
      </c>
      <c r="Y1521" s="13">
        <f t="shared" si="220"/>
        <v>0</v>
      </c>
      <c r="Z1521" s="14">
        <v>0</v>
      </c>
      <c r="AA1521" s="4">
        <v>0</v>
      </c>
      <c r="AB1521" s="4">
        <f t="shared" si="221"/>
        <v>0</v>
      </c>
      <c r="AC1521" s="6">
        <f t="shared" si="222"/>
        <v>0</v>
      </c>
      <c r="AD1521" s="6">
        <f t="shared" si="219"/>
        <v>0</v>
      </c>
      <c r="AE1521" s="2">
        <v>0.12</v>
      </c>
      <c r="AF1521" s="5">
        <f t="shared" si="223"/>
        <v>0</v>
      </c>
      <c r="AG1521" s="14">
        <v>0</v>
      </c>
      <c r="AH1521" s="19">
        <f t="shared" si="225"/>
        <v>0</v>
      </c>
      <c r="AJ1521" s="126" t="e">
        <v>#N/A</v>
      </c>
      <c r="AK1521" s="80">
        <f t="shared" si="224"/>
        <v>0</v>
      </c>
      <c r="AM1521" s="85"/>
    </row>
    <row r="1522" spans="1:39" hidden="1" x14ac:dyDescent="0.3">
      <c r="A1522" s="85" t="s">
        <v>34</v>
      </c>
      <c r="B1522" s="15" t="s">
        <v>35</v>
      </c>
      <c r="C1522" s="15" t="s">
        <v>2029</v>
      </c>
      <c r="D1522" s="15" t="s">
        <v>961</v>
      </c>
      <c r="E1522" s="15" t="s">
        <v>2283</v>
      </c>
      <c r="F1522" s="15" t="s">
        <v>2283</v>
      </c>
      <c r="G1522" s="15" t="s">
        <v>2283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2283</v>
      </c>
      <c r="N1522" s="15"/>
      <c r="O1522" s="8" t="s">
        <v>410</v>
      </c>
      <c r="P1522" s="8" t="s">
        <v>41</v>
      </c>
      <c r="Q1522" s="9">
        <v>0</v>
      </c>
      <c r="R1522" s="139">
        <v>18627117922</v>
      </c>
      <c r="S1522" s="15"/>
      <c r="T1522" s="18">
        <v>5801</v>
      </c>
      <c r="U1522" s="4">
        <v>0</v>
      </c>
      <c r="V1522" s="6">
        <v>0</v>
      </c>
      <c r="W1522" s="18">
        <f t="shared" si="226"/>
        <v>5801</v>
      </c>
      <c r="X1522" s="18">
        <f t="shared" si="227"/>
        <v>0</v>
      </c>
      <c r="Y1522" s="13">
        <f t="shared" si="220"/>
        <v>0</v>
      </c>
      <c r="Z1522" s="14">
        <v>0</v>
      </c>
      <c r="AA1522" s="4">
        <v>0</v>
      </c>
      <c r="AB1522" s="4">
        <f t="shared" si="221"/>
        <v>0</v>
      </c>
      <c r="AC1522" s="6">
        <f t="shared" si="222"/>
        <v>0</v>
      </c>
      <c r="AD1522" s="6">
        <f t="shared" si="219"/>
        <v>0</v>
      </c>
      <c r="AE1522" s="2">
        <v>7.0000000000000007E-2</v>
      </c>
      <c r="AF1522" s="5">
        <f t="shared" si="223"/>
        <v>0</v>
      </c>
      <c r="AG1522" s="14">
        <v>0</v>
      </c>
      <c r="AH1522" s="19">
        <f t="shared" si="225"/>
        <v>0</v>
      </c>
      <c r="AJ1522" s="126" t="e">
        <v>#N/A</v>
      </c>
      <c r="AK1522" s="80">
        <f t="shared" si="224"/>
        <v>0</v>
      </c>
      <c r="AM1522" s="85"/>
    </row>
    <row r="1523" spans="1:39" hidden="1" x14ac:dyDescent="0.3">
      <c r="A1523" s="85" t="s">
        <v>34</v>
      </c>
      <c r="B1523" s="15" t="s">
        <v>35</v>
      </c>
      <c r="C1523" s="15" t="s">
        <v>2029</v>
      </c>
      <c r="D1523" s="15" t="s">
        <v>224</v>
      </c>
      <c r="E1523" s="15" t="s">
        <v>2284</v>
      </c>
      <c r="F1523" s="15" t="s">
        <v>2285</v>
      </c>
      <c r="G1523" s="15" t="s">
        <v>2284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2284</v>
      </c>
      <c r="N1523" s="15"/>
      <c r="O1523" s="8" t="s">
        <v>410</v>
      </c>
      <c r="P1523" s="8" t="s">
        <v>46</v>
      </c>
      <c r="Q1523" s="9">
        <v>0.02</v>
      </c>
      <c r="R1523" s="139" t="s">
        <v>2286</v>
      </c>
      <c r="S1523" s="15"/>
      <c r="T1523" s="18">
        <v>489.46</v>
      </c>
      <c r="U1523" s="4">
        <v>0</v>
      </c>
      <c r="V1523" s="6">
        <v>0</v>
      </c>
      <c r="W1523" s="18">
        <f t="shared" si="226"/>
        <v>489.46</v>
      </c>
      <c r="X1523" s="18">
        <f t="shared" si="227"/>
        <v>0</v>
      </c>
      <c r="Y1523" s="13">
        <f t="shared" si="220"/>
        <v>0</v>
      </c>
      <c r="Z1523" s="14">
        <v>0</v>
      </c>
      <c r="AA1523" s="4">
        <v>0</v>
      </c>
      <c r="AB1523" s="4">
        <f t="shared" si="221"/>
        <v>0</v>
      </c>
      <c r="AC1523" s="6">
        <f t="shared" si="222"/>
        <v>0</v>
      </c>
      <c r="AD1523" s="6">
        <f t="shared" si="219"/>
        <v>0</v>
      </c>
      <c r="AE1523" s="2">
        <v>7.0000000000000007E-2</v>
      </c>
      <c r="AF1523" s="5">
        <f t="shared" si="223"/>
        <v>0</v>
      </c>
      <c r="AG1523" s="14">
        <v>0</v>
      </c>
      <c r="AH1523" s="19">
        <f t="shared" si="225"/>
        <v>0</v>
      </c>
      <c r="AJ1523" s="126" t="e">
        <v>#N/A</v>
      </c>
      <c r="AK1523" s="80">
        <f t="shared" si="224"/>
        <v>0</v>
      </c>
      <c r="AM1523" s="85"/>
    </row>
    <row r="1524" spans="1:39" hidden="1" x14ac:dyDescent="0.3">
      <c r="A1524" s="85" t="s">
        <v>34</v>
      </c>
      <c r="B1524" s="15" t="s">
        <v>35</v>
      </c>
      <c r="C1524" s="15" t="s">
        <v>2029</v>
      </c>
      <c r="D1524" s="15" t="s">
        <v>224</v>
      </c>
      <c r="E1524" s="15" t="s">
        <v>2287</v>
      </c>
      <c r="F1524" s="15" t="s">
        <v>2287</v>
      </c>
      <c r="G1524" s="15" t="s">
        <v>2287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2288</v>
      </c>
      <c r="N1524" s="15"/>
      <c r="O1524" s="8" t="s">
        <v>410</v>
      </c>
      <c r="P1524" s="8" t="s">
        <v>46</v>
      </c>
      <c r="Q1524" s="9">
        <v>0.04</v>
      </c>
      <c r="R1524" s="139" t="s">
        <v>2289</v>
      </c>
      <c r="S1524" s="15"/>
      <c r="T1524" s="18">
        <v>16335.18</v>
      </c>
      <c r="U1524" s="4">
        <v>0</v>
      </c>
      <c r="V1524" s="6">
        <v>0</v>
      </c>
      <c r="W1524" s="18">
        <f t="shared" si="226"/>
        <v>16335.18</v>
      </c>
      <c r="X1524" s="18">
        <f t="shared" si="227"/>
        <v>0</v>
      </c>
      <c r="Y1524" s="13">
        <f t="shared" si="220"/>
        <v>0</v>
      </c>
      <c r="Z1524" s="14">
        <v>0</v>
      </c>
      <c r="AA1524" s="4">
        <v>0</v>
      </c>
      <c r="AB1524" s="4">
        <f t="shared" si="221"/>
        <v>0</v>
      </c>
      <c r="AC1524" s="6">
        <f t="shared" si="222"/>
        <v>0</v>
      </c>
      <c r="AD1524" s="6">
        <f t="shared" si="219"/>
        <v>0</v>
      </c>
      <c r="AE1524" s="2">
        <v>7.0000000000000007E-2</v>
      </c>
      <c r="AF1524" s="5">
        <f t="shared" si="223"/>
        <v>0</v>
      </c>
      <c r="AG1524" s="14">
        <v>0</v>
      </c>
      <c r="AH1524" s="19">
        <f t="shared" si="225"/>
        <v>0</v>
      </c>
      <c r="AJ1524" s="126" t="e">
        <v>#N/A</v>
      </c>
      <c r="AK1524" s="80">
        <f t="shared" si="224"/>
        <v>0</v>
      </c>
      <c r="AM1524" s="85"/>
    </row>
    <row r="1525" spans="1:39" hidden="1" x14ac:dyDescent="0.3">
      <c r="A1525" s="85" t="s">
        <v>34</v>
      </c>
      <c r="B1525" s="15" t="s">
        <v>35</v>
      </c>
      <c r="C1525" s="15" t="s">
        <v>2029</v>
      </c>
      <c r="D1525" s="15" t="s">
        <v>224</v>
      </c>
      <c r="E1525" s="15" t="s">
        <v>2290</v>
      </c>
      <c r="F1525" s="15" t="s">
        <v>2290</v>
      </c>
      <c r="G1525" s="15" t="s">
        <v>2290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2291</v>
      </c>
      <c r="N1525" s="15"/>
      <c r="O1525" s="8" t="s">
        <v>410</v>
      </c>
      <c r="P1525" s="8" t="s">
        <v>41</v>
      </c>
      <c r="Q1525" s="9">
        <v>0</v>
      </c>
      <c r="R1525" s="139">
        <v>3395642036</v>
      </c>
      <c r="S1525" s="15"/>
      <c r="T1525" s="18">
        <v>31601.200000000001</v>
      </c>
      <c r="U1525" s="4">
        <v>0</v>
      </c>
      <c r="V1525" s="6">
        <v>0</v>
      </c>
      <c r="W1525" s="18">
        <f t="shared" si="226"/>
        <v>31601.200000000001</v>
      </c>
      <c r="X1525" s="18">
        <f t="shared" si="227"/>
        <v>0</v>
      </c>
      <c r="Y1525" s="13">
        <f t="shared" si="220"/>
        <v>0</v>
      </c>
      <c r="Z1525" s="14">
        <v>0</v>
      </c>
      <c r="AA1525" s="4">
        <v>0</v>
      </c>
      <c r="AB1525" s="4">
        <f t="shared" si="221"/>
        <v>0</v>
      </c>
      <c r="AC1525" s="6">
        <f t="shared" si="222"/>
        <v>0</v>
      </c>
      <c r="AD1525" s="6">
        <f t="shared" si="219"/>
        <v>0</v>
      </c>
      <c r="AE1525" s="2">
        <v>7.0000000000000007E-2</v>
      </c>
      <c r="AF1525" s="5">
        <f t="shared" si="223"/>
        <v>0</v>
      </c>
      <c r="AG1525" s="14">
        <v>0</v>
      </c>
      <c r="AH1525" s="19">
        <f t="shared" si="225"/>
        <v>0</v>
      </c>
      <c r="AJ1525" s="126" t="e">
        <v>#N/A</v>
      </c>
      <c r="AK1525" s="80">
        <f t="shared" si="224"/>
        <v>0</v>
      </c>
      <c r="AM1525" s="85"/>
    </row>
    <row r="1526" spans="1:39" hidden="1" x14ac:dyDescent="0.3">
      <c r="A1526" s="85" t="s">
        <v>34</v>
      </c>
      <c r="B1526" s="15" t="s">
        <v>35</v>
      </c>
      <c r="C1526" s="15" t="s">
        <v>2029</v>
      </c>
      <c r="D1526" s="15" t="s">
        <v>224</v>
      </c>
      <c r="E1526" s="15" t="s">
        <v>2290</v>
      </c>
      <c r="F1526" s="15" t="s">
        <v>2292</v>
      </c>
      <c r="G1526" s="15" t="s">
        <v>2290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2293</v>
      </c>
      <c r="N1526" s="15"/>
      <c r="O1526" s="8" t="s">
        <v>410</v>
      </c>
      <c r="P1526" s="8" t="s">
        <v>46</v>
      </c>
      <c r="Q1526" s="9">
        <v>0.02</v>
      </c>
      <c r="R1526" s="139">
        <v>153097069</v>
      </c>
      <c r="S1526" s="15"/>
      <c r="T1526" s="18">
        <v>302.09999999999098</v>
      </c>
      <c r="U1526" s="4">
        <v>0</v>
      </c>
      <c r="V1526" s="6">
        <v>0</v>
      </c>
      <c r="W1526" s="18">
        <f t="shared" si="226"/>
        <v>302.09999999999098</v>
      </c>
      <c r="X1526" s="18">
        <f t="shared" si="227"/>
        <v>0</v>
      </c>
      <c r="Y1526" s="13">
        <f t="shared" si="220"/>
        <v>0</v>
      </c>
      <c r="Z1526" s="14">
        <v>0</v>
      </c>
      <c r="AA1526" s="4">
        <v>0</v>
      </c>
      <c r="AB1526" s="4">
        <f t="shared" si="221"/>
        <v>0</v>
      </c>
      <c r="AC1526" s="6">
        <f t="shared" si="222"/>
        <v>0</v>
      </c>
      <c r="AD1526" s="6">
        <f t="shared" si="219"/>
        <v>0</v>
      </c>
      <c r="AE1526" s="2">
        <v>7.0000000000000007E-2</v>
      </c>
      <c r="AF1526" s="5">
        <f t="shared" si="223"/>
        <v>0</v>
      </c>
      <c r="AG1526" s="14">
        <v>0</v>
      </c>
      <c r="AH1526" s="19">
        <f t="shared" si="225"/>
        <v>0</v>
      </c>
      <c r="AJ1526" s="126" t="e">
        <v>#N/A</v>
      </c>
      <c r="AK1526" s="80">
        <f t="shared" si="224"/>
        <v>0</v>
      </c>
      <c r="AM1526" s="85"/>
    </row>
    <row r="1527" spans="1:39" hidden="1" x14ac:dyDescent="0.3">
      <c r="A1527" s="85" t="s">
        <v>34</v>
      </c>
      <c r="B1527" s="15" t="s">
        <v>35</v>
      </c>
      <c r="C1527" s="15" t="s">
        <v>2029</v>
      </c>
      <c r="D1527" s="15" t="s">
        <v>224</v>
      </c>
      <c r="E1527" s="15" t="s">
        <v>2294</v>
      </c>
      <c r="F1527" s="15" t="s">
        <v>2294</v>
      </c>
      <c r="G1527" s="15" t="s">
        <v>2294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2295</v>
      </c>
      <c r="N1527" s="15"/>
      <c r="O1527" s="8" t="s">
        <v>410</v>
      </c>
      <c r="P1527" s="8" t="s">
        <v>41</v>
      </c>
      <c r="Q1527" s="9">
        <v>0</v>
      </c>
      <c r="R1527" s="139">
        <v>13351113737</v>
      </c>
      <c r="S1527" s="15"/>
      <c r="T1527" s="18">
        <v>7428.92</v>
      </c>
      <c r="U1527" s="4">
        <v>0</v>
      </c>
      <c r="V1527" s="6">
        <v>0</v>
      </c>
      <c r="W1527" s="18">
        <f t="shared" si="226"/>
        <v>7428.92</v>
      </c>
      <c r="X1527" s="18">
        <f t="shared" si="227"/>
        <v>0</v>
      </c>
      <c r="Y1527" s="13">
        <f t="shared" si="220"/>
        <v>0</v>
      </c>
      <c r="Z1527" s="14">
        <v>0</v>
      </c>
      <c r="AA1527" s="4">
        <v>0</v>
      </c>
      <c r="AB1527" s="4">
        <f t="shared" si="221"/>
        <v>0</v>
      </c>
      <c r="AC1527" s="6">
        <f t="shared" si="222"/>
        <v>0</v>
      </c>
      <c r="AD1527" s="6">
        <f t="shared" si="219"/>
        <v>0</v>
      </c>
      <c r="AE1527" s="2">
        <v>7.0000000000000007E-2</v>
      </c>
      <c r="AF1527" s="5">
        <f t="shared" si="223"/>
        <v>0</v>
      </c>
      <c r="AG1527" s="14">
        <v>0</v>
      </c>
      <c r="AH1527" s="19">
        <f t="shared" si="225"/>
        <v>0</v>
      </c>
      <c r="AJ1527" s="126" t="e">
        <v>#N/A</v>
      </c>
      <c r="AK1527" s="80">
        <f t="shared" si="224"/>
        <v>0</v>
      </c>
      <c r="AM1527" s="85"/>
    </row>
    <row r="1528" spans="1:39" hidden="1" x14ac:dyDescent="0.3">
      <c r="A1528" s="85" t="s">
        <v>34</v>
      </c>
      <c r="B1528" s="15" t="s">
        <v>35</v>
      </c>
      <c r="C1528" s="15" t="s">
        <v>2029</v>
      </c>
      <c r="D1528" s="15" t="s">
        <v>224</v>
      </c>
      <c r="E1528" s="15" t="s">
        <v>2296</v>
      </c>
      <c r="F1528" s="15" t="s">
        <v>2297</v>
      </c>
      <c r="G1528" s="15" t="s">
        <v>2296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2298</v>
      </c>
      <c r="N1528" s="15"/>
      <c r="O1528" s="8" t="s">
        <v>410</v>
      </c>
      <c r="P1528" s="8" t="s">
        <v>46</v>
      </c>
      <c r="Q1528" s="9">
        <v>0.02</v>
      </c>
      <c r="R1528" s="139" t="s">
        <v>2299</v>
      </c>
      <c r="S1528" s="15"/>
      <c r="T1528" s="18">
        <v>487.4</v>
      </c>
      <c r="U1528" s="4">
        <v>0</v>
      </c>
      <c r="V1528" s="6">
        <v>0</v>
      </c>
      <c r="W1528" s="18">
        <f t="shared" si="226"/>
        <v>487.4</v>
      </c>
      <c r="X1528" s="18">
        <f t="shared" si="227"/>
        <v>0</v>
      </c>
      <c r="Y1528" s="13">
        <f t="shared" si="220"/>
        <v>0</v>
      </c>
      <c r="Z1528" s="14">
        <v>0</v>
      </c>
      <c r="AA1528" s="4">
        <v>0</v>
      </c>
      <c r="AB1528" s="4">
        <f t="shared" si="221"/>
        <v>0</v>
      </c>
      <c r="AC1528" s="6">
        <f t="shared" si="222"/>
        <v>0</v>
      </c>
      <c r="AD1528" s="6">
        <f t="shared" si="219"/>
        <v>0</v>
      </c>
      <c r="AE1528" s="2">
        <v>7.0000000000000007E-2</v>
      </c>
      <c r="AF1528" s="5">
        <f t="shared" si="223"/>
        <v>0</v>
      </c>
      <c r="AG1528" s="14">
        <v>0</v>
      </c>
      <c r="AH1528" s="19">
        <f t="shared" si="225"/>
        <v>0</v>
      </c>
      <c r="AJ1528" s="126" t="e">
        <v>#N/A</v>
      </c>
      <c r="AK1528" s="80">
        <f t="shared" si="224"/>
        <v>0</v>
      </c>
      <c r="AM1528" s="85"/>
    </row>
    <row r="1529" spans="1:39" hidden="1" x14ac:dyDescent="0.3">
      <c r="A1529" s="85" t="s">
        <v>34</v>
      </c>
      <c r="B1529" s="15" t="s">
        <v>35</v>
      </c>
      <c r="C1529" s="15" t="s">
        <v>2029</v>
      </c>
      <c r="D1529" s="15" t="s">
        <v>224</v>
      </c>
      <c r="E1529" s="15" t="s">
        <v>2065</v>
      </c>
      <c r="F1529" s="15" t="s">
        <v>2065</v>
      </c>
      <c r="G1529" s="15" t="s">
        <v>2065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2065</v>
      </c>
      <c r="N1529" s="15"/>
      <c r="O1529" s="8" t="s">
        <v>1196</v>
      </c>
      <c r="P1529" s="8" t="s">
        <v>46</v>
      </c>
      <c r="Q1529" s="9">
        <v>0.03</v>
      </c>
      <c r="R1529" s="139" t="s">
        <v>2300</v>
      </c>
      <c r="S1529" s="15"/>
      <c r="T1529" s="18">
        <v>5.9999999999490697E-2</v>
      </c>
      <c r="U1529" s="4">
        <v>0</v>
      </c>
      <c r="V1529" s="6">
        <v>0</v>
      </c>
      <c r="W1529" s="18">
        <f t="shared" si="226"/>
        <v>5.9999999999490697E-2</v>
      </c>
      <c r="X1529" s="18">
        <f t="shared" si="227"/>
        <v>0</v>
      </c>
      <c r="Y1529" s="13">
        <f t="shared" si="220"/>
        <v>0</v>
      </c>
      <c r="Z1529" s="14">
        <v>0</v>
      </c>
      <c r="AA1529" s="4">
        <v>0</v>
      </c>
      <c r="AB1529" s="4">
        <f t="shared" si="221"/>
        <v>0</v>
      </c>
      <c r="AC1529" s="6">
        <f t="shared" si="222"/>
        <v>0</v>
      </c>
      <c r="AD1529" s="6">
        <f t="shared" si="219"/>
        <v>0</v>
      </c>
      <c r="AE1529" s="2">
        <v>0.12</v>
      </c>
      <c r="AF1529" s="5">
        <f t="shared" si="223"/>
        <v>0</v>
      </c>
      <c r="AG1529" s="14">
        <v>0</v>
      </c>
      <c r="AH1529" s="19">
        <f t="shared" si="225"/>
        <v>0</v>
      </c>
      <c r="AJ1529" s="126" t="s">
        <v>4222</v>
      </c>
      <c r="AK1529" s="80">
        <f t="shared" si="224"/>
        <v>0</v>
      </c>
      <c r="AL1529" s="150"/>
      <c r="AM1529" s="85"/>
    </row>
    <row r="1530" spans="1:39" hidden="1" x14ac:dyDescent="0.3">
      <c r="A1530" s="85" t="s">
        <v>34</v>
      </c>
      <c r="B1530" s="15" t="s">
        <v>35</v>
      </c>
      <c r="C1530" s="15" t="s">
        <v>2029</v>
      </c>
      <c r="D1530" s="15" t="s">
        <v>224</v>
      </c>
      <c r="E1530" s="15" t="s">
        <v>2301</v>
      </c>
      <c r="F1530" s="15" t="s">
        <v>2301</v>
      </c>
      <c r="G1530" s="15" t="s">
        <v>2301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2301</v>
      </c>
      <c r="N1530" s="15"/>
      <c r="O1530" s="8" t="s">
        <v>410</v>
      </c>
      <c r="P1530" s="8" t="s">
        <v>46</v>
      </c>
      <c r="Q1530" s="9">
        <v>0.02</v>
      </c>
      <c r="R1530" s="139" t="s">
        <v>2302</v>
      </c>
      <c r="S1530" s="15"/>
      <c r="T1530" s="18">
        <v>6189.5</v>
      </c>
      <c r="U1530" s="4">
        <v>0</v>
      </c>
      <c r="V1530" s="6">
        <v>0</v>
      </c>
      <c r="W1530" s="18">
        <f t="shared" si="226"/>
        <v>6189.5</v>
      </c>
      <c r="X1530" s="18">
        <f t="shared" si="227"/>
        <v>0</v>
      </c>
      <c r="Y1530" s="13">
        <f t="shared" si="220"/>
        <v>0</v>
      </c>
      <c r="Z1530" s="14">
        <v>0</v>
      </c>
      <c r="AA1530" s="4">
        <v>0</v>
      </c>
      <c r="AB1530" s="4">
        <f t="shared" si="221"/>
        <v>0</v>
      </c>
      <c r="AC1530" s="6">
        <f t="shared" si="222"/>
        <v>0</v>
      </c>
      <c r="AD1530" s="6">
        <f t="shared" si="219"/>
        <v>0</v>
      </c>
      <c r="AE1530" s="2">
        <v>7.0000000000000007E-2</v>
      </c>
      <c r="AF1530" s="5">
        <f t="shared" si="223"/>
        <v>0</v>
      </c>
      <c r="AG1530" s="14">
        <v>0</v>
      </c>
      <c r="AH1530" s="19">
        <f t="shared" si="225"/>
        <v>0</v>
      </c>
      <c r="AJ1530" s="126" t="e">
        <v>#N/A</v>
      </c>
      <c r="AK1530" s="80">
        <f t="shared" si="224"/>
        <v>0</v>
      </c>
      <c r="AM1530" s="85"/>
    </row>
    <row r="1531" spans="1:39" hidden="1" x14ac:dyDescent="0.3">
      <c r="A1531" s="85" t="s">
        <v>34</v>
      </c>
      <c r="B1531" s="15" t="s">
        <v>35</v>
      </c>
      <c r="C1531" s="15" t="s">
        <v>2029</v>
      </c>
      <c r="D1531" s="15" t="s">
        <v>224</v>
      </c>
      <c r="E1531" s="15" t="s">
        <v>2303</v>
      </c>
      <c r="F1531" s="15" t="s">
        <v>2303</v>
      </c>
      <c r="G1531" s="15" t="s">
        <v>2303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2304</v>
      </c>
      <c r="N1531" s="15"/>
      <c r="O1531" s="8" t="s">
        <v>410</v>
      </c>
      <c r="P1531" s="8" t="s">
        <v>46</v>
      </c>
      <c r="Q1531" s="9">
        <v>0.02</v>
      </c>
      <c r="R1531" s="139" t="s">
        <v>2305</v>
      </c>
      <c r="S1531" s="15"/>
      <c r="T1531" s="18">
        <v>1.8599999999900101</v>
      </c>
      <c r="U1531" s="4">
        <v>0</v>
      </c>
      <c r="V1531" s="6">
        <v>0</v>
      </c>
      <c r="W1531" s="18">
        <f t="shared" si="226"/>
        <v>1.8599999999900101</v>
      </c>
      <c r="X1531" s="18">
        <f t="shared" si="227"/>
        <v>0</v>
      </c>
      <c r="Y1531" s="13">
        <f t="shared" si="220"/>
        <v>0</v>
      </c>
      <c r="Z1531" s="14">
        <v>0</v>
      </c>
      <c r="AA1531" s="4">
        <v>0</v>
      </c>
      <c r="AB1531" s="4">
        <f t="shared" si="221"/>
        <v>0</v>
      </c>
      <c r="AC1531" s="6">
        <f t="shared" si="222"/>
        <v>0</v>
      </c>
      <c r="AD1531" s="6">
        <f t="shared" ref="AD1531:AD1570" si="228">V1531*0.598955254612663</f>
        <v>0</v>
      </c>
      <c r="AE1531" s="2">
        <v>7.0000000000000007E-2</v>
      </c>
      <c r="AF1531" s="5">
        <f t="shared" si="223"/>
        <v>0</v>
      </c>
      <c r="AG1531" s="14">
        <v>0</v>
      </c>
      <c r="AH1531" s="19">
        <f t="shared" si="225"/>
        <v>0</v>
      </c>
      <c r="AJ1531" s="126" t="e">
        <v>#N/A</v>
      </c>
      <c r="AK1531" s="80">
        <f t="shared" si="224"/>
        <v>0</v>
      </c>
      <c r="AM1531" s="85"/>
    </row>
    <row r="1532" spans="1:39" hidden="1" x14ac:dyDescent="0.3">
      <c r="A1532" s="85" t="s">
        <v>34</v>
      </c>
      <c r="B1532" s="15" t="s">
        <v>35</v>
      </c>
      <c r="C1532" s="15" t="s">
        <v>2029</v>
      </c>
      <c r="D1532" s="15" t="s">
        <v>224</v>
      </c>
      <c r="E1532" s="15" t="s">
        <v>2306</v>
      </c>
      <c r="F1532" s="15" t="s">
        <v>2306</v>
      </c>
      <c r="G1532" s="15" t="s">
        <v>2306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2306</v>
      </c>
      <c r="N1532" s="15"/>
      <c r="O1532" s="8" t="s">
        <v>410</v>
      </c>
      <c r="P1532" s="8" t="s">
        <v>46</v>
      </c>
      <c r="Q1532" s="9">
        <v>0.02</v>
      </c>
      <c r="R1532" s="139" t="s">
        <v>2307</v>
      </c>
      <c r="S1532" s="15"/>
      <c r="T1532" s="18">
        <v>484</v>
      </c>
      <c r="U1532" s="4">
        <v>0</v>
      </c>
      <c r="V1532" s="6">
        <v>0</v>
      </c>
      <c r="W1532" s="18">
        <f t="shared" si="226"/>
        <v>484</v>
      </c>
      <c r="X1532" s="18">
        <f t="shared" si="227"/>
        <v>0</v>
      </c>
      <c r="Y1532" s="13">
        <f t="shared" si="220"/>
        <v>0</v>
      </c>
      <c r="Z1532" s="14">
        <v>0</v>
      </c>
      <c r="AA1532" s="4">
        <v>0</v>
      </c>
      <c r="AB1532" s="4">
        <f t="shared" si="221"/>
        <v>0</v>
      </c>
      <c r="AC1532" s="6">
        <f t="shared" si="222"/>
        <v>0</v>
      </c>
      <c r="AD1532" s="6">
        <f t="shared" si="228"/>
        <v>0</v>
      </c>
      <c r="AE1532" s="2">
        <v>7.0000000000000007E-2</v>
      </c>
      <c r="AF1532" s="5">
        <f t="shared" si="223"/>
        <v>0</v>
      </c>
      <c r="AG1532" s="14">
        <v>0</v>
      </c>
      <c r="AH1532" s="19">
        <f t="shared" si="225"/>
        <v>0</v>
      </c>
      <c r="AJ1532" s="126" t="e">
        <v>#N/A</v>
      </c>
      <c r="AK1532" s="80">
        <f t="shared" si="224"/>
        <v>0</v>
      </c>
      <c r="AM1532" s="85"/>
    </row>
    <row r="1533" spans="1:39" hidden="1" x14ac:dyDescent="0.3">
      <c r="A1533" s="85" t="s">
        <v>34</v>
      </c>
      <c r="B1533" s="15" t="s">
        <v>35</v>
      </c>
      <c r="C1533" s="15" t="s">
        <v>2029</v>
      </c>
      <c r="D1533" s="15" t="s">
        <v>320</v>
      </c>
      <c r="E1533" s="15" t="s">
        <v>2308</v>
      </c>
      <c r="F1533" s="15" t="s">
        <v>2308</v>
      </c>
      <c r="G1533" s="15" t="s">
        <v>2308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2309</v>
      </c>
      <c r="N1533" s="15"/>
      <c r="O1533" s="8" t="s">
        <v>410</v>
      </c>
      <c r="P1533" s="8" t="s">
        <v>46</v>
      </c>
      <c r="Q1533" s="9">
        <v>0.02</v>
      </c>
      <c r="R1533" s="139" t="s">
        <v>2310</v>
      </c>
      <c r="S1533" s="15"/>
      <c r="T1533" s="18">
        <v>1902.1</v>
      </c>
      <c r="U1533" s="4">
        <v>0</v>
      </c>
      <c r="V1533" s="6">
        <v>0</v>
      </c>
      <c r="W1533" s="18">
        <f t="shared" si="226"/>
        <v>1902.1</v>
      </c>
      <c r="X1533" s="18">
        <f t="shared" si="227"/>
        <v>0</v>
      </c>
      <c r="Y1533" s="13">
        <f t="shared" si="220"/>
        <v>0</v>
      </c>
      <c r="Z1533" s="14">
        <v>0</v>
      </c>
      <c r="AA1533" s="4">
        <v>0</v>
      </c>
      <c r="AB1533" s="4">
        <f t="shared" si="221"/>
        <v>0</v>
      </c>
      <c r="AC1533" s="6">
        <f t="shared" si="222"/>
        <v>0</v>
      </c>
      <c r="AD1533" s="6">
        <f t="shared" si="228"/>
        <v>0</v>
      </c>
      <c r="AE1533" s="2">
        <v>7.0000000000000007E-2</v>
      </c>
      <c r="AF1533" s="5">
        <f t="shared" si="223"/>
        <v>0</v>
      </c>
      <c r="AG1533" s="14">
        <v>0</v>
      </c>
      <c r="AH1533" s="19">
        <f t="shared" si="225"/>
        <v>0</v>
      </c>
      <c r="AJ1533" s="126" t="e">
        <v>#N/A</v>
      </c>
      <c r="AK1533" s="80">
        <f t="shared" si="224"/>
        <v>0</v>
      </c>
      <c r="AM1533" s="85"/>
    </row>
    <row r="1534" spans="1:39" hidden="1" x14ac:dyDescent="0.3">
      <c r="A1534" s="85" t="s">
        <v>34</v>
      </c>
      <c r="B1534" s="15" t="s">
        <v>35</v>
      </c>
      <c r="C1534" s="15" t="s">
        <v>2029</v>
      </c>
      <c r="D1534" s="15" t="s">
        <v>320</v>
      </c>
      <c r="E1534" s="15" t="s">
        <v>2311</v>
      </c>
      <c r="F1534" s="15" t="s">
        <v>2312</v>
      </c>
      <c r="G1534" s="15" t="s">
        <v>2311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2313</v>
      </c>
      <c r="N1534" s="15"/>
      <c r="O1534" s="8" t="s">
        <v>1196</v>
      </c>
      <c r="P1534" s="8" t="s">
        <v>41</v>
      </c>
      <c r="Q1534" s="9">
        <v>0</v>
      </c>
      <c r="R1534" s="139" t="s">
        <v>2314</v>
      </c>
      <c r="S1534" s="15"/>
      <c r="T1534" s="18">
        <v>142.44999999999999</v>
      </c>
      <c r="U1534" s="4">
        <v>0</v>
      </c>
      <c r="V1534" s="6">
        <v>0</v>
      </c>
      <c r="W1534" s="18">
        <f t="shared" si="226"/>
        <v>142.44999999999999</v>
      </c>
      <c r="X1534" s="18">
        <f t="shared" si="227"/>
        <v>0</v>
      </c>
      <c r="Y1534" s="13">
        <f t="shared" si="220"/>
        <v>0</v>
      </c>
      <c r="Z1534" s="14">
        <v>0</v>
      </c>
      <c r="AA1534" s="4">
        <v>0</v>
      </c>
      <c r="AB1534" s="4">
        <f t="shared" si="221"/>
        <v>0</v>
      </c>
      <c r="AC1534" s="6">
        <f t="shared" si="222"/>
        <v>0</v>
      </c>
      <c r="AD1534" s="6">
        <f t="shared" si="228"/>
        <v>0</v>
      </c>
      <c r="AE1534" s="2">
        <v>0.12</v>
      </c>
      <c r="AF1534" s="5">
        <f t="shared" si="223"/>
        <v>0</v>
      </c>
      <c r="AG1534" s="14">
        <v>0</v>
      </c>
      <c r="AH1534" s="19">
        <f t="shared" si="225"/>
        <v>0</v>
      </c>
      <c r="AJ1534" s="126" t="e">
        <v>#N/A</v>
      </c>
      <c r="AK1534" s="80">
        <f t="shared" si="224"/>
        <v>0</v>
      </c>
      <c r="AM1534" s="85"/>
    </row>
    <row r="1535" spans="1:39" hidden="1" x14ac:dyDescent="0.3">
      <c r="A1535" s="85" t="s">
        <v>34</v>
      </c>
      <c r="B1535" s="15" t="s">
        <v>35</v>
      </c>
      <c r="C1535" s="15" t="s">
        <v>2029</v>
      </c>
      <c r="D1535" s="15" t="s">
        <v>320</v>
      </c>
      <c r="E1535" s="15" t="s">
        <v>2315</v>
      </c>
      <c r="F1535" s="15" t="s">
        <v>2315</v>
      </c>
      <c r="G1535" s="15" t="s">
        <v>2315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2315</v>
      </c>
      <c r="N1535" s="15"/>
      <c r="O1535" s="8" t="s">
        <v>410</v>
      </c>
      <c r="P1535" s="8" t="s">
        <v>46</v>
      </c>
      <c r="Q1535" s="9">
        <v>0.02</v>
      </c>
      <c r="R1535" s="139" t="s">
        <v>2316</v>
      </c>
      <c r="S1535" s="15"/>
      <c r="T1535" s="18">
        <v>3.1000000000003598</v>
      </c>
      <c r="U1535" s="4">
        <v>0</v>
      </c>
      <c r="V1535" s="6">
        <v>0</v>
      </c>
      <c r="W1535" s="18">
        <f t="shared" si="226"/>
        <v>3.1000000000003598</v>
      </c>
      <c r="X1535" s="18">
        <f t="shared" si="227"/>
        <v>0</v>
      </c>
      <c r="Y1535" s="13">
        <f t="shared" si="220"/>
        <v>0</v>
      </c>
      <c r="Z1535" s="14">
        <v>0</v>
      </c>
      <c r="AA1535" s="4">
        <v>0</v>
      </c>
      <c r="AB1535" s="4">
        <f t="shared" si="221"/>
        <v>0</v>
      </c>
      <c r="AC1535" s="6">
        <f t="shared" si="222"/>
        <v>0</v>
      </c>
      <c r="AD1535" s="6">
        <f t="shared" si="228"/>
        <v>0</v>
      </c>
      <c r="AE1535" s="2">
        <v>7.0000000000000007E-2</v>
      </c>
      <c r="AF1535" s="5">
        <f t="shared" si="223"/>
        <v>0</v>
      </c>
      <c r="AG1535" s="14">
        <v>0</v>
      </c>
      <c r="AH1535" s="19">
        <f t="shared" si="225"/>
        <v>0</v>
      </c>
      <c r="AJ1535" s="126" t="e">
        <v>#N/A</v>
      </c>
      <c r="AK1535" s="80">
        <f t="shared" si="224"/>
        <v>0</v>
      </c>
      <c r="AM1535" s="85"/>
    </row>
    <row r="1536" spans="1:39" hidden="1" x14ac:dyDescent="0.3">
      <c r="A1536" s="85" t="s">
        <v>34</v>
      </c>
      <c r="B1536" s="15" t="s">
        <v>35</v>
      </c>
      <c r="C1536" s="15" t="s">
        <v>2029</v>
      </c>
      <c r="D1536" s="15" t="s">
        <v>320</v>
      </c>
      <c r="E1536" s="15" t="s">
        <v>2317</v>
      </c>
      <c r="F1536" s="15" t="s">
        <v>2318</v>
      </c>
      <c r="G1536" s="15" t="s">
        <v>2317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2313</v>
      </c>
      <c r="N1536" s="15"/>
      <c r="O1536" s="8" t="s">
        <v>1196</v>
      </c>
      <c r="P1536" s="8" t="s">
        <v>46</v>
      </c>
      <c r="Q1536" s="9">
        <v>0.1</v>
      </c>
      <c r="R1536" s="139" t="s">
        <v>2319</v>
      </c>
      <c r="S1536" s="15"/>
      <c r="T1536" s="18">
        <v>464.88000000000102</v>
      </c>
      <c r="U1536" s="4">
        <v>0</v>
      </c>
      <c r="V1536" s="6">
        <v>0</v>
      </c>
      <c r="W1536" s="18">
        <f t="shared" si="226"/>
        <v>464.88000000000102</v>
      </c>
      <c r="X1536" s="18">
        <f t="shared" si="227"/>
        <v>0</v>
      </c>
      <c r="Y1536" s="13">
        <f t="shared" si="220"/>
        <v>0</v>
      </c>
      <c r="Z1536" s="14">
        <v>0</v>
      </c>
      <c r="AA1536" s="4">
        <v>0</v>
      </c>
      <c r="AB1536" s="4"/>
      <c r="AC1536" s="6">
        <f t="shared" si="222"/>
        <v>0</v>
      </c>
      <c r="AD1536" s="6">
        <f t="shared" si="228"/>
        <v>0</v>
      </c>
      <c r="AE1536" s="2">
        <v>0.12</v>
      </c>
      <c r="AF1536" s="5">
        <f t="shared" si="223"/>
        <v>0</v>
      </c>
      <c r="AG1536" s="14">
        <v>0</v>
      </c>
      <c r="AH1536" s="19">
        <f t="shared" si="225"/>
        <v>0</v>
      </c>
      <c r="AJ1536" s="126">
        <v>61</v>
      </c>
      <c r="AK1536" s="80">
        <f t="shared" si="224"/>
        <v>0</v>
      </c>
      <c r="AM1536" s="85"/>
    </row>
    <row r="1537" spans="1:39" hidden="1" x14ac:dyDescent="0.3">
      <c r="A1537" s="85" t="s">
        <v>34</v>
      </c>
      <c r="B1537" s="15" t="s">
        <v>35</v>
      </c>
      <c r="C1537" s="15" t="s">
        <v>2029</v>
      </c>
      <c r="D1537" s="15" t="s">
        <v>320</v>
      </c>
      <c r="E1537" s="15" t="s">
        <v>2317</v>
      </c>
      <c r="F1537" s="15" t="s">
        <v>2320</v>
      </c>
      <c r="G1537" s="15" t="s">
        <v>2317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2313</v>
      </c>
      <c r="N1537" s="15"/>
      <c r="O1537" s="8" t="s">
        <v>1196</v>
      </c>
      <c r="P1537" s="8" t="s">
        <v>46</v>
      </c>
      <c r="Q1537" s="9">
        <v>0.1</v>
      </c>
      <c r="R1537" s="139" t="s">
        <v>2321</v>
      </c>
      <c r="S1537" s="15"/>
      <c r="T1537" s="18">
        <v>347.59000000002601</v>
      </c>
      <c r="U1537" s="4">
        <v>0</v>
      </c>
      <c r="V1537" s="6">
        <v>0</v>
      </c>
      <c r="W1537" s="18">
        <f t="shared" si="226"/>
        <v>347.59000000002601</v>
      </c>
      <c r="X1537" s="18">
        <f t="shared" si="227"/>
        <v>0</v>
      </c>
      <c r="Y1537" s="13">
        <f t="shared" si="220"/>
        <v>0</v>
      </c>
      <c r="Z1537" s="14">
        <v>0</v>
      </c>
      <c r="AA1537" s="4">
        <v>0</v>
      </c>
      <c r="AB1537" s="4"/>
      <c r="AC1537" s="6">
        <f t="shared" si="222"/>
        <v>0</v>
      </c>
      <c r="AD1537" s="6">
        <f t="shared" si="228"/>
        <v>0</v>
      </c>
      <c r="AE1537" s="2">
        <v>0.12</v>
      </c>
      <c r="AF1537" s="5">
        <f t="shared" si="223"/>
        <v>0</v>
      </c>
      <c r="AG1537" s="14">
        <v>0</v>
      </c>
      <c r="AH1537" s="19">
        <f t="shared" si="225"/>
        <v>0</v>
      </c>
      <c r="AJ1537" s="126">
        <v>61</v>
      </c>
      <c r="AK1537" s="80">
        <f t="shared" si="224"/>
        <v>0</v>
      </c>
      <c r="AM1537" s="85"/>
    </row>
    <row r="1538" spans="1:39" hidden="1" x14ac:dyDescent="0.3">
      <c r="A1538" s="85" t="s">
        <v>34</v>
      </c>
      <c r="B1538" s="15" t="s">
        <v>35</v>
      </c>
      <c r="C1538" s="15" t="s">
        <v>2029</v>
      </c>
      <c r="D1538" s="15" t="s">
        <v>320</v>
      </c>
      <c r="E1538" s="15" t="s">
        <v>2317</v>
      </c>
      <c r="F1538" s="15" t="s">
        <v>2320</v>
      </c>
      <c r="G1538" s="15" t="s">
        <v>2317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2317</v>
      </c>
      <c r="N1538" s="15"/>
      <c r="O1538" s="8" t="s">
        <v>1196</v>
      </c>
      <c r="P1538" s="8" t="s">
        <v>46</v>
      </c>
      <c r="Q1538" s="9">
        <v>0.02</v>
      </c>
      <c r="R1538" s="139" t="s">
        <v>2322</v>
      </c>
      <c r="S1538" s="15"/>
      <c r="T1538" s="18">
        <v>9103.4</v>
      </c>
      <c r="U1538" s="4">
        <v>0</v>
      </c>
      <c r="V1538" s="6">
        <v>0</v>
      </c>
      <c r="W1538" s="18">
        <f t="shared" si="226"/>
        <v>9103.4</v>
      </c>
      <c r="X1538" s="18">
        <f t="shared" si="227"/>
        <v>0</v>
      </c>
      <c r="Y1538" s="13">
        <f t="shared" si="220"/>
        <v>0</v>
      </c>
      <c r="Z1538" s="14">
        <v>0</v>
      </c>
      <c r="AA1538" s="4">
        <v>0</v>
      </c>
      <c r="AB1538" s="4"/>
      <c r="AC1538" s="6">
        <f t="shared" si="222"/>
        <v>0</v>
      </c>
      <c r="AD1538" s="6">
        <f t="shared" si="228"/>
        <v>0</v>
      </c>
      <c r="AE1538" s="2">
        <v>0.12</v>
      </c>
      <c r="AF1538" s="5">
        <f t="shared" si="223"/>
        <v>0</v>
      </c>
      <c r="AG1538" s="14">
        <v>0</v>
      </c>
      <c r="AH1538" s="19">
        <f t="shared" si="225"/>
        <v>0</v>
      </c>
      <c r="AJ1538" s="126">
        <v>61</v>
      </c>
      <c r="AK1538" s="80">
        <f t="shared" si="224"/>
        <v>0</v>
      </c>
      <c r="AM1538" s="85"/>
    </row>
    <row r="1539" spans="1:39" hidden="1" x14ac:dyDescent="0.3">
      <c r="A1539" s="85" t="s">
        <v>34</v>
      </c>
      <c r="B1539" s="15" t="s">
        <v>35</v>
      </c>
      <c r="C1539" s="15" t="s">
        <v>2029</v>
      </c>
      <c r="D1539" s="15" t="s">
        <v>320</v>
      </c>
      <c r="E1539" s="15" t="s">
        <v>2323</v>
      </c>
      <c r="F1539" s="15" t="s">
        <v>2323</v>
      </c>
      <c r="G1539" s="15" t="s">
        <v>2323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2323</v>
      </c>
      <c r="N1539" s="15"/>
      <c r="O1539" s="8" t="s">
        <v>1196</v>
      </c>
      <c r="P1539" s="8" t="s">
        <v>46</v>
      </c>
      <c r="Q1539" s="9">
        <v>0.06</v>
      </c>
      <c r="R1539" s="139" t="s">
        <v>2324</v>
      </c>
      <c r="S1539" s="15"/>
      <c r="T1539" s="18">
        <v>2374.2600000000002</v>
      </c>
      <c r="U1539" s="4">
        <v>0</v>
      </c>
      <c r="V1539" s="6">
        <v>0</v>
      </c>
      <c r="W1539" s="18">
        <f t="shared" si="226"/>
        <v>2374.2600000000002</v>
      </c>
      <c r="X1539" s="18">
        <f t="shared" si="227"/>
        <v>0</v>
      </c>
      <c r="Y1539" s="13">
        <f t="shared" ref="Y1539:Y1602" si="229">IF(X1539-AD1539&lt;=0,0,IF(P1539="返现",MAX(X1539-AC1539-AD1539,0),MAX(X1539-AD1539)))</f>
        <v>0</v>
      </c>
      <c r="Z1539" s="14">
        <v>0</v>
      </c>
      <c r="AA1539" s="4">
        <v>0</v>
      </c>
      <c r="AB1539" s="4">
        <f t="shared" ref="AB1539:AB1602" si="230">X1539+AA1539</f>
        <v>0</v>
      </c>
      <c r="AC1539" s="6">
        <f t="shared" ref="AC1539:AC1602" si="231">IF(P1539="返现",X1539*Q1539,V1539-X1539)</f>
        <v>0</v>
      </c>
      <c r="AD1539" s="6">
        <f t="shared" si="228"/>
        <v>0</v>
      </c>
      <c r="AE1539" s="2">
        <v>0.12</v>
      </c>
      <c r="AF1539" s="5">
        <f t="shared" ref="AF1539:AF1602" si="232">AD1539*AE1539</f>
        <v>0</v>
      </c>
      <c r="AG1539" s="14">
        <v>0</v>
      </c>
      <c r="AH1539" s="19">
        <f t="shared" si="225"/>
        <v>0</v>
      </c>
      <c r="AJ1539" s="126" t="e">
        <v>#N/A</v>
      </c>
      <c r="AK1539" s="80">
        <f t="shared" ref="AK1539:AK1602" si="233">X1539+AA1539-AB1539</f>
        <v>0</v>
      </c>
      <c r="AM1539" s="85"/>
    </row>
    <row r="1540" spans="1:39" hidden="1" x14ac:dyDescent="0.3">
      <c r="A1540" s="85" t="s">
        <v>34</v>
      </c>
      <c r="B1540" s="15" t="s">
        <v>35</v>
      </c>
      <c r="C1540" s="15" t="s">
        <v>2029</v>
      </c>
      <c r="D1540" s="15" t="s">
        <v>2325</v>
      </c>
      <c r="E1540" s="15" t="s">
        <v>2326</v>
      </c>
      <c r="F1540" s="15" t="s">
        <v>2326</v>
      </c>
      <c r="G1540" s="15" t="s">
        <v>2326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2326</v>
      </c>
      <c r="N1540" s="15"/>
      <c r="O1540" s="8" t="s">
        <v>410</v>
      </c>
      <c r="P1540" s="8" t="s">
        <v>41</v>
      </c>
      <c r="Q1540" s="9">
        <v>0</v>
      </c>
      <c r="R1540" s="139" t="s">
        <v>2327</v>
      </c>
      <c r="S1540" s="15"/>
      <c r="T1540" s="18">
        <v>1959.5</v>
      </c>
      <c r="U1540" s="4">
        <v>0</v>
      </c>
      <c r="V1540" s="6">
        <v>0</v>
      </c>
      <c r="W1540" s="18">
        <f t="shared" si="226"/>
        <v>1959.5</v>
      </c>
      <c r="X1540" s="18">
        <f t="shared" si="227"/>
        <v>0</v>
      </c>
      <c r="Y1540" s="13">
        <f t="shared" si="229"/>
        <v>0</v>
      </c>
      <c r="Z1540" s="14">
        <v>0</v>
      </c>
      <c r="AA1540" s="4">
        <v>0</v>
      </c>
      <c r="AB1540" s="4">
        <f t="shared" si="230"/>
        <v>0</v>
      </c>
      <c r="AC1540" s="6">
        <f t="shared" si="231"/>
        <v>0</v>
      </c>
      <c r="AD1540" s="6">
        <f t="shared" si="228"/>
        <v>0</v>
      </c>
      <c r="AE1540" s="2">
        <v>7.0000000000000007E-2</v>
      </c>
      <c r="AF1540" s="5">
        <f t="shared" si="232"/>
        <v>0</v>
      </c>
      <c r="AG1540" s="14">
        <v>0</v>
      </c>
      <c r="AH1540" s="19">
        <f t="shared" si="225"/>
        <v>0</v>
      </c>
      <c r="AJ1540" s="126" t="e">
        <v>#N/A</v>
      </c>
      <c r="AK1540" s="80">
        <f t="shared" si="233"/>
        <v>0</v>
      </c>
      <c r="AM1540" s="85"/>
    </row>
    <row r="1541" spans="1:39" hidden="1" x14ac:dyDescent="0.3">
      <c r="A1541" s="85" t="s">
        <v>34</v>
      </c>
      <c r="B1541" s="15" t="s">
        <v>35</v>
      </c>
      <c r="C1541" s="15" t="s">
        <v>2029</v>
      </c>
      <c r="D1541" s="15" t="s">
        <v>985</v>
      </c>
      <c r="E1541" s="15" t="s">
        <v>1863</v>
      </c>
      <c r="F1541" s="15" t="s">
        <v>1863</v>
      </c>
      <c r="G1541" s="15" t="s">
        <v>1863</v>
      </c>
      <c r="H1541" s="139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1864</v>
      </c>
      <c r="N1541" s="15"/>
      <c r="O1541" s="8" t="s">
        <v>941</v>
      </c>
      <c r="P1541" s="8" t="s">
        <v>46</v>
      </c>
      <c r="Q1541" s="9">
        <v>0.04</v>
      </c>
      <c r="R1541" s="139" t="s">
        <v>1865</v>
      </c>
      <c r="S1541" s="15"/>
      <c r="T1541" s="18">
        <v>-31310.400000000001</v>
      </c>
      <c r="U1541" s="4">
        <v>0</v>
      </c>
      <c r="V1541" s="6">
        <v>0</v>
      </c>
      <c r="W1541" s="18">
        <f t="shared" si="226"/>
        <v>-31310.400000000001</v>
      </c>
      <c r="X1541" s="18">
        <f t="shared" si="227"/>
        <v>0</v>
      </c>
      <c r="Y1541" s="13">
        <f t="shared" si="229"/>
        <v>0</v>
      </c>
      <c r="Z1541" s="14">
        <v>0</v>
      </c>
      <c r="AA1541" s="4">
        <v>0</v>
      </c>
      <c r="AB1541" s="4">
        <f t="shared" si="230"/>
        <v>0</v>
      </c>
      <c r="AC1541" s="6">
        <f t="shared" si="231"/>
        <v>0</v>
      </c>
      <c r="AD1541" s="6">
        <f t="shared" si="228"/>
        <v>0</v>
      </c>
      <c r="AE1541" s="2">
        <v>0.15</v>
      </c>
      <c r="AF1541" s="5">
        <f t="shared" si="232"/>
        <v>0</v>
      </c>
      <c r="AG1541" s="14">
        <v>0</v>
      </c>
      <c r="AH1541" s="19">
        <f t="shared" si="225"/>
        <v>0</v>
      </c>
      <c r="AJ1541" s="126" t="e">
        <v>#N/A</v>
      </c>
      <c r="AK1541" s="80">
        <f t="shared" si="233"/>
        <v>0</v>
      </c>
      <c r="AM1541" s="85"/>
    </row>
    <row r="1542" spans="1:39" hidden="1" x14ac:dyDescent="0.3">
      <c r="A1542" s="85" t="s">
        <v>34</v>
      </c>
      <c r="B1542" s="15" t="s">
        <v>35</v>
      </c>
      <c r="C1542" s="15" t="s">
        <v>2029</v>
      </c>
      <c r="D1542" s="15" t="s">
        <v>54</v>
      </c>
      <c r="E1542" s="15" t="s">
        <v>2328</v>
      </c>
      <c r="F1542" s="15" t="s">
        <v>2328</v>
      </c>
      <c r="G1542" s="15" t="s">
        <v>2328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2328</v>
      </c>
      <c r="N1542" s="15"/>
      <c r="O1542" s="8" t="s">
        <v>410</v>
      </c>
      <c r="P1542" s="8" t="s">
        <v>41</v>
      </c>
      <c r="Q1542" s="9">
        <v>0</v>
      </c>
      <c r="R1542" s="139" t="s">
        <v>2329</v>
      </c>
      <c r="S1542" s="15"/>
      <c r="T1542" s="18">
        <v>338.3</v>
      </c>
      <c r="U1542" s="4">
        <v>0</v>
      </c>
      <c r="V1542" s="6">
        <v>0</v>
      </c>
      <c r="W1542" s="18">
        <f t="shared" si="226"/>
        <v>338.3</v>
      </c>
      <c r="X1542" s="18">
        <f t="shared" si="227"/>
        <v>0</v>
      </c>
      <c r="Y1542" s="13">
        <f t="shared" si="229"/>
        <v>0</v>
      </c>
      <c r="Z1542" s="14">
        <v>0</v>
      </c>
      <c r="AA1542" s="4">
        <v>0</v>
      </c>
      <c r="AB1542" s="4">
        <f t="shared" si="230"/>
        <v>0</v>
      </c>
      <c r="AC1542" s="6">
        <f t="shared" si="231"/>
        <v>0</v>
      </c>
      <c r="AD1542" s="6">
        <f t="shared" si="228"/>
        <v>0</v>
      </c>
      <c r="AE1542" s="2">
        <v>7.0000000000000007E-2</v>
      </c>
      <c r="AF1542" s="5">
        <f t="shared" si="232"/>
        <v>0</v>
      </c>
      <c r="AG1542" s="14">
        <v>0</v>
      </c>
      <c r="AH1542" s="19">
        <f t="shared" si="225"/>
        <v>0</v>
      </c>
      <c r="AJ1542" s="126" t="e">
        <v>#N/A</v>
      </c>
      <c r="AK1542" s="80">
        <f t="shared" si="233"/>
        <v>0</v>
      </c>
      <c r="AM1542" s="85"/>
    </row>
    <row r="1543" spans="1:39" hidden="1" x14ac:dyDescent="0.3">
      <c r="A1543" s="85" t="s">
        <v>34</v>
      </c>
      <c r="B1543" s="15" t="s">
        <v>35</v>
      </c>
      <c r="C1543" s="15" t="s">
        <v>2029</v>
      </c>
      <c r="D1543" s="15" t="s">
        <v>54</v>
      </c>
      <c r="E1543" s="15" t="s">
        <v>71</v>
      </c>
      <c r="F1543" s="15" t="s">
        <v>71</v>
      </c>
      <c r="G1543" s="15" t="s">
        <v>71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1858</v>
      </c>
      <c r="N1543" s="15"/>
      <c r="O1543" s="8" t="s">
        <v>941</v>
      </c>
      <c r="P1543" s="8" t="s">
        <v>41</v>
      </c>
      <c r="Q1543" s="9">
        <v>0</v>
      </c>
      <c r="R1543" s="139" t="s">
        <v>1859</v>
      </c>
      <c r="S1543" s="15"/>
      <c r="T1543" s="18">
        <v>-431894.54719000001</v>
      </c>
      <c r="U1543" s="4">
        <v>0</v>
      </c>
      <c r="V1543" s="6">
        <v>0</v>
      </c>
      <c r="W1543" s="18">
        <f t="shared" si="226"/>
        <v>-431894.54719000001</v>
      </c>
      <c r="X1543" s="18">
        <f t="shared" si="227"/>
        <v>0</v>
      </c>
      <c r="Y1543" s="13">
        <f t="shared" si="229"/>
        <v>0</v>
      </c>
      <c r="Z1543" s="14">
        <v>0</v>
      </c>
      <c r="AA1543" s="4">
        <v>0</v>
      </c>
      <c r="AB1543" s="4">
        <f t="shared" si="230"/>
        <v>0</v>
      </c>
      <c r="AC1543" s="6">
        <f t="shared" si="231"/>
        <v>0</v>
      </c>
      <c r="AD1543" s="6">
        <f t="shared" si="228"/>
        <v>0</v>
      </c>
      <c r="AE1543" s="2">
        <v>0.15</v>
      </c>
      <c r="AF1543" s="5">
        <f t="shared" si="232"/>
        <v>0</v>
      </c>
      <c r="AG1543" s="14">
        <v>0</v>
      </c>
      <c r="AH1543" s="19">
        <f t="shared" si="225"/>
        <v>0</v>
      </c>
      <c r="AJ1543" s="126" t="e">
        <v>#N/A</v>
      </c>
      <c r="AK1543" s="80">
        <f t="shared" si="233"/>
        <v>0</v>
      </c>
      <c r="AM1543" s="85"/>
    </row>
    <row r="1544" spans="1:39" hidden="1" x14ac:dyDescent="0.3">
      <c r="A1544" s="85" t="s">
        <v>34</v>
      </c>
      <c r="B1544" s="15" t="s">
        <v>35</v>
      </c>
      <c r="C1544" s="15" t="s">
        <v>2029</v>
      </c>
      <c r="D1544" s="15" t="s">
        <v>54</v>
      </c>
      <c r="E1544" s="15" t="s">
        <v>71</v>
      </c>
      <c r="F1544" s="15" t="s">
        <v>71</v>
      </c>
      <c r="G1544" s="15" t="s">
        <v>71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1858</v>
      </c>
      <c r="N1544" s="15"/>
      <c r="O1544" s="8" t="s">
        <v>2054</v>
      </c>
      <c r="P1544" s="8" t="s">
        <v>41</v>
      </c>
      <c r="Q1544" s="9">
        <v>0</v>
      </c>
      <c r="R1544" s="139" t="s">
        <v>1859</v>
      </c>
      <c r="S1544" s="15"/>
      <c r="T1544" s="18">
        <v>-8740.7613600000022</v>
      </c>
      <c r="U1544" s="4">
        <v>0</v>
      </c>
      <c r="V1544" s="6">
        <v>0</v>
      </c>
      <c r="W1544" s="18">
        <f t="shared" si="226"/>
        <v>-8740.7613600000022</v>
      </c>
      <c r="X1544" s="18">
        <f t="shared" si="227"/>
        <v>0</v>
      </c>
      <c r="Y1544" s="13">
        <f t="shared" si="229"/>
        <v>0</v>
      </c>
      <c r="Z1544" s="14">
        <v>0</v>
      </c>
      <c r="AA1544" s="4">
        <v>0</v>
      </c>
      <c r="AB1544" s="4">
        <f t="shared" si="230"/>
        <v>0</v>
      </c>
      <c r="AC1544" s="6">
        <f t="shared" si="231"/>
        <v>0</v>
      </c>
      <c r="AD1544" s="6">
        <f t="shared" si="228"/>
        <v>0</v>
      </c>
      <c r="AE1544" s="2">
        <v>0.12</v>
      </c>
      <c r="AF1544" s="5">
        <f t="shared" si="232"/>
        <v>0</v>
      </c>
      <c r="AG1544" s="14">
        <v>0</v>
      </c>
      <c r="AH1544" s="19">
        <f t="shared" si="225"/>
        <v>0</v>
      </c>
      <c r="AJ1544" s="126" t="e">
        <v>#N/A</v>
      </c>
      <c r="AK1544" s="80">
        <f t="shared" si="233"/>
        <v>0</v>
      </c>
      <c r="AM1544" s="85"/>
    </row>
    <row r="1545" spans="1:39" hidden="1" x14ac:dyDescent="0.3">
      <c r="A1545" s="85" t="s">
        <v>34</v>
      </c>
      <c r="B1545" s="15" t="s">
        <v>35</v>
      </c>
      <c r="C1545" s="15" t="s">
        <v>2029</v>
      </c>
      <c r="D1545" s="15" t="s">
        <v>54</v>
      </c>
      <c r="E1545" s="15" t="s">
        <v>71</v>
      </c>
      <c r="F1545" s="15" t="s">
        <v>71</v>
      </c>
      <c r="G1545" s="15" t="s">
        <v>71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73</v>
      </c>
      <c r="N1545" s="15"/>
      <c r="O1545" s="8" t="s">
        <v>941</v>
      </c>
      <c r="P1545" s="8" t="s">
        <v>41</v>
      </c>
      <c r="Q1545" s="9">
        <v>0</v>
      </c>
      <c r="R1545" s="139" t="s">
        <v>1860</v>
      </c>
      <c r="S1545" s="15"/>
      <c r="T1545" s="18">
        <v>-2096832.3865300003</v>
      </c>
      <c r="U1545" s="4">
        <v>0</v>
      </c>
      <c r="V1545" s="6">
        <v>0</v>
      </c>
      <c r="W1545" s="18">
        <f t="shared" si="226"/>
        <v>-2096832.3865300003</v>
      </c>
      <c r="X1545" s="18">
        <f t="shared" si="227"/>
        <v>0</v>
      </c>
      <c r="Y1545" s="13">
        <f t="shared" si="229"/>
        <v>0</v>
      </c>
      <c r="Z1545" s="14">
        <v>0</v>
      </c>
      <c r="AA1545" s="4">
        <v>0</v>
      </c>
      <c r="AB1545" s="4">
        <f t="shared" si="230"/>
        <v>0</v>
      </c>
      <c r="AC1545" s="6">
        <f t="shared" si="231"/>
        <v>0</v>
      </c>
      <c r="AD1545" s="6">
        <f t="shared" si="228"/>
        <v>0</v>
      </c>
      <c r="AE1545" s="2">
        <v>0.15</v>
      </c>
      <c r="AF1545" s="5">
        <f t="shared" si="232"/>
        <v>0</v>
      </c>
      <c r="AG1545" s="14">
        <v>0</v>
      </c>
      <c r="AH1545" s="19">
        <f t="shared" si="225"/>
        <v>0</v>
      </c>
      <c r="AJ1545" s="126" t="e">
        <v>#N/A</v>
      </c>
      <c r="AK1545" s="80">
        <f t="shared" si="233"/>
        <v>0</v>
      </c>
      <c r="AM1545" s="85"/>
    </row>
    <row r="1546" spans="1:39" hidden="1" x14ac:dyDescent="0.3">
      <c r="A1546" s="85" t="s">
        <v>34</v>
      </c>
      <c r="B1546" s="15" t="s">
        <v>35</v>
      </c>
      <c r="C1546" s="15" t="s">
        <v>2029</v>
      </c>
      <c r="D1546" s="15" t="s">
        <v>54</v>
      </c>
      <c r="E1546" s="15" t="s">
        <v>71</v>
      </c>
      <c r="F1546" s="15" t="s">
        <v>71</v>
      </c>
      <c r="G1546" s="15" t="s">
        <v>71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73</v>
      </c>
      <c r="N1546" s="15"/>
      <c r="O1546" s="8" t="s">
        <v>2054</v>
      </c>
      <c r="P1546" s="8" t="s">
        <v>41</v>
      </c>
      <c r="Q1546" s="9">
        <v>0</v>
      </c>
      <c r="R1546" s="139" t="s">
        <v>1860</v>
      </c>
      <c r="S1546" s="15"/>
      <c r="T1546" s="18">
        <v>-160558.42146000001</v>
      </c>
      <c r="U1546" s="4">
        <v>0</v>
      </c>
      <c r="V1546" s="6">
        <v>0</v>
      </c>
      <c r="W1546" s="18">
        <f t="shared" si="226"/>
        <v>-160558.42146000001</v>
      </c>
      <c r="X1546" s="18">
        <f t="shared" si="227"/>
        <v>0</v>
      </c>
      <c r="Y1546" s="13">
        <f t="shared" si="229"/>
        <v>0</v>
      </c>
      <c r="Z1546" s="14">
        <v>0</v>
      </c>
      <c r="AA1546" s="4">
        <v>0</v>
      </c>
      <c r="AB1546" s="4">
        <f t="shared" si="230"/>
        <v>0</v>
      </c>
      <c r="AC1546" s="6">
        <f t="shared" si="231"/>
        <v>0</v>
      </c>
      <c r="AD1546" s="6">
        <f t="shared" si="228"/>
        <v>0</v>
      </c>
      <c r="AE1546" s="2">
        <v>0.12</v>
      </c>
      <c r="AF1546" s="5">
        <f t="shared" si="232"/>
        <v>0</v>
      </c>
      <c r="AG1546" s="14">
        <v>0</v>
      </c>
      <c r="AH1546" s="19">
        <f t="shared" si="225"/>
        <v>0</v>
      </c>
      <c r="AJ1546" s="126" t="e">
        <v>#N/A</v>
      </c>
      <c r="AK1546" s="80">
        <f t="shared" si="233"/>
        <v>0</v>
      </c>
      <c r="AM1546" s="85"/>
    </row>
    <row r="1547" spans="1:39" hidden="1" x14ac:dyDescent="0.3">
      <c r="A1547" s="85" t="s">
        <v>34</v>
      </c>
      <c r="B1547" s="15" t="s">
        <v>35</v>
      </c>
      <c r="C1547" s="15" t="s">
        <v>2029</v>
      </c>
      <c r="D1547" s="15" t="s">
        <v>54</v>
      </c>
      <c r="E1547" s="15" t="s">
        <v>2330</v>
      </c>
      <c r="F1547" s="15" t="s">
        <v>2330</v>
      </c>
      <c r="G1547" s="15" t="s">
        <v>2330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2331</v>
      </c>
      <c r="N1547" s="15"/>
      <c r="O1547" s="8" t="s">
        <v>410</v>
      </c>
      <c r="P1547" s="8" t="s">
        <v>46</v>
      </c>
      <c r="Q1547" s="9">
        <v>0.02</v>
      </c>
      <c r="R1547" s="139" t="s">
        <v>2332</v>
      </c>
      <c r="S1547" s="15"/>
      <c r="T1547" s="18">
        <v>9993</v>
      </c>
      <c r="U1547" s="4">
        <v>0</v>
      </c>
      <c r="V1547" s="6">
        <v>0</v>
      </c>
      <c r="W1547" s="18">
        <f t="shared" si="226"/>
        <v>9993</v>
      </c>
      <c r="X1547" s="18">
        <f t="shared" si="227"/>
        <v>0</v>
      </c>
      <c r="Y1547" s="13">
        <f t="shared" si="229"/>
        <v>0</v>
      </c>
      <c r="Z1547" s="14">
        <v>0</v>
      </c>
      <c r="AA1547" s="4">
        <v>0</v>
      </c>
      <c r="AB1547" s="4">
        <f t="shared" si="230"/>
        <v>0</v>
      </c>
      <c r="AC1547" s="6">
        <f t="shared" si="231"/>
        <v>0</v>
      </c>
      <c r="AD1547" s="6">
        <f t="shared" si="228"/>
        <v>0</v>
      </c>
      <c r="AE1547" s="2">
        <v>7.0000000000000007E-2</v>
      </c>
      <c r="AF1547" s="5">
        <f t="shared" si="232"/>
        <v>0</v>
      </c>
      <c r="AG1547" s="14">
        <v>0</v>
      </c>
      <c r="AH1547" s="19">
        <f t="shared" si="225"/>
        <v>0</v>
      </c>
      <c r="AJ1547" s="126" t="e">
        <v>#N/A</v>
      </c>
      <c r="AK1547" s="80">
        <f t="shared" si="233"/>
        <v>0</v>
      </c>
      <c r="AM1547" s="85"/>
    </row>
    <row r="1548" spans="1:39" hidden="1" x14ac:dyDescent="0.3">
      <c r="A1548" s="85" t="s">
        <v>34</v>
      </c>
      <c r="B1548" s="15" t="s">
        <v>35</v>
      </c>
      <c r="C1548" s="15" t="s">
        <v>2029</v>
      </c>
      <c r="D1548" s="15" t="s">
        <v>54</v>
      </c>
      <c r="E1548" s="15" t="s">
        <v>2333</v>
      </c>
      <c r="F1548" s="15" t="s">
        <v>2333</v>
      </c>
      <c r="G1548" s="15" t="s">
        <v>2333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2333</v>
      </c>
      <c r="N1548" s="15"/>
      <c r="O1548" s="8" t="s">
        <v>410</v>
      </c>
      <c r="P1548" s="8" t="s">
        <v>41</v>
      </c>
      <c r="Q1548" s="9">
        <v>0</v>
      </c>
      <c r="R1548" s="139" t="s">
        <v>2334</v>
      </c>
      <c r="S1548" s="15"/>
      <c r="T1548" s="18">
        <v>169.4</v>
      </c>
      <c r="U1548" s="4">
        <v>0</v>
      </c>
      <c r="V1548" s="6">
        <v>0</v>
      </c>
      <c r="W1548" s="18">
        <f t="shared" si="226"/>
        <v>169.4</v>
      </c>
      <c r="X1548" s="18">
        <f t="shared" si="227"/>
        <v>0</v>
      </c>
      <c r="Y1548" s="13">
        <f t="shared" si="229"/>
        <v>0</v>
      </c>
      <c r="Z1548" s="14">
        <v>0</v>
      </c>
      <c r="AA1548" s="4">
        <v>0</v>
      </c>
      <c r="AB1548" s="4">
        <f t="shared" si="230"/>
        <v>0</v>
      </c>
      <c r="AC1548" s="6">
        <f t="shared" si="231"/>
        <v>0</v>
      </c>
      <c r="AD1548" s="6">
        <f t="shared" si="228"/>
        <v>0</v>
      </c>
      <c r="AE1548" s="2">
        <v>7.0000000000000007E-2</v>
      </c>
      <c r="AF1548" s="5">
        <f t="shared" si="232"/>
        <v>0</v>
      </c>
      <c r="AG1548" s="14">
        <v>0</v>
      </c>
      <c r="AH1548" s="19">
        <f t="shared" si="225"/>
        <v>0</v>
      </c>
      <c r="AJ1548" s="126" t="e">
        <v>#N/A</v>
      </c>
      <c r="AK1548" s="80">
        <f t="shared" si="233"/>
        <v>0</v>
      </c>
      <c r="AM1548" s="85"/>
    </row>
    <row r="1549" spans="1:39" hidden="1" x14ac:dyDescent="0.3">
      <c r="A1549" s="85" t="s">
        <v>34</v>
      </c>
      <c r="B1549" s="15" t="s">
        <v>35</v>
      </c>
      <c r="C1549" s="15" t="s">
        <v>2029</v>
      </c>
      <c r="D1549" s="15" t="s">
        <v>54</v>
      </c>
      <c r="E1549" s="15" t="s">
        <v>1863</v>
      </c>
      <c r="F1549" s="15" t="s">
        <v>1863</v>
      </c>
      <c r="G1549" s="15" t="s">
        <v>1863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1863</v>
      </c>
      <c r="N1549" s="15"/>
      <c r="O1549" s="8" t="s">
        <v>1196</v>
      </c>
      <c r="P1549" s="8" t="s">
        <v>46</v>
      </c>
      <c r="Q1549" s="9">
        <v>0.04</v>
      </c>
      <c r="R1549" s="139" t="s">
        <v>1865</v>
      </c>
      <c r="S1549" s="15"/>
      <c r="T1549" s="18">
        <v>-11218.59</v>
      </c>
      <c r="U1549" s="4">
        <v>0</v>
      </c>
      <c r="V1549" s="6">
        <v>0</v>
      </c>
      <c r="W1549" s="18">
        <f t="shared" si="226"/>
        <v>-11218.59</v>
      </c>
      <c r="X1549" s="18">
        <f t="shared" si="227"/>
        <v>0</v>
      </c>
      <c r="Y1549" s="13">
        <f t="shared" si="229"/>
        <v>0</v>
      </c>
      <c r="Z1549" s="14">
        <v>0</v>
      </c>
      <c r="AA1549" s="4">
        <v>0</v>
      </c>
      <c r="AB1549" s="4">
        <f t="shared" si="230"/>
        <v>0</v>
      </c>
      <c r="AC1549" s="6">
        <f t="shared" si="231"/>
        <v>0</v>
      </c>
      <c r="AD1549" s="6">
        <f t="shared" si="228"/>
        <v>0</v>
      </c>
      <c r="AE1549" s="2">
        <v>0.12</v>
      </c>
      <c r="AF1549" s="5">
        <f t="shared" si="232"/>
        <v>0</v>
      </c>
      <c r="AG1549" s="14">
        <v>0</v>
      </c>
      <c r="AH1549" s="19">
        <f t="shared" si="225"/>
        <v>0</v>
      </c>
      <c r="AJ1549" s="126" t="e">
        <v>#N/A</v>
      </c>
      <c r="AK1549" s="80">
        <f t="shared" si="233"/>
        <v>0</v>
      </c>
      <c r="AM1549" s="85"/>
    </row>
    <row r="1550" spans="1:39" hidden="1" x14ac:dyDescent="0.3">
      <c r="A1550" s="85" t="s">
        <v>34</v>
      </c>
      <c r="B1550" s="15" t="s">
        <v>35</v>
      </c>
      <c r="C1550" s="15" t="s">
        <v>144</v>
      </c>
      <c r="D1550" s="15" t="s">
        <v>145</v>
      </c>
      <c r="E1550" s="15" t="s">
        <v>1416</v>
      </c>
      <c r="F1550" s="15" t="s">
        <v>1416</v>
      </c>
      <c r="G1550" s="15" t="s">
        <v>1416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1416</v>
      </c>
      <c r="N1550" s="15"/>
      <c r="O1550" s="8" t="s">
        <v>941</v>
      </c>
      <c r="P1550" s="8" t="s">
        <v>46</v>
      </c>
      <c r="Q1550" s="9">
        <v>0.02</v>
      </c>
      <c r="R1550" s="139" t="s">
        <v>2034</v>
      </c>
      <c r="S1550" s="15"/>
      <c r="T1550" s="18">
        <v>-1161555.3900000001</v>
      </c>
      <c r="U1550" s="4">
        <v>0</v>
      </c>
      <c r="V1550" s="6">
        <v>0</v>
      </c>
      <c r="W1550" s="18">
        <f t="shared" si="226"/>
        <v>-1161555.3900000001</v>
      </c>
      <c r="X1550" s="18">
        <f t="shared" si="227"/>
        <v>0</v>
      </c>
      <c r="Y1550" s="13">
        <f t="shared" si="229"/>
        <v>0</v>
      </c>
      <c r="Z1550" s="14">
        <v>0</v>
      </c>
      <c r="AA1550" s="4">
        <v>0</v>
      </c>
      <c r="AB1550" s="4">
        <f t="shared" si="230"/>
        <v>0</v>
      </c>
      <c r="AC1550" s="6">
        <f t="shared" si="231"/>
        <v>0</v>
      </c>
      <c r="AD1550" s="6">
        <f t="shared" si="228"/>
        <v>0</v>
      </c>
      <c r="AE1550" s="2">
        <v>0.15</v>
      </c>
      <c r="AF1550" s="5">
        <f t="shared" si="232"/>
        <v>0</v>
      </c>
      <c r="AG1550" s="14">
        <v>0</v>
      </c>
      <c r="AH1550" s="19">
        <f t="shared" si="225"/>
        <v>0</v>
      </c>
      <c r="AJ1550" s="126" t="e">
        <v>#N/A</v>
      </c>
      <c r="AK1550" s="80">
        <f t="shared" si="233"/>
        <v>0</v>
      </c>
      <c r="AM1550" s="85"/>
    </row>
    <row r="1551" spans="1:39" hidden="1" x14ac:dyDescent="0.3">
      <c r="A1551" s="85" t="s">
        <v>34</v>
      </c>
      <c r="B1551" s="15" t="s">
        <v>35</v>
      </c>
      <c r="C1551" s="15" t="s">
        <v>65</v>
      </c>
      <c r="D1551" s="15" t="s">
        <v>66</v>
      </c>
      <c r="E1551" s="15" t="s">
        <v>494</v>
      </c>
      <c r="F1551" s="15" t="s">
        <v>494</v>
      </c>
      <c r="G1551" s="15" t="s">
        <v>494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495</v>
      </c>
      <c r="N1551" s="15"/>
      <c r="O1551" s="8" t="s">
        <v>2054</v>
      </c>
      <c r="P1551" s="8" t="s">
        <v>46</v>
      </c>
      <c r="Q1551" s="9">
        <v>2.0000000000000018E-2</v>
      </c>
      <c r="R1551" s="139" t="s">
        <v>1879</v>
      </c>
      <c r="S1551" s="15"/>
      <c r="T1551" s="18">
        <v>-108033.89600000002</v>
      </c>
      <c r="U1551" s="4">
        <v>0</v>
      </c>
      <c r="V1551" s="6">
        <v>0</v>
      </c>
      <c r="W1551" s="18">
        <f t="shared" si="226"/>
        <v>-108033.89600000002</v>
      </c>
      <c r="X1551" s="18">
        <f t="shared" si="227"/>
        <v>0</v>
      </c>
      <c r="Y1551" s="13">
        <f t="shared" si="229"/>
        <v>0</v>
      </c>
      <c r="Z1551" s="14">
        <v>0</v>
      </c>
      <c r="AA1551" s="4">
        <v>0</v>
      </c>
      <c r="AB1551" s="4">
        <f t="shared" si="230"/>
        <v>0</v>
      </c>
      <c r="AC1551" s="6">
        <f t="shared" si="231"/>
        <v>0</v>
      </c>
      <c r="AD1551" s="6">
        <f t="shared" si="228"/>
        <v>0</v>
      </c>
      <c r="AE1551" s="2">
        <v>0.12</v>
      </c>
      <c r="AF1551" s="5">
        <f t="shared" si="232"/>
        <v>0</v>
      </c>
      <c r="AG1551" s="14">
        <v>0</v>
      </c>
      <c r="AH1551" s="19">
        <f t="shared" si="225"/>
        <v>0</v>
      </c>
      <c r="AJ1551" s="126" t="e">
        <v>#N/A</v>
      </c>
      <c r="AK1551" s="80">
        <f t="shared" si="233"/>
        <v>0</v>
      </c>
      <c r="AM1551" s="85"/>
    </row>
    <row r="1552" spans="1:39" hidden="1" x14ac:dyDescent="0.3">
      <c r="A1552" s="85" t="s">
        <v>34</v>
      </c>
      <c r="B1552" s="15" t="s">
        <v>35</v>
      </c>
      <c r="C1552" s="15" t="s">
        <v>59</v>
      </c>
      <c r="D1552" s="15" t="s">
        <v>60</v>
      </c>
      <c r="E1552" s="15" t="s">
        <v>765</v>
      </c>
      <c r="F1552" s="15" t="s">
        <v>766</v>
      </c>
      <c r="G1552" s="15" t="s">
        <v>765</v>
      </c>
      <c r="H1552" s="154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765</v>
      </c>
      <c r="N1552" s="15"/>
      <c r="O1552" s="8" t="s">
        <v>1196</v>
      </c>
      <c r="P1552" s="8" t="s">
        <v>46</v>
      </c>
      <c r="Q1552" s="9">
        <v>0.04</v>
      </c>
      <c r="R1552" s="139" t="s">
        <v>1078</v>
      </c>
      <c r="S1552" s="15"/>
      <c r="T1552" s="18">
        <v>0</v>
      </c>
      <c r="U1552" s="4">
        <v>0</v>
      </c>
      <c r="V1552" s="6">
        <v>1103.5149899999999</v>
      </c>
      <c r="W1552" s="18">
        <f t="shared" si="226"/>
        <v>-1103.5149899999999</v>
      </c>
      <c r="X1552" s="18">
        <f t="shared" si="227"/>
        <v>1061.0721057692306</v>
      </c>
      <c r="Y1552" s="13">
        <f t="shared" si="229"/>
        <v>400.11600396489041</v>
      </c>
      <c r="Z1552" s="14">
        <v>0</v>
      </c>
      <c r="AA1552" s="4">
        <v>0</v>
      </c>
      <c r="AB1552" s="4">
        <f t="shared" si="230"/>
        <v>1061.0721057692306</v>
      </c>
      <c r="AC1552" s="6">
        <f t="shared" si="231"/>
        <v>42.442884230769323</v>
      </c>
      <c r="AD1552" s="6">
        <f t="shared" si="228"/>
        <v>660.95610180434016</v>
      </c>
      <c r="AE1552" s="2">
        <v>0.12</v>
      </c>
      <c r="AF1552" s="5">
        <f t="shared" si="232"/>
        <v>79.314732216520824</v>
      </c>
      <c r="AG1552" s="14">
        <v>0</v>
      </c>
      <c r="AH1552" s="19">
        <f t="shared" si="225"/>
        <v>1103.5149899999999</v>
      </c>
      <c r="AJ1552" s="126" t="e">
        <v>#N/A</v>
      </c>
      <c r="AK1552" s="80">
        <f t="shared" si="233"/>
        <v>0</v>
      </c>
      <c r="AM1552" s="85"/>
    </row>
    <row r="1553" spans="1:39" hidden="1" x14ac:dyDescent="0.3">
      <c r="A1553" s="85" t="s">
        <v>34</v>
      </c>
      <c r="B1553" s="15" t="s">
        <v>35</v>
      </c>
      <c r="C1553" s="15" t="s">
        <v>144</v>
      </c>
      <c r="D1553" s="15" t="s">
        <v>152</v>
      </c>
      <c r="E1553" s="15" t="s">
        <v>155</v>
      </c>
      <c r="F1553" s="15" t="s">
        <v>1465</v>
      </c>
      <c r="G1553" s="15" t="s">
        <v>155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1466</v>
      </c>
      <c r="N1553" s="15"/>
      <c r="O1553" s="8" t="s">
        <v>1196</v>
      </c>
      <c r="P1553" s="8" t="s">
        <v>92</v>
      </c>
      <c r="Q1553" s="9">
        <v>0.98499999999999999</v>
      </c>
      <c r="R1553" s="139" t="s">
        <v>2082</v>
      </c>
      <c r="S1553" s="15"/>
      <c r="T1553" s="18">
        <v>-48658.655409999999</v>
      </c>
      <c r="U1553" s="4">
        <v>0</v>
      </c>
      <c r="V1553" s="6">
        <v>0</v>
      </c>
      <c r="W1553" s="18">
        <f t="shared" si="226"/>
        <v>-48658.655409999999</v>
      </c>
      <c r="X1553" s="18">
        <f t="shared" si="227"/>
        <v>0</v>
      </c>
      <c r="Y1553" s="13">
        <f t="shared" si="229"/>
        <v>0</v>
      </c>
      <c r="Z1553" s="14">
        <v>0</v>
      </c>
      <c r="AA1553" s="4">
        <v>0</v>
      </c>
      <c r="AB1553" s="4">
        <f t="shared" si="230"/>
        <v>0</v>
      </c>
      <c r="AC1553" s="6">
        <f t="shared" si="231"/>
        <v>0</v>
      </c>
      <c r="AD1553" s="6">
        <f t="shared" si="228"/>
        <v>0</v>
      </c>
      <c r="AE1553" s="2">
        <v>0.12</v>
      </c>
      <c r="AF1553" s="5">
        <f t="shared" si="232"/>
        <v>0</v>
      </c>
      <c r="AG1553" s="14">
        <v>0</v>
      </c>
      <c r="AH1553" s="19">
        <f t="shared" si="225"/>
        <v>0</v>
      </c>
      <c r="AJ1553" s="126" t="e">
        <v>#N/A</v>
      </c>
      <c r="AK1553" s="80">
        <f t="shared" si="233"/>
        <v>0</v>
      </c>
      <c r="AM1553" s="85"/>
    </row>
    <row r="1554" spans="1:39" hidden="1" x14ac:dyDescent="0.3">
      <c r="A1554" s="85" t="s">
        <v>34</v>
      </c>
      <c r="B1554" s="15" t="s">
        <v>35</v>
      </c>
      <c r="C1554" s="15" t="s">
        <v>164</v>
      </c>
      <c r="D1554" s="15" t="s">
        <v>174</v>
      </c>
      <c r="E1554" s="15" t="s">
        <v>1617</v>
      </c>
      <c r="F1554" s="15" t="s">
        <v>1617</v>
      </c>
      <c r="G1554" s="15" t="s">
        <v>1617</v>
      </c>
      <c r="H1554" s="154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1617</v>
      </c>
      <c r="N1554" s="15"/>
      <c r="O1554" s="8" t="s">
        <v>941</v>
      </c>
      <c r="P1554" s="8" t="s">
        <v>46</v>
      </c>
      <c r="Q1554" s="9">
        <v>0.01</v>
      </c>
      <c r="R1554" s="139" t="s">
        <v>1619</v>
      </c>
      <c r="S1554" s="15"/>
      <c r="T1554" s="18">
        <v>-125405.87504</v>
      </c>
      <c r="U1554" s="4">
        <v>0</v>
      </c>
      <c r="V1554" s="6">
        <v>5398.5579100000004</v>
      </c>
      <c r="W1554" s="18">
        <f t="shared" si="226"/>
        <v>-130804.43295</v>
      </c>
      <c r="X1554" s="18">
        <f t="shared" si="227"/>
        <v>5345.1068415841592</v>
      </c>
      <c r="Y1554" s="13">
        <f t="shared" si="229"/>
        <v>2111.6122140589032</v>
      </c>
      <c r="Z1554" s="14">
        <v>0</v>
      </c>
      <c r="AA1554" s="4">
        <v>0</v>
      </c>
      <c r="AB1554" s="4">
        <f t="shared" si="230"/>
        <v>5345.1068415841592</v>
      </c>
      <c r="AC1554" s="6">
        <f t="shared" si="231"/>
        <v>53.451068415841291</v>
      </c>
      <c r="AD1554" s="6">
        <f t="shared" si="228"/>
        <v>3233.494627525256</v>
      </c>
      <c r="AE1554" s="2">
        <v>0.15</v>
      </c>
      <c r="AF1554" s="5">
        <f t="shared" si="232"/>
        <v>485.02419412878839</v>
      </c>
      <c r="AG1554" s="14">
        <v>0</v>
      </c>
      <c r="AH1554" s="19">
        <f t="shared" si="225"/>
        <v>5398.5579100000004</v>
      </c>
      <c r="AJ1554" s="126" t="e">
        <v>#N/A</v>
      </c>
      <c r="AK1554" s="80">
        <f t="shared" si="233"/>
        <v>0</v>
      </c>
      <c r="AM1554" s="85"/>
    </row>
    <row r="1555" spans="1:39" hidden="1" x14ac:dyDescent="0.3">
      <c r="A1555" s="85" t="s">
        <v>34</v>
      </c>
      <c r="B1555" s="15" t="s">
        <v>35</v>
      </c>
      <c r="C1555" s="15" t="s">
        <v>59</v>
      </c>
      <c r="D1555" s="15" t="s">
        <v>60</v>
      </c>
      <c r="E1555" s="15" t="s">
        <v>765</v>
      </c>
      <c r="F1555" s="15" t="s">
        <v>766</v>
      </c>
      <c r="G1555" s="15" t="s">
        <v>765</v>
      </c>
      <c r="H1555" s="154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765</v>
      </c>
      <c r="N1555" s="15"/>
      <c r="O1555" s="8" t="s">
        <v>2054</v>
      </c>
      <c r="P1555" s="8" t="s">
        <v>46</v>
      </c>
      <c r="Q1555" s="9">
        <v>0.04</v>
      </c>
      <c r="R1555" s="139" t="s">
        <v>1078</v>
      </c>
      <c r="S1555" s="15"/>
      <c r="T1555" s="18">
        <v>0</v>
      </c>
      <c r="U1555" s="4">
        <v>0</v>
      </c>
      <c r="V1555" s="6">
        <v>388.45465999999999</v>
      </c>
      <c r="W1555" s="18">
        <f t="shared" si="226"/>
        <v>-388.45465999999999</v>
      </c>
      <c r="X1555" s="18">
        <f t="shared" si="227"/>
        <v>373.51409615384614</v>
      </c>
      <c r="Y1555" s="13">
        <f t="shared" si="229"/>
        <v>140.84713636807072</v>
      </c>
      <c r="Z1555" s="14">
        <v>0</v>
      </c>
      <c r="AA1555" s="4">
        <v>0</v>
      </c>
      <c r="AB1555" s="4">
        <f t="shared" si="230"/>
        <v>373.51409615384614</v>
      </c>
      <c r="AC1555" s="6">
        <f t="shared" si="231"/>
        <v>14.94056384615385</v>
      </c>
      <c r="AD1555" s="6">
        <f t="shared" si="228"/>
        <v>232.66695978577542</v>
      </c>
      <c r="AE1555" s="2">
        <v>0.12</v>
      </c>
      <c r="AF1555" s="5">
        <f t="shared" si="232"/>
        <v>27.920035174293048</v>
      </c>
      <c r="AG1555" s="14">
        <v>0</v>
      </c>
      <c r="AH1555" s="19">
        <f t="shared" si="225"/>
        <v>388.45465999999999</v>
      </c>
      <c r="AJ1555" s="126" t="e">
        <v>#N/A</v>
      </c>
      <c r="AK1555" s="80">
        <f t="shared" si="233"/>
        <v>0</v>
      </c>
      <c r="AM1555" s="85"/>
    </row>
    <row r="1556" spans="1:39" hidden="1" x14ac:dyDescent="0.3">
      <c r="A1556" s="85" t="s">
        <v>34</v>
      </c>
      <c r="B1556" s="15" t="s">
        <v>35</v>
      </c>
      <c r="C1556" s="15" t="s">
        <v>164</v>
      </c>
      <c r="D1556" s="15" t="s">
        <v>174</v>
      </c>
      <c r="E1556" s="15" t="s">
        <v>1681</v>
      </c>
      <c r="F1556" s="15" t="s">
        <v>1682</v>
      </c>
      <c r="G1556" s="15" t="s">
        <v>1681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1685</v>
      </c>
      <c r="N1556" s="15"/>
      <c r="O1556" s="8" t="s">
        <v>2054</v>
      </c>
      <c r="P1556" s="8" t="s">
        <v>46</v>
      </c>
      <c r="Q1556" s="9">
        <v>0.04</v>
      </c>
      <c r="R1556" s="139" t="s">
        <v>2083</v>
      </c>
      <c r="S1556" s="15"/>
      <c r="T1556" s="18">
        <v>-58.8</v>
      </c>
      <c r="U1556" s="4">
        <v>0</v>
      </c>
      <c r="V1556" s="6">
        <v>0</v>
      </c>
      <c r="W1556" s="18">
        <f t="shared" si="226"/>
        <v>-58.8</v>
      </c>
      <c r="X1556" s="18">
        <f t="shared" si="227"/>
        <v>0</v>
      </c>
      <c r="Y1556" s="13">
        <f t="shared" si="229"/>
        <v>0</v>
      </c>
      <c r="Z1556" s="14">
        <v>0</v>
      </c>
      <c r="AA1556" s="4">
        <v>0</v>
      </c>
      <c r="AB1556" s="4">
        <f t="shared" si="230"/>
        <v>0</v>
      </c>
      <c r="AC1556" s="6">
        <f t="shared" si="231"/>
        <v>0</v>
      </c>
      <c r="AD1556" s="6">
        <f t="shared" si="228"/>
        <v>0</v>
      </c>
      <c r="AE1556" s="2">
        <v>0.12</v>
      </c>
      <c r="AF1556" s="5">
        <f t="shared" si="232"/>
        <v>0</v>
      </c>
      <c r="AG1556" s="14">
        <v>0</v>
      </c>
      <c r="AH1556" s="19">
        <f t="shared" si="225"/>
        <v>0</v>
      </c>
      <c r="AJ1556" s="126" t="e">
        <v>#N/A</v>
      </c>
      <c r="AK1556" s="80">
        <f t="shared" si="233"/>
        <v>0</v>
      </c>
      <c r="AM1556" s="85"/>
    </row>
    <row r="1557" spans="1:39" hidden="1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1954</v>
      </c>
      <c r="F1557" s="15" t="s">
        <v>1954</v>
      </c>
      <c r="G1557" s="15" t="s">
        <v>1954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1954</v>
      </c>
      <c r="N1557" s="15"/>
      <c r="O1557" s="8" t="s">
        <v>2054</v>
      </c>
      <c r="P1557" s="8" t="s">
        <v>46</v>
      </c>
      <c r="Q1557" s="9">
        <v>0.02</v>
      </c>
      <c r="R1557" s="139" t="s">
        <v>1955</v>
      </c>
      <c r="S1557" s="15"/>
      <c r="T1557" s="18">
        <v>-4203.9045400000005</v>
      </c>
      <c r="U1557" s="4">
        <v>0</v>
      </c>
      <c r="V1557" s="6">
        <v>0</v>
      </c>
      <c r="W1557" s="18">
        <f t="shared" si="226"/>
        <v>-4203.9045400000005</v>
      </c>
      <c r="X1557" s="18">
        <f t="shared" si="227"/>
        <v>0</v>
      </c>
      <c r="Y1557" s="13">
        <f t="shared" si="229"/>
        <v>0</v>
      </c>
      <c r="Z1557" s="14">
        <v>0</v>
      </c>
      <c r="AA1557" s="4">
        <v>0</v>
      </c>
      <c r="AB1557" s="4">
        <f t="shared" si="230"/>
        <v>0</v>
      </c>
      <c r="AC1557" s="6">
        <f t="shared" si="231"/>
        <v>0</v>
      </c>
      <c r="AD1557" s="6">
        <f t="shared" si="228"/>
        <v>0</v>
      </c>
      <c r="AE1557" s="2">
        <v>0.12</v>
      </c>
      <c r="AF1557" s="5">
        <f t="shared" si="232"/>
        <v>0</v>
      </c>
      <c r="AG1557" s="14">
        <v>0</v>
      </c>
      <c r="AH1557" s="19">
        <f t="shared" ref="AH1557:AH1620" si="234">V1557</f>
        <v>0</v>
      </c>
      <c r="AJ1557" s="126" t="e">
        <v>#N/A</v>
      </c>
      <c r="AK1557" s="80">
        <f t="shared" si="233"/>
        <v>0</v>
      </c>
      <c r="AM1557" s="85"/>
    </row>
    <row r="1558" spans="1:39" hidden="1" x14ac:dyDescent="0.3">
      <c r="A1558" s="85" t="s">
        <v>34</v>
      </c>
      <c r="B1558" s="15" t="s">
        <v>35</v>
      </c>
      <c r="C1558" s="15" t="s">
        <v>164</v>
      </c>
      <c r="D1558" s="15" t="s">
        <v>174</v>
      </c>
      <c r="E1558" s="15" t="s">
        <v>1711</v>
      </c>
      <c r="F1558" s="15" t="s">
        <v>1711</v>
      </c>
      <c r="G1558" s="15" t="s">
        <v>1711</v>
      </c>
      <c r="H1558" s="154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1711</v>
      </c>
      <c r="N1558" s="15"/>
      <c r="O1558" s="8" t="s">
        <v>2054</v>
      </c>
      <c r="P1558" s="8" t="s">
        <v>41</v>
      </c>
      <c r="Q1558" s="14">
        <v>0</v>
      </c>
      <c r="R1558" s="139" t="s">
        <v>1712</v>
      </c>
      <c r="S1558" s="15"/>
      <c r="T1558" s="18">
        <v>0</v>
      </c>
      <c r="U1558" s="4">
        <v>0</v>
      </c>
      <c r="V1558" s="6">
        <v>14949.794690000001</v>
      </c>
      <c r="W1558" s="18">
        <f t="shared" si="226"/>
        <v>-14949.794690000001</v>
      </c>
      <c r="X1558" s="18">
        <f t="shared" si="227"/>
        <v>14949.794690000001</v>
      </c>
      <c r="Y1558" s="13">
        <f t="shared" si="229"/>
        <v>5995.5366050440134</v>
      </c>
      <c r="Z1558" s="14">
        <v>0</v>
      </c>
      <c r="AA1558" s="4">
        <v>0</v>
      </c>
      <c r="AB1558" s="4">
        <f t="shared" si="230"/>
        <v>14949.794690000001</v>
      </c>
      <c r="AC1558" s="6">
        <f t="shared" si="231"/>
        <v>0</v>
      </c>
      <c r="AD1558" s="6">
        <f t="shared" si="228"/>
        <v>8954.2580849559872</v>
      </c>
      <c r="AE1558" s="2">
        <v>0.12</v>
      </c>
      <c r="AF1558" s="5">
        <f t="shared" si="232"/>
        <v>1074.5109701947185</v>
      </c>
      <c r="AG1558" s="14">
        <v>0</v>
      </c>
      <c r="AH1558" s="19">
        <f t="shared" si="234"/>
        <v>14949.794690000001</v>
      </c>
      <c r="AJ1558" s="126" t="e">
        <v>#N/A</v>
      </c>
      <c r="AK1558" s="80">
        <f t="shared" si="233"/>
        <v>0</v>
      </c>
      <c r="AM1558" s="85"/>
    </row>
    <row r="1559" spans="1:39" hidden="1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628</v>
      </c>
      <c r="F1559" s="15" t="s">
        <v>628</v>
      </c>
      <c r="G1559" s="15" t="s">
        <v>628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628</v>
      </c>
      <c r="N1559" s="15"/>
      <c r="O1559" s="8" t="s">
        <v>2054</v>
      </c>
      <c r="P1559" s="8" t="s">
        <v>46</v>
      </c>
      <c r="Q1559" s="9">
        <v>0.1</v>
      </c>
      <c r="R1559" s="139" t="s">
        <v>1957</v>
      </c>
      <c r="S1559" s="15"/>
      <c r="T1559" s="18">
        <v>-15055.826570000001</v>
      </c>
      <c r="U1559" s="4">
        <v>0</v>
      </c>
      <c r="V1559" s="6">
        <v>0</v>
      </c>
      <c r="W1559" s="18">
        <f t="shared" si="226"/>
        <v>-15055.826570000001</v>
      </c>
      <c r="X1559" s="18">
        <f t="shared" si="227"/>
        <v>0</v>
      </c>
      <c r="Y1559" s="13">
        <f t="shared" si="229"/>
        <v>0</v>
      </c>
      <c r="Z1559" s="14">
        <v>0</v>
      </c>
      <c r="AA1559" s="4">
        <v>0</v>
      </c>
      <c r="AB1559" s="4">
        <f t="shared" si="230"/>
        <v>0</v>
      </c>
      <c r="AC1559" s="6">
        <f t="shared" si="231"/>
        <v>0</v>
      </c>
      <c r="AD1559" s="6">
        <f t="shared" si="228"/>
        <v>0</v>
      </c>
      <c r="AE1559" s="2">
        <v>0.12</v>
      </c>
      <c r="AF1559" s="5">
        <f t="shared" si="232"/>
        <v>0</v>
      </c>
      <c r="AG1559" s="14">
        <v>0</v>
      </c>
      <c r="AH1559" s="19">
        <f t="shared" si="234"/>
        <v>0</v>
      </c>
      <c r="AJ1559" s="126" t="e">
        <v>#N/A</v>
      </c>
      <c r="AK1559" s="80">
        <f t="shared" si="233"/>
        <v>0</v>
      </c>
      <c r="AM1559" s="85"/>
    </row>
    <row r="1560" spans="1:39" hidden="1" x14ac:dyDescent="0.3">
      <c r="A1560" s="85" t="s">
        <v>34</v>
      </c>
      <c r="B1560" s="15" t="s">
        <v>35</v>
      </c>
      <c r="C1560" s="15" t="s">
        <v>144</v>
      </c>
      <c r="D1560" s="15" t="s">
        <v>152</v>
      </c>
      <c r="E1560" s="15" t="s">
        <v>155</v>
      </c>
      <c r="F1560" s="15" t="s">
        <v>1465</v>
      </c>
      <c r="G1560" s="15" t="s">
        <v>155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1466</v>
      </c>
      <c r="N1560" s="15"/>
      <c r="O1560" s="8" t="s">
        <v>2054</v>
      </c>
      <c r="P1560" s="8" t="s">
        <v>92</v>
      </c>
      <c r="Q1560" s="9">
        <v>0.98499999999999999</v>
      </c>
      <c r="R1560" s="139" t="s">
        <v>2082</v>
      </c>
      <c r="S1560" s="15"/>
      <c r="T1560" s="18">
        <v>-4160.0545899999988</v>
      </c>
      <c r="U1560" s="4">
        <v>0</v>
      </c>
      <c r="V1560" s="6">
        <v>0</v>
      </c>
      <c r="W1560" s="18">
        <f t="shared" ref="W1560:W1623" si="235">T1560+U1560-V1560</f>
        <v>-4160.0545899999988</v>
      </c>
      <c r="X1560" s="18">
        <f t="shared" si="227"/>
        <v>0</v>
      </c>
      <c r="Y1560" s="13">
        <f t="shared" si="229"/>
        <v>0</v>
      </c>
      <c r="Z1560" s="14">
        <v>0</v>
      </c>
      <c r="AA1560" s="4">
        <v>0</v>
      </c>
      <c r="AB1560" s="4">
        <f t="shared" si="230"/>
        <v>0</v>
      </c>
      <c r="AC1560" s="6">
        <f t="shared" si="231"/>
        <v>0</v>
      </c>
      <c r="AD1560" s="6">
        <f t="shared" si="228"/>
        <v>0</v>
      </c>
      <c r="AE1560" s="2">
        <v>0.12</v>
      </c>
      <c r="AF1560" s="5">
        <f t="shared" si="232"/>
        <v>0</v>
      </c>
      <c r="AG1560" s="14">
        <v>0</v>
      </c>
      <c r="AH1560" s="19">
        <f t="shared" si="234"/>
        <v>0</v>
      </c>
      <c r="AJ1560" s="126" t="e">
        <v>#N/A</v>
      </c>
      <c r="AK1560" s="80">
        <f t="shared" si="233"/>
        <v>0</v>
      </c>
      <c r="AM1560" s="85"/>
    </row>
    <row r="1561" spans="1:39" hidden="1" x14ac:dyDescent="0.3">
      <c r="A1561" s="85" t="s">
        <v>34</v>
      </c>
      <c r="B1561" s="15" t="s">
        <v>35</v>
      </c>
      <c r="C1561" s="15" t="s">
        <v>2059</v>
      </c>
      <c r="D1561" s="15" t="s">
        <v>298</v>
      </c>
      <c r="E1561" s="15" t="s">
        <v>2335</v>
      </c>
      <c r="F1561" s="15" t="s">
        <v>2335</v>
      </c>
      <c r="G1561" s="15" t="s">
        <v>2335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2335</v>
      </c>
      <c r="N1561" s="15"/>
      <c r="O1561" s="8" t="s">
        <v>410</v>
      </c>
      <c r="P1561" s="8" t="s">
        <v>41</v>
      </c>
      <c r="Q1561" s="9">
        <v>0</v>
      </c>
      <c r="R1561" s="139" t="s">
        <v>2336</v>
      </c>
      <c r="S1561" s="15"/>
      <c r="T1561" s="18">
        <v>484.13</v>
      </c>
      <c r="U1561" s="4">
        <v>0</v>
      </c>
      <c r="V1561" s="6">
        <v>0</v>
      </c>
      <c r="W1561" s="18">
        <f t="shared" si="235"/>
        <v>484.13</v>
      </c>
      <c r="X1561" s="18">
        <f t="shared" si="227"/>
        <v>0</v>
      </c>
      <c r="Y1561" s="13">
        <f t="shared" si="229"/>
        <v>0</v>
      </c>
      <c r="Z1561" s="14">
        <v>0</v>
      </c>
      <c r="AA1561" s="4">
        <v>0</v>
      </c>
      <c r="AB1561" s="4">
        <f t="shared" si="230"/>
        <v>0</v>
      </c>
      <c r="AC1561" s="6">
        <f t="shared" si="231"/>
        <v>0</v>
      </c>
      <c r="AD1561" s="6">
        <f t="shared" si="228"/>
        <v>0</v>
      </c>
      <c r="AE1561" s="2">
        <v>7.0000000000000007E-2</v>
      </c>
      <c r="AF1561" s="5">
        <f t="shared" si="232"/>
        <v>0</v>
      </c>
      <c r="AG1561" s="14">
        <v>0</v>
      </c>
      <c r="AH1561" s="19">
        <f t="shared" si="234"/>
        <v>0</v>
      </c>
      <c r="AJ1561" s="126" t="e">
        <v>#N/A</v>
      </c>
      <c r="AK1561" s="80">
        <f t="shared" si="233"/>
        <v>0</v>
      </c>
      <c r="AM1561" s="85"/>
    </row>
    <row r="1562" spans="1:39" hidden="1" x14ac:dyDescent="0.3">
      <c r="A1562" s="85" t="s">
        <v>34</v>
      </c>
      <c r="B1562" s="15" t="s">
        <v>35</v>
      </c>
      <c r="C1562" s="15" t="s">
        <v>2029</v>
      </c>
      <c r="D1562" s="15" t="s">
        <v>320</v>
      </c>
      <c r="E1562" s="15" t="s">
        <v>2337</v>
      </c>
      <c r="F1562" s="15" t="s">
        <v>2337</v>
      </c>
      <c r="G1562" s="15" t="s">
        <v>2337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2337</v>
      </c>
      <c r="N1562" s="15"/>
      <c r="O1562" s="8" t="s">
        <v>1196</v>
      </c>
      <c r="P1562" s="8" t="s">
        <v>41</v>
      </c>
      <c r="Q1562" s="9">
        <v>0</v>
      </c>
      <c r="R1562" s="139" t="s">
        <v>2338</v>
      </c>
      <c r="S1562" s="15"/>
      <c r="T1562" s="18">
        <v>487.91</v>
      </c>
      <c r="U1562" s="4">
        <v>0</v>
      </c>
      <c r="V1562" s="6">
        <v>0</v>
      </c>
      <c r="W1562" s="18">
        <f t="shared" si="235"/>
        <v>487.91</v>
      </c>
      <c r="X1562" s="18">
        <f t="shared" si="227"/>
        <v>0</v>
      </c>
      <c r="Y1562" s="13">
        <f t="shared" si="229"/>
        <v>0</v>
      </c>
      <c r="Z1562" s="14">
        <v>0</v>
      </c>
      <c r="AA1562" s="4">
        <v>0</v>
      </c>
      <c r="AB1562" s="4">
        <f t="shared" si="230"/>
        <v>0</v>
      </c>
      <c r="AC1562" s="6">
        <f t="shared" si="231"/>
        <v>0</v>
      </c>
      <c r="AD1562" s="6">
        <f t="shared" si="228"/>
        <v>0</v>
      </c>
      <c r="AE1562" s="2">
        <v>0.12</v>
      </c>
      <c r="AF1562" s="5">
        <f t="shared" si="232"/>
        <v>0</v>
      </c>
      <c r="AG1562" s="14">
        <v>0</v>
      </c>
      <c r="AH1562" s="19">
        <f t="shared" si="234"/>
        <v>0</v>
      </c>
      <c r="AJ1562" s="126" t="e">
        <v>#N/A</v>
      </c>
      <c r="AK1562" s="80">
        <f t="shared" si="233"/>
        <v>0</v>
      </c>
      <c r="AM1562" s="85"/>
    </row>
    <row r="1563" spans="1:39" hidden="1" x14ac:dyDescent="0.3">
      <c r="A1563" s="85" t="s">
        <v>34</v>
      </c>
      <c r="B1563" s="15" t="s">
        <v>35</v>
      </c>
      <c r="C1563" s="15" t="s">
        <v>2059</v>
      </c>
      <c r="D1563" s="15" t="s">
        <v>185</v>
      </c>
      <c r="E1563" s="15" t="s">
        <v>2339</v>
      </c>
      <c r="F1563" s="15" t="s">
        <v>2339</v>
      </c>
      <c r="G1563" s="15" t="s">
        <v>2339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2339</v>
      </c>
      <c r="N1563" s="15"/>
      <c r="O1563" s="8" t="s">
        <v>410</v>
      </c>
      <c r="P1563" s="8" t="s">
        <v>41</v>
      </c>
      <c r="Q1563" s="9">
        <v>0</v>
      </c>
      <c r="R1563" s="139" t="s">
        <v>2340</v>
      </c>
      <c r="S1563" s="15"/>
      <c r="T1563" s="18">
        <v>149.78</v>
      </c>
      <c r="U1563" s="4">
        <v>0</v>
      </c>
      <c r="V1563" s="6">
        <v>0</v>
      </c>
      <c r="W1563" s="18">
        <f t="shared" si="235"/>
        <v>149.78</v>
      </c>
      <c r="X1563" s="18">
        <f t="shared" si="227"/>
        <v>0</v>
      </c>
      <c r="Y1563" s="13">
        <f t="shared" si="229"/>
        <v>0</v>
      </c>
      <c r="Z1563" s="14">
        <v>0</v>
      </c>
      <c r="AA1563" s="4">
        <v>0</v>
      </c>
      <c r="AB1563" s="4">
        <f t="shared" si="230"/>
        <v>0</v>
      </c>
      <c r="AC1563" s="6">
        <f t="shared" si="231"/>
        <v>0</v>
      </c>
      <c r="AD1563" s="6">
        <f t="shared" si="228"/>
        <v>0</v>
      </c>
      <c r="AE1563" s="2">
        <v>7.0000000000000007E-2</v>
      </c>
      <c r="AF1563" s="5">
        <f t="shared" si="232"/>
        <v>0</v>
      </c>
      <c r="AG1563" s="14">
        <v>0</v>
      </c>
      <c r="AH1563" s="19">
        <f t="shared" si="234"/>
        <v>0</v>
      </c>
      <c r="AJ1563" s="126" t="e">
        <v>#N/A</v>
      </c>
      <c r="AK1563" s="80">
        <f t="shared" si="233"/>
        <v>0</v>
      </c>
      <c r="AM1563" s="85"/>
    </row>
    <row r="1564" spans="1:39" hidden="1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2341</v>
      </c>
      <c r="F1564" s="15" t="s">
        <v>2341</v>
      </c>
      <c r="G1564" s="15" t="s">
        <v>2341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2342</v>
      </c>
      <c r="N1564" s="15"/>
      <c r="O1564" s="8" t="s">
        <v>410</v>
      </c>
      <c r="P1564" s="8" t="s">
        <v>46</v>
      </c>
      <c r="Q1564" s="9">
        <v>0.04</v>
      </c>
      <c r="R1564" s="139" t="s">
        <v>2343</v>
      </c>
      <c r="S1564" s="15"/>
      <c r="T1564" s="18">
        <v>1.37</v>
      </c>
      <c r="U1564" s="4">
        <v>0</v>
      </c>
      <c r="V1564" s="6">
        <v>0</v>
      </c>
      <c r="W1564" s="18">
        <f t="shared" si="235"/>
        <v>1.37</v>
      </c>
      <c r="X1564" s="18">
        <f t="shared" si="227"/>
        <v>0</v>
      </c>
      <c r="Y1564" s="13">
        <f t="shared" si="229"/>
        <v>0</v>
      </c>
      <c r="Z1564" s="14">
        <v>0</v>
      </c>
      <c r="AA1564" s="4">
        <v>0</v>
      </c>
      <c r="AB1564" s="4">
        <f t="shared" si="230"/>
        <v>0</v>
      </c>
      <c r="AC1564" s="6">
        <f t="shared" si="231"/>
        <v>0</v>
      </c>
      <c r="AD1564" s="6">
        <f t="shared" si="228"/>
        <v>0</v>
      </c>
      <c r="AE1564" s="2">
        <v>7.0000000000000007E-2</v>
      </c>
      <c r="AF1564" s="5">
        <f t="shared" si="232"/>
        <v>0</v>
      </c>
      <c r="AG1564" s="14">
        <v>0</v>
      </c>
      <c r="AH1564" s="19">
        <f t="shared" si="234"/>
        <v>0</v>
      </c>
      <c r="AJ1564" s="126" t="e">
        <v>#N/A</v>
      </c>
      <c r="AK1564" s="80">
        <f t="shared" si="233"/>
        <v>0</v>
      </c>
      <c r="AM1564" s="85"/>
    </row>
    <row r="1565" spans="1:39" hidden="1" x14ac:dyDescent="0.3">
      <c r="A1565" s="85" t="s">
        <v>34</v>
      </c>
      <c r="B1565" s="15" t="s">
        <v>35</v>
      </c>
      <c r="C1565" s="15" t="s">
        <v>65</v>
      </c>
      <c r="D1565" s="15" t="s">
        <v>66</v>
      </c>
      <c r="E1565" s="15" t="s">
        <v>2344</v>
      </c>
      <c r="F1565" s="15" t="s">
        <v>2344</v>
      </c>
      <c r="G1565" s="15" t="s">
        <v>2344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869</v>
      </c>
      <c r="N1565" s="15"/>
      <c r="O1565" s="8" t="s">
        <v>1196</v>
      </c>
      <c r="P1565" s="8" t="s">
        <v>46</v>
      </c>
      <c r="Q1565" s="9">
        <v>0.04</v>
      </c>
      <c r="R1565" s="139" t="s">
        <v>2345</v>
      </c>
      <c r="S1565" s="15"/>
      <c r="T1565" s="18">
        <v>495.16</v>
      </c>
      <c r="U1565" s="4">
        <v>0</v>
      </c>
      <c r="V1565" s="6">
        <v>0</v>
      </c>
      <c r="W1565" s="18">
        <f t="shared" si="235"/>
        <v>495.16</v>
      </c>
      <c r="X1565" s="18">
        <f t="shared" si="227"/>
        <v>0</v>
      </c>
      <c r="Y1565" s="13">
        <f t="shared" si="229"/>
        <v>0</v>
      </c>
      <c r="Z1565" s="14">
        <v>0</v>
      </c>
      <c r="AA1565" s="4">
        <v>0</v>
      </c>
      <c r="AB1565" s="4">
        <f t="shared" si="230"/>
        <v>0</v>
      </c>
      <c r="AC1565" s="6">
        <f t="shared" si="231"/>
        <v>0</v>
      </c>
      <c r="AD1565" s="6">
        <f t="shared" si="228"/>
        <v>0</v>
      </c>
      <c r="AE1565" s="2">
        <v>0.12</v>
      </c>
      <c r="AF1565" s="5">
        <f t="shared" si="232"/>
        <v>0</v>
      </c>
      <c r="AG1565" s="14">
        <v>0</v>
      </c>
      <c r="AH1565" s="19">
        <f t="shared" si="234"/>
        <v>0</v>
      </c>
      <c r="AJ1565" s="126" t="e">
        <v>#N/A</v>
      </c>
      <c r="AK1565" s="80">
        <f t="shared" si="233"/>
        <v>0</v>
      </c>
      <c r="AM1565" s="85"/>
    </row>
    <row r="1566" spans="1:39" hidden="1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651</v>
      </c>
      <c r="F1566" s="15" t="s">
        <v>651</v>
      </c>
      <c r="G1566" s="15" t="s">
        <v>651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1629</v>
      </c>
      <c r="N1566" s="15"/>
      <c r="O1566" s="8" t="s">
        <v>2054</v>
      </c>
      <c r="P1566" s="8" t="s">
        <v>46</v>
      </c>
      <c r="Q1566" s="9">
        <v>5.0000000000000044E-2</v>
      </c>
      <c r="R1566" s="139" t="s">
        <v>1630</v>
      </c>
      <c r="S1566" s="15"/>
      <c r="T1566" s="18">
        <v>-149225.78361000001</v>
      </c>
      <c r="U1566" s="4">
        <v>0</v>
      </c>
      <c r="V1566" s="6">
        <v>0.36152000000000001</v>
      </c>
      <c r="W1566" s="18">
        <f t="shared" si="235"/>
        <v>-149226.14513000002</v>
      </c>
      <c r="X1566" s="18">
        <f t="shared" si="227"/>
        <v>0.34430476190476189</v>
      </c>
      <c r="Y1566" s="13">
        <f t="shared" si="229"/>
        <v>0.12777045825719197</v>
      </c>
      <c r="Z1566" s="14">
        <v>0</v>
      </c>
      <c r="AA1566" s="4">
        <v>0</v>
      </c>
      <c r="AB1566" s="4">
        <f t="shared" si="230"/>
        <v>0.34430476190476189</v>
      </c>
      <c r="AC1566" s="6">
        <f t="shared" si="231"/>
        <v>1.7215238095238117E-2</v>
      </c>
      <c r="AD1566" s="6">
        <f t="shared" si="228"/>
        <v>0.21653430364756993</v>
      </c>
      <c r="AE1566" s="2">
        <v>0.12</v>
      </c>
      <c r="AF1566" s="5">
        <f t="shared" si="232"/>
        <v>2.5984116437708388E-2</v>
      </c>
      <c r="AG1566" s="14">
        <v>0</v>
      </c>
      <c r="AH1566" s="19">
        <f t="shared" si="234"/>
        <v>0.36152000000000001</v>
      </c>
      <c r="AJ1566" s="126" t="e">
        <v>#N/A</v>
      </c>
      <c r="AK1566" s="80">
        <f t="shared" si="233"/>
        <v>0</v>
      </c>
      <c r="AM1566" s="85"/>
    </row>
    <row r="1567" spans="1:39" hidden="1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2054</v>
      </c>
      <c r="P1567" s="8" t="s">
        <v>46</v>
      </c>
      <c r="Q1567" s="9">
        <v>0.01</v>
      </c>
      <c r="R1567" s="139" t="s">
        <v>1621</v>
      </c>
      <c r="S1567" s="15"/>
      <c r="T1567" s="18">
        <v>-5668.5024299999995</v>
      </c>
      <c r="U1567" s="4">
        <v>0</v>
      </c>
      <c r="V1567" s="6">
        <v>1658.9548299999999</v>
      </c>
      <c r="W1567" s="18">
        <f t="shared" si="235"/>
        <v>-7327.4572599999992</v>
      </c>
      <c r="X1567" s="18">
        <f t="shared" si="227"/>
        <v>1642.5295346534651</v>
      </c>
      <c r="Y1567" s="13">
        <f t="shared" si="229"/>
        <v>648.88982205990817</v>
      </c>
      <c r="Z1567" s="14">
        <v>0</v>
      </c>
      <c r="AA1567" s="4">
        <v>0</v>
      </c>
      <c r="AB1567" s="4">
        <f t="shared" si="230"/>
        <v>1642.5295346534651</v>
      </c>
      <c r="AC1567" s="6">
        <f t="shared" si="231"/>
        <v>16.425295346534767</v>
      </c>
      <c r="AD1567" s="6">
        <f t="shared" si="228"/>
        <v>993.63971259355696</v>
      </c>
      <c r="AE1567" s="2">
        <v>0.12</v>
      </c>
      <c r="AF1567" s="5">
        <f t="shared" si="232"/>
        <v>119.23676551122684</v>
      </c>
      <c r="AG1567" s="14">
        <v>0</v>
      </c>
      <c r="AH1567" s="19">
        <f t="shared" si="234"/>
        <v>1658.9548299999999</v>
      </c>
      <c r="AJ1567" s="126" t="e">
        <v>#N/A</v>
      </c>
      <c r="AK1567" s="80">
        <f t="shared" si="233"/>
        <v>0</v>
      </c>
      <c r="AM1567" s="85"/>
    </row>
    <row r="1568" spans="1:39" hidden="1" x14ac:dyDescent="0.3">
      <c r="A1568" s="85" t="s">
        <v>34</v>
      </c>
      <c r="B1568" s="15" t="s">
        <v>35</v>
      </c>
      <c r="C1568" s="15" t="s">
        <v>2029</v>
      </c>
      <c r="D1568" s="15" t="s">
        <v>54</v>
      </c>
      <c r="E1568" s="15" t="s">
        <v>2346</v>
      </c>
      <c r="F1568" s="15" t="s">
        <v>2347</v>
      </c>
      <c r="G1568" s="15" t="s">
        <v>2346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2348</v>
      </c>
      <c r="N1568" s="15"/>
      <c r="O1568" s="8" t="s">
        <v>410</v>
      </c>
      <c r="P1568" s="8" t="s">
        <v>46</v>
      </c>
      <c r="Q1568" s="9">
        <v>0.06</v>
      </c>
      <c r="R1568" s="139" t="s">
        <v>2349</v>
      </c>
      <c r="S1568" s="15"/>
      <c r="T1568" s="18">
        <v>1.2</v>
      </c>
      <c r="U1568" s="4">
        <v>0</v>
      </c>
      <c r="V1568" s="6">
        <v>0</v>
      </c>
      <c r="W1568" s="18">
        <f t="shared" si="235"/>
        <v>1.2</v>
      </c>
      <c r="X1568" s="18">
        <f t="shared" si="227"/>
        <v>0</v>
      </c>
      <c r="Y1568" s="13">
        <f t="shared" si="229"/>
        <v>0</v>
      </c>
      <c r="Z1568" s="14">
        <v>0</v>
      </c>
      <c r="AA1568" s="4">
        <v>0</v>
      </c>
      <c r="AB1568" s="4">
        <f t="shared" si="230"/>
        <v>0</v>
      </c>
      <c r="AC1568" s="6">
        <f t="shared" si="231"/>
        <v>0</v>
      </c>
      <c r="AD1568" s="6">
        <f t="shared" si="228"/>
        <v>0</v>
      </c>
      <c r="AE1568" s="2">
        <v>7.0000000000000007E-2</v>
      </c>
      <c r="AF1568" s="5">
        <f t="shared" si="232"/>
        <v>0</v>
      </c>
      <c r="AG1568" s="14">
        <v>0</v>
      </c>
      <c r="AH1568" s="19">
        <f t="shared" si="234"/>
        <v>0</v>
      </c>
      <c r="AJ1568" s="126" t="e">
        <v>#N/A</v>
      </c>
      <c r="AK1568" s="80">
        <f t="shared" si="233"/>
        <v>0</v>
      </c>
      <c r="AM1568" s="85"/>
    </row>
    <row r="1569" spans="1:39" hidden="1" x14ac:dyDescent="0.3">
      <c r="A1569" s="85" t="s">
        <v>34</v>
      </c>
      <c r="B1569" s="15" t="s">
        <v>35</v>
      </c>
      <c r="C1569" s="15" t="s">
        <v>2029</v>
      </c>
      <c r="D1569" s="15" t="s">
        <v>54</v>
      </c>
      <c r="E1569" s="15" t="s">
        <v>2346</v>
      </c>
      <c r="F1569" s="15" t="s">
        <v>2347</v>
      </c>
      <c r="G1569" s="15" t="s">
        <v>2346</v>
      </c>
      <c r="H1569" s="139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2348</v>
      </c>
      <c r="N1569" s="15"/>
      <c r="O1569" s="8" t="s">
        <v>1196</v>
      </c>
      <c r="P1569" s="8" t="s">
        <v>46</v>
      </c>
      <c r="Q1569" s="9">
        <v>0.15</v>
      </c>
      <c r="R1569" s="139" t="s">
        <v>2349</v>
      </c>
      <c r="S1569" s="15"/>
      <c r="T1569" s="18">
        <v>7945.19</v>
      </c>
      <c r="U1569" s="4">
        <v>0</v>
      </c>
      <c r="V1569" s="6">
        <v>0</v>
      </c>
      <c r="W1569" s="18">
        <f t="shared" si="235"/>
        <v>7945.19</v>
      </c>
      <c r="X1569" s="18">
        <f t="shared" si="227"/>
        <v>0</v>
      </c>
      <c r="Y1569" s="13">
        <f t="shared" si="229"/>
        <v>0</v>
      </c>
      <c r="Z1569" s="14">
        <v>0</v>
      </c>
      <c r="AA1569" s="4">
        <v>0</v>
      </c>
      <c r="AB1569" s="4">
        <f t="shared" si="230"/>
        <v>0</v>
      </c>
      <c r="AC1569" s="6">
        <f t="shared" si="231"/>
        <v>0</v>
      </c>
      <c r="AD1569" s="6">
        <f t="shared" si="228"/>
        <v>0</v>
      </c>
      <c r="AE1569" s="2">
        <v>0.12</v>
      </c>
      <c r="AF1569" s="5">
        <f t="shared" si="232"/>
        <v>0</v>
      </c>
      <c r="AG1569" s="14">
        <v>0</v>
      </c>
      <c r="AH1569" s="19">
        <f t="shared" si="234"/>
        <v>0</v>
      </c>
      <c r="AJ1569" s="126" t="e">
        <v>#N/A</v>
      </c>
      <c r="AK1569" s="80">
        <f t="shared" si="233"/>
        <v>0</v>
      </c>
      <c r="AM1569" s="85"/>
    </row>
    <row r="1570" spans="1:39" hidden="1" x14ac:dyDescent="0.3">
      <c r="A1570" s="85" t="s">
        <v>34</v>
      </c>
      <c r="B1570" s="15" t="s">
        <v>35</v>
      </c>
      <c r="C1570" s="15" t="s">
        <v>164</v>
      </c>
      <c r="D1570" s="15" t="s">
        <v>305</v>
      </c>
      <c r="E1570" s="15" t="s">
        <v>2350</v>
      </c>
      <c r="F1570" s="15" t="s">
        <v>2350</v>
      </c>
      <c r="G1570" s="15" t="s">
        <v>2350</v>
      </c>
      <c r="H1570" s="139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2350</v>
      </c>
      <c r="N1570" s="15"/>
      <c r="O1570" s="8" t="s">
        <v>410</v>
      </c>
      <c r="P1570" s="8" t="s">
        <v>41</v>
      </c>
      <c r="Q1570" s="9">
        <v>0</v>
      </c>
      <c r="R1570" s="139" t="s">
        <v>2351</v>
      </c>
      <c r="S1570" s="15"/>
      <c r="T1570" s="18">
        <v>1547.3</v>
      </c>
      <c r="U1570" s="4">
        <v>0</v>
      </c>
      <c r="V1570" s="6">
        <v>0</v>
      </c>
      <c r="W1570" s="18">
        <f t="shared" si="235"/>
        <v>1547.3</v>
      </c>
      <c r="X1570" s="18">
        <f t="shared" si="227"/>
        <v>0</v>
      </c>
      <c r="Y1570" s="13">
        <f t="shared" si="229"/>
        <v>0</v>
      </c>
      <c r="Z1570" s="14">
        <v>0</v>
      </c>
      <c r="AA1570" s="4">
        <v>0</v>
      </c>
      <c r="AB1570" s="4">
        <f t="shared" si="230"/>
        <v>0</v>
      </c>
      <c r="AC1570" s="6">
        <f t="shared" si="231"/>
        <v>0</v>
      </c>
      <c r="AD1570" s="6">
        <f t="shared" si="228"/>
        <v>0</v>
      </c>
      <c r="AE1570" s="2">
        <v>7.0000000000000007E-2</v>
      </c>
      <c r="AF1570" s="5">
        <f t="shared" si="232"/>
        <v>0</v>
      </c>
      <c r="AG1570" s="14">
        <v>0</v>
      </c>
      <c r="AH1570" s="19">
        <f t="shared" si="234"/>
        <v>0</v>
      </c>
      <c r="AJ1570" s="126" t="e">
        <v>#N/A</v>
      </c>
      <c r="AK1570" s="80">
        <f t="shared" si="233"/>
        <v>0</v>
      </c>
      <c r="AM1570" s="85"/>
    </row>
    <row r="1571" spans="1:39" hidden="1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2352</v>
      </c>
      <c r="F1571" s="15" t="s">
        <v>2352</v>
      </c>
      <c r="G1571" s="15" t="s">
        <v>2352</v>
      </c>
      <c r="H1571" s="139"/>
      <c r="I1571" s="15" t="s">
        <v>1961</v>
      </c>
      <c r="J1571" s="1" t="s">
        <v>3671</v>
      </c>
      <c r="L1571" s="1" t="s">
        <v>3388</v>
      </c>
      <c r="M1571" s="15" t="s">
        <v>2352</v>
      </c>
      <c r="N1571" s="15"/>
      <c r="O1571" s="8" t="s">
        <v>410</v>
      </c>
      <c r="P1571" s="8" t="s">
        <v>41</v>
      </c>
      <c r="Q1571" s="9">
        <v>0</v>
      </c>
      <c r="R1571" s="139" t="s">
        <v>2353</v>
      </c>
      <c r="S1571" s="15"/>
      <c r="T1571" s="18">
        <v>2.4</v>
      </c>
      <c r="U1571" s="4">
        <v>0</v>
      </c>
      <c r="V1571" s="6">
        <v>0</v>
      </c>
      <c r="W1571" s="18">
        <f t="shared" si="235"/>
        <v>2.4</v>
      </c>
      <c r="X1571" s="18">
        <f t="shared" si="227"/>
        <v>0</v>
      </c>
      <c r="Y1571" s="13">
        <f t="shared" si="229"/>
        <v>0</v>
      </c>
      <c r="Z1571" s="14">
        <v>0</v>
      </c>
      <c r="AA1571" s="4">
        <v>0</v>
      </c>
      <c r="AB1571" s="4">
        <f t="shared" si="230"/>
        <v>0</v>
      </c>
      <c r="AC1571" s="6">
        <f t="shared" si="231"/>
        <v>0</v>
      </c>
      <c r="AD1571" s="18">
        <f>V1571</f>
        <v>0</v>
      </c>
      <c r="AE1571" s="2">
        <v>0</v>
      </c>
      <c r="AF1571" s="5">
        <f t="shared" si="232"/>
        <v>0</v>
      </c>
      <c r="AG1571" s="14">
        <v>0</v>
      </c>
      <c r="AH1571" s="19">
        <f t="shared" si="234"/>
        <v>0</v>
      </c>
      <c r="AJ1571" s="126" t="e">
        <v>#N/A</v>
      </c>
      <c r="AK1571" s="80">
        <f t="shared" si="233"/>
        <v>0</v>
      </c>
      <c r="AM1571" s="85"/>
    </row>
    <row r="1572" spans="1:39" hidden="1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651</v>
      </c>
      <c r="F1572" s="15" t="s">
        <v>651</v>
      </c>
      <c r="G1572" s="15" t="s">
        <v>651</v>
      </c>
      <c r="H1572" s="154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651</v>
      </c>
      <c r="N1572" s="15"/>
      <c r="O1572" s="8" t="s">
        <v>941</v>
      </c>
      <c r="P1572" s="8" t="s">
        <v>46</v>
      </c>
      <c r="Q1572" s="9">
        <v>0.06</v>
      </c>
      <c r="R1572" s="139" t="s">
        <v>1973</v>
      </c>
      <c r="S1572" s="15"/>
      <c r="T1572" s="18">
        <v>-417976.25985000003</v>
      </c>
      <c r="U1572" s="4">
        <v>0</v>
      </c>
      <c r="V1572" s="6">
        <v>2.9774099999999999</v>
      </c>
      <c r="W1572" s="18">
        <f t="shared" si="235"/>
        <v>-417979.23726000002</v>
      </c>
      <c r="X1572" s="18">
        <f t="shared" si="227"/>
        <v>2.808877358490566</v>
      </c>
      <c r="Y1572" s="13">
        <f t="shared" si="229"/>
        <v>1.0255419938542771</v>
      </c>
      <c r="Z1572" s="14">
        <v>0</v>
      </c>
      <c r="AA1572" s="4">
        <v>0</v>
      </c>
      <c r="AB1572" s="4">
        <f t="shared" si="230"/>
        <v>2.808877358490566</v>
      </c>
      <c r="AC1572" s="6">
        <f t="shared" si="231"/>
        <v>0.16853264150943392</v>
      </c>
      <c r="AD1572" s="6">
        <f t="shared" ref="AD1572:AD1607" si="236">V1572*0.598955254612663</f>
        <v>1.7833353646362888</v>
      </c>
      <c r="AE1572" s="2">
        <v>0.15</v>
      </c>
      <c r="AF1572" s="5">
        <f t="shared" si="232"/>
        <v>0.26750030469544334</v>
      </c>
      <c r="AG1572" s="14">
        <v>0</v>
      </c>
      <c r="AH1572" s="19">
        <f t="shared" si="234"/>
        <v>2.9774099999999999</v>
      </c>
      <c r="AJ1572" s="126" t="e">
        <v>#N/A</v>
      </c>
      <c r="AK1572" s="80">
        <f t="shared" si="233"/>
        <v>0</v>
      </c>
      <c r="AM1572" s="85"/>
    </row>
    <row r="1573" spans="1:39" hidden="1" x14ac:dyDescent="0.3">
      <c r="A1573" s="85" t="s">
        <v>34</v>
      </c>
      <c r="B1573" s="15" t="s">
        <v>35</v>
      </c>
      <c r="C1573" s="15" t="s">
        <v>144</v>
      </c>
      <c r="D1573" s="15" t="s">
        <v>161</v>
      </c>
      <c r="E1573" s="15" t="s">
        <v>162</v>
      </c>
      <c r="F1573" s="15" t="s">
        <v>162</v>
      </c>
      <c r="G1573" s="15" t="s">
        <v>162</v>
      </c>
      <c r="H1573" s="154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162</v>
      </c>
      <c r="N1573" s="15"/>
      <c r="O1573" s="8" t="s">
        <v>941</v>
      </c>
      <c r="P1573" s="8" t="s">
        <v>46</v>
      </c>
      <c r="Q1573" s="9">
        <v>2.0000000000000018E-2</v>
      </c>
      <c r="R1573" s="139" t="s">
        <v>1508</v>
      </c>
      <c r="S1573" s="15"/>
      <c r="T1573" s="18">
        <v>-307415.99560000002</v>
      </c>
      <c r="U1573" s="4">
        <v>0</v>
      </c>
      <c r="V1573" s="6">
        <v>219713.25521999999</v>
      </c>
      <c r="W1573" s="18">
        <f t="shared" si="235"/>
        <v>-527129.25081999996</v>
      </c>
      <c r="X1573" s="18">
        <f t="shared" si="227"/>
        <v>215405.15217647058</v>
      </c>
      <c r="Y1573" s="13">
        <f t="shared" si="229"/>
        <v>83806.7434543985</v>
      </c>
      <c r="Z1573" s="14">
        <v>0</v>
      </c>
      <c r="AA1573" s="4">
        <v>0</v>
      </c>
      <c r="AB1573" s="4">
        <f t="shared" si="230"/>
        <v>215405.15217647058</v>
      </c>
      <c r="AC1573" s="6">
        <f t="shared" si="231"/>
        <v>4308.1030435294088</v>
      </c>
      <c r="AD1573" s="6">
        <f t="shared" si="236"/>
        <v>131598.40872207208</v>
      </c>
      <c r="AE1573" s="2">
        <v>0.15</v>
      </c>
      <c r="AF1573" s="5">
        <f t="shared" si="232"/>
        <v>19739.761308310812</v>
      </c>
      <c r="AG1573" s="14">
        <v>0</v>
      </c>
      <c r="AH1573" s="19">
        <f t="shared" si="234"/>
        <v>219713.25521999999</v>
      </c>
      <c r="AJ1573" s="126" t="e">
        <v>#N/A</v>
      </c>
      <c r="AK1573" s="80">
        <f t="shared" si="233"/>
        <v>0</v>
      </c>
      <c r="AM1573" s="85"/>
    </row>
    <row r="1574" spans="1:39" hidden="1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651</v>
      </c>
      <c r="F1574" s="15" t="s">
        <v>651</v>
      </c>
      <c r="G1574" s="15" t="s">
        <v>651</v>
      </c>
      <c r="H1574" s="154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1629</v>
      </c>
      <c r="N1574" s="15"/>
      <c r="O1574" s="8" t="s">
        <v>941</v>
      </c>
      <c r="P1574" s="8" t="s">
        <v>46</v>
      </c>
      <c r="Q1574" s="9">
        <v>0.06</v>
      </c>
      <c r="R1574" s="139" t="s">
        <v>1975</v>
      </c>
      <c r="S1574" s="15"/>
      <c r="T1574" s="18">
        <v>-375203.75026</v>
      </c>
      <c r="U1574" s="4">
        <v>0</v>
      </c>
      <c r="V1574" s="6">
        <v>1.18327</v>
      </c>
      <c r="W1574" s="18">
        <f t="shared" si="235"/>
        <v>-375204.93352999998</v>
      </c>
      <c r="X1574" s="18">
        <f t="shared" ref="X1574:X1616" si="237">IF(P1574="折扣",V1574*Q1574,IF(P1574="返现",V1574,V1574/(1+Q1574)))</f>
        <v>1.1162924528301887</v>
      </c>
      <c r="Y1574" s="13">
        <f t="shared" si="229"/>
        <v>0.40756666870466296</v>
      </c>
      <c r="Z1574" s="14">
        <v>0</v>
      </c>
      <c r="AA1574" s="4">
        <v>0</v>
      </c>
      <c r="AB1574" s="4">
        <f t="shared" si="230"/>
        <v>1.1162924528301887</v>
      </c>
      <c r="AC1574" s="6">
        <f t="shared" si="231"/>
        <v>6.6977547169811302E-2</v>
      </c>
      <c r="AD1574" s="6">
        <f t="shared" si="236"/>
        <v>0.70872578412552578</v>
      </c>
      <c r="AE1574" s="2">
        <v>0.15</v>
      </c>
      <c r="AF1574" s="5">
        <f t="shared" si="232"/>
        <v>0.10630886761882886</v>
      </c>
      <c r="AG1574" s="14">
        <v>0</v>
      </c>
      <c r="AH1574" s="19">
        <f t="shared" si="234"/>
        <v>1.18327</v>
      </c>
      <c r="AJ1574" s="126" t="e">
        <v>#N/A</v>
      </c>
      <c r="AK1574" s="80">
        <f t="shared" si="233"/>
        <v>0</v>
      </c>
      <c r="AM1574" s="85"/>
    </row>
    <row r="1575" spans="1:39" hidden="1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651</v>
      </c>
      <c r="F1575" s="15" t="s">
        <v>651</v>
      </c>
      <c r="G1575" s="15" t="s">
        <v>651</v>
      </c>
      <c r="H1575" s="154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1629</v>
      </c>
      <c r="N1575" s="15"/>
      <c r="O1575" s="8" t="s">
        <v>2054</v>
      </c>
      <c r="P1575" s="8" t="s">
        <v>46</v>
      </c>
      <c r="Q1575" s="9">
        <v>0.06</v>
      </c>
      <c r="R1575" s="139" t="s">
        <v>1975</v>
      </c>
      <c r="S1575" s="15"/>
      <c r="T1575" s="18">
        <v>-204555.08395999999</v>
      </c>
      <c r="U1575" s="4">
        <v>0</v>
      </c>
      <c r="V1575" s="6">
        <v>3.97159</v>
      </c>
      <c r="W1575" s="18">
        <f t="shared" si="235"/>
        <v>-204559.05554999999</v>
      </c>
      <c r="X1575" s="18">
        <f t="shared" si="237"/>
        <v>3.7467830188679243</v>
      </c>
      <c r="Y1575" s="13">
        <f t="shared" si="229"/>
        <v>1.3679783192008181</v>
      </c>
      <c r="Z1575" s="14">
        <v>0</v>
      </c>
      <c r="AA1575" s="4">
        <v>0</v>
      </c>
      <c r="AB1575" s="4">
        <f t="shared" si="230"/>
        <v>3.7467830188679243</v>
      </c>
      <c r="AC1575" s="6">
        <f t="shared" si="231"/>
        <v>0.22480698113207565</v>
      </c>
      <c r="AD1575" s="6">
        <f t="shared" si="236"/>
        <v>2.3788046996671062</v>
      </c>
      <c r="AE1575" s="2">
        <v>0.12</v>
      </c>
      <c r="AF1575" s="5">
        <f t="shared" si="232"/>
        <v>0.28545656396005276</v>
      </c>
      <c r="AG1575" s="14">
        <v>0</v>
      </c>
      <c r="AH1575" s="19">
        <f t="shared" si="234"/>
        <v>3.97159</v>
      </c>
      <c r="AJ1575" s="126" t="e">
        <v>#N/A</v>
      </c>
      <c r="AK1575" s="80">
        <f t="shared" si="233"/>
        <v>0</v>
      </c>
      <c r="AM1575" s="85"/>
    </row>
    <row r="1576" spans="1:39" hidden="1" x14ac:dyDescent="0.3">
      <c r="A1576" s="85" t="s">
        <v>34</v>
      </c>
      <c r="B1576" s="15" t="s">
        <v>35</v>
      </c>
      <c r="C1576" s="15" t="s">
        <v>65</v>
      </c>
      <c r="D1576" s="15" t="s">
        <v>66</v>
      </c>
      <c r="E1576" s="15" t="s">
        <v>2354</v>
      </c>
      <c r="F1576" s="15" t="s">
        <v>2354</v>
      </c>
      <c r="G1576" s="15" t="s">
        <v>2354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2354</v>
      </c>
      <c r="N1576" s="15"/>
      <c r="O1576" s="8" t="s">
        <v>410</v>
      </c>
      <c r="P1576" s="8" t="s">
        <v>46</v>
      </c>
      <c r="Q1576" s="9">
        <v>0.04</v>
      </c>
      <c r="R1576" s="139" t="s">
        <v>2355</v>
      </c>
      <c r="S1576" s="15"/>
      <c r="T1576" s="18">
        <v>2855.97</v>
      </c>
      <c r="U1576" s="4">
        <v>0</v>
      </c>
      <c r="V1576" s="6">
        <v>0</v>
      </c>
      <c r="W1576" s="18">
        <f t="shared" si="235"/>
        <v>2855.97</v>
      </c>
      <c r="X1576" s="18">
        <f t="shared" si="237"/>
        <v>0</v>
      </c>
      <c r="Y1576" s="13">
        <f t="shared" si="229"/>
        <v>0</v>
      </c>
      <c r="Z1576" s="14">
        <v>0</v>
      </c>
      <c r="AA1576" s="4">
        <v>0</v>
      </c>
      <c r="AB1576" s="4">
        <f t="shared" si="230"/>
        <v>0</v>
      </c>
      <c r="AC1576" s="6">
        <f t="shared" si="231"/>
        <v>0</v>
      </c>
      <c r="AD1576" s="6">
        <f t="shared" si="236"/>
        <v>0</v>
      </c>
      <c r="AE1576" s="2">
        <v>7.0000000000000007E-2</v>
      </c>
      <c r="AF1576" s="5">
        <f t="shared" si="232"/>
        <v>0</v>
      </c>
      <c r="AG1576" s="14">
        <v>0</v>
      </c>
      <c r="AH1576" s="19">
        <f t="shared" si="234"/>
        <v>0</v>
      </c>
      <c r="AJ1576" s="126" t="e">
        <v>#N/A</v>
      </c>
      <c r="AK1576" s="80">
        <f t="shared" si="233"/>
        <v>0</v>
      </c>
      <c r="AM1576" s="85"/>
    </row>
    <row r="1577" spans="1:39" hidden="1" x14ac:dyDescent="0.3">
      <c r="A1577" s="85" t="s">
        <v>34</v>
      </c>
      <c r="B1577" s="15" t="s">
        <v>35</v>
      </c>
      <c r="C1577" s="15" t="s">
        <v>2029</v>
      </c>
      <c r="D1577" s="15" t="s">
        <v>54</v>
      </c>
      <c r="E1577" s="15" t="s">
        <v>2356</v>
      </c>
      <c r="F1577" s="15" t="s">
        <v>2356</v>
      </c>
      <c r="G1577" s="15" t="s">
        <v>2356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2357</v>
      </c>
      <c r="N1577" s="15"/>
      <c r="O1577" s="8" t="s">
        <v>410</v>
      </c>
      <c r="P1577" s="8" t="s">
        <v>46</v>
      </c>
      <c r="Q1577" s="9">
        <v>0.02</v>
      </c>
      <c r="R1577" s="139">
        <v>13521597625</v>
      </c>
      <c r="S1577" s="15"/>
      <c r="T1577" s="18">
        <v>0.5</v>
      </c>
      <c r="U1577" s="4">
        <v>0</v>
      </c>
      <c r="V1577" s="6">
        <v>0</v>
      </c>
      <c r="W1577" s="18">
        <f t="shared" si="235"/>
        <v>0.5</v>
      </c>
      <c r="X1577" s="18">
        <f t="shared" si="237"/>
        <v>0</v>
      </c>
      <c r="Y1577" s="13">
        <f t="shared" si="229"/>
        <v>0</v>
      </c>
      <c r="Z1577" s="14">
        <v>0</v>
      </c>
      <c r="AA1577" s="4">
        <v>0</v>
      </c>
      <c r="AB1577" s="4"/>
      <c r="AC1577" s="6">
        <f t="shared" si="231"/>
        <v>0</v>
      </c>
      <c r="AD1577" s="6">
        <f t="shared" si="236"/>
        <v>0</v>
      </c>
      <c r="AE1577" s="2">
        <v>7.0000000000000007E-2</v>
      </c>
      <c r="AF1577" s="5">
        <f t="shared" si="232"/>
        <v>0</v>
      </c>
      <c r="AG1577" s="14">
        <v>0</v>
      </c>
      <c r="AH1577" s="19">
        <f t="shared" si="234"/>
        <v>0</v>
      </c>
      <c r="AJ1577" s="126">
        <v>58</v>
      </c>
      <c r="AK1577" s="80">
        <f t="shared" si="233"/>
        <v>0</v>
      </c>
      <c r="AM1577" s="85"/>
    </row>
    <row r="1578" spans="1:39" hidden="1" x14ac:dyDescent="0.3">
      <c r="A1578" s="85" t="s">
        <v>34</v>
      </c>
      <c r="B1578" s="15" t="s">
        <v>35</v>
      </c>
      <c r="C1578" s="15" t="s">
        <v>164</v>
      </c>
      <c r="D1578" s="15" t="s">
        <v>305</v>
      </c>
      <c r="E1578" s="15" t="s">
        <v>2358</v>
      </c>
      <c r="F1578" s="15" t="s">
        <v>2358</v>
      </c>
      <c r="G1578" s="15" t="s">
        <v>2358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2358</v>
      </c>
      <c r="N1578" s="15"/>
      <c r="O1578" s="8" t="s">
        <v>410</v>
      </c>
      <c r="P1578" s="8" t="s">
        <v>41</v>
      </c>
      <c r="Q1578" s="9">
        <v>0</v>
      </c>
      <c r="R1578" s="139" t="s">
        <v>2359</v>
      </c>
      <c r="S1578" s="15"/>
      <c r="T1578" s="18">
        <v>1.85</v>
      </c>
      <c r="U1578" s="4">
        <v>0</v>
      </c>
      <c r="V1578" s="6">
        <v>0</v>
      </c>
      <c r="W1578" s="18">
        <f t="shared" si="235"/>
        <v>1.85</v>
      </c>
      <c r="X1578" s="18">
        <f t="shared" si="237"/>
        <v>0</v>
      </c>
      <c r="Y1578" s="13">
        <f t="shared" si="229"/>
        <v>0</v>
      </c>
      <c r="Z1578" s="14">
        <v>0</v>
      </c>
      <c r="AA1578" s="4">
        <v>0</v>
      </c>
      <c r="AB1578" s="4">
        <f t="shared" si="230"/>
        <v>0</v>
      </c>
      <c r="AC1578" s="6">
        <f t="shared" si="231"/>
        <v>0</v>
      </c>
      <c r="AD1578" s="6">
        <f t="shared" si="236"/>
        <v>0</v>
      </c>
      <c r="AE1578" s="2">
        <v>7.0000000000000007E-2</v>
      </c>
      <c r="AF1578" s="5">
        <f t="shared" si="232"/>
        <v>0</v>
      </c>
      <c r="AG1578" s="14">
        <v>0</v>
      </c>
      <c r="AH1578" s="19">
        <f t="shared" si="234"/>
        <v>0</v>
      </c>
      <c r="AJ1578" s="126" t="e">
        <v>#N/A</v>
      </c>
      <c r="AK1578" s="80">
        <f t="shared" si="233"/>
        <v>0</v>
      </c>
      <c r="AM1578" s="85"/>
    </row>
    <row r="1579" spans="1:39" hidden="1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1687</v>
      </c>
      <c r="F1579" s="15" t="s">
        <v>1687</v>
      </c>
      <c r="G1579" s="15" t="s">
        <v>1687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1689</v>
      </c>
      <c r="N1579" s="15"/>
      <c r="O1579" s="8" t="s">
        <v>1196</v>
      </c>
      <c r="P1579" s="8" t="s">
        <v>46</v>
      </c>
      <c r="Q1579" s="9">
        <v>0.02</v>
      </c>
      <c r="R1579" s="139" t="s">
        <v>1691</v>
      </c>
      <c r="S1579" s="15"/>
      <c r="T1579" s="18">
        <v>-510.3</v>
      </c>
      <c r="U1579" s="4">
        <v>0</v>
      </c>
      <c r="V1579" s="6">
        <v>0</v>
      </c>
      <c r="W1579" s="18">
        <f t="shared" si="235"/>
        <v>-510.3</v>
      </c>
      <c r="X1579" s="18">
        <f t="shared" si="237"/>
        <v>0</v>
      </c>
      <c r="Y1579" s="13">
        <f t="shared" si="229"/>
        <v>0</v>
      </c>
      <c r="Z1579" s="14">
        <v>0</v>
      </c>
      <c r="AA1579" s="4">
        <v>0</v>
      </c>
      <c r="AB1579" s="4">
        <f t="shared" si="230"/>
        <v>0</v>
      </c>
      <c r="AC1579" s="6">
        <f t="shared" si="231"/>
        <v>0</v>
      </c>
      <c r="AD1579" s="6">
        <f t="shared" si="236"/>
        <v>0</v>
      </c>
      <c r="AE1579" s="2">
        <v>0.12</v>
      </c>
      <c r="AF1579" s="5">
        <f t="shared" si="232"/>
        <v>0</v>
      </c>
      <c r="AG1579" s="14">
        <v>0</v>
      </c>
      <c r="AH1579" s="19">
        <f t="shared" si="234"/>
        <v>0</v>
      </c>
      <c r="AJ1579" s="126" t="e">
        <v>#N/A</v>
      </c>
      <c r="AK1579" s="80">
        <f t="shared" si="233"/>
        <v>0</v>
      </c>
      <c r="AM1579" s="85"/>
    </row>
    <row r="1580" spans="1:39" hidden="1" x14ac:dyDescent="0.3">
      <c r="A1580" s="85" t="s">
        <v>34</v>
      </c>
      <c r="B1580" s="15" t="s">
        <v>35</v>
      </c>
      <c r="C1580" s="15" t="s">
        <v>47</v>
      </c>
      <c r="D1580" s="15" t="s">
        <v>48</v>
      </c>
      <c r="E1580" s="15" t="s">
        <v>2060</v>
      </c>
      <c r="F1580" s="15" t="s">
        <v>2060</v>
      </c>
      <c r="G1580" s="15" t="s">
        <v>2060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2060</v>
      </c>
      <c r="N1580" s="15"/>
      <c r="O1580" s="8" t="s">
        <v>1196</v>
      </c>
      <c r="P1580" s="8" t="s">
        <v>41</v>
      </c>
      <c r="Q1580" s="9">
        <v>0</v>
      </c>
      <c r="R1580" s="139" t="s">
        <v>2061</v>
      </c>
      <c r="S1580" s="15"/>
      <c r="T1580" s="18">
        <v>-364.65</v>
      </c>
      <c r="U1580" s="4">
        <v>0</v>
      </c>
      <c r="V1580" s="6">
        <v>0</v>
      </c>
      <c r="W1580" s="18">
        <f t="shared" si="235"/>
        <v>-364.65</v>
      </c>
      <c r="X1580" s="18">
        <f t="shared" si="237"/>
        <v>0</v>
      </c>
      <c r="Y1580" s="13">
        <f t="shared" si="229"/>
        <v>0</v>
      </c>
      <c r="Z1580" s="14">
        <v>0</v>
      </c>
      <c r="AA1580" s="4">
        <v>0</v>
      </c>
      <c r="AB1580" s="4">
        <f t="shared" si="230"/>
        <v>0</v>
      </c>
      <c r="AC1580" s="6">
        <f t="shared" si="231"/>
        <v>0</v>
      </c>
      <c r="AD1580" s="6">
        <f t="shared" si="236"/>
        <v>0</v>
      </c>
      <c r="AE1580" s="2">
        <v>0.12</v>
      </c>
      <c r="AF1580" s="5">
        <f t="shared" si="232"/>
        <v>0</v>
      </c>
      <c r="AG1580" s="14">
        <v>0</v>
      </c>
      <c r="AH1580" s="19">
        <f t="shared" si="234"/>
        <v>0</v>
      </c>
      <c r="AJ1580" s="126" t="e">
        <v>#N/A</v>
      </c>
      <c r="AK1580" s="80">
        <f t="shared" si="233"/>
        <v>0</v>
      </c>
      <c r="AM1580" s="85"/>
    </row>
    <row r="1581" spans="1:39" hidden="1" x14ac:dyDescent="0.3">
      <c r="A1581" s="85" t="s">
        <v>34</v>
      </c>
      <c r="B1581" s="15" t="s">
        <v>35</v>
      </c>
      <c r="C1581" s="15" t="s">
        <v>164</v>
      </c>
      <c r="D1581" s="15" t="s">
        <v>174</v>
      </c>
      <c r="E1581" s="15" t="s">
        <v>1617</v>
      </c>
      <c r="F1581" s="15" t="s">
        <v>1617</v>
      </c>
      <c r="G1581" s="15" t="s">
        <v>1617</v>
      </c>
      <c r="H1581" s="154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1617</v>
      </c>
      <c r="N1581" s="15"/>
      <c r="O1581" s="8" t="s">
        <v>941</v>
      </c>
      <c r="P1581" s="8" t="s">
        <v>46</v>
      </c>
      <c r="Q1581" s="9">
        <v>0.01</v>
      </c>
      <c r="R1581" s="139" t="s">
        <v>1620</v>
      </c>
      <c r="S1581" s="15"/>
      <c r="T1581" s="18">
        <v>-80878.55</v>
      </c>
      <c r="U1581" s="4">
        <v>0</v>
      </c>
      <c r="V1581" s="6">
        <v>78413.390499999994</v>
      </c>
      <c r="W1581" s="18">
        <f t="shared" si="235"/>
        <v>-159291.9405</v>
      </c>
      <c r="X1581" s="18">
        <f t="shared" si="237"/>
        <v>77637.020297029696</v>
      </c>
      <c r="Y1581" s="13">
        <f t="shared" si="229"/>
        <v>30670.908025060031</v>
      </c>
      <c r="Z1581" s="14">
        <v>0</v>
      </c>
      <c r="AA1581" s="4">
        <v>0</v>
      </c>
      <c r="AB1581" s="4">
        <f t="shared" si="230"/>
        <v>77637.020297029696</v>
      </c>
      <c r="AC1581" s="6">
        <f t="shared" si="231"/>
        <v>776.37020297029812</v>
      </c>
      <c r="AD1581" s="6">
        <f t="shared" si="236"/>
        <v>46966.112271969665</v>
      </c>
      <c r="AE1581" s="2">
        <v>0.15</v>
      </c>
      <c r="AF1581" s="5">
        <f t="shared" si="232"/>
        <v>7044.9168407954494</v>
      </c>
      <c r="AG1581" s="14">
        <v>0</v>
      </c>
      <c r="AH1581" s="19">
        <f t="shared" si="234"/>
        <v>78413.390499999994</v>
      </c>
      <c r="AJ1581" s="126" t="e">
        <v>#N/A</v>
      </c>
      <c r="AK1581" s="80">
        <f t="shared" si="233"/>
        <v>0</v>
      </c>
      <c r="AM1581" s="85"/>
    </row>
    <row r="1582" spans="1:39" hidden="1" x14ac:dyDescent="0.3">
      <c r="A1582" s="85" t="s">
        <v>34</v>
      </c>
      <c r="B1582" s="15" t="s">
        <v>35</v>
      </c>
      <c r="C1582" s="15" t="s">
        <v>164</v>
      </c>
      <c r="D1582" s="15" t="s">
        <v>174</v>
      </c>
      <c r="E1582" s="15" t="s">
        <v>1687</v>
      </c>
      <c r="F1582" s="15" t="s">
        <v>1687</v>
      </c>
      <c r="G1582" s="15" t="s">
        <v>1687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1689</v>
      </c>
      <c r="N1582" s="15"/>
      <c r="O1582" s="8" t="s">
        <v>2054</v>
      </c>
      <c r="P1582" s="8" t="s">
        <v>46</v>
      </c>
      <c r="Q1582" s="9">
        <v>0.02</v>
      </c>
      <c r="R1582" s="139" t="s">
        <v>1691</v>
      </c>
      <c r="S1582" s="15"/>
      <c r="T1582" s="18">
        <v>-1.5</v>
      </c>
      <c r="U1582" s="4">
        <v>0</v>
      </c>
      <c r="V1582" s="6">
        <v>0</v>
      </c>
      <c r="W1582" s="18">
        <f t="shared" si="235"/>
        <v>-1.5</v>
      </c>
      <c r="X1582" s="18">
        <f t="shared" si="237"/>
        <v>0</v>
      </c>
      <c r="Y1582" s="13">
        <f t="shared" si="229"/>
        <v>0</v>
      </c>
      <c r="Z1582" s="14">
        <v>0</v>
      </c>
      <c r="AA1582" s="4">
        <v>0</v>
      </c>
      <c r="AB1582" s="4">
        <f t="shared" si="230"/>
        <v>0</v>
      </c>
      <c r="AC1582" s="6">
        <f t="shared" si="231"/>
        <v>0</v>
      </c>
      <c r="AD1582" s="6">
        <f t="shared" si="236"/>
        <v>0</v>
      </c>
      <c r="AE1582" s="2">
        <v>0.12</v>
      </c>
      <c r="AF1582" s="5">
        <f t="shared" si="232"/>
        <v>0</v>
      </c>
      <c r="AG1582" s="14">
        <v>0</v>
      </c>
      <c r="AH1582" s="19">
        <f t="shared" si="234"/>
        <v>0</v>
      </c>
      <c r="AJ1582" s="126" t="e">
        <v>#N/A</v>
      </c>
      <c r="AK1582" s="80">
        <f t="shared" si="233"/>
        <v>0</v>
      </c>
      <c r="AM1582" s="85"/>
    </row>
    <row r="1583" spans="1:39" hidden="1" x14ac:dyDescent="0.3">
      <c r="A1583" s="85" t="s">
        <v>34</v>
      </c>
      <c r="B1583" s="15" t="s">
        <v>35</v>
      </c>
      <c r="C1583" s="15" t="s">
        <v>47</v>
      </c>
      <c r="D1583" s="15" t="s">
        <v>48</v>
      </c>
      <c r="E1583" s="15" t="s">
        <v>2060</v>
      </c>
      <c r="F1583" s="15" t="s">
        <v>2060</v>
      </c>
      <c r="G1583" s="15" t="s">
        <v>2060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2060</v>
      </c>
      <c r="N1583" s="15"/>
      <c r="O1583" s="8" t="s">
        <v>2054</v>
      </c>
      <c r="P1583" s="8" t="s">
        <v>41</v>
      </c>
      <c r="Q1583" s="9">
        <v>0</v>
      </c>
      <c r="R1583" s="139" t="s">
        <v>2061</v>
      </c>
      <c r="S1583" s="15"/>
      <c r="T1583" s="18">
        <v>-51</v>
      </c>
      <c r="U1583" s="4">
        <v>0</v>
      </c>
      <c r="V1583" s="6">
        <v>0</v>
      </c>
      <c r="W1583" s="18">
        <f t="shared" si="235"/>
        <v>-51</v>
      </c>
      <c r="X1583" s="18">
        <f t="shared" si="237"/>
        <v>0</v>
      </c>
      <c r="Y1583" s="13">
        <f t="shared" si="229"/>
        <v>0</v>
      </c>
      <c r="Z1583" s="14">
        <v>0</v>
      </c>
      <c r="AA1583" s="4">
        <v>0</v>
      </c>
      <c r="AB1583" s="4">
        <f t="shared" si="230"/>
        <v>0</v>
      </c>
      <c r="AC1583" s="6">
        <f t="shared" si="231"/>
        <v>0</v>
      </c>
      <c r="AD1583" s="6">
        <f t="shared" si="236"/>
        <v>0</v>
      </c>
      <c r="AE1583" s="2">
        <v>0.12</v>
      </c>
      <c r="AF1583" s="5">
        <f t="shared" si="232"/>
        <v>0</v>
      </c>
      <c r="AG1583" s="14">
        <v>0</v>
      </c>
      <c r="AH1583" s="19">
        <f t="shared" si="234"/>
        <v>0</v>
      </c>
      <c r="AJ1583" s="126" t="e">
        <v>#N/A</v>
      </c>
      <c r="AK1583" s="80">
        <f t="shared" si="233"/>
        <v>0</v>
      </c>
      <c r="AM1583" s="85"/>
    </row>
    <row r="1584" spans="1:39" hidden="1" x14ac:dyDescent="0.3">
      <c r="A1584" s="85" t="s">
        <v>34</v>
      </c>
      <c r="B1584" s="15" t="s">
        <v>35</v>
      </c>
      <c r="C1584" s="15" t="s">
        <v>164</v>
      </c>
      <c r="D1584" s="15" t="s">
        <v>174</v>
      </c>
      <c r="E1584" s="15" t="s">
        <v>2360</v>
      </c>
      <c r="F1584" s="15" t="s">
        <v>2360</v>
      </c>
      <c r="G1584" s="15" t="s">
        <v>2360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2361</v>
      </c>
      <c r="N1584" s="15"/>
      <c r="O1584" s="8" t="s">
        <v>1196</v>
      </c>
      <c r="P1584" s="8" t="s">
        <v>46</v>
      </c>
      <c r="Q1584" s="9">
        <v>0.04</v>
      </c>
      <c r="R1584" s="139">
        <v>220221</v>
      </c>
      <c r="S1584" s="15"/>
      <c r="T1584" s="18">
        <v>427.15000000000049</v>
      </c>
      <c r="U1584" s="4">
        <v>0</v>
      </c>
      <c r="V1584" s="6">
        <v>0</v>
      </c>
      <c r="W1584" s="18">
        <f t="shared" si="235"/>
        <v>427.15000000000049</v>
      </c>
      <c r="X1584" s="18">
        <f t="shared" si="237"/>
        <v>0</v>
      </c>
      <c r="Y1584" s="13">
        <f t="shared" si="229"/>
        <v>0</v>
      </c>
      <c r="Z1584" s="14">
        <v>0</v>
      </c>
      <c r="AA1584" s="4">
        <v>0</v>
      </c>
      <c r="AB1584" s="4">
        <f t="shared" si="230"/>
        <v>0</v>
      </c>
      <c r="AC1584" s="6">
        <f t="shared" si="231"/>
        <v>0</v>
      </c>
      <c r="AD1584" s="6">
        <f t="shared" si="236"/>
        <v>0</v>
      </c>
      <c r="AE1584" s="2">
        <v>0.12</v>
      </c>
      <c r="AF1584" s="5">
        <f t="shared" si="232"/>
        <v>0</v>
      </c>
      <c r="AG1584" s="14">
        <v>0</v>
      </c>
      <c r="AH1584" s="19">
        <f t="shared" si="234"/>
        <v>0</v>
      </c>
      <c r="AJ1584" s="126" t="e">
        <v>#N/A</v>
      </c>
      <c r="AK1584" s="80">
        <f t="shared" si="233"/>
        <v>0</v>
      </c>
      <c r="AM1584" s="85"/>
    </row>
    <row r="1585" spans="1:39" hidden="1" x14ac:dyDescent="0.3">
      <c r="A1585" s="85" t="s">
        <v>34</v>
      </c>
      <c r="B1585" s="15" t="s">
        <v>35</v>
      </c>
      <c r="C1585" s="15" t="s">
        <v>65</v>
      </c>
      <c r="D1585" s="15" t="s">
        <v>66</v>
      </c>
      <c r="E1585" s="15" t="s">
        <v>496</v>
      </c>
      <c r="F1585" s="15" t="s">
        <v>497</v>
      </c>
      <c r="G1585" s="15" t="s">
        <v>496</v>
      </c>
      <c r="H1585" s="139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498</v>
      </c>
      <c r="N1585" s="15"/>
      <c r="O1585" s="8" t="s">
        <v>1196</v>
      </c>
      <c r="P1585" s="8" t="s">
        <v>46</v>
      </c>
      <c r="Q1585" s="9">
        <v>0.02</v>
      </c>
      <c r="R1585" s="139" t="s">
        <v>1884</v>
      </c>
      <c r="S1585" s="15"/>
      <c r="T1585" s="18">
        <v>-662.4</v>
      </c>
      <c r="U1585" s="4">
        <v>0</v>
      </c>
      <c r="V1585" s="6">
        <v>0</v>
      </c>
      <c r="W1585" s="18">
        <f t="shared" si="235"/>
        <v>-662.4</v>
      </c>
      <c r="X1585" s="18">
        <f t="shared" si="237"/>
        <v>0</v>
      </c>
      <c r="Y1585" s="13">
        <f t="shared" si="229"/>
        <v>0</v>
      </c>
      <c r="Z1585" s="14">
        <v>0</v>
      </c>
      <c r="AA1585" s="4">
        <v>0</v>
      </c>
      <c r="AB1585" s="4">
        <f t="shared" si="230"/>
        <v>0</v>
      </c>
      <c r="AC1585" s="6">
        <f t="shared" si="231"/>
        <v>0</v>
      </c>
      <c r="AD1585" s="6">
        <f t="shared" si="236"/>
        <v>0</v>
      </c>
      <c r="AE1585" s="2">
        <v>0.12</v>
      </c>
      <c r="AF1585" s="5">
        <f t="shared" si="232"/>
        <v>0</v>
      </c>
      <c r="AG1585" s="14">
        <v>0</v>
      </c>
      <c r="AH1585" s="19">
        <f t="shared" si="234"/>
        <v>0</v>
      </c>
      <c r="AJ1585" s="126" t="e">
        <v>#N/A</v>
      </c>
      <c r="AK1585" s="80">
        <f t="shared" si="233"/>
        <v>0</v>
      </c>
      <c r="AM1585" s="85"/>
    </row>
    <row r="1586" spans="1:39" hidden="1" x14ac:dyDescent="0.3">
      <c r="A1586" s="85" t="s">
        <v>34</v>
      </c>
      <c r="B1586" s="15" t="s">
        <v>35</v>
      </c>
      <c r="C1586" s="15" t="s">
        <v>164</v>
      </c>
      <c r="D1586" s="15" t="s">
        <v>174</v>
      </c>
      <c r="E1586" s="15" t="s">
        <v>1966</v>
      </c>
      <c r="F1586" s="15" t="s">
        <v>1966</v>
      </c>
      <c r="G1586" s="15" t="s">
        <v>1966</v>
      </c>
      <c r="H1586" s="154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1967</v>
      </c>
      <c r="N1586" s="15"/>
      <c r="O1586" s="8" t="s">
        <v>941</v>
      </c>
      <c r="P1586" s="8" t="s">
        <v>41</v>
      </c>
      <c r="Q1586" s="9">
        <v>0</v>
      </c>
      <c r="R1586" s="139" t="s">
        <v>1968</v>
      </c>
      <c r="S1586" s="15"/>
      <c r="T1586" s="18">
        <v>-1235874.04798</v>
      </c>
      <c r="U1586" s="4">
        <v>0</v>
      </c>
      <c r="V1586" s="6">
        <v>1.0711200000000001</v>
      </c>
      <c r="W1586" s="18">
        <v>0</v>
      </c>
      <c r="X1586" s="18">
        <f t="shared" si="237"/>
        <v>1.0711200000000001</v>
      </c>
      <c r="Y1586" s="13">
        <f t="shared" si="229"/>
        <v>0.42956704767928444</v>
      </c>
      <c r="Z1586" s="14">
        <v>0</v>
      </c>
      <c r="AA1586" s="4">
        <v>0</v>
      </c>
      <c r="AB1586" s="4">
        <f t="shared" si="230"/>
        <v>1.0711200000000001</v>
      </c>
      <c r="AC1586" s="6">
        <f t="shared" si="231"/>
        <v>0</v>
      </c>
      <c r="AD1586" s="6">
        <f t="shared" si="236"/>
        <v>0.64155295232071563</v>
      </c>
      <c r="AE1586" s="2">
        <v>0.15</v>
      </c>
      <c r="AF1586" s="5">
        <f t="shared" si="232"/>
        <v>9.6232942848107336E-2</v>
      </c>
      <c r="AG1586" s="14">
        <v>0</v>
      </c>
      <c r="AH1586" s="19">
        <f t="shared" si="234"/>
        <v>1.0711200000000001</v>
      </c>
      <c r="AJ1586" s="126" t="e">
        <v>#N/A</v>
      </c>
      <c r="AK1586" s="80">
        <f t="shared" si="233"/>
        <v>0</v>
      </c>
      <c r="AM1586" s="85"/>
    </row>
    <row r="1587" spans="1:39" hidden="1" x14ac:dyDescent="0.3">
      <c r="A1587" s="85" t="s">
        <v>34</v>
      </c>
      <c r="B1587" s="15" t="s">
        <v>35</v>
      </c>
      <c r="C1587" s="15" t="s">
        <v>164</v>
      </c>
      <c r="D1587" s="15" t="s">
        <v>169</v>
      </c>
      <c r="E1587" s="15" t="s">
        <v>628</v>
      </c>
      <c r="F1587" s="15" t="s">
        <v>628</v>
      </c>
      <c r="G1587" s="15" t="s">
        <v>628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628</v>
      </c>
      <c r="N1587" s="15"/>
      <c r="O1587" s="8" t="s">
        <v>941</v>
      </c>
      <c r="P1587" s="8" t="s">
        <v>46</v>
      </c>
      <c r="Q1587" s="9">
        <v>0.1</v>
      </c>
      <c r="R1587" s="139" t="s">
        <v>2362</v>
      </c>
      <c r="S1587" s="15"/>
      <c r="T1587" s="18">
        <v>-10820.1</v>
      </c>
      <c r="U1587" s="4">
        <v>0</v>
      </c>
      <c r="V1587" s="6">
        <v>0</v>
      </c>
      <c r="W1587" s="18">
        <f t="shared" si="235"/>
        <v>-10820.1</v>
      </c>
      <c r="X1587" s="18">
        <f t="shared" si="237"/>
        <v>0</v>
      </c>
      <c r="Y1587" s="13">
        <f t="shared" si="229"/>
        <v>0</v>
      </c>
      <c r="Z1587" s="14">
        <v>0</v>
      </c>
      <c r="AA1587" s="4">
        <v>0</v>
      </c>
      <c r="AB1587" s="4">
        <f t="shared" si="230"/>
        <v>0</v>
      </c>
      <c r="AC1587" s="6">
        <f t="shared" si="231"/>
        <v>0</v>
      </c>
      <c r="AD1587" s="6">
        <f t="shared" si="236"/>
        <v>0</v>
      </c>
      <c r="AE1587" s="2">
        <v>0.15</v>
      </c>
      <c r="AF1587" s="5">
        <f t="shared" si="232"/>
        <v>0</v>
      </c>
      <c r="AG1587" s="14">
        <v>0</v>
      </c>
      <c r="AH1587" s="19">
        <f t="shared" si="234"/>
        <v>0</v>
      </c>
      <c r="AJ1587" s="126" t="e">
        <v>#N/A</v>
      </c>
      <c r="AK1587" s="80">
        <f t="shared" si="233"/>
        <v>0</v>
      </c>
      <c r="AM1587" s="85"/>
    </row>
    <row r="1588" spans="1:39" hidden="1" x14ac:dyDescent="0.3">
      <c r="A1588" s="85" t="s">
        <v>34</v>
      </c>
      <c r="B1588" s="15" t="s">
        <v>35</v>
      </c>
      <c r="C1588" s="15" t="s">
        <v>164</v>
      </c>
      <c r="D1588" s="15" t="s">
        <v>174</v>
      </c>
      <c r="E1588" s="15" t="s">
        <v>1966</v>
      </c>
      <c r="F1588" s="15" t="s">
        <v>1966</v>
      </c>
      <c r="G1588" s="15" t="s">
        <v>1966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1967</v>
      </c>
      <c r="N1588" s="15"/>
      <c r="O1588" s="8" t="s">
        <v>2054</v>
      </c>
      <c r="P1588" s="8" t="s">
        <v>41</v>
      </c>
      <c r="Q1588" s="9">
        <v>0</v>
      </c>
      <c r="R1588" s="139" t="s">
        <v>1968</v>
      </c>
      <c r="S1588" s="15"/>
      <c r="T1588" s="18">
        <v>-71665.901610000001</v>
      </c>
      <c r="U1588" s="4">
        <v>0</v>
      </c>
      <c r="V1588" s="6">
        <v>0.54</v>
      </c>
      <c r="W1588" s="18">
        <v>0</v>
      </c>
      <c r="X1588" s="18">
        <f t="shared" si="237"/>
        <v>0.54</v>
      </c>
      <c r="Y1588" s="13">
        <f t="shared" si="229"/>
        <v>0.21656416250916199</v>
      </c>
      <c r="Z1588" s="14">
        <v>0</v>
      </c>
      <c r="AA1588" s="4">
        <v>0</v>
      </c>
      <c r="AB1588" s="4">
        <f t="shared" si="230"/>
        <v>0.54</v>
      </c>
      <c r="AC1588" s="6">
        <f t="shared" si="231"/>
        <v>0</v>
      </c>
      <c r="AD1588" s="6">
        <f t="shared" si="236"/>
        <v>0.32343583749083804</v>
      </c>
      <c r="AE1588" s="2">
        <v>0.12</v>
      </c>
      <c r="AF1588" s="5">
        <f t="shared" si="232"/>
        <v>3.8812300498900561E-2</v>
      </c>
      <c r="AG1588" s="14">
        <v>0</v>
      </c>
      <c r="AH1588" s="19">
        <f t="shared" si="234"/>
        <v>0.54</v>
      </c>
      <c r="AJ1588" s="126" t="e">
        <v>#N/A</v>
      </c>
      <c r="AK1588" s="80">
        <f t="shared" si="233"/>
        <v>0</v>
      </c>
      <c r="AM1588" s="85"/>
    </row>
    <row r="1589" spans="1:39" hidden="1" x14ac:dyDescent="0.3">
      <c r="A1589" s="85" t="s">
        <v>34</v>
      </c>
      <c r="B1589" s="15" t="s">
        <v>35</v>
      </c>
      <c r="C1589" s="15" t="s">
        <v>164</v>
      </c>
      <c r="D1589" s="15" t="s">
        <v>174</v>
      </c>
      <c r="E1589" s="15" t="s">
        <v>1617</v>
      </c>
      <c r="F1589" s="15" t="s">
        <v>1617</v>
      </c>
      <c r="G1589" s="15" t="s">
        <v>1617</v>
      </c>
      <c r="H1589" s="154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1617</v>
      </c>
      <c r="N1589" s="15"/>
      <c r="O1589" s="8" t="s">
        <v>2054</v>
      </c>
      <c r="P1589" s="8" t="s">
        <v>46</v>
      </c>
      <c r="Q1589" s="9">
        <v>0.01</v>
      </c>
      <c r="R1589" s="139" t="s">
        <v>1622</v>
      </c>
      <c r="S1589" s="15"/>
      <c r="T1589" s="18">
        <v>-16514.08641</v>
      </c>
      <c r="U1589" s="4">
        <v>0</v>
      </c>
      <c r="V1589" s="6">
        <v>31945.132969999999</v>
      </c>
      <c r="W1589" s="18">
        <f t="shared" si="235"/>
        <v>-48459.219379999995</v>
      </c>
      <c r="X1589" s="18">
        <f t="shared" si="237"/>
        <v>31628.844524752472</v>
      </c>
      <c r="Y1589" s="13">
        <f t="shared" si="229"/>
        <v>12495.139273070748</v>
      </c>
      <c r="Z1589" s="14">
        <v>0</v>
      </c>
      <c r="AA1589" s="4">
        <v>0</v>
      </c>
      <c r="AB1589" s="4">
        <f t="shared" si="230"/>
        <v>31628.844524752472</v>
      </c>
      <c r="AC1589" s="6">
        <f t="shared" si="231"/>
        <v>316.2884452475264</v>
      </c>
      <c r="AD1589" s="6">
        <f t="shared" si="236"/>
        <v>19133.705251681724</v>
      </c>
      <c r="AE1589" s="2">
        <v>0.12</v>
      </c>
      <c r="AF1589" s="5">
        <f t="shared" si="232"/>
        <v>2296.0446302018067</v>
      </c>
      <c r="AG1589" s="14">
        <v>0</v>
      </c>
      <c r="AH1589" s="19">
        <f t="shared" si="234"/>
        <v>31945.132969999999</v>
      </c>
      <c r="AJ1589" s="126" t="e">
        <v>#N/A</v>
      </c>
      <c r="AK1589" s="80">
        <f t="shared" si="233"/>
        <v>0</v>
      </c>
      <c r="AM1589" s="85"/>
    </row>
    <row r="1590" spans="1:39" hidden="1" x14ac:dyDescent="0.3">
      <c r="A1590" s="85" t="s">
        <v>34</v>
      </c>
      <c r="B1590" s="15" t="s">
        <v>35</v>
      </c>
      <c r="C1590" s="15" t="s">
        <v>164</v>
      </c>
      <c r="D1590" s="15" t="s">
        <v>174</v>
      </c>
      <c r="E1590" s="15" t="s">
        <v>651</v>
      </c>
      <c r="F1590" s="15" t="s">
        <v>651</v>
      </c>
      <c r="G1590" s="15" t="s">
        <v>651</v>
      </c>
      <c r="H1590" s="154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651</v>
      </c>
      <c r="N1590" s="15"/>
      <c r="O1590" s="8" t="s">
        <v>2054</v>
      </c>
      <c r="P1590" s="8" t="s">
        <v>46</v>
      </c>
      <c r="Q1590" s="9">
        <v>0.06</v>
      </c>
      <c r="R1590" s="139" t="s">
        <v>1973</v>
      </c>
      <c r="S1590" s="15"/>
      <c r="T1590" s="18">
        <v>-100685.74029999989</v>
      </c>
      <c r="U1590" s="4">
        <v>0</v>
      </c>
      <c r="V1590" s="6">
        <v>1.3576999999999999</v>
      </c>
      <c r="W1590" s="18">
        <f t="shared" si="235"/>
        <v>-100687.09799999988</v>
      </c>
      <c r="X1590" s="18">
        <f t="shared" si="237"/>
        <v>1.2808490566037734</v>
      </c>
      <c r="Y1590" s="13">
        <f t="shared" si="229"/>
        <v>0.4676475074161609</v>
      </c>
      <c r="Z1590" s="14">
        <v>0</v>
      </c>
      <c r="AA1590" s="4">
        <v>0</v>
      </c>
      <c r="AB1590" s="4">
        <f t="shared" si="230"/>
        <v>1.2808490566037734</v>
      </c>
      <c r="AC1590" s="6">
        <f t="shared" si="231"/>
        <v>7.6850943396226556E-2</v>
      </c>
      <c r="AD1590" s="6">
        <f t="shared" si="236"/>
        <v>0.81320154918761245</v>
      </c>
      <c r="AE1590" s="2">
        <v>0.12</v>
      </c>
      <c r="AF1590" s="5">
        <f t="shared" si="232"/>
        <v>9.7584185902513484E-2</v>
      </c>
      <c r="AG1590" s="14">
        <v>0</v>
      </c>
      <c r="AH1590" s="19">
        <f t="shared" si="234"/>
        <v>1.3576999999999999</v>
      </c>
      <c r="AJ1590" s="126" t="e">
        <v>#N/A</v>
      </c>
      <c r="AK1590" s="80">
        <f t="shared" si="233"/>
        <v>0</v>
      </c>
      <c r="AM1590" s="85"/>
    </row>
    <row r="1591" spans="1:39" hidden="1" x14ac:dyDescent="0.3">
      <c r="A1591" s="85" t="s">
        <v>34</v>
      </c>
      <c r="B1591" s="15" t="s">
        <v>35</v>
      </c>
      <c r="C1591" s="15" t="s">
        <v>164</v>
      </c>
      <c r="D1591" s="15" t="s">
        <v>174</v>
      </c>
      <c r="E1591" s="15" t="s">
        <v>651</v>
      </c>
      <c r="F1591" s="15" t="s">
        <v>651</v>
      </c>
      <c r="G1591" s="15" t="s">
        <v>651</v>
      </c>
      <c r="H1591" s="154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651</v>
      </c>
      <c r="N1591" s="15"/>
      <c r="O1591" s="8" t="s">
        <v>941</v>
      </c>
      <c r="P1591" s="8" t="s">
        <v>46</v>
      </c>
      <c r="Q1591" s="9">
        <v>0.06</v>
      </c>
      <c r="R1591" s="139" t="s">
        <v>1974</v>
      </c>
      <c r="S1591" s="15"/>
      <c r="T1591" s="18">
        <v>-728794.27096999995</v>
      </c>
      <c r="U1591" s="4">
        <v>0</v>
      </c>
      <c r="V1591" s="6">
        <v>0.37275000000000003</v>
      </c>
      <c r="W1591" s="18">
        <f t="shared" si="235"/>
        <v>-728794.64371999993</v>
      </c>
      <c r="X1591" s="18">
        <f t="shared" si="237"/>
        <v>0.35165094339622643</v>
      </c>
      <c r="Y1591" s="13">
        <f t="shared" si="229"/>
        <v>0.12839037223935629</v>
      </c>
      <c r="Z1591" s="14">
        <v>0</v>
      </c>
      <c r="AA1591" s="4">
        <v>0</v>
      </c>
      <c r="AB1591" s="4">
        <f t="shared" si="230"/>
        <v>0.35165094339622643</v>
      </c>
      <c r="AC1591" s="6">
        <f t="shared" si="231"/>
        <v>2.1099056603773592E-2</v>
      </c>
      <c r="AD1591" s="6">
        <f t="shared" si="236"/>
        <v>0.22326057115687015</v>
      </c>
      <c r="AE1591" s="2">
        <v>0.15</v>
      </c>
      <c r="AF1591" s="5">
        <f t="shared" si="232"/>
        <v>3.3489085673530518E-2</v>
      </c>
      <c r="AG1591" s="14">
        <v>0</v>
      </c>
      <c r="AH1591" s="19">
        <f t="shared" si="234"/>
        <v>0.37275000000000003</v>
      </c>
      <c r="AJ1591" s="126" t="e">
        <v>#N/A</v>
      </c>
      <c r="AK1591" s="80">
        <f t="shared" si="233"/>
        <v>0</v>
      </c>
      <c r="AM1591" s="85"/>
    </row>
    <row r="1592" spans="1:39" hidden="1" x14ac:dyDescent="0.3">
      <c r="A1592" s="85" t="s">
        <v>34</v>
      </c>
      <c r="B1592" s="15" t="s">
        <v>35</v>
      </c>
      <c r="C1592" s="15" t="s">
        <v>47</v>
      </c>
      <c r="D1592" s="15" t="s">
        <v>63</v>
      </c>
      <c r="E1592" s="15" t="s">
        <v>891</v>
      </c>
      <c r="F1592" s="15" t="s">
        <v>891</v>
      </c>
      <c r="G1592" s="15" t="s">
        <v>891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891</v>
      </c>
      <c r="N1592" s="15"/>
      <c r="O1592" s="8" t="s">
        <v>1196</v>
      </c>
      <c r="P1592" s="8" t="s">
        <v>46</v>
      </c>
      <c r="Q1592" s="9">
        <v>0.08</v>
      </c>
      <c r="R1592" s="139" t="s">
        <v>2363</v>
      </c>
      <c r="S1592" s="15"/>
      <c r="T1592" s="18">
        <v>12986.9</v>
      </c>
      <c r="U1592" s="4">
        <v>0</v>
      </c>
      <c r="V1592" s="6">
        <v>0</v>
      </c>
      <c r="W1592" s="18">
        <f t="shared" si="235"/>
        <v>12986.9</v>
      </c>
      <c r="X1592" s="18">
        <f t="shared" si="237"/>
        <v>0</v>
      </c>
      <c r="Y1592" s="13">
        <f t="shared" si="229"/>
        <v>0</v>
      </c>
      <c r="Z1592" s="14">
        <v>0</v>
      </c>
      <c r="AA1592" s="4">
        <v>0</v>
      </c>
      <c r="AB1592" s="4">
        <f t="shared" si="230"/>
        <v>0</v>
      </c>
      <c r="AC1592" s="6">
        <f t="shared" si="231"/>
        <v>0</v>
      </c>
      <c r="AD1592" s="6">
        <f t="shared" si="236"/>
        <v>0</v>
      </c>
      <c r="AE1592" s="2">
        <v>0.12</v>
      </c>
      <c r="AF1592" s="5">
        <f t="shared" si="232"/>
        <v>0</v>
      </c>
      <c r="AG1592" s="14">
        <v>0</v>
      </c>
      <c r="AH1592" s="19">
        <f t="shared" si="234"/>
        <v>0</v>
      </c>
      <c r="AJ1592" s="126" t="e">
        <v>#N/A</v>
      </c>
      <c r="AK1592" s="80">
        <f t="shared" si="233"/>
        <v>0</v>
      </c>
      <c r="AM1592" s="85"/>
    </row>
    <row r="1593" spans="1:39" hidden="1" x14ac:dyDescent="0.3">
      <c r="A1593" s="85" t="s">
        <v>34</v>
      </c>
      <c r="B1593" s="15" t="s">
        <v>35</v>
      </c>
      <c r="C1593" s="15" t="s">
        <v>144</v>
      </c>
      <c r="D1593" s="15" t="s">
        <v>152</v>
      </c>
      <c r="E1593" s="15" t="s">
        <v>159</v>
      </c>
      <c r="F1593" s="15" t="s">
        <v>159</v>
      </c>
      <c r="G1593" s="15" t="s">
        <v>159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159</v>
      </c>
      <c r="N1593" s="15"/>
      <c r="O1593" s="8" t="s">
        <v>1196</v>
      </c>
      <c r="P1593" s="8" t="s">
        <v>41</v>
      </c>
      <c r="Q1593" s="9">
        <v>0</v>
      </c>
      <c r="R1593" s="139" t="s">
        <v>1929</v>
      </c>
      <c r="S1593" s="15"/>
      <c r="T1593" s="18">
        <v>-44714.1</v>
      </c>
      <c r="U1593" s="4">
        <v>0</v>
      </c>
      <c r="V1593" s="6">
        <v>0</v>
      </c>
      <c r="W1593" s="18">
        <f t="shared" si="235"/>
        <v>-44714.1</v>
      </c>
      <c r="X1593" s="18">
        <f t="shared" si="237"/>
        <v>0</v>
      </c>
      <c r="Y1593" s="13">
        <f t="shared" si="229"/>
        <v>0</v>
      </c>
      <c r="Z1593" s="14">
        <v>0</v>
      </c>
      <c r="AA1593" s="4">
        <v>0</v>
      </c>
      <c r="AB1593" s="4">
        <f t="shared" si="230"/>
        <v>0</v>
      </c>
      <c r="AC1593" s="6">
        <f t="shared" si="231"/>
        <v>0</v>
      </c>
      <c r="AD1593" s="6">
        <f t="shared" si="236"/>
        <v>0</v>
      </c>
      <c r="AE1593" s="2">
        <v>0.12</v>
      </c>
      <c r="AF1593" s="5">
        <f t="shared" si="232"/>
        <v>0</v>
      </c>
      <c r="AG1593" s="14">
        <v>0</v>
      </c>
      <c r="AH1593" s="19">
        <f t="shared" si="234"/>
        <v>0</v>
      </c>
      <c r="AJ1593" s="126" t="e">
        <v>#N/A</v>
      </c>
      <c r="AK1593" s="80">
        <f t="shared" si="233"/>
        <v>0</v>
      </c>
      <c r="AM1593" s="85"/>
    </row>
    <row r="1594" spans="1:39" hidden="1" x14ac:dyDescent="0.3">
      <c r="A1594" s="85" t="s">
        <v>34</v>
      </c>
      <c r="B1594" s="15" t="s">
        <v>35</v>
      </c>
      <c r="C1594" s="15" t="s">
        <v>2029</v>
      </c>
      <c r="D1594" s="15" t="s">
        <v>54</v>
      </c>
      <c r="E1594" s="15" t="s">
        <v>55</v>
      </c>
      <c r="F1594" s="15" t="s">
        <v>55</v>
      </c>
      <c r="G1594" s="15" t="s">
        <v>55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55</v>
      </c>
      <c r="N1594" s="15"/>
      <c r="O1594" s="8" t="s">
        <v>1196</v>
      </c>
      <c r="P1594" s="8" t="s">
        <v>41</v>
      </c>
      <c r="Q1594" s="9">
        <v>0</v>
      </c>
      <c r="R1594" s="139" t="s">
        <v>1869</v>
      </c>
      <c r="S1594" s="15"/>
      <c r="T1594" s="18">
        <v>-196.2</v>
      </c>
      <c r="U1594" s="4">
        <v>0</v>
      </c>
      <c r="V1594" s="6">
        <v>0</v>
      </c>
      <c r="W1594" s="18">
        <f t="shared" si="235"/>
        <v>-196.2</v>
      </c>
      <c r="X1594" s="18">
        <f t="shared" si="237"/>
        <v>0</v>
      </c>
      <c r="Y1594" s="13">
        <f t="shared" si="229"/>
        <v>0</v>
      </c>
      <c r="Z1594" s="14">
        <v>0</v>
      </c>
      <c r="AA1594" s="4">
        <v>0</v>
      </c>
      <c r="AB1594" s="4">
        <f t="shared" si="230"/>
        <v>0</v>
      </c>
      <c r="AC1594" s="6">
        <f t="shared" si="231"/>
        <v>0</v>
      </c>
      <c r="AD1594" s="6">
        <f t="shared" si="236"/>
        <v>0</v>
      </c>
      <c r="AE1594" s="2">
        <v>0.12</v>
      </c>
      <c r="AF1594" s="5">
        <f t="shared" si="232"/>
        <v>0</v>
      </c>
      <c r="AG1594" s="14">
        <v>0</v>
      </c>
      <c r="AH1594" s="19">
        <f t="shared" si="234"/>
        <v>0</v>
      </c>
      <c r="AJ1594" s="126" t="e">
        <v>#N/A</v>
      </c>
      <c r="AK1594" s="80">
        <f t="shared" si="233"/>
        <v>0</v>
      </c>
      <c r="AM1594" s="85"/>
    </row>
    <row r="1595" spans="1:39" hidden="1" x14ac:dyDescent="0.3">
      <c r="A1595" s="85" t="s">
        <v>34</v>
      </c>
      <c r="B1595" s="15" t="s">
        <v>35</v>
      </c>
      <c r="C1595" s="15" t="s">
        <v>2029</v>
      </c>
      <c r="D1595" s="15" t="s">
        <v>54</v>
      </c>
      <c r="E1595" s="15" t="s">
        <v>55</v>
      </c>
      <c r="F1595" s="15" t="s">
        <v>55</v>
      </c>
      <c r="G1595" s="15" t="s">
        <v>55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55</v>
      </c>
      <c r="N1595" s="15"/>
      <c r="O1595" s="8" t="s">
        <v>2054</v>
      </c>
      <c r="P1595" s="8" t="s">
        <v>41</v>
      </c>
      <c r="Q1595" s="9">
        <v>0</v>
      </c>
      <c r="R1595" s="139" t="s">
        <v>1869</v>
      </c>
      <c r="S1595" s="15"/>
      <c r="T1595" s="18">
        <v>-2919</v>
      </c>
      <c r="U1595" s="4">
        <v>0</v>
      </c>
      <c r="V1595" s="6">
        <v>0</v>
      </c>
      <c r="W1595" s="18">
        <f t="shared" si="235"/>
        <v>-2919</v>
      </c>
      <c r="X1595" s="18">
        <f t="shared" si="237"/>
        <v>0</v>
      </c>
      <c r="Y1595" s="13">
        <f t="shared" si="229"/>
        <v>0</v>
      </c>
      <c r="Z1595" s="14">
        <v>0</v>
      </c>
      <c r="AA1595" s="4">
        <v>0</v>
      </c>
      <c r="AB1595" s="4">
        <f t="shared" si="230"/>
        <v>0</v>
      </c>
      <c r="AC1595" s="6">
        <f t="shared" si="231"/>
        <v>0</v>
      </c>
      <c r="AD1595" s="6">
        <f t="shared" si="236"/>
        <v>0</v>
      </c>
      <c r="AE1595" s="2">
        <v>0.12</v>
      </c>
      <c r="AF1595" s="5">
        <f t="shared" si="232"/>
        <v>0</v>
      </c>
      <c r="AG1595" s="14">
        <v>0</v>
      </c>
      <c r="AH1595" s="19">
        <f t="shared" si="234"/>
        <v>0</v>
      </c>
      <c r="AJ1595" s="126" t="e">
        <v>#N/A</v>
      </c>
      <c r="AK1595" s="80">
        <f t="shared" si="233"/>
        <v>0</v>
      </c>
      <c r="AM1595" s="85"/>
    </row>
    <row r="1596" spans="1:39" hidden="1" x14ac:dyDescent="0.3">
      <c r="A1596" s="85" t="s">
        <v>34</v>
      </c>
      <c r="B1596" s="15" t="s">
        <v>35</v>
      </c>
      <c r="C1596" s="15" t="s">
        <v>144</v>
      </c>
      <c r="D1596" s="15" t="s">
        <v>152</v>
      </c>
      <c r="E1596" s="15" t="s">
        <v>159</v>
      </c>
      <c r="F1596" s="15" t="s">
        <v>159</v>
      </c>
      <c r="G1596" s="15" t="s">
        <v>159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159</v>
      </c>
      <c r="N1596" s="15"/>
      <c r="O1596" s="8" t="s">
        <v>941</v>
      </c>
      <c r="P1596" s="8" t="s">
        <v>41</v>
      </c>
      <c r="Q1596" s="9">
        <v>0</v>
      </c>
      <c r="R1596" s="139" t="s">
        <v>1929</v>
      </c>
      <c r="S1596" s="15"/>
      <c r="T1596" s="18">
        <v>-37844.81</v>
      </c>
      <c r="U1596" s="4">
        <v>0</v>
      </c>
      <c r="V1596" s="6">
        <v>0</v>
      </c>
      <c r="W1596" s="18">
        <f t="shared" si="235"/>
        <v>-37844.81</v>
      </c>
      <c r="X1596" s="18">
        <f t="shared" si="237"/>
        <v>0</v>
      </c>
      <c r="Y1596" s="13">
        <f t="shared" si="229"/>
        <v>0</v>
      </c>
      <c r="Z1596" s="14">
        <v>0</v>
      </c>
      <c r="AA1596" s="4">
        <v>0</v>
      </c>
      <c r="AB1596" s="4">
        <f t="shared" si="230"/>
        <v>0</v>
      </c>
      <c r="AC1596" s="6">
        <f t="shared" si="231"/>
        <v>0</v>
      </c>
      <c r="AD1596" s="6">
        <f t="shared" si="236"/>
        <v>0</v>
      </c>
      <c r="AE1596" s="2">
        <v>0.15</v>
      </c>
      <c r="AF1596" s="5">
        <f t="shared" si="232"/>
        <v>0</v>
      </c>
      <c r="AG1596" s="14">
        <v>0</v>
      </c>
      <c r="AH1596" s="19">
        <f t="shared" si="234"/>
        <v>0</v>
      </c>
      <c r="AJ1596" s="126" t="e">
        <v>#N/A</v>
      </c>
      <c r="AK1596" s="80">
        <f t="shared" si="233"/>
        <v>0</v>
      </c>
      <c r="AM1596" s="85"/>
    </row>
    <row r="1597" spans="1:39" hidden="1" x14ac:dyDescent="0.3">
      <c r="A1597" s="85" t="s">
        <v>34</v>
      </c>
      <c r="B1597" s="15" t="s">
        <v>35</v>
      </c>
      <c r="C1597" s="15" t="s">
        <v>144</v>
      </c>
      <c r="D1597" s="15" t="s">
        <v>152</v>
      </c>
      <c r="E1597" s="15" t="s">
        <v>159</v>
      </c>
      <c r="F1597" s="15" t="s">
        <v>159</v>
      </c>
      <c r="G1597" s="15" t="s">
        <v>159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159</v>
      </c>
      <c r="N1597" s="15"/>
      <c r="O1597" s="8" t="s">
        <v>2054</v>
      </c>
      <c r="P1597" s="8" t="s">
        <v>41</v>
      </c>
      <c r="Q1597" s="9">
        <v>0</v>
      </c>
      <c r="R1597" s="139" t="s">
        <v>1929</v>
      </c>
      <c r="S1597" s="15"/>
      <c r="T1597" s="18">
        <v>-12760.63</v>
      </c>
      <c r="U1597" s="4">
        <v>0</v>
      </c>
      <c r="V1597" s="6">
        <v>0</v>
      </c>
      <c r="W1597" s="18">
        <f t="shared" si="235"/>
        <v>-12760.63</v>
      </c>
      <c r="X1597" s="18">
        <f t="shared" si="237"/>
        <v>0</v>
      </c>
      <c r="Y1597" s="13">
        <f t="shared" si="229"/>
        <v>0</v>
      </c>
      <c r="Z1597" s="14">
        <v>0</v>
      </c>
      <c r="AA1597" s="4">
        <v>0</v>
      </c>
      <c r="AB1597" s="4">
        <f t="shared" si="230"/>
        <v>0</v>
      </c>
      <c r="AC1597" s="6">
        <f t="shared" si="231"/>
        <v>0</v>
      </c>
      <c r="AD1597" s="6">
        <f t="shared" si="236"/>
        <v>0</v>
      </c>
      <c r="AE1597" s="2">
        <v>0.12</v>
      </c>
      <c r="AF1597" s="5">
        <f t="shared" si="232"/>
        <v>0</v>
      </c>
      <c r="AG1597" s="14">
        <v>0</v>
      </c>
      <c r="AH1597" s="19">
        <f t="shared" si="234"/>
        <v>0</v>
      </c>
      <c r="AJ1597" s="126" t="e">
        <v>#N/A</v>
      </c>
      <c r="AK1597" s="80">
        <f t="shared" si="233"/>
        <v>0</v>
      </c>
      <c r="AM1597" s="85"/>
    </row>
    <row r="1598" spans="1:39" hidden="1" x14ac:dyDescent="0.3">
      <c r="A1598" s="85" t="s">
        <v>34</v>
      </c>
      <c r="B1598" s="15" t="s">
        <v>35</v>
      </c>
      <c r="C1598" s="15" t="s">
        <v>164</v>
      </c>
      <c r="D1598" s="15" t="s">
        <v>174</v>
      </c>
      <c r="E1598" s="15" t="s">
        <v>651</v>
      </c>
      <c r="F1598" s="15" t="s">
        <v>651</v>
      </c>
      <c r="G1598" s="15" t="s">
        <v>651</v>
      </c>
      <c r="H1598" s="154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1629</v>
      </c>
      <c r="N1598" s="15"/>
      <c r="O1598" s="8" t="s">
        <v>941</v>
      </c>
      <c r="P1598" s="8" t="s">
        <v>46</v>
      </c>
      <c r="Q1598" s="9">
        <v>0.06</v>
      </c>
      <c r="R1598" s="139" t="s">
        <v>1630</v>
      </c>
      <c r="S1598" s="15"/>
      <c r="T1598" s="18">
        <v>-430154.44508999999</v>
      </c>
      <c r="U1598" s="4">
        <v>0</v>
      </c>
      <c r="V1598" s="6">
        <v>1.8859900000000001</v>
      </c>
      <c r="W1598" s="18">
        <f t="shared" si="235"/>
        <v>-430156.33107999997</v>
      </c>
      <c r="X1598" s="18">
        <f t="shared" si="237"/>
        <v>1.7792358490566038</v>
      </c>
      <c r="Y1598" s="13">
        <f t="shared" si="229"/>
        <v>0.64961222840966748</v>
      </c>
      <c r="Z1598" s="14">
        <v>0</v>
      </c>
      <c r="AA1598" s="4">
        <v>0</v>
      </c>
      <c r="AB1598" s="4">
        <f t="shared" si="230"/>
        <v>1.7792358490566038</v>
      </c>
      <c r="AC1598" s="6">
        <f t="shared" si="231"/>
        <v>0.10675415094339624</v>
      </c>
      <c r="AD1598" s="6">
        <f t="shared" si="236"/>
        <v>1.1296236206469363</v>
      </c>
      <c r="AE1598" s="2">
        <v>0.15</v>
      </c>
      <c r="AF1598" s="5">
        <f t="shared" si="232"/>
        <v>0.16944354309704043</v>
      </c>
      <c r="AG1598" s="14">
        <v>0</v>
      </c>
      <c r="AH1598" s="19">
        <f t="shared" si="234"/>
        <v>1.8859900000000001</v>
      </c>
      <c r="AJ1598" s="126" t="e">
        <v>#N/A</v>
      </c>
      <c r="AK1598" s="80">
        <f t="shared" si="233"/>
        <v>0</v>
      </c>
      <c r="AM1598" s="85"/>
    </row>
    <row r="1599" spans="1:39" hidden="1" x14ac:dyDescent="0.3">
      <c r="A1599" s="85" t="s">
        <v>34</v>
      </c>
      <c r="B1599" s="15" t="s">
        <v>35</v>
      </c>
      <c r="C1599" s="15" t="s">
        <v>36</v>
      </c>
      <c r="D1599" s="15" t="s">
        <v>54</v>
      </c>
      <c r="E1599" s="15" t="s">
        <v>114</v>
      </c>
      <c r="F1599" s="15" t="s">
        <v>114</v>
      </c>
      <c r="G1599" s="15" t="s">
        <v>114</v>
      </c>
      <c r="H1599" s="154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1866</v>
      </c>
      <c r="N1599" s="15"/>
      <c r="O1599" s="8" t="s">
        <v>1196</v>
      </c>
      <c r="P1599" s="8" t="s">
        <v>41</v>
      </c>
      <c r="Q1599" s="9">
        <v>0</v>
      </c>
      <c r="R1599" s="139" t="s">
        <v>1867</v>
      </c>
      <c r="S1599" s="15"/>
      <c r="T1599" s="18">
        <v>-19366.55</v>
      </c>
      <c r="U1599" s="4">
        <v>0</v>
      </c>
      <c r="V1599" s="6">
        <v>2.1</v>
      </c>
      <c r="W1599" s="18">
        <f t="shared" si="235"/>
        <v>-19368.649999999998</v>
      </c>
      <c r="X1599" s="18">
        <f t="shared" si="237"/>
        <v>2.1</v>
      </c>
      <c r="Y1599" s="13">
        <f t="shared" si="229"/>
        <v>0.84219396531340784</v>
      </c>
      <c r="Z1599" s="14">
        <v>0</v>
      </c>
      <c r="AA1599" s="4">
        <v>0</v>
      </c>
      <c r="AB1599" s="4">
        <f t="shared" si="230"/>
        <v>2.1</v>
      </c>
      <c r="AC1599" s="6">
        <f t="shared" si="231"/>
        <v>0</v>
      </c>
      <c r="AD1599" s="6">
        <f t="shared" si="236"/>
        <v>1.2578060346865922</v>
      </c>
      <c r="AE1599" s="2">
        <v>0.12</v>
      </c>
      <c r="AF1599" s="5">
        <f t="shared" si="232"/>
        <v>0.15093672416239107</v>
      </c>
      <c r="AG1599" s="14">
        <v>0</v>
      </c>
      <c r="AH1599" s="19">
        <f t="shared" si="234"/>
        <v>2.1</v>
      </c>
      <c r="AJ1599" s="126" t="e">
        <v>#N/A</v>
      </c>
      <c r="AK1599" s="80">
        <f t="shared" si="233"/>
        <v>0</v>
      </c>
      <c r="AM1599" s="85"/>
    </row>
    <row r="1600" spans="1:39" hidden="1" x14ac:dyDescent="0.3">
      <c r="A1600" s="85" t="s">
        <v>34</v>
      </c>
      <c r="B1600" s="15" t="s">
        <v>35</v>
      </c>
      <c r="C1600" s="15" t="s">
        <v>164</v>
      </c>
      <c r="D1600" s="15" t="s">
        <v>181</v>
      </c>
      <c r="E1600" s="15" t="s">
        <v>182</v>
      </c>
      <c r="F1600" s="15" t="s">
        <v>183</v>
      </c>
      <c r="G1600" s="15" t="s">
        <v>182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1829</v>
      </c>
      <c r="N1600" s="15"/>
      <c r="O1600" s="8" t="s">
        <v>1196</v>
      </c>
      <c r="P1600" s="8" t="s">
        <v>41</v>
      </c>
      <c r="Q1600" s="9">
        <v>0</v>
      </c>
      <c r="R1600" s="139" t="s">
        <v>1830</v>
      </c>
      <c r="S1600" s="15"/>
      <c r="T1600" s="18">
        <v>-20103.67324</v>
      </c>
      <c r="U1600" s="4">
        <v>0</v>
      </c>
      <c r="V1600" s="6">
        <v>0</v>
      </c>
      <c r="W1600" s="18">
        <f t="shared" si="235"/>
        <v>-20103.67324</v>
      </c>
      <c r="X1600" s="18">
        <f t="shared" si="237"/>
        <v>0</v>
      </c>
      <c r="Y1600" s="13">
        <f t="shared" si="229"/>
        <v>0</v>
      </c>
      <c r="Z1600" s="14">
        <v>0</v>
      </c>
      <c r="AA1600" s="4">
        <v>0</v>
      </c>
      <c r="AB1600" s="4">
        <f t="shared" si="230"/>
        <v>0</v>
      </c>
      <c r="AC1600" s="6">
        <f t="shared" si="231"/>
        <v>0</v>
      </c>
      <c r="AD1600" s="6">
        <f t="shared" si="236"/>
        <v>0</v>
      </c>
      <c r="AE1600" s="2">
        <v>0.12</v>
      </c>
      <c r="AF1600" s="5">
        <f t="shared" si="232"/>
        <v>0</v>
      </c>
      <c r="AG1600" s="14">
        <v>0</v>
      </c>
      <c r="AH1600" s="19">
        <f t="shared" si="234"/>
        <v>0</v>
      </c>
      <c r="AJ1600" s="126" t="e">
        <v>#N/A</v>
      </c>
      <c r="AK1600" s="80">
        <f t="shared" si="233"/>
        <v>0</v>
      </c>
      <c r="AM1600" s="85"/>
    </row>
    <row r="1601" spans="1:39" hidden="1" x14ac:dyDescent="0.3">
      <c r="A1601" s="85" t="s">
        <v>34</v>
      </c>
      <c r="B1601" s="15" t="s">
        <v>35</v>
      </c>
      <c r="C1601" s="15" t="s">
        <v>65</v>
      </c>
      <c r="D1601" s="15" t="s">
        <v>66</v>
      </c>
      <c r="E1601" s="15" t="s">
        <v>1881</v>
      </c>
      <c r="F1601" s="15" t="s">
        <v>1881</v>
      </c>
      <c r="G1601" s="15" t="s">
        <v>1881</v>
      </c>
      <c r="H1601" s="154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1881</v>
      </c>
      <c r="N1601" s="15"/>
      <c r="O1601" s="8" t="s">
        <v>2364</v>
      </c>
      <c r="P1601" s="8" t="s">
        <v>1327</v>
      </c>
      <c r="Q1601" s="9">
        <v>0</v>
      </c>
      <c r="R1601" s="139" t="s">
        <v>1882</v>
      </c>
      <c r="S1601" s="15"/>
      <c r="T1601" s="18">
        <v>-3206.4360999999999</v>
      </c>
      <c r="U1601" s="4">
        <v>0</v>
      </c>
      <c r="V1601" s="6">
        <v>0.15514</v>
      </c>
      <c r="W1601" s="18">
        <v>0</v>
      </c>
      <c r="X1601" s="18">
        <f t="shared" si="237"/>
        <v>0.15514</v>
      </c>
      <c r="Y1601" s="13">
        <f t="shared" si="229"/>
        <v>6.2218081799391464E-2</v>
      </c>
      <c r="Z1601" s="14">
        <v>0</v>
      </c>
      <c r="AA1601" s="4">
        <v>0</v>
      </c>
      <c r="AB1601" s="4">
        <f t="shared" si="230"/>
        <v>0.15514</v>
      </c>
      <c r="AC1601" s="6">
        <f t="shared" si="231"/>
        <v>0</v>
      </c>
      <c r="AD1601" s="6">
        <f t="shared" si="236"/>
        <v>9.2921918200608536E-2</v>
      </c>
      <c r="AE1601" s="2">
        <v>0.15</v>
      </c>
      <c r="AF1601" s="5">
        <f t="shared" si="232"/>
        <v>1.393828773009128E-2</v>
      </c>
      <c r="AG1601" s="14">
        <v>0</v>
      </c>
      <c r="AH1601" s="19">
        <f t="shared" si="234"/>
        <v>0.15514</v>
      </c>
      <c r="AJ1601" s="126" t="e">
        <v>#N/A</v>
      </c>
      <c r="AK1601" s="80">
        <f t="shared" si="233"/>
        <v>0</v>
      </c>
      <c r="AM1601" s="85"/>
    </row>
    <row r="1602" spans="1:39" hidden="1" x14ac:dyDescent="0.3">
      <c r="A1602" s="85" t="s">
        <v>34</v>
      </c>
      <c r="B1602" s="15" t="s">
        <v>35</v>
      </c>
      <c r="C1602" s="15" t="s">
        <v>65</v>
      </c>
      <c r="D1602" s="15" t="s">
        <v>66</v>
      </c>
      <c r="E1602" s="15" t="s">
        <v>1881</v>
      </c>
      <c r="F1602" s="15" t="s">
        <v>1881</v>
      </c>
      <c r="G1602" s="15" t="s">
        <v>1881</v>
      </c>
      <c r="H1602" s="154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1881</v>
      </c>
      <c r="N1602" s="15"/>
      <c r="O1602" s="8" t="s">
        <v>2365</v>
      </c>
      <c r="P1602" s="8" t="s">
        <v>1327</v>
      </c>
      <c r="Q1602" s="9">
        <v>0</v>
      </c>
      <c r="R1602" s="139" t="s">
        <v>1882</v>
      </c>
      <c r="S1602" s="15"/>
      <c r="T1602" s="18">
        <v>-468.95204999999999</v>
      </c>
      <c r="U1602" s="4">
        <v>0</v>
      </c>
      <c r="V1602" s="6">
        <v>1.10453</v>
      </c>
      <c r="W1602" s="18">
        <v>0</v>
      </c>
      <c r="X1602" s="18">
        <f t="shared" si="237"/>
        <v>1.10453</v>
      </c>
      <c r="Y1602" s="13">
        <f t="shared" si="229"/>
        <v>0.44296595262267535</v>
      </c>
      <c r="Z1602" s="14">
        <v>0</v>
      </c>
      <c r="AA1602" s="4">
        <v>0</v>
      </c>
      <c r="AB1602" s="4">
        <f t="shared" si="230"/>
        <v>1.10453</v>
      </c>
      <c r="AC1602" s="6">
        <f t="shared" si="231"/>
        <v>0</v>
      </c>
      <c r="AD1602" s="6">
        <f t="shared" si="236"/>
        <v>0.66156404737732466</v>
      </c>
      <c r="AE1602" s="2">
        <v>0.12</v>
      </c>
      <c r="AF1602" s="5">
        <f t="shared" si="232"/>
        <v>7.9387685685278958E-2</v>
      </c>
      <c r="AG1602" s="14">
        <v>0</v>
      </c>
      <c r="AH1602" s="19">
        <f t="shared" si="234"/>
        <v>1.10453</v>
      </c>
      <c r="AJ1602" s="126" t="e">
        <v>#N/A</v>
      </c>
      <c r="AK1602" s="80">
        <f t="shared" si="233"/>
        <v>0</v>
      </c>
      <c r="AM1602" s="85"/>
    </row>
    <row r="1603" spans="1:39" hidden="1" x14ac:dyDescent="0.3">
      <c r="A1603" s="85" t="s">
        <v>34</v>
      </c>
      <c r="B1603" s="15" t="s">
        <v>35</v>
      </c>
      <c r="C1603" s="15" t="s">
        <v>65</v>
      </c>
      <c r="D1603" s="15" t="s">
        <v>66</v>
      </c>
      <c r="E1603" s="15" t="s">
        <v>1877</v>
      </c>
      <c r="F1603" s="15" t="s">
        <v>1877</v>
      </c>
      <c r="G1603" s="15" t="s">
        <v>1877</v>
      </c>
      <c r="H1603" s="154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1877</v>
      </c>
      <c r="N1603" s="15"/>
      <c r="O1603" s="8" t="s">
        <v>2365</v>
      </c>
      <c r="P1603" s="8" t="s">
        <v>1327</v>
      </c>
      <c r="Q1603" s="9">
        <v>0</v>
      </c>
      <c r="R1603" s="139" t="s">
        <v>1878</v>
      </c>
      <c r="S1603" s="15"/>
      <c r="T1603" s="18">
        <v>-118.11</v>
      </c>
      <c r="U1603" s="4">
        <v>0</v>
      </c>
      <c r="V1603" s="6">
        <v>165.22</v>
      </c>
      <c r="W1603" s="18">
        <f t="shared" si="235"/>
        <v>-283.33</v>
      </c>
      <c r="X1603" s="18">
        <f t="shared" si="237"/>
        <v>165.22</v>
      </c>
      <c r="Y1603" s="13">
        <f t="shared" ref="Y1603:Y1666" si="238">IF(X1603-AD1603&lt;=0,0,IF(P1603="返现",MAX(X1603-AC1603-AD1603,0),MAX(X1603-AD1603)))</f>
        <v>66.260612832895831</v>
      </c>
      <c r="Z1603" s="14">
        <v>0</v>
      </c>
      <c r="AA1603" s="4">
        <v>0</v>
      </c>
      <c r="AB1603" s="4">
        <f t="shared" ref="AB1603:AB1666" si="239">X1603+AA1603</f>
        <v>165.22</v>
      </c>
      <c r="AC1603" s="6">
        <f t="shared" ref="AC1603:AC1666" si="240">IF(P1603="返现",X1603*Q1603,V1603-X1603)</f>
        <v>0</v>
      </c>
      <c r="AD1603" s="6">
        <f t="shared" si="236"/>
        <v>98.959387167104168</v>
      </c>
      <c r="AE1603" s="2">
        <v>0.12</v>
      </c>
      <c r="AF1603" s="5">
        <f t="shared" ref="AF1603:AF1666" si="241">AD1603*AE1603</f>
        <v>11.875126460052499</v>
      </c>
      <c r="AG1603" s="14">
        <v>0</v>
      </c>
      <c r="AH1603" s="19">
        <f t="shared" si="234"/>
        <v>165.22</v>
      </c>
      <c r="AJ1603" s="126" t="e">
        <v>#N/A</v>
      </c>
      <c r="AK1603" s="80">
        <f t="shared" ref="AK1603:AK1666" si="242">X1603+AA1603-AB1603</f>
        <v>0</v>
      </c>
      <c r="AM1603" s="85"/>
    </row>
    <row r="1604" spans="1:39" hidden="1" x14ac:dyDescent="0.3">
      <c r="A1604" s="85" t="s">
        <v>34</v>
      </c>
      <c r="B1604" s="15" t="s">
        <v>35</v>
      </c>
      <c r="C1604" s="15" t="s">
        <v>164</v>
      </c>
      <c r="D1604" s="15" t="s">
        <v>174</v>
      </c>
      <c r="E1604" s="15" t="s">
        <v>1711</v>
      </c>
      <c r="F1604" s="15" t="s">
        <v>1711</v>
      </c>
      <c r="G1604" s="15" t="s">
        <v>1711</v>
      </c>
      <c r="H1604" s="154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1711</v>
      </c>
      <c r="N1604" s="15"/>
      <c r="O1604" s="8" t="s">
        <v>2365</v>
      </c>
      <c r="P1604" s="8" t="s">
        <v>46</v>
      </c>
      <c r="Q1604" s="9">
        <v>0.04</v>
      </c>
      <c r="R1604" s="139" t="s">
        <v>1987</v>
      </c>
      <c r="S1604" s="15"/>
      <c r="T1604" s="18">
        <v>-244.84119999999999</v>
      </c>
      <c r="U1604" s="4">
        <v>0</v>
      </c>
      <c r="V1604" s="6">
        <v>1130.1176800000001</v>
      </c>
      <c r="W1604" s="18">
        <f t="shared" si="235"/>
        <v>-1374.9588800000001</v>
      </c>
      <c r="X1604" s="18">
        <f t="shared" si="237"/>
        <v>1086.6516153846153</v>
      </c>
      <c r="Y1604" s="13">
        <f t="shared" si="238"/>
        <v>409.76169261794325</v>
      </c>
      <c r="Z1604" s="14">
        <v>0</v>
      </c>
      <c r="AA1604" s="4">
        <v>0</v>
      </c>
      <c r="AB1604" s="4">
        <f t="shared" si="239"/>
        <v>1086.6516153846153</v>
      </c>
      <c r="AC1604" s="6">
        <f t="shared" si="240"/>
        <v>43.466064615384767</v>
      </c>
      <c r="AD1604" s="6">
        <f t="shared" si="236"/>
        <v>676.88992276667204</v>
      </c>
      <c r="AE1604" s="2">
        <v>0.12</v>
      </c>
      <c r="AF1604" s="5">
        <f t="shared" si="241"/>
        <v>81.226790732000637</v>
      </c>
      <c r="AG1604" s="14">
        <v>0</v>
      </c>
      <c r="AH1604" s="19">
        <f t="shared" si="234"/>
        <v>1130.1176800000001</v>
      </c>
      <c r="AJ1604" s="126" t="e">
        <v>#N/A</v>
      </c>
      <c r="AK1604" s="80">
        <f t="shared" si="242"/>
        <v>0</v>
      </c>
      <c r="AM1604" s="85"/>
    </row>
    <row r="1605" spans="1:39" hidden="1" x14ac:dyDescent="0.3">
      <c r="A1605" s="85" t="s">
        <v>34</v>
      </c>
      <c r="B1605" s="15" t="s">
        <v>35</v>
      </c>
      <c r="C1605" s="15" t="s">
        <v>164</v>
      </c>
      <c r="D1605" s="15" t="s">
        <v>181</v>
      </c>
      <c r="E1605" s="15" t="s">
        <v>182</v>
      </c>
      <c r="F1605" s="15" t="s">
        <v>183</v>
      </c>
      <c r="G1605" s="15" t="s">
        <v>182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1829</v>
      </c>
      <c r="N1605" s="15"/>
      <c r="O1605" s="8" t="s">
        <v>2365</v>
      </c>
      <c r="P1605" s="8" t="s">
        <v>41</v>
      </c>
      <c r="Q1605" s="9">
        <v>0</v>
      </c>
      <c r="R1605" s="139" t="s">
        <v>1830</v>
      </c>
      <c r="S1605" s="15"/>
      <c r="T1605" s="18">
        <v>-393.79475000000002</v>
      </c>
      <c r="U1605" s="4">
        <v>0</v>
      </c>
      <c r="V1605" s="6">
        <v>0</v>
      </c>
      <c r="W1605" s="18">
        <f t="shared" si="235"/>
        <v>-393.79475000000002</v>
      </c>
      <c r="X1605" s="18">
        <f t="shared" si="237"/>
        <v>0</v>
      </c>
      <c r="Y1605" s="13">
        <f t="shared" si="238"/>
        <v>0</v>
      </c>
      <c r="Z1605" s="14">
        <v>0</v>
      </c>
      <c r="AA1605" s="4">
        <v>0</v>
      </c>
      <c r="AB1605" s="4">
        <f t="shared" si="239"/>
        <v>0</v>
      </c>
      <c r="AC1605" s="6">
        <f t="shared" si="240"/>
        <v>0</v>
      </c>
      <c r="AD1605" s="6">
        <f t="shared" si="236"/>
        <v>0</v>
      </c>
      <c r="AE1605" s="2">
        <v>0.12</v>
      </c>
      <c r="AF1605" s="5">
        <f t="shared" si="241"/>
        <v>0</v>
      </c>
      <c r="AG1605" s="14">
        <v>0</v>
      </c>
      <c r="AH1605" s="19">
        <f t="shared" si="234"/>
        <v>0</v>
      </c>
      <c r="AJ1605" s="126" t="e">
        <v>#N/A</v>
      </c>
      <c r="AK1605" s="80">
        <f t="shared" si="242"/>
        <v>0</v>
      </c>
      <c r="AM1605" s="85"/>
    </row>
    <row r="1606" spans="1:39" hidden="1" x14ac:dyDescent="0.3">
      <c r="A1606" s="85" t="s">
        <v>34</v>
      </c>
      <c r="B1606" s="15" t="s">
        <v>35</v>
      </c>
      <c r="C1606" s="15" t="s">
        <v>144</v>
      </c>
      <c r="D1606" s="15" t="s">
        <v>161</v>
      </c>
      <c r="E1606" s="15" t="s">
        <v>1522</v>
      </c>
      <c r="F1606" s="15" t="s">
        <v>1522</v>
      </c>
      <c r="G1606" s="15" t="s">
        <v>1522</v>
      </c>
      <c r="H1606" s="154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1522</v>
      </c>
      <c r="N1606" s="15"/>
      <c r="O1606" s="8" t="s">
        <v>2365</v>
      </c>
      <c r="P1606" s="8" t="s">
        <v>41</v>
      </c>
      <c r="Q1606" s="14">
        <v>0</v>
      </c>
      <c r="R1606" s="139" t="s">
        <v>1527</v>
      </c>
      <c r="S1606" s="15"/>
      <c r="T1606" s="18">
        <v>0</v>
      </c>
      <c r="U1606" s="4">
        <v>0</v>
      </c>
      <c r="V1606" s="6">
        <v>515.11821999999995</v>
      </c>
      <c r="W1606" s="18">
        <f t="shared" si="235"/>
        <v>-515.11821999999995</v>
      </c>
      <c r="X1606" s="18">
        <f t="shared" si="237"/>
        <v>515.11821999999995</v>
      </c>
      <c r="Y1606" s="13">
        <f t="shared" si="238"/>
        <v>206.58545538427825</v>
      </c>
      <c r="Z1606" s="14">
        <v>0</v>
      </c>
      <c r="AA1606" s="4">
        <v>0</v>
      </c>
      <c r="AB1606" s="4">
        <f t="shared" si="239"/>
        <v>515.11821999999995</v>
      </c>
      <c r="AC1606" s="6">
        <f t="shared" si="240"/>
        <v>0</v>
      </c>
      <c r="AD1606" s="6">
        <f t="shared" si="236"/>
        <v>308.5327646157217</v>
      </c>
      <c r="AE1606" s="2">
        <v>0.12</v>
      </c>
      <c r="AF1606" s="5">
        <f t="shared" si="241"/>
        <v>37.0239317538866</v>
      </c>
      <c r="AG1606" s="14">
        <v>0</v>
      </c>
      <c r="AH1606" s="19">
        <f t="shared" si="234"/>
        <v>515.11821999999995</v>
      </c>
      <c r="AJ1606" s="126" t="e">
        <v>#N/A</v>
      </c>
      <c r="AK1606" s="80">
        <f t="shared" si="242"/>
        <v>0</v>
      </c>
      <c r="AM1606" s="85"/>
    </row>
    <row r="1607" spans="1:39" hidden="1" x14ac:dyDescent="0.3">
      <c r="A1607" s="85" t="s">
        <v>34</v>
      </c>
      <c r="B1607" s="15" t="s">
        <v>35</v>
      </c>
      <c r="C1607" s="15" t="s">
        <v>36</v>
      </c>
      <c r="D1607" s="15" t="s">
        <v>54</v>
      </c>
      <c r="E1607" s="15" t="s">
        <v>114</v>
      </c>
      <c r="F1607" s="15" t="s">
        <v>114</v>
      </c>
      <c r="G1607" s="15" t="s">
        <v>114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1866</v>
      </c>
      <c r="N1607" s="15"/>
      <c r="O1607" s="8" t="s">
        <v>2365</v>
      </c>
      <c r="P1607" s="8" t="s">
        <v>41</v>
      </c>
      <c r="Q1607" s="9">
        <v>0</v>
      </c>
      <c r="R1607" s="139" t="s">
        <v>1867</v>
      </c>
      <c r="S1607" s="15"/>
      <c r="T1607" s="18">
        <v>-2326.79</v>
      </c>
      <c r="U1607" s="4">
        <v>0</v>
      </c>
      <c r="V1607" s="6">
        <v>0</v>
      </c>
      <c r="W1607" s="18">
        <f t="shared" si="235"/>
        <v>-2326.79</v>
      </c>
      <c r="X1607" s="18">
        <f t="shared" si="237"/>
        <v>0</v>
      </c>
      <c r="Y1607" s="13">
        <f t="shared" si="238"/>
        <v>0</v>
      </c>
      <c r="Z1607" s="14">
        <v>0</v>
      </c>
      <c r="AA1607" s="4">
        <v>0</v>
      </c>
      <c r="AB1607" s="4">
        <f t="shared" si="239"/>
        <v>0</v>
      </c>
      <c r="AC1607" s="6">
        <f t="shared" si="240"/>
        <v>0</v>
      </c>
      <c r="AD1607" s="6">
        <f t="shared" si="236"/>
        <v>0</v>
      </c>
      <c r="AE1607" s="2">
        <v>0.12</v>
      </c>
      <c r="AF1607" s="5">
        <f t="shared" si="241"/>
        <v>0</v>
      </c>
      <c r="AG1607" s="14">
        <v>0</v>
      </c>
      <c r="AH1607" s="19">
        <f t="shared" si="234"/>
        <v>0</v>
      </c>
      <c r="AJ1607" s="126" t="e">
        <v>#N/A</v>
      </c>
      <c r="AK1607" s="80">
        <f t="shared" si="242"/>
        <v>0</v>
      </c>
      <c r="AM1607" s="85"/>
    </row>
    <row r="1608" spans="1:39" hidden="1" x14ac:dyDescent="0.3">
      <c r="A1608" s="85" t="s">
        <v>34</v>
      </c>
      <c r="B1608" s="15" t="s">
        <v>35</v>
      </c>
      <c r="C1608" s="15" t="s">
        <v>164</v>
      </c>
      <c r="D1608" s="15" t="s">
        <v>165</v>
      </c>
      <c r="E1608" s="15" t="s">
        <v>1538</v>
      </c>
      <c r="F1608" s="15" t="s">
        <v>1538</v>
      </c>
      <c r="G1608" s="15" t="s">
        <v>1538</v>
      </c>
      <c r="H1608" s="154"/>
      <c r="I1608" s="15" t="s">
        <v>887</v>
      </c>
      <c r="J1608" s="1" t="s">
        <v>3323</v>
      </c>
      <c r="K1608" s="1" t="s">
        <v>3277</v>
      </c>
      <c r="L1608" s="1" t="s">
        <v>35</v>
      </c>
      <c r="M1608" s="15" t="s">
        <v>1539</v>
      </c>
      <c r="N1608" s="15"/>
      <c r="O1608" s="8" t="s">
        <v>1196</v>
      </c>
      <c r="P1608" s="8" t="s">
        <v>41</v>
      </c>
      <c r="Q1608" s="9">
        <v>0</v>
      </c>
      <c r="R1608" s="139" t="s">
        <v>1540</v>
      </c>
      <c r="S1608" s="15"/>
      <c r="T1608" s="18">
        <v>0</v>
      </c>
      <c r="U1608" s="6">
        <v>0</v>
      </c>
      <c r="V1608" s="6">
        <v>107936.18442000001</v>
      </c>
      <c r="W1608" s="18">
        <f t="shared" si="235"/>
        <v>-107936.18442000001</v>
      </c>
      <c r="X1608" s="18">
        <f t="shared" si="237"/>
        <v>107936.18442000001</v>
      </c>
      <c r="Y1608" s="13">
        <f t="shared" si="238"/>
        <v>0</v>
      </c>
      <c r="Z1608" s="14">
        <v>0</v>
      </c>
      <c r="AA1608" s="4">
        <v>0</v>
      </c>
      <c r="AB1608" s="4">
        <f t="shared" si="239"/>
        <v>107936.18442000001</v>
      </c>
      <c r="AC1608" s="6">
        <f t="shared" si="240"/>
        <v>0</v>
      </c>
      <c r="AD1608" s="18">
        <f t="shared" ref="AD1608:AD1614" si="243">V1608</f>
        <v>107936.18442000001</v>
      </c>
      <c r="AE1608" s="2">
        <v>0.04</v>
      </c>
      <c r="AF1608" s="5">
        <f t="shared" si="241"/>
        <v>4317.4473768000007</v>
      </c>
      <c r="AG1608" s="14">
        <v>0</v>
      </c>
      <c r="AH1608" s="19">
        <f t="shared" si="234"/>
        <v>107936.18442000001</v>
      </c>
      <c r="AJ1608" s="126" t="e">
        <v>#N/A</v>
      </c>
      <c r="AK1608" s="80">
        <f t="shared" si="242"/>
        <v>0</v>
      </c>
      <c r="AM1608" s="85"/>
    </row>
    <row r="1609" spans="1:39" hidden="1" x14ac:dyDescent="0.3">
      <c r="A1609" s="85" t="s">
        <v>34</v>
      </c>
      <c r="B1609" s="15" t="s">
        <v>35</v>
      </c>
      <c r="C1609" s="15" t="s">
        <v>164</v>
      </c>
      <c r="D1609" s="15" t="s">
        <v>165</v>
      </c>
      <c r="E1609" s="15" t="s">
        <v>1538</v>
      </c>
      <c r="F1609" s="15" t="s">
        <v>1538</v>
      </c>
      <c r="G1609" s="15" t="s">
        <v>1538</v>
      </c>
      <c r="H1609" s="154"/>
      <c r="I1609" s="15" t="s">
        <v>887</v>
      </c>
      <c r="J1609" s="1" t="s">
        <v>3323</v>
      </c>
      <c r="K1609" s="1" t="s">
        <v>3277</v>
      </c>
      <c r="L1609" s="1" t="s">
        <v>35</v>
      </c>
      <c r="M1609" s="15" t="s">
        <v>1539</v>
      </c>
      <c r="N1609" s="15"/>
      <c r="O1609" s="8" t="s">
        <v>2364</v>
      </c>
      <c r="P1609" s="8" t="s">
        <v>41</v>
      </c>
      <c r="Q1609" s="9">
        <v>0</v>
      </c>
      <c r="R1609" s="139" t="s">
        <v>1540</v>
      </c>
      <c r="S1609" s="15"/>
      <c r="T1609" s="18">
        <v>0</v>
      </c>
      <c r="U1609" s="4">
        <v>0</v>
      </c>
      <c r="V1609" s="6">
        <v>163532.91376</v>
      </c>
      <c r="W1609" s="18">
        <f t="shared" si="235"/>
        <v>-163532.91376</v>
      </c>
      <c r="X1609" s="18">
        <f t="shared" si="237"/>
        <v>163532.91376</v>
      </c>
      <c r="Y1609" s="13">
        <f t="shared" si="238"/>
        <v>0</v>
      </c>
      <c r="Z1609" s="14">
        <v>0</v>
      </c>
      <c r="AA1609" s="4">
        <v>0</v>
      </c>
      <c r="AB1609" s="4">
        <f t="shared" si="239"/>
        <v>163532.91376</v>
      </c>
      <c r="AC1609" s="6">
        <f t="shared" si="240"/>
        <v>0</v>
      </c>
      <c r="AD1609" s="18">
        <f t="shared" si="243"/>
        <v>163532.91376</v>
      </c>
      <c r="AE1609" s="2">
        <v>0.04</v>
      </c>
      <c r="AF1609" s="5">
        <f t="shared" si="241"/>
        <v>6541.3165503999999</v>
      </c>
      <c r="AG1609" s="14">
        <v>0</v>
      </c>
      <c r="AH1609" s="19">
        <f t="shared" si="234"/>
        <v>163532.91376</v>
      </c>
      <c r="AJ1609" s="126" t="e">
        <v>#N/A</v>
      </c>
      <c r="AK1609" s="80">
        <f t="shared" si="242"/>
        <v>0</v>
      </c>
      <c r="AM1609" s="85"/>
    </row>
    <row r="1610" spans="1:39" hidden="1" x14ac:dyDescent="0.3">
      <c r="A1610" s="85" t="s">
        <v>34</v>
      </c>
      <c r="B1610" s="15" t="s">
        <v>35</v>
      </c>
      <c r="C1610" s="15" t="s">
        <v>164</v>
      </c>
      <c r="D1610" s="15" t="s">
        <v>165</v>
      </c>
      <c r="E1610" s="15" t="s">
        <v>1538</v>
      </c>
      <c r="F1610" s="15" t="s">
        <v>1538</v>
      </c>
      <c r="G1610" s="15" t="s">
        <v>1538</v>
      </c>
      <c r="H1610" s="154"/>
      <c r="I1610" s="15" t="s">
        <v>887</v>
      </c>
      <c r="J1610" s="1" t="s">
        <v>3323</v>
      </c>
      <c r="K1610" s="1" t="s">
        <v>3277</v>
      </c>
      <c r="L1610" s="1" t="s">
        <v>35</v>
      </c>
      <c r="M1610" s="15" t="s">
        <v>1539</v>
      </c>
      <c r="N1610" s="15"/>
      <c r="O1610" s="8" t="s">
        <v>2365</v>
      </c>
      <c r="P1610" s="8" t="s">
        <v>41</v>
      </c>
      <c r="Q1610" s="9">
        <v>0</v>
      </c>
      <c r="R1610" s="139" t="s">
        <v>1540</v>
      </c>
      <c r="S1610" s="15"/>
      <c r="T1610" s="18">
        <v>0</v>
      </c>
      <c r="U1610" s="4">
        <v>0</v>
      </c>
      <c r="V1610" s="6">
        <v>6493.6439600000003</v>
      </c>
      <c r="W1610" s="18">
        <f t="shared" si="235"/>
        <v>-6493.6439600000003</v>
      </c>
      <c r="X1610" s="18">
        <f t="shared" si="237"/>
        <v>6493.6439600000003</v>
      </c>
      <c r="Y1610" s="13">
        <f t="shared" si="238"/>
        <v>0</v>
      </c>
      <c r="Z1610" s="14">
        <v>0</v>
      </c>
      <c r="AA1610" s="4">
        <v>0</v>
      </c>
      <c r="AB1610" s="4">
        <f t="shared" si="239"/>
        <v>6493.6439600000003</v>
      </c>
      <c r="AC1610" s="6">
        <f t="shared" si="240"/>
        <v>0</v>
      </c>
      <c r="AD1610" s="18">
        <f t="shared" si="243"/>
        <v>6493.6439600000003</v>
      </c>
      <c r="AE1610" s="2">
        <v>0.04</v>
      </c>
      <c r="AF1610" s="5">
        <f t="shared" si="241"/>
        <v>259.7457584</v>
      </c>
      <c r="AG1610" s="14">
        <v>0</v>
      </c>
      <c r="AH1610" s="19">
        <f t="shared" si="234"/>
        <v>6493.6439600000003</v>
      </c>
      <c r="AJ1610" s="126" t="e">
        <v>#N/A</v>
      </c>
      <c r="AK1610" s="80">
        <f t="shared" si="242"/>
        <v>0</v>
      </c>
      <c r="AM1610" s="85"/>
    </row>
    <row r="1611" spans="1:39" hidden="1" x14ac:dyDescent="0.3">
      <c r="A1611" s="85" t="s">
        <v>34</v>
      </c>
      <c r="B1611" s="15" t="s">
        <v>35</v>
      </c>
      <c r="C1611" s="15" t="s">
        <v>164</v>
      </c>
      <c r="D1611" s="15" t="s">
        <v>181</v>
      </c>
      <c r="E1611" s="15" t="s">
        <v>182</v>
      </c>
      <c r="F1611" s="15" t="s">
        <v>183</v>
      </c>
      <c r="G1611" s="15" t="s">
        <v>182</v>
      </c>
      <c r="H1611" s="154"/>
      <c r="I1611" s="15" t="s">
        <v>610</v>
      </c>
      <c r="J1611" s="1" t="s">
        <v>3323</v>
      </c>
      <c r="K1611" s="1" t="s">
        <v>3275</v>
      </c>
      <c r="L1611" s="1" t="s">
        <v>35</v>
      </c>
      <c r="M1611" s="15" t="s">
        <v>1832</v>
      </c>
      <c r="N1611" s="15"/>
      <c r="O1611" s="8" t="s">
        <v>1196</v>
      </c>
      <c r="P1611" s="8" t="s">
        <v>41</v>
      </c>
      <c r="Q1611" s="9">
        <v>0</v>
      </c>
      <c r="R1611" s="139" t="s">
        <v>1834</v>
      </c>
      <c r="S1611" s="15"/>
      <c r="T1611" s="18">
        <v>0</v>
      </c>
      <c r="U1611" s="6">
        <v>270212.49</v>
      </c>
      <c r="V1611" s="6">
        <v>92353.888590000002</v>
      </c>
      <c r="W1611" s="18">
        <f t="shared" si="235"/>
        <v>177858.60141</v>
      </c>
      <c r="X1611" s="18">
        <f t="shared" si="237"/>
        <v>92353.888590000002</v>
      </c>
      <c r="Y1611" s="13">
        <f t="shared" si="238"/>
        <v>0</v>
      </c>
      <c r="Z1611" s="14">
        <v>0</v>
      </c>
      <c r="AA1611" s="4">
        <v>0</v>
      </c>
      <c r="AB1611" s="4">
        <f t="shared" si="239"/>
        <v>92353.888590000002</v>
      </c>
      <c r="AC1611" s="6">
        <f t="shared" si="240"/>
        <v>0</v>
      </c>
      <c r="AD1611" s="18">
        <f t="shared" si="243"/>
        <v>92353.888590000002</v>
      </c>
      <c r="AE1611" s="2">
        <v>0.04</v>
      </c>
      <c r="AF1611" s="5">
        <f t="shared" si="241"/>
        <v>3694.1555436000003</v>
      </c>
      <c r="AG1611" s="14">
        <v>0</v>
      </c>
      <c r="AH1611" s="19">
        <f t="shared" si="234"/>
        <v>92353.888590000002</v>
      </c>
      <c r="AJ1611" s="126" t="e">
        <v>#N/A</v>
      </c>
      <c r="AK1611" s="80">
        <f t="shared" si="242"/>
        <v>0</v>
      </c>
      <c r="AM1611" s="85"/>
    </row>
    <row r="1612" spans="1:39" hidden="1" x14ac:dyDescent="0.3">
      <c r="A1612" s="85" t="s">
        <v>34</v>
      </c>
      <c r="B1612" s="15" t="s">
        <v>35</v>
      </c>
      <c r="C1612" s="15" t="s">
        <v>164</v>
      </c>
      <c r="D1612" s="15" t="s">
        <v>181</v>
      </c>
      <c r="E1612" s="15" t="s">
        <v>182</v>
      </c>
      <c r="F1612" s="15" t="s">
        <v>183</v>
      </c>
      <c r="G1612" s="15" t="s">
        <v>182</v>
      </c>
      <c r="H1612" s="154"/>
      <c r="I1612" s="15" t="s">
        <v>610</v>
      </c>
      <c r="J1612" s="1" t="s">
        <v>3323</v>
      </c>
      <c r="K1612" s="1" t="s">
        <v>3275</v>
      </c>
      <c r="L1612" s="1" t="s">
        <v>35</v>
      </c>
      <c r="M1612" s="15" t="s">
        <v>1832</v>
      </c>
      <c r="N1612" s="15"/>
      <c r="O1612" s="8" t="s">
        <v>2364</v>
      </c>
      <c r="P1612" s="8" t="s">
        <v>41</v>
      </c>
      <c r="Q1612" s="9">
        <v>0</v>
      </c>
      <c r="R1612" s="139" t="s">
        <v>1834</v>
      </c>
      <c r="S1612" s="15"/>
      <c r="T1612" s="18">
        <v>0</v>
      </c>
      <c r="U1612" s="4">
        <v>0</v>
      </c>
      <c r="V1612" s="6">
        <v>3766.68138</v>
      </c>
      <c r="W1612" s="18">
        <f t="shared" si="235"/>
        <v>-3766.68138</v>
      </c>
      <c r="X1612" s="18">
        <f t="shared" si="237"/>
        <v>3766.68138</v>
      </c>
      <c r="Y1612" s="13">
        <f t="shared" si="238"/>
        <v>0</v>
      </c>
      <c r="Z1612" s="14">
        <v>0</v>
      </c>
      <c r="AA1612" s="4">
        <v>0</v>
      </c>
      <c r="AB1612" s="4">
        <f t="shared" si="239"/>
        <v>3766.68138</v>
      </c>
      <c r="AC1612" s="6">
        <f t="shared" si="240"/>
        <v>0</v>
      </c>
      <c r="AD1612" s="18">
        <f t="shared" si="243"/>
        <v>3766.68138</v>
      </c>
      <c r="AE1612" s="2">
        <v>0.04</v>
      </c>
      <c r="AF1612" s="5">
        <f t="shared" si="241"/>
        <v>150.6672552</v>
      </c>
      <c r="AG1612" s="14">
        <v>0</v>
      </c>
      <c r="AH1612" s="19">
        <f t="shared" si="234"/>
        <v>3766.68138</v>
      </c>
      <c r="AJ1612" s="126" t="e">
        <v>#N/A</v>
      </c>
      <c r="AK1612" s="80">
        <f t="shared" si="242"/>
        <v>0</v>
      </c>
      <c r="AM1612" s="85"/>
    </row>
    <row r="1613" spans="1:39" hidden="1" x14ac:dyDescent="0.3">
      <c r="A1613" s="85" t="s">
        <v>34</v>
      </c>
      <c r="B1613" s="15" t="s">
        <v>35</v>
      </c>
      <c r="C1613" s="15" t="s">
        <v>164</v>
      </c>
      <c r="D1613" s="15" t="s">
        <v>181</v>
      </c>
      <c r="E1613" s="15" t="s">
        <v>182</v>
      </c>
      <c r="F1613" s="15" t="s">
        <v>183</v>
      </c>
      <c r="G1613" s="15" t="s">
        <v>182</v>
      </c>
      <c r="H1613" s="154"/>
      <c r="I1613" s="15" t="s">
        <v>610</v>
      </c>
      <c r="J1613" s="1" t="s">
        <v>3323</v>
      </c>
      <c r="K1613" s="1" t="s">
        <v>3275</v>
      </c>
      <c r="L1613" s="1" t="s">
        <v>35</v>
      </c>
      <c r="M1613" s="15" t="s">
        <v>1832</v>
      </c>
      <c r="N1613" s="15"/>
      <c r="O1613" s="8" t="s">
        <v>2365</v>
      </c>
      <c r="P1613" s="8" t="s">
        <v>41</v>
      </c>
      <c r="Q1613" s="9">
        <v>0</v>
      </c>
      <c r="R1613" s="139" t="s">
        <v>1834</v>
      </c>
      <c r="S1613" s="15"/>
      <c r="T1613" s="18">
        <v>0</v>
      </c>
      <c r="U1613" s="4">
        <v>0</v>
      </c>
      <c r="V1613" s="6">
        <v>80823.064840000006</v>
      </c>
      <c r="W1613" s="18">
        <f t="shared" si="235"/>
        <v>-80823.064840000006</v>
      </c>
      <c r="X1613" s="18">
        <f t="shared" si="237"/>
        <v>80823.064840000006</v>
      </c>
      <c r="Y1613" s="13">
        <f t="shared" si="238"/>
        <v>0</v>
      </c>
      <c r="Z1613" s="14">
        <v>0</v>
      </c>
      <c r="AA1613" s="4">
        <v>0</v>
      </c>
      <c r="AB1613" s="4">
        <f t="shared" si="239"/>
        <v>80823.064840000006</v>
      </c>
      <c r="AC1613" s="6">
        <f t="shared" si="240"/>
        <v>0</v>
      </c>
      <c r="AD1613" s="18">
        <f t="shared" si="243"/>
        <v>80823.064840000006</v>
      </c>
      <c r="AE1613" s="2">
        <v>0.04</v>
      </c>
      <c r="AF1613" s="5">
        <f t="shared" si="241"/>
        <v>3232.9225936000003</v>
      </c>
      <c r="AG1613" s="14">
        <v>0</v>
      </c>
      <c r="AH1613" s="19">
        <f t="shared" si="234"/>
        <v>80823.064840000006</v>
      </c>
      <c r="AJ1613" s="126" t="e">
        <v>#N/A</v>
      </c>
      <c r="AK1613" s="80">
        <f t="shared" si="242"/>
        <v>0</v>
      </c>
      <c r="AM1613" s="85"/>
    </row>
    <row r="1614" spans="1:39" hidden="1" x14ac:dyDescent="0.3">
      <c r="A1614" s="85" t="s">
        <v>34</v>
      </c>
      <c r="B1614" s="15" t="s">
        <v>35</v>
      </c>
      <c r="C1614" s="15" t="s">
        <v>164</v>
      </c>
      <c r="D1614" s="15" t="s">
        <v>181</v>
      </c>
      <c r="E1614" s="15" t="s">
        <v>182</v>
      </c>
      <c r="F1614" s="15" t="s">
        <v>183</v>
      </c>
      <c r="G1614" s="15" t="s">
        <v>182</v>
      </c>
      <c r="H1614" s="154"/>
      <c r="I1614" s="15" t="s">
        <v>610</v>
      </c>
      <c r="J1614" s="1" t="s">
        <v>3323</v>
      </c>
      <c r="K1614" s="1" t="s">
        <v>3275</v>
      </c>
      <c r="L1614" s="1" t="s">
        <v>35</v>
      </c>
      <c r="M1614" s="15" t="s">
        <v>1832</v>
      </c>
      <c r="N1614" s="15"/>
      <c r="O1614" s="8" t="s">
        <v>2366</v>
      </c>
      <c r="P1614" s="8" t="s">
        <v>41</v>
      </c>
      <c r="Q1614" s="9">
        <v>0</v>
      </c>
      <c r="R1614" s="139" t="s">
        <v>1833</v>
      </c>
      <c r="S1614" s="15"/>
      <c r="T1614" s="18">
        <v>0</v>
      </c>
      <c r="U1614" s="6">
        <v>661602.54</v>
      </c>
      <c r="V1614" s="6">
        <v>387629.14939999999</v>
      </c>
      <c r="W1614" s="18">
        <f t="shared" si="235"/>
        <v>273973.39060000004</v>
      </c>
      <c r="X1614" s="18">
        <f t="shared" si="237"/>
        <v>387629.14939999999</v>
      </c>
      <c r="Y1614" s="13">
        <f t="shared" si="238"/>
        <v>0</v>
      </c>
      <c r="Z1614" s="14">
        <v>0</v>
      </c>
      <c r="AA1614" s="4">
        <v>0</v>
      </c>
      <c r="AB1614" s="4">
        <f t="shared" si="239"/>
        <v>387629.14939999999</v>
      </c>
      <c r="AC1614" s="6">
        <f t="shared" si="240"/>
        <v>0</v>
      </c>
      <c r="AD1614" s="18">
        <f t="shared" si="243"/>
        <v>387629.14939999999</v>
      </c>
      <c r="AE1614" s="2">
        <v>0.02</v>
      </c>
      <c r="AF1614" s="5">
        <f t="shared" si="241"/>
        <v>7752.5829880000001</v>
      </c>
      <c r="AG1614" s="14">
        <v>0</v>
      </c>
      <c r="AH1614" s="19">
        <f t="shared" si="234"/>
        <v>387629.14939999999</v>
      </c>
      <c r="AJ1614" s="126" t="e">
        <v>#N/A</v>
      </c>
      <c r="AK1614" s="80">
        <f t="shared" si="242"/>
        <v>0</v>
      </c>
      <c r="AM1614" s="85"/>
    </row>
    <row r="1615" spans="1:39" hidden="1" x14ac:dyDescent="0.3">
      <c r="A1615" s="85" t="s">
        <v>34</v>
      </c>
      <c r="B1615" s="15" t="s">
        <v>35</v>
      </c>
      <c r="C1615" s="15" t="s">
        <v>65</v>
      </c>
      <c r="D1615" s="15" t="s">
        <v>122</v>
      </c>
      <c r="E1615" s="15" t="s">
        <v>1266</v>
      </c>
      <c r="F1615" s="15" t="s">
        <v>3687</v>
      </c>
      <c r="G1615" s="15" t="s">
        <v>1266</v>
      </c>
      <c r="H1615" s="154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1267</v>
      </c>
      <c r="N1615" s="15"/>
      <c r="O1615" s="8" t="s">
        <v>2366</v>
      </c>
      <c r="P1615" s="8" t="s">
        <v>41</v>
      </c>
      <c r="Q1615" s="14">
        <v>0</v>
      </c>
      <c r="R1615" s="139" t="s">
        <v>1268</v>
      </c>
      <c r="S1615" s="15"/>
      <c r="T1615" s="6">
        <v>0</v>
      </c>
      <c r="U1615" s="6">
        <v>0</v>
      </c>
      <c r="V1615" s="6">
        <v>3446.1</v>
      </c>
      <c r="W1615" s="18">
        <f t="shared" si="235"/>
        <v>-3446.1</v>
      </c>
      <c r="X1615" s="18">
        <f t="shared" si="237"/>
        <v>3446.1</v>
      </c>
      <c r="Y1615" s="13">
        <f t="shared" si="238"/>
        <v>1382.040297079302</v>
      </c>
      <c r="Z1615" s="14">
        <v>0</v>
      </c>
      <c r="AA1615" s="4">
        <v>0</v>
      </c>
      <c r="AB1615" s="4">
        <f t="shared" si="239"/>
        <v>3446.1</v>
      </c>
      <c r="AC1615" s="6">
        <f t="shared" si="240"/>
        <v>0</v>
      </c>
      <c r="AD1615" s="6">
        <f t="shared" ref="AD1615:AD1660" si="244">V1615*0.598955254612663</f>
        <v>2064.0597029206979</v>
      </c>
      <c r="AE1615" s="2">
        <v>7.0000000000000007E-2</v>
      </c>
      <c r="AF1615" s="5">
        <f t="shared" si="241"/>
        <v>144.48417920444888</v>
      </c>
      <c r="AG1615" s="14">
        <v>0</v>
      </c>
      <c r="AH1615" s="19">
        <f t="shared" si="234"/>
        <v>3446.1</v>
      </c>
      <c r="AJ1615" s="126" t="e">
        <v>#N/A</v>
      </c>
      <c r="AK1615" s="80">
        <f t="shared" si="242"/>
        <v>0</v>
      </c>
      <c r="AM1615" s="85"/>
    </row>
    <row r="1616" spans="1:39" hidden="1" x14ac:dyDescent="0.3">
      <c r="A1616" s="85" t="s">
        <v>34</v>
      </c>
      <c r="B1616" s="15" t="s">
        <v>35</v>
      </c>
      <c r="C1616" s="15" t="s">
        <v>65</v>
      </c>
      <c r="D1616" s="15" t="s">
        <v>122</v>
      </c>
      <c r="E1616" s="15" t="s">
        <v>1266</v>
      </c>
      <c r="F1616" s="15" t="s">
        <v>3687</v>
      </c>
      <c r="G1616" s="15" t="s">
        <v>1266</v>
      </c>
      <c r="H1616" s="154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1267</v>
      </c>
      <c r="N1616" s="15"/>
      <c r="O1616" s="8" t="s">
        <v>2365</v>
      </c>
      <c r="P1616" s="8" t="s">
        <v>3688</v>
      </c>
      <c r="Q1616" s="14">
        <v>0.02</v>
      </c>
      <c r="R1616" s="139" t="s">
        <v>1268</v>
      </c>
      <c r="S1616" s="15"/>
      <c r="T1616" s="6">
        <v>0</v>
      </c>
      <c r="U1616" s="6">
        <v>0</v>
      </c>
      <c r="V1616" s="6">
        <v>1499.8109899999999</v>
      </c>
      <c r="W1616" s="18">
        <f t="shared" si="235"/>
        <v>-1499.8109899999999</v>
      </c>
      <c r="X1616" s="18">
        <f t="shared" si="237"/>
        <v>1470.4029313725489</v>
      </c>
      <c r="Y1616" s="13">
        <f t="shared" si="238"/>
        <v>572.08325798622877</v>
      </c>
      <c r="Z1616" s="14">
        <v>0</v>
      </c>
      <c r="AA1616" s="4">
        <v>0</v>
      </c>
      <c r="AB1616" s="4">
        <f t="shared" si="239"/>
        <v>1470.4029313725489</v>
      </c>
      <c r="AC1616" s="6">
        <f t="shared" si="240"/>
        <v>29.408058627451055</v>
      </c>
      <c r="AD1616" s="6">
        <f t="shared" si="244"/>
        <v>898.31967338632012</v>
      </c>
      <c r="AE1616" s="2">
        <v>0.12</v>
      </c>
      <c r="AF1616" s="5">
        <f t="shared" si="241"/>
        <v>107.79836080635842</v>
      </c>
      <c r="AG1616" s="14">
        <v>0</v>
      </c>
      <c r="AH1616" s="19">
        <f t="shared" si="234"/>
        <v>1499.8109899999999</v>
      </c>
      <c r="AJ1616" s="126" t="e">
        <v>#N/A</v>
      </c>
      <c r="AK1616" s="80">
        <f t="shared" si="242"/>
        <v>0</v>
      </c>
      <c r="AM1616" s="85"/>
    </row>
    <row r="1617" spans="1:39" hidden="1" x14ac:dyDescent="0.35">
      <c r="A1617" s="85" t="s">
        <v>34</v>
      </c>
      <c r="B1617" s="15" t="s">
        <v>35</v>
      </c>
      <c r="C1617" s="15" t="s">
        <v>2367</v>
      </c>
      <c r="D1617" s="15" t="s">
        <v>2368</v>
      </c>
      <c r="E1617" s="15" t="s">
        <v>568</v>
      </c>
      <c r="F1617" s="15" t="s">
        <v>568</v>
      </c>
      <c r="G1617" s="15" t="s">
        <v>568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568</v>
      </c>
      <c r="N1617" s="15"/>
      <c r="O1617" s="8" t="s">
        <v>2366</v>
      </c>
      <c r="P1617" s="8" t="s">
        <v>41</v>
      </c>
      <c r="Q1617" s="14">
        <v>0</v>
      </c>
      <c r="R1617" s="139" t="s">
        <v>2369</v>
      </c>
      <c r="S1617" s="15" t="s">
        <v>2370</v>
      </c>
      <c r="T1617" s="131">
        <v>6785.28</v>
      </c>
      <c r="U1617" s="4">
        <v>0</v>
      </c>
      <c r="V1617" s="6">
        <v>3563.4</v>
      </c>
      <c r="W1617" s="18">
        <f t="shared" si="235"/>
        <v>3221.8799999999997</v>
      </c>
      <c r="X1617" s="18">
        <v>0</v>
      </c>
      <c r="Y1617" s="13">
        <f t="shared" si="238"/>
        <v>1429.082845713237</v>
      </c>
      <c r="Z1617" s="14">
        <v>0</v>
      </c>
      <c r="AA1617" s="4">
        <v>0</v>
      </c>
      <c r="AB1617" s="4">
        <f t="shared" si="239"/>
        <v>0</v>
      </c>
      <c r="AC1617" s="6">
        <f t="shared" si="240"/>
        <v>3563.4</v>
      </c>
      <c r="AD1617" s="6">
        <f>V1617*0.598955254612663-V1617</f>
        <v>-1429.082845713237</v>
      </c>
      <c r="AE1617" s="2">
        <v>7.0000000000000007E-2</v>
      </c>
      <c r="AF1617" s="5">
        <f t="shared" si="241"/>
        <v>-100.0357991999266</v>
      </c>
      <c r="AG1617" s="14">
        <v>0</v>
      </c>
      <c r="AH1617" s="19">
        <v>0</v>
      </c>
      <c r="AJ1617" s="126" t="e">
        <v>#N/A</v>
      </c>
      <c r="AK1617" s="80">
        <f t="shared" si="242"/>
        <v>0</v>
      </c>
      <c r="AM1617" s="85"/>
    </row>
    <row r="1618" spans="1:39" hidden="1" x14ac:dyDescent="0.3">
      <c r="A1618" s="85" t="s">
        <v>34</v>
      </c>
      <c r="B1618" s="15" t="s">
        <v>35</v>
      </c>
      <c r="C1618" s="15" t="s">
        <v>36</v>
      </c>
      <c r="D1618" s="15" t="s">
        <v>224</v>
      </c>
      <c r="E1618" s="15" t="s">
        <v>1132</v>
      </c>
      <c r="F1618" s="15" t="s">
        <v>1132</v>
      </c>
      <c r="G1618" s="15" t="s">
        <v>1132</v>
      </c>
      <c r="H1618" s="154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1132</v>
      </c>
      <c r="N1618" s="15"/>
      <c r="O1618" s="8" t="s">
        <v>1196</v>
      </c>
      <c r="P1618" s="8" t="s">
        <v>41</v>
      </c>
      <c r="Q1618" s="14">
        <v>0</v>
      </c>
      <c r="R1618" s="139" t="s">
        <v>1133</v>
      </c>
      <c r="S1618" s="15"/>
      <c r="T1618" s="6">
        <v>0</v>
      </c>
      <c r="U1618" s="6">
        <v>0</v>
      </c>
      <c r="V1618" s="6">
        <v>470.1</v>
      </c>
      <c r="W1618" s="18">
        <f t="shared" si="235"/>
        <v>-470.1</v>
      </c>
      <c r="X1618" s="18">
        <f t="shared" ref="X1618:X1663" si="245">IF(P1618="折扣",V1618*Q1618,IF(P1618="返现",V1618,V1618/(1+Q1618)))</f>
        <v>470.1</v>
      </c>
      <c r="Y1618" s="13">
        <f t="shared" si="238"/>
        <v>188.53113480658715</v>
      </c>
      <c r="Z1618" s="14">
        <v>0</v>
      </c>
      <c r="AA1618" s="4">
        <v>0</v>
      </c>
      <c r="AB1618" s="4">
        <f t="shared" si="239"/>
        <v>470.1</v>
      </c>
      <c r="AC1618" s="6">
        <f t="shared" si="240"/>
        <v>0</v>
      </c>
      <c r="AD1618" s="6">
        <f t="shared" si="244"/>
        <v>281.56886519341288</v>
      </c>
      <c r="AE1618" s="2">
        <v>0.12</v>
      </c>
      <c r="AF1618" s="5">
        <f t="shared" si="241"/>
        <v>33.788263823209547</v>
      </c>
      <c r="AG1618" s="14">
        <v>0</v>
      </c>
      <c r="AH1618" s="19">
        <f t="shared" si="234"/>
        <v>470.1</v>
      </c>
      <c r="AJ1618" s="126" t="e">
        <v>#N/A</v>
      </c>
      <c r="AK1618" s="80">
        <f t="shared" si="242"/>
        <v>0</v>
      </c>
      <c r="AM1618" s="85"/>
    </row>
    <row r="1619" spans="1:39" hidden="1" x14ac:dyDescent="0.3">
      <c r="A1619" s="85" t="s">
        <v>34</v>
      </c>
      <c r="B1619" s="15" t="s">
        <v>35</v>
      </c>
      <c r="C1619" s="15" t="s">
        <v>36</v>
      </c>
      <c r="D1619" s="15" t="s">
        <v>224</v>
      </c>
      <c r="E1619" s="15" t="s">
        <v>1132</v>
      </c>
      <c r="F1619" s="15" t="s">
        <v>1132</v>
      </c>
      <c r="G1619" s="15" t="s">
        <v>1132</v>
      </c>
      <c r="H1619" s="154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1132</v>
      </c>
      <c r="N1619" s="15"/>
      <c r="O1619" s="8" t="s">
        <v>2365</v>
      </c>
      <c r="P1619" s="8" t="s">
        <v>41</v>
      </c>
      <c r="Q1619" s="14">
        <v>0</v>
      </c>
      <c r="R1619" s="139" t="s">
        <v>1133</v>
      </c>
      <c r="S1619" s="15"/>
      <c r="T1619" s="6">
        <v>0</v>
      </c>
      <c r="U1619" s="6">
        <v>0</v>
      </c>
      <c r="V1619" s="6">
        <v>8.6999999999999993</v>
      </c>
      <c r="W1619" s="18">
        <f t="shared" si="235"/>
        <v>-8.6999999999999993</v>
      </c>
      <c r="X1619" s="18">
        <f t="shared" si="245"/>
        <v>8.6999999999999993</v>
      </c>
      <c r="Y1619" s="13">
        <f t="shared" si="238"/>
        <v>3.4890892848698316</v>
      </c>
      <c r="Z1619" s="14">
        <v>0</v>
      </c>
      <c r="AA1619" s="4">
        <v>0</v>
      </c>
      <c r="AB1619" s="4">
        <f t="shared" si="239"/>
        <v>8.6999999999999993</v>
      </c>
      <c r="AC1619" s="6">
        <f t="shared" si="240"/>
        <v>0</v>
      </c>
      <c r="AD1619" s="6">
        <f t="shared" si="244"/>
        <v>5.2109107151301677</v>
      </c>
      <c r="AE1619" s="2">
        <v>0.12</v>
      </c>
      <c r="AF1619" s="5">
        <f t="shared" si="241"/>
        <v>0.62530928581562006</v>
      </c>
      <c r="AG1619" s="14">
        <v>0</v>
      </c>
      <c r="AH1619" s="19">
        <f t="shared" si="234"/>
        <v>8.6999999999999993</v>
      </c>
      <c r="AJ1619" s="126" t="e">
        <v>#N/A</v>
      </c>
      <c r="AK1619" s="80">
        <f t="shared" si="242"/>
        <v>0</v>
      </c>
      <c r="AM1619" s="85"/>
    </row>
    <row r="1620" spans="1:39" hidden="1" x14ac:dyDescent="0.3">
      <c r="A1620" s="85" t="s">
        <v>34</v>
      </c>
      <c r="B1620" s="15" t="s">
        <v>35</v>
      </c>
      <c r="C1620" s="15" t="s">
        <v>144</v>
      </c>
      <c r="D1620" s="15" t="s">
        <v>145</v>
      </c>
      <c r="E1620" s="15" t="s">
        <v>1388</v>
      </c>
      <c r="F1620" s="15" t="s">
        <v>1388</v>
      </c>
      <c r="G1620" s="15" t="s">
        <v>1388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1388</v>
      </c>
      <c r="N1620" s="15"/>
      <c r="O1620" s="8" t="s">
        <v>1196</v>
      </c>
      <c r="P1620" s="8" t="s">
        <v>41</v>
      </c>
      <c r="Q1620" s="14">
        <v>0</v>
      </c>
      <c r="R1620" s="139" t="s">
        <v>1389</v>
      </c>
      <c r="S1620" s="15"/>
      <c r="T1620" s="6">
        <v>0</v>
      </c>
      <c r="U1620" s="6">
        <v>0</v>
      </c>
      <c r="V1620" s="6">
        <v>908.48</v>
      </c>
      <c r="W1620" s="18">
        <f t="shared" si="235"/>
        <v>-908.48</v>
      </c>
      <c r="X1620" s="18">
        <f t="shared" si="245"/>
        <v>908.48</v>
      </c>
      <c r="Y1620" s="13">
        <f t="shared" si="238"/>
        <v>364.34113028948798</v>
      </c>
      <c r="Z1620" s="14">
        <v>0</v>
      </c>
      <c r="AA1620" s="4">
        <v>0</v>
      </c>
      <c r="AB1620" s="4">
        <f t="shared" si="239"/>
        <v>908.48</v>
      </c>
      <c r="AC1620" s="6">
        <f t="shared" si="240"/>
        <v>0</v>
      </c>
      <c r="AD1620" s="6">
        <f t="shared" si="244"/>
        <v>544.13886971051204</v>
      </c>
      <c r="AE1620" s="2">
        <v>0.12</v>
      </c>
      <c r="AF1620" s="5">
        <f t="shared" si="241"/>
        <v>65.296664365261449</v>
      </c>
      <c r="AG1620" s="14">
        <v>0</v>
      </c>
      <c r="AH1620" s="19">
        <f t="shared" si="234"/>
        <v>908.48</v>
      </c>
      <c r="AJ1620" s="126" t="e">
        <v>#N/A</v>
      </c>
      <c r="AK1620" s="80">
        <f t="shared" si="242"/>
        <v>0</v>
      </c>
      <c r="AM1620" s="85"/>
    </row>
    <row r="1621" spans="1:39" hidden="1" x14ac:dyDescent="0.3">
      <c r="A1621" s="85" t="s">
        <v>34</v>
      </c>
      <c r="B1621" s="15" t="s">
        <v>35</v>
      </c>
      <c r="C1621" s="15" t="s">
        <v>144</v>
      </c>
      <c r="D1621" s="15" t="s">
        <v>145</v>
      </c>
      <c r="E1621" s="15" t="s">
        <v>1388</v>
      </c>
      <c r="F1621" s="15" t="s">
        <v>1388</v>
      </c>
      <c r="G1621" s="15" t="s">
        <v>1388</v>
      </c>
      <c r="H1621" s="154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1388</v>
      </c>
      <c r="N1621" s="15"/>
      <c r="O1621" s="8" t="s">
        <v>2365</v>
      </c>
      <c r="P1621" s="8" t="s">
        <v>41</v>
      </c>
      <c r="Q1621" s="14">
        <v>0</v>
      </c>
      <c r="R1621" s="139" t="s">
        <v>1389</v>
      </c>
      <c r="S1621" s="15"/>
      <c r="T1621" s="6">
        <v>0</v>
      </c>
      <c r="U1621" s="6">
        <v>0</v>
      </c>
      <c r="V1621" s="6">
        <v>131.84</v>
      </c>
      <c r="W1621" s="18">
        <f t="shared" si="235"/>
        <v>-131.84</v>
      </c>
      <c r="X1621" s="18">
        <f t="shared" si="245"/>
        <v>131.84</v>
      </c>
      <c r="Y1621" s="13">
        <f t="shared" si="238"/>
        <v>52.873739231866509</v>
      </c>
      <c r="Z1621" s="14">
        <v>0</v>
      </c>
      <c r="AA1621" s="4">
        <v>0</v>
      </c>
      <c r="AB1621" s="4">
        <f t="shared" si="239"/>
        <v>131.84</v>
      </c>
      <c r="AC1621" s="6">
        <f t="shared" si="240"/>
        <v>0</v>
      </c>
      <c r="AD1621" s="6">
        <f t="shared" si="244"/>
        <v>78.966260768133495</v>
      </c>
      <c r="AE1621" s="2">
        <v>0.12</v>
      </c>
      <c r="AF1621" s="5">
        <f t="shared" si="241"/>
        <v>9.4759512921760187</v>
      </c>
      <c r="AG1621" s="14">
        <v>0</v>
      </c>
      <c r="AH1621" s="19">
        <f t="shared" ref="AH1621:AH1660" si="246">V1621</f>
        <v>131.84</v>
      </c>
      <c r="AJ1621" s="126" t="e">
        <v>#N/A</v>
      </c>
      <c r="AK1621" s="80">
        <f t="shared" si="242"/>
        <v>0</v>
      </c>
      <c r="AM1621" s="85"/>
    </row>
    <row r="1622" spans="1:39" hidden="1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180</v>
      </c>
      <c r="F1622" s="15" t="s">
        <v>180</v>
      </c>
      <c r="G1622" s="15" t="s">
        <v>180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1820</v>
      </c>
      <c r="N1622" s="15"/>
      <c r="O1622" s="8" t="s">
        <v>1196</v>
      </c>
      <c r="P1622" s="8" t="s">
        <v>41</v>
      </c>
      <c r="Q1622" s="14">
        <v>0</v>
      </c>
      <c r="R1622" s="139" t="s">
        <v>1821</v>
      </c>
      <c r="S1622" s="15"/>
      <c r="T1622" s="6">
        <v>0</v>
      </c>
      <c r="U1622" s="6">
        <v>0</v>
      </c>
      <c r="V1622" s="6">
        <v>41713.200969999998</v>
      </c>
      <c r="W1622" s="18">
        <f t="shared" si="235"/>
        <v>-41713.200969999998</v>
      </c>
      <c r="X1622" s="18">
        <f t="shared" si="245"/>
        <v>41713.200969999998</v>
      </c>
      <c r="Y1622" s="13">
        <f t="shared" si="238"/>
        <v>16728.860062304469</v>
      </c>
      <c r="Z1622" s="14">
        <v>0</v>
      </c>
      <c r="AA1622" s="4">
        <v>0</v>
      </c>
      <c r="AB1622" s="4">
        <f t="shared" si="239"/>
        <v>41713.200969999998</v>
      </c>
      <c r="AC1622" s="6">
        <f t="shared" si="240"/>
        <v>0</v>
      </c>
      <c r="AD1622" s="6">
        <f t="shared" si="244"/>
        <v>24984.340907695529</v>
      </c>
      <c r="AE1622" s="2">
        <v>0.12</v>
      </c>
      <c r="AF1622" s="5">
        <f t="shared" si="241"/>
        <v>2998.1209089234635</v>
      </c>
      <c r="AG1622" s="14">
        <v>0</v>
      </c>
      <c r="AH1622" s="19">
        <f t="shared" si="246"/>
        <v>41713.200969999998</v>
      </c>
      <c r="AJ1622" s="126" t="e">
        <v>#N/A</v>
      </c>
      <c r="AK1622" s="80">
        <f t="shared" si="242"/>
        <v>0</v>
      </c>
      <c r="AM1622" s="85"/>
    </row>
    <row r="1623" spans="1:39" hidden="1" x14ac:dyDescent="0.3">
      <c r="A1623" s="85" t="s">
        <v>34</v>
      </c>
      <c r="B1623" s="15" t="s">
        <v>35</v>
      </c>
      <c r="C1623" s="15" t="s">
        <v>164</v>
      </c>
      <c r="D1623" s="15" t="s">
        <v>174</v>
      </c>
      <c r="E1623" s="15" t="s">
        <v>180</v>
      </c>
      <c r="F1623" s="15" t="s">
        <v>180</v>
      </c>
      <c r="G1623" s="15" t="s">
        <v>180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1820</v>
      </c>
      <c r="N1623" s="15"/>
      <c r="O1623" s="8" t="s">
        <v>2364</v>
      </c>
      <c r="P1623" s="8" t="s">
        <v>41</v>
      </c>
      <c r="Q1623" s="14">
        <v>0</v>
      </c>
      <c r="R1623" s="139" t="s">
        <v>1821</v>
      </c>
      <c r="S1623" s="15"/>
      <c r="T1623" s="6">
        <v>0</v>
      </c>
      <c r="U1623" s="6">
        <v>0</v>
      </c>
      <c r="V1623" s="6">
        <v>922823.59655000002</v>
      </c>
      <c r="W1623" s="18">
        <f t="shared" si="235"/>
        <v>-922823.59655000002</v>
      </c>
      <c r="X1623" s="18">
        <f t="shared" si="245"/>
        <v>922823.59655000002</v>
      </c>
      <c r="Y1623" s="13">
        <f t="shared" si="238"/>
        <v>370093.55431582138</v>
      </c>
      <c r="Z1623" s="14">
        <v>0</v>
      </c>
      <c r="AA1623" s="4">
        <v>0</v>
      </c>
      <c r="AB1623" s="4">
        <f t="shared" si="239"/>
        <v>922823.59655000002</v>
      </c>
      <c r="AC1623" s="6">
        <f t="shared" si="240"/>
        <v>0</v>
      </c>
      <c r="AD1623" s="6">
        <f t="shared" si="244"/>
        <v>552730.04223417863</v>
      </c>
      <c r="AE1623" s="2">
        <v>0.15</v>
      </c>
      <c r="AF1623" s="5">
        <f t="shared" si="241"/>
        <v>82909.506335126789</v>
      </c>
      <c r="AG1623" s="14">
        <v>0</v>
      </c>
      <c r="AH1623" s="19">
        <f t="shared" si="246"/>
        <v>922823.59655000002</v>
      </c>
      <c r="AJ1623" s="126" t="e">
        <v>#N/A</v>
      </c>
      <c r="AK1623" s="80">
        <f t="shared" si="242"/>
        <v>0</v>
      </c>
      <c r="AM1623" s="85"/>
    </row>
    <row r="1624" spans="1:39" hidden="1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180</v>
      </c>
      <c r="F1624" s="15" t="s">
        <v>180</v>
      </c>
      <c r="G1624" s="15" t="s">
        <v>180</v>
      </c>
      <c r="H1624" s="154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1820</v>
      </c>
      <c r="N1624" s="15"/>
      <c r="O1624" s="8" t="s">
        <v>2365</v>
      </c>
      <c r="P1624" s="8" t="s">
        <v>41</v>
      </c>
      <c r="Q1624" s="14">
        <v>0</v>
      </c>
      <c r="R1624" s="139" t="s">
        <v>1821</v>
      </c>
      <c r="S1624" s="15"/>
      <c r="T1624" s="6">
        <v>0</v>
      </c>
      <c r="U1624" s="6">
        <v>0</v>
      </c>
      <c r="V1624" s="6">
        <v>21523.374510000001</v>
      </c>
      <c r="W1624" s="18">
        <f t="shared" ref="W1624:W1660" si="247">T1624+U1624-V1624</f>
        <v>-21523.374510000001</v>
      </c>
      <c r="X1624" s="18">
        <f t="shared" si="245"/>
        <v>21523.374510000001</v>
      </c>
      <c r="Y1624" s="13">
        <f t="shared" si="238"/>
        <v>8631.8362502392501</v>
      </c>
      <c r="Z1624" s="14">
        <v>0</v>
      </c>
      <c r="AA1624" s="4">
        <v>0</v>
      </c>
      <c r="AB1624" s="4">
        <f t="shared" si="239"/>
        <v>21523.374510000001</v>
      </c>
      <c r="AC1624" s="6">
        <f t="shared" si="240"/>
        <v>0</v>
      </c>
      <c r="AD1624" s="6">
        <f t="shared" si="244"/>
        <v>12891.538259760751</v>
      </c>
      <c r="AE1624" s="2">
        <v>0.12</v>
      </c>
      <c r="AF1624" s="5">
        <f t="shared" si="241"/>
        <v>1546.98459117129</v>
      </c>
      <c r="AG1624" s="14">
        <v>0</v>
      </c>
      <c r="AH1624" s="19">
        <f t="shared" si="246"/>
        <v>21523.374510000001</v>
      </c>
      <c r="AJ1624" s="126" t="e">
        <v>#N/A</v>
      </c>
      <c r="AK1624" s="80">
        <f t="shared" si="242"/>
        <v>0</v>
      </c>
      <c r="AM1624" s="85"/>
    </row>
    <row r="1625" spans="1:39" hidden="1" x14ac:dyDescent="0.3">
      <c r="A1625" s="85" t="s">
        <v>34</v>
      </c>
      <c r="B1625" s="15" t="s">
        <v>35</v>
      </c>
      <c r="C1625" s="15" t="s">
        <v>164</v>
      </c>
      <c r="D1625" s="15" t="s">
        <v>174</v>
      </c>
      <c r="E1625" s="15" t="s">
        <v>180</v>
      </c>
      <c r="F1625" s="15" t="s">
        <v>180</v>
      </c>
      <c r="G1625" s="15" t="s">
        <v>180</v>
      </c>
      <c r="H1625" s="154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180</v>
      </c>
      <c r="N1625" s="15"/>
      <c r="O1625" s="8" t="s">
        <v>2364</v>
      </c>
      <c r="P1625" s="8" t="s">
        <v>41</v>
      </c>
      <c r="Q1625" s="14">
        <v>0</v>
      </c>
      <c r="R1625" s="139" t="s">
        <v>1823</v>
      </c>
      <c r="S1625" s="15"/>
      <c r="T1625" s="6">
        <v>0</v>
      </c>
      <c r="U1625" s="6">
        <v>0</v>
      </c>
      <c r="V1625" s="6">
        <v>1075165.5781</v>
      </c>
      <c r="W1625" s="18">
        <f t="shared" si="247"/>
        <v>-1075165.5781</v>
      </c>
      <c r="X1625" s="18">
        <f t="shared" si="245"/>
        <v>1075165.5781</v>
      </c>
      <c r="Y1625" s="13">
        <f t="shared" si="238"/>
        <v>431189.50551834353</v>
      </c>
      <c r="Z1625" s="14">
        <v>0</v>
      </c>
      <c r="AA1625" s="4">
        <v>0</v>
      </c>
      <c r="AB1625" s="4">
        <f t="shared" si="239"/>
        <v>1075165.5781</v>
      </c>
      <c r="AC1625" s="6">
        <f t="shared" si="240"/>
        <v>0</v>
      </c>
      <c r="AD1625" s="6">
        <f t="shared" si="244"/>
        <v>643976.07258165651</v>
      </c>
      <c r="AE1625" s="2">
        <v>0.15</v>
      </c>
      <c r="AF1625" s="5">
        <f t="shared" si="241"/>
        <v>96596.410887248479</v>
      </c>
      <c r="AG1625" s="14">
        <v>0</v>
      </c>
      <c r="AH1625" s="19">
        <f t="shared" si="246"/>
        <v>1075165.5781</v>
      </c>
      <c r="AJ1625" s="126" t="e">
        <v>#N/A</v>
      </c>
      <c r="AK1625" s="80">
        <f t="shared" si="242"/>
        <v>0</v>
      </c>
      <c r="AM1625" s="85"/>
    </row>
    <row r="1626" spans="1:39" hidden="1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180</v>
      </c>
      <c r="F1626" s="15" t="s">
        <v>180</v>
      </c>
      <c r="G1626" s="15" t="s">
        <v>180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180</v>
      </c>
      <c r="N1626" s="15"/>
      <c r="O1626" s="8" t="s">
        <v>2364</v>
      </c>
      <c r="P1626" s="8" t="s">
        <v>41</v>
      </c>
      <c r="Q1626" s="14">
        <v>0</v>
      </c>
      <c r="R1626" s="139" t="s">
        <v>1824</v>
      </c>
      <c r="S1626" s="15"/>
      <c r="T1626" s="6">
        <v>0</v>
      </c>
      <c r="U1626" s="6">
        <v>0</v>
      </c>
      <c r="V1626" s="6">
        <v>1287939.2694099999</v>
      </c>
      <c r="W1626" s="18">
        <f t="shared" si="247"/>
        <v>-1287939.2694099999</v>
      </c>
      <c r="X1626" s="18">
        <f t="shared" si="245"/>
        <v>1287939.2694099999</v>
      </c>
      <c r="Y1626" s="13">
        <f t="shared" si="238"/>
        <v>516521.27637488628</v>
      </c>
      <c r="Z1626" s="14">
        <v>0</v>
      </c>
      <c r="AA1626" s="4">
        <v>0</v>
      </c>
      <c r="AB1626" s="4">
        <f t="shared" si="239"/>
        <v>1287939.2694099999</v>
      </c>
      <c r="AC1626" s="6">
        <f t="shared" si="240"/>
        <v>0</v>
      </c>
      <c r="AD1626" s="6">
        <f t="shared" si="244"/>
        <v>771417.99303511367</v>
      </c>
      <c r="AE1626" s="2">
        <v>0.15</v>
      </c>
      <c r="AF1626" s="5">
        <f t="shared" si="241"/>
        <v>115712.69895526704</v>
      </c>
      <c r="AG1626" s="14">
        <v>0</v>
      </c>
      <c r="AH1626" s="19">
        <f t="shared" si="246"/>
        <v>1287939.2694099999</v>
      </c>
      <c r="AJ1626" s="126" t="e">
        <v>#N/A</v>
      </c>
      <c r="AK1626" s="80">
        <f t="shared" si="242"/>
        <v>0</v>
      </c>
      <c r="AM1626" s="85"/>
    </row>
    <row r="1627" spans="1:39" hidden="1" x14ac:dyDescent="0.3">
      <c r="A1627" s="85" t="s">
        <v>34</v>
      </c>
      <c r="B1627" s="15" t="s">
        <v>35</v>
      </c>
      <c r="C1627" s="15" t="s">
        <v>65</v>
      </c>
      <c r="D1627" s="15" t="s">
        <v>122</v>
      </c>
      <c r="E1627" s="15" t="s">
        <v>1266</v>
      </c>
      <c r="F1627" s="15" t="s">
        <v>1266</v>
      </c>
      <c r="G1627" s="15" t="s">
        <v>1266</v>
      </c>
      <c r="H1627" s="154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1271</v>
      </c>
      <c r="N1627" s="15"/>
      <c r="O1627" s="8" t="s">
        <v>2364</v>
      </c>
      <c r="P1627" s="8" t="s">
        <v>41</v>
      </c>
      <c r="Q1627" s="14">
        <v>0</v>
      </c>
      <c r="R1627" s="139" t="s">
        <v>1272</v>
      </c>
      <c r="S1627" s="15"/>
      <c r="T1627" s="6">
        <v>0</v>
      </c>
      <c r="U1627" s="6">
        <v>0</v>
      </c>
      <c r="V1627" s="6">
        <v>617.4</v>
      </c>
      <c r="W1627" s="18">
        <f t="shared" si="247"/>
        <v>-617.4</v>
      </c>
      <c r="X1627" s="18">
        <f t="shared" si="245"/>
        <v>617.4</v>
      </c>
      <c r="Y1627" s="13">
        <f t="shared" si="238"/>
        <v>247.60502580214188</v>
      </c>
      <c r="Z1627" s="14">
        <v>0</v>
      </c>
      <c r="AA1627" s="4">
        <v>0</v>
      </c>
      <c r="AB1627" s="4">
        <f t="shared" si="239"/>
        <v>617.4</v>
      </c>
      <c r="AC1627" s="6">
        <f t="shared" si="240"/>
        <v>0</v>
      </c>
      <c r="AD1627" s="6">
        <f t="shared" si="244"/>
        <v>369.7949741978581</v>
      </c>
      <c r="AE1627" s="2">
        <v>0.15</v>
      </c>
      <c r="AF1627" s="5">
        <f t="shared" si="241"/>
        <v>55.469246129678716</v>
      </c>
      <c r="AG1627" s="14">
        <v>0</v>
      </c>
      <c r="AH1627" s="19">
        <f t="shared" si="246"/>
        <v>617.4</v>
      </c>
      <c r="AJ1627" s="126" t="e">
        <v>#N/A</v>
      </c>
      <c r="AK1627" s="80">
        <f t="shared" si="242"/>
        <v>0</v>
      </c>
      <c r="AM1627" s="85"/>
    </row>
    <row r="1628" spans="1:39" hidden="1" x14ac:dyDescent="0.3">
      <c r="A1628" s="85" t="s">
        <v>34</v>
      </c>
      <c r="B1628" s="15" t="s">
        <v>35</v>
      </c>
      <c r="C1628" s="15" t="s">
        <v>164</v>
      </c>
      <c r="D1628" s="15" t="s">
        <v>174</v>
      </c>
      <c r="E1628" s="15" t="s">
        <v>180</v>
      </c>
      <c r="F1628" s="15" t="s">
        <v>180</v>
      </c>
      <c r="G1628" s="15" t="s">
        <v>180</v>
      </c>
      <c r="H1628" s="154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1825</v>
      </c>
      <c r="N1628" s="15"/>
      <c r="O1628" s="8" t="s">
        <v>2364</v>
      </c>
      <c r="P1628" s="8" t="s">
        <v>41</v>
      </c>
      <c r="Q1628" s="14">
        <v>0</v>
      </c>
      <c r="R1628" s="139" t="s">
        <v>1826</v>
      </c>
      <c r="S1628" s="15"/>
      <c r="T1628" s="6">
        <v>0</v>
      </c>
      <c r="U1628" s="6">
        <v>0</v>
      </c>
      <c r="V1628" s="6">
        <v>291374.64530999999</v>
      </c>
      <c r="W1628" s="18">
        <f t="shared" si="247"/>
        <v>-291374.64530999999</v>
      </c>
      <c r="X1628" s="18">
        <f t="shared" si="245"/>
        <v>291374.64530999999</v>
      </c>
      <c r="Y1628" s="13">
        <f t="shared" si="238"/>
        <v>116854.27044067459</v>
      </c>
      <c r="Z1628" s="14">
        <v>0</v>
      </c>
      <c r="AA1628" s="4">
        <v>0</v>
      </c>
      <c r="AB1628" s="4">
        <f t="shared" si="239"/>
        <v>291374.64530999999</v>
      </c>
      <c r="AC1628" s="6">
        <f t="shared" si="240"/>
        <v>0</v>
      </c>
      <c r="AD1628" s="6">
        <f t="shared" si="244"/>
        <v>174520.3748693254</v>
      </c>
      <c r="AE1628" s="2">
        <v>0.15</v>
      </c>
      <c r="AF1628" s="5">
        <f t="shared" si="241"/>
        <v>26178.056230398808</v>
      </c>
      <c r="AG1628" s="14">
        <v>0</v>
      </c>
      <c r="AH1628" s="19">
        <f t="shared" si="246"/>
        <v>291374.64530999999</v>
      </c>
      <c r="AJ1628" s="126" t="e">
        <v>#N/A</v>
      </c>
      <c r="AK1628" s="80">
        <f t="shared" si="242"/>
        <v>0</v>
      </c>
      <c r="AM1628" s="85"/>
    </row>
    <row r="1629" spans="1:39" hidden="1" x14ac:dyDescent="0.3">
      <c r="A1629" s="85" t="s">
        <v>34</v>
      </c>
      <c r="B1629" s="15" t="s">
        <v>35</v>
      </c>
      <c r="C1629" s="15" t="s">
        <v>164</v>
      </c>
      <c r="D1629" s="15" t="s">
        <v>174</v>
      </c>
      <c r="E1629" s="15" t="s">
        <v>180</v>
      </c>
      <c r="F1629" s="15" t="s">
        <v>180</v>
      </c>
      <c r="G1629" s="15" t="s">
        <v>180</v>
      </c>
      <c r="H1629" s="154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1816</v>
      </c>
      <c r="N1629" s="15"/>
      <c r="O1629" s="8" t="s">
        <v>2364</v>
      </c>
      <c r="P1629" s="8" t="s">
        <v>41</v>
      </c>
      <c r="Q1629" s="14">
        <v>0</v>
      </c>
      <c r="R1629" s="139" t="s">
        <v>1817</v>
      </c>
      <c r="S1629" s="15"/>
      <c r="T1629" s="6">
        <v>0</v>
      </c>
      <c r="U1629" s="6">
        <v>0</v>
      </c>
      <c r="V1629" s="6">
        <v>227443.98456000001</v>
      </c>
      <c r="W1629" s="18">
        <f t="shared" si="247"/>
        <v>-227443.98456000001</v>
      </c>
      <c r="X1629" s="18">
        <f t="shared" si="245"/>
        <v>227443.98456000001</v>
      </c>
      <c r="Y1629" s="13">
        <f t="shared" si="238"/>
        <v>91215.214877746621</v>
      </c>
      <c r="Z1629" s="14">
        <v>0</v>
      </c>
      <c r="AA1629" s="4">
        <v>0</v>
      </c>
      <c r="AB1629" s="4">
        <f t="shared" si="239"/>
        <v>227443.98456000001</v>
      </c>
      <c r="AC1629" s="6">
        <f t="shared" si="240"/>
        <v>0</v>
      </c>
      <c r="AD1629" s="6">
        <f t="shared" si="244"/>
        <v>136228.76968225339</v>
      </c>
      <c r="AE1629" s="2">
        <v>0.15</v>
      </c>
      <c r="AF1629" s="5">
        <f t="shared" si="241"/>
        <v>20434.315452338007</v>
      </c>
      <c r="AG1629" s="14">
        <v>0</v>
      </c>
      <c r="AH1629" s="19">
        <f t="shared" si="246"/>
        <v>227443.98456000001</v>
      </c>
      <c r="AJ1629" s="126" t="e">
        <v>#N/A</v>
      </c>
      <c r="AK1629" s="80">
        <f t="shared" si="242"/>
        <v>0</v>
      </c>
      <c r="AM1629" s="85"/>
    </row>
    <row r="1630" spans="1:39" hidden="1" x14ac:dyDescent="0.3">
      <c r="A1630" s="85" t="s">
        <v>34</v>
      </c>
      <c r="B1630" s="15" t="s">
        <v>35</v>
      </c>
      <c r="C1630" s="15" t="s">
        <v>164</v>
      </c>
      <c r="D1630" s="15" t="s">
        <v>174</v>
      </c>
      <c r="E1630" s="15" t="s">
        <v>180</v>
      </c>
      <c r="F1630" s="15" t="s">
        <v>180</v>
      </c>
      <c r="G1630" s="15" t="s">
        <v>180</v>
      </c>
      <c r="H1630" s="154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1818</v>
      </c>
      <c r="N1630" s="15"/>
      <c r="O1630" s="8" t="s">
        <v>2364</v>
      </c>
      <c r="P1630" s="8" t="s">
        <v>41</v>
      </c>
      <c r="Q1630" s="14">
        <v>0</v>
      </c>
      <c r="R1630" s="139" t="s">
        <v>1819</v>
      </c>
      <c r="S1630" s="15"/>
      <c r="T1630" s="6">
        <v>0</v>
      </c>
      <c r="U1630" s="6">
        <v>0</v>
      </c>
      <c r="V1630" s="6">
        <v>90285.226039999994</v>
      </c>
      <c r="W1630" s="18">
        <f t="shared" si="247"/>
        <v>-90285.226039999994</v>
      </c>
      <c r="X1630" s="18">
        <f t="shared" si="245"/>
        <v>90285.226039999994</v>
      </c>
      <c r="Y1630" s="13">
        <f t="shared" si="238"/>
        <v>36208.415489449966</v>
      </c>
      <c r="Z1630" s="14">
        <v>0</v>
      </c>
      <c r="AA1630" s="4">
        <v>0</v>
      </c>
      <c r="AB1630" s="4">
        <f t="shared" si="239"/>
        <v>90285.226039999994</v>
      </c>
      <c r="AC1630" s="6">
        <f t="shared" si="240"/>
        <v>0</v>
      </c>
      <c r="AD1630" s="6">
        <f t="shared" si="244"/>
        <v>54076.810550550028</v>
      </c>
      <c r="AE1630" s="2">
        <v>0.15</v>
      </c>
      <c r="AF1630" s="5">
        <f t="shared" si="241"/>
        <v>8111.5215825825035</v>
      </c>
      <c r="AG1630" s="14">
        <v>0</v>
      </c>
      <c r="AH1630" s="19">
        <f t="shared" si="246"/>
        <v>90285.226039999994</v>
      </c>
      <c r="AJ1630" s="126" t="e">
        <v>#N/A</v>
      </c>
      <c r="AK1630" s="80">
        <f t="shared" si="242"/>
        <v>0</v>
      </c>
      <c r="AM1630" s="85"/>
    </row>
    <row r="1631" spans="1:39" hidden="1" x14ac:dyDescent="0.3">
      <c r="A1631" s="85" t="s">
        <v>34</v>
      </c>
      <c r="B1631" s="15" t="s">
        <v>35</v>
      </c>
      <c r="C1631" s="15" t="s">
        <v>164</v>
      </c>
      <c r="D1631" s="15" t="s">
        <v>174</v>
      </c>
      <c r="E1631" s="15" t="s">
        <v>1756</v>
      </c>
      <c r="F1631" s="15" t="s">
        <v>1756</v>
      </c>
      <c r="G1631" s="15" t="s">
        <v>1756</v>
      </c>
      <c r="H1631" s="154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1757</v>
      </c>
      <c r="N1631" s="15"/>
      <c r="O1631" s="8" t="s">
        <v>2364</v>
      </c>
      <c r="P1631" s="8" t="s">
        <v>41</v>
      </c>
      <c r="Q1631" s="14">
        <v>0</v>
      </c>
      <c r="R1631" s="139" t="s">
        <v>1758</v>
      </c>
      <c r="S1631" s="15"/>
      <c r="T1631" s="6">
        <v>0</v>
      </c>
      <c r="U1631" s="6">
        <v>0</v>
      </c>
      <c r="V1631" s="6">
        <v>54773.55</v>
      </c>
      <c r="W1631" s="18">
        <f t="shared" si="247"/>
        <v>-54773.55</v>
      </c>
      <c r="X1631" s="18">
        <f t="shared" si="245"/>
        <v>54773.55</v>
      </c>
      <c r="Y1631" s="13">
        <f t="shared" si="238"/>
        <v>21966.644413710572</v>
      </c>
      <c r="Z1631" s="14">
        <v>0</v>
      </c>
      <c r="AA1631" s="4">
        <v>0</v>
      </c>
      <c r="AB1631" s="4">
        <f t="shared" si="239"/>
        <v>54773.55</v>
      </c>
      <c r="AC1631" s="6">
        <f t="shared" si="240"/>
        <v>0</v>
      </c>
      <c r="AD1631" s="6">
        <f t="shared" si="244"/>
        <v>32806.905586289431</v>
      </c>
      <c r="AE1631" s="2">
        <v>0.15</v>
      </c>
      <c r="AF1631" s="5">
        <f t="shared" si="241"/>
        <v>4921.0358379434147</v>
      </c>
      <c r="AG1631" s="14">
        <v>0</v>
      </c>
      <c r="AH1631" s="19">
        <f t="shared" si="246"/>
        <v>54773.55</v>
      </c>
      <c r="AJ1631" s="126" t="e">
        <v>#N/A</v>
      </c>
      <c r="AK1631" s="80">
        <f t="shared" si="242"/>
        <v>0</v>
      </c>
      <c r="AM1631" s="85"/>
    </row>
    <row r="1632" spans="1:39" hidden="1" x14ac:dyDescent="0.3">
      <c r="A1632" s="85" t="s">
        <v>34</v>
      </c>
      <c r="B1632" s="15" t="s">
        <v>35</v>
      </c>
      <c r="C1632" s="15" t="s">
        <v>47</v>
      </c>
      <c r="D1632" s="15" t="s">
        <v>48</v>
      </c>
      <c r="E1632" s="15" t="s">
        <v>1366</v>
      </c>
      <c r="F1632" s="15" t="s">
        <v>1367</v>
      </c>
      <c r="G1632" s="15" t="s">
        <v>1366</v>
      </c>
      <c r="H1632" s="154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1368</v>
      </c>
      <c r="N1632" s="15"/>
      <c r="O1632" s="8" t="s">
        <v>2364</v>
      </c>
      <c r="P1632" s="8" t="s">
        <v>41</v>
      </c>
      <c r="Q1632" s="14">
        <v>0</v>
      </c>
      <c r="R1632" s="139" t="s">
        <v>1369</v>
      </c>
      <c r="S1632" s="15"/>
      <c r="T1632" s="6">
        <v>0</v>
      </c>
      <c r="U1632" s="6">
        <v>0</v>
      </c>
      <c r="V1632" s="6">
        <v>231510.64825999999</v>
      </c>
      <c r="W1632" s="18">
        <f t="shared" si="247"/>
        <v>-231510.64825999999</v>
      </c>
      <c r="X1632" s="18">
        <f t="shared" si="245"/>
        <v>231510.64825999999</v>
      </c>
      <c r="Y1632" s="13">
        <f t="shared" si="238"/>
        <v>92846.128985889023</v>
      </c>
      <c r="Z1632" s="14">
        <v>0</v>
      </c>
      <c r="AA1632" s="4">
        <v>0</v>
      </c>
      <c r="AB1632" s="4">
        <f t="shared" si="239"/>
        <v>231510.64825999999</v>
      </c>
      <c r="AC1632" s="6">
        <f t="shared" si="240"/>
        <v>0</v>
      </c>
      <c r="AD1632" s="6">
        <f t="shared" si="244"/>
        <v>138664.51927411096</v>
      </c>
      <c r="AE1632" s="2">
        <v>0.15</v>
      </c>
      <c r="AF1632" s="5">
        <f t="shared" si="241"/>
        <v>20799.677891116644</v>
      </c>
      <c r="AG1632" s="14">
        <v>0</v>
      </c>
      <c r="AH1632" s="19">
        <f t="shared" si="246"/>
        <v>231510.64825999999</v>
      </c>
      <c r="AJ1632" s="126" t="e">
        <v>#N/A</v>
      </c>
      <c r="AK1632" s="80">
        <f t="shared" si="242"/>
        <v>0</v>
      </c>
      <c r="AM1632" s="85"/>
    </row>
    <row r="1633" spans="1:39" hidden="1" x14ac:dyDescent="0.3">
      <c r="A1633" s="85" t="s">
        <v>34</v>
      </c>
      <c r="B1633" s="15" t="s">
        <v>35</v>
      </c>
      <c r="C1633" s="15" t="s">
        <v>47</v>
      </c>
      <c r="D1633" s="15" t="s">
        <v>48</v>
      </c>
      <c r="E1633" s="15" t="s">
        <v>3359</v>
      </c>
      <c r="F1633" s="15" t="s">
        <v>541</v>
      </c>
      <c r="G1633" s="15" t="s">
        <v>540</v>
      </c>
      <c r="H1633" s="154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540</v>
      </c>
      <c r="N1633" s="15"/>
      <c r="O1633" s="8" t="s">
        <v>2364</v>
      </c>
      <c r="P1633" s="8" t="s">
        <v>41</v>
      </c>
      <c r="Q1633" s="14">
        <v>0</v>
      </c>
      <c r="R1633" s="139" t="s">
        <v>1370</v>
      </c>
      <c r="S1633" s="15"/>
      <c r="T1633" s="6">
        <v>0</v>
      </c>
      <c r="U1633" s="6">
        <v>0</v>
      </c>
      <c r="V1633" s="6">
        <v>2.2400000000000002</v>
      </c>
      <c r="W1633" s="18">
        <f t="shared" si="247"/>
        <v>-2.2400000000000002</v>
      </c>
      <c r="X1633" s="18">
        <f t="shared" si="245"/>
        <v>2.2400000000000002</v>
      </c>
      <c r="Y1633" s="13">
        <f t="shared" si="238"/>
        <v>0.89834022966763505</v>
      </c>
      <c r="Z1633" s="14">
        <v>0</v>
      </c>
      <c r="AA1633" s="4">
        <v>0</v>
      </c>
      <c r="AB1633" s="4">
        <f t="shared" si="239"/>
        <v>2.2400000000000002</v>
      </c>
      <c r="AC1633" s="6">
        <f t="shared" si="240"/>
        <v>0</v>
      </c>
      <c r="AD1633" s="6">
        <f t="shared" si="244"/>
        <v>1.3416597703323652</v>
      </c>
      <c r="AE1633" s="2">
        <v>0.15</v>
      </c>
      <c r="AF1633" s="5">
        <f t="shared" si="241"/>
        <v>0.20124896554985477</v>
      </c>
      <c r="AG1633" s="14">
        <v>0</v>
      </c>
      <c r="AH1633" s="19">
        <f t="shared" si="246"/>
        <v>2.2400000000000002</v>
      </c>
      <c r="AJ1633" s="126" t="e">
        <v>#N/A</v>
      </c>
      <c r="AK1633" s="80">
        <f t="shared" si="242"/>
        <v>0</v>
      </c>
      <c r="AM1633" s="85"/>
    </row>
    <row r="1634" spans="1:39" hidden="1" x14ac:dyDescent="0.3">
      <c r="A1634" s="85" t="s">
        <v>34</v>
      </c>
      <c r="B1634" s="15" t="s">
        <v>35</v>
      </c>
      <c r="C1634" s="15" t="s">
        <v>47</v>
      </c>
      <c r="D1634" s="15" t="s">
        <v>48</v>
      </c>
      <c r="E1634" s="15" t="s">
        <v>540</v>
      </c>
      <c r="F1634" s="15" t="s">
        <v>541</v>
      </c>
      <c r="G1634" s="15" t="s">
        <v>540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540</v>
      </c>
      <c r="N1634" s="15"/>
      <c r="O1634" s="8" t="s">
        <v>2364</v>
      </c>
      <c r="P1634" s="8" t="s">
        <v>41</v>
      </c>
      <c r="Q1634" s="14">
        <v>0</v>
      </c>
      <c r="R1634" s="139" t="s">
        <v>1355</v>
      </c>
      <c r="S1634" s="15"/>
      <c r="T1634" s="6">
        <v>0</v>
      </c>
      <c r="U1634" s="6">
        <v>0</v>
      </c>
      <c r="V1634" s="6">
        <v>98.01764</v>
      </c>
      <c r="W1634" s="18">
        <f t="shared" si="247"/>
        <v>-98.01764</v>
      </c>
      <c r="X1634" s="18">
        <f t="shared" si="245"/>
        <v>98.01764</v>
      </c>
      <c r="Y1634" s="13">
        <f t="shared" si="238"/>
        <v>39.309459477267659</v>
      </c>
      <c r="Z1634" s="14">
        <v>0</v>
      </c>
      <c r="AA1634" s="4">
        <v>0</v>
      </c>
      <c r="AB1634" s="4">
        <f t="shared" si="239"/>
        <v>98.01764</v>
      </c>
      <c r="AC1634" s="6">
        <f t="shared" si="240"/>
        <v>0</v>
      </c>
      <c r="AD1634" s="6">
        <f t="shared" si="244"/>
        <v>58.708180522732341</v>
      </c>
      <c r="AE1634" s="2">
        <v>0.15</v>
      </c>
      <c r="AF1634" s="5">
        <f t="shared" si="241"/>
        <v>8.8062270784098509</v>
      </c>
      <c r="AG1634" s="14">
        <v>0</v>
      </c>
      <c r="AH1634" s="19">
        <f t="shared" si="246"/>
        <v>98.01764</v>
      </c>
      <c r="AJ1634" s="126" t="e">
        <v>#N/A</v>
      </c>
      <c r="AK1634" s="80">
        <f t="shared" si="242"/>
        <v>0</v>
      </c>
      <c r="AM1634" s="85"/>
    </row>
    <row r="1635" spans="1:39" hidden="1" x14ac:dyDescent="0.3">
      <c r="A1635" s="85" t="s">
        <v>34</v>
      </c>
      <c r="B1635" s="15" t="s">
        <v>35</v>
      </c>
      <c r="C1635" s="15" t="s">
        <v>164</v>
      </c>
      <c r="D1635" s="15" t="s">
        <v>169</v>
      </c>
      <c r="E1635" s="15" t="s">
        <v>1575</v>
      </c>
      <c r="F1635" s="15" t="s">
        <v>1575</v>
      </c>
      <c r="G1635" s="15" t="s">
        <v>1575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1575</v>
      </c>
      <c r="N1635" s="15"/>
      <c r="O1635" s="8" t="s">
        <v>2364</v>
      </c>
      <c r="P1635" s="8" t="s">
        <v>41</v>
      </c>
      <c r="Q1635" s="14">
        <v>0</v>
      </c>
      <c r="R1635" s="139" t="s">
        <v>1576</v>
      </c>
      <c r="S1635" s="15"/>
      <c r="T1635" s="6">
        <v>0</v>
      </c>
      <c r="U1635" s="6">
        <v>0</v>
      </c>
      <c r="V1635" s="6">
        <v>129044.41085</v>
      </c>
      <c r="W1635" s="18">
        <f t="shared" si="247"/>
        <v>-129044.41085</v>
      </c>
      <c r="X1635" s="18">
        <f t="shared" si="245"/>
        <v>129044.41085</v>
      </c>
      <c r="Y1635" s="13">
        <f t="shared" si="238"/>
        <v>51752.582892997161</v>
      </c>
      <c r="Z1635" s="14">
        <v>0</v>
      </c>
      <c r="AA1635" s="4">
        <v>0</v>
      </c>
      <c r="AB1635" s="4">
        <f t="shared" si="239"/>
        <v>129044.41085</v>
      </c>
      <c r="AC1635" s="6">
        <f t="shared" si="240"/>
        <v>0</v>
      </c>
      <c r="AD1635" s="6">
        <f t="shared" si="244"/>
        <v>77291.827957002839</v>
      </c>
      <c r="AE1635" s="2">
        <v>0.15</v>
      </c>
      <c r="AF1635" s="5">
        <f t="shared" si="241"/>
        <v>11593.774193550425</v>
      </c>
      <c r="AG1635" s="14">
        <v>0</v>
      </c>
      <c r="AH1635" s="19">
        <f t="shared" si="246"/>
        <v>129044.41085</v>
      </c>
      <c r="AJ1635" s="126" t="e">
        <v>#N/A</v>
      </c>
      <c r="AK1635" s="80">
        <f t="shared" si="242"/>
        <v>0</v>
      </c>
      <c r="AM1635" s="85"/>
    </row>
    <row r="1636" spans="1:39" hidden="1" x14ac:dyDescent="0.3">
      <c r="A1636" s="85" t="s">
        <v>34</v>
      </c>
      <c r="B1636" s="15" t="s">
        <v>35</v>
      </c>
      <c r="C1636" s="15" t="s">
        <v>164</v>
      </c>
      <c r="D1636" s="15" t="s">
        <v>169</v>
      </c>
      <c r="E1636" s="15" t="s">
        <v>1579</v>
      </c>
      <c r="F1636" s="15" t="s">
        <v>1579</v>
      </c>
      <c r="G1636" s="15" t="s">
        <v>1579</v>
      </c>
      <c r="H1636" s="154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1579</v>
      </c>
      <c r="N1636" s="15"/>
      <c r="O1636" s="8" t="s">
        <v>2364</v>
      </c>
      <c r="P1636" s="8" t="s">
        <v>41</v>
      </c>
      <c r="Q1636" s="14">
        <v>0</v>
      </c>
      <c r="R1636" s="139" t="s">
        <v>1580</v>
      </c>
      <c r="S1636" s="15"/>
      <c r="T1636" s="6">
        <v>0</v>
      </c>
      <c r="U1636" s="6">
        <v>0</v>
      </c>
      <c r="V1636" s="6">
        <v>2436.9295099999999</v>
      </c>
      <c r="W1636" s="18">
        <f t="shared" si="247"/>
        <v>-2436.9295099999999</v>
      </c>
      <c r="X1636" s="18">
        <f t="shared" si="245"/>
        <v>2436.9295099999999</v>
      </c>
      <c r="Y1636" s="13">
        <f t="shared" si="238"/>
        <v>977.31777486483793</v>
      </c>
      <c r="Z1636" s="14">
        <v>0</v>
      </c>
      <c r="AA1636" s="4">
        <v>0</v>
      </c>
      <c r="AB1636" s="4">
        <f t="shared" si="239"/>
        <v>2436.9295099999999</v>
      </c>
      <c r="AC1636" s="6">
        <f t="shared" si="240"/>
        <v>0</v>
      </c>
      <c r="AD1636" s="6">
        <f t="shared" si="244"/>
        <v>1459.611735135162</v>
      </c>
      <c r="AE1636" s="2">
        <v>0.15</v>
      </c>
      <c r="AF1636" s="5">
        <f t="shared" si="241"/>
        <v>218.9417602702743</v>
      </c>
      <c r="AG1636" s="14">
        <v>0</v>
      </c>
      <c r="AH1636" s="19">
        <f t="shared" si="246"/>
        <v>2436.9295099999999</v>
      </c>
      <c r="AJ1636" s="126" t="e">
        <v>#N/A</v>
      </c>
      <c r="AK1636" s="80">
        <f t="shared" si="242"/>
        <v>0</v>
      </c>
      <c r="AM1636" s="85"/>
    </row>
    <row r="1637" spans="1:39" hidden="1" x14ac:dyDescent="0.3">
      <c r="A1637" s="85" t="s">
        <v>34</v>
      </c>
      <c r="B1637" s="15" t="s">
        <v>35</v>
      </c>
      <c r="C1637" s="15" t="s">
        <v>144</v>
      </c>
      <c r="D1637" s="15" t="s">
        <v>152</v>
      </c>
      <c r="E1637" s="15" t="s">
        <v>1478</v>
      </c>
      <c r="F1637" s="15" t="s">
        <v>1478</v>
      </c>
      <c r="G1637" s="15" t="s">
        <v>1478</v>
      </c>
      <c r="H1637" s="154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1479</v>
      </c>
      <c r="N1637" s="15"/>
      <c r="O1637" s="8" t="s">
        <v>2364</v>
      </c>
      <c r="P1637" s="8" t="s">
        <v>3360</v>
      </c>
      <c r="Q1637" s="14">
        <v>0.02</v>
      </c>
      <c r="R1637" s="139" t="s">
        <v>1480</v>
      </c>
      <c r="S1637" s="15"/>
      <c r="T1637" s="6">
        <v>0</v>
      </c>
      <c r="U1637" s="6">
        <v>0</v>
      </c>
      <c r="V1637" s="6">
        <v>657544.01878000004</v>
      </c>
      <c r="W1637" s="18">
        <f t="shared" si="247"/>
        <v>-657544.01878000004</v>
      </c>
      <c r="X1637" s="18">
        <f t="shared" si="245"/>
        <v>644650.99880392163</v>
      </c>
      <c r="Y1637" s="13">
        <f t="shared" si="238"/>
        <v>250811.55361651303</v>
      </c>
      <c r="Z1637" s="14">
        <v>0</v>
      </c>
      <c r="AA1637" s="4">
        <v>0</v>
      </c>
      <c r="AB1637" s="4">
        <f t="shared" si="239"/>
        <v>644650.99880392163</v>
      </c>
      <c r="AC1637" s="6">
        <f t="shared" si="240"/>
        <v>12893.019976078416</v>
      </c>
      <c r="AD1637" s="6">
        <f t="shared" si="244"/>
        <v>393839.44518740859</v>
      </c>
      <c r="AE1637" s="2">
        <v>0.15</v>
      </c>
      <c r="AF1637" s="5">
        <f t="shared" si="241"/>
        <v>59075.916778111285</v>
      </c>
      <c r="AG1637" s="14">
        <v>0</v>
      </c>
      <c r="AH1637" s="19">
        <f t="shared" si="246"/>
        <v>657544.01878000004</v>
      </c>
      <c r="AJ1637" s="126" t="e">
        <v>#N/A</v>
      </c>
      <c r="AK1637" s="80">
        <f t="shared" si="242"/>
        <v>0</v>
      </c>
      <c r="AM1637" s="85"/>
    </row>
    <row r="1638" spans="1:39" hidden="1" x14ac:dyDescent="0.3">
      <c r="A1638" s="85" t="s">
        <v>34</v>
      </c>
      <c r="B1638" s="15" t="s">
        <v>35</v>
      </c>
      <c r="C1638" s="15" t="s">
        <v>47</v>
      </c>
      <c r="D1638" s="15" t="s">
        <v>48</v>
      </c>
      <c r="E1638" s="15" t="s">
        <v>1349</v>
      </c>
      <c r="F1638" s="15" t="s">
        <v>1352</v>
      </c>
      <c r="G1638" s="15" t="s">
        <v>1349</v>
      </c>
      <c r="H1638" s="154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1349</v>
      </c>
      <c r="N1638" s="15"/>
      <c r="O1638" s="8" t="s">
        <v>2364</v>
      </c>
      <c r="P1638" s="8" t="s">
        <v>41</v>
      </c>
      <c r="Q1638" s="14">
        <v>0</v>
      </c>
      <c r="R1638" s="139" t="s">
        <v>1353</v>
      </c>
      <c r="S1638" s="15"/>
      <c r="T1638" s="6">
        <v>0</v>
      </c>
      <c r="U1638" s="6">
        <v>0</v>
      </c>
      <c r="V1638" s="6">
        <v>60610.9</v>
      </c>
      <c r="W1638" s="18">
        <f t="shared" si="247"/>
        <v>-60610.9</v>
      </c>
      <c r="X1638" s="18">
        <f t="shared" si="245"/>
        <v>60610.9</v>
      </c>
      <c r="Y1638" s="13">
        <f t="shared" si="238"/>
        <v>24307.682958197343</v>
      </c>
      <c r="Z1638" s="14">
        <v>0</v>
      </c>
      <c r="AA1638" s="4">
        <v>0</v>
      </c>
      <c r="AB1638" s="4">
        <f t="shared" si="239"/>
        <v>60610.9</v>
      </c>
      <c r="AC1638" s="6">
        <f t="shared" si="240"/>
        <v>0</v>
      </c>
      <c r="AD1638" s="6">
        <f t="shared" si="244"/>
        <v>36303.217041802658</v>
      </c>
      <c r="AE1638" s="2">
        <v>0.15</v>
      </c>
      <c r="AF1638" s="5">
        <f t="shared" si="241"/>
        <v>5445.4825562703982</v>
      </c>
      <c r="AG1638" s="14">
        <v>0</v>
      </c>
      <c r="AH1638" s="19">
        <f t="shared" si="246"/>
        <v>60610.9</v>
      </c>
      <c r="AJ1638" s="126" t="e">
        <v>#N/A</v>
      </c>
      <c r="AK1638" s="80">
        <f t="shared" si="242"/>
        <v>0</v>
      </c>
      <c r="AM1638" s="85"/>
    </row>
    <row r="1639" spans="1:39" hidden="1" x14ac:dyDescent="0.3">
      <c r="A1639" s="85" t="s">
        <v>34</v>
      </c>
      <c r="B1639" s="15" t="s">
        <v>35</v>
      </c>
      <c r="C1639" s="15" t="s">
        <v>36</v>
      </c>
      <c r="D1639" s="15" t="s">
        <v>37</v>
      </c>
      <c r="E1639" s="15" t="s">
        <v>1225</v>
      </c>
      <c r="F1639" s="15" t="s">
        <v>1226</v>
      </c>
      <c r="G1639" s="15" t="s">
        <v>1225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1225</v>
      </c>
      <c r="N1639" s="15"/>
      <c r="O1639" s="8" t="s">
        <v>2364</v>
      </c>
      <c r="P1639" s="8" t="s">
        <v>41</v>
      </c>
      <c r="Q1639" s="14">
        <v>0</v>
      </c>
      <c r="R1639" s="139" t="s">
        <v>1227</v>
      </c>
      <c r="S1639" s="15"/>
      <c r="T1639" s="6">
        <v>0</v>
      </c>
      <c r="U1639" s="6">
        <v>0</v>
      </c>
      <c r="V1639" s="6">
        <v>1116.8140800000001</v>
      </c>
      <c r="W1639" s="18">
        <f t="shared" si="247"/>
        <v>-1116.8140800000001</v>
      </c>
      <c r="X1639" s="18">
        <f t="shared" si="245"/>
        <v>1116.8140800000001</v>
      </c>
      <c r="Y1639" s="13">
        <f t="shared" si="238"/>
        <v>447.89241835859309</v>
      </c>
      <c r="Z1639" s="14">
        <v>0</v>
      </c>
      <c r="AA1639" s="4">
        <v>0</v>
      </c>
      <c r="AB1639" s="4">
        <f t="shared" si="239"/>
        <v>1116.8140800000001</v>
      </c>
      <c r="AC1639" s="6">
        <f t="shared" si="240"/>
        <v>0</v>
      </c>
      <c r="AD1639" s="6">
        <f t="shared" si="244"/>
        <v>668.92166164140701</v>
      </c>
      <c r="AE1639" s="2">
        <v>0.15</v>
      </c>
      <c r="AF1639" s="5">
        <f t="shared" si="241"/>
        <v>100.33824924621105</v>
      </c>
      <c r="AG1639" s="14">
        <v>0</v>
      </c>
      <c r="AH1639" s="19">
        <f t="shared" si="246"/>
        <v>1116.8140800000001</v>
      </c>
      <c r="AJ1639" s="126" t="e">
        <v>#N/A</v>
      </c>
      <c r="AK1639" s="80">
        <f t="shared" si="242"/>
        <v>0</v>
      </c>
      <c r="AM1639" s="85"/>
    </row>
    <row r="1640" spans="1:39" hidden="1" x14ac:dyDescent="0.3">
      <c r="A1640" s="85" t="s">
        <v>34</v>
      </c>
      <c r="B1640" s="15" t="s">
        <v>35</v>
      </c>
      <c r="C1640" s="15" t="s">
        <v>65</v>
      </c>
      <c r="D1640" s="15" t="s">
        <v>122</v>
      </c>
      <c r="E1640" s="15" t="s">
        <v>1266</v>
      </c>
      <c r="F1640" s="15" t="s">
        <v>1266</v>
      </c>
      <c r="G1640" s="15" t="s">
        <v>1266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1274</v>
      </c>
      <c r="N1640" s="15"/>
      <c r="O1640" s="8" t="s">
        <v>2364</v>
      </c>
      <c r="P1640" s="8" t="s">
        <v>41</v>
      </c>
      <c r="Q1640" s="14">
        <v>0</v>
      </c>
      <c r="R1640" s="139" t="s">
        <v>1275</v>
      </c>
      <c r="S1640" s="15"/>
      <c r="T1640" s="6">
        <v>0</v>
      </c>
      <c r="U1640" s="6">
        <v>0</v>
      </c>
      <c r="V1640" s="6">
        <v>1740.0517600000001</v>
      </c>
      <c r="W1640" s="18">
        <f t="shared" si="247"/>
        <v>-1740.0517600000001</v>
      </c>
      <c r="X1640" s="18">
        <f t="shared" si="245"/>
        <v>1740.0517600000001</v>
      </c>
      <c r="Y1640" s="13">
        <f t="shared" si="238"/>
        <v>697.83861504998777</v>
      </c>
      <c r="Z1640" s="14">
        <v>0</v>
      </c>
      <c r="AA1640" s="4">
        <v>0</v>
      </c>
      <c r="AB1640" s="4">
        <f t="shared" si="239"/>
        <v>1740.0517600000001</v>
      </c>
      <c r="AC1640" s="6">
        <f t="shared" si="240"/>
        <v>0</v>
      </c>
      <c r="AD1640" s="6">
        <f t="shared" si="244"/>
        <v>1042.2131449500123</v>
      </c>
      <c r="AE1640" s="2">
        <v>0.15</v>
      </c>
      <c r="AF1640" s="5">
        <f t="shared" si="241"/>
        <v>156.33197174250185</v>
      </c>
      <c r="AG1640" s="14">
        <v>0</v>
      </c>
      <c r="AH1640" s="19">
        <f t="shared" si="246"/>
        <v>1740.0517600000001</v>
      </c>
      <c r="AJ1640" s="126" t="e">
        <v>#N/A</v>
      </c>
      <c r="AK1640" s="80">
        <f t="shared" si="242"/>
        <v>0</v>
      </c>
      <c r="AM1640" s="85"/>
    </row>
    <row r="1641" spans="1:39" hidden="1" x14ac:dyDescent="0.3">
      <c r="A1641" s="85" t="s">
        <v>34</v>
      </c>
      <c r="B1641" s="15" t="s">
        <v>35</v>
      </c>
      <c r="C1641" s="15" t="s">
        <v>47</v>
      </c>
      <c r="D1641" s="15" t="s">
        <v>63</v>
      </c>
      <c r="E1641" s="15" t="s">
        <v>1336</v>
      </c>
      <c r="F1641" s="15" t="s">
        <v>1337</v>
      </c>
      <c r="G1641" s="15" t="s">
        <v>1336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1336</v>
      </c>
      <c r="N1641" s="15"/>
      <c r="O1641" s="8" t="s">
        <v>2364</v>
      </c>
      <c r="P1641" s="8" t="s">
        <v>41</v>
      </c>
      <c r="Q1641" s="14">
        <v>0</v>
      </c>
      <c r="R1641" s="139" t="s">
        <v>1338</v>
      </c>
      <c r="S1641" s="15"/>
      <c r="T1641" s="6">
        <v>0</v>
      </c>
      <c r="U1641" s="6">
        <v>0</v>
      </c>
      <c r="V1641" s="6">
        <v>195444.62</v>
      </c>
      <c r="W1641" s="18">
        <f t="shared" si="247"/>
        <v>-195444.62</v>
      </c>
      <c r="X1641" s="18">
        <f t="shared" si="245"/>
        <v>195444.62</v>
      </c>
      <c r="Y1641" s="13">
        <f t="shared" si="238"/>
        <v>78382.037865224833</v>
      </c>
      <c r="Z1641" s="14">
        <v>0</v>
      </c>
      <c r="AA1641" s="4">
        <v>0</v>
      </c>
      <c r="AB1641" s="4">
        <f t="shared" si="239"/>
        <v>195444.62</v>
      </c>
      <c r="AC1641" s="6">
        <f t="shared" si="240"/>
        <v>0</v>
      </c>
      <c r="AD1641" s="6">
        <f t="shared" si="244"/>
        <v>117062.58213477516</v>
      </c>
      <c r="AE1641" s="2">
        <v>0.15</v>
      </c>
      <c r="AF1641" s="5">
        <f t="shared" si="241"/>
        <v>17559.387320216272</v>
      </c>
      <c r="AG1641" s="14">
        <v>0</v>
      </c>
      <c r="AH1641" s="19">
        <f t="shared" si="246"/>
        <v>195444.62</v>
      </c>
      <c r="AJ1641" s="126" t="e">
        <v>#N/A</v>
      </c>
      <c r="AK1641" s="80">
        <f t="shared" si="242"/>
        <v>0</v>
      </c>
      <c r="AM1641" s="85"/>
    </row>
    <row r="1642" spans="1:39" hidden="1" x14ac:dyDescent="0.3">
      <c r="A1642" s="85" t="s">
        <v>34</v>
      </c>
      <c r="B1642" s="15" t="s">
        <v>35</v>
      </c>
      <c r="C1642" s="15" t="s">
        <v>65</v>
      </c>
      <c r="D1642" s="15" t="s">
        <v>122</v>
      </c>
      <c r="E1642" s="15" t="s">
        <v>1266</v>
      </c>
      <c r="F1642" s="15" t="s">
        <v>1266</v>
      </c>
      <c r="G1642" s="15" t="s">
        <v>1266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1274</v>
      </c>
      <c r="N1642" s="15"/>
      <c r="O1642" s="8" t="s">
        <v>2364</v>
      </c>
      <c r="P1642" s="8" t="s">
        <v>41</v>
      </c>
      <c r="Q1642" s="14">
        <v>0</v>
      </c>
      <c r="R1642" s="139" t="s">
        <v>1276</v>
      </c>
      <c r="S1642" s="15"/>
      <c r="T1642" s="6">
        <v>0</v>
      </c>
      <c r="U1642" s="6">
        <v>0</v>
      </c>
      <c r="V1642" s="6">
        <v>6838.6828599999999</v>
      </c>
      <c r="W1642" s="18">
        <f t="shared" si="247"/>
        <v>-6838.6828599999999</v>
      </c>
      <c r="X1642" s="18">
        <f t="shared" si="245"/>
        <v>6838.6828599999999</v>
      </c>
      <c r="Y1642" s="13">
        <f t="shared" si="238"/>
        <v>2742.6178263734455</v>
      </c>
      <c r="Z1642" s="14">
        <v>0</v>
      </c>
      <c r="AA1642" s="4">
        <v>0</v>
      </c>
      <c r="AB1642" s="4">
        <f t="shared" si="239"/>
        <v>6838.6828599999999</v>
      </c>
      <c r="AC1642" s="6">
        <f t="shared" si="240"/>
        <v>0</v>
      </c>
      <c r="AD1642" s="6">
        <f t="shared" si="244"/>
        <v>4096.0650336265544</v>
      </c>
      <c r="AE1642" s="2">
        <v>0.15</v>
      </c>
      <c r="AF1642" s="5">
        <f t="shared" si="241"/>
        <v>614.40975504398318</v>
      </c>
      <c r="AG1642" s="14">
        <v>0</v>
      </c>
      <c r="AH1642" s="19">
        <f t="shared" si="246"/>
        <v>6838.6828599999999</v>
      </c>
      <c r="AJ1642" s="126" t="e">
        <v>#N/A</v>
      </c>
      <c r="AK1642" s="80">
        <f t="shared" si="242"/>
        <v>0</v>
      </c>
      <c r="AM1642" s="85"/>
    </row>
    <row r="1643" spans="1:39" hidden="1" x14ac:dyDescent="0.3">
      <c r="A1643" s="85" t="s">
        <v>34</v>
      </c>
      <c r="B1643" s="15" t="s">
        <v>35</v>
      </c>
      <c r="C1643" s="15" t="s">
        <v>47</v>
      </c>
      <c r="D1643" s="15" t="s">
        <v>63</v>
      </c>
      <c r="E1643" s="15" t="s">
        <v>1336</v>
      </c>
      <c r="F1643" s="15" t="s">
        <v>1337</v>
      </c>
      <c r="G1643" s="15" t="s">
        <v>1336</v>
      </c>
      <c r="H1643" s="154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1336</v>
      </c>
      <c r="N1643" s="15"/>
      <c r="O1643" s="8" t="s">
        <v>2364</v>
      </c>
      <c r="P1643" s="8" t="s">
        <v>41</v>
      </c>
      <c r="Q1643" s="14">
        <v>0</v>
      </c>
      <c r="R1643" s="139" t="s">
        <v>1339</v>
      </c>
      <c r="S1643" s="15"/>
      <c r="T1643" s="6">
        <v>0</v>
      </c>
      <c r="U1643" s="6">
        <v>0</v>
      </c>
      <c r="V1643" s="6">
        <v>1470875.36</v>
      </c>
      <c r="W1643" s="18">
        <f t="shared" si="247"/>
        <v>-1470875.36</v>
      </c>
      <c r="X1643" s="18">
        <f t="shared" si="245"/>
        <v>1470875.36</v>
      </c>
      <c r="Y1643" s="13">
        <f t="shared" si="238"/>
        <v>589886.83424770774</v>
      </c>
      <c r="Z1643" s="14">
        <v>0</v>
      </c>
      <c r="AA1643" s="4">
        <v>0</v>
      </c>
      <c r="AB1643" s="4">
        <f t="shared" si="239"/>
        <v>1470875.36</v>
      </c>
      <c r="AC1643" s="6">
        <f t="shared" si="240"/>
        <v>0</v>
      </c>
      <c r="AD1643" s="6">
        <f t="shared" si="244"/>
        <v>880988.52575229236</v>
      </c>
      <c r="AE1643" s="2">
        <v>0.15</v>
      </c>
      <c r="AF1643" s="5">
        <f t="shared" si="241"/>
        <v>132148.27886284384</v>
      </c>
      <c r="AG1643" s="14">
        <v>0</v>
      </c>
      <c r="AH1643" s="19">
        <f t="shared" si="246"/>
        <v>1470875.36</v>
      </c>
      <c r="AJ1643" s="126" t="e">
        <v>#N/A</v>
      </c>
      <c r="AK1643" s="80">
        <f t="shared" si="242"/>
        <v>0</v>
      </c>
      <c r="AM1643" s="85"/>
    </row>
    <row r="1644" spans="1:39" hidden="1" x14ac:dyDescent="0.3">
      <c r="A1644" s="85" t="s">
        <v>34</v>
      </c>
      <c r="B1644" s="15" t="s">
        <v>35</v>
      </c>
      <c r="C1644" s="15" t="s">
        <v>164</v>
      </c>
      <c r="D1644" s="15" t="s">
        <v>174</v>
      </c>
      <c r="E1644" s="15" t="s">
        <v>1802</v>
      </c>
      <c r="F1644" s="15" t="s">
        <v>1802</v>
      </c>
      <c r="G1644" s="15" t="s">
        <v>1802</v>
      </c>
      <c r="H1644" s="154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1802</v>
      </c>
      <c r="N1644" s="15"/>
      <c r="O1644" s="8" t="s">
        <v>2364</v>
      </c>
      <c r="P1644" s="8" t="s">
        <v>41</v>
      </c>
      <c r="Q1644" s="14">
        <v>0</v>
      </c>
      <c r="R1644" s="139" t="s">
        <v>1803</v>
      </c>
      <c r="S1644" s="15"/>
      <c r="T1644" s="6">
        <v>0</v>
      </c>
      <c r="U1644" s="6">
        <v>0</v>
      </c>
      <c r="V1644" s="6">
        <v>1126.08</v>
      </c>
      <c r="W1644" s="18">
        <f t="shared" si="247"/>
        <v>-1126.08</v>
      </c>
      <c r="X1644" s="18">
        <f t="shared" si="245"/>
        <v>1126.08</v>
      </c>
      <c r="Y1644" s="13">
        <f t="shared" si="238"/>
        <v>451.60846688577249</v>
      </c>
      <c r="Z1644" s="14">
        <v>0</v>
      </c>
      <c r="AA1644" s="4">
        <v>0</v>
      </c>
      <c r="AB1644" s="4">
        <f t="shared" si="239"/>
        <v>1126.08</v>
      </c>
      <c r="AC1644" s="6">
        <f t="shared" si="240"/>
        <v>0</v>
      </c>
      <c r="AD1644" s="6">
        <f t="shared" si="244"/>
        <v>674.47153311422744</v>
      </c>
      <c r="AE1644" s="2">
        <v>0.15</v>
      </c>
      <c r="AF1644" s="5">
        <f t="shared" si="241"/>
        <v>101.17072996713411</v>
      </c>
      <c r="AG1644" s="14">
        <v>0</v>
      </c>
      <c r="AH1644" s="19">
        <f t="shared" si="246"/>
        <v>1126.08</v>
      </c>
      <c r="AJ1644" s="126" t="e">
        <v>#N/A</v>
      </c>
      <c r="AK1644" s="80">
        <f t="shared" si="242"/>
        <v>0</v>
      </c>
      <c r="AM1644" s="85"/>
    </row>
    <row r="1645" spans="1:39" hidden="1" x14ac:dyDescent="0.3">
      <c r="A1645" s="85" t="s">
        <v>34</v>
      </c>
      <c r="B1645" s="15" t="s">
        <v>35</v>
      </c>
      <c r="C1645" s="15" t="s">
        <v>144</v>
      </c>
      <c r="D1645" s="15" t="s">
        <v>161</v>
      </c>
      <c r="E1645" s="15" t="s">
        <v>1529</v>
      </c>
      <c r="F1645" s="15" t="s">
        <v>1529</v>
      </c>
      <c r="G1645" s="15" t="s">
        <v>1529</v>
      </c>
      <c r="H1645" s="154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2371</v>
      </c>
      <c r="N1645" s="15"/>
      <c r="O1645" s="8" t="s">
        <v>2364</v>
      </c>
      <c r="P1645" s="8" t="s">
        <v>41</v>
      </c>
      <c r="Q1645" s="14">
        <v>0</v>
      </c>
      <c r="R1645" s="139" t="s">
        <v>1530</v>
      </c>
      <c r="S1645" s="15"/>
      <c r="T1645" s="6">
        <v>0</v>
      </c>
      <c r="U1645" s="6">
        <v>0</v>
      </c>
      <c r="V1645" s="6">
        <v>537678.90633000003</v>
      </c>
      <c r="W1645" s="18">
        <f t="shared" si="247"/>
        <v>-537678.90633000003</v>
      </c>
      <c r="X1645" s="18">
        <f t="shared" si="245"/>
        <v>537678.90633000003</v>
      </c>
      <c r="Y1645" s="13">
        <f t="shared" si="238"/>
        <v>215633.30008925672</v>
      </c>
      <c r="Z1645" s="14">
        <v>0</v>
      </c>
      <c r="AA1645" s="4">
        <v>0</v>
      </c>
      <c r="AB1645" s="4">
        <f t="shared" si="239"/>
        <v>537678.90633000003</v>
      </c>
      <c r="AC1645" s="6">
        <f t="shared" si="240"/>
        <v>0</v>
      </c>
      <c r="AD1645" s="6">
        <f t="shared" si="244"/>
        <v>322045.60624074331</v>
      </c>
      <c r="AE1645" s="2">
        <v>0.15</v>
      </c>
      <c r="AF1645" s="5">
        <f t="shared" si="241"/>
        <v>48306.840936111497</v>
      </c>
      <c r="AG1645" s="14">
        <v>0</v>
      </c>
      <c r="AH1645" s="19">
        <f t="shared" si="246"/>
        <v>537678.90633000003</v>
      </c>
      <c r="AJ1645" s="126" t="e">
        <v>#N/A</v>
      </c>
      <c r="AK1645" s="80">
        <f t="shared" si="242"/>
        <v>0</v>
      </c>
      <c r="AM1645" s="85"/>
    </row>
    <row r="1646" spans="1:39" hidden="1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1756</v>
      </c>
      <c r="F1646" s="15" t="s">
        <v>1756</v>
      </c>
      <c r="G1646" s="15" t="s">
        <v>1756</v>
      </c>
      <c r="H1646" s="154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1759</v>
      </c>
      <c r="N1646" s="15"/>
      <c r="O1646" s="8" t="s">
        <v>2364</v>
      </c>
      <c r="P1646" s="8" t="s">
        <v>41</v>
      </c>
      <c r="Q1646" s="14">
        <v>0</v>
      </c>
      <c r="R1646" s="139" t="s">
        <v>1760</v>
      </c>
      <c r="S1646" s="15"/>
      <c r="T1646" s="6">
        <v>0</v>
      </c>
      <c r="U1646" s="6">
        <v>0</v>
      </c>
      <c r="V1646" s="6">
        <v>234675.48</v>
      </c>
      <c r="W1646" s="18">
        <f t="shared" si="247"/>
        <v>-234675.48</v>
      </c>
      <c r="X1646" s="18">
        <f t="shared" si="245"/>
        <v>234675.48</v>
      </c>
      <c r="Y1646" s="13">
        <f t="shared" si="238"/>
        <v>94115.368125251116</v>
      </c>
      <c r="Z1646" s="14">
        <v>0</v>
      </c>
      <c r="AA1646" s="4">
        <v>0</v>
      </c>
      <c r="AB1646" s="4">
        <f t="shared" si="239"/>
        <v>234675.48</v>
      </c>
      <c r="AC1646" s="6">
        <f t="shared" si="240"/>
        <v>0</v>
      </c>
      <c r="AD1646" s="6">
        <f t="shared" si="244"/>
        <v>140560.11187474889</v>
      </c>
      <c r="AE1646" s="2">
        <v>0.15</v>
      </c>
      <c r="AF1646" s="5">
        <f t="shared" si="241"/>
        <v>21084.016781212333</v>
      </c>
      <c r="AG1646" s="14">
        <v>0</v>
      </c>
      <c r="AH1646" s="19">
        <f t="shared" si="246"/>
        <v>234675.48</v>
      </c>
      <c r="AJ1646" s="126" t="e">
        <v>#N/A</v>
      </c>
      <c r="AK1646" s="80">
        <f t="shared" si="242"/>
        <v>0</v>
      </c>
      <c r="AM1646" s="85"/>
    </row>
    <row r="1647" spans="1:39" hidden="1" x14ac:dyDescent="0.3">
      <c r="A1647" s="85" t="s">
        <v>34</v>
      </c>
      <c r="B1647" s="15" t="s">
        <v>35</v>
      </c>
      <c r="C1647" s="15" t="s">
        <v>47</v>
      </c>
      <c r="D1647" s="15" t="s">
        <v>63</v>
      </c>
      <c r="E1647" s="15" t="s">
        <v>64</v>
      </c>
      <c r="F1647" s="15" t="s">
        <v>1343</v>
      </c>
      <c r="G1647" s="15" t="s">
        <v>64</v>
      </c>
      <c r="H1647" s="154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64</v>
      </c>
      <c r="N1647" s="15"/>
      <c r="O1647" s="8" t="s">
        <v>2364</v>
      </c>
      <c r="P1647" s="8" t="s">
        <v>46</v>
      </c>
      <c r="Q1647" s="14">
        <v>0.04</v>
      </c>
      <c r="R1647" s="139" t="s">
        <v>1344</v>
      </c>
      <c r="S1647" s="15"/>
      <c r="T1647" s="6">
        <v>0</v>
      </c>
      <c r="U1647" s="6">
        <v>0</v>
      </c>
      <c r="V1647" s="6">
        <v>13827.68</v>
      </c>
      <c r="W1647" s="18">
        <f t="shared" si="247"/>
        <v>-13827.68</v>
      </c>
      <c r="X1647" s="18">
        <f t="shared" si="245"/>
        <v>13295.846153846154</v>
      </c>
      <c r="Y1647" s="13">
        <f t="shared" si="238"/>
        <v>5013.6845587437274</v>
      </c>
      <c r="Z1647" s="14">
        <v>0</v>
      </c>
      <c r="AA1647" s="4">
        <v>0</v>
      </c>
      <c r="AB1647" s="4">
        <f t="shared" si="239"/>
        <v>13295.846153846154</v>
      </c>
      <c r="AC1647" s="6">
        <f t="shared" si="240"/>
        <v>531.83384615384603</v>
      </c>
      <c r="AD1647" s="6">
        <f t="shared" si="244"/>
        <v>8282.1615951024269</v>
      </c>
      <c r="AE1647" s="2">
        <v>0.15</v>
      </c>
      <c r="AF1647" s="5">
        <f t="shared" si="241"/>
        <v>1242.324239265364</v>
      </c>
      <c r="AG1647" s="14">
        <v>0</v>
      </c>
      <c r="AH1647" s="19">
        <f t="shared" si="246"/>
        <v>13827.68</v>
      </c>
      <c r="AJ1647" s="126" t="e">
        <v>#N/A</v>
      </c>
      <c r="AK1647" s="80">
        <f t="shared" si="242"/>
        <v>0</v>
      </c>
      <c r="AM1647" s="85"/>
    </row>
    <row r="1648" spans="1:39" hidden="1" x14ac:dyDescent="0.3">
      <c r="A1648" s="85" t="s">
        <v>34</v>
      </c>
      <c r="B1648" s="15" t="s">
        <v>35</v>
      </c>
      <c r="C1648" s="15" t="s">
        <v>47</v>
      </c>
      <c r="D1648" s="15" t="s">
        <v>63</v>
      </c>
      <c r="E1648" s="15" t="s">
        <v>64</v>
      </c>
      <c r="F1648" s="15" t="s">
        <v>1343</v>
      </c>
      <c r="G1648" s="15" t="s">
        <v>64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64</v>
      </c>
      <c r="N1648" s="15"/>
      <c r="O1648" s="8" t="s">
        <v>2364</v>
      </c>
      <c r="P1648" s="8" t="s">
        <v>46</v>
      </c>
      <c r="Q1648" s="14">
        <v>0.04</v>
      </c>
      <c r="R1648" s="139" t="s">
        <v>1345</v>
      </c>
      <c r="S1648" s="15"/>
      <c r="T1648" s="6">
        <v>0</v>
      </c>
      <c r="U1648" s="6">
        <v>0</v>
      </c>
      <c r="V1648" s="6">
        <v>318.06</v>
      </c>
      <c r="W1648" s="18">
        <f t="shared" si="247"/>
        <v>-318.06</v>
      </c>
      <c r="X1648" s="18">
        <f t="shared" si="245"/>
        <v>305.82692307692309</v>
      </c>
      <c r="Y1648" s="13">
        <f t="shared" si="238"/>
        <v>115.32321479481951</v>
      </c>
      <c r="Z1648" s="14">
        <v>0</v>
      </c>
      <c r="AA1648" s="4">
        <v>0</v>
      </c>
      <c r="AB1648" s="4">
        <f t="shared" si="239"/>
        <v>305.82692307692309</v>
      </c>
      <c r="AC1648" s="6">
        <f t="shared" si="240"/>
        <v>12.233076923076908</v>
      </c>
      <c r="AD1648" s="6">
        <f t="shared" si="244"/>
        <v>190.50370828210359</v>
      </c>
      <c r="AE1648" s="2">
        <v>0.15</v>
      </c>
      <c r="AF1648" s="5">
        <f t="shared" si="241"/>
        <v>28.575556242315539</v>
      </c>
      <c r="AG1648" s="14">
        <v>0</v>
      </c>
      <c r="AH1648" s="19">
        <f t="shared" si="246"/>
        <v>318.06</v>
      </c>
      <c r="AJ1648" s="126" t="e">
        <v>#N/A</v>
      </c>
      <c r="AK1648" s="80">
        <f t="shared" si="242"/>
        <v>0</v>
      </c>
      <c r="AM1648" s="85"/>
    </row>
    <row r="1649" spans="1:39" hidden="1" x14ac:dyDescent="0.3">
      <c r="A1649" s="85" t="s">
        <v>34</v>
      </c>
      <c r="B1649" s="15" t="s">
        <v>35</v>
      </c>
      <c r="C1649" s="15" t="s">
        <v>65</v>
      </c>
      <c r="D1649" s="15" t="s">
        <v>122</v>
      </c>
      <c r="E1649" s="15" t="s">
        <v>1266</v>
      </c>
      <c r="F1649" s="15" t="s">
        <v>1266</v>
      </c>
      <c r="G1649" s="15" t="s">
        <v>1266</v>
      </c>
      <c r="H1649" s="154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1271</v>
      </c>
      <c r="N1649" s="15"/>
      <c r="O1649" s="8" t="s">
        <v>2365</v>
      </c>
      <c r="P1649" s="8" t="s">
        <v>41</v>
      </c>
      <c r="Q1649" s="14">
        <v>0</v>
      </c>
      <c r="R1649" s="139" t="s">
        <v>1272</v>
      </c>
      <c r="S1649" s="15"/>
      <c r="T1649" s="6">
        <v>0</v>
      </c>
      <c r="U1649" s="6">
        <v>0</v>
      </c>
      <c r="V1649" s="6">
        <v>16580.192040000002</v>
      </c>
      <c r="W1649" s="18">
        <f t="shared" si="247"/>
        <v>-16580.192040000002</v>
      </c>
      <c r="X1649" s="18">
        <f t="shared" si="245"/>
        <v>16580.192040000002</v>
      </c>
      <c r="Y1649" s="13">
        <f t="shared" si="238"/>
        <v>6649.3988951549527</v>
      </c>
      <c r="Z1649" s="14">
        <v>0</v>
      </c>
      <c r="AA1649" s="4">
        <v>0</v>
      </c>
      <c r="AB1649" s="4">
        <f t="shared" si="239"/>
        <v>16580.192040000002</v>
      </c>
      <c r="AC1649" s="6">
        <f t="shared" si="240"/>
        <v>0</v>
      </c>
      <c r="AD1649" s="6">
        <f t="shared" si="244"/>
        <v>9930.793144845049</v>
      </c>
      <c r="AE1649" s="2">
        <v>0.12</v>
      </c>
      <c r="AF1649" s="5">
        <f t="shared" si="241"/>
        <v>1191.6951773814058</v>
      </c>
      <c r="AG1649" s="14">
        <v>0</v>
      </c>
      <c r="AH1649" s="19">
        <f t="shared" si="246"/>
        <v>16580.192040000002</v>
      </c>
      <c r="AJ1649" s="126" t="e">
        <v>#N/A</v>
      </c>
      <c r="AK1649" s="80">
        <f t="shared" si="242"/>
        <v>0</v>
      </c>
      <c r="AM1649" s="85"/>
    </row>
    <row r="1650" spans="1:39" hidden="1" x14ac:dyDescent="0.3">
      <c r="A1650" s="85" t="s">
        <v>34</v>
      </c>
      <c r="B1650" s="15" t="s">
        <v>35</v>
      </c>
      <c r="C1650" s="15" t="s">
        <v>144</v>
      </c>
      <c r="D1650" s="15" t="s">
        <v>145</v>
      </c>
      <c r="E1650" s="15" t="s">
        <v>1416</v>
      </c>
      <c r="F1650" s="15" t="s">
        <v>1416</v>
      </c>
      <c r="G1650" s="15" t="s">
        <v>1416</v>
      </c>
      <c r="H1650" s="154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1417</v>
      </c>
      <c r="N1650" s="15"/>
      <c r="O1650" s="8" t="s">
        <v>2365</v>
      </c>
      <c r="P1650" s="8" t="s">
        <v>46</v>
      </c>
      <c r="Q1650" s="14">
        <v>0.02</v>
      </c>
      <c r="R1650" s="139" t="s">
        <v>1924</v>
      </c>
      <c r="S1650" s="15"/>
      <c r="T1650" s="6">
        <v>0</v>
      </c>
      <c r="U1650" s="6">
        <v>0</v>
      </c>
      <c r="V1650" s="6">
        <v>4222.1318700000002</v>
      </c>
      <c r="W1650" s="18">
        <f t="shared" si="247"/>
        <v>-4222.1318700000002</v>
      </c>
      <c r="X1650" s="18">
        <f t="shared" si="245"/>
        <v>4139.3449705882358</v>
      </c>
      <c r="Y1650" s="13">
        <f t="shared" si="238"/>
        <v>1610.4769013841469</v>
      </c>
      <c r="Z1650" s="14">
        <v>0</v>
      </c>
      <c r="AA1650" s="4">
        <v>0</v>
      </c>
      <c r="AB1650" s="4">
        <f t="shared" si="239"/>
        <v>4139.3449705882358</v>
      </c>
      <c r="AC1650" s="6">
        <f t="shared" si="240"/>
        <v>82.786899411764352</v>
      </c>
      <c r="AD1650" s="6">
        <f t="shared" si="244"/>
        <v>2528.8680692040889</v>
      </c>
      <c r="AE1650" s="2">
        <v>0.12</v>
      </c>
      <c r="AF1650" s="5">
        <f t="shared" si="241"/>
        <v>303.46416830449067</v>
      </c>
      <c r="AG1650" s="14">
        <v>0</v>
      </c>
      <c r="AH1650" s="19">
        <f t="shared" si="246"/>
        <v>4222.1318700000002</v>
      </c>
      <c r="AJ1650" s="126" t="e">
        <v>#N/A</v>
      </c>
      <c r="AK1650" s="80">
        <f t="shared" si="242"/>
        <v>0</v>
      </c>
      <c r="AM1650" s="85"/>
    </row>
    <row r="1651" spans="1:39" hidden="1" x14ac:dyDescent="0.3">
      <c r="A1651" s="85" t="s">
        <v>34</v>
      </c>
      <c r="B1651" s="15" t="s">
        <v>35</v>
      </c>
      <c r="C1651" s="15" t="s">
        <v>65</v>
      </c>
      <c r="D1651" s="15" t="s">
        <v>122</v>
      </c>
      <c r="E1651" s="15" t="s">
        <v>1266</v>
      </c>
      <c r="F1651" s="15" t="s">
        <v>1266</v>
      </c>
      <c r="G1651" s="15" t="s">
        <v>1266</v>
      </c>
      <c r="H1651" s="154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1266</v>
      </c>
      <c r="N1651" s="15"/>
      <c r="O1651" s="8" t="s">
        <v>2365</v>
      </c>
      <c r="P1651" s="8" t="s">
        <v>41</v>
      </c>
      <c r="Q1651" s="14">
        <v>0</v>
      </c>
      <c r="R1651" s="139" t="s">
        <v>1270</v>
      </c>
      <c r="S1651" s="15"/>
      <c r="T1651" s="6">
        <v>0</v>
      </c>
      <c r="U1651" s="6">
        <v>0</v>
      </c>
      <c r="V1651" s="6">
        <v>100.05401999999999</v>
      </c>
      <c r="W1651" s="18">
        <f t="shared" si="247"/>
        <v>-100.05401999999999</v>
      </c>
      <c r="X1651" s="18">
        <f t="shared" si="245"/>
        <v>100.05401999999999</v>
      </c>
      <c r="Y1651" s="13">
        <f t="shared" si="238"/>
        <v>40.126138975879527</v>
      </c>
      <c r="Z1651" s="14">
        <v>0</v>
      </c>
      <c r="AA1651" s="4">
        <v>0</v>
      </c>
      <c r="AB1651" s="4">
        <f t="shared" si="239"/>
        <v>100.05401999999999</v>
      </c>
      <c r="AC1651" s="6">
        <f t="shared" si="240"/>
        <v>0</v>
      </c>
      <c r="AD1651" s="6">
        <f t="shared" si="244"/>
        <v>59.927881024120467</v>
      </c>
      <c r="AE1651" s="2">
        <v>0.12</v>
      </c>
      <c r="AF1651" s="5">
        <f t="shared" si="241"/>
        <v>7.1913457228944555</v>
      </c>
      <c r="AG1651" s="14">
        <v>0</v>
      </c>
      <c r="AH1651" s="19">
        <f t="shared" si="246"/>
        <v>100.05401999999999</v>
      </c>
      <c r="AJ1651" s="126" t="e">
        <v>#N/A</v>
      </c>
      <c r="AK1651" s="80">
        <f t="shared" si="242"/>
        <v>0</v>
      </c>
      <c r="AM1651" s="85"/>
    </row>
    <row r="1652" spans="1:39" hidden="1" x14ac:dyDescent="0.3">
      <c r="A1652" s="85" t="s">
        <v>34</v>
      </c>
      <c r="B1652" s="15" t="s">
        <v>35</v>
      </c>
      <c r="C1652" s="15" t="s">
        <v>65</v>
      </c>
      <c r="D1652" s="15" t="s">
        <v>122</v>
      </c>
      <c r="E1652" s="15" t="s">
        <v>1266</v>
      </c>
      <c r="F1652" s="15" t="s">
        <v>1266</v>
      </c>
      <c r="G1652" s="15" t="s">
        <v>1266</v>
      </c>
      <c r="H1652" s="154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1271</v>
      </c>
      <c r="N1652" s="15"/>
      <c r="O1652" s="8" t="s">
        <v>2365</v>
      </c>
      <c r="P1652" s="8" t="s">
        <v>41</v>
      </c>
      <c r="Q1652" s="14">
        <v>0</v>
      </c>
      <c r="R1652" s="139" t="s">
        <v>1273</v>
      </c>
      <c r="S1652" s="15"/>
      <c r="T1652" s="6">
        <v>0</v>
      </c>
      <c r="U1652" s="6">
        <v>0</v>
      </c>
      <c r="V1652" s="6">
        <v>6206.7361600000004</v>
      </c>
      <c r="W1652" s="18">
        <f t="shared" si="247"/>
        <v>-6206.7361600000004</v>
      </c>
      <c r="X1652" s="18">
        <f t="shared" si="245"/>
        <v>6206.7361600000004</v>
      </c>
      <c r="Y1652" s="13">
        <f t="shared" si="238"/>
        <v>2489.1789229735782</v>
      </c>
      <c r="Z1652" s="14">
        <v>0</v>
      </c>
      <c r="AA1652" s="4">
        <v>0</v>
      </c>
      <c r="AB1652" s="4">
        <f t="shared" si="239"/>
        <v>6206.7361600000004</v>
      </c>
      <c r="AC1652" s="6">
        <f t="shared" si="240"/>
        <v>0</v>
      </c>
      <c r="AD1652" s="6">
        <f t="shared" si="244"/>
        <v>3717.5572370264222</v>
      </c>
      <c r="AE1652" s="2">
        <v>0.12</v>
      </c>
      <c r="AF1652" s="5">
        <f t="shared" si="241"/>
        <v>446.10686844317064</v>
      </c>
      <c r="AG1652" s="14">
        <v>0</v>
      </c>
      <c r="AH1652" s="19">
        <f t="shared" si="246"/>
        <v>6206.7361600000004</v>
      </c>
      <c r="AJ1652" s="126" t="e">
        <v>#N/A</v>
      </c>
      <c r="AK1652" s="80">
        <f t="shared" si="242"/>
        <v>0</v>
      </c>
      <c r="AM1652" s="85"/>
    </row>
    <row r="1653" spans="1:39" hidden="1" x14ac:dyDescent="0.3">
      <c r="A1653" s="85" t="s">
        <v>34</v>
      </c>
      <c r="B1653" s="15" t="s">
        <v>35</v>
      </c>
      <c r="C1653" s="15" t="s">
        <v>164</v>
      </c>
      <c r="D1653" s="15" t="s">
        <v>169</v>
      </c>
      <c r="E1653" s="15" t="s">
        <v>1575</v>
      </c>
      <c r="F1653" s="15" t="s">
        <v>1575</v>
      </c>
      <c r="G1653" s="15" t="s">
        <v>1575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1575</v>
      </c>
      <c r="N1653" s="15"/>
      <c r="O1653" s="8" t="s">
        <v>2365</v>
      </c>
      <c r="P1653" s="8" t="s">
        <v>41</v>
      </c>
      <c r="Q1653" s="14">
        <v>0</v>
      </c>
      <c r="R1653" s="139" t="s">
        <v>1576</v>
      </c>
      <c r="S1653" s="15"/>
      <c r="T1653" s="6">
        <v>0</v>
      </c>
      <c r="U1653" s="6">
        <v>0</v>
      </c>
      <c r="V1653" s="6">
        <v>743.45839000000001</v>
      </c>
      <c r="W1653" s="18">
        <f t="shared" si="247"/>
        <v>-743.45839000000001</v>
      </c>
      <c r="X1653" s="18">
        <f t="shared" si="245"/>
        <v>743.45839000000001</v>
      </c>
      <c r="Y1653" s="13">
        <f t="shared" si="238"/>
        <v>298.16008072362951</v>
      </c>
      <c r="Z1653" s="14">
        <v>0</v>
      </c>
      <c r="AA1653" s="4">
        <v>0</v>
      </c>
      <c r="AB1653" s="4">
        <f t="shared" si="239"/>
        <v>743.45839000000001</v>
      </c>
      <c r="AC1653" s="6">
        <f t="shared" si="240"/>
        <v>0</v>
      </c>
      <c r="AD1653" s="6">
        <f t="shared" si="244"/>
        <v>445.2983092763705</v>
      </c>
      <c r="AE1653" s="2">
        <v>0.12</v>
      </c>
      <c r="AF1653" s="5">
        <f t="shared" si="241"/>
        <v>53.435797113164462</v>
      </c>
      <c r="AG1653" s="14">
        <v>0</v>
      </c>
      <c r="AH1653" s="19">
        <f t="shared" si="246"/>
        <v>743.45839000000001</v>
      </c>
      <c r="AJ1653" s="126" t="e">
        <v>#N/A</v>
      </c>
      <c r="AK1653" s="80">
        <f t="shared" si="242"/>
        <v>0</v>
      </c>
      <c r="AM1653" s="85"/>
    </row>
    <row r="1654" spans="1:39" hidden="1" x14ac:dyDescent="0.3">
      <c r="A1654" s="85" t="s">
        <v>34</v>
      </c>
      <c r="B1654" s="15" t="s">
        <v>35</v>
      </c>
      <c r="C1654" s="15" t="s">
        <v>144</v>
      </c>
      <c r="D1654" s="15" t="s">
        <v>152</v>
      </c>
      <c r="E1654" s="15" t="s">
        <v>1478</v>
      </c>
      <c r="F1654" s="15" t="s">
        <v>1478</v>
      </c>
      <c r="G1654" s="15" t="s">
        <v>1478</v>
      </c>
      <c r="H1654" s="154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1479</v>
      </c>
      <c r="N1654" s="15"/>
      <c r="O1654" s="8" t="s">
        <v>2365</v>
      </c>
      <c r="P1654" s="8" t="s">
        <v>3360</v>
      </c>
      <c r="Q1654" s="14">
        <v>0.02</v>
      </c>
      <c r="R1654" s="139" t="s">
        <v>1480</v>
      </c>
      <c r="S1654" s="15"/>
      <c r="T1654" s="6">
        <v>0</v>
      </c>
      <c r="U1654" s="6">
        <v>0</v>
      </c>
      <c r="V1654" s="6">
        <v>53034.554080000002</v>
      </c>
      <c r="W1654" s="18">
        <f t="shared" si="247"/>
        <v>-53034.554080000002</v>
      </c>
      <c r="X1654" s="18">
        <f t="shared" si="245"/>
        <v>51994.660862745099</v>
      </c>
      <c r="Y1654" s="13">
        <f t="shared" si="238"/>
        <v>20229.336020489653</v>
      </c>
      <c r="Z1654" s="14">
        <v>0</v>
      </c>
      <c r="AA1654" s="4">
        <v>0</v>
      </c>
      <c r="AB1654" s="4">
        <f t="shared" si="239"/>
        <v>51994.660862745099</v>
      </c>
      <c r="AC1654" s="6">
        <f t="shared" si="240"/>
        <v>1039.893217254903</v>
      </c>
      <c r="AD1654" s="6">
        <f t="shared" si="244"/>
        <v>31765.324842255446</v>
      </c>
      <c r="AE1654" s="2">
        <v>0.12</v>
      </c>
      <c r="AF1654" s="5">
        <f t="shared" si="241"/>
        <v>3811.8389810706535</v>
      </c>
      <c r="AG1654" s="14">
        <v>0</v>
      </c>
      <c r="AH1654" s="19">
        <f t="shared" si="246"/>
        <v>53034.554080000002</v>
      </c>
      <c r="AJ1654" s="126" t="e">
        <v>#N/A</v>
      </c>
      <c r="AK1654" s="80">
        <f t="shared" si="242"/>
        <v>0</v>
      </c>
      <c r="AM1654" s="85"/>
    </row>
    <row r="1655" spans="1:39" hidden="1" x14ac:dyDescent="0.3">
      <c r="A1655" s="85" t="s">
        <v>34</v>
      </c>
      <c r="B1655" s="15" t="s">
        <v>35</v>
      </c>
      <c r="C1655" s="15" t="s">
        <v>36</v>
      </c>
      <c r="D1655" s="15" t="s">
        <v>54</v>
      </c>
      <c r="E1655" s="15" t="s">
        <v>1069</v>
      </c>
      <c r="F1655" s="15" t="s">
        <v>1194</v>
      </c>
      <c r="G1655" s="15" t="s">
        <v>1069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1195</v>
      </c>
      <c r="N1655" s="15"/>
      <c r="O1655" s="8" t="s">
        <v>2365</v>
      </c>
      <c r="P1655" s="8" t="s">
        <v>46</v>
      </c>
      <c r="Q1655" s="14">
        <v>0.04</v>
      </c>
      <c r="R1655" s="139" t="s">
        <v>1198</v>
      </c>
      <c r="S1655" s="15"/>
      <c r="T1655" s="6">
        <v>0</v>
      </c>
      <c r="U1655" s="6">
        <v>0</v>
      </c>
      <c r="V1655" s="6">
        <v>22659.5383</v>
      </c>
      <c r="W1655" s="18">
        <f t="shared" si="247"/>
        <v>-22659.5383</v>
      </c>
      <c r="X1655" s="18">
        <f t="shared" si="245"/>
        <v>21788.017596153844</v>
      </c>
      <c r="Y1655" s="13">
        <f t="shared" si="238"/>
        <v>8215.9680642719559</v>
      </c>
      <c r="Z1655" s="14">
        <v>0</v>
      </c>
      <c r="AA1655" s="4">
        <v>0</v>
      </c>
      <c r="AB1655" s="4">
        <f t="shared" si="239"/>
        <v>21788.017596153844</v>
      </c>
      <c r="AC1655" s="6">
        <f t="shared" si="240"/>
        <v>871.52070384615581</v>
      </c>
      <c r="AD1655" s="6">
        <f t="shared" si="244"/>
        <v>13572.049531881888</v>
      </c>
      <c r="AE1655" s="2">
        <v>0.12</v>
      </c>
      <c r="AF1655" s="5">
        <f t="shared" si="241"/>
        <v>1628.6459438258266</v>
      </c>
      <c r="AG1655" s="14">
        <v>0</v>
      </c>
      <c r="AH1655" s="19">
        <f t="shared" si="246"/>
        <v>22659.5383</v>
      </c>
      <c r="AJ1655" s="126" t="e">
        <v>#N/A</v>
      </c>
      <c r="AK1655" s="80">
        <f t="shared" si="242"/>
        <v>0</v>
      </c>
      <c r="AM1655" s="85"/>
    </row>
    <row r="1656" spans="1:39" hidden="1" x14ac:dyDescent="0.3">
      <c r="A1656" s="85" t="s">
        <v>34</v>
      </c>
      <c r="B1656" s="15" t="s">
        <v>35</v>
      </c>
      <c r="C1656" s="15" t="s">
        <v>65</v>
      </c>
      <c r="D1656" s="15" t="s">
        <v>122</v>
      </c>
      <c r="E1656" s="15" t="s">
        <v>1266</v>
      </c>
      <c r="F1656" s="15" t="s">
        <v>1266</v>
      </c>
      <c r="G1656" s="15" t="s">
        <v>1266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1274</v>
      </c>
      <c r="N1656" s="15"/>
      <c r="O1656" s="8" t="s">
        <v>2365</v>
      </c>
      <c r="P1656" s="8" t="s">
        <v>41</v>
      </c>
      <c r="Q1656" s="14">
        <v>0</v>
      </c>
      <c r="R1656" s="139" t="s">
        <v>1275</v>
      </c>
      <c r="S1656" s="15"/>
      <c r="T1656" s="6">
        <v>0</v>
      </c>
      <c r="U1656" s="6">
        <v>0</v>
      </c>
      <c r="V1656" s="6">
        <v>366591.49981000001</v>
      </c>
      <c r="W1656" s="18">
        <f t="shared" si="247"/>
        <v>-366591.49981000001</v>
      </c>
      <c r="X1656" s="18">
        <f t="shared" si="245"/>
        <v>366591.49981000001</v>
      </c>
      <c r="Y1656" s="13">
        <f t="shared" si="238"/>
        <v>147019.59470246345</v>
      </c>
      <c r="Z1656" s="14">
        <v>0</v>
      </c>
      <c r="AA1656" s="4">
        <v>0</v>
      </c>
      <c r="AB1656" s="4">
        <f t="shared" si="239"/>
        <v>366591.49981000001</v>
      </c>
      <c r="AC1656" s="6">
        <f t="shared" si="240"/>
        <v>0</v>
      </c>
      <c r="AD1656" s="6">
        <f t="shared" si="244"/>
        <v>219571.90510753656</v>
      </c>
      <c r="AE1656" s="2">
        <v>0.12</v>
      </c>
      <c r="AF1656" s="5">
        <f t="shared" si="241"/>
        <v>26348.628612904387</v>
      </c>
      <c r="AG1656" s="14">
        <v>0</v>
      </c>
      <c r="AH1656" s="19">
        <f t="shared" si="246"/>
        <v>366591.49981000001</v>
      </c>
      <c r="AJ1656" s="126" t="e">
        <v>#N/A</v>
      </c>
      <c r="AK1656" s="80">
        <f t="shared" si="242"/>
        <v>0</v>
      </c>
      <c r="AM1656" s="85"/>
    </row>
    <row r="1657" spans="1:39" hidden="1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1597</v>
      </c>
      <c r="F1657" s="15" t="s">
        <v>1597</v>
      </c>
      <c r="G1657" s="15" t="s">
        <v>1597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1597</v>
      </c>
      <c r="N1657" s="15"/>
      <c r="O1657" s="8" t="s">
        <v>2365</v>
      </c>
      <c r="P1657" s="8" t="s">
        <v>46</v>
      </c>
      <c r="Q1657" s="14">
        <v>0.02</v>
      </c>
      <c r="R1657" s="139" t="s">
        <v>1598</v>
      </c>
      <c r="S1657" s="15"/>
      <c r="T1657" s="6">
        <v>0</v>
      </c>
      <c r="U1657" s="6">
        <v>0</v>
      </c>
      <c r="V1657" s="6">
        <v>50.1</v>
      </c>
      <c r="W1657" s="18">
        <f t="shared" si="247"/>
        <v>-50.1</v>
      </c>
      <c r="X1657" s="18">
        <f t="shared" si="245"/>
        <v>49.117647058823529</v>
      </c>
      <c r="Y1657" s="13">
        <f t="shared" si="238"/>
        <v>19.109988802729113</v>
      </c>
      <c r="Z1657" s="14">
        <v>0</v>
      </c>
      <c r="AA1657" s="4">
        <v>0</v>
      </c>
      <c r="AB1657" s="4">
        <f t="shared" si="239"/>
        <v>49.117647058823529</v>
      </c>
      <c r="AC1657" s="6">
        <f t="shared" si="240"/>
        <v>0.98235294117647243</v>
      </c>
      <c r="AD1657" s="6">
        <f t="shared" si="244"/>
        <v>30.007658256094416</v>
      </c>
      <c r="AE1657" s="2">
        <v>0.12</v>
      </c>
      <c r="AF1657" s="5">
        <f t="shared" si="241"/>
        <v>3.6009189907313299</v>
      </c>
      <c r="AG1657" s="14">
        <v>0</v>
      </c>
      <c r="AH1657" s="19">
        <f t="shared" si="246"/>
        <v>50.1</v>
      </c>
      <c r="AJ1657" s="126" t="e">
        <v>#N/A</v>
      </c>
      <c r="AK1657" s="80">
        <f t="shared" si="242"/>
        <v>0</v>
      </c>
      <c r="AM1657" s="85"/>
    </row>
    <row r="1658" spans="1:39" hidden="1" x14ac:dyDescent="0.3">
      <c r="A1658" s="85" t="s">
        <v>34</v>
      </c>
      <c r="B1658" s="15" t="s">
        <v>35</v>
      </c>
      <c r="C1658" s="15" t="s">
        <v>47</v>
      </c>
      <c r="D1658" s="15" t="s">
        <v>63</v>
      </c>
      <c r="E1658" s="15" t="s">
        <v>1336</v>
      </c>
      <c r="F1658" s="15" t="s">
        <v>1337</v>
      </c>
      <c r="G1658" s="15" t="s">
        <v>1336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1336</v>
      </c>
      <c r="N1658" s="15"/>
      <c r="O1658" s="8" t="s">
        <v>2365</v>
      </c>
      <c r="P1658" s="8" t="s">
        <v>41</v>
      </c>
      <c r="Q1658" s="14">
        <v>0</v>
      </c>
      <c r="R1658" s="139" t="s">
        <v>1339</v>
      </c>
      <c r="S1658" s="15"/>
      <c r="T1658" s="6">
        <v>0</v>
      </c>
      <c r="U1658" s="6">
        <v>0</v>
      </c>
      <c r="V1658" s="6">
        <v>3821.4</v>
      </c>
      <c r="W1658" s="18">
        <f t="shared" si="247"/>
        <v>-3821.4</v>
      </c>
      <c r="X1658" s="18">
        <f t="shared" si="245"/>
        <v>3821.4</v>
      </c>
      <c r="Y1658" s="13">
        <f t="shared" si="238"/>
        <v>1532.5523900231697</v>
      </c>
      <c r="Z1658" s="14">
        <v>0</v>
      </c>
      <c r="AA1658" s="4">
        <v>0</v>
      </c>
      <c r="AB1658" s="4">
        <f t="shared" si="239"/>
        <v>3821.4</v>
      </c>
      <c r="AC1658" s="6">
        <f t="shared" si="240"/>
        <v>0</v>
      </c>
      <c r="AD1658" s="6">
        <f t="shared" si="244"/>
        <v>2288.8476099768304</v>
      </c>
      <c r="AE1658" s="2">
        <v>0.12</v>
      </c>
      <c r="AF1658" s="5">
        <f t="shared" si="241"/>
        <v>274.66171319721963</v>
      </c>
      <c r="AG1658" s="14">
        <v>0</v>
      </c>
      <c r="AH1658" s="19">
        <f t="shared" si="246"/>
        <v>3821.4</v>
      </c>
      <c r="AJ1658" s="126" t="e">
        <v>#N/A</v>
      </c>
      <c r="AK1658" s="80">
        <f t="shared" si="242"/>
        <v>0</v>
      </c>
      <c r="AM1658" s="85"/>
    </row>
    <row r="1659" spans="1:39" hidden="1" x14ac:dyDescent="0.3">
      <c r="A1659" s="85" t="s">
        <v>34</v>
      </c>
      <c r="B1659" s="15" t="s">
        <v>35</v>
      </c>
      <c r="C1659" s="15" t="s">
        <v>144</v>
      </c>
      <c r="D1659" s="15" t="s">
        <v>152</v>
      </c>
      <c r="E1659" s="15" t="s">
        <v>157</v>
      </c>
      <c r="F1659" s="15" t="s">
        <v>157</v>
      </c>
      <c r="G1659" s="15" t="s">
        <v>157</v>
      </c>
      <c r="H1659" s="154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157</v>
      </c>
      <c r="N1659" s="15"/>
      <c r="O1659" s="8" t="s">
        <v>2365</v>
      </c>
      <c r="P1659" s="8" t="s">
        <v>41</v>
      </c>
      <c r="Q1659" s="14">
        <v>0</v>
      </c>
      <c r="R1659" s="139" t="s">
        <v>1470</v>
      </c>
      <c r="S1659" s="15"/>
      <c r="T1659" s="6">
        <v>0</v>
      </c>
      <c r="U1659" s="6">
        <v>0</v>
      </c>
      <c r="V1659" s="6">
        <v>801.6</v>
      </c>
      <c r="W1659" s="18">
        <f t="shared" si="247"/>
        <v>-801.6</v>
      </c>
      <c r="X1659" s="18">
        <f t="shared" si="245"/>
        <v>801.6</v>
      </c>
      <c r="Y1659" s="13">
        <f t="shared" si="238"/>
        <v>321.47746790248937</v>
      </c>
      <c r="Z1659" s="14">
        <v>0</v>
      </c>
      <c r="AA1659" s="4">
        <v>0</v>
      </c>
      <c r="AB1659" s="4">
        <f t="shared" si="239"/>
        <v>801.6</v>
      </c>
      <c r="AC1659" s="6">
        <f t="shared" si="240"/>
        <v>0</v>
      </c>
      <c r="AD1659" s="6">
        <f t="shared" si="244"/>
        <v>480.12253209751066</v>
      </c>
      <c r="AE1659" s="2">
        <v>0.12</v>
      </c>
      <c r="AF1659" s="5">
        <f t="shared" si="241"/>
        <v>57.614703851701279</v>
      </c>
      <c r="AG1659" s="14">
        <v>0</v>
      </c>
      <c r="AH1659" s="19">
        <f t="shared" si="246"/>
        <v>801.6</v>
      </c>
      <c r="AJ1659" s="126" t="e">
        <v>#N/A</v>
      </c>
      <c r="AK1659" s="80">
        <f t="shared" si="242"/>
        <v>0</v>
      </c>
      <c r="AM1659" s="85"/>
    </row>
    <row r="1660" spans="1:39" hidden="1" x14ac:dyDescent="0.3">
      <c r="A1660" s="85" t="s">
        <v>34</v>
      </c>
      <c r="B1660" s="15" t="s">
        <v>35</v>
      </c>
      <c r="C1660" s="15" t="s">
        <v>36</v>
      </c>
      <c r="D1660" s="15" t="s">
        <v>54</v>
      </c>
      <c r="E1660" s="15" t="s">
        <v>1200</v>
      </c>
      <c r="F1660" s="15" t="s">
        <v>1201</v>
      </c>
      <c r="G1660" s="15" t="s">
        <v>1200</v>
      </c>
      <c r="H1660" s="154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1200</v>
      </c>
      <c r="N1660" s="15"/>
      <c r="O1660" s="8" t="s">
        <v>2365</v>
      </c>
      <c r="P1660" s="8" t="s">
        <v>41</v>
      </c>
      <c r="Q1660" s="14">
        <v>0</v>
      </c>
      <c r="R1660" s="139" t="s">
        <v>1202</v>
      </c>
      <c r="S1660" s="15"/>
      <c r="T1660" s="6">
        <v>0</v>
      </c>
      <c r="U1660" s="6">
        <v>0</v>
      </c>
      <c r="V1660" s="6">
        <v>12.285959999999999</v>
      </c>
      <c r="W1660" s="18">
        <f t="shared" si="247"/>
        <v>-12.285959999999999</v>
      </c>
      <c r="X1660" s="18">
        <f t="shared" si="245"/>
        <v>12.285959999999999</v>
      </c>
      <c r="Y1660" s="13">
        <f t="shared" si="238"/>
        <v>4.9272197000390072</v>
      </c>
      <c r="Z1660" s="14">
        <v>0</v>
      </c>
      <c r="AA1660" s="4">
        <v>0</v>
      </c>
      <c r="AB1660" s="4">
        <f t="shared" si="239"/>
        <v>12.285959999999999</v>
      </c>
      <c r="AC1660" s="6">
        <f t="shared" si="240"/>
        <v>0</v>
      </c>
      <c r="AD1660" s="6">
        <f t="shared" si="244"/>
        <v>7.3587402999609921</v>
      </c>
      <c r="AE1660" s="2">
        <v>0.12</v>
      </c>
      <c r="AF1660" s="5">
        <f t="shared" si="241"/>
        <v>0.88304883599531903</v>
      </c>
      <c r="AG1660" s="14">
        <v>0</v>
      </c>
      <c r="AH1660" s="19">
        <f t="shared" si="246"/>
        <v>12.285959999999999</v>
      </c>
      <c r="AJ1660" s="126" t="e">
        <v>#N/A</v>
      </c>
      <c r="AK1660" s="80">
        <f t="shared" si="242"/>
        <v>0</v>
      </c>
      <c r="AM1660" s="85"/>
    </row>
    <row r="1661" spans="1:39" hidden="1" x14ac:dyDescent="0.3">
      <c r="A1661" s="85" t="s">
        <v>34</v>
      </c>
      <c r="B1661" s="15" t="s">
        <v>35</v>
      </c>
      <c r="C1661" s="15" t="s">
        <v>164</v>
      </c>
      <c r="D1661" s="15" t="s">
        <v>174</v>
      </c>
      <c r="E1661" s="15" t="s">
        <v>1967</v>
      </c>
      <c r="F1661" s="15" t="s">
        <v>1967</v>
      </c>
      <c r="G1661" s="15" t="s">
        <v>1967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1967</v>
      </c>
      <c r="N1661" s="15"/>
      <c r="O1661" s="8" t="s">
        <v>1196</v>
      </c>
      <c r="P1661" s="8" t="s">
        <v>41</v>
      </c>
      <c r="Q1661" s="9">
        <v>0</v>
      </c>
      <c r="R1661" s="139" t="s">
        <v>1968</v>
      </c>
      <c r="S1661" s="15"/>
      <c r="T1661" s="18">
        <v>203229.41</v>
      </c>
      <c r="U1661" s="6">
        <v>0</v>
      </c>
      <c r="V1661" s="6">
        <v>0</v>
      </c>
      <c r="W1661" s="18">
        <f>T1661+U1661-V1661</f>
        <v>203229.41</v>
      </c>
      <c r="X1661" s="18">
        <f t="shared" si="245"/>
        <v>0</v>
      </c>
      <c r="Y1661" s="13">
        <f t="shared" si="238"/>
        <v>0</v>
      </c>
      <c r="Z1661" s="14">
        <v>0</v>
      </c>
      <c r="AA1661" s="4">
        <v>0</v>
      </c>
      <c r="AB1661" s="4">
        <f t="shared" si="239"/>
        <v>0</v>
      </c>
      <c r="AC1661" s="6">
        <f t="shared" si="240"/>
        <v>0</v>
      </c>
      <c r="AD1661" s="6">
        <f>V1661*0.598955254612663</f>
        <v>0</v>
      </c>
      <c r="AE1661" s="2">
        <v>0.12</v>
      </c>
      <c r="AF1661" s="5">
        <f t="shared" si="241"/>
        <v>0</v>
      </c>
      <c r="AG1661" s="14">
        <v>0</v>
      </c>
      <c r="AH1661" s="19">
        <f>V1661</f>
        <v>0</v>
      </c>
      <c r="AJ1661" s="126" t="e">
        <v>#N/A</v>
      </c>
      <c r="AK1661" s="80">
        <f t="shared" si="242"/>
        <v>0</v>
      </c>
      <c r="AM1661" s="85"/>
    </row>
    <row r="1662" spans="1:39" hidden="1" x14ac:dyDescent="0.3">
      <c r="A1662" s="85" t="s">
        <v>34</v>
      </c>
      <c r="B1662" s="15" t="s">
        <v>35</v>
      </c>
      <c r="C1662" s="15" t="s">
        <v>164</v>
      </c>
      <c r="D1662" s="15" t="s">
        <v>174</v>
      </c>
      <c r="E1662" s="15" t="s">
        <v>1966</v>
      </c>
      <c r="F1662" s="15" t="s">
        <v>1966</v>
      </c>
      <c r="G1662" s="15" t="s">
        <v>1966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1967</v>
      </c>
      <c r="N1662" s="15"/>
      <c r="O1662" s="8" t="s">
        <v>1196</v>
      </c>
      <c r="P1662" s="8" t="s">
        <v>41</v>
      </c>
      <c r="Q1662" s="9">
        <v>0</v>
      </c>
      <c r="R1662" s="139" t="s">
        <v>2372</v>
      </c>
      <c r="S1662" s="15"/>
      <c r="T1662" s="18">
        <v>-335563.2</v>
      </c>
      <c r="U1662" s="6">
        <v>0</v>
      </c>
      <c r="V1662" s="6">
        <v>0</v>
      </c>
      <c r="W1662" s="18">
        <f>T1662+U1662-V1662</f>
        <v>-335563.2</v>
      </c>
      <c r="X1662" s="18">
        <f t="shared" si="245"/>
        <v>0</v>
      </c>
      <c r="Y1662" s="13">
        <f t="shared" si="238"/>
        <v>0</v>
      </c>
      <c r="Z1662" s="14">
        <v>0</v>
      </c>
      <c r="AA1662" s="4">
        <v>0</v>
      </c>
      <c r="AB1662" s="4">
        <f t="shared" si="239"/>
        <v>0</v>
      </c>
      <c r="AC1662" s="6">
        <f t="shared" si="240"/>
        <v>0</v>
      </c>
      <c r="AD1662" s="6">
        <f>V1662*0.598955254612663</f>
        <v>0</v>
      </c>
      <c r="AE1662" s="2">
        <v>0.12</v>
      </c>
      <c r="AF1662" s="5">
        <f t="shared" si="241"/>
        <v>0</v>
      </c>
      <c r="AG1662" s="14">
        <v>0</v>
      </c>
      <c r="AH1662" s="19">
        <f>V1662</f>
        <v>0</v>
      </c>
      <c r="AJ1662" s="126" t="e">
        <v>#N/A</v>
      </c>
      <c r="AK1662" s="80">
        <f t="shared" si="242"/>
        <v>0</v>
      </c>
      <c r="AM1662" s="85"/>
    </row>
    <row r="1663" spans="1:39" hidden="1" x14ac:dyDescent="0.3">
      <c r="A1663" s="85" t="s">
        <v>34</v>
      </c>
      <c r="B1663" s="15" t="s">
        <v>35</v>
      </c>
      <c r="C1663" s="15" t="s">
        <v>164</v>
      </c>
      <c r="D1663" s="15" t="s">
        <v>174</v>
      </c>
      <c r="E1663" s="15" t="s">
        <v>1967</v>
      </c>
      <c r="F1663" s="15" t="s">
        <v>1967</v>
      </c>
      <c r="G1663" s="15" t="s">
        <v>1967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1967</v>
      </c>
      <c r="N1663" s="15"/>
      <c r="O1663" s="8" t="s">
        <v>1196</v>
      </c>
      <c r="P1663" s="8" t="s">
        <v>41</v>
      </c>
      <c r="Q1663" s="9">
        <v>0</v>
      </c>
      <c r="R1663" s="139" t="s">
        <v>2372</v>
      </c>
      <c r="S1663" s="15"/>
      <c r="T1663" s="18">
        <v>335563.2</v>
      </c>
      <c r="U1663" s="6">
        <v>0</v>
      </c>
      <c r="V1663" s="6">
        <v>0</v>
      </c>
      <c r="W1663" s="18">
        <f>T1663+U1663-V1663</f>
        <v>335563.2</v>
      </c>
      <c r="X1663" s="18">
        <f t="shared" si="245"/>
        <v>0</v>
      </c>
      <c r="Y1663" s="13">
        <f t="shared" si="238"/>
        <v>0</v>
      </c>
      <c r="Z1663" s="14">
        <v>0</v>
      </c>
      <c r="AA1663" s="4">
        <v>0</v>
      </c>
      <c r="AB1663" s="4">
        <f t="shared" si="239"/>
        <v>0</v>
      </c>
      <c r="AC1663" s="6">
        <f t="shared" si="240"/>
        <v>0</v>
      </c>
      <c r="AD1663" s="6">
        <f>V1663*0.598955254612663</f>
        <v>0</v>
      </c>
      <c r="AE1663" s="2">
        <v>0.12</v>
      </c>
      <c r="AF1663" s="5">
        <f t="shared" si="241"/>
        <v>0</v>
      </c>
      <c r="AG1663" s="14">
        <v>0</v>
      </c>
      <c r="AH1663" s="19">
        <f>V1663</f>
        <v>0</v>
      </c>
      <c r="AJ1663" s="126" t="e">
        <v>#N/A</v>
      </c>
      <c r="AK1663" s="80">
        <f t="shared" si="242"/>
        <v>0</v>
      </c>
      <c r="AM1663" s="85"/>
    </row>
    <row r="1664" spans="1:39" hidden="1" x14ac:dyDescent="0.3">
      <c r="A1664" s="85" t="s">
        <v>34</v>
      </c>
      <c r="B1664" s="3" t="s">
        <v>35</v>
      </c>
      <c r="C1664" s="3" t="s">
        <v>59</v>
      </c>
      <c r="D1664" s="3" t="s">
        <v>60</v>
      </c>
      <c r="E1664" s="3" t="s">
        <v>220</v>
      </c>
      <c r="F1664" s="3" t="s">
        <v>2373</v>
      </c>
      <c r="G1664" s="3" t="s">
        <v>220</v>
      </c>
      <c r="I1664" s="3" t="s">
        <v>2374</v>
      </c>
      <c r="J1664" s="1" t="s">
        <v>3322</v>
      </c>
      <c r="K1664" s="1" t="s">
        <v>3269</v>
      </c>
      <c r="L1664" s="1" t="s">
        <v>35</v>
      </c>
      <c r="M1664" s="3" t="s">
        <v>2375</v>
      </c>
      <c r="O1664" s="1" t="s">
        <v>40</v>
      </c>
      <c r="P1664" s="1" t="s">
        <v>92</v>
      </c>
      <c r="Q1664" s="2">
        <v>0.94</v>
      </c>
      <c r="R1664" s="138"/>
      <c r="T1664" s="4">
        <v>96608.54</v>
      </c>
      <c r="U1664" s="4">
        <v>0</v>
      </c>
      <c r="V1664" s="4">
        <v>96608.54</v>
      </c>
      <c r="W1664" s="13">
        <f t="shared" ref="W1664:W1727" si="248">T1664+U1664-V1664</f>
        <v>0</v>
      </c>
      <c r="X1664" s="13">
        <f>IF(P1664="折扣",V1664*Q1664,IF(P1664="返现",V1664,V1664/(1+Q1664+AG1664)))</f>
        <v>90812.027599999987</v>
      </c>
      <c r="Y1664" s="13">
        <f t="shared" si="238"/>
        <v>0</v>
      </c>
      <c r="Z1664" s="2">
        <v>0</v>
      </c>
      <c r="AA1664" s="4">
        <v>0</v>
      </c>
      <c r="AB1664" s="4">
        <f t="shared" si="239"/>
        <v>90812.027599999987</v>
      </c>
      <c r="AC1664" s="6">
        <f t="shared" si="240"/>
        <v>5796.5124000000069</v>
      </c>
      <c r="AD1664" s="4">
        <v>170673.02999999994</v>
      </c>
      <c r="AE1664" s="2">
        <v>7.0000000000000007E-2</v>
      </c>
      <c r="AF1664" s="5">
        <f t="shared" si="241"/>
        <v>11947.112099999997</v>
      </c>
      <c r="AG1664" s="2">
        <v>0</v>
      </c>
      <c r="AH1664" s="4">
        <f>V1664/(1+AG1664)</f>
        <v>96608.54</v>
      </c>
      <c r="AJ1664" s="126" t="e">
        <v>#N/A</v>
      </c>
      <c r="AK1664" s="80">
        <f t="shared" si="242"/>
        <v>0</v>
      </c>
      <c r="AM1664" s="85"/>
    </row>
    <row r="1665" spans="1:39" hidden="1" x14ac:dyDescent="0.3">
      <c r="A1665" s="85" t="s">
        <v>34</v>
      </c>
      <c r="B1665" s="3" t="s">
        <v>35</v>
      </c>
      <c r="C1665" s="3" t="s">
        <v>59</v>
      </c>
      <c r="D1665" s="3" t="s">
        <v>60</v>
      </c>
      <c r="E1665" s="3" t="s">
        <v>82</v>
      </c>
      <c r="F1665" s="3" t="s">
        <v>83</v>
      </c>
      <c r="G1665" s="3" t="s">
        <v>82</v>
      </c>
      <c r="I1665" s="3" t="s">
        <v>2374</v>
      </c>
      <c r="J1665" s="1" t="s">
        <v>3322</v>
      </c>
      <c r="K1665" s="1" t="s">
        <v>3269</v>
      </c>
      <c r="L1665" s="1" t="s">
        <v>35</v>
      </c>
      <c r="M1665" s="3" t="s">
        <v>2375</v>
      </c>
      <c r="O1665" s="1" t="s">
        <v>40</v>
      </c>
      <c r="P1665" s="1" t="s">
        <v>75</v>
      </c>
      <c r="Q1665" s="2">
        <v>0.06</v>
      </c>
      <c r="R1665" s="138"/>
      <c r="T1665" s="4">
        <v>0</v>
      </c>
      <c r="U1665" s="4">
        <v>100000</v>
      </c>
      <c r="V1665" s="4">
        <v>74064.490000000005</v>
      </c>
      <c r="W1665" s="13">
        <f t="shared" si="248"/>
        <v>25935.509999999995</v>
      </c>
      <c r="X1665" s="13">
        <f t="shared" ref="X1665:X1728" si="249">IF(P1665="折扣",V1665*Q1665,IF(P1665="返现",V1665,V1665/(1+Q1665+AG1665)))</f>
        <v>74064.490000000005</v>
      </c>
      <c r="Y1665" s="13">
        <f t="shared" si="238"/>
        <v>69620.620600000009</v>
      </c>
      <c r="Z1665" s="2">
        <v>0</v>
      </c>
      <c r="AA1665" s="4">
        <v>0</v>
      </c>
      <c r="AB1665" s="4">
        <f t="shared" si="239"/>
        <v>74064.490000000005</v>
      </c>
      <c r="AC1665" s="6">
        <f t="shared" si="240"/>
        <v>4443.8694000000005</v>
      </c>
      <c r="AD1665" s="4">
        <v>0</v>
      </c>
      <c r="AE1665" s="2">
        <v>7.0000000000000007E-2</v>
      </c>
      <c r="AF1665" s="5">
        <f t="shared" si="241"/>
        <v>0</v>
      </c>
      <c r="AG1665" s="2">
        <v>0</v>
      </c>
      <c r="AH1665" s="4">
        <f t="shared" ref="AH1665:AH1728" si="250">V1665/(1+AG1665)</f>
        <v>74064.490000000005</v>
      </c>
      <c r="AJ1665" s="126" t="e">
        <v>#N/A</v>
      </c>
      <c r="AK1665" s="80">
        <f t="shared" si="242"/>
        <v>0</v>
      </c>
      <c r="AM1665" s="85"/>
    </row>
    <row r="1666" spans="1:39" hidden="1" x14ac:dyDescent="0.3">
      <c r="A1666" s="85" t="s">
        <v>34</v>
      </c>
      <c r="B1666" s="3" t="s">
        <v>35</v>
      </c>
      <c r="C1666" s="3" t="s">
        <v>59</v>
      </c>
      <c r="D1666" s="3" t="s">
        <v>60</v>
      </c>
      <c r="E1666" s="3" t="s">
        <v>2376</v>
      </c>
      <c r="F1666" s="3" t="s">
        <v>2373</v>
      </c>
      <c r="G1666" s="3" t="s">
        <v>220</v>
      </c>
      <c r="H1666" s="138"/>
      <c r="I1666" s="3" t="s">
        <v>2374</v>
      </c>
      <c r="J1666" s="1" t="s">
        <v>3322</v>
      </c>
      <c r="K1666" s="1" t="s">
        <v>3269</v>
      </c>
      <c r="L1666" s="1" t="s">
        <v>35</v>
      </c>
      <c r="M1666" s="3" t="s">
        <v>2375</v>
      </c>
      <c r="O1666" s="1" t="s">
        <v>40</v>
      </c>
      <c r="P1666" s="1" t="s">
        <v>92</v>
      </c>
      <c r="Q1666" s="2">
        <v>0.94</v>
      </c>
      <c r="R1666" s="138"/>
      <c r="T1666" s="4">
        <v>0</v>
      </c>
      <c r="U1666" s="4">
        <v>0</v>
      </c>
      <c r="V1666" s="4">
        <v>0</v>
      </c>
      <c r="W1666" s="13">
        <f t="shared" si="248"/>
        <v>0</v>
      </c>
      <c r="X1666" s="13">
        <f t="shared" si="249"/>
        <v>0</v>
      </c>
      <c r="Y1666" s="13">
        <f t="shared" si="238"/>
        <v>0</v>
      </c>
      <c r="Z1666" s="2">
        <v>0</v>
      </c>
      <c r="AA1666" s="4">
        <v>0</v>
      </c>
      <c r="AB1666" s="4">
        <f t="shared" si="239"/>
        <v>0</v>
      </c>
      <c r="AC1666" s="6">
        <f t="shared" si="240"/>
        <v>0</v>
      </c>
      <c r="AD1666" s="4">
        <v>0</v>
      </c>
      <c r="AE1666" s="2">
        <v>7.0000000000000007E-2</v>
      </c>
      <c r="AF1666" s="5">
        <f t="shared" si="241"/>
        <v>0</v>
      </c>
      <c r="AG1666" s="2">
        <v>0</v>
      </c>
      <c r="AH1666" s="4">
        <f t="shared" si="250"/>
        <v>0</v>
      </c>
      <c r="AJ1666" s="126" t="e">
        <v>#N/A</v>
      </c>
      <c r="AK1666" s="80">
        <f t="shared" si="242"/>
        <v>0</v>
      </c>
      <c r="AM1666" s="85"/>
    </row>
    <row r="1667" spans="1:39" hidden="1" x14ac:dyDescent="0.3">
      <c r="A1667" s="85" t="s">
        <v>34</v>
      </c>
      <c r="B1667" s="3" t="s">
        <v>35</v>
      </c>
      <c r="C1667" s="3" t="s">
        <v>36</v>
      </c>
      <c r="D1667" s="3" t="s">
        <v>224</v>
      </c>
      <c r="E1667" s="3" t="s">
        <v>2377</v>
      </c>
      <c r="F1667" s="3" t="s">
        <v>2377</v>
      </c>
      <c r="G1667" s="3" t="s">
        <v>2377</v>
      </c>
      <c r="I1667" s="3" t="s">
        <v>2374</v>
      </c>
      <c r="J1667" s="1" t="s">
        <v>3322</v>
      </c>
      <c r="K1667" s="1" t="s">
        <v>3269</v>
      </c>
      <c r="L1667" s="1" t="s">
        <v>35</v>
      </c>
      <c r="M1667" s="3" t="s">
        <v>2377</v>
      </c>
      <c r="O1667" s="1" t="s">
        <v>45</v>
      </c>
      <c r="P1667" s="1" t="s">
        <v>75</v>
      </c>
      <c r="Q1667" s="2">
        <v>5.5E-2</v>
      </c>
      <c r="R1667" s="138"/>
      <c r="T1667" s="4">
        <v>1176746.5968000055</v>
      </c>
      <c r="U1667" s="4">
        <v>-335970.9568000001</v>
      </c>
      <c r="V1667" s="4">
        <v>840775.64000000549</v>
      </c>
      <c r="W1667" s="13">
        <f t="shared" si="248"/>
        <v>0</v>
      </c>
      <c r="X1667" s="13">
        <f t="shared" si="249"/>
        <v>840775.64000000549</v>
      </c>
      <c r="Y1667" s="13">
        <f t="shared" ref="Y1667:Y1730" si="251">IF(X1667-AD1667&lt;=0,0,IF(P1667="返现",MAX(X1667-AC1667-AD1667,0),MAX(X1667-AD1667)))</f>
        <v>0</v>
      </c>
      <c r="Z1667" s="2">
        <v>0</v>
      </c>
      <c r="AA1667" s="4">
        <v>0</v>
      </c>
      <c r="AB1667" s="4">
        <f t="shared" ref="AB1667:AB1730" si="252">X1667+AA1667</f>
        <v>840775.64000000549</v>
      </c>
      <c r="AC1667" s="6">
        <f t="shared" ref="AC1667:AC1730" si="253">IF(P1667="返现",X1667*Q1667,V1667-X1667)</f>
        <v>46242.660200000304</v>
      </c>
      <c r="AD1667" s="4">
        <v>2637933.4300000006</v>
      </c>
      <c r="AE1667" s="2">
        <v>0.06</v>
      </c>
      <c r="AF1667" s="5">
        <f t="shared" ref="AF1667:AF1730" si="254">AD1667*AE1667</f>
        <v>158276.00580000004</v>
      </c>
      <c r="AG1667" s="2">
        <v>0.24</v>
      </c>
      <c r="AH1667" s="4">
        <f t="shared" si="250"/>
        <v>678044.87096774636</v>
      </c>
      <c r="AJ1667" s="126" t="s">
        <v>4223</v>
      </c>
      <c r="AK1667" s="80">
        <f t="shared" ref="AK1667:AK1730" si="255">X1667+AA1667-AB1667</f>
        <v>0</v>
      </c>
      <c r="AL1667" s="150"/>
      <c r="AM1667" s="85"/>
    </row>
    <row r="1668" spans="1:39" hidden="1" x14ac:dyDescent="0.3">
      <c r="A1668" s="85" t="s">
        <v>34</v>
      </c>
      <c r="B1668" s="3" t="s">
        <v>35</v>
      </c>
      <c r="C1668" s="3" t="s">
        <v>36</v>
      </c>
      <c r="D1668" s="3" t="s">
        <v>224</v>
      </c>
      <c r="E1668" s="3" t="s">
        <v>2377</v>
      </c>
      <c r="F1668" s="3" t="s">
        <v>2377</v>
      </c>
      <c r="G1668" s="3" t="s">
        <v>2377</v>
      </c>
      <c r="I1668" s="3" t="s">
        <v>2374</v>
      </c>
      <c r="J1668" s="1" t="s">
        <v>3322</v>
      </c>
      <c r="K1668" s="1" t="s">
        <v>3269</v>
      </c>
      <c r="L1668" s="1" t="s">
        <v>35</v>
      </c>
      <c r="M1668" s="3" t="s">
        <v>2377</v>
      </c>
      <c r="O1668" s="1" t="s">
        <v>45</v>
      </c>
      <c r="P1668" s="1" t="s">
        <v>41</v>
      </c>
      <c r="Q1668" s="2">
        <v>0</v>
      </c>
      <c r="R1668" s="138"/>
      <c r="T1668" s="4">
        <v>0</v>
      </c>
      <c r="U1668" s="4">
        <v>2595271.0300000003</v>
      </c>
      <c r="V1668" s="4">
        <v>1926873.9599999946</v>
      </c>
      <c r="W1668" s="13">
        <f t="shared" si="248"/>
        <v>668397.07000000565</v>
      </c>
      <c r="X1668" s="13">
        <f t="shared" si="249"/>
        <v>1926873.9599999946</v>
      </c>
      <c r="Y1668" s="13">
        <f t="shared" si="251"/>
        <v>1926873.9599999946</v>
      </c>
      <c r="Z1668" s="2">
        <v>0</v>
      </c>
      <c r="AA1668" s="4">
        <v>0</v>
      </c>
      <c r="AB1668" s="4">
        <f t="shared" si="252"/>
        <v>1926873.9599999946</v>
      </c>
      <c r="AC1668" s="6">
        <f t="shared" si="253"/>
        <v>0</v>
      </c>
      <c r="AD1668" s="4">
        <v>0</v>
      </c>
      <c r="AE1668" s="2">
        <v>0.06</v>
      </c>
      <c r="AF1668" s="5">
        <f t="shared" si="254"/>
        <v>0</v>
      </c>
      <c r="AG1668" s="2">
        <v>0</v>
      </c>
      <c r="AH1668" s="4">
        <f t="shared" si="250"/>
        <v>1926873.9599999946</v>
      </c>
      <c r="AJ1668" s="126" t="s">
        <v>4223</v>
      </c>
      <c r="AK1668" s="80">
        <f t="shared" si="255"/>
        <v>0</v>
      </c>
      <c r="AL1668" s="150"/>
      <c r="AM1668" s="85"/>
    </row>
    <row r="1669" spans="1:39" hidden="1" x14ac:dyDescent="0.3">
      <c r="A1669" s="85" t="s">
        <v>34</v>
      </c>
      <c r="B1669" s="3" t="s">
        <v>35</v>
      </c>
      <c r="C1669" s="3" t="s">
        <v>36</v>
      </c>
      <c r="D1669" s="3" t="s">
        <v>54</v>
      </c>
      <c r="E1669" s="3" t="s">
        <v>2378</v>
      </c>
      <c r="F1669" s="3" t="s">
        <v>2379</v>
      </c>
      <c r="G1669" s="3" t="s">
        <v>2378</v>
      </c>
      <c r="I1669" s="3" t="s">
        <v>2374</v>
      </c>
      <c r="J1669" s="1" t="s">
        <v>3322</v>
      </c>
      <c r="K1669" s="1" t="s">
        <v>3269</v>
      </c>
      <c r="L1669" s="1" t="s">
        <v>35</v>
      </c>
      <c r="M1669" s="3" t="s">
        <v>2378</v>
      </c>
      <c r="O1669" s="1" t="s">
        <v>45</v>
      </c>
      <c r="P1669" s="1" t="s">
        <v>46</v>
      </c>
      <c r="Q1669" s="2">
        <v>0.04</v>
      </c>
      <c r="R1669" s="138"/>
      <c r="T1669" s="4">
        <v>3916570.4713999694</v>
      </c>
      <c r="U1669" s="4">
        <v>5351499.9810000006</v>
      </c>
      <c r="V1669" s="4">
        <v>5922435.419999999</v>
      </c>
      <c r="W1669" s="13">
        <f t="shared" si="248"/>
        <v>3345635.0323999701</v>
      </c>
      <c r="X1669" s="13">
        <f t="shared" si="249"/>
        <v>4260744.9064748194</v>
      </c>
      <c r="Y1669" s="13">
        <f t="shared" si="251"/>
        <v>0</v>
      </c>
      <c r="Z1669" s="2">
        <v>0</v>
      </c>
      <c r="AA1669" s="4">
        <v>0</v>
      </c>
      <c r="AB1669" s="4">
        <f t="shared" si="252"/>
        <v>4260744.9064748194</v>
      </c>
      <c r="AC1669" s="6">
        <f t="shared" si="253"/>
        <v>1661690.5135251796</v>
      </c>
      <c r="AD1669" s="4">
        <v>4387037.0300000031</v>
      </c>
      <c r="AE1669" s="2">
        <v>0.06</v>
      </c>
      <c r="AF1669" s="5">
        <f t="shared" si="254"/>
        <v>263222.22180000017</v>
      </c>
      <c r="AG1669" s="2">
        <v>0.35</v>
      </c>
      <c r="AH1669" s="4">
        <f t="shared" si="250"/>
        <v>4386989.1999999993</v>
      </c>
      <c r="AJ1669" s="126" t="e">
        <v>#N/A</v>
      </c>
      <c r="AK1669" s="80">
        <f t="shared" si="255"/>
        <v>0</v>
      </c>
      <c r="AM1669" s="85"/>
    </row>
    <row r="1670" spans="1:39" hidden="1" x14ac:dyDescent="0.3">
      <c r="A1670" s="85" t="s">
        <v>34</v>
      </c>
      <c r="B1670" s="3" t="s">
        <v>35</v>
      </c>
      <c r="C1670" s="3" t="s">
        <v>36</v>
      </c>
      <c r="D1670" s="3" t="s">
        <v>54</v>
      </c>
      <c r="E1670" s="3" t="s">
        <v>2378</v>
      </c>
      <c r="F1670" s="3" t="s">
        <v>2379</v>
      </c>
      <c r="G1670" s="3" t="s">
        <v>2378</v>
      </c>
      <c r="I1670" s="3" t="s">
        <v>2374</v>
      </c>
      <c r="J1670" s="1" t="s">
        <v>3322</v>
      </c>
      <c r="K1670" s="1" t="s">
        <v>3269</v>
      </c>
      <c r="L1670" s="1" t="s">
        <v>35</v>
      </c>
      <c r="M1670" s="3" t="s">
        <v>2378</v>
      </c>
      <c r="O1670" s="1" t="s">
        <v>40</v>
      </c>
      <c r="P1670" s="1" t="s">
        <v>46</v>
      </c>
      <c r="Q1670" s="2">
        <v>0.04</v>
      </c>
      <c r="R1670" s="138"/>
      <c r="T1670" s="4">
        <v>1285773.6240000003</v>
      </c>
      <c r="U1670" s="4">
        <v>704000.00559999992</v>
      </c>
      <c r="V1670" s="4">
        <v>1725978.91</v>
      </c>
      <c r="W1670" s="13">
        <f t="shared" si="248"/>
        <v>263794.71960000019</v>
      </c>
      <c r="X1670" s="13">
        <f t="shared" si="249"/>
        <v>1348421.0234375</v>
      </c>
      <c r="Y1670" s="13">
        <f t="shared" si="251"/>
        <v>713256.82343750016</v>
      </c>
      <c r="Z1670" s="2">
        <v>0</v>
      </c>
      <c r="AA1670" s="4">
        <v>0</v>
      </c>
      <c r="AB1670" s="4">
        <f t="shared" si="252"/>
        <v>1348421.0234375</v>
      </c>
      <c r="AC1670" s="6">
        <f t="shared" si="253"/>
        <v>377557.88656249992</v>
      </c>
      <c r="AD1670" s="4">
        <v>635164.19999999984</v>
      </c>
      <c r="AE1670" s="2">
        <v>7.0000000000000007E-2</v>
      </c>
      <c r="AF1670" s="5">
        <f t="shared" si="254"/>
        <v>44461.493999999992</v>
      </c>
      <c r="AG1670" s="2">
        <v>0.24</v>
      </c>
      <c r="AH1670" s="4">
        <f t="shared" si="250"/>
        <v>1391918.4758064516</v>
      </c>
      <c r="AJ1670" s="126" t="e">
        <v>#N/A</v>
      </c>
      <c r="AK1670" s="80">
        <f t="shared" si="255"/>
        <v>0</v>
      </c>
      <c r="AM1670" s="85"/>
    </row>
    <row r="1671" spans="1:39" hidden="1" x14ac:dyDescent="0.3">
      <c r="A1671" s="85" t="s">
        <v>34</v>
      </c>
      <c r="B1671" s="3" t="s">
        <v>35</v>
      </c>
      <c r="C1671" s="3" t="s">
        <v>36</v>
      </c>
      <c r="D1671" s="3" t="s">
        <v>54</v>
      </c>
      <c r="E1671" s="3" t="s">
        <v>2380</v>
      </c>
      <c r="F1671" s="3" t="s">
        <v>2380</v>
      </c>
      <c r="G1671" s="3" t="s">
        <v>2380</v>
      </c>
      <c r="I1671" s="3" t="s">
        <v>2374</v>
      </c>
      <c r="J1671" s="1" t="s">
        <v>3322</v>
      </c>
      <c r="K1671" s="1" t="s">
        <v>3269</v>
      </c>
      <c r="L1671" s="1" t="s">
        <v>35</v>
      </c>
      <c r="M1671" s="3" t="s">
        <v>2381</v>
      </c>
      <c r="O1671" s="1" t="s">
        <v>45</v>
      </c>
      <c r="P1671" s="1" t="s">
        <v>41</v>
      </c>
      <c r="Q1671" s="2">
        <v>0</v>
      </c>
      <c r="R1671" s="138"/>
      <c r="T1671" s="4">
        <v>0</v>
      </c>
      <c r="U1671" s="4">
        <v>460000</v>
      </c>
      <c r="V1671" s="4">
        <v>305891.40000000002</v>
      </c>
      <c r="W1671" s="13">
        <f t="shared" si="248"/>
        <v>154108.59999999998</v>
      </c>
      <c r="X1671" s="13">
        <f t="shared" si="249"/>
        <v>305891.40000000002</v>
      </c>
      <c r="Y1671" s="13">
        <f t="shared" si="251"/>
        <v>0</v>
      </c>
      <c r="Z1671" s="2">
        <v>0</v>
      </c>
      <c r="AA1671" s="4">
        <v>0</v>
      </c>
      <c r="AB1671" s="4">
        <f t="shared" si="252"/>
        <v>305891.40000000002</v>
      </c>
      <c r="AC1671" s="6">
        <f t="shared" si="253"/>
        <v>0</v>
      </c>
      <c r="AD1671" s="4">
        <v>364749.71</v>
      </c>
      <c r="AE1671" s="2">
        <v>0.06</v>
      </c>
      <c r="AF1671" s="5">
        <f t="shared" si="254"/>
        <v>21884.982599999999</v>
      </c>
      <c r="AG1671" s="2">
        <v>0</v>
      </c>
      <c r="AH1671" s="4">
        <f t="shared" si="250"/>
        <v>305891.40000000002</v>
      </c>
      <c r="AJ1671" s="126" t="e">
        <v>#N/A</v>
      </c>
      <c r="AK1671" s="80">
        <f t="shared" si="255"/>
        <v>0</v>
      </c>
      <c r="AM1671" s="85"/>
    </row>
    <row r="1672" spans="1:39" hidden="1" x14ac:dyDescent="0.3">
      <c r="A1672" s="85" t="s">
        <v>34</v>
      </c>
      <c r="B1672" s="3" t="s">
        <v>35</v>
      </c>
      <c r="C1672" s="3" t="s">
        <v>36</v>
      </c>
      <c r="D1672" s="3" t="s">
        <v>54</v>
      </c>
      <c r="E1672" s="3" t="s">
        <v>2382</v>
      </c>
      <c r="F1672" s="3" t="s">
        <v>2382</v>
      </c>
      <c r="G1672" s="3" t="s">
        <v>2382</v>
      </c>
      <c r="I1672" s="3" t="s">
        <v>2374</v>
      </c>
      <c r="J1672" s="1" t="s">
        <v>3322</v>
      </c>
      <c r="K1672" s="1" t="s">
        <v>3269</v>
      </c>
      <c r="L1672" s="1" t="s">
        <v>35</v>
      </c>
      <c r="M1672" s="3" t="s">
        <v>2383</v>
      </c>
      <c r="O1672" s="1" t="s">
        <v>45</v>
      </c>
      <c r="P1672" s="1" t="s">
        <v>41</v>
      </c>
      <c r="Q1672" s="2">
        <v>0</v>
      </c>
      <c r="R1672" s="138"/>
      <c r="T1672" s="4">
        <v>0</v>
      </c>
      <c r="U1672" s="4">
        <v>50000</v>
      </c>
      <c r="V1672" s="4">
        <v>31204.570000000011</v>
      </c>
      <c r="W1672" s="13">
        <f t="shared" si="248"/>
        <v>18795.429999999989</v>
      </c>
      <c r="X1672" s="13">
        <f t="shared" si="249"/>
        <v>31204.570000000011</v>
      </c>
      <c r="Y1672" s="13">
        <f t="shared" si="251"/>
        <v>0</v>
      </c>
      <c r="Z1672" s="2">
        <v>0</v>
      </c>
      <c r="AA1672" s="4">
        <v>0</v>
      </c>
      <c r="AB1672" s="4">
        <f t="shared" si="252"/>
        <v>31204.570000000011</v>
      </c>
      <c r="AC1672" s="6">
        <f t="shared" si="253"/>
        <v>0</v>
      </c>
      <c r="AD1672" s="4">
        <v>31204.570000000011</v>
      </c>
      <c r="AE1672" s="2">
        <v>0.06</v>
      </c>
      <c r="AF1672" s="5">
        <f t="shared" si="254"/>
        <v>1872.2742000000005</v>
      </c>
      <c r="AG1672" s="2">
        <v>0</v>
      </c>
      <c r="AH1672" s="4">
        <f t="shared" si="250"/>
        <v>31204.570000000011</v>
      </c>
      <c r="AJ1672" s="126" t="e">
        <v>#N/A</v>
      </c>
      <c r="AK1672" s="80">
        <f t="shared" si="255"/>
        <v>0</v>
      </c>
      <c r="AM1672" s="85"/>
    </row>
    <row r="1673" spans="1:39" hidden="1" x14ac:dyDescent="0.3">
      <c r="A1673" s="85" t="s">
        <v>34</v>
      </c>
      <c r="B1673" s="3" t="s">
        <v>35</v>
      </c>
      <c r="C1673" s="3" t="s">
        <v>65</v>
      </c>
      <c r="D1673" s="3" t="s">
        <v>66</v>
      </c>
      <c r="E1673" s="3" t="s">
        <v>2384</v>
      </c>
      <c r="F1673" s="3" t="s">
        <v>2384</v>
      </c>
      <c r="G1673" s="3" t="s">
        <v>2384</v>
      </c>
      <c r="H1673" s="138"/>
      <c r="I1673" s="3" t="s">
        <v>2374</v>
      </c>
      <c r="J1673" s="1" t="s">
        <v>3322</v>
      </c>
      <c r="K1673" s="1" t="s">
        <v>3269</v>
      </c>
      <c r="L1673" s="1" t="s">
        <v>35</v>
      </c>
      <c r="M1673" s="3" t="s">
        <v>2385</v>
      </c>
      <c r="O1673" s="1" t="s">
        <v>45</v>
      </c>
      <c r="P1673" s="1" t="s">
        <v>41</v>
      </c>
      <c r="Q1673" s="2">
        <v>0</v>
      </c>
      <c r="R1673" s="138"/>
      <c r="T1673" s="4">
        <v>0</v>
      </c>
      <c r="U1673" s="4">
        <v>0</v>
      </c>
      <c r="V1673" s="4">
        <v>0</v>
      </c>
      <c r="W1673" s="13">
        <f t="shared" si="248"/>
        <v>0</v>
      </c>
      <c r="X1673" s="13">
        <f t="shared" si="249"/>
        <v>0</v>
      </c>
      <c r="Y1673" s="13">
        <f t="shared" si="251"/>
        <v>0</v>
      </c>
      <c r="Z1673" s="2">
        <v>0</v>
      </c>
      <c r="AA1673" s="4">
        <v>0</v>
      </c>
      <c r="AB1673" s="4">
        <f t="shared" si="252"/>
        <v>0</v>
      </c>
      <c r="AC1673" s="6">
        <f t="shared" si="253"/>
        <v>0</v>
      </c>
      <c r="AD1673" s="4">
        <v>6249.3099999999986</v>
      </c>
      <c r="AE1673" s="2">
        <v>0.06</v>
      </c>
      <c r="AF1673" s="5">
        <f t="shared" si="254"/>
        <v>374.95859999999988</v>
      </c>
      <c r="AG1673" s="2">
        <v>0</v>
      </c>
      <c r="AH1673" s="4">
        <f t="shared" si="250"/>
        <v>0</v>
      </c>
      <c r="AJ1673" s="126" t="e">
        <v>#N/A</v>
      </c>
      <c r="AK1673" s="80">
        <f t="shared" si="255"/>
        <v>0</v>
      </c>
      <c r="AM1673" s="85"/>
    </row>
    <row r="1674" spans="1:39" hidden="1" x14ac:dyDescent="0.3">
      <c r="A1674" s="85" t="s">
        <v>34</v>
      </c>
      <c r="B1674" s="3" t="s">
        <v>35</v>
      </c>
      <c r="C1674" s="3" t="s">
        <v>65</v>
      </c>
      <c r="D1674" s="3" t="s">
        <v>66</v>
      </c>
      <c r="E1674" s="3" t="s">
        <v>2386</v>
      </c>
      <c r="F1674" s="3" t="s">
        <v>2386</v>
      </c>
      <c r="G1674" s="3" t="s">
        <v>2386</v>
      </c>
      <c r="I1674" s="3" t="s">
        <v>2374</v>
      </c>
      <c r="J1674" s="1" t="s">
        <v>3322</v>
      </c>
      <c r="K1674" s="1" t="s">
        <v>3269</v>
      </c>
      <c r="L1674" s="1" t="s">
        <v>35</v>
      </c>
      <c r="M1674" s="3" t="s">
        <v>2387</v>
      </c>
      <c r="O1674" s="1" t="s">
        <v>45</v>
      </c>
      <c r="P1674" s="1" t="s">
        <v>46</v>
      </c>
      <c r="Q1674" s="2">
        <v>2.5000000000000001E-2</v>
      </c>
      <c r="R1674" s="138"/>
      <c r="T1674" s="4">
        <v>59033.43</v>
      </c>
      <c r="U1674" s="4">
        <v>102500</v>
      </c>
      <c r="V1674" s="4">
        <v>106174.36000000003</v>
      </c>
      <c r="W1674" s="13">
        <f t="shared" si="248"/>
        <v>55359.069999999963</v>
      </c>
      <c r="X1674" s="13">
        <f t="shared" si="249"/>
        <v>103584.74146341467</v>
      </c>
      <c r="Y1674" s="13">
        <f t="shared" si="251"/>
        <v>0</v>
      </c>
      <c r="Z1674" s="2">
        <v>0</v>
      </c>
      <c r="AA1674" s="4">
        <v>0</v>
      </c>
      <c r="AB1674" s="4">
        <f t="shared" si="252"/>
        <v>103584.74146341467</v>
      </c>
      <c r="AC1674" s="6">
        <f t="shared" si="253"/>
        <v>2589.6185365853598</v>
      </c>
      <c r="AD1674" s="4">
        <v>106174.36000000003</v>
      </c>
      <c r="AE1674" s="2">
        <v>0.06</v>
      </c>
      <c r="AF1674" s="5">
        <f t="shared" si="254"/>
        <v>6370.4616000000015</v>
      </c>
      <c r="AG1674" s="2">
        <v>0</v>
      </c>
      <c r="AH1674" s="4">
        <f t="shared" si="250"/>
        <v>106174.36000000003</v>
      </c>
      <c r="AJ1674" s="126" t="e">
        <v>#N/A</v>
      </c>
      <c r="AK1674" s="80">
        <f t="shared" si="255"/>
        <v>0</v>
      </c>
      <c r="AM1674" s="85"/>
    </row>
    <row r="1675" spans="1:39" hidden="1" x14ac:dyDescent="0.3">
      <c r="A1675" s="85" t="s">
        <v>34</v>
      </c>
      <c r="B1675" s="3" t="s">
        <v>35</v>
      </c>
      <c r="C1675" s="3" t="s">
        <v>65</v>
      </c>
      <c r="D1675" s="3" t="s">
        <v>66</v>
      </c>
      <c r="E1675" s="3" t="s">
        <v>2386</v>
      </c>
      <c r="F1675" s="3" t="s">
        <v>2386</v>
      </c>
      <c r="G1675" s="3" t="s">
        <v>2386</v>
      </c>
      <c r="H1675" s="138"/>
      <c r="I1675" s="3" t="s">
        <v>2374</v>
      </c>
      <c r="J1675" s="1" t="s">
        <v>3322</v>
      </c>
      <c r="K1675" s="1" t="s">
        <v>3269</v>
      </c>
      <c r="L1675" s="1" t="s">
        <v>35</v>
      </c>
      <c r="M1675" s="3" t="s">
        <v>2387</v>
      </c>
      <c r="O1675" s="1" t="s">
        <v>40</v>
      </c>
      <c r="P1675" s="1" t="s">
        <v>46</v>
      </c>
      <c r="Q1675" s="2">
        <v>2.5000000000000001E-2</v>
      </c>
      <c r="R1675" s="138"/>
      <c r="T1675" s="4">
        <v>0</v>
      </c>
      <c r="U1675" s="4">
        <v>51250</v>
      </c>
      <c r="V1675" s="4">
        <v>0</v>
      </c>
      <c r="W1675" s="13">
        <f t="shared" si="248"/>
        <v>51250</v>
      </c>
      <c r="X1675" s="13">
        <f t="shared" si="249"/>
        <v>0</v>
      </c>
      <c r="Y1675" s="13">
        <f t="shared" si="251"/>
        <v>0</v>
      </c>
      <c r="Z1675" s="2">
        <v>0</v>
      </c>
      <c r="AA1675" s="4">
        <v>0</v>
      </c>
      <c r="AB1675" s="4">
        <f t="shared" si="252"/>
        <v>0</v>
      </c>
      <c r="AC1675" s="6">
        <f t="shared" si="253"/>
        <v>0</v>
      </c>
      <c r="AD1675" s="4">
        <v>0</v>
      </c>
      <c r="AE1675" s="2">
        <v>7.0000000000000007E-2</v>
      </c>
      <c r="AF1675" s="5">
        <f t="shared" si="254"/>
        <v>0</v>
      </c>
      <c r="AG1675" s="2">
        <v>0</v>
      </c>
      <c r="AH1675" s="4">
        <f t="shared" si="250"/>
        <v>0</v>
      </c>
      <c r="AJ1675" s="126" t="e">
        <v>#N/A</v>
      </c>
      <c r="AK1675" s="80">
        <f t="shared" si="255"/>
        <v>0</v>
      </c>
      <c r="AM1675" s="85"/>
    </row>
    <row r="1676" spans="1:39" hidden="1" x14ac:dyDescent="0.3">
      <c r="A1676" s="85" t="s">
        <v>34</v>
      </c>
      <c r="B1676" s="3" t="s">
        <v>35</v>
      </c>
      <c r="C1676" s="3" t="s">
        <v>65</v>
      </c>
      <c r="D1676" s="3" t="s">
        <v>66</v>
      </c>
      <c r="E1676" s="3" t="s">
        <v>2385</v>
      </c>
      <c r="F1676" s="3" t="s">
        <v>2385</v>
      </c>
      <c r="G1676" s="3" t="s">
        <v>2385</v>
      </c>
      <c r="I1676" s="3" t="s">
        <v>2374</v>
      </c>
      <c r="J1676" s="1" t="s">
        <v>3322</v>
      </c>
      <c r="K1676" s="1" t="s">
        <v>3269</v>
      </c>
      <c r="L1676" s="1" t="s">
        <v>35</v>
      </c>
      <c r="M1676" s="3" t="s">
        <v>2385</v>
      </c>
      <c r="O1676" s="1" t="s">
        <v>45</v>
      </c>
      <c r="P1676" s="1" t="s">
        <v>41</v>
      </c>
      <c r="Q1676" s="2">
        <v>0</v>
      </c>
      <c r="R1676" s="138"/>
      <c r="T1676" s="4">
        <v>0</v>
      </c>
      <c r="U1676" s="4">
        <v>20000</v>
      </c>
      <c r="V1676" s="4">
        <v>6249.3099999999986</v>
      </c>
      <c r="W1676" s="13">
        <f t="shared" si="248"/>
        <v>13750.690000000002</v>
      </c>
      <c r="X1676" s="13">
        <f t="shared" si="249"/>
        <v>6249.3099999999986</v>
      </c>
      <c r="Y1676" s="13">
        <f t="shared" si="251"/>
        <v>6249.3099999999986</v>
      </c>
      <c r="Z1676" s="2">
        <v>0</v>
      </c>
      <c r="AA1676" s="4">
        <v>0</v>
      </c>
      <c r="AB1676" s="4">
        <f t="shared" si="252"/>
        <v>6249.3099999999986</v>
      </c>
      <c r="AC1676" s="6">
        <f t="shared" si="253"/>
        <v>0</v>
      </c>
      <c r="AD1676" s="4">
        <v>0</v>
      </c>
      <c r="AE1676" s="2">
        <v>0.06</v>
      </c>
      <c r="AF1676" s="5">
        <f t="shared" si="254"/>
        <v>0</v>
      </c>
      <c r="AG1676" s="2">
        <v>0</v>
      </c>
      <c r="AH1676" s="4">
        <f t="shared" si="250"/>
        <v>6249.3099999999986</v>
      </c>
      <c r="AJ1676" s="126" t="e">
        <v>#N/A</v>
      </c>
      <c r="AK1676" s="80">
        <f t="shared" si="255"/>
        <v>0</v>
      </c>
      <c r="AM1676" s="85"/>
    </row>
    <row r="1677" spans="1:39" hidden="1" x14ac:dyDescent="0.3">
      <c r="A1677" s="85" t="s">
        <v>34</v>
      </c>
      <c r="B1677" s="3" t="s">
        <v>35</v>
      </c>
      <c r="C1677" s="3" t="s">
        <v>47</v>
      </c>
      <c r="D1677" s="3" t="s">
        <v>63</v>
      </c>
      <c r="E1677" s="3" t="s">
        <v>2388</v>
      </c>
      <c r="F1677" s="3" t="s">
        <v>2389</v>
      </c>
      <c r="G1677" s="3" t="s">
        <v>2388</v>
      </c>
      <c r="I1677" s="3" t="s">
        <v>2374</v>
      </c>
      <c r="J1677" s="1" t="s">
        <v>3322</v>
      </c>
      <c r="K1677" s="1" t="s">
        <v>3269</v>
      </c>
      <c r="L1677" s="1" t="s">
        <v>35</v>
      </c>
      <c r="M1677" s="3" t="s">
        <v>2390</v>
      </c>
      <c r="O1677" s="1" t="s">
        <v>40</v>
      </c>
      <c r="P1677" s="1" t="s">
        <v>46</v>
      </c>
      <c r="Q1677" s="2">
        <v>9.0800000000000006E-2</v>
      </c>
      <c r="R1677" s="138"/>
      <c r="S1677" s="3" t="s">
        <v>3682</v>
      </c>
      <c r="T1677" s="4">
        <v>1352252.8177100029</v>
      </c>
      <c r="U1677" s="4">
        <v>6375199.9950900013</v>
      </c>
      <c r="V1677" s="4">
        <f>6317367.88-19480.19-2710.74</f>
        <v>6295176.9499999993</v>
      </c>
      <c r="W1677" s="13">
        <f t="shared" si="248"/>
        <v>1432275.8628000049</v>
      </c>
      <c r="X1677" s="13">
        <f>IF(P1677="折扣",V1677*Q1677,IF(P1677="返现",V1677,V1677/(1+Q1677+AG1677)))-11191.4</f>
        <v>3938599.6340067764</v>
      </c>
      <c r="Y1677" s="13">
        <f t="shared" si="251"/>
        <v>0</v>
      </c>
      <c r="Z1677" s="2">
        <v>0</v>
      </c>
      <c r="AA1677" s="4">
        <v>0</v>
      </c>
      <c r="AB1677" s="4">
        <f t="shared" si="252"/>
        <v>3938599.6340067764</v>
      </c>
      <c r="AC1677" s="6">
        <f t="shared" si="253"/>
        <v>2356577.3159932229</v>
      </c>
      <c r="AD1677" s="4">
        <v>4185978.0700000022</v>
      </c>
      <c r="AE1677" s="2">
        <v>7.0000000000000007E-2</v>
      </c>
      <c r="AF1677" s="5">
        <f t="shared" si="254"/>
        <v>293018.4649000002</v>
      </c>
      <c r="AG1677" s="2">
        <v>0.503</v>
      </c>
      <c r="AH1677" s="4">
        <f t="shared" si="250"/>
        <v>4188407.8176979367</v>
      </c>
      <c r="AJ1677" s="126" t="e">
        <v>#N/A</v>
      </c>
      <c r="AK1677" s="80">
        <f t="shared" si="255"/>
        <v>0</v>
      </c>
      <c r="AM1677" s="85"/>
    </row>
    <row r="1678" spans="1:39" hidden="1" x14ac:dyDescent="0.3">
      <c r="A1678" s="85" t="s">
        <v>34</v>
      </c>
      <c r="B1678" s="3" t="s">
        <v>35</v>
      </c>
      <c r="C1678" s="3" t="s">
        <v>47</v>
      </c>
      <c r="D1678" s="3" t="s">
        <v>63</v>
      </c>
      <c r="E1678" s="3" t="s">
        <v>528</v>
      </c>
      <c r="F1678" s="3" t="s">
        <v>528</v>
      </c>
      <c r="G1678" s="3" t="s">
        <v>528</v>
      </c>
      <c r="I1678" s="3" t="s">
        <v>2374</v>
      </c>
      <c r="J1678" s="1" t="s">
        <v>3322</v>
      </c>
      <c r="K1678" s="1" t="s">
        <v>3269</v>
      </c>
      <c r="L1678" s="1" t="s">
        <v>35</v>
      </c>
      <c r="M1678" s="3" t="s">
        <v>2391</v>
      </c>
      <c r="O1678" s="1" t="s">
        <v>45</v>
      </c>
      <c r="P1678" s="1" t="s">
        <v>41</v>
      </c>
      <c r="Q1678" s="2">
        <v>0</v>
      </c>
      <c r="R1678" s="138"/>
      <c r="T1678" s="4">
        <v>0</v>
      </c>
      <c r="U1678" s="4">
        <v>10000000</v>
      </c>
      <c r="V1678" s="4">
        <v>7019808.6453799969</v>
      </c>
      <c r="W1678" s="13">
        <f t="shared" si="248"/>
        <v>2980191.3546200031</v>
      </c>
      <c r="X1678" s="13">
        <f t="shared" si="249"/>
        <v>7019808.6453799969</v>
      </c>
      <c r="Y1678" s="13">
        <f t="shared" si="251"/>
        <v>0</v>
      </c>
      <c r="Z1678" s="2">
        <v>0</v>
      </c>
      <c r="AA1678" s="4">
        <v>0</v>
      </c>
      <c r="AB1678" s="4">
        <f t="shared" si="252"/>
        <v>7019808.6453799969</v>
      </c>
      <c r="AC1678" s="6">
        <f t="shared" si="253"/>
        <v>0</v>
      </c>
      <c r="AD1678" s="4">
        <v>8791237.9599999953</v>
      </c>
      <c r="AE1678" s="2">
        <v>0.06</v>
      </c>
      <c r="AF1678" s="5">
        <f t="shared" si="254"/>
        <v>527474.27759999968</v>
      </c>
      <c r="AG1678" s="2">
        <v>0</v>
      </c>
      <c r="AH1678" s="4">
        <f t="shared" si="250"/>
        <v>7019808.6453799969</v>
      </c>
      <c r="AJ1678" s="126" t="e">
        <v>#N/A</v>
      </c>
      <c r="AK1678" s="80">
        <f t="shared" si="255"/>
        <v>0</v>
      </c>
      <c r="AM1678" s="85"/>
    </row>
    <row r="1679" spans="1:39" hidden="1" x14ac:dyDescent="0.3">
      <c r="A1679" s="85" t="s">
        <v>34</v>
      </c>
      <c r="B1679" s="3" t="s">
        <v>35</v>
      </c>
      <c r="C1679" s="3" t="s">
        <v>47</v>
      </c>
      <c r="D1679" s="3" t="s">
        <v>63</v>
      </c>
      <c r="E1679" s="3" t="s">
        <v>528</v>
      </c>
      <c r="F1679" s="3" t="s">
        <v>528</v>
      </c>
      <c r="G1679" s="3" t="s">
        <v>528</v>
      </c>
      <c r="I1679" s="3" t="s">
        <v>2374</v>
      </c>
      <c r="J1679" s="1" t="s">
        <v>3322</v>
      </c>
      <c r="K1679" s="1" t="s">
        <v>3269</v>
      </c>
      <c r="L1679" s="1" t="s">
        <v>35</v>
      </c>
      <c r="M1679" s="3" t="s">
        <v>2391</v>
      </c>
      <c r="O1679" s="1" t="s">
        <v>40</v>
      </c>
      <c r="P1679" s="1" t="s">
        <v>41</v>
      </c>
      <c r="Q1679" s="2">
        <v>0</v>
      </c>
      <c r="R1679" s="138"/>
      <c r="T1679" s="4">
        <v>0</v>
      </c>
      <c r="U1679" s="4">
        <v>8050000</v>
      </c>
      <c r="V1679" s="4">
        <v>5629343.2300000004</v>
      </c>
      <c r="W1679" s="13">
        <f t="shared" si="248"/>
        <v>2420656.7699999996</v>
      </c>
      <c r="X1679" s="13">
        <f t="shared" si="249"/>
        <v>5629343.2300000004</v>
      </c>
      <c r="Y1679" s="13">
        <f t="shared" si="251"/>
        <v>0</v>
      </c>
      <c r="Z1679" s="2">
        <v>0</v>
      </c>
      <c r="AA1679" s="4">
        <v>0</v>
      </c>
      <c r="AB1679" s="4">
        <f t="shared" si="252"/>
        <v>5629343.2300000004</v>
      </c>
      <c r="AC1679" s="6">
        <f t="shared" si="253"/>
        <v>0</v>
      </c>
      <c r="AD1679" s="4">
        <v>6972061.8999999948</v>
      </c>
      <c r="AE1679" s="2">
        <v>7.0000000000000007E-2</v>
      </c>
      <c r="AF1679" s="5">
        <f t="shared" si="254"/>
        <v>488044.33299999969</v>
      </c>
      <c r="AG1679" s="2">
        <v>0</v>
      </c>
      <c r="AH1679" s="4">
        <f t="shared" si="250"/>
        <v>5629343.2300000004</v>
      </c>
      <c r="AJ1679" s="126" t="e">
        <v>#N/A</v>
      </c>
      <c r="AK1679" s="80">
        <f t="shared" si="255"/>
        <v>0</v>
      </c>
      <c r="AM1679" s="85"/>
    </row>
    <row r="1680" spans="1:39" hidden="1" x14ac:dyDescent="0.3">
      <c r="A1680" s="85" t="s">
        <v>34</v>
      </c>
      <c r="B1680" s="3" t="s">
        <v>35</v>
      </c>
      <c r="C1680" s="3" t="s">
        <v>47</v>
      </c>
      <c r="D1680" s="3" t="s">
        <v>63</v>
      </c>
      <c r="E1680" s="3" t="s">
        <v>528</v>
      </c>
      <c r="F1680" s="3" t="s">
        <v>2392</v>
      </c>
      <c r="G1680" s="3" t="s">
        <v>528</v>
      </c>
      <c r="I1680" s="3" t="s">
        <v>2374</v>
      </c>
      <c r="J1680" s="1" t="s">
        <v>3322</v>
      </c>
      <c r="K1680" s="1" t="s">
        <v>3269</v>
      </c>
      <c r="L1680" s="1" t="s">
        <v>35</v>
      </c>
      <c r="M1680" s="3" t="s">
        <v>2391</v>
      </c>
      <c r="O1680" s="1" t="s">
        <v>40</v>
      </c>
      <c r="P1680" s="1" t="s">
        <v>41</v>
      </c>
      <c r="Q1680" s="2">
        <v>0</v>
      </c>
      <c r="R1680" s="138"/>
      <c r="T1680" s="4">
        <v>0</v>
      </c>
      <c r="U1680" s="4">
        <v>2610000</v>
      </c>
      <c r="V1680" s="4">
        <v>2418148.3955399999</v>
      </c>
      <c r="W1680" s="13">
        <f t="shared" si="248"/>
        <v>191851.60446000006</v>
      </c>
      <c r="X1680" s="13">
        <f t="shared" si="249"/>
        <v>2418148.3955399999</v>
      </c>
      <c r="Y1680" s="13">
        <f t="shared" si="251"/>
        <v>0</v>
      </c>
      <c r="Z1680" s="2">
        <v>0</v>
      </c>
      <c r="AA1680" s="4">
        <v>0</v>
      </c>
      <c r="AB1680" s="4">
        <f t="shared" si="252"/>
        <v>2418148.3955399999</v>
      </c>
      <c r="AC1680" s="6">
        <f t="shared" si="253"/>
        <v>0</v>
      </c>
      <c r="AD1680" s="4">
        <v>2666137.3200000008</v>
      </c>
      <c r="AE1680" s="2">
        <v>7.0000000000000007E-2</v>
      </c>
      <c r="AF1680" s="5">
        <f t="shared" si="254"/>
        <v>186629.61240000007</v>
      </c>
      <c r="AG1680" s="2">
        <v>0</v>
      </c>
      <c r="AH1680" s="4">
        <f t="shared" si="250"/>
        <v>2418148.3955399999</v>
      </c>
      <c r="AJ1680" s="126" t="e">
        <v>#N/A</v>
      </c>
      <c r="AK1680" s="80">
        <f t="shared" si="255"/>
        <v>0</v>
      </c>
      <c r="AM1680" s="85"/>
    </row>
    <row r="1681" spans="1:39" hidden="1" x14ac:dyDescent="0.3">
      <c r="A1681" s="85" t="s">
        <v>34</v>
      </c>
      <c r="B1681" s="3" t="s">
        <v>35</v>
      </c>
      <c r="C1681" s="3" t="s">
        <v>47</v>
      </c>
      <c r="D1681" s="3" t="s">
        <v>63</v>
      </c>
      <c r="E1681" s="3" t="s">
        <v>2393</v>
      </c>
      <c r="F1681" s="3" t="s">
        <v>2394</v>
      </c>
      <c r="G1681" s="3" t="s">
        <v>2393</v>
      </c>
      <c r="I1681" s="3" t="s">
        <v>2374</v>
      </c>
      <c r="J1681" s="1" t="s">
        <v>3322</v>
      </c>
      <c r="K1681" s="1" t="s">
        <v>3269</v>
      </c>
      <c r="L1681" s="1" t="s">
        <v>35</v>
      </c>
      <c r="M1681" s="3" t="s">
        <v>2395</v>
      </c>
      <c r="O1681" s="1" t="s">
        <v>45</v>
      </c>
      <c r="P1681" s="1" t="s">
        <v>46</v>
      </c>
      <c r="Q1681" s="2">
        <v>5.5E-2</v>
      </c>
      <c r="R1681" s="138"/>
      <c r="T1681" s="4">
        <v>246259.4199999994</v>
      </c>
      <c r="U1681" s="4">
        <v>-246274.08999999985</v>
      </c>
      <c r="V1681" s="4">
        <v>90.37</v>
      </c>
      <c r="W1681" s="13">
        <f t="shared" si="248"/>
        <v>-105.04000000044937</v>
      </c>
      <c r="X1681" s="13">
        <f t="shared" si="249"/>
        <v>85.658767772511851</v>
      </c>
      <c r="Y1681" s="13">
        <f t="shared" si="251"/>
        <v>0</v>
      </c>
      <c r="Z1681" s="2">
        <v>0</v>
      </c>
      <c r="AA1681" s="4">
        <v>0</v>
      </c>
      <c r="AB1681" s="4">
        <f t="shared" si="252"/>
        <v>85.658767772511851</v>
      </c>
      <c r="AC1681" s="6">
        <f t="shared" si="253"/>
        <v>4.7112322274881535</v>
      </c>
      <c r="AD1681" s="4">
        <v>12970012.67999999</v>
      </c>
      <c r="AE1681" s="2">
        <v>0.06</v>
      </c>
      <c r="AF1681" s="5">
        <f t="shared" si="254"/>
        <v>778200.76079999935</v>
      </c>
      <c r="AG1681" s="2">
        <v>0</v>
      </c>
      <c r="AH1681" s="4">
        <f t="shared" si="250"/>
        <v>90.37</v>
      </c>
      <c r="AJ1681" s="126" t="e">
        <v>#N/A</v>
      </c>
      <c r="AK1681" s="80">
        <f t="shared" si="255"/>
        <v>0</v>
      </c>
      <c r="AM1681" s="85"/>
    </row>
    <row r="1682" spans="1:39" hidden="1" x14ac:dyDescent="0.3">
      <c r="A1682" s="85" t="s">
        <v>34</v>
      </c>
      <c r="B1682" s="3" t="s">
        <v>35</v>
      </c>
      <c r="C1682" s="3" t="s">
        <v>47</v>
      </c>
      <c r="D1682" s="3" t="s">
        <v>63</v>
      </c>
      <c r="E1682" s="3" t="s">
        <v>2393</v>
      </c>
      <c r="F1682" s="3" t="s">
        <v>2394</v>
      </c>
      <c r="G1682" s="3" t="s">
        <v>2393</v>
      </c>
      <c r="I1682" s="3" t="s">
        <v>2374</v>
      </c>
      <c r="J1682" s="1" t="s">
        <v>3322</v>
      </c>
      <c r="K1682" s="1" t="s">
        <v>3269</v>
      </c>
      <c r="L1682" s="1" t="s">
        <v>35</v>
      </c>
      <c r="M1682" s="3" t="s">
        <v>2395</v>
      </c>
      <c r="O1682" s="1" t="s">
        <v>40</v>
      </c>
      <c r="P1682" s="1" t="s">
        <v>46</v>
      </c>
      <c r="Q1682" s="2">
        <v>5.5E-2</v>
      </c>
      <c r="R1682" s="138"/>
      <c r="T1682" s="4">
        <v>154197.41</v>
      </c>
      <c r="U1682" s="4">
        <v>-96830.489999999991</v>
      </c>
      <c r="V1682" s="4">
        <v>8669.51</v>
      </c>
      <c r="W1682" s="13">
        <f t="shared" si="248"/>
        <v>48697.410000000011</v>
      </c>
      <c r="X1682" s="13">
        <f t="shared" si="249"/>
        <v>8217.5450236966826</v>
      </c>
      <c r="Y1682" s="13">
        <f t="shared" si="251"/>
        <v>0</v>
      </c>
      <c r="Z1682" s="2">
        <v>0</v>
      </c>
      <c r="AA1682" s="4">
        <v>0</v>
      </c>
      <c r="AB1682" s="4">
        <f t="shared" si="252"/>
        <v>8217.5450236966826</v>
      </c>
      <c r="AC1682" s="6">
        <f t="shared" si="253"/>
        <v>451.9649763033176</v>
      </c>
      <c r="AD1682" s="4">
        <v>332307.9800000001</v>
      </c>
      <c r="AE1682" s="2">
        <v>7.0000000000000007E-2</v>
      </c>
      <c r="AF1682" s="5">
        <f t="shared" si="254"/>
        <v>23261.558600000008</v>
      </c>
      <c r="AG1682" s="2">
        <v>0</v>
      </c>
      <c r="AH1682" s="4">
        <f t="shared" si="250"/>
        <v>8669.51</v>
      </c>
      <c r="AJ1682" s="126" t="e">
        <v>#N/A</v>
      </c>
      <c r="AK1682" s="80">
        <f t="shared" si="255"/>
        <v>0</v>
      </c>
      <c r="AM1682" s="85"/>
    </row>
    <row r="1683" spans="1:39" hidden="1" x14ac:dyDescent="0.3">
      <c r="A1683" s="85" t="s">
        <v>34</v>
      </c>
      <c r="B1683" s="3" t="s">
        <v>35</v>
      </c>
      <c r="C1683" s="3" t="s">
        <v>47</v>
      </c>
      <c r="D1683" s="3" t="s">
        <v>63</v>
      </c>
      <c r="E1683" s="3" t="s">
        <v>2393</v>
      </c>
      <c r="F1683" s="3" t="s">
        <v>2394</v>
      </c>
      <c r="G1683" s="3" t="s">
        <v>2393</v>
      </c>
      <c r="I1683" s="3" t="s">
        <v>2374</v>
      </c>
      <c r="J1683" s="1" t="s">
        <v>3322</v>
      </c>
      <c r="K1683" s="1" t="s">
        <v>3269</v>
      </c>
      <c r="L1683" s="1" t="s">
        <v>35</v>
      </c>
      <c r="M1683" s="3" t="s">
        <v>2396</v>
      </c>
      <c r="O1683" s="1" t="s">
        <v>45</v>
      </c>
      <c r="P1683" s="1" t="s">
        <v>46</v>
      </c>
      <c r="Q1683" s="2">
        <v>5.5E-2</v>
      </c>
      <c r="R1683" s="138"/>
      <c r="T1683" s="4">
        <v>31614.899999999972</v>
      </c>
      <c r="U1683" s="4">
        <v>-21100</v>
      </c>
      <c r="V1683" s="4">
        <v>10514.899999999972</v>
      </c>
      <c r="W1683" s="13">
        <f t="shared" si="248"/>
        <v>0</v>
      </c>
      <c r="X1683" s="13">
        <f t="shared" si="249"/>
        <v>9966.7298578198788</v>
      </c>
      <c r="Y1683" s="13">
        <f t="shared" si="251"/>
        <v>0</v>
      </c>
      <c r="Z1683" s="2">
        <v>0</v>
      </c>
      <c r="AA1683" s="4">
        <v>0</v>
      </c>
      <c r="AB1683" s="4">
        <f t="shared" si="252"/>
        <v>9966.7298578198788</v>
      </c>
      <c r="AC1683" s="6">
        <f t="shared" si="253"/>
        <v>548.17014218009353</v>
      </c>
      <c r="AD1683" s="4">
        <v>42881.35</v>
      </c>
      <c r="AE1683" s="2">
        <v>0.06</v>
      </c>
      <c r="AF1683" s="5">
        <f t="shared" si="254"/>
        <v>2572.8809999999999</v>
      </c>
      <c r="AG1683" s="2">
        <v>0</v>
      </c>
      <c r="AH1683" s="4">
        <f>V1683/(1+AG1683)</f>
        <v>10514.899999999972</v>
      </c>
      <c r="AJ1683" s="126" t="e">
        <v>#N/A</v>
      </c>
      <c r="AK1683" s="80">
        <f t="shared" si="255"/>
        <v>0</v>
      </c>
      <c r="AM1683" s="85"/>
    </row>
    <row r="1684" spans="1:39" hidden="1" x14ac:dyDescent="0.3">
      <c r="A1684" s="85" t="s">
        <v>34</v>
      </c>
      <c r="B1684" s="3" t="s">
        <v>35</v>
      </c>
      <c r="C1684" s="3" t="s">
        <v>47</v>
      </c>
      <c r="D1684" s="3" t="s">
        <v>63</v>
      </c>
      <c r="E1684" s="3" t="s">
        <v>2393</v>
      </c>
      <c r="F1684" s="3" t="s">
        <v>2394</v>
      </c>
      <c r="G1684" s="3" t="s">
        <v>2393</v>
      </c>
      <c r="H1684" s="138"/>
      <c r="I1684" s="3" t="s">
        <v>2374</v>
      </c>
      <c r="J1684" s="1" t="s">
        <v>3322</v>
      </c>
      <c r="K1684" s="1" t="s">
        <v>3269</v>
      </c>
      <c r="L1684" s="1" t="s">
        <v>35</v>
      </c>
      <c r="M1684" s="3" t="s">
        <v>2397</v>
      </c>
      <c r="O1684" s="1" t="s">
        <v>45</v>
      </c>
      <c r="P1684" s="1" t="s">
        <v>46</v>
      </c>
      <c r="Q1684" s="2">
        <v>5.5E-2</v>
      </c>
      <c r="R1684" s="138"/>
      <c r="T1684" s="4">
        <v>688786.96000000008</v>
      </c>
      <c r="U1684" s="4">
        <v>-403100</v>
      </c>
      <c r="V1684" s="4">
        <v>0</v>
      </c>
      <c r="W1684" s="13">
        <f t="shared" si="248"/>
        <v>285686.96000000008</v>
      </c>
      <c r="X1684" s="13">
        <f t="shared" si="249"/>
        <v>0</v>
      </c>
      <c r="Y1684" s="13">
        <f t="shared" si="251"/>
        <v>0</v>
      </c>
      <c r="Z1684" s="2">
        <v>0</v>
      </c>
      <c r="AA1684" s="4">
        <v>0</v>
      </c>
      <c r="AB1684" s="4">
        <f t="shared" si="252"/>
        <v>0</v>
      </c>
      <c r="AC1684" s="6">
        <f t="shared" si="253"/>
        <v>0</v>
      </c>
      <c r="AD1684" s="4">
        <v>0</v>
      </c>
      <c r="AE1684" s="2">
        <v>0.06</v>
      </c>
      <c r="AF1684" s="5">
        <f t="shared" si="254"/>
        <v>0</v>
      </c>
      <c r="AG1684" s="2">
        <v>0</v>
      </c>
      <c r="AH1684" s="4">
        <f t="shared" si="250"/>
        <v>0</v>
      </c>
      <c r="AJ1684" s="126" t="e">
        <v>#N/A</v>
      </c>
      <c r="AK1684" s="80">
        <f t="shared" si="255"/>
        <v>0</v>
      </c>
      <c r="AM1684" s="85"/>
    </row>
    <row r="1685" spans="1:39" hidden="1" x14ac:dyDescent="0.3">
      <c r="A1685" s="85" t="s">
        <v>34</v>
      </c>
      <c r="B1685" s="3" t="s">
        <v>35</v>
      </c>
      <c r="C1685" s="3" t="s">
        <v>47</v>
      </c>
      <c r="D1685" s="3" t="s">
        <v>63</v>
      </c>
      <c r="E1685" s="3" t="s">
        <v>2393</v>
      </c>
      <c r="F1685" s="3" t="s">
        <v>2398</v>
      </c>
      <c r="G1685" s="3" t="s">
        <v>2393</v>
      </c>
      <c r="H1685" s="138"/>
      <c r="I1685" s="3" t="s">
        <v>2374</v>
      </c>
      <c r="J1685" s="1" t="s">
        <v>3322</v>
      </c>
      <c r="K1685" s="1" t="s">
        <v>3269</v>
      </c>
      <c r="L1685" s="1" t="s">
        <v>35</v>
      </c>
      <c r="M1685" s="3" t="s">
        <v>2395</v>
      </c>
      <c r="O1685" s="1" t="s">
        <v>45</v>
      </c>
      <c r="P1685" s="1" t="s">
        <v>46</v>
      </c>
      <c r="Q1685" s="2">
        <v>5.5E-2</v>
      </c>
      <c r="R1685" s="138"/>
      <c r="T1685" s="4">
        <v>0</v>
      </c>
      <c r="U1685" s="4">
        <v>0</v>
      </c>
      <c r="V1685" s="4">
        <v>0</v>
      </c>
      <c r="W1685" s="13">
        <f t="shared" si="248"/>
        <v>0</v>
      </c>
      <c r="X1685" s="13">
        <f t="shared" si="249"/>
        <v>0</v>
      </c>
      <c r="Y1685" s="13">
        <f t="shared" si="251"/>
        <v>0</v>
      </c>
      <c r="Z1685" s="2">
        <v>0</v>
      </c>
      <c r="AA1685" s="4">
        <v>0</v>
      </c>
      <c r="AB1685" s="4">
        <f t="shared" si="252"/>
        <v>0</v>
      </c>
      <c r="AC1685" s="6">
        <f t="shared" si="253"/>
        <v>0</v>
      </c>
      <c r="AD1685" s="4">
        <v>0</v>
      </c>
      <c r="AE1685" s="2">
        <v>0.06</v>
      </c>
      <c r="AF1685" s="5">
        <f t="shared" si="254"/>
        <v>0</v>
      </c>
      <c r="AG1685" s="2">
        <v>0</v>
      </c>
      <c r="AH1685" s="4">
        <f t="shared" si="250"/>
        <v>0</v>
      </c>
      <c r="AJ1685" s="126" t="e">
        <v>#N/A</v>
      </c>
      <c r="AK1685" s="80">
        <f t="shared" si="255"/>
        <v>0</v>
      </c>
      <c r="AM1685" s="85"/>
    </row>
    <row r="1686" spans="1:39" hidden="1" x14ac:dyDescent="0.3">
      <c r="A1686" s="85" t="s">
        <v>34</v>
      </c>
      <c r="B1686" s="3" t="s">
        <v>35</v>
      </c>
      <c r="C1686" s="3" t="s">
        <v>47</v>
      </c>
      <c r="D1686" s="3" t="s">
        <v>63</v>
      </c>
      <c r="E1686" s="3" t="s">
        <v>2393</v>
      </c>
      <c r="F1686" s="3" t="s">
        <v>2398</v>
      </c>
      <c r="G1686" s="3" t="s">
        <v>2393</v>
      </c>
      <c r="I1686" s="3" t="s">
        <v>2374</v>
      </c>
      <c r="J1686" s="1" t="s">
        <v>3322</v>
      </c>
      <c r="K1686" s="1" t="s">
        <v>3269</v>
      </c>
      <c r="L1686" s="1" t="s">
        <v>35</v>
      </c>
      <c r="M1686" s="3" t="s">
        <v>2395</v>
      </c>
      <c r="O1686" s="1" t="s">
        <v>45</v>
      </c>
      <c r="P1686" s="1" t="s">
        <v>46</v>
      </c>
      <c r="Q1686" s="2">
        <v>5.5E-2</v>
      </c>
      <c r="R1686" s="138"/>
      <c r="S1686" s="3" t="s">
        <v>3751</v>
      </c>
      <c r="T1686" s="4">
        <f>2763504.5566+1068</f>
        <v>2764572.5565999998</v>
      </c>
      <c r="U1686" s="4">
        <v>8518599.9954000004</v>
      </c>
      <c r="V1686" s="4">
        <v>5844479.1500000004</v>
      </c>
      <c r="W1686" s="13">
        <f t="shared" si="248"/>
        <v>5438693.4020000007</v>
      </c>
      <c r="X1686" s="13">
        <f t="shared" si="249"/>
        <v>5241685.3363228701</v>
      </c>
      <c r="Y1686" s="13">
        <f t="shared" si="251"/>
        <v>5241685.3363228701</v>
      </c>
      <c r="Z1686" s="2">
        <v>0</v>
      </c>
      <c r="AA1686" s="4">
        <v>0</v>
      </c>
      <c r="AB1686" s="4">
        <f t="shared" si="252"/>
        <v>5241685.3363228701</v>
      </c>
      <c r="AC1686" s="6">
        <f t="shared" si="253"/>
        <v>602793.81367713027</v>
      </c>
      <c r="AD1686" s="4">
        <v>0</v>
      </c>
      <c r="AE1686" s="2">
        <v>0.06</v>
      </c>
      <c r="AF1686" s="5">
        <f t="shared" si="254"/>
        <v>0</v>
      </c>
      <c r="AG1686" s="2">
        <v>0.06</v>
      </c>
      <c r="AH1686" s="4">
        <f t="shared" si="250"/>
        <v>5513659.5754716983</v>
      </c>
      <c r="AJ1686" s="126" t="e">
        <v>#N/A</v>
      </c>
      <c r="AK1686" s="80">
        <f t="shared" si="255"/>
        <v>0</v>
      </c>
      <c r="AM1686" s="85"/>
    </row>
    <row r="1687" spans="1:39" hidden="1" x14ac:dyDescent="0.3">
      <c r="A1687" s="85" t="s">
        <v>34</v>
      </c>
      <c r="B1687" s="3" t="s">
        <v>35</v>
      </c>
      <c r="C1687" s="3" t="s">
        <v>47</v>
      </c>
      <c r="D1687" s="3" t="s">
        <v>63</v>
      </c>
      <c r="E1687" s="3" t="s">
        <v>2393</v>
      </c>
      <c r="F1687" s="3" t="s">
        <v>2398</v>
      </c>
      <c r="G1687" s="3" t="s">
        <v>2393</v>
      </c>
      <c r="I1687" s="3" t="s">
        <v>2374</v>
      </c>
      <c r="J1687" s="1" t="s">
        <v>3322</v>
      </c>
      <c r="K1687" s="1" t="s">
        <v>3269</v>
      </c>
      <c r="L1687" s="1" t="s">
        <v>35</v>
      </c>
      <c r="M1687" s="3" t="s">
        <v>2395</v>
      </c>
      <c r="O1687" s="1" t="s">
        <v>45</v>
      </c>
      <c r="P1687" s="1" t="s">
        <v>46</v>
      </c>
      <c r="Q1687" s="2">
        <v>5.5E-2</v>
      </c>
      <c r="R1687" s="138"/>
      <c r="T1687" s="4">
        <v>0</v>
      </c>
      <c r="U1687" s="4">
        <v>21276794.0088</v>
      </c>
      <c r="V1687" s="4">
        <v>8941348.6300000008</v>
      </c>
      <c r="W1687" s="13">
        <f t="shared" si="248"/>
        <v>12335445.378799999</v>
      </c>
      <c r="X1687" s="13">
        <f t="shared" si="249"/>
        <v>7068259.7865612656</v>
      </c>
      <c r="Y1687" s="13">
        <f t="shared" si="251"/>
        <v>7068259.7865612656</v>
      </c>
      <c r="Z1687" s="2">
        <v>0</v>
      </c>
      <c r="AA1687" s="4">
        <v>0</v>
      </c>
      <c r="AB1687" s="4">
        <f t="shared" si="252"/>
        <v>7068259.7865612656</v>
      </c>
      <c r="AC1687" s="6">
        <f t="shared" si="253"/>
        <v>1873088.8434387352</v>
      </c>
      <c r="AD1687" s="4">
        <v>0</v>
      </c>
      <c r="AE1687" s="2">
        <v>0.06</v>
      </c>
      <c r="AF1687" s="5">
        <f t="shared" si="254"/>
        <v>0</v>
      </c>
      <c r="AG1687" s="2">
        <v>0.21</v>
      </c>
      <c r="AH1687" s="4">
        <f t="shared" si="250"/>
        <v>7389544.32231405</v>
      </c>
      <c r="AJ1687" s="126" t="e">
        <v>#N/A</v>
      </c>
      <c r="AK1687" s="80">
        <f t="shared" si="255"/>
        <v>0</v>
      </c>
      <c r="AM1687" s="85"/>
    </row>
    <row r="1688" spans="1:39" hidden="1" x14ac:dyDescent="0.3">
      <c r="A1688" s="85" t="s">
        <v>34</v>
      </c>
      <c r="B1688" s="3" t="s">
        <v>35</v>
      </c>
      <c r="C1688" s="3" t="s">
        <v>47</v>
      </c>
      <c r="D1688" s="3" t="s">
        <v>63</v>
      </c>
      <c r="E1688" s="3" t="s">
        <v>2393</v>
      </c>
      <c r="F1688" s="3" t="s">
        <v>2398</v>
      </c>
      <c r="G1688" s="3" t="s">
        <v>2393</v>
      </c>
      <c r="I1688" s="3" t="s">
        <v>2374</v>
      </c>
      <c r="J1688" s="1" t="s">
        <v>3322</v>
      </c>
      <c r="K1688" s="1" t="s">
        <v>3269</v>
      </c>
      <c r="L1688" s="1" t="s">
        <v>35</v>
      </c>
      <c r="M1688" s="3" t="s">
        <v>2395</v>
      </c>
      <c r="O1688" s="1" t="s">
        <v>40</v>
      </c>
      <c r="P1688" s="1" t="s">
        <v>46</v>
      </c>
      <c r="Q1688" s="2">
        <v>5.5E-2</v>
      </c>
      <c r="R1688" s="138"/>
      <c r="T1688" s="4">
        <v>0</v>
      </c>
      <c r="U1688" s="4">
        <v>1528100.0004</v>
      </c>
      <c r="V1688" s="4">
        <v>401306.73</v>
      </c>
      <c r="W1688" s="13">
        <f t="shared" si="248"/>
        <v>1126793.2704</v>
      </c>
      <c r="X1688" s="13">
        <f t="shared" si="249"/>
        <v>309889.3667953668</v>
      </c>
      <c r="Y1688" s="13">
        <f t="shared" si="251"/>
        <v>309889.3667953668</v>
      </c>
      <c r="Z1688" s="2">
        <v>0</v>
      </c>
      <c r="AA1688" s="4">
        <v>0</v>
      </c>
      <c r="AB1688" s="4">
        <f t="shared" si="252"/>
        <v>309889.3667953668</v>
      </c>
      <c r="AC1688" s="6">
        <f t="shared" si="253"/>
        <v>91417.363204633177</v>
      </c>
      <c r="AD1688" s="4">
        <v>0</v>
      </c>
      <c r="AE1688" s="2">
        <v>7.0000000000000007E-2</v>
      </c>
      <c r="AF1688" s="5">
        <f t="shared" si="254"/>
        <v>0</v>
      </c>
      <c r="AG1688" s="2">
        <v>0.24</v>
      </c>
      <c r="AH1688" s="4">
        <f t="shared" si="250"/>
        <v>323634.45967741933</v>
      </c>
      <c r="AJ1688" s="126" t="e">
        <v>#N/A</v>
      </c>
      <c r="AK1688" s="80">
        <f t="shared" si="255"/>
        <v>0</v>
      </c>
      <c r="AM1688" s="85"/>
    </row>
    <row r="1689" spans="1:39" hidden="1" x14ac:dyDescent="0.3">
      <c r="A1689" s="85" t="s">
        <v>34</v>
      </c>
      <c r="B1689" s="3" t="s">
        <v>35</v>
      </c>
      <c r="C1689" s="3" t="s">
        <v>47</v>
      </c>
      <c r="D1689" s="3" t="s">
        <v>63</v>
      </c>
      <c r="E1689" s="3" t="s">
        <v>2393</v>
      </c>
      <c r="F1689" s="3" t="s">
        <v>2399</v>
      </c>
      <c r="G1689" s="3" t="s">
        <v>2393</v>
      </c>
      <c r="I1689" s="3" t="s">
        <v>2374</v>
      </c>
      <c r="J1689" s="1" t="s">
        <v>3322</v>
      </c>
      <c r="K1689" s="1" t="s">
        <v>3269</v>
      </c>
      <c r="L1689" s="1" t="s">
        <v>35</v>
      </c>
      <c r="M1689" s="3" t="s">
        <v>2400</v>
      </c>
      <c r="O1689" s="1" t="s">
        <v>45</v>
      </c>
      <c r="P1689" s="1" t="s">
        <v>46</v>
      </c>
      <c r="Q1689" s="2">
        <v>5.5E-2</v>
      </c>
      <c r="R1689" s="138"/>
      <c r="T1689" s="4">
        <v>69585.100000000006</v>
      </c>
      <c r="U1689" s="4">
        <v>47475</v>
      </c>
      <c r="V1689" s="4">
        <v>40425.53</v>
      </c>
      <c r="W1689" s="13">
        <f t="shared" si="248"/>
        <v>76634.570000000007</v>
      </c>
      <c r="X1689" s="13">
        <f t="shared" si="249"/>
        <v>38318.037914691944</v>
      </c>
      <c r="Y1689" s="13">
        <f t="shared" si="251"/>
        <v>0</v>
      </c>
      <c r="Z1689" s="2">
        <v>0</v>
      </c>
      <c r="AA1689" s="4">
        <v>0</v>
      </c>
      <c r="AB1689" s="4">
        <f t="shared" si="252"/>
        <v>38318.037914691944</v>
      </c>
      <c r="AC1689" s="6">
        <f t="shared" si="253"/>
        <v>2107.4920853080548</v>
      </c>
      <c r="AD1689" s="4">
        <v>40425.53</v>
      </c>
      <c r="AE1689" s="2">
        <v>0.06</v>
      </c>
      <c r="AF1689" s="5">
        <f t="shared" si="254"/>
        <v>2425.5317999999997</v>
      </c>
      <c r="AG1689" s="2">
        <v>0</v>
      </c>
      <c r="AH1689" s="4">
        <f t="shared" si="250"/>
        <v>40425.53</v>
      </c>
      <c r="AJ1689" s="126" t="e">
        <v>#N/A</v>
      </c>
      <c r="AK1689" s="80">
        <f t="shared" si="255"/>
        <v>0</v>
      </c>
      <c r="AM1689" s="85"/>
    </row>
    <row r="1690" spans="1:39" hidden="1" x14ac:dyDescent="0.3">
      <c r="A1690" s="85" t="s">
        <v>34</v>
      </c>
      <c r="B1690" s="3" t="s">
        <v>35</v>
      </c>
      <c r="C1690" s="3" t="s">
        <v>47</v>
      </c>
      <c r="D1690" s="3" t="s">
        <v>63</v>
      </c>
      <c r="E1690" s="3" t="s">
        <v>2393</v>
      </c>
      <c r="F1690" s="3" t="s">
        <v>2399</v>
      </c>
      <c r="G1690" s="3" t="s">
        <v>2393</v>
      </c>
      <c r="I1690" s="3" t="s">
        <v>2374</v>
      </c>
      <c r="J1690" s="1" t="s">
        <v>3322</v>
      </c>
      <c r="K1690" s="1" t="s">
        <v>3269</v>
      </c>
      <c r="L1690" s="1" t="s">
        <v>35</v>
      </c>
      <c r="M1690" s="3" t="s">
        <v>2401</v>
      </c>
      <c r="O1690" s="1" t="s">
        <v>45</v>
      </c>
      <c r="P1690" s="1" t="s">
        <v>46</v>
      </c>
      <c r="Q1690" s="2">
        <v>5.5E-2</v>
      </c>
      <c r="R1690" s="138"/>
      <c r="T1690" s="4">
        <v>-0.88999999998486601</v>
      </c>
      <c r="U1690" s="4">
        <v>29540</v>
      </c>
      <c r="V1690" s="4">
        <v>10548.989999999996</v>
      </c>
      <c r="W1690" s="13">
        <f t="shared" si="248"/>
        <v>18990.120000000017</v>
      </c>
      <c r="X1690" s="13">
        <f t="shared" si="249"/>
        <v>9999.0426540284334</v>
      </c>
      <c r="Y1690" s="13">
        <f t="shared" si="251"/>
        <v>0</v>
      </c>
      <c r="Z1690" s="2">
        <v>0</v>
      </c>
      <c r="AA1690" s="4">
        <v>0</v>
      </c>
      <c r="AB1690" s="4">
        <f t="shared" si="252"/>
        <v>9999.0426540284334</v>
      </c>
      <c r="AC1690" s="6">
        <f t="shared" si="253"/>
        <v>549.94734597156275</v>
      </c>
      <c r="AD1690" s="4">
        <v>10548.989999999996</v>
      </c>
      <c r="AE1690" s="2">
        <v>0.06</v>
      </c>
      <c r="AF1690" s="5">
        <f t="shared" si="254"/>
        <v>632.93939999999975</v>
      </c>
      <c r="AG1690" s="2">
        <v>0</v>
      </c>
      <c r="AH1690" s="4">
        <f t="shared" si="250"/>
        <v>10548.989999999996</v>
      </c>
      <c r="AJ1690" s="126" t="e">
        <v>#N/A</v>
      </c>
      <c r="AK1690" s="80">
        <f t="shared" si="255"/>
        <v>0</v>
      </c>
      <c r="AM1690" s="85"/>
    </row>
    <row r="1691" spans="1:39" hidden="1" x14ac:dyDescent="0.3">
      <c r="A1691" s="85" t="s">
        <v>34</v>
      </c>
      <c r="B1691" s="3" t="s">
        <v>35</v>
      </c>
      <c r="C1691" s="3" t="s">
        <v>47</v>
      </c>
      <c r="D1691" s="3" t="s">
        <v>63</v>
      </c>
      <c r="E1691" s="3" t="s">
        <v>2393</v>
      </c>
      <c r="F1691" s="3" t="s">
        <v>2399</v>
      </c>
      <c r="G1691" s="3" t="s">
        <v>2393</v>
      </c>
      <c r="H1691" s="138"/>
      <c r="I1691" s="3" t="s">
        <v>2374</v>
      </c>
      <c r="J1691" s="1" t="s">
        <v>3322</v>
      </c>
      <c r="K1691" s="1" t="s">
        <v>3269</v>
      </c>
      <c r="L1691" s="1" t="s">
        <v>35</v>
      </c>
      <c r="M1691" s="3" t="s">
        <v>2395</v>
      </c>
      <c r="O1691" s="1" t="s">
        <v>45</v>
      </c>
      <c r="P1691" s="1" t="s">
        <v>46</v>
      </c>
      <c r="Q1691" s="2">
        <v>5.5E-2</v>
      </c>
      <c r="R1691" s="138"/>
      <c r="T1691" s="4">
        <v>0</v>
      </c>
      <c r="U1691" s="4">
        <v>0</v>
      </c>
      <c r="V1691" s="4">
        <v>0</v>
      </c>
      <c r="W1691" s="13">
        <f t="shared" si="248"/>
        <v>0</v>
      </c>
      <c r="X1691" s="13">
        <f t="shared" si="249"/>
        <v>0</v>
      </c>
      <c r="Y1691" s="13">
        <f t="shared" si="251"/>
        <v>0</v>
      </c>
      <c r="Z1691" s="2">
        <v>0</v>
      </c>
      <c r="AA1691" s="4">
        <v>0</v>
      </c>
      <c r="AB1691" s="4">
        <f t="shared" si="252"/>
        <v>0</v>
      </c>
      <c r="AC1691" s="6">
        <f t="shared" si="253"/>
        <v>0</v>
      </c>
      <c r="AD1691" s="4">
        <v>0</v>
      </c>
      <c r="AE1691" s="2">
        <v>0.06</v>
      </c>
      <c r="AF1691" s="5">
        <f t="shared" si="254"/>
        <v>0</v>
      </c>
      <c r="AG1691" s="2">
        <v>0</v>
      </c>
      <c r="AH1691" s="4">
        <f t="shared" si="250"/>
        <v>0</v>
      </c>
      <c r="AJ1691" s="126" t="e">
        <v>#N/A</v>
      </c>
      <c r="AK1691" s="80">
        <f t="shared" si="255"/>
        <v>0</v>
      </c>
      <c r="AM1691" s="85"/>
    </row>
    <row r="1692" spans="1:39" hidden="1" x14ac:dyDescent="0.3">
      <c r="A1692" s="85" t="s">
        <v>34</v>
      </c>
      <c r="B1692" s="3" t="s">
        <v>35</v>
      </c>
      <c r="C1692" s="3" t="s">
        <v>47</v>
      </c>
      <c r="D1692" s="3" t="s">
        <v>63</v>
      </c>
      <c r="E1692" s="3" t="s">
        <v>2393</v>
      </c>
      <c r="F1692" s="3" t="s">
        <v>2399</v>
      </c>
      <c r="G1692" s="3" t="s">
        <v>2393</v>
      </c>
      <c r="I1692" s="3" t="s">
        <v>2374</v>
      </c>
      <c r="J1692" s="1" t="s">
        <v>3322</v>
      </c>
      <c r="K1692" s="1" t="s">
        <v>3269</v>
      </c>
      <c r="L1692" s="1" t="s">
        <v>35</v>
      </c>
      <c r="M1692" s="3" t="s">
        <v>2402</v>
      </c>
      <c r="O1692" s="1" t="s">
        <v>45</v>
      </c>
      <c r="P1692" s="1" t="s">
        <v>46</v>
      </c>
      <c r="Q1692" s="2">
        <v>5.5E-2</v>
      </c>
      <c r="R1692" s="138"/>
      <c r="T1692" s="4">
        <v>103390</v>
      </c>
      <c r="U1692" s="4">
        <v>236320</v>
      </c>
      <c r="V1692" s="4">
        <v>200523.28999999998</v>
      </c>
      <c r="W1692" s="13">
        <f t="shared" si="248"/>
        <v>139186.71000000002</v>
      </c>
      <c r="X1692" s="13">
        <f t="shared" si="249"/>
        <v>190069.46919431278</v>
      </c>
      <c r="Y1692" s="13">
        <f t="shared" si="251"/>
        <v>0</v>
      </c>
      <c r="Z1692" s="2">
        <v>0</v>
      </c>
      <c r="AA1692" s="4">
        <v>0</v>
      </c>
      <c r="AB1692" s="4">
        <f t="shared" si="252"/>
        <v>190069.46919431278</v>
      </c>
      <c r="AC1692" s="6">
        <f t="shared" si="253"/>
        <v>10453.820805687195</v>
      </c>
      <c r="AD1692" s="4">
        <v>303166.00000000017</v>
      </c>
      <c r="AE1692" s="2">
        <v>0.06</v>
      </c>
      <c r="AF1692" s="5">
        <f t="shared" si="254"/>
        <v>18189.96000000001</v>
      </c>
      <c r="AG1692" s="2">
        <v>0</v>
      </c>
      <c r="AH1692" s="4">
        <f t="shared" si="250"/>
        <v>200523.28999999998</v>
      </c>
      <c r="AJ1692" s="126" t="e">
        <v>#N/A</v>
      </c>
      <c r="AK1692" s="80">
        <f t="shared" si="255"/>
        <v>0</v>
      </c>
      <c r="AM1692" s="85"/>
    </row>
    <row r="1693" spans="1:39" hidden="1" x14ac:dyDescent="0.3">
      <c r="A1693" s="85" t="s">
        <v>34</v>
      </c>
      <c r="B1693" s="3" t="s">
        <v>35</v>
      </c>
      <c r="C1693" s="3" t="s">
        <v>47</v>
      </c>
      <c r="D1693" s="3" t="s">
        <v>63</v>
      </c>
      <c r="E1693" s="3" t="s">
        <v>2393</v>
      </c>
      <c r="F1693" s="3" t="s">
        <v>2403</v>
      </c>
      <c r="G1693" s="3" t="s">
        <v>2393</v>
      </c>
      <c r="I1693" s="3" t="s">
        <v>2374</v>
      </c>
      <c r="J1693" s="1" t="s">
        <v>3322</v>
      </c>
      <c r="K1693" s="1" t="s">
        <v>3269</v>
      </c>
      <c r="L1693" s="1" t="s">
        <v>35</v>
      </c>
      <c r="M1693" s="3" t="s">
        <v>2404</v>
      </c>
      <c r="O1693" s="1" t="s">
        <v>45</v>
      </c>
      <c r="P1693" s="1" t="s">
        <v>46</v>
      </c>
      <c r="Q1693" s="2">
        <v>5.5E-2</v>
      </c>
      <c r="R1693" s="138"/>
      <c r="T1693" s="4">
        <v>1518885.6682000004</v>
      </c>
      <c r="U1693" s="4">
        <v>947634.98640000029</v>
      </c>
      <c r="V1693" s="4">
        <v>1222058.8500000001</v>
      </c>
      <c r="W1693" s="13">
        <f>T1693+U1693-V1693</f>
        <v>1244461.8046000008</v>
      </c>
      <c r="X1693" s="13">
        <f t="shared" si="249"/>
        <v>1022643.3891213391</v>
      </c>
      <c r="Y1693" s="13">
        <f t="shared" si="251"/>
        <v>0</v>
      </c>
      <c r="Z1693" s="2">
        <v>0</v>
      </c>
      <c r="AA1693" s="4">
        <v>0</v>
      </c>
      <c r="AB1693" s="4">
        <f t="shared" si="252"/>
        <v>1022643.3891213391</v>
      </c>
      <c r="AC1693" s="6">
        <f t="shared" si="253"/>
        <v>199415.46087866102</v>
      </c>
      <c r="AD1693" s="4">
        <v>1699057.8699999999</v>
      </c>
      <c r="AE1693" s="2">
        <v>0.06</v>
      </c>
      <c r="AF1693" s="5">
        <f t="shared" si="254"/>
        <v>101943.47219999999</v>
      </c>
      <c r="AG1693" s="2">
        <v>0.14000000000000001</v>
      </c>
      <c r="AH1693" s="4">
        <f t="shared" si="250"/>
        <v>1071981.4473684211</v>
      </c>
      <c r="AJ1693" s="126" t="e">
        <v>#N/A</v>
      </c>
      <c r="AK1693" s="80">
        <f t="shared" si="255"/>
        <v>0</v>
      </c>
      <c r="AM1693" s="85"/>
    </row>
    <row r="1694" spans="1:39" hidden="1" x14ac:dyDescent="0.3">
      <c r="A1694" s="85" t="s">
        <v>34</v>
      </c>
      <c r="B1694" s="3" t="s">
        <v>35</v>
      </c>
      <c r="C1694" s="3" t="s">
        <v>47</v>
      </c>
      <c r="D1694" s="3" t="s">
        <v>63</v>
      </c>
      <c r="E1694" s="3" t="s">
        <v>2393</v>
      </c>
      <c r="F1694" s="3" t="s">
        <v>2403</v>
      </c>
      <c r="G1694" s="3" t="s">
        <v>2393</v>
      </c>
      <c r="I1694" s="3" t="s">
        <v>2374</v>
      </c>
      <c r="J1694" s="1" t="s">
        <v>3322</v>
      </c>
      <c r="K1694" s="1" t="s">
        <v>3269</v>
      </c>
      <c r="L1694" s="1" t="s">
        <v>35</v>
      </c>
      <c r="M1694" s="3" t="s">
        <v>2404</v>
      </c>
      <c r="O1694" s="1" t="s">
        <v>45</v>
      </c>
      <c r="P1694" s="1" t="s">
        <v>46</v>
      </c>
      <c r="Q1694" s="2">
        <v>5.5E-2</v>
      </c>
      <c r="R1694" s="138"/>
      <c r="T1694" s="4">
        <v>0</v>
      </c>
      <c r="U1694" s="4">
        <v>2262663.0011999998</v>
      </c>
      <c r="V1694" s="4">
        <v>746360.24</v>
      </c>
      <c r="W1694" s="13">
        <f t="shared" si="248"/>
        <v>1516302.7611999998</v>
      </c>
      <c r="X1694" s="13">
        <f t="shared" si="249"/>
        <v>599486.13654618477</v>
      </c>
      <c r="Y1694" s="13">
        <f t="shared" si="251"/>
        <v>599486.13654618477</v>
      </c>
      <c r="Z1694" s="2">
        <v>0</v>
      </c>
      <c r="AA1694" s="4">
        <v>0</v>
      </c>
      <c r="AB1694" s="4">
        <f t="shared" si="252"/>
        <v>599486.13654618477</v>
      </c>
      <c r="AC1694" s="6">
        <f t="shared" si="253"/>
        <v>146874.10345381522</v>
      </c>
      <c r="AD1694" s="4">
        <v>0</v>
      </c>
      <c r="AE1694" s="2">
        <v>0.06</v>
      </c>
      <c r="AF1694" s="5">
        <f t="shared" si="254"/>
        <v>0</v>
      </c>
      <c r="AG1694" s="2">
        <v>0.19</v>
      </c>
      <c r="AH1694" s="4">
        <f t="shared" si="250"/>
        <v>627193.47899159661</v>
      </c>
      <c r="AJ1694" s="126" t="e">
        <v>#N/A</v>
      </c>
      <c r="AK1694" s="80">
        <f t="shared" si="255"/>
        <v>0</v>
      </c>
      <c r="AM1694" s="85"/>
    </row>
    <row r="1695" spans="1:39" hidden="1" x14ac:dyDescent="0.3">
      <c r="A1695" s="85" t="s">
        <v>34</v>
      </c>
      <c r="B1695" s="3" t="s">
        <v>35</v>
      </c>
      <c r="C1695" s="3" t="s">
        <v>47</v>
      </c>
      <c r="D1695" s="3" t="s">
        <v>63</v>
      </c>
      <c r="E1695" s="3" t="s">
        <v>2393</v>
      </c>
      <c r="F1695" s="3" t="s">
        <v>2403</v>
      </c>
      <c r="G1695" s="3" t="s">
        <v>2393</v>
      </c>
      <c r="I1695" s="3" t="s">
        <v>2374</v>
      </c>
      <c r="J1695" s="1" t="s">
        <v>3322</v>
      </c>
      <c r="K1695" s="1" t="s">
        <v>3269</v>
      </c>
      <c r="L1695" s="1" t="s">
        <v>35</v>
      </c>
      <c r="M1695" s="3" t="s">
        <v>2404</v>
      </c>
      <c r="O1695" s="1" t="s">
        <v>40</v>
      </c>
      <c r="P1695" s="1" t="s">
        <v>46</v>
      </c>
      <c r="Q1695" s="2">
        <v>5.5E-2</v>
      </c>
      <c r="R1695" s="138"/>
      <c r="T1695" s="4">
        <v>1504261.2383999992</v>
      </c>
      <c r="U1695" s="4">
        <v>2589235.0091999997</v>
      </c>
      <c r="V1695" s="4">
        <v>2579865.36</v>
      </c>
      <c r="W1695" s="13">
        <f t="shared" si="248"/>
        <v>1513630.8875999991</v>
      </c>
      <c r="X1695" s="13">
        <f t="shared" si="249"/>
        <v>1961874.7984790874</v>
      </c>
      <c r="Y1695" s="13">
        <f t="shared" si="251"/>
        <v>0</v>
      </c>
      <c r="Z1695" s="2">
        <v>0</v>
      </c>
      <c r="AA1695" s="4">
        <v>0</v>
      </c>
      <c r="AB1695" s="4">
        <f t="shared" si="252"/>
        <v>1961874.7984790874</v>
      </c>
      <c r="AC1695" s="6">
        <f t="shared" si="253"/>
        <v>617990.56152091245</v>
      </c>
      <c r="AD1695" s="4">
        <v>3319326.98</v>
      </c>
      <c r="AE1695" s="2">
        <v>7.0000000000000007E-2</v>
      </c>
      <c r="AF1695" s="5">
        <f t="shared" si="254"/>
        <v>232352.88860000003</v>
      </c>
      <c r="AG1695" s="2">
        <v>0.26</v>
      </c>
      <c r="AH1695" s="4">
        <f t="shared" si="250"/>
        <v>2047512.1904761903</v>
      </c>
      <c r="AJ1695" s="126" t="e">
        <v>#N/A</v>
      </c>
      <c r="AK1695" s="80">
        <f t="shared" si="255"/>
        <v>0</v>
      </c>
      <c r="AM1695" s="85"/>
    </row>
    <row r="1696" spans="1:39" hidden="1" x14ac:dyDescent="0.3">
      <c r="A1696" s="85" t="s">
        <v>34</v>
      </c>
      <c r="B1696" s="3" t="s">
        <v>35</v>
      </c>
      <c r="C1696" s="3" t="s">
        <v>47</v>
      </c>
      <c r="D1696" s="3" t="s">
        <v>63</v>
      </c>
      <c r="E1696" s="3" t="s">
        <v>2393</v>
      </c>
      <c r="F1696" s="3" t="s">
        <v>2403</v>
      </c>
      <c r="G1696" s="3" t="s">
        <v>2393</v>
      </c>
      <c r="I1696" s="3" t="s">
        <v>2374</v>
      </c>
      <c r="J1696" s="1" t="s">
        <v>3322</v>
      </c>
      <c r="K1696" s="1" t="s">
        <v>3269</v>
      </c>
      <c r="L1696" s="1" t="s">
        <v>35</v>
      </c>
      <c r="M1696" s="3" t="s">
        <v>2404</v>
      </c>
      <c r="O1696" s="1" t="s">
        <v>40</v>
      </c>
      <c r="P1696" s="1" t="s">
        <v>46</v>
      </c>
      <c r="Q1696" s="2">
        <v>5.5E-2</v>
      </c>
      <c r="R1696" s="138"/>
      <c r="T1696" s="4">
        <v>0</v>
      </c>
      <c r="U1696" s="4">
        <v>4485600.0127999997</v>
      </c>
      <c r="V1696" s="4">
        <v>1628442.89</v>
      </c>
      <c r="W1696" s="13">
        <f t="shared" si="248"/>
        <v>2857157.1228</v>
      </c>
      <c r="X1696" s="13">
        <f t="shared" si="249"/>
        <v>1219807.4082397004</v>
      </c>
      <c r="Y1696" s="13">
        <f t="shared" si="251"/>
        <v>1219807.4082397004</v>
      </c>
      <c r="Z1696" s="2">
        <v>0</v>
      </c>
      <c r="AA1696" s="4">
        <v>0</v>
      </c>
      <c r="AB1696" s="4">
        <f t="shared" si="252"/>
        <v>1219807.4082397004</v>
      </c>
      <c r="AC1696" s="6">
        <f t="shared" si="253"/>
        <v>408635.48176029953</v>
      </c>
      <c r="AD1696" s="4">
        <v>0</v>
      </c>
      <c r="AE1696" s="2">
        <v>7.0000000000000007E-2</v>
      </c>
      <c r="AF1696" s="5">
        <f t="shared" si="254"/>
        <v>0</v>
      </c>
      <c r="AG1696" s="2">
        <v>0.28000000000000003</v>
      </c>
      <c r="AH1696" s="4">
        <f t="shared" si="250"/>
        <v>1272221.0078125</v>
      </c>
      <c r="AJ1696" s="126" t="e">
        <v>#N/A</v>
      </c>
      <c r="AK1696" s="80">
        <f t="shared" si="255"/>
        <v>0</v>
      </c>
      <c r="AM1696" s="85"/>
    </row>
    <row r="1697" spans="1:39" hidden="1" x14ac:dyDescent="0.3">
      <c r="A1697" s="85" t="s">
        <v>34</v>
      </c>
      <c r="B1697" s="3" t="s">
        <v>35</v>
      </c>
      <c r="C1697" s="3" t="s">
        <v>47</v>
      </c>
      <c r="D1697" s="3" t="s">
        <v>63</v>
      </c>
      <c r="E1697" s="3" t="s">
        <v>2393</v>
      </c>
      <c r="F1697" s="3" t="s">
        <v>2405</v>
      </c>
      <c r="G1697" s="3" t="s">
        <v>2393</v>
      </c>
      <c r="I1697" s="3" t="s">
        <v>2374</v>
      </c>
      <c r="J1697" s="1" t="s">
        <v>3322</v>
      </c>
      <c r="K1697" s="1" t="s">
        <v>3269</v>
      </c>
      <c r="L1697" s="1" t="s">
        <v>35</v>
      </c>
      <c r="M1697" s="3" t="s">
        <v>2406</v>
      </c>
      <c r="O1697" s="1" t="s">
        <v>45</v>
      </c>
      <c r="P1697" s="1" t="s">
        <v>46</v>
      </c>
      <c r="Q1697" s="2">
        <v>5.5E-2</v>
      </c>
      <c r="R1697" s="138"/>
      <c r="T1697" s="4">
        <v>28081.199999999953</v>
      </c>
      <c r="U1697" s="4">
        <v>52750</v>
      </c>
      <c r="V1697" s="4">
        <v>59750.60000000002</v>
      </c>
      <c r="W1697" s="13">
        <f t="shared" si="248"/>
        <v>21080.599999999933</v>
      </c>
      <c r="X1697" s="13">
        <f t="shared" si="249"/>
        <v>56635.639810426561</v>
      </c>
      <c r="Y1697" s="13">
        <f t="shared" si="251"/>
        <v>0</v>
      </c>
      <c r="Z1697" s="2">
        <v>0</v>
      </c>
      <c r="AA1697" s="4">
        <v>0</v>
      </c>
      <c r="AB1697" s="4">
        <f t="shared" si="252"/>
        <v>56635.639810426561</v>
      </c>
      <c r="AC1697" s="6">
        <f t="shared" si="253"/>
        <v>3114.9601895734595</v>
      </c>
      <c r="AD1697" s="4">
        <v>59750.60000000002</v>
      </c>
      <c r="AE1697" s="2">
        <v>0.06</v>
      </c>
      <c r="AF1697" s="5">
        <f t="shared" si="254"/>
        <v>3585.036000000001</v>
      </c>
      <c r="AG1697" s="2">
        <v>0</v>
      </c>
      <c r="AH1697" s="4">
        <f t="shared" si="250"/>
        <v>59750.60000000002</v>
      </c>
      <c r="AJ1697" s="126" t="e">
        <v>#N/A</v>
      </c>
      <c r="AK1697" s="80">
        <f t="shared" si="255"/>
        <v>0</v>
      </c>
      <c r="AM1697" s="85"/>
    </row>
    <row r="1698" spans="1:39" hidden="1" x14ac:dyDescent="0.3">
      <c r="A1698" s="85" t="s">
        <v>34</v>
      </c>
      <c r="B1698" s="3" t="s">
        <v>35</v>
      </c>
      <c r="C1698" s="3" t="s">
        <v>47</v>
      </c>
      <c r="D1698" s="3" t="s">
        <v>63</v>
      </c>
      <c r="E1698" s="3" t="s">
        <v>2393</v>
      </c>
      <c r="F1698" s="3" t="s">
        <v>2407</v>
      </c>
      <c r="G1698" s="3" t="s">
        <v>2393</v>
      </c>
      <c r="I1698" s="3" t="s">
        <v>2374</v>
      </c>
      <c r="J1698" s="1" t="s">
        <v>3322</v>
      </c>
      <c r="K1698" s="1" t="s">
        <v>3269</v>
      </c>
      <c r="L1698" s="1" t="s">
        <v>35</v>
      </c>
      <c r="M1698" s="3" t="s">
        <v>2408</v>
      </c>
      <c r="O1698" s="1" t="s">
        <v>45</v>
      </c>
      <c r="P1698" s="1" t="s">
        <v>46</v>
      </c>
      <c r="Q1698" s="2">
        <v>5.5E-2</v>
      </c>
      <c r="R1698" s="138"/>
      <c r="T1698" s="4">
        <v>1603376.6044000001</v>
      </c>
      <c r="U1698" s="4">
        <v>174300.00209999998</v>
      </c>
      <c r="V1698" s="4">
        <v>772498.30999999994</v>
      </c>
      <c r="W1698" s="13">
        <f t="shared" si="248"/>
        <v>1005178.2965000001</v>
      </c>
      <c r="X1698" s="13">
        <f t="shared" si="249"/>
        <v>620480.57028112456</v>
      </c>
      <c r="Y1698" s="13">
        <f t="shared" si="251"/>
        <v>0</v>
      </c>
      <c r="Z1698" s="2">
        <v>0</v>
      </c>
      <c r="AA1698" s="4">
        <v>0</v>
      </c>
      <c r="AB1698" s="4">
        <f t="shared" si="252"/>
        <v>620480.57028112456</v>
      </c>
      <c r="AC1698" s="6">
        <f t="shared" si="253"/>
        <v>152017.73971887538</v>
      </c>
      <c r="AD1698" s="4">
        <v>649159.68999999994</v>
      </c>
      <c r="AE1698" s="2">
        <v>0.06</v>
      </c>
      <c r="AF1698" s="5">
        <f t="shared" si="254"/>
        <v>38949.581399999995</v>
      </c>
      <c r="AG1698" s="2">
        <v>0.19</v>
      </c>
      <c r="AH1698" s="4">
        <f t="shared" si="250"/>
        <v>649158.24369747902</v>
      </c>
      <c r="AJ1698" s="126" t="e">
        <v>#N/A</v>
      </c>
      <c r="AK1698" s="80">
        <f t="shared" si="255"/>
        <v>0</v>
      </c>
      <c r="AM1698" s="85"/>
    </row>
    <row r="1699" spans="1:39" hidden="1" x14ac:dyDescent="0.3">
      <c r="A1699" s="85" t="s">
        <v>34</v>
      </c>
      <c r="B1699" s="3" t="s">
        <v>35</v>
      </c>
      <c r="C1699" s="3" t="s">
        <v>47</v>
      </c>
      <c r="D1699" s="3" t="s">
        <v>63</v>
      </c>
      <c r="E1699" s="3" t="s">
        <v>2409</v>
      </c>
      <c r="F1699" s="3" t="s">
        <v>2410</v>
      </c>
      <c r="G1699" s="3" t="s">
        <v>2409</v>
      </c>
      <c r="I1699" s="3" t="s">
        <v>2374</v>
      </c>
      <c r="J1699" s="1" t="s">
        <v>3322</v>
      </c>
      <c r="K1699" s="1" t="s">
        <v>3269</v>
      </c>
      <c r="L1699" s="1" t="s">
        <v>35</v>
      </c>
      <c r="M1699" s="3" t="s">
        <v>2411</v>
      </c>
      <c r="O1699" s="1" t="s">
        <v>45</v>
      </c>
      <c r="P1699" s="1" t="s">
        <v>46</v>
      </c>
      <c r="Q1699" s="2">
        <v>5.5E-2</v>
      </c>
      <c r="R1699" s="138"/>
      <c r="T1699" s="4">
        <v>-0.42999999996027327</v>
      </c>
      <c r="U1699" s="4">
        <v>0</v>
      </c>
      <c r="V1699" s="4">
        <v>2.06</v>
      </c>
      <c r="W1699" s="13">
        <f t="shared" si="248"/>
        <v>-2.4899999999602733</v>
      </c>
      <c r="X1699" s="13">
        <f t="shared" si="249"/>
        <v>1.9526066350710902</v>
      </c>
      <c r="Y1699" s="13">
        <f t="shared" si="251"/>
        <v>0</v>
      </c>
      <c r="Z1699" s="2">
        <v>0</v>
      </c>
      <c r="AA1699" s="4">
        <v>0</v>
      </c>
      <c r="AB1699" s="4">
        <f t="shared" si="252"/>
        <v>1.9526066350710902</v>
      </c>
      <c r="AC1699" s="6">
        <f t="shared" si="253"/>
        <v>0.10739336492890983</v>
      </c>
      <c r="AD1699" s="4">
        <v>7978494.1499999994</v>
      </c>
      <c r="AE1699" s="2">
        <v>0.06</v>
      </c>
      <c r="AF1699" s="5">
        <f t="shared" si="254"/>
        <v>478709.64899999998</v>
      </c>
      <c r="AG1699" s="2">
        <v>0</v>
      </c>
      <c r="AH1699" s="4">
        <f t="shared" si="250"/>
        <v>2.06</v>
      </c>
      <c r="AJ1699" s="126" t="e">
        <v>#N/A</v>
      </c>
      <c r="AK1699" s="80">
        <f t="shared" si="255"/>
        <v>0</v>
      </c>
      <c r="AM1699" s="85"/>
    </row>
    <row r="1700" spans="1:39" hidden="1" x14ac:dyDescent="0.3">
      <c r="A1700" s="85" t="s">
        <v>34</v>
      </c>
      <c r="B1700" s="3" t="s">
        <v>35</v>
      </c>
      <c r="C1700" s="3" t="s">
        <v>47</v>
      </c>
      <c r="D1700" s="3" t="s">
        <v>63</v>
      </c>
      <c r="E1700" s="3" t="s">
        <v>2409</v>
      </c>
      <c r="F1700" s="3" t="s">
        <v>2412</v>
      </c>
      <c r="G1700" s="3" t="s">
        <v>2409</v>
      </c>
      <c r="I1700" s="3" t="s">
        <v>2374</v>
      </c>
      <c r="J1700" s="1" t="s">
        <v>3322</v>
      </c>
      <c r="K1700" s="1" t="s">
        <v>3269</v>
      </c>
      <c r="L1700" s="1" t="s">
        <v>35</v>
      </c>
      <c r="M1700" s="3" t="s">
        <v>2413</v>
      </c>
      <c r="O1700" s="1" t="s">
        <v>45</v>
      </c>
      <c r="P1700" s="1" t="s">
        <v>46</v>
      </c>
      <c r="Q1700" s="2">
        <v>5.5E-2</v>
      </c>
      <c r="R1700" s="138"/>
      <c r="T1700" s="4">
        <v>113940.00000000026</v>
      </c>
      <c r="U1700" s="4">
        <v>308482</v>
      </c>
      <c r="V1700" s="4">
        <v>315846.40000000026</v>
      </c>
      <c r="W1700" s="13">
        <f t="shared" si="248"/>
        <v>106575.59999999998</v>
      </c>
      <c r="X1700" s="13">
        <f t="shared" si="249"/>
        <v>299380.47393364954</v>
      </c>
      <c r="Y1700" s="13">
        <f t="shared" si="251"/>
        <v>0</v>
      </c>
      <c r="Z1700" s="2">
        <v>0</v>
      </c>
      <c r="AA1700" s="4">
        <v>0</v>
      </c>
      <c r="AB1700" s="4">
        <f t="shared" si="252"/>
        <v>299380.47393364954</v>
      </c>
      <c r="AC1700" s="6">
        <f t="shared" si="253"/>
        <v>16465.926066350716</v>
      </c>
      <c r="AD1700" s="4">
        <v>396773.35999999987</v>
      </c>
      <c r="AE1700" s="2">
        <v>0.06</v>
      </c>
      <c r="AF1700" s="5">
        <f t="shared" si="254"/>
        <v>23806.40159999999</v>
      </c>
      <c r="AG1700" s="2">
        <v>0</v>
      </c>
      <c r="AH1700" s="4">
        <f t="shared" si="250"/>
        <v>315846.40000000026</v>
      </c>
      <c r="AJ1700" s="126" t="e">
        <v>#N/A</v>
      </c>
      <c r="AK1700" s="80">
        <f t="shared" si="255"/>
        <v>0</v>
      </c>
      <c r="AM1700" s="85"/>
    </row>
    <row r="1701" spans="1:39" hidden="1" x14ac:dyDescent="0.3">
      <c r="A1701" s="85" t="s">
        <v>34</v>
      </c>
      <c r="B1701" s="3" t="s">
        <v>35</v>
      </c>
      <c r="C1701" s="3" t="s">
        <v>47</v>
      </c>
      <c r="D1701" s="3" t="s">
        <v>63</v>
      </c>
      <c r="E1701" s="3" t="s">
        <v>2409</v>
      </c>
      <c r="F1701" s="3" t="s">
        <v>2412</v>
      </c>
      <c r="G1701" s="3" t="s">
        <v>2409</v>
      </c>
      <c r="H1701" s="138"/>
      <c r="I1701" s="3" t="s">
        <v>2374</v>
      </c>
      <c r="J1701" s="1" t="s">
        <v>3322</v>
      </c>
      <c r="K1701" s="1" t="s">
        <v>3269</v>
      </c>
      <c r="L1701" s="1" t="s">
        <v>35</v>
      </c>
      <c r="M1701" s="3" t="s">
        <v>2411</v>
      </c>
      <c r="O1701" s="1" t="s">
        <v>45</v>
      </c>
      <c r="P1701" s="1" t="s">
        <v>46</v>
      </c>
      <c r="Q1701" s="2">
        <v>5.5E-2</v>
      </c>
      <c r="R1701" s="138"/>
      <c r="T1701" s="4">
        <v>0</v>
      </c>
      <c r="U1701" s="4">
        <v>0</v>
      </c>
      <c r="V1701" s="4">
        <v>0</v>
      </c>
      <c r="W1701" s="13">
        <f t="shared" si="248"/>
        <v>0</v>
      </c>
      <c r="X1701" s="13">
        <f t="shared" si="249"/>
        <v>0</v>
      </c>
      <c r="Y1701" s="13">
        <f t="shared" si="251"/>
        <v>0</v>
      </c>
      <c r="Z1701" s="2">
        <v>0</v>
      </c>
      <c r="AA1701" s="4">
        <v>0</v>
      </c>
      <c r="AB1701" s="4">
        <f t="shared" si="252"/>
        <v>0</v>
      </c>
      <c r="AC1701" s="6">
        <f t="shared" si="253"/>
        <v>0</v>
      </c>
      <c r="AD1701" s="4">
        <v>0</v>
      </c>
      <c r="AE1701" s="2">
        <v>0.06</v>
      </c>
      <c r="AF1701" s="5">
        <f t="shared" si="254"/>
        <v>0</v>
      </c>
      <c r="AG1701" s="2">
        <v>0</v>
      </c>
      <c r="AH1701" s="4">
        <f t="shared" si="250"/>
        <v>0</v>
      </c>
      <c r="AJ1701" s="126" t="e">
        <v>#N/A</v>
      </c>
      <c r="AK1701" s="80">
        <f t="shared" si="255"/>
        <v>0</v>
      </c>
      <c r="AM1701" s="85"/>
    </row>
    <row r="1702" spans="1:39" hidden="1" x14ac:dyDescent="0.3">
      <c r="A1702" s="85" t="s">
        <v>34</v>
      </c>
      <c r="B1702" s="3" t="s">
        <v>35</v>
      </c>
      <c r="C1702" s="3" t="s">
        <v>47</v>
      </c>
      <c r="D1702" s="3" t="s">
        <v>63</v>
      </c>
      <c r="E1702" s="3" t="s">
        <v>3746</v>
      </c>
      <c r="F1702" s="3" t="s">
        <v>2410</v>
      </c>
      <c r="G1702" s="3" t="s">
        <v>2409</v>
      </c>
      <c r="I1702" s="3" t="s">
        <v>2374</v>
      </c>
      <c r="J1702" s="1" t="s">
        <v>3322</v>
      </c>
      <c r="K1702" s="1" t="s">
        <v>3269</v>
      </c>
      <c r="L1702" s="1" t="s">
        <v>35</v>
      </c>
      <c r="M1702" s="3" t="s">
        <v>2411</v>
      </c>
      <c r="O1702" s="1" t="s">
        <v>40</v>
      </c>
      <c r="P1702" s="1" t="s">
        <v>46</v>
      </c>
      <c r="Q1702" s="2">
        <v>5.5E-2</v>
      </c>
      <c r="R1702" s="138"/>
      <c r="T1702" s="4">
        <v>15159.460000000006</v>
      </c>
      <c r="U1702" s="4">
        <v>0</v>
      </c>
      <c r="V1702" s="4">
        <v>15159.460000000006</v>
      </c>
      <c r="W1702" s="13">
        <f t="shared" si="248"/>
        <v>0</v>
      </c>
      <c r="X1702" s="13">
        <f t="shared" si="249"/>
        <v>14369.156398104273</v>
      </c>
      <c r="Y1702" s="13">
        <f t="shared" si="251"/>
        <v>0</v>
      </c>
      <c r="Z1702" s="2">
        <v>0</v>
      </c>
      <c r="AA1702" s="4">
        <v>0</v>
      </c>
      <c r="AB1702" s="4">
        <f t="shared" si="252"/>
        <v>14369.156398104273</v>
      </c>
      <c r="AC1702" s="6">
        <f t="shared" si="253"/>
        <v>790.30360189573366</v>
      </c>
      <c r="AD1702" s="4">
        <v>56089.13</v>
      </c>
      <c r="AE1702" s="2">
        <v>7.0000000000000007E-2</v>
      </c>
      <c r="AF1702" s="5">
        <f t="shared" si="254"/>
        <v>3926.2391000000002</v>
      </c>
      <c r="AG1702" s="2">
        <v>0</v>
      </c>
      <c r="AH1702" s="4">
        <f t="shared" si="250"/>
        <v>15159.460000000006</v>
      </c>
      <c r="AJ1702" s="126" t="e">
        <v>#N/A</v>
      </c>
      <c r="AK1702" s="80">
        <f t="shared" si="255"/>
        <v>0</v>
      </c>
      <c r="AM1702" s="85"/>
    </row>
    <row r="1703" spans="1:39" hidden="1" x14ac:dyDescent="0.3">
      <c r="A1703" s="85" t="s">
        <v>34</v>
      </c>
      <c r="B1703" s="3" t="s">
        <v>35</v>
      </c>
      <c r="C1703" s="3" t="s">
        <v>47</v>
      </c>
      <c r="D1703" s="3" t="s">
        <v>63</v>
      </c>
      <c r="E1703" s="3" t="s">
        <v>2409</v>
      </c>
      <c r="F1703" s="3" t="s">
        <v>2412</v>
      </c>
      <c r="G1703" s="3" t="s">
        <v>2409</v>
      </c>
      <c r="I1703" s="3" t="s">
        <v>2374</v>
      </c>
      <c r="J1703" s="1" t="s">
        <v>3322</v>
      </c>
      <c r="K1703" s="1" t="s">
        <v>3269</v>
      </c>
      <c r="L1703" s="1" t="s">
        <v>35</v>
      </c>
      <c r="M1703" s="3" t="s">
        <v>2409</v>
      </c>
      <c r="O1703" s="1" t="s">
        <v>45</v>
      </c>
      <c r="P1703" s="1" t="s">
        <v>46</v>
      </c>
      <c r="Q1703" s="2">
        <v>5.5E-2</v>
      </c>
      <c r="R1703" s="138"/>
      <c r="T1703" s="4">
        <v>0</v>
      </c>
      <c r="U1703" s="4">
        <v>44310</v>
      </c>
      <c r="V1703" s="4">
        <v>23558.499999999996</v>
      </c>
      <c r="W1703" s="13">
        <f t="shared" si="248"/>
        <v>20751.500000000004</v>
      </c>
      <c r="X1703" s="13">
        <f t="shared" si="249"/>
        <v>22330.331753554499</v>
      </c>
      <c r="Y1703" s="13">
        <f t="shared" si="251"/>
        <v>0</v>
      </c>
      <c r="Z1703" s="2">
        <v>0</v>
      </c>
      <c r="AA1703" s="4">
        <v>0</v>
      </c>
      <c r="AB1703" s="4">
        <f t="shared" si="252"/>
        <v>22330.331753554499</v>
      </c>
      <c r="AC1703" s="6">
        <f t="shared" si="253"/>
        <v>1228.1682464454971</v>
      </c>
      <c r="AD1703" s="4">
        <v>23558.499999999996</v>
      </c>
      <c r="AE1703" s="2">
        <v>0.06</v>
      </c>
      <c r="AF1703" s="5">
        <f t="shared" si="254"/>
        <v>1413.5099999999998</v>
      </c>
      <c r="AG1703" s="2">
        <v>0</v>
      </c>
      <c r="AH1703" s="4">
        <f t="shared" si="250"/>
        <v>23558.499999999996</v>
      </c>
      <c r="AJ1703" s="126" t="e">
        <v>#N/A</v>
      </c>
      <c r="AK1703" s="80">
        <f t="shared" si="255"/>
        <v>0</v>
      </c>
      <c r="AM1703" s="85"/>
    </row>
    <row r="1704" spans="1:39" hidden="1" x14ac:dyDescent="0.3">
      <c r="A1704" s="85" t="s">
        <v>34</v>
      </c>
      <c r="B1704" s="3" t="s">
        <v>35</v>
      </c>
      <c r="C1704" s="3" t="s">
        <v>47</v>
      </c>
      <c r="D1704" s="3" t="s">
        <v>63</v>
      </c>
      <c r="E1704" s="3" t="s">
        <v>2409</v>
      </c>
      <c r="F1704" s="3" t="s">
        <v>2410</v>
      </c>
      <c r="G1704" s="3" t="s">
        <v>2409</v>
      </c>
      <c r="I1704" s="3" t="s">
        <v>2374</v>
      </c>
      <c r="J1704" s="1" t="s">
        <v>3322</v>
      </c>
      <c r="K1704" s="1" t="s">
        <v>3269</v>
      </c>
      <c r="L1704" s="1" t="s">
        <v>35</v>
      </c>
      <c r="M1704" s="3" t="s">
        <v>2414</v>
      </c>
      <c r="O1704" s="1" t="s">
        <v>45</v>
      </c>
      <c r="P1704" s="1" t="s">
        <v>46</v>
      </c>
      <c r="Q1704" s="2">
        <v>5.5E-2</v>
      </c>
      <c r="R1704" s="138"/>
      <c r="T1704" s="4">
        <v>9062.1999999999953</v>
      </c>
      <c r="U1704" s="4">
        <v>0</v>
      </c>
      <c r="V1704" s="4">
        <v>9062.1999999999953</v>
      </c>
      <c r="W1704" s="13">
        <f t="shared" si="248"/>
        <v>0</v>
      </c>
      <c r="X1704" s="13">
        <f t="shared" si="249"/>
        <v>8589.7630331753517</v>
      </c>
      <c r="Y1704" s="13">
        <f t="shared" si="251"/>
        <v>0</v>
      </c>
      <c r="Z1704" s="2">
        <v>0</v>
      </c>
      <c r="AA1704" s="4">
        <v>0</v>
      </c>
      <c r="AB1704" s="4">
        <f t="shared" si="252"/>
        <v>8589.7630331753517</v>
      </c>
      <c r="AC1704" s="6">
        <f t="shared" si="253"/>
        <v>472.4369668246436</v>
      </c>
      <c r="AD1704" s="4">
        <v>24707.52</v>
      </c>
      <c r="AE1704" s="2">
        <v>0.06</v>
      </c>
      <c r="AF1704" s="5">
        <f t="shared" si="254"/>
        <v>1482.4512</v>
      </c>
      <c r="AG1704" s="2">
        <v>0</v>
      </c>
      <c r="AH1704" s="4">
        <f t="shared" si="250"/>
        <v>9062.1999999999953</v>
      </c>
      <c r="AJ1704" s="126" t="e">
        <v>#N/A</v>
      </c>
      <c r="AK1704" s="80">
        <f t="shared" si="255"/>
        <v>0</v>
      </c>
      <c r="AM1704" s="85"/>
    </row>
    <row r="1705" spans="1:39" hidden="1" x14ac:dyDescent="0.3">
      <c r="A1705" s="85" t="s">
        <v>34</v>
      </c>
      <c r="B1705" s="3" t="s">
        <v>35</v>
      </c>
      <c r="C1705" s="3" t="s">
        <v>47</v>
      </c>
      <c r="D1705" s="3" t="s">
        <v>63</v>
      </c>
      <c r="E1705" s="3" t="s">
        <v>2409</v>
      </c>
      <c r="F1705" s="3" t="s">
        <v>2415</v>
      </c>
      <c r="G1705" s="3" t="s">
        <v>2409</v>
      </c>
      <c r="H1705" s="138"/>
      <c r="I1705" s="3" t="s">
        <v>2374</v>
      </c>
      <c r="J1705" s="1" t="s">
        <v>3322</v>
      </c>
      <c r="K1705" s="1" t="s">
        <v>3269</v>
      </c>
      <c r="L1705" s="1" t="s">
        <v>35</v>
      </c>
      <c r="M1705" s="3" t="s">
        <v>2411</v>
      </c>
      <c r="O1705" s="1" t="s">
        <v>45</v>
      </c>
      <c r="P1705" s="1" t="s">
        <v>46</v>
      </c>
      <c r="Q1705" s="2">
        <v>5.5E-2</v>
      </c>
      <c r="R1705" s="138"/>
      <c r="T1705" s="4">
        <v>0</v>
      </c>
      <c r="U1705" s="4">
        <v>0</v>
      </c>
      <c r="V1705" s="4">
        <v>0</v>
      </c>
      <c r="W1705" s="13">
        <f t="shared" si="248"/>
        <v>0</v>
      </c>
      <c r="X1705" s="13">
        <f t="shared" si="249"/>
        <v>0</v>
      </c>
      <c r="Y1705" s="13">
        <f t="shared" si="251"/>
        <v>0</v>
      </c>
      <c r="Z1705" s="2">
        <v>0</v>
      </c>
      <c r="AA1705" s="4">
        <v>0</v>
      </c>
      <c r="AB1705" s="4">
        <f t="shared" si="252"/>
        <v>0</v>
      </c>
      <c r="AC1705" s="6">
        <f t="shared" si="253"/>
        <v>0</v>
      </c>
      <c r="AD1705" s="4">
        <v>0</v>
      </c>
      <c r="AE1705" s="2">
        <v>0.06</v>
      </c>
      <c r="AF1705" s="5">
        <f t="shared" si="254"/>
        <v>0</v>
      </c>
      <c r="AG1705" s="2">
        <v>0</v>
      </c>
      <c r="AH1705" s="4">
        <f t="shared" si="250"/>
        <v>0</v>
      </c>
      <c r="AJ1705" s="126" t="e">
        <v>#N/A</v>
      </c>
      <c r="AK1705" s="80">
        <f t="shared" si="255"/>
        <v>0</v>
      </c>
      <c r="AM1705" s="85"/>
    </row>
    <row r="1706" spans="1:39" hidden="1" x14ac:dyDescent="0.3">
      <c r="A1706" s="85" t="s">
        <v>34</v>
      </c>
      <c r="B1706" s="3" t="s">
        <v>35</v>
      </c>
      <c r="C1706" s="3" t="s">
        <v>47</v>
      </c>
      <c r="D1706" s="3" t="s">
        <v>63</v>
      </c>
      <c r="E1706" s="3" t="s">
        <v>2409</v>
      </c>
      <c r="F1706" s="3" t="s">
        <v>2415</v>
      </c>
      <c r="G1706" s="3" t="s">
        <v>2409</v>
      </c>
      <c r="I1706" s="3" t="s">
        <v>2374</v>
      </c>
      <c r="J1706" s="1" t="s">
        <v>3322</v>
      </c>
      <c r="K1706" s="1" t="s">
        <v>3269</v>
      </c>
      <c r="L1706" s="1" t="s">
        <v>35</v>
      </c>
      <c r="M1706" s="3" t="s">
        <v>2411</v>
      </c>
      <c r="O1706" s="1" t="s">
        <v>45</v>
      </c>
      <c r="P1706" s="1" t="s">
        <v>46</v>
      </c>
      <c r="Q1706" s="2">
        <v>5.5E-2</v>
      </c>
      <c r="R1706" s="138"/>
      <c r="T1706" s="4">
        <v>13003300.0044</v>
      </c>
      <c r="U1706" s="4">
        <v>-5643450.0063999994</v>
      </c>
      <c r="V1706" s="4">
        <v>5632311.9100000011</v>
      </c>
      <c r="W1706" s="13">
        <f t="shared" si="248"/>
        <v>1727538.0879999995</v>
      </c>
      <c r="X1706" s="13">
        <f t="shared" si="249"/>
        <v>5051400.8161434988</v>
      </c>
      <c r="Y1706" s="13">
        <f t="shared" si="251"/>
        <v>5051400.8161434988</v>
      </c>
      <c r="Z1706" s="2">
        <v>0</v>
      </c>
      <c r="AA1706" s="4">
        <v>0</v>
      </c>
      <c r="AB1706" s="4">
        <f t="shared" si="252"/>
        <v>5051400.8161434988</v>
      </c>
      <c r="AC1706" s="6">
        <f t="shared" si="253"/>
        <v>580911.09385650232</v>
      </c>
      <c r="AD1706" s="4">
        <v>0</v>
      </c>
      <c r="AE1706" s="2">
        <v>0.06</v>
      </c>
      <c r="AF1706" s="5">
        <f t="shared" si="254"/>
        <v>0</v>
      </c>
      <c r="AG1706" s="2">
        <v>0.06</v>
      </c>
      <c r="AH1706" s="4">
        <f t="shared" si="250"/>
        <v>5313501.8018867932</v>
      </c>
      <c r="AJ1706" s="126" t="e">
        <v>#N/A</v>
      </c>
      <c r="AK1706" s="80">
        <f t="shared" si="255"/>
        <v>0</v>
      </c>
      <c r="AM1706" s="85"/>
    </row>
    <row r="1707" spans="1:39" hidden="1" x14ac:dyDescent="0.3">
      <c r="A1707" s="85" t="s">
        <v>34</v>
      </c>
      <c r="B1707" s="3" t="s">
        <v>35</v>
      </c>
      <c r="C1707" s="3" t="s">
        <v>47</v>
      </c>
      <c r="D1707" s="3" t="s">
        <v>63</v>
      </c>
      <c r="E1707" s="3" t="s">
        <v>2409</v>
      </c>
      <c r="F1707" s="3" t="s">
        <v>2415</v>
      </c>
      <c r="G1707" s="3" t="s">
        <v>2409</v>
      </c>
      <c r="I1707" s="3" t="s">
        <v>2374</v>
      </c>
      <c r="J1707" s="1" t="s">
        <v>3322</v>
      </c>
      <c r="K1707" s="1" t="s">
        <v>3269</v>
      </c>
      <c r="L1707" s="1" t="s">
        <v>35</v>
      </c>
      <c r="M1707" s="3" t="s">
        <v>2411</v>
      </c>
      <c r="O1707" s="1" t="s">
        <v>45</v>
      </c>
      <c r="P1707" s="1" t="s">
        <v>46</v>
      </c>
      <c r="Q1707" s="2">
        <v>5.5E-2</v>
      </c>
      <c r="R1707" s="138"/>
      <c r="T1707" s="4">
        <v>0</v>
      </c>
      <c r="U1707" s="4">
        <v>4531799.995099999</v>
      </c>
      <c r="V1707" s="4">
        <v>3162205.0599999977</v>
      </c>
      <c r="W1707" s="13">
        <f t="shared" si="248"/>
        <v>1369594.9351000013</v>
      </c>
      <c r="X1707" s="13">
        <f t="shared" si="249"/>
        <v>2539923.7429718859</v>
      </c>
      <c r="Y1707" s="13">
        <f t="shared" si="251"/>
        <v>2539923.7429718859</v>
      </c>
      <c r="Z1707" s="2">
        <v>0</v>
      </c>
      <c r="AA1707" s="4">
        <v>0</v>
      </c>
      <c r="AB1707" s="4">
        <f t="shared" si="252"/>
        <v>2539923.7429718859</v>
      </c>
      <c r="AC1707" s="6">
        <f t="shared" si="253"/>
        <v>622281.31702811178</v>
      </c>
      <c r="AD1707" s="4">
        <v>0</v>
      </c>
      <c r="AE1707" s="2">
        <v>0.06</v>
      </c>
      <c r="AF1707" s="5">
        <f t="shared" si="254"/>
        <v>0</v>
      </c>
      <c r="AG1707" s="2">
        <v>0.19</v>
      </c>
      <c r="AH1707" s="4">
        <f t="shared" si="250"/>
        <v>2657315.1764705866</v>
      </c>
      <c r="AJ1707" s="126" t="e">
        <v>#N/A</v>
      </c>
      <c r="AK1707" s="80">
        <f t="shared" si="255"/>
        <v>0</v>
      </c>
      <c r="AM1707" s="85"/>
    </row>
    <row r="1708" spans="1:39" hidden="1" x14ac:dyDescent="0.3">
      <c r="A1708" s="85" t="s">
        <v>34</v>
      </c>
      <c r="B1708" s="3" t="s">
        <v>35</v>
      </c>
      <c r="C1708" s="3" t="s">
        <v>47</v>
      </c>
      <c r="D1708" s="3" t="s">
        <v>63</v>
      </c>
      <c r="E1708" s="3" t="s">
        <v>2409</v>
      </c>
      <c r="F1708" s="3" t="s">
        <v>2415</v>
      </c>
      <c r="G1708" s="3" t="s">
        <v>2409</v>
      </c>
      <c r="I1708" s="3" t="s">
        <v>2374</v>
      </c>
      <c r="J1708" s="1" t="s">
        <v>3322</v>
      </c>
      <c r="K1708" s="1" t="s">
        <v>3269</v>
      </c>
      <c r="L1708" s="1" t="s">
        <v>35</v>
      </c>
      <c r="M1708" s="3" t="s">
        <v>2411</v>
      </c>
      <c r="O1708" s="1" t="s">
        <v>40</v>
      </c>
      <c r="P1708" s="1" t="s">
        <v>46</v>
      </c>
      <c r="Q1708" s="2">
        <v>5.5E-2</v>
      </c>
      <c r="R1708" s="138"/>
      <c r="T1708" s="4">
        <v>0</v>
      </c>
      <c r="U1708" s="4">
        <v>131500.00080000001</v>
      </c>
      <c r="V1708" s="4">
        <v>55482.149999999994</v>
      </c>
      <c r="W1708" s="13">
        <f t="shared" si="248"/>
        <v>76017.850800000015</v>
      </c>
      <c r="X1708" s="13">
        <f t="shared" si="249"/>
        <v>42191.749049429658</v>
      </c>
      <c r="Y1708" s="13">
        <f t="shared" si="251"/>
        <v>42191.749049429658</v>
      </c>
      <c r="Z1708" s="2">
        <v>0</v>
      </c>
      <c r="AA1708" s="4">
        <v>0</v>
      </c>
      <c r="AB1708" s="4">
        <f t="shared" si="252"/>
        <v>42191.749049429658</v>
      </c>
      <c r="AC1708" s="6">
        <f t="shared" si="253"/>
        <v>13290.400950570336</v>
      </c>
      <c r="AD1708" s="4">
        <v>0</v>
      </c>
      <c r="AE1708" s="2">
        <v>7.0000000000000007E-2</v>
      </c>
      <c r="AF1708" s="5">
        <f t="shared" si="254"/>
        <v>0</v>
      </c>
      <c r="AG1708" s="2">
        <v>0.26</v>
      </c>
      <c r="AH1708" s="4">
        <f t="shared" si="250"/>
        <v>44033.452380952374</v>
      </c>
      <c r="AJ1708" s="126" t="e">
        <v>#N/A</v>
      </c>
      <c r="AK1708" s="80">
        <f t="shared" si="255"/>
        <v>0</v>
      </c>
      <c r="AM1708" s="85"/>
    </row>
    <row r="1709" spans="1:39" hidden="1" x14ac:dyDescent="0.3">
      <c r="A1709" s="85" t="s">
        <v>34</v>
      </c>
      <c r="B1709" s="3" t="s">
        <v>35</v>
      </c>
      <c r="C1709" s="3" t="s">
        <v>47</v>
      </c>
      <c r="D1709" s="3" t="s">
        <v>63</v>
      </c>
      <c r="E1709" s="3" t="s">
        <v>2409</v>
      </c>
      <c r="F1709" s="3" t="s">
        <v>2416</v>
      </c>
      <c r="G1709" s="3" t="s">
        <v>2409</v>
      </c>
      <c r="I1709" s="3" t="s">
        <v>2374</v>
      </c>
      <c r="J1709" s="1" t="s">
        <v>3322</v>
      </c>
      <c r="K1709" s="1" t="s">
        <v>3269</v>
      </c>
      <c r="L1709" s="1" t="s">
        <v>35</v>
      </c>
      <c r="M1709" s="3" t="s">
        <v>2417</v>
      </c>
      <c r="O1709" s="1" t="s">
        <v>45</v>
      </c>
      <c r="P1709" s="1" t="s">
        <v>46</v>
      </c>
      <c r="Q1709" s="2">
        <v>5.5E-2</v>
      </c>
      <c r="R1709" s="138"/>
      <c r="T1709" s="4">
        <v>524253.22790000052</v>
      </c>
      <c r="U1709" s="4">
        <v>1151149.9923</v>
      </c>
      <c r="V1709" s="4">
        <v>1232938.1900000002</v>
      </c>
      <c r="W1709" s="13">
        <f t="shared" si="248"/>
        <v>442465.03020000039</v>
      </c>
      <c r="X1709" s="13">
        <f t="shared" si="249"/>
        <v>974654.69565217418</v>
      </c>
      <c r="Y1709" s="13">
        <f t="shared" si="251"/>
        <v>0</v>
      </c>
      <c r="Z1709" s="2">
        <v>0</v>
      </c>
      <c r="AA1709" s="4">
        <v>0</v>
      </c>
      <c r="AB1709" s="4">
        <f t="shared" si="252"/>
        <v>974654.69565217418</v>
      </c>
      <c r="AC1709" s="6">
        <f t="shared" si="253"/>
        <v>258283.494347826</v>
      </c>
      <c r="AD1709" s="4">
        <v>1018961.9500000001</v>
      </c>
      <c r="AE1709" s="2">
        <v>0.06</v>
      </c>
      <c r="AF1709" s="5">
        <f t="shared" si="254"/>
        <v>61137.717000000004</v>
      </c>
      <c r="AG1709" s="2">
        <v>0.21</v>
      </c>
      <c r="AH1709" s="4">
        <f t="shared" si="250"/>
        <v>1018957.181818182</v>
      </c>
      <c r="AJ1709" s="126" t="e">
        <v>#N/A</v>
      </c>
      <c r="AK1709" s="80">
        <f t="shared" si="255"/>
        <v>0</v>
      </c>
      <c r="AM1709" s="85"/>
    </row>
    <row r="1710" spans="1:39" hidden="1" x14ac:dyDescent="0.3">
      <c r="A1710" s="85" t="s">
        <v>34</v>
      </c>
      <c r="B1710" s="3" t="s">
        <v>35</v>
      </c>
      <c r="C1710" s="3" t="s">
        <v>47</v>
      </c>
      <c r="D1710" s="3" t="s">
        <v>63</v>
      </c>
      <c r="E1710" s="3" t="s">
        <v>2418</v>
      </c>
      <c r="F1710" s="3" t="s">
        <v>2419</v>
      </c>
      <c r="G1710" s="3" t="s">
        <v>2418</v>
      </c>
      <c r="I1710" s="3" t="s">
        <v>2374</v>
      </c>
      <c r="J1710" s="1" t="s">
        <v>3322</v>
      </c>
      <c r="K1710" s="1" t="s">
        <v>3269</v>
      </c>
      <c r="L1710" s="1" t="s">
        <v>35</v>
      </c>
      <c r="M1710" s="3" t="s">
        <v>2420</v>
      </c>
      <c r="O1710" s="1" t="s">
        <v>45</v>
      </c>
      <c r="P1710" s="1" t="s">
        <v>46</v>
      </c>
      <c r="Q1710" s="2">
        <v>5.5E-2</v>
      </c>
      <c r="R1710" s="138"/>
      <c r="T1710" s="4">
        <v>3349906.633399982</v>
      </c>
      <c r="U1710" s="4">
        <v>16949250.013599996</v>
      </c>
      <c r="V1710" s="4">
        <v>18705816.089999992</v>
      </c>
      <c r="W1710" s="13">
        <f t="shared" si="248"/>
        <v>1593340.5569999851</v>
      </c>
      <c r="X1710" s="13">
        <f t="shared" si="249"/>
        <v>13409187.161290318</v>
      </c>
      <c r="Y1710" s="13">
        <f t="shared" si="251"/>
        <v>0</v>
      </c>
      <c r="Z1710" s="2">
        <v>0</v>
      </c>
      <c r="AA1710" s="4">
        <v>0</v>
      </c>
      <c r="AB1710" s="4">
        <f t="shared" si="252"/>
        <v>13409187.161290318</v>
      </c>
      <c r="AC1710" s="6">
        <f t="shared" si="253"/>
        <v>5296628.9287096746</v>
      </c>
      <c r="AD1710" s="4">
        <v>13959604.75</v>
      </c>
      <c r="AE1710" s="2">
        <v>0.06</v>
      </c>
      <c r="AF1710" s="5">
        <f t="shared" si="254"/>
        <v>837576.28499999992</v>
      </c>
      <c r="AG1710" s="2">
        <v>0.34</v>
      </c>
      <c r="AH1710" s="4">
        <f t="shared" si="250"/>
        <v>13959564.246268651</v>
      </c>
      <c r="AJ1710" s="126" t="e">
        <v>#N/A</v>
      </c>
      <c r="AK1710" s="80">
        <f t="shared" si="255"/>
        <v>0</v>
      </c>
      <c r="AM1710" s="85"/>
    </row>
    <row r="1711" spans="1:39" hidden="1" x14ac:dyDescent="0.3">
      <c r="A1711" s="85" t="s">
        <v>34</v>
      </c>
      <c r="B1711" s="3" t="s">
        <v>35</v>
      </c>
      <c r="C1711" s="3" t="s">
        <v>47</v>
      </c>
      <c r="D1711" s="3" t="s">
        <v>63</v>
      </c>
      <c r="E1711" s="3" t="s">
        <v>2418</v>
      </c>
      <c r="F1711" s="3" t="s">
        <v>2421</v>
      </c>
      <c r="G1711" s="3" t="s">
        <v>2418</v>
      </c>
      <c r="H1711" s="138"/>
      <c r="I1711" s="3" t="s">
        <v>2374</v>
      </c>
      <c r="J1711" s="1" t="s">
        <v>3322</v>
      </c>
      <c r="K1711" s="1" t="s">
        <v>3269</v>
      </c>
      <c r="L1711" s="1" t="s">
        <v>35</v>
      </c>
      <c r="M1711" s="3" t="s">
        <v>2420</v>
      </c>
      <c r="O1711" s="1" t="s">
        <v>40</v>
      </c>
      <c r="P1711" s="1" t="s">
        <v>46</v>
      </c>
      <c r="Q1711" s="2">
        <v>5.5E-2</v>
      </c>
      <c r="R1711" s="138"/>
      <c r="T1711" s="4">
        <v>6983690.1968</v>
      </c>
      <c r="U1711" s="4">
        <v>-7059155.365199999</v>
      </c>
      <c r="V1711" s="4">
        <v>0</v>
      </c>
      <c r="W1711" s="13">
        <f t="shared" si="248"/>
        <v>-75465.168399998918</v>
      </c>
      <c r="X1711" s="13">
        <f t="shared" si="249"/>
        <v>0</v>
      </c>
      <c r="Y1711" s="13">
        <f t="shared" si="251"/>
        <v>0</v>
      </c>
      <c r="Z1711" s="2">
        <v>0</v>
      </c>
      <c r="AA1711" s="4">
        <v>0</v>
      </c>
      <c r="AB1711" s="4">
        <f t="shared" si="252"/>
        <v>0</v>
      </c>
      <c r="AC1711" s="6">
        <f t="shared" si="253"/>
        <v>0</v>
      </c>
      <c r="AD1711" s="4">
        <v>4582808.5900000008</v>
      </c>
      <c r="AE1711" s="2">
        <v>7.0000000000000007E-2</v>
      </c>
      <c r="AF1711" s="5">
        <f t="shared" si="254"/>
        <v>320796.6013000001</v>
      </c>
      <c r="AG1711" s="2">
        <v>0.24</v>
      </c>
      <c r="AH1711" s="4">
        <f t="shared" si="250"/>
        <v>0</v>
      </c>
      <c r="AJ1711" s="126" t="e">
        <v>#N/A</v>
      </c>
      <c r="AK1711" s="80">
        <f t="shared" si="255"/>
        <v>0</v>
      </c>
      <c r="AM1711" s="85"/>
    </row>
    <row r="1712" spans="1:39" hidden="1" x14ac:dyDescent="0.3">
      <c r="A1712" s="85" t="s">
        <v>34</v>
      </c>
      <c r="B1712" s="3" t="s">
        <v>35</v>
      </c>
      <c r="C1712" s="3" t="s">
        <v>47</v>
      </c>
      <c r="D1712" s="3" t="s">
        <v>63</v>
      </c>
      <c r="E1712" s="3" t="s">
        <v>2418</v>
      </c>
      <c r="F1712" s="3" t="s">
        <v>2421</v>
      </c>
      <c r="G1712" s="3" t="s">
        <v>2418</v>
      </c>
      <c r="I1712" s="3" t="s">
        <v>2374</v>
      </c>
      <c r="J1712" s="1" t="s">
        <v>3322</v>
      </c>
      <c r="K1712" s="1" t="s">
        <v>3269</v>
      </c>
      <c r="L1712" s="1" t="s">
        <v>35</v>
      </c>
      <c r="M1712" s="3" t="s">
        <v>2420</v>
      </c>
      <c r="O1712" s="1" t="s">
        <v>40</v>
      </c>
      <c r="P1712" s="1" t="s">
        <v>46</v>
      </c>
      <c r="Q1712" s="2">
        <v>5.5E-2</v>
      </c>
      <c r="R1712" s="138"/>
      <c r="T1712" s="4">
        <v>6181049.9967999998</v>
      </c>
      <c r="U1712" s="4">
        <v>3497700.0063999998</v>
      </c>
      <c r="V1712" s="4">
        <v>5865828.6399999997</v>
      </c>
      <c r="W1712" s="13">
        <f t="shared" si="248"/>
        <v>3812921.3632000005</v>
      </c>
      <c r="X1712" s="13">
        <f t="shared" si="249"/>
        <v>4393879.1310861418</v>
      </c>
      <c r="Y1712" s="13">
        <f t="shared" si="251"/>
        <v>4393879.1310861418</v>
      </c>
      <c r="Z1712" s="2">
        <v>0</v>
      </c>
      <c r="AA1712" s="4">
        <v>0</v>
      </c>
      <c r="AB1712" s="4">
        <f t="shared" si="252"/>
        <v>4393879.1310861418</v>
      </c>
      <c r="AC1712" s="6">
        <f t="shared" si="253"/>
        <v>1471949.5089138579</v>
      </c>
      <c r="AD1712" s="4">
        <v>0</v>
      </c>
      <c r="AE1712" s="2">
        <v>7.0000000000000007E-2</v>
      </c>
      <c r="AF1712" s="5">
        <f t="shared" si="254"/>
        <v>0</v>
      </c>
      <c r="AG1712" s="2">
        <v>0.28000000000000003</v>
      </c>
      <c r="AH1712" s="4">
        <f t="shared" si="250"/>
        <v>4582678.625</v>
      </c>
      <c r="AJ1712" s="126" t="e">
        <v>#N/A</v>
      </c>
      <c r="AK1712" s="80">
        <f t="shared" si="255"/>
        <v>0</v>
      </c>
      <c r="AM1712" s="85"/>
    </row>
    <row r="1713" spans="1:39" hidden="1" x14ac:dyDescent="0.3">
      <c r="A1713" s="85" t="s">
        <v>34</v>
      </c>
      <c r="B1713" s="3" t="s">
        <v>35</v>
      </c>
      <c r="C1713" s="3" t="s">
        <v>47</v>
      </c>
      <c r="D1713" s="3" t="s">
        <v>63</v>
      </c>
      <c r="E1713" s="3" t="s">
        <v>2418</v>
      </c>
      <c r="F1713" s="3" t="s">
        <v>2424</v>
      </c>
      <c r="G1713" s="3" t="s">
        <v>2418</v>
      </c>
      <c r="I1713" s="3" t="s">
        <v>2374</v>
      </c>
      <c r="J1713" s="1" t="s">
        <v>3322</v>
      </c>
      <c r="K1713" s="1" t="s">
        <v>3269</v>
      </c>
      <c r="L1713" s="1" t="s">
        <v>35</v>
      </c>
      <c r="M1713" s="3" t="s">
        <v>2423</v>
      </c>
      <c r="O1713" s="1" t="s">
        <v>45</v>
      </c>
      <c r="P1713" s="1" t="s">
        <v>46</v>
      </c>
      <c r="Q1713" s="2">
        <v>5.5E-2</v>
      </c>
      <c r="R1713" s="138"/>
      <c r="T1713" s="4">
        <v>100700.24000000005</v>
      </c>
      <c r="U1713" s="4">
        <v>0</v>
      </c>
      <c r="V1713" s="4">
        <v>100700.24000000005</v>
      </c>
      <c r="W1713" s="13">
        <f t="shared" si="248"/>
        <v>0</v>
      </c>
      <c r="X1713" s="13">
        <f t="shared" si="249"/>
        <v>95450.464454976362</v>
      </c>
      <c r="Y1713" s="13">
        <f t="shared" si="251"/>
        <v>0</v>
      </c>
      <c r="Z1713" s="2">
        <v>0</v>
      </c>
      <c r="AA1713" s="4">
        <v>0</v>
      </c>
      <c r="AB1713" s="4">
        <f t="shared" si="252"/>
        <v>95450.464454976362</v>
      </c>
      <c r="AC1713" s="6">
        <f t="shared" si="253"/>
        <v>5249.7755450236873</v>
      </c>
      <c r="AD1713" s="4">
        <v>226634.19999999998</v>
      </c>
      <c r="AE1713" s="2">
        <v>0.06</v>
      </c>
      <c r="AF1713" s="5">
        <f t="shared" si="254"/>
        <v>13598.051999999998</v>
      </c>
      <c r="AG1713" s="2">
        <v>0</v>
      </c>
      <c r="AH1713" s="4">
        <f t="shared" si="250"/>
        <v>100700.24000000005</v>
      </c>
      <c r="AJ1713" s="126" t="e">
        <v>#N/A</v>
      </c>
      <c r="AK1713" s="80">
        <f t="shared" si="255"/>
        <v>0</v>
      </c>
      <c r="AM1713" s="85"/>
    </row>
    <row r="1714" spans="1:39" hidden="1" x14ac:dyDescent="0.3">
      <c r="A1714" s="85" t="s">
        <v>34</v>
      </c>
      <c r="B1714" s="3" t="s">
        <v>35</v>
      </c>
      <c r="C1714" s="3" t="s">
        <v>47</v>
      </c>
      <c r="D1714" s="3" t="s">
        <v>63</v>
      </c>
      <c r="E1714" s="3" t="s">
        <v>2418</v>
      </c>
      <c r="F1714" s="3" t="s">
        <v>2424</v>
      </c>
      <c r="G1714" s="3" t="s">
        <v>2418</v>
      </c>
      <c r="H1714" s="138"/>
      <c r="I1714" s="3" t="s">
        <v>2374</v>
      </c>
      <c r="J1714" s="1" t="s">
        <v>3322</v>
      </c>
      <c r="K1714" s="1" t="s">
        <v>3269</v>
      </c>
      <c r="L1714" s="1" t="s">
        <v>35</v>
      </c>
      <c r="M1714" s="3" t="s">
        <v>2425</v>
      </c>
      <c r="O1714" s="1" t="s">
        <v>45</v>
      </c>
      <c r="P1714" s="1" t="s">
        <v>46</v>
      </c>
      <c r="Q1714" s="2">
        <v>5.5E-2</v>
      </c>
      <c r="R1714" s="138"/>
      <c r="T1714" s="4">
        <v>65000</v>
      </c>
      <c r="U1714" s="4">
        <v>-65000</v>
      </c>
      <c r="V1714" s="4">
        <v>0</v>
      </c>
      <c r="W1714" s="13">
        <f t="shared" si="248"/>
        <v>0</v>
      </c>
      <c r="X1714" s="13">
        <f t="shared" si="249"/>
        <v>0</v>
      </c>
      <c r="Y1714" s="13">
        <f t="shared" si="251"/>
        <v>0</v>
      </c>
      <c r="Z1714" s="2">
        <v>0</v>
      </c>
      <c r="AA1714" s="4">
        <v>0</v>
      </c>
      <c r="AB1714" s="4">
        <f t="shared" si="252"/>
        <v>0</v>
      </c>
      <c r="AC1714" s="6">
        <f t="shared" si="253"/>
        <v>0</v>
      </c>
      <c r="AD1714" s="4">
        <v>0</v>
      </c>
      <c r="AE1714" s="2">
        <v>0.06</v>
      </c>
      <c r="AF1714" s="5">
        <f t="shared" si="254"/>
        <v>0</v>
      </c>
      <c r="AG1714" s="2">
        <v>0</v>
      </c>
      <c r="AH1714" s="4">
        <f t="shared" si="250"/>
        <v>0</v>
      </c>
      <c r="AJ1714" s="126" t="e">
        <v>#N/A</v>
      </c>
      <c r="AK1714" s="80">
        <f t="shared" si="255"/>
        <v>0</v>
      </c>
      <c r="AM1714" s="85"/>
    </row>
    <row r="1715" spans="1:39" hidden="1" x14ac:dyDescent="0.3">
      <c r="A1715" s="85" t="s">
        <v>34</v>
      </c>
      <c r="B1715" s="3" t="s">
        <v>35</v>
      </c>
      <c r="C1715" s="3" t="s">
        <v>47</v>
      </c>
      <c r="D1715" s="3" t="s">
        <v>63</v>
      </c>
      <c r="E1715" s="3" t="s">
        <v>2418</v>
      </c>
      <c r="F1715" s="3" t="s">
        <v>2424</v>
      </c>
      <c r="G1715" s="3" t="s">
        <v>2418</v>
      </c>
      <c r="H1715" s="138"/>
      <c r="I1715" s="3" t="s">
        <v>2374</v>
      </c>
      <c r="J1715" s="1" t="s">
        <v>3322</v>
      </c>
      <c r="K1715" s="1" t="s">
        <v>3269</v>
      </c>
      <c r="L1715" s="1" t="s">
        <v>35</v>
      </c>
      <c r="M1715" s="3" t="s">
        <v>2425</v>
      </c>
      <c r="O1715" s="1" t="s">
        <v>40</v>
      </c>
      <c r="P1715" s="1" t="s">
        <v>46</v>
      </c>
      <c r="Q1715" s="2">
        <v>5.5E-2</v>
      </c>
      <c r="R1715" s="138"/>
      <c r="T1715" s="4">
        <v>65000</v>
      </c>
      <c r="U1715" s="4">
        <v>-65000</v>
      </c>
      <c r="V1715" s="4">
        <v>0</v>
      </c>
      <c r="W1715" s="13">
        <f t="shared" si="248"/>
        <v>0</v>
      </c>
      <c r="X1715" s="13">
        <f t="shared" si="249"/>
        <v>0</v>
      </c>
      <c r="Y1715" s="13">
        <f t="shared" si="251"/>
        <v>0</v>
      </c>
      <c r="Z1715" s="2">
        <v>0</v>
      </c>
      <c r="AA1715" s="4">
        <v>0</v>
      </c>
      <c r="AB1715" s="4">
        <f t="shared" si="252"/>
        <v>0</v>
      </c>
      <c r="AC1715" s="6">
        <f t="shared" si="253"/>
        <v>0</v>
      </c>
      <c r="AD1715" s="4">
        <v>0</v>
      </c>
      <c r="AE1715" s="2">
        <v>7.0000000000000007E-2</v>
      </c>
      <c r="AF1715" s="5">
        <f t="shared" si="254"/>
        <v>0</v>
      </c>
      <c r="AG1715" s="2">
        <v>0</v>
      </c>
      <c r="AH1715" s="4">
        <f t="shared" si="250"/>
        <v>0</v>
      </c>
      <c r="AJ1715" s="126" t="e">
        <v>#N/A</v>
      </c>
      <c r="AK1715" s="80">
        <f t="shared" si="255"/>
        <v>0</v>
      </c>
      <c r="AM1715" s="85"/>
    </row>
    <row r="1716" spans="1:39" hidden="1" x14ac:dyDescent="0.3">
      <c r="A1716" s="85" t="s">
        <v>34</v>
      </c>
      <c r="B1716" s="3" t="s">
        <v>35</v>
      </c>
      <c r="C1716" s="3" t="s">
        <v>47</v>
      </c>
      <c r="D1716" s="3" t="s">
        <v>63</v>
      </c>
      <c r="E1716" s="3" t="s">
        <v>2418</v>
      </c>
      <c r="F1716" s="3" t="s">
        <v>2424</v>
      </c>
      <c r="G1716" s="3" t="s">
        <v>2418</v>
      </c>
      <c r="H1716" s="138"/>
      <c r="I1716" s="3" t="s">
        <v>2374</v>
      </c>
      <c r="J1716" s="1" t="s">
        <v>3322</v>
      </c>
      <c r="K1716" s="1" t="s">
        <v>3269</v>
      </c>
      <c r="L1716" s="1" t="s">
        <v>35</v>
      </c>
      <c r="M1716" s="3" t="s">
        <v>2426</v>
      </c>
      <c r="O1716" s="1" t="s">
        <v>45</v>
      </c>
      <c r="P1716" s="1" t="s">
        <v>46</v>
      </c>
      <c r="Q1716" s="2">
        <v>5.5E-2</v>
      </c>
      <c r="R1716" s="138"/>
      <c r="T1716" s="4">
        <v>10550</v>
      </c>
      <c r="U1716" s="4">
        <v>-10550</v>
      </c>
      <c r="V1716" s="4">
        <v>0</v>
      </c>
      <c r="W1716" s="13">
        <f t="shared" si="248"/>
        <v>0</v>
      </c>
      <c r="X1716" s="13">
        <f t="shared" si="249"/>
        <v>0</v>
      </c>
      <c r="Y1716" s="13">
        <f t="shared" si="251"/>
        <v>0</v>
      </c>
      <c r="Z1716" s="2">
        <v>0</v>
      </c>
      <c r="AA1716" s="4">
        <v>0</v>
      </c>
      <c r="AB1716" s="4">
        <f t="shared" si="252"/>
        <v>0</v>
      </c>
      <c r="AC1716" s="6">
        <f t="shared" si="253"/>
        <v>0</v>
      </c>
      <c r="AD1716" s="4">
        <v>0</v>
      </c>
      <c r="AE1716" s="2">
        <v>0.06</v>
      </c>
      <c r="AF1716" s="5">
        <f t="shared" si="254"/>
        <v>0</v>
      </c>
      <c r="AG1716" s="2">
        <v>0</v>
      </c>
      <c r="AH1716" s="4">
        <f t="shared" si="250"/>
        <v>0</v>
      </c>
      <c r="AJ1716" s="126" t="e">
        <v>#N/A</v>
      </c>
      <c r="AK1716" s="80">
        <f t="shared" si="255"/>
        <v>0</v>
      </c>
      <c r="AM1716" s="85"/>
    </row>
    <row r="1717" spans="1:39" hidden="1" x14ac:dyDescent="0.3">
      <c r="A1717" s="85" t="s">
        <v>34</v>
      </c>
      <c r="B1717" s="3" t="s">
        <v>35</v>
      </c>
      <c r="C1717" s="3" t="s">
        <v>47</v>
      </c>
      <c r="D1717" s="3" t="s">
        <v>63</v>
      </c>
      <c r="E1717" s="3" t="s">
        <v>2418</v>
      </c>
      <c r="F1717" s="3" t="s">
        <v>2427</v>
      </c>
      <c r="G1717" s="3" t="s">
        <v>2418</v>
      </c>
      <c r="I1717" s="3" t="s">
        <v>2374</v>
      </c>
      <c r="J1717" s="1" t="s">
        <v>3322</v>
      </c>
      <c r="K1717" s="1" t="s">
        <v>3269</v>
      </c>
      <c r="L1717" s="1" t="s">
        <v>35</v>
      </c>
      <c r="M1717" s="3" t="s">
        <v>2428</v>
      </c>
      <c r="O1717" s="1" t="s">
        <v>45</v>
      </c>
      <c r="P1717" s="1" t="s">
        <v>46</v>
      </c>
      <c r="Q1717" s="2">
        <v>5.5E-2</v>
      </c>
      <c r="R1717" s="138"/>
      <c r="T1717" s="4">
        <v>1779244.342600002</v>
      </c>
      <c r="U1717" s="4">
        <v>2930219.9994000006</v>
      </c>
      <c r="V1717" s="4">
        <v>3000920.4799999995</v>
      </c>
      <c r="W1717" s="13">
        <f t="shared" si="248"/>
        <v>1708543.8620000025</v>
      </c>
      <c r="X1717" s="13">
        <f t="shared" si="249"/>
        <v>2691408.5022421521</v>
      </c>
      <c r="Y1717" s="13">
        <f t="shared" si="251"/>
        <v>0</v>
      </c>
      <c r="Z1717" s="2">
        <v>0</v>
      </c>
      <c r="AA1717" s="4">
        <v>0</v>
      </c>
      <c r="AB1717" s="4">
        <f t="shared" si="252"/>
        <v>2691408.5022421521</v>
      </c>
      <c r="AC1717" s="6">
        <f t="shared" si="253"/>
        <v>309511.9777578474</v>
      </c>
      <c r="AD1717" s="4">
        <v>2831062.9400000009</v>
      </c>
      <c r="AE1717" s="2">
        <v>0.06</v>
      </c>
      <c r="AF1717" s="5">
        <f t="shared" si="254"/>
        <v>169863.77640000006</v>
      </c>
      <c r="AG1717" s="2">
        <v>0.06</v>
      </c>
      <c r="AH1717" s="4">
        <f t="shared" si="250"/>
        <v>2831057.056603773</v>
      </c>
      <c r="AJ1717" s="126" t="e">
        <v>#N/A</v>
      </c>
      <c r="AK1717" s="80">
        <f t="shared" si="255"/>
        <v>0</v>
      </c>
      <c r="AM1717" s="85"/>
    </row>
    <row r="1718" spans="1:39" hidden="1" x14ac:dyDescent="0.3">
      <c r="A1718" s="85" t="s">
        <v>34</v>
      </c>
      <c r="B1718" s="3" t="s">
        <v>35</v>
      </c>
      <c r="C1718" s="3" t="s">
        <v>47</v>
      </c>
      <c r="D1718" s="3" t="s">
        <v>63</v>
      </c>
      <c r="E1718" s="3" t="s">
        <v>2429</v>
      </c>
      <c r="F1718" s="3" t="s">
        <v>2429</v>
      </c>
      <c r="G1718" s="3" t="s">
        <v>2429</v>
      </c>
      <c r="I1718" s="3" t="s">
        <v>2374</v>
      </c>
      <c r="J1718" s="1" t="s">
        <v>3322</v>
      </c>
      <c r="K1718" s="1" t="s">
        <v>3269</v>
      </c>
      <c r="L1718" s="1" t="s">
        <v>35</v>
      </c>
      <c r="M1718" s="3" t="s">
        <v>2430</v>
      </c>
      <c r="O1718" s="1" t="s">
        <v>45</v>
      </c>
      <c r="P1718" s="1" t="s">
        <v>41</v>
      </c>
      <c r="Q1718" s="2">
        <v>0</v>
      </c>
      <c r="R1718" s="138"/>
      <c r="T1718" s="4">
        <v>233759.53999999995</v>
      </c>
      <c r="U1718" s="4">
        <v>318000</v>
      </c>
      <c r="V1718" s="4">
        <v>214256.06999999995</v>
      </c>
      <c r="W1718" s="13">
        <f t="shared" si="248"/>
        <v>337503.47</v>
      </c>
      <c r="X1718" s="13">
        <f t="shared" si="249"/>
        <v>202128.36792452825</v>
      </c>
      <c r="Y1718" s="13">
        <f t="shared" si="251"/>
        <v>4.3379245282558259</v>
      </c>
      <c r="Z1718" s="2">
        <v>0</v>
      </c>
      <c r="AA1718" s="4">
        <v>0</v>
      </c>
      <c r="AB1718" s="4">
        <f t="shared" si="252"/>
        <v>202128.36792452825</v>
      </c>
      <c r="AC1718" s="6">
        <f t="shared" si="253"/>
        <v>12127.702075471694</v>
      </c>
      <c r="AD1718" s="4">
        <v>202124.03</v>
      </c>
      <c r="AE1718" s="2">
        <v>0.06</v>
      </c>
      <c r="AF1718" s="5">
        <f t="shared" si="254"/>
        <v>12127.441799999999</v>
      </c>
      <c r="AG1718" s="2">
        <v>0.06</v>
      </c>
      <c r="AH1718" s="4">
        <f t="shared" si="250"/>
        <v>202128.36792452825</v>
      </c>
      <c r="AJ1718" s="126" t="e">
        <v>#N/A</v>
      </c>
      <c r="AK1718" s="80">
        <f t="shared" si="255"/>
        <v>0</v>
      </c>
      <c r="AM1718" s="85"/>
    </row>
    <row r="1719" spans="1:39" hidden="1" x14ac:dyDescent="0.3">
      <c r="A1719" s="85" t="s">
        <v>34</v>
      </c>
      <c r="B1719" s="3" t="s">
        <v>35</v>
      </c>
      <c r="C1719" s="3" t="s">
        <v>47</v>
      </c>
      <c r="D1719" s="3" t="s">
        <v>63</v>
      </c>
      <c r="E1719" s="3" t="s">
        <v>132</v>
      </c>
      <c r="F1719" s="3" t="s">
        <v>132</v>
      </c>
      <c r="G1719" s="3" t="s">
        <v>132</v>
      </c>
      <c r="I1719" s="3" t="s">
        <v>2374</v>
      </c>
      <c r="J1719" s="1" t="s">
        <v>3322</v>
      </c>
      <c r="K1719" s="1" t="s">
        <v>3269</v>
      </c>
      <c r="L1719" s="1" t="s">
        <v>35</v>
      </c>
      <c r="M1719" s="3" t="s">
        <v>132</v>
      </c>
      <c r="O1719" s="1" t="s">
        <v>45</v>
      </c>
      <c r="P1719" s="1" t="s">
        <v>46</v>
      </c>
      <c r="Q1719" s="2">
        <v>4.7E-2</v>
      </c>
      <c r="R1719" s="138"/>
      <c r="T1719" s="4">
        <v>408068.29930000019</v>
      </c>
      <c r="U1719" s="4">
        <v>2474000.0040000002</v>
      </c>
      <c r="V1719" s="4">
        <v>1033301.7599999998</v>
      </c>
      <c r="W1719" s="13">
        <f t="shared" si="248"/>
        <v>1848766.5433000005</v>
      </c>
      <c r="X1719" s="13">
        <f t="shared" si="249"/>
        <v>835328.82780921576</v>
      </c>
      <c r="Y1719" s="13">
        <f t="shared" si="251"/>
        <v>0</v>
      </c>
      <c r="Z1719" s="2">
        <v>0</v>
      </c>
      <c r="AA1719" s="4">
        <v>0</v>
      </c>
      <c r="AB1719" s="4">
        <f t="shared" si="252"/>
        <v>835328.82780921576</v>
      </c>
      <c r="AC1719" s="6">
        <f t="shared" si="253"/>
        <v>197972.93219078402</v>
      </c>
      <c r="AD1719" s="4">
        <v>868322.45</v>
      </c>
      <c r="AE1719" s="2">
        <v>0.06</v>
      </c>
      <c r="AF1719" s="5">
        <f t="shared" si="254"/>
        <v>52099.346999999994</v>
      </c>
      <c r="AG1719" s="2">
        <v>0.19</v>
      </c>
      <c r="AH1719" s="4">
        <f t="shared" si="250"/>
        <v>868320.80672268895</v>
      </c>
      <c r="AJ1719" s="126" t="e">
        <v>#N/A</v>
      </c>
      <c r="AK1719" s="80">
        <f t="shared" si="255"/>
        <v>0</v>
      </c>
      <c r="AM1719" s="85"/>
    </row>
    <row r="1720" spans="1:39" hidden="1" x14ac:dyDescent="0.3">
      <c r="A1720" s="85" t="s">
        <v>34</v>
      </c>
      <c r="B1720" s="3" t="s">
        <v>35</v>
      </c>
      <c r="C1720" s="3" t="s">
        <v>47</v>
      </c>
      <c r="D1720" s="3" t="s">
        <v>63</v>
      </c>
      <c r="E1720" s="3" t="s">
        <v>134</v>
      </c>
      <c r="F1720" s="3" t="s">
        <v>134</v>
      </c>
      <c r="G1720" s="3" t="s">
        <v>134</v>
      </c>
      <c r="I1720" s="3" t="s">
        <v>2374</v>
      </c>
      <c r="J1720" s="1" t="s">
        <v>3322</v>
      </c>
      <c r="K1720" s="1" t="s">
        <v>3269</v>
      </c>
      <c r="L1720" s="1" t="s">
        <v>35</v>
      </c>
      <c r="M1720" s="3" t="s">
        <v>134</v>
      </c>
      <c r="O1720" s="1" t="s">
        <v>45</v>
      </c>
      <c r="P1720" s="1" t="s">
        <v>41</v>
      </c>
      <c r="Q1720" s="2">
        <v>0</v>
      </c>
      <c r="R1720" s="138"/>
      <c r="T1720" s="4">
        <v>0</v>
      </c>
      <c r="U1720" s="4">
        <v>50000</v>
      </c>
      <c r="V1720" s="4">
        <v>43615.746099999684</v>
      </c>
      <c r="W1720" s="13">
        <f t="shared" si="248"/>
        <v>6384.2539000003162</v>
      </c>
      <c r="X1720" s="13">
        <f t="shared" si="249"/>
        <v>43615.746099999684</v>
      </c>
      <c r="Y1720" s="13">
        <f t="shared" si="251"/>
        <v>0</v>
      </c>
      <c r="Z1720" s="2">
        <v>0</v>
      </c>
      <c r="AA1720" s="4">
        <v>0</v>
      </c>
      <c r="AB1720" s="4">
        <f t="shared" si="252"/>
        <v>43615.746099999684</v>
      </c>
      <c r="AC1720" s="6">
        <f t="shared" si="253"/>
        <v>0</v>
      </c>
      <c r="AD1720" s="4">
        <v>104725.21</v>
      </c>
      <c r="AE1720" s="2">
        <v>0.06</v>
      </c>
      <c r="AF1720" s="5">
        <f t="shared" si="254"/>
        <v>6283.5126</v>
      </c>
      <c r="AG1720" s="2">
        <v>0</v>
      </c>
      <c r="AH1720" s="4">
        <f t="shared" si="250"/>
        <v>43615.746099999684</v>
      </c>
      <c r="AJ1720" s="126" t="e">
        <v>#N/A</v>
      </c>
      <c r="AK1720" s="80">
        <f t="shared" si="255"/>
        <v>0</v>
      </c>
      <c r="AM1720" s="85"/>
    </row>
    <row r="1721" spans="1:39" hidden="1" x14ac:dyDescent="0.3">
      <c r="A1721" s="85" t="s">
        <v>34</v>
      </c>
      <c r="B1721" s="3" t="s">
        <v>35</v>
      </c>
      <c r="C1721" s="3" t="s">
        <v>47</v>
      </c>
      <c r="D1721" s="3" t="s">
        <v>48</v>
      </c>
      <c r="E1721" s="3" t="s">
        <v>1349</v>
      </c>
      <c r="F1721" s="3" t="s">
        <v>2431</v>
      </c>
      <c r="G1721" s="3" t="s">
        <v>1349</v>
      </c>
      <c r="I1721" s="3" t="s">
        <v>2374</v>
      </c>
      <c r="J1721" s="1" t="s">
        <v>3322</v>
      </c>
      <c r="K1721" s="1" t="s">
        <v>3269</v>
      </c>
      <c r="L1721" s="1" t="s">
        <v>35</v>
      </c>
      <c r="M1721" s="3" t="s">
        <v>627</v>
      </c>
      <c r="O1721" s="1" t="s">
        <v>45</v>
      </c>
      <c r="P1721" s="1" t="s">
        <v>41</v>
      </c>
      <c r="Q1721" s="2">
        <v>0</v>
      </c>
      <c r="R1721" s="138"/>
      <c r="T1721" s="4">
        <v>0</v>
      </c>
      <c r="U1721" s="4">
        <v>1200000</v>
      </c>
      <c r="V1721" s="4">
        <v>724594.6100000008</v>
      </c>
      <c r="W1721" s="13">
        <f t="shared" si="248"/>
        <v>475405.3899999992</v>
      </c>
      <c r="X1721" s="13">
        <f t="shared" si="249"/>
        <v>724594.6100000008</v>
      </c>
      <c r="Y1721" s="13">
        <f t="shared" si="251"/>
        <v>0</v>
      </c>
      <c r="Z1721" s="2">
        <v>0</v>
      </c>
      <c r="AA1721" s="4">
        <v>0</v>
      </c>
      <c r="AB1721" s="4">
        <f t="shared" si="252"/>
        <v>724594.6100000008</v>
      </c>
      <c r="AC1721" s="6">
        <f t="shared" si="253"/>
        <v>0</v>
      </c>
      <c r="AD1721" s="4">
        <v>1099946.3699999999</v>
      </c>
      <c r="AE1721" s="2">
        <v>0.06</v>
      </c>
      <c r="AF1721" s="5">
        <f t="shared" si="254"/>
        <v>65996.782199999987</v>
      </c>
      <c r="AG1721" s="2">
        <v>0</v>
      </c>
      <c r="AH1721" s="4">
        <f t="shared" si="250"/>
        <v>724594.6100000008</v>
      </c>
      <c r="AJ1721" s="126" t="e">
        <v>#N/A</v>
      </c>
      <c r="AK1721" s="80">
        <f t="shared" si="255"/>
        <v>0</v>
      </c>
      <c r="AM1721" s="85"/>
    </row>
    <row r="1722" spans="1:39" hidden="1" x14ac:dyDescent="0.3">
      <c r="A1722" s="85" t="s">
        <v>34</v>
      </c>
      <c r="B1722" s="3" t="s">
        <v>35</v>
      </c>
      <c r="C1722" s="3" t="s">
        <v>47</v>
      </c>
      <c r="D1722" s="3" t="s">
        <v>48</v>
      </c>
      <c r="E1722" s="3" t="s">
        <v>50</v>
      </c>
      <c r="F1722" s="3" t="s">
        <v>50</v>
      </c>
      <c r="G1722" s="3" t="s">
        <v>50</v>
      </c>
      <c r="H1722" s="138"/>
      <c r="I1722" s="3" t="s">
        <v>2374</v>
      </c>
      <c r="J1722" s="1" t="s">
        <v>3322</v>
      </c>
      <c r="K1722" s="1" t="s">
        <v>3269</v>
      </c>
      <c r="L1722" s="1" t="s">
        <v>35</v>
      </c>
      <c r="M1722" s="3" t="s">
        <v>2432</v>
      </c>
      <c r="O1722" s="1" t="s">
        <v>45</v>
      </c>
      <c r="P1722" s="1" t="s">
        <v>3753</v>
      </c>
      <c r="Q1722" s="2">
        <v>0.02</v>
      </c>
      <c r="R1722" s="138"/>
      <c r="T1722" s="4">
        <v>0</v>
      </c>
      <c r="U1722" s="4">
        <v>50000</v>
      </c>
      <c r="V1722" s="4">
        <v>0</v>
      </c>
      <c r="W1722" s="13">
        <f t="shared" si="248"/>
        <v>50000</v>
      </c>
      <c r="X1722" s="13">
        <f t="shared" si="249"/>
        <v>0</v>
      </c>
      <c r="Y1722" s="13">
        <f t="shared" si="251"/>
        <v>0</v>
      </c>
      <c r="Z1722" s="2">
        <v>0</v>
      </c>
      <c r="AA1722" s="4">
        <v>0</v>
      </c>
      <c r="AB1722" s="4">
        <f t="shared" si="252"/>
        <v>0</v>
      </c>
      <c r="AC1722" s="6">
        <f t="shared" si="253"/>
        <v>0</v>
      </c>
      <c r="AD1722" s="4">
        <v>0</v>
      </c>
      <c r="AE1722" s="2">
        <v>0.06</v>
      </c>
      <c r="AF1722" s="5">
        <f t="shared" si="254"/>
        <v>0</v>
      </c>
      <c r="AG1722" s="2">
        <v>0</v>
      </c>
      <c r="AH1722" s="4">
        <f t="shared" si="250"/>
        <v>0</v>
      </c>
      <c r="AJ1722" s="126" t="e">
        <v>#N/A</v>
      </c>
      <c r="AK1722" s="80">
        <f t="shared" si="255"/>
        <v>0</v>
      </c>
      <c r="AM1722" s="85"/>
    </row>
    <row r="1723" spans="1:39" hidden="1" x14ac:dyDescent="0.3">
      <c r="A1723" s="85" t="s">
        <v>34</v>
      </c>
      <c r="B1723" s="3" t="s">
        <v>35</v>
      </c>
      <c r="C1723" s="3" t="s">
        <v>47</v>
      </c>
      <c r="D1723" s="3" t="s">
        <v>48</v>
      </c>
      <c r="E1723" s="3" t="s">
        <v>50</v>
      </c>
      <c r="F1723" s="3" t="s">
        <v>50</v>
      </c>
      <c r="G1723" s="3" t="s">
        <v>50</v>
      </c>
      <c r="I1723" s="3" t="s">
        <v>2374</v>
      </c>
      <c r="J1723" s="1" t="s">
        <v>3322</v>
      </c>
      <c r="K1723" s="1" t="s">
        <v>3269</v>
      </c>
      <c r="L1723" s="1" t="s">
        <v>35</v>
      </c>
      <c r="M1723" s="3" t="s">
        <v>2432</v>
      </c>
      <c r="O1723" s="1" t="s">
        <v>40</v>
      </c>
      <c r="P1723" s="1" t="s">
        <v>3754</v>
      </c>
      <c r="Q1723" s="2">
        <v>0.03</v>
      </c>
      <c r="R1723" s="138"/>
      <c r="T1723" s="4">
        <v>0</v>
      </c>
      <c r="U1723" s="4">
        <v>450000</v>
      </c>
      <c r="V1723" s="4">
        <v>91435.50999999998</v>
      </c>
      <c r="W1723" s="13">
        <f t="shared" si="248"/>
        <v>358564.49</v>
      </c>
      <c r="X1723" s="13">
        <f t="shared" si="249"/>
        <v>88772.339805825221</v>
      </c>
      <c r="Y1723" s="13">
        <f t="shared" si="251"/>
        <v>0</v>
      </c>
      <c r="Z1723" s="2">
        <v>0</v>
      </c>
      <c r="AA1723" s="4">
        <v>0</v>
      </c>
      <c r="AB1723" s="4">
        <f t="shared" si="252"/>
        <v>88772.339805825221</v>
      </c>
      <c r="AC1723" s="6">
        <f t="shared" si="253"/>
        <v>2663.1701941747597</v>
      </c>
      <c r="AD1723" s="4">
        <v>91435.50999999998</v>
      </c>
      <c r="AE1723" s="2">
        <v>7.0000000000000007E-2</v>
      </c>
      <c r="AF1723" s="5">
        <f t="shared" si="254"/>
        <v>6400.4856999999993</v>
      </c>
      <c r="AG1723" s="2">
        <v>0</v>
      </c>
      <c r="AH1723" s="4">
        <f t="shared" si="250"/>
        <v>91435.50999999998</v>
      </c>
      <c r="AJ1723" s="126" t="e">
        <v>#N/A</v>
      </c>
      <c r="AK1723" s="80">
        <f t="shared" si="255"/>
        <v>0</v>
      </c>
      <c r="AM1723" s="85"/>
    </row>
    <row r="1724" spans="1:39" hidden="1" x14ac:dyDescent="0.3">
      <c r="A1724" s="85" t="s">
        <v>34</v>
      </c>
      <c r="B1724" s="3" t="s">
        <v>35</v>
      </c>
      <c r="C1724" s="3" t="s">
        <v>144</v>
      </c>
      <c r="D1724" s="3" t="s">
        <v>145</v>
      </c>
      <c r="E1724" s="3" t="s">
        <v>146</v>
      </c>
      <c r="F1724" s="3" t="s">
        <v>146</v>
      </c>
      <c r="G1724" s="3" t="s">
        <v>146</v>
      </c>
      <c r="I1724" s="3" t="s">
        <v>2374</v>
      </c>
      <c r="J1724" s="1" t="s">
        <v>3322</v>
      </c>
      <c r="K1724" s="1" t="s">
        <v>3269</v>
      </c>
      <c r="L1724" s="1" t="s">
        <v>35</v>
      </c>
      <c r="M1724" s="3" t="s">
        <v>2433</v>
      </c>
      <c r="O1724" s="1" t="s">
        <v>45</v>
      </c>
      <c r="P1724" s="1" t="s">
        <v>41</v>
      </c>
      <c r="Q1724" s="2">
        <v>0</v>
      </c>
      <c r="R1724" s="138"/>
      <c r="T1724" s="4">
        <v>0</v>
      </c>
      <c r="U1724" s="4">
        <v>30000</v>
      </c>
      <c r="V1724" s="4">
        <v>11776.440000000002</v>
      </c>
      <c r="W1724" s="13">
        <f t="shared" si="248"/>
        <v>18223.559999999998</v>
      </c>
      <c r="X1724" s="13">
        <f t="shared" si="249"/>
        <v>11776.440000000002</v>
      </c>
      <c r="Y1724" s="13">
        <f t="shared" si="251"/>
        <v>11776.440000000002</v>
      </c>
      <c r="Z1724" s="2">
        <v>0</v>
      </c>
      <c r="AA1724" s="4">
        <v>0</v>
      </c>
      <c r="AB1724" s="4">
        <f t="shared" si="252"/>
        <v>11776.440000000002</v>
      </c>
      <c r="AC1724" s="6">
        <f t="shared" si="253"/>
        <v>0</v>
      </c>
      <c r="AD1724" s="4">
        <v>0</v>
      </c>
      <c r="AE1724" s="2">
        <v>0.06</v>
      </c>
      <c r="AF1724" s="5">
        <f t="shared" si="254"/>
        <v>0</v>
      </c>
      <c r="AG1724" s="2">
        <v>0</v>
      </c>
      <c r="AH1724" s="4">
        <f t="shared" si="250"/>
        <v>11776.440000000002</v>
      </c>
      <c r="AJ1724" s="126" t="e">
        <v>#N/A</v>
      </c>
      <c r="AK1724" s="80">
        <f t="shared" si="255"/>
        <v>0</v>
      </c>
      <c r="AM1724" s="85"/>
    </row>
    <row r="1725" spans="1:39" hidden="1" x14ac:dyDescent="0.3">
      <c r="A1725" s="85" t="s">
        <v>34</v>
      </c>
      <c r="B1725" s="3" t="s">
        <v>35</v>
      </c>
      <c r="C1725" s="3" t="s">
        <v>144</v>
      </c>
      <c r="D1725" s="3" t="s">
        <v>145</v>
      </c>
      <c r="E1725" s="3" t="s">
        <v>2434</v>
      </c>
      <c r="F1725" s="3" t="s">
        <v>2434</v>
      </c>
      <c r="G1725" s="3" t="s">
        <v>2434</v>
      </c>
      <c r="I1725" s="3" t="s">
        <v>2374</v>
      </c>
      <c r="J1725" s="1" t="s">
        <v>3322</v>
      </c>
      <c r="K1725" s="1" t="s">
        <v>3269</v>
      </c>
      <c r="L1725" s="1" t="s">
        <v>35</v>
      </c>
      <c r="M1725" s="3" t="s">
        <v>2434</v>
      </c>
      <c r="O1725" s="1" t="s">
        <v>45</v>
      </c>
      <c r="P1725" s="1" t="s">
        <v>46</v>
      </c>
      <c r="Q1725" s="2">
        <v>0.03</v>
      </c>
      <c r="R1725" s="138"/>
      <c r="T1725" s="4">
        <v>7017.59</v>
      </c>
      <c r="U1725" s="4">
        <v>9613.89</v>
      </c>
      <c r="V1725" s="4">
        <v>14036.450000000004</v>
      </c>
      <c r="W1725" s="13">
        <f t="shared" si="248"/>
        <v>2595.0299999999952</v>
      </c>
      <c r="X1725" s="13">
        <f t="shared" si="249"/>
        <v>13627.621359223305</v>
      </c>
      <c r="Y1725" s="13">
        <f t="shared" si="251"/>
        <v>0</v>
      </c>
      <c r="Z1725" s="2">
        <v>0</v>
      </c>
      <c r="AA1725" s="4">
        <v>0</v>
      </c>
      <c r="AB1725" s="4">
        <f t="shared" si="252"/>
        <v>13627.621359223305</v>
      </c>
      <c r="AC1725" s="6">
        <f t="shared" si="253"/>
        <v>408.8286407766991</v>
      </c>
      <c r="AD1725" s="4">
        <v>14036.450000000004</v>
      </c>
      <c r="AE1725" s="2">
        <v>0.06</v>
      </c>
      <c r="AF1725" s="5">
        <f t="shared" si="254"/>
        <v>842.18700000000024</v>
      </c>
      <c r="AG1725" s="2">
        <v>0</v>
      </c>
      <c r="AH1725" s="4">
        <f t="shared" si="250"/>
        <v>14036.450000000004</v>
      </c>
      <c r="AJ1725" s="126" t="e">
        <v>#N/A</v>
      </c>
      <c r="AK1725" s="80">
        <f t="shared" si="255"/>
        <v>0</v>
      </c>
      <c r="AM1725" s="85"/>
    </row>
    <row r="1726" spans="1:39" hidden="1" x14ac:dyDescent="0.3">
      <c r="A1726" s="85" t="s">
        <v>34</v>
      </c>
      <c r="B1726" s="3" t="s">
        <v>35</v>
      </c>
      <c r="C1726" s="3" t="s">
        <v>144</v>
      </c>
      <c r="D1726" s="3" t="s">
        <v>152</v>
      </c>
      <c r="E1726" s="3" t="s">
        <v>157</v>
      </c>
      <c r="F1726" s="3" t="s">
        <v>157</v>
      </c>
      <c r="G1726" s="3" t="s">
        <v>157</v>
      </c>
      <c r="I1726" s="3" t="s">
        <v>2374</v>
      </c>
      <c r="J1726" s="1" t="s">
        <v>3322</v>
      </c>
      <c r="K1726" s="1" t="s">
        <v>3269</v>
      </c>
      <c r="L1726" s="1" t="s">
        <v>35</v>
      </c>
      <c r="M1726" s="3" t="s">
        <v>157</v>
      </c>
      <c r="O1726" s="1" t="s">
        <v>45</v>
      </c>
      <c r="P1726" s="1" t="s">
        <v>41</v>
      </c>
      <c r="Q1726" s="2">
        <v>0</v>
      </c>
      <c r="R1726" s="138"/>
      <c r="T1726" s="4">
        <v>0</v>
      </c>
      <c r="U1726" s="4">
        <v>2100000</v>
      </c>
      <c r="V1726" s="4">
        <v>1345176.1989000016</v>
      </c>
      <c r="W1726" s="13">
        <f t="shared" si="248"/>
        <v>754823.80109999841</v>
      </c>
      <c r="X1726" s="13">
        <f t="shared" si="249"/>
        <v>1345176.1989000016</v>
      </c>
      <c r="Y1726" s="13">
        <f t="shared" si="251"/>
        <v>0</v>
      </c>
      <c r="Z1726" s="2">
        <v>0</v>
      </c>
      <c r="AA1726" s="4">
        <v>0</v>
      </c>
      <c r="AB1726" s="4">
        <f t="shared" si="252"/>
        <v>1345176.1989000016</v>
      </c>
      <c r="AC1726" s="6">
        <f t="shared" si="253"/>
        <v>0</v>
      </c>
      <c r="AD1726" s="4">
        <v>1807430.8800000004</v>
      </c>
      <c r="AE1726" s="2">
        <v>0.06</v>
      </c>
      <c r="AF1726" s="5">
        <f t="shared" si="254"/>
        <v>108445.85280000002</v>
      </c>
      <c r="AG1726" s="2">
        <v>0</v>
      </c>
      <c r="AH1726" s="4">
        <f t="shared" si="250"/>
        <v>1345176.1989000016</v>
      </c>
      <c r="AJ1726" s="126" t="e">
        <v>#N/A</v>
      </c>
      <c r="AK1726" s="80">
        <f t="shared" si="255"/>
        <v>0</v>
      </c>
      <c r="AM1726" s="85"/>
    </row>
    <row r="1727" spans="1:39" hidden="1" x14ac:dyDescent="0.3">
      <c r="A1727" s="85" t="s">
        <v>34</v>
      </c>
      <c r="B1727" s="3" t="s">
        <v>35</v>
      </c>
      <c r="C1727" s="3" t="s">
        <v>144</v>
      </c>
      <c r="D1727" s="3" t="s">
        <v>161</v>
      </c>
      <c r="E1727" s="3" t="s">
        <v>1903</v>
      </c>
      <c r="F1727" s="3" t="s">
        <v>1903</v>
      </c>
      <c r="G1727" s="3" t="s">
        <v>1903</v>
      </c>
      <c r="I1727" s="3" t="s">
        <v>2374</v>
      </c>
      <c r="J1727" s="1" t="s">
        <v>3322</v>
      </c>
      <c r="K1727" s="1" t="s">
        <v>3269</v>
      </c>
      <c r="L1727" s="1" t="s">
        <v>35</v>
      </c>
      <c r="M1727" s="3" t="s">
        <v>2148</v>
      </c>
      <c r="O1727" s="1" t="s">
        <v>45</v>
      </c>
      <c r="P1727" s="1" t="s">
        <v>41</v>
      </c>
      <c r="Q1727" s="2">
        <v>0</v>
      </c>
      <c r="R1727" s="138"/>
      <c r="T1727" s="4">
        <v>0</v>
      </c>
      <c r="U1727" s="4">
        <v>50000</v>
      </c>
      <c r="V1727" s="4">
        <v>25201.76999999999</v>
      </c>
      <c r="W1727" s="13">
        <f t="shared" si="248"/>
        <v>24798.23000000001</v>
      </c>
      <c r="X1727" s="13">
        <f t="shared" si="249"/>
        <v>25201.76999999999</v>
      </c>
      <c r="Y1727" s="13">
        <f t="shared" si="251"/>
        <v>0</v>
      </c>
      <c r="Z1727" s="2">
        <v>0</v>
      </c>
      <c r="AA1727" s="4">
        <v>0</v>
      </c>
      <c r="AB1727" s="4">
        <f t="shared" si="252"/>
        <v>25201.76999999999</v>
      </c>
      <c r="AC1727" s="6">
        <f t="shared" si="253"/>
        <v>0</v>
      </c>
      <c r="AD1727" s="4">
        <v>25201.76999999999</v>
      </c>
      <c r="AE1727" s="2">
        <v>0.06</v>
      </c>
      <c r="AF1727" s="5">
        <f t="shared" si="254"/>
        <v>1512.1061999999993</v>
      </c>
      <c r="AG1727" s="2">
        <v>0</v>
      </c>
      <c r="AH1727" s="4">
        <f t="shared" si="250"/>
        <v>25201.76999999999</v>
      </c>
      <c r="AJ1727" s="126" t="e">
        <v>#N/A</v>
      </c>
      <c r="AK1727" s="80">
        <f t="shared" si="255"/>
        <v>0</v>
      </c>
      <c r="AM1727" s="85"/>
    </row>
    <row r="1728" spans="1:39" hidden="1" x14ac:dyDescent="0.3">
      <c r="A1728" s="85" t="s">
        <v>34</v>
      </c>
      <c r="B1728" s="3" t="s">
        <v>35</v>
      </c>
      <c r="C1728" s="3" t="s">
        <v>164</v>
      </c>
      <c r="D1728" s="3" t="s">
        <v>165</v>
      </c>
      <c r="E1728" s="3" t="s">
        <v>2436</v>
      </c>
      <c r="F1728" s="3" t="s">
        <v>3755</v>
      </c>
      <c r="G1728" s="3" t="s">
        <v>2436</v>
      </c>
      <c r="I1728" s="3" t="s">
        <v>2374</v>
      </c>
      <c r="J1728" s="1" t="s">
        <v>3322</v>
      </c>
      <c r="K1728" s="1" t="s">
        <v>3269</v>
      </c>
      <c r="L1728" s="1" t="s">
        <v>35</v>
      </c>
      <c r="M1728" s="3" t="s">
        <v>3683</v>
      </c>
      <c r="O1728" s="1" t="s">
        <v>40</v>
      </c>
      <c r="P1728" s="1" t="s">
        <v>46</v>
      </c>
      <c r="Q1728" s="2">
        <v>0.03</v>
      </c>
      <c r="R1728" s="138"/>
      <c r="S1728" s="3" t="s">
        <v>3684</v>
      </c>
      <c r="T1728" s="4">
        <v>0</v>
      </c>
      <c r="U1728" s="4">
        <v>154500</v>
      </c>
      <c r="V1728" s="4">
        <f>158501.16-23871.76</f>
        <v>134629.4</v>
      </c>
      <c r="W1728" s="13">
        <f t="shared" ref="W1728:W1791" si="256">T1728+U1728-V1728</f>
        <v>19870.600000000006</v>
      </c>
      <c r="X1728" s="13">
        <f t="shared" si="249"/>
        <v>130708.15533980582</v>
      </c>
      <c r="Y1728" s="13">
        <f t="shared" si="251"/>
        <v>0</v>
      </c>
      <c r="Z1728" s="2">
        <v>0</v>
      </c>
      <c r="AA1728" s="4">
        <v>0</v>
      </c>
      <c r="AB1728" s="4">
        <f t="shared" si="252"/>
        <v>130708.15533980582</v>
      </c>
      <c r="AC1728" s="6">
        <f t="shared" si="253"/>
        <v>3921.2446601941774</v>
      </c>
      <c r="AD1728" s="4">
        <v>134629.39999999994</v>
      </c>
      <c r="AE1728" s="2">
        <v>7.0000000000000007E-2</v>
      </c>
      <c r="AF1728" s="5">
        <f t="shared" si="254"/>
        <v>9424.0579999999973</v>
      </c>
      <c r="AG1728" s="2">
        <v>0</v>
      </c>
      <c r="AH1728" s="4">
        <f t="shared" si="250"/>
        <v>134629.4</v>
      </c>
      <c r="AJ1728" s="126" t="e">
        <v>#N/A</v>
      </c>
      <c r="AK1728" s="80">
        <f t="shared" si="255"/>
        <v>0</v>
      </c>
      <c r="AM1728" s="85"/>
    </row>
    <row r="1729" spans="1:39" hidden="1" x14ac:dyDescent="0.3">
      <c r="A1729" s="85" t="s">
        <v>34</v>
      </c>
      <c r="B1729" s="3" t="s">
        <v>35</v>
      </c>
      <c r="C1729" s="3" t="s">
        <v>187</v>
      </c>
      <c r="D1729" s="3" t="s">
        <v>188</v>
      </c>
      <c r="E1729" s="3" t="s">
        <v>2437</v>
      </c>
      <c r="F1729" s="3" t="s">
        <v>2437</v>
      </c>
      <c r="G1729" s="3" t="s">
        <v>2437</v>
      </c>
      <c r="I1729" s="3" t="s">
        <v>2374</v>
      </c>
      <c r="J1729" s="1" t="s">
        <v>3322</v>
      </c>
      <c r="K1729" s="1" t="s">
        <v>3269</v>
      </c>
      <c r="L1729" s="1" t="s">
        <v>35</v>
      </c>
      <c r="M1729" s="3" t="s">
        <v>2438</v>
      </c>
      <c r="O1729" s="1" t="s">
        <v>40</v>
      </c>
      <c r="P1729" s="1" t="s">
        <v>46</v>
      </c>
      <c r="Q1729" s="2">
        <v>0.02</v>
      </c>
      <c r="R1729" s="138"/>
      <c r="T1729" s="4">
        <v>639407.47800000024</v>
      </c>
      <c r="U1729" s="4">
        <v>851999.98800000001</v>
      </c>
      <c r="V1729" s="4">
        <v>1139509.23</v>
      </c>
      <c r="W1729" s="13">
        <f t="shared" si="256"/>
        <v>351898.23600000027</v>
      </c>
      <c r="X1729" s="13">
        <f t="shared" ref="X1729:X1792" si="257">IF(P1729="折扣",V1729*Q1729,IF(P1729="返现",V1729,V1729/(1+Q1729+AG1729)))</f>
        <v>802471.28873239434</v>
      </c>
      <c r="Y1729" s="13">
        <f t="shared" si="251"/>
        <v>0</v>
      </c>
      <c r="Z1729" s="2">
        <v>0</v>
      </c>
      <c r="AA1729" s="4">
        <v>0</v>
      </c>
      <c r="AB1729" s="4">
        <f t="shared" si="252"/>
        <v>802471.28873239434</v>
      </c>
      <c r="AC1729" s="6">
        <f t="shared" si="253"/>
        <v>337037.94126760564</v>
      </c>
      <c r="AD1729" s="4">
        <v>813933.66000000027</v>
      </c>
      <c r="AE1729" s="2">
        <v>7.0000000000000007E-2</v>
      </c>
      <c r="AF1729" s="5">
        <f t="shared" si="254"/>
        <v>56975.356200000024</v>
      </c>
      <c r="AG1729" s="2">
        <v>0.4</v>
      </c>
      <c r="AH1729" s="4">
        <f t="shared" ref="AH1729:AH1792" si="258">V1729/(1+AG1729)</f>
        <v>813935.16428571427</v>
      </c>
      <c r="AJ1729" s="126" t="e">
        <v>#N/A</v>
      </c>
      <c r="AK1729" s="80">
        <f t="shared" si="255"/>
        <v>0</v>
      </c>
      <c r="AM1729" s="85"/>
    </row>
    <row r="1730" spans="1:39" hidden="1" x14ac:dyDescent="0.3">
      <c r="A1730" s="85" t="s">
        <v>34</v>
      </c>
      <c r="B1730" s="3" t="s">
        <v>35</v>
      </c>
      <c r="C1730" s="3" t="s">
        <v>187</v>
      </c>
      <c r="D1730" s="3" t="s">
        <v>188</v>
      </c>
      <c r="E1730" s="3" t="s">
        <v>2439</v>
      </c>
      <c r="F1730" s="3" t="s">
        <v>2439</v>
      </c>
      <c r="G1730" s="3" t="s">
        <v>2439</v>
      </c>
      <c r="I1730" s="3" t="s">
        <v>2374</v>
      </c>
      <c r="J1730" s="1" t="s">
        <v>3322</v>
      </c>
      <c r="K1730" s="1" t="s">
        <v>3269</v>
      </c>
      <c r="L1730" s="1" t="s">
        <v>35</v>
      </c>
      <c r="M1730" s="3" t="s">
        <v>2438</v>
      </c>
      <c r="O1730" s="1" t="s">
        <v>45</v>
      </c>
      <c r="P1730" s="1" t="s">
        <v>46</v>
      </c>
      <c r="Q1730" s="2">
        <v>0.05</v>
      </c>
      <c r="R1730" s="138"/>
      <c r="T1730" s="4">
        <v>24437.656100000037</v>
      </c>
      <c r="U1730" s="4">
        <v>84599.993400000007</v>
      </c>
      <c r="V1730" s="4">
        <v>91234.439999999988</v>
      </c>
      <c r="W1730" s="13">
        <f t="shared" si="256"/>
        <v>17803.209500000055</v>
      </c>
      <c r="X1730" s="13">
        <f t="shared" si="257"/>
        <v>64249.605633802814</v>
      </c>
      <c r="Y1730" s="13">
        <f t="shared" si="251"/>
        <v>0</v>
      </c>
      <c r="Z1730" s="2">
        <v>0</v>
      </c>
      <c r="AA1730" s="4">
        <v>0</v>
      </c>
      <c r="AB1730" s="4">
        <f t="shared" si="252"/>
        <v>64249.605633802814</v>
      </c>
      <c r="AC1730" s="6">
        <f t="shared" si="253"/>
        <v>26984.834366197174</v>
      </c>
      <c r="AD1730" s="4">
        <v>66594.339999999982</v>
      </c>
      <c r="AE1730" s="2">
        <v>0.06</v>
      </c>
      <c r="AF1730" s="5">
        <f t="shared" si="254"/>
        <v>3995.6603999999988</v>
      </c>
      <c r="AG1730" s="2">
        <v>0.37</v>
      </c>
      <c r="AH1730" s="4">
        <f t="shared" si="258"/>
        <v>66594.481751824802</v>
      </c>
      <c r="AJ1730" s="126" t="e">
        <v>#N/A</v>
      </c>
      <c r="AK1730" s="80">
        <f t="shared" si="255"/>
        <v>0</v>
      </c>
      <c r="AM1730" s="85"/>
    </row>
    <row r="1731" spans="1:39" hidden="1" x14ac:dyDescent="0.3">
      <c r="A1731" s="85" t="s">
        <v>34</v>
      </c>
      <c r="B1731" s="3" t="s">
        <v>35</v>
      </c>
      <c r="C1731" s="3" t="s">
        <v>187</v>
      </c>
      <c r="D1731" s="3" t="s">
        <v>188</v>
      </c>
      <c r="E1731" s="3" t="s">
        <v>2438</v>
      </c>
      <c r="F1731" s="3" t="s">
        <v>2438</v>
      </c>
      <c r="G1731" s="3" t="s">
        <v>2438</v>
      </c>
      <c r="I1731" s="3" t="s">
        <v>2374</v>
      </c>
      <c r="J1731" s="1" t="s">
        <v>3322</v>
      </c>
      <c r="K1731" s="1" t="s">
        <v>3269</v>
      </c>
      <c r="L1731" s="1" t="s">
        <v>35</v>
      </c>
      <c r="M1731" s="3" t="s">
        <v>2438</v>
      </c>
      <c r="O1731" s="1" t="s">
        <v>40</v>
      </c>
      <c r="P1731" s="1" t="s">
        <v>46</v>
      </c>
      <c r="Q1731" s="2">
        <v>0.08</v>
      </c>
      <c r="R1731" s="138"/>
      <c r="T1731" s="4">
        <v>-336580.18380000768</v>
      </c>
      <c r="U1731" s="4">
        <v>1006400.0099999998</v>
      </c>
      <c r="V1731" s="4">
        <v>1198395.45</v>
      </c>
      <c r="W1731" s="13">
        <f t="shared" si="256"/>
        <v>-528575.62380000786</v>
      </c>
      <c r="X1731" s="13">
        <f t="shared" si="257"/>
        <v>809726.65540540533</v>
      </c>
      <c r="Y1731" s="13">
        <f t="shared" ref="Y1731:Y1794" si="259">IF(X1731-AD1731&lt;=0,0,IF(P1731="返现",MAX(X1731-AC1731-AD1731,0),MAX(X1731-AD1731)))</f>
        <v>0</v>
      </c>
      <c r="Z1731" s="2">
        <v>0</v>
      </c>
      <c r="AA1731" s="4">
        <v>0</v>
      </c>
      <c r="AB1731" s="4">
        <f t="shared" ref="AB1731:AB1794" si="260">X1731+AA1731</f>
        <v>809726.65540540533</v>
      </c>
      <c r="AC1731" s="6">
        <f t="shared" ref="AC1731:AC1794" si="261">IF(P1731="返现",X1731*Q1731,V1731-X1731)</f>
        <v>388668.79459459463</v>
      </c>
      <c r="AD1731" s="4">
        <v>857085.17999999982</v>
      </c>
      <c r="AE1731" s="2">
        <v>7.0000000000000007E-2</v>
      </c>
      <c r="AF1731" s="5">
        <f t="shared" ref="AF1731:AF1794" si="262">AD1731*AE1731</f>
        <v>59995.962599999992</v>
      </c>
      <c r="AG1731" s="2">
        <v>0.4</v>
      </c>
      <c r="AH1731" s="4">
        <f t="shared" si="258"/>
        <v>855996.75</v>
      </c>
      <c r="AJ1731" s="126" t="e">
        <v>#N/A</v>
      </c>
      <c r="AK1731" s="80">
        <f t="shared" ref="AK1731:AK1794" si="263">X1731+AA1731-AB1731</f>
        <v>0</v>
      </c>
      <c r="AM1731" s="85"/>
    </row>
    <row r="1732" spans="1:39" hidden="1" x14ac:dyDescent="0.3">
      <c r="A1732" s="85" t="s">
        <v>34</v>
      </c>
      <c r="B1732" s="3" t="s">
        <v>35</v>
      </c>
      <c r="C1732" s="3" t="s">
        <v>187</v>
      </c>
      <c r="D1732" s="3" t="s">
        <v>188</v>
      </c>
      <c r="E1732" s="3" t="s">
        <v>2440</v>
      </c>
      <c r="F1732" s="3" t="s">
        <v>2440</v>
      </c>
      <c r="G1732" s="3" t="s">
        <v>2440</v>
      </c>
      <c r="I1732" s="3" t="s">
        <v>2374</v>
      </c>
      <c r="J1732" s="1" t="s">
        <v>3322</v>
      </c>
      <c r="K1732" s="1" t="s">
        <v>3269</v>
      </c>
      <c r="L1732" s="1" t="s">
        <v>35</v>
      </c>
      <c r="M1732" s="3" t="s">
        <v>2438</v>
      </c>
      <c r="O1732" s="1" t="s">
        <v>40</v>
      </c>
      <c r="P1732" s="1" t="s">
        <v>46</v>
      </c>
      <c r="Q1732" s="2">
        <v>0.01</v>
      </c>
      <c r="R1732" s="138"/>
      <c r="T1732" s="4">
        <v>31318.407846351212</v>
      </c>
      <c r="U1732" s="4">
        <v>155099.99399999998</v>
      </c>
      <c r="V1732" s="4">
        <v>162456.53000000006</v>
      </c>
      <c r="W1732" s="13">
        <f t="shared" si="256"/>
        <v>23961.871846351132</v>
      </c>
      <c r="X1732" s="13">
        <f t="shared" si="257"/>
        <v>115217.39716312059</v>
      </c>
      <c r="Y1732" s="13">
        <f t="shared" si="259"/>
        <v>0</v>
      </c>
      <c r="Z1732" s="2">
        <v>0</v>
      </c>
      <c r="AA1732" s="4">
        <v>0</v>
      </c>
      <c r="AB1732" s="4">
        <f t="shared" si="260"/>
        <v>115217.39716312059</v>
      </c>
      <c r="AC1732" s="6">
        <f t="shared" si="261"/>
        <v>47239.132836879464</v>
      </c>
      <c r="AD1732" s="4">
        <v>116040.31999999999</v>
      </c>
      <c r="AE1732" s="2">
        <v>7.0000000000000007E-2</v>
      </c>
      <c r="AF1732" s="5">
        <f t="shared" si="262"/>
        <v>8122.8224</v>
      </c>
      <c r="AG1732" s="2">
        <v>0.4</v>
      </c>
      <c r="AH1732" s="4">
        <f t="shared" si="258"/>
        <v>116040.37857142862</v>
      </c>
      <c r="AJ1732" s="126" t="e">
        <v>#N/A</v>
      </c>
      <c r="AK1732" s="80">
        <f t="shared" si="263"/>
        <v>0</v>
      </c>
      <c r="AM1732" s="85"/>
    </row>
    <row r="1733" spans="1:39" hidden="1" x14ac:dyDescent="0.3">
      <c r="A1733" s="85" t="s">
        <v>34</v>
      </c>
      <c r="B1733" s="3" t="s">
        <v>35</v>
      </c>
      <c r="C1733" s="3" t="s">
        <v>187</v>
      </c>
      <c r="D1733" s="3" t="s">
        <v>188</v>
      </c>
      <c r="E1733" s="3" t="s">
        <v>2441</v>
      </c>
      <c r="F1733" s="3" t="s">
        <v>2441</v>
      </c>
      <c r="G1733" s="3" t="s">
        <v>2441</v>
      </c>
      <c r="I1733" s="3" t="s">
        <v>2374</v>
      </c>
      <c r="J1733" s="1" t="s">
        <v>3322</v>
      </c>
      <c r="K1733" s="1" t="s">
        <v>3269</v>
      </c>
      <c r="L1733" s="1" t="s">
        <v>35</v>
      </c>
      <c r="M1733" s="3" t="s">
        <v>2438</v>
      </c>
      <c r="O1733" s="1" t="s">
        <v>45</v>
      </c>
      <c r="P1733" s="1" t="s">
        <v>46</v>
      </c>
      <c r="Q1733" s="2">
        <v>0.01</v>
      </c>
      <c r="R1733" s="138"/>
      <c r="T1733" s="4">
        <v>166078.39387153165</v>
      </c>
      <c r="U1733" s="4">
        <v>138000.00409999999</v>
      </c>
      <c r="V1733" s="4">
        <v>165105.24</v>
      </c>
      <c r="W1733" s="13">
        <f t="shared" si="256"/>
        <v>138973.15797153162</v>
      </c>
      <c r="X1733" s="13">
        <f t="shared" si="257"/>
        <v>119641.47826086957</v>
      </c>
      <c r="Y1733" s="13">
        <f t="shared" si="259"/>
        <v>0</v>
      </c>
      <c r="Z1733" s="2">
        <v>0</v>
      </c>
      <c r="AA1733" s="4">
        <v>0</v>
      </c>
      <c r="AB1733" s="4">
        <f t="shared" si="260"/>
        <v>119641.47826086957</v>
      </c>
      <c r="AC1733" s="6">
        <f t="shared" si="261"/>
        <v>45463.761739130423</v>
      </c>
      <c r="AD1733" s="4">
        <v>120514.52</v>
      </c>
      <c r="AE1733" s="2">
        <v>0.06</v>
      </c>
      <c r="AF1733" s="5">
        <f t="shared" si="262"/>
        <v>7230.8711999999996</v>
      </c>
      <c r="AG1733" s="2">
        <v>0.37</v>
      </c>
      <c r="AH1733" s="4">
        <f t="shared" si="258"/>
        <v>120514.77372262772</v>
      </c>
      <c r="AJ1733" s="126" t="e">
        <v>#N/A</v>
      </c>
      <c r="AK1733" s="80">
        <f t="shared" si="263"/>
        <v>0</v>
      </c>
      <c r="AM1733" s="85"/>
    </row>
    <row r="1734" spans="1:39" hidden="1" x14ac:dyDescent="0.3">
      <c r="A1734" s="85" t="s">
        <v>34</v>
      </c>
      <c r="B1734" s="3" t="s">
        <v>35</v>
      </c>
      <c r="C1734" s="3" t="s">
        <v>187</v>
      </c>
      <c r="D1734" s="3" t="s">
        <v>188</v>
      </c>
      <c r="E1734" s="3" t="s">
        <v>2442</v>
      </c>
      <c r="F1734" s="3" t="s">
        <v>2443</v>
      </c>
      <c r="G1734" s="3" t="s">
        <v>2442</v>
      </c>
      <c r="I1734" s="3" t="s">
        <v>2374</v>
      </c>
      <c r="J1734" s="1" t="s">
        <v>3322</v>
      </c>
      <c r="K1734" s="1" t="s">
        <v>3269</v>
      </c>
      <c r="L1734" s="1" t="s">
        <v>35</v>
      </c>
      <c r="M1734" s="3" t="s">
        <v>2438</v>
      </c>
      <c r="O1734" s="1" t="s">
        <v>45</v>
      </c>
      <c r="P1734" s="1" t="s">
        <v>41</v>
      </c>
      <c r="Q1734" s="2">
        <v>0</v>
      </c>
      <c r="R1734" s="138"/>
      <c r="T1734" s="4">
        <v>17180.663400000005</v>
      </c>
      <c r="U1734" s="4">
        <v>164400</v>
      </c>
      <c r="V1734" s="4">
        <v>55878.480000000025</v>
      </c>
      <c r="W1734" s="13">
        <f t="shared" si="256"/>
        <v>125702.18339999999</v>
      </c>
      <c r="X1734" s="13">
        <f t="shared" si="257"/>
        <v>40787.211678832129</v>
      </c>
      <c r="Y1734" s="13">
        <f t="shared" si="259"/>
        <v>0.16167883214075118</v>
      </c>
      <c r="Z1734" s="2">
        <v>0</v>
      </c>
      <c r="AA1734" s="4">
        <v>0</v>
      </c>
      <c r="AB1734" s="4">
        <f t="shared" si="260"/>
        <v>40787.211678832129</v>
      </c>
      <c r="AC1734" s="6">
        <f t="shared" si="261"/>
        <v>15091.268321167896</v>
      </c>
      <c r="AD1734" s="4">
        <v>40787.049999999988</v>
      </c>
      <c r="AE1734" s="2">
        <v>0.06</v>
      </c>
      <c r="AF1734" s="5">
        <f t="shared" si="262"/>
        <v>2447.222999999999</v>
      </c>
      <c r="AG1734" s="2">
        <v>0.37</v>
      </c>
      <c r="AH1734" s="4">
        <f t="shared" si="258"/>
        <v>40787.211678832129</v>
      </c>
      <c r="AJ1734" s="126" t="e">
        <v>#N/A</v>
      </c>
      <c r="AK1734" s="80">
        <f t="shared" si="263"/>
        <v>0</v>
      </c>
      <c r="AM1734" s="85"/>
    </row>
    <row r="1735" spans="1:39" hidden="1" x14ac:dyDescent="0.3">
      <c r="A1735" s="85" t="s">
        <v>34</v>
      </c>
      <c r="B1735" s="3" t="s">
        <v>35</v>
      </c>
      <c r="C1735" s="3" t="s">
        <v>187</v>
      </c>
      <c r="D1735" s="3" t="s">
        <v>188</v>
      </c>
      <c r="E1735" s="3" t="s">
        <v>2442</v>
      </c>
      <c r="F1735" s="3" t="s">
        <v>2443</v>
      </c>
      <c r="G1735" s="3" t="s">
        <v>2442</v>
      </c>
      <c r="I1735" s="3" t="s">
        <v>2374</v>
      </c>
      <c r="J1735" s="1" t="s">
        <v>3322</v>
      </c>
      <c r="K1735" s="1" t="s">
        <v>3269</v>
      </c>
      <c r="L1735" s="1" t="s">
        <v>35</v>
      </c>
      <c r="M1735" s="3" t="s">
        <v>2438</v>
      </c>
      <c r="O1735" s="1" t="s">
        <v>40</v>
      </c>
      <c r="P1735" s="1" t="s">
        <v>41</v>
      </c>
      <c r="Q1735" s="2">
        <v>0</v>
      </c>
      <c r="R1735" s="138"/>
      <c r="T1735" s="4">
        <v>22133.851699998078</v>
      </c>
      <c r="U1735" s="4">
        <v>14000</v>
      </c>
      <c r="V1735" s="4">
        <v>16238.07</v>
      </c>
      <c r="W1735" s="13">
        <f t="shared" si="256"/>
        <v>19895.781699998079</v>
      </c>
      <c r="X1735" s="13">
        <f t="shared" si="257"/>
        <v>11598.621428571429</v>
      </c>
      <c r="Y1735" s="13">
        <f t="shared" si="259"/>
        <v>1.4285714278230444E-3</v>
      </c>
      <c r="Z1735" s="2">
        <v>0</v>
      </c>
      <c r="AA1735" s="4">
        <v>0</v>
      </c>
      <c r="AB1735" s="4">
        <f t="shared" si="260"/>
        <v>11598.621428571429</v>
      </c>
      <c r="AC1735" s="6">
        <f t="shared" si="261"/>
        <v>4639.4485714285711</v>
      </c>
      <c r="AD1735" s="4">
        <v>11598.62</v>
      </c>
      <c r="AE1735" s="2">
        <v>7.0000000000000007E-2</v>
      </c>
      <c r="AF1735" s="5">
        <f t="shared" si="262"/>
        <v>811.90340000000015</v>
      </c>
      <c r="AG1735" s="2">
        <v>0.4</v>
      </c>
      <c r="AH1735" s="4">
        <f t="shared" si="258"/>
        <v>11598.621428571429</v>
      </c>
      <c r="AJ1735" s="126" t="e">
        <v>#N/A</v>
      </c>
      <c r="AK1735" s="80">
        <f t="shared" si="263"/>
        <v>0</v>
      </c>
      <c r="AM1735" s="85"/>
    </row>
    <row r="1736" spans="1:39" hidden="1" x14ac:dyDescent="0.3">
      <c r="A1736" s="85" t="s">
        <v>34</v>
      </c>
      <c r="B1736" s="3" t="s">
        <v>35</v>
      </c>
      <c r="C1736" s="3" t="s">
        <v>187</v>
      </c>
      <c r="D1736" s="3" t="s">
        <v>188</v>
      </c>
      <c r="E1736" s="3" t="s">
        <v>2444</v>
      </c>
      <c r="F1736" s="3" t="s">
        <v>2444</v>
      </c>
      <c r="G1736" s="3" t="s">
        <v>2444</v>
      </c>
      <c r="I1736" s="3" t="s">
        <v>2374</v>
      </c>
      <c r="J1736" s="1" t="s">
        <v>3322</v>
      </c>
      <c r="K1736" s="1" t="s">
        <v>3269</v>
      </c>
      <c r="L1736" s="1" t="s">
        <v>35</v>
      </c>
      <c r="M1736" s="3" t="s">
        <v>2438</v>
      </c>
      <c r="O1736" s="1" t="s">
        <v>45</v>
      </c>
      <c r="P1736" s="1" t="s">
        <v>46</v>
      </c>
      <c r="Q1736" s="2">
        <v>0.03</v>
      </c>
      <c r="R1736" s="138"/>
      <c r="T1736" s="4">
        <v>56048.206892700226</v>
      </c>
      <c r="U1736" s="4">
        <v>419999.99579999998</v>
      </c>
      <c r="V1736" s="4">
        <v>391300.68000000011</v>
      </c>
      <c r="W1736" s="13">
        <f t="shared" si="256"/>
        <v>84747.522692700091</v>
      </c>
      <c r="X1736" s="13">
        <f t="shared" si="257"/>
        <v>279500.48571428581</v>
      </c>
      <c r="Y1736" s="13">
        <f t="shared" si="259"/>
        <v>0</v>
      </c>
      <c r="Z1736" s="2">
        <v>0</v>
      </c>
      <c r="AA1736" s="4">
        <v>0</v>
      </c>
      <c r="AB1736" s="4">
        <f t="shared" si="260"/>
        <v>279500.48571428581</v>
      </c>
      <c r="AC1736" s="6">
        <f t="shared" si="261"/>
        <v>111800.1942857143</v>
      </c>
      <c r="AD1736" s="4">
        <v>285620.9599999999</v>
      </c>
      <c r="AE1736" s="2">
        <v>0.06</v>
      </c>
      <c r="AF1736" s="5">
        <f t="shared" si="262"/>
        <v>17137.257599999994</v>
      </c>
      <c r="AG1736" s="2">
        <v>0.37</v>
      </c>
      <c r="AH1736" s="4">
        <f t="shared" si="258"/>
        <v>285620.9343065694</v>
      </c>
      <c r="AJ1736" s="126" t="e">
        <v>#N/A</v>
      </c>
      <c r="AK1736" s="80">
        <f t="shared" si="263"/>
        <v>0</v>
      </c>
      <c r="AM1736" s="85"/>
    </row>
    <row r="1737" spans="1:39" hidden="1" x14ac:dyDescent="0.3">
      <c r="A1737" s="85" t="s">
        <v>34</v>
      </c>
      <c r="B1737" s="3" t="s">
        <v>35</v>
      </c>
      <c r="C1737" s="3" t="s">
        <v>187</v>
      </c>
      <c r="D1737" s="3" t="s">
        <v>188</v>
      </c>
      <c r="E1737" s="3" t="s">
        <v>2444</v>
      </c>
      <c r="F1737" s="3" t="s">
        <v>2444</v>
      </c>
      <c r="G1737" s="3" t="s">
        <v>2444</v>
      </c>
      <c r="I1737" s="3" t="s">
        <v>2374</v>
      </c>
      <c r="J1737" s="1" t="s">
        <v>3322</v>
      </c>
      <c r="K1737" s="1" t="s">
        <v>3269</v>
      </c>
      <c r="L1737" s="1" t="s">
        <v>35</v>
      </c>
      <c r="M1737" s="3" t="s">
        <v>2438</v>
      </c>
      <c r="O1737" s="1" t="s">
        <v>40</v>
      </c>
      <c r="P1737" s="1" t="s">
        <v>46</v>
      </c>
      <c r="Q1737" s="2">
        <v>0.05</v>
      </c>
      <c r="R1737" s="138"/>
      <c r="T1737" s="4">
        <v>134255.01199999999</v>
      </c>
      <c r="U1737" s="4">
        <v>434999.99199999991</v>
      </c>
      <c r="V1737" s="4">
        <v>419881.37150000024</v>
      </c>
      <c r="W1737" s="13">
        <f t="shared" si="256"/>
        <v>149373.63249999972</v>
      </c>
      <c r="X1737" s="13">
        <f t="shared" si="257"/>
        <v>289573.35965517256</v>
      </c>
      <c r="Y1737" s="13">
        <f t="shared" si="259"/>
        <v>0</v>
      </c>
      <c r="Z1737" s="2">
        <v>0</v>
      </c>
      <c r="AA1737" s="4">
        <v>0</v>
      </c>
      <c r="AB1737" s="4">
        <f t="shared" si="260"/>
        <v>289573.35965517256</v>
      </c>
      <c r="AC1737" s="6">
        <f t="shared" si="261"/>
        <v>130308.01184482768</v>
      </c>
      <c r="AD1737" s="4">
        <v>372277.05</v>
      </c>
      <c r="AE1737" s="2">
        <v>7.0000000000000007E-2</v>
      </c>
      <c r="AF1737" s="5">
        <f t="shared" si="262"/>
        <v>26059.393500000002</v>
      </c>
      <c r="AG1737" s="2">
        <v>0.4</v>
      </c>
      <c r="AH1737" s="4">
        <f t="shared" si="258"/>
        <v>299915.26535714307</v>
      </c>
      <c r="AJ1737" s="126" t="e">
        <v>#N/A</v>
      </c>
      <c r="AK1737" s="80">
        <f t="shared" si="263"/>
        <v>0</v>
      </c>
      <c r="AM1737" s="85"/>
    </row>
    <row r="1738" spans="1:39" hidden="1" x14ac:dyDescent="0.3">
      <c r="A1738" s="85" t="s">
        <v>34</v>
      </c>
      <c r="B1738" s="3" t="s">
        <v>35</v>
      </c>
      <c r="C1738" s="3" t="s">
        <v>187</v>
      </c>
      <c r="D1738" s="3" t="s">
        <v>188</v>
      </c>
      <c r="E1738" s="3" t="s">
        <v>199</v>
      </c>
      <c r="F1738" s="3" t="s">
        <v>199</v>
      </c>
      <c r="G1738" s="3" t="s">
        <v>199</v>
      </c>
      <c r="I1738" s="3" t="s">
        <v>2374</v>
      </c>
      <c r="J1738" s="1" t="s">
        <v>3322</v>
      </c>
      <c r="K1738" s="1" t="s">
        <v>3269</v>
      </c>
      <c r="L1738" s="1" t="s">
        <v>35</v>
      </c>
      <c r="M1738" s="3" t="s">
        <v>2438</v>
      </c>
      <c r="O1738" s="1" t="s">
        <v>45</v>
      </c>
      <c r="P1738" s="1" t="s">
        <v>46</v>
      </c>
      <c r="Q1738" s="2">
        <v>7.0000000000000007E-2</v>
      </c>
      <c r="R1738" s="138"/>
      <c r="T1738" s="4">
        <v>236098.16719999979</v>
      </c>
      <c r="U1738" s="4">
        <v>230399.99660000001</v>
      </c>
      <c r="V1738" s="4">
        <v>272948.88</v>
      </c>
      <c r="W1738" s="13">
        <f t="shared" si="256"/>
        <v>193549.2837999998</v>
      </c>
      <c r="X1738" s="13">
        <f t="shared" si="257"/>
        <v>189547.83333333334</v>
      </c>
      <c r="Y1738" s="13">
        <f t="shared" si="259"/>
        <v>0</v>
      </c>
      <c r="Z1738" s="2">
        <v>0</v>
      </c>
      <c r="AA1738" s="4">
        <v>0</v>
      </c>
      <c r="AB1738" s="4">
        <f t="shared" si="260"/>
        <v>189547.83333333334</v>
      </c>
      <c r="AC1738" s="6">
        <f t="shared" si="261"/>
        <v>83401.046666666662</v>
      </c>
      <c r="AD1738" s="4">
        <v>199232.66999999998</v>
      </c>
      <c r="AE1738" s="2">
        <v>0.06</v>
      </c>
      <c r="AF1738" s="5">
        <f t="shared" si="262"/>
        <v>11953.960199999998</v>
      </c>
      <c r="AG1738" s="2">
        <v>0.37</v>
      </c>
      <c r="AH1738" s="4">
        <f t="shared" si="258"/>
        <v>199232.75912408758</v>
      </c>
      <c r="AJ1738" s="126" t="e">
        <v>#N/A</v>
      </c>
      <c r="AK1738" s="80">
        <f t="shared" si="263"/>
        <v>0</v>
      </c>
      <c r="AM1738" s="85"/>
    </row>
    <row r="1739" spans="1:39" hidden="1" x14ac:dyDescent="0.3">
      <c r="A1739" s="85" t="s">
        <v>34</v>
      </c>
      <c r="B1739" s="3" t="s">
        <v>35</v>
      </c>
      <c r="C1739" s="3" t="s">
        <v>187</v>
      </c>
      <c r="D1739" s="3" t="s">
        <v>188</v>
      </c>
      <c r="E1739" s="3" t="s">
        <v>199</v>
      </c>
      <c r="F1739" s="3" t="s">
        <v>199</v>
      </c>
      <c r="G1739" s="3" t="s">
        <v>199</v>
      </c>
      <c r="I1739" s="3" t="s">
        <v>2374</v>
      </c>
      <c r="J1739" s="1" t="s">
        <v>3322</v>
      </c>
      <c r="K1739" s="1" t="s">
        <v>3269</v>
      </c>
      <c r="L1739" s="1" t="s">
        <v>35</v>
      </c>
      <c r="M1739" s="3" t="s">
        <v>2438</v>
      </c>
      <c r="O1739" s="1" t="s">
        <v>40</v>
      </c>
      <c r="P1739" s="1" t="s">
        <v>46</v>
      </c>
      <c r="Q1739" s="2">
        <v>0.08</v>
      </c>
      <c r="R1739" s="138"/>
      <c r="T1739" s="4">
        <v>730120.38734913385</v>
      </c>
      <c r="U1739" s="4">
        <v>444000.00399999996</v>
      </c>
      <c r="V1739" s="4">
        <v>481807.68000000005</v>
      </c>
      <c r="W1739" s="13">
        <f t="shared" si="256"/>
        <v>692312.71134913375</v>
      </c>
      <c r="X1739" s="13">
        <f t="shared" si="257"/>
        <v>325545.72972972976</v>
      </c>
      <c r="Y1739" s="13">
        <f t="shared" si="259"/>
        <v>0</v>
      </c>
      <c r="Z1739" s="2">
        <v>0</v>
      </c>
      <c r="AA1739" s="4">
        <v>0</v>
      </c>
      <c r="AB1739" s="4">
        <f t="shared" si="260"/>
        <v>325545.72972972976</v>
      </c>
      <c r="AC1739" s="6">
        <f t="shared" si="261"/>
        <v>156261.95027027029</v>
      </c>
      <c r="AD1739" s="4">
        <v>342208.85999999987</v>
      </c>
      <c r="AE1739" s="2">
        <v>7.0000000000000007E-2</v>
      </c>
      <c r="AF1739" s="5">
        <f t="shared" si="262"/>
        <v>23954.620199999994</v>
      </c>
      <c r="AG1739" s="2">
        <v>0.4</v>
      </c>
      <c r="AH1739" s="4">
        <f t="shared" si="258"/>
        <v>344148.34285714291</v>
      </c>
      <c r="AJ1739" s="126" t="e">
        <v>#N/A</v>
      </c>
      <c r="AK1739" s="80">
        <f t="shared" si="263"/>
        <v>0</v>
      </c>
      <c r="AM1739" s="85"/>
    </row>
    <row r="1740" spans="1:39" hidden="1" x14ac:dyDescent="0.3">
      <c r="A1740" s="85" t="s">
        <v>34</v>
      </c>
      <c r="B1740" s="3" t="s">
        <v>35</v>
      </c>
      <c r="C1740" s="3" t="s">
        <v>187</v>
      </c>
      <c r="D1740" s="3" t="s">
        <v>188</v>
      </c>
      <c r="E1740" s="3" t="s">
        <v>201</v>
      </c>
      <c r="F1740" s="3" t="s">
        <v>201</v>
      </c>
      <c r="G1740" s="3" t="s">
        <v>201</v>
      </c>
      <c r="I1740" s="3" t="s">
        <v>2374</v>
      </c>
      <c r="J1740" s="1" t="s">
        <v>3322</v>
      </c>
      <c r="K1740" s="1" t="s">
        <v>3269</v>
      </c>
      <c r="L1740" s="1" t="s">
        <v>35</v>
      </c>
      <c r="M1740" s="3" t="s">
        <v>2438</v>
      </c>
      <c r="O1740" s="1" t="s">
        <v>40</v>
      </c>
      <c r="P1740" s="1" t="s">
        <v>46</v>
      </c>
      <c r="Q1740" s="2">
        <v>0.02</v>
      </c>
      <c r="R1740" s="138"/>
      <c r="T1740" s="4">
        <v>235150.41600000011</v>
      </c>
      <c r="U1740" s="4">
        <v>610600.00399999996</v>
      </c>
      <c r="V1740" s="4">
        <v>733113.24000000011</v>
      </c>
      <c r="W1740" s="13">
        <f t="shared" si="256"/>
        <v>112637.17999999993</v>
      </c>
      <c r="X1740" s="13">
        <f t="shared" si="257"/>
        <v>516276.92957746488</v>
      </c>
      <c r="Y1740" s="13">
        <f t="shared" si="259"/>
        <v>0</v>
      </c>
      <c r="Z1740" s="2">
        <v>0</v>
      </c>
      <c r="AA1740" s="4">
        <v>0</v>
      </c>
      <c r="AB1740" s="4">
        <f t="shared" si="260"/>
        <v>516276.92957746488</v>
      </c>
      <c r="AC1740" s="6">
        <f t="shared" si="261"/>
        <v>216836.31042253523</v>
      </c>
      <c r="AD1740" s="4">
        <v>523646.48999999982</v>
      </c>
      <c r="AE1740" s="2">
        <v>7.0000000000000007E-2</v>
      </c>
      <c r="AF1740" s="5">
        <f t="shared" si="262"/>
        <v>36655.254299999993</v>
      </c>
      <c r="AG1740" s="2">
        <v>0.4</v>
      </c>
      <c r="AH1740" s="4">
        <f t="shared" si="258"/>
        <v>523652.31428571441</v>
      </c>
      <c r="AJ1740" s="126" t="e">
        <v>#N/A</v>
      </c>
      <c r="AK1740" s="80">
        <f t="shared" si="263"/>
        <v>0</v>
      </c>
      <c r="AM1740" s="85"/>
    </row>
    <row r="1741" spans="1:39" hidden="1" x14ac:dyDescent="0.3">
      <c r="A1741" s="85" t="s">
        <v>34</v>
      </c>
      <c r="B1741" s="3" t="s">
        <v>35</v>
      </c>
      <c r="C1741" s="3" t="s">
        <v>187</v>
      </c>
      <c r="D1741" s="3" t="s">
        <v>188</v>
      </c>
      <c r="E1741" s="3" t="s">
        <v>202</v>
      </c>
      <c r="F1741" s="3" t="s">
        <v>202</v>
      </c>
      <c r="G1741" s="3" t="s">
        <v>202</v>
      </c>
      <c r="H1741" s="138"/>
      <c r="I1741" s="3" t="s">
        <v>2374</v>
      </c>
      <c r="J1741" s="1" t="s">
        <v>3322</v>
      </c>
      <c r="K1741" s="1" t="s">
        <v>3269</v>
      </c>
      <c r="L1741" s="1" t="s">
        <v>35</v>
      </c>
      <c r="M1741" s="3" t="s">
        <v>2438</v>
      </c>
      <c r="O1741" s="1" t="s">
        <v>45</v>
      </c>
      <c r="P1741" s="1" t="s">
        <v>46</v>
      </c>
      <c r="Q1741" s="2">
        <v>0.03</v>
      </c>
      <c r="R1741" s="138"/>
      <c r="T1741" s="4">
        <v>785574.02679999988</v>
      </c>
      <c r="U1741" s="4">
        <v>-269768.91940000001</v>
      </c>
      <c r="V1741" s="4">
        <v>0</v>
      </c>
      <c r="W1741" s="13">
        <f t="shared" si="256"/>
        <v>515805.10739999986</v>
      </c>
      <c r="X1741" s="13">
        <f t="shared" si="257"/>
        <v>0</v>
      </c>
      <c r="Y1741" s="13">
        <f t="shared" si="259"/>
        <v>0</v>
      </c>
      <c r="Z1741" s="2">
        <v>0</v>
      </c>
      <c r="AA1741" s="4">
        <v>0</v>
      </c>
      <c r="AB1741" s="4">
        <f t="shared" si="260"/>
        <v>0</v>
      </c>
      <c r="AC1741" s="6">
        <f t="shared" si="261"/>
        <v>0</v>
      </c>
      <c r="AD1741" s="4">
        <v>159272.21999999997</v>
      </c>
      <c r="AE1741" s="2">
        <v>0.06</v>
      </c>
      <c r="AF1741" s="5">
        <f t="shared" si="262"/>
        <v>9556.3331999999973</v>
      </c>
      <c r="AG1741" s="2">
        <v>0.37</v>
      </c>
      <c r="AH1741" s="4">
        <f t="shared" si="258"/>
        <v>0</v>
      </c>
      <c r="AJ1741" s="126" t="e">
        <v>#N/A</v>
      </c>
      <c r="AK1741" s="80">
        <f t="shared" si="263"/>
        <v>0</v>
      </c>
      <c r="AM1741" s="85"/>
    </row>
    <row r="1742" spans="1:39" hidden="1" x14ac:dyDescent="0.3">
      <c r="A1742" s="85" t="s">
        <v>34</v>
      </c>
      <c r="B1742" s="3" t="s">
        <v>35</v>
      </c>
      <c r="C1742" s="3" t="s">
        <v>187</v>
      </c>
      <c r="D1742" s="3" t="s">
        <v>188</v>
      </c>
      <c r="E1742" s="3" t="s">
        <v>202</v>
      </c>
      <c r="F1742" s="3" t="s">
        <v>202</v>
      </c>
      <c r="G1742" s="3" t="s">
        <v>202</v>
      </c>
      <c r="I1742" s="3" t="s">
        <v>2374</v>
      </c>
      <c r="J1742" s="1" t="s">
        <v>3322</v>
      </c>
      <c r="K1742" s="1" t="s">
        <v>3269</v>
      </c>
      <c r="L1742" s="1" t="s">
        <v>35</v>
      </c>
      <c r="M1742" s="3" t="s">
        <v>2438</v>
      </c>
      <c r="O1742" s="1" t="s">
        <v>45</v>
      </c>
      <c r="P1742" s="1" t="s">
        <v>46</v>
      </c>
      <c r="Q1742" s="2">
        <v>0.05</v>
      </c>
      <c r="R1742" s="138"/>
      <c r="T1742" s="4">
        <v>0</v>
      </c>
      <c r="U1742" s="4">
        <v>411768.93990000006</v>
      </c>
      <c r="V1742" s="4">
        <v>227251.95999999996</v>
      </c>
      <c r="W1742" s="13">
        <f t="shared" si="256"/>
        <v>184516.97990000009</v>
      </c>
      <c r="X1742" s="13">
        <f t="shared" si="257"/>
        <v>160036.59154929576</v>
      </c>
      <c r="Y1742" s="13">
        <f t="shared" si="259"/>
        <v>160036.59154929576</v>
      </c>
      <c r="Z1742" s="2">
        <v>0</v>
      </c>
      <c r="AA1742" s="4">
        <v>0</v>
      </c>
      <c r="AB1742" s="4">
        <f t="shared" si="260"/>
        <v>160036.59154929576</v>
      </c>
      <c r="AC1742" s="6">
        <f t="shared" si="261"/>
        <v>67215.368450704205</v>
      </c>
      <c r="AD1742" s="4">
        <v>0</v>
      </c>
      <c r="AE1742" s="2">
        <v>0.06</v>
      </c>
      <c r="AF1742" s="5">
        <f t="shared" si="262"/>
        <v>0</v>
      </c>
      <c r="AG1742" s="2">
        <v>0.37</v>
      </c>
      <c r="AH1742" s="4">
        <f t="shared" si="258"/>
        <v>165877.34306569339</v>
      </c>
      <c r="AJ1742" s="126" t="e">
        <v>#N/A</v>
      </c>
      <c r="AK1742" s="80">
        <f t="shared" si="263"/>
        <v>0</v>
      </c>
      <c r="AM1742" s="85"/>
    </row>
    <row r="1743" spans="1:39" hidden="1" x14ac:dyDescent="0.3">
      <c r="A1743" s="85" t="s">
        <v>34</v>
      </c>
      <c r="B1743" s="3" t="s">
        <v>35</v>
      </c>
      <c r="C1743" s="3" t="s">
        <v>187</v>
      </c>
      <c r="D1743" s="3" t="s">
        <v>188</v>
      </c>
      <c r="E1743" s="3" t="s">
        <v>2445</v>
      </c>
      <c r="F1743" s="3" t="s">
        <v>2445</v>
      </c>
      <c r="G1743" s="3" t="s">
        <v>2445</v>
      </c>
      <c r="I1743" s="3" t="s">
        <v>2374</v>
      </c>
      <c r="J1743" s="1" t="s">
        <v>3322</v>
      </c>
      <c r="K1743" s="1" t="s">
        <v>3269</v>
      </c>
      <c r="L1743" s="1" t="s">
        <v>35</v>
      </c>
      <c r="M1743" s="3" t="s">
        <v>2438</v>
      </c>
      <c r="O1743" s="1" t="s">
        <v>40</v>
      </c>
      <c r="P1743" s="1" t="s">
        <v>46</v>
      </c>
      <c r="Q1743" s="2">
        <v>0.08</v>
      </c>
      <c r="R1743" s="138"/>
      <c r="T1743" s="4">
        <v>1436842.451569994</v>
      </c>
      <c r="U1743" s="4">
        <v>1776000.0020000001</v>
      </c>
      <c r="V1743" s="4">
        <v>2513313.3600000003</v>
      </c>
      <c r="W1743" s="13">
        <f t="shared" si="256"/>
        <v>699529.09356999397</v>
      </c>
      <c r="X1743" s="13">
        <f t="shared" si="257"/>
        <v>1698184.702702703</v>
      </c>
      <c r="Y1743" s="13">
        <f t="shared" si="259"/>
        <v>0</v>
      </c>
      <c r="Z1743" s="2">
        <v>0</v>
      </c>
      <c r="AA1743" s="4">
        <v>0</v>
      </c>
      <c r="AB1743" s="4">
        <f t="shared" si="260"/>
        <v>1698184.702702703</v>
      </c>
      <c r="AC1743" s="6">
        <f t="shared" si="261"/>
        <v>815128.65729729738</v>
      </c>
      <c r="AD1743" s="4">
        <v>1795221.8899999987</v>
      </c>
      <c r="AE1743" s="2">
        <v>7.0000000000000007E-2</v>
      </c>
      <c r="AF1743" s="5">
        <f t="shared" si="262"/>
        <v>125665.53229999992</v>
      </c>
      <c r="AG1743" s="2">
        <v>0.4</v>
      </c>
      <c r="AH1743" s="4">
        <f t="shared" si="258"/>
        <v>1795223.828571429</v>
      </c>
      <c r="AJ1743" s="126" t="e">
        <v>#N/A</v>
      </c>
      <c r="AK1743" s="80">
        <f t="shared" si="263"/>
        <v>0</v>
      </c>
      <c r="AM1743" s="85"/>
    </row>
    <row r="1744" spans="1:39" hidden="1" x14ac:dyDescent="0.3">
      <c r="A1744" s="85" t="s">
        <v>34</v>
      </c>
      <c r="B1744" s="3" t="s">
        <v>35</v>
      </c>
      <c r="C1744" s="3" t="s">
        <v>187</v>
      </c>
      <c r="D1744" s="3" t="s">
        <v>188</v>
      </c>
      <c r="E1744" s="3" t="s">
        <v>2446</v>
      </c>
      <c r="F1744" s="3" t="s">
        <v>2446</v>
      </c>
      <c r="G1744" s="3" t="s">
        <v>2446</v>
      </c>
      <c r="I1744" s="3" t="s">
        <v>2374</v>
      </c>
      <c r="J1744" s="1" t="s">
        <v>3322</v>
      </c>
      <c r="K1744" s="1" t="s">
        <v>3269</v>
      </c>
      <c r="L1744" s="1" t="s">
        <v>35</v>
      </c>
      <c r="M1744" s="3" t="s">
        <v>2438</v>
      </c>
      <c r="O1744" s="1" t="s">
        <v>45</v>
      </c>
      <c r="P1744" s="1" t="s">
        <v>46</v>
      </c>
      <c r="Q1744" s="2">
        <v>0.03</v>
      </c>
      <c r="R1744" s="138"/>
      <c r="T1744" s="4">
        <v>0</v>
      </c>
      <c r="U1744" s="4">
        <v>41999.994100000004</v>
      </c>
      <c r="V1744" s="4">
        <v>8225</v>
      </c>
      <c r="W1744" s="13">
        <f t="shared" si="256"/>
        <v>33774.994100000004</v>
      </c>
      <c r="X1744" s="13">
        <f t="shared" si="257"/>
        <v>5875</v>
      </c>
      <c r="Y1744" s="13">
        <f t="shared" si="259"/>
        <v>0</v>
      </c>
      <c r="Z1744" s="2">
        <v>0</v>
      </c>
      <c r="AA1744" s="4">
        <v>0</v>
      </c>
      <c r="AB1744" s="4">
        <f t="shared" si="260"/>
        <v>5875</v>
      </c>
      <c r="AC1744" s="6">
        <f t="shared" si="261"/>
        <v>2350</v>
      </c>
      <c r="AD1744" s="4">
        <v>6003.63</v>
      </c>
      <c r="AE1744" s="2">
        <v>0.06</v>
      </c>
      <c r="AF1744" s="5">
        <f t="shared" si="262"/>
        <v>360.21780000000001</v>
      </c>
      <c r="AG1744" s="2">
        <v>0.37</v>
      </c>
      <c r="AH1744" s="4">
        <f t="shared" si="258"/>
        <v>6003.649635036496</v>
      </c>
      <c r="AJ1744" s="126" t="e">
        <v>#N/A</v>
      </c>
      <c r="AK1744" s="80">
        <f t="shared" si="263"/>
        <v>0</v>
      </c>
      <c r="AM1744" s="85"/>
    </row>
    <row r="1745" spans="1:39" hidden="1" x14ac:dyDescent="0.3">
      <c r="A1745" s="85" t="s">
        <v>34</v>
      </c>
      <c r="B1745" s="3" t="s">
        <v>35</v>
      </c>
      <c r="C1745" s="3" t="s">
        <v>187</v>
      </c>
      <c r="D1745" s="3" t="s">
        <v>188</v>
      </c>
      <c r="E1745" s="3" t="s">
        <v>203</v>
      </c>
      <c r="F1745" s="3" t="s">
        <v>203</v>
      </c>
      <c r="G1745" s="3" t="s">
        <v>203</v>
      </c>
      <c r="I1745" s="3" t="s">
        <v>2374</v>
      </c>
      <c r="J1745" s="1" t="s">
        <v>3322</v>
      </c>
      <c r="K1745" s="1" t="s">
        <v>3269</v>
      </c>
      <c r="L1745" s="1" t="s">
        <v>35</v>
      </c>
      <c r="M1745" s="3" t="s">
        <v>2438</v>
      </c>
      <c r="O1745" s="1" t="s">
        <v>40</v>
      </c>
      <c r="P1745" s="1" t="s">
        <v>46</v>
      </c>
      <c r="Q1745" s="2">
        <v>0.08</v>
      </c>
      <c r="R1745" s="138"/>
      <c r="T1745" s="4">
        <v>243937.01000000187</v>
      </c>
      <c r="U1745" s="4">
        <v>1332000.0120000001</v>
      </c>
      <c r="V1745" s="4">
        <v>657623.81000000006</v>
      </c>
      <c r="W1745" s="13">
        <f t="shared" si="256"/>
        <v>918313.21200000192</v>
      </c>
      <c r="X1745" s="13">
        <f t="shared" si="257"/>
        <v>444340.41216216219</v>
      </c>
      <c r="Y1745" s="13">
        <f t="shared" si="259"/>
        <v>0</v>
      </c>
      <c r="Z1745" s="2">
        <v>0</v>
      </c>
      <c r="AA1745" s="4">
        <v>0</v>
      </c>
      <c r="AB1745" s="4">
        <f t="shared" si="260"/>
        <v>444340.41216216219</v>
      </c>
      <c r="AC1745" s="6">
        <f t="shared" si="261"/>
        <v>213283.39783783787</v>
      </c>
      <c r="AD1745" s="4">
        <v>469730.83999999991</v>
      </c>
      <c r="AE1745" s="2">
        <v>7.0000000000000007E-2</v>
      </c>
      <c r="AF1745" s="5">
        <f t="shared" si="262"/>
        <v>32881.158799999997</v>
      </c>
      <c r="AG1745" s="2">
        <v>0.4</v>
      </c>
      <c r="AH1745" s="4">
        <f t="shared" si="258"/>
        <v>469731.29285714292</v>
      </c>
      <c r="AJ1745" s="126" t="e">
        <v>#N/A</v>
      </c>
      <c r="AK1745" s="80">
        <f t="shared" si="263"/>
        <v>0</v>
      </c>
      <c r="AM1745" s="85"/>
    </row>
    <row r="1746" spans="1:39" hidden="1" x14ac:dyDescent="0.3">
      <c r="A1746" s="85" t="s">
        <v>34</v>
      </c>
      <c r="B1746" s="3" t="s">
        <v>35</v>
      </c>
      <c r="C1746" s="3" t="s">
        <v>187</v>
      </c>
      <c r="D1746" s="3" t="s">
        <v>188</v>
      </c>
      <c r="E1746" s="3" t="s">
        <v>2447</v>
      </c>
      <c r="F1746" s="3" t="s">
        <v>2447</v>
      </c>
      <c r="G1746" s="3" t="s">
        <v>2447</v>
      </c>
      <c r="I1746" s="3" t="s">
        <v>2374</v>
      </c>
      <c r="J1746" s="1" t="s">
        <v>3322</v>
      </c>
      <c r="K1746" s="1" t="s">
        <v>3269</v>
      </c>
      <c r="L1746" s="1" t="s">
        <v>35</v>
      </c>
      <c r="M1746" s="3" t="s">
        <v>2438</v>
      </c>
      <c r="O1746" s="1" t="s">
        <v>40</v>
      </c>
      <c r="P1746" s="1" t="s">
        <v>46</v>
      </c>
      <c r="Q1746" s="2">
        <v>0.08</v>
      </c>
      <c r="R1746" s="138"/>
      <c r="T1746" s="4">
        <v>1057612.4160000002</v>
      </c>
      <c r="U1746" s="4">
        <v>1036000.0000000001</v>
      </c>
      <c r="V1746" s="4">
        <v>1128218.1199999999</v>
      </c>
      <c r="W1746" s="13">
        <f t="shared" si="256"/>
        <v>965394.29600000032</v>
      </c>
      <c r="X1746" s="13">
        <f t="shared" si="257"/>
        <v>762309.54054054047</v>
      </c>
      <c r="Y1746" s="13">
        <f t="shared" si="259"/>
        <v>0</v>
      </c>
      <c r="Z1746" s="2">
        <v>0</v>
      </c>
      <c r="AA1746" s="4">
        <v>0</v>
      </c>
      <c r="AB1746" s="4">
        <f t="shared" si="260"/>
        <v>762309.54054054047</v>
      </c>
      <c r="AC1746" s="6">
        <f t="shared" si="261"/>
        <v>365908.5794594594</v>
      </c>
      <c r="AD1746" s="4">
        <v>805869.76000000024</v>
      </c>
      <c r="AE1746" s="2">
        <v>7.0000000000000007E-2</v>
      </c>
      <c r="AF1746" s="5">
        <f t="shared" si="262"/>
        <v>56410.883200000026</v>
      </c>
      <c r="AG1746" s="2">
        <v>0.4</v>
      </c>
      <c r="AH1746" s="4">
        <f t="shared" si="258"/>
        <v>805870.08571428573</v>
      </c>
      <c r="AJ1746" s="126" t="e">
        <v>#N/A</v>
      </c>
      <c r="AK1746" s="80">
        <f t="shared" si="263"/>
        <v>0</v>
      </c>
      <c r="AM1746" s="85"/>
    </row>
    <row r="1747" spans="1:39" hidden="1" x14ac:dyDescent="0.3">
      <c r="A1747" s="85" t="s">
        <v>34</v>
      </c>
      <c r="B1747" s="3" t="s">
        <v>35</v>
      </c>
      <c r="C1747" s="3" t="s">
        <v>187</v>
      </c>
      <c r="D1747" s="3" t="s">
        <v>188</v>
      </c>
      <c r="E1747" s="3" t="s">
        <v>2448</v>
      </c>
      <c r="F1747" s="3" t="s">
        <v>2448</v>
      </c>
      <c r="G1747" s="3" t="s">
        <v>2448</v>
      </c>
      <c r="I1747" s="3" t="s">
        <v>2374</v>
      </c>
      <c r="J1747" s="1" t="s">
        <v>3322</v>
      </c>
      <c r="K1747" s="1" t="s">
        <v>3269</v>
      </c>
      <c r="L1747" s="1" t="s">
        <v>35</v>
      </c>
      <c r="M1747" s="3" t="s">
        <v>2438</v>
      </c>
      <c r="O1747" s="1" t="s">
        <v>40</v>
      </c>
      <c r="P1747" s="1" t="s">
        <v>46</v>
      </c>
      <c r="Q1747" s="2">
        <v>0.05</v>
      </c>
      <c r="R1747" s="138"/>
      <c r="T1747" s="4">
        <v>0</v>
      </c>
      <c r="U1747" s="4">
        <v>435000.00599999994</v>
      </c>
      <c r="V1747" s="4">
        <v>101298.79000000001</v>
      </c>
      <c r="W1747" s="13">
        <f t="shared" si="256"/>
        <v>333701.2159999999</v>
      </c>
      <c r="X1747" s="13">
        <f t="shared" si="257"/>
        <v>69861.23448275862</v>
      </c>
      <c r="Y1747" s="13">
        <f t="shared" si="259"/>
        <v>0</v>
      </c>
      <c r="Z1747" s="2">
        <v>0</v>
      </c>
      <c r="AA1747" s="4">
        <v>0</v>
      </c>
      <c r="AB1747" s="4">
        <f t="shared" si="260"/>
        <v>69861.23448275862</v>
      </c>
      <c r="AC1747" s="6">
        <f t="shared" si="261"/>
        <v>31437.555517241388</v>
      </c>
      <c r="AD1747" s="4">
        <v>72355.839999999997</v>
      </c>
      <c r="AE1747" s="2">
        <v>7.0000000000000007E-2</v>
      </c>
      <c r="AF1747" s="5">
        <f t="shared" si="262"/>
        <v>5064.9088000000002</v>
      </c>
      <c r="AG1747" s="2">
        <v>0.4</v>
      </c>
      <c r="AH1747" s="4">
        <f t="shared" si="258"/>
        <v>72356.278571428586</v>
      </c>
      <c r="AJ1747" s="126" t="e">
        <v>#N/A</v>
      </c>
      <c r="AK1747" s="80">
        <f t="shared" si="263"/>
        <v>0</v>
      </c>
      <c r="AM1747" s="85"/>
    </row>
    <row r="1748" spans="1:39" hidden="1" x14ac:dyDescent="0.3">
      <c r="A1748" s="85" t="s">
        <v>34</v>
      </c>
      <c r="B1748" s="3" t="s">
        <v>35</v>
      </c>
      <c r="C1748" s="3" t="s">
        <v>187</v>
      </c>
      <c r="D1748" s="3" t="s">
        <v>188</v>
      </c>
      <c r="E1748" s="3" t="s">
        <v>2449</v>
      </c>
      <c r="F1748" s="3" t="s">
        <v>2449</v>
      </c>
      <c r="G1748" s="3" t="s">
        <v>2449</v>
      </c>
      <c r="H1748" s="138"/>
      <c r="I1748" s="3" t="s">
        <v>2374</v>
      </c>
      <c r="J1748" s="1" t="s">
        <v>3322</v>
      </c>
      <c r="K1748" s="1" t="s">
        <v>3269</v>
      </c>
      <c r="L1748" s="1" t="s">
        <v>35</v>
      </c>
      <c r="M1748" s="3" t="s">
        <v>2438</v>
      </c>
      <c r="O1748" s="1" t="s">
        <v>45</v>
      </c>
      <c r="P1748" s="1" t="s">
        <v>41</v>
      </c>
      <c r="Q1748" s="2">
        <v>0</v>
      </c>
      <c r="R1748" s="138"/>
      <c r="T1748" s="4">
        <v>21678.84</v>
      </c>
      <c r="U1748" s="4">
        <v>-21678.838900000002</v>
      </c>
      <c r="V1748" s="4">
        <v>0</v>
      </c>
      <c r="W1748" s="13">
        <f t="shared" si="256"/>
        <v>1.0999999976775143E-3</v>
      </c>
      <c r="X1748" s="13">
        <f t="shared" si="257"/>
        <v>0</v>
      </c>
      <c r="Y1748" s="13">
        <f t="shared" si="259"/>
        <v>0</v>
      </c>
      <c r="Z1748" s="2">
        <v>0</v>
      </c>
      <c r="AA1748" s="4">
        <v>0</v>
      </c>
      <c r="AB1748" s="4">
        <f t="shared" si="260"/>
        <v>0</v>
      </c>
      <c r="AC1748" s="6">
        <f t="shared" si="261"/>
        <v>0</v>
      </c>
      <c r="AD1748" s="4">
        <v>0</v>
      </c>
      <c r="AE1748" s="2">
        <v>0.06</v>
      </c>
      <c r="AF1748" s="5">
        <f t="shared" si="262"/>
        <v>0</v>
      </c>
      <c r="AG1748" s="2">
        <v>0.37</v>
      </c>
      <c r="AH1748" s="4">
        <f t="shared" si="258"/>
        <v>0</v>
      </c>
      <c r="AJ1748" s="126" t="e">
        <v>#N/A</v>
      </c>
      <c r="AK1748" s="80">
        <f t="shared" si="263"/>
        <v>0</v>
      </c>
      <c r="AM1748" s="85"/>
    </row>
    <row r="1749" spans="1:39" hidden="1" x14ac:dyDescent="0.3">
      <c r="A1749" s="85" t="s">
        <v>34</v>
      </c>
      <c r="B1749" s="3" t="s">
        <v>35</v>
      </c>
      <c r="C1749" s="3" t="s">
        <v>187</v>
      </c>
      <c r="D1749" s="3" t="s">
        <v>188</v>
      </c>
      <c r="E1749" s="3" t="s">
        <v>2450</v>
      </c>
      <c r="F1749" s="3" t="s">
        <v>2450</v>
      </c>
      <c r="G1749" s="3" t="s">
        <v>2450</v>
      </c>
      <c r="I1749" s="3" t="s">
        <v>2374</v>
      </c>
      <c r="J1749" s="1" t="s">
        <v>3322</v>
      </c>
      <c r="K1749" s="1" t="s">
        <v>3269</v>
      </c>
      <c r="L1749" s="1" t="s">
        <v>35</v>
      </c>
      <c r="M1749" s="3" t="s">
        <v>2450</v>
      </c>
      <c r="O1749" s="1" t="s">
        <v>40</v>
      </c>
      <c r="P1749" s="1" t="s">
        <v>41</v>
      </c>
      <c r="Q1749" s="2">
        <v>0</v>
      </c>
      <c r="R1749" s="138"/>
      <c r="T1749" s="4">
        <v>0</v>
      </c>
      <c r="U1749" s="4">
        <v>1270000</v>
      </c>
      <c r="V1749" s="4">
        <v>145082.71999999994</v>
      </c>
      <c r="W1749" s="13">
        <f t="shared" si="256"/>
        <v>1124917.28</v>
      </c>
      <c r="X1749" s="13">
        <f t="shared" si="257"/>
        <v>145082.71999999994</v>
      </c>
      <c r="Y1749" s="13">
        <f t="shared" si="259"/>
        <v>0</v>
      </c>
      <c r="Z1749" s="2">
        <v>0</v>
      </c>
      <c r="AA1749" s="4">
        <v>0</v>
      </c>
      <c r="AB1749" s="4">
        <f t="shared" si="260"/>
        <v>145082.71999999994</v>
      </c>
      <c r="AC1749" s="6">
        <f t="shared" si="261"/>
        <v>0</v>
      </c>
      <c r="AD1749" s="4">
        <v>145082.71999999994</v>
      </c>
      <c r="AE1749" s="2">
        <v>7.0000000000000007E-2</v>
      </c>
      <c r="AF1749" s="5">
        <f t="shared" si="262"/>
        <v>10155.790399999996</v>
      </c>
      <c r="AG1749" s="2">
        <v>0</v>
      </c>
      <c r="AH1749" s="4">
        <f t="shared" si="258"/>
        <v>145082.71999999994</v>
      </c>
      <c r="AJ1749" s="126" t="e">
        <v>#N/A</v>
      </c>
      <c r="AK1749" s="80">
        <f t="shared" si="263"/>
        <v>0</v>
      </c>
      <c r="AM1749" s="85"/>
    </row>
    <row r="1750" spans="1:39" hidden="1" x14ac:dyDescent="0.3">
      <c r="A1750" s="85" t="s">
        <v>34</v>
      </c>
      <c r="B1750" s="3" t="s">
        <v>35</v>
      </c>
      <c r="C1750" s="3" t="s">
        <v>187</v>
      </c>
      <c r="D1750" s="3" t="s">
        <v>188</v>
      </c>
      <c r="E1750" s="3" t="s">
        <v>205</v>
      </c>
      <c r="F1750" s="3" t="s">
        <v>205</v>
      </c>
      <c r="G1750" s="3" t="s">
        <v>205</v>
      </c>
      <c r="I1750" s="3" t="s">
        <v>2374</v>
      </c>
      <c r="J1750" s="1" t="s">
        <v>3322</v>
      </c>
      <c r="K1750" s="1" t="s">
        <v>3269</v>
      </c>
      <c r="L1750" s="1" t="s">
        <v>35</v>
      </c>
      <c r="M1750" s="3" t="s">
        <v>2438</v>
      </c>
      <c r="O1750" s="1" t="s">
        <v>40</v>
      </c>
      <c r="P1750" s="1" t="s">
        <v>46</v>
      </c>
      <c r="Q1750" s="2">
        <v>0.1</v>
      </c>
      <c r="R1750" s="138"/>
      <c r="T1750" s="4">
        <v>2003745.7880000004</v>
      </c>
      <c r="U1750" s="4">
        <v>3630000.01</v>
      </c>
      <c r="V1750" s="4">
        <v>4670311.2760000005</v>
      </c>
      <c r="W1750" s="13">
        <f t="shared" si="256"/>
        <v>963434.52199999988</v>
      </c>
      <c r="X1750" s="13">
        <f t="shared" si="257"/>
        <v>3113540.8506666669</v>
      </c>
      <c r="Y1750" s="13">
        <f t="shared" si="259"/>
        <v>0</v>
      </c>
      <c r="Z1750" s="2">
        <v>0</v>
      </c>
      <c r="AA1750" s="4">
        <v>0</v>
      </c>
      <c r="AB1750" s="4">
        <f t="shared" si="260"/>
        <v>3113540.8506666669</v>
      </c>
      <c r="AC1750" s="6">
        <f t="shared" si="261"/>
        <v>1556770.4253333337</v>
      </c>
      <c r="AD1750" s="4">
        <v>3353602.8699999996</v>
      </c>
      <c r="AE1750" s="2">
        <v>7.0000000000000007E-2</v>
      </c>
      <c r="AF1750" s="5">
        <f t="shared" si="262"/>
        <v>234752.2009</v>
      </c>
      <c r="AG1750" s="2">
        <v>0.4</v>
      </c>
      <c r="AH1750" s="4">
        <f t="shared" si="258"/>
        <v>3335936.6257142862</v>
      </c>
      <c r="AJ1750" s="126" t="e">
        <v>#N/A</v>
      </c>
      <c r="AK1750" s="80">
        <f t="shared" si="263"/>
        <v>0</v>
      </c>
      <c r="AM1750" s="85"/>
    </row>
    <row r="1751" spans="1:39" hidden="1" x14ac:dyDescent="0.3">
      <c r="A1751" s="85" t="s">
        <v>34</v>
      </c>
      <c r="B1751" s="3" t="s">
        <v>35</v>
      </c>
      <c r="C1751" s="3" t="s">
        <v>187</v>
      </c>
      <c r="D1751" s="3" t="s">
        <v>188</v>
      </c>
      <c r="E1751" s="3" t="s">
        <v>2451</v>
      </c>
      <c r="F1751" s="3" t="s">
        <v>2451</v>
      </c>
      <c r="G1751" s="3" t="s">
        <v>2451</v>
      </c>
      <c r="I1751" s="3" t="s">
        <v>2374</v>
      </c>
      <c r="J1751" s="1" t="s">
        <v>3322</v>
      </c>
      <c r="K1751" s="1" t="s">
        <v>3269</v>
      </c>
      <c r="L1751" s="1" t="s">
        <v>35</v>
      </c>
      <c r="M1751" s="3" t="s">
        <v>2451</v>
      </c>
      <c r="O1751" s="1" t="s">
        <v>45</v>
      </c>
      <c r="P1751" s="1" t="s">
        <v>46</v>
      </c>
      <c r="Q1751" s="2">
        <v>7.4399999999999994E-2</v>
      </c>
      <c r="R1751" s="138"/>
      <c r="T1751" s="4">
        <v>801888.74160000042</v>
      </c>
      <c r="U1751" s="4">
        <v>1708720</v>
      </c>
      <c r="V1751" s="4">
        <v>2386284.0899999985</v>
      </c>
      <c r="W1751" s="13">
        <f t="shared" si="256"/>
        <v>124324.65160000185</v>
      </c>
      <c r="X1751" s="13">
        <f t="shared" si="257"/>
        <v>1815493.0690809484</v>
      </c>
      <c r="Y1751" s="13">
        <f t="shared" si="259"/>
        <v>0</v>
      </c>
      <c r="Z1751" s="2">
        <v>0</v>
      </c>
      <c r="AA1751" s="4">
        <v>0</v>
      </c>
      <c r="AB1751" s="4">
        <f t="shared" si="260"/>
        <v>1815493.0690809484</v>
      </c>
      <c r="AC1751" s="6">
        <f t="shared" si="261"/>
        <v>570791.02091905009</v>
      </c>
      <c r="AD1751" s="4">
        <v>1924417.5600000017</v>
      </c>
      <c r="AE1751" s="2">
        <v>0.06</v>
      </c>
      <c r="AF1751" s="5">
        <f t="shared" si="262"/>
        <v>115465.0536000001</v>
      </c>
      <c r="AG1751" s="2">
        <v>0.24</v>
      </c>
      <c r="AH1751" s="4">
        <f t="shared" si="258"/>
        <v>1924422.6532258051</v>
      </c>
      <c r="AJ1751" s="126" t="e">
        <v>#N/A</v>
      </c>
      <c r="AK1751" s="80">
        <f t="shared" si="263"/>
        <v>0</v>
      </c>
      <c r="AM1751" s="85"/>
    </row>
    <row r="1752" spans="1:39" hidden="1" x14ac:dyDescent="0.3">
      <c r="A1752" s="85" t="s">
        <v>34</v>
      </c>
      <c r="B1752" s="3" t="s">
        <v>35</v>
      </c>
      <c r="C1752" s="3" t="s">
        <v>187</v>
      </c>
      <c r="D1752" s="3" t="s">
        <v>188</v>
      </c>
      <c r="E1752" s="3" t="s">
        <v>2452</v>
      </c>
      <c r="F1752" s="3" t="s">
        <v>2452</v>
      </c>
      <c r="G1752" s="3" t="s">
        <v>2452</v>
      </c>
      <c r="I1752" s="3" t="s">
        <v>2374</v>
      </c>
      <c r="J1752" s="1" t="s">
        <v>3322</v>
      </c>
      <c r="K1752" s="1" t="s">
        <v>3269</v>
      </c>
      <c r="L1752" s="1" t="s">
        <v>35</v>
      </c>
      <c r="M1752" s="3" t="s">
        <v>2438</v>
      </c>
      <c r="O1752" s="1" t="s">
        <v>45</v>
      </c>
      <c r="P1752" s="1" t="s">
        <v>41</v>
      </c>
      <c r="Q1752" s="9">
        <v>5.04E-2</v>
      </c>
      <c r="R1752" s="138"/>
      <c r="T1752" s="4">
        <v>0</v>
      </c>
      <c r="U1752" s="4">
        <v>54000</v>
      </c>
      <c r="V1752" s="4">
        <v>51976.526800000014</v>
      </c>
      <c r="W1752" s="13">
        <f t="shared" si="256"/>
        <v>2023.4731999999858</v>
      </c>
      <c r="X1752" s="13">
        <f t="shared" si="257"/>
        <v>36592.880033793313</v>
      </c>
      <c r="Y1752" s="13">
        <f t="shared" si="259"/>
        <v>0</v>
      </c>
      <c r="Z1752" s="2">
        <v>0</v>
      </c>
      <c r="AA1752" s="4">
        <v>0</v>
      </c>
      <c r="AB1752" s="4">
        <f t="shared" si="260"/>
        <v>36592.880033793313</v>
      </c>
      <c r="AC1752" s="6">
        <f t="shared" si="261"/>
        <v>15383.646766206701</v>
      </c>
      <c r="AD1752" s="4">
        <v>44767.830000000009</v>
      </c>
      <c r="AE1752" s="2">
        <v>0.06</v>
      </c>
      <c r="AF1752" s="5">
        <f t="shared" si="262"/>
        <v>2686.0698000000007</v>
      </c>
      <c r="AG1752" s="9">
        <v>0.37</v>
      </c>
      <c r="AH1752" s="4">
        <f t="shared" si="258"/>
        <v>37939.070656934317</v>
      </c>
      <c r="AJ1752" s="126" t="e">
        <v>#N/A</v>
      </c>
      <c r="AK1752" s="80">
        <f t="shared" si="263"/>
        <v>0</v>
      </c>
      <c r="AM1752" s="85"/>
    </row>
    <row r="1753" spans="1:39" hidden="1" x14ac:dyDescent="0.3">
      <c r="A1753" s="85" t="s">
        <v>34</v>
      </c>
      <c r="B1753" s="3" t="s">
        <v>35</v>
      </c>
      <c r="C1753" s="3" t="s">
        <v>187</v>
      </c>
      <c r="D1753" s="3" t="s">
        <v>188</v>
      </c>
      <c r="E1753" s="3" t="s">
        <v>2452</v>
      </c>
      <c r="F1753" s="3" t="s">
        <v>2452</v>
      </c>
      <c r="G1753" s="3" t="s">
        <v>2452</v>
      </c>
      <c r="I1753" s="3" t="s">
        <v>2374</v>
      </c>
      <c r="J1753" s="1" t="s">
        <v>3322</v>
      </c>
      <c r="K1753" s="1" t="s">
        <v>3269</v>
      </c>
      <c r="L1753" s="1" t="s">
        <v>35</v>
      </c>
      <c r="M1753" s="3" t="s">
        <v>2438</v>
      </c>
      <c r="O1753" s="1" t="s">
        <v>40</v>
      </c>
      <c r="P1753" s="1" t="s">
        <v>41</v>
      </c>
      <c r="Q1753" s="9">
        <v>5.2200000000000003E-2</v>
      </c>
      <c r="R1753" s="138"/>
      <c r="T1753" s="4">
        <v>0</v>
      </c>
      <c r="U1753" s="4">
        <v>522610</v>
      </c>
      <c r="V1753" s="4">
        <v>317979.37600000028</v>
      </c>
      <c r="W1753" s="13">
        <f t="shared" si="256"/>
        <v>204630.62399999972</v>
      </c>
      <c r="X1753" s="13">
        <f t="shared" si="257"/>
        <v>218963.90028921657</v>
      </c>
      <c r="Y1753" s="13">
        <f t="shared" si="259"/>
        <v>0</v>
      </c>
      <c r="Z1753" s="2">
        <v>0</v>
      </c>
      <c r="AA1753" s="4">
        <v>0</v>
      </c>
      <c r="AB1753" s="4">
        <f t="shared" si="260"/>
        <v>218963.90028921657</v>
      </c>
      <c r="AC1753" s="6">
        <f t="shared" si="261"/>
        <v>99015.475710783707</v>
      </c>
      <c r="AD1753" s="4">
        <v>405583.49000000005</v>
      </c>
      <c r="AE1753" s="2">
        <v>7.0000000000000007E-2</v>
      </c>
      <c r="AF1753" s="5">
        <f t="shared" si="262"/>
        <v>28390.844300000008</v>
      </c>
      <c r="AG1753" s="9">
        <v>0.4</v>
      </c>
      <c r="AH1753" s="4">
        <f t="shared" si="258"/>
        <v>227128.12571428594</v>
      </c>
      <c r="AJ1753" s="126" t="e">
        <v>#N/A</v>
      </c>
      <c r="AK1753" s="80">
        <f t="shared" si="263"/>
        <v>0</v>
      </c>
      <c r="AM1753" s="85"/>
    </row>
    <row r="1754" spans="1:39" hidden="1" x14ac:dyDescent="0.3">
      <c r="A1754" s="85" t="s">
        <v>34</v>
      </c>
      <c r="B1754" s="3" t="s">
        <v>35</v>
      </c>
      <c r="C1754" s="3" t="s">
        <v>187</v>
      </c>
      <c r="D1754" s="3" t="s">
        <v>188</v>
      </c>
      <c r="E1754" s="3" t="s">
        <v>2453</v>
      </c>
      <c r="F1754" s="3" t="s">
        <v>2453</v>
      </c>
      <c r="G1754" s="3" t="s">
        <v>2453</v>
      </c>
      <c r="H1754" s="138"/>
      <c r="I1754" s="3" t="s">
        <v>2374</v>
      </c>
      <c r="J1754" s="1" t="s">
        <v>3322</v>
      </c>
      <c r="K1754" s="1" t="s">
        <v>3269</v>
      </c>
      <c r="L1754" s="1" t="s">
        <v>35</v>
      </c>
      <c r="M1754" s="3" t="s">
        <v>2438</v>
      </c>
      <c r="O1754" s="1" t="s">
        <v>40</v>
      </c>
      <c r="P1754" s="1" t="s">
        <v>46</v>
      </c>
      <c r="Q1754" s="2">
        <v>0.01</v>
      </c>
      <c r="R1754" s="138"/>
      <c r="T1754" s="4">
        <v>51.669999999936408</v>
      </c>
      <c r="U1754" s="4">
        <v>86080.175999999992</v>
      </c>
      <c r="V1754" s="4">
        <v>0</v>
      </c>
      <c r="W1754" s="13">
        <f t="shared" si="256"/>
        <v>86131.845999999932</v>
      </c>
      <c r="X1754" s="13">
        <f t="shared" si="257"/>
        <v>0</v>
      </c>
      <c r="Y1754" s="13">
        <f t="shared" si="259"/>
        <v>0</v>
      </c>
      <c r="Z1754" s="2">
        <v>0</v>
      </c>
      <c r="AA1754" s="4">
        <v>0</v>
      </c>
      <c r="AB1754" s="4">
        <f t="shared" si="260"/>
        <v>0</v>
      </c>
      <c r="AC1754" s="6">
        <f t="shared" si="261"/>
        <v>0</v>
      </c>
      <c r="AD1754" s="4">
        <v>0</v>
      </c>
      <c r="AE1754" s="2">
        <v>7.0000000000000007E-2</v>
      </c>
      <c r="AF1754" s="5">
        <f t="shared" si="262"/>
        <v>0</v>
      </c>
      <c r="AG1754" s="2">
        <v>0.4</v>
      </c>
      <c r="AH1754" s="4">
        <f t="shared" si="258"/>
        <v>0</v>
      </c>
      <c r="AJ1754" s="126" t="e">
        <v>#N/A</v>
      </c>
      <c r="AK1754" s="80">
        <f t="shared" si="263"/>
        <v>0</v>
      </c>
      <c r="AM1754" s="85"/>
    </row>
    <row r="1755" spans="1:39" hidden="1" x14ac:dyDescent="0.3">
      <c r="A1755" s="85" t="s">
        <v>34</v>
      </c>
      <c r="B1755" s="3" t="s">
        <v>35</v>
      </c>
      <c r="C1755" s="3" t="s">
        <v>187</v>
      </c>
      <c r="D1755" s="3" t="s">
        <v>188</v>
      </c>
      <c r="E1755" s="3" t="s">
        <v>2454</v>
      </c>
      <c r="F1755" s="3" t="s">
        <v>2454</v>
      </c>
      <c r="G1755" s="3" t="s">
        <v>2454</v>
      </c>
      <c r="I1755" s="3" t="s">
        <v>2374</v>
      </c>
      <c r="J1755" s="1" t="s">
        <v>3322</v>
      </c>
      <c r="K1755" s="1" t="s">
        <v>3269</v>
      </c>
      <c r="L1755" s="1" t="s">
        <v>35</v>
      </c>
      <c r="M1755" s="3" t="s">
        <v>2438</v>
      </c>
      <c r="O1755" s="1" t="s">
        <v>45</v>
      </c>
      <c r="P1755" s="1" t="s">
        <v>46</v>
      </c>
      <c r="Q1755" s="2">
        <v>0.08</v>
      </c>
      <c r="R1755" s="138"/>
      <c r="T1755" s="4">
        <v>851220.38830000022</v>
      </c>
      <c r="U1755" s="4">
        <v>783000.01820000005</v>
      </c>
      <c r="V1755" s="4">
        <v>1062684.3500000001</v>
      </c>
      <c r="W1755" s="13">
        <f t="shared" si="256"/>
        <v>571536.05650000018</v>
      </c>
      <c r="X1755" s="13">
        <f t="shared" si="257"/>
        <v>732885.75862068962</v>
      </c>
      <c r="Y1755" s="13">
        <f t="shared" si="259"/>
        <v>0</v>
      </c>
      <c r="Z1755" s="2">
        <v>0</v>
      </c>
      <c r="AA1755" s="4">
        <v>0</v>
      </c>
      <c r="AB1755" s="4">
        <f t="shared" si="260"/>
        <v>732885.75862068962</v>
      </c>
      <c r="AC1755" s="6">
        <f t="shared" si="261"/>
        <v>329798.59137931047</v>
      </c>
      <c r="AD1755" s="4">
        <v>775681.1400000006</v>
      </c>
      <c r="AE1755" s="2">
        <v>0.06</v>
      </c>
      <c r="AF1755" s="5">
        <f t="shared" si="262"/>
        <v>46540.868400000036</v>
      </c>
      <c r="AG1755" s="2">
        <v>0.37</v>
      </c>
      <c r="AH1755" s="4">
        <f t="shared" si="258"/>
        <v>775682.00729927013</v>
      </c>
      <c r="AJ1755" s="126" t="e">
        <v>#N/A</v>
      </c>
      <c r="AK1755" s="80">
        <f t="shared" si="263"/>
        <v>0</v>
      </c>
      <c r="AM1755" s="85"/>
    </row>
    <row r="1756" spans="1:39" hidden="1" x14ac:dyDescent="0.3">
      <c r="A1756" s="85" t="s">
        <v>34</v>
      </c>
      <c r="B1756" s="3" t="s">
        <v>35</v>
      </c>
      <c r="C1756" s="3" t="s">
        <v>187</v>
      </c>
      <c r="D1756" s="3" t="s">
        <v>188</v>
      </c>
      <c r="E1756" s="3" t="s">
        <v>2454</v>
      </c>
      <c r="F1756" s="3" t="s">
        <v>2454</v>
      </c>
      <c r="G1756" s="3" t="s">
        <v>2454</v>
      </c>
      <c r="I1756" s="3" t="s">
        <v>2374</v>
      </c>
      <c r="J1756" s="1" t="s">
        <v>3322</v>
      </c>
      <c r="K1756" s="1" t="s">
        <v>3269</v>
      </c>
      <c r="L1756" s="1" t="s">
        <v>35</v>
      </c>
      <c r="M1756" s="3" t="s">
        <v>2438</v>
      </c>
      <c r="O1756" s="1" t="s">
        <v>40</v>
      </c>
      <c r="P1756" s="1" t="s">
        <v>46</v>
      </c>
      <c r="Q1756" s="2">
        <v>0.08</v>
      </c>
      <c r="R1756" s="138"/>
      <c r="T1756" s="4">
        <v>73579.915999999997</v>
      </c>
      <c r="U1756" s="4">
        <v>444000.00399999996</v>
      </c>
      <c r="V1756" s="4">
        <v>34840.990000000013</v>
      </c>
      <c r="W1756" s="13">
        <f t="shared" si="256"/>
        <v>482738.92999999993</v>
      </c>
      <c r="X1756" s="13">
        <f t="shared" si="257"/>
        <v>23541.209459459467</v>
      </c>
      <c r="Y1756" s="13">
        <f t="shared" si="259"/>
        <v>0</v>
      </c>
      <c r="Z1756" s="2">
        <v>0</v>
      </c>
      <c r="AA1756" s="4">
        <v>0</v>
      </c>
      <c r="AB1756" s="4">
        <f t="shared" si="260"/>
        <v>23541.209459459467</v>
      </c>
      <c r="AC1756" s="6">
        <f t="shared" si="261"/>
        <v>11299.780540540545</v>
      </c>
      <c r="AD1756" s="4">
        <v>24881.09</v>
      </c>
      <c r="AE1756" s="2">
        <v>7.0000000000000007E-2</v>
      </c>
      <c r="AF1756" s="5">
        <f t="shared" si="262"/>
        <v>1741.6763000000001</v>
      </c>
      <c r="AG1756" s="2">
        <v>0.4</v>
      </c>
      <c r="AH1756" s="4">
        <f t="shared" si="258"/>
        <v>24886.421428571441</v>
      </c>
      <c r="AJ1756" s="126" t="e">
        <v>#N/A</v>
      </c>
      <c r="AK1756" s="80">
        <f t="shared" si="263"/>
        <v>0</v>
      </c>
      <c r="AM1756" s="85"/>
    </row>
    <row r="1757" spans="1:39" hidden="1" x14ac:dyDescent="0.3">
      <c r="A1757" s="85" t="s">
        <v>34</v>
      </c>
      <c r="B1757" s="3" t="s">
        <v>35</v>
      </c>
      <c r="C1757" s="3" t="s">
        <v>187</v>
      </c>
      <c r="D1757" s="3" t="s">
        <v>208</v>
      </c>
      <c r="E1757" s="3" t="s">
        <v>210</v>
      </c>
      <c r="F1757" s="3" t="s">
        <v>210</v>
      </c>
      <c r="G1757" s="3" t="s">
        <v>210</v>
      </c>
      <c r="I1757" s="3" t="s">
        <v>2374</v>
      </c>
      <c r="J1757" s="1" t="s">
        <v>3322</v>
      </c>
      <c r="K1757" s="1" t="s">
        <v>3269</v>
      </c>
      <c r="L1757" s="1" t="s">
        <v>35</v>
      </c>
      <c r="M1757" s="3" t="s">
        <v>2438</v>
      </c>
      <c r="O1757" s="1" t="s">
        <v>40</v>
      </c>
      <c r="P1757" s="1" t="s">
        <v>46</v>
      </c>
      <c r="Q1757" s="2">
        <v>0.01</v>
      </c>
      <c r="R1757" s="138"/>
      <c r="T1757" s="4">
        <v>60879.445999999763</v>
      </c>
      <c r="U1757" s="4">
        <v>141000.00599999999</v>
      </c>
      <c r="V1757" s="4">
        <v>160559.87</v>
      </c>
      <c r="W1757" s="13">
        <f t="shared" si="256"/>
        <v>41319.581999999762</v>
      </c>
      <c r="X1757" s="13">
        <f t="shared" si="257"/>
        <v>113872.24822695034</v>
      </c>
      <c r="Y1757" s="13">
        <f t="shared" si="259"/>
        <v>0</v>
      </c>
      <c r="Z1757" s="2">
        <v>0</v>
      </c>
      <c r="AA1757" s="4">
        <v>0</v>
      </c>
      <c r="AB1757" s="4">
        <f t="shared" si="260"/>
        <v>113872.24822695034</v>
      </c>
      <c r="AC1757" s="6">
        <f t="shared" si="261"/>
        <v>46687.621773049657</v>
      </c>
      <c r="AD1757" s="4">
        <v>114685.71000000002</v>
      </c>
      <c r="AE1757" s="2">
        <v>7.0000000000000007E-2</v>
      </c>
      <c r="AF1757" s="5">
        <f t="shared" si="262"/>
        <v>8027.9997000000021</v>
      </c>
      <c r="AG1757" s="2">
        <v>0.4</v>
      </c>
      <c r="AH1757" s="4">
        <f t="shared" si="258"/>
        <v>114685.62142857144</v>
      </c>
      <c r="AJ1757" s="126" t="e">
        <v>#N/A</v>
      </c>
      <c r="AK1757" s="80">
        <f t="shared" si="263"/>
        <v>0</v>
      </c>
      <c r="AM1757" s="85"/>
    </row>
    <row r="1758" spans="1:39" hidden="1" x14ac:dyDescent="0.3">
      <c r="A1758" s="85" t="s">
        <v>34</v>
      </c>
      <c r="B1758" s="3" t="s">
        <v>35</v>
      </c>
      <c r="C1758" s="3" t="s">
        <v>187</v>
      </c>
      <c r="D1758" s="3" t="s">
        <v>208</v>
      </c>
      <c r="E1758" s="3" t="s">
        <v>2455</v>
      </c>
      <c r="F1758" s="3" t="s">
        <v>2455</v>
      </c>
      <c r="G1758" s="3" t="s">
        <v>2455</v>
      </c>
      <c r="I1758" s="3" t="s">
        <v>2374</v>
      </c>
      <c r="J1758" s="1" t="s">
        <v>3322</v>
      </c>
      <c r="K1758" s="1" t="s">
        <v>3269</v>
      </c>
      <c r="L1758" s="1" t="s">
        <v>35</v>
      </c>
      <c r="M1758" s="3" t="s">
        <v>2438</v>
      </c>
      <c r="O1758" s="1" t="s">
        <v>45</v>
      </c>
      <c r="P1758" s="1" t="s">
        <v>46</v>
      </c>
      <c r="Q1758" s="2">
        <v>7.0000000000000007E-2</v>
      </c>
      <c r="R1758" s="138"/>
      <c r="T1758" s="4">
        <v>1008000.0091000001</v>
      </c>
      <c r="U1758" s="4">
        <v>1439999.9993000003</v>
      </c>
      <c r="V1758" s="4">
        <v>1500108.9500000002</v>
      </c>
      <c r="W1758" s="13">
        <f t="shared" si="256"/>
        <v>947891.05840000045</v>
      </c>
      <c r="X1758" s="13">
        <f t="shared" si="257"/>
        <v>1041742.3263888891</v>
      </c>
      <c r="Y1758" s="13">
        <f t="shared" si="259"/>
        <v>0</v>
      </c>
      <c r="Z1758" s="2">
        <v>0</v>
      </c>
      <c r="AA1758" s="4">
        <v>0</v>
      </c>
      <c r="AB1758" s="4">
        <f t="shared" si="260"/>
        <v>1041742.3263888891</v>
      </c>
      <c r="AC1758" s="6">
        <f t="shared" si="261"/>
        <v>458366.62361111108</v>
      </c>
      <c r="AD1758" s="4">
        <v>1094969.51</v>
      </c>
      <c r="AE1758" s="2">
        <v>0.06</v>
      </c>
      <c r="AF1758" s="5">
        <f t="shared" si="262"/>
        <v>65698.170599999998</v>
      </c>
      <c r="AG1758" s="2">
        <v>0.37</v>
      </c>
      <c r="AH1758" s="4">
        <f t="shared" si="258"/>
        <v>1094970.0364963503</v>
      </c>
      <c r="AJ1758" s="126" t="e">
        <v>#N/A</v>
      </c>
      <c r="AK1758" s="80">
        <f t="shared" si="263"/>
        <v>0</v>
      </c>
      <c r="AM1758" s="85"/>
    </row>
    <row r="1759" spans="1:39" hidden="1" x14ac:dyDescent="0.3">
      <c r="A1759" s="85" t="s">
        <v>34</v>
      </c>
      <c r="B1759" s="3" t="s">
        <v>35</v>
      </c>
      <c r="C1759" s="3" t="s">
        <v>187</v>
      </c>
      <c r="D1759" s="3" t="s">
        <v>208</v>
      </c>
      <c r="E1759" s="3" t="s">
        <v>2455</v>
      </c>
      <c r="F1759" s="3" t="s">
        <v>2455</v>
      </c>
      <c r="G1759" s="3" t="s">
        <v>2455</v>
      </c>
      <c r="I1759" s="3" t="s">
        <v>2374</v>
      </c>
      <c r="J1759" s="1" t="s">
        <v>3322</v>
      </c>
      <c r="K1759" s="1" t="s">
        <v>3269</v>
      </c>
      <c r="L1759" s="1" t="s">
        <v>35</v>
      </c>
      <c r="M1759" s="3" t="s">
        <v>2438</v>
      </c>
      <c r="O1759" s="1" t="s">
        <v>40</v>
      </c>
      <c r="P1759" s="1" t="s">
        <v>46</v>
      </c>
      <c r="Q1759" s="2">
        <v>0.06</v>
      </c>
      <c r="R1759" s="138"/>
      <c r="T1759" s="4">
        <v>875999.99200000009</v>
      </c>
      <c r="U1759" s="4">
        <v>437999.99599999998</v>
      </c>
      <c r="V1759" s="4">
        <v>708223.40199999977</v>
      </c>
      <c r="W1759" s="13">
        <f t="shared" si="256"/>
        <v>605776.58600000036</v>
      </c>
      <c r="X1759" s="13">
        <f t="shared" si="257"/>
        <v>485084.52191780804</v>
      </c>
      <c r="Y1759" s="13">
        <f t="shared" si="259"/>
        <v>0</v>
      </c>
      <c r="Z1759" s="2">
        <v>0</v>
      </c>
      <c r="AA1759" s="4">
        <v>0</v>
      </c>
      <c r="AB1759" s="4">
        <f t="shared" si="260"/>
        <v>485084.52191780804</v>
      </c>
      <c r="AC1759" s="6">
        <f t="shared" si="261"/>
        <v>223138.88008219172</v>
      </c>
      <c r="AD1759" s="4">
        <v>678946.25000000012</v>
      </c>
      <c r="AE1759" s="2">
        <v>7.0000000000000007E-2</v>
      </c>
      <c r="AF1759" s="5">
        <f t="shared" si="262"/>
        <v>47526.23750000001</v>
      </c>
      <c r="AG1759" s="2">
        <v>0.4</v>
      </c>
      <c r="AH1759" s="4">
        <f t="shared" si="258"/>
        <v>505873.85857142846</v>
      </c>
      <c r="AJ1759" s="126" t="e">
        <v>#N/A</v>
      </c>
      <c r="AK1759" s="80">
        <f t="shared" si="263"/>
        <v>0</v>
      </c>
      <c r="AM1759" s="85"/>
    </row>
    <row r="1760" spans="1:39" hidden="1" x14ac:dyDescent="0.3">
      <c r="A1760" s="85" t="s">
        <v>34</v>
      </c>
      <c r="B1760" s="3" t="s">
        <v>35</v>
      </c>
      <c r="C1760" s="3" t="s">
        <v>187</v>
      </c>
      <c r="D1760" s="3" t="s">
        <v>208</v>
      </c>
      <c r="E1760" s="3" t="s">
        <v>2456</v>
      </c>
      <c r="F1760" s="3" t="s">
        <v>2456</v>
      </c>
      <c r="G1760" s="3" t="s">
        <v>2456</v>
      </c>
      <c r="I1760" s="3" t="s">
        <v>2374</v>
      </c>
      <c r="J1760" s="1" t="s">
        <v>3322</v>
      </c>
      <c r="K1760" s="1" t="s">
        <v>3269</v>
      </c>
      <c r="L1760" s="1" t="s">
        <v>35</v>
      </c>
      <c r="M1760" s="3" t="s">
        <v>2438</v>
      </c>
      <c r="O1760" s="1" t="s">
        <v>45</v>
      </c>
      <c r="P1760" s="1" t="s">
        <v>46</v>
      </c>
      <c r="Q1760" s="2">
        <v>0.06</v>
      </c>
      <c r="R1760" s="138"/>
      <c r="T1760" s="4">
        <v>12714.597399999999</v>
      </c>
      <c r="U1760" s="4">
        <v>79368.977200000008</v>
      </c>
      <c r="V1760" s="4">
        <v>63087.57</v>
      </c>
      <c r="W1760" s="13">
        <f t="shared" si="256"/>
        <v>28996.004600000007</v>
      </c>
      <c r="X1760" s="13">
        <f t="shared" si="257"/>
        <v>44117.181818181816</v>
      </c>
      <c r="Y1760" s="13">
        <f t="shared" si="259"/>
        <v>0</v>
      </c>
      <c r="Z1760" s="2">
        <v>0</v>
      </c>
      <c r="AA1760" s="4">
        <v>0</v>
      </c>
      <c r="AB1760" s="4">
        <f t="shared" si="260"/>
        <v>44117.181818181816</v>
      </c>
      <c r="AC1760" s="6">
        <f t="shared" si="261"/>
        <v>18970.388181818184</v>
      </c>
      <c r="AD1760" s="4">
        <v>46049.41</v>
      </c>
      <c r="AE1760" s="2">
        <v>0.06</v>
      </c>
      <c r="AF1760" s="5">
        <f t="shared" si="262"/>
        <v>2762.9646000000002</v>
      </c>
      <c r="AG1760" s="2">
        <v>0.37</v>
      </c>
      <c r="AH1760" s="4">
        <f t="shared" si="258"/>
        <v>46049.321167883209</v>
      </c>
      <c r="AJ1760" s="126" t="e">
        <v>#N/A</v>
      </c>
      <c r="AK1760" s="80">
        <f t="shared" si="263"/>
        <v>0</v>
      </c>
      <c r="AM1760" s="85"/>
    </row>
    <row r="1761" spans="1:39" hidden="1" x14ac:dyDescent="0.3">
      <c r="A1761" s="85" t="s">
        <v>34</v>
      </c>
      <c r="B1761" s="3" t="s">
        <v>35</v>
      </c>
      <c r="C1761" s="3" t="s">
        <v>187</v>
      </c>
      <c r="D1761" s="3" t="s">
        <v>208</v>
      </c>
      <c r="E1761" s="3" t="s">
        <v>2457</v>
      </c>
      <c r="F1761" s="3" t="s">
        <v>2457</v>
      </c>
      <c r="G1761" s="3" t="s">
        <v>2457</v>
      </c>
      <c r="I1761" s="3" t="s">
        <v>2374</v>
      </c>
      <c r="J1761" s="1" t="s">
        <v>3322</v>
      </c>
      <c r="K1761" s="1" t="s">
        <v>3269</v>
      </c>
      <c r="L1761" s="1" t="s">
        <v>35</v>
      </c>
      <c r="M1761" s="3" t="s">
        <v>2438</v>
      </c>
      <c r="O1761" s="1" t="s">
        <v>45</v>
      </c>
      <c r="P1761" s="1" t="s">
        <v>46</v>
      </c>
      <c r="Q1761" s="2">
        <v>0.03</v>
      </c>
      <c r="R1761" s="138"/>
      <c r="T1761" s="4">
        <v>148360.68889999983</v>
      </c>
      <c r="U1761" s="4">
        <v>279999.99720000004</v>
      </c>
      <c r="V1761" s="4">
        <v>374144.55999999982</v>
      </c>
      <c r="W1761" s="13">
        <f t="shared" si="256"/>
        <v>54216.126100000052</v>
      </c>
      <c r="X1761" s="13">
        <f t="shared" si="257"/>
        <v>267246.11428571417</v>
      </c>
      <c r="Y1761" s="13">
        <f t="shared" si="259"/>
        <v>0</v>
      </c>
      <c r="Z1761" s="2">
        <v>0</v>
      </c>
      <c r="AA1761" s="4">
        <v>0</v>
      </c>
      <c r="AB1761" s="4">
        <f t="shared" si="260"/>
        <v>267246.11428571417</v>
      </c>
      <c r="AC1761" s="6">
        <f t="shared" si="261"/>
        <v>106898.44571428566</v>
      </c>
      <c r="AD1761" s="4">
        <v>273097.43999999977</v>
      </c>
      <c r="AE1761" s="2">
        <v>0.06</v>
      </c>
      <c r="AF1761" s="5">
        <f t="shared" si="262"/>
        <v>16385.846399999984</v>
      </c>
      <c r="AG1761" s="2">
        <v>0.37</v>
      </c>
      <c r="AH1761" s="4">
        <f t="shared" si="258"/>
        <v>273098.21897810203</v>
      </c>
      <c r="AJ1761" s="126" t="e">
        <v>#N/A</v>
      </c>
      <c r="AK1761" s="80">
        <f t="shared" si="263"/>
        <v>0</v>
      </c>
      <c r="AM1761" s="85"/>
    </row>
    <row r="1762" spans="1:39" hidden="1" x14ac:dyDescent="0.3">
      <c r="A1762" s="85" t="s">
        <v>34</v>
      </c>
      <c r="B1762" s="3" t="s">
        <v>35</v>
      </c>
      <c r="C1762" s="3" t="s">
        <v>187</v>
      </c>
      <c r="D1762" s="3" t="s">
        <v>208</v>
      </c>
      <c r="E1762" s="3" t="s">
        <v>211</v>
      </c>
      <c r="F1762" s="3" t="s">
        <v>211</v>
      </c>
      <c r="G1762" s="3" t="s">
        <v>211</v>
      </c>
      <c r="I1762" s="3" t="s">
        <v>2374</v>
      </c>
      <c r="J1762" s="1" t="s">
        <v>3322</v>
      </c>
      <c r="K1762" s="1" t="s">
        <v>3269</v>
      </c>
      <c r="L1762" s="1" t="s">
        <v>35</v>
      </c>
      <c r="M1762" s="3" t="s">
        <v>2438</v>
      </c>
      <c r="O1762" s="1" t="s">
        <v>40</v>
      </c>
      <c r="P1762" s="1" t="s">
        <v>46</v>
      </c>
      <c r="Q1762" s="2">
        <v>0.01</v>
      </c>
      <c r="R1762" s="138"/>
      <c r="T1762" s="4">
        <v>81042.16</v>
      </c>
      <c r="U1762" s="4">
        <v>-80170.691999999995</v>
      </c>
      <c r="V1762" s="4">
        <v>871.46</v>
      </c>
      <c r="W1762" s="13">
        <f t="shared" si="256"/>
        <v>8.0000000079962774E-3</v>
      </c>
      <c r="X1762" s="13">
        <f t="shared" si="257"/>
        <v>618.05673758865248</v>
      </c>
      <c r="Y1762" s="13">
        <f t="shared" si="259"/>
        <v>0</v>
      </c>
      <c r="Z1762" s="2">
        <v>0</v>
      </c>
      <c r="AA1762" s="4">
        <v>0</v>
      </c>
      <c r="AB1762" s="4">
        <f t="shared" si="260"/>
        <v>618.05673758865248</v>
      </c>
      <c r="AC1762" s="6">
        <f t="shared" si="261"/>
        <v>253.40326241134755</v>
      </c>
      <c r="AD1762" s="4">
        <v>622.43000000000006</v>
      </c>
      <c r="AE1762" s="2">
        <v>7.0000000000000007E-2</v>
      </c>
      <c r="AF1762" s="5">
        <f t="shared" si="262"/>
        <v>43.570100000000011</v>
      </c>
      <c r="AG1762" s="2">
        <v>0.4</v>
      </c>
      <c r="AH1762" s="4">
        <f t="shared" si="258"/>
        <v>622.47142857142865</v>
      </c>
      <c r="AJ1762" s="126" t="e">
        <v>#N/A</v>
      </c>
      <c r="AK1762" s="80">
        <f t="shared" si="263"/>
        <v>0</v>
      </c>
      <c r="AM1762" s="85"/>
    </row>
    <row r="1763" spans="1:39" hidden="1" x14ac:dyDescent="0.3">
      <c r="A1763" s="85" t="s">
        <v>34</v>
      </c>
      <c r="B1763" s="3" t="s">
        <v>35</v>
      </c>
      <c r="C1763" s="3" t="s">
        <v>187</v>
      </c>
      <c r="D1763" s="3" t="s">
        <v>208</v>
      </c>
      <c r="E1763" s="3" t="s">
        <v>2458</v>
      </c>
      <c r="F1763" s="3" t="s">
        <v>2459</v>
      </c>
      <c r="G1763" s="3" t="s">
        <v>2458</v>
      </c>
      <c r="I1763" s="3" t="s">
        <v>2374</v>
      </c>
      <c r="J1763" s="1" t="s">
        <v>3322</v>
      </c>
      <c r="K1763" s="1" t="s">
        <v>3269</v>
      </c>
      <c r="L1763" s="1" t="s">
        <v>35</v>
      </c>
      <c r="M1763" s="3" t="s">
        <v>2460</v>
      </c>
      <c r="O1763" s="1" t="s">
        <v>40</v>
      </c>
      <c r="P1763" s="1" t="s">
        <v>46</v>
      </c>
      <c r="Q1763" s="2">
        <v>0.05</v>
      </c>
      <c r="R1763" s="138"/>
      <c r="T1763" s="4">
        <v>185822.02839999972</v>
      </c>
      <c r="U1763" s="4">
        <v>78221.432000000001</v>
      </c>
      <c r="V1763" s="4">
        <v>245166.13999999998</v>
      </c>
      <c r="W1763" s="13">
        <f t="shared" si="256"/>
        <v>18877.320399999764</v>
      </c>
      <c r="X1763" s="13">
        <f t="shared" si="257"/>
        <v>190051.27131782944</v>
      </c>
      <c r="Y1763" s="13">
        <f t="shared" si="259"/>
        <v>0</v>
      </c>
      <c r="Z1763" s="2">
        <v>0</v>
      </c>
      <c r="AA1763" s="4">
        <v>0</v>
      </c>
      <c r="AB1763" s="4">
        <f t="shared" si="260"/>
        <v>190051.27131782944</v>
      </c>
      <c r="AC1763" s="6">
        <f t="shared" si="261"/>
        <v>55114.868682170549</v>
      </c>
      <c r="AD1763" s="4">
        <v>197057.51</v>
      </c>
      <c r="AE1763" s="2">
        <v>7.0000000000000007E-2</v>
      </c>
      <c r="AF1763" s="5">
        <f t="shared" si="262"/>
        <v>13794.025700000002</v>
      </c>
      <c r="AG1763" s="2">
        <v>0.24</v>
      </c>
      <c r="AH1763" s="4">
        <f t="shared" si="258"/>
        <v>197714.62903225806</v>
      </c>
      <c r="AJ1763" s="126" t="e">
        <v>#N/A</v>
      </c>
      <c r="AK1763" s="80">
        <f t="shared" si="263"/>
        <v>0</v>
      </c>
      <c r="AM1763" s="85"/>
    </row>
    <row r="1764" spans="1:39" hidden="1" x14ac:dyDescent="0.3">
      <c r="A1764" s="85" t="s">
        <v>34</v>
      </c>
      <c r="B1764" s="3" t="s">
        <v>35</v>
      </c>
      <c r="C1764" s="3" t="s">
        <v>187</v>
      </c>
      <c r="D1764" s="3" t="s">
        <v>208</v>
      </c>
      <c r="E1764" s="3" t="s">
        <v>2461</v>
      </c>
      <c r="F1764" s="3" t="s">
        <v>2461</v>
      </c>
      <c r="G1764" s="3" t="s">
        <v>2461</v>
      </c>
      <c r="I1764" s="3" t="s">
        <v>2374</v>
      </c>
      <c r="J1764" s="1" t="s">
        <v>3322</v>
      </c>
      <c r="K1764" s="1" t="s">
        <v>3269</v>
      </c>
      <c r="L1764" s="1" t="s">
        <v>35</v>
      </c>
      <c r="M1764" s="3" t="s">
        <v>2438</v>
      </c>
      <c r="O1764" s="1" t="s">
        <v>45</v>
      </c>
      <c r="P1764" s="1" t="s">
        <v>46</v>
      </c>
      <c r="Q1764" s="2">
        <v>0.01</v>
      </c>
      <c r="R1764" s="138"/>
      <c r="T1764" s="4">
        <v>23200.806759849133</v>
      </c>
      <c r="U1764" s="4">
        <v>372600.00970000005</v>
      </c>
      <c r="V1764" s="4">
        <v>367111.77000000014</v>
      </c>
      <c r="W1764" s="13">
        <f t="shared" si="256"/>
        <v>28689.046459849051</v>
      </c>
      <c r="X1764" s="13">
        <f t="shared" si="257"/>
        <v>266023.02173913055</v>
      </c>
      <c r="Y1764" s="13">
        <f t="shared" si="259"/>
        <v>0</v>
      </c>
      <c r="Z1764" s="2">
        <v>0</v>
      </c>
      <c r="AA1764" s="4">
        <v>0</v>
      </c>
      <c r="AB1764" s="4">
        <f t="shared" si="260"/>
        <v>266023.02173913055</v>
      </c>
      <c r="AC1764" s="6">
        <f t="shared" si="261"/>
        <v>101088.74826086959</v>
      </c>
      <c r="AD1764" s="4">
        <v>267965.58</v>
      </c>
      <c r="AE1764" s="2">
        <v>0.06</v>
      </c>
      <c r="AF1764" s="5">
        <f t="shared" si="262"/>
        <v>16077.934800000001</v>
      </c>
      <c r="AG1764" s="2">
        <v>0.37</v>
      </c>
      <c r="AH1764" s="4">
        <f t="shared" si="258"/>
        <v>267964.79562043806</v>
      </c>
      <c r="AJ1764" s="126" t="e">
        <v>#N/A</v>
      </c>
      <c r="AK1764" s="80">
        <f t="shared" si="263"/>
        <v>0</v>
      </c>
      <c r="AM1764" s="85"/>
    </row>
    <row r="1765" spans="1:39" hidden="1" x14ac:dyDescent="0.3">
      <c r="A1765" s="85" t="s">
        <v>34</v>
      </c>
      <c r="B1765" s="3" t="s">
        <v>35</v>
      </c>
      <c r="C1765" s="3" t="s">
        <v>187</v>
      </c>
      <c r="D1765" s="3" t="s">
        <v>208</v>
      </c>
      <c r="E1765" s="3" t="s">
        <v>2462</v>
      </c>
      <c r="F1765" s="3" t="s">
        <v>2462</v>
      </c>
      <c r="G1765" s="3" t="s">
        <v>2462</v>
      </c>
      <c r="I1765" s="3" t="s">
        <v>2374</v>
      </c>
      <c r="J1765" s="1" t="s">
        <v>3322</v>
      </c>
      <c r="K1765" s="1" t="s">
        <v>3269</v>
      </c>
      <c r="L1765" s="1" t="s">
        <v>35</v>
      </c>
      <c r="M1765" s="3" t="s">
        <v>2462</v>
      </c>
      <c r="O1765" s="1" t="s">
        <v>45</v>
      </c>
      <c r="P1765" s="1" t="s">
        <v>46</v>
      </c>
      <c r="Q1765" s="2">
        <v>0.05</v>
      </c>
      <c r="R1765" s="138"/>
      <c r="T1765" s="4">
        <v>6954.8720000000212</v>
      </c>
      <c r="U1765" s="4">
        <v>57500.002999999997</v>
      </c>
      <c r="V1765" s="4">
        <v>48667.420000000013</v>
      </c>
      <c r="W1765" s="13">
        <f t="shared" si="256"/>
        <v>15787.455000000002</v>
      </c>
      <c r="X1765" s="13">
        <f t="shared" si="257"/>
        <v>42319.495652173922</v>
      </c>
      <c r="Y1765" s="13">
        <f t="shared" si="259"/>
        <v>0</v>
      </c>
      <c r="Z1765" s="2">
        <v>0</v>
      </c>
      <c r="AA1765" s="4">
        <v>0</v>
      </c>
      <c r="AB1765" s="4">
        <f t="shared" si="260"/>
        <v>42319.495652173922</v>
      </c>
      <c r="AC1765" s="6">
        <f t="shared" si="261"/>
        <v>6347.9243478260905</v>
      </c>
      <c r="AD1765" s="4">
        <v>44243.06</v>
      </c>
      <c r="AE1765" s="2">
        <v>0.06</v>
      </c>
      <c r="AF1765" s="5">
        <f t="shared" si="262"/>
        <v>2654.5835999999999</v>
      </c>
      <c r="AG1765" s="2">
        <v>0.1</v>
      </c>
      <c r="AH1765" s="4">
        <f t="shared" si="258"/>
        <v>44243.1090909091</v>
      </c>
      <c r="AJ1765" s="126" t="e">
        <v>#N/A</v>
      </c>
      <c r="AK1765" s="80">
        <f t="shared" si="263"/>
        <v>0</v>
      </c>
      <c r="AM1765" s="85"/>
    </row>
    <row r="1766" spans="1:39" hidden="1" x14ac:dyDescent="0.3">
      <c r="A1766" s="85" t="s">
        <v>34</v>
      </c>
      <c r="B1766" s="3" t="s">
        <v>35</v>
      </c>
      <c r="C1766" s="3" t="s">
        <v>187</v>
      </c>
      <c r="D1766" s="3" t="s">
        <v>208</v>
      </c>
      <c r="E1766" s="3" t="s">
        <v>2462</v>
      </c>
      <c r="F1766" s="3" t="s">
        <v>2462</v>
      </c>
      <c r="G1766" s="3" t="s">
        <v>2462</v>
      </c>
      <c r="I1766" s="3" t="s">
        <v>2374</v>
      </c>
      <c r="J1766" s="1" t="s">
        <v>3322</v>
      </c>
      <c r="K1766" s="1" t="s">
        <v>3269</v>
      </c>
      <c r="L1766" s="1" t="s">
        <v>35</v>
      </c>
      <c r="M1766" s="3" t="s">
        <v>2462</v>
      </c>
      <c r="O1766" s="1" t="s">
        <v>40</v>
      </c>
      <c r="P1766" s="1" t="s">
        <v>46</v>
      </c>
      <c r="Q1766" s="2">
        <v>0.06</v>
      </c>
      <c r="R1766" s="138"/>
      <c r="T1766" s="4">
        <v>483019.83799999999</v>
      </c>
      <c r="U1766" s="4">
        <v>130000.00039999999</v>
      </c>
      <c r="V1766" s="4">
        <v>261243.78999999989</v>
      </c>
      <c r="W1766" s="13">
        <f t="shared" si="256"/>
        <v>351776.04840000009</v>
      </c>
      <c r="X1766" s="13">
        <f t="shared" si="257"/>
        <v>200956.76153846146</v>
      </c>
      <c r="Y1766" s="13">
        <f t="shared" si="259"/>
        <v>0</v>
      </c>
      <c r="Z1766" s="2">
        <v>0</v>
      </c>
      <c r="AA1766" s="4">
        <v>0</v>
      </c>
      <c r="AB1766" s="4">
        <f t="shared" si="260"/>
        <v>200956.76153846146</v>
      </c>
      <c r="AC1766" s="6">
        <f t="shared" si="261"/>
        <v>60287.02846153843</v>
      </c>
      <c r="AD1766" s="4">
        <v>210679.81</v>
      </c>
      <c r="AE1766" s="2">
        <v>7.0000000000000007E-2</v>
      </c>
      <c r="AF1766" s="5">
        <f t="shared" si="262"/>
        <v>14747.586700000002</v>
      </c>
      <c r="AG1766" s="2">
        <v>0.24</v>
      </c>
      <c r="AH1766" s="4">
        <f t="shared" si="258"/>
        <v>210680.47580645152</v>
      </c>
      <c r="AJ1766" s="126" t="e">
        <v>#N/A</v>
      </c>
      <c r="AK1766" s="80">
        <f t="shared" si="263"/>
        <v>0</v>
      </c>
      <c r="AM1766" s="85"/>
    </row>
    <row r="1767" spans="1:39" hidden="1" x14ac:dyDescent="0.3">
      <c r="A1767" s="85" t="s">
        <v>34</v>
      </c>
      <c r="B1767" s="3" t="s">
        <v>35</v>
      </c>
      <c r="C1767" s="3" t="s">
        <v>187</v>
      </c>
      <c r="D1767" s="3" t="s">
        <v>208</v>
      </c>
      <c r="E1767" s="3" t="s">
        <v>2463</v>
      </c>
      <c r="F1767" s="3" t="s">
        <v>2463</v>
      </c>
      <c r="G1767" s="3" t="s">
        <v>2463</v>
      </c>
      <c r="I1767" s="3" t="s">
        <v>2374</v>
      </c>
      <c r="J1767" s="1" t="s">
        <v>3322</v>
      </c>
      <c r="K1767" s="1" t="s">
        <v>3269</v>
      </c>
      <c r="L1767" s="1" t="s">
        <v>35</v>
      </c>
      <c r="M1767" s="3" t="s">
        <v>2438</v>
      </c>
      <c r="O1767" s="1" t="s">
        <v>45</v>
      </c>
      <c r="P1767" s="1" t="s">
        <v>41</v>
      </c>
      <c r="Q1767" s="2">
        <v>0</v>
      </c>
      <c r="R1767" s="138"/>
      <c r="T1767" s="4">
        <v>25887.861599999989</v>
      </c>
      <c r="U1767" s="4">
        <v>34250</v>
      </c>
      <c r="V1767" s="4">
        <v>43133.41</v>
      </c>
      <c r="W1767" s="13">
        <f t="shared" si="256"/>
        <v>17004.451599999986</v>
      </c>
      <c r="X1767" s="13">
        <f t="shared" si="257"/>
        <v>31484.240875912408</v>
      </c>
      <c r="Y1767" s="13">
        <f t="shared" si="259"/>
        <v>1.0875912415940547E-2</v>
      </c>
      <c r="Z1767" s="2">
        <v>0</v>
      </c>
      <c r="AA1767" s="4">
        <v>0</v>
      </c>
      <c r="AB1767" s="4">
        <f t="shared" si="260"/>
        <v>31484.240875912408</v>
      </c>
      <c r="AC1767" s="6">
        <f t="shared" si="261"/>
        <v>11649.169124087595</v>
      </c>
      <c r="AD1767" s="4">
        <v>31484.229999999992</v>
      </c>
      <c r="AE1767" s="2">
        <v>0.06</v>
      </c>
      <c r="AF1767" s="5">
        <f t="shared" si="262"/>
        <v>1889.0537999999995</v>
      </c>
      <c r="AG1767" s="2">
        <v>0.37</v>
      </c>
      <c r="AH1767" s="4">
        <f t="shared" si="258"/>
        <v>31484.240875912408</v>
      </c>
      <c r="AJ1767" s="126" t="e">
        <v>#N/A</v>
      </c>
      <c r="AK1767" s="80">
        <f t="shared" si="263"/>
        <v>0</v>
      </c>
      <c r="AM1767" s="85"/>
    </row>
    <row r="1768" spans="1:39" hidden="1" x14ac:dyDescent="0.3">
      <c r="A1768" s="85" t="s">
        <v>34</v>
      </c>
      <c r="B1768" s="3" t="s">
        <v>35</v>
      </c>
      <c r="C1768" s="3" t="s">
        <v>187</v>
      </c>
      <c r="D1768" s="3" t="s">
        <v>208</v>
      </c>
      <c r="E1768" s="3" t="s">
        <v>202</v>
      </c>
      <c r="F1768" s="3" t="s">
        <v>2464</v>
      </c>
      <c r="G1768" s="3" t="s">
        <v>202</v>
      </c>
      <c r="H1768" s="138"/>
      <c r="I1768" s="3" t="s">
        <v>2374</v>
      </c>
      <c r="J1768" s="1" t="s">
        <v>3322</v>
      </c>
      <c r="K1768" s="1" t="s">
        <v>3269</v>
      </c>
      <c r="L1768" s="1" t="s">
        <v>35</v>
      </c>
      <c r="M1768" s="3" t="s">
        <v>2438</v>
      </c>
      <c r="O1768" s="1" t="s">
        <v>45</v>
      </c>
      <c r="P1768" s="1" t="s">
        <v>46</v>
      </c>
      <c r="Q1768" s="2">
        <v>0.03</v>
      </c>
      <c r="R1768" s="138"/>
      <c r="T1768" s="4">
        <v>55994.776700000002</v>
      </c>
      <c r="U1768" s="4">
        <v>-55994.777000000002</v>
      </c>
      <c r="V1768" s="4">
        <v>0</v>
      </c>
      <c r="W1768" s="13">
        <f t="shared" si="256"/>
        <v>-2.9999999969732016E-4</v>
      </c>
      <c r="X1768" s="13">
        <f t="shared" si="257"/>
        <v>0</v>
      </c>
      <c r="Y1768" s="13">
        <f t="shared" si="259"/>
        <v>0</v>
      </c>
      <c r="Z1768" s="2">
        <v>0</v>
      </c>
      <c r="AA1768" s="4">
        <v>0</v>
      </c>
      <c r="AB1768" s="4">
        <f t="shared" si="260"/>
        <v>0</v>
      </c>
      <c r="AC1768" s="6">
        <f t="shared" si="261"/>
        <v>0</v>
      </c>
      <c r="AD1768" s="4">
        <v>0</v>
      </c>
      <c r="AE1768" s="2">
        <v>0.06</v>
      </c>
      <c r="AF1768" s="5">
        <f t="shared" si="262"/>
        <v>0</v>
      </c>
      <c r="AG1768" s="2">
        <v>0.37</v>
      </c>
      <c r="AH1768" s="4">
        <f t="shared" si="258"/>
        <v>0</v>
      </c>
      <c r="AJ1768" s="126" t="e">
        <v>#N/A</v>
      </c>
      <c r="AK1768" s="80">
        <f t="shared" si="263"/>
        <v>0</v>
      </c>
      <c r="AM1768" s="85"/>
    </row>
    <row r="1769" spans="1:39" hidden="1" x14ac:dyDescent="0.3">
      <c r="A1769" s="85" t="s">
        <v>34</v>
      </c>
      <c r="B1769" s="3" t="s">
        <v>35</v>
      </c>
      <c r="C1769" s="3" t="s">
        <v>187</v>
      </c>
      <c r="D1769" s="3" t="s">
        <v>208</v>
      </c>
      <c r="E1769" s="3" t="s">
        <v>202</v>
      </c>
      <c r="F1769" s="3" t="s">
        <v>2464</v>
      </c>
      <c r="G1769" s="3" t="s">
        <v>202</v>
      </c>
      <c r="H1769" s="138"/>
      <c r="I1769" s="3" t="s">
        <v>2374</v>
      </c>
      <c r="J1769" s="1" t="s">
        <v>3322</v>
      </c>
      <c r="K1769" s="1" t="s">
        <v>3269</v>
      </c>
      <c r="L1769" s="1" t="s">
        <v>35</v>
      </c>
      <c r="M1769" s="3" t="s">
        <v>2438</v>
      </c>
      <c r="O1769" s="1" t="s">
        <v>45</v>
      </c>
      <c r="P1769" s="1" t="s">
        <v>46</v>
      </c>
      <c r="Q1769" s="2">
        <v>0.05</v>
      </c>
      <c r="R1769" s="138"/>
      <c r="T1769" s="4">
        <v>0</v>
      </c>
      <c r="U1769" s="4">
        <v>55994.777000000002</v>
      </c>
      <c r="V1769" s="4">
        <v>0</v>
      </c>
      <c r="W1769" s="13">
        <f t="shared" si="256"/>
        <v>55994.777000000002</v>
      </c>
      <c r="X1769" s="13">
        <f t="shared" si="257"/>
        <v>0</v>
      </c>
      <c r="Y1769" s="13">
        <f t="shared" si="259"/>
        <v>0</v>
      </c>
      <c r="Z1769" s="2">
        <v>0</v>
      </c>
      <c r="AA1769" s="4">
        <v>0</v>
      </c>
      <c r="AB1769" s="4">
        <f t="shared" si="260"/>
        <v>0</v>
      </c>
      <c r="AC1769" s="6">
        <f t="shared" si="261"/>
        <v>0</v>
      </c>
      <c r="AD1769" s="4">
        <v>0</v>
      </c>
      <c r="AE1769" s="2">
        <v>0.06</v>
      </c>
      <c r="AF1769" s="5">
        <f t="shared" si="262"/>
        <v>0</v>
      </c>
      <c r="AG1769" s="2">
        <v>0.37</v>
      </c>
      <c r="AH1769" s="4">
        <f t="shared" si="258"/>
        <v>0</v>
      </c>
      <c r="AJ1769" s="126" t="e">
        <v>#N/A</v>
      </c>
      <c r="AK1769" s="80">
        <f t="shared" si="263"/>
        <v>0</v>
      </c>
      <c r="AM1769" s="85"/>
    </row>
    <row r="1770" spans="1:39" hidden="1" x14ac:dyDescent="0.3">
      <c r="A1770" s="85" t="s">
        <v>34</v>
      </c>
      <c r="B1770" s="3" t="s">
        <v>35</v>
      </c>
      <c r="C1770" s="3" t="s">
        <v>187</v>
      </c>
      <c r="D1770" s="3" t="s">
        <v>208</v>
      </c>
      <c r="E1770" s="3" t="s">
        <v>2465</v>
      </c>
      <c r="F1770" s="3" t="s">
        <v>2466</v>
      </c>
      <c r="G1770" s="3" t="s">
        <v>2465</v>
      </c>
      <c r="I1770" s="3" t="s">
        <v>2374</v>
      </c>
      <c r="J1770" s="1" t="s">
        <v>3322</v>
      </c>
      <c r="K1770" s="1" t="s">
        <v>3269</v>
      </c>
      <c r="L1770" s="1" t="s">
        <v>35</v>
      </c>
      <c r="M1770" s="3" t="s">
        <v>2465</v>
      </c>
      <c r="O1770" s="1" t="s">
        <v>45</v>
      </c>
      <c r="P1770" s="1" t="s">
        <v>46</v>
      </c>
      <c r="Q1770" s="2">
        <v>6.4799999999999996E-2</v>
      </c>
      <c r="R1770" s="138"/>
      <c r="T1770" s="4">
        <v>213007.40280000016</v>
      </c>
      <c r="U1770" s="4">
        <v>354888</v>
      </c>
      <c r="V1770" s="4">
        <v>559864.62999999989</v>
      </c>
      <c r="W1770" s="13">
        <f t="shared" si="256"/>
        <v>8030.772800000268</v>
      </c>
      <c r="X1770" s="13">
        <f t="shared" si="257"/>
        <v>489050.16596785455</v>
      </c>
      <c r="Y1770" s="13">
        <f t="shared" si="259"/>
        <v>0</v>
      </c>
      <c r="Z1770" s="2">
        <v>0</v>
      </c>
      <c r="AA1770" s="4">
        <v>0</v>
      </c>
      <c r="AB1770" s="4">
        <f t="shared" si="260"/>
        <v>489050.16596785455</v>
      </c>
      <c r="AC1770" s="6">
        <f t="shared" si="261"/>
        <v>70814.464032145333</v>
      </c>
      <c r="AD1770" s="4">
        <v>518244.46</v>
      </c>
      <c r="AE1770" s="2">
        <v>0.06</v>
      </c>
      <c r="AF1770" s="5">
        <f t="shared" si="262"/>
        <v>31094.667600000001</v>
      </c>
      <c r="AG1770" s="2">
        <v>0.08</v>
      </c>
      <c r="AH1770" s="4">
        <f t="shared" si="258"/>
        <v>518393.17592592578</v>
      </c>
      <c r="AJ1770" s="126" t="e">
        <v>#N/A</v>
      </c>
      <c r="AK1770" s="80">
        <f t="shared" si="263"/>
        <v>0</v>
      </c>
      <c r="AM1770" s="85"/>
    </row>
    <row r="1771" spans="1:39" hidden="1" x14ac:dyDescent="0.3">
      <c r="A1771" s="85" t="s">
        <v>34</v>
      </c>
      <c r="B1771" s="3" t="s">
        <v>35</v>
      </c>
      <c r="C1771" s="3" t="s">
        <v>187</v>
      </c>
      <c r="D1771" s="3" t="s">
        <v>208</v>
      </c>
      <c r="E1771" s="3" t="s">
        <v>2467</v>
      </c>
      <c r="F1771" s="3" t="s">
        <v>2467</v>
      </c>
      <c r="G1771" s="3" t="s">
        <v>2467</v>
      </c>
      <c r="I1771" s="3" t="s">
        <v>2374</v>
      </c>
      <c r="J1771" s="1" t="s">
        <v>3322</v>
      </c>
      <c r="K1771" s="1" t="s">
        <v>3269</v>
      </c>
      <c r="L1771" s="1" t="s">
        <v>35</v>
      </c>
      <c r="M1771" s="3" t="s">
        <v>2438</v>
      </c>
      <c r="O1771" s="1" t="s">
        <v>45</v>
      </c>
      <c r="P1771" s="1" t="s">
        <v>46</v>
      </c>
      <c r="Q1771" s="2">
        <v>0.05</v>
      </c>
      <c r="R1771" s="138"/>
      <c r="T1771" s="4">
        <v>3497.5741000000016</v>
      </c>
      <c r="U1771" s="4">
        <v>28400.004100000002</v>
      </c>
      <c r="V1771" s="4">
        <v>5344.5499999999975</v>
      </c>
      <c r="W1771" s="13">
        <f t="shared" si="256"/>
        <v>26553.028200000008</v>
      </c>
      <c r="X1771" s="13">
        <f t="shared" si="257"/>
        <v>3763.7676056338014</v>
      </c>
      <c r="Y1771" s="13">
        <f t="shared" si="259"/>
        <v>0</v>
      </c>
      <c r="Z1771" s="2">
        <v>0</v>
      </c>
      <c r="AA1771" s="4">
        <v>0</v>
      </c>
      <c r="AB1771" s="4">
        <f t="shared" si="260"/>
        <v>3763.7676056338014</v>
      </c>
      <c r="AC1771" s="6">
        <f t="shared" si="261"/>
        <v>1580.7823943661961</v>
      </c>
      <c r="AD1771" s="4">
        <v>3901.1699999999992</v>
      </c>
      <c r="AE1771" s="2">
        <v>0.06</v>
      </c>
      <c r="AF1771" s="5">
        <f t="shared" si="262"/>
        <v>234.07019999999994</v>
      </c>
      <c r="AG1771" s="2">
        <v>0.37</v>
      </c>
      <c r="AH1771" s="4">
        <f t="shared" si="258"/>
        <v>3901.1313868613115</v>
      </c>
      <c r="AJ1771" s="126" t="e">
        <v>#N/A</v>
      </c>
      <c r="AK1771" s="80">
        <f t="shared" si="263"/>
        <v>0</v>
      </c>
      <c r="AM1771" s="85"/>
    </row>
    <row r="1772" spans="1:39" hidden="1" x14ac:dyDescent="0.3">
      <c r="A1772" s="85" t="s">
        <v>34</v>
      </c>
      <c r="B1772" s="3" t="s">
        <v>35</v>
      </c>
      <c r="C1772" s="3" t="s">
        <v>187</v>
      </c>
      <c r="D1772" s="3" t="s">
        <v>208</v>
      </c>
      <c r="E1772" s="3" t="s">
        <v>2468</v>
      </c>
      <c r="F1772" s="3" t="s">
        <v>2468</v>
      </c>
      <c r="G1772" s="3" t="s">
        <v>2468</v>
      </c>
      <c r="I1772" s="3" t="s">
        <v>2374</v>
      </c>
      <c r="J1772" s="1" t="s">
        <v>3322</v>
      </c>
      <c r="K1772" s="1" t="s">
        <v>3269</v>
      </c>
      <c r="L1772" s="1" t="s">
        <v>35</v>
      </c>
      <c r="M1772" s="3" t="s">
        <v>2438</v>
      </c>
      <c r="O1772" s="1" t="s">
        <v>40</v>
      </c>
      <c r="P1772" s="1" t="s">
        <v>46</v>
      </c>
      <c r="Q1772" s="2">
        <v>0.03</v>
      </c>
      <c r="R1772" s="138"/>
      <c r="T1772" s="4">
        <v>44867.432000000001</v>
      </c>
      <c r="U1772" s="4">
        <v>57199.995999999999</v>
      </c>
      <c r="V1772" s="4">
        <v>69961.679999999993</v>
      </c>
      <c r="W1772" s="13">
        <f t="shared" si="256"/>
        <v>32105.748000000007</v>
      </c>
      <c r="X1772" s="13">
        <f t="shared" si="257"/>
        <v>48924.251748251736</v>
      </c>
      <c r="Y1772" s="13">
        <f t="shared" si="259"/>
        <v>0</v>
      </c>
      <c r="Z1772" s="2">
        <v>0</v>
      </c>
      <c r="AA1772" s="4">
        <v>0</v>
      </c>
      <c r="AB1772" s="4">
        <f t="shared" si="260"/>
        <v>48924.251748251736</v>
      </c>
      <c r="AC1772" s="6">
        <f t="shared" si="261"/>
        <v>21037.428251748257</v>
      </c>
      <c r="AD1772" s="4">
        <v>49965.57999999998</v>
      </c>
      <c r="AE1772" s="2">
        <v>7.0000000000000007E-2</v>
      </c>
      <c r="AF1772" s="5">
        <f t="shared" si="262"/>
        <v>3497.5905999999991</v>
      </c>
      <c r="AG1772" s="2">
        <v>0.4</v>
      </c>
      <c r="AH1772" s="4">
        <f t="shared" si="258"/>
        <v>49972.62857142857</v>
      </c>
      <c r="AJ1772" s="126" t="e">
        <v>#N/A</v>
      </c>
      <c r="AK1772" s="80">
        <f t="shared" si="263"/>
        <v>0</v>
      </c>
      <c r="AM1772" s="85"/>
    </row>
    <row r="1773" spans="1:39" hidden="1" x14ac:dyDescent="0.3">
      <c r="A1773" s="85" t="s">
        <v>34</v>
      </c>
      <c r="B1773" s="3" t="s">
        <v>35</v>
      </c>
      <c r="C1773" s="3" t="s">
        <v>187</v>
      </c>
      <c r="D1773" s="3" t="s">
        <v>208</v>
      </c>
      <c r="E1773" s="3" t="s">
        <v>2469</v>
      </c>
      <c r="F1773" s="3" t="s">
        <v>2469</v>
      </c>
      <c r="G1773" s="3" t="s">
        <v>2469</v>
      </c>
      <c r="I1773" s="3" t="s">
        <v>2374</v>
      </c>
      <c r="J1773" s="1" t="s">
        <v>3322</v>
      </c>
      <c r="K1773" s="1" t="s">
        <v>3269</v>
      </c>
      <c r="L1773" s="1" t="s">
        <v>35</v>
      </c>
      <c r="M1773" s="3" t="s">
        <v>2438</v>
      </c>
      <c r="O1773" s="1" t="s">
        <v>45</v>
      </c>
      <c r="P1773" s="1" t="s">
        <v>46</v>
      </c>
      <c r="Q1773" s="2">
        <v>0.03</v>
      </c>
      <c r="R1773" s="138"/>
      <c r="T1773" s="4">
        <v>28566.696199999977</v>
      </c>
      <c r="U1773" s="4">
        <v>25999.996999999999</v>
      </c>
      <c r="V1773" s="4">
        <v>38354.909999999989</v>
      </c>
      <c r="W1773" s="13">
        <f t="shared" si="256"/>
        <v>16211.783199999991</v>
      </c>
      <c r="X1773" s="13">
        <f t="shared" si="257"/>
        <v>27396.36428571428</v>
      </c>
      <c r="Y1773" s="13">
        <f t="shared" si="259"/>
        <v>0</v>
      </c>
      <c r="Z1773" s="2">
        <v>0</v>
      </c>
      <c r="AA1773" s="4">
        <v>0</v>
      </c>
      <c r="AB1773" s="4">
        <f t="shared" si="260"/>
        <v>27396.36428571428</v>
      </c>
      <c r="AC1773" s="6">
        <f t="shared" si="261"/>
        <v>10958.545714285709</v>
      </c>
      <c r="AD1773" s="4">
        <v>27995.420000000006</v>
      </c>
      <c r="AE1773" s="2">
        <v>0.06</v>
      </c>
      <c r="AF1773" s="5">
        <f t="shared" si="262"/>
        <v>1679.7252000000003</v>
      </c>
      <c r="AG1773" s="2">
        <v>0.37</v>
      </c>
      <c r="AH1773" s="4">
        <f t="shared" si="258"/>
        <v>27996.284671532838</v>
      </c>
      <c r="AJ1773" s="126" t="e">
        <v>#N/A</v>
      </c>
      <c r="AK1773" s="80">
        <f t="shared" si="263"/>
        <v>0</v>
      </c>
      <c r="AM1773" s="85"/>
    </row>
    <row r="1774" spans="1:39" hidden="1" x14ac:dyDescent="0.3">
      <c r="A1774" s="85" t="s">
        <v>34</v>
      </c>
      <c r="B1774" s="15" t="s">
        <v>35</v>
      </c>
      <c r="C1774" s="15" t="s">
        <v>59</v>
      </c>
      <c r="D1774" s="15" t="s">
        <v>60</v>
      </c>
      <c r="E1774" s="15" t="s">
        <v>2470</v>
      </c>
      <c r="F1774" s="15" t="s">
        <v>2470</v>
      </c>
      <c r="G1774" s="15" t="s">
        <v>2470</v>
      </c>
      <c r="H1774" s="154"/>
      <c r="I1774" s="3" t="s">
        <v>2374</v>
      </c>
      <c r="J1774" s="1" t="s">
        <v>3322</v>
      </c>
      <c r="K1774" s="1" t="s">
        <v>3269</v>
      </c>
      <c r="L1774" s="1" t="s">
        <v>35</v>
      </c>
      <c r="M1774" s="15" t="s">
        <v>2471</v>
      </c>
      <c r="N1774" s="15"/>
      <c r="O1774" s="8" t="s">
        <v>45</v>
      </c>
      <c r="P1774" s="8" t="s">
        <v>41</v>
      </c>
      <c r="Q1774" s="9">
        <v>0</v>
      </c>
      <c r="R1774" s="138"/>
      <c r="T1774" s="18">
        <v>85904.030000000013</v>
      </c>
      <c r="U1774" s="4">
        <v>0</v>
      </c>
      <c r="V1774" s="4">
        <v>18800.669999999998</v>
      </c>
      <c r="W1774" s="13">
        <f t="shared" si="256"/>
        <v>67103.360000000015</v>
      </c>
      <c r="X1774" s="13">
        <f t="shared" si="257"/>
        <v>18800.669999999998</v>
      </c>
      <c r="Y1774" s="13">
        <f t="shared" si="259"/>
        <v>0</v>
      </c>
      <c r="Z1774" s="2">
        <v>0</v>
      </c>
      <c r="AA1774" s="4">
        <v>0</v>
      </c>
      <c r="AB1774" s="4">
        <f t="shared" si="260"/>
        <v>18800.669999999998</v>
      </c>
      <c r="AC1774" s="6">
        <f t="shared" si="261"/>
        <v>0</v>
      </c>
      <c r="AD1774" s="4">
        <v>18800.669999999998</v>
      </c>
      <c r="AE1774" s="2">
        <v>0.06</v>
      </c>
      <c r="AF1774" s="5">
        <f t="shared" si="262"/>
        <v>1128.0401999999999</v>
      </c>
      <c r="AG1774" s="9">
        <v>0</v>
      </c>
      <c r="AH1774" s="4">
        <f t="shared" si="258"/>
        <v>18800.669999999998</v>
      </c>
      <c r="AJ1774" s="126" t="e">
        <v>#N/A</v>
      </c>
      <c r="AK1774" s="80">
        <f t="shared" si="263"/>
        <v>0</v>
      </c>
      <c r="AM1774" s="85"/>
    </row>
    <row r="1775" spans="1:39" hidden="1" x14ac:dyDescent="0.3">
      <c r="A1775" s="85" t="s">
        <v>34</v>
      </c>
      <c r="B1775" s="15" t="s">
        <v>35</v>
      </c>
      <c r="C1775" s="15" t="s">
        <v>36</v>
      </c>
      <c r="D1775" s="15" t="s">
        <v>224</v>
      </c>
      <c r="E1775" s="15" t="s">
        <v>2377</v>
      </c>
      <c r="F1775" s="15" t="s">
        <v>2377</v>
      </c>
      <c r="G1775" s="15" t="s">
        <v>2377</v>
      </c>
      <c r="H1775" s="139"/>
      <c r="I1775" s="3" t="s">
        <v>2374</v>
      </c>
      <c r="J1775" s="1" t="s">
        <v>3322</v>
      </c>
      <c r="K1775" s="1" t="s">
        <v>3269</v>
      </c>
      <c r="L1775" s="1" t="s">
        <v>35</v>
      </c>
      <c r="M1775" s="15" t="s">
        <v>2377</v>
      </c>
      <c r="N1775" s="15"/>
      <c r="O1775" s="8" t="s">
        <v>40</v>
      </c>
      <c r="P1775" s="8" t="s">
        <v>41</v>
      </c>
      <c r="Q1775" s="9">
        <v>0</v>
      </c>
      <c r="R1775" s="138"/>
      <c r="T1775" s="18">
        <v>-277.01999999991676</v>
      </c>
      <c r="U1775" s="4">
        <v>0</v>
      </c>
      <c r="V1775" s="4">
        <v>0</v>
      </c>
      <c r="W1775" s="13">
        <f t="shared" si="256"/>
        <v>-277.01999999991676</v>
      </c>
      <c r="X1775" s="13">
        <f t="shared" si="257"/>
        <v>0</v>
      </c>
      <c r="Y1775" s="13">
        <f t="shared" si="259"/>
        <v>0</v>
      </c>
      <c r="Z1775" s="2">
        <v>0</v>
      </c>
      <c r="AA1775" s="4">
        <v>0</v>
      </c>
      <c r="AB1775" s="4">
        <f t="shared" si="260"/>
        <v>0</v>
      </c>
      <c r="AC1775" s="6">
        <f t="shared" si="261"/>
        <v>0</v>
      </c>
      <c r="AD1775" s="4">
        <v>0</v>
      </c>
      <c r="AE1775" s="2">
        <v>7.0000000000000007E-2</v>
      </c>
      <c r="AF1775" s="5">
        <f t="shared" si="262"/>
        <v>0</v>
      </c>
      <c r="AG1775" s="9">
        <v>0</v>
      </c>
      <c r="AH1775" s="4">
        <f t="shared" si="258"/>
        <v>0</v>
      </c>
      <c r="AJ1775" s="126" t="s">
        <v>4223</v>
      </c>
      <c r="AK1775" s="80">
        <f t="shared" si="263"/>
        <v>0</v>
      </c>
      <c r="AL1775" s="150"/>
      <c r="AM1775" s="85"/>
    </row>
    <row r="1776" spans="1:39" hidden="1" x14ac:dyDescent="0.3">
      <c r="A1776" s="85" t="s">
        <v>34</v>
      </c>
      <c r="B1776" s="15" t="s">
        <v>35</v>
      </c>
      <c r="C1776" s="15" t="s">
        <v>36</v>
      </c>
      <c r="D1776" s="15" t="s">
        <v>54</v>
      </c>
      <c r="E1776" s="15" t="s">
        <v>2378</v>
      </c>
      <c r="F1776" s="15" t="s">
        <v>2379</v>
      </c>
      <c r="G1776" s="15" t="s">
        <v>2378</v>
      </c>
      <c r="H1776" s="154"/>
      <c r="I1776" s="3" t="s">
        <v>2374</v>
      </c>
      <c r="J1776" s="1" t="s">
        <v>3322</v>
      </c>
      <c r="K1776" s="1" t="s">
        <v>3269</v>
      </c>
      <c r="L1776" s="1" t="s">
        <v>35</v>
      </c>
      <c r="M1776" s="15" t="s">
        <v>2378</v>
      </c>
      <c r="N1776" s="15"/>
      <c r="O1776" s="8" t="s">
        <v>40</v>
      </c>
      <c r="P1776" s="8" t="s">
        <v>46</v>
      </c>
      <c r="Q1776" s="9">
        <v>0.04</v>
      </c>
      <c r="R1776" s="138"/>
      <c r="T1776" s="18">
        <v>-938230.07</v>
      </c>
      <c r="U1776" s="4">
        <v>0</v>
      </c>
      <c r="V1776" s="18">
        <v>-938230.07</v>
      </c>
      <c r="W1776" s="13">
        <f t="shared" si="256"/>
        <v>0</v>
      </c>
      <c r="X1776" s="13">
        <f t="shared" si="257"/>
        <v>-732992.2421875</v>
      </c>
      <c r="Y1776" s="13">
        <f t="shared" si="259"/>
        <v>0</v>
      </c>
      <c r="Z1776" s="2">
        <v>0</v>
      </c>
      <c r="AA1776" s="4">
        <v>0</v>
      </c>
      <c r="AB1776" s="4">
        <f t="shared" si="260"/>
        <v>-732992.2421875</v>
      </c>
      <c r="AC1776" s="6">
        <f t="shared" si="261"/>
        <v>-205237.82781249995</v>
      </c>
      <c r="AD1776" s="4">
        <v>0</v>
      </c>
      <c r="AE1776" s="2">
        <v>7.0000000000000007E-2</v>
      </c>
      <c r="AF1776" s="5">
        <f t="shared" si="262"/>
        <v>0</v>
      </c>
      <c r="AG1776" s="2">
        <v>0.24</v>
      </c>
      <c r="AH1776" s="4">
        <f t="shared" si="258"/>
        <v>-756637.15322580643</v>
      </c>
      <c r="AJ1776" s="126" t="e">
        <v>#N/A</v>
      </c>
      <c r="AK1776" s="80">
        <f t="shared" si="263"/>
        <v>0</v>
      </c>
      <c r="AM1776" s="85"/>
    </row>
    <row r="1777" spans="1:39" hidden="1" x14ac:dyDescent="0.3">
      <c r="A1777" s="85" t="s">
        <v>34</v>
      </c>
      <c r="B1777" s="15" t="s">
        <v>35</v>
      </c>
      <c r="C1777" s="15" t="s">
        <v>36</v>
      </c>
      <c r="D1777" s="15" t="s">
        <v>54</v>
      </c>
      <c r="E1777" s="15" t="s">
        <v>2472</v>
      </c>
      <c r="F1777" s="15" t="s">
        <v>2472</v>
      </c>
      <c r="G1777" s="15" t="s">
        <v>2472</v>
      </c>
      <c r="H1777" s="139"/>
      <c r="I1777" s="3" t="s">
        <v>2374</v>
      </c>
      <c r="J1777" s="1" t="s">
        <v>3322</v>
      </c>
      <c r="K1777" s="1" t="s">
        <v>3269</v>
      </c>
      <c r="L1777" s="1" t="s">
        <v>35</v>
      </c>
      <c r="M1777" s="15" t="s">
        <v>2472</v>
      </c>
      <c r="N1777" s="15"/>
      <c r="O1777" s="8" t="s">
        <v>40</v>
      </c>
      <c r="P1777" s="8" t="s">
        <v>46</v>
      </c>
      <c r="Q1777" s="9">
        <v>0.03</v>
      </c>
      <c r="R1777" s="138"/>
      <c r="T1777" s="18">
        <v>54073.930000000058</v>
      </c>
      <c r="U1777" s="4">
        <v>0</v>
      </c>
      <c r="V1777" s="4">
        <v>0</v>
      </c>
      <c r="W1777" s="13">
        <f t="shared" si="256"/>
        <v>54073.930000000058</v>
      </c>
      <c r="X1777" s="13">
        <f t="shared" si="257"/>
        <v>0</v>
      </c>
      <c r="Y1777" s="13">
        <f t="shared" si="259"/>
        <v>0</v>
      </c>
      <c r="Z1777" s="2">
        <v>0</v>
      </c>
      <c r="AA1777" s="4">
        <v>0</v>
      </c>
      <c r="AB1777" s="4">
        <f t="shared" si="260"/>
        <v>0</v>
      </c>
      <c r="AC1777" s="6">
        <f t="shared" si="261"/>
        <v>0</v>
      </c>
      <c r="AD1777" s="4">
        <v>0</v>
      </c>
      <c r="AE1777" s="2">
        <v>7.0000000000000007E-2</v>
      </c>
      <c r="AF1777" s="5">
        <f t="shared" si="262"/>
        <v>0</v>
      </c>
      <c r="AG1777" s="9">
        <v>0</v>
      </c>
      <c r="AH1777" s="4">
        <f t="shared" si="258"/>
        <v>0</v>
      </c>
      <c r="AJ1777" s="126" t="e">
        <v>#N/A</v>
      </c>
      <c r="AK1777" s="80">
        <f t="shared" si="263"/>
        <v>0</v>
      </c>
      <c r="AM1777" s="85"/>
    </row>
    <row r="1778" spans="1:39" hidden="1" x14ac:dyDescent="0.3">
      <c r="A1778" s="85" t="s">
        <v>34</v>
      </c>
      <c r="B1778" s="15" t="s">
        <v>35</v>
      </c>
      <c r="C1778" s="15" t="s">
        <v>36</v>
      </c>
      <c r="D1778" s="15" t="s">
        <v>54</v>
      </c>
      <c r="E1778" s="15" t="s">
        <v>2380</v>
      </c>
      <c r="F1778" s="15" t="s">
        <v>2380</v>
      </c>
      <c r="G1778" s="15" t="s">
        <v>2380</v>
      </c>
      <c r="H1778" s="154"/>
      <c r="I1778" s="3" t="s">
        <v>2374</v>
      </c>
      <c r="J1778" s="1" t="s">
        <v>3322</v>
      </c>
      <c r="K1778" s="1" t="s">
        <v>3269</v>
      </c>
      <c r="L1778" s="1" t="s">
        <v>35</v>
      </c>
      <c r="M1778" s="15" t="s">
        <v>2381</v>
      </c>
      <c r="N1778" s="15"/>
      <c r="O1778" s="8" t="s">
        <v>45</v>
      </c>
      <c r="P1778" s="8" t="s">
        <v>46</v>
      </c>
      <c r="Q1778" s="9">
        <v>0.03</v>
      </c>
      <c r="R1778" s="138"/>
      <c r="T1778" s="18">
        <v>59798.339999999967</v>
      </c>
      <c r="U1778" s="4">
        <v>0</v>
      </c>
      <c r="V1778" s="18">
        <v>59798.339999999967</v>
      </c>
      <c r="W1778" s="13">
        <f t="shared" si="256"/>
        <v>0</v>
      </c>
      <c r="X1778" s="13">
        <f t="shared" si="257"/>
        <v>58056.640776698994</v>
      </c>
      <c r="Y1778" s="13">
        <f t="shared" si="259"/>
        <v>58056.640776698994</v>
      </c>
      <c r="Z1778" s="2">
        <v>0</v>
      </c>
      <c r="AA1778" s="4">
        <v>0</v>
      </c>
      <c r="AB1778" s="4">
        <f t="shared" si="260"/>
        <v>58056.640776698994</v>
      </c>
      <c r="AC1778" s="6">
        <f t="shared" si="261"/>
        <v>1741.6992233009732</v>
      </c>
      <c r="AD1778" s="4">
        <v>0</v>
      </c>
      <c r="AE1778" s="2">
        <v>0.06</v>
      </c>
      <c r="AF1778" s="5">
        <f t="shared" si="262"/>
        <v>0</v>
      </c>
      <c r="AG1778" s="9">
        <v>0</v>
      </c>
      <c r="AH1778" s="4">
        <f t="shared" si="258"/>
        <v>59798.339999999967</v>
      </c>
      <c r="AJ1778" s="126" t="e">
        <v>#N/A</v>
      </c>
      <c r="AK1778" s="80">
        <f t="shared" si="263"/>
        <v>0</v>
      </c>
      <c r="AM1778" s="85"/>
    </row>
    <row r="1779" spans="1:39" hidden="1" x14ac:dyDescent="0.3">
      <c r="A1779" s="85" t="s">
        <v>34</v>
      </c>
      <c r="B1779" s="15" t="s">
        <v>35</v>
      </c>
      <c r="C1779" s="15" t="s">
        <v>36</v>
      </c>
      <c r="D1779" s="15" t="s">
        <v>54</v>
      </c>
      <c r="E1779" s="15" t="s">
        <v>265</v>
      </c>
      <c r="F1779" s="15" t="s">
        <v>265</v>
      </c>
      <c r="G1779" s="15" t="s">
        <v>265</v>
      </c>
      <c r="H1779" s="154"/>
      <c r="I1779" s="3" t="s">
        <v>2374</v>
      </c>
      <c r="J1779" s="1" t="s">
        <v>3322</v>
      </c>
      <c r="K1779" s="1" t="s">
        <v>3269</v>
      </c>
      <c r="L1779" s="1" t="s">
        <v>35</v>
      </c>
      <c r="M1779" s="15" t="s">
        <v>2473</v>
      </c>
      <c r="N1779" s="15"/>
      <c r="O1779" s="8" t="s">
        <v>40</v>
      </c>
      <c r="P1779" s="8" t="s">
        <v>46</v>
      </c>
      <c r="Q1779" s="9">
        <v>0.03</v>
      </c>
      <c r="R1779" s="138"/>
      <c r="S1779" s="3" t="s">
        <v>3344</v>
      </c>
      <c r="T1779" s="18">
        <v>268525.76540000003</v>
      </c>
      <c r="U1779" s="4">
        <v>487</v>
      </c>
      <c r="V1779" s="4">
        <v>146322.44999999998</v>
      </c>
      <c r="W1779" s="13">
        <f t="shared" si="256"/>
        <v>122690.31540000005</v>
      </c>
      <c r="X1779" s="13">
        <f>IF(P1779="折扣",V1779*Q1779,IF(P1779="返现",V1779,(V1779-487)/(1+Q1779+AG1779)))</f>
        <v>103429.39716312055</v>
      </c>
      <c r="Y1779" s="13">
        <f t="shared" si="259"/>
        <v>0</v>
      </c>
      <c r="Z1779" s="2">
        <v>0</v>
      </c>
      <c r="AA1779" s="4">
        <v>0</v>
      </c>
      <c r="AB1779" s="4">
        <f t="shared" si="260"/>
        <v>103429.39716312055</v>
      </c>
      <c r="AC1779" s="6">
        <f t="shared" si="261"/>
        <v>42893.052836879433</v>
      </c>
      <c r="AD1779" s="4">
        <v>105659.45999999999</v>
      </c>
      <c r="AE1779" s="2">
        <v>7.0000000000000007E-2</v>
      </c>
      <c r="AF1779" s="5">
        <f t="shared" si="262"/>
        <v>7396.1621999999998</v>
      </c>
      <c r="AG1779" s="9">
        <v>0.38</v>
      </c>
      <c r="AH1779" s="4">
        <f t="shared" si="258"/>
        <v>106030.76086956522</v>
      </c>
      <c r="AJ1779" s="126" t="e">
        <v>#N/A</v>
      </c>
      <c r="AK1779" s="80">
        <f t="shared" si="263"/>
        <v>0</v>
      </c>
      <c r="AM1779" s="85"/>
    </row>
    <row r="1780" spans="1:39" hidden="1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2474</v>
      </c>
      <c r="F1780" s="15" t="s">
        <v>2474</v>
      </c>
      <c r="G1780" s="15" t="s">
        <v>2474</v>
      </c>
      <c r="H1780" s="154"/>
      <c r="I1780" s="3" t="s">
        <v>2374</v>
      </c>
      <c r="J1780" s="1" t="s">
        <v>3322</v>
      </c>
      <c r="K1780" s="1" t="s">
        <v>3269</v>
      </c>
      <c r="L1780" s="1" t="s">
        <v>35</v>
      </c>
      <c r="M1780" s="15" t="s">
        <v>2474</v>
      </c>
      <c r="N1780" s="15"/>
      <c r="O1780" s="8" t="s">
        <v>45</v>
      </c>
      <c r="P1780" s="8" t="s">
        <v>41</v>
      </c>
      <c r="Q1780" s="9">
        <v>0</v>
      </c>
      <c r="R1780" s="138"/>
      <c r="T1780" s="18">
        <v>60590.539999999979</v>
      </c>
      <c r="U1780" s="4">
        <v>0</v>
      </c>
      <c r="V1780" s="4">
        <v>50316.73</v>
      </c>
      <c r="W1780" s="13">
        <f t="shared" si="256"/>
        <v>10273.809999999976</v>
      </c>
      <c r="X1780" s="13">
        <f t="shared" si="257"/>
        <v>50316.73</v>
      </c>
      <c r="Y1780" s="13">
        <f t="shared" si="259"/>
        <v>0</v>
      </c>
      <c r="Z1780" s="2">
        <v>0</v>
      </c>
      <c r="AA1780" s="4">
        <v>0</v>
      </c>
      <c r="AB1780" s="4">
        <f t="shared" si="260"/>
        <v>50316.73</v>
      </c>
      <c r="AC1780" s="6">
        <f t="shared" si="261"/>
        <v>0</v>
      </c>
      <c r="AD1780" s="4">
        <v>50316.73</v>
      </c>
      <c r="AE1780" s="2">
        <v>0.06</v>
      </c>
      <c r="AF1780" s="5">
        <f t="shared" si="262"/>
        <v>3019.0038</v>
      </c>
      <c r="AG1780" s="9">
        <v>0</v>
      </c>
      <c r="AH1780" s="4">
        <f t="shared" si="258"/>
        <v>50316.73</v>
      </c>
      <c r="AJ1780" s="126" t="e">
        <v>#N/A</v>
      </c>
      <c r="AK1780" s="80">
        <f t="shared" si="263"/>
        <v>0</v>
      </c>
      <c r="AM1780" s="85"/>
    </row>
    <row r="1781" spans="1:39" hidden="1" x14ac:dyDescent="0.3">
      <c r="A1781" s="85" t="s">
        <v>34</v>
      </c>
      <c r="B1781" s="15" t="s">
        <v>35</v>
      </c>
      <c r="C1781" s="15" t="s">
        <v>65</v>
      </c>
      <c r="D1781" s="15" t="s">
        <v>122</v>
      </c>
      <c r="E1781" s="15" t="s">
        <v>2475</v>
      </c>
      <c r="F1781" s="15" t="s">
        <v>2475</v>
      </c>
      <c r="G1781" s="15" t="s">
        <v>2475</v>
      </c>
      <c r="H1781" s="154"/>
      <c r="I1781" s="3" t="s">
        <v>2374</v>
      </c>
      <c r="J1781" s="1" t="s">
        <v>3322</v>
      </c>
      <c r="K1781" s="1" t="s">
        <v>3269</v>
      </c>
      <c r="L1781" s="1" t="s">
        <v>35</v>
      </c>
      <c r="M1781" s="15" t="s">
        <v>2475</v>
      </c>
      <c r="N1781" s="15"/>
      <c r="O1781" s="8" t="s">
        <v>45</v>
      </c>
      <c r="P1781" s="8" t="s">
        <v>246</v>
      </c>
      <c r="Q1781" s="9">
        <v>0</v>
      </c>
      <c r="R1781" s="138"/>
      <c r="T1781" s="18">
        <v>8879.58</v>
      </c>
      <c r="U1781" s="4">
        <v>0</v>
      </c>
      <c r="V1781" s="4">
        <v>6596.5999999999976</v>
      </c>
      <c r="W1781" s="13">
        <f t="shared" si="256"/>
        <v>2282.9800000000023</v>
      </c>
      <c r="X1781" s="13">
        <f t="shared" si="257"/>
        <v>6596.5999999999976</v>
      </c>
      <c r="Y1781" s="13">
        <f t="shared" si="259"/>
        <v>0</v>
      </c>
      <c r="Z1781" s="2">
        <v>0</v>
      </c>
      <c r="AA1781" s="4">
        <v>0</v>
      </c>
      <c r="AB1781" s="4">
        <f t="shared" si="260"/>
        <v>6596.5999999999976</v>
      </c>
      <c r="AC1781" s="6">
        <f t="shared" si="261"/>
        <v>0</v>
      </c>
      <c r="AD1781" s="4">
        <v>6596.5999999999976</v>
      </c>
      <c r="AE1781" s="2">
        <v>0.06</v>
      </c>
      <c r="AF1781" s="5">
        <f t="shared" si="262"/>
        <v>395.79599999999982</v>
      </c>
      <c r="AG1781" s="9">
        <v>0</v>
      </c>
      <c r="AH1781" s="4">
        <f t="shared" si="258"/>
        <v>6596.5999999999976</v>
      </c>
      <c r="AJ1781" s="126" t="e">
        <v>#N/A</v>
      </c>
      <c r="AK1781" s="80">
        <f t="shared" si="263"/>
        <v>0</v>
      </c>
      <c r="AM1781" s="85"/>
    </row>
    <row r="1782" spans="1:39" hidden="1" x14ac:dyDescent="0.3">
      <c r="A1782" s="85" t="s">
        <v>34</v>
      </c>
      <c r="B1782" s="15" t="s">
        <v>35</v>
      </c>
      <c r="C1782" s="15" t="s">
        <v>65</v>
      </c>
      <c r="D1782" s="15" t="s">
        <v>1291</v>
      </c>
      <c r="E1782" s="15" t="s">
        <v>2476</v>
      </c>
      <c r="F1782" s="15" t="s">
        <v>2476</v>
      </c>
      <c r="G1782" s="15" t="s">
        <v>2476</v>
      </c>
      <c r="H1782" s="139"/>
      <c r="I1782" s="3" t="s">
        <v>2374</v>
      </c>
      <c r="J1782" s="1" t="s">
        <v>3322</v>
      </c>
      <c r="K1782" s="1" t="s">
        <v>3269</v>
      </c>
      <c r="L1782" s="1" t="s">
        <v>35</v>
      </c>
      <c r="M1782" s="15" t="s">
        <v>2476</v>
      </c>
      <c r="N1782" s="15"/>
      <c r="O1782" s="8" t="s">
        <v>40</v>
      </c>
      <c r="P1782" s="8" t="s">
        <v>41</v>
      </c>
      <c r="Q1782" s="9">
        <v>0</v>
      </c>
      <c r="R1782" s="138"/>
      <c r="T1782" s="18">
        <v>30000</v>
      </c>
      <c r="U1782" s="4">
        <v>0</v>
      </c>
      <c r="V1782" s="4">
        <v>0</v>
      </c>
      <c r="W1782" s="13">
        <f t="shared" si="256"/>
        <v>30000</v>
      </c>
      <c r="X1782" s="13">
        <f t="shared" si="257"/>
        <v>0</v>
      </c>
      <c r="Y1782" s="13">
        <f t="shared" si="259"/>
        <v>0</v>
      </c>
      <c r="Z1782" s="2">
        <v>0</v>
      </c>
      <c r="AA1782" s="4">
        <v>0</v>
      </c>
      <c r="AB1782" s="4">
        <f t="shared" si="260"/>
        <v>0</v>
      </c>
      <c r="AC1782" s="6">
        <f t="shared" si="261"/>
        <v>0</v>
      </c>
      <c r="AD1782" s="4">
        <v>0</v>
      </c>
      <c r="AE1782" s="2">
        <v>7.0000000000000007E-2</v>
      </c>
      <c r="AF1782" s="5">
        <f t="shared" si="262"/>
        <v>0</v>
      </c>
      <c r="AG1782" s="9">
        <v>0</v>
      </c>
      <c r="AH1782" s="4">
        <f t="shared" si="258"/>
        <v>0</v>
      </c>
      <c r="AJ1782" s="126" t="e">
        <v>#N/A</v>
      </c>
      <c r="AK1782" s="80">
        <f t="shared" si="263"/>
        <v>0</v>
      </c>
      <c r="AM1782" s="85"/>
    </row>
    <row r="1783" spans="1:39" hidden="1" x14ac:dyDescent="0.3">
      <c r="A1783" s="85" t="s">
        <v>34</v>
      </c>
      <c r="B1783" s="15" t="s">
        <v>35</v>
      </c>
      <c r="C1783" s="15" t="s">
        <v>47</v>
      </c>
      <c r="D1783" s="15" t="s">
        <v>63</v>
      </c>
      <c r="E1783" s="86" t="s">
        <v>3416</v>
      </c>
      <c r="F1783" s="15" t="s">
        <v>2478</v>
      </c>
      <c r="G1783" s="15" t="s">
        <v>2409</v>
      </c>
      <c r="H1783" s="139"/>
      <c r="I1783" s="3" t="s">
        <v>2374</v>
      </c>
      <c r="J1783" s="1" t="s">
        <v>3322</v>
      </c>
      <c r="K1783" s="1" t="s">
        <v>3269</v>
      </c>
      <c r="L1783" s="1" t="s">
        <v>35</v>
      </c>
      <c r="M1783" s="15" t="s">
        <v>2479</v>
      </c>
      <c r="N1783" s="15"/>
      <c r="O1783" s="8" t="s">
        <v>45</v>
      </c>
      <c r="P1783" s="8" t="s">
        <v>46</v>
      </c>
      <c r="Q1783" s="9">
        <v>5.5E-2</v>
      </c>
      <c r="R1783" s="138"/>
      <c r="T1783" s="18">
        <v>71837.400000000256</v>
      </c>
      <c r="U1783" s="4">
        <v>0</v>
      </c>
      <c r="V1783" s="4">
        <v>0</v>
      </c>
      <c r="W1783" s="13">
        <f t="shared" si="256"/>
        <v>71837.400000000256</v>
      </c>
      <c r="X1783" s="13">
        <f t="shared" si="257"/>
        <v>0</v>
      </c>
      <c r="Y1783" s="13">
        <f t="shared" si="259"/>
        <v>0</v>
      </c>
      <c r="Z1783" s="2">
        <v>0</v>
      </c>
      <c r="AA1783" s="4">
        <v>0</v>
      </c>
      <c r="AB1783" s="4">
        <f t="shared" si="260"/>
        <v>0</v>
      </c>
      <c r="AC1783" s="6">
        <f t="shared" si="261"/>
        <v>0</v>
      </c>
      <c r="AD1783" s="4">
        <v>0</v>
      </c>
      <c r="AE1783" s="2">
        <v>0.06</v>
      </c>
      <c r="AF1783" s="5">
        <f t="shared" si="262"/>
        <v>0</v>
      </c>
      <c r="AG1783" s="9">
        <v>0</v>
      </c>
      <c r="AH1783" s="4">
        <f t="shared" si="258"/>
        <v>0</v>
      </c>
      <c r="AJ1783" s="126" t="e">
        <v>#N/A</v>
      </c>
      <c r="AK1783" s="80">
        <f t="shared" si="263"/>
        <v>0</v>
      </c>
      <c r="AM1783" s="85"/>
    </row>
    <row r="1784" spans="1:39" hidden="1" x14ac:dyDescent="0.3">
      <c r="A1784" s="85" t="s">
        <v>34</v>
      </c>
      <c r="B1784" s="15" t="s">
        <v>35</v>
      </c>
      <c r="C1784" s="15" t="s">
        <v>47</v>
      </c>
      <c r="D1784" s="15" t="s">
        <v>63</v>
      </c>
      <c r="E1784" s="15" t="s">
        <v>528</v>
      </c>
      <c r="F1784" s="15" t="s">
        <v>528</v>
      </c>
      <c r="G1784" s="15" t="s">
        <v>528</v>
      </c>
      <c r="H1784" s="154"/>
      <c r="I1784" s="3" t="s">
        <v>2374</v>
      </c>
      <c r="J1784" s="1" t="s">
        <v>3322</v>
      </c>
      <c r="K1784" s="1" t="s">
        <v>3269</v>
      </c>
      <c r="L1784" s="1" t="s">
        <v>35</v>
      </c>
      <c r="M1784" s="15" t="s">
        <v>2391</v>
      </c>
      <c r="N1784" s="15"/>
      <c r="O1784" s="8" t="s">
        <v>45</v>
      </c>
      <c r="P1784" s="8" t="s">
        <v>46</v>
      </c>
      <c r="Q1784" s="9">
        <v>4.4999999999999998E-2</v>
      </c>
      <c r="R1784" s="138"/>
      <c r="T1784" s="18">
        <v>2616351.0546200024</v>
      </c>
      <c r="U1784" s="4">
        <v>0</v>
      </c>
      <c r="V1784" s="18">
        <v>2616351.0546200024</v>
      </c>
      <c r="W1784" s="13">
        <f t="shared" si="256"/>
        <v>0</v>
      </c>
      <c r="X1784" s="13">
        <f t="shared" si="257"/>
        <v>1719021.7178843645</v>
      </c>
      <c r="Y1784" s="13">
        <f t="shared" si="259"/>
        <v>1719021.7178843645</v>
      </c>
      <c r="Z1784" s="2">
        <v>0</v>
      </c>
      <c r="AA1784" s="4">
        <v>0</v>
      </c>
      <c r="AB1784" s="4">
        <f t="shared" si="260"/>
        <v>1719021.7178843645</v>
      </c>
      <c r="AC1784" s="6">
        <f t="shared" si="261"/>
        <v>897329.33673563786</v>
      </c>
      <c r="AD1784" s="4">
        <v>0</v>
      </c>
      <c r="AE1784" s="2">
        <v>0.06</v>
      </c>
      <c r="AF1784" s="5">
        <f t="shared" si="262"/>
        <v>0</v>
      </c>
      <c r="AG1784" s="9">
        <v>0.47699999999999998</v>
      </c>
      <c r="AH1784" s="4">
        <f t="shared" si="258"/>
        <v>1771395.4330534886</v>
      </c>
      <c r="AJ1784" s="126" t="e">
        <v>#N/A</v>
      </c>
      <c r="AK1784" s="80">
        <f t="shared" si="263"/>
        <v>0</v>
      </c>
      <c r="AM1784" s="85"/>
    </row>
    <row r="1785" spans="1:39" hidden="1" x14ac:dyDescent="0.3">
      <c r="A1785" s="85" t="s">
        <v>34</v>
      </c>
      <c r="B1785" s="15" t="s">
        <v>35</v>
      </c>
      <c r="C1785" s="15" t="s">
        <v>47</v>
      </c>
      <c r="D1785" s="15" t="s">
        <v>63</v>
      </c>
      <c r="E1785" s="15" t="s">
        <v>528</v>
      </c>
      <c r="F1785" s="15" t="s">
        <v>2392</v>
      </c>
      <c r="G1785" s="15" t="s">
        <v>528</v>
      </c>
      <c r="H1785" s="154"/>
      <c r="I1785" s="3" t="s">
        <v>2374</v>
      </c>
      <c r="J1785" s="1" t="s">
        <v>3322</v>
      </c>
      <c r="K1785" s="1" t="s">
        <v>3269</v>
      </c>
      <c r="L1785" s="1" t="s">
        <v>35</v>
      </c>
      <c r="M1785" s="15" t="s">
        <v>2391</v>
      </c>
      <c r="N1785" s="15"/>
      <c r="O1785" s="8" t="s">
        <v>40</v>
      </c>
      <c r="P1785" s="8" t="s">
        <v>46</v>
      </c>
      <c r="Q1785" s="9">
        <v>0.02</v>
      </c>
      <c r="R1785" s="138"/>
      <c r="T1785" s="18">
        <v>507055.6844599999</v>
      </c>
      <c r="U1785" s="4">
        <v>0</v>
      </c>
      <c r="V1785" s="18">
        <v>507055.6844599999</v>
      </c>
      <c r="W1785" s="13">
        <f t="shared" si="256"/>
        <v>0</v>
      </c>
      <c r="X1785" s="13">
        <f t="shared" si="257"/>
        <v>339622.02576021431</v>
      </c>
      <c r="Y1785" s="13">
        <f t="shared" si="259"/>
        <v>339622.02576021431</v>
      </c>
      <c r="Z1785" s="2">
        <v>0</v>
      </c>
      <c r="AA1785" s="4">
        <v>0</v>
      </c>
      <c r="AB1785" s="4">
        <f t="shared" si="260"/>
        <v>339622.02576021431</v>
      </c>
      <c r="AC1785" s="6">
        <f t="shared" si="261"/>
        <v>167433.65869978559</v>
      </c>
      <c r="AD1785" s="4">
        <v>0</v>
      </c>
      <c r="AE1785" s="2">
        <v>7.0000000000000007E-2</v>
      </c>
      <c r="AF1785" s="5">
        <f t="shared" si="262"/>
        <v>0</v>
      </c>
      <c r="AG1785" s="9">
        <v>0.47299999999999998</v>
      </c>
      <c r="AH1785" s="4">
        <f t="shared" si="258"/>
        <v>344233.32278343511</v>
      </c>
      <c r="AJ1785" s="126" t="e">
        <v>#N/A</v>
      </c>
      <c r="AK1785" s="80">
        <f t="shared" si="263"/>
        <v>0</v>
      </c>
      <c r="AM1785" s="85"/>
    </row>
    <row r="1786" spans="1:39" hidden="1" x14ac:dyDescent="0.3">
      <c r="A1786" s="85" t="s">
        <v>34</v>
      </c>
      <c r="B1786" s="15" t="s">
        <v>35</v>
      </c>
      <c r="C1786" s="15" t="s">
        <v>47</v>
      </c>
      <c r="D1786" s="15" t="s">
        <v>63</v>
      </c>
      <c r="E1786" s="15" t="s">
        <v>2393</v>
      </c>
      <c r="F1786" s="15" t="s">
        <v>2394</v>
      </c>
      <c r="G1786" s="15" t="s">
        <v>2393</v>
      </c>
      <c r="H1786" s="139"/>
      <c r="I1786" s="3" t="s">
        <v>2374</v>
      </c>
      <c r="J1786" s="1" t="s">
        <v>3322</v>
      </c>
      <c r="K1786" s="1" t="s">
        <v>3269</v>
      </c>
      <c r="L1786" s="1" t="s">
        <v>35</v>
      </c>
      <c r="M1786" s="15" t="s">
        <v>2408</v>
      </c>
      <c r="N1786" s="15"/>
      <c r="O1786" s="8" t="s">
        <v>45</v>
      </c>
      <c r="P1786" s="8" t="s">
        <v>46</v>
      </c>
      <c r="Q1786" s="9">
        <v>5.5E-2</v>
      </c>
      <c r="R1786" s="138"/>
      <c r="T1786" s="18">
        <v>0</v>
      </c>
      <c r="U1786" s="4">
        <v>0</v>
      </c>
      <c r="V1786" s="4">
        <v>0</v>
      </c>
      <c r="W1786" s="13">
        <f t="shared" si="256"/>
        <v>0</v>
      </c>
      <c r="X1786" s="13">
        <f t="shared" si="257"/>
        <v>0</v>
      </c>
      <c r="Y1786" s="13">
        <f t="shared" si="259"/>
        <v>0</v>
      </c>
      <c r="Z1786" s="2">
        <v>0</v>
      </c>
      <c r="AA1786" s="4">
        <v>0</v>
      </c>
      <c r="AB1786" s="4">
        <f t="shared" si="260"/>
        <v>0</v>
      </c>
      <c r="AC1786" s="6">
        <f t="shared" si="261"/>
        <v>0</v>
      </c>
      <c r="AD1786" s="4">
        <v>0</v>
      </c>
      <c r="AE1786" s="2">
        <v>0.06</v>
      </c>
      <c r="AF1786" s="5">
        <f t="shared" si="262"/>
        <v>0</v>
      </c>
      <c r="AG1786" s="9">
        <v>0</v>
      </c>
      <c r="AH1786" s="4">
        <f t="shared" si="258"/>
        <v>0</v>
      </c>
      <c r="AJ1786" s="126" t="e">
        <v>#N/A</v>
      </c>
      <c r="AK1786" s="80">
        <f t="shared" si="263"/>
        <v>0</v>
      </c>
      <c r="AM1786" s="85"/>
    </row>
    <row r="1787" spans="1:39" hidden="1" x14ac:dyDescent="0.3">
      <c r="A1787" s="85" t="s">
        <v>34</v>
      </c>
      <c r="B1787" s="15" t="s">
        <v>35</v>
      </c>
      <c r="C1787" s="15" t="s">
        <v>47</v>
      </c>
      <c r="D1787" s="15" t="s">
        <v>63</v>
      </c>
      <c r="E1787" s="15" t="s">
        <v>2393</v>
      </c>
      <c r="F1787" s="15" t="s">
        <v>2403</v>
      </c>
      <c r="G1787" s="15" t="s">
        <v>2393</v>
      </c>
      <c r="H1787" s="154"/>
      <c r="I1787" s="3" t="s">
        <v>2374</v>
      </c>
      <c r="J1787" s="1" t="s">
        <v>3322</v>
      </c>
      <c r="K1787" s="1" t="s">
        <v>3269</v>
      </c>
      <c r="L1787" s="1" t="s">
        <v>35</v>
      </c>
      <c r="M1787" s="15" t="s">
        <v>2404</v>
      </c>
      <c r="N1787" s="15"/>
      <c r="O1787" s="8" t="s">
        <v>45</v>
      </c>
      <c r="P1787" s="8" t="s">
        <v>46</v>
      </c>
      <c r="Q1787" s="9">
        <v>5.5E-2</v>
      </c>
      <c r="R1787" s="138"/>
      <c r="T1787" s="18">
        <v>1110925.9299999992</v>
      </c>
      <c r="U1787" s="4">
        <v>0</v>
      </c>
      <c r="V1787" s="4">
        <v>3.42</v>
      </c>
      <c r="W1787" s="13">
        <f t="shared" si="256"/>
        <v>1110922.5099999993</v>
      </c>
      <c r="X1787" s="13">
        <f t="shared" si="257"/>
        <v>2.9610389610389607</v>
      </c>
      <c r="Y1787" s="13">
        <f t="shared" si="259"/>
        <v>2.9610389610389607</v>
      </c>
      <c r="Z1787" s="2">
        <v>0</v>
      </c>
      <c r="AA1787" s="4">
        <v>0</v>
      </c>
      <c r="AB1787" s="4">
        <f t="shared" si="260"/>
        <v>2.9610389610389607</v>
      </c>
      <c r="AC1787" s="6">
        <f t="shared" si="261"/>
        <v>0.45896103896103924</v>
      </c>
      <c r="AD1787" s="4">
        <v>0</v>
      </c>
      <c r="AE1787" s="2">
        <v>0.06</v>
      </c>
      <c r="AF1787" s="5">
        <f t="shared" si="262"/>
        <v>0</v>
      </c>
      <c r="AG1787" s="9">
        <v>0.1</v>
      </c>
      <c r="AH1787" s="4">
        <f t="shared" si="258"/>
        <v>3.1090909090909089</v>
      </c>
      <c r="AJ1787" s="126" t="e">
        <v>#N/A</v>
      </c>
      <c r="AK1787" s="80">
        <f t="shared" si="263"/>
        <v>0</v>
      </c>
      <c r="AM1787" s="85"/>
    </row>
    <row r="1788" spans="1:39" hidden="1" x14ac:dyDescent="0.3">
      <c r="A1788" s="85" t="s">
        <v>34</v>
      </c>
      <c r="B1788" s="15" t="s">
        <v>35</v>
      </c>
      <c r="C1788" s="15" t="s">
        <v>47</v>
      </c>
      <c r="D1788" s="15" t="s">
        <v>63</v>
      </c>
      <c r="E1788" s="15" t="s">
        <v>2393</v>
      </c>
      <c r="F1788" s="15" t="s">
        <v>2407</v>
      </c>
      <c r="G1788" s="15" t="s">
        <v>2393</v>
      </c>
      <c r="H1788" s="139"/>
      <c r="I1788" s="3" t="s">
        <v>2374</v>
      </c>
      <c r="J1788" s="1" t="s">
        <v>3322</v>
      </c>
      <c r="K1788" s="1" t="s">
        <v>3269</v>
      </c>
      <c r="L1788" s="1" t="s">
        <v>35</v>
      </c>
      <c r="M1788" s="15" t="s">
        <v>2408</v>
      </c>
      <c r="N1788" s="15"/>
      <c r="O1788" s="8" t="s">
        <v>40</v>
      </c>
      <c r="P1788" s="8" t="s">
        <v>46</v>
      </c>
      <c r="Q1788" s="9">
        <v>5.5E-2</v>
      </c>
      <c r="R1788" s="138"/>
      <c r="T1788" s="18">
        <v>0</v>
      </c>
      <c r="U1788" s="4">
        <v>0</v>
      </c>
      <c r="V1788" s="18">
        <v>0</v>
      </c>
      <c r="W1788" s="13">
        <f t="shared" si="256"/>
        <v>0</v>
      </c>
      <c r="X1788" s="13">
        <f t="shared" si="257"/>
        <v>0</v>
      </c>
      <c r="Y1788" s="13">
        <f t="shared" si="259"/>
        <v>0</v>
      </c>
      <c r="Z1788" s="2">
        <v>0</v>
      </c>
      <c r="AA1788" s="4">
        <v>0</v>
      </c>
      <c r="AB1788" s="4">
        <f t="shared" si="260"/>
        <v>0</v>
      </c>
      <c r="AC1788" s="6">
        <f t="shared" si="261"/>
        <v>0</v>
      </c>
      <c r="AD1788" s="4">
        <v>566820.29000000015</v>
      </c>
      <c r="AE1788" s="2">
        <v>7.0000000000000007E-2</v>
      </c>
      <c r="AF1788" s="5">
        <f t="shared" si="262"/>
        <v>39677.420300000013</v>
      </c>
      <c r="AG1788" s="9">
        <v>0.24</v>
      </c>
      <c r="AH1788" s="4">
        <f t="shared" si="258"/>
        <v>0</v>
      </c>
      <c r="AJ1788" s="126" t="e">
        <v>#N/A</v>
      </c>
      <c r="AK1788" s="80">
        <f t="shared" si="263"/>
        <v>0</v>
      </c>
      <c r="AM1788" s="85"/>
    </row>
    <row r="1789" spans="1:39" hidden="1" x14ac:dyDescent="0.3">
      <c r="A1789" s="85" t="s">
        <v>34</v>
      </c>
      <c r="B1789" s="15" t="s">
        <v>35</v>
      </c>
      <c r="C1789" s="15" t="s">
        <v>47</v>
      </c>
      <c r="D1789" s="15" t="s">
        <v>63</v>
      </c>
      <c r="E1789" s="15" t="s">
        <v>2393</v>
      </c>
      <c r="F1789" s="15" t="s">
        <v>2407</v>
      </c>
      <c r="G1789" s="15" t="s">
        <v>2393</v>
      </c>
      <c r="H1789" s="154"/>
      <c r="I1789" s="3" t="s">
        <v>2374</v>
      </c>
      <c r="J1789" s="1" t="s">
        <v>3322</v>
      </c>
      <c r="K1789" s="1" t="s">
        <v>3269</v>
      </c>
      <c r="L1789" s="1" t="s">
        <v>35</v>
      </c>
      <c r="M1789" s="15" t="s">
        <v>2408</v>
      </c>
      <c r="N1789" s="15"/>
      <c r="O1789" s="8" t="s">
        <v>40</v>
      </c>
      <c r="P1789" s="8" t="s">
        <v>46</v>
      </c>
      <c r="Q1789" s="9">
        <v>5.5E-2</v>
      </c>
      <c r="R1789" s="138"/>
      <c r="T1789" s="18">
        <v>1218006.8680000007</v>
      </c>
      <c r="U1789" s="4">
        <v>0</v>
      </c>
      <c r="V1789" s="4">
        <v>725519.78000000026</v>
      </c>
      <c r="W1789" s="13">
        <f t="shared" si="256"/>
        <v>492487.08800000045</v>
      </c>
      <c r="X1789" s="13">
        <f t="shared" si="257"/>
        <v>543460.50936329609</v>
      </c>
      <c r="Y1789" s="13">
        <f t="shared" si="259"/>
        <v>543460.50936329609</v>
      </c>
      <c r="Z1789" s="2">
        <v>0</v>
      </c>
      <c r="AA1789" s="4">
        <v>0</v>
      </c>
      <c r="AB1789" s="4">
        <f t="shared" si="260"/>
        <v>543460.50936329609</v>
      </c>
      <c r="AC1789" s="6">
        <f t="shared" si="261"/>
        <v>182059.27063670417</v>
      </c>
      <c r="AD1789" s="4">
        <v>0</v>
      </c>
      <c r="AE1789" s="2">
        <v>7.0000000000000007E-2</v>
      </c>
      <c r="AF1789" s="5">
        <f t="shared" si="262"/>
        <v>0</v>
      </c>
      <c r="AG1789" s="9">
        <v>0.28000000000000003</v>
      </c>
      <c r="AH1789" s="4">
        <f t="shared" si="258"/>
        <v>566812.32812500023</v>
      </c>
      <c r="AJ1789" s="126" t="e">
        <v>#N/A</v>
      </c>
      <c r="AK1789" s="80">
        <f t="shared" si="263"/>
        <v>0</v>
      </c>
      <c r="AM1789" s="85"/>
    </row>
    <row r="1790" spans="1:39" hidden="1" x14ac:dyDescent="0.3">
      <c r="A1790" s="85" t="s">
        <v>34</v>
      </c>
      <c r="B1790" s="15" t="s">
        <v>35</v>
      </c>
      <c r="C1790" s="15" t="s">
        <v>47</v>
      </c>
      <c r="D1790" s="15" t="s">
        <v>63</v>
      </c>
      <c r="E1790" s="15" t="s">
        <v>2409</v>
      </c>
      <c r="F1790" s="15" t="s">
        <v>2412</v>
      </c>
      <c r="G1790" s="15" t="s">
        <v>2409</v>
      </c>
      <c r="H1790" s="139"/>
      <c r="I1790" s="3" t="s">
        <v>2374</v>
      </c>
      <c r="J1790" s="1" t="s">
        <v>3322</v>
      </c>
      <c r="K1790" s="1" t="s">
        <v>3269</v>
      </c>
      <c r="L1790" s="1" t="s">
        <v>35</v>
      </c>
      <c r="M1790" s="15" t="s">
        <v>2479</v>
      </c>
      <c r="N1790" s="15"/>
      <c r="O1790" s="8" t="s">
        <v>45</v>
      </c>
      <c r="P1790" s="8" t="s">
        <v>46</v>
      </c>
      <c r="Q1790" s="9">
        <v>5.5E-2</v>
      </c>
      <c r="R1790" s="138"/>
      <c r="T1790" s="18">
        <v>200450</v>
      </c>
      <c r="U1790" s="4">
        <v>0</v>
      </c>
      <c r="V1790" s="4">
        <v>0</v>
      </c>
      <c r="W1790" s="13">
        <f t="shared" si="256"/>
        <v>200450</v>
      </c>
      <c r="X1790" s="13">
        <f t="shared" si="257"/>
        <v>0</v>
      </c>
      <c r="Y1790" s="13">
        <f t="shared" si="259"/>
        <v>0</v>
      </c>
      <c r="Z1790" s="2">
        <v>0</v>
      </c>
      <c r="AA1790" s="4">
        <v>0</v>
      </c>
      <c r="AB1790" s="4">
        <f t="shared" si="260"/>
        <v>0</v>
      </c>
      <c r="AC1790" s="6">
        <f t="shared" si="261"/>
        <v>0</v>
      </c>
      <c r="AD1790" s="4">
        <v>0</v>
      </c>
      <c r="AE1790" s="2">
        <v>0.06</v>
      </c>
      <c r="AF1790" s="5">
        <f t="shared" si="262"/>
        <v>0</v>
      </c>
      <c r="AG1790" s="9">
        <v>0</v>
      </c>
      <c r="AH1790" s="4">
        <f t="shared" si="258"/>
        <v>0</v>
      </c>
      <c r="AJ1790" s="126" t="e">
        <v>#N/A</v>
      </c>
      <c r="AK1790" s="80">
        <f t="shared" si="263"/>
        <v>0</v>
      </c>
      <c r="AM1790" s="85"/>
    </row>
    <row r="1791" spans="1:39" hidden="1" x14ac:dyDescent="0.3">
      <c r="A1791" s="85" t="s">
        <v>34</v>
      </c>
      <c r="B1791" s="15" t="s">
        <v>35</v>
      </c>
      <c r="C1791" s="15" t="s">
        <v>47</v>
      </c>
      <c r="D1791" s="15" t="s">
        <v>63</v>
      </c>
      <c r="E1791" s="15" t="s">
        <v>2480</v>
      </c>
      <c r="F1791" s="15" t="s">
        <v>2480</v>
      </c>
      <c r="G1791" s="15" t="s">
        <v>2480</v>
      </c>
      <c r="H1791" s="154"/>
      <c r="I1791" s="3" t="s">
        <v>2374</v>
      </c>
      <c r="J1791" s="1" t="s">
        <v>3322</v>
      </c>
      <c r="K1791" s="1" t="s">
        <v>3269</v>
      </c>
      <c r="L1791" s="1" t="s">
        <v>35</v>
      </c>
      <c r="M1791" s="15" t="s">
        <v>2481</v>
      </c>
      <c r="N1791" s="15"/>
      <c r="O1791" s="8" t="s">
        <v>45</v>
      </c>
      <c r="P1791" s="8" t="s">
        <v>246</v>
      </c>
      <c r="Q1791" s="9">
        <v>0</v>
      </c>
      <c r="R1791" s="138"/>
      <c r="T1791" s="18">
        <v>40933.58</v>
      </c>
      <c r="U1791" s="4">
        <v>0</v>
      </c>
      <c r="V1791" s="4">
        <v>8344.7399999999743</v>
      </c>
      <c r="W1791" s="13">
        <f t="shared" si="256"/>
        <v>32588.840000000026</v>
      </c>
      <c r="X1791" s="13">
        <f t="shared" si="257"/>
        <v>8344.7399999999743</v>
      </c>
      <c r="Y1791" s="13">
        <f t="shared" si="259"/>
        <v>1.2999999999738066</v>
      </c>
      <c r="Z1791" s="2">
        <v>0</v>
      </c>
      <c r="AA1791" s="4">
        <v>0</v>
      </c>
      <c r="AB1791" s="4">
        <f t="shared" si="260"/>
        <v>8344.7399999999743</v>
      </c>
      <c r="AC1791" s="6">
        <f t="shared" si="261"/>
        <v>0</v>
      </c>
      <c r="AD1791" s="4">
        <v>8343.44</v>
      </c>
      <c r="AE1791" s="2">
        <v>0.06</v>
      </c>
      <c r="AF1791" s="5">
        <f t="shared" si="262"/>
        <v>500.60640000000001</v>
      </c>
      <c r="AG1791" s="9">
        <v>0</v>
      </c>
      <c r="AH1791" s="4">
        <f t="shared" si="258"/>
        <v>8344.7399999999743</v>
      </c>
      <c r="AJ1791" s="126" t="e">
        <v>#N/A</v>
      </c>
      <c r="AK1791" s="80">
        <f t="shared" si="263"/>
        <v>0</v>
      </c>
      <c r="AM1791" s="85"/>
    </row>
    <row r="1792" spans="1:39" hidden="1" x14ac:dyDescent="0.3">
      <c r="A1792" s="85" t="s">
        <v>34</v>
      </c>
      <c r="B1792" s="15" t="s">
        <v>35</v>
      </c>
      <c r="C1792" s="15" t="s">
        <v>47</v>
      </c>
      <c r="D1792" s="15" t="s">
        <v>63</v>
      </c>
      <c r="E1792" s="15" t="s">
        <v>134</v>
      </c>
      <c r="F1792" s="15" t="s">
        <v>134</v>
      </c>
      <c r="G1792" s="15" t="s">
        <v>134</v>
      </c>
      <c r="H1792" s="154"/>
      <c r="I1792" s="3" t="s">
        <v>2374</v>
      </c>
      <c r="J1792" s="1" t="s">
        <v>3322</v>
      </c>
      <c r="K1792" s="1" t="s">
        <v>3269</v>
      </c>
      <c r="L1792" s="1" t="s">
        <v>35</v>
      </c>
      <c r="M1792" s="15" t="s">
        <v>134</v>
      </c>
      <c r="N1792" s="15"/>
      <c r="O1792" s="8" t="s">
        <v>45</v>
      </c>
      <c r="P1792" s="8" t="s">
        <v>46</v>
      </c>
      <c r="Q1792" s="9">
        <v>0.03</v>
      </c>
      <c r="R1792" s="138"/>
      <c r="T1792" s="18">
        <v>71059.343900000313</v>
      </c>
      <c r="U1792" s="4">
        <v>0</v>
      </c>
      <c r="V1792" s="18">
        <v>71059.343900000313</v>
      </c>
      <c r="W1792" s="13">
        <f t="shared" ref="W1792:W1855" si="264">T1792+U1792-V1792</f>
        <v>0</v>
      </c>
      <c r="X1792" s="13">
        <f t="shared" si="257"/>
        <v>64599.403545454821</v>
      </c>
      <c r="Y1792" s="13">
        <f t="shared" si="259"/>
        <v>64599.403545454821</v>
      </c>
      <c r="Z1792" s="2">
        <v>0</v>
      </c>
      <c r="AA1792" s="4">
        <v>0</v>
      </c>
      <c r="AB1792" s="4">
        <f t="shared" si="260"/>
        <v>64599.403545454821</v>
      </c>
      <c r="AC1792" s="6">
        <f t="shared" si="261"/>
        <v>6459.9403545454916</v>
      </c>
      <c r="AD1792" s="4">
        <v>0</v>
      </c>
      <c r="AE1792" s="2">
        <v>0.06</v>
      </c>
      <c r="AF1792" s="5">
        <f t="shared" si="262"/>
        <v>0</v>
      </c>
      <c r="AG1792" s="9">
        <v>7.0000000000000007E-2</v>
      </c>
      <c r="AH1792" s="4">
        <f t="shared" si="258"/>
        <v>66410.601775701216</v>
      </c>
      <c r="AJ1792" s="126" t="e">
        <v>#N/A</v>
      </c>
      <c r="AK1792" s="80">
        <f t="shared" si="263"/>
        <v>0</v>
      </c>
      <c r="AM1792" s="85"/>
    </row>
    <row r="1793" spans="1:39" hidden="1" x14ac:dyDescent="0.3">
      <c r="A1793" s="85" t="s">
        <v>34</v>
      </c>
      <c r="B1793" s="15" t="s">
        <v>35</v>
      </c>
      <c r="C1793" s="15" t="s">
        <v>47</v>
      </c>
      <c r="D1793" s="15" t="s">
        <v>63</v>
      </c>
      <c r="E1793" s="15" t="s">
        <v>538</v>
      </c>
      <c r="F1793" s="15" t="s">
        <v>538</v>
      </c>
      <c r="G1793" s="15" t="s">
        <v>538</v>
      </c>
      <c r="H1793" s="154"/>
      <c r="I1793" s="3" t="s">
        <v>2374</v>
      </c>
      <c r="J1793" s="1" t="s">
        <v>3322</v>
      </c>
      <c r="K1793" s="1" t="s">
        <v>3269</v>
      </c>
      <c r="L1793" s="1" t="s">
        <v>35</v>
      </c>
      <c r="M1793" s="15" t="s">
        <v>538</v>
      </c>
      <c r="N1793" s="15"/>
      <c r="O1793" s="8" t="s">
        <v>45</v>
      </c>
      <c r="P1793" s="8" t="s">
        <v>41</v>
      </c>
      <c r="Q1793" s="9">
        <v>0</v>
      </c>
      <c r="R1793" s="138"/>
      <c r="T1793" s="18">
        <v>10000</v>
      </c>
      <c r="U1793" s="4">
        <v>0</v>
      </c>
      <c r="V1793" s="4">
        <v>1647.17</v>
      </c>
      <c r="W1793" s="13">
        <f t="shared" si="264"/>
        <v>8352.83</v>
      </c>
      <c r="X1793" s="13">
        <f t="shared" ref="X1793:X1856" si="265">IF(P1793="折扣",V1793*Q1793,IF(P1793="返现",V1793,V1793/(1+Q1793+AG1793)))</f>
        <v>1647.17</v>
      </c>
      <c r="Y1793" s="13">
        <f t="shared" si="259"/>
        <v>0</v>
      </c>
      <c r="Z1793" s="2">
        <v>0</v>
      </c>
      <c r="AA1793" s="4">
        <v>0</v>
      </c>
      <c r="AB1793" s="4">
        <f t="shared" si="260"/>
        <v>1647.17</v>
      </c>
      <c r="AC1793" s="6">
        <f t="shared" si="261"/>
        <v>0</v>
      </c>
      <c r="AD1793" s="4">
        <v>1647.17</v>
      </c>
      <c r="AE1793" s="2">
        <v>0.06</v>
      </c>
      <c r="AF1793" s="5">
        <f t="shared" si="262"/>
        <v>98.830200000000005</v>
      </c>
      <c r="AG1793" s="9">
        <v>0</v>
      </c>
      <c r="AH1793" s="4">
        <f t="shared" ref="AH1793:AH1856" si="266">V1793/(1+AG1793)</f>
        <v>1647.17</v>
      </c>
      <c r="AJ1793" s="126" t="e">
        <v>#N/A</v>
      </c>
      <c r="AK1793" s="80">
        <f t="shared" si="263"/>
        <v>0</v>
      </c>
      <c r="AM1793" s="85"/>
    </row>
    <row r="1794" spans="1:39" hidden="1" x14ac:dyDescent="0.3">
      <c r="A1794" s="85" t="s">
        <v>34</v>
      </c>
      <c r="B1794" s="15" t="s">
        <v>35</v>
      </c>
      <c r="C1794" s="15" t="s">
        <v>47</v>
      </c>
      <c r="D1794" s="15" t="s">
        <v>48</v>
      </c>
      <c r="E1794" s="15" t="s">
        <v>1349</v>
      </c>
      <c r="F1794" s="15" t="s">
        <v>2431</v>
      </c>
      <c r="G1794" s="15" t="s">
        <v>1349</v>
      </c>
      <c r="H1794" s="154"/>
      <c r="I1794" s="3" t="s">
        <v>2374</v>
      </c>
      <c r="J1794" s="1" t="s">
        <v>3322</v>
      </c>
      <c r="K1794" s="1" t="s">
        <v>3269</v>
      </c>
      <c r="L1794" s="1" t="s">
        <v>35</v>
      </c>
      <c r="M1794" s="15" t="s">
        <v>627</v>
      </c>
      <c r="N1794" s="15"/>
      <c r="O1794" s="8" t="s">
        <v>45</v>
      </c>
      <c r="P1794" s="8" t="s">
        <v>46</v>
      </c>
      <c r="Q1794" s="9">
        <v>3.4200000000000001E-2</v>
      </c>
      <c r="R1794" s="138"/>
      <c r="T1794" s="18">
        <v>427910.82999999914</v>
      </c>
      <c r="U1794" s="4">
        <v>0</v>
      </c>
      <c r="V1794" s="18">
        <v>427910.82999999914</v>
      </c>
      <c r="W1794" s="13">
        <f t="shared" si="264"/>
        <v>0</v>
      </c>
      <c r="X1794" s="13">
        <f t="shared" si="265"/>
        <v>364427.55067279778</v>
      </c>
      <c r="Y1794" s="13">
        <f t="shared" si="259"/>
        <v>364427.55067279778</v>
      </c>
      <c r="Z1794" s="2">
        <v>0</v>
      </c>
      <c r="AA1794" s="4">
        <v>0</v>
      </c>
      <c r="AB1794" s="4">
        <f t="shared" si="260"/>
        <v>364427.55067279778</v>
      </c>
      <c r="AC1794" s="6">
        <f t="shared" si="261"/>
        <v>63483.279327201366</v>
      </c>
      <c r="AD1794" s="4">
        <v>0</v>
      </c>
      <c r="AE1794" s="2">
        <v>0.06</v>
      </c>
      <c r="AF1794" s="5">
        <f t="shared" si="262"/>
        <v>0</v>
      </c>
      <c r="AG1794" s="9">
        <v>0.14000000000000001</v>
      </c>
      <c r="AH1794" s="4">
        <f t="shared" si="266"/>
        <v>375360.37719298166</v>
      </c>
      <c r="AJ1794" s="126" t="e">
        <v>#N/A</v>
      </c>
      <c r="AK1794" s="80">
        <f t="shared" si="263"/>
        <v>0</v>
      </c>
      <c r="AM1794" s="85"/>
    </row>
    <row r="1795" spans="1:39" hidden="1" x14ac:dyDescent="0.3">
      <c r="A1795" s="85" t="s">
        <v>34</v>
      </c>
      <c r="B1795" s="15" t="s">
        <v>35</v>
      </c>
      <c r="C1795" s="15" t="s">
        <v>47</v>
      </c>
      <c r="D1795" s="15" t="s">
        <v>48</v>
      </c>
      <c r="E1795" s="15" t="s">
        <v>2482</v>
      </c>
      <c r="F1795" s="15" t="s">
        <v>2483</v>
      </c>
      <c r="G1795" s="15" t="s">
        <v>2482</v>
      </c>
      <c r="H1795" s="154"/>
      <c r="I1795" s="3" t="s">
        <v>2374</v>
      </c>
      <c r="J1795" s="1" t="s">
        <v>3322</v>
      </c>
      <c r="K1795" s="1" t="s">
        <v>3269</v>
      </c>
      <c r="L1795" s="1" t="s">
        <v>35</v>
      </c>
      <c r="M1795" s="15" t="s">
        <v>2482</v>
      </c>
      <c r="N1795" s="15"/>
      <c r="O1795" s="8" t="s">
        <v>45</v>
      </c>
      <c r="P1795" s="8" t="s">
        <v>41</v>
      </c>
      <c r="Q1795" s="9">
        <v>0</v>
      </c>
      <c r="R1795" s="138"/>
      <c r="T1795" s="18">
        <v>29701.000000000015</v>
      </c>
      <c r="U1795" s="4">
        <v>0</v>
      </c>
      <c r="V1795" s="4">
        <v>3540.88</v>
      </c>
      <c r="W1795" s="13">
        <f t="shared" si="264"/>
        <v>26160.120000000014</v>
      </c>
      <c r="X1795" s="13">
        <f t="shared" si="265"/>
        <v>3540.88</v>
      </c>
      <c r="Y1795" s="13">
        <f t="shared" ref="Y1795:Y1858" si="267">IF(X1795-AD1795&lt;=0,0,IF(P1795="返现",MAX(X1795-AC1795-AD1795,0),MAX(X1795-AD1795)))</f>
        <v>0</v>
      </c>
      <c r="Z1795" s="2">
        <v>0</v>
      </c>
      <c r="AA1795" s="4">
        <v>0</v>
      </c>
      <c r="AB1795" s="4">
        <f t="shared" ref="AB1795:AB1858" si="268">X1795+AA1795</f>
        <v>3540.88</v>
      </c>
      <c r="AC1795" s="6">
        <f t="shared" ref="AC1795:AC1858" si="269">IF(P1795="返现",X1795*Q1795,V1795-X1795)</f>
        <v>0</v>
      </c>
      <c r="AD1795" s="4">
        <v>3540.88</v>
      </c>
      <c r="AE1795" s="2">
        <v>0.06</v>
      </c>
      <c r="AF1795" s="5">
        <f t="shared" ref="AF1795:AF1858" si="270">AD1795*AE1795</f>
        <v>212.4528</v>
      </c>
      <c r="AG1795" s="9">
        <v>0</v>
      </c>
      <c r="AH1795" s="4">
        <f t="shared" si="266"/>
        <v>3540.88</v>
      </c>
      <c r="AJ1795" s="126" t="e">
        <v>#N/A</v>
      </c>
      <c r="AK1795" s="80">
        <f t="shared" ref="AK1795:AK1858" si="271">X1795+AA1795-AB1795</f>
        <v>0</v>
      </c>
      <c r="AM1795" s="85"/>
    </row>
    <row r="1796" spans="1:39" hidden="1" x14ac:dyDescent="0.3">
      <c r="A1796" s="85" t="s">
        <v>34</v>
      </c>
      <c r="B1796" s="15" t="s">
        <v>35</v>
      </c>
      <c r="C1796" s="15" t="s">
        <v>144</v>
      </c>
      <c r="D1796" s="15" t="s">
        <v>145</v>
      </c>
      <c r="E1796" s="15" t="s">
        <v>236</v>
      </c>
      <c r="F1796" s="15" t="s">
        <v>236</v>
      </c>
      <c r="G1796" s="15" t="s">
        <v>236</v>
      </c>
      <c r="H1796" s="154"/>
      <c r="I1796" s="3" t="s">
        <v>2374</v>
      </c>
      <c r="J1796" s="1" t="s">
        <v>3322</v>
      </c>
      <c r="K1796" s="1" t="s">
        <v>3269</v>
      </c>
      <c r="L1796" s="1" t="s">
        <v>35</v>
      </c>
      <c r="M1796" s="15" t="s">
        <v>2433</v>
      </c>
      <c r="N1796" s="15"/>
      <c r="O1796" s="8" t="s">
        <v>45</v>
      </c>
      <c r="P1796" s="8" t="s">
        <v>46</v>
      </c>
      <c r="Q1796" s="9">
        <v>0.02</v>
      </c>
      <c r="R1796" s="138"/>
      <c r="T1796" s="18">
        <v>40257.199999999997</v>
      </c>
      <c r="U1796" s="4">
        <v>0</v>
      </c>
      <c r="V1796" s="4">
        <v>38774.449999999997</v>
      </c>
      <c r="W1796" s="13">
        <f t="shared" si="264"/>
        <v>1482.75</v>
      </c>
      <c r="X1796" s="13">
        <f t="shared" si="265"/>
        <v>29374.583333333328</v>
      </c>
      <c r="Y1796" s="13">
        <f t="shared" si="267"/>
        <v>0</v>
      </c>
      <c r="Z1796" s="2">
        <v>0</v>
      </c>
      <c r="AA1796" s="4">
        <v>0</v>
      </c>
      <c r="AB1796" s="4">
        <f t="shared" si="268"/>
        <v>29374.583333333328</v>
      </c>
      <c r="AC1796" s="6">
        <f t="shared" si="269"/>
        <v>9399.8666666666686</v>
      </c>
      <c r="AD1796" s="4">
        <v>41598.810000000005</v>
      </c>
      <c r="AE1796" s="2">
        <v>0.06</v>
      </c>
      <c r="AF1796" s="5">
        <f t="shared" si="270"/>
        <v>2495.9286000000002</v>
      </c>
      <c r="AG1796" s="9">
        <v>0.3</v>
      </c>
      <c r="AH1796" s="4">
        <f t="shared" si="266"/>
        <v>29826.499999999996</v>
      </c>
      <c r="AJ1796" s="126" t="e">
        <v>#N/A</v>
      </c>
      <c r="AK1796" s="80">
        <f t="shared" si="271"/>
        <v>0</v>
      </c>
      <c r="AM1796" s="85"/>
    </row>
    <row r="1797" spans="1:39" hidden="1" x14ac:dyDescent="0.3">
      <c r="A1797" s="85" t="s">
        <v>34</v>
      </c>
      <c r="B1797" s="15" t="s">
        <v>35</v>
      </c>
      <c r="C1797" s="15" t="s">
        <v>144</v>
      </c>
      <c r="D1797" s="15" t="s">
        <v>145</v>
      </c>
      <c r="E1797" s="15" t="s">
        <v>2484</v>
      </c>
      <c r="F1797" s="15" t="s">
        <v>2484</v>
      </c>
      <c r="G1797" s="15" t="s">
        <v>2484</v>
      </c>
      <c r="H1797" s="154"/>
      <c r="I1797" s="3" t="s">
        <v>2374</v>
      </c>
      <c r="J1797" s="1" t="s">
        <v>3322</v>
      </c>
      <c r="K1797" s="1" t="s">
        <v>3269</v>
      </c>
      <c r="L1797" s="1" t="s">
        <v>35</v>
      </c>
      <c r="M1797" s="15" t="s">
        <v>2485</v>
      </c>
      <c r="N1797" s="15"/>
      <c r="O1797" s="8" t="s">
        <v>45</v>
      </c>
      <c r="P1797" s="8" t="s">
        <v>41</v>
      </c>
      <c r="Q1797" s="9">
        <v>0</v>
      </c>
      <c r="R1797" s="138"/>
      <c r="T1797" s="18">
        <v>69406.900000000023</v>
      </c>
      <c r="U1797" s="4">
        <v>0</v>
      </c>
      <c r="V1797" s="4">
        <v>10473.080000000002</v>
      </c>
      <c r="W1797" s="13">
        <f t="shared" si="264"/>
        <v>58933.820000000022</v>
      </c>
      <c r="X1797" s="13">
        <f t="shared" si="265"/>
        <v>10473.080000000002</v>
      </c>
      <c r="Y1797" s="13">
        <f t="shared" si="267"/>
        <v>0</v>
      </c>
      <c r="Z1797" s="2">
        <v>0</v>
      </c>
      <c r="AA1797" s="4">
        <v>0</v>
      </c>
      <c r="AB1797" s="4">
        <f t="shared" si="268"/>
        <v>10473.080000000002</v>
      </c>
      <c r="AC1797" s="6">
        <f t="shared" si="269"/>
        <v>0</v>
      </c>
      <c r="AD1797" s="4">
        <v>10473.080000000002</v>
      </c>
      <c r="AE1797" s="2">
        <v>0.06</v>
      </c>
      <c r="AF1797" s="5">
        <f t="shared" si="270"/>
        <v>628.38480000000004</v>
      </c>
      <c r="AG1797" s="9">
        <v>0</v>
      </c>
      <c r="AH1797" s="4">
        <f t="shared" si="266"/>
        <v>10473.080000000002</v>
      </c>
      <c r="AJ1797" s="126" t="e">
        <v>#N/A</v>
      </c>
      <c r="AK1797" s="80">
        <f t="shared" si="271"/>
        <v>0</v>
      </c>
      <c r="AM1797" s="85"/>
    </row>
    <row r="1798" spans="1:39" hidden="1" x14ac:dyDescent="0.3">
      <c r="A1798" s="85" t="s">
        <v>34</v>
      </c>
      <c r="B1798" s="15" t="s">
        <v>35</v>
      </c>
      <c r="C1798" s="15" t="s">
        <v>144</v>
      </c>
      <c r="D1798" s="15" t="s">
        <v>152</v>
      </c>
      <c r="E1798" s="15" t="s">
        <v>157</v>
      </c>
      <c r="F1798" s="15" t="s">
        <v>157</v>
      </c>
      <c r="G1798" s="15" t="s">
        <v>157</v>
      </c>
      <c r="H1798" s="154"/>
      <c r="I1798" s="3" t="s">
        <v>2374</v>
      </c>
      <c r="J1798" s="1" t="s">
        <v>3322</v>
      </c>
      <c r="K1798" s="1" t="s">
        <v>3269</v>
      </c>
      <c r="L1798" s="1" t="s">
        <v>35</v>
      </c>
      <c r="M1798" s="15" t="s">
        <v>157</v>
      </c>
      <c r="N1798" s="15"/>
      <c r="O1798" s="8" t="s">
        <v>45</v>
      </c>
      <c r="P1798" s="8" t="s">
        <v>46</v>
      </c>
      <c r="Q1798" s="9">
        <v>0.03</v>
      </c>
      <c r="R1798" s="138"/>
      <c r="T1798" s="18">
        <v>568828.02109999838</v>
      </c>
      <c r="U1798" s="4">
        <v>0</v>
      </c>
      <c r="V1798" s="18">
        <v>568828.02109999838</v>
      </c>
      <c r="W1798" s="13">
        <f t="shared" si="264"/>
        <v>0</v>
      </c>
      <c r="X1798" s="13">
        <f t="shared" si="265"/>
        <v>458732.27508064389</v>
      </c>
      <c r="Y1798" s="13">
        <f t="shared" si="267"/>
        <v>458732.27508064389</v>
      </c>
      <c r="Z1798" s="2">
        <v>0</v>
      </c>
      <c r="AA1798" s="4">
        <v>0</v>
      </c>
      <c r="AB1798" s="4">
        <f t="shared" si="268"/>
        <v>458732.27508064389</v>
      </c>
      <c r="AC1798" s="6">
        <f t="shared" si="269"/>
        <v>110095.7460193545</v>
      </c>
      <c r="AD1798" s="4">
        <v>0</v>
      </c>
      <c r="AE1798" s="2">
        <v>0.06</v>
      </c>
      <c r="AF1798" s="5">
        <f t="shared" si="270"/>
        <v>0</v>
      </c>
      <c r="AG1798" s="9">
        <v>0.21</v>
      </c>
      <c r="AH1798" s="4">
        <f t="shared" si="266"/>
        <v>470105.80256198213</v>
      </c>
      <c r="AJ1798" s="126" t="e">
        <v>#N/A</v>
      </c>
      <c r="AK1798" s="80">
        <f t="shared" si="271"/>
        <v>0</v>
      </c>
      <c r="AM1798" s="85"/>
    </row>
    <row r="1799" spans="1:39" hidden="1" x14ac:dyDescent="0.3">
      <c r="A1799" s="85" t="s">
        <v>34</v>
      </c>
      <c r="B1799" s="15" t="s">
        <v>35</v>
      </c>
      <c r="C1799" s="15" t="s">
        <v>144</v>
      </c>
      <c r="D1799" s="15" t="s">
        <v>161</v>
      </c>
      <c r="E1799" s="15" t="s">
        <v>1903</v>
      </c>
      <c r="F1799" s="15" t="s">
        <v>1903</v>
      </c>
      <c r="G1799" s="15" t="s">
        <v>1903</v>
      </c>
      <c r="H1799" s="139"/>
      <c r="I1799" s="3" t="s">
        <v>2374</v>
      </c>
      <c r="J1799" s="1" t="s">
        <v>3322</v>
      </c>
      <c r="K1799" s="1" t="s">
        <v>3269</v>
      </c>
      <c r="L1799" s="1" t="s">
        <v>35</v>
      </c>
      <c r="M1799" s="15" t="s">
        <v>2148</v>
      </c>
      <c r="N1799" s="15"/>
      <c r="O1799" s="8" t="s">
        <v>45</v>
      </c>
      <c r="P1799" s="8" t="s">
        <v>46</v>
      </c>
      <c r="Q1799" s="9">
        <v>0.03</v>
      </c>
      <c r="R1799" s="138"/>
      <c r="T1799" s="18">
        <v>-27682.880000000081</v>
      </c>
      <c r="U1799" s="4">
        <v>0</v>
      </c>
      <c r="V1799" s="4">
        <v>0</v>
      </c>
      <c r="W1799" s="13">
        <f t="shared" si="264"/>
        <v>-27682.880000000081</v>
      </c>
      <c r="X1799" s="13">
        <f t="shared" si="265"/>
        <v>0</v>
      </c>
      <c r="Y1799" s="13">
        <f t="shared" si="267"/>
        <v>0</v>
      </c>
      <c r="Z1799" s="2">
        <v>0</v>
      </c>
      <c r="AA1799" s="4">
        <v>0</v>
      </c>
      <c r="AB1799" s="4">
        <f t="shared" si="268"/>
        <v>0</v>
      </c>
      <c r="AC1799" s="6">
        <f t="shared" si="269"/>
        <v>0</v>
      </c>
      <c r="AD1799" s="4">
        <v>0</v>
      </c>
      <c r="AE1799" s="2">
        <v>0.06</v>
      </c>
      <c r="AF1799" s="5">
        <f t="shared" si="270"/>
        <v>0</v>
      </c>
      <c r="AG1799" s="9">
        <v>0</v>
      </c>
      <c r="AH1799" s="4">
        <f t="shared" si="266"/>
        <v>0</v>
      </c>
      <c r="AJ1799" s="126" t="e">
        <v>#N/A</v>
      </c>
      <c r="AK1799" s="80">
        <f t="shared" si="271"/>
        <v>0</v>
      </c>
      <c r="AM1799" s="85"/>
    </row>
    <row r="1800" spans="1:39" hidden="1" x14ac:dyDescent="0.3">
      <c r="A1800" s="85" t="s">
        <v>34</v>
      </c>
      <c r="B1800" s="15" t="s">
        <v>35</v>
      </c>
      <c r="C1800" s="15" t="s">
        <v>187</v>
      </c>
      <c r="D1800" s="15" t="s">
        <v>188</v>
      </c>
      <c r="E1800" s="15" t="s">
        <v>2486</v>
      </c>
      <c r="F1800" s="15" t="s">
        <v>2486</v>
      </c>
      <c r="G1800" s="15" t="s">
        <v>2486</v>
      </c>
      <c r="H1800" s="154"/>
      <c r="I1800" s="3" t="s">
        <v>2374</v>
      </c>
      <c r="J1800" s="1" t="s">
        <v>3322</v>
      </c>
      <c r="K1800" s="1" t="s">
        <v>3269</v>
      </c>
      <c r="L1800" s="1" t="s">
        <v>35</v>
      </c>
      <c r="M1800" s="15" t="s">
        <v>2438</v>
      </c>
      <c r="N1800" s="15"/>
      <c r="O1800" s="8" t="s">
        <v>40</v>
      </c>
      <c r="P1800" s="8" t="s">
        <v>46</v>
      </c>
      <c r="Q1800" s="9">
        <v>0.01</v>
      </c>
      <c r="R1800" s="138"/>
      <c r="T1800" s="18">
        <v>50943.598180821282</v>
      </c>
      <c r="U1800" s="4">
        <v>0</v>
      </c>
      <c r="V1800" s="4">
        <v>54370.619999999995</v>
      </c>
      <c r="W1800" s="13">
        <f t="shared" si="264"/>
        <v>-3427.0218191787135</v>
      </c>
      <c r="X1800" s="13">
        <f t="shared" si="265"/>
        <v>38560.72340425531</v>
      </c>
      <c r="Y1800" s="13">
        <f t="shared" si="267"/>
        <v>2694.9234042553071</v>
      </c>
      <c r="Z1800" s="2">
        <v>0</v>
      </c>
      <c r="AA1800" s="4">
        <v>0</v>
      </c>
      <c r="AB1800" s="4">
        <f t="shared" si="268"/>
        <v>38560.72340425531</v>
      </c>
      <c r="AC1800" s="6">
        <f t="shared" si="269"/>
        <v>15809.896595744685</v>
      </c>
      <c r="AD1800" s="4">
        <v>35865.800000000003</v>
      </c>
      <c r="AE1800" s="2">
        <v>7.0000000000000007E-2</v>
      </c>
      <c r="AF1800" s="5">
        <f t="shared" si="270"/>
        <v>2510.6060000000002</v>
      </c>
      <c r="AG1800" s="9">
        <v>0.4</v>
      </c>
      <c r="AH1800" s="4">
        <f t="shared" si="266"/>
        <v>38836.157142857141</v>
      </c>
      <c r="AJ1800" s="126" t="e">
        <v>#N/A</v>
      </c>
      <c r="AK1800" s="80">
        <f t="shared" si="271"/>
        <v>0</v>
      </c>
      <c r="AM1800" s="85"/>
    </row>
    <row r="1801" spans="1:39" hidden="1" x14ac:dyDescent="0.3">
      <c r="A1801" s="85" t="s">
        <v>34</v>
      </c>
      <c r="B1801" s="15" t="s">
        <v>35</v>
      </c>
      <c r="C1801" s="15" t="s">
        <v>187</v>
      </c>
      <c r="D1801" s="15" t="s">
        <v>188</v>
      </c>
      <c r="E1801" s="15" t="s">
        <v>2487</v>
      </c>
      <c r="F1801" s="15" t="s">
        <v>2487</v>
      </c>
      <c r="G1801" s="15" t="s">
        <v>2487</v>
      </c>
      <c r="H1801" s="139"/>
      <c r="I1801" s="3" t="s">
        <v>2374</v>
      </c>
      <c r="J1801" s="1" t="s">
        <v>3322</v>
      </c>
      <c r="K1801" s="1" t="s">
        <v>3269</v>
      </c>
      <c r="L1801" s="1" t="s">
        <v>35</v>
      </c>
      <c r="M1801" s="15" t="s">
        <v>2438</v>
      </c>
      <c r="N1801" s="15"/>
      <c r="O1801" s="8" t="s">
        <v>40</v>
      </c>
      <c r="P1801" s="8" t="s">
        <v>46</v>
      </c>
      <c r="Q1801" s="9">
        <v>7.0000000000000007E-2</v>
      </c>
      <c r="R1801" s="138"/>
      <c r="T1801" s="18">
        <v>-5.8385726027881901</v>
      </c>
      <c r="U1801" s="4">
        <v>0</v>
      </c>
      <c r="V1801" s="4">
        <v>0</v>
      </c>
      <c r="W1801" s="13">
        <f t="shared" si="264"/>
        <v>-5.8385726027881901</v>
      </c>
      <c r="X1801" s="13">
        <f t="shared" si="265"/>
        <v>0</v>
      </c>
      <c r="Y1801" s="13">
        <f t="shared" si="267"/>
        <v>0</v>
      </c>
      <c r="Z1801" s="2">
        <v>0</v>
      </c>
      <c r="AA1801" s="4">
        <v>0</v>
      </c>
      <c r="AB1801" s="4">
        <f t="shared" si="268"/>
        <v>0</v>
      </c>
      <c r="AC1801" s="6">
        <f t="shared" si="269"/>
        <v>0</v>
      </c>
      <c r="AD1801" s="4">
        <v>0</v>
      </c>
      <c r="AE1801" s="2">
        <v>7.0000000000000007E-2</v>
      </c>
      <c r="AF1801" s="5">
        <f t="shared" si="270"/>
        <v>0</v>
      </c>
      <c r="AG1801" s="9">
        <v>0.46</v>
      </c>
      <c r="AH1801" s="4">
        <f t="shared" si="266"/>
        <v>0</v>
      </c>
      <c r="AJ1801" s="126" t="e">
        <v>#N/A</v>
      </c>
      <c r="AK1801" s="80">
        <f t="shared" si="271"/>
        <v>0</v>
      </c>
      <c r="AM1801" s="85"/>
    </row>
    <row r="1802" spans="1:39" hidden="1" x14ac:dyDescent="0.3">
      <c r="A1802" s="85" t="s">
        <v>34</v>
      </c>
      <c r="B1802" s="15" t="s">
        <v>35</v>
      </c>
      <c r="C1802" s="15" t="s">
        <v>187</v>
      </c>
      <c r="D1802" s="15" t="s">
        <v>188</v>
      </c>
      <c r="E1802" s="15" t="s">
        <v>2458</v>
      </c>
      <c r="F1802" s="15" t="s">
        <v>2458</v>
      </c>
      <c r="G1802" s="15" t="s">
        <v>2458</v>
      </c>
      <c r="H1802" s="154"/>
      <c r="I1802" s="3" t="s">
        <v>2374</v>
      </c>
      <c r="J1802" s="1" t="s">
        <v>3322</v>
      </c>
      <c r="K1802" s="1" t="s">
        <v>3269</v>
      </c>
      <c r="L1802" s="1" t="s">
        <v>35</v>
      </c>
      <c r="M1802" s="15" t="s">
        <v>2438</v>
      </c>
      <c r="N1802" s="15"/>
      <c r="O1802" s="8" t="s">
        <v>40</v>
      </c>
      <c r="P1802" s="8" t="s">
        <v>46</v>
      </c>
      <c r="Q1802" s="9">
        <v>0.04</v>
      </c>
      <c r="R1802" s="138"/>
      <c r="T1802" s="18">
        <v>-985.53400000021793</v>
      </c>
      <c r="U1802" s="4">
        <v>0</v>
      </c>
      <c r="V1802" s="4">
        <v>1169.3800000000001</v>
      </c>
      <c r="W1802" s="13">
        <f t="shared" si="264"/>
        <v>-2154.914000000218</v>
      </c>
      <c r="X1802" s="13">
        <f t="shared" si="265"/>
        <v>812.06944444444457</v>
      </c>
      <c r="Y1802" s="13">
        <f t="shared" si="267"/>
        <v>799.93944444444458</v>
      </c>
      <c r="Z1802" s="2">
        <v>0</v>
      </c>
      <c r="AA1802" s="4">
        <v>0</v>
      </c>
      <c r="AB1802" s="4">
        <f t="shared" si="268"/>
        <v>812.06944444444457</v>
      </c>
      <c r="AC1802" s="6">
        <f t="shared" si="269"/>
        <v>357.31055555555554</v>
      </c>
      <c r="AD1802" s="4">
        <v>12.13</v>
      </c>
      <c r="AE1802" s="2">
        <v>7.0000000000000007E-2</v>
      </c>
      <c r="AF1802" s="5">
        <f t="shared" si="270"/>
        <v>0.84910000000000019</v>
      </c>
      <c r="AG1802" s="9">
        <v>0.4</v>
      </c>
      <c r="AH1802" s="4">
        <f t="shared" si="266"/>
        <v>835.27142857142871</v>
      </c>
      <c r="AJ1802" s="126" t="e">
        <v>#N/A</v>
      </c>
      <c r="AK1802" s="80">
        <f t="shared" si="271"/>
        <v>0</v>
      </c>
      <c r="AM1802" s="85"/>
    </row>
    <row r="1803" spans="1:39" hidden="1" x14ac:dyDescent="0.3">
      <c r="A1803" s="85" t="s">
        <v>34</v>
      </c>
      <c r="B1803" s="15" t="s">
        <v>35</v>
      </c>
      <c r="C1803" s="15" t="s">
        <v>187</v>
      </c>
      <c r="D1803" s="15" t="s">
        <v>188</v>
      </c>
      <c r="E1803" s="15" t="s">
        <v>2488</v>
      </c>
      <c r="F1803" s="15" t="s">
        <v>2488</v>
      </c>
      <c r="G1803" s="15" t="s">
        <v>2488</v>
      </c>
      <c r="H1803" s="139"/>
      <c r="I1803" s="3" t="s">
        <v>2374</v>
      </c>
      <c r="J1803" s="1" t="s">
        <v>3322</v>
      </c>
      <c r="K1803" s="1" t="s">
        <v>3269</v>
      </c>
      <c r="L1803" s="1" t="s">
        <v>35</v>
      </c>
      <c r="M1803" s="15" t="s">
        <v>2438</v>
      </c>
      <c r="N1803" s="15"/>
      <c r="O1803" s="8" t="s">
        <v>45</v>
      </c>
      <c r="P1803" s="8" t="s">
        <v>46</v>
      </c>
      <c r="Q1803" s="9">
        <v>0.08</v>
      </c>
      <c r="R1803" s="138"/>
      <c r="T1803" s="18">
        <v>-5.2999999998064595E-3</v>
      </c>
      <c r="U1803" s="4">
        <v>0</v>
      </c>
      <c r="V1803" s="4">
        <v>0</v>
      </c>
      <c r="W1803" s="13">
        <f t="shared" si="264"/>
        <v>-5.2999999998064595E-3</v>
      </c>
      <c r="X1803" s="13">
        <f t="shared" si="265"/>
        <v>0</v>
      </c>
      <c r="Y1803" s="13">
        <f t="shared" si="267"/>
        <v>0</v>
      </c>
      <c r="Z1803" s="2">
        <v>0</v>
      </c>
      <c r="AA1803" s="4">
        <v>0</v>
      </c>
      <c r="AB1803" s="4">
        <f t="shared" si="268"/>
        <v>0</v>
      </c>
      <c r="AC1803" s="6">
        <f t="shared" si="269"/>
        <v>0</v>
      </c>
      <c r="AD1803" s="4">
        <v>0</v>
      </c>
      <c r="AE1803" s="2">
        <v>0.06</v>
      </c>
      <c r="AF1803" s="5">
        <f t="shared" si="270"/>
        <v>0</v>
      </c>
      <c r="AG1803" s="9">
        <v>0.37</v>
      </c>
      <c r="AH1803" s="4">
        <f t="shared" si="266"/>
        <v>0</v>
      </c>
      <c r="AJ1803" s="126" t="e">
        <v>#N/A</v>
      </c>
      <c r="AK1803" s="80">
        <f t="shared" si="271"/>
        <v>0</v>
      </c>
      <c r="AM1803" s="85"/>
    </row>
    <row r="1804" spans="1:39" hidden="1" x14ac:dyDescent="0.3">
      <c r="A1804" s="85" t="s">
        <v>34</v>
      </c>
      <c r="B1804" s="15" t="s">
        <v>35</v>
      </c>
      <c r="C1804" s="15" t="s">
        <v>187</v>
      </c>
      <c r="D1804" s="15" t="s">
        <v>188</v>
      </c>
      <c r="E1804" s="15" t="s">
        <v>206</v>
      </c>
      <c r="F1804" s="15" t="s">
        <v>206</v>
      </c>
      <c r="G1804" s="15" t="s">
        <v>206</v>
      </c>
      <c r="H1804" s="154"/>
      <c r="I1804" s="3" t="s">
        <v>2374</v>
      </c>
      <c r="J1804" s="1" t="s">
        <v>3322</v>
      </c>
      <c r="K1804" s="1" t="s">
        <v>3269</v>
      </c>
      <c r="L1804" s="1" t="s">
        <v>35</v>
      </c>
      <c r="M1804" s="15" t="s">
        <v>2438</v>
      </c>
      <c r="N1804" s="15"/>
      <c r="O1804" s="8" t="s">
        <v>40</v>
      </c>
      <c r="P1804" s="8" t="s">
        <v>46</v>
      </c>
      <c r="Q1804" s="9">
        <v>0.08</v>
      </c>
      <c r="R1804" s="138"/>
      <c r="T1804" s="18">
        <v>13725.179999999964</v>
      </c>
      <c r="U1804" s="4">
        <v>0</v>
      </c>
      <c r="V1804" s="4">
        <v>11856.24</v>
      </c>
      <c r="W1804" s="13">
        <f t="shared" si="264"/>
        <v>1868.9399999999641</v>
      </c>
      <c r="X1804" s="13">
        <f t="shared" si="265"/>
        <v>8010.9729729729734</v>
      </c>
      <c r="Y1804" s="13">
        <f t="shared" si="267"/>
        <v>0</v>
      </c>
      <c r="Z1804" s="2">
        <v>0</v>
      </c>
      <c r="AA1804" s="4">
        <v>0</v>
      </c>
      <c r="AB1804" s="4">
        <f t="shared" si="268"/>
        <v>8010.9729729729734</v>
      </c>
      <c r="AC1804" s="6">
        <f t="shared" si="269"/>
        <v>3845.2670270270264</v>
      </c>
      <c r="AD1804" s="4">
        <v>8468.7800000000007</v>
      </c>
      <c r="AE1804" s="2">
        <v>7.0000000000000007E-2</v>
      </c>
      <c r="AF1804" s="5">
        <f t="shared" si="270"/>
        <v>592.81460000000015</v>
      </c>
      <c r="AG1804" s="9">
        <v>0.4</v>
      </c>
      <c r="AH1804" s="4">
        <f t="shared" si="266"/>
        <v>8468.7428571428572</v>
      </c>
      <c r="AJ1804" s="126" t="s">
        <v>4218</v>
      </c>
      <c r="AK1804" s="80">
        <f t="shared" si="271"/>
        <v>0</v>
      </c>
      <c r="AL1804" s="150"/>
      <c r="AM1804" s="85"/>
    </row>
    <row r="1805" spans="1:39" hidden="1" x14ac:dyDescent="0.3">
      <c r="A1805" s="85" t="s">
        <v>34</v>
      </c>
      <c r="B1805" s="15" t="s">
        <v>35</v>
      </c>
      <c r="C1805" s="15" t="s">
        <v>187</v>
      </c>
      <c r="D1805" s="15" t="s">
        <v>188</v>
      </c>
      <c r="E1805" s="15" t="s">
        <v>2489</v>
      </c>
      <c r="F1805" s="15" t="s">
        <v>2489</v>
      </c>
      <c r="G1805" s="15" t="s">
        <v>2489</v>
      </c>
      <c r="H1805" s="139"/>
      <c r="I1805" s="3" t="s">
        <v>2374</v>
      </c>
      <c r="J1805" s="1" t="s">
        <v>3322</v>
      </c>
      <c r="K1805" s="1" t="s">
        <v>3269</v>
      </c>
      <c r="L1805" s="1" t="s">
        <v>35</v>
      </c>
      <c r="M1805" s="15" t="s">
        <v>2438</v>
      </c>
      <c r="N1805" s="15"/>
      <c r="O1805" s="8" t="s">
        <v>45</v>
      </c>
      <c r="P1805" s="8" t="s">
        <v>46</v>
      </c>
      <c r="Q1805" s="9">
        <v>0.03</v>
      </c>
      <c r="R1805" s="138"/>
      <c r="T1805" s="18">
        <v>6.2000000011721568E-3</v>
      </c>
      <c r="U1805" s="4">
        <v>0</v>
      </c>
      <c r="V1805" s="4">
        <v>0</v>
      </c>
      <c r="W1805" s="13">
        <f t="shared" si="264"/>
        <v>6.2000000011721568E-3</v>
      </c>
      <c r="X1805" s="13">
        <f t="shared" si="265"/>
        <v>0</v>
      </c>
      <c r="Y1805" s="13">
        <f t="shared" si="267"/>
        <v>0</v>
      </c>
      <c r="Z1805" s="2">
        <v>0</v>
      </c>
      <c r="AA1805" s="4">
        <v>0</v>
      </c>
      <c r="AB1805" s="4">
        <f t="shared" si="268"/>
        <v>0</v>
      </c>
      <c r="AC1805" s="6">
        <f t="shared" si="269"/>
        <v>0</v>
      </c>
      <c r="AD1805" s="4">
        <v>0</v>
      </c>
      <c r="AE1805" s="2">
        <v>0.06</v>
      </c>
      <c r="AF1805" s="5">
        <f t="shared" si="270"/>
        <v>0</v>
      </c>
      <c r="AG1805" s="9">
        <v>0.37</v>
      </c>
      <c r="AH1805" s="4">
        <f t="shared" si="266"/>
        <v>0</v>
      </c>
      <c r="AJ1805" s="126" t="e">
        <v>#N/A</v>
      </c>
      <c r="AK1805" s="80">
        <f t="shared" si="271"/>
        <v>0</v>
      </c>
      <c r="AM1805" s="85"/>
    </row>
    <row r="1806" spans="1:39" hidden="1" x14ac:dyDescent="0.3">
      <c r="A1806" s="85" t="s">
        <v>34</v>
      </c>
      <c r="B1806" s="15" t="s">
        <v>35</v>
      </c>
      <c r="C1806" s="15" t="s">
        <v>187</v>
      </c>
      <c r="D1806" s="15" t="s">
        <v>188</v>
      </c>
      <c r="E1806" s="15" t="s">
        <v>2489</v>
      </c>
      <c r="F1806" s="15" t="s">
        <v>2489</v>
      </c>
      <c r="G1806" s="15" t="s">
        <v>2489</v>
      </c>
      <c r="H1806" s="139"/>
      <c r="I1806" s="3" t="s">
        <v>2374</v>
      </c>
      <c r="J1806" s="1" t="s">
        <v>3322</v>
      </c>
      <c r="K1806" s="1" t="s">
        <v>3269</v>
      </c>
      <c r="L1806" s="1" t="s">
        <v>35</v>
      </c>
      <c r="M1806" s="15" t="s">
        <v>2438</v>
      </c>
      <c r="N1806" s="15"/>
      <c r="O1806" s="8" t="s">
        <v>40</v>
      </c>
      <c r="P1806" s="8" t="s">
        <v>46</v>
      </c>
      <c r="Q1806" s="9">
        <v>7.0000000000000007E-2</v>
      </c>
      <c r="R1806" s="138"/>
      <c r="T1806" s="18">
        <v>-2202.9299999997602</v>
      </c>
      <c r="U1806" s="4">
        <v>0</v>
      </c>
      <c r="V1806" s="4">
        <v>0</v>
      </c>
      <c r="W1806" s="13">
        <f t="shared" si="264"/>
        <v>-2202.9299999997602</v>
      </c>
      <c r="X1806" s="13">
        <f t="shared" si="265"/>
        <v>0</v>
      </c>
      <c r="Y1806" s="13">
        <f t="shared" si="267"/>
        <v>0</v>
      </c>
      <c r="Z1806" s="2">
        <v>0</v>
      </c>
      <c r="AA1806" s="4">
        <v>0</v>
      </c>
      <c r="AB1806" s="4">
        <f t="shared" si="268"/>
        <v>0</v>
      </c>
      <c r="AC1806" s="6">
        <f t="shared" si="269"/>
        <v>0</v>
      </c>
      <c r="AD1806" s="4">
        <v>0</v>
      </c>
      <c r="AE1806" s="2">
        <v>7.0000000000000007E-2</v>
      </c>
      <c r="AF1806" s="5">
        <f t="shared" si="270"/>
        <v>0</v>
      </c>
      <c r="AG1806" s="9">
        <v>0.4</v>
      </c>
      <c r="AH1806" s="4">
        <f t="shared" si="266"/>
        <v>0</v>
      </c>
      <c r="AJ1806" s="126" t="e">
        <v>#N/A</v>
      </c>
      <c r="AK1806" s="80">
        <f t="shared" si="271"/>
        <v>0</v>
      </c>
      <c r="AM1806" s="85"/>
    </row>
    <row r="1807" spans="1:39" hidden="1" x14ac:dyDescent="0.3">
      <c r="A1807" s="85" t="s">
        <v>34</v>
      </c>
      <c r="B1807" s="15" t="s">
        <v>35</v>
      </c>
      <c r="C1807" s="15" t="s">
        <v>187</v>
      </c>
      <c r="D1807" s="15" t="s">
        <v>188</v>
      </c>
      <c r="E1807" s="15" t="s">
        <v>2452</v>
      </c>
      <c r="F1807" s="15" t="s">
        <v>2452</v>
      </c>
      <c r="G1807" s="15" t="s">
        <v>2452</v>
      </c>
      <c r="H1807" s="154"/>
      <c r="I1807" s="3" t="s">
        <v>2374</v>
      </c>
      <c r="J1807" s="1" t="s">
        <v>3322</v>
      </c>
      <c r="K1807" s="1" t="s">
        <v>3269</v>
      </c>
      <c r="L1807" s="1" t="s">
        <v>35</v>
      </c>
      <c r="M1807" s="15" t="s">
        <v>2438</v>
      </c>
      <c r="N1807" s="15"/>
      <c r="O1807" s="8" t="s">
        <v>45</v>
      </c>
      <c r="P1807" s="8" t="s">
        <v>46</v>
      </c>
      <c r="Q1807" s="9">
        <v>5.04E-2</v>
      </c>
      <c r="R1807" s="138"/>
      <c r="T1807" s="18">
        <v>9355.5931999999884</v>
      </c>
      <c r="U1807" s="4">
        <v>0</v>
      </c>
      <c r="V1807" s="18">
        <v>9355.5931999999884</v>
      </c>
      <c r="W1807" s="13">
        <f t="shared" si="264"/>
        <v>0</v>
      </c>
      <c r="X1807" s="13">
        <f t="shared" si="265"/>
        <v>6586.5905378766465</v>
      </c>
      <c r="Y1807" s="13">
        <f t="shared" si="267"/>
        <v>6586.5905378766465</v>
      </c>
      <c r="Z1807" s="2">
        <v>0</v>
      </c>
      <c r="AA1807" s="4">
        <v>0</v>
      </c>
      <c r="AB1807" s="4">
        <f t="shared" si="268"/>
        <v>6586.5905378766465</v>
      </c>
      <c r="AC1807" s="6">
        <f t="shared" si="269"/>
        <v>2769.0026621233419</v>
      </c>
      <c r="AD1807" s="4">
        <v>0</v>
      </c>
      <c r="AE1807" s="2">
        <v>0.06</v>
      </c>
      <c r="AF1807" s="5">
        <f t="shared" si="270"/>
        <v>0</v>
      </c>
      <c r="AG1807" s="9">
        <v>0.37</v>
      </c>
      <c r="AH1807" s="4">
        <f t="shared" si="266"/>
        <v>6828.9001459853926</v>
      </c>
      <c r="AJ1807" s="126" t="e">
        <v>#N/A</v>
      </c>
      <c r="AK1807" s="80">
        <f t="shared" si="271"/>
        <v>0</v>
      </c>
      <c r="AM1807" s="85"/>
    </row>
    <row r="1808" spans="1:39" hidden="1" x14ac:dyDescent="0.3">
      <c r="A1808" s="85" t="s">
        <v>34</v>
      </c>
      <c r="B1808" s="15" t="s">
        <v>35</v>
      </c>
      <c r="C1808" s="15" t="s">
        <v>187</v>
      </c>
      <c r="D1808" s="15" t="s">
        <v>188</v>
      </c>
      <c r="E1808" s="15" t="s">
        <v>2452</v>
      </c>
      <c r="F1808" s="15" t="s">
        <v>2452</v>
      </c>
      <c r="G1808" s="15" t="s">
        <v>2452</v>
      </c>
      <c r="H1808" s="154"/>
      <c r="I1808" s="3" t="s">
        <v>2374</v>
      </c>
      <c r="J1808" s="1" t="s">
        <v>3322</v>
      </c>
      <c r="K1808" s="1" t="s">
        <v>3269</v>
      </c>
      <c r="L1808" s="1" t="s">
        <v>35</v>
      </c>
      <c r="M1808" s="15" t="s">
        <v>2438</v>
      </c>
      <c r="N1808" s="15"/>
      <c r="O1808" s="8" t="s">
        <v>40</v>
      </c>
      <c r="P1808" s="8" t="s">
        <v>46</v>
      </c>
      <c r="Q1808" s="9">
        <v>5.2200000000000003E-2</v>
      </c>
      <c r="R1808" s="138"/>
      <c r="T1808" s="18">
        <v>250120.76399999976</v>
      </c>
      <c r="U1808" s="4">
        <v>0</v>
      </c>
      <c r="V1808" s="18">
        <v>250120.76399999976</v>
      </c>
      <c r="W1808" s="13">
        <f t="shared" si="264"/>
        <v>0</v>
      </c>
      <c r="X1808" s="13">
        <f t="shared" si="265"/>
        <v>172235.75540559136</v>
      </c>
      <c r="Y1808" s="13">
        <f t="shared" si="267"/>
        <v>172235.75540559136</v>
      </c>
      <c r="Z1808" s="2">
        <v>0</v>
      </c>
      <c r="AA1808" s="4">
        <v>0</v>
      </c>
      <c r="AB1808" s="4">
        <f t="shared" si="268"/>
        <v>172235.75540559136</v>
      </c>
      <c r="AC1808" s="6">
        <f t="shared" si="269"/>
        <v>77885.008594408398</v>
      </c>
      <c r="AD1808" s="4">
        <v>0</v>
      </c>
      <c r="AE1808" s="2">
        <v>7.0000000000000007E-2</v>
      </c>
      <c r="AF1808" s="5">
        <f t="shared" si="270"/>
        <v>0</v>
      </c>
      <c r="AG1808" s="9">
        <v>0.4</v>
      </c>
      <c r="AH1808" s="4">
        <f t="shared" si="266"/>
        <v>178657.68857142841</v>
      </c>
      <c r="AJ1808" s="126" t="e">
        <v>#N/A</v>
      </c>
      <c r="AK1808" s="80">
        <f t="shared" si="271"/>
        <v>0</v>
      </c>
      <c r="AM1808" s="85"/>
    </row>
    <row r="1809" spans="1:39" hidden="1" x14ac:dyDescent="0.3">
      <c r="A1809" s="85" t="s">
        <v>34</v>
      </c>
      <c r="B1809" s="15" t="s">
        <v>35</v>
      </c>
      <c r="C1809" s="15" t="s">
        <v>187</v>
      </c>
      <c r="D1809" s="15" t="s">
        <v>208</v>
      </c>
      <c r="E1809" s="15" t="s">
        <v>2455</v>
      </c>
      <c r="F1809" s="15" t="s">
        <v>2455</v>
      </c>
      <c r="G1809" s="15" t="s">
        <v>2455</v>
      </c>
      <c r="H1809" s="139"/>
      <c r="I1809" s="3" t="s">
        <v>2374</v>
      </c>
      <c r="J1809" s="1" t="s">
        <v>3322</v>
      </c>
      <c r="K1809" s="1" t="s">
        <v>3269</v>
      </c>
      <c r="L1809" s="1" t="s">
        <v>35</v>
      </c>
      <c r="M1809" s="15" t="s">
        <v>2438</v>
      </c>
      <c r="N1809" s="15"/>
      <c r="O1809" s="8" t="s">
        <v>45</v>
      </c>
      <c r="P1809" s="8" t="s">
        <v>46</v>
      </c>
      <c r="Q1809" s="9">
        <v>0.05</v>
      </c>
      <c r="R1809" s="138"/>
      <c r="T1809" s="18">
        <v>-830131.6571000003</v>
      </c>
      <c r="U1809" s="4">
        <v>0</v>
      </c>
      <c r="V1809" s="4">
        <v>0</v>
      </c>
      <c r="W1809" s="13">
        <f t="shared" si="264"/>
        <v>-830131.6571000003</v>
      </c>
      <c r="X1809" s="13">
        <f t="shared" si="265"/>
        <v>0</v>
      </c>
      <c r="Y1809" s="13">
        <f t="shared" si="267"/>
        <v>0</v>
      </c>
      <c r="Z1809" s="2">
        <v>0</v>
      </c>
      <c r="AA1809" s="4">
        <v>0</v>
      </c>
      <c r="AB1809" s="4">
        <f t="shared" si="268"/>
        <v>0</v>
      </c>
      <c r="AC1809" s="6">
        <f t="shared" si="269"/>
        <v>0</v>
      </c>
      <c r="AD1809" s="4">
        <v>0</v>
      </c>
      <c r="AE1809" s="2">
        <v>0.06</v>
      </c>
      <c r="AF1809" s="5">
        <f t="shared" si="270"/>
        <v>0</v>
      </c>
      <c r="AG1809" s="9">
        <v>0.37</v>
      </c>
      <c r="AH1809" s="4">
        <f t="shared" si="266"/>
        <v>0</v>
      </c>
      <c r="AJ1809" s="126" t="e">
        <v>#N/A</v>
      </c>
      <c r="AK1809" s="80">
        <f t="shared" si="271"/>
        <v>0</v>
      </c>
      <c r="AM1809" s="85"/>
    </row>
    <row r="1810" spans="1:39" hidden="1" x14ac:dyDescent="0.3">
      <c r="A1810" s="85" t="s">
        <v>34</v>
      </c>
      <c r="B1810" s="15" t="s">
        <v>35</v>
      </c>
      <c r="C1810" s="15" t="s">
        <v>187</v>
      </c>
      <c r="D1810" s="15" t="s">
        <v>208</v>
      </c>
      <c r="E1810" s="15" t="s">
        <v>2455</v>
      </c>
      <c r="F1810" s="15" t="s">
        <v>2455</v>
      </c>
      <c r="G1810" s="15" t="s">
        <v>2455</v>
      </c>
      <c r="H1810" s="154"/>
      <c r="I1810" s="3" t="s">
        <v>2374</v>
      </c>
      <c r="J1810" s="1" t="s">
        <v>3322</v>
      </c>
      <c r="K1810" s="1" t="s">
        <v>3269</v>
      </c>
      <c r="L1810" s="1" t="s">
        <v>35</v>
      </c>
      <c r="M1810" s="15" t="s">
        <v>2438</v>
      </c>
      <c r="N1810" s="15"/>
      <c r="O1810" s="8" t="s">
        <v>40</v>
      </c>
      <c r="P1810" s="8" t="s">
        <v>46</v>
      </c>
      <c r="Q1810" s="9">
        <v>0.05</v>
      </c>
      <c r="R1810" s="138"/>
      <c r="T1810" s="18">
        <v>242287.05800000019</v>
      </c>
      <c r="U1810" s="4">
        <v>0</v>
      </c>
      <c r="V1810" s="18">
        <v>242287.05800000019</v>
      </c>
      <c r="W1810" s="13">
        <f t="shared" si="264"/>
        <v>0</v>
      </c>
      <c r="X1810" s="13">
        <f t="shared" si="265"/>
        <v>167094.52275862079</v>
      </c>
      <c r="Y1810" s="13">
        <f t="shared" si="267"/>
        <v>167094.52275862079</v>
      </c>
      <c r="Z1810" s="2">
        <v>0</v>
      </c>
      <c r="AA1810" s="4">
        <v>0</v>
      </c>
      <c r="AB1810" s="4">
        <f t="shared" si="268"/>
        <v>167094.52275862079</v>
      </c>
      <c r="AC1810" s="6">
        <f t="shared" si="269"/>
        <v>75192.535241379403</v>
      </c>
      <c r="AD1810" s="4">
        <v>0</v>
      </c>
      <c r="AE1810" s="2">
        <v>7.0000000000000007E-2</v>
      </c>
      <c r="AF1810" s="5">
        <f t="shared" si="270"/>
        <v>0</v>
      </c>
      <c r="AG1810" s="9">
        <v>0.4</v>
      </c>
      <c r="AH1810" s="4">
        <f t="shared" si="266"/>
        <v>173062.18428571444</v>
      </c>
      <c r="AJ1810" s="126" t="e">
        <v>#N/A</v>
      </c>
      <c r="AK1810" s="80">
        <f t="shared" si="271"/>
        <v>0</v>
      </c>
      <c r="AM1810" s="85"/>
    </row>
    <row r="1811" spans="1:39" hidden="1" x14ac:dyDescent="0.3">
      <c r="A1811" s="85" t="s">
        <v>34</v>
      </c>
      <c r="B1811" s="15" t="s">
        <v>35</v>
      </c>
      <c r="C1811" s="15" t="s">
        <v>187</v>
      </c>
      <c r="D1811" s="15" t="s">
        <v>208</v>
      </c>
      <c r="E1811" s="15" t="s">
        <v>293</v>
      </c>
      <c r="F1811" s="15" t="s">
        <v>293</v>
      </c>
      <c r="G1811" s="15" t="s">
        <v>293</v>
      </c>
      <c r="H1811" s="154"/>
      <c r="I1811" s="3" t="s">
        <v>2374</v>
      </c>
      <c r="J1811" s="1" t="s">
        <v>3322</v>
      </c>
      <c r="K1811" s="1" t="s">
        <v>3269</v>
      </c>
      <c r="L1811" s="1" t="s">
        <v>35</v>
      </c>
      <c r="M1811" s="15" t="s">
        <v>2438</v>
      </c>
      <c r="N1811" s="15"/>
      <c r="O1811" s="8" t="s">
        <v>45</v>
      </c>
      <c r="P1811" s="8" t="s">
        <v>46</v>
      </c>
      <c r="Q1811" s="9">
        <v>0.03</v>
      </c>
      <c r="R1811" s="138"/>
      <c r="T1811" s="18">
        <v>14349.007799999996</v>
      </c>
      <c r="U1811" s="4">
        <v>0</v>
      </c>
      <c r="V1811" s="4">
        <v>4367.43</v>
      </c>
      <c r="W1811" s="13">
        <f t="shared" si="264"/>
        <v>9981.5777999999955</v>
      </c>
      <c r="X1811" s="13">
        <f t="shared" si="265"/>
        <v>3119.5928571428576</v>
      </c>
      <c r="Y1811" s="13">
        <f t="shared" si="267"/>
        <v>0</v>
      </c>
      <c r="Z1811" s="2">
        <v>0</v>
      </c>
      <c r="AA1811" s="4">
        <v>0</v>
      </c>
      <c r="AB1811" s="4">
        <f t="shared" si="268"/>
        <v>3119.5928571428576</v>
      </c>
      <c r="AC1811" s="6">
        <f t="shared" si="269"/>
        <v>1247.8371428571427</v>
      </c>
      <c r="AD1811" s="4">
        <v>3187.8799999999987</v>
      </c>
      <c r="AE1811" s="2">
        <v>0.06</v>
      </c>
      <c r="AF1811" s="5">
        <f t="shared" si="270"/>
        <v>191.2727999999999</v>
      </c>
      <c r="AG1811" s="9">
        <v>0.37</v>
      </c>
      <c r="AH1811" s="4">
        <f t="shared" si="266"/>
        <v>3187.905109489051</v>
      </c>
      <c r="AJ1811" s="126" t="e">
        <v>#N/A</v>
      </c>
      <c r="AK1811" s="80">
        <f t="shared" si="271"/>
        <v>0</v>
      </c>
      <c r="AM1811" s="85"/>
    </row>
    <row r="1812" spans="1:39" hidden="1" x14ac:dyDescent="0.3">
      <c r="A1812" s="85" t="s">
        <v>34</v>
      </c>
      <c r="B1812" s="15" t="s">
        <v>35</v>
      </c>
      <c r="C1812" s="15" t="s">
        <v>187</v>
      </c>
      <c r="D1812" s="15" t="s">
        <v>208</v>
      </c>
      <c r="E1812" s="15" t="s">
        <v>2490</v>
      </c>
      <c r="F1812" s="15" t="s">
        <v>2490</v>
      </c>
      <c r="G1812" s="15" t="s">
        <v>2490</v>
      </c>
      <c r="H1812" s="154"/>
      <c r="I1812" s="3" t="s">
        <v>2374</v>
      </c>
      <c r="J1812" s="1" t="s">
        <v>3322</v>
      </c>
      <c r="K1812" s="1" t="s">
        <v>3269</v>
      </c>
      <c r="L1812" s="1" t="s">
        <v>35</v>
      </c>
      <c r="M1812" s="15" t="s">
        <v>2438</v>
      </c>
      <c r="N1812" s="15"/>
      <c r="O1812" s="8" t="s">
        <v>45</v>
      </c>
      <c r="P1812" s="8" t="s">
        <v>46</v>
      </c>
      <c r="Q1812" s="9">
        <v>0.08</v>
      </c>
      <c r="R1812" s="138"/>
      <c r="T1812" s="18">
        <v>3491.2695000000008</v>
      </c>
      <c r="U1812" s="4">
        <v>0</v>
      </c>
      <c r="V1812" s="4">
        <v>436.23999999999995</v>
      </c>
      <c r="W1812" s="13">
        <f t="shared" si="264"/>
        <v>3055.029500000001</v>
      </c>
      <c r="X1812" s="13">
        <f t="shared" si="265"/>
        <v>300.85517241379301</v>
      </c>
      <c r="Y1812" s="13">
        <f t="shared" si="267"/>
        <v>0</v>
      </c>
      <c r="Z1812" s="2">
        <v>0</v>
      </c>
      <c r="AA1812" s="4">
        <v>0</v>
      </c>
      <c r="AB1812" s="4">
        <f t="shared" si="268"/>
        <v>300.85517241379301</v>
      </c>
      <c r="AC1812" s="6">
        <f t="shared" si="269"/>
        <v>135.38482758620694</v>
      </c>
      <c r="AD1812" s="4">
        <v>318.43</v>
      </c>
      <c r="AE1812" s="2">
        <v>0.06</v>
      </c>
      <c r="AF1812" s="5">
        <f t="shared" si="270"/>
        <v>19.105799999999999</v>
      </c>
      <c r="AG1812" s="9">
        <v>0.37</v>
      </c>
      <c r="AH1812" s="4">
        <f t="shared" si="266"/>
        <v>318.42335766423349</v>
      </c>
      <c r="AJ1812" s="126" t="e">
        <v>#N/A</v>
      </c>
      <c r="AK1812" s="80">
        <f t="shared" si="271"/>
        <v>0</v>
      </c>
      <c r="AM1812" s="85"/>
    </row>
    <row r="1813" spans="1:39" hidden="1" x14ac:dyDescent="0.3">
      <c r="A1813" s="85" t="s">
        <v>34</v>
      </c>
      <c r="B1813" s="15" t="s">
        <v>35</v>
      </c>
      <c r="C1813" s="15" t="s">
        <v>59</v>
      </c>
      <c r="D1813" s="15" t="s">
        <v>60</v>
      </c>
      <c r="E1813" s="15" t="s">
        <v>2491</v>
      </c>
      <c r="F1813" s="15" t="s">
        <v>2492</v>
      </c>
      <c r="G1813" s="15" t="s">
        <v>2491</v>
      </c>
      <c r="H1813" s="139"/>
      <c r="I1813" s="3" t="s">
        <v>2374</v>
      </c>
      <c r="J1813" s="1" t="s">
        <v>3322</v>
      </c>
      <c r="K1813" s="1" t="s">
        <v>3269</v>
      </c>
      <c r="L1813" s="1" t="s">
        <v>35</v>
      </c>
      <c r="M1813" s="15" t="s">
        <v>2493</v>
      </c>
      <c r="N1813" s="15"/>
      <c r="O1813" s="8" t="s">
        <v>45</v>
      </c>
      <c r="P1813" s="8" t="s">
        <v>46</v>
      </c>
      <c r="Q1813" s="9">
        <v>0.04</v>
      </c>
      <c r="R1813" s="138"/>
      <c r="T1813" s="18">
        <v>-1.0999999999985448</v>
      </c>
      <c r="U1813" s="4">
        <v>0</v>
      </c>
      <c r="V1813" s="4">
        <v>0</v>
      </c>
      <c r="W1813" s="13">
        <f t="shared" si="264"/>
        <v>-1.0999999999985448</v>
      </c>
      <c r="X1813" s="13">
        <f t="shared" si="265"/>
        <v>0</v>
      </c>
      <c r="Y1813" s="13">
        <f t="shared" si="267"/>
        <v>0</v>
      </c>
      <c r="Z1813" s="2">
        <v>0</v>
      </c>
      <c r="AA1813" s="4">
        <v>0</v>
      </c>
      <c r="AB1813" s="4">
        <f t="shared" si="268"/>
        <v>0</v>
      </c>
      <c r="AC1813" s="6">
        <f t="shared" si="269"/>
        <v>0</v>
      </c>
      <c r="AD1813" s="4">
        <v>0</v>
      </c>
      <c r="AE1813" s="2">
        <v>0.06</v>
      </c>
      <c r="AF1813" s="5">
        <f t="shared" si="270"/>
        <v>0</v>
      </c>
      <c r="AG1813" s="9">
        <v>0</v>
      </c>
      <c r="AH1813" s="4">
        <f t="shared" si="266"/>
        <v>0</v>
      </c>
      <c r="AJ1813" s="126" t="e">
        <v>#N/A</v>
      </c>
      <c r="AK1813" s="80">
        <f t="shared" si="271"/>
        <v>0</v>
      </c>
      <c r="AM1813" s="85"/>
    </row>
    <row r="1814" spans="1:39" hidden="1" x14ac:dyDescent="0.3">
      <c r="A1814" s="85" t="s">
        <v>34</v>
      </c>
      <c r="B1814" s="15" t="s">
        <v>35</v>
      </c>
      <c r="C1814" s="15" t="s">
        <v>65</v>
      </c>
      <c r="D1814" s="15" t="s">
        <v>2494</v>
      </c>
      <c r="E1814" s="15" t="s">
        <v>2385</v>
      </c>
      <c r="F1814" s="15" t="s">
        <v>2385</v>
      </c>
      <c r="G1814" s="15" t="s">
        <v>2385</v>
      </c>
      <c r="H1814" s="139"/>
      <c r="I1814" s="3" t="s">
        <v>2374</v>
      </c>
      <c r="J1814" s="1" t="s">
        <v>3322</v>
      </c>
      <c r="K1814" s="1" t="s">
        <v>3269</v>
      </c>
      <c r="L1814" s="1" t="s">
        <v>35</v>
      </c>
      <c r="M1814" s="15" t="s">
        <v>2385</v>
      </c>
      <c r="N1814" s="15"/>
      <c r="O1814" s="8" t="s">
        <v>410</v>
      </c>
      <c r="P1814" s="8" t="s">
        <v>46</v>
      </c>
      <c r="Q1814" s="9">
        <v>0.03</v>
      </c>
      <c r="R1814" s="138"/>
      <c r="T1814" s="18">
        <v>1.4300000000033322</v>
      </c>
      <c r="U1814" s="4">
        <v>0</v>
      </c>
      <c r="V1814" s="4">
        <v>0</v>
      </c>
      <c r="W1814" s="13">
        <f t="shared" si="264"/>
        <v>1.4300000000033322</v>
      </c>
      <c r="X1814" s="13">
        <f t="shared" si="265"/>
        <v>0</v>
      </c>
      <c r="Y1814" s="13">
        <f t="shared" si="267"/>
        <v>0</v>
      </c>
      <c r="Z1814" s="2">
        <v>0</v>
      </c>
      <c r="AA1814" s="4">
        <v>0</v>
      </c>
      <c r="AB1814" s="4">
        <f t="shared" si="268"/>
        <v>0</v>
      </c>
      <c r="AC1814" s="6">
        <f t="shared" si="269"/>
        <v>0</v>
      </c>
      <c r="AD1814" s="4">
        <v>0</v>
      </c>
      <c r="AE1814" s="2">
        <v>0</v>
      </c>
      <c r="AF1814" s="5">
        <f t="shared" si="270"/>
        <v>0</v>
      </c>
      <c r="AG1814" s="9">
        <v>0</v>
      </c>
      <c r="AH1814" s="4">
        <f t="shared" si="266"/>
        <v>0</v>
      </c>
      <c r="AJ1814" s="126" t="e">
        <v>#N/A</v>
      </c>
      <c r="AK1814" s="80">
        <f t="shared" si="271"/>
        <v>0</v>
      </c>
      <c r="AM1814" s="85"/>
    </row>
    <row r="1815" spans="1:39" hidden="1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127</v>
      </c>
      <c r="F1815" s="15" t="s">
        <v>127</v>
      </c>
      <c r="G1815" s="15" t="s">
        <v>127</v>
      </c>
      <c r="H1815" s="139"/>
      <c r="I1815" s="3" t="s">
        <v>2374</v>
      </c>
      <c r="J1815" s="1" t="s">
        <v>3322</v>
      </c>
      <c r="K1815" s="1" t="s">
        <v>3269</v>
      </c>
      <c r="L1815" s="1" t="s">
        <v>35</v>
      </c>
      <c r="M1815" s="15" t="s">
        <v>127</v>
      </c>
      <c r="N1815" s="15"/>
      <c r="O1815" s="8" t="s">
        <v>40</v>
      </c>
      <c r="P1815" s="8" t="s">
        <v>46</v>
      </c>
      <c r="Q1815" s="9">
        <v>0.05</v>
      </c>
      <c r="R1815" s="138"/>
      <c r="T1815" s="18">
        <v>-1.2399999999615829E-2</v>
      </c>
      <c r="U1815" s="4">
        <v>0</v>
      </c>
      <c r="V1815" s="4">
        <v>0</v>
      </c>
      <c r="W1815" s="13">
        <f t="shared" si="264"/>
        <v>-1.2399999999615829E-2</v>
      </c>
      <c r="X1815" s="13">
        <f t="shared" si="265"/>
        <v>0</v>
      </c>
      <c r="Y1815" s="13">
        <f t="shared" si="267"/>
        <v>0</v>
      </c>
      <c r="Z1815" s="2">
        <v>0</v>
      </c>
      <c r="AA1815" s="4">
        <v>0</v>
      </c>
      <c r="AB1815" s="4">
        <f t="shared" si="268"/>
        <v>0</v>
      </c>
      <c r="AC1815" s="6">
        <f t="shared" si="269"/>
        <v>0</v>
      </c>
      <c r="AD1815" s="4">
        <v>0</v>
      </c>
      <c r="AE1815" s="2">
        <v>7.0000000000000007E-2</v>
      </c>
      <c r="AF1815" s="5">
        <f t="shared" si="270"/>
        <v>0</v>
      </c>
      <c r="AG1815" s="9">
        <v>0.28000000000000003</v>
      </c>
      <c r="AH1815" s="4">
        <f t="shared" si="266"/>
        <v>0</v>
      </c>
      <c r="AJ1815" s="126" t="e">
        <v>#N/A</v>
      </c>
      <c r="AK1815" s="80">
        <f t="shared" si="271"/>
        <v>0</v>
      </c>
      <c r="AM1815" s="85"/>
    </row>
    <row r="1816" spans="1:39" hidden="1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2393</v>
      </c>
      <c r="F1816" s="15" t="s">
        <v>2394</v>
      </c>
      <c r="G1816" s="15" t="s">
        <v>2393</v>
      </c>
      <c r="H1816" s="139"/>
      <c r="I1816" s="3" t="s">
        <v>2374</v>
      </c>
      <c r="J1816" s="1" t="s">
        <v>3322</v>
      </c>
      <c r="K1816" s="1" t="s">
        <v>3269</v>
      </c>
      <c r="L1816" s="1" t="s">
        <v>35</v>
      </c>
      <c r="M1816" s="15" t="s">
        <v>2408</v>
      </c>
      <c r="N1816" s="15"/>
      <c r="O1816" s="8" t="s">
        <v>40</v>
      </c>
      <c r="P1816" s="8" t="s">
        <v>46</v>
      </c>
      <c r="Q1816" s="9">
        <v>5.5E-2</v>
      </c>
      <c r="R1816" s="138"/>
      <c r="T1816" s="18">
        <v>0</v>
      </c>
      <c r="U1816" s="4">
        <v>0</v>
      </c>
      <c r="V1816" s="4">
        <v>0</v>
      </c>
      <c r="W1816" s="13">
        <f t="shared" si="264"/>
        <v>0</v>
      </c>
      <c r="X1816" s="13">
        <f t="shared" si="265"/>
        <v>0</v>
      </c>
      <c r="Y1816" s="13">
        <f t="shared" si="267"/>
        <v>0</v>
      </c>
      <c r="Z1816" s="2">
        <v>0</v>
      </c>
      <c r="AA1816" s="4">
        <v>0</v>
      </c>
      <c r="AB1816" s="4">
        <f t="shared" si="268"/>
        <v>0</v>
      </c>
      <c r="AC1816" s="6">
        <f t="shared" si="269"/>
        <v>0</v>
      </c>
      <c r="AD1816" s="4">
        <v>0</v>
      </c>
      <c r="AE1816" s="2">
        <v>7.0000000000000007E-2</v>
      </c>
      <c r="AF1816" s="5">
        <f t="shared" si="270"/>
        <v>0</v>
      </c>
      <c r="AG1816" s="9">
        <v>0</v>
      </c>
      <c r="AH1816" s="4">
        <f t="shared" si="266"/>
        <v>0</v>
      </c>
      <c r="AJ1816" s="126" t="e">
        <v>#N/A</v>
      </c>
      <c r="AK1816" s="80">
        <f t="shared" si="271"/>
        <v>0</v>
      </c>
      <c r="AM1816" s="85"/>
    </row>
    <row r="1817" spans="1:39" hidden="1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2393</v>
      </c>
      <c r="F1817" s="15" t="s">
        <v>2394</v>
      </c>
      <c r="G1817" s="15" t="s">
        <v>2393</v>
      </c>
      <c r="H1817" s="139"/>
      <c r="I1817" s="3" t="s">
        <v>2374</v>
      </c>
      <c r="J1817" s="1" t="s">
        <v>3322</v>
      </c>
      <c r="K1817" s="1" t="s">
        <v>3269</v>
      </c>
      <c r="L1817" s="1" t="s">
        <v>35</v>
      </c>
      <c r="M1817" s="15" t="s">
        <v>2404</v>
      </c>
      <c r="N1817" s="15"/>
      <c r="O1817" s="8" t="s">
        <v>45</v>
      </c>
      <c r="P1817" s="8" t="s">
        <v>46</v>
      </c>
      <c r="Q1817" s="9">
        <v>5.5E-2</v>
      </c>
      <c r="R1817" s="138"/>
      <c r="T1817" s="18">
        <v>212325.64000000028</v>
      </c>
      <c r="U1817" s="4">
        <v>0</v>
      </c>
      <c r="V1817" s="4">
        <v>0</v>
      </c>
      <c r="W1817" s="13">
        <f t="shared" si="264"/>
        <v>212325.64000000028</v>
      </c>
      <c r="X1817" s="13">
        <f t="shared" si="265"/>
        <v>0</v>
      </c>
      <c r="Y1817" s="13">
        <f t="shared" si="267"/>
        <v>0</v>
      </c>
      <c r="Z1817" s="2">
        <v>0</v>
      </c>
      <c r="AA1817" s="4">
        <v>0</v>
      </c>
      <c r="AB1817" s="4">
        <f t="shared" si="268"/>
        <v>0</v>
      </c>
      <c r="AC1817" s="6">
        <f t="shared" si="269"/>
        <v>0</v>
      </c>
      <c r="AD1817" s="4">
        <v>0</v>
      </c>
      <c r="AE1817" s="2">
        <v>0.06</v>
      </c>
      <c r="AF1817" s="5">
        <f t="shared" si="270"/>
        <v>0</v>
      </c>
      <c r="AG1817" s="9">
        <v>0</v>
      </c>
      <c r="AH1817" s="4">
        <f t="shared" si="266"/>
        <v>0</v>
      </c>
      <c r="AJ1817" s="126" t="e">
        <v>#N/A</v>
      </c>
      <c r="AK1817" s="80">
        <f t="shared" si="271"/>
        <v>0</v>
      </c>
      <c r="AM1817" s="85"/>
    </row>
    <row r="1818" spans="1:39" hidden="1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2393</v>
      </c>
      <c r="F1818" s="15" t="s">
        <v>2394</v>
      </c>
      <c r="G1818" s="15" t="s">
        <v>2393</v>
      </c>
      <c r="H1818" s="139"/>
      <c r="I1818" s="3" t="s">
        <v>2374</v>
      </c>
      <c r="J1818" s="1" t="s">
        <v>3322</v>
      </c>
      <c r="K1818" s="1" t="s">
        <v>3269</v>
      </c>
      <c r="L1818" s="1" t="s">
        <v>35</v>
      </c>
      <c r="M1818" s="15" t="s">
        <v>2404</v>
      </c>
      <c r="N1818" s="15"/>
      <c r="O1818" s="8" t="s">
        <v>40</v>
      </c>
      <c r="P1818" s="8" t="s">
        <v>46</v>
      </c>
      <c r="Q1818" s="9">
        <v>5.5E-2</v>
      </c>
      <c r="R1818" s="138"/>
      <c r="T1818" s="18">
        <v>100.0299999998897</v>
      </c>
      <c r="U1818" s="4">
        <v>0</v>
      </c>
      <c r="V1818" s="4">
        <v>0</v>
      </c>
      <c r="W1818" s="13">
        <f t="shared" si="264"/>
        <v>100.0299999998897</v>
      </c>
      <c r="X1818" s="13">
        <f t="shared" si="265"/>
        <v>0</v>
      </c>
      <c r="Y1818" s="13">
        <f t="shared" si="267"/>
        <v>0</v>
      </c>
      <c r="Z1818" s="2">
        <v>0</v>
      </c>
      <c r="AA1818" s="4">
        <v>0</v>
      </c>
      <c r="AB1818" s="4">
        <f t="shared" si="268"/>
        <v>0</v>
      </c>
      <c r="AC1818" s="6">
        <f t="shared" si="269"/>
        <v>0</v>
      </c>
      <c r="AD1818" s="4">
        <v>0</v>
      </c>
      <c r="AE1818" s="2">
        <v>7.0000000000000007E-2</v>
      </c>
      <c r="AF1818" s="5">
        <f t="shared" si="270"/>
        <v>0</v>
      </c>
      <c r="AG1818" s="9">
        <v>0</v>
      </c>
      <c r="AH1818" s="4">
        <f t="shared" si="266"/>
        <v>0</v>
      </c>
      <c r="AJ1818" s="126" t="e">
        <v>#N/A</v>
      </c>
      <c r="AK1818" s="80">
        <f t="shared" si="271"/>
        <v>0</v>
      </c>
      <c r="AM1818" s="85"/>
    </row>
    <row r="1819" spans="1:39" hidden="1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2393</v>
      </c>
      <c r="F1819" s="15" t="s">
        <v>2403</v>
      </c>
      <c r="G1819" s="15" t="s">
        <v>2393</v>
      </c>
      <c r="H1819" s="139"/>
      <c r="I1819" s="3" t="s">
        <v>2374</v>
      </c>
      <c r="J1819" s="1" t="s">
        <v>3322</v>
      </c>
      <c r="K1819" s="1" t="s">
        <v>3269</v>
      </c>
      <c r="L1819" s="1" t="s">
        <v>35</v>
      </c>
      <c r="M1819" s="15" t="s">
        <v>2404</v>
      </c>
      <c r="N1819" s="15"/>
      <c r="O1819" s="8" t="s">
        <v>40</v>
      </c>
      <c r="P1819" s="8" t="s">
        <v>46</v>
      </c>
      <c r="Q1819" s="9">
        <v>5.5E-2</v>
      </c>
      <c r="R1819" s="138"/>
      <c r="T1819" s="18">
        <v>2872380.838</v>
      </c>
      <c r="U1819" s="4">
        <v>0</v>
      </c>
      <c r="V1819" s="4">
        <v>0</v>
      </c>
      <c r="W1819" s="13">
        <f t="shared" si="264"/>
        <v>2872380.838</v>
      </c>
      <c r="X1819" s="13">
        <f t="shared" si="265"/>
        <v>0</v>
      </c>
      <c r="Y1819" s="13">
        <f t="shared" si="267"/>
        <v>0</v>
      </c>
      <c r="Z1819" s="2">
        <v>0</v>
      </c>
      <c r="AA1819" s="4">
        <v>0</v>
      </c>
      <c r="AB1819" s="4">
        <f t="shared" si="268"/>
        <v>0</v>
      </c>
      <c r="AC1819" s="6">
        <f t="shared" si="269"/>
        <v>0</v>
      </c>
      <c r="AD1819" s="4">
        <v>0</v>
      </c>
      <c r="AE1819" s="2">
        <v>7.0000000000000007E-2</v>
      </c>
      <c r="AF1819" s="5">
        <f t="shared" si="270"/>
        <v>0</v>
      </c>
      <c r="AG1819" s="9">
        <v>0.24</v>
      </c>
      <c r="AH1819" s="4">
        <f t="shared" si="266"/>
        <v>0</v>
      </c>
      <c r="AJ1819" s="126" t="e">
        <v>#N/A</v>
      </c>
      <c r="AK1819" s="80">
        <f t="shared" si="271"/>
        <v>0</v>
      </c>
      <c r="AM1819" s="85"/>
    </row>
    <row r="1820" spans="1:39" hidden="1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2393</v>
      </c>
      <c r="F1820" s="15" t="s">
        <v>2407</v>
      </c>
      <c r="G1820" s="15" t="s">
        <v>2393</v>
      </c>
      <c r="H1820" s="139"/>
      <c r="I1820" s="3" t="s">
        <v>2374</v>
      </c>
      <c r="J1820" s="1" t="s">
        <v>3322</v>
      </c>
      <c r="K1820" s="1" t="s">
        <v>3269</v>
      </c>
      <c r="L1820" s="1" t="s">
        <v>35</v>
      </c>
      <c r="M1820" s="15" t="s">
        <v>2408</v>
      </c>
      <c r="N1820" s="15"/>
      <c r="O1820" s="8" t="s">
        <v>45</v>
      </c>
      <c r="P1820" s="8" t="s">
        <v>46</v>
      </c>
      <c r="Q1820" s="9">
        <v>5.5E-2</v>
      </c>
      <c r="R1820" s="138"/>
      <c r="T1820" s="18">
        <v>0</v>
      </c>
      <c r="U1820" s="4">
        <v>0</v>
      </c>
      <c r="V1820" s="4">
        <v>0</v>
      </c>
      <c r="W1820" s="13">
        <f t="shared" si="264"/>
        <v>0</v>
      </c>
      <c r="X1820" s="13">
        <f t="shared" si="265"/>
        <v>0</v>
      </c>
      <c r="Y1820" s="13">
        <f t="shared" si="267"/>
        <v>0</v>
      </c>
      <c r="Z1820" s="2">
        <v>0</v>
      </c>
      <c r="AA1820" s="4">
        <v>0</v>
      </c>
      <c r="AB1820" s="4">
        <f t="shared" si="268"/>
        <v>0</v>
      </c>
      <c r="AC1820" s="6">
        <f t="shared" si="269"/>
        <v>0</v>
      </c>
      <c r="AD1820" s="4">
        <v>0</v>
      </c>
      <c r="AE1820" s="2">
        <v>0.06</v>
      </c>
      <c r="AF1820" s="5">
        <f t="shared" si="270"/>
        <v>0</v>
      </c>
      <c r="AG1820" s="9">
        <v>0.06</v>
      </c>
      <c r="AH1820" s="4">
        <f t="shared" si="266"/>
        <v>0</v>
      </c>
      <c r="AJ1820" s="126" t="e">
        <v>#N/A</v>
      </c>
      <c r="AK1820" s="80">
        <f t="shared" si="271"/>
        <v>0</v>
      </c>
      <c r="AM1820" s="85"/>
    </row>
    <row r="1821" spans="1:39" hidden="1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2409</v>
      </c>
      <c r="F1821" s="15" t="s">
        <v>2416</v>
      </c>
      <c r="G1821" s="15" t="s">
        <v>2409</v>
      </c>
      <c r="H1821" s="139"/>
      <c r="I1821" s="3" t="s">
        <v>2374</v>
      </c>
      <c r="J1821" s="1" t="s">
        <v>3322</v>
      </c>
      <c r="K1821" s="1" t="s">
        <v>3269</v>
      </c>
      <c r="L1821" s="1" t="s">
        <v>35</v>
      </c>
      <c r="M1821" s="15" t="s">
        <v>2417</v>
      </c>
      <c r="N1821" s="15"/>
      <c r="O1821" s="8" t="s">
        <v>45</v>
      </c>
      <c r="P1821" s="8" t="s">
        <v>46</v>
      </c>
      <c r="Q1821" s="9">
        <v>5.5E-2</v>
      </c>
      <c r="R1821" s="138"/>
      <c r="T1821" s="18">
        <v>-66434.08500000037</v>
      </c>
      <c r="U1821" s="4">
        <v>0</v>
      </c>
      <c r="V1821" s="4">
        <v>0</v>
      </c>
      <c r="W1821" s="13">
        <f t="shared" si="264"/>
        <v>-66434.08500000037</v>
      </c>
      <c r="X1821" s="13">
        <f t="shared" si="265"/>
        <v>0</v>
      </c>
      <c r="Y1821" s="13">
        <f t="shared" si="267"/>
        <v>0</v>
      </c>
      <c r="Z1821" s="2">
        <v>0</v>
      </c>
      <c r="AA1821" s="4">
        <v>0</v>
      </c>
      <c r="AB1821" s="4">
        <f t="shared" si="268"/>
        <v>0</v>
      </c>
      <c r="AC1821" s="6">
        <f t="shared" si="269"/>
        <v>0</v>
      </c>
      <c r="AD1821" s="4">
        <v>0</v>
      </c>
      <c r="AE1821" s="2">
        <v>0.06</v>
      </c>
      <c r="AF1821" s="5">
        <f t="shared" si="270"/>
        <v>0</v>
      </c>
      <c r="AG1821" s="9">
        <v>0.1</v>
      </c>
      <c r="AH1821" s="4">
        <f t="shared" si="266"/>
        <v>0</v>
      </c>
      <c r="AJ1821" s="126" t="e">
        <v>#N/A</v>
      </c>
      <c r="AK1821" s="80">
        <f t="shared" si="271"/>
        <v>0</v>
      </c>
      <c r="AM1821" s="85"/>
    </row>
    <row r="1822" spans="1:39" hidden="1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2409</v>
      </c>
      <c r="F1822" s="15" t="s">
        <v>2416</v>
      </c>
      <c r="G1822" s="15" t="s">
        <v>2409</v>
      </c>
      <c r="H1822" s="139"/>
      <c r="I1822" s="3" t="s">
        <v>2374</v>
      </c>
      <c r="J1822" s="1" t="s">
        <v>3322</v>
      </c>
      <c r="K1822" s="1" t="s">
        <v>3269</v>
      </c>
      <c r="L1822" s="1" t="s">
        <v>35</v>
      </c>
      <c r="M1822" s="15" t="s">
        <v>2417</v>
      </c>
      <c r="N1822" s="15"/>
      <c r="O1822" s="8" t="s">
        <v>410</v>
      </c>
      <c r="P1822" s="8" t="s">
        <v>46</v>
      </c>
      <c r="Q1822" s="9">
        <v>5.5E-2</v>
      </c>
      <c r="R1822" s="138"/>
      <c r="T1822" s="18">
        <v>-5.0000000337604433E-3</v>
      </c>
      <c r="U1822" s="4">
        <v>0</v>
      </c>
      <c r="V1822" s="4">
        <v>0</v>
      </c>
      <c r="W1822" s="13">
        <f t="shared" si="264"/>
        <v>-5.0000000337604433E-3</v>
      </c>
      <c r="X1822" s="13">
        <f t="shared" si="265"/>
        <v>0</v>
      </c>
      <c r="Y1822" s="13">
        <f t="shared" si="267"/>
        <v>0</v>
      </c>
      <c r="Z1822" s="2">
        <v>0</v>
      </c>
      <c r="AA1822" s="4">
        <v>0</v>
      </c>
      <c r="AB1822" s="4">
        <f t="shared" si="268"/>
        <v>0</v>
      </c>
      <c r="AC1822" s="6">
        <f t="shared" si="269"/>
        <v>0</v>
      </c>
      <c r="AD1822" s="4">
        <v>0</v>
      </c>
      <c r="AE1822" s="2">
        <v>0</v>
      </c>
      <c r="AF1822" s="5">
        <f t="shared" si="270"/>
        <v>0</v>
      </c>
      <c r="AG1822" s="9">
        <v>0.1</v>
      </c>
      <c r="AH1822" s="4">
        <f t="shared" si="266"/>
        <v>0</v>
      </c>
      <c r="AJ1822" s="126" t="e">
        <v>#N/A</v>
      </c>
      <c r="AK1822" s="80">
        <f t="shared" si="271"/>
        <v>0</v>
      </c>
      <c r="AM1822" s="85"/>
    </row>
    <row r="1823" spans="1:39" hidden="1" x14ac:dyDescent="0.3">
      <c r="A1823" s="85" t="s">
        <v>34</v>
      </c>
      <c r="B1823" s="15" t="s">
        <v>35</v>
      </c>
      <c r="C1823" s="15" t="s">
        <v>144</v>
      </c>
      <c r="D1823" s="15" t="s">
        <v>145</v>
      </c>
      <c r="E1823" s="15" t="s">
        <v>236</v>
      </c>
      <c r="F1823" s="15" t="s">
        <v>236</v>
      </c>
      <c r="G1823" s="15" t="s">
        <v>236</v>
      </c>
      <c r="H1823" s="139"/>
      <c r="I1823" s="3" t="s">
        <v>2374</v>
      </c>
      <c r="J1823" s="1" t="s">
        <v>3322</v>
      </c>
      <c r="K1823" s="1" t="s">
        <v>3269</v>
      </c>
      <c r="L1823" s="1" t="s">
        <v>35</v>
      </c>
      <c r="M1823" s="15" t="s">
        <v>2433</v>
      </c>
      <c r="N1823" s="15"/>
      <c r="O1823" s="8" t="s">
        <v>40</v>
      </c>
      <c r="P1823" s="8" t="s">
        <v>46</v>
      </c>
      <c r="Q1823" s="9">
        <v>0.02</v>
      </c>
      <c r="R1823" s="138"/>
      <c r="T1823" s="18">
        <v>-74839.461799999946</v>
      </c>
      <c r="U1823" s="4">
        <v>0</v>
      </c>
      <c r="V1823" s="4">
        <v>0</v>
      </c>
      <c r="W1823" s="13">
        <f t="shared" si="264"/>
        <v>-74839.461799999946</v>
      </c>
      <c r="X1823" s="13">
        <f t="shared" si="265"/>
        <v>0</v>
      </c>
      <c r="Y1823" s="13">
        <f t="shared" si="267"/>
        <v>0</v>
      </c>
      <c r="Z1823" s="2">
        <v>0</v>
      </c>
      <c r="AA1823" s="4">
        <v>0</v>
      </c>
      <c r="AB1823" s="4">
        <f t="shared" si="268"/>
        <v>0</v>
      </c>
      <c r="AC1823" s="6">
        <f t="shared" si="269"/>
        <v>0</v>
      </c>
      <c r="AD1823" s="4">
        <v>0</v>
      </c>
      <c r="AE1823" s="2">
        <v>7.0000000000000007E-2</v>
      </c>
      <c r="AF1823" s="5">
        <f t="shared" si="270"/>
        <v>0</v>
      </c>
      <c r="AG1823" s="9">
        <v>0.38</v>
      </c>
      <c r="AH1823" s="4">
        <f t="shared" si="266"/>
        <v>0</v>
      </c>
      <c r="AJ1823" s="126" t="e">
        <v>#N/A</v>
      </c>
      <c r="AK1823" s="80">
        <f t="shared" si="271"/>
        <v>0</v>
      </c>
      <c r="AM1823" s="85"/>
    </row>
    <row r="1824" spans="1:39" hidden="1" x14ac:dyDescent="0.3">
      <c r="A1824" s="85" t="s">
        <v>34</v>
      </c>
      <c r="B1824" s="15" t="s">
        <v>35</v>
      </c>
      <c r="C1824" s="15" t="s">
        <v>144</v>
      </c>
      <c r="D1824" s="15" t="s">
        <v>145</v>
      </c>
      <c r="E1824" s="15" t="s">
        <v>236</v>
      </c>
      <c r="F1824" s="15" t="s">
        <v>2495</v>
      </c>
      <c r="G1824" s="15" t="s">
        <v>236</v>
      </c>
      <c r="H1824" s="154"/>
      <c r="I1824" s="3" t="s">
        <v>2374</v>
      </c>
      <c r="J1824" s="1" t="s">
        <v>3322</v>
      </c>
      <c r="K1824" s="1" t="s">
        <v>3269</v>
      </c>
      <c r="L1824" s="1" t="s">
        <v>35</v>
      </c>
      <c r="M1824" s="15" t="s">
        <v>2433</v>
      </c>
      <c r="N1824" s="15"/>
      <c r="O1824" s="8" t="s">
        <v>40</v>
      </c>
      <c r="P1824" s="8" t="s">
        <v>46</v>
      </c>
      <c r="Q1824" s="9">
        <v>0.03</v>
      </c>
      <c r="R1824" s="138"/>
      <c r="T1824" s="18">
        <v>43227.206399999988</v>
      </c>
      <c r="U1824" s="4">
        <v>0</v>
      </c>
      <c r="V1824" s="4">
        <v>28387.649999999998</v>
      </c>
      <c r="W1824" s="13">
        <f t="shared" si="264"/>
        <v>14839.55639999999</v>
      </c>
      <c r="X1824" s="13">
        <f t="shared" si="265"/>
        <v>20133.085106382976</v>
      </c>
      <c r="Y1824" s="13">
        <f t="shared" si="267"/>
        <v>20133.085106382976</v>
      </c>
      <c r="Z1824" s="2">
        <v>0</v>
      </c>
      <c r="AA1824" s="4">
        <v>0</v>
      </c>
      <c r="AB1824" s="4">
        <f t="shared" si="268"/>
        <v>20133.085106382976</v>
      </c>
      <c r="AC1824" s="6">
        <f t="shared" si="269"/>
        <v>8254.5648936170219</v>
      </c>
      <c r="AD1824" s="4">
        <v>0</v>
      </c>
      <c r="AE1824" s="2">
        <v>7.0000000000000007E-2</v>
      </c>
      <c r="AF1824" s="5">
        <f t="shared" si="270"/>
        <v>0</v>
      </c>
      <c r="AG1824" s="9">
        <v>0.38</v>
      </c>
      <c r="AH1824" s="4">
        <f t="shared" si="266"/>
        <v>20570.760869565216</v>
      </c>
      <c r="AJ1824" s="126" t="e">
        <v>#N/A</v>
      </c>
      <c r="AK1824" s="80">
        <f t="shared" si="271"/>
        <v>0</v>
      </c>
      <c r="AM1824" s="85"/>
    </row>
    <row r="1825" spans="1:39" hidden="1" x14ac:dyDescent="0.3">
      <c r="A1825" s="85" t="s">
        <v>34</v>
      </c>
      <c r="B1825" s="15" t="s">
        <v>35</v>
      </c>
      <c r="C1825" s="15" t="s">
        <v>144</v>
      </c>
      <c r="D1825" s="15" t="s">
        <v>152</v>
      </c>
      <c r="E1825" s="15" t="s">
        <v>155</v>
      </c>
      <c r="F1825" s="15" t="s">
        <v>1465</v>
      </c>
      <c r="G1825" s="15" t="s">
        <v>155</v>
      </c>
      <c r="H1825" s="154"/>
      <c r="I1825" s="3" t="s">
        <v>2374</v>
      </c>
      <c r="J1825" s="1" t="s">
        <v>3322</v>
      </c>
      <c r="K1825" s="1" t="s">
        <v>3269</v>
      </c>
      <c r="L1825" s="1" t="s">
        <v>35</v>
      </c>
      <c r="M1825" s="15" t="s">
        <v>1466</v>
      </c>
      <c r="N1825" s="15"/>
      <c r="O1825" s="8" t="s">
        <v>40</v>
      </c>
      <c r="P1825" s="8" t="s">
        <v>46</v>
      </c>
      <c r="Q1825" s="9">
        <v>0.04</v>
      </c>
      <c r="R1825" s="138"/>
      <c r="T1825" s="18">
        <v>15250.030000000013</v>
      </c>
      <c r="U1825" s="4">
        <v>0</v>
      </c>
      <c r="V1825" s="4">
        <v>15250.030000000002</v>
      </c>
      <c r="W1825" s="13">
        <f t="shared" si="264"/>
        <v>0</v>
      </c>
      <c r="X1825" s="13">
        <f t="shared" si="265"/>
        <v>14663.490384615387</v>
      </c>
      <c r="Y1825" s="13">
        <f t="shared" si="267"/>
        <v>0</v>
      </c>
      <c r="Z1825" s="2">
        <v>0</v>
      </c>
      <c r="AA1825" s="4">
        <v>0</v>
      </c>
      <c r="AB1825" s="4">
        <f t="shared" si="268"/>
        <v>14663.490384615387</v>
      </c>
      <c r="AC1825" s="6">
        <f t="shared" si="269"/>
        <v>586.5396153846159</v>
      </c>
      <c r="AD1825" s="4">
        <v>15250.030000000002</v>
      </c>
      <c r="AE1825" s="2">
        <v>7.0000000000000007E-2</v>
      </c>
      <c r="AF1825" s="5">
        <f t="shared" si="270"/>
        <v>1067.5021000000004</v>
      </c>
      <c r="AG1825" s="9">
        <v>0</v>
      </c>
      <c r="AH1825" s="4">
        <f t="shared" si="266"/>
        <v>15250.030000000002</v>
      </c>
      <c r="AJ1825" s="126" t="e">
        <v>#N/A</v>
      </c>
      <c r="AK1825" s="80">
        <f t="shared" si="271"/>
        <v>0</v>
      </c>
      <c r="AM1825" s="85"/>
    </row>
    <row r="1826" spans="1:39" hidden="1" x14ac:dyDescent="0.3">
      <c r="A1826" s="85" t="s">
        <v>34</v>
      </c>
      <c r="B1826" s="15" t="s">
        <v>35</v>
      </c>
      <c r="C1826" s="15" t="s">
        <v>53</v>
      </c>
      <c r="D1826" s="15" t="s">
        <v>54</v>
      </c>
      <c r="E1826" s="15" t="s">
        <v>2472</v>
      </c>
      <c r="F1826" s="15" t="s">
        <v>2472</v>
      </c>
      <c r="G1826" s="15" t="s">
        <v>2472</v>
      </c>
      <c r="H1826" s="154"/>
      <c r="I1826" s="3" t="s">
        <v>2374</v>
      </c>
      <c r="J1826" s="1" t="s">
        <v>3322</v>
      </c>
      <c r="K1826" s="1" t="s">
        <v>3269</v>
      </c>
      <c r="L1826" s="1" t="s">
        <v>35</v>
      </c>
      <c r="M1826" s="15" t="s">
        <v>2472</v>
      </c>
      <c r="N1826" s="15"/>
      <c r="O1826" s="8" t="s">
        <v>45</v>
      </c>
      <c r="P1826" s="8" t="s">
        <v>46</v>
      </c>
      <c r="Q1826" s="9">
        <v>0.03</v>
      </c>
      <c r="R1826" s="138"/>
      <c r="T1826" s="18">
        <v>129732.95000000006</v>
      </c>
      <c r="U1826" s="4">
        <v>0</v>
      </c>
      <c r="V1826" s="4">
        <v>5300.3299999999963</v>
      </c>
      <c r="W1826" s="13">
        <f t="shared" si="264"/>
        <v>124432.62000000005</v>
      </c>
      <c r="X1826" s="13">
        <f t="shared" si="265"/>
        <v>5145.9514563106759</v>
      </c>
      <c r="Y1826" s="13">
        <f t="shared" si="267"/>
        <v>0</v>
      </c>
      <c r="Z1826" s="2">
        <v>0</v>
      </c>
      <c r="AA1826" s="4">
        <v>0</v>
      </c>
      <c r="AB1826" s="4">
        <f t="shared" si="268"/>
        <v>5145.9514563106759</v>
      </c>
      <c r="AC1826" s="6">
        <f t="shared" si="269"/>
        <v>154.3785436893204</v>
      </c>
      <c r="AD1826" s="4">
        <v>5189.7699999999977</v>
      </c>
      <c r="AE1826" s="2">
        <v>0.06</v>
      </c>
      <c r="AF1826" s="5">
        <f t="shared" si="270"/>
        <v>311.38619999999986</v>
      </c>
      <c r="AG1826" s="9">
        <v>0</v>
      </c>
      <c r="AH1826" s="4">
        <f t="shared" si="266"/>
        <v>5300.3299999999963</v>
      </c>
      <c r="AJ1826" s="126" t="e">
        <v>#N/A</v>
      </c>
      <c r="AK1826" s="80">
        <f t="shared" si="271"/>
        <v>0</v>
      </c>
      <c r="AM1826" s="85"/>
    </row>
    <row r="1827" spans="1:39" hidden="1" x14ac:dyDescent="0.3">
      <c r="A1827" s="85" t="s">
        <v>34</v>
      </c>
      <c r="B1827" s="15" t="s">
        <v>35</v>
      </c>
      <c r="C1827" s="15" t="s">
        <v>187</v>
      </c>
      <c r="D1827" s="15" t="s">
        <v>188</v>
      </c>
      <c r="E1827" s="15" t="s">
        <v>202</v>
      </c>
      <c r="F1827" s="15" t="s">
        <v>202</v>
      </c>
      <c r="G1827" s="15" t="s">
        <v>202</v>
      </c>
      <c r="H1827" s="139"/>
      <c r="I1827" s="3" t="s">
        <v>2374</v>
      </c>
      <c r="J1827" s="1" t="s">
        <v>3322</v>
      </c>
      <c r="K1827" s="1" t="s">
        <v>3269</v>
      </c>
      <c r="L1827" s="1" t="s">
        <v>35</v>
      </c>
      <c r="M1827" s="15" t="s">
        <v>2438</v>
      </c>
      <c r="N1827" s="15"/>
      <c r="O1827" s="8" t="s">
        <v>45</v>
      </c>
      <c r="P1827" s="8" t="s">
        <v>353</v>
      </c>
      <c r="Q1827" s="9">
        <v>-0.02</v>
      </c>
      <c r="R1827" s="138"/>
      <c r="T1827" s="18">
        <v>-515592.65</v>
      </c>
      <c r="U1827" s="4">
        <v>0</v>
      </c>
      <c r="V1827" s="4">
        <v>0</v>
      </c>
      <c r="W1827" s="13">
        <f t="shared" si="264"/>
        <v>-515592.65</v>
      </c>
      <c r="X1827" s="13">
        <f t="shared" si="265"/>
        <v>0</v>
      </c>
      <c r="Y1827" s="13">
        <f t="shared" si="267"/>
        <v>0</v>
      </c>
      <c r="Z1827" s="2">
        <v>0</v>
      </c>
      <c r="AA1827" s="4">
        <v>0</v>
      </c>
      <c r="AB1827" s="4">
        <f t="shared" si="268"/>
        <v>0</v>
      </c>
      <c r="AC1827" s="6">
        <f t="shared" si="269"/>
        <v>0</v>
      </c>
      <c r="AD1827" s="4">
        <v>0</v>
      </c>
      <c r="AE1827" s="2">
        <v>0.06</v>
      </c>
      <c r="AF1827" s="5">
        <f t="shared" si="270"/>
        <v>0</v>
      </c>
      <c r="AG1827" s="9">
        <v>0.37</v>
      </c>
      <c r="AH1827" s="4">
        <f t="shared" si="266"/>
        <v>0</v>
      </c>
      <c r="AJ1827" s="126" t="e">
        <v>#N/A</v>
      </c>
      <c r="AK1827" s="80">
        <f t="shared" si="271"/>
        <v>0</v>
      </c>
      <c r="AM1827" s="85"/>
    </row>
    <row r="1828" spans="1:39" hidden="1" x14ac:dyDescent="0.3">
      <c r="A1828" s="85" t="s">
        <v>34</v>
      </c>
      <c r="B1828" s="15" t="s">
        <v>35</v>
      </c>
      <c r="C1828" s="15" t="s">
        <v>187</v>
      </c>
      <c r="D1828" s="15" t="s">
        <v>188</v>
      </c>
      <c r="E1828" s="15" t="s">
        <v>202</v>
      </c>
      <c r="F1828" s="15" t="s">
        <v>202</v>
      </c>
      <c r="G1828" s="15" t="s">
        <v>202</v>
      </c>
      <c r="H1828" s="139"/>
      <c r="I1828" s="3" t="s">
        <v>2374</v>
      </c>
      <c r="J1828" s="1" t="s">
        <v>3322</v>
      </c>
      <c r="K1828" s="1" t="s">
        <v>3269</v>
      </c>
      <c r="L1828" s="1" t="s">
        <v>35</v>
      </c>
      <c r="M1828" s="15" t="s">
        <v>2438</v>
      </c>
      <c r="N1828" s="15"/>
      <c r="O1828" s="8" t="s">
        <v>40</v>
      </c>
      <c r="P1828" s="8" t="s">
        <v>46</v>
      </c>
      <c r="Q1828" s="9">
        <v>0.05</v>
      </c>
      <c r="R1828" s="138"/>
      <c r="T1828" s="18">
        <v>709839.84600000014</v>
      </c>
      <c r="U1828" s="4">
        <v>0</v>
      </c>
      <c r="V1828" s="4">
        <v>0</v>
      </c>
      <c r="W1828" s="13">
        <f t="shared" si="264"/>
        <v>709839.84600000014</v>
      </c>
      <c r="X1828" s="13">
        <f t="shared" si="265"/>
        <v>0</v>
      </c>
      <c r="Y1828" s="13">
        <f t="shared" si="267"/>
        <v>0</v>
      </c>
      <c r="Z1828" s="2">
        <v>0</v>
      </c>
      <c r="AA1828" s="4">
        <v>0</v>
      </c>
      <c r="AB1828" s="4">
        <f t="shared" si="268"/>
        <v>0</v>
      </c>
      <c r="AC1828" s="6">
        <f t="shared" si="269"/>
        <v>0</v>
      </c>
      <c r="AD1828" s="4">
        <v>0</v>
      </c>
      <c r="AE1828" s="2">
        <v>7.0000000000000007E-2</v>
      </c>
      <c r="AF1828" s="5">
        <f t="shared" si="270"/>
        <v>0</v>
      </c>
      <c r="AG1828" s="9">
        <v>0.4</v>
      </c>
      <c r="AH1828" s="4">
        <f t="shared" si="266"/>
        <v>0</v>
      </c>
      <c r="AJ1828" s="126" t="e">
        <v>#N/A</v>
      </c>
      <c r="AK1828" s="80">
        <f t="shared" si="271"/>
        <v>0</v>
      </c>
      <c r="AM1828" s="85"/>
    </row>
    <row r="1829" spans="1:39" hidden="1" x14ac:dyDescent="0.3">
      <c r="A1829" s="85" t="s">
        <v>34</v>
      </c>
      <c r="B1829" s="15" t="s">
        <v>35</v>
      </c>
      <c r="C1829" s="15" t="s">
        <v>187</v>
      </c>
      <c r="D1829" s="15" t="s">
        <v>188</v>
      </c>
      <c r="E1829" s="15" t="s">
        <v>2496</v>
      </c>
      <c r="F1829" s="15" t="s">
        <v>2496</v>
      </c>
      <c r="G1829" s="15" t="s">
        <v>2496</v>
      </c>
      <c r="H1829" s="139"/>
      <c r="I1829" s="3" t="s">
        <v>2374</v>
      </c>
      <c r="J1829" s="1" t="s">
        <v>3322</v>
      </c>
      <c r="K1829" s="1" t="s">
        <v>3269</v>
      </c>
      <c r="L1829" s="1" t="s">
        <v>35</v>
      </c>
      <c r="M1829" s="15" t="s">
        <v>2438</v>
      </c>
      <c r="N1829" s="15"/>
      <c r="O1829" s="8" t="s">
        <v>40</v>
      </c>
      <c r="P1829" s="8" t="s">
        <v>46</v>
      </c>
      <c r="Q1829" s="9">
        <v>0.05</v>
      </c>
      <c r="R1829" s="138"/>
      <c r="T1829" s="18">
        <v>30886.428000000004</v>
      </c>
      <c r="U1829" s="4">
        <v>0</v>
      </c>
      <c r="V1829" s="4">
        <v>0</v>
      </c>
      <c r="W1829" s="13">
        <f t="shared" si="264"/>
        <v>30886.428000000004</v>
      </c>
      <c r="X1829" s="13">
        <f t="shared" si="265"/>
        <v>0</v>
      </c>
      <c r="Y1829" s="13">
        <f t="shared" si="267"/>
        <v>0</v>
      </c>
      <c r="Z1829" s="2">
        <v>0</v>
      </c>
      <c r="AA1829" s="4">
        <v>0</v>
      </c>
      <c r="AB1829" s="4">
        <f t="shared" si="268"/>
        <v>0</v>
      </c>
      <c r="AC1829" s="6">
        <f t="shared" si="269"/>
        <v>0</v>
      </c>
      <c r="AD1829" s="4">
        <v>0</v>
      </c>
      <c r="AE1829" s="2">
        <v>7.0000000000000007E-2</v>
      </c>
      <c r="AF1829" s="5">
        <f t="shared" si="270"/>
        <v>0</v>
      </c>
      <c r="AG1829" s="9">
        <v>0.4</v>
      </c>
      <c r="AH1829" s="4">
        <f t="shared" si="266"/>
        <v>0</v>
      </c>
      <c r="AJ1829" s="126" t="e">
        <v>#N/A</v>
      </c>
      <c r="AK1829" s="80">
        <f t="shared" si="271"/>
        <v>0</v>
      </c>
      <c r="AM1829" s="85"/>
    </row>
    <row r="1830" spans="1:39" hidden="1" x14ac:dyDescent="0.3">
      <c r="A1830" s="85" t="s">
        <v>34</v>
      </c>
      <c r="B1830" s="15" t="s">
        <v>35</v>
      </c>
      <c r="C1830" s="15" t="s">
        <v>187</v>
      </c>
      <c r="D1830" s="15" t="s">
        <v>188</v>
      </c>
      <c r="E1830" s="15" t="s">
        <v>2496</v>
      </c>
      <c r="F1830" s="15" t="s">
        <v>2496</v>
      </c>
      <c r="G1830" s="15" t="s">
        <v>2496</v>
      </c>
      <c r="H1830" s="139"/>
      <c r="I1830" s="3" t="s">
        <v>2374</v>
      </c>
      <c r="J1830" s="1" t="s">
        <v>3322</v>
      </c>
      <c r="K1830" s="1" t="s">
        <v>3269</v>
      </c>
      <c r="L1830" s="1" t="s">
        <v>35</v>
      </c>
      <c r="M1830" s="15" t="s">
        <v>2438</v>
      </c>
      <c r="N1830" s="15"/>
      <c r="O1830" s="8" t="s">
        <v>40</v>
      </c>
      <c r="P1830" s="8" t="s">
        <v>41</v>
      </c>
      <c r="Q1830" s="9">
        <v>0</v>
      </c>
      <c r="R1830" s="138"/>
      <c r="T1830" s="18">
        <v>0.13395915713044815</v>
      </c>
      <c r="U1830" s="4">
        <v>0</v>
      </c>
      <c r="V1830" s="4">
        <v>0</v>
      </c>
      <c r="W1830" s="13">
        <f t="shared" si="264"/>
        <v>0.13395915713044815</v>
      </c>
      <c r="X1830" s="13">
        <f t="shared" si="265"/>
        <v>0</v>
      </c>
      <c r="Y1830" s="13">
        <f t="shared" si="267"/>
        <v>0</v>
      </c>
      <c r="Z1830" s="2">
        <v>0</v>
      </c>
      <c r="AA1830" s="4">
        <v>0</v>
      </c>
      <c r="AB1830" s="4">
        <f t="shared" si="268"/>
        <v>0</v>
      </c>
      <c r="AC1830" s="6">
        <f t="shared" si="269"/>
        <v>0</v>
      </c>
      <c r="AD1830" s="4">
        <v>0</v>
      </c>
      <c r="AE1830" s="2">
        <v>7.0000000000000007E-2</v>
      </c>
      <c r="AF1830" s="5">
        <f t="shared" si="270"/>
        <v>0</v>
      </c>
      <c r="AG1830" s="9">
        <v>0.4</v>
      </c>
      <c r="AH1830" s="4">
        <f t="shared" si="266"/>
        <v>0</v>
      </c>
      <c r="AJ1830" s="126" t="e">
        <v>#N/A</v>
      </c>
      <c r="AK1830" s="80">
        <f t="shared" si="271"/>
        <v>0</v>
      </c>
      <c r="AM1830" s="85"/>
    </row>
    <row r="1831" spans="1:39" hidden="1" x14ac:dyDescent="0.3">
      <c r="A1831" s="85" t="s">
        <v>34</v>
      </c>
      <c r="B1831" s="15" t="s">
        <v>35</v>
      </c>
      <c r="C1831" s="15" t="s">
        <v>187</v>
      </c>
      <c r="D1831" s="15" t="s">
        <v>188</v>
      </c>
      <c r="E1831" s="15" t="s">
        <v>2497</v>
      </c>
      <c r="F1831" s="15" t="s">
        <v>2497</v>
      </c>
      <c r="G1831" s="15" t="s">
        <v>2497</v>
      </c>
      <c r="H1831" s="139"/>
      <c r="I1831" s="3" t="s">
        <v>2374</v>
      </c>
      <c r="J1831" s="1" t="s">
        <v>3322</v>
      </c>
      <c r="K1831" s="1" t="s">
        <v>3269</v>
      </c>
      <c r="L1831" s="1" t="s">
        <v>35</v>
      </c>
      <c r="M1831" s="15" t="s">
        <v>2438</v>
      </c>
      <c r="N1831" s="15"/>
      <c r="O1831" s="8" t="s">
        <v>40</v>
      </c>
      <c r="P1831" s="8" t="s">
        <v>46</v>
      </c>
      <c r="Q1831" s="9">
        <v>0.08</v>
      </c>
      <c r="R1831" s="138"/>
      <c r="T1831" s="18">
        <v>178230.13199999923</v>
      </c>
      <c r="U1831" s="4">
        <v>0</v>
      </c>
      <c r="V1831" s="4">
        <v>0</v>
      </c>
      <c r="W1831" s="13">
        <f t="shared" si="264"/>
        <v>178230.13199999923</v>
      </c>
      <c r="X1831" s="13">
        <f t="shared" si="265"/>
        <v>0</v>
      </c>
      <c r="Y1831" s="13">
        <f t="shared" si="267"/>
        <v>0</v>
      </c>
      <c r="Z1831" s="2">
        <v>0</v>
      </c>
      <c r="AA1831" s="4">
        <v>0</v>
      </c>
      <c r="AB1831" s="4">
        <f t="shared" si="268"/>
        <v>0</v>
      </c>
      <c r="AC1831" s="6">
        <f t="shared" si="269"/>
        <v>0</v>
      </c>
      <c r="AD1831" s="4">
        <v>0</v>
      </c>
      <c r="AE1831" s="2">
        <v>7.0000000000000007E-2</v>
      </c>
      <c r="AF1831" s="5">
        <f t="shared" si="270"/>
        <v>0</v>
      </c>
      <c r="AG1831" s="9">
        <v>0.4</v>
      </c>
      <c r="AH1831" s="4">
        <f t="shared" si="266"/>
        <v>0</v>
      </c>
      <c r="AJ1831" s="126" t="e">
        <v>#N/A</v>
      </c>
      <c r="AK1831" s="80">
        <f t="shared" si="271"/>
        <v>0</v>
      </c>
      <c r="AM1831" s="85"/>
    </row>
    <row r="1832" spans="1:39" hidden="1" x14ac:dyDescent="0.3">
      <c r="A1832" s="85" t="s">
        <v>34</v>
      </c>
      <c r="B1832" s="15" t="s">
        <v>35</v>
      </c>
      <c r="C1832" s="15" t="s">
        <v>187</v>
      </c>
      <c r="D1832" s="15" t="s">
        <v>188</v>
      </c>
      <c r="E1832" s="15" t="s">
        <v>2498</v>
      </c>
      <c r="F1832" s="15" t="s">
        <v>2498</v>
      </c>
      <c r="G1832" s="15" t="s">
        <v>2498</v>
      </c>
      <c r="H1832" s="139"/>
      <c r="I1832" s="3" t="s">
        <v>2374</v>
      </c>
      <c r="J1832" s="1" t="s">
        <v>3322</v>
      </c>
      <c r="K1832" s="1" t="s">
        <v>3269</v>
      </c>
      <c r="L1832" s="1" t="s">
        <v>35</v>
      </c>
      <c r="M1832" s="15" t="s">
        <v>2438</v>
      </c>
      <c r="N1832" s="15"/>
      <c r="O1832" s="8" t="s">
        <v>45</v>
      </c>
      <c r="P1832" s="8" t="s">
        <v>46</v>
      </c>
      <c r="Q1832" s="9">
        <v>0.05</v>
      </c>
      <c r="R1832" s="138"/>
      <c r="T1832" s="18">
        <v>-7.5000000019826984E-3</v>
      </c>
      <c r="U1832" s="4">
        <v>0</v>
      </c>
      <c r="V1832" s="4">
        <v>0</v>
      </c>
      <c r="W1832" s="13">
        <f t="shared" si="264"/>
        <v>-7.5000000019826984E-3</v>
      </c>
      <c r="X1832" s="13">
        <f t="shared" si="265"/>
        <v>0</v>
      </c>
      <c r="Y1832" s="13">
        <f t="shared" si="267"/>
        <v>0</v>
      </c>
      <c r="Z1832" s="2">
        <v>0</v>
      </c>
      <c r="AA1832" s="4">
        <v>0</v>
      </c>
      <c r="AB1832" s="4">
        <f t="shared" si="268"/>
        <v>0</v>
      </c>
      <c r="AC1832" s="6">
        <f t="shared" si="269"/>
        <v>0</v>
      </c>
      <c r="AD1832" s="4">
        <v>0</v>
      </c>
      <c r="AE1832" s="2">
        <v>0.06</v>
      </c>
      <c r="AF1832" s="5">
        <f t="shared" si="270"/>
        <v>0</v>
      </c>
      <c r="AG1832" s="9">
        <v>0.37</v>
      </c>
      <c r="AH1832" s="4">
        <f t="shared" si="266"/>
        <v>0</v>
      </c>
      <c r="AJ1832" s="126" t="e">
        <v>#N/A</v>
      </c>
      <c r="AK1832" s="80">
        <f t="shared" si="271"/>
        <v>0</v>
      </c>
      <c r="AM1832" s="85"/>
    </row>
    <row r="1833" spans="1:39" hidden="1" x14ac:dyDescent="0.3">
      <c r="A1833" s="85" t="s">
        <v>34</v>
      </c>
      <c r="B1833" s="15" t="s">
        <v>35</v>
      </c>
      <c r="C1833" s="15" t="s">
        <v>187</v>
      </c>
      <c r="D1833" s="15" t="s">
        <v>188</v>
      </c>
      <c r="E1833" s="15" t="s">
        <v>2499</v>
      </c>
      <c r="F1833" s="15" t="s">
        <v>2499</v>
      </c>
      <c r="G1833" s="15" t="s">
        <v>2499</v>
      </c>
      <c r="H1833" s="139"/>
      <c r="I1833" s="3" t="s">
        <v>2374</v>
      </c>
      <c r="J1833" s="1" t="s">
        <v>3322</v>
      </c>
      <c r="K1833" s="1" t="s">
        <v>3269</v>
      </c>
      <c r="L1833" s="1" t="s">
        <v>35</v>
      </c>
      <c r="M1833" s="15" t="s">
        <v>2500</v>
      </c>
      <c r="N1833" s="15"/>
      <c r="O1833" s="8" t="s">
        <v>45</v>
      </c>
      <c r="P1833" s="8" t="s">
        <v>46</v>
      </c>
      <c r="Q1833" s="9">
        <v>0.03</v>
      </c>
      <c r="R1833" s="138"/>
      <c r="T1833" s="18">
        <v>1106.1799999999998</v>
      </c>
      <c r="U1833" s="4">
        <v>0</v>
      </c>
      <c r="V1833" s="4">
        <v>0</v>
      </c>
      <c r="W1833" s="13">
        <f t="shared" si="264"/>
        <v>1106.1799999999998</v>
      </c>
      <c r="X1833" s="13">
        <f t="shared" si="265"/>
        <v>0</v>
      </c>
      <c r="Y1833" s="13">
        <f t="shared" si="267"/>
        <v>0</v>
      </c>
      <c r="Z1833" s="2">
        <v>0</v>
      </c>
      <c r="AA1833" s="4">
        <v>0</v>
      </c>
      <c r="AB1833" s="4">
        <f t="shared" si="268"/>
        <v>0</v>
      </c>
      <c r="AC1833" s="6">
        <f t="shared" si="269"/>
        <v>0</v>
      </c>
      <c r="AD1833" s="4">
        <v>0</v>
      </c>
      <c r="AE1833" s="2">
        <v>0.06</v>
      </c>
      <c r="AF1833" s="5">
        <f t="shared" si="270"/>
        <v>0</v>
      </c>
      <c r="AG1833" s="9">
        <v>0</v>
      </c>
      <c r="AH1833" s="4">
        <f t="shared" si="266"/>
        <v>0</v>
      </c>
      <c r="AJ1833" s="126" t="e">
        <v>#N/A</v>
      </c>
      <c r="AK1833" s="80">
        <f t="shared" si="271"/>
        <v>0</v>
      </c>
      <c r="AM1833" s="85"/>
    </row>
    <row r="1834" spans="1:39" hidden="1" x14ac:dyDescent="0.3">
      <c r="A1834" s="85" t="s">
        <v>34</v>
      </c>
      <c r="B1834" s="15" t="s">
        <v>35</v>
      </c>
      <c r="C1834" s="15" t="s">
        <v>187</v>
      </c>
      <c r="D1834" s="15" t="s">
        <v>188</v>
      </c>
      <c r="E1834" s="15" t="s">
        <v>2453</v>
      </c>
      <c r="F1834" s="15" t="s">
        <v>2453</v>
      </c>
      <c r="G1834" s="15" t="s">
        <v>2453</v>
      </c>
      <c r="H1834" s="139"/>
      <c r="I1834" s="3" t="s">
        <v>2374</v>
      </c>
      <c r="J1834" s="1" t="s">
        <v>3322</v>
      </c>
      <c r="K1834" s="1" t="s">
        <v>3269</v>
      </c>
      <c r="L1834" s="1" t="s">
        <v>35</v>
      </c>
      <c r="M1834" s="15" t="s">
        <v>2438</v>
      </c>
      <c r="N1834" s="15"/>
      <c r="O1834" s="8" t="s">
        <v>45</v>
      </c>
      <c r="P1834" s="8" t="s">
        <v>46</v>
      </c>
      <c r="Q1834" s="9">
        <v>0.03</v>
      </c>
      <c r="R1834" s="138"/>
      <c r="T1834" s="18">
        <v>18789.415199999996</v>
      </c>
      <c r="U1834" s="4">
        <v>0</v>
      </c>
      <c r="V1834" s="4">
        <v>0</v>
      </c>
      <c r="W1834" s="13">
        <f t="shared" si="264"/>
        <v>18789.415199999996</v>
      </c>
      <c r="X1834" s="13">
        <f t="shared" si="265"/>
        <v>0</v>
      </c>
      <c r="Y1834" s="13">
        <f t="shared" si="267"/>
        <v>0</v>
      </c>
      <c r="Z1834" s="2">
        <v>0</v>
      </c>
      <c r="AA1834" s="4">
        <v>0</v>
      </c>
      <c r="AB1834" s="4">
        <f t="shared" si="268"/>
        <v>0</v>
      </c>
      <c r="AC1834" s="6">
        <f t="shared" si="269"/>
        <v>0</v>
      </c>
      <c r="AD1834" s="4">
        <v>0</v>
      </c>
      <c r="AE1834" s="2">
        <v>0.06</v>
      </c>
      <c r="AF1834" s="5">
        <f t="shared" si="270"/>
        <v>0</v>
      </c>
      <c r="AG1834" s="9">
        <v>0.37</v>
      </c>
      <c r="AH1834" s="4">
        <f t="shared" si="266"/>
        <v>0</v>
      </c>
      <c r="AJ1834" s="126" t="e">
        <v>#N/A</v>
      </c>
      <c r="AK1834" s="80">
        <f t="shared" si="271"/>
        <v>0</v>
      </c>
      <c r="AM1834" s="85"/>
    </row>
    <row r="1835" spans="1:39" hidden="1" x14ac:dyDescent="0.3">
      <c r="A1835" s="85" t="s">
        <v>34</v>
      </c>
      <c r="B1835" s="15" t="s">
        <v>35</v>
      </c>
      <c r="C1835" s="15" t="s">
        <v>187</v>
      </c>
      <c r="D1835" s="15" t="s">
        <v>208</v>
      </c>
      <c r="E1835" s="15" t="s">
        <v>2457</v>
      </c>
      <c r="F1835" s="15" t="s">
        <v>2457</v>
      </c>
      <c r="G1835" s="15" t="s">
        <v>2457</v>
      </c>
      <c r="H1835" s="139"/>
      <c r="I1835" s="3" t="s">
        <v>2374</v>
      </c>
      <c r="J1835" s="1" t="s">
        <v>3322</v>
      </c>
      <c r="K1835" s="1" t="s">
        <v>3269</v>
      </c>
      <c r="L1835" s="1" t="s">
        <v>35</v>
      </c>
      <c r="M1835" s="15" t="s">
        <v>2438</v>
      </c>
      <c r="N1835" s="15"/>
      <c r="O1835" s="8" t="s">
        <v>40</v>
      </c>
      <c r="P1835" s="8" t="s">
        <v>46</v>
      </c>
      <c r="Q1835" s="9">
        <v>0.03</v>
      </c>
      <c r="R1835" s="138"/>
      <c r="T1835" s="18">
        <v>-6.0000000157742761E-3</v>
      </c>
      <c r="U1835" s="4">
        <v>0</v>
      </c>
      <c r="V1835" s="4">
        <v>0</v>
      </c>
      <c r="W1835" s="13">
        <f t="shared" si="264"/>
        <v>-6.0000000157742761E-3</v>
      </c>
      <c r="X1835" s="13">
        <f t="shared" si="265"/>
        <v>0</v>
      </c>
      <c r="Y1835" s="13">
        <f t="shared" si="267"/>
        <v>0</v>
      </c>
      <c r="Z1835" s="2">
        <v>0</v>
      </c>
      <c r="AA1835" s="4">
        <v>0</v>
      </c>
      <c r="AB1835" s="4">
        <f t="shared" si="268"/>
        <v>0</v>
      </c>
      <c r="AC1835" s="6">
        <f t="shared" si="269"/>
        <v>0</v>
      </c>
      <c r="AD1835" s="4">
        <v>0</v>
      </c>
      <c r="AE1835" s="2">
        <v>7.0000000000000007E-2</v>
      </c>
      <c r="AF1835" s="5">
        <f t="shared" si="270"/>
        <v>0</v>
      </c>
      <c r="AG1835" s="9">
        <v>0.4</v>
      </c>
      <c r="AH1835" s="4">
        <f t="shared" si="266"/>
        <v>0</v>
      </c>
      <c r="AJ1835" s="126" t="e">
        <v>#N/A</v>
      </c>
      <c r="AK1835" s="80">
        <f t="shared" si="271"/>
        <v>0</v>
      </c>
      <c r="AM1835" s="85"/>
    </row>
    <row r="1836" spans="1:39" hidden="1" x14ac:dyDescent="0.3">
      <c r="A1836" s="85" t="s">
        <v>34</v>
      </c>
      <c r="B1836" s="15" t="s">
        <v>35</v>
      </c>
      <c r="C1836" s="15" t="s">
        <v>187</v>
      </c>
      <c r="D1836" s="15" t="s">
        <v>208</v>
      </c>
      <c r="E1836" s="15" t="s">
        <v>202</v>
      </c>
      <c r="F1836" s="15" t="s">
        <v>2464</v>
      </c>
      <c r="G1836" s="15" t="s">
        <v>202</v>
      </c>
      <c r="H1836" s="139"/>
      <c r="I1836" s="3" t="s">
        <v>2374</v>
      </c>
      <c r="J1836" s="1" t="s">
        <v>3322</v>
      </c>
      <c r="K1836" s="1" t="s">
        <v>3269</v>
      </c>
      <c r="L1836" s="1" t="s">
        <v>35</v>
      </c>
      <c r="M1836" s="15" t="s">
        <v>2438</v>
      </c>
      <c r="N1836" s="15"/>
      <c r="O1836" s="8" t="s">
        <v>40</v>
      </c>
      <c r="P1836" s="8" t="s">
        <v>46</v>
      </c>
      <c r="Q1836" s="9">
        <v>0.05</v>
      </c>
      <c r="R1836" s="138"/>
      <c r="T1836" s="18">
        <v>1050881.8134847868</v>
      </c>
      <c r="U1836" s="4">
        <v>0</v>
      </c>
      <c r="V1836" s="4">
        <v>0</v>
      </c>
      <c r="W1836" s="13">
        <f t="shared" si="264"/>
        <v>1050881.8134847868</v>
      </c>
      <c r="X1836" s="13">
        <f t="shared" si="265"/>
        <v>0</v>
      </c>
      <c r="Y1836" s="13">
        <f t="shared" si="267"/>
        <v>0</v>
      </c>
      <c r="Z1836" s="2">
        <v>0</v>
      </c>
      <c r="AA1836" s="4">
        <v>0</v>
      </c>
      <c r="AB1836" s="4">
        <f t="shared" si="268"/>
        <v>0</v>
      </c>
      <c r="AC1836" s="6">
        <f t="shared" si="269"/>
        <v>0</v>
      </c>
      <c r="AD1836" s="4">
        <v>0</v>
      </c>
      <c r="AE1836" s="2">
        <v>7.0000000000000007E-2</v>
      </c>
      <c r="AF1836" s="5">
        <f t="shared" si="270"/>
        <v>0</v>
      </c>
      <c r="AG1836" s="9">
        <v>0.4</v>
      </c>
      <c r="AH1836" s="4">
        <f t="shared" si="266"/>
        <v>0</v>
      </c>
      <c r="AJ1836" s="126" t="e">
        <v>#N/A</v>
      </c>
      <c r="AK1836" s="80">
        <f t="shared" si="271"/>
        <v>0</v>
      </c>
      <c r="AM1836" s="85"/>
    </row>
    <row r="1837" spans="1:39" hidden="1" x14ac:dyDescent="0.3">
      <c r="A1837" s="85" t="s">
        <v>34</v>
      </c>
      <c r="B1837" s="15" t="s">
        <v>35</v>
      </c>
      <c r="C1837" s="15" t="s">
        <v>187</v>
      </c>
      <c r="D1837" s="15" t="s">
        <v>208</v>
      </c>
      <c r="E1837" s="15" t="s">
        <v>202</v>
      </c>
      <c r="F1837" s="15" t="s">
        <v>2464</v>
      </c>
      <c r="G1837" s="15" t="s">
        <v>202</v>
      </c>
      <c r="H1837" s="139"/>
      <c r="I1837" s="3" t="s">
        <v>2374</v>
      </c>
      <c r="J1837" s="1" t="s">
        <v>3322</v>
      </c>
      <c r="K1837" s="1" t="s">
        <v>3269</v>
      </c>
      <c r="L1837" s="1" t="s">
        <v>35</v>
      </c>
      <c r="M1837" s="15" t="s">
        <v>2438</v>
      </c>
      <c r="N1837" s="15"/>
      <c r="O1837" s="8" t="s">
        <v>40</v>
      </c>
      <c r="P1837" s="8" t="s">
        <v>41</v>
      </c>
      <c r="Q1837" s="9">
        <v>0</v>
      </c>
      <c r="R1837" s="138"/>
      <c r="T1837" s="18">
        <v>-633233.87399999995</v>
      </c>
      <c r="U1837" s="4">
        <v>0</v>
      </c>
      <c r="V1837" s="4">
        <v>0</v>
      </c>
      <c r="W1837" s="13">
        <f t="shared" si="264"/>
        <v>-633233.87399999995</v>
      </c>
      <c r="X1837" s="13">
        <f t="shared" si="265"/>
        <v>0</v>
      </c>
      <c r="Y1837" s="13">
        <f t="shared" si="267"/>
        <v>0</v>
      </c>
      <c r="Z1837" s="2">
        <v>0</v>
      </c>
      <c r="AA1837" s="4">
        <v>0</v>
      </c>
      <c r="AB1837" s="4">
        <f t="shared" si="268"/>
        <v>0</v>
      </c>
      <c r="AC1837" s="6">
        <f t="shared" si="269"/>
        <v>0</v>
      </c>
      <c r="AD1837" s="4">
        <v>0</v>
      </c>
      <c r="AE1837" s="2">
        <v>7.0000000000000007E-2</v>
      </c>
      <c r="AF1837" s="5">
        <f t="shared" si="270"/>
        <v>0</v>
      </c>
      <c r="AG1837" s="9">
        <v>0.4</v>
      </c>
      <c r="AH1837" s="4">
        <f t="shared" si="266"/>
        <v>0</v>
      </c>
      <c r="AJ1837" s="126" t="e">
        <v>#N/A</v>
      </c>
      <c r="AK1837" s="80">
        <f t="shared" si="271"/>
        <v>0</v>
      </c>
      <c r="AM1837" s="85"/>
    </row>
    <row r="1838" spans="1:39" hidden="1" x14ac:dyDescent="0.3">
      <c r="A1838" s="85" t="s">
        <v>34</v>
      </c>
      <c r="B1838" s="15" t="s">
        <v>35</v>
      </c>
      <c r="C1838" s="15" t="s">
        <v>187</v>
      </c>
      <c r="D1838" s="15" t="s">
        <v>208</v>
      </c>
      <c r="E1838" s="15" t="s">
        <v>213</v>
      </c>
      <c r="F1838" s="15" t="s">
        <v>213</v>
      </c>
      <c r="G1838" s="15" t="s">
        <v>213</v>
      </c>
      <c r="H1838" s="139"/>
      <c r="I1838" s="3" t="s">
        <v>2374</v>
      </c>
      <c r="J1838" s="1" t="s">
        <v>3322</v>
      </c>
      <c r="K1838" s="1" t="s">
        <v>3269</v>
      </c>
      <c r="L1838" s="1" t="s">
        <v>35</v>
      </c>
      <c r="M1838" s="15" t="s">
        <v>2438</v>
      </c>
      <c r="N1838" s="15"/>
      <c r="O1838" s="8" t="s">
        <v>45</v>
      </c>
      <c r="P1838" s="8" t="s">
        <v>46</v>
      </c>
      <c r="Q1838" s="9">
        <v>0.01</v>
      </c>
      <c r="R1838" s="138"/>
      <c r="T1838" s="18">
        <v>1242.0009</v>
      </c>
      <c r="U1838" s="4">
        <v>0</v>
      </c>
      <c r="V1838" s="4">
        <v>0</v>
      </c>
      <c r="W1838" s="13">
        <f t="shared" si="264"/>
        <v>1242.0009</v>
      </c>
      <c r="X1838" s="13">
        <f t="shared" si="265"/>
        <v>0</v>
      </c>
      <c r="Y1838" s="13">
        <f t="shared" si="267"/>
        <v>0</v>
      </c>
      <c r="Z1838" s="2">
        <v>0</v>
      </c>
      <c r="AA1838" s="4">
        <v>0</v>
      </c>
      <c r="AB1838" s="4">
        <f t="shared" si="268"/>
        <v>0</v>
      </c>
      <c r="AC1838" s="6">
        <f t="shared" si="269"/>
        <v>0</v>
      </c>
      <c r="AD1838" s="4">
        <v>0</v>
      </c>
      <c r="AE1838" s="2">
        <v>0.06</v>
      </c>
      <c r="AF1838" s="5">
        <f t="shared" si="270"/>
        <v>0</v>
      </c>
      <c r="AG1838" s="9">
        <v>0.37</v>
      </c>
      <c r="AH1838" s="4">
        <f t="shared" si="266"/>
        <v>0</v>
      </c>
      <c r="AJ1838" s="126" t="e">
        <v>#N/A</v>
      </c>
      <c r="AK1838" s="80">
        <f t="shared" si="271"/>
        <v>0</v>
      </c>
      <c r="AM1838" s="85"/>
    </row>
    <row r="1839" spans="1:39" hidden="1" x14ac:dyDescent="0.3">
      <c r="A1839" s="85" t="s">
        <v>34</v>
      </c>
      <c r="B1839" s="15" t="s">
        <v>35</v>
      </c>
      <c r="C1839" s="15" t="s">
        <v>187</v>
      </c>
      <c r="D1839" s="15" t="s">
        <v>208</v>
      </c>
      <c r="E1839" s="15" t="s">
        <v>2501</v>
      </c>
      <c r="F1839" s="15" t="s">
        <v>2502</v>
      </c>
      <c r="G1839" s="15" t="s">
        <v>2501</v>
      </c>
      <c r="H1839" s="139"/>
      <c r="I1839" s="3" t="s">
        <v>2374</v>
      </c>
      <c r="J1839" s="1" t="s">
        <v>3322</v>
      </c>
      <c r="K1839" s="1" t="s">
        <v>3269</v>
      </c>
      <c r="L1839" s="1" t="s">
        <v>35</v>
      </c>
      <c r="M1839" s="15" t="s">
        <v>2501</v>
      </c>
      <c r="N1839" s="15"/>
      <c r="O1839" s="8" t="s">
        <v>40</v>
      </c>
      <c r="P1839" s="8" t="s">
        <v>46</v>
      </c>
      <c r="Q1839" s="9">
        <v>0.12</v>
      </c>
      <c r="R1839" s="138"/>
      <c r="T1839" s="18">
        <v>179793.86138219805</v>
      </c>
      <c r="U1839" s="4">
        <v>0</v>
      </c>
      <c r="V1839" s="4">
        <v>0</v>
      </c>
      <c r="W1839" s="13">
        <f t="shared" si="264"/>
        <v>179793.86138219805</v>
      </c>
      <c r="X1839" s="13">
        <f t="shared" si="265"/>
        <v>0</v>
      </c>
      <c r="Y1839" s="13">
        <f t="shared" si="267"/>
        <v>0</v>
      </c>
      <c r="Z1839" s="2">
        <v>0</v>
      </c>
      <c r="AA1839" s="4">
        <v>0</v>
      </c>
      <c r="AB1839" s="4">
        <f t="shared" si="268"/>
        <v>0</v>
      </c>
      <c r="AC1839" s="6">
        <f t="shared" si="269"/>
        <v>0</v>
      </c>
      <c r="AD1839" s="4">
        <v>0</v>
      </c>
      <c r="AE1839" s="2">
        <v>7.0000000000000007E-2</v>
      </c>
      <c r="AF1839" s="5">
        <f t="shared" si="270"/>
        <v>0</v>
      </c>
      <c r="AG1839" s="9">
        <v>0.41</v>
      </c>
      <c r="AH1839" s="4">
        <f t="shared" si="266"/>
        <v>0</v>
      </c>
      <c r="AJ1839" s="126" t="e">
        <v>#N/A</v>
      </c>
      <c r="AK1839" s="80">
        <f t="shared" si="271"/>
        <v>0</v>
      </c>
      <c r="AM1839" s="85"/>
    </row>
    <row r="1840" spans="1:39" hidden="1" x14ac:dyDescent="0.3">
      <c r="A1840" s="85" t="s">
        <v>34</v>
      </c>
      <c r="B1840" s="15" t="s">
        <v>35</v>
      </c>
      <c r="C1840" s="15" t="s">
        <v>187</v>
      </c>
      <c r="D1840" s="15" t="s">
        <v>208</v>
      </c>
      <c r="E1840" s="15" t="s">
        <v>2501</v>
      </c>
      <c r="F1840" s="15" t="s">
        <v>2502</v>
      </c>
      <c r="G1840" s="15" t="s">
        <v>2501</v>
      </c>
      <c r="H1840" s="139"/>
      <c r="I1840" s="3" t="s">
        <v>2374</v>
      </c>
      <c r="J1840" s="1" t="s">
        <v>3322</v>
      </c>
      <c r="K1840" s="1" t="s">
        <v>3269</v>
      </c>
      <c r="L1840" s="1" t="s">
        <v>35</v>
      </c>
      <c r="M1840" s="15" t="s">
        <v>2501</v>
      </c>
      <c r="N1840" s="15"/>
      <c r="O1840" s="8" t="s">
        <v>40</v>
      </c>
      <c r="P1840" s="8" t="s">
        <v>46</v>
      </c>
      <c r="Q1840" s="9">
        <v>0.12</v>
      </c>
      <c r="R1840" s="138"/>
      <c r="T1840" s="18">
        <v>-244103.99919999999</v>
      </c>
      <c r="U1840" s="4">
        <v>0</v>
      </c>
      <c r="V1840" s="4">
        <v>0</v>
      </c>
      <c r="W1840" s="13">
        <f t="shared" si="264"/>
        <v>-244103.99919999999</v>
      </c>
      <c r="X1840" s="13">
        <f t="shared" si="265"/>
        <v>0</v>
      </c>
      <c r="Y1840" s="13">
        <f t="shared" si="267"/>
        <v>0</v>
      </c>
      <c r="Z1840" s="2">
        <v>0</v>
      </c>
      <c r="AA1840" s="4">
        <v>0</v>
      </c>
      <c r="AB1840" s="4">
        <f t="shared" si="268"/>
        <v>0</v>
      </c>
      <c r="AC1840" s="6">
        <f t="shared" si="269"/>
        <v>0</v>
      </c>
      <c r="AD1840" s="4">
        <v>0</v>
      </c>
      <c r="AE1840" s="2">
        <v>7.0000000000000007E-2</v>
      </c>
      <c r="AF1840" s="5">
        <f t="shared" si="270"/>
        <v>0</v>
      </c>
      <c r="AG1840" s="9">
        <v>0.46</v>
      </c>
      <c r="AH1840" s="4">
        <f t="shared" si="266"/>
        <v>0</v>
      </c>
      <c r="AJ1840" s="126" t="e">
        <v>#N/A</v>
      </c>
      <c r="AK1840" s="80">
        <f t="shared" si="271"/>
        <v>0</v>
      </c>
      <c r="AM1840" s="85"/>
    </row>
    <row r="1841" spans="1:39" hidden="1" x14ac:dyDescent="0.3">
      <c r="A1841" s="85" t="s">
        <v>34</v>
      </c>
      <c r="B1841" s="15" t="s">
        <v>35</v>
      </c>
      <c r="C1841" s="15" t="s">
        <v>47</v>
      </c>
      <c r="D1841" s="15" t="s">
        <v>878</v>
      </c>
      <c r="E1841" s="15" t="s">
        <v>2503</v>
      </c>
      <c r="F1841" s="15" t="s">
        <v>2503</v>
      </c>
      <c r="G1841" s="15" t="s">
        <v>2503</v>
      </c>
      <c r="H1841" s="154"/>
      <c r="I1841" s="3" t="s">
        <v>2374</v>
      </c>
      <c r="J1841" s="1" t="s">
        <v>3322</v>
      </c>
      <c r="K1841" s="1" t="s">
        <v>3269</v>
      </c>
      <c r="L1841" s="1" t="s">
        <v>35</v>
      </c>
      <c r="M1841" s="15" t="s">
        <v>2503</v>
      </c>
      <c r="N1841" s="15"/>
      <c r="O1841" s="8" t="s">
        <v>45</v>
      </c>
      <c r="P1841" s="8" t="s">
        <v>46</v>
      </c>
      <c r="Q1841" s="9">
        <v>0.03</v>
      </c>
      <c r="R1841" s="138"/>
      <c r="T1841" s="18">
        <v>50654.950000000041</v>
      </c>
      <c r="U1841" s="4">
        <v>0</v>
      </c>
      <c r="V1841" s="4">
        <v>18529.12</v>
      </c>
      <c r="W1841" s="13">
        <f t="shared" si="264"/>
        <v>32125.830000000042</v>
      </c>
      <c r="X1841" s="13">
        <f t="shared" si="265"/>
        <v>17989.436893203881</v>
      </c>
      <c r="Y1841" s="13">
        <f t="shared" si="267"/>
        <v>0</v>
      </c>
      <c r="Z1841" s="2">
        <v>0</v>
      </c>
      <c r="AA1841" s="4">
        <v>0</v>
      </c>
      <c r="AB1841" s="4">
        <f t="shared" si="268"/>
        <v>17989.436893203881</v>
      </c>
      <c r="AC1841" s="6">
        <f t="shared" si="269"/>
        <v>539.6831067961175</v>
      </c>
      <c r="AD1841" s="4">
        <v>18529.12</v>
      </c>
      <c r="AE1841" s="2">
        <v>0.06</v>
      </c>
      <c r="AF1841" s="5">
        <f t="shared" si="270"/>
        <v>1111.7471999999998</v>
      </c>
      <c r="AG1841" s="9">
        <v>0</v>
      </c>
      <c r="AH1841" s="4">
        <f t="shared" si="266"/>
        <v>18529.12</v>
      </c>
      <c r="AJ1841" s="126" t="e">
        <v>#N/A</v>
      </c>
      <c r="AK1841" s="80">
        <f t="shared" si="271"/>
        <v>0</v>
      </c>
      <c r="AM1841" s="85"/>
    </row>
    <row r="1842" spans="1:39" hidden="1" x14ac:dyDescent="0.3">
      <c r="A1842" s="85" t="s">
        <v>34</v>
      </c>
      <c r="B1842" s="15" t="s">
        <v>35</v>
      </c>
      <c r="C1842" s="15" t="s">
        <v>47</v>
      </c>
      <c r="D1842" s="15" t="s">
        <v>63</v>
      </c>
      <c r="E1842" s="15" t="s">
        <v>2393</v>
      </c>
      <c r="F1842" s="15" t="s">
        <v>2405</v>
      </c>
      <c r="G1842" s="15" t="s">
        <v>2393</v>
      </c>
      <c r="H1842" s="139"/>
      <c r="I1842" s="3" t="s">
        <v>2374</v>
      </c>
      <c r="J1842" s="1" t="s">
        <v>3322</v>
      </c>
      <c r="K1842" s="1" t="s">
        <v>3269</v>
      </c>
      <c r="L1842" s="1" t="s">
        <v>35</v>
      </c>
      <c r="M1842" s="15" t="s">
        <v>2406</v>
      </c>
      <c r="N1842" s="15"/>
      <c r="O1842" s="8" t="s">
        <v>40</v>
      </c>
      <c r="P1842" s="8" t="s">
        <v>46</v>
      </c>
      <c r="Q1842" s="9">
        <v>5.5E-2</v>
      </c>
      <c r="R1842" s="138"/>
      <c r="T1842" s="18">
        <v>0</v>
      </c>
      <c r="U1842" s="4">
        <v>0</v>
      </c>
      <c r="V1842" s="4">
        <v>0</v>
      </c>
      <c r="W1842" s="13">
        <f t="shared" si="264"/>
        <v>0</v>
      </c>
      <c r="X1842" s="13">
        <f t="shared" si="265"/>
        <v>0</v>
      </c>
      <c r="Y1842" s="13">
        <f t="shared" si="267"/>
        <v>0</v>
      </c>
      <c r="Z1842" s="2">
        <v>0</v>
      </c>
      <c r="AA1842" s="4">
        <v>0</v>
      </c>
      <c r="AB1842" s="4">
        <f t="shared" si="268"/>
        <v>0</v>
      </c>
      <c r="AC1842" s="6">
        <f t="shared" si="269"/>
        <v>0</v>
      </c>
      <c r="AD1842" s="4">
        <v>0</v>
      </c>
      <c r="AE1842" s="2">
        <v>7.0000000000000007E-2</v>
      </c>
      <c r="AF1842" s="5">
        <f t="shared" si="270"/>
        <v>0</v>
      </c>
      <c r="AG1842" s="9">
        <v>0</v>
      </c>
      <c r="AH1842" s="4">
        <f t="shared" si="266"/>
        <v>0</v>
      </c>
      <c r="AJ1842" s="126" t="e">
        <v>#N/A</v>
      </c>
      <c r="AK1842" s="80">
        <f t="shared" si="271"/>
        <v>0</v>
      </c>
      <c r="AM1842" s="85"/>
    </row>
    <row r="1843" spans="1:39" hidden="1" x14ac:dyDescent="0.3">
      <c r="A1843" s="85" t="s">
        <v>34</v>
      </c>
      <c r="B1843" s="15" t="s">
        <v>35</v>
      </c>
      <c r="C1843" s="15" t="s">
        <v>47</v>
      </c>
      <c r="D1843" s="15" t="s">
        <v>63</v>
      </c>
      <c r="E1843" s="15" t="s">
        <v>538</v>
      </c>
      <c r="F1843" s="15" t="s">
        <v>538</v>
      </c>
      <c r="G1843" s="15" t="s">
        <v>538</v>
      </c>
      <c r="H1843" s="139"/>
      <c r="I1843" s="3" t="s">
        <v>2374</v>
      </c>
      <c r="J1843" s="1" t="s">
        <v>3322</v>
      </c>
      <c r="K1843" s="1" t="s">
        <v>3269</v>
      </c>
      <c r="L1843" s="1" t="s">
        <v>35</v>
      </c>
      <c r="M1843" s="15" t="s">
        <v>538</v>
      </c>
      <c r="N1843" s="15"/>
      <c r="O1843" s="8" t="s">
        <v>45</v>
      </c>
      <c r="P1843" s="8" t="s">
        <v>46</v>
      </c>
      <c r="Q1843" s="9">
        <v>0.03</v>
      </c>
      <c r="R1843" s="138"/>
      <c r="T1843" s="18">
        <v>1067.8328000000383</v>
      </c>
      <c r="U1843" s="4">
        <v>0</v>
      </c>
      <c r="V1843" s="4">
        <v>0</v>
      </c>
      <c r="W1843" s="13">
        <f t="shared" si="264"/>
        <v>1067.8328000000383</v>
      </c>
      <c r="X1843" s="13">
        <f t="shared" si="265"/>
        <v>0</v>
      </c>
      <c r="Y1843" s="13">
        <f t="shared" si="267"/>
        <v>0</v>
      </c>
      <c r="Z1843" s="2">
        <v>0</v>
      </c>
      <c r="AA1843" s="4">
        <v>0</v>
      </c>
      <c r="AB1843" s="4">
        <f t="shared" si="268"/>
        <v>0</v>
      </c>
      <c r="AC1843" s="6">
        <f t="shared" si="269"/>
        <v>0</v>
      </c>
      <c r="AD1843" s="4">
        <v>0</v>
      </c>
      <c r="AE1843" s="2">
        <v>0.06</v>
      </c>
      <c r="AF1843" s="5">
        <f t="shared" si="270"/>
        <v>0</v>
      </c>
      <c r="AG1843" s="9">
        <v>0</v>
      </c>
      <c r="AH1843" s="4">
        <f t="shared" si="266"/>
        <v>0</v>
      </c>
      <c r="AJ1843" s="126" t="e">
        <v>#N/A</v>
      </c>
      <c r="AK1843" s="80">
        <f t="shared" si="271"/>
        <v>0</v>
      </c>
      <c r="AM1843" s="85"/>
    </row>
    <row r="1844" spans="1:39" hidden="1" x14ac:dyDescent="0.3">
      <c r="A1844" s="85" t="s">
        <v>34</v>
      </c>
      <c r="B1844" s="15" t="s">
        <v>35</v>
      </c>
      <c r="C1844" s="15" t="s">
        <v>187</v>
      </c>
      <c r="D1844" s="15" t="s">
        <v>188</v>
      </c>
      <c r="E1844" s="15" t="s">
        <v>2504</v>
      </c>
      <c r="F1844" s="15" t="s">
        <v>2505</v>
      </c>
      <c r="G1844" s="15" t="s">
        <v>2504</v>
      </c>
      <c r="H1844" s="139"/>
      <c r="I1844" s="3" t="s">
        <v>2374</v>
      </c>
      <c r="J1844" s="1" t="s">
        <v>3322</v>
      </c>
      <c r="K1844" s="1" t="s">
        <v>3269</v>
      </c>
      <c r="L1844" s="1" t="s">
        <v>35</v>
      </c>
      <c r="M1844" s="15" t="s">
        <v>2504</v>
      </c>
      <c r="N1844" s="15"/>
      <c r="O1844" s="8" t="s">
        <v>40</v>
      </c>
      <c r="P1844" s="8" t="s">
        <v>46</v>
      </c>
      <c r="Q1844" s="9">
        <v>0.03</v>
      </c>
      <c r="R1844" s="138"/>
      <c r="T1844" s="18">
        <v>-1108111.0525000014</v>
      </c>
      <c r="U1844" s="4">
        <v>0</v>
      </c>
      <c r="V1844" s="4">
        <v>0</v>
      </c>
      <c r="W1844" s="13">
        <f t="shared" si="264"/>
        <v>-1108111.0525000014</v>
      </c>
      <c r="X1844" s="13">
        <f t="shared" si="265"/>
        <v>0</v>
      </c>
      <c r="Y1844" s="13">
        <f t="shared" si="267"/>
        <v>0</v>
      </c>
      <c r="Z1844" s="2">
        <v>0</v>
      </c>
      <c r="AA1844" s="4">
        <v>0</v>
      </c>
      <c r="AB1844" s="4">
        <f t="shared" si="268"/>
        <v>0</v>
      </c>
      <c r="AC1844" s="6">
        <f t="shared" si="269"/>
        <v>0</v>
      </c>
      <c r="AD1844" s="4">
        <v>0</v>
      </c>
      <c r="AE1844" s="2">
        <v>7.0000000000000007E-2</v>
      </c>
      <c r="AF1844" s="5">
        <f t="shared" si="270"/>
        <v>0</v>
      </c>
      <c r="AG1844" s="9">
        <v>0.25</v>
      </c>
      <c r="AH1844" s="4">
        <f t="shared" si="266"/>
        <v>0</v>
      </c>
      <c r="AJ1844" s="126" t="e">
        <v>#N/A</v>
      </c>
      <c r="AK1844" s="80">
        <f t="shared" si="271"/>
        <v>0</v>
      </c>
      <c r="AM1844" s="85"/>
    </row>
    <row r="1845" spans="1:39" hidden="1" x14ac:dyDescent="0.3">
      <c r="A1845" s="85" t="s">
        <v>34</v>
      </c>
      <c r="B1845" s="15" t="s">
        <v>35</v>
      </c>
      <c r="C1845" s="15" t="s">
        <v>187</v>
      </c>
      <c r="D1845" s="15" t="s">
        <v>188</v>
      </c>
      <c r="E1845" s="15" t="s">
        <v>2438</v>
      </c>
      <c r="F1845" s="15" t="s">
        <v>2438</v>
      </c>
      <c r="G1845" s="15" t="s">
        <v>2438</v>
      </c>
      <c r="H1845" s="139"/>
      <c r="I1845" s="3" t="s">
        <v>2374</v>
      </c>
      <c r="J1845" s="1" t="s">
        <v>3322</v>
      </c>
      <c r="K1845" s="1" t="s">
        <v>3269</v>
      </c>
      <c r="L1845" s="1" t="s">
        <v>35</v>
      </c>
      <c r="M1845" s="15" t="s">
        <v>2438</v>
      </c>
      <c r="N1845" s="15"/>
      <c r="O1845" s="8" t="s">
        <v>45</v>
      </c>
      <c r="P1845" s="8" t="s">
        <v>46</v>
      </c>
      <c r="Q1845" s="9">
        <v>0.08</v>
      </c>
      <c r="R1845" s="138"/>
      <c r="T1845" s="18">
        <v>136109.06239343219</v>
      </c>
      <c r="U1845" s="4">
        <v>0</v>
      </c>
      <c r="V1845" s="4">
        <v>0</v>
      </c>
      <c r="W1845" s="13">
        <f t="shared" si="264"/>
        <v>136109.06239343219</v>
      </c>
      <c r="X1845" s="13">
        <f t="shared" si="265"/>
        <v>0</v>
      </c>
      <c r="Y1845" s="13">
        <f t="shared" si="267"/>
        <v>0</v>
      </c>
      <c r="Z1845" s="2">
        <v>0</v>
      </c>
      <c r="AA1845" s="4">
        <v>0</v>
      </c>
      <c r="AB1845" s="4">
        <f t="shared" si="268"/>
        <v>0</v>
      </c>
      <c r="AC1845" s="6">
        <f t="shared" si="269"/>
        <v>0</v>
      </c>
      <c r="AD1845" s="4">
        <v>0</v>
      </c>
      <c r="AE1845" s="2">
        <v>0.06</v>
      </c>
      <c r="AF1845" s="5">
        <f t="shared" si="270"/>
        <v>0</v>
      </c>
      <c r="AG1845" s="9">
        <v>0.37</v>
      </c>
      <c r="AH1845" s="4">
        <f t="shared" si="266"/>
        <v>0</v>
      </c>
      <c r="AJ1845" s="126" t="e">
        <v>#N/A</v>
      </c>
      <c r="AK1845" s="80">
        <f t="shared" si="271"/>
        <v>0</v>
      </c>
      <c r="AM1845" s="85"/>
    </row>
    <row r="1846" spans="1:39" hidden="1" x14ac:dyDescent="0.3">
      <c r="A1846" s="85" t="s">
        <v>34</v>
      </c>
      <c r="B1846" s="15" t="s">
        <v>35</v>
      </c>
      <c r="C1846" s="15" t="s">
        <v>187</v>
      </c>
      <c r="D1846" s="15" t="s">
        <v>188</v>
      </c>
      <c r="E1846" s="15" t="s">
        <v>2445</v>
      </c>
      <c r="F1846" s="15" t="s">
        <v>2445</v>
      </c>
      <c r="G1846" s="15" t="s">
        <v>2445</v>
      </c>
      <c r="H1846" s="139"/>
      <c r="I1846" s="3" t="s">
        <v>2374</v>
      </c>
      <c r="J1846" s="1" t="s">
        <v>3322</v>
      </c>
      <c r="K1846" s="1" t="s">
        <v>3269</v>
      </c>
      <c r="L1846" s="1" t="s">
        <v>35</v>
      </c>
      <c r="M1846" s="15" t="s">
        <v>2438</v>
      </c>
      <c r="N1846" s="15"/>
      <c r="O1846" s="8" t="s">
        <v>40</v>
      </c>
      <c r="P1846" s="8" t="s">
        <v>46</v>
      </c>
      <c r="Q1846" s="9">
        <v>0.04</v>
      </c>
      <c r="R1846" s="138"/>
      <c r="T1846" s="18">
        <v>-31672.181400000001</v>
      </c>
      <c r="U1846" s="4">
        <v>0</v>
      </c>
      <c r="V1846" s="4">
        <v>0</v>
      </c>
      <c r="W1846" s="13">
        <f t="shared" si="264"/>
        <v>-31672.181400000001</v>
      </c>
      <c r="X1846" s="13">
        <f t="shared" si="265"/>
        <v>0</v>
      </c>
      <c r="Y1846" s="13">
        <f t="shared" si="267"/>
        <v>0</v>
      </c>
      <c r="Z1846" s="2">
        <v>0</v>
      </c>
      <c r="AA1846" s="4">
        <v>0</v>
      </c>
      <c r="AB1846" s="4">
        <f t="shared" si="268"/>
        <v>0</v>
      </c>
      <c r="AC1846" s="6">
        <f t="shared" si="269"/>
        <v>0</v>
      </c>
      <c r="AD1846" s="4">
        <v>0</v>
      </c>
      <c r="AE1846" s="2">
        <v>7.0000000000000007E-2</v>
      </c>
      <c r="AF1846" s="5">
        <f t="shared" si="270"/>
        <v>0</v>
      </c>
      <c r="AG1846" s="9">
        <v>0.41</v>
      </c>
      <c r="AH1846" s="4">
        <f t="shared" si="266"/>
        <v>0</v>
      </c>
      <c r="AJ1846" s="126" t="e">
        <v>#N/A</v>
      </c>
      <c r="AK1846" s="80">
        <f t="shared" si="271"/>
        <v>0</v>
      </c>
      <c r="AM1846" s="85"/>
    </row>
    <row r="1847" spans="1:39" hidden="1" x14ac:dyDescent="0.3">
      <c r="A1847" s="85" t="s">
        <v>34</v>
      </c>
      <c r="B1847" s="15" t="s">
        <v>35</v>
      </c>
      <c r="C1847" s="15" t="s">
        <v>187</v>
      </c>
      <c r="D1847" s="15" t="s">
        <v>188</v>
      </c>
      <c r="E1847" s="15" t="s">
        <v>2506</v>
      </c>
      <c r="F1847" s="15" t="s">
        <v>2506</v>
      </c>
      <c r="G1847" s="15" t="s">
        <v>2506</v>
      </c>
      <c r="H1847" s="139"/>
      <c r="I1847" s="3" t="s">
        <v>2374</v>
      </c>
      <c r="J1847" s="1" t="s">
        <v>3322</v>
      </c>
      <c r="K1847" s="1" t="s">
        <v>3269</v>
      </c>
      <c r="L1847" s="1" t="s">
        <v>35</v>
      </c>
      <c r="M1847" s="15" t="s">
        <v>2438</v>
      </c>
      <c r="N1847" s="15"/>
      <c r="O1847" s="8" t="s">
        <v>40</v>
      </c>
      <c r="P1847" s="8" t="s">
        <v>41</v>
      </c>
      <c r="Q1847" s="9">
        <v>0</v>
      </c>
      <c r="R1847" s="138"/>
      <c r="T1847" s="18">
        <v>6.0000000021318556E-3</v>
      </c>
      <c r="U1847" s="4">
        <v>0</v>
      </c>
      <c r="V1847" s="4">
        <v>0</v>
      </c>
      <c r="W1847" s="13">
        <f t="shared" si="264"/>
        <v>6.0000000021318556E-3</v>
      </c>
      <c r="X1847" s="13">
        <f t="shared" si="265"/>
        <v>0</v>
      </c>
      <c r="Y1847" s="13">
        <f t="shared" si="267"/>
        <v>0</v>
      </c>
      <c r="Z1847" s="2">
        <v>0</v>
      </c>
      <c r="AA1847" s="4">
        <v>0</v>
      </c>
      <c r="AB1847" s="4">
        <f t="shared" si="268"/>
        <v>0</v>
      </c>
      <c r="AC1847" s="6">
        <f t="shared" si="269"/>
        <v>0</v>
      </c>
      <c r="AD1847" s="4">
        <v>0</v>
      </c>
      <c r="AE1847" s="2">
        <v>7.0000000000000007E-2</v>
      </c>
      <c r="AF1847" s="5">
        <f t="shared" si="270"/>
        <v>0</v>
      </c>
      <c r="AG1847" s="9">
        <v>0.4</v>
      </c>
      <c r="AH1847" s="4">
        <f t="shared" si="266"/>
        <v>0</v>
      </c>
      <c r="AJ1847" s="126" t="e">
        <v>#N/A</v>
      </c>
      <c r="AK1847" s="80">
        <f t="shared" si="271"/>
        <v>0</v>
      </c>
      <c r="AM1847" s="85"/>
    </row>
    <row r="1848" spans="1:39" hidden="1" x14ac:dyDescent="0.3">
      <c r="A1848" s="85" t="s">
        <v>34</v>
      </c>
      <c r="B1848" s="15" t="s">
        <v>35</v>
      </c>
      <c r="C1848" s="15" t="s">
        <v>187</v>
      </c>
      <c r="D1848" s="15" t="s">
        <v>188</v>
      </c>
      <c r="E1848" s="15" t="s">
        <v>2507</v>
      </c>
      <c r="F1848" s="15" t="s">
        <v>2507</v>
      </c>
      <c r="G1848" s="15" t="s">
        <v>2507</v>
      </c>
      <c r="H1848" s="139"/>
      <c r="I1848" s="3" t="s">
        <v>2374</v>
      </c>
      <c r="J1848" s="1" t="s">
        <v>3322</v>
      </c>
      <c r="K1848" s="1" t="s">
        <v>3269</v>
      </c>
      <c r="L1848" s="1" t="s">
        <v>35</v>
      </c>
      <c r="M1848" s="15" t="s">
        <v>2438</v>
      </c>
      <c r="N1848" s="15"/>
      <c r="O1848" s="8" t="s">
        <v>45</v>
      </c>
      <c r="P1848" s="8" t="s">
        <v>46</v>
      </c>
      <c r="Q1848" s="9">
        <v>0.04</v>
      </c>
      <c r="R1848" s="138"/>
      <c r="T1848" s="18">
        <v>12422.418899999999</v>
      </c>
      <c r="U1848" s="4">
        <v>0</v>
      </c>
      <c r="V1848" s="4">
        <v>0</v>
      </c>
      <c r="W1848" s="13">
        <f t="shared" si="264"/>
        <v>12422.418899999999</v>
      </c>
      <c r="X1848" s="13">
        <f t="shared" si="265"/>
        <v>0</v>
      </c>
      <c r="Y1848" s="13">
        <f t="shared" si="267"/>
        <v>0</v>
      </c>
      <c r="Z1848" s="2">
        <v>0</v>
      </c>
      <c r="AA1848" s="4">
        <v>0</v>
      </c>
      <c r="AB1848" s="4">
        <f t="shared" si="268"/>
        <v>0</v>
      </c>
      <c r="AC1848" s="6">
        <f t="shared" si="269"/>
        <v>0</v>
      </c>
      <c r="AD1848" s="4">
        <v>0</v>
      </c>
      <c r="AE1848" s="2">
        <v>0.06</v>
      </c>
      <c r="AF1848" s="5">
        <f t="shared" si="270"/>
        <v>0</v>
      </c>
      <c r="AG1848" s="9">
        <v>0.37</v>
      </c>
      <c r="AH1848" s="4">
        <f t="shared" si="266"/>
        <v>0</v>
      </c>
      <c r="AJ1848" s="126" t="e">
        <v>#N/A</v>
      </c>
      <c r="AK1848" s="80">
        <f t="shared" si="271"/>
        <v>0</v>
      </c>
      <c r="AM1848" s="85"/>
    </row>
    <row r="1849" spans="1:39" hidden="1" x14ac:dyDescent="0.3">
      <c r="A1849" s="85" t="s">
        <v>34</v>
      </c>
      <c r="B1849" s="15" t="s">
        <v>35</v>
      </c>
      <c r="C1849" s="15" t="s">
        <v>187</v>
      </c>
      <c r="D1849" s="15" t="s">
        <v>188</v>
      </c>
      <c r="E1849" s="15" t="s">
        <v>2507</v>
      </c>
      <c r="F1849" s="15" t="s">
        <v>2507</v>
      </c>
      <c r="G1849" s="15" t="s">
        <v>2507</v>
      </c>
      <c r="H1849" s="139"/>
      <c r="I1849" s="3" t="s">
        <v>2374</v>
      </c>
      <c r="J1849" s="1" t="s">
        <v>3322</v>
      </c>
      <c r="K1849" s="1" t="s">
        <v>3269</v>
      </c>
      <c r="L1849" s="1" t="s">
        <v>35</v>
      </c>
      <c r="M1849" s="15" t="s">
        <v>2438</v>
      </c>
      <c r="N1849" s="15"/>
      <c r="O1849" s="8" t="s">
        <v>40</v>
      </c>
      <c r="P1849" s="8" t="s">
        <v>46</v>
      </c>
      <c r="Q1849" s="9">
        <v>0.05</v>
      </c>
      <c r="R1849" s="138"/>
      <c r="T1849" s="18">
        <v>4315.6180000000031</v>
      </c>
      <c r="U1849" s="4">
        <v>0</v>
      </c>
      <c r="V1849" s="4">
        <v>0</v>
      </c>
      <c r="W1849" s="13">
        <f t="shared" si="264"/>
        <v>4315.6180000000031</v>
      </c>
      <c r="X1849" s="13">
        <f t="shared" si="265"/>
        <v>0</v>
      </c>
      <c r="Y1849" s="13">
        <f t="shared" si="267"/>
        <v>0</v>
      </c>
      <c r="Z1849" s="2">
        <v>0</v>
      </c>
      <c r="AA1849" s="4">
        <v>0</v>
      </c>
      <c r="AB1849" s="4">
        <f t="shared" si="268"/>
        <v>0</v>
      </c>
      <c r="AC1849" s="6">
        <f t="shared" si="269"/>
        <v>0</v>
      </c>
      <c r="AD1849" s="4">
        <v>0</v>
      </c>
      <c r="AE1849" s="2">
        <v>7.0000000000000007E-2</v>
      </c>
      <c r="AF1849" s="5">
        <f t="shared" si="270"/>
        <v>0</v>
      </c>
      <c r="AG1849" s="9">
        <v>0.4</v>
      </c>
      <c r="AH1849" s="4">
        <f t="shared" si="266"/>
        <v>0</v>
      </c>
      <c r="AJ1849" s="126" t="e">
        <v>#N/A</v>
      </c>
      <c r="AK1849" s="80">
        <f t="shared" si="271"/>
        <v>0</v>
      </c>
      <c r="AM1849" s="85"/>
    </row>
    <row r="1850" spans="1:39" hidden="1" x14ac:dyDescent="0.3">
      <c r="A1850" s="85" t="s">
        <v>34</v>
      </c>
      <c r="B1850" s="15" t="s">
        <v>35</v>
      </c>
      <c r="C1850" s="15" t="s">
        <v>187</v>
      </c>
      <c r="D1850" s="15" t="s">
        <v>188</v>
      </c>
      <c r="E1850" s="15" t="s">
        <v>2508</v>
      </c>
      <c r="F1850" s="15" t="s">
        <v>2508</v>
      </c>
      <c r="G1850" s="15" t="s">
        <v>2508</v>
      </c>
      <c r="H1850" s="139"/>
      <c r="I1850" s="3" t="s">
        <v>2374</v>
      </c>
      <c r="J1850" s="1" t="s">
        <v>3322</v>
      </c>
      <c r="K1850" s="1" t="s">
        <v>3269</v>
      </c>
      <c r="L1850" s="1" t="s">
        <v>35</v>
      </c>
      <c r="M1850" s="15" t="s">
        <v>2438</v>
      </c>
      <c r="N1850" s="15"/>
      <c r="O1850" s="8" t="s">
        <v>40</v>
      </c>
      <c r="P1850" s="8" t="s">
        <v>41</v>
      </c>
      <c r="Q1850" s="9">
        <v>0</v>
      </c>
      <c r="R1850" s="138"/>
      <c r="T1850" s="18">
        <v>-536.93690000008792</v>
      </c>
      <c r="U1850" s="4">
        <v>0</v>
      </c>
      <c r="V1850" s="4">
        <v>0</v>
      </c>
      <c r="W1850" s="13">
        <f t="shared" si="264"/>
        <v>-536.93690000008792</v>
      </c>
      <c r="X1850" s="13">
        <f t="shared" si="265"/>
        <v>0</v>
      </c>
      <c r="Y1850" s="13">
        <f t="shared" si="267"/>
        <v>0</v>
      </c>
      <c r="Z1850" s="2">
        <v>0</v>
      </c>
      <c r="AA1850" s="4">
        <v>0</v>
      </c>
      <c r="AB1850" s="4">
        <f t="shared" si="268"/>
        <v>0</v>
      </c>
      <c r="AC1850" s="6">
        <f t="shared" si="269"/>
        <v>0</v>
      </c>
      <c r="AD1850" s="4">
        <v>0</v>
      </c>
      <c r="AE1850" s="2">
        <v>7.0000000000000007E-2</v>
      </c>
      <c r="AF1850" s="5">
        <f t="shared" si="270"/>
        <v>0</v>
      </c>
      <c r="AG1850" s="9">
        <v>0.4</v>
      </c>
      <c r="AH1850" s="4">
        <f t="shared" si="266"/>
        <v>0</v>
      </c>
      <c r="AJ1850" s="126" t="e">
        <v>#N/A</v>
      </c>
      <c r="AK1850" s="80">
        <f t="shared" si="271"/>
        <v>0</v>
      </c>
      <c r="AM1850" s="85"/>
    </row>
    <row r="1851" spans="1:39" hidden="1" x14ac:dyDescent="0.3">
      <c r="A1851" s="85" t="s">
        <v>34</v>
      </c>
      <c r="B1851" s="15" t="s">
        <v>35</v>
      </c>
      <c r="C1851" s="15" t="s">
        <v>47</v>
      </c>
      <c r="D1851" s="15" t="s">
        <v>63</v>
      </c>
      <c r="E1851" s="15" t="s">
        <v>2388</v>
      </c>
      <c r="F1851" s="15" t="s">
        <v>2509</v>
      </c>
      <c r="G1851" s="15" t="s">
        <v>2388</v>
      </c>
      <c r="H1851" s="139"/>
      <c r="I1851" s="3" t="s">
        <v>2374</v>
      </c>
      <c r="J1851" s="1" t="s">
        <v>3322</v>
      </c>
      <c r="K1851" s="1" t="s">
        <v>3269</v>
      </c>
      <c r="L1851" s="1" t="s">
        <v>35</v>
      </c>
      <c r="M1851" s="15" t="s">
        <v>2390</v>
      </c>
      <c r="N1851" s="15"/>
      <c r="O1851" s="8" t="s">
        <v>410</v>
      </c>
      <c r="P1851" s="8" t="s">
        <v>46</v>
      </c>
      <c r="Q1851" s="9">
        <v>0.06</v>
      </c>
      <c r="R1851" s="138"/>
      <c r="T1851" s="18">
        <v>52779.029999999329</v>
      </c>
      <c r="U1851" s="4">
        <v>0</v>
      </c>
      <c r="V1851" s="4">
        <v>0</v>
      </c>
      <c r="W1851" s="13">
        <f t="shared" si="264"/>
        <v>52779.029999999329</v>
      </c>
      <c r="X1851" s="13">
        <f t="shared" si="265"/>
        <v>0</v>
      </c>
      <c r="Y1851" s="13">
        <f t="shared" si="267"/>
        <v>0</v>
      </c>
      <c r="Z1851" s="2">
        <v>0</v>
      </c>
      <c r="AA1851" s="4">
        <v>0</v>
      </c>
      <c r="AB1851" s="4">
        <f t="shared" si="268"/>
        <v>0</v>
      </c>
      <c r="AC1851" s="6">
        <f t="shared" si="269"/>
        <v>0</v>
      </c>
      <c r="AD1851" s="4">
        <v>0</v>
      </c>
      <c r="AE1851" s="2">
        <v>0</v>
      </c>
      <c r="AF1851" s="5">
        <f t="shared" si="270"/>
        <v>0</v>
      </c>
      <c r="AG1851" s="9">
        <v>0.16</v>
      </c>
      <c r="AH1851" s="4">
        <f t="shared" si="266"/>
        <v>0</v>
      </c>
      <c r="AJ1851" s="126" t="e">
        <v>#N/A</v>
      </c>
      <c r="AK1851" s="80">
        <f t="shared" si="271"/>
        <v>0</v>
      </c>
      <c r="AM1851" s="85"/>
    </row>
    <row r="1852" spans="1:39" hidden="1" x14ac:dyDescent="0.3">
      <c r="A1852" s="85" t="s">
        <v>34</v>
      </c>
      <c r="B1852" s="15" t="s">
        <v>35</v>
      </c>
      <c r="C1852" s="15" t="s">
        <v>47</v>
      </c>
      <c r="D1852" s="15" t="s">
        <v>63</v>
      </c>
      <c r="E1852" s="15" t="s">
        <v>2388</v>
      </c>
      <c r="F1852" s="15" t="s">
        <v>2510</v>
      </c>
      <c r="G1852" s="15" t="s">
        <v>2388</v>
      </c>
      <c r="H1852" s="139"/>
      <c r="I1852" s="3" t="s">
        <v>2374</v>
      </c>
      <c r="J1852" s="1" t="s">
        <v>3322</v>
      </c>
      <c r="K1852" s="1" t="s">
        <v>3269</v>
      </c>
      <c r="L1852" s="1" t="s">
        <v>35</v>
      </c>
      <c r="M1852" s="15" t="s">
        <v>2390</v>
      </c>
      <c r="N1852" s="15"/>
      <c r="O1852" s="8" t="s">
        <v>45</v>
      </c>
      <c r="P1852" s="8" t="s">
        <v>41</v>
      </c>
      <c r="Q1852" s="9">
        <v>0</v>
      </c>
      <c r="R1852" s="138"/>
      <c r="T1852" s="18">
        <v>-20003231.118000001</v>
      </c>
      <c r="U1852" s="4">
        <v>0</v>
      </c>
      <c r="V1852" s="4">
        <v>0</v>
      </c>
      <c r="W1852" s="13">
        <f t="shared" si="264"/>
        <v>-20003231.118000001</v>
      </c>
      <c r="X1852" s="13">
        <f t="shared" si="265"/>
        <v>0</v>
      </c>
      <c r="Y1852" s="13">
        <f t="shared" si="267"/>
        <v>0</v>
      </c>
      <c r="Z1852" s="2">
        <v>0</v>
      </c>
      <c r="AA1852" s="4">
        <v>0</v>
      </c>
      <c r="AB1852" s="4">
        <f t="shared" si="268"/>
        <v>0</v>
      </c>
      <c r="AC1852" s="6">
        <f t="shared" si="269"/>
        <v>0</v>
      </c>
      <c r="AD1852" s="4">
        <v>0</v>
      </c>
      <c r="AE1852" s="2">
        <v>0.06</v>
      </c>
      <c r="AF1852" s="5">
        <f t="shared" si="270"/>
        <v>0</v>
      </c>
      <c r="AG1852" s="9">
        <v>0.3</v>
      </c>
      <c r="AH1852" s="4">
        <f t="shared" si="266"/>
        <v>0</v>
      </c>
      <c r="AJ1852" s="126" t="e">
        <v>#N/A</v>
      </c>
      <c r="AK1852" s="80">
        <f t="shared" si="271"/>
        <v>0</v>
      </c>
      <c r="AM1852" s="85"/>
    </row>
    <row r="1853" spans="1:39" hidden="1" x14ac:dyDescent="0.3">
      <c r="A1853" s="85" t="s">
        <v>34</v>
      </c>
      <c r="B1853" s="15" t="s">
        <v>35</v>
      </c>
      <c r="C1853" s="15" t="s">
        <v>47</v>
      </c>
      <c r="D1853" s="15" t="s">
        <v>63</v>
      </c>
      <c r="E1853" s="15" t="s">
        <v>2511</v>
      </c>
      <c r="F1853" s="15" t="s">
        <v>2511</v>
      </c>
      <c r="G1853" s="15" t="s">
        <v>2511</v>
      </c>
      <c r="H1853" s="139"/>
      <c r="I1853" s="3" t="s">
        <v>2374</v>
      </c>
      <c r="J1853" s="1" t="s">
        <v>3322</v>
      </c>
      <c r="K1853" s="1" t="s">
        <v>3269</v>
      </c>
      <c r="L1853" s="1" t="s">
        <v>35</v>
      </c>
      <c r="M1853" s="15" t="s">
        <v>2390</v>
      </c>
      <c r="N1853" s="15"/>
      <c r="O1853" s="8" t="s">
        <v>45</v>
      </c>
      <c r="P1853" s="8" t="s">
        <v>46</v>
      </c>
      <c r="Q1853" s="9">
        <v>5.2600000000000001E-2</v>
      </c>
      <c r="R1853" s="138"/>
      <c r="T1853" s="18">
        <v>877.33400000000245</v>
      </c>
      <c r="U1853" s="4">
        <v>0</v>
      </c>
      <c r="V1853" s="4">
        <v>0</v>
      </c>
      <c r="W1853" s="13">
        <f t="shared" si="264"/>
        <v>877.33400000000245</v>
      </c>
      <c r="X1853" s="13">
        <f t="shared" si="265"/>
        <v>0</v>
      </c>
      <c r="Y1853" s="13">
        <f t="shared" si="267"/>
        <v>0</v>
      </c>
      <c r="Z1853" s="2">
        <v>0</v>
      </c>
      <c r="AA1853" s="4">
        <v>0</v>
      </c>
      <c r="AB1853" s="4">
        <f t="shared" si="268"/>
        <v>0</v>
      </c>
      <c r="AC1853" s="6">
        <f t="shared" si="269"/>
        <v>0</v>
      </c>
      <c r="AD1853" s="4">
        <v>0</v>
      </c>
      <c r="AE1853" s="2">
        <v>0.06</v>
      </c>
      <c r="AF1853" s="5">
        <f t="shared" si="270"/>
        <v>0</v>
      </c>
      <c r="AG1853" s="9">
        <v>0.3</v>
      </c>
      <c r="AH1853" s="4">
        <f t="shared" si="266"/>
        <v>0</v>
      </c>
      <c r="AJ1853" s="126" t="e">
        <v>#N/A</v>
      </c>
      <c r="AK1853" s="80">
        <f t="shared" si="271"/>
        <v>0</v>
      </c>
      <c r="AM1853" s="85"/>
    </row>
    <row r="1854" spans="1:39" hidden="1" x14ac:dyDescent="0.3">
      <c r="A1854" s="85" t="s">
        <v>34</v>
      </c>
      <c r="B1854" s="15" t="s">
        <v>35</v>
      </c>
      <c r="C1854" s="15" t="s">
        <v>47</v>
      </c>
      <c r="D1854" s="15" t="s">
        <v>63</v>
      </c>
      <c r="E1854" s="15" t="s">
        <v>2418</v>
      </c>
      <c r="F1854" s="15" t="s">
        <v>2512</v>
      </c>
      <c r="G1854" s="15" t="s">
        <v>2418</v>
      </c>
      <c r="H1854" s="139"/>
      <c r="I1854" s="3" t="s">
        <v>2374</v>
      </c>
      <c r="J1854" s="1" t="s">
        <v>3322</v>
      </c>
      <c r="K1854" s="1" t="s">
        <v>3269</v>
      </c>
      <c r="L1854" s="1" t="s">
        <v>35</v>
      </c>
      <c r="M1854" s="15" t="s">
        <v>2504</v>
      </c>
      <c r="N1854" s="15"/>
      <c r="O1854" s="8" t="s">
        <v>45</v>
      </c>
      <c r="P1854" s="8" t="s">
        <v>46</v>
      </c>
      <c r="Q1854" s="9">
        <v>5.5E-2</v>
      </c>
      <c r="R1854" s="138"/>
      <c r="T1854" s="18">
        <v>19288.310000000001</v>
      </c>
      <c r="U1854" s="4">
        <v>0</v>
      </c>
      <c r="V1854" s="4">
        <v>0</v>
      </c>
      <c r="W1854" s="13">
        <f t="shared" si="264"/>
        <v>19288.310000000001</v>
      </c>
      <c r="X1854" s="13">
        <f t="shared" si="265"/>
        <v>0</v>
      </c>
      <c r="Y1854" s="13">
        <f t="shared" si="267"/>
        <v>0</v>
      </c>
      <c r="Z1854" s="2">
        <v>0</v>
      </c>
      <c r="AA1854" s="4">
        <v>0</v>
      </c>
      <c r="AB1854" s="4">
        <f t="shared" si="268"/>
        <v>0</v>
      </c>
      <c r="AC1854" s="6">
        <f t="shared" si="269"/>
        <v>0</v>
      </c>
      <c r="AD1854" s="4">
        <v>1245.0299999999997</v>
      </c>
      <c r="AE1854" s="2">
        <v>0.06</v>
      </c>
      <c r="AF1854" s="5">
        <f t="shared" si="270"/>
        <v>74.701799999999977</v>
      </c>
      <c r="AG1854" s="9">
        <v>0.1</v>
      </c>
      <c r="AH1854" s="4">
        <f t="shared" si="266"/>
        <v>0</v>
      </c>
      <c r="AJ1854" s="126" t="e">
        <v>#N/A</v>
      </c>
      <c r="AK1854" s="80">
        <f t="shared" si="271"/>
        <v>0</v>
      </c>
      <c r="AM1854" s="85"/>
    </row>
    <row r="1855" spans="1:39" hidden="1" x14ac:dyDescent="0.3">
      <c r="A1855" s="85" t="s">
        <v>34</v>
      </c>
      <c r="B1855" s="15" t="s">
        <v>35</v>
      </c>
      <c r="C1855" s="15" t="s">
        <v>47</v>
      </c>
      <c r="D1855" s="15" t="s">
        <v>63</v>
      </c>
      <c r="E1855" s="15" t="s">
        <v>2418</v>
      </c>
      <c r="F1855" s="15" t="s">
        <v>2512</v>
      </c>
      <c r="G1855" s="15" t="s">
        <v>2418</v>
      </c>
      <c r="H1855" s="139"/>
      <c r="I1855" s="3" t="s">
        <v>2374</v>
      </c>
      <c r="J1855" s="1" t="s">
        <v>3322</v>
      </c>
      <c r="K1855" s="1" t="s">
        <v>3269</v>
      </c>
      <c r="L1855" s="1" t="s">
        <v>35</v>
      </c>
      <c r="M1855" s="15" t="s">
        <v>2504</v>
      </c>
      <c r="N1855" s="15"/>
      <c r="O1855" s="8" t="s">
        <v>40</v>
      </c>
      <c r="P1855" s="8" t="s">
        <v>46</v>
      </c>
      <c r="Q1855" s="9">
        <v>5.5E-2</v>
      </c>
      <c r="R1855" s="138"/>
      <c r="T1855" s="18">
        <v>13050</v>
      </c>
      <c r="U1855" s="4">
        <v>0</v>
      </c>
      <c r="V1855" s="4">
        <v>0</v>
      </c>
      <c r="W1855" s="13">
        <f t="shared" si="264"/>
        <v>13050</v>
      </c>
      <c r="X1855" s="13">
        <f t="shared" si="265"/>
        <v>0</v>
      </c>
      <c r="Y1855" s="13">
        <f t="shared" si="267"/>
        <v>0</v>
      </c>
      <c r="Z1855" s="2">
        <v>0</v>
      </c>
      <c r="AA1855" s="4">
        <v>0</v>
      </c>
      <c r="AB1855" s="4">
        <f t="shared" si="268"/>
        <v>0</v>
      </c>
      <c r="AC1855" s="6">
        <f t="shared" si="269"/>
        <v>0</v>
      </c>
      <c r="AD1855" s="4">
        <v>0</v>
      </c>
      <c r="AE1855" s="2">
        <v>7.0000000000000007E-2</v>
      </c>
      <c r="AF1855" s="5">
        <f t="shared" si="270"/>
        <v>0</v>
      </c>
      <c r="AG1855" s="9">
        <v>0.25</v>
      </c>
      <c r="AH1855" s="4">
        <f t="shared" si="266"/>
        <v>0</v>
      </c>
      <c r="AJ1855" s="126" t="e">
        <v>#N/A</v>
      </c>
      <c r="AK1855" s="80">
        <f t="shared" si="271"/>
        <v>0</v>
      </c>
      <c r="AM1855" s="85"/>
    </row>
    <row r="1856" spans="1:39" hidden="1" x14ac:dyDescent="0.3">
      <c r="A1856" s="85" t="s">
        <v>34</v>
      </c>
      <c r="B1856" s="15" t="s">
        <v>35</v>
      </c>
      <c r="C1856" s="15" t="s">
        <v>47</v>
      </c>
      <c r="D1856" s="15" t="s">
        <v>63</v>
      </c>
      <c r="E1856" s="15" t="s">
        <v>134</v>
      </c>
      <c r="F1856" s="15" t="s">
        <v>134</v>
      </c>
      <c r="G1856" s="15" t="s">
        <v>134</v>
      </c>
      <c r="H1856" s="154"/>
      <c r="I1856" s="3" t="s">
        <v>2374</v>
      </c>
      <c r="J1856" s="1" t="s">
        <v>3322</v>
      </c>
      <c r="K1856" s="1" t="s">
        <v>3269</v>
      </c>
      <c r="L1856" s="1" t="s">
        <v>35</v>
      </c>
      <c r="M1856" s="15" t="s">
        <v>134</v>
      </c>
      <c r="N1856" s="15"/>
      <c r="O1856" s="8" t="s">
        <v>40</v>
      </c>
      <c r="P1856" s="8" t="s">
        <v>46</v>
      </c>
      <c r="Q1856" s="9">
        <v>0.03</v>
      </c>
      <c r="R1856" s="138"/>
      <c r="T1856" s="18">
        <v>309943.44000000006</v>
      </c>
      <c r="U1856" s="4">
        <v>0</v>
      </c>
      <c r="V1856" s="4">
        <v>1057.4100000000001</v>
      </c>
      <c r="W1856" s="13">
        <f t="shared" ref="W1856:W1919" si="272">T1856+U1856-V1856</f>
        <v>308886.03000000009</v>
      </c>
      <c r="X1856" s="13">
        <f t="shared" si="265"/>
        <v>1026.6116504854369</v>
      </c>
      <c r="Y1856" s="13">
        <f t="shared" si="267"/>
        <v>1026.6116504854369</v>
      </c>
      <c r="Z1856" s="2">
        <v>0</v>
      </c>
      <c r="AA1856" s="4">
        <v>0</v>
      </c>
      <c r="AB1856" s="4">
        <f t="shared" si="268"/>
        <v>1026.6116504854369</v>
      </c>
      <c r="AC1856" s="6">
        <f t="shared" si="269"/>
        <v>30.798349514563142</v>
      </c>
      <c r="AD1856" s="4">
        <v>0</v>
      </c>
      <c r="AE1856" s="2">
        <v>7.0000000000000007E-2</v>
      </c>
      <c r="AF1856" s="5">
        <f t="shared" si="270"/>
        <v>0</v>
      </c>
      <c r="AG1856" s="9">
        <v>0</v>
      </c>
      <c r="AH1856" s="4">
        <f t="shared" si="266"/>
        <v>1057.4100000000001</v>
      </c>
      <c r="AJ1856" s="126" t="e">
        <v>#N/A</v>
      </c>
      <c r="AK1856" s="80">
        <f t="shared" si="271"/>
        <v>0</v>
      </c>
      <c r="AM1856" s="85"/>
    </row>
    <row r="1857" spans="1:39" hidden="1" x14ac:dyDescent="0.3">
      <c r="A1857" s="85" t="s">
        <v>34</v>
      </c>
      <c r="B1857" s="15" t="s">
        <v>35</v>
      </c>
      <c r="C1857" s="15" t="s">
        <v>47</v>
      </c>
      <c r="D1857" s="15" t="s">
        <v>48</v>
      </c>
      <c r="E1857" s="15" t="s">
        <v>2482</v>
      </c>
      <c r="F1857" s="15" t="s">
        <v>2483</v>
      </c>
      <c r="G1857" s="15" t="s">
        <v>2482</v>
      </c>
      <c r="H1857" s="139"/>
      <c r="I1857" s="3" t="s">
        <v>2374</v>
      </c>
      <c r="J1857" s="1" t="s">
        <v>3322</v>
      </c>
      <c r="K1857" s="1" t="s">
        <v>3269</v>
      </c>
      <c r="L1857" s="1" t="s">
        <v>35</v>
      </c>
      <c r="M1857" s="15" t="s">
        <v>2482</v>
      </c>
      <c r="N1857" s="15"/>
      <c r="O1857" s="8" t="s">
        <v>40</v>
      </c>
      <c r="P1857" s="8" t="s">
        <v>41</v>
      </c>
      <c r="Q1857" s="9">
        <v>0</v>
      </c>
      <c r="R1857" s="138"/>
      <c r="T1857" s="18">
        <v>2747.1099999999988</v>
      </c>
      <c r="U1857" s="4">
        <v>0</v>
      </c>
      <c r="V1857" s="4">
        <v>0</v>
      </c>
      <c r="W1857" s="13">
        <f t="shared" si="272"/>
        <v>2747.1099999999988</v>
      </c>
      <c r="X1857" s="13">
        <f t="shared" ref="X1857:X1920" si="273">IF(P1857="折扣",V1857*Q1857,IF(P1857="返现",V1857,V1857/(1+Q1857+AG1857)))</f>
        <v>0</v>
      </c>
      <c r="Y1857" s="13">
        <f t="shared" si="267"/>
        <v>0</v>
      </c>
      <c r="Z1857" s="2">
        <v>0</v>
      </c>
      <c r="AA1857" s="4">
        <v>0</v>
      </c>
      <c r="AB1857" s="4">
        <f t="shared" si="268"/>
        <v>0</v>
      </c>
      <c r="AC1857" s="6">
        <f t="shared" si="269"/>
        <v>0</v>
      </c>
      <c r="AD1857" s="4">
        <v>0</v>
      </c>
      <c r="AE1857" s="2">
        <v>7.0000000000000007E-2</v>
      </c>
      <c r="AF1857" s="5">
        <f t="shared" si="270"/>
        <v>0</v>
      </c>
      <c r="AG1857" s="9">
        <v>0</v>
      </c>
      <c r="AH1857" s="4">
        <f t="shared" ref="AH1857:AH1920" si="274">V1857/(1+AG1857)</f>
        <v>0</v>
      </c>
      <c r="AJ1857" s="126" t="e">
        <v>#N/A</v>
      </c>
      <c r="AK1857" s="80">
        <f t="shared" si="271"/>
        <v>0</v>
      </c>
      <c r="AM1857" s="85"/>
    </row>
    <row r="1858" spans="1:39" hidden="1" x14ac:dyDescent="0.3">
      <c r="A1858" s="85" t="s">
        <v>34</v>
      </c>
      <c r="B1858" s="15" t="s">
        <v>35</v>
      </c>
      <c r="C1858" s="15" t="s">
        <v>187</v>
      </c>
      <c r="D1858" s="15" t="s">
        <v>188</v>
      </c>
      <c r="E1858" s="15" t="s">
        <v>2439</v>
      </c>
      <c r="F1858" s="15" t="s">
        <v>2439</v>
      </c>
      <c r="G1858" s="15" t="s">
        <v>2439</v>
      </c>
      <c r="H1858" s="139"/>
      <c r="I1858" s="3" t="s">
        <v>2374</v>
      </c>
      <c r="J1858" s="1" t="s">
        <v>3322</v>
      </c>
      <c r="K1858" s="1" t="s">
        <v>3269</v>
      </c>
      <c r="L1858" s="1" t="s">
        <v>35</v>
      </c>
      <c r="M1858" s="15" t="s">
        <v>2438</v>
      </c>
      <c r="N1858" s="15"/>
      <c r="O1858" s="8" t="s">
        <v>40</v>
      </c>
      <c r="P1858" s="8" t="s">
        <v>46</v>
      </c>
      <c r="Q1858" s="9">
        <v>0.06</v>
      </c>
      <c r="R1858" s="138"/>
      <c r="T1858" s="18">
        <v>37388.965999999986</v>
      </c>
      <c r="U1858" s="4">
        <v>0</v>
      </c>
      <c r="V1858" s="4">
        <v>0</v>
      </c>
      <c r="W1858" s="13">
        <f t="shared" si="272"/>
        <v>37388.965999999986</v>
      </c>
      <c r="X1858" s="13">
        <f t="shared" si="273"/>
        <v>0</v>
      </c>
      <c r="Y1858" s="13">
        <f t="shared" si="267"/>
        <v>0</v>
      </c>
      <c r="Z1858" s="2">
        <v>0</v>
      </c>
      <c r="AA1858" s="4">
        <v>0</v>
      </c>
      <c r="AB1858" s="4">
        <f t="shared" si="268"/>
        <v>0</v>
      </c>
      <c r="AC1858" s="6">
        <f t="shared" si="269"/>
        <v>0</v>
      </c>
      <c r="AD1858" s="4">
        <v>0</v>
      </c>
      <c r="AE1858" s="2">
        <v>7.0000000000000007E-2</v>
      </c>
      <c r="AF1858" s="5">
        <f t="shared" si="270"/>
        <v>0</v>
      </c>
      <c r="AG1858" s="9">
        <v>0.4</v>
      </c>
      <c r="AH1858" s="4">
        <f t="shared" si="274"/>
        <v>0</v>
      </c>
      <c r="AJ1858" s="126" t="e">
        <v>#N/A</v>
      </c>
      <c r="AK1858" s="80">
        <f t="shared" si="271"/>
        <v>0</v>
      </c>
      <c r="AM1858" s="85"/>
    </row>
    <row r="1859" spans="1:39" hidden="1" x14ac:dyDescent="0.3">
      <c r="A1859" s="85" t="s">
        <v>34</v>
      </c>
      <c r="B1859" s="15" t="s">
        <v>35</v>
      </c>
      <c r="C1859" s="15" t="s">
        <v>187</v>
      </c>
      <c r="D1859" s="15" t="s">
        <v>188</v>
      </c>
      <c r="E1859" s="15" t="s">
        <v>2513</v>
      </c>
      <c r="F1859" s="15" t="s">
        <v>2513</v>
      </c>
      <c r="G1859" s="15" t="s">
        <v>2513</v>
      </c>
      <c r="H1859" s="139"/>
      <c r="I1859" s="3" t="s">
        <v>2374</v>
      </c>
      <c r="J1859" s="1" t="s">
        <v>3322</v>
      </c>
      <c r="K1859" s="1" t="s">
        <v>3269</v>
      </c>
      <c r="L1859" s="1" t="s">
        <v>35</v>
      </c>
      <c r="M1859" s="15" t="s">
        <v>2438</v>
      </c>
      <c r="N1859" s="15"/>
      <c r="O1859" s="8" t="s">
        <v>40</v>
      </c>
      <c r="P1859" s="8" t="s">
        <v>46</v>
      </c>
      <c r="Q1859" s="9">
        <v>0.01</v>
      </c>
      <c r="R1859" s="138"/>
      <c r="T1859" s="18">
        <v>58070.141999999985</v>
      </c>
      <c r="U1859" s="4">
        <v>0</v>
      </c>
      <c r="V1859" s="4">
        <v>0</v>
      </c>
      <c r="W1859" s="13">
        <f t="shared" si="272"/>
        <v>58070.141999999985</v>
      </c>
      <c r="X1859" s="13">
        <f t="shared" si="273"/>
        <v>0</v>
      </c>
      <c r="Y1859" s="13">
        <f t="shared" ref="Y1859:Y1922" si="275">IF(X1859-AD1859&lt;=0,0,IF(P1859="返现",MAX(X1859-AC1859-AD1859,0),MAX(X1859-AD1859)))</f>
        <v>0</v>
      </c>
      <c r="Z1859" s="2">
        <v>0</v>
      </c>
      <c r="AA1859" s="4">
        <v>0</v>
      </c>
      <c r="AB1859" s="4">
        <f t="shared" ref="AB1859:AB1922" si="276">X1859+AA1859</f>
        <v>0</v>
      </c>
      <c r="AC1859" s="6">
        <f t="shared" ref="AC1859:AC1922" si="277">IF(P1859="返现",X1859*Q1859,V1859-X1859)</f>
        <v>0</v>
      </c>
      <c r="AD1859" s="4">
        <v>0</v>
      </c>
      <c r="AE1859" s="2">
        <v>7.0000000000000007E-2</v>
      </c>
      <c r="AF1859" s="5">
        <f t="shared" ref="AF1859:AF1922" si="278">AD1859*AE1859</f>
        <v>0</v>
      </c>
      <c r="AG1859" s="9">
        <v>0.4</v>
      </c>
      <c r="AH1859" s="4">
        <f t="shared" si="274"/>
        <v>0</v>
      </c>
      <c r="AJ1859" s="126" t="e">
        <v>#N/A</v>
      </c>
      <c r="AK1859" s="80">
        <f t="shared" ref="AK1859:AK1922" si="279">X1859+AA1859-AB1859</f>
        <v>0</v>
      </c>
      <c r="AM1859" s="85"/>
    </row>
    <row r="1860" spans="1:39" hidden="1" x14ac:dyDescent="0.3">
      <c r="A1860" s="85" t="s">
        <v>34</v>
      </c>
      <c r="B1860" s="15" t="s">
        <v>35</v>
      </c>
      <c r="C1860" s="15" t="s">
        <v>187</v>
      </c>
      <c r="D1860" s="15" t="s">
        <v>188</v>
      </c>
      <c r="E1860" s="15" t="s">
        <v>2460</v>
      </c>
      <c r="F1860" s="15" t="s">
        <v>2460</v>
      </c>
      <c r="G1860" s="15" t="s">
        <v>2460</v>
      </c>
      <c r="H1860" s="139"/>
      <c r="I1860" s="3" t="s">
        <v>2374</v>
      </c>
      <c r="J1860" s="1" t="s">
        <v>3322</v>
      </c>
      <c r="K1860" s="1" t="s">
        <v>3269</v>
      </c>
      <c r="L1860" s="1" t="s">
        <v>35</v>
      </c>
      <c r="M1860" s="15" t="s">
        <v>2438</v>
      </c>
      <c r="N1860" s="15"/>
      <c r="O1860" s="8" t="s">
        <v>40</v>
      </c>
      <c r="P1860" s="8" t="s">
        <v>46</v>
      </c>
      <c r="Q1860" s="9">
        <v>0.03</v>
      </c>
      <c r="R1860" s="138"/>
      <c r="T1860" s="18">
        <v>64050.65330780053</v>
      </c>
      <c r="U1860" s="4">
        <v>0</v>
      </c>
      <c r="V1860" s="4">
        <v>0</v>
      </c>
      <c r="W1860" s="13">
        <f t="shared" si="272"/>
        <v>64050.65330780053</v>
      </c>
      <c r="X1860" s="13">
        <f t="shared" si="273"/>
        <v>0</v>
      </c>
      <c r="Y1860" s="13">
        <f t="shared" si="275"/>
        <v>0</v>
      </c>
      <c r="Z1860" s="2">
        <v>0</v>
      </c>
      <c r="AA1860" s="4">
        <v>0</v>
      </c>
      <c r="AB1860" s="4">
        <f t="shared" si="276"/>
        <v>0</v>
      </c>
      <c r="AC1860" s="6">
        <f t="shared" si="277"/>
        <v>0</v>
      </c>
      <c r="AD1860" s="4">
        <v>0</v>
      </c>
      <c r="AE1860" s="2">
        <v>7.0000000000000007E-2</v>
      </c>
      <c r="AF1860" s="5">
        <f t="shared" si="278"/>
        <v>0</v>
      </c>
      <c r="AG1860" s="9">
        <v>0.4</v>
      </c>
      <c r="AH1860" s="4">
        <f t="shared" si="274"/>
        <v>0</v>
      </c>
      <c r="AJ1860" s="126" t="e">
        <v>#N/A</v>
      </c>
      <c r="AK1860" s="80">
        <f t="shared" si="279"/>
        <v>0</v>
      </c>
      <c r="AM1860" s="85"/>
    </row>
    <row r="1861" spans="1:39" hidden="1" x14ac:dyDescent="0.3">
      <c r="A1861" s="85" t="s">
        <v>34</v>
      </c>
      <c r="B1861" s="15" t="s">
        <v>35</v>
      </c>
      <c r="C1861" s="15" t="s">
        <v>187</v>
      </c>
      <c r="D1861" s="15" t="s">
        <v>188</v>
      </c>
      <c r="E1861" s="15" t="s">
        <v>2460</v>
      </c>
      <c r="F1861" s="15" t="s">
        <v>2460</v>
      </c>
      <c r="G1861" s="15" t="s">
        <v>2460</v>
      </c>
      <c r="H1861" s="139"/>
      <c r="I1861" s="3" t="s">
        <v>2374</v>
      </c>
      <c r="J1861" s="1" t="s">
        <v>3322</v>
      </c>
      <c r="K1861" s="1" t="s">
        <v>3269</v>
      </c>
      <c r="L1861" s="1" t="s">
        <v>35</v>
      </c>
      <c r="M1861" s="15" t="s">
        <v>2438</v>
      </c>
      <c r="N1861" s="15"/>
      <c r="O1861" s="8" t="s">
        <v>40</v>
      </c>
      <c r="P1861" s="8" t="s">
        <v>41</v>
      </c>
      <c r="Q1861" s="9">
        <v>0</v>
      </c>
      <c r="R1861" s="138"/>
      <c r="T1861" s="18">
        <v>-75791.59</v>
      </c>
      <c r="U1861" s="4">
        <v>0</v>
      </c>
      <c r="V1861" s="4">
        <v>0</v>
      </c>
      <c r="W1861" s="13">
        <f t="shared" si="272"/>
        <v>-75791.59</v>
      </c>
      <c r="X1861" s="13">
        <f t="shared" si="273"/>
        <v>0</v>
      </c>
      <c r="Y1861" s="13">
        <f t="shared" si="275"/>
        <v>0</v>
      </c>
      <c r="Z1861" s="2">
        <v>0</v>
      </c>
      <c r="AA1861" s="4">
        <v>0</v>
      </c>
      <c r="AB1861" s="4">
        <f t="shared" si="276"/>
        <v>0</v>
      </c>
      <c r="AC1861" s="6">
        <f t="shared" si="277"/>
        <v>0</v>
      </c>
      <c r="AD1861" s="4">
        <v>0</v>
      </c>
      <c r="AE1861" s="2">
        <v>7.0000000000000007E-2</v>
      </c>
      <c r="AF1861" s="5">
        <f t="shared" si="278"/>
        <v>0</v>
      </c>
      <c r="AG1861" s="9">
        <v>0.4</v>
      </c>
      <c r="AH1861" s="4">
        <f t="shared" si="274"/>
        <v>0</v>
      </c>
      <c r="AJ1861" s="126" t="e">
        <v>#N/A</v>
      </c>
      <c r="AK1861" s="80">
        <f t="shared" si="279"/>
        <v>0</v>
      </c>
      <c r="AM1861" s="85"/>
    </row>
    <row r="1862" spans="1:39" hidden="1" x14ac:dyDescent="0.3">
      <c r="A1862" s="85" t="s">
        <v>34</v>
      </c>
      <c r="B1862" s="15" t="s">
        <v>35</v>
      </c>
      <c r="C1862" s="15" t="s">
        <v>187</v>
      </c>
      <c r="D1862" s="15" t="s">
        <v>188</v>
      </c>
      <c r="E1862" s="15" t="s">
        <v>2514</v>
      </c>
      <c r="F1862" s="15" t="s">
        <v>2514</v>
      </c>
      <c r="G1862" s="15" t="s">
        <v>2514</v>
      </c>
      <c r="H1862" s="139"/>
      <c r="I1862" s="3" t="s">
        <v>2374</v>
      </c>
      <c r="J1862" s="1" t="s">
        <v>3322</v>
      </c>
      <c r="K1862" s="1" t="s">
        <v>3269</v>
      </c>
      <c r="L1862" s="1" t="s">
        <v>35</v>
      </c>
      <c r="M1862" s="15" t="s">
        <v>2438</v>
      </c>
      <c r="N1862" s="15"/>
      <c r="O1862" s="8" t="s">
        <v>45</v>
      </c>
      <c r="P1862" s="8" t="s">
        <v>46</v>
      </c>
      <c r="Q1862" s="9">
        <v>7.0000000000000007E-2</v>
      </c>
      <c r="R1862" s="138"/>
      <c r="T1862" s="18">
        <v>44543.499000000003</v>
      </c>
      <c r="U1862" s="4">
        <v>0</v>
      </c>
      <c r="V1862" s="4">
        <v>0</v>
      </c>
      <c r="W1862" s="13">
        <f t="shared" si="272"/>
        <v>44543.499000000003</v>
      </c>
      <c r="X1862" s="13">
        <f t="shared" si="273"/>
        <v>0</v>
      </c>
      <c r="Y1862" s="13">
        <f t="shared" si="275"/>
        <v>0</v>
      </c>
      <c r="Z1862" s="2">
        <v>0</v>
      </c>
      <c r="AA1862" s="4">
        <v>0</v>
      </c>
      <c r="AB1862" s="4">
        <f t="shared" si="276"/>
        <v>0</v>
      </c>
      <c r="AC1862" s="6">
        <f t="shared" si="277"/>
        <v>0</v>
      </c>
      <c r="AD1862" s="4">
        <v>0</v>
      </c>
      <c r="AE1862" s="2">
        <v>0.06</v>
      </c>
      <c r="AF1862" s="5">
        <f t="shared" si="278"/>
        <v>0</v>
      </c>
      <c r="AG1862" s="9">
        <v>0.37</v>
      </c>
      <c r="AH1862" s="4">
        <f t="shared" si="274"/>
        <v>0</v>
      </c>
      <c r="AJ1862" s="126" t="e">
        <v>#N/A</v>
      </c>
      <c r="AK1862" s="80">
        <f t="shared" si="279"/>
        <v>0</v>
      </c>
      <c r="AM1862" s="85"/>
    </row>
    <row r="1863" spans="1:39" hidden="1" x14ac:dyDescent="0.3">
      <c r="A1863" s="85" t="s">
        <v>34</v>
      </c>
      <c r="B1863" s="15" t="s">
        <v>35</v>
      </c>
      <c r="C1863" s="15" t="s">
        <v>47</v>
      </c>
      <c r="D1863" s="15" t="s">
        <v>63</v>
      </c>
      <c r="E1863" s="15" t="s">
        <v>3702</v>
      </c>
      <c r="F1863" s="15" t="s">
        <v>3702</v>
      </c>
      <c r="G1863" s="15" t="s">
        <v>3702</v>
      </c>
      <c r="H1863" s="154"/>
      <c r="I1863" s="3" t="s">
        <v>2374</v>
      </c>
      <c r="J1863" s="1" t="s">
        <v>3322</v>
      </c>
      <c r="K1863" s="1" t="s">
        <v>3269</v>
      </c>
      <c r="L1863" s="1" t="s">
        <v>35</v>
      </c>
      <c r="M1863" s="15" t="s">
        <v>2515</v>
      </c>
      <c r="N1863" s="15"/>
      <c r="O1863" s="8" t="s">
        <v>45</v>
      </c>
      <c r="P1863" s="8" t="s">
        <v>46</v>
      </c>
      <c r="Q1863" s="9">
        <v>0.03</v>
      </c>
      <c r="R1863" s="138"/>
      <c r="S1863" s="3" t="s">
        <v>3364</v>
      </c>
      <c r="T1863" s="18">
        <v>39208.769999999997</v>
      </c>
      <c r="U1863" s="4">
        <v>0</v>
      </c>
      <c r="V1863" s="4">
        <v>6581.8099999999977</v>
      </c>
      <c r="W1863" s="13">
        <f t="shared" si="272"/>
        <v>32626.959999999999</v>
      </c>
      <c r="X1863" s="13">
        <f t="shared" si="273"/>
        <v>6390.1067961165027</v>
      </c>
      <c r="Y1863" s="13">
        <f t="shared" si="275"/>
        <v>0</v>
      </c>
      <c r="Z1863" s="2">
        <v>0</v>
      </c>
      <c r="AA1863" s="4">
        <v>0</v>
      </c>
      <c r="AB1863" s="4">
        <f t="shared" si="276"/>
        <v>6390.1067961165027</v>
      </c>
      <c r="AC1863" s="6">
        <f t="shared" si="277"/>
        <v>191.70320388349501</v>
      </c>
      <c r="AD1863" s="4">
        <v>6581.8099999999977</v>
      </c>
      <c r="AE1863" s="2">
        <v>0.06</v>
      </c>
      <c r="AF1863" s="5">
        <f t="shared" si="278"/>
        <v>394.90859999999986</v>
      </c>
      <c r="AG1863" s="9">
        <v>0</v>
      </c>
      <c r="AH1863" s="4">
        <f t="shared" si="274"/>
        <v>6581.8099999999977</v>
      </c>
      <c r="AJ1863" s="126" t="e">
        <v>#N/A</v>
      </c>
      <c r="AK1863" s="80">
        <f t="shared" si="279"/>
        <v>0</v>
      </c>
      <c r="AM1863" s="85"/>
    </row>
    <row r="1864" spans="1:39" hidden="1" x14ac:dyDescent="0.3">
      <c r="A1864" s="85" t="s">
        <v>34</v>
      </c>
      <c r="B1864" s="15" t="s">
        <v>35</v>
      </c>
      <c r="C1864" s="15" t="s">
        <v>47</v>
      </c>
      <c r="D1864" s="15" t="s">
        <v>63</v>
      </c>
      <c r="E1864" s="15" t="s">
        <v>2477</v>
      </c>
      <c r="F1864" s="15" t="s">
        <v>2516</v>
      </c>
      <c r="G1864" s="15" t="s">
        <v>2477</v>
      </c>
      <c r="H1864" s="139"/>
      <c r="I1864" s="3" t="s">
        <v>2374</v>
      </c>
      <c r="J1864" s="1" t="s">
        <v>3322</v>
      </c>
      <c r="K1864" s="1" t="s">
        <v>3269</v>
      </c>
      <c r="L1864" s="1" t="s">
        <v>35</v>
      </c>
      <c r="M1864" s="15" t="s">
        <v>2479</v>
      </c>
      <c r="N1864" s="15"/>
      <c r="O1864" s="8" t="s">
        <v>45</v>
      </c>
      <c r="P1864" s="8" t="s">
        <v>46</v>
      </c>
      <c r="Q1864" s="9">
        <v>0.05</v>
      </c>
      <c r="R1864" s="138"/>
      <c r="T1864" s="18">
        <v>0.63999999994848622</v>
      </c>
      <c r="U1864" s="4">
        <v>0</v>
      </c>
      <c r="V1864" s="4">
        <v>0</v>
      </c>
      <c r="W1864" s="13">
        <f t="shared" si="272"/>
        <v>0.63999999994848622</v>
      </c>
      <c r="X1864" s="13">
        <f t="shared" si="273"/>
        <v>0</v>
      </c>
      <c r="Y1864" s="13">
        <f t="shared" si="275"/>
        <v>0</v>
      </c>
      <c r="Z1864" s="2">
        <v>0</v>
      </c>
      <c r="AA1864" s="4">
        <v>0</v>
      </c>
      <c r="AB1864" s="4">
        <f t="shared" si="276"/>
        <v>0</v>
      </c>
      <c r="AC1864" s="6">
        <f t="shared" si="277"/>
        <v>0</v>
      </c>
      <c r="AD1864" s="4">
        <v>0</v>
      </c>
      <c r="AE1864" s="2">
        <v>0.06</v>
      </c>
      <c r="AF1864" s="5">
        <f t="shared" si="278"/>
        <v>0</v>
      </c>
      <c r="AG1864" s="9">
        <v>0</v>
      </c>
      <c r="AH1864" s="4">
        <f t="shared" si="274"/>
        <v>0</v>
      </c>
      <c r="AJ1864" s="126" t="e">
        <v>#N/A</v>
      </c>
      <c r="AK1864" s="80">
        <f t="shared" si="279"/>
        <v>0</v>
      </c>
      <c r="AM1864" s="85"/>
    </row>
    <row r="1865" spans="1:39" hidden="1" x14ac:dyDescent="0.3">
      <c r="A1865" s="85" t="s">
        <v>34</v>
      </c>
      <c r="B1865" s="15" t="s">
        <v>35</v>
      </c>
      <c r="C1865" s="15" t="s">
        <v>47</v>
      </c>
      <c r="D1865" s="15" t="s">
        <v>63</v>
      </c>
      <c r="E1865" s="15" t="s">
        <v>132</v>
      </c>
      <c r="F1865" s="15" t="s">
        <v>132</v>
      </c>
      <c r="G1865" s="15" t="s">
        <v>132</v>
      </c>
      <c r="H1865" s="139"/>
      <c r="I1865" s="3" t="s">
        <v>2374</v>
      </c>
      <c r="J1865" s="1" t="s">
        <v>3322</v>
      </c>
      <c r="K1865" s="1" t="s">
        <v>3269</v>
      </c>
      <c r="L1865" s="1" t="s">
        <v>35</v>
      </c>
      <c r="M1865" s="15" t="s">
        <v>894</v>
      </c>
      <c r="N1865" s="15"/>
      <c r="O1865" s="8" t="s">
        <v>45</v>
      </c>
      <c r="P1865" s="8" t="s">
        <v>41</v>
      </c>
      <c r="Q1865" s="9">
        <v>0</v>
      </c>
      <c r="R1865" s="138"/>
      <c r="T1865" s="18">
        <v>-73.039199996477691</v>
      </c>
      <c r="U1865" s="4">
        <v>0</v>
      </c>
      <c r="V1865" s="4">
        <v>0</v>
      </c>
      <c r="W1865" s="13">
        <f t="shared" si="272"/>
        <v>-73.039199996477691</v>
      </c>
      <c r="X1865" s="13">
        <f t="shared" si="273"/>
        <v>0</v>
      </c>
      <c r="Y1865" s="13">
        <f t="shared" si="275"/>
        <v>0</v>
      </c>
      <c r="Z1865" s="2">
        <v>0</v>
      </c>
      <c r="AA1865" s="4">
        <v>0</v>
      </c>
      <c r="AB1865" s="4">
        <f t="shared" si="276"/>
        <v>0</v>
      </c>
      <c r="AC1865" s="6">
        <f t="shared" si="277"/>
        <v>0</v>
      </c>
      <c r="AD1865" s="4">
        <v>0</v>
      </c>
      <c r="AE1865" s="2">
        <v>0.06</v>
      </c>
      <c r="AF1865" s="5">
        <f t="shared" si="278"/>
        <v>0</v>
      </c>
      <c r="AG1865" s="9">
        <v>0.24</v>
      </c>
      <c r="AH1865" s="4">
        <f t="shared" si="274"/>
        <v>0</v>
      </c>
      <c r="AJ1865" s="126" t="e">
        <v>#N/A</v>
      </c>
      <c r="AK1865" s="80">
        <f t="shared" si="279"/>
        <v>0</v>
      </c>
      <c r="AM1865" s="85"/>
    </row>
    <row r="1866" spans="1:39" hidden="1" x14ac:dyDescent="0.3">
      <c r="A1866" s="85" t="s">
        <v>34</v>
      </c>
      <c r="B1866" s="15" t="s">
        <v>35</v>
      </c>
      <c r="C1866" s="15" t="s">
        <v>187</v>
      </c>
      <c r="D1866" s="15" t="s">
        <v>188</v>
      </c>
      <c r="E1866" s="15" t="s">
        <v>280</v>
      </c>
      <c r="F1866" s="15" t="s">
        <v>280</v>
      </c>
      <c r="G1866" s="15" t="s">
        <v>280</v>
      </c>
      <c r="H1866" s="139"/>
      <c r="I1866" s="3" t="s">
        <v>2374</v>
      </c>
      <c r="J1866" s="1" t="s">
        <v>3322</v>
      </c>
      <c r="K1866" s="1" t="s">
        <v>3269</v>
      </c>
      <c r="L1866" s="1" t="s">
        <v>35</v>
      </c>
      <c r="M1866" s="15" t="s">
        <v>2438</v>
      </c>
      <c r="N1866" s="15"/>
      <c r="O1866" s="8" t="s">
        <v>40</v>
      </c>
      <c r="P1866" s="8" t="s">
        <v>46</v>
      </c>
      <c r="Q1866" s="9">
        <v>0.01</v>
      </c>
      <c r="R1866" s="138"/>
      <c r="T1866" s="18">
        <v>3.19999999992433E-2</v>
      </c>
      <c r="U1866" s="4">
        <v>0</v>
      </c>
      <c r="V1866" s="4">
        <v>0</v>
      </c>
      <c r="W1866" s="13">
        <f t="shared" si="272"/>
        <v>3.19999999992433E-2</v>
      </c>
      <c r="X1866" s="13">
        <f t="shared" si="273"/>
        <v>0</v>
      </c>
      <c r="Y1866" s="13">
        <f t="shared" si="275"/>
        <v>0</v>
      </c>
      <c r="Z1866" s="2">
        <v>0</v>
      </c>
      <c r="AA1866" s="4">
        <v>0</v>
      </c>
      <c r="AB1866" s="4">
        <f t="shared" si="276"/>
        <v>0</v>
      </c>
      <c r="AC1866" s="6">
        <f t="shared" si="277"/>
        <v>0</v>
      </c>
      <c r="AD1866" s="4">
        <v>0</v>
      </c>
      <c r="AE1866" s="2">
        <v>7.0000000000000007E-2</v>
      </c>
      <c r="AF1866" s="5">
        <f t="shared" si="278"/>
        <v>0</v>
      </c>
      <c r="AG1866" s="9">
        <v>0.4</v>
      </c>
      <c r="AH1866" s="4">
        <f t="shared" si="274"/>
        <v>0</v>
      </c>
      <c r="AJ1866" s="126" t="e">
        <v>#N/A</v>
      </c>
      <c r="AK1866" s="80">
        <f t="shared" si="279"/>
        <v>0</v>
      </c>
      <c r="AM1866" s="85"/>
    </row>
    <row r="1867" spans="1:39" hidden="1" x14ac:dyDescent="0.3">
      <c r="A1867" s="85" t="s">
        <v>34</v>
      </c>
      <c r="B1867" s="15" t="s">
        <v>35</v>
      </c>
      <c r="C1867" s="15" t="s">
        <v>187</v>
      </c>
      <c r="D1867" s="15" t="s">
        <v>188</v>
      </c>
      <c r="E1867" s="15" t="s">
        <v>2517</v>
      </c>
      <c r="F1867" s="15" t="s">
        <v>2517</v>
      </c>
      <c r="G1867" s="15" t="s">
        <v>2517</v>
      </c>
      <c r="H1867" s="139"/>
      <c r="I1867" s="3" t="s">
        <v>2374</v>
      </c>
      <c r="J1867" s="1" t="s">
        <v>3322</v>
      </c>
      <c r="K1867" s="1" t="s">
        <v>3269</v>
      </c>
      <c r="L1867" s="1" t="s">
        <v>35</v>
      </c>
      <c r="M1867" s="15" t="s">
        <v>2438</v>
      </c>
      <c r="N1867" s="15"/>
      <c r="O1867" s="8" t="s">
        <v>40</v>
      </c>
      <c r="P1867" s="8" t="s">
        <v>46</v>
      </c>
      <c r="Q1867" s="9">
        <v>7.0000000000000007E-2</v>
      </c>
      <c r="R1867" s="138"/>
      <c r="T1867" s="18">
        <v>112948.92999999998</v>
      </c>
      <c r="U1867" s="4">
        <v>0</v>
      </c>
      <c r="V1867" s="4">
        <v>0</v>
      </c>
      <c r="W1867" s="13">
        <f t="shared" si="272"/>
        <v>112948.92999999998</v>
      </c>
      <c r="X1867" s="13">
        <f t="shared" si="273"/>
        <v>0</v>
      </c>
      <c r="Y1867" s="13">
        <f t="shared" si="275"/>
        <v>0</v>
      </c>
      <c r="Z1867" s="2">
        <v>0</v>
      </c>
      <c r="AA1867" s="4">
        <v>0</v>
      </c>
      <c r="AB1867" s="4">
        <f t="shared" si="276"/>
        <v>0</v>
      </c>
      <c r="AC1867" s="6">
        <f t="shared" si="277"/>
        <v>0</v>
      </c>
      <c r="AD1867" s="4">
        <v>0</v>
      </c>
      <c r="AE1867" s="2">
        <v>7.0000000000000007E-2</v>
      </c>
      <c r="AF1867" s="5">
        <f t="shared" si="278"/>
        <v>0</v>
      </c>
      <c r="AG1867" s="9">
        <v>0.4</v>
      </c>
      <c r="AH1867" s="4">
        <f t="shared" si="274"/>
        <v>0</v>
      </c>
      <c r="AJ1867" s="126" t="e">
        <v>#N/A</v>
      </c>
      <c r="AK1867" s="80">
        <f t="shared" si="279"/>
        <v>0</v>
      </c>
      <c r="AM1867" s="85"/>
    </row>
    <row r="1868" spans="1:39" hidden="1" x14ac:dyDescent="0.3">
      <c r="A1868" s="85" t="s">
        <v>34</v>
      </c>
      <c r="B1868" s="15" t="s">
        <v>35</v>
      </c>
      <c r="C1868" s="15" t="s">
        <v>187</v>
      </c>
      <c r="D1868" s="15" t="s">
        <v>208</v>
      </c>
      <c r="E1868" s="15" t="s">
        <v>2463</v>
      </c>
      <c r="F1868" s="15" t="s">
        <v>2463</v>
      </c>
      <c r="G1868" s="15" t="s">
        <v>2463</v>
      </c>
      <c r="H1868" s="139"/>
      <c r="I1868" s="3" t="s">
        <v>2374</v>
      </c>
      <c r="J1868" s="1" t="s">
        <v>3322</v>
      </c>
      <c r="K1868" s="1" t="s">
        <v>3269</v>
      </c>
      <c r="L1868" s="1" t="s">
        <v>35</v>
      </c>
      <c r="M1868" s="15" t="s">
        <v>2438</v>
      </c>
      <c r="N1868" s="15"/>
      <c r="O1868" s="8" t="s">
        <v>40</v>
      </c>
      <c r="P1868" s="8" t="s">
        <v>46</v>
      </c>
      <c r="Q1868" s="9">
        <v>0.03</v>
      </c>
      <c r="R1868" s="138"/>
      <c r="T1868" s="18">
        <v>5.234734503832442</v>
      </c>
      <c r="U1868" s="4">
        <v>0</v>
      </c>
      <c r="V1868" s="4">
        <v>0</v>
      </c>
      <c r="W1868" s="13">
        <f t="shared" si="272"/>
        <v>5.234734503832442</v>
      </c>
      <c r="X1868" s="13">
        <f t="shared" si="273"/>
        <v>0</v>
      </c>
      <c r="Y1868" s="13">
        <f t="shared" si="275"/>
        <v>0</v>
      </c>
      <c r="Z1868" s="2">
        <v>0</v>
      </c>
      <c r="AA1868" s="4">
        <v>0</v>
      </c>
      <c r="AB1868" s="4">
        <f t="shared" si="276"/>
        <v>0</v>
      </c>
      <c r="AC1868" s="6">
        <f t="shared" si="277"/>
        <v>0</v>
      </c>
      <c r="AD1868" s="4">
        <v>0</v>
      </c>
      <c r="AE1868" s="2">
        <v>7.0000000000000007E-2</v>
      </c>
      <c r="AF1868" s="5">
        <f t="shared" si="278"/>
        <v>0</v>
      </c>
      <c r="AG1868" s="9">
        <v>0.4</v>
      </c>
      <c r="AH1868" s="4">
        <f t="shared" si="274"/>
        <v>0</v>
      </c>
      <c r="AJ1868" s="126" t="e">
        <v>#N/A</v>
      </c>
      <c r="AK1868" s="80">
        <f t="shared" si="279"/>
        <v>0</v>
      </c>
      <c r="AM1868" s="85"/>
    </row>
    <row r="1869" spans="1:39" hidden="1" x14ac:dyDescent="0.3">
      <c r="A1869" s="85" t="s">
        <v>34</v>
      </c>
      <c r="B1869" s="15" t="s">
        <v>35</v>
      </c>
      <c r="C1869" s="15" t="s">
        <v>187</v>
      </c>
      <c r="D1869" s="15" t="s">
        <v>188</v>
      </c>
      <c r="E1869" s="15" t="s">
        <v>2504</v>
      </c>
      <c r="F1869" s="15" t="s">
        <v>2505</v>
      </c>
      <c r="G1869" s="15" t="s">
        <v>2504</v>
      </c>
      <c r="H1869" s="154"/>
      <c r="I1869" s="3" t="s">
        <v>2374</v>
      </c>
      <c r="J1869" s="1" t="s">
        <v>3322</v>
      </c>
      <c r="K1869" s="1" t="s">
        <v>3269</v>
      </c>
      <c r="L1869" s="1" t="s">
        <v>35</v>
      </c>
      <c r="M1869" s="15" t="s">
        <v>2504</v>
      </c>
      <c r="N1869" s="15"/>
      <c r="O1869" s="8" t="s">
        <v>45</v>
      </c>
      <c r="P1869" s="8" t="s">
        <v>46</v>
      </c>
      <c r="Q1869" s="9">
        <v>0.03</v>
      </c>
      <c r="R1869" s="138"/>
      <c r="T1869" s="18">
        <v>49450.44</v>
      </c>
      <c r="U1869" s="4">
        <v>0</v>
      </c>
      <c r="V1869" s="4">
        <v>1369.5399999999997</v>
      </c>
      <c r="W1869" s="13">
        <f t="shared" si="272"/>
        <v>48080.9</v>
      </c>
      <c r="X1869" s="13">
        <f t="shared" si="273"/>
        <v>1211.9823008849553</v>
      </c>
      <c r="Y1869" s="13">
        <f t="shared" si="275"/>
        <v>1211.9823008849553</v>
      </c>
      <c r="Z1869" s="2">
        <v>0</v>
      </c>
      <c r="AA1869" s="4">
        <v>0</v>
      </c>
      <c r="AB1869" s="4">
        <f t="shared" si="276"/>
        <v>1211.9823008849553</v>
      </c>
      <c r="AC1869" s="6">
        <f t="shared" si="277"/>
        <v>157.55769911504444</v>
      </c>
      <c r="AD1869" s="4">
        <v>0</v>
      </c>
      <c r="AE1869" s="2">
        <v>0.06</v>
      </c>
      <c r="AF1869" s="5">
        <f t="shared" si="278"/>
        <v>0</v>
      </c>
      <c r="AG1869" s="9">
        <v>0.1</v>
      </c>
      <c r="AH1869" s="4">
        <f t="shared" si="274"/>
        <v>1245.0363636363634</v>
      </c>
      <c r="AJ1869" s="126" t="e">
        <v>#N/A</v>
      </c>
      <c r="AK1869" s="80">
        <f t="shared" si="279"/>
        <v>0</v>
      </c>
      <c r="AM1869" s="85"/>
    </row>
    <row r="1870" spans="1:39" hidden="1" x14ac:dyDescent="0.3">
      <c r="A1870" s="85" t="s">
        <v>34</v>
      </c>
      <c r="B1870" s="15" t="s">
        <v>35</v>
      </c>
      <c r="C1870" s="15" t="s">
        <v>47</v>
      </c>
      <c r="D1870" s="15" t="s">
        <v>63</v>
      </c>
      <c r="E1870" s="15" t="s">
        <v>2480</v>
      </c>
      <c r="F1870" s="15" t="s">
        <v>2480</v>
      </c>
      <c r="G1870" s="15" t="s">
        <v>2480</v>
      </c>
      <c r="H1870" s="154"/>
      <c r="I1870" s="3" t="s">
        <v>2374</v>
      </c>
      <c r="J1870" s="1" t="s">
        <v>3322</v>
      </c>
      <c r="K1870" s="1" t="s">
        <v>3269</v>
      </c>
      <c r="L1870" s="1" t="s">
        <v>35</v>
      </c>
      <c r="M1870" s="15" t="s">
        <v>2481</v>
      </c>
      <c r="N1870" s="15"/>
      <c r="O1870" s="8" t="s">
        <v>45</v>
      </c>
      <c r="P1870" s="8" t="s">
        <v>46</v>
      </c>
      <c r="Q1870" s="9">
        <v>0.03</v>
      </c>
      <c r="R1870" s="138"/>
      <c r="T1870" s="18">
        <v>-1.2999999999738066</v>
      </c>
      <c r="U1870" s="4">
        <v>0</v>
      </c>
      <c r="V1870" s="18">
        <v>-1.2999999999738066</v>
      </c>
      <c r="W1870" s="13">
        <f t="shared" si="272"/>
        <v>0</v>
      </c>
      <c r="X1870" s="13">
        <f t="shared" si="273"/>
        <v>-1.2621359223046664</v>
      </c>
      <c r="Y1870" s="13">
        <f t="shared" si="275"/>
        <v>0</v>
      </c>
      <c r="Z1870" s="2">
        <v>0</v>
      </c>
      <c r="AA1870" s="4">
        <v>0</v>
      </c>
      <c r="AB1870" s="4">
        <f t="shared" si="276"/>
        <v>-1.2621359223046664</v>
      </c>
      <c r="AC1870" s="6">
        <f t="shared" si="277"/>
        <v>-3.7864077669140128E-2</v>
      </c>
      <c r="AD1870" s="4">
        <v>0</v>
      </c>
      <c r="AE1870" s="2">
        <v>0.06</v>
      </c>
      <c r="AF1870" s="5">
        <f t="shared" si="278"/>
        <v>0</v>
      </c>
      <c r="AG1870" s="9">
        <v>0</v>
      </c>
      <c r="AH1870" s="4">
        <f t="shared" si="274"/>
        <v>-1.2999999999738066</v>
      </c>
      <c r="AJ1870" s="126" t="e">
        <v>#N/A</v>
      </c>
      <c r="AK1870" s="80">
        <f t="shared" si="279"/>
        <v>0</v>
      </c>
      <c r="AM1870" s="85"/>
    </row>
    <row r="1871" spans="1:39" hidden="1" x14ac:dyDescent="0.3">
      <c r="A1871" s="85" t="s">
        <v>34</v>
      </c>
      <c r="B1871" s="15" t="s">
        <v>35</v>
      </c>
      <c r="C1871" s="15" t="s">
        <v>47</v>
      </c>
      <c r="D1871" s="15" t="s">
        <v>63</v>
      </c>
      <c r="E1871" s="15" t="s">
        <v>2429</v>
      </c>
      <c r="F1871" s="15" t="s">
        <v>2429</v>
      </c>
      <c r="G1871" s="15" t="s">
        <v>2429</v>
      </c>
      <c r="H1871" s="139"/>
      <c r="I1871" s="3" t="s">
        <v>2374</v>
      </c>
      <c r="J1871" s="1" t="s">
        <v>3322</v>
      </c>
      <c r="K1871" s="1" t="s">
        <v>3269</v>
      </c>
      <c r="L1871" s="1" t="s">
        <v>35</v>
      </c>
      <c r="M1871" s="15" t="s">
        <v>2430</v>
      </c>
      <c r="N1871" s="15"/>
      <c r="O1871" s="8" t="s">
        <v>410</v>
      </c>
      <c r="P1871" s="8" t="s">
        <v>41</v>
      </c>
      <c r="Q1871" s="9">
        <v>0</v>
      </c>
      <c r="R1871" s="138"/>
      <c r="T1871" s="18">
        <v>0.56000000005587935</v>
      </c>
      <c r="U1871" s="4">
        <v>0</v>
      </c>
      <c r="V1871" s="4">
        <v>0</v>
      </c>
      <c r="W1871" s="13">
        <f t="shared" si="272"/>
        <v>0.56000000005587935</v>
      </c>
      <c r="X1871" s="13">
        <f t="shared" si="273"/>
        <v>0</v>
      </c>
      <c r="Y1871" s="13">
        <f t="shared" si="275"/>
        <v>0</v>
      </c>
      <c r="Z1871" s="2">
        <v>0</v>
      </c>
      <c r="AA1871" s="4">
        <v>0</v>
      </c>
      <c r="AB1871" s="4">
        <f t="shared" si="276"/>
        <v>0</v>
      </c>
      <c r="AC1871" s="6">
        <f t="shared" si="277"/>
        <v>0</v>
      </c>
      <c r="AD1871" s="4">
        <v>0</v>
      </c>
      <c r="AE1871" s="2">
        <v>0</v>
      </c>
      <c r="AF1871" s="5">
        <f t="shared" si="278"/>
        <v>0</v>
      </c>
      <c r="AG1871" s="9">
        <v>0.06</v>
      </c>
      <c r="AH1871" s="4">
        <f t="shared" si="274"/>
        <v>0</v>
      </c>
      <c r="AJ1871" s="126" t="e">
        <v>#N/A</v>
      </c>
      <c r="AK1871" s="80">
        <f t="shared" si="279"/>
        <v>0</v>
      </c>
      <c r="AM1871" s="85"/>
    </row>
    <row r="1872" spans="1:39" hidden="1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2518</v>
      </c>
      <c r="F1872" s="15" t="s">
        <v>2518</v>
      </c>
      <c r="G1872" s="15" t="s">
        <v>2518</v>
      </c>
      <c r="H1872" s="154"/>
      <c r="I1872" s="3" t="s">
        <v>2374</v>
      </c>
      <c r="J1872" s="1" t="s">
        <v>3322</v>
      </c>
      <c r="K1872" s="1" t="s">
        <v>3269</v>
      </c>
      <c r="L1872" s="1" t="s">
        <v>35</v>
      </c>
      <c r="M1872" s="15" t="s">
        <v>2519</v>
      </c>
      <c r="N1872" s="15"/>
      <c r="O1872" s="8" t="s">
        <v>40</v>
      </c>
      <c r="P1872" s="8" t="s">
        <v>41</v>
      </c>
      <c r="Q1872" s="9">
        <v>0</v>
      </c>
      <c r="R1872" s="138"/>
      <c r="T1872" s="18">
        <v>-4672737.1199999992</v>
      </c>
      <c r="U1872" s="4">
        <v>0</v>
      </c>
      <c r="V1872" s="4">
        <v>11145</v>
      </c>
      <c r="W1872" s="13">
        <f t="shared" si="272"/>
        <v>-4683882.1199999992</v>
      </c>
      <c r="X1872" s="13">
        <f t="shared" si="273"/>
        <v>11145</v>
      </c>
      <c r="Y1872" s="13">
        <f t="shared" si="275"/>
        <v>11145</v>
      </c>
      <c r="Z1872" s="2">
        <v>0</v>
      </c>
      <c r="AA1872" s="4">
        <v>0</v>
      </c>
      <c r="AB1872" s="4">
        <f t="shared" si="276"/>
        <v>11145</v>
      </c>
      <c r="AC1872" s="6">
        <f t="shared" si="277"/>
        <v>0</v>
      </c>
      <c r="AD1872" s="4">
        <v>0</v>
      </c>
      <c r="AE1872" s="2">
        <v>7.0000000000000007E-2</v>
      </c>
      <c r="AF1872" s="5">
        <f t="shared" si="278"/>
        <v>0</v>
      </c>
      <c r="AG1872" s="9">
        <v>0</v>
      </c>
      <c r="AH1872" s="4">
        <f t="shared" si="274"/>
        <v>11145</v>
      </c>
      <c r="AJ1872" s="126" t="e">
        <v>#N/A</v>
      </c>
      <c r="AK1872" s="80">
        <f t="shared" si="279"/>
        <v>0</v>
      </c>
      <c r="AM1872" s="85"/>
    </row>
    <row r="1873" spans="1:39" hidden="1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2518</v>
      </c>
      <c r="F1873" s="15" t="s">
        <v>2518</v>
      </c>
      <c r="G1873" s="15" t="s">
        <v>2518</v>
      </c>
      <c r="H1873" s="139"/>
      <c r="I1873" s="3" t="s">
        <v>2374</v>
      </c>
      <c r="J1873" s="1" t="s">
        <v>3322</v>
      </c>
      <c r="K1873" s="1" t="s">
        <v>3269</v>
      </c>
      <c r="L1873" s="1" t="s">
        <v>35</v>
      </c>
      <c r="M1873" s="15" t="s">
        <v>2519</v>
      </c>
      <c r="N1873" s="15"/>
      <c r="O1873" s="8" t="s">
        <v>45</v>
      </c>
      <c r="P1873" s="8" t="s">
        <v>41</v>
      </c>
      <c r="Q1873" s="9">
        <v>0</v>
      </c>
      <c r="R1873" s="138"/>
      <c r="T1873" s="18">
        <v>-121533.92000000003</v>
      </c>
      <c r="U1873" s="4">
        <v>0</v>
      </c>
      <c r="V1873" s="4">
        <v>0</v>
      </c>
      <c r="W1873" s="13">
        <f t="shared" si="272"/>
        <v>-121533.92000000003</v>
      </c>
      <c r="X1873" s="13">
        <f t="shared" si="273"/>
        <v>0</v>
      </c>
      <c r="Y1873" s="13">
        <f t="shared" si="275"/>
        <v>0</v>
      </c>
      <c r="Z1873" s="2">
        <v>0</v>
      </c>
      <c r="AA1873" s="4">
        <v>0</v>
      </c>
      <c r="AB1873" s="4">
        <f t="shared" si="276"/>
        <v>0</v>
      </c>
      <c r="AC1873" s="6">
        <f t="shared" si="277"/>
        <v>0</v>
      </c>
      <c r="AD1873" s="4">
        <v>0</v>
      </c>
      <c r="AE1873" s="2">
        <v>0.06</v>
      </c>
      <c r="AF1873" s="5">
        <f t="shared" si="278"/>
        <v>0</v>
      </c>
      <c r="AG1873" s="9">
        <v>0</v>
      </c>
      <c r="AH1873" s="4">
        <f t="shared" si="274"/>
        <v>0</v>
      </c>
      <c r="AJ1873" s="126" t="e">
        <v>#N/A</v>
      </c>
      <c r="AK1873" s="80">
        <f t="shared" si="279"/>
        <v>0</v>
      </c>
      <c r="AM1873" s="85"/>
    </row>
    <row r="1874" spans="1:39" hidden="1" x14ac:dyDescent="0.3">
      <c r="A1874" s="85" t="s">
        <v>34</v>
      </c>
      <c r="B1874" s="15" t="s">
        <v>35</v>
      </c>
      <c r="C1874" s="15" t="s">
        <v>65</v>
      </c>
      <c r="D1874" s="15" t="s">
        <v>66</v>
      </c>
      <c r="E1874" s="15" t="s">
        <v>2474</v>
      </c>
      <c r="F1874" s="15" t="s">
        <v>2520</v>
      </c>
      <c r="G1874" s="15" t="s">
        <v>2520</v>
      </c>
      <c r="H1874" s="154"/>
      <c r="I1874" s="3" t="s">
        <v>2374</v>
      </c>
      <c r="J1874" s="1" t="s">
        <v>3322</v>
      </c>
      <c r="K1874" s="1" t="s">
        <v>3269</v>
      </c>
      <c r="L1874" s="1" t="s">
        <v>35</v>
      </c>
      <c r="M1874" s="15" t="s">
        <v>2520</v>
      </c>
      <c r="N1874" s="15"/>
      <c r="O1874" s="8" t="s">
        <v>45</v>
      </c>
      <c r="P1874" s="8" t="s">
        <v>41</v>
      </c>
      <c r="Q1874" s="9">
        <v>0</v>
      </c>
      <c r="R1874" s="138"/>
      <c r="T1874" s="18">
        <v>56975.789999999994</v>
      </c>
      <c r="U1874" s="4">
        <v>0</v>
      </c>
      <c r="V1874" s="4">
        <v>7637.44</v>
      </c>
      <c r="W1874" s="13">
        <f t="shared" si="272"/>
        <v>49338.349999999991</v>
      </c>
      <c r="X1874" s="13">
        <f t="shared" si="273"/>
        <v>7637.44</v>
      </c>
      <c r="Y1874" s="13">
        <f t="shared" si="275"/>
        <v>0</v>
      </c>
      <c r="Z1874" s="2">
        <v>0</v>
      </c>
      <c r="AA1874" s="4">
        <v>0</v>
      </c>
      <c r="AB1874" s="4">
        <f t="shared" si="276"/>
        <v>7637.44</v>
      </c>
      <c r="AC1874" s="6">
        <f t="shared" si="277"/>
        <v>0</v>
      </c>
      <c r="AD1874" s="4">
        <v>7637.44</v>
      </c>
      <c r="AE1874" s="2">
        <v>0.06</v>
      </c>
      <c r="AF1874" s="5">
        <f t="shared" si="278"/>
        <v>458.24639999999994</v>
      </c>
      <c r="AG1874" s="9">
        <v>0</v>
      </c>
      <c r="AH1874" s="4">
        <f t="shared" si="274"/>
        <v>7637.44</v>
      </c>
      <c r="AJ1874" s="126" t="e">
        <v>#N/A</v>
      </c>
      <c r="AK1874" s="80">
        <f t="shared" si="279"/>
        <v>0</v>
      </c>
      <c r="AM1874" s="85"/>
    </row>
    <row r="1875" spans="1:39" hidden="1" x14ac:dyDescent="0.3">
      <c r="A1875" s="85" t="s">
        <v>34</v>
      </c>
      <c r="B1875" s="15" t="s">
        <v>35</v>
      </c>
      <c r="C1875" s="15" t="s">
        <v>47</v>
      </c>
      <c r="D1875" s="15" t="s">
        <v>63</v>
      </c>
      <c r="E1875" s="15" t="s">
        <v>2393</v>
      </c>
      <c r="F1875" s="15" t="s">
        <v>2394</v>
      </c>
      <c r="G1875" s="15" t="s">
        <v>2393</v>
      </c>
      <c r="H1875" s="139"/>
      <c r="I1875" s="3" t="s">
        <v>2374</v>
      </c>
      <c r="J1875" s="1" t="s">
        <v>3322</v>
      </c>
      <c r="K1875" s="1" t="s">
        <v>3269</v>
      </c>
      <c r="L1875" s="1" t="s">
        <v>35</v>
      </c>
      <c r="M1875" s="15" t="s">
        <v>2396</v>
      </c>
      <c r="N1875" s="15"/>
      <c r="O1875" s="8" t="s">
        <v>40</v>
      </c>
      <c r="P1875" s="8" t="s">
        <v>46</v>
      </c>
      <c r="Q1875" s="9">
        <v>5.5E-2</v>
      </c>
      <c r="R1875" s="138"/>
      <c r="T1875" s="18">
        <v>52750</v>
      </c>
      <c r="U1875" s="4">
        <v>0</v>
      </c>
      <c r="V1875" s="4">
        <v>0</v>
      </c>
      <c r="W1875" s="13">
        <f t="shared" si="272"/>
        <v>52750</v>
      </c>
      <c r="X1875" s="13">
        <f t="shared" si="273"/>
        <v>0</v>
      </c>
      <c r="Y1875" s="13">
        <f t="shared" si="275"/>
        <v>0</v>
      </c>
      <c r="Z1875" s="2">
        <v>0</v>
      </c>
      <c r="AA1875" s="4">
        <v>0</v>
      </c>
      <c r="AB1875" s="4">
        <f t="shared" si="276"/>
        <v>0</v>
      </c>
      <c r="AC1875" s="6">
        <f t="shared" si="277"/>
        <v>0</v>
      </c>
      <c r="AD1875" s="4">
        <v>0</v>
      </c>
      <c r="AE1875" s="2">
        <v>7.0000000000000007E-2</v>
      </c>
      <c r="AF1875" s="5">
        <f t="shared" si="278"/>
        <v>0</v>
      </c>
      <c r="AG1875" s="9">
        <v>0</v>
      </c>
      <c r="AH1875" s="4">
        <f t="shared" si="274"/>
        <v>0</v>
      </c>
      <c r="AJ1875" s="126" t="e">
        <v>#N/A</v>
      </c>
      <c r="AK1875" s="80">
        <f t="shared" si="279"/>
        <v>0</v>
      </c>
      <c r="AM1875" s="85"/>
    </row>
    <row r="1876" spans="1:39" hidden="1" x14ac:dyDescent="0.3">
      <c r="A1876" s="85" t="s">
        <v>34</v>
      </c>
      <c r="B1876" s="15" t="s">
        <v>35</v>
      </c>
      <c r="C1876" s="15" t="s">
        <v>47</v>
      </c>
      <c r="D1876" s="15" t="s">
        <v>63</v>
      </c>
      <c r="E1876" s="15" t="s">
        <v>2418</v>
      </c>
      <c r="F1876" s="15" t="s">
        <v>2419</v>
      </c>
      <c r="G1876" s="15" t="s">
        <v>2418</v>
      </c>
      <c r="H1876" s="139"/>
      <c r="I1876" s="3" t="s">
        <v>2374</v>
      </c>
      <c r="J1876" s="1" t="s">
        <v>3322</v>
      </c>
      <c r="K1876" s="1" t="s">
        <v>3269</v>
      </c>
      <c r="L1876" s="1" t="s">
        <v>35</v>
      </c>
      <c r="M1876" s="15" t="s">
        <v>2420</v>
      </c>
      <c r="N1876" s="15"/>
      <c r="O1876" s="8" t="s">
        <v>410</v>
      </c>
      <c r="P1876" s="8" t="s">
        <v>46</v>
      </c>
      <c r="Q1876" s="9">
        <v>5.5E-2</v>
      </c>
      <c r="R1876" s="138"/>
      <c r="T1876" s="18">
        <v>-1129904.6889999984</v>
      </c>
      <c r="U1876" s="4">
        <v>0</v>
      </c>
      <c r="V1876" s="4">
        <v>0</v>
      </c>
      <c r="W1876" s="13">
        <f t="shared" si="272"/>
        <v>-1129904.6889999984</v>
      </c>
      <c r="X1876" s="13">
        <f t="shared" si="273"/>
        <v>0</v>
      </c>
      <c r="Y1876" s="13">
        <f t="shared" si="275"/>
        <v>0</v>
      </c>
      <c r="Z1876" s="2">
        <v>0</v>
      </c>
      <c r="AA1876" s="4">
        <v>0</v>
      </c>
      <c r="AB1876" s="4">
        <f t="shared" si="276"/>
        <v>0</v>
      </c>
      <c r="AC1876" s="6">
        <f t="shared" si="277"/>
        <v>0</v>
      </c>
      <c r="AD1876" s="4">
        <v>0</v>
      </c>
      <c r="AE1876" s="2">
        <v>0</v>
      </c>
      <c r="AF1876" s="5">
        <f t="shared" si="278"/>
        <v>0</v>
      </c>
      <c r="AG1876" s="9">
        <v>0.3</v>
      </c>
      <c r="AH1876" s="4">
        <f t="shared" si="274"/>
        <v>0</v>
      </c>
      <c r="AJ1876" s="126" t="e">
        <v>#N/A</v>
      </c>
      <c r="AK1876" s="80">
        <f t="shared" si="279"/>
        <v>0</v>
      </c>
      <c r="AM1876" s="85"/>
    </row>
    <row r="1877" spans="1:39" hidden="1" x14ac:dyDescent="0.3">
      <c r="A1877" s="85" t="s">
        <v>34</v>
      </c>
      <c r="B1877" s="15" t="s">
        <v>35</v>
      </c>
      <c r="C1877" s="15" t="s">
        <v>47</v>
      </c>
      <c r="D1877" s="15" t="s">
        <v>63</v>
      </c>
      <c r="E1877" s="15" t="s">
        <v>132</v>
      </c>
      <c r="F1877" s="15" t="s">
        <v>132</v>
      </c>
      <c r="G1877" s="15" t="s">
        <v>132</v>
      </c>
      <c r="H1877" s="139"/>
      <c r="I1877" s="3" t="s">
        <v>2374</v>
      </c>
      <c r="J1877" s="1" t="s">
        <v>3322</v>
      </c>
      <c r="K1877" s="1" t="s">
        <v>3269</v>
      </c>
      <c r="L1877" s="1" t="s">
        <v>35</v>
      </c>
      <c r="M1877" s="15" t="s">
        <v>894</v>
      </c>
      <c r="N1877" s="15"/>
      <c r="O1877" s="8" t="s">
        <v>410</v>
      </c>
      <c r="P1877" s="8" t="s">
        <v>41</v>
      </c>
      <c r="Q1877" s="9">
        <v>0</v>
      </c>
      <c r="R1877" s="138"/>
      <c r="T1877" s="18">
        <v>39643.97159999999</v>
      </c>
      <c r="U1877" s="4">
        <v>0</v>
      </c>
      <c r="V1877" s="4">
        <v>0</v>
      </c>
      <c r="W1877" s="13">
        <f t="shared" si="272"/>
        <v>39643.97159999999</v>
      </c>
      <c r="X1877" s="13">
        <f t="shared" si="273"/>
        <v>0</v>
      </c>
      <c r="Y1877" s="13">
        <f t="shared" si="275"/>
        <v>0</v>
      </c>
      <c r="Z1877" s="2">
        <v>0</v>
      </c>
      <c r="AA1877" s="4">
        <v>0</v>
      </c>
      <c r="AB1877" s="4">
        <f t="shared" si="276"/>
        <v>0</v>
      </c>
      <c r="AC1877" s="6">
        <f t="shared" si="277"/>
        <v>0</v>
      </c>
      <c r="AD1877" s="4">
        <v>0</v>
      </c>
      <c r="AE1877" s="2">
        <v>0</v>
      </c>
      <c r="AF1877" s="5">
        <f t="shared" si="278"/>
        <v>0</v>
      </c>
      <c r="AG1877" s="9">
        <v>0.24</v>
      </c>
      <c r="AH1877" s="4">
        <f t="shared" si="274"/>
        <v>0</v>
      </c>
      <c r="AJ1877" s="126" t="e">
        <v>#N/A</v>
      </c>
      <c r="AK1877" s="80">
        <f t="shared" si="279"/>
        <v>0</v>
      </c>
      <c r="AM1877" s="85"/>
    </row>
    <row r="1878" spans="1:39" hidden="1" x14ac:dyDescent="0.3">
      <c r="A1878" s="85" t="s">
        <v>34</v>
      </c>
      <c r="B1878" s="15" t="s">
        <v>35</v>
      </c>
      <c r="C1878" s="15" t="s">
        <v>144</v>
      </c>
      <c r="D1878" s="15" t="s">
        <v>145</v>
      </c>
      <c r="E1878" s="15" t="s">
        <v>2521</v>
      </c>
      <c r="F1878" s="15" t="s">
        <v>2521</v>
      </c>
      <c r="G1878" s="15" t="s">
        <v>2521</v>
      </c>
      <c r="H1878" s="139"/>
      <c r="I1878" s="3" t="s">
        <v>2374</v>
      </c>
      <c r="J1878" s="1" t="s">
        <v>3322</v>
      </c>
      <c r="K1878" s="1" t="s">
        <v>3269</v>
      </c>
      <c r="L1878" s="1" t="s">
        <v>35</v>
      </c>
      <c r="M1878" s="15" t="s">
        <v>2521</v>
      </c>
      <c r="N1878" s="15"/>
      <c r="O1878" s="8" t="s">
        <v>410</v>
      </c>
      <c r="P1878" s="8" t="s">
        <v>46</v>
      </c>
      <c r="Q1878" s="9">
        <v>0.03</v>
      </c>
      <c r="R1878" s="138"/>
      <c r="T1878" s="18">
        <v>1985.0600000000118</v>
      </c>
      <c r="U1878" s="4">
        <v>0</v>
      </c>
      <c r="V1878" s="4">
        <v>0</v>
      </c>
      <c r="W1878" s="13">
        <f t="shared" si="272"/>
        <v>1985.0600000000118</v>
      </c>
      <c r="X1878" s="13">
        <f t="shared" si="273"/>
        <v>0</v>
      </c>
      <c r="Y1878" s="13">
        <f t="shared" si="275"/>
        <v>0</v>
      </c>
      <c r="Z1878" s="2">
        <v>0</v>
      </c>
      <c r="AA1878" s="4">
        <v>0</v>
      </c>
      <c r="AB1878" s="4">
        <f t="shared" si="276"/>
        <v>0</v>
      </c>
      <c r="AC1878" s="6">
        <f t="shared" si="277"/>
        <v>0</v>
      </c>
      <c r="AD1878" s="4">
        <v>0</v>
      </c>
      <c r="AE1878" s="2">
        <v>0</v>
      </c>
      <c r="AF1878" s="5">
        <f t="shared" si="278"/>
        <v>0</v>
      </c>
      <c r="AG1878" s="9">
        <v>0</v>
      </c>
      <c r="AH1878" s="4">
        <f t="shared" si="274"/>
        <v>0</v>
      </c>
      <c r="AJ1878" s="126" t="e">
        <v>#N/A</v>
      </c>
      <c r="AK1878" s="80">
        <f t="shared" si="279"/>
        <v>0</v>
      </c>
      <c r="AM1878" s="85"/>
    </row>
    <row r="1879" spans="1:39" hidden="1" x14ac:dyDescent="0.3">
      <c r="A1879" s="85" t="s">
        <v>34</v>
      </c>
      <c r="B1879" s="15" t="s">
        <v>35</v>
      </c>
      <c r="C1879" s="15" t="s">
        <v>144</v>
      </c>
      <c r="D1879" s="15" t="s">
        <v>145</v>
      </c>
      <c r="E1879" s="15" t="s">
        <v>565</v>
      </c>
      <c r="F1879" s="15" t="s">
        <v>565</v>
      </c>
      <c r="G1879" s="15" t="s">
        <v>565</v>
      </c>
      <c r="H1879" s="139"/>
      <c r="I1879" s="3" t="s">
        <v>2374</v>
      </c>
      <c r="J1879" s="1" t="s">
        <v>3322</v>
      </c>
      <c r="K1879" s="1" t="s">
        <v>3269</v>
      </c>
      <c r="L1879" s="1" t="s">
        <v>35</v>
      </c>
      <c r="M1879" s="15" t="s">
        <v>2433</v>
      </c>
      <c r="N1879" s="15"/>
      <c r="O1879" s="8" t="s">
        <v>40</v>
      </c>
      <c r="P1879" s="8" t="s">
        <v>46</v>
      </c>
      <c r="Q1879" s="9">
        <v>0.02</v>
      </c>
      <c r="R1879" s="138"/>
      <c r="T1879" s="18">
        <v>2999.9957999999997</v>
      </c>
      <c r="U1879" s="4">
        <v>0</v>
      </c>
      <c r="V1879" s="4">
        <v>0</v>
      </c>
      <c r="W1879" s="13">
        <f t="shared" si="272"/>
        <v>2999.9957999999997</v>
      </c>
      <c r="X1879" s="13">
        <f t="shared" si="273"/>
        <v>0</v>
      </c>
      <c r="Y1879" s="13">
        <f t="shared" si="275"/>
        <v>0</v>
      </c>
      <c r="Z1879" s="2">
        <v>0</v>
      </c>
      <c r="AA1879" s="4">
        <v>0</v>
      </c>
      <c r="AB1879" s="4">
        <f t="shared" si="276"/>
        <v>0</v>
      </c>
      <c r="AC1879" s="6">
        <f t="shared" si="277"/>
        <v>0</v>
      </c>
      <c r="AD1879" s="4">
        <v>0</v>
      </c>
      <c r="AE1879" s="2">
        <v>7.0000000000000007E-2</v>
      </c>
      <c r="AF1879" s="5">
        <f t="shared" si="278"/>
        <v>0</v>
      </c>
      <c r="AG1879" s="9">
        <v>0.38</v>
      </c>
      <c r="AH1879" s="4">
        <f t="shared" si="274"/>
        <v>0</v>
      </c>
      <c r="AJ1879" s="126" t="e">
        <v>#N/A</v>
      </c>
      <c r="AK1879" s="80">
        <f t="shared" si="279"/>
        <v>0</v>
      </c>
      <c r="AM1879" s="85"/>
    </row>
    <row r="1880" spans="1:39" hidden="1" x14ac:dyDescent="0.3">
      <c r="A1880" s="85" t="s">
        <v>34</v>
      </c>
      <c r="B1880" s="15" t="s">
        <v>35</v>
      </c>
      <c r="C1880" s="15" t="s">
        <v>144</v>
      </c>
      <c r="D1880" s="15" t="s">
        <v>161</v>
      </c>
      <c r="E1880" s="15" t="s">
        <v>2522</v>
      </c>
      <c r="F1880" s="15" t="s">
        <v>2522</v>
      </c>
      <c r="G1880" s="15" t="s">
        <v>2522</v>
      </c>
      <c r="H1880" s="139"/>
      <c r="I1880" s="3" t="s">
        <v>2374</v>
      </c>
      <c r="J1880" s="1" t="s">
        <v>3322</v>
      </c>
      <c r="K1880" s="1" t="s">
        <v>3269</v>
      </c>
      <c r="L1880" s="1" t="s">
        <v>35</v>
      </c>
      <c r="M1880" s="15" t="s">
        <v>2433</v>
      </c>
      <c r="N1880" s="15"/>
      <c r="O1880" s="8" t="s">
        <v>45</v>
      </c>
      <c r="P1880" s="8" t="s">
        <v>46</v>
      </c>
      <c r="Q1880" s="9">
        <v>0.02</v>
      </c>
      <c r="R1880" s="138"/>
      <c r="T1880" s="18">
        <v>9265.39</v>
      </c>
      <c r="U1880" s="4">
        <v>0</v>
      </c>
      <c r="V1880" s="4">
        <v>0</v>
      </c>
      <c r="W1880" s="13">
        <f t="shared" si="272"/>
        <v>9265.39</v>
      </c>
      <c r="X1880" s="13">
        <f t="shared" si="273"/>
        <v>0</v>
      </c>
      <c r="Y1880" s="13">
        <f t="shared" si="275"/>
        <v>0</v>
      </c>
      <c r="Z1880" s="2">
        <v>0</v>
      </c>
      <c r="AA1880" s="4">
        <v>0</v>
      </c>
      <c r="AB1880" s="4">
        <f t="shared" si="276"/>
        <v>0</v>
      </c>
      <c r="AC1880" s="6">
        <f t="shared" si="277"/>
        <v>0</v>
      </c>
      <c r="AD1880" s="4">
        <v>0</v>
      </c>
      <c r="AE1880" s="2">
        <v>0.06</v>
      </c>
      <c r="AF1880" s="5">
        <f t="shared" si="278"/>
        <v>0</v>
      </c>
      <c r="AG1880" s="9">
        <v>0</v>
      </c>
      <c r="AH1880" s="4">
        <f t="shared" si="274"/>
        <v>0</v>
      </c>
      <c r="AJ1880" s="126" t="e">
        <v>#N/A</v>
      </c>
      <c r="AK1880" s="80">
        <f t="shared" si="279"/>
        <v>0</v>
      </c>
      <c r="AM1880" s="85"/>
    </row>
    <row r="1881" spans="1:39" hidden="1" x14ac:dyDescent="0.3">
      <c r="A1881" s="85" t="s">
        <v>34</v>
      </c>
      <c r="B1881" s="15" t="s">
        <v>35</v>
      </c>
      <c r="C1881" s="15" t="s">
        <v>144</v>
      </c>
      <c r="D1881" s="15" t="s">
        <v>161</v>
      </c>
      <c r="E1881" s="15" t="s">
        <v>1903</v>
      </c>
      <c r="F1881" s="15" t="s">
        <v>1903</v>
      </c>
      <c r="G1881" s="15" t="s">
        <v>1903</v>
      </c>
      <c r="H1881" s="139"/>
      <c r="I1881" s="3" t="s">
        <v>2374</v>
      </c>
      <c r="J1881" s="1" t="s">
        <v>3322</v>
      </c>
      <c r="K1881" s="1" t="s">
        <v>3269</v>
      </c>
      <c r="L1881" s="1" t="s">
        <v>35</v>
      </c>
      <c r="M1881" s="15" t="s">
        <v>2148</v>
      </c>
      <c r="N1881" s="15"/>
      <c r="O1881" s="8" t="s">
        <v>410</v>
      </c>
      <c r="P1881" s="8" t="s">
        <v>46</v>
      </c>
      <c r="Q1881" s="9">
        <v>0.03</v>
      </c>
      <c r="R1881" s="138"/>
      <c r="T1881" s="18">
        <v>-6085.3600000000006</v>
      </c>
      <c r="U1881" s="4">
        <v>0</v>
      </c>
      <c r="V1881" s="4">
        <v>0</v>
      </c>
      <c r="W1881" s="13">
        <f t="shared" si="272"/>
        <v>-6085.3600000000006</v>
      </c>
      <c r="X1881" s="13">
        <f t="shared" si="273"/>
        <v>0</v>
      </c>
      <c r="Y1881" s="13">
        <f t="shared" si="275"/>
        <v>0</v>
      </c>
      <c r="Z1881" s="2">
        <v>0</v>
      </c>
      <c r="AA1881" s="4">
        <v>0</v>
      </c>
      <c r="AB1881" s="4">
        <f t="shared" si="276"/>
        <v>0</v>
      </c>
      <c r="AC1881" s="6">
        <f t="shared" si="277"/>
        <v>0</v>
      </c>
      <c r="AD1881" s="4">
        <v>0</v>
      </c>
      <c r="AE1881" s="2">
        <v>0</v>
      </c>
      <c r="AF1881" s="5">
        <f t="shared" si="278"/>
        <v>0</v>
      </c>
      <c r="AG1881" s="9">
        <v>0</v>
      </c>
      <c r="AH1881" s="4">
        <f t="shared" si="274"/>
        <v>0</v>
      </c>
      <c r="AJ1881" s="126" t="e">
        <v>#N/A</v>
      </c>
      <c r="AK1881" s="80">
        <f t="shared" si="279"/>
        <v>0</v>
      </c>
      <c r="AM1881" s="85"/>
    </row>
    <row r="1882" spans="1:39" hidden="1" x14ac:dyDescent="0.3">
      <c r="A1882" s="85" t="s">
        <v>34</v>
      </c>
      <c r="B1882" s="15" t="s">
        <v>35</v>
      </c>
      <c r="C1882" s="15" t="s">
        <v>59</v>
      </c>
      <c r="D1882" s="15" t="s">
        <v>60</v>
      </c>
      <c r="E1882" s="15" t="s">
        <v>2523</v>
      </c>
      <c r="F1882" s="15" t="s">
        <v>2523</v>
      </c>
      <c r="G1882" s="15" t="s">
        <v>2523</v>
      </c>
      <c r="H1882" s="139"/>
      <c r="I1882" s="3" t="s">
        <v>2374</v>
      </c>
      <c r="J1882" s="1" t="s">
        <v>3322</v>
      </c>
      <c r="K1882" s="1" t="s">
        <v>3269</v>
      </c>
      <c r="L1882" s="1" t="s">
        <v>35</v>
      </c>
      <c r="M1882" s="15" t="s">
        <v>2524</v>
      </c>
      <c r="N1882" s="15"/>
      <c r="O1882" s="8" t="s">
        <v>45</v>
      </c>
      <c r="P1882" s="8" t="s">
        <v>46</v>
      </c>
      <c r="Q1882" s="9">
        <v>0.04</v>
      </c>
      <c r="R1882" s="138"/>
      <c r="T1882" s="18">
        <v>583.78000000000009</v>
      </c>
      <c r="U1882" s="4">
        <v>0</v>
      </c>
      <c r="V1882" s="4">
        <v>0</v>
      </c>
      <c r="W1882" s="13">
        <f t="shared" si="272"/>
        <v>583.78000000000009</v>
      </c>
      <c r="X1882" s="13">
        <f t="shared" si="273"/>
        <v>0</v>
      </c>
      <c r="Y1882" s="13">
        <f t="shared" si="275"/>
        <v>0</v>
      </c>
      <c r="Z1882" s="2">
        <v>0</v>
      </c>
      <c r="AA1882" s="4">
        <v>0</v>
      </c>
      <c r="AB1882" s="4">
        <f t="shared" si="276"/>
        <v>0</v>
      </c>
      <c r="AC1882" s="6">
        <f t="shared" si="277"/>
        <v>0</v>
      </c>
      <c r="AD1882" s="4">
        <v>0</v>
      </c>
      <c r="AE1882" s="2">
        <v>0.06</v>
      </c>
      <c r="AF1882" s="5">
        <f t="shared" si="278"/>
        <v>0</v>
      </c>
      <c r="AG1882" s="9">
        <v>0</v>
      </c>
      <c r="AH1882" s="4">
        <f t="shared" si="274"/>
        <v>0</v>
      </c>
      <c r="AJ1882" s="126" t="e">
        <v>#N/A</v>
      </c>
      <c r="AK1882" s="80">
        <f t="shared" si="279"/>
        <v>0</v>
      </c>
      <c r="AM1882" s="85"/>
    </row>
    <row r="1883" spans="1:39" hidden="1" x14ac:dyDescent="0.3">
      <c r="A1883" s="85" t="s">
        <v>34</v>
      </c>
      <c r="B1883" s="15" t="s">
        <v>35</v>
      </c>
      <c r="C1883" s="15" t="s">
        <v>59</v>
      </c>
      <c r="D1883" s="15" t="s">
        <v>60</v>
      </c>
      <c r="E1883" s="15" t="s">
        <v>2523</v>
      </c>
      <c r="F1883" s="15" t="s">
        <v>2523</v>
      </c>
      <c r="G1883" s="15" t="s">
        <v>2523</v>
      </c>
      <c r="H1883" s="139"/>
      <c r="I1883" s="3" t="s">
        <v>2374</v>
      </c>
      <c r="J1883" s="1" t="s">
        <v>3322</v>
      </c>
      <c r="K1883" s="1" t="s">
        <v>3269</v>
      </c>
      <c r="L1883" s="1" t="s">
        <v>35</v>
      </c>
      <c r="M1883" s="15" t="s">
        <v>2525</v>
      </c>
      <c r="N1883" s="15"/>
      <c r="O1883" s="8" t="s">
        <v>45</v>
      </c>
      <c r="P1883" s="8" t="s">
        <v>46</v>
      </c>
      <c r="Q1883" s="9">
        <v>0.04</v>
      </c>
      <c r="R1883" s="138"/>
      <c r="T1883" s="18">
        <v>535.6</v>
      </c>
      <c r="U1883" s="4">
        <v>0</v>
      </c>
      <c r="V1883" s="4">
        <v>0</v>
      </c>
      <c r="W1883" s="13">
        <f t="shared" si="272"/>
        <v>535.6</v>
      </c>
      <c r="X1883" s="13">
        <f t="shared" si="273"/>
        <v>0</v>
      </c>
      <c r="Y1883" s="13">
        <f t="shared" si="275"/>
        <v>0</v>
      </c>
      <c r="Z1883" s="2">
        <v>0</v>
      </c>
      <c r="AA1883" s="4">
        <v>0</v>
      </c>
      <c r="AB1883" s="4">
        <f t="shared" si="276"/>
        <v>0</v>
      </c>
      <c r="AC1883" s="6">
        <f t="shared" si="277"/>
        <v>0</v>
      </c>
      <c r="AD1883" s="4">
        <v>0</v>
      </c>
      <c r="AE1883" s="2">
        <v>0.06</v>
      </c>
      <c r="AF1883" s="5">
        <f t="shared" si="278"/>
        <v>0</v>
      </c>
      <c r="AG1883" s="9">
        <v>0</v>
      </c>
      <c r="AH1883" s="4">
        <f t="shared" si="274"/>
        <v>0</v>
      </c>
      <c r="AJ1883" s="126" t="e">
        <v>#N/A</v>
      </c>
      <c r="AK1883" s="80">
        <f t="shared" si="279"/>
        <v>0</v>
      </c>
      <c r="AM1883" s="85"/>
    </row>
    <row r="1884" spans="1:39" hidden="1" x14ac:dyDescent="0.3">
      <c r="A1884" s="85" t="s">
        <v>34</v>
      </c>
      <c r="B1884" s="15" t="s">
        <v>35</v>
      </c>
      <c r="C1884" s="15" t="s">
        <v>59</v>
      </c>
      <c r="D1884" s="15" t="s">
        <v>60</v>
      </c>
      <c r="E1884" s="15" t="s">
        <v>2523</v>
      </c>
      <c r="F1884" s="15" t="s">
        <v>2523</v>
      </c>
      <c r="G1884" s="15" t="s">
        <v>2523</v>
      </c>
      <c r="H1884" s="139"/>
      <c r="I1884" s="3" t="s">
        <v>2374</v>
      </c>
      <c r="J1884" s="1" t="s">
        <v>3322</v>
      </c>
      <c r="K1884" s="1" t="s">
        <v>3269</v>
      </c>
      <c r="L1884" s="1" t="s">
        <v>35</v>
      </c>
      <c r="M1884" s="15" t="s">
        <v>2526</v>
      </c>
      <c r="N1884" s="15"/>
      <c r="O1884" s="8" t="s">
        <v>45</v>
      </c>
      <c r="P1884" s="8" t="s">
        <v>46</v>
      </c>
      <c r="Q1884" s="9">
        <v>0.04</v>
      </c>
      <c r="R1884" s="138"/>
      <c r="T1884" s="18">
        <v>1000</v>
      </c>
      <c r="U1884" s="4">
        <v>0</v>
      </c>
      <c r="V1884" s="4">
        <v>0</v>
      </c>
      <c r="W1884" s="13">
        <f t="shared" si="272"/>
        <v>1000</v>
      </c>
      <c r="X1884" s="13">
        <f t="shared" si="273"/>
        <v>0</v>
      </c>
      <c r="Y1884" s="13">
        <f t="shared" si="275"/>
        <v>0</v>
      </c>
      <c r="Z1884" s="2">
        <v>0</v>
      </c>
      <c r="AA1884" s="4">
        <v>0</v>
      </c>
      <c r="AB1884" s="4">
        <f t="shared" si="276"/>
        <v>0</v>
      </c>
      <c r="AC1884" s="6">
        <f t="shared" si="277"/>
        <v>0</v>
      </c>
      <c r="AD1884" s="4">
        <v>0</v>
      </c>
      <c r="AE1884" s="2">
        <v>0.06</v>
      </c>
      <c r="AF1884" s="5">
        <f t="shared" si="278"/>
        <v>0</v>
      </c>
      <c r="AG1884" s="9">
        <v>0</v>
      </c>
      <c r="AH1884" s="4">
        <f t="shared" si="274"/>
        <v>0</v>
      </c>
      <c r="AJ1884" s="126" t="e">
        <v>#N/A</v>
      </c>
      <c r="AK1884" s="80">
        <f t="shared" si="279"/>
        <v>0</v>
      </c>
      <c r="AM1884" s="85"/>
    </row>
    <row r="1885" spans="1:39" hidden="1" x14ac:dyDescent="0.3">
      <c r="A1885" s="85" t="s">
        <v>34</v>
      </c>
      <c r="B1885" s="15" t="s">
        <v>35</v>
      </c>
      <c r="C1885" s="15" t="s">
        <v>59</v>
      </c>
      <c r="D1885" s="15" t="s">
        <v>60</v>
      </c>
      <c r="E1885" s="15" t="s">
        <v>2527</v>
      </c>
      <c r="F1885" s="15" t="s">
        <v>2528</v>
      </c>
      <c r="G1885" s="15" t="s">
        <v>2527</v>
      </c>
      <c r="H1885" s="139"/>
      <c r="I1885" s="3" t="s">
        <v>2374</v>
      </c>
      <c r="J1885" s="1" t="s">
        <v>3322</v>
      </c>
      <c r="K1885" s="1" t="s">
        <v>3269</v>
      </c>
      <c r="L1885" s="1" t="s">
        <v>35</v>
      </c>
      <c r="M1885" s="15" t="s">
        <v>2529</v>
      </c>
      <c r="N1885" s="15"/>
      <c r="O1885" s="8" t="s">
        <v>40</v>
      </c>
      <c r="P1885" s="8" t="s">
        <v>92</v>
      </c>
      <c r="Q1885" s="9">
        <v>0.92</v>
      </c>
      <c r="R1885" s="138"/>
      <c r="T1885" s="18">
        <v>160473.87</v>
      </c>
      <c r="U1885" s="4">
        <v>0</v>
      </c>
      <c r="V1885" s="4">
        <v>0</v>
      </c>
      <c r="W1885" s="13">
        <f t="shared" si="272"/>
        <v>160473.87</v>
      </c>
      <c r="X1885" s="13">
        <f t="shared" si="273"/>
        <v>0</v>
      </c>
      <c r="Y1885" s="13">
        <f t="shared" si="275"/>
        <v>0</v>
      </c>
      <c r="Z1885" s="2">
        <v>0</v>
      </c>
      <c r="AA1885" s="4">
        <v>0</v>
      </c>
      <c r="AB1885" s="4">
        <f t="shared" si="276"/>
        <v>0</v>
      </c>
      <c r="AC1885" s="6">
        <f t="shared" si="277"/>
        <v>0</v>
      </c>
      <c r="AD1885" s="4">
        <v>0</v>
      </c>
      <c r="AE1885" s="2">
        <v>7.0000000000000007E-2</v>
      </c>
      <c r="AF1885" s="5">
        <f t="shared" si="278"/>
        <v>0</v>
      </c>
      <c r="AG1885" s="9">
        <v>0</v>
      </c>
      <c r="AH1885" s="4">
        <f t="shared" si="274"/>
        <v>0</v>
      </c>
      <c r="AJ1885" s="126" t="e">
        <v>#N/A</v>
      </c>
      <c r="AK1885" s="80">
        <f t="shared" si="279"/>
        <v>0</v>
      </c>
      <c r="AM1885" s="85"/>
    </row>
    <row r="1886" spans="1:39" hidden="1" x14ac:dyDescent="0.3">
      <c r="A1886" s="85" t="s">
        <v>34</v>
      </c>
      <c r="B1886" s="15" t="s">
        <v>35</v>
      </c>
      <c r="C1886" s="15" t="s">
        <v>65</v>
      </c>
      <c r="D1886" s="15" t="s">
        <v>66</v>
      </c>
      <c r="E1886" s="15" t="s">
        <v>2530</v>
      </c>
      <c r="F1886" s="15" t="s">
        <v>2530</v>
      </c>
      <c r="G1886" s="15" t="s">
        <v>2530</v>
      </c>
      <c r="H1886" s="139"/>
      <c r="I1886" s="3" t="s">
        <v>2374</v>
      </c>
      <c r="J1886" s="1" t="s">
        <v>3322</v>
      </c>
      <c r="K1886" s="1" t="s">
        <v>3269</v>
      </c>
      <c r="L1886" s="1" t="s">
        <v>35</v>
      </c>
      <c r="M1886" s="15" t="s">
        <v>2530</v>
      </c>
      <c r="N1886" s="15"/>
      <c r="O1886" s="8" t="s">
        <v>45</v>
      </c>
      <c r="P1886" s="8" t="s">
        <v>41</v>
      </c>
      <c r="Q1886" s="9">
        <v>0</v>
      </c>
      <c r="R1886" s="138"/>
      <c r="T1886" s="18">
        <v>65.160000000002583</v>
      </c>
      <c r="U1886" s="4">
        <v>0</v>
      </c>
      <c r="V1886" s="4">
        <v>0</v>
      </c>
      <c r="W1886" s="13">
        <f t="shared" si="272"/>
        <v>65.160000000002583</v>
      </c>
      <c r="X1886" s="13">
        <f t="shared" si="273"/>
        <v>0</v>
      </c>
      <c r="Y1886" s="13">
        <f t="shared" si="275"/>
        <v>0</v>
      </c>
      <c r="Z1886" s="2">
        <v>0</v>
      </c>
      <c r="AA1886" s="4">
        <v>0</v>
      </c>
      <c r="AB1886" s="4">
        <f t="shared" si="276"/>
        <v>0</v>
      </c>
      <c r="AC1886" s="6">
        <f t="shared" si="277"/>
        <v>0</v>
      </c>
      <c r="AD1886" s="4">
        <v>0</v>
      </c>
      <c r="AE1886" s="2">
        <v>0.06</v>
      </c>
      <c r="AF1886" s="5">
        <f t="shared" si="278"/>
        <v>0</v>
      </c>
      <c r="AG1886" s="9">
        <v>0</v>
      </c>
      <c r="AH1886" s="4">
        <f t="shared" si="274"/>
        <v>0</v>
      </c>
      <c r="AJ1886" s="126" t="e">
        <v>#N/A</v>
      </c>
      <c r="AK1886" s="80">
        <f t="shared" si="279"/>
        <v>0</v>
      </c>
      <c r="AM1886" s="85"/>
    </row>
    <row r="1887" spans="1:39" hidden="1" x14ac:dyDescent="0.3">
      <c r="A1887" s="85" t="s">
        <v>34</v>
      </c>
      <c r="B1887" s="15" t="s">
        <v>35</v>
      </c>
      <c r="C1887" s="15" t="s">
        <v>65</v>
      </c>
      <c r="D1887" s="15" t="s">
        <v>122</v>
      </c>
      <c r="E1887" s="15" t="s">
        <v>1894</v>
      </c>
      <c r="F1887" s="15" t="s">
        <v>1894</v>
      </c>
      <c r="G1887" s="15" t="s">
        <v>1894</v>
      </c>
      <c r="H1887" s="139"/>
      <c r="I1887" s="3" t="s">
        <v>2374</v>
      </c>
      <c r="J1887" s="1" t="s">
        <v>3322</v>
      </c>
      <c r="K1887" s="1" t="s">
        <v>3269</v>
      </c>
      <c r="L1887" s="1" t="s">
        <v>35</v>
      </c>
      <c r="M1887" s="15" t="s">
        <v>1894</v>
      </c>
      <c r="N1887" s="15"/>
      <c r="O1887" s="8" t="s">
        <v>45</v>
      </c>
      <c r="P1887" s="8" t="s">
        <v>46</v>
      </c>
      <c r="Q1887" s="9">
        <v>1.0000000000000009E-2</v>
      </c>
      <c r="R1887" s="138"/>
      <c r="T1887" s="18">
        <v>8035.9300000000021</v>
      </c>
      <c r="U1887" s="4">
        <v>0</v>
      </c>
      <c r="V1887" s="4">
        <v>0</v>
      </c>
      <c r="W1887" s="13">
        <f t="shared" si="272"/>
        <v>8035.9300000000021</v>
      </c>
      <c r="X1887" s="13">
        <f t="shared" si="273"/>
        <v>0</v>
      </c>
      <c r="Y1887" s="13">
        <f t="shared" si="275"/>
        <v>0</v>
      </c>
      <c r="Z1887" s="2">
        <v>0</v>
      </c>
      <c r="AA1887" s="4">
        <v>0</v>
      </c>
      <c r="AB1887" s="4">
        <f t="shared" si="276"/>
        <v>0</v>
      </c>
      <c r="AC1887" s="6">
        <f t="shared" si="277"/>
        <v>0</v>
      </c>
      <c r="AD1887" s="4">
        <v>0</v>
      </c>
      <c r="AE1887" s="2">
        <v>0.06</v>
      </c>
      <c r="AF1887" s="5">
        <f t="shared" si="278"/>
        <v>0</v>
      </c>
      <c r="AG1887" s="9">
        <v>0</v>
      </c>
      <c r="AH1887" s="4">
        <f t="shared" si="274"/>
        <v>0</v>
      </c>
      <c r="AJ1887" s="126" t="e">
        <v>#N/A</v>
      </c>
      <c r="AK1887" s="80">
        <f t="shared" si="279"/>
        <v>0</v>
      </c>
      <c r="AM1887" s="85"/>
    </row>
    <row r="1888" spans="1:39" hidden="1" x14ac:dyDescent="0.3">
      <c r="A1888" s="85" t="s">
        <v>34</v>
      </c>
      <c r="B1888" s="15" t="s">
        <v>35</v>
      </c>
      <c r="C1888" s="15" t="s">
        <v>65</v>
      </c>
      <c r="D1888" s="15" t="s">
        <v>125</v>
      </c>
      <c r="E1888" s="15" t="s">
        <v>2531</v>
      </c>
      <c r="F1888" s="15" t="s">
        <v>2531</v>
      </c>
      <c r="G1888" s="15" t="s">
        <v>2531</v>
      </c>
      <c r="H1888" s="139"/>
      <c r="I1888" s="3" t="s">
        <v>2374</v>
      </c>
      <c r="J1888" s="1" t="s">
        <v>3322</v>
      </c>
      <c r="K1888" s="1" t="s">
        <v>3269</v>
      </c>
      <c r="L1888" s="1" t="s">
        <v>35</v>
      </c>
      <c r="M1888" s="15" t="s">
        <v>2532</v>
      </c>
      <c r="N1888" s="15"/>
      <c r="O1888" s="8" t="s">
        <v>45</v>
      </c>
      <c r="P1888" s="8" t="s">
        <v>46</v>
      </c>
      <c r="Q1888" s="9">
        <v>0.03</v>
      </c>
      <c r="R1888" s="138"/>
      <c r="T1888" s="18">
        <v>6268.48</v>
      </c>
      <c r="U1888" s="4">
        <v>0</v>
      </c>
      <c r="V1888" s="4">
        <v>0</v>
      </c>
      <c r="W1888" s="13">
        <f t="shared" si="272"/>
        <v>6268.48</v>
      </c>
      <c r="X1888" s="13">
        <f t="shared" si="273"/>
        <v>0</v>
      </c>
      <c r="Y1888" s="13">
        <f t="shared" si="275"/>
        <v>0</v>
      </c>
      <c r="Z1888" s="2">
        <v>0</v>
      </c>
      <c r="AA1888" s="4">
        <v>0</v>
      </c>
      <c r="AB1888" s="4">
        <f t="shared" si="276"/>
        <v>0</v>
      </c>
      <c r="AC1888" s="6">
        <f t="shared" si="277"/>
        <v>0</v>
      </c>
      <c r="AD1888" s="4">
        <v>0</v>
      </c>
      <c r="AE1888" s="2">
        <v>0.06</v>
      </c>
      <c r="AF1888" s="5">
        <f t="shared" si="278"/>
        <v>0</v>
      </c>
      <c r="AG1888" s="9">
        <v>0</v>
      </c>
      <c r="AH1888" s="4">
        <f t="shared" si="274"/>
        <v>0</v>
      </c>
      <c r="AJ1888" s="126" t="e">
        <v>#N/A</v>
      </c>
      <c r="AK1888" s="80">
        <f t="shared" si="279"/>
        <v>0</v>
      </c>
      <c r="AM1888" s="85"/>
    </row>
    <row r="1889" spans="1:39" hidden="1" x14ac:dyDescent="0.3">
      <c r="A1889" s="85" t="s">
        <v>34</v>
      </c>
      <c r="B1889" s="15" t="s">
        <v>35</v>
      </c>
      <c r="C1889" s="15" t="s">
        <v>47</v>
      </c>
      <c r="D1889" s="15" t="s">
        <v>878</v>
      </c>
      <c r="E1889" s="15" t="s">
        <v>2533</v>
      </c>
      <c r="F1889" s="15" t="s">
        <v>2534</v>
      </c>
      <c r="G1889" s="15" t="s">
        <v>2533</v>
      </c>
      <c r="H1889" s="139"/>
      <c r="I1889" s="3" t="s">
        <v>2374</v>
      </c>
      <c r="J1889" s="1" t="s">
        <v>3322</v>
      </c>
      <c r="K1889" s="1" t="s">
        <v>3269</v>
      </c>
      <c r="L1889" s="1" t="s">
        <v>35</v>
      </c>
      <c r="M1889" s="15" t="s">
        <v>2533</v>
      </c>
      <c r="N1889" s="15"/>
      <c r="O1889" s="8" t="s">
        <v>45</v>
      </c>
      <c r="P1889" s="8" t="s">
        <v>41</v>
      </c>
      <c r="Q1889" s="9">
        <v>0</v>
      </c>
      <c r="R1889" s="138"/>
      <c r="T1889" s="18">
        <v>2474.6900000000005</v>
      </c>
      <c r="U1889" s="4">
        <v>0</v>
      </c>
      <c r="V1889" s="4">
        <v>0</v>
      </c>
      <c r="W1889" s="13">
        <f t="shared" si="272"/>
        <v>2474.6900000000005</v>
      </c>
      <c r="X1889" s="13">
        <f t="shared" si="273"/>
        <v>0</v>
      </c>
      <c r="Y1889" s="13">
        <f t="shared" si="275"/>
        <v>0</v>
      </c>
      <c r="Z1889" s="2">
        <v>0</v>
      </c>
      <c r="AA1889" s="4">
        <v>0</v>
      </c>
      <c r="AB1889" s="4">
        <f t="shared" si="276"/>
        <v>0</v>
      </c>
      <c r="AC1889" s="6">
        <f t="shared" si="277"/>
        <v>0</v>
      </c>
      <c r="AD1889" s="4">
        <v>0</v>
      </c>
      <c r="AE1889" s="2">
        <v>0.06</v>
      </c>
      <c r="AF1889" s="5">
        <f t="shared" si="278"/>
        <v>0</v>
      </c>
      <c r="AG1889" s="9">
        <v>0</v>
      </c>
      <c r="AH1889" s="4">
        <f t="shared" si="274"/>
        <v>0</v>
      </c>
      <c r="AJ1889" s="126" t="e">
        <v>#N/A</v>
      </c>
      <c r="AK1889" s="80">
        <f t="shared" si="279"/>
        <v>0</v>
      </c>
      <c r="AM1889" s="85"/>
    </row>
    <row r="1890" spans="1:39" hidden="1" x14ac:dyDescent="0.3">
      <c r="A1890" s="85" t="s">
        <v>34</v>
      </c>
      <c r="B1890" s="15" t="s">
        <v>35</v>
      </c>
      <c r="C1890" s="15" t="s">
        <v>47</v>
      </c>
      <c r="D1890" s="15" t="s">
        <v>63</v>
      </c>
      <c r="E1890" s="15" t="s">
        <v>2388</v>
      </c>
      <c r="F1890" s="15" t="s">
        <v>2509</v>
      </c>
      <c r="G1890" s="15" t="s">
        <v>2388</v>
      </c>
      <c r="H1890" s="139"/>
      <c r="I1890" s="3" t="s">
        <v>2374</v>
      </c>
      <c r="J1890" s="1" t="s">
        <v>3322</v>
      </c>
      <c r="K1890" s="1" t="s">
        <v>3269</v>
      </c>
      <c r="L1890" s="1" t="s">
        <v>35</v>
      </c>
      <c r="M1890" s="15" t="s">
        <v>2390</v>
      </c>
      <c r="N1890" s="15"/>
      <c r="O1890" s="8" t="s">
        <v>410</v>
      </c>
      <c r="P1890" s="8" t="s">
        <v>46</v>
      </c>
      <c r="Q1890" s="9">
        <v>0.06</v>
      </c>
      <c r="R1890" s="138"/>
      <c r="T1890" s="18">
        <v>170076.12724137912</v>
      </c>
      <c r="U1890" s="4">
        <v>0</v>
      </c>
      <c r="V1890" s="4">
        <v>0</v>
      </c>
      <c r="W1890" s="13">
        <f t="shared" si="272"/>
        <v>170076.12724137912</v>
      </c>
      <c r="X1890" s="13">
        <f t="shared" si="273"/>
        <v>0</v>
      </c>
      <c r="Y1890" s="13">
        <f t="shared" si="275"/>
        <v>0</v>
      </c>
      <c r="Z1890" s="2">
        <v>0</v>
      </c>
      <c r="AA1890" s="4">
        <v>0</v>
      </c>
      <c r="AB1890" s="4">
        <f t="shared" si="276"/>
        <v>0</v>
      </c>
      <c r="AC1890" s="6">
        <f t="shared" si="277"/>
        <v>0</v>
      </c>
      <c r="AD1890" s="4">
        <v>0</v>
      </c>
      <c r="AE1890" s="2">
        <v>0</v>
      </c>
      <c r="AF1890" s="5">
        <f t="shared" si="278"/>
        <v>0</v>
      </c>
      <c r="AG1890" s="9">
        <v>0.3</v>
      </c>
      <c r="AH1890" s="4">
        <f t="shared" si="274"/>
        <v>0</v>
      </c>
      <c r="AJ1890" s="126" t="e">
        <v>#N/A</v>
      </c>
      <c r="AK1890" s="80">
        <f t="shared" si="279"/>
        <v>0</v>
      </c>
      <c r="AM1890" s="85"/>
    </row>
    <row r="1891" spans="1:39" hidden="1" x14ac:dyDescent="0.3">
      <c r="A1891" s="85" t="s">
        <v>34</v>
      </c>
      <c r="B1891" s="15" t="s">
        <v>35</v>
      </c>
      <c r="C1891" s="15" t="s">
        <v>47</v>
      </c>
      <c r="D1891" s="15" t="s">
        <v>63</v>
      </c>
      <c r="E1891" s="15" t="s">
        <v>2388</v>
      </c>
      <c r="F1891" s="15" t="s">
        <v>2509</v>
      </c>
      <c r="G1891" s="15" t="s">
        <v>2388</v>
      </c>
      <c r="H1891" s="139"/>
      <c r="I1891" s="3" t="s">
        <v>2374</v>
      </c>
      <c r="J1891" s="1" t="s">
        <v>3322</v>
      </c>
      <c r="K1891" s="1" t="s">
        <v>3269</v>
      </c>
      <c r="L1891" s="1" t="s">
        <v>35</v>
      </c>
      <c r="M1891" s="15" t="s">
        <v>2390</v>
      </c>
      <c r="N1891" s="15"/>
      <c r="O1891" s="8" t="s">
        <v>410</v>
      </c>
      <c r="P1891" s="8" t="s">
        <v>46</v>
      </c>
      <c r="Q1891" s="9">
        <v>0.06</v>
      </c>
      <c r="R1891" s="138"/>
      <c r="T1891" s="18">
        <v>-170012.66200000001</v>
      </c>
      <c r="U1891" s="4">
        <v>0</v>
      </c>
      <c r="V1891" s="4">
        <v>0</v>
      </c>
      <c r="W1891" s="13">
        <f t="shared" si="272"/>
        <v>-170012.66200000001</v>
      </c>
      <c r="X1891" s="13">
        <f t="shared" si="273"/>
        <v>0</v>
      </c>
      <c r="Y1891" s="13">
        <f t="shared" si="275"/>
        <v>0</v>
      </c>
      <c r="Z1891" s="2">
        <v>0</v>
      </c>
      <c r="AA1891" s="4">
        <v>0</v>
      </c>
      <c r="AB1891" s="4">
        <f t="shared" si="276"/>
        <v>0</v>
      </c>
      <c r="AC1891" s="6">
        <f t="shared" si="277"/>
        <v>0</v>
      </c>
      <c r="AD1891" s="4">
        <v>0</v>
      </c>
      <c r="AE1891" s="2">
        <v>0</v>
      </c>
      <c r="AF1891" s="5">
        <f t="shared" si="278"/>
        <v>0</v>
      </c>
      <c r="AG1891" s="9">
        <v>0.3</v>
      </c>
      <c r="AH1891" s="4">
        <f t="shared" si="274"/>
        <v>0</v>
      </c>
      <c r="AJ1891" s="126" t="e">
        <v>#N/A</v>
      </c>
      <c r="AK1891" s="80">
        <f t="shared" si="279"/>
        <v>0</v>
      </c>
      <c r="AM1891" s="85"/>
    </row>
    <row r="1892" spans="1:39" hidden="1" x14ac:dyDescent="0.3">
      <c r="A1892" s="85" t="s">
        <v>34</v>
      </c>
      <c r="B1892" s="15" t="s">
        <v>35</v>
      </c>
      <c r="C1892" s="15" t="s">
        <v>47</v>
      </c>
      <c r="D1892" s="15" t="s">
        <v>63</v>
      </c>
      <c r="E1892" s="15" t="s">
        <v>2388</v>
      </c>
      <c r="F1892" s="15" t="s">
        <v>2510</v>
      </c>
      <c r="G1892" s="15" t="s">
        <v>2388</v>
      </c>
      <c r="H1892" s="139"/>
      <c r="I1892" s="3" t="s">
        <v>2374</v>
      </c>
      <c r="J1892" s="1" t="s">
        <v>3322</v>
      </c>
      <c r="K1892" s="1" t="s">
        <v>3269</v>
      </c>
      <c r="L1892" s="1" t="s">
        <v>35</v>
      </c>
      <c r="M1892" s="15" t="s">
        <v>2390</v>
      </c>
      <c r="N1892" s="15"/>
      <c r="O1892" s="8" t="s">
        <v>45</v>
      </c>
      <c r="P1892" s="8" t="s">
        <v>46</v>
      </c>
      <c r="Q1892" s="9">
        <v>5.2600000000000001E-2</v>
      </c>
      <c r="R1892" s="138"/>
      <c r="T1892" s="18">
        <v>0</v>
      </c>
      <c r="U1892" s="4">
        <v>0</v>
      </c>
      <c r="V1892" s="4">
        <v>0</v>
      </c>
      <c r="W1892" s="13">
        <f t="shared" si="272"/>
        <v>0</v>
      </c>
      <c r="X1892" s="13">
        <f t="shared" si="273"/>
        <v>0</v>
      </c>
      <c r="Y1892" s="13">
        <f t="shared" si="275"/>
        <v>0</v>
      </c>
      <c r="Z1892" s="2">
        <v>0</v>
      </c>
      <c r="AA1892" s="4">
        <v>0</v>
      </c>
      <c r="AB1892" s="4">
        <f t="shared" si="276"/>
        <v>0</v>
      </c>
      <c r="AC1892" s="6">
        <f t="shared" si="277"/>
        <v>0</v>
      </c>
      <c r="AD1892" s="4">
        <v>0</v>
      </c>
      <c r="AE1892" s="2">
        <v>0.06</v>
      </c>
      <c r="AF1892" s="5">
        <f t="shared" si="278"/>
        <v>0</v>
      </c>
      <c r="AG1892" s="9">
        <v>0.3</v>
      </c>
      <c r="AH1892" s="4">
        <f t="shared" si="274"/>
        <v>0</v>
      </c>
      <c r="AJ1892" s="126" t="e">
        <v>#N/A</v>
      </c>
      <c r="AK1892" s="80">
        <f t="shared" si="279"/>
        <v>0</v>
      </c>
      <c r="AM1892" s="85"/>
    </row>
    <row r="1893" spans="1:39" hidden="1" x14ac:dyDescent="0.3">
      <c r="A1893" s="85" t="s">
        <v>34</v>
      </c>
      <c r="B1893" s="15" t="s">
        <v>35</v>
      </c>
      <c r="C1893" s="15" t="s">
        <v>47</v>
      </c>
      <c r="D1893" s="15" t="s">
        <v>63</v>
      </c>
      <c r="E1893" s="15" t="s">
        <v>2388</v>
      </c>
      <c r="F1893" s="15" t="s">
        <v>2510</v>
      </c>
      <c r="G1893" s="15" t="s">
        <v>2388</v>
      </c>
      <c r="H1893" s="139"/>
      <c r="I1893" s="3" t="s">
        <v>2374</v>
      </c>
      <c r="J1893" s="1" t="s">
        <v>3322</v>
      </c>
      <c r="K1893" s="1" t="s">
        <v>3269</v>
      </c>
      <c r="L1893" s="1" t="s">
        <v>35</v>
      </c>
      <c r="M1893" s="15" t="s">
        <v>2390</v>
      </c>
      <c r="N1893" s="15"/>
      <c r="O1893" s="8" t="s">
        <v>45</v>
      </c>
      <c r="P1893" s="8" t="s">
        <v>46</v>
      </c>
      <c r="Q1893" s="9">
        <v>5.2600000000000001E-2</v>
      </c>
      <c r="R1893" s="138"/>
      <c r="T1893" s="18">
        <v>20006157.745999996</v>
      </c>
      <c r="U1893" s="4">
        <v>0</v>
      </c>
      <c r="V1893" s="4">
        <v>0</v>
      </c>
      <c r="W1893" s="13">
        <f t="shared" si="272"/>
        <v>20006157.745999996</v>
      </c>
      <c r="X1893" s="13">
        <f t="shared" si="273"/>
        <v>0</v>
      </c>
      <c r="Y1893" s="13">
        <f t="shared" si="275"/>
        <v>0</v>
      </c>
      <c r="Z1893" s="2">
        <v>0</v>
      </c>
      <c r="AA1893" s="4">
        <v>0</v>
      </c>
      <c r="AB1893" s="4">
        <f t="shared" si="276"/>
        <v>0</v>
      </c>
      <c r="AC1893" s="6">
        <f t="shared" si="277"/>
        <v>0</v>
      </c>
      <c r="AD1893" s="4">
        <v>0</v>
      </c>
      <c r="AE1893" s="2">
        <v>0.06</v>
      </c>
      <c r="AF1893" s="5">
        <f t="shared" si="278"/>
        <v>0</v>
      </c>
      <c r="AG1893" s="9">
        <v>0.3</v>
      </c>
      <c r="AH1893" s="4">
        <f t="shared" si="274"/>
        <v>0</v>
      </c>
      <c r="AJ1893" s="126" t="e">
        <v>#N/A</v>
      </c>
      <c r="AK1893" s="80">
        <f t="shared" si="279"/>
        <v>0</v>
      </c>
      <c r="AM1893" s="85"/>
    </row>
    <row r="1894" spans="1:39" hidden="1" x14ac:dyDescent="0.3">
      <c r="A1894" s="85" t="s">
        <v>34</v>
      </c>
      <c r="B1894" s="15" t="s">
        <v>35</v>
      </c>
      <c r="C1894" s="15" t="s">
        <v>47</v>
      </c>
      <c r="D1894" s="15" t="s">
        <v>63</v>
      </c>
      <c r="E1894" s="15" t="s">
        <v>2388</v>
      </c>
      <c r="F1894" s="15" t="s">
        <v>2389</v>
      </c>
      <c r="G1894" s="15" t="s">
        <v>2388</v>
      </c>
      <c r="H1894" s="139"/>
      <c r="I1894" s="3" t="s">
        <v>2374</v>
      </c>
      <c r="J1894" s="1" t="s">
        <v>3322</v>
      </c>
      <c r="K1894" s="1" t="s">
        <v>3269</v>
      </c>
      <c r="L1894" s="1" t="s">
        <v>35</v>
      </c>
      <c r="M1894" s="15" t="s">
        <v>2390</v>
      </c>
      <c r="N1894" s="15"/>
      <c r="O1894" s="8" t="s">
        <v>40</v>
      </c>
      <c r="P1894" s="8" t="s">
        <v>46</v>
      </c>
      <c r="Q1894" s="9">
        <v>5.2600000000000001E-2</v>
      </c>
      <c r="R1894" s="138"/>
      <c r="T1894" s="18">
        <v>-1044.9708000000101</v>
      </c>
      <c r="U1894" s="4">
        <v>0</v>
      </c>
      <c r="V1894" s="4">
        <v>0</v>
      </c>
      <c r="W1894" s="13">
        <f t="shared" si="272"/>
        <v>-1044.9708000000101</v>
      </c>
      <c r="X1894" s="13">
        <f t="shared" si="273"/>
        <v>0</v>
      </c>
      <c r="Y1894" s="13">
        <f t="shared" si="275"/>
        <v>0</v>
      </c>
      <c r="Z1894" s="2">
        <v>0</v>
      </c>
      <c r="AA1894" s="4">
        <v>0</v>
      </c>
      <c r="AB1894" s="4">
        <f t="shared" si="276"/>
        <v>0</v>
      </c>
      <c r="AC1894" s="6">
        <f t="shared" si="277"/>
        <v>0</v>
      </c>
      <c r="AD1894" s="4">
        <v>0</v>
      </c>
      <c r="AE1894" s="2">
        <v>7.0000000000000007E-2</v>
      </c>
      <c r="AF1894" s="5">
        <f t="shared" si="278"/>
        <v>0</v>
      </c>
      <c r="AG1894" s="9">
        <v>0.36</v>
      </c>
      <c r="AH1894" s="4">
        <f t="shared" si="274"/>
        <v>0</v>
      </c>
      <c r="AJ1894" s="126" t="e">
        <v>#N/A</v>
      </c>
      <c r="AK1894" s="80">
        <f t="shared" si="279"/>
        <v>0</v>
      </c>
      <c r="AM1894" s="85"/>
    </row>
    <row r="1895" spans="1:39" hidden="1" x14ac:dyDescent="0.3">
      <c r="A1895" s="85" t="s">
        <v>34</v>
      </c>
      <c r="B1895" s="15" t="s">
        <v>35</v>
      </c>
      <c r="C1895" s="15" t="s">
        <v>47</v>
      </c>
      <c r="D1895" s="15" t="s">
        <v>63</v>
      </c>
      <c r="E1895" s="15" t="s">
        <v>2388</v>
      </c>
      <c r="F1895" s="15" t="s">
        <v>2389</v>
      </c>
      <c r="G1895" s="15" t="s">
        <v>2388</v>
      </c>
      <c r="H1895" s="139"/>
      <c r="I1895" s="3" t="s">
        <v>2374</v>
      </c>
      <c r="J1895" s="1" t="s">
        <v>3322</v>
      </c>
      <c r="K1895" s="1" t="s">
        <v>3269</v>
      </c>
      <c r="L1895" s="1" t="s">
        <v>35</v>
      </c>
      <c r="M1895" s="15" t="s">
        <v>2390</v>
      </c>
      <c r="N1895" s="15"/>
      <c r="O1895" s="8" t="s">
        <v>40</v>
      </c>
      <c r="P1895" s="8" t="s">
        <v>46</v>
      </c>
      <c r="Q1895" s="9">
        <v>5.2600000000000001E-2</v>
      </c>
      <c r="R1895" s="138"/>
      <c r="T1895" s="18">
        <v>0</v>
      </c>
      <c r="U1895" s="4">
        <v>0</v>
      </c>
      <c r="V1895" s="4">
        <v>0</v>
      </c>
      <c r="W1895" s="13">
        <f t="shared" si="272"/>
        <v>0</v>
      </c>
      <c r="X1895" s="13">
        <f t="shared" si="273"/>
        <v>0</v>
      </c>
      <c r="Y1895" s="13">
        <f t="shared" si="275"/>
        <v>0</v>
      </c>
      <c r="Z1895" s="2">
        <v>0</v>
      </c>
      <c r="AA1895" s="4">
        <v>0</v>
      </c>
      <c r="AB1895" s="4">
        <f t="shared" si="276"/>
        <v>0</v>
      </c>
      <c r="AC1895" s="6">
        <f t="shared" si="277"/>
        <v>0</v>
      </c>
      <c r="AD1895" s="4">
        <v>0</v>
      </c>
      <c r="AE1895" s="2">
        <v>7.0000000000000007E-2</v>
      </c>
      <c r="AF1895" s="5">
        <f t="shared" si="278"/>
        <v>0</v>
      </c>
      <c r="AG1895" s="9">
        <v>0.36</v>
      </c>
      <c r="AH1895" s="4">
        <f t="shared" si="274"/>
        <v>0</v>
      </c>
      <c r="AJ1895" s="126" t="e">
        <v>#N/A</v>
      </c>
      <c r="AK1895" s="80">
        <f t="shared" si="279"/>
        <v>0</v>
      </c>
      <c r="AM1895" s="85"/>
    </row>
    <row r="1896" spans="1:39" hidden="1" x14ac:dyDescent="0.3">
      <c r="A1896" s="85" t="s">
        <v>34</v>
      </c>
      <c r="B1896" s="15" t="s">
        <v>35</v>
      </c>
      <c r="C1896" s="15" t="s">
        <v>47</v>
      </c>
      <c r="D1896" s="15" t="s">
        <v>63</v>
      </c>
      <c r="E1896" s="15" t="s">
        <v>2393</v>
      </c>
      <c r="F1896" s="15" t="s">
        <v>2394</v>
      </c>
      <c r="G1896" s="15" t="s">
        <v>2393</v>
      </c>
      <c r="H1896" s="139"/>
      <c r="I1896" s="3" t="s">
        <v>2374</v>
      </c>
      <c r="J1896" s="1" t="s">
        <v>3322</v>
      </c>
      <c r="K1896" s="1" t="s">
        <v>3269</v>
      </c>
      <c r="L1896" s="1" t="s">
        <v>35</v>
      </c>
      <c r="M1896" s="15" t="s">
        <v>2400</v>
      </c>
      <c r="N1896" s="15"/>
      <c r="O1896" s="8" t="s">
        <v>40</v>
      </c>
      <c r="P1896" s="8" t="s">
        <v>46</v>
      </c>
      <c r="Q1896" s="9">
        <v>5.5E-2</v>
      </c>
      <c r="R1896" s="138"/>
      <c r="T1896" s="18">
        <v>115138.81</v>
      </c>
      <c r="U1896" s="4">
        <v>0</v>
      </c>
      <c r="V1896" s="4">
        <v>0</v>
      </c>
      <c r="W1896" s="13">
        <f t="shared" si="272"/>
        <v>115138.81</v>
      </c>
      <c r="X1896" s="13">
        <f t="shared" si="273"/>
        <v>0</v>
      </c>
      <c r="Y1896" s="13">
        <f t="shared" si="275"/>
        <v>0</v>
      </c>
      <c r="Z1896" s="2">
        <v>0</v>
      </c>
      <c r="AA1896" s="4">
        <v>0</v>
      </c>
      <c r="AB1896" s="4">
        <f t="shared" si="276"/>
        <v>0</v>
      </c>
      <c r="AC1896" s="6">
        <f t="shared" si="277"/>
        <v>0</v>
      </c>
      <c r="AD1896" s="4">
        <v>0</v>
      </c>
      <c r="AE1896" s="2">
        <v>7.0000000000000007E-2</v>
      </c>
      <c r="AF1896" s="5">
        <f t="shared" si="278"/>
        <v>0</v>
      </c>
      <c r="AG1896" s="9">
        <v>0</v>
      </c>
      <c r="AH1896" s="4">
        <f t="shared" si="274"/>
        <v>0</v>
      </c>
      <c r="AJ1896" s="126" t="e">
        <v>#N/A</v>
      </c>
      <c r="AK1896" s="80">
        <f t="shared" si="279"/>
        <v>0</v>
      </c>
      <c r="AM1896" s="85"/>
    </row>
    <row r="1897" spans="1:39" hidden="1" x14ac:dyDescent="0.3">
      <c r="A1897" s="85" t="s">
        <v>34</v>
      </c>
      <c r="B1897" s="15" t="s">
        <v>35</v>
      </c>
      <c r="C1897" s="15" t="s">
        <v>47</v>
      </c>
      <c r="D1897" s="15" t="s">
        <v>63</v>
      </c>
      <c r="E1897" s="15" t="s">
        <v>2418</v>
      </c>
      <c r="F1897" s="15" t="s">
        <v>2535</v>
      </c>
      <c r="G1897" s="15" t="s">
        <v>2418</v>
      </c>
      <c r="H1897" s="139"/>
      <c r="I1897" s="3" t="s">
        <v>2374</v>
      </c>
      <c r="J1897" s="1" t="s">
        <v>3322</v>
      </c>
      <c r="K1897" s="1" t="s">
        <v>3269</v>
      </c>
      <c r="L1897" s="1" t="s">
        <v>35</v>
      </c>
      <c r="M1897" s="15" t="s">
        <v>2420</v>
      </c>
      <c r="N1897" s="15"/>
      <c r="O1897" s="8" t="s">
        <v>410</v>
      </c>
      <c r="P1897" s="8" t="s">
        <v>46</v>
      </c>
      <c r="Q1897" s="9">
        <v>5.5E-2</v>
      </c>
      <c r="R1897" s="138"/>
      <c r="T1897" s="18">
        <v>-329218.61920002924</v>
      </c>
      <c r="U1897" s="4">
        <v>0</v>
      </c>
      <c r="V1897" s="4">
        <v>0</v>
      </c>
      <c r="W1897" s="13">
        <f t="shared" si="272"/>
        <v>-329218.61920002924</v>
      </c>
      <c r="X1897" s="13">
        <f t="shared" si="273"/>
        <v>0</v>
      </c>
      <c r="Y1897" s="13">
        <f t="shared" si="275"/>
        <v>0</v>
      </c>
      <c r="Z1897" s="2">
        <v>0</v>
      </c>
      <c r="AA1897" s="4">
        <v>0</v>
      </c>
      <c r="AB1897" s="4">
        <f t="shared" si="276"/>
        <v>0</v>
      </c>
      <c r="AC1897" s="6">
        <f t="shared" si="277"/>
        <v>0</v>
      </c>
      <c r="AD1897" s="4">
        <v>0</v>
      </c>
      <c r="AE1897" s="2">
        <v>0</v>
      </c>
      <c r="AF1897" s="5">
        <f t="shared" si="278"/>
        <v>0</v>
      </c>
      <c r="AG1897" s="9">
        <v>0.12</v>
      </c>
      <c r="AH1897" s="4">
        <f t="shared" si="274"/>
        <v>0</v>
      </c>
      <c r="AJ1897" s="126" t="e">
        <v>#N/A</v>
      </c>
      <c r="AK1897" s="80">
        <f t="shared" si="279"/>
        <v>0</v>
      </c>
      <c r="AM1897" s="85"/>
    </row>
    <row r="1898" spans="1:39" hidden="1" x14ac:dyDescent="0.3">
      <c r="A1898" s="85" t="s">
        <v>34</v>
      </c>
      <c r="B1898" s="15" t="s">
        <v>35</v>
      </c>
      <c r="C1898" s="15" t="s">
        <v>47</v>
      </c>
      <c r="D1898" s="15" t="s">
        <v>63</v>
      </c>
      <c r="E1898" s="15" t="s">
        <v>2418</v>
      </c>
      <c r="F1898" s="15" t="s">
        <v>2424</v>
      </c>
      <c r="G1898" s="15" t="s">
        <v>2418</v>
      </c>
      <c r="H1898" s="139"/>
      <c r="I1898" s="3" t="s">
        <v>2374</v>
      </c>
      <c r="J1898" s="1" t="s">
        <v>3322</v>
      </c>
      <c r="K1898" s="1" t="s">
        <v>3269</v>
      </c>
      <c r="L1898" s="1" t="s">
        <v>35</v>
      </c>
      <c r="M1898" s="15" t="s">
        <v>2428</v>
      </c>
      <c r="N1898" s="15"/>
      <c r="O1898" s="8" t="s">
        <v>410</v>
      </c>
      <c r="P1898" s="8" t="s">
        <v>46</v>
      </c>
      <c r="Q1898" s="9">
        <v>5.5E-2</v>
      </c>
      <c r="R1898" s="138"/>
      <c r="T1898" s="18">
        <v>14770</v>
      </c>
      <c r="U1898" s="4">
        <v>0</v>
      </c>
      <c r="V1898" s="4">
        <v>0</v>
      </c>
      <c r="W1898" s="13">
        <f t="shared" si="272"/>
        <v>14770</v>
      </c>
      <c r="X1898" s="13">
        <f t="shared" si="273"/>
        <v>0</v>
      </c>
      <c r="Y1898" s="13">
        <f t="shared" si="275"/>
        <v>0</v>
      </c>
      <c r="Z1898" s="2">
        <v>0</v>
      </c>
      <c r="AA1898" s="4">
        <v>0</v>
      </c>
      <c r="AB1898" s="4">
        <f t="shared" si="276"/>
        <v>0</v>
      </c>
      <c r="AC1898" s="6">
        <f t="shared" si="277"/>
        <v>0</v>
      </c>
      <c r="AD1898" s="4">
        <v>0</v>
      </c>
      <c r="AE1898" s="2">
        <v>0</v>
      </c>
      <c r="AF1898" s="5">
        <f t="shared" si="278"/>
        <v>0</v>
      </c>
      <c r="AG1898" s="9">
        <v>0</v>
      </c>
      <c r="AH1898" s="4">
        <f t="shared" si="274"/>
        <v>0</v>
      </c>
      <c r="AJ1898" s="126" t="e">
        <v>#N/A</v>
      </c>
      <c r="AK1898" s="80">
        <f t="shared" si="279"/>
        <v>0</v>
      </c>
      <c r="AM1898" s="85"/>
    </row>
    <row r="1899" spans="1:39" hidden="1" x14ac:dyDescent="0.3">
      <c r="A1899" s="85" t="s">
        <v>34</v>
      </c>
      <c r="B1899" s="15" t="s">
        <v>35</v>
      </c>
      <c r="C1899" s="15" t="s">
        <v>47</v>
      </c>
      <c r="D1899" s="15" t="s">
        <v>63</v>
      </c>
      <c r="E1899" s="15" t="s">
        <v>538</v>
      </c>
      <c r="F1899" s="15" t="s">
        <v>538</v>
      </c>
      <c r="G1899" s="15" t="s">
        <v>538</v>
      </c>
      <c r="H1899" s="139"/>
      <c r="I1899" s="3" t="s">
        <v>2374</v>
      </c>
      <c r="J1899" s="1" t="s">
        <v>3322</v>
      </c>
      <c r="K1899" s="1" t="s">
        <v>3269</v>
      </c>
      <c r="L1899" s="1" t="s">
        <v>35</v>
      </c>
      <c r="M1899" s="15" t="s">
        <v>538</v>
      </c>
      <c r="N1899" s="15"/>
      <c r="O1899" s="8" t="s">
        <v>45</v>
      </c>
      <c r="P1899" s="8" t="s">
        <v>46</v>
      </c>
      <c r="Q1899" s="9">
        <v>0.03</v>
      </c>
      <c r="R1899" s="138"/>
      <c r="T1899" s="18">
        <v>0</v>
      </c>
      <c r="U1899" s="4">
        <v>0</v>
      </c>
      <c r="V1899" s="4">
        <v>0</v>
      </c>
      <c r="W1899" s="13">
        <f t="shared" si="272"/>
        <v>0</v>
      </c>
      <c r="X1899" s="13">
        <f t="shared" si="273"/>
        <v>0</v>
      </c>
      <c r="Y1899" s="13">
        <f t="shared" si="275"/>
        <v>0</v>
      </c>
      <c r="Z1899" s="2">
        <v>0</v>
      </c>
      <c r="AA1899" s="4">
        <v>0</v>
      </c>
      <c r="AB1899" s="4">
        <f t="shared" si="276"/>
        <v>0</v>
      </c>
      <c r="AC1899" s="6">
        <f t="shared" si="277"/>
        <v>0</v>
      </c>
      <c r="AD1899" s="4">
        <v>0</v>
      </c>
      <c r="AE1899" s="2">
        <v>0.06</v>
      </c>
      <c r="AF1899" s="5">
        <f t="shared" si="278"/>
        <v>0</v>
      </c>
      <c r="AG1899" s="9">
        <v>0</v>
      </c>
      <c r="AH1899" s="4">
        <f t="shared" si="274"/>
        <v>0</v>
      </c>
      <c r="AJ1899" s="126" t="e">
        <v>#N/A</v>
      </c>
      <c r="AK1899" s="80">
        <f t="shared" si="279"/>
        <v>0</v>
      </c>
      <c r="AM1899" s="85"/>
    </row>
    <row r="1900" spans="1:39" hidden="1" x14ac:dyDescent="0.3">
      <c r="A1900" s="85" t="s">
        <v>34</v>
      </c>
      <c r="B1900" s="15" t="s">
        <v>35</v>
      </c>
      <c r="C1900" s="15" t="s">
        <v>144</v>
      </c>
      <c r="D1900" s="15" t="s">
        <v>145</v>
      </c>
      <c r="E1900" s="15" t="s">
        <v>2536</v>
      </c>
      <c r="F1900" s="15" t="s">
        <v>2536</v>
      </c>
      <c r="G1900" s="15" t="s">
        <v>2536</v>
      </c>
      <c r="H1900" s="139"/>
      <c r="I1900" s="3" t="s">
        <v>2374</v>
      </c>
      <c r="J1900" s="1" t="s">
        <v>3322</v>
      </c>
      <c r="K1900" s="1" t="s">
        <v>3269</v>
      </c>
      <c r="L1900" s="1" t="s">
        <v>35</v>
      </c>
      <c r="M1900" s="15" t="s">
        <v>2536</v>
      </c>
      <c r="N1900" s="15"/>
      <c r="O1900" s="8" t="s">
        <v>45</v>
      </c>
      <c r="P1900" s="8" t="s">
        <v>41</v>
      </c>
      <c r="Q1900" s="9">
        <v>0</v>
      </c>
      <c r="R1900" s="138"/>
      <c r="T1900" s="18">
        <v>-12128.130000000107</v>
      </c>
      <c r="U1900" s="4">
        <v>0</v>
      </c>
      <c r="V1900" s="4">
        <v>0</v>
      </c>
      <c r="W1900" s="13">
        <f t="shared" si="272"/>
        <v>-12128.130000000107</v>
      </c>
      <c r="X1900" s="13">
        <f t="shared" si="273"/>
        <v>0</v>
      </c>
      <c r="Y1900" s="13">
        <f t="shared" si="275"/>
        <v>0</v>
      </c>
      <c r="Z1900" s="2">
        <v>0</v>
      </c>
      <c r="AA1900" s="4">
        <v>0</v>
      </c>
      <c r="AB1900" s="4">
        <f t="shared" si="276"/>
        <v>0</v>
      </c>
      <c r="AC1900" s="6">
        <f t="shared" si="277"/>
        <v>0</v>
      </c>
      <c r="AD1900" s="4">
        <v>0</v>
      </c>
      <c r="AE1900" s="2">
        <v>0.06</v>
      </c>
      <c r="AF1900" s="5">
        <f t="shared" si="278"/>
        <v>0</v>
      </c>
      <c r="AG1900" s="9">
        <v>0</v>
      </c>
      <c r="AH1900" s="4">
        <f t="shared" si="274"/>
        <v>0</v>
      </c>
      <c r="AJ1900" s="126" t="e">
        <v>#N/A</v>
      </c>
      <c r="AK1900" s="80">
        <f t="shared" si="279"/>
        <v>0</v>
      </c>
      <c r="AM1900" s="85"/>
    </row>
    <row r="1901" spans="1:39" hidden="1" x14ac:dyDescent="0.3">
      <c r="A1901" s="85" t="s">
        <v>34</v>
      </c>
      <c r="B1901" s="15" t="s">
        <v>35</v>
      </c>
      <c r="C1901" s="15" t="s">
        <v>144</v>
      </c>
      <c r="D1901" s="15" t="s">
        <v>145</v>
      </c>
      <c r="E1901" s="15" t="s">
        <v>2537</v>
      </c>
      <c r="F1901" s="15" t="s">
        <v>2537</v>
      </c>
      <c r="G1901" s="15" t="s">
        <v>2537</v>
      </c>
      <c r="H1901" s="139"/>
      <c r="I1901" s="3" t="s">
        <v>2374</v>
      </c>
      <c r="J1901" s="1" t="s">
        <v>3322</v>
      </c>
      <c r="K1901" s="1" t="s">
        <v>3269</v>
      </c>
      <c r="L1901" s="1" t="s">
        <v>35</v>
      </c>
      <c r="M1901" s="15" t="s">
        <v>2538</v>
      </c>
      <c r="N1901" s="15"/>
      <c r="O1901" s="8" t="s">
        <v>45</v>
      </c>
      <c r="P1901" s="8" t="s">
        <v>46</v>
      </c>
      <c r="Q1901" s="9">
        <v>0.02</v>
      </c>
      <c r="R1901" s="138"/>
      <c r="T1901" s="18">
        <v>5.6086000001450884</v>
      </c>
      <c r="U1901" s="4">
        <v>0</v>
      </c>
      <c r="V1901" s="4">
        <v>0</v>
      </c>
      <c r="W1901" s="13">
        <f t="shared" si="272"/>
        <v>5.6086000001450884</v>
      </c>
      <c r="X1901" s="13">
        <f t="shared" si="273"/>
        <v>0</v>
      </c>
      <c r="Y1901" s="13">
        <f t="shared" si="275"/>
        <v>0</v>
      </c>
      <c r="Z1901" s="2">
        <v>0</v>
      </c>
      <c r="AA1901" s="4">
        <v>0</v>
      </c>
      <c r="AB1901" s="4">
        <f t="shared" si="276"/>
        <v>0</v>
      </c>
      <c r="AC1901" s="6">
        <f t="shared" si="277"/>
        <v>0</v>
      </c>
      <c r="AD1901" s="4">
        <v>0</v>
      </c>
      <c r="AE1901" s="2">
        <v>0.06</v>
      </c>
      <c r="AF1901" s="5">
        <f t="shared" si="278"/>
        <v>0</v>
      </c>
      <c r="AG1901" s="9">
        <v>0.02</v>
      </c>
      <c r="AH1901" s="4">
        <f t="shared" si="274"/>
        <v>0</v>
      </c>
      <c r="AJ1901" s="126" t="e">
        <v>#N/A</v>
      </c>
      <c r="AK1901" s="80">
        <f t="shared" si="279"/>
        <v>0</v>
      </c>
      <c r="AM1901" s="85"/>
    </row>
    <row r="1902" spans="1:39" hidden="1" x14ac:dyDescent="0.3">
      <c r="A1902" s="85" t="s">
        <v>34</v>
      </c>
      <c r="B1902" s="15" t="s">
        <v>35</v>
      </c>
      <c r="C1902" s="15" t="s">
        <v>144</v>
      </c>
      <c r="D1902" s="15" t="s">
        <v>152</v>
      </c>
      <c r="E1902" s="15" t="s">
        <v>2539</v>
      </c>
      <c r="F1902" s="15" t="s">
        <v>2539</v>
      </c>
      <c r="G1902" s="15" t="s">
        <v>2539</v>
      </c>
      <c r="H1902" s="139"/>
      <c r="I1902" s="3" t="s">
        <v>2374</v>
      </c>
      <c r="J1902" s="1" t="s">
        <v>3322</v>
      </c>
      <c r="K1902" s="1" t="s">
        <v>3269</v>
      </c>
      <c r="L1902" s="1" t="s">
        <v>35</v>
      </c>
      <c r="M1902" s="15" t="s">
        <v>2539</v>
      </c>
      <c r="N1902" s="15"/>
      <c r="O1902" s="8" t="s">
        <v>410</v>
      </c>
      <c r="P1902" s="8" t="s">
        <v>46</v>
      </c>
      <c r="Q1902" s="9">
        <v>0.02</v>
      </c>
      <c r="R1902" s="138"/>
      <c r="T1902" s="18">
        <v>22312.19</v>
      </c>
      <c r="U1902" s="4">
        <v>0</v>
      </c>
      <c r="V1902" s="4">
        <v>0</v>
      </c>
      <c r="W1902" s="13">
        <f t="shared" si="272"/>
        <v>22312.19</v>
      </c>
      <c r="X1902" s="13">
        <f t="shared" si="273"/>
        <v>0</v>
      </c>
      <c r="Y1902" s="13">
        <f t="shared" si="275"/>
        <v>0</v>
      </c>
      <c r="Z1902" s="2">
        <v>0</v>
      </c>
      <c r="AA1902" s="4">
        <v>0</v>
      </c>
      <c r="AB1902" s="4">
        <f t="shared" si="276"/>
        <v>0</v>
      </c>
      <c r="AC1902" s="6">
        <f t="shared" si="277"/>
        <v>0</v>
      </c>
      <c r="AD1902" s="4">
        <v>0</v>
      </c>
      <c r="AE1902" s="2">
        <v>0</v>
      </c>
      <c r="AF1902" s="5">
        <f t="shared" si="278"/>
        <v>0</v>
      </c>
      <c r="AG1902" s="9">
        <v>0</v>
      </c>
      <c r="AH1902" s="4">
        <f t="shared" si="274"/>
        <v>0</v>
      </c>
      <c r="AJ1902" s="126" t="e">
        <v>#N/A</v>
      </c>
      <c r="AK1902" s="80">
        <f t="shared" si="279"/>
        <v>0</v>
      </c>
      <c r="AM1902" s="85"/>
    </row>
    <row r="1903" spans="1:39" hidden="1" x14ac:dyDescent="0.3">
      <c r="A1903" s="85" t="s">
        <v>34</v>
      </c>
      <c r="B1903" s="15" t="s">
        <v>35</v>
      </c>
      <c r="C1903" s="15" t="s">
        <v>144</v>
      </c>
      <c r="D1903" s="15" t="s">
        <v>152</v>
      </c>
      <c r="E1903" s="15" t="s">
        <v>2540</v>
      </c>
      <c r="F1903" s="15" t="s">
        <v>2541</v>
      </c>
      <c r="G1903" s="15" t="s">
        <v>2540</v>
      </c>
      <c r="H1903" s="139"/>
      <c r="I1903" s="3" t="s">
        <v>2374</v>
      </c>
      <c r="J1903" s="1" t="s">
        <v>3322</v>
      </c>
      <c r="K1903" s="1" t="s">
        <v>3269</v>
      </c>
      <c r="L1903" s="1" t="s">
        <v>35</v>
      </c>
      <c r="M1903" s="15" t="s">
        <v>2540</v>
      </c>
      <c r="N1903" s="15"/>
      <c r="O1903" s="8" t="s">
        <v>45</v>
      </c>
      <c r="P1903" s="8" t="s">
        <v>46</v>
      </c>
      <c r="Q1903" s="9">
        <v>0.02</v>
      </c>
      <c r="R1903" s="138"/>
      <c r="T1903" s="18">
        <v>6197.05</v>
      </c>
      <c r="U1903" s="4">
        <v>0</v>
      </c>
      <c r="V1903" s="4">
        <v>0</v>
      </c>
      <c r="W1903" s="13">
        <f t="shared" si="272"/>
        <v>6197.05</v>
      </c>
      <c r="X1903" s="13">
        <f t="shared" si="273"/>
        <v>0</v>
      </c>
      <c r="Y1903" s="13">
        <f t="shared" si="275"/>
        <v>0</v>
      </c>
      <c r="Z1903" s="2">
        <v>0</v>
      </c>
      <c r="AA1903" s="4">
        <v>0</v>
      </c>
      <c r="AB1903" s="4">
        <f t="shared" si="276"/>
        <v>0</v>
      </c>
      <c r="AC1903" s="6">
        <f t="shared" si="277"/>
        <v>0</v>
      </c>
      <c r="AD1903" s="4">
        <v>0</v>
      </c>
      <c r="AE1903" s="2">
        <v>0.06</v>
      </c>
      <c r="AF1903" s="5">
        <f t="shared" si="278"/>
        <v>0</v>
      </c>
      <c r="AG1903" s="9">
        <v>0</v>
      </c>
      <c r="AH1903" s="4">
        <f t="shared" si="274"/>
        <v>0</v>
      </c>
      <c r="AJ1903" s="126" t="e">
        <v>#N/A</v>
      </c>
      <c r="AK1903" s="80">
        <f t="shared" si="279"/>
        <v>0</v>
      </c>
      <c r="AM1903" s="85"/>
    </row>
    <row r="1904" spans="1:39" hidden="1" x14ac:dyDescent="0.3">
      <c r="A1904" s="85" t="s">
        <v>34</v>
      </c>
      <c r="B1904" s="15" t="s">
        <v>35</v>
      </c>
      <c r="C1904" s="15" t="s">
        <v>144</v>
      </c>
      <c r="D1904" s="15" t="s">
        <v>161</v>
      </c>
      <c r="E1904" s="15" t="s">
        <v>2522</v>
      </c>
      <c r="F1904" s="15" t="s">
        <v>2522</v>
      </c>
      <c r="G1904" s="15" t="s">
        <v>2522</v>
      </c>
      <c r="H1904" s="139"/>
      <c r="I1904" s="3" t="s">
        <v>2374</v>
      </c>
      <c r="J1904" s="1" t="s">
        <v>3322</v>
      </c>
      <c r="K1904" s="1" t="s">
        <v>3269</v>
      </c>
      <c r="L1904" s="1" t="s">
        <v>35</v>
      </c>
      <c r="M1904" s="15" t="s">
        <v>2433</v>
      </c>
      <c r="N1904" s="15"/>
      <c r="O1904" s="8" t="s">
        <v>40</v>
      </c>
      <c r="P1904" s="8" t="s">
        <v>46</v>
      </c>
      <c r="Q1904" s="9">
        <v>0.02</v>
      </c>
      <c r="R1904" s="138"/>
      <c r="T1904" s="18">
        <v>13256.449999999999</v>
      </c>
      <c r="U1904" s="4">
        <v>0</v>
      </c>
      <c r="V1904" s="4">
        <v>0</v>
      </c>
      <c r="W1904" s="13">
        <f t="shared" si="272"/>
        <v>13256.449999999999</v>
      </c>
      <c r="X1904" s="13">
        <f t="shared" si="273"/>
        <v>0</v>
      </c>
      <c r="Y1904" s="13">
        <f t="shared" si="275"/>
        <v>0</v>
      </c>
      <c r="Z1904" s="2">
        <v>0</v>
      </c>
      <c r="AA1904" s="4">
        <v>0</v>
      </c>
      <c r="AB1904" s="4">
        <f t="shared" si="276"/>
        <v>0</v>
      </c>
      <c r="AC1904" s="6">
        <f t="shared" si="277"/>
        <v>0</v>
      </c>
      <c r="AD1904" s="4">
        <v>0</v>
      </c>
      <c r="AE1904" s="2">
        <v>7.0000000000000007E-2</v>
      </c>
      <c r="AF1904" s="5">
        <f t="shared" si="278"/>
        <v>0</v>
      </c>
      <c r="AG1904" s="9">
        <v>0</v>
      </c>
      <c r="AH1904" s="4">
        <f t="shared" si="274"/>
        <v>0</v>
      </c>
      <c r="AJ1904" s="126" t="e">
        <v>#N/A</v>
      </c>
      <c r="AK1904" s="80">
        <f t="shared" si="279"/>
        <v>0</v>
      </c>
      <c r="AM1904" s="85"/>
    </row>
    <row r="1905" spans="1:39" hidden="1" x14ac:dyDescent="0.3">
      <c r="A1905" s="85" t="s">
        <v>34</v>
      </c>
      <c r="B1905" s="15" t="s">
        <v>35</v>
      </c>
      <c r="C1905" s="15" t="s">
        <v>144</v>
      </c>
      <c r="D1905" s="15" t="s">
        <v>161</v>
      </c>
      <c r="E1905" s="15" t="s">
        <v>2542</v>
      </c>
      <c r="F1905" s="15" t="s">
        <v>2542</v>
      </c>
      <c r="G1905" s="15" t="s">
        <v>2542</v>
      </c>
      <c r="H1905" s="139"/>
      <c r="I1905" s="3" t="s">
        <v>2374</v>
      </c>
      <c r="J1905" s="1" t="s">
        <v>3322</v>
      </c>
      <c r="K1905" s="1" t="s">
        <v>3269</v>
      </c>
      <c r="L1905" s="1" t="s">
        <v>35</v>
      </c>
      <c r="M1905" s="15" t="s">
        <v>2148</v>
      </c>
      <c r="N1905" s="15"/>
      <c r="O1905" s="8" t="s">
        <v>410</v>
      </c>
      <c r="P1905" s="8" t="s">
        <v>41</v>
      </c>
      <c r="Q1905" s="9">
        <v>0</v>
      </c>
      <c r="R1905" s="138"/>
      <c r="T1905" s="18">
        <v>58598.229999999996</v>
      </c>
      <c r="U1905" s="4">
        <v>0</v>
      </c>
      <c r="V1905" s="4">
        <v>0</v>
      </c>
      <c r="W1905" s="13">
        <f t="shared" si="272"/>
        <v>58598.229999999996</v>
      </c>
      <c r="X1905" s="13">
        <f t="shared" si="273"/>
        <v>0</v>
      </c>
      <c r="Y1905" s="13">
        <f t="shared" si="275"/>
        <v>0</v>
      </c>
      <c r="Z1905" s="2">
        <v>0</v>
      </c>
      <c r="AA1905" s="4">
        <v>0</v>
      </c>
      <c r="AB1905" s="4">
        <f t="shared" si="276"/>
        <v>0</v>
      </c>
      <c r="AC1905" s="6">
        <f t="shared" si="277"/>
        <v>0</v>
      </c>
      <c r="AD1905" s="4">
        <v>0</v>
      </c>
      <c r="AE1905" s="2">
        <v>0</v>
      </c>
      <c r="AF1905" s="5">
        <f t="shared" si="278"/>
        <v>0</v>
      </c>
      <c r="AG1905" s="9">
        <v>0.02</v>
      </c>
      <c r="AH1905" s="4">
        <f t="shared" si="274"/>
        <v>0</v>
      </c>
      <c r="AJ1905" s="126" t="e">
        <v>#N/A</v>
      </c>
      <c r="AK1905" s="80">
        <f t="shared" si="279"/>
        <v>0</v>
      </c>
      <c r="AM1905" s="85"/>
    </row>
    <row r="1906" spans="1:39" hidden="1" x14ac:dyDescent="0.3">
      <c r="A1906" s="85" t="s">
        <v>34</v>
      </c>
      <c r="B1906" s="15" t="s">
        <v>35</v>
      </c>
      <c r="C1906" s="15" t="s">
        <v>164</v>
      </c>
      <c r="D1906" s="15" t="s">
        <v>305</v>
      </c>
      <c r="E1906" s="15" t="s">
        <v>2543</v>
      </c>
      <c r="F1906" s="15" t="s">
        <v>2544</v>
      </c>
      <c r="G1906" s="15" t="s">
        <v>2543</v>
      </c>
      <c r="H1906" s="139"/>
      <c r="I1906" s="3" t="s">
        <v>2374</v>
      </c>
      <c r="J1906" s="1" t="s">
        <v>3322</v>
      </c>
      <c r="K1906" s="1" t="s">
        <v>3269</v>
      </c>
      <c r="L1906" s="1" t="s">
        <v>35</v>
      </c>
      <c r="M1906" s="15" t="s">
        <v>2543</v>
      </c>
      <c r="N1906" s="15"/>
      <c r="O1906" s="8" t="s">
        <v>45</v>
      </c>
      <c r="P1906" s="8" t="s">
        <v>41</v>
      </c>
      <c r="Q1906" s="9">
        <v>0</v>
      </c>
      <c r="R1906" s="138"/>
      <c r="T1906" s="18">
        <v>26818.16</v>
      </c>
      <c r="U1906" s="4">
        <v>0</v>
      </c>
      <c r="V1906" s="4">
        <v>0</v>
      </c>
      <c r="W1906" s="13">
        <f t="shared" si="272"/>
        <v>26818.16</v>
      </c>
      <c r="X1906" s="13">
        <f t="shared" si="273"/>
        <v>0</v>
      </c>
      <c r="Y1906" s="13">
        <f t="shared" si="275"/>
        <v>0</v>
      </c>
      <c r="Z1906" s="2">
        <v>0</v>
      </c>
      <c r="AA1906" s="4">
        <v>0</v>
      </c>
      <c r="AB1906" s="4">
        <f t="shared" si="276"/>
        <v>0</v>
      </c>
      <c r="AC1906" s="6">
        <f t="shared" si="277"/>
        <v>0</v>
      </c>
      <c r="AD1906" s="4">
        <v>0</v>
      </c>
      <c r="AE1906" s="2">
        <v>0.06</v>
      </c>
      <c r="AF1906" s="5">
        <f t="shared" si="278"/>
        <v>0</v>
      </c>
      <c r="AG1906" s="9">
        <v>0</v>
      </c>
      <c r="AH1906" s="4">
        <f t="shared" si="274"/>
        <v>0</v>
      </c>
      <c r="AJ1906" s="126" t="e">
        <v>#N/A</v>
      </c>
      <c r="AK1906" s="80">
        <f t="shared" si="279"/>
        <v>0</v>
      </c>
      <c r="AM1906" s="85"/>
    </row>
    <row r="1907" spans="1:39" hidden="1" x14ac:dyDescent="0.3">
      <c r="A1907" s="85" t="s">
        <v>34</v>
      </c>
      <c r="B1907" s="15" t="s">
        <v>35</v>
      </c>
      <c r="C1907" s="15" t="s">
        <v>53</v>
      </c>
      <c r="D1907" s="15" t="s">
        <v>224</v>
      </c>
      <c r="E1907" s="15" t="s">
        <v>2545</v>
      </c>
      <c r="F1907" s="15" t="s">
        <v>2545</v>
      </c>
      <c r="G1907" s="15" t="s">
        <v>2545</v>
      </c>
      <c r="H1907" s="139"/>
      <c r="I1907" s="3" t="s">
        <v>2374</v>
      </c>
      <c r="J1907" s="1" t="s">
        <v>3322</v>
      </c>
      <c r="K1907" s="1" t="s">
        <v>3269</v>
      </c>
      <c r="L1907" s="1" t="s">
        <v>35</v>
      </c>
      <c r="M1907" s="15" t="s">
        <v>2545</v>
      </c>
      <c r="N1907" s="15"/>
      <c r="O1907" s="8" t="s">
        <v>410</v>
      </c>
      <c r="P1907" s="8" t="s">
        <v>46</v>
      </c>
      <c r="Q1907" s="9">
        <v>0.02</v>
      </c>
      <c r="R1907" s="138"/>
      <c r="T1907" s="18">
        <v>7020</v>
      </c>
      <c r="U1907" s="4">
        <v>0</v>
      </c>
      <c r="V1907" s="4">
        <v>0</v>
      </c>
      <c r="W1907" s="13">
        <f t="shared" si="272"/>
        <v>7020</v>
      </c>
      <c r="X1907" s="13">
        <f t="shared" si="273"/>
        <v>0</v>
      </c>
      <c r="Y1907" s="13">
        <f t="shared" si="275"/>
        <v>0</v>
      </c>
      <c r="Z1907" s="2">
        <v>0</v>
      </c>
      <c r="AA1907" s="4">
        <v>0</v>
      </c>
      <c r="AB1907" s="4">
        <f t="shared" si="276"/>
        <v>0</v>
      </c>
      <c r="AC1907" s="6">
        <f t="shared" si="277"/>
        <v>0</v>
      </c>
      <c r="AD1907" s="4">
        <v>0</v>
      </c>
      <c r="AE1907" s="2">
        <v>0</v>
      </c>
      <c r="AF1907" s="5">
        <f t="shared" si="278"/>
        <v>0</v>
      </c>
      <c r="AG1907" s="9">
        <v>0</v>
      </c>
      <c r="AH1907" s="4">
        <f t="shared" si="274"/>
        <v>0</v>
      </c>
      <c r="AJ1907" s="126" t="e">
        <v>#N/A</v>
      </c>
      <c r="AK1907" s="80">
        <f t="shared" si="279"/>
        <v>0</v>
      </c>
      <c r="AM1907" s="85"/>
    </row>
    <row r="1908" spans="1:39" hidden="1" x14ac:dyDescent="0.3">
      <c r="A1908" s="85" t="s">
        <v>34</v>
      </c>
      <c r="B1908" s="15" t="s">
        <v>35</v>
      </c>
      <c r="C1908" s="15" t="s">
        <v>53</v>
      </c>
      <c r="D1908" s="15" t="s">
        <v>54</v>
      </c>
      <c r="E1908" s="15" t="s">
        <v>2546</v>
      </c>
      <c r="F1908" s="15" t="s">
        <v>2546</v>
      </c>
      <c r="G1908" s="15" t="s">
        <v>2546</v>
      </c>
      <c r="H1908" s="139"/>
      <c r="I1908" s="3" t="s">
        <v>2374</v>
      </c>
      <c r="J1908" s="1" t="s">
        <v>3322</v>
      </c>
      <c r="K1908" s="1" t="s">
        <v>3269</v>
      </c>
      <c r="L1908" s="1" t="s">
        <v>35</v>
      </c>
      <c r="M1908" s="15" t="s">
        <v>2546</v>
      </c>
      <c r="N1908" s="15"/>
      <c r="O1908" s="8" t="s">
        <v>45</v>
      </c>
      <c r="P1908" s="8" t="s">
        <v>41</v>
      </c>
      <c r="Q1908" s="9">
        <v>0</v>
      </c>
      <c r="R1908" s="138"/>
      <c r="T1908" s="18">
        <v>62133.369999999995</v>
      </c>
      <c r="U1908" s="4">
        <v>0</v>
      </c>
      <c r="V1908" s="4">
        <v>0</v>
      </c>
      <c r="W1908" s="13">
        <f t="shared" si="272"/>
        <v>62133.369999999995</v>
      </c>
      <c r="X1908" s="13">
        <f t="shared" si="273"/>
        <v>0</v>
      </c>
      <c r="Y1908" s="13">
        <f t="shared" si="275"/>
        <v>0</v>
      </c>
      <c r="Z1908" s="2">
        <v>0</v>
      </c>
      <c r="AA1908" s="4">
        <v>0</v>
      </c>
      <c r="AB1908" s="4">
        <f t="shared" si="276"/>
        <v>0</v>
      </c>
      <c r="AC1908" s="6">
        <f t="shared" si="277"/>
        <v>0</v>
      </c>
      <c r="AD1908" s="4">
        <v>0</v>
      </c>
      <c r="AE1908" s="2">
        <v>0.06</v>
      </c>
      <c r="AF1908" s="5">
        <f t="shared" si="278"/>
        <v>0</v>
      </c>
      <c r="AG1908" s="9">
        <v>0</v>
      </c>
      <c r="AH1908" s="4">
        <f t="shared" si="274"/>
        <v>0</v>
      </c>
      <c r="AJ1908" s="126" t="e">
        <v>#N/A</v>
      </c>
      <c r="AK1908" s="80">
        <f t="shared" si="279"/>
        <v>0</v>
      </c>
      <c r="AM1908" s="85"/>
    </row>
    <row r="1909" spans="1:39" hidden="1" x14ac:dyDescent="0.3">
      <c r="A1909" s="85" t="s">
        <v>34</v>
      </c>
      <c r="B1909" s="15" t="s">
        <v>35</v>
      </c>
      <c r="C1909" s="15" t="s">
        <v>53</v>
      </c>
      <c r="D1909" s="15" t="s">
        <v>54</v>
      </c>
      <c r="E1909" s="15" t="s">
        <v>2546</v>
      </c>
      <c r="F1909" s="15" t="s">
        <v>2546</v>
      </c>
      <c r="G1909" s="15" t="s">
        <v>2546</v>
      </c>
      <c r="H1909" s="139"/>
      <c r="I1909" s="3" t="s">
        <v>2374</v>
      </c>
      <c r="J1909" s="1" t="s">
        <v>3322</v>
      </c>
      <c r="K1909" s="1" t="s">
        <v>3269</v>
      </c>
      <c r="L1909" s="1" t="s">
        <v>35</v>
      </c>
      <c r="M1909" s="15" t="s">
        <v>2546</v>
      </c>
      <c r="N1909" s="15"/>
      <c r="O1909" s="8" t="s">
        <v>40</v>
      </c>
      <c r="P1909" s="8" t="s">
        <v>41</v>
      </c>
      <c r="Q1909" s="9">
        <v>0</v>
      </c>
      <c r="R1909" s="138"/>
      <c r="T1909" s="18">
        <v>60000</v>
      </c>
      <c r="U1909" s="4">
        <v>0</v>
      </c>
      <c r="V1909" s="4">
        <v>0</v>
      </c>
      <c r="W1909" s="13">
        <f t="shared" si="272"/>
        <v>60000</v>
      </c>
      <c r="X1909" s="13">
        <f t="shared" si="273"/>
        <v>0</v>
      </c>
      <c r="Y1909" s="13">
        <f t="shared" si="275"/>
        <v>0</v>
      </c>
      <c r="Z1909" s="2">
        <v>0</v>
      </c>
      <c r="AA1909" s="4">
        <v>0</v>
      </c>
      <c r="AB1909" s="4">
        <f t="shared" si="276"/>
        <v>0</v>
      </c>
      <c r="AC1909" s="6">
        <f t="shared" si="277"/>
        <v>0</v>
      </c>
      <c r="AD1909" s="4">
        <v>0</v>
      </c>
      <c r="AE1909" s="2">
        <v>7.0000000000000007E-2</v>
      </c>
      <c r="AF1909" s="5">
        <f t="shared" si="278"/>
        <v>0</v>
      </c>
      <c r="AG1909" s="9">
        <v>0</v>
      </c>
      <c r="AH1909" s="4">
        <f t="shared" si="274"/>
        <v>0</v>
      </c>
      <c r="AJ1909" s="126" t="e">
        <v>#N/A</v>
      </c>
      <c r="AK1909" s="80">
        <f t="shared" si="279"/>
        <v>0</v>
      </c>
      <c r="AM1909" s="85"/>
    </row>
    <row r="1910" spans="1:39" hidden="1" x14ac:dyDescent="0.3">
      <c r="A1910" s="85" t="s">
        <v>34</v>
      </c>
      <c r="B1910" s="15" t="s">
        <v>35</v>
      </c>
      <c r="C1910" s="15" t="s">
        <v>53</v>
      </c>
      <c r="D1910" s="15" t="s">
        <v>54</v>
      </c>
      <c r="E1910" s="15" t="s">
        <v>2547</v>
      </c>
      <c r="F1910" s="15" t="s">
        <v>2547</v>
      </c>
      <c r="G1910" s="15" t="s">
        <v>2547</v>
      </c>
      <c r="H1910" s="139"/>
      <c r="I1910" s="3" t="s">
        <v>2374</v>
      </c>
      <c r="J1910" s="1" t="s">
        <v>3322</v>
      </c>
      <c r="K1910" s="1" t="s">
        <v>3269</v>
      </c>
      <c r="L1910" s="1" t="s">
        <v>35</v>
      </c>
      <c r="M1910" s="15" t="s">
        <v>2472</v>
      </c>
      <c r="N1910" s="15"/>
      <c r="O1910" s="8" t="s">
        <v>45</v>
      </c>
      <c r="P1910" s="8" t="s">
        <v>46</v>
      </c>
      <c r="Q1910" s="9">
        <v>0.05</v>
      </c>
      <c r="R1910" s="138"/>
      <c r="T1910" s="18">
        <v>124154.45999999973</v>
      </c>
      <c r="U1910" s="4">
        <v>0</v>
      </c>
      <c r="V1910" s="4">
        <v>0</v>
      </c>
      <c r="W1910" s="13">
        <f t="shared" si="272"/>
        <v>124154.45999999973</v>
      </c>
      <c r="X1910" s="13">
        <f t="shared" si="273"/>
        <v>0</v>
      </c>
      <c r="Y1910" s="13">
        <f t="shared" si="275"/>
        <v>0</v>
      </c>
      <c r="Z1910" s="2">
        <v>0</v>
      </c>
      <c r="AA1910" s="4">
        <v>0</v>
      </c>
      <c r="AB1910" s="4">
        <f t="shared" si="276"/>
        <v>0</v>
      </c>
      <c r="AC1910" s="6">
        <f t="shared" si="277"/>
        <v>0</v>
      </c>
      <c r="AD1910" s="4">
        <v>0</v>
      </c>
      <c r="AE1910" s="2">
        <v>0.06</v>
      </c>
      <c r="AF1910" s="5">
        <f t="shared" si="278"/>
        <v>0</v>
      </c>
      <c r="AG1910" s="9">
        <v>7.0000000000000007E-2</v>
      </c>
      <c r="AH1910" s="4">
        <f t="shared" si="274"/>
        <v>0</v>
      </c>
      <c r="AJ1910" s="126" t="e">
        <v>#N/A</v>
      </c>
      <c r="AK1910" s="80">
        <f t="shared" si="279"/>
        <v>0</v>
      </c>
      <c r="AM1910" s="85"/>
    </row>
    <row r="1911" spans="1:39" hidden="1" x14ac:dyDescent="0.3">
      <c r="A1911" s="85" t="s">
        <v>34</v>
      </c>
      <c r="B1911" s="15" t="s">
        <v>35</v>
      </c>
      <c r="C1911" s="15" t="s">
        <v>187</v>
      </c>
      <c r="D1911" s="15" t="s">
        <v>188</v>
      </c>
      <c r="E1911" s="15" t="s">
        <v>189</v>
      </c>
      <c r="F1911" s="15" t="s">
        <v>189</v>
      </c>
      <c r="G1911" s="15" t="s">
        <v>189</v>
      </c>
      <c r="H1911" s="139"/>
      <c r="I1911" s="3" t="s">
        <v>2374</v>
      </c>
      <c r="J1911" s="1" t="s">
        <v>3322</v>
      </c>
      <c r="K1911" s="1" t="s">
        <v>3269</v>
      </c>
      <c r="L1911" s="1" t="s">
        <v>35</v>
      </c>
      <c r="M1911" s="15" t="s">
        <v>2501</v>
      </c>
      <c r="N1911" s="15"/>
      <c r="O1911" s="8" t="s">
        <v>40</v>
      </c>
      <c r="P1911" s="8" t="s">
        <v>46</v>
      </c>
      <c r="Q1911" s="9">
        <v>0.09</v>
      </c>
      <c r="R1911" s="138"/>
      <c r="T1911" s="18">
        <v>-7433.9479452040014</v>
      </c>
      <c r="U1911" s="4">
        <v>0</v>
      </c>
      <c r="V1911" s="4">
        <v>0</v>
      </c>
      <c r="W1911" s="13">
        <f t="shared" si="272"/>
        <v>-7433.9479452040014</v>
      </c>
      <c r="X1911" s="13">
        <f t="shared" si="273"/>
        <v>0</v>
      </c>
      <c r="Y1911" s="13">
        <f t="shared" si="275"/>
        <v>0</v>
      </c>
      <c r="Z1911" s="2">
        <v>0</v>
      </c>
      <c r="AA1911" s="4">
        <v>0</v>
      </c>
      <c r="AB1911" s="4">
        <f t="shared" si="276"/>
        <v>0</v>
      </c>
      <c r="AC1911" s="6">
        <f t="shared" si="277"/>
        <v>0</v>
      </c>
      <c r="AD1911" s="4">
        <v>0</v>
      </c>
      <c r="AE1911" s="2">
        <v>7.0000000000000007E-2</v>
      </c>
      <c r="AF1911" s="5">
        <f t="shared" si="278"/>
        <v>0</v>
      </c>
      <c r="AG1911" s="9">
        <v>0.46</v>
      </c>
      <c r="AH1911" s="4">
        <f t="shared" si="274"/>
        <v>0</v>
      </c>
      <c r="AJ1911" s="126" t="e">
        <v>#N/A</v>
      </c>
      <c r="AK1911" s="80">
        <f t="shared" si="279"/>
        <v>0</v>
      </c>
      <c r="AM1911" s="85"/>
    </row>
    <row r="1912" spans="1:39" hidden="1" x14ac:dyDescent="0.3">
      <c r="A1912" s="85" t="s">
        <v>34</v>
      </c>
      <c r="B1912" s="15" t="s">
        <v>35</v>
      </c>
      <c r="C1912" s="15" t="s">
        <v>187</v>
      </c>
      <c r="D1912" s="15" t="s">
        <v>188</v>
      </c>
      <c r="E1912" s="15" t="s">
        <v>2548</v>
      </c>
      <c r="F1912" s="15" t="s">
        <v>2549</v>
      </c>
      <c r="G1912" s="15" t="s">
        <v>2548</v>
      </c>
      <c r="H1912" s="139"/>
      <c r="I1912" s="3" t="s">
        <v>2374</v>
      </c>
      <c r="J1912" s="1" t="s">
        <v>3322</v>
      </c>
      <c r="K1912" s="1" t="s">
        <v>3269</v>
      </c>
      <c r="L1912" s="1" t="s">
        <v>35</v>
      </c>
      <c r="M1912" s="15" t="s">
        <v>2548</v>
      </c>
      <c r="N1912" s="15"/>
      <c r="O1912" s="8" t="s">
        <v>40</v>
      </c>
      <c r="P1912" s="8" t="s">
        <v>46</v>
      </c>
      <c r="Q1912" s="9">
        <v>0.10879999999999999</v>
      </c>
      <c r="R1912" s="138"/>
      <c r="T1912" s="18">
        <v>468097.95999999996</v>
      </c>
      <c r="U1912" s="4">
        <v>0</v>
      </c>
      <c r="V1912" s="4">
        <v>0</v>
      </c>
      <c r="W1912" s="13">
        <f t="shared" si="272"/>
        <v>468097.95999999996</v>
      </c>
      <c r="X1912" s="13">
        <f t="shared" si="273"/>
        <v>0</v>
      </c>
      <c r="Y1912" s="13">
        <f t="shared" si="275"/>
        <v>0</v>
      </c>
      <c r="Z1912" s="2">
        <v>0</v>
      </c>
      <c r="AA1912" s="4">
        <v>0</v>
      </c>
      <c r="AB1912" s="4">
        <f t="shared" si="276"/>
        <v>0</v>
      </c>
      <c r="AC1912" s="6">
        <f t="shared" si="277"/>
        <v>0</v>
      </c>
      <c r="AD1912" s="4">
        <v>0</v>
      </c>
      <c r="AE1912" s="2">
        <v>7.0000000000000007E-2</v>
      </c>
      <c r="AF1912" s="5">
        <f t="shared" si="278"/>
        <v>0</v>
      </c>
      <c r="AG1912" s="9">
        <v>0.36</v>
      </c>
      <c r="AH1912" s="4">
        <f t="shared" si="274"/>
        <v>0</v>
      </c>
      <c r="AJ1912" s="126" t="e">
        <v>#N/A</v>
      </c>
      <c r="AK1912" s="80">
        <f t="shared" si="279"/>
        <v>0</v>
      </c>
      <c r="AM1912" s="85"/>
    </row>
    <row r="1913" spans="1:39" hidden="1" x14ac:dyDescent="0.3">
      <c r="A1913" s="85" t="s">
        <v>34</v>
      </c>
      <c r="B1913" s="15" t="s">
        <v>35</v>
      </c>
      <c r="C1913" s="15" t="s">
        <v>187</v>
      </c>
      <c r="D1913" s="15" t="s">
        <v>188</v>
      </c>
      <c r="E1913" s="15" t="s">
        <v>2550</v>
      </c>
      <c r="F1913" s="15" t="s">
        <v>2550</v>
      </c>
      <c r="G1913" s="15" t="s">
        <v>2550</v>
      </c>
      <c r="H1913" s="139"/>
      <c r="I1913" s="3" t="s">
        <v>2374</v>
      </c>
      <c r="J1913" s="1" t="s">
        <v>3322</v>
      </c>
      <c r="K1913" s="1" t="s">
        <v>3269</v>
      </c>
      <c r="L1913" s="1" t="s">
        <v>35</v>
      </c>
      <c r="M1913" s="15" t="s">
        <v>2501</v>
      </c>
      <c r="N1913" s="15"/>
      <c r="O1913" s="8" t="s">
        <v>40</v>
      </c>
      <c r="P1913" s="8" t="s">
        <v>46</v>
      </c>
      <c r="Q1913" s="9">
        <v>0.12000000000000005</v>
      </c>
      <c r="R1913" s="138"/>
      <c r="T1913" s="18">
        <v>-21373.010720540897</v>
      </c>
      <c r="U1913" s="4">
        <v>0</v>
      </c>
      <c r="V1913" s="4">
        <v>0</v>
      </c>
      <c r="W1913" s="13">
        <f t="shared" si="272"/>
        <v>-21373.010720540897</v>
      </c>
      <c r="X1913" s="13">
        <f t="shared" si="273"/>
        <v>0</v>
      </c>
      <c r="Y1913" s="13">
        <f t="shared" si="275"/>
        <v>0</v>
      </c>
      <c r="Z1913" s="2">
        <v>0</v>
      </c>
      <c r="AA1913" s="4">
        <v>0</v>
      </c>
      <c r="AB1913" s="4">
        <f t="shared" si="276"/>
        <v>0</v>
      </c>
      <c r="AC1913" s="6">
        <f t="shared" si="277"/>
        <v>0</v>
      </c>
      <c r="AD1913" s="4">
        <v>0</v>
      </c>
      <c r="AE1913" s="2">
        <v>7.0000000000000007E-2</v>
      </c>
      <c r="AF1913" s="5">
        <f t="shared" si="278"/>
        <v>0</v>
      </c>
      <c r="AG1913" s="9">
        <v>0.41</v>
      </c>
      <c r="AH1913" s="4">
        <f t="shared" si="274"/>
        <v>0</v>
      </c>
      <c r="AJ1913" s="126" t="e">
        <v>#N/A</v>
      </c>
      <c r="AK1913" s="80">
        <f t="shared" si="279"/>
        <v>0</v>
      </c>
      <c r="AM1913" s="85"/>
    </row>
    <row r="1914" spans="1:39" hidden="1" x14ac:dyDescent="0.3">
      <c r="A1914" s="85" t="s">
        <v>34</v>
      </c>
      <c r="B1914" s="15" t="s">
        <v>35</v>
      </c>
      <c r="C1914" s="15" t="s">
        <v>47</v>
      </c>
      <c r="D1914" s="15" t="s">
        <v>878</v>
      </c>
      <c r="E1914" s="15" t="s">
        <v>2551</v>
      </c>
      <c r="F1914" s="15" t="s">
        <v>2551</v>
      </c>
      <c r="G1914" s="15" t="s">
        <v>2551</v>
      </c>
      <c r="H1914" s="139"/>
      <c r="I1914" s="3" t="s">
        <v>2374</v>
      </c>
      <c r="J1914" s="1" t="s">
        <v>3322</v>
      </c>
      <c r="K1914" s="1" t="s">
        <v>3269</v>
      </c>
      <c r="L1914" s="1" t="s">
        <v>35</v>
      </c>
      <c r="M1914" s="15" t="s">
        <v>2552</v>
      </c>
      <c r="N1914" s="15"/>
      <c r="O1914" s="8" t="s">
        <v>40</v>
      </c>
      <c r="P1914" s="8" t="s">
        <v>46</v>
      </c>
      <c r="Q1914" s="9">
        <v>7.1999999999999995E-2</v>
      </c>
      <c r="R1914" s="138"/>
      <c r="T1914" s="18">
        <v>5350.3468000004286</v>
      </c>
      <c r="U1914" s="4">
        <v>0</v>
      </c>
      <c r="V1914" s="4">
        <v>0</v>
      </c>
      <c r="W1914" s="13">
        <f t="shared" si="272"/>
        <v>5350.3468000004286</v>
      </c>
      <c r="X1914" s="13">
        <f t="shared" si="273"/>
        <v>0</v>
      </c>
      <c r="Y1914" s="13">
        <f t="shared" si="275"/>
        <v>0</v>
      </c>
      <c r="Z1914" s="2">
        <v>0</v>
      </c>
      <c r="AA1914" s="4">
        <v>0</v>
      </c>
      <c r="AB1914" s="4">
        <f t="shared" si="276"/>
        <v>0</v>
      </c>
      <c r="AC1914" s="6">
        <f t="shared" si="277"/>
        <v>0</v>
      </c>
      <c r="AD1914" s="4">
        <v>0</v>
      </c>
      <c r="AE1914" s="2">
        <v>7.0000000000000007E-2</v>
      </c>
      <c r="AF1914" s="5">
        <f t="shared" si="278"/>
        <v>0</v>
      </c>
      <c r="AG1914" s="9">
        <v>0.36</v>
      </c>
      <c r="AH1914" s="4">
        <f t="shared" si="274"/>
        <v>0</v>
      </c>
      <c r="AJ1914" s="126" t="e">
        <v>#N/A</v>
      </c>
      <c r="AK1914" s="80">
        <f t="shared" si="279"/>
        <v>0</v>
      </c>
      <c r="AM1914" s="85"/>
    </row>
    <row r="1915" spans="1:39" hidden="1" x14ac:dyDescent="0.3">
      <c r="A1915" s="85" t="s">
        <v>34</v>
      </c>
      <c r="B1915" s="15" t="s">
        <v>35</v>
      </c>
      <c r="C1915" s="15" t="s">
        <v>47</v>
      </c>
      <c r="D1915" s="15" t="s">
        <v>63</v>
      </c>
      <c r="E1915" s="15" t="s">
        <v>538</v>
      </c>
      <c r="F1915" s="15" t="s">
        <v>538</v>
      </c>
      <c r="G1915" s="15" t="s">
        <v>538</v>
      </c>
      <c r="H1915" s="139"/>
      <c r="I1915" s="3" t="s">
        <v>2374</v>
      </c>
      <c r="J1915" s="1" t="s">
        <v>3322</v>
      </c>
      <c r="K1915" s="1" t="s">
        <v>3269</v>
      </c>
      <c r="L1915" s="1" t="s">
        <v>35</v>
      </c>
      <c r="M1915" s="15" t="s">
        <v>538</v>
      </c>
      <c r="N1915" s="15"/>
      <c r="O1915" s="8" t="s">
        <v>410</v>
      </c>
      <c r="P1915" s="8" t="s">
        <v>46</v>
      </c>
      <c r="Q1915" s="9">
        <v>0.03</v>
      </c>
      <c r="R1915" s="138"/>
      <c r="T1915" s="18">
        <v>63.648999999915986</v>
      </c>
      <c r="U1915" s="4">
        <v>0</v>
      </c>
      <c r="V1915" s="4">
        <v>0</v>
      </c>
      <c r="W1915" s="13">
        <f t="shared" si="272"/>
        <v>63.648999999915986</v>
      </c>
      <c r="X1915" s="13">
        <f t="shared" si="273"/>
        <v>0</v>
      </c>
      <c r="Y1915" s="13">
        <f t="shared" si="275"/>
        <v>0</v>
      </c>
      <c r="Z1915" s="2">
        <v>0</v>
      </c>
      <c r="AA1915" s="4">
        <v>0</v>
      </c>
      <c r="AB1915" s="4">
        <f t="shared" si="276"/>
        <v>0</v>
      </c>
      <c r="AC1915" s="6">
        <f t="shared" si="277"/>
        <v>0</v>
      </c>
      <c r="AD1915" s="4">
        <v>0</v>
      </c>
      <c r="AE1915" s="2">
        <v>0</v>
      </c>
      <c r="AF1915" s="5">
        <f t="shared" si="278"/>
        <v>0</v>
      </c>
      <c r="AG1915" s="9">
        <v>0</v>
      </c>
      <c r="AH1915" s="4">
        <f t="shared" si="274"/>
        <v>0</v>
      </c>
      <c r="AJ1915" s="126" t="e">
        <v>#N/A</v>
      </c>
      <c r="AK1915" s="80">
        <f t="shared" si="279"/>
        <v>0</v>
      </c>
      <c r="AM1915" s="85"/>
    </row>
    <row r="1916" spans="1:39" hidden="1" x14ac:dyDescent="0.3">
      <c r="A1916" s="85" t="s">
        <v>34</v>
      </c>
      <c r="B1916" s="15" t="s">
        <v>35</v>
      </c>
      <c r="C1916" s="15" t="s">
        <v>187</v>
      </c>
      <c r="D1916" s="15" t="s">
        <v>188</v>
      </c>
      <c r="E1916" s="15" t="s">
        <v>2437</v>
      </c>
      <c r="F1916" s="15" t="s">
        <v>2437</v>
      </c>
      <c r="G1916" s="15" t="s">
        <v>2437</v>
      </c>
      <c r="H1916" s="139"/>
      <c r="I1916" s="3" t="s">
        <v>2374</v>
      </c>
      <c r="J1916" s="1" t="s">
        <v>3322</v>
      </c>
      <c r="K1916" s="1" t="s">
        <v>3269</v>
      </c>
      <c r="L1916" s="1" t="s">
        <v>35</v>
      </c>
      <c r="M1916" s="15" t="s">
        <v>2438</v>
      </c>
      <c r="N1916" s="15"/>
      <c r="O1916" s="8" t="s">
        <v>45</v>
      </c>
      <c r="P1916" s="8" t="s">
        <v>46</v>
      </c>
      <c r="Q1916" s="9">
        <v>0.01</v>
      </c>
      <c r="R1916" s="138"/>
      <c r="T1916" s="18">
        <v>27534.366300000002</v>
      </c>
      <c r="U1916" s="4">
        <v>0</v>
      </c>
      <c r="V1916" s="4">
        <v>0</v>
      </c>
      <c r="W1916" s="13">
        <f t="shared" si="272"/>
        <v>27534.366300000002</v>
      </c>
      <c r="X1916" s="13">
        <f t="shared" si="273"/>
        <v>0</v>
      </c>
      <c r="Y1916" s="13">
        <f t="shared" si="275"/>
        <v>0</v>
      </c>
      <c r="Z1916" s="2">
        <v>0</v>
      </c>
      <c r="AA1916" s="4">
        <v>0</v>
      </c>
      <c r="AB1916" s="4">
        <f t="shared" si="276"/>
        <v>0</v>
      </c>
      <c r="AC1916" s="6">
        <f t="shared" si="277"/>
        <v>0</v>
      </c>
      <c r="AD1916" s="4">
        <v>0</v>
      </c>
      <c r="AE1916" s="2">
        <v>0.06</v>
      </c>
      <c r="AF1916" s="5">
        <f t="shared" si="278"/>
        <v>0</v>
      </c>
      <c r="AG1916" s="9">
        <v>0.37</v>
      </c>
      <c r="AH1916" s="4">
        <f t="shared" si="274"/>
        <v>0</v>
      </c>
      <c r="AJ1916" s="126" t="e">
        <v>#N/A</v>
      </c>
      <c r="AK1916" s="80">
        <f t="shared" si="279"/>
        <v>0</v>
      </c>
      <c r="AM1916" s="85"/>
    </row>
    <row r="1917" spans="1:39" hidden="1" x14ac:dyDescent="0.3">
      <c r="A1917" s="85" t="s">
        <v>34</v>
      </c>
      <c r="B1917" s="15" t="s">
        <v>35</v>
      </c>
      <c r="C1917" s="15" t="s">
        <v>187</v>
      </c>
      <c r="D1917" s="15" t="s">
        <v>188</v>
      </c>
      <c r="E1917" s="15" t="s">
        <v>285</v>
      </c>
      <c r="F1917" s="15" t="s">
        <v>286</v>
      </c>
      <c r="G1917" s="15" t="s">
        <v>285</v>
      </c>
      <c r="H1917" s="154"/>
      <c r="I1917" s="3" t="s">
        <v>2374</v>
      </c>
      <c r="J1917" s="1" t="s">
        <v>3322</v>
      </c>
      <c r="K1917" s="1" t="s">
        <v>3269</v>
      </c>
      <c r="L1917" s="1" t="s">
        <v>35</v>
      </c>
      <c r="M1917" s="15" t="s">
        <v>2438</v>
      </c>
      <c r="N1917" s="15"/>
      <c r="O1917" s="8" t="s">
        <v>40</v>
      </c>
      <c r="P1917" s="8" t="s">
        <v>46</v>
      </c>
      <c r="Q1917" s="9">
        <v>-0.05</v>
      </c>
      <c r="R1917" s="138"/>
      <c r="T1917" s="18">
        <v>12659.103999999999</v>
      </c>
      <c r="U1917" s="4">
        <v>0</v>
      </c>
      <c r="V1917" s="4">
        <v>6.01</v>
      </c>
      <c r="W1917" s="13">
        <f t="shared" si="272"/>
        <v>12653.093999999999</v>
      </c>
      <c r="X1917" s="13">
        <f t="shared" si="273"/>
        <v>4.4518518518518517</v>
      </c>
      <c r="Y1917" s="13">
        <f t="shared" si="275"/>
        <v>0.16185185185185169</v>
      </c>
      <c r="Z1917" s="2">
        <v>0</v>
      </c>
      <c r="AA1917" s="4">
        <v>0</v>
      </c>
      <c r="AB1917" s="4">
        <f t="shared" si="276"/>
        <v>4.4518518518518517</v>
      </c>
      <c r="AC1917" s="6">
        <f t="shared" si="277"/>
        <v>1.5581481481481481</v>
      </c>
      <c r="AD1917" s="4">
        <v>4.29</v>
      </c>
      <c r="AE1917" s="2">
        <v>7.0000000000000007E-2</v>
      </c>
      <c r="AF1917" s="5">
        <f t="shared" si="278"/>
        <v>0.30030000000000001</v>
      </c>
      <c r="AG1917" s="9">
        <v>0.4</v>
      </c>
      <c r="AH1917" s="4">
        <f t="shared" si="274"/>
        <v>4.2928571428571427</v>
      </c>
      <c r="AJ1917" s="126" t="e">
        <v>#N/A</v>
      </c>
      <c r="AK1917" s="80">
        <f t="shared" si="279"/>
        <v>0</v>
      </c>
      <c r="AM1917" s="85"/>
    </row>
    <row r="1918" spans="1:39" hidden="1" x14ac:dyDescent="0.3">
      <c r="A1918" s="85" t="s">
        <v>34</v>
      </c>
      <c r="B1918" s="15" t="s">
        <v>35</v>
      </c>
      <c r="C1918" s="15" t="s">
        <v>187</v>
      </c>
      <c r="D1918" s="15" t="s">
        <v>188</v>
      </c>
      <c r="E1918" s="15" t="s">
        <v>279</v>
      </c>
      <c r="F1918" s="15" t="s">
        <v>279</v>
      </c>
      <c r="G1918" s="15" t="s">
        <v>279</v>
      </c>
      <c r="H1918" s="139"/>
      <c r="I1918" s="3" t="s">
        <v>2374</v>
      </c>
      <c r="J1918" s="1" t="s">
        <v>3322</v>
      </c>
      <c r="K1918" s="1" t="s">
        <v>3269</v>
      </c>
      <c r="L1918" s="1" t="s">
        <v>35</v>
      </c>
      <c r="M1918" s="15" t="s">
        <v>2438</v>
      </c>
      <c r="N1918" s="15"/>
      <c r="O1918" s="8" t="s">
        <v>40</v>
      </c>
      <c r="P1918" s="8" t="s">
        <v>46</v>
      </c>
      <c r="Q1918" s="9">
        <v>0.03</v>
      </c>
      <c r="R1918" s="138"/>
      <c r="T1918" s="18">
        <v>18486.165999999997</v>
      </c>
      <c r="U1918" s="4">
        <v>0</v>
      </c>
      <c r="V1918" s="4">
        <v>0</v>
      </c>
      <c r="W1918" s="13">
        <f t="shared" si="272"/>
        <v>18486.165999999997</v>
      </c>
      <c r="X1918" s="13">
        <f t="shared" si="273"/>
        <v>0</v>
      </c>
      <c r="Y1918" s="13">
        <f t="shared" si="275"/>
        <v>0</v>
      </c>
      <c r="Z1918" s="2">
        <v>0</v>
      </c>
      <c r="AA1918" s="4">
        <v>0</v>
      </c>
      <c r="AB1918" s="4">
        <f t="shared" si="276"/>
        <v>0</v>
      </c>
      <c r="AC1918" s="6">
        <f t="shared" si="277"/>
        <v>0</v>
      </c>
      <c r="AD1918" s="4">
        <v>0</v>
      </c>
      <c r="AE1918" s="2">
        <v>7.0000000000000007E-2</v>
      </c>
      <c r="AF1918" s="5">
        <f t="shared" si="278"/>
        <v>0</v>
      </c>
      <c r="AG1918" s="9">
        <v>0.4</v>
      </c>
      <c r="AH1918" s="4">
        <f t="shared" si="274"/>
        <v>0</v>
      </c>
      <c r="AJ1918" s="126" t="e">
        <v>#N/A</v>
      </c>
      <c r="AK1918" s="80">
        <f t="shared" si="279"/>
        <v>0</v>
      </c>
      <c r="AM1918" s="85"/>
    </row>
    <row r="1919" spans="1:39" hidden="1" x14ac:dyDescent="0.3">
      <c r="A1919" s="85" t="s">
        <v>34</v>
      </c>
      <c r="B1919" s="15" t="s">
        <v>35</v>
      </c>
      <c r="C1919" s="15" t="s">
        <v>187</v>
      </c>
      <c r="D1919" s="15" t="s">
        <v>188</v>
      </c>
      <c r="E1919" s="15" t="s">
        <v>279</v>
      </c>
      <c r="F1919" s="15" t="s">
        <v>279</v>
      </c>
      <c r="G1919" s="15" t="s">
        <v>279</v>
      </c>
      <c r="H1919" s="139"/>
      <c r="I1919" s="3" t="s">
        <v>2374</v>
      </c>
      <c r="J1919" s="1" t="s">
        <v>3322</v>
      </c>
      <c r="K1919" s="1" t="s">
        <v>3269</v>
      </c>
      <c r="L1919" s="1" t="s">
        <v>35</v>
      </c>
      <c r="M1919" s="15" t="s">
        <v>2438</v>
      </c>
      <c r="N1919" s="15"/>
      <c r="O1919" s="8" t="s">
        <v>40</v>
      </c>
      <c r="P1919" s="8" t="s">
        <v>46</v>
      </c>
      <c r="Q1919" s="9">
        <v>0.04</v>
      </c>
      <c r="R1919" s="138"/>
      <c r="T1919" s="18">
        <v>71845.729027397349</v>
      </c>
      <c r="U1919" s="4">
        <v>0</v>
      </c>
      <c r="V1919" s="4">
        <v>0</v>
      </c>
      <c r="W1919" s="13">
        <f t="shared" si="272"/>
        <v>71845.729027397349</v>
      </c>
      <c r="X1919" s="13">
        <f t="shared" si="273"/>
        <v>0</v>
      </c>
      <c r="Y1919" s="13">
        <f t="shared" si="275"/>
        <v>0</v>
      </c>
      <c r="Z1919" s="2">
        <v>0</v>
      </c>
      <c r="AA1919" s="4">
        <v>0</v>
      </c>
      <c r="AB1919" s="4">
        <f t="shared" si="276"/>
        <v>0</v>
      </c>
      <c r="AC1919" s="6">
        <f t="shared" si="277"/>
        <v>0</v>
      </c>
      <c r="AD1919" s="4">
        <v>0</v>
      </c>
      <c r="AE1919" s="2">
        <v>7.0000000000000007E-2</v>
      </c>
      <c r="AF1919" s="5">
        <f t="shared" si="278"/>
        <v>0</v>
      </c>
      <c r="AG1919" s="9">
        <v>0.46</v>
      </c>
      <c r="AH1919" s="4">
        <f t="shared" si="274"/>
        <v>0</v>
      </c>
      <c r="AJ1919" s="126" t="e">
        <v>#N/A</v>
      </c>
      <c r="AK1919" s="80">
        <f t="shared" si="279"/>
        <v>0</v>
      </c>
      <c r="AM1919" s="85"/>
    </row>
    <row r="1920" spans="1:39" hidden="1" x14ac:dyDescent="0.3">
      <c r="A1920" s="85" t="s">
        <v>34</v>
      </c>
      <c r="B1920" s="15" t="s">
        <v>35</v>
      </c>
      <c r="C1920" s="15" t="s">
        <v>187</v>
      </c>
      <c r="D1920" s="15" t="s">
        <v>188</v>
      </c>
      <c r="E1920" s="15" t="s">
        <v>279</v>
      </c>
      <c r="F1920" s="15" t="s">
        <v>279</v>
      </c>
      <c r="G1920" s="15" t="s">
        <v>279</v>
      </c>
      <c r="H1920" s="139"/>
      <c r="I1920" s="3" t="s">
        <v>2374</v>
      </c>
      <c r="J1920" s="1" t="s">
        <v>3322</v>
      </c>
      <c r="K1920" s="1" t="s">
        <v>3269</v>
      </c>
      <c r="L1920" s="1" t="s">
        <v>35</v>
      </c>
      <c r="M1920" s="15" t="s">
        <v>2438</v>
      </c>
      <c r="N1920" s="15"/>
      <c r="O1920" s="8" t="s">
        <v>40</v>
      </c>
      <c r="P1920" s="8" t="s">
        <v>46</v>
      </c>
      <c r="Q1920" s="9">
        <v>0.09</v>
      </c>
      <c r="R1920" s="138"/>
      <c r="T1920" s="18">
        <v>-44999.996399999996</v>
      </c>
      <c r="U1920" s="4">
        <v>0</v>
      </c>
      <c r="V1920" s="4">
        <v>0</v>
      </c>
      <c r="W1920" s="13">
        <f t="shared" ref="W1920:W1983" si="280">T1920+U1920-V1920</f>
        <v>-44999.996399999996</v>
      </c>
      <c r="X1920" s="13">
        <f t="shared" si="273"/>
        <v>0</v>
      </c>
      <c r="Y1920" s="13">
        <f t="shared" si="275"/>
        <v>0</v>
      </c>
      <c r="Z1920" s="2">
        <v>0</v>
      </c>
      <c r="AA1920" s="4">
        <v>0</v>
      </c>
      <c r="AB1920" s="4">
        <f t="shared" si="276"/>
        <v>0</v>
      </c>
      <c r="AC1920" s="6">
        <f t="shared" si="277"/>
        <v>0</v>
      </c>
      <c r="AD1920" s="4">
        <v>0</v>
      </c>
      <c r="AE1920" s="2">
        <v>7.0000000000000007E-2</v>
      </c>
      <c r="AF1920" s="5">
        <f t="shared" si="278"/>
        <v>0</v>
      </c>
      <c r="AG1920" s="9">
        <v>0.41</v>
      </c>
      <c r="AH1920" s="4">
        <f t="shared" si="274"/>
        <v>0</v>
      </c>
      <c r="AJ1920" s="126" t="e">
        <v>#N/A</v>
      </c>
      <c r="AK1920" s="80">
        <f t="shared" si="279"/>
        <v>0</v>
      </c>
      <c r="AM1920" s="85"/>
    </row>
    <row r="1921" spans="1:39" hidden="1" x14ac:dyDescent="0.3">
      <c r="A1921" s="85" t="s">
        <v>34</v>
      </c>
      <c r="B1921" s="15" t="s">
        <v>35</v>
      </c>
      <c r="C1921" s="15" t="s">
        <v>187</v>
      </c>
      <c r="D1921" s="15" t="s">
        <v>188</v>
      </c>
      <c r="E1921" s="15" t="s">
        <v>279</v>
      </c>
      <c r="F1921" s="15" t="s">
        <v>279</v>
      </c>
      <c r="G1921" s="15" t="s">
        <v>279</v>
      </c>
      <c r="H1921" s="139"/>
      <c r="I1921" s="3" t="s">
        <v>2374</v>
      </c>
      <c r="J1921" s="1" t="s">
        <v>3322</v>
      </c>
      <c r="K1921" s="1" t="s">
        <v>3269</v>
      </c>
      <c r="L1921" s="1" t="s">
        <v>35</v>
      </c>
      <c r="M1921" s="15" t="s">
        <v>2438</v>
      </c>
      <c r="N1921" s="15"/>
      <c r="O1921" s="8" t="s">
        <v>40</v>
      </c>
      <c r="P1921" s="8" t="s">
        <v>46</v>
      </c>
      <c r="Q1921" s="9">
        <v>0.09</v>
      </c>
      <c r="R1921" s="138"/>
      <c r="T1921" s="18">
        <v>-26845.720799999999</v>
      </c>
      <c r="U1921" s="4">
        <v>0</v>
      </c>
      <c r="V1921" s="4">
        <v>0</v>
      </c>
      <c r="W1921" s="13">
        <f t="shared" si="280"/>
        <v>-26845.720799999999</v>
      </c>
      <c r="X1921" s="13">
        <f t="shared" ref="X1921:X1952" si="281">IF(P1921="折扣",V1921*Q1921,IF(P1921="返现",V1921,V1921/(1+Q1921+AG1921)))</f>
        <v>0</v>
      </c>
      <c r="Y1921" s="13">
        <f t="shared" si="275"/>
        <v>0</v>
      </c>
      <c r="Z1921" s="2">
        <v>0</v>
      </c>
      <c r="AA1921" s="4">
        <v>0</v>
      </c>
      <c r="AB1921" s="4">
        <f t="shared" si="276"/>
        <v>0</v>
      </c>
      <c r="AC1921" s="6">
        <f t="shared" si="277"/>
        <v>0</v>
      </c>
      <c r="AD1921" s="4">
        <v>0</v>
      </c>
      <c r="AE1921" s="2">
        <v>7.0000000000000007E-2</v>
      </c>
      <c r="AF1921" s="5">
        <f t="shared" si="278"/>
        <v>0</v>
      </c>
      <c r="AG1921" s="9">
        <v>0.46</v>
      </c>
      <c r="AH1921" s="4">
        <f t="shared" ref="AH1921:AH1952" si="282">V1921/(1+AG1921)</f>
        <v>0</v>
      </c>
      <c r="AJ1921" s="126" t="e">
        <v>#N/A</v>
      </c>
      <c r="AK1921" s="80">
        <f t="shared" si="279"/>
        <v>0</v>
      </c>
      <c r="AM1921" s="85"/>
    </row>
    <row r="1922" spans="1:39" hidden="1" x14ac:dyDescent="0.3">
      <c r="A1922" s="85" t="s">
        <v>34</v>
      </c>
      <c r="B1922" s="15" t="s">
        <v>35</v>
      </c>
      <c r="C1922" s="15" t="s">
        <v>187</v>
      </c>
      <c r="D1922" s="15" t="s">
        <v>188</v>
      </c>
      <c r="E1922" s="15" t="s">
        <v>2441</v>
      </c>
      <c r="F1922" s="15" t="s">
        <v>2441</v>
      </c>
      <c r="G1922" s="15" t="s">
        <v>2441</v>
      </c>
      <c r="H1922" s="139"/>
      <c r="I1922" s="3" t="s">
        <v>2374</v>
      </c>
      <c r="J1922" s="1" t="s">
        <v>3322</v>
      </c>
      <c r="K1922" s="1" t="s">
        <v>3269</v>
      </c>
      <c r="L1922" s="1" t="s">
        <v>35</v>
      </c>
      <c r="M1922" s="15" t="s">
        <v>2438</v>
      </c>
      <c r="N1922" s="15"/>
      <c r="O1922" s="8" t="s">
        <v>40</v>
      </c>
      <c r="P1922" s="8" t="s">
        <v>46</v>
      </c>
      <c r="Q1922" s="9">
        <v>0.01</v>
      </c>
      <c r="R1922" s="138"/>
      <c r="T1922" s="18">
        <v>52448.685070439948</v>
      </c>
      <c r="U1922" s="4">
        <v>0</v>
      </c>
      <c r="V1922" s="4">
        <v>0</v>
      </c>
      <c r="W1922" s="13">
        <f t="shared" si="280"/>
        <v>52448.685070439948</v>
      </c>
      <c r="X1922" s="13">
        <f t="shared" si="281"/>
        <v>0</v>
      </c>
      <c r="Y1922" s="13">
        <f t="shared" si="275"/>
        <v>0</v>
      </c>
      <c r="Z1922" s="2">
        <v>0</v>
      </c>
      <c r="AA1922" s="4">
        <v>0</v>
      </c>
      <c r="AB1922" s="4">
        <f t="shared" si="276"/>
        <v>0</v>
      </c>
      <c r="AC1922" s="6">
        <f t="shared" si="277"/>
        <v>0</v>
      </c>
      <c r="AD1922" s="4">
        <v>0</v>
      </c>
      <c r="AE1922" s="2">
        <v>7.0000000000000007E-2</v>
      </c>
      <c r="AF1922" s="5">
        <f t="shared" si="278"/>
        <v>0</v>
      </c>
      <c r="AG1922" s="9">
        <v>0.4</v>
      </c>
      <c r="AH1922" s="4">
        <f t="shared" si="282"/>
        <v>0</v>
      </c>
      <c r="AJ1922" s="126" t="e">
        <v>#N/A</v>
      </c>
      <c r="AK1922" s="80">
        <f t="shared" si="279"/>
        <v>0</v>
      </c>
      <c r="AM1922" s="85"/>
    </row>
    <row r="1923" spans="1:39" hidden="1" x14ac:dyDescent="0.3">
      <c r="A1923" s="85" t="s">
        <v>34</v>
      </c>
      <c r="B1923" s="15" t="s">
        <v>35</v>
      </c>
      <c r="C1923" s="15" t="s">
        <v>187</v>
      </c>
      <c r="D1923" s="15" t="s">
        <v>188</v>
      </c>
      <c r="E1923" s="15" t="s">
        <v>2444</v>
      </c>
      <c r="F1923" s="15" t="s">
        <v>2444</v>
      </c>
      <c r="G1923" s="15" t="s">
        <v>2444</v>
      </c>
      <c r="H1923" s="154"/>
      <c r="I1923" s="3" t="s">
        <v>2374</v>
      </c>
      <c r="J1923" s="1" t="s">
        <v>3322</v>
      </c>
      <c r="K1923" s="1" t="s">
        <v>3269</v>
      </c>
      <c r="L1923" s="1" t="s">
        <v>35</v>
      </c>
      <c r="M1923" s="15" t="s">
        <v>2438</v>
      </c>
      <c r="N1923" s="15"/>
      <c r="O1923" s="8" t="s">
        <v>40</v>
      </c>
      <c r="P1923" s="8" t="s">
        <v>46</v>
      </c>
      <c r="Q1923" s="9">
        <v>0.01</v>
      </c>
      <c r="R1923" s="138"/>
      <c r="T1923" s="18">
        <v>102089.82849999977</v>
      </c>
      <c r="U1923" s="4">
        <v>0</v>
      </c>
      <c r="V1923" s="18">
        <v>102089.82849999977</v>
      </c>
      <c r="W1923" s="13">
        <f t="shared" si="280"/>
        <v>0</v>
      </c>
      <c r="X1923" s="13">
        <f t="shared" si="281"/>
        <v>72404.133687943089</v>
      </c>
      <c r="Y1923" s="13">
        <f t="shared" ref="Y1923:Y1986" si="283">IF(X1923-AD1923&lt;=0,0,IF(P1923="返现",MAX(X1923-AC1923-AD1923,0),MAX(X1923-AD1923)))</f>
        <v>72404.133687943089</v>
      </c>
      <c r="Z1923" s="2">
        <v>0</v>
      </c>
      <c r="AA1923" s="4">
        <v>0</v>
      </c>
      <c r="AB1923" s="4">
        <f t="shared" ref="AB1923:AB1986" si="284">X1923+AA1923</f>
        <v>72404.133687943089</v>
      </c>
      <c r="AC1923" s="6">
        <f t="shared" ref="AC1923:AC1986" si="285">IF(P1923="返现",X1923*Q1923,V1923-X1923)</f>
        <v>29685.694812056681</v>
      </c>
      <c r="AD1923" s="4">
        <v>0</v>
      </c>
      <c r="AE1923" s="2">
        <v>7.0000000000000007E-2</v>
      </c>
      <c r="AF1923" s="5">
        <f t="shared" ref="AF1923:AF1986" si="286">AD1923*AE1923</f>
        <v>0</v>
      </c>
      <c r="AG1923" s="9">
        <v>0.4</v>
      </c>
      <c r="AH1923" s="4">
        <f t="shared" si="282"/>
        <v>72921.306071428407</v>
      </c>
      <c r="AJ1923" s="126" t="e">
        <v>#N/A</v>
      </c>
      <c r="AK1923" s="80">
        <f t="shared" ref="AK1923:AK1986" si="287">X1923+AA1923-AB1923</f>
        <v>0</v>
      </c>
      <c r="AM1923" s="85"/>
    </row>
    <row r="1924" spans="1:39" hidden="1" x14ac:dyDescent="0.3">
      <c r="A1924" s="85" t="s">
        <v>34</v>
      </c>
      <c r="B1924" s="15" t="s">
        <v>35</v>
      </c>
      <c r="C1924" s="15" t="s">
        <v>187</v>
      </c>
      <c r="D1924" s="15" t="s">
        <v>188</v>
      </c>
      <c r="E1924" s="15" t="s">
        <v>248</v>
      </c>
      <c r="F1924" s="15" t="s">
        <v>248</v>
      </c>
      <c r="G1924" s="15" t="s">
        <v>248</v>
      </c>
      <c r="H1924" s="139"/>
      <c r="I1924" s="3" t="s">
        <v>2374</v>
      </c>
      <c r="J1924" s="1" t="s">
        <v>3322</v>
      </c>
      <c r="K1924" s="1" t="s">
        <v>3269</v>
      </c>
      <c r="L1924" s="1" t="s">
        <v>35</v>
      </c>
      <c r="M1924" s="15" t="s">
        <v>2438</v>
      </c>
      <c r="N1924" s="15"/>
      <c r="O1924" s="8" t="s">
        <v>40</v>
      </c>
      <c r="P1924" s="8" t="s">
        <v>41</v>
      </c>
      <c r="Q1924" s="9">
        <v>0</v>
      </c>
      <c r="R1924" s="138"/>
      <c r="T1924" s="18">
        <v>-3996.9150956944795</v>
      </c>
      <c r="U1924" s="4">
        <v>0</v>
      </c>
      <c r="V1924" s="4">
        <v>0</v>
      </c>
      <c r="W1924" s="13">
        <f t="shared" si="280"/>
        <v>-3996.9150956944795</v>
      </c>
      <c r="X1924" s="13">
        <f t="shared" si="281"/>
        <v>0</v>
      </c>
      <c r="Y1924" s="13">
        <f t="shared" si="283"/>
        <v>0</v>
      </c>
      <c r="Z1924" s="2">
        <v>0</v>
      </c>
      <c r="AA1924" s="4">
        <v>0</v>
      </c>
      <c r="AB1924" s="4">
        <f t="shared" si="284"/>
        <v>0</v>
      </c>
      <c r="AC1924" s="6">
        <f t="shared" si="285"/>
        <v>0</v>
      </c>
      <c r="AD1924" s="4">
        <v>0</v>
      </c>
      <c r="AE1924" s="2">
        <v>7.0000000000000007E-2</v>
      </c>
      <c r="AF1924" s="5">
        <f t="shared" si="286"/>
        <v>0</v>
      </c>
      <c r="AG1924" s="9">
        <v>0.4</v>
      </c>
      <c r="AH1924" s="4">
        <f t="shared" si="282"/>
        <v>0</v>
      </c>
      <c r="AJ1924" s="126" t="e">
        <v>#N/A</v>
      </c>
      <c r="AK1924" s="80">
        <f t="shared" si="287"/>
        <v>0</v>
      </c>
      <c r="AM1924" s="85"/>
    </row>
    <row r="1925" spans="1:39" hidden="1" x14ac:dyDescent="0.3">
      <c r="A1925" s="85" t="s">
        <v>34</v>
      </c>
      <c r="B1925" s="15" t="s">
        <v>35</v>
      </c>
      <c r="C1925" s="15" t="s">
        <v>187</v>
      </c>
      <c r="D1925" s="15" t="s">
        <v>188</v>
      </c>
      <c r="E1925" s="15" t="s">
        <v>2553</v>
      </c>
      <c r="F1925" s="15" t="s">
        <v>2553</v>
      </c>
      <c r="G1925" s="15" t="s">
        <v>2553</v>
      </c>
      <c r="H1925" s="139"/>
      <c r="I1925" s="3" t="s">
        <v>2374</v>
      </c>
      <c r="J1925" s="1" t="s">
        <v>3322</v>
      </c>
      <c r="K1925" s="1" t="s">
        <v>3269</v>
      </c>
      <c r="L1925" s="1" t="s">
        <v>35</v>
      </c>
      <c r="M1925" s="15" t="s">
        <v>2438</v>
      </c>
      <c r="N1925" s="15"/>
      <c r="O1925" s="8" t="s">
        <v>40</v>
      </c>
      <c r="P1925" s="8" t="s">
        <v>46</v>
      </c>
      <c r="Q1925" s="9">
        <v>0.01</v>
      </c>
      <c r="R1925" s="138"/>
      <c r="T1925" s="18">
        <v>-1.2000000016996637E-2</v>
      </c>
      <c r="U1925" s="4">
        <v>0</v>
      </c>
      <c r="V1925" s="4">
        <v>0</v>
      </c>
      <c r="W1925" s="13">
        <f t="shared" si="280"/>
        <v>-1.2000000016996637E-2</v>
      </c>
      <c r="X1925" s="13">
        <f t="shared" si="281"/>
        <v>0</v>
      </c>
      <c r="Y1925" s="13">
        <f t="shared" si="283"/>
        <v>0</v>
      </c>
      <c r="Z1925" s="2">
        <v>0</v>
      </c>
      <c r="AA1925" s="4">
        <v>0</v>
      </c>
      <c r="AB1925" s="4">
        <f t="shared" si="284"/>
        <v>0</v>
      </c>
      <c r="AC1925" s="6">
        <f t="shared" si="285"/>
        <v>0</v>
      </c>
      <c r="AD1925" s="4">
        <v>0</v>
      </c>
      <c r="AE1925" s="2">
        <v>7.0000000000000007E-2</v>
      </c>
      <c r="AF1925" s="5">
        <f t="shared" si="286"/>
        <v>0</v>
      </c>
      <c r="AG1925" s="9">
        <v>0.4</v>
      </c>
      <c r="AH1925" s="4">
        <f t="shared" si="282"/>
        <v>0</v>
      </c>
      <c r="AJ1925" s="126" t="e">
        <v>#N/A</v>
      </c>
      <c r="AK1925" s="80">
        <f t="shared" si="287"/>
        <v>0</v>
      </c>
      <c r="AM1925" s="85"/>
    </row>
    <row r="1926" spans="1:39" hidden="1" x14ac:dyDescent="0.3">
      <c r="A1926" s="85" t="s">
        <v>34</v>
      </c>
      <c r="B1926" s="15" t="s">
        <v>35</v>
      </c>
      <c r="C1926" s="15" t="s">
        <v>187</v>
      </c>
      <c r="D1926" s="15" t="s">
        <v>208</v>
      </c>
      <c r="E1926" s="15" t="s">
        <v>288</v>
      </c>
      <c r="F1926" s="15" t="s">
        <v>288</v>
      </c>
      <c r="G1926" s="15" t="s">
        <v>288</v>
      </c>
      <c r="H1926" s="139"/>
      <c r="I1926" s="3" t="s">
        <v>2374</v>
      </c>
      <c r="J1926" s="1" t="s">
        <v>3322</v>
      </c>
      <c r="K1926" s="1" t="s">
        <v>3269</v>
      </c>
      <c r="L1926" s="1" t="s">
        <v>35</v>
      </c>
      <c r="M1926" s="15" t="s">
        <v>2438</v>
      </c>
      <c r="N1926" s="15"/>
      <c r="O1926" s="8" t="s">
        <v>40</v>
      </c>
      <c r="P1926" s="8" t="s">
        <v>46</v>
      </c>
      <c r="Q1926" s="9">
        <v>-0.2</v>
      </c>
      <c r="R1926" s="138"/>
      <c r="T1926" s="18">
        <v>-5.9999999998012754E-3</v>
      </c>
      <c r="U1926" s="4">
        <v>0</v>
      </c>
      <c r="V1926" s="4">
        <v>0</v>
      </c>
      <c r="W1926" s="13">
        <f t="shared" si="280"/>
        <v>-5.9999999998012754E-3</v>
      </c>
      <c r="X1926" s="13">
        <f t="shared" si="281"/>
        <v>0</v>
      </c>
      <c r="Y1926" s="13">
        <f t="shared" si="283"/>
        <v>0</v>
      </c>
      <c r="Z1926" s="2">
        <v>0</v>
      </c>
      <c r="AA1926" s="4">
        <v>0</v>
      </c>
      <c r="AB1926" s="4">
        <f t="shared" si="284"/>
        <v>0</v>
      </c>
      <c r="AC1926" s="6">
        <f t="shared" si="285"/>
        <v>0</v>
      </c>
      <c r="AD1926" s="4">
        <v>0</v>
      </c>
      <c r="AE1926" s="2">
        <v>7.0000000000000007E-2</v>
      </c>
      <c r="AF1926" s="5">
        <f t="shared" si="286"/>
        <v>0</v>
      </c>
      <c r="AG1926" s="9">
        <v>0.4</v>
      </c>
      <c r="AH1926" s="4">
        <f t="shared" si="282"/>
        <v>0</v>
      </c>
      <c r="AJ1926" s="126" t="e">
        <v>#N/A</v>
      </c>
      <c r="AK1926" s="80">
        <f t="shared" si="287"/>
        <v>0</v>
      </c>
      <c r="AM1926" s="85"/>
    </row>
    <row r="1927" spans="1:39" hidden="1" x14ac:dyDescent="0.3">
      <c r="A1927" s="85" t="s">
        <v>34</v>
      </c>
      <c r="B1927" s="15" t="s">
        <v>35</v>
      </c>
      <c r="C1927" s="15" t="s">
        <v>187</v>
      </c>
      <c r="D1927" s="15" t="s">
        <v>208</v>
      </c>
      <c r="E1927" s="15" t="s">
        <v>2554</v>
      </c>
      <c r="F1927" s="15" t="s">
        <v>2554</v>
      </c>
      <c r="G1927" s="15" t="s">
        <v>2554</v>
      </c>
      <c r="H1927" s="139"/>
      <c r="I1927" s="3" t="s">
        <v>2374</v>
      </c>
      <c r="J1927" s="1" t="s">
        <v>3322</v>
      </c>
      <c r="K1927" s="1" t="s">
        <v>3269</v>
      </c>
      <c r="L1927" s="1" t="s">
        <v>35</v>
      </c>
      <c r="M1927" s="15" t="s">
        <v>2438</v>
      </c>
      <c r="N1927" s="15"/>
      <c r="O1927" s="8" t="s">
        <v>40</v>
      </c>
      <c r="P1927" s="8" t="s">
        <v>46</v>
      </c>
      <c r="Q1927" s="9">
        <v>0.03</v>
      </c>
      <c r="R1927" s="138"/>
      <c r="T1927" s="18">
        <v>-13927.29027636251</v>
      </c>
      <c r="U1927" s="4">
        <v>0</v>
      </c>
      <c r="V1927" s="4">
        <v>0</v>
      </c>
      <c r="W1927" s="13">
        <f t="shared" si="280"/>
        <v>-13927.29027636251</v>
      </c>
      <c r="X1927" s="13">
        <f t="shared" si="281"/>
        <v>0</v>
      </c>
      <c r="Y1927" s="13">
        <f t="shared" si="283"/>
        <v>0</v>
      </c>
      <c r="Z1927" s="2">
        <v>0</v>
      </c>
      <c r="AA1927" s="4">
        <v>0</v>
      </c>
      <c r="AB1927" s="4">
        <f t="shared" si="284"/>
        <v>0</v>
      </c>
      <c r="AC1927" s="6">
        <f t="shared" si="285"/>
        <v>0</v>
      </c>
      <c r="AD1927" s="4">
        <v>0</v>
      </c>
      <c r="AE1927" s="2">
        <v>7.0000000000000007E-2</v>
      </c>
      <c r="AF1927" s="5">
        <f t="shared" si="286"/>
        <v>0</v>
      </c>
      <c r="AG1927" s="9">
        <v>0.41</v>
      </c>
      <c r="AH1927" s="4">
        <f t="shared" si="282"/>
        <v>0</v>
      </c>
      <c r="AJ1927" s="126" t="e">
        <v>#N/A</v>
      </c>
      <c r="AK1927" s="80">
        <f t="shared" si="287"/>
        <v>0</v>
      </c>
      <c r="AM1927" s="85"/>
    </row>
    <row r="1928" spans="1:39" hidden="1" x14ac:dyDescent="0.3">
      <c r="A1928" s="85" t="s">
        <v>34</v>
      </c>
      <c r="B1928" s="15" t="s">
        <v>35</v>
      </c>
      <c r="C1928" s="15" t="s">
        <v>187</v>
      </c>
      <c r="D1928" s="15" t="s">
        <v>208</v>
      </c>
      <c r="E1928" s="15" t="s">
        <v>2554</v>
      </c>
      <c r="F1928" s="15" t="s">
        <v>2554</v>
      </c>
      <c r="G1928" s="15" t="s">
        <v>2554</v>
      </c>
      <c r="H1928" s="139"/>
      <c r="I1928" s="3" t="s">
        <v>2374</v>
      </c>
      <c r="J1928" s="1" t="s">
        <v>3322</v>
      </c>
      <c r="K1928" s="1" t="s">
        <v>3269</v>
      </c>
      <c r="L1928" s="1" t="s">
        <v>35</v>
      </c>
      <c r="M1928" s="15" t="s">
        <v>2438</v>
      </c>
      <c r="N1928" s="15"/>
      <c r="O1928" s="8" t="s">
        <v>40</v>
      </c>
      <c r="P1928" s="8" t="s">
        <v>41</v>
      </c>
      <c r="Q1928" s="9">
        <v>0</v>
      </c>
      <c r="R1928" s="138"/>
      <c r="T1928" s="18">
        <v>14000</v>
      </c>
      <c r="U1928" s="4">
        <v>0</v>
      </c>
      <c r="V1928" s="4">
        <v>0</v>
      </c>
      <c r="W1928" s="13">
        <f t="shared" si="280"/>
        <v>14000</v>
      </c>
      <c r="X1928" s="13">
        <f t="shared" si="281"/>
        <v>0</v>
      </c>
      <c r="Y1928" s="13">
        <f t="shared" si="283"/>
        <v>0</v>
      </c>
      <c r="Z1928" s="2">
        <v>0</v>
      </c>
      <c r="AA1928" s="4">
        <v>0</v>
      </c>
      <c r="AB1928" s="4">
        <f t="shared" si="284"/>
        <v>0</v>
      </c>
      <c r="AC1928" s="6">
        <f t="shared" si="285"/>
        <v>0</v>
      </c>
      <c r="AD1928" s="4">
        <v>0</v>
      </c>
      <c r="AE1928" s="2">
        <v>7.0000000000000007E-2</v>
      </c>
      <c r="AF1928" s="5">
        <f t="shared" si="286"/>
        <v>0</v>
      </c>
      <c r="AG1928" s="9">
        <v>0.4</v>
      </c>
      <c r="AH1928" s="4">
        <f t="shared" si="282"/>
        <v>0</v>
      </c>
      <c r="AJ1928" s="126" t="e">
        <v>#N/A</v>
      </c>
      <c r="AK1928" s="80">
        <f t="shared" si="287"/>
        <v>0</v>
      </c>
      <c r="AM1928" s="85"/>
    </row>
    <row r="1929" spans="1:39" hidden="1" x14ac:dyDescent="0.3">
      <c r="A1929" s="85" t="s">
        <v>34</v>
      </c>
      <c r="B1929" s="15" t="s">
        <v>35</v>
      </c>
      <c r="C1929" s="15" t="s">
        <v>187</v>
      </c>
      <c r="D1929" s="15" t="s">
        <v>208</v>
      </c>
      <c r="E1929" s="15" t="s">
        <v>2555</v>
      </c>
      <c r="F1929" s="15" t="s">
        <v>2555</v>
      </c>
      <c r="G1929" s="15" t="s">
        <v>2555</v>
      </c>
      <c r="H1929" s="139"/>
      <c r="I1929" s="3" t="s">
        <v>2374</v>
      </c>
      <c r="J1929" s="1" t="s">
        <v>3322</v>
      </c>
      <c r="K1929" s="1" t="s">
        <v>3269</v>
      </c>
      <c r="L1929" s="1" t="s">
        <v>35</v>
      </c>
      <c r="M1929" s="15" t="s">
        <v>2438</v>
      </c>
      <c r="N1929" s="15"/>
      <c r="O1929" s="8" t="s">
        <v>40</v>
      </c>
      <c r="P1929" s="8" t="s">
        <v>41</v>
      </c>
      <c r="Q1929" s="9">
        <v>0</v>
      </c>
      <c r="R1929" s="138"/>
      <c r="T1929" s="18">
        <v>-1427.2399986321689</v>
      </c>
      <c r="U1929" s="4">
        <v>0</v>
      </c>
      <c r="V1929" s="4">
        <v>0</v>
      </c>
      <c r="W1929" s="13">
        <f t="shared" si="280"/>
        <v>-1427.2399986321689</v>
      </c>
      <c r="X1929" s="13">
        <f t="shared" si="281"/>
        <v>0</v>
      </c>
      <c r="Y1929" s="13">
        <f t="shared" si="283"/>
        <v>0</v>
      </c>
      <c r="Z1929" s="2">
        <v>0</v>
      </c>
      <c r="AA1929" s="4">
        <v>0</v>
      </c>
      <c r="AB1929" s="4">
        <f t="shared" si="284"/>
        <v>0</v>
      </c>
      <c r="AC1929" s="6">
        <f t="shared" si="285"/>
        <v>0</v>
      </c>
      <c r="AD1929" s="4">
        <v>0</v>
      </c>
      <c r="AE1929" s="2">
        <v>7.0000000000000007E-2</v>
      </c>
      <c r="AF1929" s="5">
        <f t="shared" si="286"/>
        <v>0</v>
      </c>
      <c r="AG1929" s="9">
        <v>0.4</v>
      </c>
      <c r="AH1929" s="4">
        <f t="shared" si="282"/>
        <v>0</v>
      </c>
      <c r="AJ1929" s="126" t="e">
        <v>#N/A</v>
      </c>
      <c r="AK1929" s="80">
        <f t="shared" si="287"/>
        <v>0</v>
      </c>
      <c r="AM1929" s="85"/>
    </row>
    <row r="1930" spans="1:39" hidden="1" x14ac:dyDescent="0.3">
      <c r="A1930" s="85" t="s">
        <v>34</v>
      </c>
      <c r="B1930" s="15" t="s">
        <v>35</v>
      </c>
      <c r="C1930" s="15" t="s">
        <v>187</v>
      </c>
      <c r="D1930" s="15" t="s">
        <v>188</v>
      </c>
      <c r="E1930" s="15" t="s">
        <v>285</v>
      </c>
      <c r="F1930" s="15" t="s">
        <v>286</v>
      </c>
      <c r="G1930" s="15" t="s">
        <v>285</v>
      </c>
      <c r="H1930" s="139"/>
      <c r="I1930" s="3" t="s">
        <v>2374</v>
      </c>
      <c r="J1930" s="1" t="s">
        <v>3322</v>
      </c>
      <c r="K1930" s="1" t="s">
        <v>3269</v>
      </c>
      <c r="L1930" s="1" t="s">
        <v>35</v>
      </c>
      <c r="M1930" s="15" t="s">
        <v>2438</v>
      </c>
      <c r="N1930" s="15"/>
      <c r="O1930" s="8" t="s">
        <v>45</v>
      </c>
      <c r="P1930" s="8" t="s">
        <v>46</v>
      </c>
      <c r="Q1930" s="9">
        <v>-7.0000000000000007E-2</v>
      </c>
      <c r="R1930" s="138"/>
      <c r="T1930" s="18">
        <v>242.23590510948313</v>
      </c>
      <c r="U1930" s="4">
        <v>0</v>
      </c>
      <c r="V1930" s="4">
        <v>0</v>
      </c>
      <c r="W1930" s="13">
        <f t="shared" si="280"/>
        <v>242.23590510948313</v>
      </c>
      <c r="X1930" s="13">
        <f t="shared" si="281"/>
        <v>0</v>
      </c>
      <c r="Y1930" s="13">
        <f t="shared" si="283"/>
        <v>0</v>
      </c>
      <c r="Z1930" s="2">
        <v>0</v>
      </c>
      <c r="AA1930" s="4">
        <v>0</v>
      </c>
      <c r="AB1930" s="4">
        <f t="shared" si="284"/>
        <v>0</v>
      </c>
      <c r="AC1930" s="6">
        <f t="shared" si="285"/>
        <v>0</v>
      </c>
      <c r="AD1930" s="4">
        <v>0</v>
      </c>
      <c r="AE1930" s="2">
        <v>0.06</v>
      </c>
      <c r="AF1930" s="5">
        <f t="shared" si="286"/>
        <v>0</v>
      </c>
      <c r="AG1930" s="9">
        <v>0.37</v>
      </c>
      <c r="AH1930" s="4">
        <f t="shared" si="282"/>
        <v>0</v>
      </c>
      <c r="AJ1930" s="126" t="e">
        <v>#N/A</v>
      </c>
      <c r="AK1930" s="80">
        <f t="shared" si="287"/>
        <v>0</v>
      </c>
      <c r="AM1930" s="85"/>
    </row>
    <row r="1931" spans="1:39" hidden="1" x14ac:dyDescent="0.3">
      <c r="A1931" s="85" t="s">
        <v>34</v>
      </c>
      <c r="B1931" s="15" t="s">
        <v>35</v>
      </c>
      <c r="C1931" s="15" t="s">
        <v>187</v>
      </c>
      <c r="D1931" s="15" t="s">
        <v>188</v>
      </c>
      <c r="E1931" s="15" t="s">
        <v>2556</v>
      </c>
      <c r="F1931" s="15" t="s">
        <v>2556</v>
      </c>
      <c r="G1931" s="15" t="s">
        <v>2556</v>
      </c>
      <c r="H1931" s="139"/>
      <c r="I1931" s="3" t="s">
        <v>2374</v>
      </c>
      <c r="J1931" s="1" t="s">
        <v>3322</v>
      </c>
      <c r="K1931" s="1" t="s">
        <v>3269</v>
      </c>
      <c r="L1931" s="1" t="s">
        <v>35</v>
      </c>
      <c r="M1931" s="15" t="s">
        <v>2438</v>
      </c>
      <c r="N1931" s="15"/>
      <c r="O1931" s="8" t="s">
        <v>40</v>
      </c>
      <c r="P1931" s="8" t="s">
        <v>46</v>
      </c>
      <c r="Q1931" s="9">
        <v>0.04</v>
      </c>
      <c r="R1931" s="138"/>
      <c r="T1931" s="18">
        <v>41826.509999999966</v>
      </c>
      <c r="U1931" s="4">
        <v>0</v>
      </c>
      <c r="V1931" s="4">
        <v>0</v>
      </c>
      <c r="W1931" s="13">
        <f t="shared" si="280"/>
        <v>41826.509999999966</v>
      </c>
      <c r="X1931" s="13">
        <f t="shared" si="281"/>
        <v>0</v>
      </c>
      <c r="Y1931" s="13">
        <f t="shared" si="283"/>
        <v>0</v>
      </c>
      <c r="Z1931" s="2">
        <v>0</v>
      </c>
      <c r="AA1931" s="4">
        <v>0</v>
      </c>
      <c r="AB1931" s="4">
        <f t="shared" si="284"/>
        <v>0</v>
      </c>
      <c r="AC1931" s="6">
        <f t="shared" si="285"/>
        <v>0</v>
      </c>
      <c r="AD1931" s="4">
        <v>0</v>
      </c>
      <c r="AE1931" s="2">
        <v>7.0000000000000007E-2</v>
      </c>
      <c r="AF1931" s="5">
        <f t="shared" si="286"/>
        <v>0</v>
      </c>
      <c r="AG1931" s="9">
        <v>0.41</v>
      </c>
      <c r="AH1931" s="4">
        <f t="shared" si="282"/>
        <v>0</v>
      </c>
      <c r="AJ1931" s="126" t="e">
        <v>#N/A</v>
      </c>
      <c r="AK1931" s="80">
        <f t="shared" si="287"/>
        <v>0</v>
      </c>
      <c r="AM1931" s="85"/>
    </row>
    <row r="1932" spans="1:39" hidden="1" x14ac:dyDescent="0.3">
      <c r="A1932" s="85" t="s">
        <v>34</v>
      </c>
      <c r="B1932" s="15" t="s">
        <v>35</v>
      </c>
      <c r="C1932" s="15" t="s">
        <v>187</v>
      </c>
      <c r="D1932" s="15" t="s">
        <v>188</v>
      </c>
      <c r="E1932" s="15" t="s">
        <v>266</v>
      </c>
      <c r="F1932" s="15" t="s">
        <v>266</v>
      </c>
      <c r="G1932" s="15" t="s">
        <v>266</v>
      </c>
      <c r="H1932" s="139"/>
      <c r="I1932" s="3" t="s">
        <v>2374</v>
      </c>
      <c r="J1932" s="1" t="s">
        <v>3322</v>
      </c>
      <c r="K1932" s="1" t="s">
        <v>3269</v>
      </c>
      <c r="L1932" s="1" t="s">
        <v>35</v>
      </c>
      <c r="M1932" s="15" t="s">
        <v>2438</v>
      </c>
      <c r="N1932" s="15"/>
      <c r="O1932" s="8" t="s">
        <v>40</v>
      </c>
      <c r="P1932" s="8" t="s">
        <v>46</v>
      </c>
      <c r="Q1932" s="9">
        <v>-0.06</v>
      </c>
      <c r="R1932" s="138"/>
      <c r="T1932" s="18">
        <v>13171.470704793706</v>
      </c>
      <c r="U1932" s="4">
        <v>0</v>
      </c>
      <c r="V1932" s="4">
        <v>0</v>
      </c>
      <c r="W1932" s="13">
        <f t="shared" si="280"/>
        <v>13171.470704793706</v>
      </c>
      <c r="X1932" s="13">
        <f t="shared" si="281"/>
        <v>0</v>
      </c>
      <c r="Y1932" s="13">
        <f t="shared" si="283"/>
        <v>0</v>
      </c>
      <c r="Z1932" s="2">
        <v>0</v>
      </c>
      <c r="AA1932" s="4">
        <v>0</v>
      </c>
      <c r="AB1932" s="4">
        <f t="shared" si="284"/>
        <v>0</v>
      </c>
      <c r="AC1932" s="6">
        <f t="shared" si="285"/>
        <v>0</v>
      </c>
      <c r="AD1932" s="4">
        <v>0</v>
      </c>
      <c r="AE1932" s="2">
        <v>7.0000000000000007E-2</v>
      </c>
      <c r="AF1932" s="5">
        <f t="shared" si="286"/>
        <v>0</v>
      </c>
      <c r="AG1932" s="9">
        <v>0.46</v>
      </c>
      <c r="AH1932" s="4">
        <f t="shared" si="282"/>
        <v>0</v>
      </c>
      <c r="AJ1932" s="126" t="e">
        <v>#N/A</v>
      </c>
      <c r="AK1932" s="80">
        <f t="shared" si="287"/>
        <v>0</v>
      </c>
      <c r="AM1932" s="85"/>
    </row>
    <row r="1933" spans="1:39" hidden="1" x14ac:dyDescent="0.3">
      <c r="A1933" s="85" t="s">
        <v>34</v>
      </c>
      <c r="B1933" s="15" t="s">
        <v>35</v>
      </c>
      <c r="C1933" s="15" t="s">
        <v>187</v>
      </c>
      <c r="D1933" s="15" t="s">
        <v>188</v>
      </c>
      <c r="E1933" s="15" t="s">
        <v>189</v>
      </c>
      <c r="F1933" s="15" t="s">
        <v>2557</v>
      </c>
      <c r="G1933" s="15" t="s">
        <v>189</v>
      </c>
      <c r="H1933" s="139"/>
      <c r="I1933" s="3" t="s">
        <v>2374</v>
      </c>
      <c r="J1933" s="1" t="s">
        <v>3322</v>
      </c>
      <c r="K1933" s="1" t="s">
        <v>3269</v>
      </c>
      <c r="L1933" s="1" t="s">
        <v>35</v>
      </c>
      <c r="M1933" s="15" t="s">
        <v>2438</v>
      </c>
      <c r="N1933" s="15"/>
      <c r="O1933" s="8" t="s">
        <v>40</v>
      </c>
      <c r="P1933" s="8" t="s">
        <v>46</v>
      </c>
      <c r="Q1933" s="9">
        <v>0.11</v>
      </c>
      <c r="R1933" s="138"/>
      <c r="T1933" s="18">
        <v>-1997.87</v>
      </c>
      <c r="U1933" s="4">
        <v>0</v>
      </c>
      <c r="V1933" s="4">
        <v>0</v>
      </c>
      <c r="W1933" s="13">
        <f t="shared" si="280"/>
        <v>-1997.87</v>
      </c>
      <c r="X1933" s="13">
        <f t="shared" si="281"/>
        <v>0</v>
      </c>
      <c r="Y1933" s="13">
        <f t="shared" si="283"/>
        <v>0</v>
      </c>
      <c r="Z1933" s="2">
        <v>0</v>
      </c>
      <c r="AA1933" s="4">
        <v>0</v>
      </c>
      <c r="AB1933" s="4">
        <f t="shared" si="284"/>
        <v>0</v>
      </c>
      <c r="AC1933" s="6">
        <f t="shared" si="285"/>
        <v>0</v>
      </c>
      <c r="AD1933" s="4">
        <v>0</v>
      </c>
      <c r="AE1933" s="2">
        <v>7.0000000000000007E-2</v>
      </c>
      <c r="AF1933" s="5">
        <f t="shared" si="286"/>
        <v>0</v>
      </c>
      <c r="AG1933" s="9">
        <v>0.46</v>
      </c>
      <c r="AH1933" s="4">
        <f t="shared" si="282"/>
        <v>0</v>
      </c>
      <c r="AJ1933" s="126" t="e">
        <v>#N/A</v>
      </c>
      <c r="AK1933" s="80">
        <f t="shared" si="287"/>
        <v>0</v>
      </c>
      <c r="AM1933" s="85"/>
    </row>
    <row r="1934" spans="1:39" hidden="1" x14ac:dyDescent="0.3">
      <c r="A1934" s="85" t="s">
        <v>34</v>
      </c>
      <c r="B1934" s="15" t="s">
        <v>35</v>
      </c>
      <c r="C1934" s="15" t="s">
        <v>187</v>
      </c>
      <c r="D1934" s="15" t="s">
        <v>188</v>
      </c>
      <c r="E1934" s="15" t="s">
        <v>2558</v>
      </c>
      <c r="F1934" s="15" t="s">
        <v>2558</v>
      </c>
      <c r="G1934" s="15" t="s">
        <v>2558</v>
      </c>
      <c r="H1934" s="139"/>
      <c r="I1934" s="3" t="s">
        <v>2374</v>
      </c>
      <c r="J1934" s="1" t="s">
        <v>3322</v>
      </c>
      <c r="K1934" s="1" t="s">
        <v>3269</v>
      </c>
      <c r="L1934" s="1" t="s">
        <v>35</v>
      </c>
      <c r="M1934" s="15" t="s">
        <v>2438</v>
      </c>
      <c r="N1934" s="15"/>
      <c r="O1934" s="8" t="s">
        <v>45</v>
      </c>
      <c r="P1934" s="8" t="s">
        <v>46</v>
      </c>
      <c r="Q1934" s="9">
        <v>0.03</v>
      </c>
      <c r="R1934" s="138"/>
      <c r="T1934" s="18">
        <v>124575.60023211583</v>
      </c>
      <c r="U1934" s="4">
        <v>0</v>
      </c>
      <c r="V1934" s="4">
        <v>0</v>
      </c>
      <c r="W1934" s="13">
        <f t="shared" si="280"/>
        <v>124575.60023211583</v>
      </c>
      <c r="X1934" s="13">
        <f t="shared" si="281"/>
        <v>0</v>
      </c>
      <c r="Y1934" s="13">
        <f t="shared" si="283"/>
        <v>0</v>
      </c>
      <c r="Z1934" s="2">
        <v>0</v>
      </c>
      <c r="AA1934" s="4">
        <v>0</v>
      </c>
      <c r="AB1934" s="4">
        <f t="shared" si="284"/>
        <v>0</v>
      </c>
      <c r="AC1934" s="6">
        <f t="shared" si="285"/>
        <v>0</v>
      </c>
      <c r="AD1934" s="4">
        <v>0</v>
      </c>
      <c r="AE1934" s="2">
        <v>0.06</v>
      </c>
      <c r="AF1934" s="5">
        <f t="shared" si="286"/>
        <v>0</v>
      </c>
      <c r="AG1934" s="9">
        <v>0.37</v>
      </c>
      <c r="AH1934" s="4">
        <f t="shared" si="282"/>
        <v>0</v>
      </c>
      <c r="AJ1934" s="126" t="e">
        <v>#N/A</v>
      </c>
      <c r="AK1934" s="80">
        <f t="shared" si="287"/>
        <v>0</v>
      </c>
      <c r="AM1934" s="85"/>
    </row>
    <row r="1935" spans="1:39" hidden="1" x14ac:dyDescent="0.3">
      <c r="A1935" s="85" t="s">
        <v>34</v>
      </c>
      <c r="B1935" s="15" t="s">
        <v>35</v>
      </c>
      <c r="C1935" s="15" t="s">
        <v>187</v>
      </c>
      <c r="D1935" s="15" t="s">
        <v>188</v>
      </c>
      <c r="E1935" s="15" t="s">
        <v>279</v>
      </c>
      <c r="F1935" s="15" t="s">
        <v>279</v>
      </c>
      <c r="G1935" s="15" t="s">
        <v>279</v>
      </c>
      <c r="H1935" s="139"/>
      <c r="I1935" s="3" t="s">
        <v>2374</v>
      </c>
      <c r="J1935" s="1" t="s">
        <v>3322</v>
      </c>
      <c r="K1935" s="1" t="s">
        <v>3269</v>
      </c>
      <c r="L1935" s="1" t="s">
        <v>35</v>
      </c>
      <c r="M1935" s="15" t="s">
        <v>2438</v>
      </c>
      <c r="N1935" s="15"/>
      <c r="O1935" s="8" t="s">
        <v>45</v>
      </c>
      <c r="P1935" s="8" t="s">
        <v>46</v>
      </c>
      <c r="Q1935" s="9">
        <v>-2.0000000000000018E-2</v>
      </c>
      <c r="R1935" s="138"/>
      <c r="T1935" s="18">
        <v>12.659999999999901</v>
      </c>
      <c r="U1935" s="4">
        <v>0</v>
      </c>
      <c r="V1935" s="4">
        <v>0</v>
      </c>
      <c r="W1935" s="13">
        <f t="shared" si="280"/>
        <v>12.659999999999901</v>
      </c>
      <c r="X1935" s="13">
        <f t="shared" si="281"/>
        <v>0</v>
      </c>
      <c r="Y1935" s="13">
        <f t="shared" si="283"/>
        <v>0</v>
      </c>
      <c r="Z1935" s="2">
        <v>0</v>
      </c>
      <c r="AA1935" s="4">
        <v>0</v>
      </c>
      <c r="AB1935" s="4">
        <f t="shared" si="284"/>
        <v>0</v>
      </c>
      <c r="AC1935" s="6">
        <f t="shared" si="285"/>
        <v>0</v>
      </c>
      <c r="AD1935" s="4">
        <v>0</v>
      </c>
      <c r="AE1935" s="2">
        <v>0.06</v>
      </c>
      <c r="AF1935" s="5">
        <f t="shared" si="286"/>
        <v>0</v>
      </c>
      <c r="AG1935" s="9">
        <v>0.37</v>
      </c>
      <c r="AH1935" s="4">
        <f t="shared" si="282"/>
        <v>0</v>
      </c>
      <c r="AJ1935" s="126" t="e">
        <v>#N/A</v>
      </c>
      <c r="AK1935" s="80">
        <f t="shared" si="287"/>
        <v>0</v>
      </c>
      <c r="AM1935" s="85"/>
    </row>
    <row r="1936" spans="1:39" hidden="1" x14ac:dyDescent="0.3">
      <c r="A1936" s="85" t="s">
        <v>34</v>
      </c>
      <c r="B1936" s="15" t="s">
        <v>35</v>
      </c>
      <c r="C1936" s="15" t="s">
        <v>187</v>
      </c>
      <c r="D1936" s="15" t="s">
        <v>188</v>
      </c>
      <c r="E1936" s="15" t="s">
        <v>2559</v>
      </c>
      <c r="F1936" s="15" t="s">
        <v>2559</v>
      </c>
      <c r="G1936" s="15" t="s">
        <v>2559</v>
      </c>
      <c r="H1936" s="139"/>
      <c r="I1936" s="3" t="s">
        <v>2374</v>
      </c>
      <c r="J1936" s="1" t="s">
        <v>3322</v>
      </c>
      <c r="K1936" s="1" t="s">
        <v>3269</v>
      </c>
      <c r="L1936" s="1" t="s">
        <v>35</v>
      </c>
      <c r="M1936" s="15" t="s">
        <v>2438</v>
      </c>
      <c r="N1936" s="15"/>
      <c r="O1936" s="8" t="s">
        <v>40</v>
      </c>
      <c r="P1936" s="8" t="s">
        <v>46</v>
      </c>
      <c r="Q1936" s="9">
        <v>0.09</v>
      </c>
      <c r="R1936" s="138"/>
      <c r="T1936" s="18">
        <v>77615.606438356161</v>
      </c>
      <c r="U1936" s="4">
        <v>0</v>
      </c>
      <c r="V1936" s="4">
        <v>0</v>
      </c>
      <c r="W1936" s="13">
        <f t="shared" si="280"/>
        <v>77615.606438356161</v>
      </c>
      <c r="X1936" s="13">
        <f t="shared" si="281"/>
        <v>0</v>
      </c>
      <c r="Y1936" s="13">
        <f t="shared" si="283"/>
        <v>0</v>
      </c>
      <c r="Z1936" s="2">
        <v>0</v>
      </c>
      <c r="AA1936" s="4">
        <v>0</v>
      </c>
      <c r="AB1936" s="4">
        <f t="shared" si="284"/>
        <v>0</v>
      </c>
      <c r="AC1936" s="6">
        <f t="shared" si="285"/>
        <v>0</v>
      </c>
      <c r="AD1936" s="4">
        <v>0</v>
      </c>
      <c r="AE1936" s="2">
        <v>7.0000000000000007E-2</v>
      </c>
      <c r="AF1936" s="5">
        <f t="shared" si="286"/>
        <v>0</v>
      </c>
      <c r="AG1936" s="9">
        <v>0.46</v>
      </c>
      <c r="AH1936" s="4">
        <f t="shared" si="282"/>
        <v>0</v>
      </c>
      <c r="AJ1936" s="126" t="e">
        <v>#N/A</v>
      </c>
      <c r="AK1936" s="80">
        <f t="shared" si="287"/>
        <v>0</v>
      </c>
      <c r="AM1936" s="85"/>
    </row>
    <row r="1937" spans="1:39" hidden="1" x14ac:dyDescent="0.3">
      <c r="A1937" s="85" t="s">
        <v>34</v>
      </c>
      <c r="B1937" s="15" t="s">
        <v>35</v>
      </c>
      <c r="C1937" s="15" t="s">
        <v>187</v>
      </c>
      <c r="D1937" s="15" t="s">
        <v>188</v>
      </c>
      <c r="E1937" s="15" t="s">
        <v>2560</v>
      </c>
      <c r="F1937" s="15" t="s">
        <v>2560</v>
      </c>
      <c r="G1937" s="15" t="s">
        <v>2560</v>
      </c>
      <c r="H1937" s="139"/>
      <c r="I1937" s="3" t="s">
        <v>2374</v>
      </c>
      <c r="J1937" s="1" t="s">
        <v>3322</v>
      </c>
      <c r="K1937" s="1" t="s">
        <v>3269</v>
      </c>
      <c r="L1937" s="1" t="s">
        <v>35</v>
      </c>
      <c r="M1937" s="15" t="s">
        <v>2438</v>
      </c>
      <c r="N1937" s="15"/>
      <c r="O1937" s="8" t="s">
        <v>45</v>
      </c>
      <c r="P1937" s="8" t="s">
        <v>46</v>
      </c>
      <c r="Q1937" s="9">
        <v>0.03</v>
      </c>
      <c r="R1937" s="138"/>
      <c r="T1937" s="18">
        <v>2505.8718978102197</v>
      </c>
      <c r="U1937" s="4">
        <v>0</v>
      </c>
      <c r="V1937" s="4">
        <v>0</v>
      </c>
      <c r="W1937" s="13">
        <f t="shared" si="280"/>
        <v>2505.8718978102197</v>
      </c>
      <c r="X1937" s="13">
        <f t="shared" si="281"/>
        <v>0</v>
      </c>
      <c r="Y1937" s="13">
        <f t="shared" si="283"/>
        <v>0</v>
      </c>
      <c r="Z1937" s="2">
        <v>0</v>
      </c>
      <c r="AA1937" s="4">
        <v>0</v>
      </c>
      <c r="AB1937" s="4">
        <f t="shared" si="284"/>
        <v>0</v>
      </c>
      <c r="AC1937" s="6">
        <f t="shared" si="285"/>
        <v>0</v>
      </c>
      <c r="AD1937" s="4">
        <v>0</v>
      </c>
      <c r="AE1937" s="2">
        <v>0.06</v>
      </c>
      <c r="AF1937" s="5">
        <f t="shared" si="286"/>
        <v>0</v>
      </c>
      <c r="AG1937" s="9">
        <v>0.37</v>
      </c>
      <c r="AH1937" s="4">
        <f t="shared" si="282"/>
        <v>0</v>
      </c>
      <c r="AJ1937" s="126" t="e">
        <v>#N/A</v>
      </c>
      <c r="AK1937" s="80">
        <f t="shared" si="287"/>
        <v>0</v>
      </c>
      <c r="AM1937" s="85"/>
    </row>
    <row r="1938" spans="1:39" hidden="1" x14ac:dyDescent="0.3">
      <c r="A1938" s="85" t="s">
        <v>34</v>
      </c>
      <c r="B1938" s="15" t="s">
        <v>35</v>
      </c>
      <c r="C1938" s="15" t="s">
        <v>187</v>
      </c>
      <c r="D1938" s="15" t="s">
        <v>188</v>
      </c>
      <c r="E1938" s="15" t="s">
        <v>248</v>
      </c>
      <c r="F1938" s="15" t="s">
        <v>248</v>
      </c>
      <c r="G1938" s="15" t="s">
        <v>248</v>
      </c>
      <c r="H1938" s="139"/>
      <c r="I1938" s="3" t="s">
        <v>2374</v>
      </c>
      <c r="J1938" s="1" t="s">
        <v>3322</v>
      </c>
      <c r="K1938" s="1" t="s">
        <v>3269</v>
      </c>
      <c r="L1938" s="1" t="s">
        <v>35</v>
      </c>
      <c r="M1938" s="15" t="s">
        <v>2438</v>
      </c>
      <c r="N1938" s="15"/>
      <c r="O1938" s="8" t="s">
        <v>45</v>
      </c>
      <c r="P1938" s="8" t="s">
        <v>46</v>
      </c>
      <c r="Q1938" s="9">
        <v>-2.0000000000000018E-2</v>
      </c>
      <c r="R1938" s="138"/>
      <c r="T1938" s="18">
        <v>45.723699999998644</v>
      </c>
      <c r="U1938" s="4">
        <v>0</v>
      </c>
      <c r="V1938" s="4">
        <v>0</v>
      </c>
      <c r="W1938" s="13">
        <f t="shared" si="280"/>
        <v>45.723699999998644</v>
      </c>
      <c r="X1938" s="13">
        <f t="shared" si="281"/>
        <v>0</v>
      </c>
      <c r="Y1938" s="13">
        <f t="shared" si="283"/>
        <v>0</v>
      </c>
      <c r="Z1938" s="2">
        <v>0</v>
      </c>
      <c r="AA1938" s="4">
        <v>0</v>
      </c>
      <c r="AB1938" s="4">
        <f t="shared" si="284"/>
        <v>0</v>
      </c>
      <c r="AC1938" s="6">
        <f t="shared" si="285"/>
        <v>0</v>
      </c>
      <c r="AD1938" s="4">
        <v>0</v>
      </c>
      <c r="AE1938" s="2">
        <v>0.06</v>
      </c>
      <c r="AF1938" s="5">
        <f t="shared" si="286"/>
        <v>0</v>
      </c>
      <c r="AG1938" s="9">
        <v>0.37</v>
      </c>
      <c r="AH1938" s="4">
        <f t="shared" si="282"/>
        <v>0</v>
      </c>
      <c r="AJ1938" s="126" t="e">
        <v>#N/A</v>
      </c>
      <c r="AK1938" s="80">
        <f t="shared" si="287"/>
        <v>0</v>
      </c>
      <c r="AM1938" s="85"/>
    </row>
    <row r="1939" spans="1:39" hidden="1" x14ac:dyDescent="0.3">
      <c r="A1939" s="85" t="s">
        <v>34</v>
      </c>
      <c r="B1939" s="15" t="s">
        <v>35</v>
      </c>
      <c r="C1939" s="15" t="s">
        <v>187</v>
      </c>
      <c r="D1939" s="15" t="s">
        <v>188</v>
      </c>
      <c r="E1939" s="15" t="s">
        <v>248</v>
      </c>
      <c r="F1939" s="15" t="s">
        <v>248</v>
      </c>
      <c r="G1939" s="15" t="s">
        <v>248</v>
      </c>
      <c r="H1939" s="139"/>
      <c r="I1939" s="3" t="s">
        <v>2374</v>
      </c>
      <c r="J1939" s="1" t="s">
        <v>3322</v>
      </c>
      <c r="K1939" s="1" t="s">
        <v>3269</v>
      </c>
      <c r="L1939" s="1" t="s">
        <v>35</v>
      </c>
      <c r="M1939" s="15" t="s">
        <v>2438</v>
      </c>
      <c r="N1939" s="15"/>
      <c r="O1939" s="8" t="s">
        <v>45</v>
      </c>
      <c r="P1939" s="8" t="s">
        <v>46</v>
      </c>
      <c r="Q1939" s="9">
        <v>0.03</v>
      </c>
      <c r="R1939" s="138"/>
      <c r="T1939" s="18">
        <v>-49.886204379432456</v>
      </c>
      <c r="U1939" s="4">
        <v>0</v>
      </c>
      <c r="V1939" s="4">
        <v>0</v>
      </c>
      <c r="W1939" s="13">
        <f t="shared" si="280"/>
        <v>-49.886204379432456</v>
      </c>
      <c r="X1939" s="13">
        <f t="shared" si="281"/>
        <v>0</v>
      </c>
      <c r="Y1939" s="13">
        <f t="shared" si="283"/>
        <v>0</v>
      </c>
      <c r="Z1939" s="2">
        <v>0</v>
      </c>
      <c r="AA1939" s="4">
        <v>0</v>
      </c>
      <c r="AB1939" s="4">
        <f t="shared" si="284"/>
        <v>0</v>
      </c>
      <c r="AC1939" s="6">
        <f t="shared" si="285"/>
        <v>0</v>
      </c>
      <c r="AD1939" s="4">
        <v>0</v>
      </c>
      <c r="AE1939" s="2">
        <v>0.06</v>
      </c>
      <c r="AF1939" s="5">
        <f t="shared" si="286"/>
        <v>0</v>
      </c>
      <c r="AG1939" s="9">
        <v>0.37</v>
      </c>
      <c r="AH1939" s="4">
        <f t="shared" si="282"/>
        <v>0</v>
      </c>
      <c r="AJ1939" s="126" t="e">
        <v>#N/A</v>
      </c>
      <c r="AK1939" s="80">
        <f t="shared" si="287"/>
        <v>0</v>
      </c>
      <c r="AM1939" s="85"/>
    </row>
    <row r="1940" spans="1:39" hidden="1" x14ac:dyDescent="0.3">
      <c r="A1940" s="85" t="s">
        <v>34</v>
      </c>
      <c r="B1940" s="15" t="s">
        <v>35</v>
      </c>
      <c r="C1940" s="15" t="s">
        <v>187</v>
      </c>
      <c r="D1940" s="15" t="s">
        <v>188</v>
      </c>
      <c r="E1940" s="15" t="s">
        <v>205</v>
      </c>
      <c r="F1940" s="15" t="s">
        <v>205</v>
      </c>
      <c r="G1940" s="15" t="s">
        <v>205</v>
      </c>
      <c r="H1940" s="154"/>
      <c r="I1940" s="3" t="s">
        <v>2374</v>
      </c>
      <c r="J1940" s="1" t="s">
        <v>3322</v>
      </c>
      <c r="K1940" s="1" t="s">
        <v>3269</v>
      </c>
      <c r="L1940" s="1" t="s">
        <v>35</v>
      </c>
      <c r="M1940" s="15" t="s">
        <v>2438</v>
      </c>
      <c r="N1940" s="15"/>
      <c r="O1940" s="8" t="s">
        <v>40</v>
      </c>
      <c r="P1940" s="8" t="s">
        <v>46</v>
      </c>
      <c r="Q1940" s="9">
        <v>0.03</v>
      </c>
      <c r="R1940" s="138"/>
      <c r="T1940" s="18">
        <v>28698.233999999473</v>
      </c>
      <c r="U1940" s="4">
        <v>0</v>
      </c>
      <c r="V1940" s="18">
        <v>28698.233999999473</v>
      </c>
      <c r="W1940" s="13">
        <f t="shared" si="280"/>
        <v>0</v>
      </c>
      <c r="X1940" s="13">
        <f t="shared" si="281"/>
        <v>20068.695104894734</v>
      </c>
      <c r="Y1940" s="13">
        <f t="shared" si="283"/>
        <v>20068.695104894734</v>
      </c>
      <c r="Z1940" s="2">
        <v>0</v>
      </c>
      <c r="AA1940" s="4">
        <v>0</v>
      </c>
      <c r="AB1940" s="4">
        <f t="shared" si="284"/>
        <v>20068.695104894734</v>
      </c>
      <c r="AC1940" s="6">
        <f t="shared" si="285"/>
        <v>8629.5388951047389</v>
      </c>
      <c r="AD1940" s="4">
        <v>0</v>
      </c>
      <c r="AE1940" s="2">
        <v>7.0000000000000007E-2</v>
      </c>
      <c r="AF1940" s="5">
        <f t="shared" si="286"/>
        <v>0</v>
      </c>
      <c r="AG1940" s="9">
        <v>0.4</v>
      </c>
      <c r="AH1940" s="4">
        <f t="shared" si="282"/>
        <v>20498.738571428195</v>
      </c>
      <c r="AJ1940" s="126" t="e">
        <v>#N/A</v>
      </c>
      <c r="AK1940" s="80">
        <f t="shared" si="287"/>
        <v>0</v>
      </c>
      <c r="AM1940" s="85"/>
    </row>
    <row r="1941" spans="1:39" hidden="1" x14ac:dyDescent="0.3">
      <c r="A1941" s="85" t="s">
        <v>34</v>
      </c>
      <c r="B1941" s="15" t="s">
        <v>35</v>
      </c>
      <c r="C1941" s="15" t="s">
        <v>187</v>
      </c>
      <c r="D1941" s="15" t="s">
        <v>188</v>
      </c>
      <c r="E1941" s="15" t="s">
        <v>2561</v>
      </c>
      <c r="F1941" s="15" t="s">
        <v>2561</v>
      </c>
      <c r="G1941" s="15" t="s">
        <v>2561</v>
      </c>
      <c r="H1941" s="139"/>
      <c r="I1941" s="3" t="s">
        <v>2374</v>
      </c>
      <c r="J1941" s="1" t="s">
        <v>3322</v>
      </c>
      <c r="K1941" s="1" t="s">
        <v>3269</v>
      </c>
      <c r="L1941" s="1" t="s">
        <v>35</v>
      </c>
      <c r="M1941" s="15" t="s">
        <v>2438</v>
      </c>
      <c r="N1941" s="15"/>
      <c r="O1941" s="8" t="s">
        <v>40</v>
      </c>
      <c r="P1941" s="8" t="s">
        <v>46</v>
      </c>
      <c r="Q1941" s="9">
        <v>0.04</v>
      </c>
      <c r="R1941" s="138"/>
      <c r="T1941" s="18">
        <v>0.05</v>
      </c>
      <c r="U1941" s="4">
        <v>0</v>
      </c>
      <c r="V1941" s="4">
        <v>0</v>
      </c>
      <c r="W1941" s="13">
        <f t="shared" si="280"/>
        <v>0.05</v>
      </c>
      <c r="X1941" s="13">
        <f t="shared" si="281"/>
        <v>0</v>
      </c>
      <c r="Y1941" s="13">
        <f t="shared" si="283"/>
        <v>0</v>
      </c>
      <c r="Z1941" s="2">
        <v>0</v>
      </c>
      <c r="AA1941" s="4">
        <v>0</v>
      </c>
      <c r="AB1941" s="4">
        <f t="shared" si="284"/>
        <v>0</v>
      </c>
      <c r="AC1941" s="6">
        <f t="shared" si="285"/>
        <v>0</v>
      </c>
      <c r="AD1941" s="4">
        <v>0</v>
      </c>
      <c r="AE1941" s="2">
        <v>7.0000000000000007E-2</v>
      </c>
      <c r="AF1941" s="5">
        <f t="shared" si="286"/>
        <v>0</v>
      </c>
      <c r="AG1941" s="9">
        <v>0.41</v>
      </c>
      <c r="AH1941" s="4">
        <f t="shared" si="282"/>
        <v>0</v>
      </c>
      <c r="AJ1941" s="126" t="e">
        <v>#N/A</v>
      </c>
      <c r="AK1941" s="80">
        <f t="shared" si="287"/>
        <v>0</v>
      </c>
      <c r="AM1941" s="85"/>
    </row>
    <row r="1942" spans="1:39" hidden="1" x14ac:dyDescent="0.3">
      <c r="A1942" s="85" t="s">
        <v>34</v>
      </c>
      <c r="B1942" s="15" t="s">
        <v>35</v>
      </c>
      <c r="C1942" s="15" t="s">
        <v>187</v>
      </c>
      <c r="D1942" s="15" t="s">
        <v>188</v>
      </c>
      <c r="E1942" s="15" t="s">
        <v>2562</v>
      </c>
      <c r="F1942" s="15" t="s">
        <v>2562</v>
      </c>
      <c r="G1942" s="15" t="s">
        <v>2562</v>
      </c>
      <c r="H1942" s="139"/>
      <c r="I1942" s="3" t="s">
        <v>2374</v>
      </c>
      <c r="J1942" s="1" t="s">
        <v>3322</v>
      </c>
      <c r="K1942" s="1" t="s">
        <v>3269</v>
      </c>
      <c r="L1942" s="1" t="s">
        <v>35</v>
      </c>
      <c r="M1942" s="15" t="s">
        <v>2438</v>
      </c>
      <c r="N1942" s="15"/>
      <c r="O1942" s="8" t="s">
        <v>45</v>
      </c>
      <c r="P1942" s="8" t="s">
        <v>46</v>
      </c>
      <c r="Q1942" s="9">
        <v>0.03</v>
      </c>
      <c r="R1942" s="138"/>
      <c r="T1942" s="18">
        <v>27969.793795620441</v>
      </c>
      <c r="U1942" s="4">
        <v>0</v>
      </c>
      <c r="V1942" s="4">
        <v>0</v>
      </c>
      <c r="W1942" s="13">
        <f t="shared" si="280"/>
        <v>27969.793795620441</v>
      </c>
      <c r="X1942" s="13">
        <f t="shared" si="281"/>
        <v>0</v>
      </c>
      <c r="Y1942" s="13">
        <f t="shared" si="283"/>
        <v>0</v>
      </c>
      <c r="Z1942" s="2">
        <v>0</v>
      </c>
      <c r="AA1942" s="4">
        <v>0</v>
      </c>
      <c r="AB1942" s="4">
        <f t="shared" si="284"/>
        <v>0</v>
      </c>
      <c r="AC1942" s="6">
        <f t="shared" si="285"/>
        <v>0</v>
      </c>
      <c r="AD1942" s="4">
        <v>0</v>
      </c>
      <c r="AE1942" s="2">
        <v>0.06</v>
      </c>
      <c r="AF1942" s="5">
        <f t="shared" si="286"/>
        <v>0</v>
      </c>
      <c r="AG1942" s="9">
        <v>0.37</v>
      </c>
      <c r="AH1942" s="4">
        <f t="shared" si="282"/>
        <v>0</v>
      </c>
      <c r="AJ1942" s="126" t="e">
        <v>#N/A</v>
      </c>
      <c r="AK1942" s="80">
        <f t="shared" si="287"/>
        <v>0</v>
      </c>
      <c r="AM1942" s="85"/>
    </row>
    <row r="1943" spans="1:39" hidden="1" x14ac:dyDescent="0.3">
      <c r="A1943" s="85" t="s">
        <v>34</v>
      </c>
      <c r="B1943" s="15" t="s">
        <v>35</v>
      </c>
      <c r="C1943" s="15" t="s">
        <v>187</v>
      </c>
      <c r="D1943" s="15" t="s">
        <v>208</v>
      </c>
      <c r="E1943" s="15" t="s">
        <v>2563</v>
      </c>
      <c r="F1943" s="15" t="s">
        <v>2563</v>
      </c>
      <c r="G1943" s="15" t="s">
        <v>2563</v>
      </c>
      <c r="H1943" s="139"/>
      <c r="I1943" s="3" t="s">
        <v>2374</v>
      </c>
      <c r="J1943" s="1" t="s">
        <v>3322</v>
      </c>
      <c r="K1943" s="1" t="s">
        <v>3269</v>
      </c>
      <c r="L1943" s="1" t="s">
        <v>35</v>
      </c>
      <c r="M1943" s="15" t="s">
        <v>2438</v>
      </c>
      <c r="N1943" s="15"/>
      <c r="O1943" s="8" t="s">
        <v>40</v>
      </c>
      <c r="P1943" s="8" t="s">
        <v>46</v>
      </c>
      <c r="Q1943" s="9">
        <v>0.01</v>
      </c>
      <c r="R1943" s="138"/>
      <c r="T1943" s="18">
        <v>-56746.807504651188</v>
      </c>
      <c r="U1943" s="4">
        <v>0</v>
      </c>
      <c r="V1943" s="4">
        <v>0</v>
      </c>
      <c r="W1943" s="13">
        <f t="shared" si="280"/>
        <v>-56746.807504651188</v>
      </c>
      <c r="X1943" s="13">
        <f t="shared" si="281"/>
        <v>0</v>
      </c>
      <c r="Y1943" s="13">
        <f t="shared" si="283"/>
        <v>0</v>
      </c>
      <c r="Z1943" s="2">
        <v>0</v>
      </c>
      <c r="AA1943" s="4">
        <v>0</v>
      </c>
      <c r="AB1943" s="4">
        <f t="shared" si="284"/>
        <v>0</v>
      </c>
      <c r="AC1943" s="6">
        <f t="shared" si="285"/>
        <v>0</v>
      </c>
      <c r="AD1943" s="4">
        <v>0</v>
      </c>
      <c r="AE1943" s="2">
        <v>7.0000000000000007E-2</v>
      </c>
      <c r="AF1943" s="5">
        <f t="shared" si="286"/>
        <v>0</v>
      </c>
      <c r="AG1943" s="9">
        <v>0.4</v>
      </c>
      <c r="AH1943" s="4">
        <f t="shared" si="282"/>
        <v>0</v>
      </c>
      <c r="AJ1943" s="126" t="e">
        <v>#N/A</v>
      </c>
      <c r="AK1943" s="80">
        <f t="shared" si="287"/>
        <v>0</v>
      </c>
      <c r="AM1943" s="85"/>
    </row>
    <row r="1944" spans="1:39" hidden="1" x14ac:dyDescent="0.3">
      <c r="A1944" s="85" t="s">
        <v>34</v>
      </c>
      <c r="B1944" s="15" t="s">
        <v>35</v>
      </c>
      <c r="C1944" s="15" t="s">
        <v>187</v>
      </c>
      <c r="D1944" s="15" t="s">
        <v>208</v>
      </c>
      <c r="E1944" s="15" t="s">
        <v>2457</v>
      </c>
      <c r="F1944" s="15" t="s">
        <v>2457</v>
      </c>
      <c r="G1944" s="15" t="s">
        <v>2457</v>
      </c>
      <c r="H1944" s="139"/>
      <c r="I1944" s="3" t="s">
        <v>2374</v>
      </c>
      <c r="J1944" s="1" t="s">
        <v>3322</v>
      </c>
      <c r="K1944" s="1" t="s">
        <v>3269</v>
      </c>
      <c r="L1944" s="1" t="s">
        <v>35</v>
      </c>
      <c r="M1944" s="15" t="s">
        <v>2438</v>
      </c>
      <c r="N1944" s="15"/>
      <c r="O1944" s="8" t="s">
        <v>45</v>
      </c>
      <c r="P1944" s="8" t="s">
        <v>46</v>
      </c>
      <c r="Q1944" s="9">
        <v>-2.0000000000000018E-2</v>
      </c>
      <c r="R1944" s="138"/>
      <c r="T1944" s="18">
        <v>-3481.5356934388265</v>
      </c>
      <c r="U1944" s="4">
        <v>0</v>
      </c>
      <c r="V1944" s="4">
        <v>0</v>
      </c>
      <c r="W1944" s="13">
        <f t="shared" si="280"/>
        <v>-3481.5356934388265</v>
      </c>
      <c r="X1944" s="13">
        <f t="shared" si="281"/>
        <v>0</v>
      </c>
      <c r="Y1944" s="13">
        <f t="shared" si="283"/>
        <v>0</v>
      </c>
      <c r="Z1944" s="2">
        <v>0</v>
      </c>
      <c r="AA1944" s="4">
        <v>0</v>
      </c>
      <c r="AB1944" s="4">
        <f t="shared" si="284"/>
        <v>0</v>
      </c>
      <c r="AC1944" s="6">
        <f t="shared" si="285"/>
        <v>0</v>
      </c>
      <c r="AD1944" s="4">
        <v>0</v>
      </c>
      <c r="AE1944" s="2">
        <v>0.06</v>
      </c>
      <c r="AF1944" s="5">
        <f t="shared" si="286"/>
        <v>0</v>
      </c>
      <c r="AG1944" s="9">
        <v>0.37</v>
      </c>
      <c r="AH1944" s="4">
        <f t="shared" si="282"/>
        <v>0</v>
      </c>
      <c r="AJ1944" s="126" t="e">
        <v>#N/A</v>
      </c>
      <c r="AK1944" s="80">
        <f t="shared" si="287"/>
        <v>0</v>
      </c>
      <c r="AM1944" s="85"/>
    </row>
    <row r="1945" spans="1:39" hidden="1" x14ac:dyDescent="0.3">
      <c r="A1945" s="85" t="s">
        <v>34</v>
      </c>
      <c r="B1945" s="15" t="s">
        <v>35</v>
      </c>
      <c r="C1945" s="15" t="s">
        <v>187</v>
      </c>
      <c r="D1945" s="15" t="s">
        <v>208</v>
      </c>
      <c r="E1945" s="15" t="s">
        <v>2564</v>
      </c>
      <c r="F1945" s="15" t="s">
        <v>2565</v>
      </c>
      <c r="G1945" s="15" t="s">
        <v>2564</v>
      </c>
      <c r="H1945" s="139"/>
      <c r="I1945" s="3" t="s">
        <v>2374</v>
      </c>
      <c r="J1945" s="1" t="s">
        <v>3322</v>
      </c>
      <c r="K1945" s="1" t="s">
        <v>3269</v>
      </c>
      <c r="L1945" s="1" t="s">
        <v>35</v>
      </c>
      <c r="M1945" s="15" t="s">
        <v>2438</v>
      </c>
      <c r="N1945" s="15"/>
      <c r="O1945" s="8" t="s">
        <v>40</v>
      </c>
      <c r="P1945" s="8" t="s">
        <v>46</v>
      </c>
      <c r="Q1945" s="9">
        <v>0.06</v>
      </c>
      <c r="R1945" s="138"/>
      <c r="T1945" s="18">
        <v>0.16800000070361421</v>
      </c>
      <c r="U1945" s="4">
        <v>0</v>
      </c>
      <c r="V1945" s="4">
        <v>0</v>
      </c>
      <c r="W1945" s="13">
        <f t="shared" si="280"/>
        <v>0.16800000070361421</v>
      </c>
      <c r="X1945" s="13">
        <f t="shared" si="281"/>
        <v>0</v>
      </c>
      <c r="Y1945" s="13">
        <f t="shared" si="283"/>
        <v>0</v>
      </c>
      <c r="Z1945" s="2">
        <v>0</v>
      </c>
      <c r="AA1945" s="4">
        <v>0</v>
      </c>
      <c r="AB1945" s="4">
        <f t="shared" si="284"/>
        <v>0</v>
      </c>
      <c r="AC1945" s="6">
        <f t="shared" si="285"/>
        <v>0</v>
      </c>
      <c r="AD1945" s="4">
        <v>0</v>
      </c>
      <c r="AE1945" s="2">
        <v>7.0000000000000007E-2</v>
      </c>
      <c r="AF1945" s="5">
        <f t="shared" si="286"/>
        <v>0</v>
      </c>
      <c r="AG1945" s="9">
        <v>0.46</v>
      </c>
      <c r="AH1945" s="4">
        <f t="shared" si="282"/>
        <v>0</v>
      </c>
      <c r="AJ1945" s="126" t="e">
        <v>#N/A</v>
      </c>
      <c r="AK1945" s="80">
        <f t="shared" si="287"/>
        <v>0</v>
      </c>
      <c r="AM1945" s="85"/>
    </row>
    <row r="1946" spans="1:39" hidden="1" x14ac:dyDescent="0.3">
      <c r="A1946" s="85" t="s">
        <v>34</v>
      </c>
      <c r="B1946" s="15" t="s">
        <v>35</v>
      </c>
      <c r="C1946" s="15" t="s">
        <v>187</v>
      </c>
      <c r="D1946" s="15" t="s">
        <v>208</v>
      </c>
      <c r="E1946" s="15" t="s">
        <v>2461</v>
      </c>
      <c r="F1946" s="15" t="s">
        <v>2461</v>
      </c>
      <c r="G1946" s="15" t="s">
        <v>2461</v>
      </c>
      <c r="H1946" s="139"/>
      <c r="I1946" s="3" t="s">
        <v>2374</v>
      </c>
      <c r="J1946" s="1" t="s">
        <v>3322</v>
      </c>
      <c r="K1946" s="1" t="s">
        <v>3269</v>
      </c>
      <c r="L1946" s="1" t="s">
        <v>35</v>
      </c>
      <c r="M1946" s="15" t="s">
        <v>2438</v>
      </c>
      <c r="N1946" s="15"/>
      <c r="O1946" s="8" t="s">
        <v>40</v>
      </c>
      <c r="P1946" s="8" t="s">
        <v>46</v>
      </c>
      <c r="Q1946" s="9">
        <v>0.09</v>
      </c>
      <c r="R1946" s="138"/>
      <c r="T1946" s="18">
        <v>61137.986145203991</v>
      </c>
      <c r="U1946" s="4">
        <v>0</v>
      </c>
      <c r="V1946" s="4">
        <v>0</v>
      </c>
      <c r="W1946" s="13">
        <f t="shared" si="280"/>
        <v>61137.986145203991</v>
      </c>
      <c r="X1946" s="13">
        <f t="shared" si="281"/>
        <v>0</v>
      </c>
      <c r="Y1946" s="13">
        <f t="shared" si="283"/>
        <v>0</v>
      </c>
      <c r="Z1946" s="2">
        <v>0</v>
      </c>
      <c r="AA1946" s="4">
        <v>0</v>
      </c>
      <c r="AB1946" s="4">
        <f t="shared" si="284"/>
        <v>0</v>
      </c>
      <c r="AC1946" s="6">
        <f t="shared" si="285"/>
        <v>0</v>
      </c>
      <c r="AD1946" s="4">
        <v>0</v>
      </c>
      <c r="AE1946" s="2">
        <v>7.0000000000000007E-2</v>
      </c>
      <c r="AF1946" s="5">
        <f t="shared" si="286"/>
        <v>0</v>
      </c>
      <c r="AG1946" s="9">
        <v>0.46</v>
      </c>
      <c r="AH1946" s="4">
        <f t="shared" si="282"/>
        <v>0</v>
      </c>
      <c r="AJ1946" s="126" t="e">
        <v>#N/A</v>
      </c>
      <c r="AK1946" s="80">
        <f t="shared" si="287"/>
        <v>0</v>
      </c>
      <c r="AM1946" s="85"/>
    </row>
    <row r="1947" spans="1:39" hidden="1" x14ac:dyDescent="0.3">
      <c r="A1947" s="85" t="s">
        <v>34</v>
      </c>
      <c r="B1947" s="15" t="s">
        <v>35</v>
      </c>
      <c r="C1947" s="15" t="s">
        <v>187</v>
      </c>
      <c r="D1947" s="15" t="s">
        <v>208</v>
      </c>
      <c r="E1947" s="15" t="s">
        <v>2554</v>
      </c>
      <c r="F1947" s="15" t="s">
        <v>2554</v>
      </c>
      <c r="G1947" s="15" t="s">
        <v>2554</v>
      </c>
      <c r="H1947" s="139"/>
      <c r="I1947" s="3" t="s">
        <v>2374</v>
      </c>
      <c r="J1947" s="1" t="s">
        <v>3322</v>
      </c>
      <c r="K1947" s="1" t="s">
        <v>3269</v>
      </c>
      <c r="L1947" s="1" t="s">
        <v>35</v>
      </c>
      <c r="M1947" s="15" t="s">
        <v>2438</v>
      </c>
      <c r="N1947" s="15"/>
      <c r="O1947" s="8" t="s">
        <v>40</v>
      </c>
      <c r="P1947" s="8" t="s">
        <v>46</v>
      </c>
      <c r="Q1947" s="9">
        <v>-0.06</v>
      </c>
      <c r="R1947" s="138"/>
      <c r="T1947" s="18">
        <v>14000</v>
      </c>
      <c r="U1947" s="4">
        <v>0</v>
      </c>
      <c r="V1947" s="4">
        <v>0</v>
      </c>
      <c r="W1947" s="13">
        <f t="shared" si="280"/>
        <v>14000</v>
      </c>
      <c r="X1947" s="13">
        <f t="shared" si="281"/>
        <v>0</v>
      </c>
      <c r="Y1947" s="13">
        <f t="shared" si="283"/>
        <v>0</v>
      </c>
      <c r="Z1947" s="2">
        <v>0</v>
      </c>
      <c r="AA1947" s="4">
        <v>0</v>
      </c>
      <c r="AB1947" s="4">
        <f t="shared" si="284"/>
        <v>0</v>
      </c>
      <c r="AC1947" s="6">
        <f t="shared" si="285"/>
        <v>0</v>
      </c>
      <c r="AD1947" s="4">
        <v>0</v>
      </c>
      <c r="AE1947" s="2">
        <v>7.0000000000000007E-2</v>
      </c>
      <c r="AF1947" s="5">
        <f t="shared" si="286"/>
        <v>0</v>
      </c>
      <c r="AG1947" s="9">
        <v>0.46</v>
      </c>
      <c r="AH1947" s="4">
        <f t="shared" si="282"/>
        <v>0</v>
      </c>
      <c r="AJ1947" s="126" t="e">
        <v>#N/A</v>
      </c>
      <c r="AK1947" s="80">
        <f t="shared" si="287"/>
        <v>0</v>
      </c>
      <c r="AM1947" s="85"/>
    </row>
    <row r="1948" spans="1:39" hidden="1" x14ac:dyDescent="0.3">
      <c r="A1948" s="85" t="s">
        <v>34</v>
      </c>
      <c r="B1948" s="15" t="s">
        <v>35</v>
      </c>
      <c r="C1948" s="15" t="s">
        <v>187</v>
      </c>
      <c r="D1948" s="15" t="s">
        <v>208</v>
      </c>
      <c r="E1948" s="15" t="s">
        <v>294</v>
      </c>
      <c r="F1948" s="15" t="s">
        <v>294</v>
      </c>
      <c r="G1948" s="15" t="s">
        <v>294</v>
      </c>
      <c r="H1948" s="139"/>
      <c r="I1948" s="3" t="s">
        <v>2374</v>
      </c>
      <c r="J1948" s="1" t="s">
        <v>3322</v>
      </c>
      <c r="K1948" s="1" t="s">
        <v>3269</v>
      </c>
      <c r="L1948" s="1" t="s">
        <v>35</v>
      </c>
      <c r="M1948" s="15" t="s">
        <v>2438</v>
      </c>
      <c r="N1948" s="15"/>
      <c r="O1948" s="8" t="s">
        <v>40</v>
      </c>
      <c r="P1948" s="8" t="s">
        <v>46</v>
      </c>
      <c r="Q1948" s="9">
        <v>0.06</v>
      </c>
      <c r="R1948" s="138"/>
      <c r="T1948" s="18">
        <v>22187.300465756074</v>
      </c>
      <c r="U1948" s="4">
        <v>0</v>
      </c>
      <c r="V1948" s="4">
        <v>0</v>
      </c>
      <c r="W1948" s="13">
        <f t="shared" si="280"/>
        <v>22187.300465756074</v>
      </c>
      <c r="X1948" s="13">
        <f t="shared" si="281"/>
        <v>0</v>
      </c>
      <c r="Y1948" s="13">
        <f t="shared" si="283"/>
        <v>0</v>
      </c>
      <c r="Z1948" s="2">
        <v>0</v>
      </c>
      <c r="AA1948" s="4">
        <v>0</v>
      </c>
      <c r="AB1948" s="4">
        <f t="shared" si="284"/>
        <v>0</v>
      </c>
      <c r="AC1948" s="6">
        <f t="shared" si="285"/>
        <v>0</v>
      </c>
      <c r="AD1948" s="4">
        <v>0</v>
      </c>
      <c r="AE1948" s="2">
        <v>7.0000000000000007E-2</v>
      </c>
      <c r="AF1948" s="5">
        <f t="shared" si="286"/>
        <v>0</v>
      </c>
      <c r="AG1948" s="9">
        <v>0.46</v>
      </c>
      <c r="AH1948" s="4">
        <f t="shared" si="282"/>
        <v>0</v>
      </c>
      <c r="AJ1948" s="126" t="e">
        <v>#N/A</v>
      </c>
      <c r="AK1948" s="80">
        <f t="shared" si="287"/>
        <v>0</v>
      </c>
      <c r="AM1948" s="85"/>
    </row>
    <row r="1949" spans="1:39" hidden="1" x14ac:dyDescent="0.3">
      <c r="A1949" s="85" t="s">
        <v>34</v>
      </c>
      <c r="B1949" s="15" t="s">
        <v>35</v>
      </c>
      <c r="C1949" s="15" t="s">
        <v>187</v>
      </c>
      <c r="D1949" s="15" t="s">
        <v>208</v>
      </c>
      <c r="E1949" s="15" t="s">
        <v>2566</v>
      </c>
      <c r="F1949" s="15" t="s">
        <v>2566</v>
      </c>
      <c r="G1949" s="15" t="s">
        <v>2566</v>
      </c>
      <c r="H1949" s="139"/>
      <c r="I1949" s="3" t="s">
        <v>2374</v>
      </c>
      <c r="J1949" s="1" t="s">
        <v>3322</v>
      </c>
      <c r="K1949" s="1" t="s">
        <v>3269</v>
      </c>
      <c r="L1949" s="1" t="s">
        <v>35</v>
      </c>
      <c r="M1949" s="15" t="s">
        <v>2438</v>
      </c>
      <c r="N1949" s="15"/>
      <c r="O1949" s="8" t="s">
        <v>40</v>
      </c>
      <c r="P1949" s="8" t="s">
        <v>46</v>
      </c>
      <c r="Q1949" s="9">
        <v>0.09</v>
      </c>
      <c r="R1949" s="138"/>
      <c r="T1949" s="18">
        <v>4.0000000793952495E-2</v>
      </c>
      <c r="U1949" s="4">
        <v>0</v>
      </c>
      <c r="V1949" s="4">
        <v>0</v>
      </c>
      <c r="W1949" s="13">
        <f t="shared" si="280"/>
        <v>4.0000000793952495E-2</v>
      </c>
      <c r="X1949" s="13">
        <f t="shared" si="281"/>
        <v>0</v>
      </c>
      <c r="Y1949" s="13">
        <f t="shared" si="283"/>
        <v>0</v>
      </c>
      <c r="Z1949" s="2">
        <v>0</v>
      </c>
      <c r="AA1949" s="4">
        <v>0</v>
      </c>
      <c r="AB1949" s="4">
        <f t="shared" si="284"/>
        <v>0</v>
      </c>
      <c r="AC1949" s="6">
        <f t="shared" si="285"/>
        <v>0</v>
      </c>
      <c r="AD1949" s="4">
        <v>0</v>
      </c>
      <c r="AE1949" s="2">
        <v>7.0000000000000007E-2</v>
      </c>
      <c r="AF1949" s="5">
        <f t="shared" si="286"/>
        <v>0</v>
      </c>
      <c r="AG1949" s="9">
        <v>0.46</v>
      </c>
      <c r="AH1949" s="4">
        <f t="shared" si="282"/>
        <v>0</v>
      </c>
      <c r="AJ1949" s="126" t="e">
        <v>#N/A</v>
      </c>
      <c r="AK1949" s="80">
        <f t="shared" si="287"/>
        <v>0</v>
      </c>
      <c r="AM1949" s="85"/>
    </row>
    <row r="1950" spans="1:39" hidden="1" x14ac:dyDescent="0.3">
      <c r="A1950" s="85" t="s">
        <v>34</v>
      </c>
      <c r="B1950" s="15" t="s">
        <v>35</v>
      </c>
      <c r="C1950" s="15" t="s">
        <v>164</v>
      </c>
      <c r="D1950" s="15" t="s">
        <v>174</v>
      </c>
      <c r="E1950" s="15" t="s">
        <v>2567</v>
      </c>
      <c r="F1950" s="15" t="s">
        <v>2568</v>
      </c>
      <c r="G1950" s="15" t="s">
        <v>2567</v>
      </c>
      <c r="H1950" s="139"/>
      <c r="I1950" s="3" t="s">
        <v>2374</v>
      </c>
      <c r="J1950" s="1" t="s">
        <v>3322</v>
      </c>
      <c r="K1950" s="1" t="s">
        <v>3269</v>
      </c>
      <c r="L1950" s="1" t="s">
        <v>35</v>
      </c>
      <c r="M1950" s="15" t="s">
        <v>2569</v>
      </c>
      <c r="N1950" s="15"/>
      <c r="O1950" s="8" t="s">
        <v>40</v>
      </c>
      <c r="P1950" s="8" t="s">
        <v>46</v>
      </c>
      <c r="Q1950" s="9">
        <v>4.1399999999999999E-2</v>
      </c>
      <c r="R1950" s="138"/>
      <c r="T1950" s="18">
        <v>-160156.09419999988</v>
      </c>
      <c r="U1950" s="4">
        <v>0</v>
      </c>
      <c r="V1950" s="4">
        <v>0</v>
      </c>
      <c r="W1950" s="13">
        <f t="shared" si="280"/>
        <v>-160156.09419999988</v>
      </c>
      <c r="X1950" s="13">
        <f t="shared" si="281"/>
        <v>0</v>
      </c>
      <c r="Y1950" s="13">
        <f t="shared" si="283"/>
        <v>0</v>
      </c>
      <c r="Z1950" s="2">
        <v>0</v>
      </c>
      <c r="AA1950" s="4">
        <v>0</v>
      </c>
      <c r="AB1950" s="4">
        <f t="shared" si="284"/>
        <v>0</v>
      </c>
      <c r="AC1950" s="6">
        <f t="shared" si="285"/>
        <v>0</v>
      </c>
      <c r="AD1950" s="4">
        <v>0</v>
      </c>
      <c r="AE1950" s="2">
        <v>7.0000000000000007E-2</v>
      </c>
      <c r="AF1950" s="5">
        <f t="shared" si="286"/>
        <v>0</v>
      </c>
      <c r="AG1950" s="9">
        <v>0.38</v>
      </c>
      <c r="AH1950" s="4">
        <f t="shared" si="282"/>
        <v>0</v>
      </c>
      <c r="AJ1950" s="126" t="e">
        <v>#N/A</v>
      </c>
      <c r="AK1950" s="80">
        <f t="shared" si="287"/>
        <v>0</v>
      </c>
      <c r="AM1950" s="85"/>
    </row>
    <row r="1951" spans="1:39" hidden="1" x14ac:dyDescent="0.3">
      <c r="A1951" s="85" t="s">
        <v>34</v>
      </c>
      <c r="B1951" s="15" t="s">
        <v>35</v>
      </c>
      <c r="C1951" s="15" t="s">
        <v>47</v>
      </c>
      <c r="D1951" s="15" t="s">
        <v>63</v>
      </c>
      <c r="E1951" s="15" t="s">
        <v>2393</v>
      </c>
      <c r="F1951" s="15" t="s">
        <v>2407</v>
      </c>
      <c r="G1951" s="15" t="s">
        <v>2393</v>
      </c>
      <c r="H1951" s="139"/>
      <c r="I1951" s="3" t="s">
        <v>2374</v>
      </c>
      <c r="J1951" s="1" t="s">
        <v>3322</v>
      </c>
      <c r="K1951" s="1" t="s">
        <v>3269</v>
      </c>
      <c r="L1951" s="1" t="s">
        <v>35</v>
      </c>
      <c r="M1951" s="15" t="s">
        <v>2408</v>
      </c>
      <c r="N1951" s="15"/>
      <c r="O1951" s="8" t="s">
        <v>45</v>
      </c>
      <c r="P1951" s="8" t="s">
        <v>46</v>
      </c>
      <c r="Q1951" s="9">
        <v>5.5E-2</v>
      </c>
      <c r="R1951" s="138"/>
      <c r="T1951" s="18">
        <v>3213968.64</v>
      </c>
      <c r="U1951" s="4">
        <v>0</v>
      </c>
      <c r="V1951" s="4">
        <v>0</v>
      </c>
      <c r="W1951" s="13">
        <f t="shared" si="280"/>
        <v>3213968.64</v>
      </c>
      <c r="X1951" s="13">
        <f t="shared" si="281"/>
        <v>0</v>
      </c>
      <c r="Y1951" s="13">
        <f t="shared" si="283"/>
        <v>0</v>
      </c>
      <c r="Z1951" s="2">
        <v>0</v>
      </c>
      <c r="AA1951" s="4">
        <v>0</v>
      </c>
      <c r="AB1951" s="4">
        <f t="shared" si="284"/>
        <v>0</v>
      </c>
      <c r="AC1951" s="6">
        <f t="shared" si="285"/>
        <v>0</v>
      </c>
      <c r="AD1951" s="4">
        <v>0</v>
      </c>
      <c r="AE1951" s="2">
        <v>0.06</v>
      </c>
      <c r="AF1951" s="5">
        <f t="shared" si="286"/>
        <v>0</v>
      </c>
      <c r="AG1951" s="9">
        <v>0.1</v>
      </c>
      <c r="AH1951" s="4">
        <f t="shared" si="282"/>
        <v>0</v>
      </c>
      <c r="AJ1951" s="126" t="e">
        <v>#N/A</v>
      </c>
      <c r="AK1951" s="80">
        <f t="shared" si="287"/>
        <v>0</v>
      </c>
      <c r="AM1951" s="85"/>
    </row>
    <row r="1952" spans="1:39" hidden="1" x14ac:dyDescent="0.3">
      <c r="A1952" s="85" t="s">
        <v>34</v>
      </c>
      <c r="B1952" s="15" t="s">
        <v>35</v>
      </c>
      <c r="C1952" s="15" t="s">
        <v>164</v>
      </c>
      <c r="D1952" s="15" t="s">
        <v>169</v>
      </c>
      <c r="E1952" s="15" t="s">
        <v>2518</v>
      </c>
      <c r="F1952" s="15" t="s">
        <v>2518</v>
      </c>
      <c r="G1952" s="15" t="s">
        <v>2518</v>
      </c>
      <c r="H1952" s="139"/>
      <c r="I1952" s="3" t="s">
        <v>2374</v>
      </c>
      <c r="J1952" s="1" t="s">
        <v>3322</v>
      </c>
      <c r="K1952" s="1" t="s">
        <v>3269</v>
      </c>
      <c r="L1952" s="1" t="s">
        <v>35</v>
      </c>
      <c r="M1952" s="15" t="s">
        <v>2519</v>
      </c>
      <c r="N1952" s="15"/>
      <c r="O1952" s="8" t="s">
        <v>45</v>
      </c>
      <c r="P1952" s="8" t="s">
        <v>46</v>
      </c>
      <c r="Q1952" s="9">
        <v>3.8399999999999997E-2</v>
      </c>
      <c r="R1952" s="138"/>
      <c r="T1952" s="18">
        <v>-141796.72999999978</v>
      </c>
      <c r="U1952" s="4">
        <v>0</v>
      </c>
      <c r="V1952" s="4">
        <v>0</v>
      </c>
      <c r="W1952" s="13">
        <f t="shared" si="280"/>
        <v>-141796.72999999978</v>
      </c>
      <c r="X1952" s="13">
        <f t="shared" si="281"/>
        <v>0</v>
      </c>
      <c r="Y1952" s="13">
        <f t="shared" si="283"/>
        <v>0</v>
      </c>
      <c r="Z1952" s="2">
        <v>0</v>
      </c>
      <c r="AA1952" s="4">
        <v>0</v>
      </c>
      <c r="AB1952" s="4">
        <f t="shared" si="284"/>
        <v>0</v>
      </c>
      <c r="AC1952" s="6">
        <f t="shared" si="285"/>
        <v>0</v>
      </c>
      <c r="AD1952" s="4">
        <v>0</v>
      </c>
      <c r="AE1952" s="2">
        <v>0.06</v>
      </c>
      <c r="AF1952" s="5">
        <f t="shared" si="286"/>
        <v>0</v>
      </c>
      <c r="AG1952" s="9">
        <v>0.28000000000000003</v>
      </c>
      <c r="AH1952" s="4">
        <f t="shared" si="282"/>
        <v>0</v>
      </c>
      <c r="AJ1952" s="126" t="e">
        <v>#N/A</v>
      </c>
      <c r="AK1952" s="80">
        <f t="shared" si="287"/>
        <v>0</v>
      </c>
      <c r="AM1952" s="85"/>
    </row>
    <row r="1953" spans="1:39" hidden="1" x14ac:dyDescent="0.3">
      <c r="A1953" s="85" t="s">
        <v>34</v>
      </c>
      <c r="B1953" s="3" t="s">
        <v>35</v>
      </c>
      <c r="C1953" s="3" t="s">
        <v>59</v>
      </c>
      <c r="D1953" s="3" t="s">
        <v>60</v>
      </c>
      <c r="E1953" s="3" t="s">
        <v>2570</v>
      </c>
      <c r="F1953" s="3" t="s">
        <v>2571</v>
      </c>
      <c r="G1953" s="3" t="s">
        <v>2570</v>
      </c>
      <c r="I1953" s="3" t="s">
        <v>2572</v>
      </c>
      <c r="J1953" s="1" t="s">
        <v>3327</v>
      </c>
      <c r="K1953" s="1" t="s">
        <v>3284</v>
      </c>
      <c r="L1953" s="1" t="s">
        <v>35</v>
      </c>
      <c r="M1953" s="3" t="s">
        <v>896</v>
      </c>
      <c r="O1953" s="1" t="s">
        <v>410</v>
      </c>
      <c r="P1953" s="1" t="s">
        <v>41</v>
      </c>
      <c r="Q1953" s="2">
        <v>0</v>
      </c>
      <c r="R1953" s="138">
        <v>600000916</v>
      </c>
      <c r="T1953" s="4">
        <v>0</v>
      </c>
      <c r="U1953" s="4">
        <v>5055802.07</v>
      </c>
      <c r="V1953" s="4">
        <v>2930173.629999999</v>
      </c>
      <c r="W1953" s="13">
        <f t="shared" si="280"/>
        <v>2125628.4400000013</v>
      </c>
      <c r="X1953" s="13">
        <f t="shared" ref="X1953:X2016" si="288">IF(P1953="折扣",V1953*Q1953,IF(P1953="返现",V1953,V1953/(1+Q1953)))</f>
        <v>2930173.629999999</v>
      </c>
      <c r="Y1953" s="13">
        <f t="shared" si="283"/>
        <v>0</v>
      </c>
      <c r="Z1953" s="2">
        <v>0</v>
      </c>
      <c r="AA1953" s="4">
        <v>0</v>
      </c>
      <c r="AB1953" s="4">
        <f t="shared" si="284"/>
        <v>2930173.629999999</v>
      </c>
      <c r="AC1953" s="6">
        <f t="shared" si="285"/>
        <v>0</v>
      </c>
      <c r="AD1953" s="13">
        <f>V1953</f>
        <v>2930173.629999999</v>
      </c>
      <c r="AE1953" s="2">
        <v>0</v>
      </c>
      <c r="AF1953" s="5">
        <f t="shared" si="286"/>
        <v>0</v>
      </c>
      <c r="AG1953" s="2">
        <v>0</v>
      </c>
      <c r="AH1953" s="5">
        <f>V1953</f>
        <v>2930173.629999999</v>
      </c>
      <c r="AJ1953" s="126" t="e">
        <v>#N/A</v>
      </c>
      <c r="AK1953" s="80">
        <f t="shared" si="287"/>
        <v>0</v>
      </c>
      <c r="AM1953" s="85"/>
    </row>
    <row r="1954" spans="1:39" hidden="1" x14ac:dyDescent="0.3">
      <c r="A1954" s="85" t="s">
        <v>34</v>
      </c>
      <c r="B1954" s="3" t="s">
        <v>35</v>
      </c>
      <c r="C1954" s="3" t="s">
        <v>59</v>
      </c>
      <c r="D1954" s="3" t="s">
        <v>60</v>
      </c>
      <c r="E1954" s="3" t="s">
        <v>77</v>
      </c>
      <c r="F1954" s="3" t="s">
        <v>77</v>
      </c>
      <c r="G1954" s="3" t="s">
        <v>77</v>
      </c>
      <c r="H1954" s="138"/>
      <c r="I1954" s="3" t="s">
        <v>2572</v>
      </c>
      <c r="J1954" s="1" t="s">
        <v>3327</v>
      </c>
      <c r="K1954" s="1" t="s">
        <v>3284</v>
      </c>
      <c r="L1954" s="1" t="s">
        <v>35</v>
      </c>
      <c r="M1954" s="3" t="s">
        <v>2573</v>
      </c>
      <c r="O1954" s="1" t="s">
        <v>410</v>
      </c>
      <c r="P1954" s="1" t="s">
        <v>41</v>
      </c>
      <c r="Q1954" s="2">
        <v>0</v>
      </c>
      <c r="R1954" s="138">
        <v>400002591</v>
      </c>
      <c r="T1954" s="4">
        <v>0</v>
      </c>
      <c r="U1954" s="4">
        <v>200000</v>
      </c>
      <c r="V1954" s="4">
        <v>0</v>
      </c>
      <c r="W1954" s="13">
        <f t="shared" si="280"/>
        <v>200000</v>
      </c>
      <c r="X1954" s="13">
        <f t="shared" si="288"/>
        <v>0</v>
      </c>
      <c r="Y1954" s="13">
        <f t="shared" si="283"/>
        <v>0</v>
      </c>
      <c r="Z1954" s="2">
        <v>0</v>
      </c>
      <c r="AA1954" s="4">
        <v>0</v>
      </c>
      <c r="AB1954" s="4">
        <f t="shared" si="284"/>
        <v>0</v>
      </c>
      <c r="AC1954" s="6">
        <f t="shared" si="285"/>
        <v>0</v>
      </c>
      <c r="AD1954" s="13">
        <f t="shared" ref="AD1954:AD2017" si="289">V1954</f>
        <v>0</v>
      </c>
      <c r="AE1954" s="2">
        <v>0</v>
      </c>
      <c r="AF1954" s="5">
        <f t="shared" si="286"/>
        <v>0</v>
      </c>
      <c r="AG1954" s="2">
        <v>0</v>
      </c>
      <c r="AH1954" s="5">
        <f t="shared" ref="AH1954:AH2017" si="290">V1954</f>
        <v>0</v>
      </c>
      <c r="AJ1954" s="126" t="e">
        <v>#N/A</v>
      </c>
      <c r="AK1954" s="80">
        <f t="shared" si="287"/>
        <v>0</v>
      </c>
      <c r="AM1954" s="85"/>
    </row>
    <row r="1955" spans="1:39" hidden="1" x14ac:dyDescent="0.3">
      <c r="A1955" s="85" t="s">
        <v>34</v>
      </c>
      <c r="B1955" s="3" t="s">
        <v>35</v>
      </c>
      <c r="C1955" s="3" t="s">
        <v>59</v>
      </c>
      <c r="D1955" s="3" t="s">
        <v>60</v>
      </c>
      <c r="E1955" s="3" t="s">
        <v>77</v>
      </c>
      <c r="F1955" s="3" t="s">
        <v>77</v>
      </c>
      <c r="G1955" s="3" t="s">
        <v>77</v>
      </c>
      <c r="H1955" s="138"/>
      <c r="I1955" s="3" t="s">
        <v>2572</v>
      </c>
      <c r="J1955" s="1" t="s">
        <v>3327</v>
      </c>
      <c r="K1955" s="1" t="s">
        <v>3284</v>
      </c>
      <c r="L1955" s="1" t="s">
        <v>35</v>
      </c>
      <c r="M1955" s="3" t="s">
        <v>307</v>
      </c>
      <c r="O1955" s="1" t="s">
        <v>410</v>
      </c>
      <c r="P1955" s="1" t="s">
        <v>41</v>
      </c>
      <c r="Q1955" s="2">
        <v>0</v>
      </c>
      <c r="R1955" s="138">
        <v>400003931</v>
      </c>
      <c r="T1955" s="4">
        <v>0</v>
      </c>
      <c r="U1955" s="4">
        <v>0</v>
      </c>
      <c r="V1955" s="4">
        <v>0</v>
      </c>
      <c r="W1955" s="13">
        <f t="shared" si="280"/>
        <v>0</v>
      </c>
      <c r="X1955" s="13">
        <f t="shared" si="288"/>
        <v>0</v>
      </c>
      <c r="Y1955" s="13">
        <f t="shared" si="283"/>
        <v>0</v>
      </c>
      <c r="Z1955" s="2">
        <v>0</v>
      </c>
      <c r="AA1955" s="4">
        <v>0</v>
      </c>
      <c r="AB1955" s="4">
        <f t="shared" si="284"/>
        <v>0</v>
      </c>
      <c r="AC1955" s="6">
        <f t="shared" si="285"/>
        <v>0</v>
      </c>
      <c r="AD1955" s="13">
        <f t="shared" si="289"/>
        <v>0</v>
      </c>
      <c r="AE1955" s="2">
        <v>0</v>
      </c>
      <c r="AF1955" s="5">
        <f t="shared" si="286"/>
        <v>0</v>
      </c>
      <c r="AG1955" s="2">
        <v>0</v>
      </c>
      <c r="AH1955" s="5">
        <f t="shared" si="290"/>
        <v>0</v>
      </c>
      <c r="AJ1955" s="126" t="e">
        <v>#N/A</v>
      </c>
      <c r="AK1955" s="80">
        <f t="shared" si="287"/>
        <v>0</v>
      </c>
      <c r="AM1955" s="85"/>
    </row>
    <row r="1956" spans="1:39" hidden="1" x14ac:dyDescent="0.3">
      <c r="A1956" s="85" t="s">
        <v>34</v>
      </c>
      <c r="B1956" s="3" t="s">
        <v>35</v>
      </c>
      <c r="C1956" s="3" t="s">
        <v>59</v>
      </c>
      <c r="D1956" s="3" t="s">
        <v>60</v>
      </c>
      <c r="E1956" s="3" t="s">
        <v>77</v>
      </c>
      <c r="F1956" s="3" t="s">
        <v>77</v>
      </c>
      <c r="G1956" s="3" t="s">
        <v>77</v>
      </c>
      <c r="I1956" s="3" t="s">
        <v>2572</v>
      </c>
      <c r="J1956" s="1" t="s">
        <v>3327</v>
      </c>
      <c r="K1956" s="1" t="s">
        <v>3284</v>
      </c>
      <c r="L1956" s="1" t="s">
        <v>35</v>
      </c>
      <c r="M1956" s="3" t="s">
        <v>2574</v>
      </c>
      <c r="O1956" s="1" t="s">
        <v>410</v>
      </c>
      <c r="P1956" s="1" t="s">
        <v>41</v>
      </c>
      <c r="Q1956" s="2">
        <v>0</v>
      </c>
      <c r="R1956" s="138">
        <v>400003931</v>
      </c>
      <c r="T1956" s="4">
        <v>0</v>
      </c>
      <c r="U1956" s="4">
        <v>1800000</v>
      </c>
      <c r="V1956" s="4">
        <v>1011637.6999999997</v>
      </c>
      <c r="W1956" s="13">
        <f t="shared" si="280"/>
        <v>788362.30000000028</v>
      </c>
      <c r="X1956" s="13">
        <f t="shared" si="288"/>
        <v>1011637.6999999997</v>
      </c>
      <c r="Y1956" s="13">
        <f t="shared" si="283"/>
        <v>0</v>
      </c>
      <c r="Z1956" s="2">
        <v>0</v>
      </c>
      <c r="AA1956" s="4">
        <v>0</v>
      </c>
      <c r="AB1956" s="4">
        <f t="shared" si="284"/>
        <v>1011637.6999999997</v>
      </c>
      <c r="AC1956" s="6">
        <f t="shared" si="285"/>
        <v>0</v>
      </c>
      <c r="AD1956" s="13">
        <f t="shared" si="289"/>
        <v>1011637.6999999997</v>
      </c>
      <c r="AE1956" s="2">
        <v>0</v>
      </c>
      <c r="AF1956" s="5">
        <f t="shared" si="286"/>
        <v>0</v>
      </c>
      <c r="AG1956" s="2">
        <v>0</v>
      </c>
      <c r="AH1956" s="5">
        <f t="shared" si="290"/>
        <v>1011637.6999999997</v>
      </c>
      <c r="AJ1956" s="126" t="e">
        <v>#N/A</v>
      </c>
      <c r="AK1956" s="80">
        <f t="shared" si="287"/>
        <v>0</v>
      </c>
      <c r="AM1956" s="85"/>
    </row>
    <row r="1957" spans="1:39" hidden="1" x14ac:dyDescent="0.3">
      <c r="A1957" s="85" t="s">
        <v>34</v>
      </c>
      <c r="B1957" s="3" t="s">
        <v>35</v>
      </c>
      <c r="C1957" s="3" t="s">
        <v>36</v>
      </c>
      <c r="D1957" s="3" t="s">
        <v>224</v>
      </c>
      <c r="E1957" s="3" t="s">
        <v>2575</v>
      </c>
      <c r="F1957" s="3" t="s">
        <v>2575</v>
      </c>
      <c r="G1957" s="3" t="s">
        <v>2575</v>
      </c>
      <c r="I1957" s="3" t="s">
        <v>2572</v>
      </c>
      <c r="J1957" s="1" t="s">
        <v>3327</v>
      </c>
      <c r="K1957" s="1" t="s">
        <v>3284</v>
      </c>
      <c r="L1957" s="1" t="s">
        <v>35</v>
      </c>
      <c r="M1957" s="3" t="s">
        <v>2576</v>
      </c>
      <c r="O1957" s="1" t="s">
        <v>410</v>
      </c>
      <c r="P1957" s="1" t="s">
        <v>41</v>
      </c>
      <c r="Q1957" s="2">
        <v>0</v>
      </c>
      <c r="R1957" s="138">
        <v>400003494</v>
      </c>
      <c r="T1957" s="4">
        <v>161.5900000000006</v>
      </c>
      <c r="U1957" s="4">
        <v>4854.37</v>
      </c>
      <c r="V1957" s="4">
        <v>3444.3</v>
      </c>
      <c r="W1957" s="13">
        <f t="shared" si="280"/>
        <v>1571.6600000000008</v>
      </c>
      <c r="X1957" s="13">
        <f t="shared" si="288"/>
        <v>3444.3</v>
      </c>
      <c r="Y1957" s="13">
        <f t="shared" si="283"/>
        <v>0</v>
      </c>
      <c r="Z1957" s="2">
        <v>0.03</v>
      </c>
      <c r="AA1957" s="4">
        <f t="shared" ref="AA1957:AA1959" si="291">X1957*Z1957</f>
        <v>103.32900000000001</v>
      </c>
      <c r="AB1957" s="4">
        <f t="shared" si="284"/>
        <v>3547.6290000000004</v>
      </c>
      <c r="AC1957" s="6">
        <f t="shared" si="285"/>
        <v>0</v>
      </c>
      <c r="AD1957" s="13">
        <f t="shared" si="289"/>
        <v>3444.3</v>
      </c>
      <c r="AE1957" s="2">
        <v>0</v>
      </c>
      <c r="AF1957" s="5">
        <f t="shared" si="286"/>
        <v>0</v>
      </c>
      <c r="AG1957" s="2">
        <v>0</v>
      </c>
      <c r="AH1957" s="5">
        <f t="shared" si="290"/>
        <v>3444.3</v>
      </c>
      <c r="AJ1957" s="126" t="e">
        <v>#N/A</v>
      </c>
      <c r="AK1957" s="80">
        <f t="shared" si="287"/>
        <v>0</v>
      </c>
      <c r="AM1957" s="85"/>
    </row>
    <row r="1958" spans="1:39" hidden="1" x14ac:dyDescent="0.3">
      <c r="A1958" s="85" t="s">
        <v>34</v>
      </c>
      <c r="B1958" s="3" t="s">
        <v>35</v>
      </c>
      <c r="C1958" s="3" t="s">
        <v>36</v>
      </c>
      <c r="D1958" s="3" t="s">
        <v>54</v>
      </c>
      <c r="E1958" s="3" t="s">
        <v>71</v>
      </c>
      <c r="F1958" s="3" t="s">
        <v>71</v>
      </c>
      <c r="G1958" s="3" t="s">
        <v>71</v>
      </c>
      <c r="I1958" s="3" t="s">
        <v>2572</v>
      </c>
      <c r="J1958" s="1" t="s">
        <v>3327</v>
      </c>
      <c r="K1958" s="1" t="s">
        <v>3284</v>
      </c>
      <c r="L1958" s="1" t="s">
        <v>35</v>
      </c>
      <c r="M1958" s="3" t="s">
        <v>2577</v>
      </c>
      <c r="O1958" s="1" t="s">
        <v>410</v>
      </c>
      <c r="P1958" s="1" t="s">
        <v>41</v>
      </c>
      <c r="Q1958" s="2">
        <v>0</v>
      </c>
      <c r="R1958" s="138">
        <v>600001435</v>
      </c>
      <c r="T1958" s="4">
        <v>58972.540000001434</v>
      </c>
      <c r="U1958" s="4">
        <v>-52854.69</v>
      </c>
      <c r="V1958" s="4">
        <v>6729.72</v>
      </c>
      <c r="W1958" s="13">
        <f t="shared" si="280"/>
        <v>-611.86999999856835</v>
      </c>
      <c r="X1958" s="13">
        <f t="shared" si="288"/>
        <v>6729.72</v>
      </c>
      <c r="Y1958" s="13">
        <f t="shared" si="283"/>
        <v>0</v>
      </c>
      <c r="Z1958" s="2">
        <v>5.5E-2</v>
      </c>
      <c r="AA1958" s="4">
        <f t="shared" si="291"/>
        <v>370.13460000000003</v>
      </c>
      <c r="AB1958" s="4">
        <f t="shared" si="284"/>
        <v>7099.8546000000006</v>
      </c>
      <c r="AC1958" s="6">
        <f t="shared" si="285"/>
        <v>0</v>
      </c>
      <c r="AD1958" s="13">
        <f t="shared" si="289"/>
        <v>6729.72</v>
      </c>
      <c r="AE1958" s="2">
        <v>0</v>
      </c>
      <c r="AF1958" s="5">
        <f t="shared" si="286"/>
        <v>0</v>
      </c>
      <c r="AG1958" s="2">
        <v>0</v>
      </c>
      <c r="AH1958" s="5">
        <f t="shared" si="290"/>
        <v>6729.72</v>
      </c>
      <c r="AJ1958" s="126" t="e">
        <v>#N/A</v>
      </c>
      <c r="AK1958" s="80">
        <f t="shared" si="287"/>
        <v>0</v>
      </c>
      <c r="AM1958" s="85"/>
    </row>
    <row r="1959" spans="1:39" hidden="1" x14ac:dyDescent="0.3">
      <c r="A1959" s="85" t="s">
        <v>34</v>
      </c>
      <c r="B1959" s="3" t="s">
        <v>35</v>
      </c>
      <c r="C1959" s="3" t="s">
        <v>36</v>
      </c>
      <c r="D1959" s="3" t="s">
        <v>54</v>
      </c>
      <c r="E1959" s="3" t="s">
        <v>71</v>
      </c>
      <c r="F1959" s="3" t="s">
        <v>71</v>
      </c>
      <c r="G1959" s="3" t="s">
        <v>71</v>
      </c>
      <c r="I1959" s="3" t="s">
        <v>2572</v>
      </c>
      <c r="J1959" s="1" t="s">
        <v>3327</v>
      </c>
      <c r="K1959" s="1" t="s">
        <v>3284</v>
      </c>
      <c r="L1959" s="1" t="s">
        <v>35</v>
      </c>
      <c r="M1959" s="3" t="s">
        <v>73</v>
      </c>
      <c r="O1959" s="1" t="s">
        <v>410</v>
      </c>
      <c r="P1959" s="1" t="s">
        <v>41</v>
      </c>
      <c r="Q1959" s="2">
        <v>0</v>
      </c>
      <c r="R1959" s="138">
        <v>600001390</v>
      </c>
      <c r="T1959" s="4">
        <v>637415.10999999568</v>
      </c>
      <c r="U1959" s="4">
        <v>-112309.37</v>
      </c>
      <c r="V1959" s="4">
        <v>9560.64</v>
      </c>
      <c r="W1959" s="13">
        <f t="shared" si="280"/>
        <v>515545.09999999567</v>
      </c>
      <c r="X1959" s="13">
        <f t="shared" si="288"/>
        <v>9560.64</v>
      </c>
      <c r="Y1959" s="13">
        <f t="shared" si="283"/>
        <v>0</v>
      </c>
      <c r="Z1959" s="2">
        <v>5.5E-2</v>
      </c>
      <c r="AA1959" s="4">
        <f t="shared" si="291"/>
        <v>525.83519999999999</v>
      </c>
      <c r="AB1959" s="4">
        <f t="shared" si="284"/>
        <v>10086.475199999999</v>
      </c>
      <c r="AC1959" s="6">
        <f t="shared" si="285"/>
        <v>0</v>
      </c>
      <c r="AD1959" s="13">
        <f t="shared" si="289"/>
        <v>9560.64</v>
      </c>
      <c r="AE1959" s="2">
        <v>0</v>
      </c>
      <c r="AF1959" s="5">
        <f t="shared" si="286"/>
        <v>0</v>
      </c>
      <c r="AG1959" s="2">
        <v>0</v>
      </c>
      <c r="AH1959" s="5">
        <f t="shared" si="290"/>
        <v>9560.64</v>
      </c>
      <c r="AJ1959" s="126" t="e">
        <v>#N/A</v>
      </c>
      <c r="AK1959" s="80">
        <f t="shared" si="287"/>
        <v>0</v>
      </c>
      <c r="AM1959" s="85"/>
    </row>
    <row r="1960" spans="1:39" hidden="1" x14ac:dyDescent="0.3">
      <c r="A1960" s="85" t="s">
        <v>34</v>
      </c>
      <c r="B1960" s="3" t="s">
        <v>35</v>
      </c>
      <c r="C1960" s="3" t="s">
        <v>36</v>
      </c>
      <c r="D1960" s="3" t="s">
        <v>54</v>
      </c>
      <c r="E1960" s="3" t="s">
        <v>1200</v>
      </c>
      <c r="F1960" s="3" t="s">
        <v>1201</v>
      </c>
      <c r="G1960" s="3" t="s">
        <v>1200</v>
      </c>
      <c r="I1960" s="3" t="s">
        <v>2572</v>
      </c>
      <c r="J1960" s="1" t="s">
        <v>3327</v>
      </c>
      <c r="K1960" s="1" t="s">
        <v>3284</v>
      </c>
      <c r="L1960" s="1" t="s">
        <v>35</v>
      </c>
      <c r="M1960" s="3" t="s">
        <v>1200</v>
      </c>
      <c r="O1960" s="1" t="s">
        <v>410</v>
      </c>
      <c r="P1960" s="1" t="s">
        <v>41</v>
      </c>
      <c r="Q1960" s="2">
        <v>0</v>
      </c>
      <c r="R1960" s="138">
        <v>600001337</v>
      </c>
      <c r="T1960" s="4">
        <v>20589.099999999969</v>
      </c>
      <c r="U1960" s="4">
        <v>50000</v>
      </c>
      <c r="V1960" s="4">
        <v>50781.440000000002</v>
      </c>
      <c r="W1960" s="13">
        <f t="shared" si="280"/>
        <v>19807.659999999974</v>
      </c>
      <c r="X1960" s="13">
        <f t="shared" si="288"/>
        <v>50781.440000000002</v>
      </c>
      <c r="Y1960" s="13">
        <f t="shared" si="283"/>
        <v>0</v>
      </c>
      <c r="Z1960" s="2">
        <v>0</v>
      </c>
      <c r="AA1960" s="4">
        <v>0</v>
      </c>
      <c r="AB1960" s="4">
        <f t="shared" si="284"/>
        <v>50781.440000000002</v>
      </c>
      <c r="AC1960" s="6">
        <f t="shared" si="285"/>
        <v>0</v>
      </c>
      <c r="AD1960" s="13">
        <f t="shared" si="289"/>
        <v>50781.440000000002</v>
      </c>
      <c r="AE1960" s="2">
        <v>0</v>
      </c>
      <c r="AF1960" s="5">
        <f t="shared" si="286"/>
        <v>0</v>
      </c>
      <c r="AG1960" s="2">
        <v>0</v>
      </c>
      <c r="AH1960" s="5">
        <f t="shared" si="290"/>
        <v>50781.440000000002</v>
      </c>
      <c r="AJ1960" s="126" t="e">
        <v>#N/A</v>
      </c>
      <c r="AK1960" s="80">
        <f t="shared" si="287"/>
        <v>0</v>
      </c>
      <c r="AM1960" s="85"/>
    </row>
    <row r="1961" spans="1:39" hidden="1" x14ac:dyDescent="0.3">
      <c r="A1961" s="85" t="s">
        <v>34</v>
      </c>
      <c r="B1961" s="3" t="s">
        <v>35</v>
      </c>
      <c r="C1961" s="3" t="s">
        <v>36</v>
      </c>
      <c r="D1961" s="3" t="s">
        <v>37</v>
      </c>
      <c r="E1961" s="3" t="s">
        <v>2578</v>
      </c>
      <c r="F1961" s="3" t="s">
        <v>2578</v>
      </c>
      <c r="G1961" s="3" t="s">
        <v>2578</v>
      </c>
      <c r="I1961" s="3" t="s">
        <v>2572</v>
      </c>
      <c r="J1961" s="1" t="s">
        <v>3327</v>
      </c>
      <c r="K1961" s="1" t="s">
        <v>3284</v>
      </c>
      <c r="L1961" s="1" t="s">
        <v>35</v>
      </c>
      <c r="M1961" s="3" t="s">
        <v>2578</v>
      </c>
      <c r="O1961" s="1" t="s">
        <v>410</v>
      </c>
      <c r="P1961" s="1" t="s">
        <v>41</v>
      </c>
      <c r="Q1961" s="2">
        <v>0</v>
      </c>
      <c r="R1961" s="138">
        <v>400002075</v>
      </c>
      <c r="T1961" s="4">
        <v>19135.940000000002</v>
      </c>
      <c r="U1961" s="4">
        <v>30000</v>
      </c>
      <c r="V1961" s="4">
        <v>31969.89</v>
      </c>
      <c r="W1961" s="13">
        <f t="shared" si="280"/>
        <v>17166.050000000003</v>
      </c>
      <c r="X1961" s="13">
        <f t="shared" si="288"/>
        <v>31969.89</v>
      </c>
      <c r="Y1961" s="13">
        <f t="shared" si="283"/>
        <v>0</v>
      </c>
      <c r="Z1961" s="2">
        <v>0</v>
      </c>
      <c r="AA1961" s="4">
        <v>0</v>
      </c>
      <c r="AB1961" s="4">
        <f t="shared" si="284"/>
        <v>31969.89</v>
      </c>
      <c r="AC1961" s="6">
        <f t="shared" si="285"/>
        <v>0</v>
      </c>
      <c r="AD1961" s="13">
        <f t="shared" si="289"/>
        <v>31969.89</v>
      </c>
      <c r="AE1961" s="2">
        <v>0</v>
      </c>
      <c r="AF1961" s="5">
        <f t="shared" si="286"/>
        <v>0</v>
      </c>
      <c r="AG1961" s="2">
        <v>0</v>
      </c>
      <c r="AH1961" s="5">
        <f t="shared" si="290"/>
        <v>31969.89</v>
      </c>
      <c r="AJ1961" s="126" t="e">
        <v>#N/A</v>
      </c>
      <c r="AK1961" s="80">
        <f t="shared" si="287"/>
        <v>0</v>
      </c>
      <c r="AM1961" s="85"/>
    </row>
    <row r="1962" spans="1:39" hidden="1" x14ac:dyDescent="0.3">
      <c r="A1962" s="85" t="s">
        <v>34</v>
      </c>
      <c r="B1962" s="3" t="s">
        <v>35</v>
      </c>
      <c r="C1962" s="3" t="s">
        <v>36</v>
      </c>
      <c r="D1962" s="3" t="s">
        <v>37</v>
      </c>
      <c r="E1962" s="3" t="s">
        <v>1870</v>
      </c>
      <c r="F1962" s="3" t="s">
        <v>1871</v>
      </c>
      <c r="G1962" s="3" t="s">
        <v>1870</v>
      </c>
      <c r="I1962" s="3" t="s">
        <v>2572</v>
      </c>
      <c r="J1962" s="1" t="s">
        <v>3327</v>
      </c>
      <c r="K1962" s="1" t="s">
        <v>3284</v>
      </c>
      <c r="L1962" s="1" t="s">
        <v>35</v>
      </c>
      <c r="M1962" s="3" t="s">
        <v>1870</v>
      </c>
      <c r="O1962" s="1" t="s">
        <v>410</v>
      </c>
      <c r="P1962" s="1" t="s">
        <v>41</v>
      </c>
      <c r="Q1962" s="2">
        <v>0</v>
      </c>
      <c r="R1962" s="138">
        <v>100000139</v>
      </c>
      <c r="T1962" s="4">
        <v>41236.339999999982</v>
      </c>
      <c r="U1962" s="4">
        <v>50000</v>
      </c>
      <c r="V1962" s="4">
        <v>72361.55</v>
      </c>
      <c r="W1962" s="13">
        <f t="shared" si="280"/>
        <v>18874.789999999979</v>
      </c>
      <c r="X1962" s="13">
        <f t="shared" si="288"/>
        <v>72361.55</v>
      </c>
      <c r="Y1962" s="13">
        <f t="shared" si="283"/>
        <v>0</v>
      </c>
      <c r="Z1962" s="2">
        <v>0</v>
      </c>
      <c r="AA1962" s="4">
        <v>0</v>
      </c>
      <c r="AB1962" s="4">
        <f t="shared" si="284"/>
        <v>72361.55</v>
      </c>
      <c r="AC1962" s="6">
        <f t="shared" si="285"/>
        <v>0</v>
      </c>
      <c r="AD1962" s="13">
        <f t="shared" si="289"/>
        <v>72361.55</v>
      </c>
      <c r="AE1962" s="2">
        <v>0</v>
      </c>
      <c r="AF1962" s="5">
        <f t="shared" si="286"/>
        <v>0</v>
      </c>
      <c r="AG1962" s="2">
        <v>0</v>
      </c>
      <c r="AH1962" s="5">
        <f t="shared" si="290"/>
        <v>72361.55</v>
      </c>
      <c r="AJ1962" s="126" t="e">
        <v>#N/A</v>
      </c>
      <c r="AK1962" s="80">
        <f t="shared" si="287"/>
        <v>0</v>
      </c>
      <c r="AM1962" s="85"/>
    </row>
    <row r="1963" spans="1:39" hidden="1" x14ac:dyDescent="0.3">
      <c r="A1963" s="85" t="s">
        <v>34</v>
      </c>
      <c r="B1963" s="3" t="s">
        <v>35</v>
      </c>
      <c r="C1963" s="3" t="s">
        <v>65</v>
      </c>
      <c r="D1963" s="3" t="s">
        <v>125</v>
      </c>
      <c r="E1963" s="3" t="s">
        <v>2579</v>
      </c>
      <c r="F1963" s="3" t="s">
        <v>2579</v>
      </c>
      <c r="G1963" s="3" t="s">
        <v>2579</v>
      </c>
      <c r="I1963" s="3" t="s">
        <v>2572</v>
      </c>
      <c r="J1963" s="1" t="s">
        <v>3327</v>
      </c>
      <c r="K1963" s="1" t="s">
        <v>3284</v>
      </c>
      <c r="L1963" s="1" t="s">
        <v>35</v>
      </c>
      <c r="M1963" s="3" t="s">
        <v>2579</v>
      </c>
      <c r="O1963" s="1" t="s">
        <v>410</v>
      </c>
      <c r="P1963" s="1" t="s">
        <v>41</v>
      </c>
      <c r="Q1963" s="2">
        <v>0</v>
      </c>
      <c r="R1963" s="138">
        <v>600001287</v>
      </c>
      <c r="T1963" s="4">
        <v>178301.87000000002</v>
      </c>
      <c r="U1963" s="4">
        <v>77669.899999999994</v>
      </c>
      <c r="V1963" s="4">
        <v>96696.74</v>
      </c>
      <c r="W1963" s="13">
        <f t="shared" si="280"/>
        <v>159275.03000000003</v>
      </c>
      <c r="X1963" s="13">
        <f t="shared" si="288"/>
        <v>96696.74</v>
      </c>
      <c r="Y1963" s="13">
        <f t="shared" si="283"/>
        <v>0</v>
      </c>
      <c r="Z1963" s="2">
        <v>0.03</v>
      </c>
      <c r="AA1963" s="4">
        <f t="shared" ref="AA1963:AA1964" si="292">X1963*Z1963</f>
        <v>2900.9022</v>
      </c>
      <c r="AB1963" s="4">
        <f t="shared" si="284"/>
        <v>99597.642200000002</v>
      </c>
      <c r="AC1963" s="6">
        <f t="shared" si="285"/>
        <v>0</v>
      </c>
      <c r="AD1963" s="13">
        <f t="shared" si="289"/>
        <v>96696.74</v>
      </c>
      <c r="AE1963" s="2">
        <v>0</v>
      </c>
      <c r="AF1963" s="5">
        <f t="shared" si="286"/>
        <v>0</v>
      </c>
      <c r="AG1963" s="2">
        <v>0</v>
      </c>
      <c r="AH1963" s="5">
        <f t="shared" si="290"/>
        <v>96696.74</v>
      </c>
      <c r="AJ1963" s="126" t="e">
        <v>#N/A</v>
      </c>
      <c r="AK1963" s="80">
        <f t="shared" si="287"/>
        <v>0</v>
      </c>
      <c r="AM1963" s="85"/>
    </row>
    <row r="1964" spans="1:39" hidden="1" x14ac:dyDescent="0.3">
      <c r="A1964" s="85" t="s">
        <v>34</v>
      </c>
      <c r="B1964" s="3" t="s">
        <v>35</v>
      </c>
      <c r="C1964" s="3" t="s">
        <v>65</v>
      </c>
      <c r="D1964" s="3" t="s">
        <v>125</v>
      </c>
      <c r="E1964" s="3" t="s">
        <v>2579</v>
      </c>
      <c r="F1964" s="3" t="s">
        <v>2579</v>
      </c>
      <c r="G1964" s="3" t="s">
        <v>2579</v>
      </c>
      <c r="I1964" s="3" t="s">
        <v>2572</v>
      </c>
      <c r="J1964" s="1" t="s">
        <v>3327</v>
      </c>
      <c r="K1964" s="1" t="s">
        <v>3284</v>
      </c>
      <c r="L1964" s="1" t="s">
        <v>35</v>
      </c>
      <c r="M1964" s="3" t="s">
        <v>2580</v>
      </c>
      <c r="O1964" s="1" t="s">
        <v>410</v>
      </c>
      <c r="P1964" s="1" t="s">
        <v>41</v>
      </c>
      <c r="Q1964" s="2">
        <v>0</v>
      </c>
      <c r="R1964" s="138">
        <v>600004415</v>
      </c>
      <c r="T1964" s="4">
        <v>90461.429999999978</v>
      </c>
      <c r="U1964" s="4">
        <v>165048.54999999999</v>
      </c>
      <c r="V1964" s="4">
        <v>137054.42000000001</v>
      </c>
      <c r="W1964" s="13">
        <f t="shared" si="280"/>
        <v>118455.55999999997</v>
      </c>
      <c r="X1964" s="13">
        <f t="shared" si="288"/>
        <v>137054.42000000001</v>
      </c>
      <c r="Y1964" s="13">
        <f t="shared" si="283"/>
        <v>0</v>
      </c>
      <c r="Z1964" s="2">
        <v>0.03</v>
      </c>
      <c r="AA1964" s="4">
        <f t="shared" si="292"/>
        <v>4111.6325999999999</v>
      </c>
      <c r="AB1964" s="4">
        <f t="shared" si="284"/>
        <v>141166.05260000002</v>
      </c>
      <c r="AC1964" s="6">
        <f t="shared" si="285"/>
        <v>0</v>
      </c>
      <c r="AD1964" s="13">
        <f t="shared" si="289"/>
        <v>137054.42000000001</v>
      </c>
      <c r="AE1964" s="2">
        <v>0</v>
      </c>
      <c r="AF1964" s="5">
        <f t="shared" si="286"/>
        <v>0</v>
      </c>
      <c r="AG1964" s="2">
        <v>0</v>
      </c>
      <c r="AH1964" s="5">
        <f t="shared" si="290"/>
        <v>137054.42000000001</v>
      </c>
      <c r="AJ1964" s="126" t="e">
        <v>#N/A</v>
      </c>
      <c r="AK1964" s="80">
        <f t="shared" si="287"/>
        <v>0</v>
      </c>
      <c r="AM1964" s="85"/>
    </row>
    <row r="1965" spans="1:39" hidden="1" x14ac:dyDescent="0.3">
      <c r="A1965" s="85" t="s">
        <v>34</v>
      </c>
      <c r="B1965" s="3" t="s">
        <v>35</v>
      </c>
      <c r="C1965" s="3" t="s">
        <v>47</v>
      </c>
      <c r="D1965" s="3" t="s">
        <v>63</v>
      </c>
      <c r="E1965" s="3" t="s">
        <v>2157</v>
      </c>
      <c r="F1965" s="3" t="s">
        <v>2157</v>
      </c>
      <c r="G1965" s="3" t="s">
        <v>2157</v>
      </c>
      <c r="H1965" s="138"/>
      <c r="I1965" s="3" t="s">
        <v>2572</v>
      </c>
      <c r="J1965" s="1" t="s">
        <v>3327</v>
      </c>
      <c r="K1965" s="1" t="s">
        <v>3284</v>
      </c>
      <c r="L1965" s="1" t="s">
        <v>35</v>
      </c>
      <c r="M1965" s="3" t="s">
        <v>2157</v>
      </c>
      <c r="O1965" s="1" t="s">
        <v>410</v>
      </c>
      <c r="P1965" s="1" t="s">
        <v>41</v>
      </c>
      <c r="Q1965" s="2">
        <v>0</v>
      </c>
      <c r="R1965" s="138">
        <v>300000841</v>
      </c>
      <c r="T1965" s="4">
        <v>7660.8</v>
      </c>
      <c r="U1965" s="4">
        <v>-7660.8</v>
      </c>
      <c r="V1965" s="4">
        <v>0</v>
      </c>
      <c r="W1965" s="13">
        <f t="shared" si="280"/>
        <v>0</v>
      </c>
      <c r="X1965" s="13">
        <f t="shared" si="288"/>
        <v>0</v>
      </c>
      <c r="Y1965" s="13">
        <f t="shared" si="283"/>
        <v>0</v>
      </c>
      <c r="Z1965" s="2">
        <v>0</v>
      </c>
      <c r="AA1965" s="4">
        <v>0</v>
      </c>
      <c r="AB1965" s="4">
        <f t="shared" si="284"/>
        <v>0</v>
      </c>
      <c r="AC1965" s="6">
        <f t="shared" si="285"/>
        <v>0</v>
      </c>
      <c r="AD1965" s="13">
        <f t="shared" si="289"/>
        <v>0</v>
      </c>
      <c r="AE1965" s="2">
        <v>0</v>
      </c>
      <c r="AF1965" s="5">
        <f t="shared" si="286"/>
        <v>0</v>
      </c>
      <c r="AG1965" s="2">
        <v>0</v>
      </c>
      <c r="AH1965" s="5">
        <f t="shared" si="290"/>
        <v>0</v>
      </c>
      <c r="AJ1965" s="126" t="e">
        <v>#N/A</v>
      </c>
      <c r="AK1965" s="80">
        <f t="shared" si="287"/>
        <v>0</v>
      </c>
      <c r="AM1965" s="85"/>
    </row>
    <row r="1966" spans="1:39" hidden="1" x14ac:dyDescent="0.3">
      <c r="A1966" s="85" t="s">
        <v>34</v>
      </c>
      <c r="B1966" s="3" t="s">
        <v>35</v>
      </c>
      <c r="C1966" s="3" t="s">
        <v>47</v>
      </c>
      <c r="D1966" s="3" t="s">
        <v>63</v>
      </c>
      <c r="E1966" s="3" t="s">
        <v>220</v>
      </c>
      <c r="F1966" s="3" t="s">
        <v>220</v>
      </c>
      <c r="G1966" s="3" t="s">
        <v>220</v>
      </c>
      <c r="I1966" s="3" t="s">
        <v>2572</v>
      </c>
      <c r="J1966" s="1" t="s">
        <v>3327</v>
      </c>
      <c r="K1966" s="1" t="s">
        <v>3284</v>
      </c>
      <c r="L1966" s="1" t="s">
        <v>35</v>
      </c>
      <c r="M1966" s="3" t="s">
        <v>896</v>
      </c>
      <c r="O1966" s="1" t="s">
        <v>410</v>
      </c>
      <c r="P1966" s="1" t="s">
        <v>41</v>
      </c>
      <c r="Q1966" s="2">
        <v>0</v>
      </c>
      <c r="R1966" s="138">
        <v>600000916</v>
      </c>
      <c r="T1966" s="4">
        <v>4578070.7200000016</v>
      </c>
      <c r="U1966" s="4">
        <v>-10600000</v>
      </c>
      <c r="V1966" s="4">
        <v>-6021929.2799999984</v>
      </c>
      <c r="W1966" s="13">
        <f t="shared" si="280"/>
        <v>0</v>
      </c>
      <c r="X1966" s="13">
        <f t="shared" si="288"/>
        <v>-6021929.2799999984</v>
      </c>
      <c r="Y1966" s="13">
        <f t="shared" si="283"/>
        <v>0</v>
      </c>
      <c r="Z1966" s="2">
        <v>0</v>
      </c>
      <c r="AA1966" s="4">
        <v>0</v>
      </c>
      <c r="AB1966" s="4">
        <f t="shared" si="284"/>
        <v>-6021929.2799999984</v>
      </c>
      <c r="AC1966" s="6">
        <f t="shared" si="285"/>
        <v>0</v>
      </c>
      <c r="AD1966" s="13">
        <f t="shared" si="289"/>
        <v>-6021929.2799999984</v>
      </c>
      <c r="AE1966" s="2">
        <v>0</v>
      </c>
      <c r="AF1966" s="5">
        <f t="shared" si="286"/>
        <v>0</v>
      </c>
      <c r="AG1966" s="2">
        <v>0</v>
      </c>
      <c r="AH1966" s="5">
        <f t="shared" si="290"/>
        <v>-6021929.2799999984</v>
      </c>
      <c r="AJ1966" s="126" t="e">
        <v>#N/A</v>
      </c>
      <c r="AK1966" s="80">
        <f t="shared" si="287"/>
        <v>0</v>
      </c>
      <c r="AM1966" s="85"/>
    </row>
    <row r="1967" spans="1:39" hidden="1" x14ac:dyDescent="0.3">
      <c r="A1967" s="85" t="s">
        <v>34</v>
      </c>
      <c r="B1967" s="3" t="s">
        <v>35</v>
      </c>
      <c r="C1967" s="3" t="s">
        <v>47</v>
      </c>
      <c r="D1967" s="3" t="s">
        <v>63</v>
      </c>
      <c r="E1967" s="3" t="s">
        <v>2581</v>
      </c>
      <c r="F1967" s="3" t="s">
        <v>2581</v>
      </c>
      <c r="G1967" s="3" t="s">
        <v>2581</v>
      </c>
      <c r="I1967" s="3" t="s">
        <v>2572</v>
      </c>
      <c r="J1967" s="1" t="s">
        <v>3327</v>
      </c>
      <c r="K1967" s="1" t="s">
        <v>3284</v>
      </c>
      <c r="L1967" s="1" t="s">
        <v>35</v>
      </c>
      <c r="M1967" s="3" t="s">
        <v>70</v>
      </c>
      <c r="O1967" s="1" t="s">
        <v>410</v>
      </c>
      <c r="P1967" s="1" t="s">
        <v>41</v>
      </c>
      <c r="Q1967" s="2">
        <v>0</v>
      </c>
      <c r="R1967" s="138">
        <v>400001058</v>
      </c>
      <c r="T1967" s="4">
        <v>752386.51</v>
      </c>
      <c r="U1967" s="4">
        <v>100000</v>
      </c>
      <c r="V1967" s="4">
        <v>851082.68</v>
      </c>
      <c r="W1967" s="13">
        <f t="shared" si="280"/>
        <v>1303.8299999999581</v>
      </c>
      <c r="X1967" s="13">
        <f t="shared" si="288"/>
        <v>851082.68</v>
      </c>
      <c r="Y1967" s="13">
        <f t="shared" si="283"/>
        <v>0</v>
      </c>
      <c r="Z1967" s="2">
        <v>0.03</v>
      </c>
      <c r="AA1967" s="4">
        <f>X1967*Z1967</f>
        <v>25532.4804</v>
      </c>
      <c r="AB1967" s="4">
        <f t="shared" si="284"/>
        <v>876615.16040000005</v>
      </c>
      <c r="AC1967" s="6">
        <f t="shared" si="285"/>
        <v>0</v>
      </c>
      <c r="AD1967" s="13">
        <f t="shared" si="289"/>
        <v>851082.68</v>
      </c>
      <c r="AE1967" s="2">
        <v>0</v>
      </c>
      <c r="AF1967" s="5">
        <f t="shared" si="286"/>
        <v>0</v>
      </c>
      <c r="AG1967" s="2">
        <v>0</v>
      </c>
      <c r="AH1967" s="5">
        <f t="shared" si="290"/>
        <v>851082.68</v>
      </c>
      <c r="AJ1967" s="126" t="e">
        <v>#N/A</v>
      </c>
      <c r="AK1967" s="80">
        <f t="shared" si="287"/>
        <v>0</v>
      </c>
      <c r="AM1967" s="85"/>
    </row>
    <row r="1968" spans="1:39" hidden="1" x14ac:dyDescent="0.3">
      <c r="A1968" s="85" t="s">
        <v>34</v>
      </c>
      <c r="B1968" s="3" t="s">
        <v>35</v>
      </c>
      <c r="C1968" s="3" t="s">
        <v>47</v>
      </c>
      <c r="D1968" s="3" t="s">
        <v>63</v>
      </c>
      <c r="E1968" s="3" t="s">
        <v>90</v>
      </c>
      <c r="F1968" s="3" t="s">
        <v>90</v>
      </c>
      <c r="G1968" s="3" t="s">
        <v>90</v>
      </c>
      <c r="I1968" s="3" t="s">
        <v>2572</v>
      </c>
      <c r="J1968" s="1" t="s">
        <v>3327</v>
      </c>
      <c r="K1968" s="1" t="s">
        <v>3284</v>
      </c>
      <c r="L1968" s="1" t="s">
        <v>35</v>
      </c>
      <c r="M1968" s="3" t="s">
        <v>896</v>
      </c>
      <c r="O1968" s="1" t="s">
        <v>410</v>
      </c>
      <c r="P1968" s="1" t="s">
        <v>41</v>
      </c>
      <c r="Q1968" s="2">
        <v>0</v>
      </c>
      <c r="R1968" s="138">
        <v>600000916</v>
      </c>
      <c r="T1968" s="4">
        <v>0</v>
      </c>
      <c r="U1968" s="4">
        <v>10600000</v>
      </c>
      <c r="V1968" s="4">
        <v>10600000</v>
      </c>
      <c r="W1968" s="13">
        <f t="shared" si="280"/>
        <v>0</v>
      </c>
      <c r="X1968" s="13">
        <f t="shared" si="288"/>
        <v>10600000</v>
      </c>
      <c r="Y1968" s="13">
        <f t="shared" si="283"/>
        <v>0</v>
      </c>
      <c r="Z1968" s="2">
        <v>0</v>
      </c>
      <c r="AA1968" s="4">
        <v>0</v>
      </c>
      <c r="AB1968" s="4">
        <f t="shared" si="284"/>
        <v>10600000</v>
      </c>
      <c r="AC1968" s="6">
        <f t="shared" si="285"/>
        <v>0</v>
      </c>
      <c r="AD1968" s="13">
        <f t="shared" si="289"/>
        <v>10600000</v>
      </c>
      <c r="AE1968" s="2">
        <v>0</v>
      </c>
      <c r="AF1968" s="5">
        <f t="shared" si="286"/>
        <v>0</v>
      </c>
      <c r="AG1968" s="2">
        <v>0</v>
      </c>
      <c r="AH1968" s="5">
        <f t="shared" si="290"/>
        <v>10600000</v>
      </c>
      <c r="AJ1968" s="126" t="e">
        <v>#N/A</v>
      </c>
      <c r="AK1968" s="80">
        <f t="shared" si="287"/>
        <v>0</v>
      </c>
      <c r="AM1968" s="85"/>
    </row>
    <row r="1969" spans="1:39" hidden="1" x14ac:dyDescent="0.3">
      <c r="A1969" s="85" t="s">
        <v>34</v>
      </c>
      <c r="B1969" s="3" t="s">
        <v>35</v>
      </c>
      <c r="C1969" s="3" t="s">
        <v>47</v>
      </c>
      <c r="D1969" s="3" t="s">
        <v>48</v>
      </c>
      <c r="E1969" s="3" t="s">
        <v>49</v>
      </c>
      <c r="F1969" s="3" t="s">
        <v>49</v>
      </c>
      <c r="G1969" s="3" t="s">
        <v>49</v>
      </c>
      <c r="I1969" s="3" t="s">
        <v>2572</v>
      </c>
      <c r="J1969" s="1" t="s">
        <v>3327</v>
      </c>
      <c r="K1969" s="1" t="s">
        <v>3284</v>
      </c>
      <c r="L1969" s="1" t="s">
        <v>35</v>
      </c>
      <c r="M1969" s="3" t="s">
        <v>49</v>
      </c>
      <c r="O1969" s="1" t="s">
        <v>410</v>
      </c>
      <c r="P1969" s="1" t="s">
        <v>41</v>
      </c>
      <c r="Q1969" s="2">
        <v>0</v>
      </c>
      <c r="R1969" s="138">
        <v>100000504</v>
      </c>
      <c r="T1969" s="4">
        <v>29958.060000000012</v>
      </c>
      <c r="U1969" s="4">
        <v>66501.56</v>
      </c>
      <c r="V1969" s="4">
        <v>66301.149999999994</v>
      </c>
      <c r="W1969" s="13">
        <f t="shared" si="280"/>
        <v>30158.470000000016</v>
      </c>
      <c r="X1969" s="13">
        <f t="shared" si="288"/>
        <v>66301.149999999994</v>
      </c>
      <c r="Y1969" s="13">
        <f t="shared" si="283"/>
        <v>0</v>
      </c>
      <c r="Z1969" s="2">
        <v>0</v>
      </c>
      <c r="AA1969" s="4">
        <v>0</v>
      </c>
      <c r="AB1969" s="4">
        <f t="shared" si="284"/>
        <v>66301.149999999994</v>
      </c>
      <c r="AC1969" s="6">
        <f t="shared" si="285"/>
        <v>0</v>
      </c>
      <c r="AD1969" s="13">
        <f t="shared" si="289"/>
        <v>66301.149999999994</v>
      </c>
      <c r="AE1969" s="2">
        <v>0</v>
      </c>
      <c r="AF1969" s="5">
        <f t="shared" si="286"/>
        <v>0</v>
      </c>
      <c r="AG1969" s="2">
        <v>0</v>
      </c>
      <c r="AH1969" s="5">
        <f t="shared" si="290"/>
        <v>66301.149999999994</v>
      </c>
      <c r="AJ1969" s="126" t="e">
        <v>#N/A</v>
      </c>
      <c r="AK1969" s="80">
        <f t="shared" si="287"/>
        <v>0</v>
      </c>
      <c r="AM1969" s="85"/>
    </row>
    <row r="1970" spans="1:39" hidden="1" x14ac:dyDescent="0.3">
      <c r="A1970" s="85" t="s">
        <v>34</v>
      </c>
      <c r="B1970" s="3" t="s">
        <v>35</v>
      </c>
      <c r="C1970" s="3" t="s">
        <v>144</v>
      </c>
      <c r="D1970" s="3" t="s">
        <v>145</v>
      </c>
      <c r="E1970" s="3" t="s">
        <v>1457</v>
      </c>
      <c r="F1970" s="3" t="s">
        <v>1458</v>
      </c>
      <c r="G1970" s="3" t="s">
        <v>1457</v>
      </c>
      <c r="I1970" s="3" t="s">
        <v>2572</v>
      </c>
      <c r="J1970" s="1" t="s">
        <v>3327</v>
      </c>
      <c r="K1970" s="1" t="s">
        <v>3284</v>
      </c>
      <c r="L1970" s="1" t="s">
        <v>35</v>
      </c>
      <c r="M1970" s="3" t="s">
        <v>1457</v>
      </c>
      <c r="O1970" s="1" t="s">
        <v>410</v>
      </c>
      <c r="P1970" s="1" t="s">
        <v>41</v>
      </c>
      <c r="Q1970" s="2">
        <v>0</v>
      </c>
      <c r="R1970" s="138">
        <v>400002162</v>
      </c>
      <c r="T1970" s="4">
        <v>22365.959999999992</v>
      </c>
      <c r="U1970" s="4">
        <v>19000</v>
      </c>
      <c r="V1970" s="4">
        <v>29080.2</v>
      </c>
      <c r="W1970" s="13">
        <f t="shared" si="280"/>
        <v>12285.759999999991</v>
      </c>
      <c r="X1970" s="13">
        <f t="shared" si="288"/>
        <v>29080.2</v>
      </c>
      <c r="Y1970" s="13">
        <f t="shared" si="283"/>
        <v>0</v>
      </c>
      <c r="Z1970" s="2">
        <v>0.05</v>
      </c>
      <c r="AA1970" s="4">
        <f>X1970/(1-Z1970)*Z1970</f>
        <v>1530.5368421052635</v>
      </c>
      <c r="AB1970" s="4">
        <f t="shared" si="284"/>
        <v>30610.736842105263</v>
      </c>
      <c r="AC1970" s="6">
        <f t="shared" si="285"/>
        <v>0</v>
      </c>
      <c r="AD1970" s="13">
        <f t="shared" si="289"/>
        <v>29080.2</v>
      </c>
      <c r="AE1970" s="2">
        <v>0</v>
      </c>
      <c r="AF1970" s="5">
        <f t="shared" si="286"/>
        <v>0</v>
      </c>
      <c r="AG1970" s="2">
        <v>0</v>
      </c>
      <c r="AH1970" s="5">
        <f t="shared" si="290"/>
        <v>29080.2</v>
      </c>
      <c r="AJ1970" s="126" t="e">
        <v>#N/A</v>
      </c>
      <c r="AK1970" s="80">
        <f t="shared" si="287"/>
        <v>0</v>
      </c>
      <c r="AM1970" s="85"/>
    </row>
    <row r="1971" spans="1:39" hidden="1" x14ac:dyDescent="0.3">
      <c r="A1971" s="85" t="s">
        <v>34</v>
      </c>
      <c r="B1971" s="3" t="s">
        <v>35</v>
      </c>
      <c r="C1971" s="3" t="s">
        <v>144</v>
      </c>
      <c r="D1971" s="3" t="s">
        <v>152</v>
      </c>
      <c r="E1971" s="3" t="s">
        <v>1468</v>
      </c>
      <c r="F1971" s="3" t="s">
        <v>1468</v>
      </c>
      <c r="G1971" s="3" t="s">
        <v>1468</v>
      </c>
      <c r="I1971" s="3" t="s">
        <v>2572</v>
      </c>
      <c r="J1971" s="1" t="s">
        <v>3327</v>
      </c>
      <c r="K1971" s="1" t="s">
        <v>3284</v>
      </c>
      <c r="L1971" s="1" t="s">
        <v>35</v>
      </c>
      <c r="M1971" s="3" t="s">
        <v>1468</v>
      </c>
      <c r="O1971" s="1" t="s">
        <v>410</v>
      </c>
      <c r="P1971" s="1" t="s">
        <v>41</v>
      </c>
      <c r="Q1971" s="2">
        <v>0</v>
      </c>
      <c r="R1971" s="138">
        <v>300000554</v>
      </c>
      <c r="T1971" s="4">
        <v>30673.850000000035</v>
      </c>
      <c r="U1971" s="4">
        <v>100000</v>
      </c>
      <c r="V1971" s="4">
        <v>104819.67</v>
      </c>
      <c r="W1971" s="13">
        <f t="shared" si="280"/>
        <v>25854.180000000037</v>
      </c>
      <c r="X1971" s="13">
        <f t="shared" si="288"/>
        <v>104819.67</v>
      </c>
      <c r="Y1971" s="13">
        <f t="shared" si="283"/>
        <v>0</v>
      </c>
      <c r="Z1971" s="2">
        <v>0.03</v>
      </c>
      <c r="AA1971" s="4">
        <f>X1971*Z1971</f>
        <v>3144.5900999999999</v>
      </c>
      <c r="AB1971" s="4">
        <f t="shared" si="284"/>
        <v>107964.2601</v>
      </c>
      <c r="AC1971" s="6">
        <f t="shared" si="285"/>
        <v>0</v>
      </c>
      <c r="AD1971" s="13">
        <f t="shared" si="289"/>
        <v>104819.67</v>
      </c>
      <c r="AE1971" s="2">
        <v>0</v>
      </c>
      <c r="AF1971" s="5">
        <f t="shared" si="286"/>
        <v>0</v>
      </c>
      <c r="AG1971" s="2">
        <v>0</v>
      </c>
      <c r="AH1971" s="5">
        <f t="shared" si="290"/>
        <v>104819.67</v>
      </c>
      <c r="AJ1971" s="126" t="e">
        <v>#N/A</v>
      </c>
      <c r="AK1971" s="80">
        <f t="shared" si="287"/>
        <v>0</v>
      </c>
      <c r="AM1971" s="85"/>
    </row>
    <row r="1972" spans="1:39" hidden="1" x14ac:dyDescent="0.3">
      <c r="A1972" s="85" t="s">
        <v>34</v>
      </c>
      <c r="B1972" s="3" t="s">
        <v>35</v>
      </c>
      <c r="C1972" s="3" t="s">
        <v>164</v>
      </c>
      <c r="D1972" s="3" t="s">
        <v>165</v>
      </c>
      <c r="E1972" s="3" t="s">
        <v>1554</v>
      </c>
      <c r="F1972" s="3" t="s">
        <v>1555</v>
      </c>
      <c r="G1972" s="3" t="s">
        <v>1554</v>
      </c>
      <c r="H1972" s="138"/>
      <c r="I1972" s="3" t="s">
        <v>2572</v>
      </c>
      <c r="J1972" s="1" t="s">
        <v>3327</v>
      </c>
      <c r="K1972" s="1" t="s">
        <v>3284</v>
      </c>
      <c r="L1972" s="1" t="s">
        <v>35</v>
      </c>
      <c r="M1972" s="3" t="s">
        <v>1554</v>
      </c>
      <c r="O1972" s="1" t="s">
        <v>410</v>
      </c>
      <c r="P1972" s="1" t="s">
        <v>41</v>
      </c>
      <c r="Q1972" s="2">
        <v>0</v>
      </c>
      <c r="R1972" s="138">
        <v>400003597</v>
      </c>
      <c r="T1972" s="4">
        <v>273588.16000000003</v>
      </c>
      <c r="U1972" s="4">
        <v>-19038.560000000001</v>
      </c>
      <c r="V1972" s="4">
        <v>0</v>
      </c>
      <c r="W1972" s="13">
        <f t="shared" si="280"/>
        <v>254549.60000000003</v>
      </c>
      <c r="X1972" s="13">
        <f t="shared" si="288"/>
        <v>0</v>
      </c>
      <c r="Y1972" s="13">
        <f t="shared" si="283"/>
        <v>0</v>
      </c>
      <c r="Z1972" s="2">
        <v>0.03</v>
      </c>
      <c r="AA1972" s="4">
        <f>X1972/(1-Z1972)*Z1972</f>
        <v>0</v>
      </c>
      <c r="AB1972" s="4">
        <f t="shared" si="284"/>
        <v>0</v>
      </c>
      <c r="AC1972" s="6">
        <f t="shared" si="285"/>
        <v>0</v>
      </c>
      <c r="AD1972" s="13">
        <f t="shared" si="289"/>
        <v>0</v>
      </c>
      <c r="AE1972" s="2">
        <v>0</v>
      </c>
      <c r="AF1972" s="5">
        <f t="shared" si="286"/>
        <v>0</v>
      </c>
      <c r="AG1972" s="2">
        <v>0</v>
      </c>
      <c r="AH1972" s="5">
        <f t="shared" si="290"/>
        <v>0</v>
      </c>
      <c r="AJ1972" s="126" t="e">
        <v>#N/A</v>
      </c>
      <c r="AK1972" s="80">
        <f t="shared" si="287"/>
        <v>0</v>
      </c>
      <c r="AM1972" s="85"/>
    </row>
    <row r="1973" spans="1:39" hidden="1" x14ac:dyDescent="0.3">
      <c r="A1973" s="85" t="s">
        <v>34</v>
      </c>
      <c r="B1973" s="3" t="s">
        <v>35</v>
      </c>
      <c r="C1973" s="3" t="s">
        <v>164</v>
      </c>
      <c r="D1973" s="3" t="s">
        <v>174</v>
      </c>
      <c r="E1973" s="3" t="s">
        <v>1969</v>
      </c>
      <c r="F1973" s="3" t="s">
        <v>1969</v>
      </c>
      <c r="G1973" s="3" t="s">
        <v>1969</v>
      </c>
      <c r="I1973" s="3" t="s">
        <v>2572</v>
      </c>
      <c r="J1973" s="1" t="s">
        <v>3327</v>
      </c>
      <c r="K1973" s="1" t="s">
        <v>3284</v>
      </c>
      <c r="L1973" s="1" t="s">
        <v>35</v>
      </c>
      <c r="M1973" s="3" t="s">
        <v>1971</v>
      </c>
      <c r="O1973" s="1" t="s">
        <v>410</v>
      </c>
      <c r="P1973" s="1" t="s">
        <v>41</v>
      </c>
      <c r="Q1973" s="2">
        <v>0</v>
      </c>
      <c r="R1973" s="138">
        <v>400002651</v>
      </c>
      <c r="T1973" s="4">
        <v>96108.290000000023</v>
      </c>
      <c r="U1973" s="4">
        <v>13446.28</v>
      </c>
      <c r="V1973" s="4">
        <v>69687.63</v>
      </c>
      <c r="W1973" s="13">
        <f t="shared" si="280"/>
        <v>39866.940000000017</v>
      </c>
      <c r="X1973" s="13">
        <f t="shared" si="288"/>
        <v>69687.63</v>
      </c>
      <c r="Y1973" s="13">
        <f t="shared" si="283"/>
        <v>0</v>
      </c>
      <c r="Z1973" s="2">
        <v>0</v>
      </c>
      <c r="AA1973" s="4">
        <v>0</v>
      </c>
      <c r="AB1973" s="4">
        <f t="shared" si="284"/>
        <v>69687.63</v>
      </c>
      <c r="AC1973" s="6">
        <f t="shared" si="285"/>
        <v>0</v>
      </c>
      <c r="AD1973" s="13">
        <f t="shared" si="289"/>
        <v>69687.63</v>
      </c>
      <c r="AE1973" s="2">
        <v>0</v>
      </c>
      <c r="AF1973" s="5">
        <f t="shared" si="286"/>
        <v>0</v>
      </c>
      <c r="AG1973" s="2">
        <v>0</v>
      </c>
      <c r="AH1973" s="5">
        <f t="shared" si="290"/>
        <v>69687.63</v>
      </c>
      <c r="AJ1973" s="126" t="e">
        <v>#N/A</v>
      </c>
      <c r="AK1973" s="80">
        <f t="shared" si="287"/>
        <v>0</v>
      </c>
      <c r="AM1973" s="85"/>
    </row>
    <row r="1974" spans="1:39" hidden="1" x14ac:dyDescent="0.3">
      <c r="A1974" s="85" t="s">
        <v>34</v>
      </c>
      <c r="B1974" s="3" t="s">
        <v>35</v>
      </c>
      <c r="C1974" s="3" t="s">
        <v>164</v>
      </c>
      <c r="D1974" s="3" t="s">
        <v>174</v>
      </c>
      <c r="E1974" s="3" t="s">
        <v>1969</v>
      </c>
      <c r="F1974" s="3" t="s">
        <v>1969</v>
      </c>
      <c r="G1974" s="3" t="s">
        <v>1969</v>
      </c>
      <c r="H1974" s="138"/>
      <c r="I1974" s="3" t="s">
        <v>2572</v>
      </c>
      <c r="J1974" s="1" t="s">
        <v>3327</v>
      </c>
      <c r="K1974" s="1" t="s">
        <v>3284</v>
      </c>
      <c r="L1974" s="1" t="s">
        <v>35</v>
      </c>
      <c r="M1974" s="3" t="s">
        <v>2582</v>
      </c>
      <c r="O1974" s="1" t="s">
        <v>410</v>
      </c>
      <c r="P1974" s="1" t="s">
        <v>41</v>
      </c>
      <c r="Q1974" s="2">
        <v>0</v>
      </c>
      <c r="R1974" s="138">
        <v>400003131</v>
      </c>
      <c r="T1974" s="4">
        <v>9607.6300000000083</v>
      </c>
      <c r="U1974" s="4">
        <v>-9607.6299999999992</v>
      </c>
      <c r="V1974" s="4">
        <v>0</v>
      </c>
      <c r="W1974" s="13">
        <f t="shared" si="280"/>
        <v>9.0949470177292824E-12</v>
      </c>
      <c r="X1974" s="13">
        <f t="shared" si="288"/>
        <v>0</v>
      </c>
      <c r="Y1974" s="13">
        <f t="shared" si="283"/>
        <v>0</v>
      </c>
      <c r="Z1974" s="2">
        <v>0</v>
      </c>
      <c r="AA1974" s="4">
        <v>0</v>
      </c>
      <c r="AB1974" s="4">
        <f t="shared" si="284"/>
        <v>0</v>
      </c>
      <c r="AC1974" s="6">
        <f t="shared" si="285"/>
        <v>0</v>
      </c>
      <c r="AD1974" s="13">
        <f t="shared" si="289"/>
        <v>0</v>
      </c>
      <c r="AE1974" s="2">
        <v>0</v>
      </c>
      <c r="AF1974" s="5">
        <f t="shared" si="286"/>
        <v>0</v>
      </c>
      <c r="AG1974" s="2">
        <v>0</v>
      </c>
      <c r="AH1974" s="5">
        <f t="shared" si="290"/>
        <v>0</v>
      </c>
      <c r="AJ1974" s="126" t="e">
        <v>#N/A</v>
      </c>
      <c r="AK1974" s="80">
        <f t="shared" si="287"/>
        <v>0</v>
      </c>
      <c r="AM1974" s="85"/>
    </row>
    <row r="1975" spans="1:39" hidden="1" x14ac:dyDescent="0.3">
      <c r="A1975" s="85" t="s">
        <v>34</v>
      </c>
      <c r="B1975" s="3" t="s">
        <v>35</v>
      </c>
      <c r="C1975" s="3" t="s">
        <v>164</v>
      </c>
      <c r="D1975" s="3" t="s">
        <v>174</v>
      </c>
      <c r="E1975" s="3" t="s">
        <v>1969</v>
      </c>
      <c r="F1975" s="3" t="s">
        <v>1969</v>
      </c>
      <c r="G1975" s="3" t="s">
        <v>1969</v>
      </c>
      <c r="H1975" s="138"/>
      <c r="I1975" s="3" t="s">
        <v>2572</v>
      </c>
      <c r="J1975" s="1" t="s">
        <v>3327</v>
      </c>
      <c r="K1975" s="1" t="s">
        <v>3284</v>
      </c>
      <c r="L1975" s="1" t="s">
        <v>35</v>
      </c>
      <c r="M1975" s="3" t="s">
        <v>2583</v>
      </c>
      <c r="O1975" s="1" t="s">
        <v>410</v>
      </c>
      <c r="P1975" s="1" t="s">
        <v>41</v>
      </c>
      <c r="Q1975" s="2">
        <v>0</v>
      </c>
      <c r="R1975" s="138">
        <v>400002370</v>
      </c>
      <c r="T1975" s="4">
        <v>3838.65</v>
      </c>
      <c r="U1975" s="4">
        <v>-3838.65</v>
      </c>
      <c r="V1975" s="4">
        <v>0</v>
      </c>
      <c r="W1975" s="13">
        <f t="shared" si="280"/>
        <v>0</v>
      </c>
      <c r="X1975" s="13">
        <f t="shared" si="288"/>
        <v>0</v>
      </c>
      <c r="Y1975" s="13">
        <f t="shared" si="283"/>
        <v>0</v>
      </c>
      <c r="Z1975" s="2">
        <v>0</v>
      </c>
      <c r="AA1975" s="4">
        <v>0</v>
      </c>
      <c r="AB1975" s="4">
        <f t="shared" si="284"/>
        <v>0</v>
      </c>
      <c r="AC1975" s="6">
        <f t="shared" si="285"/>
        <v>0</v>
      </c>
      <c r="AD1975" s="13">
        <f t="shared" si="289"/>
        <v>0</v>
      </c>
      <c r="AE1975" s="2">
        <v>0</v>
      </c>
      <c r="AF1975" s="5">
        <f t="shared" si="286"/>
        <v>0</v>
      </c>
      <c r="AG1975" s="2">
        <v>0</v>
      </c>
      <c r="AH1975" s="5">
        <f t="shared" si="290"/>
        <v>0</v>
      </c>
      <c r="AJ1975" s="126" t="e">
        <v>#N/A</v>
      </c>
      <c r="AK1975" s="80">
        <f t="shared" si="287"/>
        <v>0</v>
      </c>
      <c r="AM1975" s="85"/>
    </row>
    <row r="1976" spans="1:39" hidden="1" x14ac:dyDescent="0.3">
      <c r="A1976" s="85" t="s">
        <v>34</v>
      </c>
      <c r="B1976" s="3" t="s">
        <v>35</v>
      </c>
      <c r="C1976" s="3" t="s">
        <v>184</v>
      </c>
      <c r="D1976" s="3" t="s">
        <v>185</v>
      </c>
      <c r="E1976" s="3" t="s">
        <v>637</v>
      </c>
      <c r="F1976" s="3" t="s">
        <v>637</v>
      </c>
      <c r="G1976" s="3" t="s">
        <v>637</v>
      </c>
      <c r="I1976" s="3" t="s">
        <v>2572</v>
      </c>
      <c r="J1976" s="1" t="s">
        <v>3327</v>
      </c>
      <c r="K1976" s="1" t="s">
        <v>3284</v>
      </c>
      <c r="L1976" s="1" t="s">
        <v>35</v>
      </c>
      <c r="M1976" s="3" t="s">
        <v>2584</v>
      </c>
      <c r="O1976" s="1" t="s">
        <v>410</v>
      </c>
      <c r="P1976" s="1" t="s">
        <v>41</v>
      </c>
      <c r="Q1976" s="2">
        <v>0</v>
      </c>
      <c r="R1976" s="138">
        <v>400002932</v>
      </c>
      <c r="T1976" s="4">
        <v>7548529.1100000031</v>
      </c>
      <c r="U1976" s="4">
        <v>0</v>
      </c>
      <c r="V1976" s="4">
        <v>7548529.1100000031</v>
      </c>
      <c r="W1976" s="13">
        <f t="shared" si="280"/>
        <v>0</v>
      </c>
      <c r="X1976" s="13">
        <f t="shared" si="288"/>
        <v>7548529.1100000031</v>
      </c>
      <c r="Y1976" s="13">
        <f t="shared" si="283"/>
        <v>0</v>
      </c>
      <c r="Z1976" s="2">
        <v>0</v>
      </c>
      <c r="AA1976" s="4">
        <v>0</v>
      </c>
      <c r="AB1976" s="4">
        <f t="shared" si="284"/>
        <v>7548529.1100000031</v>
      </c>
      <c r="AC1976" s="6">
        <f t="shared" si="285"/>
        <v>0</v>
      </c>
      <c r="AD1976" s="13">
        <f t="shared" si="289"/>
        <v>7548529.1100000031</v>
      </c>
      <c r="AE1976" s="2">
        <v>0</v>
      </c>
      <c r="AF1976" s="5">
        <f t="shared" si="286"/>
        <v>0</v>
      </c>
      <c r="AG1976" s="2">
        <v>0</v>
      </c>
      <c r="AH1976" s="5">
        <f t="shared" si="290"/>
        <v>7548529.1100000031</v>
      </c>
      <c r="AJ1976" s="126" t="e">
        <v>#N/A</v>
      </c>
      <c r="AK1976" s="80">
        <f t="shared" si="287"/>
        <v>0</v>
      </c>
      <c r="AM1976" s="85"/>
    </row>
    <row r="1977" spans="1:39" hidden="1" x14ac:dyDescent="0.3">
      <c r="A1977" s="85" t="s">
        <v>34</v>
      </c>
      <c r="B1977" s="3" t="s">
        <v>35</v>
      </c>
      <c r="C1977" s="3" t="s">
        <v>184</v>
      </c>
      <c r="D1977" s="3" t="s">
        <v>298</v>
      </c>
      <c r="E1977" s="3" t="s">
        <v>1838</v>
      </c>
      <c r="F1977" s="3" t="s">
        <v>1838</v>
      </c>
      <c r="G1977" s="3" t="s">
        <v>1838</v>
      </c>
      <c r="H1977" s="138"/>
      <c r="I1977" s="3" t="s">
        <v>2572</v>
      </c>
      <c r="J1977" s="1" t="s">
        <v>3327</v>
      </c>
      <c r="K1977" s="1" t="s">
        <v>3284</v>
      </c>
      <c r="L1977" s="1" t="s">
        <v>35</v>
      </c>
      <c r="M1977" s="3" t="s">
        <v>2585</v>
      </c>
      <c r="O1977" s="1" t="s">
        <v>410</v>
      </c>
      <c r="P1977" s="1" t="s">
        <v>41</v>
      </c>
      <c r="Q1977" s="2">
        <v>0</v>
      </c>
      <c r="R1977" s="138">
        <v>400001248</v>
      </c>
      <c r="T1977" s="4">
        <v>0</v>
      </c>
      <c r="U1977" s="4">
        <v>0</v>
      </c>
      <c r="V1977" s="4">
        <v>0</v>
      </c>
      <c r="W1977" s="13">
        <f t="shared" si="280"/>
        <v>0</v>
      </c>
      <c r="X1977" s="13">
        <f t="shared" si="288"/>
        <v>0</v>
      </c>
      <c r="Y1977" s="13">
        <f t="shared" si="283"/>
        <v>0</v>
      </c>
      <c r="Z1977" s="2">
        <v>0</v>
      </c>
      <c r="AA1977" s="4">
        <v>0</v>
      </c>
      <c r="AB1977" s="4">
        <f t="shared" si="284"/>
        <v>0</v>
      </c>
      <c r="AC1977" s="6">
        <f t="shared" si="285"/>
        <v>0</v>
      </c>
      <c r="AD1977" s="13">
        <f t="shared" si="289"/>
        <v>0</v>
      </c>
      <c r="AE1977" s="2">
        <v>0</v>
      </c>
      <c r="AF1977" s="5">
        <f t="shared" si="286"/>
        <v>0</v>
      </c>
      <c r="AG1977" s="2">
        <v>0</v>
      </c>
      <c r="AH1977" s="5">
        <f t="shared" si="290"/>
        <v>0</v>
      </c>
      <c r="AJ1977" s="126" t="e">
        <v>#N/A</v>
      </c>
      <c r="AK1977" s="80">
        <f t="shared" si="287"/>
        <v>0</v>
      </c>
      <c r="AM1977" s="85"/>
    </row>
    <row r="1978" spans="1:39" hidden="1" x14ac:dyDescent="0.3">
      <c r="A1978" s="85" t="s">
        <v>34</v>
      </c>
      <c r="B1978" s="3" t="s">
        <v>701</v>
      </c>
      <c r="C1978" s="3" t="s">
        <v>65</v>
      </c>
      <c r="D1978" s="3" t="s">
        <v>122</v>
      </c>
      <c r="E1978" s="3" t="s">
        <v>702</v>
      </c>
      <c r="F1978" s="3" t="s">
        <v>703</v>
      </c>
      <c r="G1978" s="3" t="s">
        <v>704</v>
      </c>
      <c r="I1978" s="3" t="s">
        <v>2572</v>
      </c>
      <c r="J1978" s="1" t="s">
        <v>3327</v>
      </c>
      <c r="K1978" s="1" t="s">
        <v>3284</v>
      </c>
      <c r="L1978" s="1" t="s">
        <v>35</v>
      </c>
      <c r="M1978" s="3" t="s">
        <v>702</v>
      </c>
      <c r="O1978" s="1" t="s">
        <v>410</v>
      </c>
      <c r="P1978" s="1" t="s">
        <v>41</v>
      </c>
      <c r="Q1978" s="2">
        <v>0</v>
      </c>
      <c r="R1978" s="138">
        <v>400001033</v>
      </c>
      <c r="T1978" s="4">
        <v>36299.479999999981</v>
      </c>
      <c r="U1978" s="4">
        <v>384466.02</v>
      </c>
      <c r="V1978" s="4">
        <v>339380.3</v>
      </c>
      <c r="W1978" s="13">
        <f t="shared" si="280"/>
        <v>81385.200000000012</v>
      </c>
      <c r="X1978" s="13">
        <f t="shared" si="288"/>
        <v>339380.3</v>
      </c>
      <c r="Y1978" s="13">
        <f t="shared" si="283"/>
        <v>0</v>
      </c>
      <c r="Z1978" s="2">
        <v>0.03</v>
      </c>
      <c r="AA1978" s="4">
        <f t="shared" ref="AA1978:AA1979" si="293">X1978*Z1978</f>
        <v>10181.409</v>
      </c>
      <c r="AB1978" s="4">
        <f t="shared" si="284"/>
        <v>349561.70899999997</v>
      </c>
      <c r="AC1978" s="6">
        <f t="shared" si="285"/>
        <v>0</v>
      </c>
      <c r="AD1978" s="13">
        <f t="shared" si="289"/>
        <v>339380.3</v>
      </c>
      <c r="AE1978" s="2">
        <v>0</v>
      </c>
      <c r="AF1978" s="5">
        <f t="shared" si="286"/>
        <v>0</v>
      </c>
      <c r="AG1978" s="2">
        <v>0</v>
      </c>
      <c r="AH1978" s="5">
        <f t="shared" si="290"/>
        <v>339380.3</v>
      </c>
      <c r="AJ1978" s="126" t="e">
        <v>#N/A</v>
      </c>
      <c r="AK1978" s="80">
        <f t="shared" si="287"/>
        <v>0</v>
      </c>
      <c r="AM1978" s="85"/>
    </row>
    <row r="1979" spans="1:39" hidden="1" x14ac:dyDescent="0.3">
      <c r="A1979" s="85" t="s">
        <v>34</v>
      </c>
      <c r="B1979" s="15" t="s">
        <v>35</v>
      </c>
      <c r="C1979" s="15" t="s">
        <v>65</v>
      </c>
      <c r="D1979" s="15" t="s">
        <v>66</v>
      </c>
      <c r="E1979" s="15" t="s">
        <v>713</v>
      </c>
      <c r="F1979" s="15" t="s">
        <v>713</v>
      </c>
      <c r="G1979" s="15" t="s">
        <v>713</v>
      </c>
      <c r="H1979" s="139"/>
      <c r="I1979" s="15" t="s">
        <v>2572</v>
      </c>
      <c r="J1979" s="1" t="s">
        <v>3327</v>
      </c>
      <c r="K1979" s="1" t="s">
        <v>3284</v>
      </c>
      <c r="L1979" s="1" t="s">
        <v>35</v>
      </c>
      <c r="M1979" s="15" t="s">
        <v>1874</v>
      </c>
      <c r="N1979" s="15"/>
      <c r="O1979" s="8" t="s">
        <v>410</v>
      </c>
      <c r="P1979" s="8" t="s">
        <v>41</v>
      </c>
      <c r="Q1979" s="9">
        <v>0</v>
      </c>
      <c r="R1979" s="139">
        <v>600004428</v>
      </c>
      <c r="T1979" s="18">
        <v>9708.74</v>
      </c>
      <c r="U1979" s="4">
        <v>0</v>
      </c>
      <c r="V1979" s="4">
        <v>0</v>
      </c>
      <c r="W1979" s="13">
        <f t="shared" si="280"/>
        <v>9708.74</v>
      </c>
      <c r="X1979" s="13">
        <f t="shared" si="288"/>
        <v>0</v>
      </c>
      <c r="Y1979" s="13">
        <f t="shared" si="283"/>
        <v>0</v>
      </c>
      <c r="Z1979" s="2">
        <v>0.03</v>
      </c>
      <c r="AA1979" s="4">
        <f t="shared" si="293"/>
        <v>0</v>
      </c>
      <c r="AB1979" s="4">
        <f t="shared" si="284"/>
        <v>0</v>
      </c>
      <c r="AC1979" s="6">
        <f t="shared" si="285"/>
        <v>0</v>
      </c>
      <c r="AD1979" s="13">
        <f t="shared" si="289"/>
        <v>0</v>
      </c>
      <c r="AE1979" s="2">
        <v>0</v>
      </c>
      <c r="AF1979" s="5">
        <f t="shared" si="286"/>
        <v>0</v>
      </c>
      <c r="AG1979" s="2">
        <v>0</v>
      </c>
      <c r="AH1979" s="5">
        <f t="shared" si="290"/>
        <v>0</v>
      </c>
      <c r="AJ1979" s="126" t="e">
        <v>#N/A</v>
      </c>
      <c r="AK1979" s="80">
        <f t="shared" si="287"/>
        <v>0</v>
      </c>
      <c r="AM1979" s="85"/>
    </row>
    <row r="1980" spans="1:39" hidden="1" x14ac:dyDescent="0.3">
      <c r="A1980" s="85" t="s">
        <v>34</v>
      </c>
      <c r="B1980" s="15" t="s">
        <v>35</v>
      </c>
      <c r="C1980" s="15" t="s">
        <v>47</v>
      </c>
      <c r="D1980" s="15" t="s">
        <v>48</v>
      </c>
      <c r="E1980" s="15" t="s">
        <v>1349</v>
      </c>
      <c r="F1980" s="15" t="s">
        <v>2586</v>
      </c>
      <c r="G1980" s="15" t="s">
        <v>1349</v>
      </c>
      <c r="H1980" s="154"/>
      <c r="I1980" s="15" t="s">
        <v>2572</v>
      </c>
      <c r="J1980" s="1" t="s">
        <v>3327</v>
      </c>
      <c r="K1980" s="1" t="s">
        <v>3284</v>
      </c>
      <c r="L1980" s="1" t="s">
        <v>35</v>
      </c>
      <c r="M1980" s="15" t="s">
        <v>627</v>
      </c>
      <c r="N1980" s="15"/>
      <c r="O1980" s="8" t="s">
        <v>410</v>
      </c>
      <c r="P1980" s="8" t="s">
        <v>41</v>
      </c>
      <c r="Q1980" s="9">
        <v>0</v>
      </c>
      <c r="R1980" s="139">
        <v>100000508</v>
      </c>
      <c r="T1980" s="18">
        <v>1055474.47</v>
      </c>
      <c r="U1980" s="4">
        <v>0</v>
      </c>
      <c r="V1980" s="4">
        <v>160867.78</v>
      </c>
      <c r="W1980" s="13">
        <f t="shared" si="280"/>
        <v>894606.69</v>
      </c>
      <c r="X1980" s="13">
        <f t="shared" si="288"/>
        <v>160867.78</v>
      </c>
      <c r="Y1980" s="13">
        <f t="shared" si="283"/>
        <v>0</v>
      </c>
      <c r="Z1980" s="2">
        <v>0</v>
      </c>
      <c r="AA1980" s="4">
        <v>0</v>
      </c>
      <c r="AB1980" s="4">
        <f t="shared" si="284"/>
        <v>160867.78</v>
      </c>
      <c r="AC1980" s="6">
        <f t="shared" si="285"/>
        <v>0</v>
      </c>
      <c r="AD1980" s="13">
        <f t="shared" si="289"/>
        <v>160867.78</v>
      </c>
      <c r="AE1980" s="2">
        <v>0</v>
      </c>
      <c r="AF1980" s="5">
        <f t="shared" si="286"/>
        <v>0</v>
      </c>
      <c r="AG1980" s="2">
        <v>0</v>
      </c>
      <c r="AH1980" s="5">
        <f t="shared" si="290"/>
        <v>160867.78</v>
      </c>
      <c r="AJ1980" s="126" t="e">
        <v>#N/A</v>
      </c>
      <c r="AK1980" s="80">
        <f t="shared" si="287"/>
        <v>0</v>
      </c>
      <c r="AM1980" s="85"/>
    </row>
    <row r="1981" spans="1:39" hidden="1" x14ac:dyDescent="0.3">
      <c r="A1981" s="85" t="s">
        <v>34</v>
      </c>
      <c r="B1981" s="15" t="s">
        <v>35</v>
      </c>
      <c r="C1981" s="15" t="s">
        <v>47</v>
      </c>
      <c r="D1981" s="15" t="s">
        <v>48</v>
      </c>
      <c r="E1981" s="15" t="s">
        <v>1916</v>
      </c>
      <c r="F1981" s="15" t="s">
        <v>1916</v>
      </c>
      <c r="G1981" s="15" t="s">
        <v>1916</v>
      </c>
      <c r="H1981" s="154"/>
      <c r="I1981" s="15" t="s">
        <v>2572</v>
      </c>
      <c r="J1981" s="1" t="s">
        <v>3327</v>
      </c>
      <c r="K1981" s="1" t="s">
        <v>3284</v>
      </c>
      <c r="L1981" s="1" t="s">
        <v>35</v>
      </c>
      <c r="M1981" s="15" t="s">
        <v>1917</v>
      </c>
      <c r="N1981" s="15"/>
      <c r="O1981" s="8" t="s">
        <v>410</v>
      </c>
      <c r="P1981" s="8" t="s">
        <v>41</v>
      </c>
      <c r="Q1981" s="9">
        <v>0</v>
      </c>
      <c r="R1981" s="139">
        <v>400001688</v>
      </c>
      <c r="T1981" s="18">
        <v>680328.7200000002</v>
      </c>
      <c r="U1981" s="4">
        <v>0</v>
      </c>
      <c r="V1981" s="4">
        <v>680328.72</v>
      </c>
      <c r="W1981" s="13">
        <f t="shared" si="280"/>
        <v>0</v>
      </c>
      <c r="X1981" s="13">
        <f t="shared" si="288"/>
        <v>680328.72</v>
      </c>
      <c r="Y1981" s="13">
        <f t="shared" si="283"/>
        <v>0</v>
      </c>
      <c r="Z1981" s="2">
        <v>0</v>
      </c>
      <c r="AA1981" s="4">
        <v>0</v>
      </c>
      <c r="AB1981" s="4">
        <f t="shared" si="284"/>
        <v>680328.72</v>
      </c>
      <c r="AC1981" s="6">
        <f t="shared" si="285"/>
        <v>0</v>
      </c>
      <c r="AD1981" s="13">
        <f t="shared" si="289"/>
        <v>680328.72</v>
      </c>
      <c r="AE1981" s="2">
        <v>0</v>
      </c>
      <c r="AF1981" s="5">
        <f t="shared" si="286"/>
        <v>0</v>
      </c>
      <c r="AG1981" s="2">
        <v>0</v>
      </c>
      <c r="AH1981" s="5">
        <f t="shared" si="290"/>
        <v>680328.72</v>
      </c>
      <c r="AJ1981" s="126" t="e">
        <v>#N/A</v>
      </c>
      <c r="AK1981" s="80">
        <f t="shared" si="287"/>
        <v>0</v>
      </c>
      <c r="AM1981" s="85"/>
    </row>
    <row r="1982" spans="1:39" hidden="1" x14ac:dyDescent="0.3">
      <c r="A1982" s="85" t="s">
        <v>34</v>
      </c>
      <c r="B1982" s="15" t="s">
        <v>35</v>
      </c>
      <c r="C1982" s="15" t="s">
        <v>144</v>
      </c>
      <c r="D1982" s="15" t="s">
        <v>152</v>
      </c>
      <c r="E1982" s="15" t="s">
        <v>160</v>
      </c>
      <c r="F1982" s="15" t="s">
        <v>160</v>
      </c>
      <c r="G1982" s="15" t="s">
        <v>160</v>
      </c>
      <c r="H1982" s="154"/>
      <c r="I1982" s="15" t="s">
        <v>2572</v>
      </c>
      <c r="J1982" s="1" t="s">
        <v>3327</v>
      </c>
      <c r="K1982" s="1" t="s">
        <v>3284</v>
      </c>
      <c r="L1982" s="1" t="s">
        <v>35</v>
      </c>
      <c r="M1982" s="15" t="s">
        <v>160</v>
      </c>
      <c r="N1982" s="15"/>
      <c r="O1982" s="8" t="s">
        <v>410</v>
      </c>
      <c r="P1982" s="8" t="s">
        <v>41</v>
      </c>
      <c r="Q1982" s="9">
        <v>0</v>
      </c>
      <c r="R1982" s="139">
        <v>400001544</v>
      </c>
      <c r="T1982" s="18">
        <v>200627.94000000012</v>
      </c>
      <c r="U1982" s="4">
        <v>0</v>
      </c>
      <c r="V1982" s="4">
        <v>200627.94</v>
      </c>
      <c r="W1982" s="13">
        <f t="shared" si="280"/>
        <v>0</v>
      </c>
      <c r="X1982" s="13">
        <f t="shared" si="288"/>
        <v>200627.94</v>
      </c>
      <c r="Y1982" s="13">
        <f t="shared" si="283"/>
        <v>0</v>
      </c>
      <c r="Z1982" s="2">
        <v>0.03</v>
      </c>
      <c r="AA1982" s="4">
        <f>X1982*Z1982</f>
        <v>6018.8382000000001</v>
      </c>
      <c r="AB1982" s="4">
        <f t="shared" si="284"/>
        <v>206646.7782</v>
      </c>
      <c r="AC1982" s="6">
        <f t="shared" si="285"/>
        <v>0</v>
      </c>
      <c r="AD1982" s="13">
        <f t="shared" si="289"/>
        <v>200627.94</v>
      </c>
      <c r="AE1982" s="2">
        <v>0</v>
      </c>
      <c r="AF1982" s="5">
        <f t="shared" si="286"/>
        <v>0</v>
      </c>
      <c r="AG1982" s="2">
        <v>0</v>
      </c>
      <c r="AH1982" s="5">
        <f t="shared" si="290"/>
        <v>200627.94</v>
      </c>
      <c r="AJ1982" s="126" t="e">
        <v>#N/A</v>
      </c>
      <c r="AK1982" s="80">
        <f t="shared" si="287"/>
        <v>0</v>
      </c>
      <c r="AM1982" s="85"/>
    </row>
    <row r="1983" spans="1:39" hidden="1" x14ac:dyDescent="0.3">
      <c r="A1983" s="85" t="s">
        <v>34</v>
      </c>
      <c r="B1983" s="15" t="s">
        <v>35</v>
      </c>
      <c r="C1983" s="15" t="s">
        <v>164</v>
      </c>
      <c r="D1983" s="15" t="s">
        <v>165</v>
      </c>
      <c r="E1983" s="15" t="s">
        <v>2587</v>
      </c>
      <c r="F1983" s="15" t="s">
        <v>2587</v>
      </c>
      <c r="G1983" s="15" t="s">
        <v>2587</v>
      </c>
      <c r="H1983" s="139"/>
      <c r="I1983" s="15" t="s">
        <v>2572</v>
      </c>
      <c r="J1983" s="1" t="s">
        <v>3327</v>
      </c>
      <c r="K1983" s="1" t="s">
        <v>3284</v>
      </c>
      <c r="L1983" s="1" t="s">
        <v>35</v>
      </c>
      <c r="M1983" s="15" t="s">
        <v>2587</v>
      </c>
      <c r="N1983" s="15"/>
      <c r="O1983" s="8" t="s">
        <v>410</v>
      </c>
      <c r="P1983" s="8" t="s">
        <v>41</v>
      </c>
      <c r="Q1983" s="9">
        <v>0</v>
      </c>
      <c r="R1983" s="139">
        <v>600004278</v>
      </c>
      <c r="T1983" s="18">
        <v>8290.2999999999993</v>
      </c>
      <c r="U1983" s="4">
        <v>0</v>
      </c>
      <c r="V1983" s="4">
        <v>0</v>
      </c>
      <c r="W1983" s="13">
        <f t="shared" si="280"/>
        <v>8290.2999999999993</v>
      </c>
      <c r="X1983" s="13">
        <f t="shared" si="288"/>
        <v>0</v>
      </c>
      <c r="Y1983" s="13">
        <f t="shared" si="283"/>
        <v>0</v>
      </c>
      <c r="Z1983" s="2">
        <v>0.02</v>
      </c>
      <c r="AA1983" s="4">
        <f>X1983/(1-Z1983)*Z1983</f>
        <v>0</v>
      </c>
      <c r="AB1983" s="4">
        <f t="shared" si="284"/>
        <v>0</v>
      </c>
      <c r="AC1983" s="6">
        <f t="shared" si="285"/>
        <v>0</v>
      </c>
      <c r="AD1983" s="13">
        <f t="shared" si="289"/>
        <v>0</v>
      </c>
      <c r="AE1983" s="2">
        <v>0</v>
      </c>
      <c r="AF1983" s="5">
        <f t="shared" si="286"/>
        <v>0</v>
      </c>
      <c r="AG1983" s="2">
        <v>0</v>
      </c>
      <c r="AH1983" s="5">
        <f t="shared" si="290"/>
        <v>0</v>
      </c>
      <c r="AJ1983" s="126" t="e">
        <v>#N/A</v>
      </c>
      <c r="AK1983" s="80">
        <f t="shared" si="287"/>
        <v>0</v>
      </c>
      <c r="AM1983" s="85"/>
    </row>
    <row r="1984" spans="1:39" hidden="1" x14ac:dyDescent="0.3">
      <c r="A1984" s="85" t="s">
        <v>34</v>
      </c>
      <c r="B1984" s="15" t="s">
        <v>35</v>
      </c>
      <c r="C1984" s="15" t="s">
        <v>47</v>
      </c>
      <c r="D1984" s="15" t="s">
        <v>63</v>
      </c>
      <c r="E1984" s="15" t="s">
        <v>2588</v>
      </c>
      <c r="F1984" s="15" t="s">
        <v>2588</v>
      </c>
      <c r="G1984" s="15" t="s">
        <v>2588</v>
      </c>
      <c r="H1984" s="139"/>
      <c r="I1984" s="15" t="s">
        <v>2572</v>
      </c>
      <c r="J1984" s="1" t="s">
        <v>3327</v>
      </c>
      <c r="K1984" s="1" t="s">
        <v>3284</v>
      </c>
      <c r="L1984" s="1" t="s">
        <v>35</v>
      </c>
      <c r="M1984" s="15" t="s">
        <v>2169</v>
      </c>
      <c r="N1984" s="15"/>
      <c r="O1984" s="8" t="s">
        <v>410</v>
      </c>
      <c r="P1984" s="8" t="s">
        <v>41</v>
      </c>
      <c r="Q1984" s="9">
        <v>0</v>
      </c>
      <c r="R1984" s="139">
        <v>600000829</v>
      </c>
      <c r="T1984" s="18">
        <v>37743.599999999627</v>
      </c>
      <c r="U1984" s="4">
        <v>0</v>
      </c>
      <c r="V1984" s="4">
        <v>0</v>
      </c>
      <c r="W1984" s="13">
        <f t="shared" ref="W1984:W2047" si="294">T1984+U1984-V1984</f>
        <v>37743.599999999627</v>
      </c>
      <c r="X1984" s="13">
        <f t="shared" si="288"/>
        <v>0</v>
      </c>
      <c r="Y1984" s="13">
        <f t="shared" si="283"/>
        <v>0</v>
      </c>
      <c r="Z1984" s="2">
        <v>0</v>
      </c>
      <c r="AA1984" s="4">
        <v>0</v>
      </c>
      <c r="AB1984" s="4">
        <f t="shared" si="284"/>
        <v>0</v>
      </c>
      <c r="AC1984" s="6">
        <f t="shared" si="285"/>
        <v>0</v>
      </c>
      <c r="AD1984" s="13">
        <f t="shared" si="289"/>
        <v>0</v>
      </c>
      <c r="AE1984" s="2">
        <v>0</v>
      </c>
      <c r="AF1984" s="5">
        <f t="shared" si="286"/>
        <v>0</v>
      </c>
      <c r="AG1984" s="2">
        <v>0</v>
      </c>
      <c r="AH1984" s="5">
        <f t="shared" si="290"/>
        <v>0</v>
      </c>
      <c r="AJ1984" s="126" t="e">
        <v>#N/A</v>
      </c>
      <c r="AK1984" s="80">
        <f t="shared" si="287"/>
        <v>0</v>
      </c>
      <c r="AM1984" s="85"/>
    </row>
    <row r="1985" spans="1:39" hidden="1" x14ac:dyDescent="0.3">
      <c r="A1985" s="85" t="s">
        <v>34</v>
      </c>
      <c r="B1985" s="15" t="s">
        <v>35</v>
      </c>
      <c r="C1985" s="15" t="s">
        <v>53</v>
      </c>
      <c r="D1985" s="15" t="s">
        <v>54</v>
      </c>
      <c r="E1985" s="15" t="s">
        <v>2589</v>
      </c>
      <c r="F1985" s="15" t="s">
        <v>2589</v>
      </c>
      <c r="G1985" s="15" t="s">
        <v>2589</v>
      </c>
      <c r="H1985" s="139"/>
      <c r="I1985" s="15" t="s">
        <v>2572</v>
      </c>
      <c r="J1985" s="1" t="s">
        <v>3327</v>
      </c>
      <c r="K1985" s="1" t="s">
        <v>3284</v>
      </c>
      <c r="L1985" s="1" t="s">
        <v>35</v>
      </c>
      <c r="M1985" s="15" t="s">
        <v>2590</v>
      </c>
      <c r="N1985" s="15"/>
      <c r="O1985" s="8" t="s">
        <v>410</v>
      </c>
      <c r="P1985" s="8" t="s">
        <v>41</v>
      </c>
      <c r="Q1985" s="9">
        <v>0</v>
      </c>
      <c r="R1985" s="139">
        <v>100000057</v>
      </c>
      <c r="T1985" s="18">
        <v>27042.07</v>
      </c>
      <c r="U1985" s="4">
        <v>0</v>
      </c>
      <c r="V1985" s="4">
        <v>0</v>
      </c>
      <c r="W1985" s="13">
        <f t="shared" si="294"/>
        <v>27042.07</v>
      </c>
      <c r="X1985" s="13">
        <f t="shared" si="288"/>
        <v>0</v>
      </c>
      <c r="Y1985" s="13">
        <f t="shared" si="283"/>
        <v>0</v>
      </c>
      <c r="Z1985" s="2">
        <v>0.02</v>
      </c>
      <c r="AA1985" s="4">
        <f>X1985*Z1985</f>
        <v>0</v>
      </c>
      <c r="AB1985" s="4">
        <f t="shared" si="284"/>
        <v>0</v>
      </c>
      <c r="AC1985" s="6">
        <f t="shared" si="285"/>
        <v>0</v>
      </c>
      <c r="AD1985" s="13">
        <f t="shared" si="289"/>
        <v>0</v>
      </c>
      <c r="AE1985" s="2">
        <v>0</v>
      </c>
      <c r="AF1985" s="5">
        <f t="shared" si="286"/>
        <v>0</v>
      </c>
      <c r="AG1985" s="2">
        <v>0</v>
      </c>
      <c r="AH1985" s="5">
        <f t="shared" si="290"/>
        <v>0</v>
      </c>
      <c r="AJ1985" s="126" t="e">
        <v>#N/A</v>
      </c>
      <c r="AK1985" s="80">
        <f t="shared" si="287"/>
        <v>0</v>
      </c>
      <c r="AM1985" s="85"/>
    </row>
    <row r="1986" spans="1:39" hidden="1" x14ac:dyDescent="0.3">
      <c r="A1986" s="85" t="s">
        <v>34</v>
      </c>
      <c r="B1986" s="15" t="s">
        <v>35</v>
      </c>
      <c r="C1986" s="15" t="s">
        <v>53</v>
      </c>
      <c r="D1986" s="15" t="s">
        <v>37</v>
      </c>
      <c r="E1986" s="15" t="s">
        <v>285</v>
      </c>
      <c r="F1986" s="15" t="s">
        <v>460</v>
      </c>
      <c r="G1986" s="15" t="s">
        <v>285</v>
      </c>
      <c r="H1986" s="139"/>
      <c r="I1986" s="15" t="s">
        <v>2572</v>
      </c>
      <c r="J1986" s="1" t="s">
        <v>3327</v>
      </c>
      <c r="K1986" s="1" t="s">
        <v>3284</v>
      </c>
      <c r="L1986" s="1" t="s">
        <v>35</v>
      </c>
      <c r="M1986" s="15" t="s">
        <v>285</v>
      </c>
      <c r="N1986" s="15"/>
      <c r="O1986" s="8" t="s">
        <v>410</v>
      </c>
      <c r="P1986" s="8" t="s">
        <v>41</v>
      </c>
      <c r="Q1986" s="9">
        <v>0</v>
      </c>
      <c r="R1986" s="139">
        <v>300000857</v>
      </c>
      <c r="T1986" s="18">
        <v>2.4699999999955082</v>
      </c>
      <c r="U1986" s="4">
        <v>0</v>
      </c>
      <c r="V1986" s="4">
        <v>0</v>
      </c>
      <c r="W1986" s="13">
        <f t="shared" si="294"/>
        <v>2.4699999999955082</v>
      </c>
      <c r="X1986" s="13">
        <f t="shared" si="288"/>
        <v>0</v>
      </c>
      <c r="Y1986" s="13">
        <f t="shared" si="283"/>
        <v>0</v>
      </c>
      <c r="Z1986" s="2">
        <v>0</v>
      </c>
      <c r="AA1986" s="4">
        <v>0</v>
      </c>
      <c r="AB1986" s="4">
        <f t="shared" si="284"/>
        <v>0</v>
      </c>
      <c r="AC1986" s="6">
        <f t="shared" si="285"/>
        <v>0</v>
      </c>
      <c r="AD1986" s="13">
        <f t="shared" si="289"/>
        <v>0</v>
      </c>
      <c r="AE1986" s="2">
        <v>0</v>
      </c>
      <c r="AF1986" s="5">
        <f t="shared" si="286"/>
        <v>0</v>
      </c>
      <c r="AG1986" s="2">
        <v>0</v>
      </c>
      <c r="AH1986" s="5">
        <f t="shared" si="290"/>
        <v>0</v>
      </c>
      <c r="AJ1986" s="126" t="e">
        <v>#N/A</v>
      </c>
      <c r="AK1986" s="80">
        <f t="shared" si="287"/>
        <v>0</v>
      </c>
      <c r="AM1986" s="85"/>
    </row>
    <row r="1987" spans="1:39" hidden="1" x14ac:dyDescent="0.3">
      <c r="A1987" s="85" t="s">
        <v>34</v>
      </c>
      <c r="B1987" s="15" t="s">
        <v>35</v>
      </c>
      <c r="C1987" s="15" t="s">
        <v>65</v>
      </c>
      <c r="D1987" s="15" t="s">
        <v>125</v>
      </c>
      <c r="E1987" s="15" t="s">
        <v>2591</v>
      </c>
      <c r="F1987" s="15" t="s">
        <v>2591</v>
      </c>
      <c r="G1987" s="15" t="s">
        <v>2591</v>
      </c>
      <c r="H1987" s="154"/>
      <c r="I1987" s="15" t="s">
        <v>2572</v>
      </c>
      <c r="J1987" s="1" t="s">
        <v>3327</v>
      </c>
      <c r="K1987" s="1" t="s">
        <v>3284</v>
      </c>
      <c r="L1987" s="1" t="s">
        <v>35</v>
      </c>
      <c r="M1987" s="15" t="s">
        <v>2592</v>
      </c>
      <c r="N1987" s="15"/>
      <c r="O1987" s="8" t="s">
        <v>410</v>
      </c>
      <c r="P1987" s="8" t="s">
        <v>41</v>
      </c>
      <c r="Q1987" s="9">
        <v>0</v>
      </c>
      <c r="R1987" s="139">
        <v>400004008</v>
      </c>
      <c r="T1987" s="18">
        <v>7356.41</v>
      </c>
      <c r="U1987" s="4">
        <v>0</v>
      </c>
      <c r="V1987" s="4">
        <v>7286.04</v>
      </c>
      <c r="W1987" s="13">
        <f t="shared" si="294"/>
        <v>70.369999999999891</v>
      </c>
      <c r="X1987" s="13">
        <f t="shared" si="288"/>
        <v>7286.04</v>
      </c>
      <c r="Y1987" s="13">
        <f t="shared" ref="Y1987:Y2050" si="295">IF(X1987-AD1987&lt;=0,0,IF(P1987="返现",MAX(X1987-AC1987-AD1987,0),MAX(X1987-AD1987)))</f>
        <v>0</v>
      </c>
      <c r="Z1987" s="2">
        <v>0.03</v>
      </c>
      <c r="AA1987" s="4">
        <f>X1987*Z1987</f>
        <v>218.5812</v>
      </c>
      <c r="AB1987" s="4">
        <f t="shared" ref="AB1987:AB2050" si="296">X1987+AA1987</f>
        <v>7504.6211999999996</v>
      </c>
      <c r="AC1987" s="6">
        <f t="shared" ref="AC1987:AC2050" si="297">IF(P1987="返现",X1987*Q1987,V1987-X1987)</f>
        <v>0</v>
      </c>
      <c r="AD1987" s="13">
        <f t="shared" si="289"/>
        <v>7286.04</v>
      </c>
      <c r="AE1987" s="2">
        <v>0</v>
      </c>
      <c r="AF1987" s="5">
        <f t="shared" ref="AF1987:AF2050" si="298">AD1987*AE1987</f>
        <v>0</v>
      </c>
      <c r="AG1987" s="2">
        <v>0</v>
      </c>
      <c r="AH1987" s="5">
        <f t="shared" si="290"/>
        <v>7286.04</v>
      </c>
      <c r="AJ1987" s="126" t="e">
        <v>#N/A</v>
      </c>
      <c r="AK1987" s="80">
        <f t="shared" ref="AK1987:AK2050" si="299">X1987+AA1987-AB1987</f>
        <v>0</v>
      </c>
      <c r="AM1987" s="85"/>
    </row>
    <row r="1988" spans="1:39" hidden="1" x14ac:dyDescent="0.3">
      <c r="A1988" s="85" t="s">
        <v>34</v>
      </c>
      <c r="B1988" s="15" t="s">
        <v>35</v>
      </c>
      <c r="C1988" s="15" t="s">
        <v>144</v>
      </c>
      <c r="D1988" s="15" t="s">
        <v>152</v>
      </c>
      <c r="E1988" s="15" t="s">
        <v>2050</v>
      </c>
      <c r="F1988" s="15" t="s">
        <v>2050</v>
      </c>
      <c r="G1988" s="15" t="s">
        <v>2050</v>
      </c>
      <c r="H1988" s="139"/>
      <c r="I1988" s="15" t="s">
        <v>2572</v>
      </c>
      <c r="J1988" s="1" t="s">
        <v>3327</v>
      </c>
      <c r="K1988" s="1" t="s">
        <v>3284</v>
      </c>
      <c r="L1988" s="1" t="s">
        <v>35</v>
      </c>
      <c r="M1988" s="15" t="s">
        <v>2050</v>
      </c>
      <c r="N1988" s="15"/>
      <c r="O1988" s="8" t="s">
        <v>410</v>
      </c>
      <c r="P1988" s="8" t="s">
        <v>41</v>
      </c>
      <c r="Q1988" s="9">
        <v>0</v>
      </c>
      <c r="R1988" s="139">
        <v>400001643</v>
      </c>
      <c r="T1988" s="18">
        <v>63847.100000000006</v>
      </c>
      <c r="U1988" s="4">
        <v>0</v>
      </c>
      <c r="V1988" s="4">
        <v>0</v>
      </c>
      <c r="W1988" s="13">
        <f t="shared" si="294"/>
        <v>63847.100000000006</v>
      </c>
      <c r="X1988" s="13">
        <f t="shared" si="288"/>
        <v>0</v>
      </c>
      <c r="Y1988" s="13">
        <f t="shared" si="295"/>
        <v>0</v>
      </c>
      <c r="Z1988" s="2">
        <v>0.03</v>
      </c>
      <c r="AA1988" s="4">
        <f>X1988/(1-Z1988)*Z1988</f>
        <v>0</v>
      </c>
      <c r="AB1988" s="4">
        <f t="shared" si="296"/>
        <v>0</v>
      </c>
      <c r="AC1988" s="6">
        <f t="shared" si="297"/>
        <v>0</v>
      </c>
      <c r="AD1988" s="13">
        <f t="shared" si="289"/>
        <v>0</v>
      </c>
      <c r="AE1988" s="2">
        <v>0</v>
      </c>
      <c r="AF1988" s="5">
        <f t="shared" si="298"/>
        <v>0</v>
      </c>
      <c r="AG1988" s="2">
        <v>0</v>
      </c>
      <c r="AH1988" s="5">
        <f t="shared" si="290"/>
        <v>0</v>
      </c>
      <c r="AJ1988" s="126" t="e">
        <v>#N/A</v>
      </c>
      <c r="AK1988" s="80">
        <f t="shared" si="299"/>
        <v>0</v>
      </c>
      <c r="AM1988" s="85"/>
    </row>
    <row r="1989" spans="1:39" hidden="1" x14ac:dyDescent="0.3">
      <c r="A1989" s="85" t="s">
        <v>34</v>
      </c>
      <c r="B1989" s="15" t="s">
        <v>35</v>
      </c>
      <c r="C1989" s="15" t="s">
        <v>53</v>
      </c>
      <c r="D1989" s="15" t="s">
        <v>224</v>
      </c>
      <c r="E1989" s="15" t="s">
        <v>2593</v>
      </c>
      <c r="F1989" s="15" t="s">
        <v>2593</v>
      </c>
      <c r="G1989" s="15" t="s">
        <v>2593</v>
      </c>
      <c r="H1989" s="154"/>
      <c r="I1989" s="15" t="s">
        <v>2572</v>
      </c>
      <c r="J1989" s="1" t="s">
        <v>3327</v>
      </c>
      <c r="K1989" s="1" t="s">
        <v>3284</v>
      </c>
      <c r="L1989" s="1" t="s">
        <v>35</v>
      </c>
      <c r="M1989" s="15" t="s">
        <v>2593</v>
      </c>
      <c r="N1989" s="15"/>
      <c r="O1989" s="8" t="s">
        <v>410</v>
      </c>
      <c r="P1989" s="8" t="s">
        <v>41</v>
      </c>
      <c r="Q1989" s="9">
        <v>0</v>
      </c>
      <c r="R1989" s="139">
        <v>400003715</v>
      </c>
      <c r="T1989" s="18">
        <v>141.31999999999957</v>
      </c>
      <c r="U1989" s="4">
        <v>0</v>
      </c>
      <c r="V1989" s="4">
        <v>10.02</v>
      </c>
      <c r="W1989" s="13">
        <f t="shared" si="294"/>
        <v>131.29999999999956</v>
      </c>
      <c r="X1989" s="13">
        <f t="shared" si="288"/>
        <v>10.02</v>
      </c>
      <c r="Y1989" s="13">
        <f t="shared" si="295"/>
        <v>0</v>
      </c>
      <c r="Z1989" s="2">
        <v>0.05</v>
      </c>
      <c r="AA1989" s="4">
        <f t="shared" ref="AA1989:AA1990" si="300">X1989*Z1989</f>
        <v>0.501</v>
      </c>
      <c r="AB1989" s="4">
        <f t="shared" si="296"/>
        <v>10.520999999999999</v>
      </c>
      <c r="AC1989" s="6">
        <f t="shared" si="297"/>
        <v>0</v>
      </c>
      <c r="AD1989" s="13">
        <f t="shared" si="289"/>
        <v>10.02</v>
      </c>
      <c r="AE1989" s="2">
        <v>0</v>
      </c>
      <c r="AF1989" s="5">
        <f t="shared" si="298"/>
        <v>0</v>
      </c>
      <c r="AG1989" s="2">
        <v>0</v>
      </c>
      <c r="AH1989" s="5">
        <f t="shared" si="290"/>
        <v>10.02</v>
      </c>
      <c r="AJ1989" s="126" t="e">
        <v>#N/A</v>
      </c>
      <c r="AK1989" s="80">
        <f t="shared" si="299"/>
        <v>0</v>
      </c>
      <c r="AM1989" s="85"/>
    </row>
    <row r="1990" spans="1:39" hidden="1" x14ac:dyDescent="0.3">
      <c r="A1990" s="85" t="s">
        <v>34</v>
      </c>
      <c r="B1990" s="15" t="s">
        <v>35</v>
      </c>
      <c r="C1990" s="15" t="s">
        <v>164</v>
      </c>
      <c r="D1990" s="15" t="s">
        <v>165</v>
      </c>
      <c r="E1990" s="15" t="s">
        <v>619</v>
      </c>
      <c r="F1990" s="15" t="s">
        <v>620</v>
      </c>
      <c r="G1990" s="15" t="s">
        <v>619</v>
      </c>
      <c r="H1990" s="139"/>
      <c r="I1990" s="15" t="s">
        <v>2572</v>
      </c>
      <c r="J1990" s="1" t="s">
        <v>3327</v>
      </c>
      <c r="K1990" s="1" t="s">
        <v>3284</v>
      </c>
      <c r="L1990" s="1" t="s">
        <v>35</v>
      </c>
      <c r="M1990" s="15" t="s">
        <v>619</v>
      </c>
      <c r="N1990" s="15"/>
      <c r="O1990" s="8" t="s">
        <v>410</v>
      </c>
      <c r="P1990" s="8" t="s">
        <v>41</v>
      </c>
      <c r="Q1990" s="9">
        <v>0</v>
      </c>
      <c r="R1990" s="139">
        <v>400003413</v>
      </c>
      <c r="T1990" s="18">
        <v>5786.369999999999</v>
      </c>
      <c r="U1990" s="4">
        <v>0</v>
      </c>
      <c r="V1990" s="4">
        <v>0</v>
      </c>
      <c r="W1990" s="13">
        <f t="shared" si="294"/>
        <v>5786.369999999999</v>
      </c>
      <c r="X1990" s="13">
        <f t="shared" si="288"/>
        <v>0</v>
      </c>
      <c r="Y1990" s="13">
        <f t="shared" si="295"/>
        <v>0</v>
      </c>
      <c r="Z1990" s="2">
        <v>0.03</v>
      </c>
      <c r="AA1990" s="4">
        <f t="shared" si="300"/>
        <v>0</v>
      </c>
      <c r="AB1990" s="4">
        <f t="shared" si="296"/>
        <v>0</v>
      </c>
      <c r="AC1990" s="6">
        <f t="shared" si="297"/>
        <v>0</v>
      </c>
      <c r="AD1990" s="13">
        <f t="shared" si="289"/>
        <v>0</v>
      </c>
      <c r="AE1990" s="2">
        <v>0</v>
      </c>
      <c r="AF1990" s="5">
        <f t="shared" si="298"/>
        <v>0</v>
      </c>
      <c r="AG1990" s="2">
        <v>0</v>
      </c>
      <c r="AH1990" s="5">
        <f t="shared" si="290"/>
        <v>0</v>
      </c>
      <c r="AJ1990" s="126" t="e">
        <v>#N/A</v>
      </c>
      <c r="AK1990" s="80">
        <f t="shared" si="299"/>
        <v>0</v>
      </c>
      <c r="AM1990" s="85"/>
    </row>
    <row r="1991" spans="1:39" hidden="1" x14ac:dyDescent="0.3">
      <c r="A1991" s="85" t="s">
        <v>34</v>
      </c>
      <c r="B1991" s="15" t="s">
        <v>35</v>
      </c>
      <c r="C1991" s="15" t="s">
        <v>47</v>
      </c>
      <c r="D1991" s="15" t="s">
        <v>63</v>
      </c>
      <c r="E1991" s="15" t="s">
        <v>521</v>
      </c>
      <c r="F1991" s="15" t="s">
        <v>522</v>
      </c>
      <c r="G1991" s="15" t="s">
        <v>521</v>
      </c>
      <c r="H1991" s="139"/>
      <c r="I1991" s="15" t="s">
        <v>2572</v>
      </c>
      <c r="J1991" s="1" t="s">
        <v>3327</v>
      </c>
      <c r="K1991" s="1" t="s">
        <v>3284</v>
      </c>
      <c r="L1991" s="1" t="s">
        <v>35</v>
      </c>
      <c r="M1991" s="15" t="s">
        <v>521</v>
      </c>
      <c r="N1991" s="15"/>
      <c r="O1991" s="8" t="s">
        <v>410</v>
      </c>
      <c r="P1991" s="8" t="s">
        <v>41</v>
      </c>
      <c r="Q1991" s="9">
        <v>0</v>
      </c>
      <c r="R1991" s="139">
        <v>600001131</v>
      </c>
      <c r="T1991" s="18">
        <v>-9.7999999999956344</v>
      </c>
      <c r="U1991" s="4">
        <v>0</v>
      </c>
      <c r="V1991" s="4">
        <v>0</v>
      </c>
      <c r="W1991" s="13">
        <f t="shared" si="294"/>
        <v>-9.7999999999956344</v>
      </c>
      <c r="X1991" s="13">
        <f t="shared" si="288"/>
        <v>0</v>
      </c>
      <c r="Y1991" s="13">
        <f t="shared" si="295"/>
        <v>0</v>
      </c>
      <c r="Z1991" s="2">
        <v>0</v>
      </c>
      <c r="AA1991" s="4">
        <v>0</v>
      </c>
      <c r="AB1991" s="4">
        <f t="shared" si="296"/>
        <v>0</v>
      </c>
      <c r="AC1991" s="6">
        <f t="shared" si="297"/>
        <v>0</v>
      </c>
      <c r="AD1991" s="13">
        <f t="shared" si="289"/>
        <v>0</v>
      </c>
      <c r="AE1991" s="2">
        <v>0</v>
      </c>
      <c r="AF1991" s="5">
        <f t="shared" si="298"/>
        <v>0</v>
      </c>
      <c r="AG1991" s="2">
        <v>0</v>
      </c>
      <c r="AH1991" s="5">
        <f t="shared" si="290"/>
        <v>0</v>
      </c>
      <c r="AJ1991" s="126" t="e">
        <v>#N/A</v>
      </c>
      <c r="AK1991" s="80">
        <f t="shared" si="299"/>
        <v>0</v>
      </c>
      <c r="AM1991" s="85"/>
    </row>
    <row r="1992" spans="1:39" hidden="1" x14ac:dyDescent="0.3">
      <c r="A1992" s="85" t="s">
        <v>34</v>
      </c>
      <c r="B1992" s="15" t="s">
        <v>35</v>
      </c>
      <c r="C1992" s="15" t="s">
        <v>164</v>
      </c>
      <c r="D1992" s="15" t="s">
        <v>165</v>
      </c>
      <c r="E1992" s="15" t="s">
        <v>1949</v>
      </c>
      <c r="F1992" s="15" t="s">
        <v>1949</v>
      </c>
      <c r="G1992" s="15" t="s">
        <v>1949</v>
      </c>
      <c r="H1992" s="139"/>
      <c r="I1992" s="15" t="s">
        <v>2572</v>
      </c>
      <c r="J1992" s="1" t="s">
        <v>3327</v>
      </c>
      <c r="K1992" s="1" t="s">
        <v>3284</v>
      </c>
      <c r="L1992" s="1" t="s">
        <v>35</v>
      </c>
      <c r="M1992" s="15" t="s">
        <v>1950</v>
      </c>
      <c r="N1992" s="15"/>
      <c r="O1992" s="8" t="s">
        <v>410</v>
      </c>
      <c r="P1992" s="8" t="s">
        <v>41</v>
      </c>
      <c r="Q1992" s="9">
        <v>0</v>
      </c>
      <c r="R1992" s="139">
        <v>400003507</v>
      </c>
      <c r="T1992" s="18">
        <v>149.69999999999982</v>
      </c>
      <c r="U1992" s="4">
        <v>0</v>
      </c>
      <c r="V1992" s="4">
        <v>0</v>
      </c>
      <c r="W1992" s="13">
        <f t="shared" si="294"/>
        <v>149.69999999999982</v>
      </c>
      <c r="X1992" s="13">
        <f t="shared" si="288"/>
        <v>0</v>
      </c>
      <c r="Y1992" s="13">
        <f t="shared" si="295"/>
        <v>0</v>
      </c>
      <c r="Z1992" s="2">
        <v>0.01</v>
      </c>
      <c r="AA1992" s="4">
        <f>X1992*Z1992</f>
        <v>0</v>
      </c>
      <c r="AB1992" s="4">
        <f t="shared" si="296"/>
        <v>0</v>
      </c>
      <c r="AC1992" s="6">
        <f t="shared" si="297"/>
        <v>0</v>
      </c>
      <c r="AD1992" s="13">
        <f t="shared" si="289"/>
        <v>0</v>
      </c>
      <c r="AE1992" s="2">
        <v>0</v>
      </c>
      <c r="AF1992" s="5">
        <f t="shared" si="298"/>
        <v>0</v>
      </c>
      <c r="AG1992" s="2">
        <v>0</v>
      </c>
      <c r="AH1992" s="5">
        <f t="shared" si="290"/>
        <v>0</v>
      </c>
      <c r="AJ1992" s="126" t="e">
        <v>#N/A</v>
      </c>
      <c r="AK1992" s="80">
        <f t="shared" si="299"/>
        <v>0</v>
      </c>
      <c r="AM1992" s="85"/>
    </row>
    <row r="1993" spans="1:39" hidden="1" x14ac:dyDescent="0.3">
      <c r="A1993" s="85" t="s">
        <v>34</v>
      </c>
      <c r="B1993" s="15" t="s">
        <v>35</v>
      </c>
      <c r="C1993" s="15" t="s">
        <v>59</v>
      </c>
      <c r="D1993" s="15" t="s">
        <v>60</v>
      </c>
      <c r="E1993" s="15" t="s">
        <v>2594</v>
      </c>
      <c r="F1993" s="15" t="s">
        <v>2595</v>
      </c>
      <c r="G1993" s="15" t="s">
        <v>2594</v>
      </c>
      <c r="H1993" s="139"/>
      <c r="I1993" s="15" t="s">
        <v>2572</v>
      </c>
      <c r="J1993" s="1" t="s">
        <v>3327</v>
      </c>
      <c r="K1993" s="1" t="s">
        <v>3284</v>
      </c>
      <c r="L1993" s="1" t="s">
        <v>35</v>
      </c>
      <c r="M1993" s="15" t="s">
        <v>786</v>
      </c>
      <c r="N1993" s="15"/>
      <c r="O1993" s="8" t="s">
        <v>410</v>
      </c>
      <c r="P1993" s="8" t="s">
        <v>41</v>
      </c>
      <c r="Q1993" s="9">
        <v>0</v>
      </c>
      <c r="R1993" s="139">
        <v>300000545</v>
      </c>
      <c r="T1993" s="18">
        <v>36329.809999999983</v>
      </c>
      <c r="U1993" s="4">
        <v>0</v>
      </c>
      <c r="V1993" s="4">
        <v>0</v>
      </c>
      <c r="W1993" s="13">
        <f t="shared" si="294"/>
        <v>36329.809999999983</v>
      </c>
      <c r="X1993" s="13">
        <f t="shared" si="288"/>
        <v>0</v>
      </c>
      <c r="Y1993" s="13">
        <f t="shared" si="295"/>
        <v>0</v>
      </c>
      <c r="Z1993" s="2">
        <v>0</v>
      </c>
      <c r="AA1993" s="4">
        <v>0</v>
      </c>
      <c r="AB1993" s="4">
        <f t="shared" si="296"/>
        <v>0</v>
      </c>
      <c r="AC1993" s="6">
        <f t="shared" si="297"/>
        <v>0</v>
      </c>
      <c r="AD1993" s="13">
        <f t="shared" si="289"/>
        <v>0</v>
      </c>
      <c r="AE1993" s="2">
        <v>0</v>
      </c>
      <c r="AF1993" s="5">
        <f t="shared" si="298"/>
        <v>0</v>
      </c>
      <c r="AG1993" s="2">
        <v>0</v>
      </c>
      <c r="AH1993" s="5">
        <f t="shared" si="290"/>
        <v>0</v>
      </c>
      <c r="AJ1993" s="126" t="e">
        <v>#N/A</v>
      </c>
      <c r="AK1993" s="80">
        <f t="shared" si="299"/>
        <v>0</v>
      </c>
      <c r="AM1993" s="85"/>
    </row>
    <row r="1994" spans="1:39" hidden="1" x14ac:dyDescent="0.3">
      <c r="A1994" s="85" t="s">
        <v>34</v>
      </c>
      <c r="B1994" s="15" t="s">
        <v>35</v>
      </c>
      <c r="C1994" s="15" t="s">
        <v>59</v>
      </c>
      <c r="D1994" s="15" t="s">
        <v>60</v>
      </c>
      <c r="E1994" s="15" t="s">
        <v>2596</v>
      </c>
      <c r="F1994" s="15" t="s">
        <v>2596</v>
      </c>
      <c r="G1994" s="15" t="s">
        <v>2596</v>
      </c>
      <c r="H1994" s="139"/>
      <c r="I1994" s="15" t="s">
        <v>2572</v>
      </c>
      <c r="J1994" s="1" t="s">
        <v>3327</v>
      </c>
      <c r="K1994" s="1" t="s">
        <v>3284</v>
      </c>
      <c r="L1994" s="1" t="s">
        <v>35</v>
      </c>
      <c r="M1994" s="15" t="s">
        <v>2597</v>
      </c>
      <c r="N1994" s="15"/>
      <c r="O1994" s="8" t="s">
        <v>410</v>
      </c>
      <c r="P1994" s="8" t="s">
        <v>41</v>
      </c>
      <c r="Q1994" s="9">
        <v>0</v>
      </c>
      <c r="R1994" s="139">
        <v>300000674</v>
      </c>
      <c r="T1994" s="18">
        <v>12099.5</v>
      </c>
      <c r="U1994" s="4">
        <v>0</v>
      </c>
      <c r="V1994" s="4">
        <v>0</v>
      </c>
      <c r="W1994" s="13">
        <f t="shared" si="294"/>
        <v>12099.5</v>
      </c>
      <c r="X1994" s="13">
        <f t="shared" si="288"/>
        <v>0</v>
      </c>
      <c r="Y1994" s="13">
        <f t="shared" si="295"/>
        <v>0</v>
      </c>
      <c r="Z1994" s="2">
        <v>0</v>
      </c>
      <c r="AA1994" s="4">
        <v>0</v>
      </c>
      <c r="AB1994" s="4">
        <f t="shared" si="296"/>
        <v>0</v>
      </c>
      <c r="AC1994" s="6">
        <f t="shared" si="297"/>
        <v>0</v>
      </c>
      <c r="AD1994" s="13">
        <f t="shared" si="289"/>
        <v>0</v>
      </c>
      <c r="AE1994" s="2">
        <v>0</v>
      </c>
      <c r="AF1994" s="5">
        <f t="shared" si="298"/>
        <v>0</v>
      </c>
      <c r="AG1994" s="2">
        <v>0</v>
      </c>
      <c r="AH1994" s="5">
        <f t="shared" si="290"/>
        <v>0</v>
      </c>
      <c r="AJ1994" s="126" t="e">
        <v>#N/A</v>
      </c>
      <c r="AK1994" s="80">
        <f t="shared" si="299"/>
        <v>0</v>
      </c>
      <c r="AM1994" s="85"/>
    </row>
    <row r="1995" spans="1:39" hidden="1" x14ac:dyDescent="0.3">
      <c r="A1995" s="85" t="s">
        <v>34</v>
      </c>
      <c r="B1995" s="15" t="s">
        <v>35</v>
      </c>
      <c r="C1995" s="15" t="s">
        <v>59</v>
      </c>
      <c r="D1995" s="15" t="s">
        <v>60</v>
      </c>
      <c r="E1995" s="15" t="s">
        <v>2596</v>
      </c>
      <c r="F1995" s="15" t="s">
        <v>2596</v>
      </c>
      <c r="G1995" s="15" t="s">
        <v>2596</v>
      </c>
      <c r="H1995" s="139"/>
      <c r="I1995" s="15" t="s">
        <v>2572</v>
      </c>
      <c r="J1995" s="1" t="s">
        <v>3327</v>
      </c>
      <c r="K1995" s="1" t="s">
        <v>3284</v>
      </c>
      <c r="L1995" s="1" t="s">
        <v>35</v>
      </c>
      <c r="M1995" s="15" t="s">
        <v>2598</v>
      </c>
      <c r="N1995" s="15"/>
      <c r="O1995" s="8" t="s">
        <v>410</v>
      </c>
      <c r="P1995" s="8" t="s">
        <v>41</v>
      </c>
      <c r="Q1995" s="9">
        <v>0</v>
      </c>
      <c r="R1995" s="139">
        <v>600001427</v>
      </c>
      <c r="T1995" s="18">
        <v>451</v>
      </c>
      <c r="U1995" s="4">
        <v>0</v>
      </c>
      <c r="V1995" s="4">
        <v>0</v>
      </c>
      <c r="W1995" s="13">
        <f t="shared" si="294"/>
        <v>451</v>
      </c>
      <c r="X1995" s="13">
        <f t="shared" si="288"/>
        <v>0</v>
      </c>
      <c r="Y1995" s="13">
        <f t="shared" si="295"/>
        <v>0</v>
      </c>
      <c r="Z1995" s="2">
        <v>0</v>
      </c>
      <c r="AA1995" s="4">
        <v>0</v>
      </c>
      <c r="AB1995" s="4">
        <f t="shared" si="296"/>
        <v>0</v>
      </c>
      <c r="AC1995" s="6">
        <f t="shared" si="297"/>
        <v>0</v>
      </c>
      <c r="AD1995" s="13">
        <f t="shared" si="289"/>
        <v>0</v>
      </c>
      <c r="AE1995" s="2">
        <v>0</v>
      </c>
      <c r="AF1995" s="5">
        <f t="shared" si="298"/>
        <v>0</v>
      </c>
      <c r="AG1995" s="2">
        <v>0</v>
      </c>
      <c r="AH1995" s="5">
        <f t="shared" si="290"/>
        <v>0</v>
      </c>
      <c r="AJ1995" s="126" t="e">
        <v>#N/A</v>
      </c>
      <c r="AK1995" s="80">
        <f t="shared" si="299"/>
        <v>0</v>
      </c>
      <c r="AM1995" s="85"/>
    </row>
    <row r="1996" spans="1:39" hidden="1" x14ac:dyDescent="0.3">
      <c r="A1996" s="85" t="s">
        <v>34</v>
      </c>
      <c r="B1996" s="15" t="s">
        <v>35</v>
      </c>
      <c r="C1996" s="15" t="s">
        <v>59</v>
      </c>
      <c r="D1996" s="15" t="s">
        <v>60</v>
      </c>
      <c r="E1996" s="15" t="s">
        <v>2596</v>
      </c>
      <c r="F1996" s="15" t="s">
        <v>2596</v>
      </c>
      <c r="G1996" s="15" t="s">
        <v>2596</v>
      </c>
      <c r="H1996" s="139"/>
      <c r="I1996" s="15" t="s">
        <v>2572</v>
      </c>
      <c r="J1996" s="1" t="s">
        <v>3327</v>
      </c>
      <c r="K1996" s="1" t="s">
        <v>3284</v>
      </c>
      <c r="L1996" s="1" t="s">
        <v>35</v>
      </c>
      <c r="M1996" s="15" t="s">
        <v>2599</v>
      </c>
      <c r="N1996" s="15"/>
      <c r="O1996" s="8" t="s">
        <v>410</v>
      </c>
      <c r="P1996" s="8" t="s">
        <v>41</v>
      </c>
      <c r="Q1996" s="9">
        <v>0</v>
      </c>
      <c r="R1996" s="139">
        <v>300000630</v>
      </c>
      <c r="T1996" s="18">
        <v>10988.1</v>
      </c>
      <c r="U1996" s="4">
        <v>0</v>
      </c>
      <c r="V1996" s="4">
        <v>0</v>
      </c>
      <c r="W1996" s="13">
        <f t="shared" si="294"/>
        <v>10988.1</v>
      </c>
      <c r="X1996" s="13">
        <f t="shared" si="288"/>
        <v>0</v>
      </c>
      <c r="Y1996" s="13">
        <f t="shared" si="295"/>
        <v>0</v>
      </c>
      <c r="Z1996" s="2">
        <v>0</v>
      </c>
      <c r="AA1996" s="4">
        <v>0</v>
      </c>
      <c r="AB1996" s="4">
        <f t="shared" si="296"/>
        <v>0</v>
      </c>
      <c r="AC1996" s="6">
        <f t="shared" si="297"/>
        <v>0</v>
      </c>
      <c r="AD1996" s="13">
        <f t="shared" si="289"/>
        <v>0</v>
      </c>
      <c r="AE1996" s="2">
        <v>0</v>
      </c>
      <c r="AF1996" s="5">
        <f t="shared" si="298"/>
        <v>0</v>
      </c>
      <c r="AG1996" s="2">
        <v>0</v>
      </c>
      <c r="AH1996" s="5">
        <f t="shared" si="290"/>
        <v>0</v>
      </c>
      <c r="AJ1996" s="126" t="e">
        <v>#N/A</v>
      </c>
      <c r="AK1996" s="80">
        <f t="shared" si="299"/>
        <v>0</v>
      </c>
      <c r="AM1996" s="85"/>
    </row>
    <row r="1997" spans="1:39" hidden="1" x14ac:dyDescent="0.3">
      <c r="A1997" s="85" t="s">
        <v>34</v>
      </c>
      <c r="B1997" s="15" t="s">
        <v>35</v>
      </c>
      <c r="C1997" s="15" t="s">
        <v>59</v>
      </c>
      <c r="D1997" s="15" t="s">
        <v>60</v>
      </c>
      <c r="E1997" s="15" t="s">
        <v>2275</v>
      </c>
      <c r="F1997" s="15" t="s">
        <v>2275</v>
      </c>
      <c r="G1997" s="15" t="s">
        <v>2275</v>
      </c>
      <c r="H1997" s="139"/>
      <c r="I1997" s="15" t="s">
        <v>2572</v>
      </c>
      <c r="J1997" s="1" t="s">
        <v>3327</v>
      </c>
      <c r="K1997" s="1" t="s">
        <v>3284</v>
      </c>
      <c r="L1997" s="1" t="s">
        <v>35</v>
      </c>
      <c r="M1997" s="15" t="s">
        <v>1461</v>
      </c>
      <c r="N1997" s="15"/>
      <c r="O1997" s="8" t="s">
        <v>410</v>
      </c>
      <c r="P1997" s="8" t="s">
        <v>41</v>
      </c>
      <c r="Q1997" s="9">
        <v>0</v>
      </c>
      <c r="R1997" s="139">
        <v>400001450</v>
      </c>
      <c r="T1997" s="18">
        <v>144.20000000000201</v>
      </c>
      <c r="U1997" s="4">
        <v>0</v>
      </c>
      <c r="V1997" s="4">
        <v>0</v>
      </c>
      <c r="W1997" s="13">
        <f t="shared" si="294"/>
        <v>144.20000000000201</v>
      </c>
      <c r="X1997" s="13">
        <f t="shared" si="288"/>
        <v>0</v>
      </c>
      <c r="Y1997" s="13">
        <f t="shared" si="295"/>
        <v>0</v>
      </c>
      <c r="Z1997" s="2">
        <v>0</v>
      </c>
      <c r="AA1997" s="4">
        <v>0</v>
      </c>
      <c r="AB1997" s="4">
        <f t="shared" si="296"/>
        <v>0</v>
      </c>
      <c r="AC1997" s="6">
        <f t="shared" si="297"/>
        <v>0</v>
      </c>
      <c r="AD1997" s="13">
        <f t="shared" si="289"/>
        <v>0</v>
      </c>
      <c r="AE1997" s="2">
        <v>0</v>
      </c>
      <c r="AF1997" s="5">
        <f t="shared" si="298"/>
        <v>0</v>
      </c>
      <c r="AG1997" s="2">
        <v>0</v>
      </c>
      <c r="AH1997" s="5">
        <f t="shared" si="290"/>
        <v>0</v>
      </c>
      <c r="AJ1997" s="126" t="e">
        <v>#N/A</v>
      </c>
      <c r="AK1997" s="80">
        <f t="shared" si="299"/>
        <v>0</v>
      </c>
      <c r="AM1997" s="85"/>
    </row>
    <row r="1998" spans="1:39" hidden="1" x14ac:dyDescent="0.3">
      <c r="A1998" s="85" t="s">
        <v>34</v>
      </c>
      <c r="B1998" s="15" t="s">
        <v>35</v>
      </c>
      <c r="C1998" s="15" t="s">
        <v>59</v>
      </c>
      <c r="D1998" s="15" t="s">
        <v>60</v>
      </c>
      <c r="E1998" s="15" t="s">
        <v>2600</v>
      </c>
      <c r="F1998" s="15" t="s">
        <v>2600</v>
      </c>
      <c r="G1998" s="15" t="s">
        <v>2600</v>
      </c>
      <c r="H1998" s="139"/>
      <c r="I1998" s="15" t="s">
        <v>2572</v>
      </c>
      <c r="J1998" s="1" t="s">
        <v>3327</v>
      </c>
      <c r="K1998" s="1" t="s">
        <v>3284</v>
      </c>
      <c r="L1998" s="1" t="s">
        <v>35</v>
      </c>
      <c r="M1998" s="15" t="s">
        <v>778</v>
      </c>
      <c r="N1998" s="15"/>
      <c r="O1998" s="8" t="s">
        <v>410</v>
      </c>
      <c r="P1998" s="8" t="s">
        <v>41</v>
      </c>
      <c r="Q1998" s="9">
        <v>0</v>
      </c>
      <c r="R1998" s="139">
        <v>600001323</v>
      </c>
      <c r="T1998" s="18">
        <v>-3747.9499999999925</v>
      </c>
      <c r="U1998" s="4">
        <v>0</v>
      </c>
      <c r="V1998" s="4">
        <v>0</v>
      </c>
      <c r="W1998" s="13">
        <f t="shared" si="294"/>
        <v>-3747.9499999999925</v>
      </c>
      <c r="X1998" s="13">
        <f t="shared" si="288"/>
        <v>0</v>
      </c>
      <c r="Y1998" s="13">
        <f t="shared" si="295"/>
        <v>0</v>
      </c>
      <c r="Z1998" s="2">
        <v>0</v>
      </c>
      <c r="AA1998" s="4">
        <v>0</v>
      </c>
      <c r="AB1998" s="4">
        <f t="shared" si="296"/>
        <v>0</v>
      </c>
      <c r="AC1998" s="6">
        <f t="shared" si="297"/>
        <v>0</v>
      </c>
      <c r="AD1998" s="13">
        <f t="shared" si="289"/>
        <v>0</v>
      </c>
      <c r="AE1998" s="2">
        <v>0</v>
      </c>
      <c r="AF1998" s="5">
        <f t="shared" si="298"/>
        <v>0</v>
      </c>
      <c r="AG1998" s="2">
        <v>0</v>
      </c>
      <c r="AH1998" s="5">
        <f t="shared" si="290"/>
        <v>0</v>
      </c>
      <c r="AJ1998" s="126" t="e">
        <v>#N/A</v>
      </c>
      <c r="AK1998" s="80">
        <f t="shared" si="299"/>
        <v>0</v>
      </c>
      <c r="AM1998" s="85"/>
    </row>
    <row r="1999" spans="1:39" hidden="1" x14ac:dyDescent="0.3">
      <c r="A1999" s="85" t="s">
        <v>34</v>
      </c>
      <c r="B1999" s="15" t="s">
        <v>35</v>
      </c>
      <c r="C1999" s="15" t="s">
        <v>164</v>
      </c>
      <c r="D1999" s="15" t="s">
        <v>2601</v>
      </c>
      <c r="E1999" s="15" t="s">
        <v>2602</v>
      </c>
      <c r="F1999" s="15" t="s">
        <v>2602</v>
      </c>
      <c r="G1999" s="15" t="s">
        <v>2602</v>
      </c>
      <c r="H1999" s="139"/>
      <c r="I1999" s="15" t="s">
        <v>2572</v>
      </c>
      <c r="J1999" s="1" t="s">
        <v>3327</v>
      </c>
      <c r="K1999" s="1" t="s">
        <v>3284</v>
      </c>
      <c r="L1999" s="1" t="s">
        <v>35</v>
      </c>
      <c r="M1999" s="15" t="s">
        <v>2603</v>
      </c>
      <c r="N1999" s="15"/>
      <c r="O1999" s="8" t="s">
        <v>410</v>
      </c>
      <c r="P1999" s="8" t="s">
        <v>41</v>
      </c>
      <c r="Q1999" s="9">
        <v>0</v>
      </c>
      <c r="R1999" s="139">
        <v>400002312</v>
      </c>
      <c r="T1999" s="18">
        <v>20003.5</v>
      </c>
      <c r="U1999" s="4">
        <v>0</v>
      </c>
      <c r="V1999" s="4">
        <v>0</v>
      </c>
      <c r="W1999" s="13">
        <f t="shared" si="294"/>
        <v>20003.5</v>
      </c>
      <c r="X1999" s="13">
        <f t="shared" si="288"/>
        <v>0</v>
      </c>
      <c r="Y1999" s="13">
        <f t="shared" si="295"/>
        <v>0</v>
      </c>
      <c r="Z1999" s="2">
        <v>0.01</v>
      </c>
      <c r="AA1999" s="4">
        <f>X1999*Z1999</f>
        <v>0</v>
      </c>
      <c r="AB1999" s="4">
        <f t="shared" si="296"/>
        <v>0</v>
      </c>
      <c r="AC1999" s="6">
        <f t="shared" si="297"/>
        <v>0</v>
      </c>
      <c r="AD1999" s="13">
        <f t="shared" si="289"/>
        <v>0</v>
      </c>
      <c r="AE1999" s="2">
        <v>0</v>
      </c>
      <c r="AF1999" s="5">
        <f t="shared" si="298"/>
        <v>0</v>
      </c>
      <c r="AG1999" s="2">
        <v>0</v>
      </c>
      <c r="AH1999" s="5">
        <f t="shared" si="290"/>
        <v>0</v>
      </c>
      <c r="AJ1999" s="126" t="e">
        <v>#N/A</v>
      </c>
      <c r="AK1999" s="80">
        <f t="shared" si="299"/>
        <v>0</v>
      </c>
      <c r="AM1999" s="85"/>
    </row>
    <row r="2000" spans="1:39" hidden="1" x14ac:dyDescent="0.3">
      <c r="A2000" s="85" t="s">
        <v>34</v>
      </c>
      <c r="B2000" s="15" t="s">
        <v>35</v>
      </c>
      <c r="C2000" s="15" t="s">
        <v>164</v>
      </c>
      <c r="D2000" s="15" t="s">
        <v>174</v>
      </c>
      <c r="E2000" s="15" t="s">
        <v>1966</v>
      </c>
      <c r="F2000" s="15" t="s">
        <v>1966</v>
      </c>
      <c r="G2000" s="15" t="s">
        <v>1966</v>
      </c>
      <c r="H2000" s="139"/>
      <c r="I2000" s="15" t="s">
        <v>2572</v>
      </c>
      <c r="J2000" s="1" t="s">
        <v>3327</v>
      </c>
      <c r="K2000" s="1" t="s">
        <v>3284</v>
      </c>
      <c r="L2000" s="1" t="s">
        <v>35</v>
      </c>
      <c r="M2000" s="15" t="s">
        <v>2604</v>
      </c>
      <c r="N2000" s="15"/>
      <c r="O2000" s="8" t="s">
        <v>410</v>
      </c>
      <c r="P2000" s="8" t="s">
        <v>41</v>
      </c>
      <c r="Q2000" s="9">
        <v>0</v>
      </c>
      <c r="R2000" s="139">
        <v>600000828</v>
      </c>
      <c r="T2000" s="18">
        <v>74654.09</v>
      </c>
      <c r="U2000" s="4">
        <v>0</v>
      </c>
      <c r="V2000" s="4">
        <v>0</v>
      </c>
      <c r="W2000" s="13">
        <f t="shared" si="294"/>
        <v>74654.09</v>
      </c>
      <c r="X2000" s="13">
        <f t="shared" si="288"/>
        <v>0</v>
      </c>
      <c r="Y2000" s="13">
        <f t="shared" si="295"/>
        <v>0</v>
      </c>
      <c r="Z2000" s="2">
        <v>0</v>
      </c>
      <c r="AA2000" s="4">
        <v>0</v>
      </c>
      <c r="AB2000" s="4">
        <f t="shared" si="296"/>
        <v>0</v>
      </c>
      <c r="AC2000" s="6">
        <f t="shared" si="297"/>
        <v>0</v>
      </c>
      <c r="AD2000" s="13">
        <f t="shared" si="289"/>
        <v>0</v>
      </c>
      <c r="AE2000" s="2">
        <v>0</v>
      </c>
      <c r="AF2000" s="5">
        <f t="shared" si="298"/>
        <v>0</v>
      </c>
      <c r="AG2000" s="2">
        <v>0</v>
      </c>
      <c r="AH2000" s="5">
        <f t="shared" si="290"/>
        <v>0</v>
      </c>
      <c r="AJ2000" s="126" t="e">
        <v>#N/A</v>
      </c>
      <c r="AK2000" s="80">
        <f t="shared" si="299"/>
        <v>0</v>
      </c>
      <c r="AM2000" s="85"/>
    </row>
    <row r="2001" spans="1:39" hidden="1" x14ac:dyDescent="0.3">
      <c r="A2001" s="85" t="s">
        <v>34</v>
      </c>
      <c r="B2001" s="15" t="s">
        <v>35</v>
      </c>
      <c r="C2001" s="15" t="s">
        <v>295</v>
      </c>
      <c r="D2001" s="15" t="s">
        <v>185</v>
      </c>
      <c r="E2001" s="15" t="s">
        <v>2605</v>
      </c>
      <c r="F2001" s="15" t="s">
        <v>2605</v>
      </c>
      <c r="G2001" s="15" t="s">
        <v>2605</v>
      </c>
      <c r="H2001" s="139"/>
      <c r="I2001" s="15" t="s">
        <v>2572</v>
      </c>
      <c r="J2001" s="1" t="s">
        <v>3327</v>
      </c>
      <c r="K2001" s="1" t="s">
        <v>3284</v>
      </c>
      <c r="L2001" s="1" t="s">
        <v>35</v>
      </c>
      <c r="M2001" s="15" t="s">
        <v>2605</v>
      </c>
      <c r="N2001" s="15"/>
      <c r="O2001" s="8" t="s">
        <v>410</v>
      </c>
      <c r="P2001" s="8" t="s">
        <v>41</v>
      </c>
      <c r="Q2001" s="9">
        <v>0</v>
      </c>
      <c r="R2001" s="139">
        <v>400001040</v>
      </c>
      <c r="T2001" s="18">
        <v>-62.87</v>
      </c>
      <c r="U2001" s="4">
        <v>0</v>
      </c>
      <c r="V2001" s="4">
        <v>0</v>
      </c>
      <c r="W2001" s="13">
        <f t="shared" si="294"/>
        <v>-62.87</v>
      </c>
      <c r="X2001" s="13">
        <f t="shared" si="288"/>
        <v>0</v>
      </c>
      <c r="Y2001" s="13">
        <f t="shared" si="295"/>
        <v>0</v>
      </c>
      <c r="Z2001" s="2">
        <v>0</v>
      </c>
      <c r="AA2001" s="4">
        <v>0</v>
      </c>
      <c r="AB2001" s="4">
        <f t="shared" si="296"/>
        <v>0</v>
      </c>
      <c r="AC2001" s="6">
        <f t="shared" si="297"/>
        <v>0</v>
      </c>
      <c r="AD2001" s="13">
        <f t="shared" si="289"/>
        <v>0</v>
      </c>
      <c r="AE2001" s="2">
        <v>0</v>
      </c>
      <c r="AF2001" s="5">
        <f t="shared" si="298"/>
        <v>0</v>
      </c>
      <c r="AG2001" s="2">
        <v>0</v>
      </c>
      <c r="AH2001" s="5">
        <f t="shared" si="290"/>
        <v>0</v>
      </c>
      <c r="AJ2001" s="126" t="e">
        <v>#N/A</v>
      </c>
      <c r="AK2001" s="80">
        <f t="shared" si="299"/>
        <v>0</v>
      </c>
      <c r="AM2001" s="85"/>
    </row>
    <row r="2002" spans="1:39" hidden="1" x14ac:dyDescent="0.3">
      <c r="A2002" s="85" t="s">
        <v>34</v>
      </c>
      <c r="B2002" s="15" t="s">
        <v>35</v>
      </c>
      <c r="C2002" s="15" t="s">
        <v>295</v>
      </c>
      <c r="D2002" s="15" t="s">
        <v>185</v>
      </c>
      <c r="E2002" s="15" t="s">
        <v>2606</v>
      </c>
      <c r="F2002" s="15" t="s">
        <v>2606</v>
      </c>
      <c r="G2002" s="15" t="s">
        <v>2606</v>
      </c>
      <c r="H2002" s="139"/>
      <c r="I2002" s="15" t="s">
        <v>2572</v>
      </c>
      <c r="J2002" s="1" t="s">
        <v>3327</v>
      </c>
      <c r="K2002" s="1" t="s">
        <v>3284</v>
      </c>
      <c r="L2002" s="1" t="s">
        <v>35</v>
      </c>
      <c r="M2002" s="15" t="s">
        <v>2606</v>
      </c>
      <c r="N2002" s="15"/>
      <c r="O2002" s="8" t="s">
        <v>410</v>
      </c>
      <c r="P2002" s="8" t="s">
        <v>41</v>
      </c>
      <c r="Q2002" s="9">
        <v>0</v>
      </c>
      <c r="R2002" s="139">
        <v>600001031</v>
      </c>
      <c r="T2002" s="18">
        <v>-81.099999999976703</v>
      </c>
      <c r="U2002" s="4">
        <v>0</v>
      </c>
      <c r="V2002" s="4">
        <v>0</v>
      </c>
      <c r="W2002" s="13">
        <f t="shared" si="294"/>
        <v>-81.099999999976703</v>
      </c>
      <c r="X2002" s="13">
        <f t="shared" si="288"/>
        <v>0</v>
      </c>
      <c r="Y2002" s="13">
        <f t="shared" si="295"/>
        <v>0</v>
      </c>
      <c r="Z2002" s="2">
        <v>0</v>
      </c>
      <c r="AA2002" s="4">
        <v>0</v>
      </c>
      <c r="AB2002" s="4">
        <f t="shared" si="296"/>
        <v>0</v>
      </c>
      <c r="AC2002" s="6">
        <f t="shared" si="297"/>
        <v>0</v>
      </c>
      <c r="AD2002" s="13">
        <f t="shared" si="289"/>
        <v>0</v>
      </c>
      <c r="AE2002" s="2">
        <v>0</v>
      </c>
      <c r="AF2002" s="5">
        <f t="shared" si="298"/>
        <v>0</v>
      </c>
      <c r="AG2002" s="2">
        <v>0</v>
      </c>
      <c r="AH2002" s="5">
        <f t="shared" si="290"/>
        <v>0</v>
      </c>
      <c r="AJ2002" s="126" t="e">
        <v>#N/A</v>
      </c>
      <c r="AK2002" s="80">
        <f t="shared" si="299"/>
        <v>0</v>
      </c>
      <c r="AM2002" s="85"/>
    </row>
    <row r="2003" spans="1:39" hidden="1" x14ac:dyDescent="0.3">
      <c r="A2003" s="85" t="s">
        <v>34</v>
      </c>
      <c r="B2003" s="15" t="s">
        <v>35</v>
      </c>
      <c r="C2003" s="15" t="s">
        <v>295</v>
      </c>
      <c r="D2003" s="15" t="s">
        <v>185</v>
      </c>
      <c r="E2003" s="15" t="s">
        <v>2607</v>
      </c>
      <c r="F2003" s="15" t="s">
        <v>2607</v>
      </c>
      <c r="G2003" s="15" t="s">
        <v>2607</v>
      </c>
      <c r="H2003" s="139"/>
      <c r="I2003" s="15" t="s">
        <v>2572</v>
      </c>
      <c r="J2003" s="1" t="s">
        <v>3327</v>
      </c>
      <c r="K2003" s="1" t="s">
        <v>3284</v>
      </c>
      <c r="L2003" s="1" t="s">
        <v>35</v>
      </c>
      <c r="M2003" s="15" t="s">
        <v>2607</v>
      </c>
      <c r="N2003" s="15"/>
      <c r="O2003" s="8" t="s">
        <v>410</v>
      </c>
      <c r="P2003" s="8" t="s">
        <v>41</v>
      </c>
      <c r="Q2003" s="9">
        <v>0</v>
      </c>
      <c r="R2003" s="139">
        <v>400001865</v>
      </c>
      <c r="T2003" s="18">
        <v>199.9</v>
      </c>
      <c r="U2003" s="4">
        <v>0</v>
      </c>
      <c r="V2003" s="4">
        <v>0</v>
      </c>
      <c r="W2003" s="13">
        <f t="shared" si="294"/>
        <v>199.9</v>
      </c>
      <c r="X2003" s="13">
        <f t="shared" si="288"/>
        <v>0</v>
      </c>
      <c r="Y2003" s="13">
        <f t="shared" si="295"/>
        <v>0</v>
      </c>
      <c r="Z2003" s="2">
        <v>0.03</v>
      </c>
      <c r="AA2003" s="4">
        <f>X2003*Z2003</f>
        <v>0</v>
      </c>
      <c r="AB2003" s="4">
        <f t="shared" si="296"/>
        <v>0</v>
      </c>
      <c r="AC2003" s="6">
        <f t="shared" si="297"/>
        <v>0</v>
      </c>
      <c r="AD2003" s="13">
        <f t="shared" si="289"/>
        <v>0</v>
      </c>
      <c r="AE2003" s="2">
        <v>0</v>
      </c>
      <c r="AF2003" s="5">
        <f t="shared" si="298"/>
        <v>0</v>
      </c>
      <c r="AG2003" s="2">
        <v>0</v>
      </c>
      <c r="AH2003" s="5">
        <f t="shared" si="290"/>
        <v>0</v>
      </c>
      <c r="AJ2003" s="126" t="e">
        <v>#N/A</v>
      </c>
      <c r="AK2003" s="80">
        <f t="shared" si="299"/>
        <v>0</v>
      </c>
      <c r="AM2003" s="85"/>
    </row>
    <row r="2004" spans="1:39" hidden="1" x14ac:dyDescent="0.3">
      <c r="A2004" s="85" t="s">
        <v>34</v>
      </c>
      <c r="B2004" s="15" t="s">
        <v>35</v>
      </c>
      <c r="C2004" s="15" t="s">
        <v>295</v>
      </c>
      <c r="D2004" s="15" t="s">
        <v>185</v>
      </c>
      <c r="E2004" s="15" t="s">
        <v>2608</v>
      </c>
      <c r="F2004" s="15" t="s">
        <v>2608</v>
      </c>
      <c r="G2004" s="15" t="s">
        <v>2608</v>
      </c>
      <c r="H2004" s="139"/>
      <c r="I2004" s="15" t="s">
        <v>2572</v>
      </c>
      <c r="J2004" s="1" t="s">
        <v>3327</v>
      </c>
      <c r="K2004" s="1" t="s">
        <v>3284</v>
      </c>
      <c r="L2004" s="1" t="s">
        <v>35</v>
      </c>
      <c r="M2004" s="15" t="s">
        <v>2609</v>
      </c>
      <c r="N2004" s="15"/>
      <c r="O2004" s="8" t="s">
        <v>410</v>
      </c>
      <c r="P2004" s="8" t="s">
        <v>41</v>
      </c>
      <c r="Q2004" s="9">
        <v>0</v>
      </c>
      <c r="R2004" s="139">
        <v>400001707</v>
      </c>
      <c r="T2004" s="18">
        <v>4.5</v>
      </c>
      <c r="U2004" s="4">
        <v>0</v>
      </c>
      <c r="V2004" s="4">
        <v>0</v>
      </c>
      <c r="W2004" s="13">
        <f t="shared" si="294"/>
        <v>4.5</v>
      </c>
      <c r="X2004" s="13">
        <f t="shared" si="288"/>
        <v>0</v>
      </c>
      <c r="Y2004" s="13">
        <f t="shared" si="295"/>
        <v>0</v>
      </c>
      <c r="Z2004" s="2">
        <v>0</v>
      </c>
      <c r="AA2004" s="4">
        <v>0</v>
      </c>
      <c r="AB2004" s="4">
        <f t="shared" si="296"/>
        <v>0</v>
      </c>
      <c r="AC2004" s="6">
        <f t="shared" si="297"/>
        <v>0</v>
      </c>
      <c r="AD2004" s="13">
        <f t="shared" si="289"/>
        <v>0</v>
      </c>
      <c r="AE2004" s="2">
        <v>0</v>
      </c>
      <c r="AF2004" s="5">
        <f t="shared" si="298"/>
        <v>0</v>
      </c>
      <c r="AG2004" s="2">
        <v>0</v>
      </c>
      <c r="AH2004" s="5">
        <f t="shared" si="290"/>
        <v>0</v>
      </c>
      <c r="AJ2004" s="126" t="e">
        <v>#N/A</v>
      </c>
      <c r="AK2004" s="80">
        <f t="shared" si="299"/>
        <v>0</v>
      </c>
      <c r="AM2004" s="85"/>
    </row>
    <row r="2005" spans="1:39" hidden="1" x14ac:dyDescent="0.3">
      <c r="A2005" s="85" t="s">
        <v>34</v>
      </c>
      <c r="B2005" s="15" t="s">
        <v>35</v>
      </c>
      <c r="C2005" s="15" t="s">
        <v>295</v>
      </c>
      <c r="D2005" s="15" t="s">
        <v>185</v>
      </c>
      <c r="E2005" s="15" t="s">
        <v>2610</v>
      </c>
      <c r="F2005" s="15" t="s">
        <v>2610</v>
      </c>
      <c r="G2005" s="15" t="s">
        <v>2610</v>
      </c>
      <c r="H2005" s="139"/>
      <c r="I2005" s="15" t="s">
        <v>2572</v>
      </c>
      <c r="J2005" s="1" t="s">
        <v>3327</v>
      </c>
      <c r="K2005" s="1" t="s">
        <v>3284</v>
      </c>
      <c r="L2005" s="1" t="s">
        <v>35</v>
      </c>
      <c r="M2005" s="15" t="s">
        <v>2610</v>
      </c>
      <c r="N2005" s="15"/>
      <c r="O2005" s="8" t="s">
        <v>410</v>
      </c>
      <c r="P2005" s="8" t="s">
        <v>41</v>
      </c>
      <c r="Q2005" s="9">
        <v>0</v>
      </c>
      <c r="R2005" s="139">
        <v>100000130</v>
      </c>
      <c r="T2005" s="18">
        <v>150.11000000000101</v>
      </c>
      <c r="U2005" s="4">
        <v>0</v>
      </c>
      <c r="V2005" s="4">
        <v>0</v>
      </c>
      <c r="W2005" s="13">
        <f t="shared" si="294"/>
        <v>150.11000000000101</v>
      </c>
      <c r="X2005" s="13">
        <f t="shared" si="288"/>
        <v>0</v>
      </c>
      <c r="Y2005" s="13">
        <f t="shared" si="295"/>
        <v>0</v>
      </c>
      <c r="Z2005" s="2">
        <v>0</v>
      </c>
      <c r="AA2005" s="4">
        <v>0</v>
      </c>
      <c r="AB2005" s="4">
        <f t="shared" si="296"/>
        <v>0</v>
      </c>
      <c r="AC2005" s="6">
        <f t="shared" si="297"/>
        <v>0</v>
      </c>
      <c r="AD2005" s="13">
        <f t="shared" si="289"/>
        <v>0</v>
      </c>
      <c r="AE2005" s="2">
        <v>0</v>
      </c>
      <c r="AF2005" s="5">
        <f t="shared" si="298"/>
        <v>0</v>
      </c>
      <c r="AG2005" s="2">
        <v>0</v>
      </c>
      <c r="AH2005" s="5">
        <f t="shared" si="290"/>
        <v>0</v>
      </c>
      <c r="AJ2005" s="126" t="e">
        <v>#N/A</v>
      </c>
      <c r="AK2005" s="80">
        <f t="shared" si="299"/>
        <v>0</v>
      </c>
      <c r="AM2005" s="85"/>
    </row>
    <row r="2006" spans="1:39" hidden="1" x14ac:dyDescent="0.3">
      <c r="A2006" s="85" t="s">
        <v>34</v>
      </c>
      <c r="B2006" s="15" t="s">
        <v>35</v>
      </c>
      <c r="C2006" s="15" t="s">
        <v>295</v>
      </c>
      <c r="D2006" s="15" t="s">
        <v>185</v>
      </c>
      <c r="E2006" s="15" t="s">
        <v>2611</v>
      </c>
      <c r="F2006" s="15" t="s">
        <v>2611</v>
      </c>
      <c r="G2006" s="15" t="s">
        <v>2611</v>
      </c>
      <c r="H2006" s="139"/>
      <c r="I2006" s="15" t="s">
        <v>2572</v>
      </c>
      <c r="J2006" s="1" t="s">
        <v>3327</v>
      </c>
      <c r="K2006" s="1" t="s">
        <v>3284</v>
      </c>
      <c r="L2006" s="1" t="s">
        <v>35</v>
      </c>
      <c r="M2006" s="15" t="s">
        <v>2611</v>
      </c>
      <c r="N2006" s="15"/>
      <c r="O2006" s="8" t="s">
        <v>410</v>
      </c>
      <c r="P2006" s="8" t="s">
        <v>41</v>
      </c>
      <c r="Q2006" s="9">
        <v>0</v>
      </c>
      <c r="R2006" s="139">
        <v>400001159</v>
      </c>
      <c r="T2006" s="18">
        <v>0.22999999999999701</v>
      </c>
      <c r="U2006" s="4">
        <v>0</v>
      </c>
      <c r="V2006" s="4">
        <v>0</v>
      </c>
      <c r="W2006" s="13">
        <f t="shared" si="294"/>
        <v>0.22999999999999701</v>
      </c>
      <c r="X2006" s="13">
        <f t="shared" si="288"/>
        <v>0</v>
      </c>
      <c r="Y2006" s="13">
        <f t="shared" si="295"/>
        <v>0</v>
      </c>
      <c r="Z2006" s="2">
        <v>0</v>
      </c>
      <c r="AA2006" s="4">
        <v>0</v>
      </c>
      <c r="AB2006" s="4">
        <f t="shared" si="296"/>
        <v>0</v>
      </c>
      <c r="AC2006" s="6">
        <f t="shared" si="297"/>
        <v>0</v>
      </c>
      <c r="AD2006" s="13">
        <f t="shared" si="289"/>
        <v>0</v>
      </c>
      <c r="AE2006" s="2">
        <v>0</v>
      </c>
      <c r="AF2006" s="5">
        <f t="shared" si="298"/>
        <v>0</v>
      </c>
      <c r="AG2006" s="2">
        <v>0</v>
      </c>
      <c r="AH2006" s="5">
        <f t="shared" si="290"/>
        <v>0</v>
      </c>
      <c r="AJ2006" s="126" t="e">
        <v>#N/A</v>
      </c>
      <c r="AK2006" s="80">
        <f t="shared" si="299"/>
        <v>0</v>
      </c>
      <c r="AM2006" s="85"/>
    </row>
    <row r="2007" spans="1:39" hidden="1" x14ac:dyDescent="0.3">
      <c r="A2007" s="85" t="s">
        <v>34</v>
      </c>
      <c r="B2007" s="15" t="s">
        <v>35</v>
      </c>
      <c r="C2007" s="15" t="s">
        <v>164</v>
      </c>
      <c r="D2007" s="15" t="s">
        <v>174</v>
      </c>
      <c r="E2007" s="15" t="s">
        <v>2012</v>
      </c>
      <c r="F2007" s="15" t="s">
        <v>2612</v>
      </c>
      <c r="G2007" s="15" t="s">
        <v>2012</v>
      </c>
      <c r="H2007" s="139"/>
      <c r="I2007" s="15" t="s">
        <v>2572</v>
      </c>
      <c r="J2007" s="1" t="s">
        <v>3327</v>
      </c>
      <c r="K2007" s="1" t="s">
        <v>3284</v>
      </c>
      <c r="L2007" s="1" t="s">
        <v>35</v>
      </c>
      <c r="M2007" s="15" t="s">
        <v>2012</v>
      </c>
      <c r="N2007" s="15"/>
      <c r="O2007" s="8" t="s">
        <v>410</v>
      </c>
      <c r="P2007" s="8" t="s">
        <v>41</v>
      </c>
      <c r="Q2007" s="9">
        <v>0</v>
      </c>
      <c r="R2007" s="139">
        <v>600001350</v>
      </c>
      <c r="T2007" s="18">
        <v>-13.600000000002201</v>
      </c>
      <c r="U2007" s="4">
        <v>0</v>
      </c>
      <c r="V2007" s="4">
        <v>0</v>
      </c>
      <c r="W2007" s="13">
        <f t="shared" si="294"/>
        <v>-13.600000000002201</v>
      </c>
      <c r="X2007" s="13">
        <f t="shared" si="288"/>
        <v>0</v>
      </c>
      <c r="Y2007" s="13">
        <f t="shared" si="295"/>
        <v>0</v>
      </c>
      <c r="Z2007" s="2">
        <v>0</v>
      </c>
      <c r="AA2007" s="4">
        <v>0</v>
      </c>
      <c r="AB2007" s="4">
        <f t="shared" si="296"/>
        <v>0</v>
      </c>
      <c r="AC2007" s="6">
        <f t="shared" si="297"/>
        <v>0</v>
      </c>
      <c r="AD2007" s="13">
        <f t="shared" si="289"/>
        <v>0</v>
      </c>
      <c r="AE2007" s="2">
        <v>0</v>
      </c>
      <c r="AF2007" s="5">
        <f t="shared" si="298"/>
        <v>0</v>
      </c>
      <c r="AG2007" s="2">
        <v>0</v>
      </c>
      <c r="AH2007" s="5">
        <f t="shared" si="290"/>
        <v>0</v>
      </c>
      <c r="AJ2007" s="126" t="e">
        <v>#N/A</v>
      </c>
      <c r="AK2007" s="80">
        <f t="shared" si="299"/>
        <v>0</v>
      </c>
      <c r="AM2007" s="85"/>
    </row>
    <row r="2008" spans="1:39" hidden="1" x14ac:dyDescent="0.3">
      <c r="A2008" s="85" t="s">
        <v>34</v>
      </c>
      <c r="B2008" s="15" t="s">
        <v>35</v>
      </c>
      <c r="C2008" s="15" t="s">
        <v>295</v>
      </c>
      <c r="D2008" s="15" t="s">
        <v>185</v>
      </c>
      <c r="E2008" s="15" t="s">
        <v>2613</v>
      </c>
      <c r="F2008" s="15" t="s">
        <v>2613</v>
      </c>
      <c r="G2008" s="15" t="s">
        <v>2613</v>
      </c>
      <c r="H2008" s="139"/>
      <c r="I2008" s="15" t="s">
        <v>2572</v>
      </c>
      <c r="J2008" s="1" t="s">
        <v>3327</v>
      </c>
      <c r="K2008" s="1" t="s">
        <v>3284</v>
      </c>
      <c r="L2008" s="1" t="s">
        <v>35</v>
      </c>
      <c r="M2008" s="15" t="s">
        <v>2613</v>
      </c>
      <c r="N2008" s="15"/>
      <c r="O2008" s="8" t="s">
        <v>410</v>
      </c>
      <c r="P2008" s="8" t="s">
        <v>41</v>
      </c>
      <c r="Q2008" s="9">
        <v>0</v>
      </c>
      <c r="R2008" s="139">
        <v>300000519</v>
      </c>
      <c r="T2008" s="18">
        <v>-13.100000000000399</v>
      </c>
      <c r="U2008" s="4">
        <v>0</v>
      </c>
      <c r="V2008" s="4">
        <v>0</v>
      </c>
      <c r="W2008" s="13">
        <f t="shared" si="294"/>
        <v>-13.100000000000399</v>
      </c>
      <c r="X2008" s="13">
        <f t="shared" si="288"/>
        <v>0</v>
      </c>
      <c r="Y2008" s="13">
        <f t="shared" si="295"/>
        <v>0</v>
      </c>
      <c r="Z2008" s="2">
        <v>0</v>
      </c>
      <c r="AA2008" s="4">
        <v>0</v>
      </c>
      <c r="AB2008" s="4">
        <f t="shared" si="296"/>
        <v>0</v>
      </c>
      <c r="AC2008" s="6">
        <f t="shared" si="297"/>
        <v>0</v>
      </c>
      <c r="AD2008" s="13">
        <f t="shared" si="289"/>
        <v>0</v>
      </c>
      <c r="AE2008" s="2">
        <v>0</v>
      </c>
      <c r="AF2008" s="5">
        <f t="shared" si="298"/>
        <v>0</v>
      </c>
      <c r="AG2008" s="2">
        <v>0</v>
      </c>
      <c r="AH2008" s="5">
        <f t="shared" si="290"/>
        <v>0</v>
      </c>
      <c r="AJ2008" s="126" t="e">
        <v>#N/A</v>
      </c>
      <c r="AK2008" s="80">
        <f t="shared" si="299"/>
        <v>0</v>
      </c>
      <c r="AM2008" s="85"/>
    </row>
    <row r="2009" spans="1:39" hidden="1" x14ac:dyDescent="0.3">
      <c r="A2009" s="85" t="s">
        <v>34</v>
      </c>
      <c r="B2009" s="15" t="s">
        <v>35</v>
      </c>
      <c r="C2009" s="15" t="s">
        <v>47</v>
      </c>
      <c r="D2009" s="15" t="s">
        <v>48</v>
      </c>
      <c r="E2009" s="15" t="s">
        <v>1349</v>
      </c>
      <c r="F2009" s="15" t="s">
        <v>2614</v>
      </c>
      <c r="G2009" s="15" t="s">
        <v>1349</v>
      </c>
      <c r="H2009" s="139"/>
      <c r="I2009" s="15" t="s">
        <v>2572</v>
      </c>
      <c r="J2009" s="1" t="s">
        <v>3327</v>
      </c>
      <c r="K2009" s="1" t="s">
        <v>3284</v>
      </c>
      <c r="L2009" s="1" t="s">
        <v>35</v>
      </c>
      <c r="M2009" s="15" t="s">
        <v>2615</v>
      </c>
      <c r="N2009" s="15"/>
      <c r="O2009" s="8" t="s">
        <v>56</v>
      </c>
      <c r="P2009" s="8" t="s">
        <v>41</v>
      </c>
      <c r="Q2009" s="9">
        <v>0</v>
      </c>
      <c r="R2009" s="139">
        <v>600000781</v>
      </c>
      <c r="T2009" s="18">
        <v>5.7</v>
      </c>
      <c r="U2009" s="4">
        <v>0</v>
      </c>
      <c r="V2009" s="4">
        <v>0</v>
      </c>
      <c r="W2009" s="13">
        <f t="shared" si="294"/>
        <v>5.7</v>
      </c>
      <c r="X2009" s="13">
        <f t="shared" si="288"/>
        <v>0</v>
      </c>
      <c r="Y2009" s="13">
        <f t="shared" si="295"/>
        <v>0</v>
      </c>
      <c r="Z2009" s="2">
        <v>0</v>
      </c>
      <c r="AA2009" s="4">
        <v>0</v>
      </c>
      <c r="AB2009" s="4">
        <f t="shared" si="296"/>
        <v>0</v>
      </c>
      <c r="AC2009" s="6">
        <f t="shared" si="297"/>
        <v>0</v>
      </c>
      <c r="AD2009" s="13">
        <f t="shared" si="289"/>
        <v>0</v>
      </c>
      <c r="AE2009" s="2">
        <v>0</v>
      </c>
      <c r="AF2009" s="5">
        <f t="shared" si="298"/>
        <v>0</v>
      </c>
      <c r="AG2009" s="2">
        <v>0</v>
      </c>
      <c r="AH2009" s="5">
        <f t="shared" si="290"/>
        <v>0</v>
      </c>
      <c r="AJ2009" s="126" t="e">
        <v>#N/A</v>
      </c>
      <c r="AK2009" s="80">
        <f t="shared" si="299"/>
        <v>0</v>
      </c>
      <c r="AM2009" s="85"/>
    </row>
    <row r="2010" spans="1:39" hidden="1" x14ac:dyDescent="0.3">
      <c r="A2010" s="85" t="s">
        <v>34</v>
      </c>
      <c r="B2010" s="15" t="s">
        <v>35</v>
      </c>
      <c r="C2010" s="15" t="s">
        <v>47</v>
      </c>
      <c r="D2010" s="15" t="s">
        <v>48</v>
      </c>
      <c r="E2010" s="15" t="s">
        <v>1349</v>
      </c>
      <c r="F2010" s="15" t="s">
        <v>2614</v>
      </c>
      <c r="G2010" s="15" t="s">
        <v>1349</v>
      </c>
      <c r="H2010" s="139"/>
      <c r="I2010" s="15" t="s">
        <v>2572</v>
      </c>
      <c r="J2010" s="1" t="s">
        <v>3327</v>
      </c>
      <c r="K2010" s="1" t="s">
        <v>3284</v>
      </c>
      <c r="L2010" s="1" t="s">
        <v>35</v>
      </c>
      <c r="M2010" s="15" t="s">
        <v>1349</v>
      </c>
      <c r="N2010" s="15"/>
      <c r="O2010" s="8" t="s">
        <v>410</v>
      </c>
      <c r="P2010" s="8" t="s">
        <v>41</v>
      </c>
      <c r="Q2010" s="9">
        <v>0</v>
      </c>
      <c r="R2010" s="139">
        <v>600000781</v>
      </c>
      <c r="T2010" s="18">
        <v>-72.400000000000006</v>
      </c>
      <c r="U2010" s="4">
        <v>0</v>
      </c>
      <c r="V2010" s="4">
        <v>0</v>
      </c>
      <c r="W2010" s="13">
        <f t="shared" si="294"/>
        <v>-72.400000000000006</v>
      </c>
      <c r="X2010" s="13">
        <f t="shared" si="288"/>
        <v>0</v>
      </c>
      <c r="Y2010" s="13">
        <f t="shared" si="295"/>
        <v>0</v>
      </c>
      <c r="Z2010" s="2">
        <v>0</v>
      </c>
      <c r="AA2010" s="4">
        <v>0</v>
      </c>
      <c r="AB2010" s="4">
        <f t="shared" si="296"/>
        <v>0</v>
      </c>
      <c r="AC2010" s="6">
        <f t="shared" si="297"/>
        <v>0</v>
      </c>
      <c r="AD2010" s="13">
        <f t="shared" si="289"/>
        <v>0</v>
      </c>
      <c r="AE2010" s="2">
        <v>0</v>
      </c>
      <c r="AF2010" s="5">
        <f t="shared" si="298"/>
        <v>0</v>
      </c>
      <c r="AG2010" s="2">
        <v>0</v>
      </c>
      <c r="AH2010" s="5">
        <f t="shared" si="290"/>
        <v>0</v>
      </c>
      <c r="AJ2010" s="126" t="e">
        <v>#N/A</v>
      </c>
      <c r="AK2010" s="80">
        <f t="shared" si="299"/>
        <v>0</v>
      </c>
      <c r="AM2010" s="85"/>
    </row>
    <row r="2011" spans="1:39" hidden="1" x14ac:dyDescent="0.3">
      <c r="A2011" s="85" t="s">
        <v>34</v>
      </c>
      <c r="B2011" s="15" t="s">
        <v>35</v>
      </c>
      <c r="C2011" s="15" t="s">
        <v>295</v>
      </c>
      <c r="D2011" s="15" t="s">
        <v>298</v>
      </c>
      <c r="E2011" s="15" t="s">
        <v>2616</v>
      </c>
      <c r="F2011" s="15" t="s">
        <v>2616</v>
      </c>
      <c r="G2011" s="15" t="s">
        <v>2616</v>
      </c>
      <c r="H2011" s="139"/>
      <c r="I2011" s="15" t="s">
        <v>2572</v>
      </c>
      <c r="J2011" s="1" t="s">
        <v>3327</v>
      </c>
      <c r="K2011" s="1" t="s">
        <v>3284</v>
      </c>
      <c r="L2011" s="1" t="s">
        <v>35</v>
      </c>
      <c r="M2011" s="15" t="s">
        <v>2617</v>
      </c>
      <c r="N2011" s="15"/>
      <c r="O2011" s="8" t="s">
        <v>410</v>
      </c>
      <c r="P2011" s="8" t="s">
        <v>41</v>
      </c>
      <c r="Q2011" s="9">
        <v>0</v>
      </c>
      <c r="R2011" s="139">
        <v>600001184</v>
      </c>
      <c r="T2011" s="18">
        <v>99918.34</v>
      </c>
      <c r="U2011" s="4">
        <v>0</v>
      </c>
      <c r="V2011" s="4">
        <v>0</v>
      </c>
      <c r="W2011" s="13">
        <f t="shared" si="294"/>
        <v>99918.34</v>
      </c>
      <c r="X2011" s="13">
        <f t="shared" si="288"/>
        <v>0</v>
      </c>
      <c r="Y2011" s="13">
        <f t="shared" si="295"/>
        <v>0</v>
      </c>
      <c r="Z2011" s="2">
        <v>0</v>
      </c>
      <c r="AA2011" s="4">
        <v>0</v>
      </c>
      <c r="AB2011" s="4">
        <f t="shared" si="296"/>
        <v>0</v>
      </c>
      <c r="AC2011" s="6">
        <f t="shared" si="297"/>
        <v>0</v>
      </c>
      <c r="AD2011" s="13">
        <f t="shared" si="289"/>
        <v>0</v>
      </c>
      <c r="AE2011" s="2">
        <v>0</v>
      </c>
      <c r="AF2011" s="5">
        <f t="shared" si="298"/>
        <v>0</v>
      </c>
      <c r="AG2011" s="2">
        <v>0</v>
      </c>
      <c r="AH2011" s="5">
        <f t="shared" si="290"/>
        <v>0</v>
      </c>
      <c r="AJ2011" s="126" t="e">
        <v>#N/A</v>
      </c>
      <c r="AK2011" s="80">
        <f t="shared" si="299"/>
        <v>0</v>
      </c>
      <c r="AM2011" s="85"/>
    </row>
    <row r="2012" spans="1:39" hidden="1" x14ac:dyDescent="0.3">
      <c r="A2012" s="85" t="s">
        <v>34</v>
      </c>
      <c r="B2012" s="15" t="s">
        <v>35</v>
      </c>
      <c r="C2012" s="15" t="s">
        <v>53</v>
      </c>
      <c r="D2012" s="15" t="s">
        <v>54</v>
      </c>
      <c r="E2012" s="15" t="s">
        <v>55</v>
      </c>
      <c r="F2012" s="15" t="s">
        <v>55</v>
      </c>
      <c r="G2012" s="15" t="s">
        <v>55</v>
      </c>
      <c r="H2012" s="139"/>
      <c r="I2012" s="15" t="s">
        <v>2572</v>
      </c>
      <c r="J2012" s="1" t="s">
        <v>3327</v>
      </c>
      <c r="K2012" s="1" t="s">
        <v>3284</v>
      </c>
      <c r="L2012" s="1" t="s">
        <v>35</v>
      </c>
      <c r="M2012" s="15" t="s">
        <v>55</v>
      </c>
      <c r="N2012" s="15"/>
      <c r="O2012" s="8" t="s">
        <v>410</v>
      </c>
      <c r="P2012" s="8" t="s">
        <v>41</v>
      </c>
      <c r="Q2012" s="9">
        <v>0</v>
      </c>
      <c r="R2012" s="139">
        <v>600000861</v>
      </c>
      <c r="T2012" s="18">
        <v>99116.210000000196</v>
      </c>
      <c r="U2012" s="4">
        <v>0</v>
      </c>
      <c r="V2012" s="4">
        <v>0</v>
      </c>
      <c r="W2012" s="13">
        <f t="shared" si="294"/>
        <v>99116.210000000196</v>
      </c>
      <c r="X2012" s="13">
        <f t="shared" si="288"/>
        <v>0</v>
      </c>
      <c r="Y2012" s="13">
        <f t="shared" si="295"/>
        <v>0</v>
      </c>
      <c r="Z2012" s="2">
        <v>0</v>
      </c>
      <c r="AA2012" s="4">
        <v>0</v>
      </c>
      <c r="AB2012" s="4">
        <f t="shared" si="296"/>
        <v>0</v>
      </c>
      <c r="AC2012" s="6">
        <f t="shared" si="297"/>
        <v>0</v>
      </c>
      <c r="AD2012" s="13">
        <f t="shared" si="289"/>
        <v>0</v>
      </c>
      <c r="AE2012" s="2">
        <v>0</v>
      </c>
      <c r="AF2012" s="5">
        <f t="shared" si="298"/>
        <v>0</v>
      </c>
      <c r="AG2012" s="2">
        <v>0</v>
      </c>
      <c r="AH2012" s="5">
        <f t="shared" si="290"/>
        <v>0</v>
      </c>
      <c r="AJ2012" s="126" t="e">
        <v>#N/A</v>
      </c>
      <c r="AK2012" s="80">
        <f t="shared" si="299"/>
        <v>0</v>
      </c>
      <c r="AM2012" s="85"/>
    </row>
    <row r="2013" spans="1:39" hidden="1" x14ac:dyDescent="0.3">
      <c r="A2013" s="85" t="s">
        <v>34</v>
      </c>
      <c r="B2013" s="15" t="s">
        <v>35</v>
      </c>
      <c r="C2013" s="15" t="s">
        <v>65</v>
      </c>
      <c r="D2013" s="15" t="s">
        <v>66</v>
      </c>
      <c r="E2013" s="15" t="s">
        <v>869</v>
      </c>
      <c r="F2013" s="15" t="s">
        <v>869</v>
      </c>
      <c r="G2013" s="15" t="s">
        <v>869</v>
      </c>
      <c r="H2013" s="139"/>
      <c r="I2013" s="15" t="s">
        <v>2572</v>
      </c>
      <c r="J2013" s="1" t="s">
        <v>3327</v>
      </c>
      <c r="K2013" s="1" t="s">
        <v>3284</v>
      </c>
      <c r="L2013" s="1" t="s">
        <v>35</v>
      </c>
      <c r="M2013" s="15" t="s">
        <v>869</v>
      </c>
      <c r="N2013" s="15"/>
      <c r="O2013" s="8" t="s">
        <v>410</v>
      </c>
      <c r="P2013" s="8" t="s">
        <v>41</v>
      </c>
      <c r="Q2013" s="9">
        <v>0</v>
      </c>
      <c r="R2013" s="139">
        <v>600000804</v>
      </c>
      <c r="T2013" s="18">
        <v>128.87999999991007</v>
      </c>
      <c r="U2013" s="4">
        <v>0</v>
      </c>
      <c r="V2013" s="4">
        <v>0</v>
      </c>
      <c r="W2013" s="13">
        <f t="shared" si="294"/>
        <v>128.87999999991007</v>
      </c>
      <c r="X2013" s="13">
        <f t="shared" si="288"/>
        <v>0</v>
      </c>
      <c r="Y2013" s="13">
        <f t="shared" si="295"/>
        <v>0</v>
      </c>
      <c r="Z2013" s="2">
        <v>0</v>
      </c>
      <c r="AA2013" s="4">
        <v>0</v>
      </c>
      <c r="AB2013" s="4">
        <f t="shared" si="296"/>
        <v>0</v>
      </c>
      <c r="AC2013" s="6">
        <f t="shared" si="297"/>
        <v>0</v>
      </c>
      <c r="AD2013" s="13">
        <f t="shared" si="289"/>
        <v>0</v>
      </c>
      <c r="AE2013" s="2">
        <v>0</v>
      </c>
      <c r="AF2013" s="5">
        <f t="shared" si="298"/>
        <v>0</v>
      </c>
      <c r="AG2013" s="2">
        <v>0</v>
      </c>
      <c r="AH2013" s="5">
        <f t="shared" si="290"/>
        <v>0</v>
      </c>
      <c r="AJ2013" s="126" t="e">
        <v>#N/A</v>
      </c>
      <c r="AK2013" s="80">
        <f t="shared" si="299"/>
        <v>0</v>
      </c>
      <c r="AM2013" s="85"/>
    </row>
    <row r="2014" spans="1:39" hidden="1" x14ac:dyDescent="0.3">
      <c r="A2014" s="85" t="s">
        <v>34</v>
      </c>
      <c r="B2014" s="15" t="s">
        <v>35</v>
      </c>
      <c r="C2014" s="15" t="s">
        <v>65</v>
      </c>
      <c r="D2014" s="15" t="s">
        <v>66</v>
      </c>
      <c r="E2014" s="15" t="s">
        <v>1889</v>
      </c>
      <c r="F2014" s="15" t="s">
        <v>1889</v>
      </c>
      <c r="G2014" s="15" t="s">
        <v>1889</v>
      </c>
      <c r="H2014" s="139"/>
      <c r="I2014" s="15" t="s">
        <v>2572</v>
      </c>
      <c r="J2014" s="1" t="s">
        <v>3327</v>
      </c>
      <c r="K2014" s="1" t="s">
        <v>3284</v>
      </c>
      <c r="L2014" s="1" t="s">
        <v>35</v>
      </c>
      <c r="M2014" s="15" t="s">
        <v>2618</v>
      </c>
      <c r="N2014" s="15"/>
      <c r="O2014" s="8" t="s">
        <v>410</v>
      </c>
      <c r="P2014" s="8" t="s">
        <v>41</v>
      </c>
      <c r="Q2014" s="9">
        <v>0</v>
      </c>
      <c r="R2014" s="139">
        <v>300000971</v>
      </c>
      <c r="T2014" s="18">
        <v>17294.249999999956</v>
      </c>
      <c r="U2014" s="4">
        <v>0</v>
      </c>
      <c r="V2014" s="4">
        <v>0</v>
      </c>
      <c r="W2014" s="13">
        <f t="shared" si="294"/>
        <v>17294.249999999956</v>
      </c>
      <c r="X2014" s="13">
        <f t="shared" si="288"/>
        <v>0</v>
      </c>
      <c r="Y2014" s="13">
        <f t="shared" si="295"/>
        <v>0</v>
      </c>
      <c r="Z2014" s="2">
        <v>0.03</v>
      </c>
      <c r="AA2014" s="4">
        <f>X2014*Z2014</f>
        <v>0</v>
      </c>
      <c r="AB2014" s="4">
        <f t="shared" si="296"/>
        <v>0</v>
      </c>
      <c r="AC2014" s="6">
        <f t="shared" si="297"/>
        <v>0</v>
      </c>
      <c r="AD2014" s="13">
        <f t="shared" si="289"/>
        <v>0</v>
      </c>
      <c r="AE2014" s="2">
        <v>0</v>
      </c>
      <c r="AF2014" s="5">
        <f t="shared" si="298"/>
        <v>0</v>
      </c>
      <c r="AG2014" s="2">
        <v>0</v>
      </c>
      <c r="AH2014" s="5">
        <f t="shared" si="290"/>
        <v>0</v>
      </c>
      <c r="AJ2014" s="126" t="e">
        <v>#N/A</v>
      </c>
      <c r="AK2014" s="80">
        <f t="shared" si="299"/>
        <v>0</v>
      </c>
      <c r="AM2014" s="85"/>
    </row>
    <row r="2015" spans="1:39" hidden="1" x14ac:dyDescent="0.3">
      <c r="A2015" s="85" t="s">
        <v>34</v>
      </c>
      <c r="B2015" s="15" t="s">
        <v>35</v>
      </c>
      <c r="C2015" s="15" t="s">
        <v>65</v>
      </c>
      <c r="D2015" s="15" t="s">
        <v>66</v>
      </c>
      <c r="E2015" s="15" t="s">
        <v>2619</v>
      </c>
      <c r="F2015" s="15" t="s">
        <v>2619</v>
      </c>
      <c r="G2015" s="15" t="s">
        <v>2619</v>
      </c>
      <c r="H2015" s="139"/>
      <c r="I2015" s="15" t="s">
        <v>2572</v>
      </c>
      <c r="J2015" s="1" t="s">
        <v>3327</v>
      </c>
      <c r="K2015" s="1" t="s">
        <v>3284</v>
      </c>
      <c r="L2015" s="1" t="s">
        <v>35</v>
      </c>
      <c r="M2015" s="15" t="s">
        <v>2620</v>
      </c>
      <c r="N2015" s="15"/>
      <c r="O2015" s="8" t="s">
        <v>410</v>
      </c>
      <c r="P2015" s="8" t="s">
        <v>41</v>
      </c>
      <c r="Q2015" s="9">
        <v>0</v>
      </c>
      <c r="R2015" s="139">
        <v>600001325</v>
      </c>
      <c r="T2015" s="18">
        <v>-99.199999999998894</v>
      </c>
      <c r="U2015" s="4">
        <v>0</v>
      </c>
      <c r="V2015" s="4">
        <v>0</v>
      </c>
      <c r="W2015" s="13">
        <f t="shared" si="294"/>
        <v>-99.199999999998894</v>
      </c>
      <c r="X2015" s="13">
        <f t="shared" si="288"/>
        <v>0</v>
      </c>
      <c r="Y2015" s="13">
        <f t="shared" si="295"/>
        <v>0</v>
      </c>
      <c r="Z2015" s="2">
        <v>0</v>
      </c>
      <c r="AA2015" s="4">
        <v>0</v>
      </c>
      <c r="AB2015" s="4">
        <f t="shared" si="296"/>
        <v>0</v>
      </c>
      <c r="AC2015" s="6">
        <f t="shared" si="297"/>
        <v>0</v>
      </c>
      <c r="AD2015" s="13">
        <f t="shared" si="289"/>
        <v>0</v>
      </c>
      <c r="AE2015" s="2">
        <v>0</v>
      </c>
      <c r="AF2015" s="5">
        <f t="shared" si="298"/>
        <v>0</v>
      </c>
      <c r="AG2015" s="2">
        <v>0</v>
      </c>
      <c r="AH2015" s="5">
        <f t="shared" si="290"/>
        <v>0</v>
      </c>
      <c r="AJ2015" s="126" t="e">
        <v>#N/A</v>
      </c>
      <c r="AK2015" s="80">
        <f t="shared" si="299"/>
        <v>0</v>
      </c>
      <c r="AM2015" s="85"/>
    </row>
    <row r="2016" spans="1:39" hidden="1" x14ac:dyDescent="0.3">
      <c r="A2016" s="85" t="s">
        <v>34</v>
      </c>
      <c r="B2016" s="15" t="s">
        <v>35</v>
      </c>
      <c r="C2016" s="15" t="s">
        <v>65</v>
      </c>
      <c r="D2016" s="15" t="s">
        <v>122</v>
      </c>
      <c r="E2016" s="15" t="s">
        <v>2621</v>
      </c>
      <c r="F2016" s="15" t="s">
        <v>2622</v>
      </c>
      <c r="G2016" s="15" t="s">
        <v>2621</v>
      </c>
      <c r="H2016" s="139"/>
      <c r="I2016" s="15" t="s">
        <v>2572</v>
      </c>
      <c r="J2016" s="1" t="s">
        <v>3327</v>
      </c>
      <c r="K2016" s="1" t="s">
        <v>3284</v>
      </c>
      <c r="L2016" s="1" t="s">
        <v>35</v>
      </c>
      <c r="M2016" s="15" t="s">
        <v>2623</v>
      </c>
      <c r="N2016" s="15"/>
      <c r="O2016" s="8" t="s">
        <v>410</v>
      </c>
      <c r="P2016" s="8" t="s">
        <v>41</v>
      </c>
      <c r="Q2016" s="9">
        <v>0</v>
      </c>
      <c r="R2016" s="139">
        <v>300000959</v>
      </c>
      <c r="T2016" s="18">
        <v>-46.4</v>
      </c>
      <c r="U2016" s="4">
        <v>0</v>
      </c>
      <c r="V2016" s="4">
        <v>0</v>
      </c>
      <c r="W2016" s="13">
        <f t="shared" si="294"/>
        <v>-46.4</v>
      </c>
      <c r="X2016" s="13">
        <f t="shared" si="288"/>
        <v>0</v>
      </c>
      <c r="Y2016" s="13">
        <f t="shared" si="295"/>
        <v>0</v>
      </c>
      <c r="Z2016" s="2">
        <v>0</v>
      </c>
      <c r="AA2016" s="4">
        <v>0</v>
      </c>
      <c r="AB2016" s="4">
        <f t="shared" si="296"/>
        <v>0</v>
      </c>
      <c r="AC2016" s="6">
        <f t="shared" si="297"/>
        <v>0</v>
      </c>
      <c r="AD2016" s="13">
        <f t="shared" si="289"/>
        <v>0</v>
      </c>
      <c r="AE2016" s="2">
        <v>0</v>
      </c>
      <c r="AF2016" s="5">
        <f t="shared" si="298"/>
        <v>0</v>
      </c>
      <c r="AG2016" s="2">
        <v>0</v>
      </c>
      <c r="AH2016" s="5">
        <f t="shared" si="290"/>
        <v>0</v>
      </c>
      <c r="AJ2016" s="126" t="e">
        <v>#N/A</v>
      </c>
      <c r="AK2016" s="80">
        <f t="shared" si="299"/>
        <v>0</v>
      </c>
      <c r="AM2016" s="85"/>
    </row>
    <row r="2017" spans="1:39" hidden="1" x14ac:dyDescent="0.3">
      <c r="A2017" s="85" t="s">
        <v>34</v>
      </c>
      <c r="B2017" s="15" t="s">
        <v>35</v>
      </c>
      <c r="C2017" s="15" t="s">
        <v>65</v>
      </c>
      <c r="D2017" s="15" t="s">
        <v>232</v>
      </c>
      <c r="E2017" s="15" t="s">
        <v>1907</v>
      </c>
      <c r="F2017" s="15" t="s">
        <v>1908</v>
      </c>
      <c r="G2017" s="15" t="s">
        <v>1907</v>
      </c>
      <c r="H2017" s="139"/>
      <c r="I2017" s="15" t="s">
        <v>2572</v>
      </c>
      <c r="J2017" s="1" t="s">
        <v>3327</v>
      </c>
      <c r="K2017" s="1" t="s">
        <v>3284</v>
      </c>
      <c r="L2017" s="1" t="s">
        <v>35</v>
      </c>
      <c r="M2017" s="15" t="s">
        <v>1907</v>
      </c>
      <c r="N2017" s="15"/>
      <c r="O2017" s="8" t="s">
        <v>410</v>
      </c>
      <c r="P2017" s="8" t="s">
        <v>41</v>
      </c>
      <c r="Q2017" s="9">
        <v>0</v>
      </c>
      <c r="R2017" s="139">
        <v>100000334</v>
      </c>
      <c r="T2017" s="18">
        <v>-68.149999999979627</v>
      </c>
      <c r="U2017" s="4">
        <v>0</v>
      </c>
      <c r="V2017" s="4">
        <v>0</v>
      </c>
      <c r="W2017" s="13">
        <f t="shared" si="294"/>
        <v>-68.149999999979627</v>
      </c>
      <c r="X2017" s="13">
        <f t="shared" ref="X2017:X2080" si="301">IF(P2017="折扣",V2017*Q2017,IF(P2017="返现",V2017,V2017/(1+Q2017)))</f>
        <v>0</v>
      </c>
      <c r="Y2017" s="13">
        <f t="shared" si="295"/>
        <v>0</v>
      </c>
      <c r="Z2017" s="2">
        <v>0</v>
      </c>
      <c r="AA2017" s="4">
        <v>0</v>
      </c>
      <c r="AB2017" s="4">
        <f t="shared" si="296"/>
        <v>0</v>
      </c>
      <c r="AC2017" s="6">
        <f t="shared" si="297"/>
        <v>0</v>
      </c>
      <c r="AD2017" s="13">
        <f t="shared" si="289"/>
        <v>0</v>
      </c>
      <c r="AE2017" s="2">
        <v>0</v>
      </c>
      <c r="AF2017" s="5">
        <f t="shared" si="298"/>
        <v>0</v>
      </c>
      <c r="AG2017" s="2">
        <v>0</v>
      </c>
      <c r="AH2017" s="5">
        <f t="shared" si="290"/>
        <v>0</v>
      </c>
      <c r="AJ2017" s="126" t="e">
        <v>#N/A</v>
      </c>
      <c r="AK2017" s="80">
        <f t="shared" si="299"/>
        <v>0</v>
      </c>
      <c r="AM2017" s="85"/>
    </row>
    <row r="2018" spans="1:39" hidden="1" x14ac:dyDescent="0.3">
      <c r="A2018" s="85" t="s">
        <v>34</v>
      </c>
      <c r="B2018" s="15" t="s">
        <v>35</v>
      </c>
      <c r="C2018" s="15" t="s">
        <v>65</v>
      </c>
      <c r="D2018" s="15" t="s">
        <v>232</v>
      </c>
      <c r="E2018" s="15" t="s">
        <v>2624</v>
      </c>
      <c r="F2018" s="15" t="s">
        <v>2624</v>
      </c>
      <c r="G2018" s="15" t="s">
        <v>2625</v>
      </c>
      <c r="H2018" s="139"/>
      <c r="I2018" s="15" t="s">
        <v>2572</v>
      </c>
      <c r="J2018" s="1" t="s">
        <v>3327</v>
      </c>
      <c r="K2018" s="1" t="s">
        <v>3284</v>
      </c>
      <c r="L2018" s="1" t="s">
        <v>35</v>
      </c>
      <c r="M2018" s="15" t="s">
        <v>2625</v>
      </c>
      <c r="N2018" s="15"/>
      <c r="O2018" s="8" t="s">
        <v>410</v>
      </c>
      <c r="P2018" s="8" t="s">
        <v>41</v>
      </c>
      <c r="Q2018" s="9">
        <v>0</v>
      </c>
      <c r="R2018" s="139">
        <v>100000113</v>
      </c>
      <c r="T2018" s="18">
        <v>-13.999999999994801</v>
      </c>
      <c r="U2018" s="4">
        <v>0</v>
      </c>
      <c r="V2018" s="4">
        <v>0</v>
      </c>
      <c r="W2018" s="13">
        <f t="shared" si="294"/>
        <v>-13.999999999994801</v>
      </c>
      <c r="X2018" s="13">
        <f t="shared" si="301"/>
        <v>0</v>
      </c>
      <c r="Y2018" s="13">
        <f t="shared" si="295"/>
        <v>0</v>
      </c>
      <c r="Z2018" s="2">
        <v>0</v>
      </c>
      <c r="AA2018" s="4">
        <v>0</v>
      </c>
      <c r="AB2018" s="4">
        <f t="shared" si="296"/>
        <v>0</v>
      </c>
      <c r="AC2018" s="6">
        <f t="shared" si="297"/>
        <v>0</v>
      </c>
      <c r="AD2018" s="13">
        <f t="shared" ref="AD2018:AD2058" si="302">V2018</f>
        <v>0</v>
      </c>
      <c r="AE2018" s="2">
        <v>0</v>
      </c>
      <c r="AF2018" s="5">
        <f t="shared" si="298"/>
        <v>0</v>
      </c>
      <c r="AG2018" s="2">
        <v>0</v>
      </c>
      <c r="AH2018" s="5">
        <f t="shared" ref="AH2018:AH2058" si="303">V2018</f>
        <v>0</v>
      </c>
      <c r="AJ2018" s="126" t="e">
        <v>#N/A</v>
      </c>
      <c r="AK2018" s="80">
        <f t="shared" si="299"/>
        <v>0</v>
      </c>
      <c r="AM2018" s="85"/>
    </row>
    <row r="2019" spans="1:39" hidden="1" x14ac:dyDescent="0.3">
      <c r="A2019" s="85" t="s">
        <v>34</v>
      </c>
      <c r="B2019" s="15" t="s">
        <v>35</v>
      </c>
      <c r="C2019" s="15" t="s">
        <v>65</v>
      </c>
      <c r="D2019" s="15" t="s">
        <v>232</v>
      </c>
      <c r="E2019" s="15" t="s">
        <v>2626</v>
      </c>
      <c r="F2019" s="15" t="s">
        <v>2626</v>
      </c>
      <c r="G2019" s="15" t="s">
        <v>2626</v>
      </c>
      <c r="H2019" s="139"/>
      <c r="I2019" s="15" t="s">
        <v>2572</v>
      </c>
      <c r="J2019" s="1" t="s">
        <v>3327</v>
      </c>
      <c r="K2019" s="1" t="s">
        <v>3284</v>
      </c>
      <c r="L2019" s="1" t="s">
        <v>35</v>
      </c>
      <c r="M2019" s="15" t="s">
        <v>2626</v>
      </c>
      <c r="N2019" s="15"/>
      <c r="O2019" s="8" t="s">
        <v>410</v>
      </c>
      <c r="P2019" s="8" t="s">
        <v>41</v>
      </c>
      <c r="Q2019" s="9">
        <v>0</v>
      </c>
      <c r="R2019" s="139">
        <v>400003343</v>
      </c>
      <c r="T2019" s="18">
        <v>12687.279999999999</v>
      </c>
      <c r="U2019" s="4">
        <v>0</v>
      </c>
      <c r="V2019" s="4">
        <v>0</v>
      </c>
      <c r="W2019" s="13">
        <f t="shared" si="294"/>
        <v>12687.279999999999</v>
      </c>
      <c r="X2019" s="13">
        <f t="shared" si="301"/>
        <v>0</v>
      </c>
      <c r="Y2019" s="13">
        <f t="shared" si="295"/>
        <v>0</v>
      </c>
      <c r="Z2019" s="2">
        <v>0.03</v>
      </c>
      <c r="AA2019" s="4">
        <f>X2019*Z2019</f>
        <v>0</v>
      </c>
      <c r="AB2019" s="4">
        <f t="shared" si="296"/>
        <v>0</v>
      </c>
      <c r="AC2019" s="6">
        <f t="shared" si="297"/>
        <v>0</v>
      </c>
      <c r="AD2019" s="13">
        <f t="shared" si="302"/>
        <v>0</v>
      </c>
      <c r="AE2019" s="2">
        <v>0</v>
      </c>
      <c r="AF2019" s="5">
        <f t="shared" si="298"/>
        <v>0</v>
      </c>
      <c r="AG2019" s="2">
        <v>0</v>
      </c>
      <c r="AH2019" s="5">
        <f t="shared" si="303"/>
        <v>0</v>
      </c>
      <c r="AJ2019" s="126" t="e">
        <v>#N/A</v>
      </c>
      <c r="AK2019" s="80">
        <f t="shared" si="299"/>
        <v>0</v>
      </c>
      <c r="AM2019" s="85"/>
    </row>
    <row r="2020" spans="1:39" hidden="1" x14ac:dyDescent="0.3">
      <c r="A2020" s="85" t="s">
        <v>34</v>
      </c>
      <c r="B2020" s="15" t="s">
        <v>35</v>
      </c>
      <c r="C2020" s="15" t="s">
        <v>47</v>
      </c>
      <c r="D2020" s="15" t="s">
        <v>1317</v>
      </c>
      <c r="E2020" s="15" t="s">
        <v>2627</v>
      </c>
      <c r="F2020" s="15" t="s">
        <v>2627</v>
      </c>
      <c r="G2020" s="15" t="s">
        <v>2627</v>
      </c>
      <c r="H2020" s="154"/>
      <c r="I2020" s="15" t="s">
        <v>2572</v>
      </c>
      <c r="J2020" s="1" t="s">
        <v>3327</v>
      </c>
      <c r="K2020" s="1" t="s">
        <v>3284</v>
      </c>
      <c r="L2020" s="1" t="s">
        <v>35</v>
      </c>
      <c r="M2020" s="15" t="s">
        <v>2627</v>
      </c>
      <c r="N2020" s="15"/>
      <c r="O2020" s="8" t="s">
        <v>410</v>
      </c>
      <c r="P2020" s="8" t="s">
        <v>41</v>
      </c>
      <c r="Q2020" s="9">
        <v>0</v>
      </c>
      <c r="R2020" s="139">
        <v>400001931</v>
      </c>
      <c r="T2020" s="18">
        <v>1.4399999999998025</v>
      </c>
      <c r="U2020" s="4">
        <v>0</v>
      </c>
      <c r="V2020" s="4">
        <v>1.2</v>
      </c>
      <c r="W2020" s="13">
        <f t="shared" si="294"/>
        <v>0.23999999999980259</v>
      </c>
      <c r="X2020" s="13">
        <f t="shared" si="301"/>
        <v>1.2</v>
      </c>
      <c r="Y2020" s="13">
        <f t="shared" si="295"/>
        <v>0</v>
      </c>
      <c r="Z2020" s="2">
        <v>0</v>
      </c>
      <c r="AA2020" s="4">
        <v>0</v>
      </c>
      <c r="AB2020" s="4">
        <f t="shared" si="296"/>
        <v>1.2</v>
      </c>
      <c r="AC2020" s="6">
        <f t="shared" si="297"/>
        <v>0</v>
      </c>
      <c r="AD2020" s="13">
        <f t="shared" si="302"/>
        <v>1.2</v>
      </c>
      <c r="AE2020" s="2">
        <v>0</v>
      </c>
      <c r="AF2020" s="5">
        <f t="shared" si="298"/>
        <v>0</v>
      </c>
      <c r="AG2020" s="2">
        <v>0</v>
      </c>
      <c r="AH2020" s="5">
        <f t="shared" si="303"/>
        <v>1.2</v>
      </c>
      <c r="AJ2020" s="126" t="e">
        <v>#N/A</v>
      </c>
      <c r="AK2020" s="80">
        <f t="shared" si="299"/>
        <v>0</v>
      </c>
      <c r="AM2020" s="85"/>
    </row>
    <row r="2021" spans="1:39" hidden="1" x14ac:dyDescent="0.3">
      <c r="A2021" s="85" t="s">
        <v>34</v>
      </c>
      <c r="B2021" s="15" t="s">
        <v>35</v>
      </c>
      <c r="C2021" s="15" t="s">
        <v>47</v>
      </c>
      <c r="D2021" s="15" t="s">
        <v>63</v>
      </c>
      <c r="E2021" s="15" t="s">
        <v>2628</v>
      </c>
      <c r="F2021" s="15" t="s">
        <v>2629</v>
      </c>
      <c r="G2021" s="15" t="s">
        <v>2629</v>
      </c>
      <c r="H2021" s="139"/>
      <c r="I2021" s="15" t="s">
        <v>2572</v>
      </c>
      <c r="J2021" s="1" t="s">
        <v>3327</v>
      </c>
      <c r="K2021" s="1" t="s">
        <v>3284</v>
      </c>
      <c r="L2021" s="1" t="s">
        <v>35</v>
      </c>
      <c r="M2021" s="15" t="s">
        <v>2630</v>
      </c>
      <c r="N2021" s="15"/>
      <c r="O2021" s="8" t="s">
        <v>410</v>
      </c>
      <c r="P2021" s="8" t="s">
        <v>41</v>
      </c>
      <c r="Q2021" s="9">
        <v>0</v>
      </c>
      <c r="R2021" s="139">
        <v>600000772</v>
      </c>
      <c r="T2021" s="18">
        <v>61.2</v>
      </c>
      <c r="U2021" s="4">
        <v>0</v>
      </c>
      <c r="V2021" s="4">
        <v>0</v>
      </c>
      <c r="W2021" s="13">
        <f t="shared" si="294"/>
        <v>61.2</v>
      </c>
      <c r="X2021" s="13">
        <f t="shared" si="301"/>
        <v>0</v>
      </c>
      <c r="Y2021" s="13">
        <f t="shared" si="295"/>
        <v>0</v>
      </c>
      <c r="Z2021" s="2">
        <v>0</v>
      </c>
      <c r="AA2021" s="4">
        <v>0</v>
      </c>
      <c r="AB2021" s="4">
        <f t="shared" si="296"/>
        <v>0</v>
      </c>
      <c r="AC2021" s="6">
        <f t="shared" si="297"/>
        <v>0</v>
      </c>
      <c r="AD2021" s="13">
        <f t="shared" si="302"/>
        <v>0</v>
      </c>
      <c r="AE2021" s="2">
        <v>0</v>
      </c>
      <c r="AF2021" s="5">
        <f t="shared" si="298"/>
        <v>0</v>
      </c>
      <c r="AG2021" s="2">
        <v>0</v>
      </c>
      <c r="AH2021" s="5">
        <f t="shared" si="303"/>
        <v>0</v>
      </c>
      <c r="AJ2021" s="126" t="e">
        <v>#N/A</v>
      </c>
      <c r="AK2021" s="80">
        <f t="shared" si="299"/>
        <v>0</v>
      </c>
      <c r="AM2021" s="85"/>
    </row>
    <row r="2022" spans="1:39" hidden="1" x14ac:dyDescent="0.3">
      <c r="A2022" s="85" t="s">
        <v>34</v>
      </c>
      <c r="B2022" s="15" t="s">
        <v>35</v>
      </c>
      <c r="C2022" s="15" t="s">
        <v>47</v>
      </c>
      <c r="D2022" s="15" t="s">
        <v>63</v>
      </c>
      <c r="E2022" s="15" t="s">
        <v>2631</v>
      </c>
      <c r="F2022" s="15" t="s">
        <v>2631</v>
      </c>
      <c r="G2022" s="15" t="s">
        <v>2631</v>
      </c>
      <c r="H2022" s="139"/>
      <c r="I2022" s="15" t="s">
        <v>2572</v>
      </c>
      <c r="J2022" s="1" t="s">
        <v>3327</v>
      </c>
      <c r="K2022" s="1" t="s">
        <v>3284</v>
      </c>
      <c r="L2022" s="1" t="s">
        <v>35</v>
      </c>
      <c r="M2022" s="15" t="s">
        <v>2631</v>
      </c>
      <c r="N2022" s="15"/>
      <c r="O2022" s="8" t="s">
        <v>410</v>
      </c>
      <c r="P2022" s="8" t="s">
        <v>41</v>
      </c>
      <c r="Q2022" s="9">
        <v>0</v>
      </c>
      <c r="R2022" s="139">
        <v>600001058</v>
      </c>
      <c r="T2022" s="18">
        <v>996</v>
      </c>
      <c r="U2022" s="4">
        <v>0</v>
      </c>
      <c r="V2022" s="4">
        <v>0</v>
      </c>
      <c r="W2022" s="13">
        <f t="shared" si="294"/>
        <v>996</v>
      </c>
      <c r="X2022" s="13">
        <f t="shared" si="301"/>
        <v>0</v>
      </c>
      <c r="Y2022" s="13">
        <f t="shared" si="295"/>
        <v>0</v>
      </c>
      <c r="Z2022" s="2">
        <v>0</v>
      </c>
      <c r="AA2022" s="4">
        <v>0</v>
      </c>
      <c r="AB2022" s="4">
        <f t="shared" si="296"/>
        <v>0</v>
      </c>
      <c r="AC2022" s="6">
        <f t="shared" si="297"/>
        <v>0</v>
      </c>
      <c r="AD2022" s="13">
        <f t="shared" si="302"/>
        <v>0</v>
      </c>
      <c r="AE2022" s="2">
        <v>0</v>
      </c>
      <c r="AF2022" s="5">
        <f t="shared" si="298"/>
        <v>0</v>
      </c>
      <c r="AG2022" s="2">
        <v>0</v>
      </c>
      <c r="AH2022" s="5">
        <f t="shared" si="303"/>
        <v>0</v>
      </c>
      <c r="AJ2022" s="126" t="e">
        <v>#N/A</v>
      </c>
      <c r="AK2022" s="80">
        <f t="shared" si="299"/>
        <v>0</v>
      </c>
      <c r="AM2022" s="85"/>
    </row>
    <row r="2023" spans="1:39" hidden="1" x14ac:dyDescent="0.3">
      <c r="A2023" s="85" t="s">
        <v>34</v>
      </c>
      <c r="B2023" s="15" t="s">
        <v>35</v>
      </c>
      <c r="C2023" s="15" t="s">
        <v>47</v>
      </c>
      <c r="D2023" s="15" t="s">
        <v>48</v>
      </c>
      <c r="E2023" s="15" t="s">
        <v>2632</v>
      </c>
      <c r="F2023" s="15" t="s">
        <v>2633</v>
      </c>
      <c r="G2023" s="15" t="s">
        <v>2633</v>
      </c>
      <c r="H2023" s="139"/>
      <c r="I2023" s="15" t="s">
        <v>2572</v>
      </c>
      <c r="J2023" s="1" t="s">
        <v>3327</v>
      </c>
      <c r="K2023" s="1" t="s">
        <v>3284</v>
      </c>
      <c r="L2023" s="1" t="s">
        <v>35</v>
      </c>
      <c r="M2023" s="15" t="s">
        <v>2634</v>
      </c>
      <c r="N2023" s="15"/>
      <c r="O2023" s="8" t="s">
        <v>410</v>
      </c>
      <c r="P2023" s="8" t="s">
        <v>41</v>
      </c>
      <c r="Q2023" s="9">
        <v>0</v>
      </c>
      <c r="R2023" s="139">
        <v>600001140</v>
      </c>
      <c r="T2023" s="18">
        <v>92388.24</v>
      </c>
      <c r="U2023" s="4">
        <v>0</v>
      </c>
      <c r="V2023" s="4">
        <v>0</v>
      </c>
      <c r="W2023" s="13">
        <f t="shared" si="294"/>
        <v>92388.24</v>
      </c>
      <c r="X2023" s="13">
        <f t="shared" si="301"/>
        <v>0</v>
      </c>
      <c r="Y2023" s="13">
        <f t="shared" si="295"/>
        <v>0</v>
      </c>
      <c r="Z2023" s="2">
        <v>0</v>
      </c>
      <c r="AA2023" s="4">
        <v>0</v>
      </c>
      <c r="AB2023" s="4">
        <f t="shared" si="296"/>
        <v>0</v>
      </c>
      <c r="AC2023" s="6">
        <f t="shared" si="297"/>
        <v>0</v>
      </c>
      <c r="AD2023" s="13">
        <f t="shared" si="302"/>
        <v>0</v>
      </c>
      <c r="AE2023" s="2">
        <v>0</v>
      </c>
      <c r="AF2023" s="5">
        <f t="shared" si="298"/>
        <v>0</v>
      </c>
      <c r="AG2023" s="2">
        <v>0</v>
      </c>
      <c r="AH2023" s="5">
        <f t="shared" si="303"/>
        <v>0</v>
      </c>
      <c r="AJ2023" s="126" t="e">
        <v>#N/A</v>
      </c>
      <c r="AK2023" s="80">
        <f t="shared" si="299"/>
        <v>0</v>
      </c>
      <c r="AM2023" s="85"/>
    </row>
    <row r="2024" spans="1:39" hidden="1" x14ac:dyDescent="0.3">
      <c r="A2024" s="85" t="s">
        <v>34</v>
      </c>
      <c r="B2024" s="15" t="s">
        <v>35</v>
      </c>
      <c r="C2024" s="15" t="s">
        <v>47</v>
      </c>
      <c r="D2024" s="15" t="s">
        <v>48</v>
      </c>
      <c r="E2024" s="15" t="s">
        <v>1356</v>
      </c>
      <c r="F2024" s="15" t="s">
        <v>1356</v>
      </c>
      <c r="G2024" s="15" t="s">
        <v>1356</v>
      </c>
      <c r="H2024" s="139"/>
      <c r="I2024" s="15" t="s">
        <v>2572</v>
      </c>
      <c r="J2024" s="1" t="s">
        <v>3327</v>
      </c>
      <c r="K2024" s="1" t="s">
        <v>3284</v>
      </c>
      <c r="L2024" s="1" t="s">
        <v>35</v>
      </c>
      <c r="M2024" s="15" t="s">
        <v>2635</v>
      </c>
      <c r="N2024" s="15"/>
      <c r="O2024" s="8" t="s">
        <v>410</v>
      </c>
      <c r="P2024" s="8" t="s">
        <v>41</v>
      </c>
      <c r="Q2024" s="9">
        <v>0</v>
      </c>
      <c r="R2024" s="139">
        <v>400002196</v>
      </c>
      <c r="T2024" s="18">
        <v>184.29999999999899</v>
      </c>
      <c r="U2024" s="4">
        <v>0</v>
      </c>
      <c r="V2024" s="4">
        <v>0</v>
      </c>
      <c r="W2024" s="13">
        <f t="shared" si="294"/>
        <v>184.29999999999899</v>
      </c>
      <c r="X2024" s="13">
        <f t="shared" si="301"/>
        <v>0</v>
      </c>
      <c r="Y2024" s="13">
        <f t="shared" si="295"/>
        <v>0</v>
      </c>
      <c r="Z2024" s="2">
        <v>0</v>
      </c>
      <c r="AA2024" s="4">
        <v>0</v>
      </c>
      <c r="AB2024" s="4">
        <f t="shared" si="296"/>
        <v>0</v>
      </c>
      <c r="AC2024" s="6">
        <f t="shared" si="297"/>
        <v>0</v>
      </c>
      <c r="AD2024" s="13">
        <f t="shared" si="302"/>
        <v>0</v>
      </c>
      <c r="AE2024" s="2">
        <v>0</v>
      </c>
      <c r="AF2024" s="5">
        <f t="shared" si="298"/>
        <v>0</v>
      </c>
      <c r="AG2024" s="2">
        <v>0</v>
      </c>
      <c r="AH2024" s="5">
        <f t="shared" si="303"/>
        <v>0</v>
      </c>
      <c r="AJ2024" s="126" t="e">
        <v>#N/A</v>
      </c>
      <c r="AK2024" s="80">
        <f t="shared" si="299"/>
        <v>0</v>
      </c>
      <c r="AM2024" s="85"/>
    </row>
    <row r="2025" spans="1:39" hidden="1" x14ac:dyDescent="0.3">
      <c r="A2025" s="85" t="s">
        <v>34</v>
      </c>
      <c r="B2025" s="15" t="s">
        <v>35</v>
      </c>
      <c r="C2025" s="15" t="s">
        <v>47</v>
      </c>
      <c r="D2025" s="15" t="s">
        <v>48</v>
      </c>
      <c r="E2025" s="15" t="s">
        <v>2636</v>
      </c>
      <c r="F2025" s="15" t="s">
        <v>2636</v>
      </c>
      <c r="G2025" s="15" t="s">
        <v>2636</v>
      </c>
      <c r="H2025" s="139"/>
      <c r="I2025" s="15" t="s">
        <v>2572</v>
      </c>
      <c r="J2025" s="1" t="s">
        <v>3327</v>
      </c>
      <c r="K2025" s="1" t="s">
        <v>3284</v>
      </c>
      <c r="L2025" s="1" t="s">
        <v>35</v>
      </c>
      <c r="M2025" s="15" t="s">
        <v>2637</v>
      </c>
      <c r="N2025" s="15"/>
      <c r="O2025" s="8" t="s">
        <v>410</v>
      </c>
      <c r="P2025" s="8" t="s">
        <v>41</v>
      </c>
      <c r="Q2025" s="9">
        <v>0</v>
      </c>
      <c r="R2025" s="139">
        <v>400001884</v>
      </c>
      <c r="T2025" s="18">
        <v>21.840000000000099</v>
      </c>
      <c r="U2025" s="4">
        <v>0</v>
      </c>
      <c r="V2025" s="4">
        <v>0</v>
      </c>
      <c r="W2025" s="13">
        <f t="shared" si="294"/>
        <v>21.840000000000099</v>
      </c>
      <c r="X2025" s="13">
        <f t="shared" si="301"/>
        <v>0</v>
      </c>
      <c r="Y2025" s="13">
        <f t="shared" si="295"/>
        <v>0</v>
      </c>
      <c r="Z2025" s="2">
        <v>0</v>
      </c>
      <c r="AA2025" s="4">
        <v>0</v>
      </c>
      <c r="AB2025" s="4">
        <f t="shared" si="296"/>
        <v>0</v>
      </c>
      <c r="AC2025" s="6">
        <f t="shared" si="297"/>
        <v>0</v>
      </c>
      <c r="AD2025" s="13">
        <f t="shared" si="302"/>
        <v>0</v>
      </c>
      <c r="AE2025" s="2">
        <v>0</v>
      </c>
      <c r="AF2025" s="5">
        <f t="shared" si="298"/>
        <v>0</v>
      </c>
      <c r="AG2025" s="2">
        <v>0</v>
      </c>
      <c r="AH2025" s="5">
        <f t="shared" si="303"/>
        <v>0</v>
      </c>
      <c r="AJ2025" s="126" t="e">
        <v>#N/A</v>
      </c>
      <c r="AK2025" s="80">
        <f t="shared" si="299"/>
        <v>0</v>
      </c>
      <c r="AM2025" s="85"/>
    </row>
    <row r="2026" spans="1:39" hidden="1" x14ac:dyDescent="0.3">
      <c r="A2026" s="85" t="s">
        <v>34</v>
      </c>
      <c r="B2026" s="15" t="s">
        <v>35</v>
      </c>
      <c r="C2026" s="15" t="s">
        <v>47</v>
      </c>
      <c r="D2026" s="15" t="s">
        <v>48</v>
      </c>
      <c r="E2026" s="15" t="s">
        <v>2636</v>
      </c>
      <c r="F2026" s="15" t="s">
        <v>2636</v>
      </c>
      <c r="G2026" s="15" t="s">
        <v>2636</v>
      </c>
      <c r="H2026" s="139"/>
      <c r="I2026" s="15" t="s">
        <v>2572</v>
      </c>
      <c r="J2026" s="1" t="s">
        <v>3327</v>
      </c>
      <c r="K2026" s="1" t="s">
        <v>3284</v>
      </c>
      <c r="L2026" s="1" t="s">
        <v>35</v>
      </c>
      <c r="M2026" s="15" t="s">
        <v>2638</v>
      </c>
      <c r="N2026" s="15"/>
      <c r="O2026" s="8" t="s">
        <v>410</v>
      </c>
      <c r="P2026" s="8" t="s">
        <v>41</v>
      </c>
      <c r="Q2026" s="9">
        <v>0</v>
      </c>
      <c r="R2026" s="139">
        <v>300000512</v>
      </c>
      <c r="T2026" s="18">
        <v>-18.219999999999299</v>
      </c>
      <c r="U2026" s="4">
        <v>0</v>
      </c>
      <c r="V2026" s="4">
        <v>0</v>
      </c>
      <c r="W2026" s="13">
        <f t="shared" si="294"/>
        <v>-18.219999999999299</v>
      </c>
      <c r="X2026" s="13">
        <f t="shared" si="301"/>
        <v>0</v>
      </c>
      <c r="Y2026" s="13">
        <f t="shared" si="295"/>
        <v>0</v>
      </c>
      <c r="Z2026" s="2">
        <v>0</v>
      </c>
      <c r="AA2026" s="4">
        <v>0</v>
      </c>
      <c r="AB2026" s="4">
        <f t="shared" si="296"/>
        <v>0</v>
      </c>
      <c r="AC2026" s="6">
        <f t="shared" si="297"/>
        <v>0</v>
      </c>
      <c r="AD2026" s="13">
        <f t="shared" si="302"/>
        <v>0</v>
      </c>
      <c r="AE2026" s="2">
        <v>0</v>
      </c>
      <c r="AF2026" s="5">
        <f t="shared" si="298"/>
        <v>0</v>
      </c>
      <c r="AG2026" s="2">
        <v>0</v>
      </c>
      <c r="AH2026" s="5">
        <f t="shared" si="303"/>
        <v>0</v>
      </c>
      <c r="AJ2026" s="126" t="e">
        <v>#N/A</v>
      </c>
      <c r="AK2026" s="80">
        <f t="shared" si="299"/>
        <v>0</v>
      </c>
      <c r="AM2026" s="85"/>
    </row>
    <row r="2027" spans="1:39" hidden="1" x14ac:dyDescent="0.3">
      <c r="A2027" s="85" t="s">
        <v>34</v>
      </c>
      <c r="B2027" s="15" t="s">
        <v>35</v>
      </c>
      <c r="C2027" s="15" t="s">
        <v>47</v>
      </c>
      <c r="D2027" s="15" t="s">
        <v>48</v>
      </c>
      <c r="E2027" s="15" t="s">
        <v>1366</v>
      </c>
      <c r="F2027" s="15" t="s">
        <v>1367</v>
      </c>
      <c r="G2027" s="15" t="s">
        <v>1366</v>
      </c>
      <c r="H2027" s="139"/>
      <c r="I2027" s="15" t="s">
        <v>2572</v>
      </c>
      <c r="J2027" s="1" t="s">
        <v>3327</v>
      </c>
      <c r="K2027" s="1" t="s">
        <v>3284</v>
      </c>
      <c r="L2027" s="1" t="s">
        <v>35</v>
      </c>
      <c r="M2027" s="15" t="s">
        <v>1366</v>
      </c>
      <c r="N2027" s="15"/>
      <c r="O2027" s="8" t="s">
        <v>410</v>
      </c>
      <c r="P2027" s="8" t="s">
        <v>41</v>
      </c>
      <c r="Q2027" s="9">
        <v>0</v>
      </c>
      <c r="R2027" s="139">
        <v>600001457</v>
      </c>
      <c r="T2027" s="18">
        <v>-11.5199999998986</v>
      </c>
      <c r="U2027" s="4">
        <v>0</v>
      </c>
      <c r="V2027" s="4">
        <v>0</v>
      </c>
      <c r="W2027" s="13">
        <f t="shared" si="294"/>
        <v>-11.5199999998986</v>
      </c>
      <c r="X2027" s="13">
        <f t="shared" si="301"/>
        <v>0</v>
      </c>
      <c r="Y2027" s="13">
        <f t="shared" si="295"/>
        <v>0</v>
      </c>
      <c r="Z2027" s="2">
        <v>0</v>
      </c>
      <c r="AA2027" s="4">
        <v>0</v>
      </c>
      <c r="AB2027" s="4">
        <f t="shared" si="296"/>
        <v>0</v>
      </c>
      <c r="AC2027" s="6">
        <f t="shared" si="297"/>
        <v>0</v>
      </c>
      <c r="AD2027" s="13">
        <f t="shared" si="302"/>
        <v>0</v>
      </c>
      <c r="AE2027" s="2">
        <v>0</v>
      </c>
      <c r="AF2027" s="5">
        <f t="shared" si="298"/>
        <v>0</v>
      </c>
      <c r="AG2027" s="2">
        <v>0</v>
      </c>
      <c r="AH2027" s="5">
        <f t="shared" si="303"/>
        <v>0</v>
      </c>
      <c r="AJ2027" s="126" t="e">
        <v>#N/A</v>
      </c>
      <c r="AK2027" s="80">
        <f t="shared" si="299"/>
        <v>0</v>
      </c>
      <c r="AM2027" s="85"/>
    </row>
    <row r="2028" spans="1:39" hidden="1" x14ac:dyDescent="0.3">
      <c r="A2028" s="85" t="s">
        <v>34</v>
      </c>
      <c r="B2028" s="15" t="s">
        <v>35</v>
      </c>
      <c r="C2028" s="15" t="s">
        <v>47</v>
      </c>
      <c r="D2028" s="15" t="s">
        <v>48</v>
      </c>
      <c r="E2028" s="15" t="s">
        <v>50</v>
      </c>
      <c r="F2028" s="15" t="s">
        <v>50</v>
      </c>
      <c r="G2028" s="15" t="s">
        <v>50</v>
      </c>
      <c r="H2028" s="139"/>
      <c r="I2028" s="15" t="s">
        <v>2572</v>
      </c>
      <c r="J2028" s="1" t="s">
        <v>3327</v>
      </c>
      <c r="K2028" s="1" t="s">
        <v>3284</v>
      </c>
      <c r="L2028" s="1" t="s">
        <v>35</v>
      </c>
      <c r="M2028" s="15" t="s">
        <v>50</v>
      </c>
      <c r="N2028" s="15"/>
      <c r="O2028" s="8" t="s">
        <v>410</v>
      </c>
      <c r="P2028" s="8" t="s">
        <v>41</v>
      </c>
      <c r="Q2028" s="9">
        <v>0</v>
      </c>
      <c r="R2028" s="139">
        <v>600000929</v>
      </c>
      <c r="T2028" s="18">
        <v>-102.17</v>
      </c>
      <c r="U2028" s="4">
        <v>0</v>
      </c>
      <c r="V2028" s="4">
        <v>0</v>
      </c>
      <c r="W2028" s="13">
        <f t="shared" si="294"/>
        <v>-102.17</v>
      </c>
      <c r="X2028" s="13">
        <f t="shared" si="301"/>
        <v>0</v>
      </c>
      <c r="Y2028" s="13">
        <f t="shared" si="295"/>
        <v>0</v>
      </c>
      <c r="Z2028" s="2">
        <v>0</v>
      </c>
      <c r="AA2028" s="4">
        <v>0</v>
      </c>
      <c r="AB2028" s="4">
        <f t="shared" si="296"/>
        <v>0</v>
      </c>
      <c r="AC2028" s="6">
        <f t="shared" si="297"/>
        <v>0</v>
      </c>
      <c r="AD2028" s="13">
        <f t="shared" si="302"/>
        <v>0</v>
      </c>
      <c r="AE2028" s="2">
        <v>0</v>
      </c>
      <c r="AF2028" s="5">
        <f t="shared" si="298"/>
        <v>0</v>
      </c>
      <c r="AG2028" s="2">
        <v>0</v>
      </c>
      <c r="AH2028" s="5">
        <f t="shared" si="303"/>
        <v>0</v>
      </c>
      <c r="AJ2028" s="126" t="e">
        <v>#N/A</v>
      </c>
      <c r="AK2028" s="80">
        <f t="shared" si="299"/>
        <v>0</v>
      </c>
      <c r="AM2028" s="85"/>
    </row>
    <row r="2029" spans="1:39" hidden="1" x14ac:dyDescent="0.3">
      <c r="A2029" s="85" t="s">
        <v>34</v>
      </c>
      <c r="B2029" s="15" t="s">
        <v>35</v>
      </c>
      <c r="C2029" s="15" t="s">
        <v>47</v>
      </c>
      <c r="D2029" s="15" t="s">
        <v>48</v>
      </c>
      <c r="E2029" s="15" t="s">
        <v>2639</v>
      </c>
      <c r="F2029" s="15" t="s">
        <v>2639</v>
      </c>
      <c r="G2029" s="15" t="s">
        <v>2639</v>
      </c>
      <c r="H2029" s="139"/>
      <c r="I2029" s="15" t="s">
        <v>2572</v>
      </c>
      <c r="J2029" s="1" t="s">
        <v>3327</v>
      </c>
      <c r="K2029" s="1" t="s">
        <v>3284</v>
      </c>
      <c r="L2029" s="1" t="s">
        <v>35</v>
      </c>
      <c r="M2029" s="15" t="s">
        <v>2640</v>
      </c>
      <c r="N2029" s="15"/>
      <c r="O2029" s="8" t="s">
        <v>410</v>
      </c>
      <c r="P2029" s="8" t="s">
        <v>41</v>
      </c>
      <c r="Q2029" s="9">
        <v>0</v>
      </c>
      <c r="R2029" s="139">
        <v>400001697</v>
      </c>
      <c r="T2029" s="18">
        <v>19624.8</v>
      </c>
      <c r="U2029" s="4">
        <v>0</v>
      </c>
      <c r="V2029" s="4">
        <v>0</v>
      </c>
      <c r="W2029" s="13">
        <f t="shared" si="294"/>
        <v>19624.8</v>
      </c>
      <c r="X2029" s="13">
        <f t="shared" si="301"/>
        <v>0</v>
      </c>
      <c r="Y2029" s="13">
        <f t="shared" si="295"/>
        <v>0</v>
      </c>
      <c r="Z2029" s="2">
        <v>0</v>
      </c>
      <c r="AA2029" s="4">
        <v>0</v>
      </c>
      <c r="AB2029" s="4">
        <f t="shared" si="296"/>
        <v>0</v>
      </c>
      <c r="AC2029" s="6">
        <f t="shared" si="297"/>
        <v>0</v>
      </c>
      <c r="AD2029" s="13">
        <f t="shared" si="302"/>
        <v>0</v>
      </c>
      <c r="AE2029" s="2">
        <v>0</v>
      </c>
      <c r="AF2029" s="5">
        <f t="shared" si="298"/>
        <v>0</v>
      </c>
      <c r="AG2029" s="2">
        <v>0</v>
      </c>
      <c r="AH2029" s="5">
        <f t="shared" si="303"/>
        <v>0</v>
      </c>
      <c r="AJ2029" s="126" t="e">
        <v>#N/A</v>
      </c>
      <c r="AK2029" s="80">
        <f t="shared" si="299"/>
        <v>0</v>
      </c>
      <c r="AM2029" s="85"/>
    </row>
    <row r="2030" spans="1:39" hidden="1" x14ac:dyDescent="0.3">
      <c r="A2030" s="85" t="s">
        <v>34</v>
      </c>
      <c r="B2030" s="15" t="s">
        <v>35</v>
      </c>
      <c r="C2030" s="15" t="s">
        <v>144</v>
      </c>
      <c r="D2030" s="15" t="s">
        <v>145</v>
      </c>
      <c r="E2030" s="15" t="s">
        <v>2641</v>
      </c>
      <c r="F2030" s="15" t="s">
        <v>2641</v>
      </c>
      <c r="G2030" s="15" t="s">
        <v>2641</v>
      </c>
      <c r="H2030" s="139"/>
      <c r="I2030" s="15" t="s">
        <v>2572</v>
      </c>
      <c r="J2030" s="1" t="s">
        <v>3327</v>
      </c>
      <c r="K2030" s="1" t="s">
        <v>3284</v>
      </c>
      <c r="L2030" s="1" t="s">
        <v>35</v>
      </c>
      <c r="M2030" s="15" t="s">
        <v>2641</v>
      </c>
      <c r="N2030" s="15"/>
      <c r="O2030" s="8" t="s">
        <v>410</v>
      </c>
      <c r="P2030" s="8" t="s">
        <v>41</v>
      </c>
      <c r="Q2030" s="9">
        <v>0</v>
      </c>
      <c r="R2030" s="139">
        <v>100000156</v>
      </c>
      <c r="T2030" s="18">
        <v>-11.9000000000015</v>
      </c>
      <c r="U2030" s="4">
        <v>0</v>
      </c>
      <c r="V2030" s="4">
        <v>0</v>
      </c>
      <c r="W2030" s="13">
        <f t="shared" si="294"/>
        <v>-11.9000000000015</v>
      </c>
      <c r="X2030" s="13">
        <f t="shared" si="301"/>
        <v>0</v>
      </c>
      <c r="Y2030" s="13">
        <f t="shared" si="295"/>
        <v>0</v>
      </c>
      <c r="Z2030" s="2">
        <v>0</v>
      </c>
      <c r="AA2030" s="4">
        <v>0</v>
      </c>
      <c r="AB2030" s="4">
        <f t="shared" si="296"/>
        <v>0</v>
      </c>
      <c r="AC2030" s="6">
        <f t="shared" si="297"/>
        <v>0</v>
      </c>
      <c r="AD2030" s="13">
        <f t="shared" si="302"/>
        <v>0</v>
      </c>
      <c r="AE2030" s="2">
        <v>0</v>
      </c>
      <c r="AF2030" s="5">
        <f t="shared" si="298"/>
        <v>0</v>
      </c>
      <c r="AG2030" s="2">
        <v>0</v>
      </c>
      <c r="AH2030" s="5">
        <f t="shared" si="303"/>
        <v>0</v>
      </c>
      <c r="AJ2030" s="126" t="e">
        <v>#N/A</v>
      </c>
      <c r="AK2030" s="80">
        <f t="shared" si="299"/>
        <v>0</v>
      </c>
      <c r="AM2030" s="85"/>
    </row>
    <row r="2031" spans="1:39" hidden="1" x14ac:dyDescent="0.3">
      <c r="A2031" s="85" t="s">
        <v>34</v>
      </c>
      <c r="B2031" s="15" t="s">
        <v>35</v>
      </c>
      <c r="C2031" s="15" t="s">
        <v>144</v>
      </c>
      <c r="D2031" s="15" t="s">
        <v>152</v>
      </c>
      <c r="E2031" s="15" t="s">
        <v>2642</v>
      </c>
      <c r="F2031" s="15" t="s">
        <v>2642</v>
      </c>
      <c r="G2031" s="15" t="s">
        <v>2642</v>
      </c>
      <c r="H2031" s="139"/>
      <c r="I2031" s="15" t="s">
        <v>2572</v>
      </c>
      <c r="J2031" s="1" t="s">
        <v>3327</v>
      </c>
      <c r="K2031" s="1" t="s">
        <v>3284</v>
      </c>
      <c r="L2031" s="1" t="s">
        <v>35</v>
      </c>
      <c r="M2031" s="15" t="s">
        <v>2642</v>
      </c>
      <c r="N2031" s="15"/>
      <c r="O2031" s="8" t="s">
        <v>410</v>
      </c>
      <c r="P2031" s="8" t="s">
        <v>41</v>
      </c>
      <c r="Q2031" s="9">
        <v>0</v>
      </c>
      <c r="R2031" s="139">
        <v>300000911</v>
      </c>
      <c r="T2031" s="18">
        <v>1633.6</v>
      </c>
      <c r="U2031" s="4">
        <v>0</v>
      </c>
      <c r="V2031" s="4">
        <v>0</v>
      </c>
      <c r="W2031" s="13">
        <f t="shared" si="294"/>
        <v>1633.6</v>
      </c>
      <c r="X2031" s="13">
        <f t="shared" si="301"/>
        <v>0</v>
      </c>
      <c r="Y2031" s="13">
        <f t="shared" si="295"/>
        <v>0</v>
      </c>
      <c r="Z2031" s="2">
        <v>0</v>
      </c>
      <c r="AA2031" s="4">
        <v>0</v>
      </c>
      <c r="AB2031" s="4">
        <f t="shared" si="296"/>
        <v>0</v>
      </c>
      <c r="AC2031" s="6">
        <f t="shared" si="297"/>
        <v>0</v>
      </c>
      <c r="AD2031" s="13">
        <f t="shared" si="302"/>
        <v>0</v>
      </c>
      <c r="AE2031" s="2">
        <v>0</v>
      </c>
      <c r="AF2031" s="5">
        <f t="shared" si="298"/>
        <v>0</v>
      </c>
      <c r="AG2031" s="2">
        <v>0</v>
      </c>
      <c r="AH2031" s="5">
        <f t="shared" si="303"/>
        <v>0</v>
      </c>
      <c r="AJ2031" s="126" t="e">
        <v>#N/A</v>
      </c>
      <c r="AK2031" s="80">
        <f t="shared" si="299"/>
        <v>0</v>
      </c>
      <c r="AM2031" s="85"/>
    </row>
    <row r="2032" spans="1:39" hidden="1" x14ac:dyDescent="0.3">
      <c r="A2032" s="85" t="s">
        <v>34</v>
      </c>
      <c r="B2032" s="15" t="s">
        <v>35</v>
      </c>
      <c r="C2032" s="15" t="s">
        <v>144</v>
      </c>
      <c r="D2032" s="15" t="s">
        <v>152</v>
      </c>
      <c r="E2032" s="15" t="s">
        <v>2643</v>
      </c>
      <c r="F2032" s="15" t="s">
        <v>2643</v>
      </c>
      <c r="G2032" s="15" t="s">
        <v>2643</v>
      </c>
      <c r="H2032" s="139"/>
      <c r="I2032" s="15" t="s">
        <v>2572</v>
      </c>
      <c r="J2032" s="1" t="s">
        <v>3327</v>
      </c>
      <c r="K2032" s="1" t="s">
        <v>3284</v>
      </c>
      <c r="L2032" s="1" t="s">
        <v>35</v>
      </c>
      <c r="M2032" s="15" t="s">
        <v>2644</v>
      </c>
      <c r="N2032" s="15"/>
      <c r="O2032" s="8" t="s">
        <v>410</v>
      </c>
      <c r="P2032" s="8" t="s">
        <v>41</v>
      </c>
      <c r="Q2032" s="9">
        <v>0</v>
      </c>
      <c r="R2032" s="139">
        <v>400002819</v>
      </c>
      <c r="T2032" s="18">
        <v>154.28000000000975</v>
      </c>
      <c r="U2032" s="4">
        <v>0</v>
      </c>
      <c r="V2032" s="4">
        <v>0</v>
      </c>
      <c r="W2032" s="13">
        <f t="shared" si="294"/>
        <v>154.28000000000975</v>
      </c>
      <c r="X2032" s="13">
        <f t="shared" si="301"/>
        <v>0</v>
      </c>
      <c r="Y2032" s="13">
        <f t="shared" si="295"/>
        <v>0</v>
      </c>
      <c r="Z2032" s="2">
        <v>0.01</v>
      </c>
      <c r="AA2032" s="4">
        <f>X2032/(1-Z2032)*Z2032</f>
        <v>0</v>
      </c>
      <c r="AB2032" s="4">
        <f t="shared" si="296"/>
        <v>0</v>
      </c>
      <c r="AC2032" s="6">
        <f t="shared" si="297"/>
        <v>0</v>
      </c>
      <c r="AD2032" s="13">
        <f t="shared" si="302"/>
        <v>0</v>
      </c>
      <c r="AE2032" s="2">
        <v>0</v>
      </c>
      <c r="AF2032" s="5">
        <f t="shared" si="298"/>
        <v>0</v>
      </c>
      <c r="AG2032" s="2">
        <v>0</v>
      </c>
      <c r="AH2032" s="5">
        <f t="shared" si="303"/>
        <v>0</v>
      </c>
      <c r="AJ2032" s="126" t="e">
        <v>#N/A</v>
      </c>
      <c r="AK2032" s="80">
        <f t="shared" si="299"/>
        <v>0</v>
      </c>
      <c r="AM2032" s="85"/>
    </row>
    <row r="2033" spans="1:39" hidden="1" x14ac:dyDescent="0.3">
      <c r="A2033" s="85" t="s">
        <v>34</v>
      </c>
      <c r="B2033" s="15" t="s">
        <v>35</v>
      </c>
      <c r="C2033" s="15" t="s">
        <v>164</v>
      </c>
      <c r="D2033" s="15" t="s">
        <v>305</v>
      </c>
      <c r="E2033" s="15" t="s">
        <v>1964</v>
      </c>
      <c r="F2033" s="15" t="s">
        <v>1964</v>
      </c>
      <c r="G2033" s="15" t="s">
        <v>1964</v>
      </c>
      <c r="H2033" s="139"/>
      <c r="I2033" s="15" t="s">
        <v>2572</v>
      </c>
      <c r="J2033" s="1" t="s">
        <v>3327</v>
      </c>
      <c r="K2033" s="1" t="s">
        <v>3284</v>
      </c>
      <c r="L2033" s="1" t="s">
        <v>35</v>
      </c>
      <c r="M2033" s="15" t="s">
        <v>1964</v>
      </c>
      <c r="N2033" s="15"/>
      <c r="O2033" s="8" t="s">
        <v>410</v>
      </c>
      <c r="P2033" s="8" t="s">
        <v>41</v>
      </c>
      <c r="Q2033" s="9">
        <v>0</v>
      </c>
      <c r="R2033" s="139">
        <v>400001249</v>
      </c>
      <c r="T2033" s="18">
        <v>2639.8</v>
      </c>
      <c r="U2033" s="4">
        <v>0</v>
      </c>
      <c r="V2033" s="4">
        <v>0</v>
      </c>
      <c r="W2033" s="13">
        <f t="shared" si="294"/>
        <v>2639.8</v>
      </c>
      <c r="X2033" s="13">
        <f t="shared" si="301"/>
        <v>0</v>
      </c>
      <c r="Y2033" s="13">
        <f t="shared" si="295"/>
        <v>0</v>
      </c>
      <c r="Z2033" s="2">
        <v>0</v>
      </c>
      <c r="AA2033" s="4">
        <v>0</v>
      </c>
      <c r="AB2033" s="4">
        <f t="shared" si="296"/>
        <v>0</v>
      </c>
      <c r="AC2033" s="6">
        <f t="shared" si="297"/>
        <v>0</v>
      </c>
      <c r="AD2033" s="13">
        <f t="shared" si="302"/>
        <v>0</v>
      </c>
      <c r="AE2033" s="2">
        <v>0</v>
      </c>
      <c r="AF2033" s="5">
        <f t="shared" si="298"/>
        <v>0</v>
      </c>
      <c r="AG2033" s="2">
        <v>0</v>
      </c>
      <c r="AH2033" s="5">
        <f t="shared" si="303"/>
        <v>0</v>
      </c>
      <c r="AJ2033" s="126" t="e">
        <v>#N/A</v>
      </c>
      <c r="AK2033" s="80">
        <f t="shared" si="299"/>
        <v>0</v>
      </c>
      <c r="AM2033" s="85"/>
    </row>
    <row r="2034" spans="1:39" hidden="1" x14ac:dyDescent="0.3">
      <c r="A2034" s="85" t="s">
        <v>34</v>
      </c>
      <c r="B2034" s="15" t="s">
        <v>35</v>
      </c>
      <c r="C2034" s="15" t="s">
        <v>164</v>
      </c>
      <c r="D2034" s="15" t="s">
        <v>305</v>
      </c>
      <c r="E2034" s="15" t="s">
        <v>2645</v>
      </c>
      <c r="F2034" s="15" t="s">
        <v>2645</v>
      </c>
      <c r="G2034" s="15" t="s">
        <v>2645</v>
      </c>
      <c r="H2034" s="139"/>
      <c r="I2034" s="15" t="s">
        <v>2572</v>
      </c>
      <c r="J2034" s="1" t="s">
        <v>3327</v>
      </c>
      <c r="K2034" s="1" t="s">
        <v>3284</v>
      </c>
      <c r="L2034" s="1" t="s">
        <v>35</v>
      </c>
      <c r="M2034" s="15" t="s">
        <v>2645</v>
      </c>
      <c r="N2034" s="15"/>
      <c r="O2034" s="8" t="s">
        <v>410</v>
      </c>
      <c r="P2034" s="8" t="s">
        <v>41</v>
      </c>
      <c r="Q2034" s="9">
        <v>0</v>
      </c>
      <c r="R2034" s="139">
        <v>400002642</v>
      </c>
      <c r="T2034" s="18">
        <v>7.0000000000000298E-2</v>
      </c>
      <c r="U2034" s="4">
        <v>0</v>
      </c>
      <c r="V2034" s="4">
        <v>0</v>
      </c>
      <c r="W2034" s="13">
        <f t="shared" si="294"/>
        <v>7.0000000000000298E-2</v>
      </c>
      <c r="X2034" s="13">
        <f t="shared" si="301"/>
        <v>0</v>
      </c>
      <c r="Y2034" s="13">
        <f t="shared" si="295"/>
        <v>0</v>
      </c>
      <c r="Z2034" s="2">
        <v>0</v>
      </c>
      <c r="AA2034" s="4">
        <v>0</v>
      </c>
      <c r="AB2034" s="4"/>
      <c r="AC2034" s="6">
        <f t="shared" si="297"/>
        <v>0</v>
      </c>
      <c r="AD2034" s="13">
        <f t="shared" si="302"/>
        <v>0</v>
      </c>
      <c r="AE2034" s="2">
        <v>0</v>
      </c>
      <c r="AF2034" s="5">
        <f t="shared" si="298"/>
        <v>0</v>
      </c>
      <c r="AG2034" s="2">
        <v>0</v>
      </c>
      <c r="AH2034" s="5">
        <f t="shared" si="303"/>
        <v>0</v>
      </c>
      <c r="AJ2034" s="126">
        <v>45</v>
      </c>
      <c r="AK2034" s="80">
        <f t="shared" si="299"/>
        <v>0</v>
      </c>
      <c r="AM2034" s="85"/>
    </row>
    <row r="2035" spans="1:39" hidden="1" x14ac:dyDescent="0.3">
      <c r="A2035" s="85" t="s">
        <v>34</v>
      </c>
      <c r="B2035" s="15" t="s">
        <v>35</v>
      </c>
      <c r="C2035" s="15" t="s">
        <v>164</v>
      </c>
      <c r="D2035" s="15" t="s">
        <v>305</v>
      </c>
      <c r="E2035" s="15" t="s">
        <v>2646</v>
      </c>
      <c r="F2035" s="15" t="s">
        <v>2646</v>
      </c>
      <c r="G2035" s="15" t="s">
        <v>2646</v>
      </c>
      <c r="H2035" s="139"/>
      <c r="I2035" s="15" t="s">
        <v>2572</v>
      </c>
      <c r="J2035" s="1" t="s">
        <v>3327</v>
      </c>
      <c r="K2035" s="1" t="s">
        <v>3284</v>
      </c>
      <c r="L2035" s="1" t="s">
        <v>35</v>
      </c>
      <c r="M2035" s="15" t="s">
        <v>2646</v>
      </c>
      <c r="N2035" s="15"/>
      <c r="O2035" s="8" t="s">
        <v>410</v>
      </c>
      <c r="P2035" s="8" t="s">
        <v>41</v>
      </c>
      <c r="Q2035" s="9">
        <v>0</v>
      </c>
      <c r="R2035" s="139">
        <v>400002411</v>
      </c>
      <c r="T2035" s="18">
        <v>136.5</v>
      </c>
      <c r="U2035" s="4">
        <v>0</v>
      </c>
      <c r="V2035" s="4">
        <v>0</v>
      </c>
      <c r="W2035" s="13">
        <f t="shared" si="294"/>
        <v>136.5</v>
      </c>
      <c r="X2035" s="13">
        <f t="shared" si="301"/>
        <v>0</v>
      </c>
      <c r="Y2035" s="13">
        <f t="shared" si="295"/>
        <v>0</v>
      </c>
      <c r="Z2035" s="2">
        <v>0</v>
      </c>
      <c r="AA2035" s="4">
        <v>0</v>
      </c>
      <c r="AB2035" s="4">
        <f t="shared" si="296"/>
        <v>0</v>
      </c>
      <c r="AC2035" s="6">
        <f t="shared" si="297"/>
        <v>0</v>
      </c>
      <c r="AD2035" s="13">
        <f t="shared" si="302"/>
        <v>0</v>
      </c>
      <c r="AE2035" s="2">
        <v>0</v>
      </c>
      <c r="AF2035" s="5">
        <f t="shared" si="298"/>
        <v>0</v>
      </c>
      <c r="AG2035" s="2">
        <v>0</v>
      </c>
      <c r="AH2035" s="5">
        <f t="shared" si="303"/>
        <v>0</v>
      </c>
      <c r="AJ2035" s="126" t="e">
        <v>#N/A</v>
      </c>
      <c r="AK2035" s="80">
        <f t="shared" si="299"/>
        <v>0</v>
      </c>
      <c r="AM2035" s="85"/>
    </row>
    <row r="2036" spans="1:39" hidden="1" x14ac:dyDescent="0.3">
      <c r="A2036" s="85" t="s">
        <v>34</v>
      </c>
      <c r="B2036" s="15" t="s">
        <v>35</v>
      </c>
      <c r="C2036" s="15" t="s">
        <v>164</v>
      </c>
      <c r="D2036" s="15" t="s">
        <v>2647</v>
      </c>
      <c r="E2036" s="15" t="s">
        <v>2228</v>
      </c>
      <c r="F2036" s="15" t="s">
        <v>2228</v>
      </c>
      <c r="G2036" s="15" t="s">
        <v>2228</v>
      </c>
      <c r="H2036" s="139"/>
      <c r="I2036" s="15" t="s">
        <v>2572</v>
      </c>
      <c r="J2036" s="1" t="s">
        <v>3327</v>
      </c>
      <c r="K2036" s="1" t="s">
        <v>3284</v>
      </c>
      <c r="L2036" s="1" t="s">
        <v>35</v>
      </c>
      <c r="M2036" s="15" t="s">
        <v>2228</v>
      </c>
      <c r="N2036" s="15"/>
      <c r="O2036" s="8" t="s">
        <v>410</v>
      </c>
      <c r="P2036" s="8" t="s">
        <v>41</v>
      </c>
      <c r="Q2036" s="9">
        <v>0</v>
      </c>
      <c r="R2036" s="139">
        <v>400001333</v>
      </c>
      <c r="T2036" s="18">
        <v>6500.6</v>
      </c>
      <c r="U2036" s="4">
        <v>0</v>
      </c>
      <c r="V2036" s="4">
        <v>0</v>
      </c>
      <c r="W2036" s="13">
        <f t="shared" si="294"/>
        <v>6500.6</v>
      </c>
      <c r="X2036" s="13">
        <f t="shared" si="301"/>
        <v>0</v>
      </c>
      <c r="Y2036" s="13">
        <f t="shared" si="295"/>
        <v>0</v>
      </c>
      <c r="Z2036" s="2">
        <v>0.03</v>
      </c>
      <c r="AA2036" s="4">
        <f t="shared" ref="AA2036:AA2037" si="304">X2036*Z2036</f>
        <v>0</v>
      </c>
      <c r="AB2036" s="4">
        <f t="shared" si="296"/>
        <v>0</v>
      </c>
      <c r="AC2036" s="6">
        <f t="shared" si="297"/>
        <v>0</v>
      </c>
      <c r="AD2036" s="13">
        <f t="shared" si="302"/>
        <v>0</v>
      </c>
      <c r="AE2036" s="2">
        <v>0</v>
      </c>
      <c r="AF2036" s="5">
        <f t="shared" si="298"/>
        <v>0</v>
      </c>
      <c r="AG2036" s="2">
        <v>0</v>
      </c>
      <c r="AH2036" s="5">
        <f t="shared" si="303"/>
        <v>0</v>
      </c>
      <c r="AJ2036" s="126" t="e">
        <v>#N/A</v>
      </c>
      <c r="AK2036" s="80">
        <f t="shared" si="299"/>
        <v>0</v>
      </c>
      <c r="AM2036" s="85"/>
    </row>
    <row r="2037" spans="1:39" hidden="1" x14ac:dyDescent="0.3">
      <c r="A2037" s="85" t="s">
        <v>34</v>
      </c>
      <c r="B2037" s="15" t="s">
        <v>35</v>
      </c>
      <c r="C2037" s="15" t="s">
        <v>164</v>
      </c>
      <c r="D2037" s="15" t="s">
        <v>169</v>
      </c>
      <c r="E2037" s="15" t="s">
        <v>2648</v>
      </c>
      <c r="F2037" s="15" t="s">
        <v>2648</v>
      </c>
      <c r="G2037" s="15" t="s">
        <v>2648</v>
      </c>
      <c r="H2037" s="154"/>
      <c r="I2037" s="15" t="s">
        <v>2572</v>
      </c>
      <c r="J2037" s="1" t="s">
        <v>3327</v>
      </c>
      <c r="K2037" s="1" t="s">
        <v>3284</v>
      </c>
      <c r="L2037" s="1" t="s">
        <v>35</v>
      </c>
      <c r="M2037" s="15" t="s">
        <v>2648</v>
      </c>
      <c r="N2037" s="15"/>
      <c r="O2037" s="8" t="s">
        <v>410</v>
      </c>
      <c r="P2037" s="8" t="s">
        <v>41</v>
      </c>
      <c r="Q2037" s="9">
        <v>0</v>
      </c>
      <c r="R2037" s="139">
        <v>400002128</v>
      </c>
      <c r="T2037" s="18">
        <v>108</v>
      </c>
      <c r="U2037" s="4">
        <v>0</v>
      </c>
      <c r="V2037" s="4">
        <v>6</v>
      </c>
      <c r="W2037" s="13">
        <f t="shared" si="294"/>
        <v>102</v>
      </c>
      <c r="X2037" s="13">
        <f t="shared" si="301"/>
        <v>6</v>
      </c>
      <c r="Y2037" s="13">
        <f t="shared" si="295"/>
        <v>0</v>
      </c>
      <c r="Z2037" s="2">
        <v>0.03</v>
      </c>
      <c r="AA2037" s="4">
        <f t="shared" si="304"/>
        <v>0.18</v>
      </c>
      <c r="AB2037" s="4">
        <f t="shared" si="296"/>
        <v>6.18</v>
      </c>
      <c r="AC2037" s="6">
        <f t="shared" si="297"/>
        <v>0</v>
      </c>
      <c r="AD2037" s="13">
        <f t="shared" si="302"/>
        <v>6</v>
      </c>
      <c r="AE2037" s="2">
        <v>0</v>
      </c>
      <c r="AF2037" s="5">
        <f t="shared" si="298"/>
        <v>0</v>
      </c>
      <c r="AG2037" s="2">
        <v>0</v>
      </c>
      <c r="AH2037" s="5">
        <f t="shared" si="303"/>
        <v>6</v>
      </c>
      <c r="AJ2037" s="126" t="e">
        <v>#N/A</v>
      </c>
      <c r="AK2037" s="80">
        <f t="shared" si="299"/>
        <v>0</v>
      </c>
      <c r="AM2037" s="85"/>
    </row>
    <row r="2038" spans="1:39" hidden="1" x14ac:dyDescent="0.3">
      <c r="A2038" s="85" t="s">
        <v>34</v>
      </c>
      <c r="B2038" s="15" t="s">
        <v>35</v>
      </c>
      <c r="C2038" s="15" t="s">
        <v>164</v>
      </c>
      <c r="D2038" s="15" t="s">
        <v>169</v>
      </c>
      <c r="E2038" s="15" t="s">
        <v>1952</v>
      </c>
      <c r="F2038" s="15" t="s">
        <v>1952</v>
      </c>
      <c r="G2038" s="15" t="s">
        <v>1952</v>
      </c>
      <c r="H2038" s="139"/>
      <c r="I2038" s="15" t="s">
        <v>2572</v>
      </c>
      <c r="J2038" s="1" t="s">
        <v>3327</v>
      </c>
      <c r="K2038" s="1" t="s">
        <v>3284</v>
      </c>
      <c r="L2038" s="1" t="s">
        <v>35</v>
      </c>
      <c r="M2038" s="15" t="s">
        <v>1952</v>
      </c>
      <c r="N2038" s="15"/>
      <c r="O2038" s="8" t="s">
        <v>410</v>
      </c>
      <c r="P2038" s="8" t="s">
        <v>41</v>
      </c>
      <c r="Q2038" s="9">
        <v>0</v>
      </c>
      <c r="R2038" s="139">
        <v>100000026</v>
      </c>
      <c r="T2038" s="18">
        <v>-4</v>
      </c>
      <c r="U2038" s="4">
        <v>0</v>
      </c>
      <c r="V2038" s="4">
        <v>0</v>
      </c>
      <c r="W2038" s="13">
        <f t="shared" si="294"/>
        <v>-4</v>
      </c>
      <c r="X2038" s="13">
        <f t="shared" si="301"/>
        <v>0</v>
      </c>
      <c r="Y2038" s="13">
        <f t="shared" si="295"/>
        <v>0</v>
      </c>
      <c r="Z2038" s="2">
        <v>0</v>
      </c>
      <c r="AA2038" s="4">
        <v>0</v>
      </c>
      <c r="AB2038" s="4">
        <f t="shared" si="296"/>
        <v>0</v>
      </c>
      <c r="AC2038" s="6">
        <f t="shared" si="297"/>
        <v>0</v>
      </c>
      <c r="AD2038" s="13">
        <f t="shared" si="302"/>
        <v>0</v>
      </c>
      <c r="AE2038" s="2">
        <v>0</v>
      </c>
      <c r="AF2038" s="5">
        <f t="shared" si="298"/>
        <v>0</v>
      </c>
      <c r="AG2038" s="2">
        <v>0</v>
      </c>
      <c r="AH2038" s="5">
        <f t="shared" si="303"/>
        <v>0</v>
      </c>
      <c r="AJ2038" s="126" t="e">
        <v>#N/A</v>
      </c>
      <c r="AK2038" s="80">
        <f t="shared" si="299"/>
        <v>0</v>
      </c>
      <c r="AM2038" s="85"/>
    </row>
    <row r="2039" spans="1:39" hidden="1" x14ac:dyDescent="0.3">
      <c r="A2039" s="85" t="s">
        <v>34</v>
      </c>
      <c r="B2039" s="15" t="s">
        <v>35</v>
      </c>
      <c r="C2039" s="15" t="s">
        <v>164</v>
      </c>
      <c r="D2039" s="15" t="s">
        <v>169</v>
      </c>
      <c r="E2039" s="15" t="s">
        <v>2649</v>
      </c>
      <c r="F2039" s="15" t="s">
        <v>2649</v>
      </c>
      <c r="G2039" s="15" t="s">
        <v>2649</v>
      </c>
      <c r="H2039" s="139"/>
      <c r="I2039" s="15" t="s">
        <v>2572</v>
      </c>
      <c r="J2039" s="1" t="s">
        <v>3327</v>
      </c>
      <c r="K2039" s="1" t="s">
        <v>3284</v>
      </c>
      <c r="L2039" s="1" t="s">
        <v>35</v>
      </c>
      <c r="M2039" s="15" t="s">
        <v>2650</v>
      </c>
      <c r="N2039" s="15"/>
      <c r="O2039" s="8" t="s">
        <v>410</v>
      </c>
      <c r="P2039" s="8" t="s">
        <v>41</v>
      </c>
      <c r="Q2039" s="9">
        <v>0</v>
      </c>
      <c r="R2039" s="139">
        <v>300000648</v>
      </c>
      <c r="T2039" s="18">
        <v>-23.1999999999998</v>
      </c>
      <c r="U2039" s="4">
        <v>0</v>
      </c>
      <c r="V2039" s="4">
        <v>0</v>
      </c>
      <c r="W2039" s="13">
        <f t="shared" si="294"/>
        <v>-23.1999999999998</v>
      </c>
      <c r="X2039" s="13">
        <f t="shared" si="301"/>
        <v>0</v>
      </c>
      <c r="Y2039" s="13">
        <f t="shared" si="295"/>
        <v>0</v>
      </c>
      <c r="Z2039" s="2">
        <v>0</v>
      </c>
      <c r="AA2039" s="4">
        <v>0</v>
      </c>
      <c r="AB2039" s="4">
        <f t="shared" si="296"/>
        <v>0</v>
      </c>
      <c r="AC2039" s="6">
        <f t="shared" si="297"/>
        <v>0</v>
      </c>
      <c r="AD2039" s="13">
        <f t="shared" si="302"/>
        <v>0</v>
      </c>
      <c r="AE2039" s="2">
        <v>0</v>
      </c>
      <c r="AF2039" s="5">
        <f t="shared" si="298"/>
        <v>0</v>
      </c>
      <c r="AG2039" s="2">
        <v>0</v>
      </c>
      <c r="AH2039" s="5">
        <f t="shared" si="303"/>
        <v>0</v>
      </c>
      <c r="AJ2039" s="126" t="e">
        <v>#N/A</v>
      </c>
      <c r="AK2039" s="80">
        <f t="shared" si="299"/>
        <v>0</v>
      </c>
      <c r="AM2039" s="85"/>
    </row>
    <row r="2040" spans="1:39" hidden="1" x14ac:dyDescent="0.3">
      <c r="A2040" s="85" t="s">
        <v>34</v>
      </c>
      <c r="B2040" s="15" t="s">
        <v>35</v>
      </c>
      <c r="C2040" s="15" t="s">
        <v>164</v>
      </c>
      <c r="D2040" s="15" t="s">
        <v>174</v>
      </c>
      <c r="E2040" s="15" t="s">
        <v>2651</v>
      </c>
      <c r="F2040" s="15" t="s">
        <v>2652</v>
      </c>
      <c r="G2040" s="15" t="s">
        <v>2652</v>
      </c>
      <c r="H2040" s="139"/>
      <c r="I2040" s="15" t="s">
        <v>2572</v>
      </c>
      <c r="J2040" s="1" t="s">
        <v>3327</v>
      </c>
      <c r="K2040" s="1" t="s">
        <v>3284</v>
      </c>
      <c r="L2040" s="1" t="s">
        <v>35</v>
      </c>
      <c r="M2040" s="15" t="s">
        <v>2652</v>
      </c>
      <c r="N2040" s="15"/>
      <c r="O2040" s="8" t="s">
        <v>410</v>
      </c>
      <c r="P2040" s="8" t="s">
        <v>41</v>
      </c>
      <c r="Q2040" s="9">
        <v>0</v>
      </c>
      <c r="R2040" s="139">
        <v>600001215</v>
      </c>
      <c r="T2040" s="18">
        <v>5.4</v>
      </c>
      <c r="U2040" s="4">
        <v>0</v>
      </c>
      <c r="V2040" s="4">
        <v>0</v>
      </c>
      <c r="W2040" s="13">
        <f t="shared" si="294"/>
        <v>5.4</v>
      </c>
      <c r="X2040" s="13">
        <f t="shared" si="301"/>
        <v>0</v>
      </c>
      <c r="Y2040" s="13">
        <f t="shared" si="295"/>
        <v>0</v>
      </c>
      <c r="Z2040" s="2">
        <v>0</v>
      </c>
      <c r="AA2040" s="4">
        <v>0</v>
      </c>
      <c r="AB2040" s="4">
        <f t="shared" si="296"/>
        <v>0</v>
      </c>
      <c r="AC2040" s="6">
        <f t="shared" si="297"/>
        <v>0</v>
      </c>
      <c r="AD2040" s="13">
        <f t="shared" si="302"/>
        <v>0</v>
      </c>
      <c r="AE2040" s="2">
        <v>0</v>
      </c>
      <c r="AF2040" s="5">
        <f t="shared" si="298"/>
        <v>0</v>
      </c>
      <c r="AG2040" s="2">
        <v>0</v>
      </c>
      <c r="AH2040" s="5">
        <f t="shared" si="303"/>
        <v>0</v>
      </c>
      <c r="AJ2040" s="126" t="e">
        <v>#N/A</v>
      </c>
      <c r="AK2040" s="80">
        <f t="shared" si="299"/>
        <v>0</v>
      </c>
      <c r="AM2040" s="85"/>
    </row>
    <row r="2041" spans="1:39" hidden="1" x14ac:dyDescent="0.3">
      <c r="A2041" s="85" t="s">
        <v>34</v>
      </c>
      <c r="B2041" s="15" t="s">
        <v>35</v>
      </c>
      <c r="C2041" s="15" t="s">
        <v>164</v>
      </c>
      <c r="D2041" s="15" t="s">
        <v>174</v>
      </c>
      <c r="E2041" s="15" t="s">
        <v>2360</v>
      </c>
      <c r="F2041" s="15" t="s">
        <v>2360</v>
      </c>
      <c r="G2041" s="15" t="s">
        <v>2360</v>
      </c>
      <c r="H2041" s="139"/>
      <c r="I2041" s="15" t="s">
        <v>2572</v>
      </c>
      <c r="J2041" s="1" t="s">
        <v>3327</v>
      </c>
      <c r="K2041" s="1" t="s">
        <v>3284</v>
      </c>
      <c r="L2041" s="1" t="s">
        <v>35</v>
      </c>
      <c r="M2041" s="15" t="s">
        <v>2653</v>
      </c>
      <c r="N2041" s="15"/>
      <c r="O2041" s="8" t="s">
        <v>410</v>
      </c>
      <c r="P2041" s="8" t="s">
        <v>41</v>
      </c>
      <c r="Q2041" s="9">
        <v>0</v>
      </c>
      <c r="R2041" s="139">
        <v>600001346</v>
      </c>
      <c r="T2041" s="18">
        <v>7992.7</v>
      </c>
      <c r="U2041" s="4">
        <v>0</v>
      </c>
      <c r="V2041" s="4">
        <v>0</v>
      </c>
      <c r="W2041" s="13">
        <f t="shared" si="294"/>
        <v>7992.7</v>
      </c>
      <c r="X2041" s="13">
        <f t="shared" si="301"/>
        <v>0</v>
      </c>
      <c r="Y2041" s="13">
        <f t="shared" si="295"/>
        <v>0</v>
      </c>
      <c r="Z2041" s="2">
        <v>0</v>
      </c>
      <c r="AA2041" s="4">
        <v>0</v>
      </c>
      <c r="AB2041" s="4">
        <f t="shared" si="296"/>
        <v>0</v>
      </c>
      <c r="AC2041" s="6">
        <f t="shared" si="297"/>
        <v>0</v>
      </c>
      <c r="AD2041" s="13">
        <f t="shared" si="302"/>
        <v>0</v>
      </c>
      <c r="AE2041" s="2">
        <v>0</v>
      </c>
      <c r="AF2041" s="5">
        <f t="shared" si="298"/>
        <v>0</v>
      </c>
      <c r="AG2041" s="2">
        <v>0</v>
      </c>
      <c r="AH2041" s="5">
        <f t="shared" si="303"/>
        <v>0</v>
      </c>
      <c r="AJ2041" s="126" t="e">
        <v>#N/A</v>
      </c>
      <c r="AK2041" s="80">
        <f t="shared" si="299"/>
        <v>0</v>
      </c>
      <c r="AM2041" s="85"/>
    </row>
    <row r="2042" spans="1:39" hidden="1" x14ac:dyDescent="0.3">
      <c r="A2042" s="85" t="s">
        <v>34</v>
      </c>
      <c r="B2042" s="15" t="s">
        <v>35</v>
      </c>
      <c r="C2042" s="15" t="s">
        <v>164</v>
      </c>
      <c r="D2042" s="15" t="s">
        <v>174</v>
      </c>
      <c r="E2042" s="15" t="s">
        <v>2654</v>
      </c>
      <c r="F2042" s="15" t="s">
        <v>2654</v>
      </c>
      <c r="G2042" s="15" t="s">
        <v>2654</v>
      </c>
      <c r="H2042" s="139"/>
      <c r="I2042" s="15" t="s">
        <v>2572</v>
      </c>
      <c r="J2042" s="1" t="s">
        <v>3327</v>
      </c>
      <c r="K2042" s="1" t="s">
        <v>3284</v>
      </c>
      <c r="L2042" s="1" t="s">
        <v>35</v>
      </c>
      <c r="M2042" s="15" t="s">
        <v>2655</v>
      </c>
      <c r="N2042" s="15"/>
      <c r="O2042" s="8" t="s">
        <v>410</v>
      </c>
      <c r="P2042" s="8" t="s">
        <v>41</v>
      </c>
      <c r="Q2042" s="9">
        <v>0</v>
      </c>
      <c r="R2042" s="139">
        <v>400001039</v>
      </c>
      <c r="T2042" s="18">
        <v>-5</v>
      </c>
      <c r="U2042" s="4">
        <v>0</v>
      </c>
      <c r="V2042" s="4">
        <v>0</v>
      </c>
      <c r="W2042" s="13">
        <f t="shared" si="294"/>
        <v>-5</v>
      </c>
      <c r="X2042" s="13">
        <f t="shared" si="301"/>
        <v>0</v>
      </c>
      <c r="Y2042" s="13">
        <f t="shared" si="295"/>
        <v>0</v>
      </c>
      <c r="Z2042" s="2">
        <v>0</v>
      </c>
      <c r="AA2042" s="4">
        <v>0</v>
      </c>
      <c r="AB2042" s="4">
        <f t="shared" si="296"/>
        <v>0</v>
      </c>
      <c r="AC2042" s="6">
        <f t="shared" si="297"/>
        <v>0</v>
      </c>
      <c r="AD2042" s="13">
        <f t="shared" si="302"/>
        <v>0</v>
      </c>
      <c r="AE2042" s="2">
        <v>0</v>
      </c>
      <c r="AF2042" s="5">
        <f t="shared" si="298"/>
        <v>0</v>
      </c>
      <c r="AG2042" s="2">
        <v>0</v>
      </c>
      <c r="AH2042" s="5">
        <f t="shared" si="303"/>
        <v>0</v>
      </c>
      <c r="AJ2042" s="126" t="e">
        <v>#N/A</v>
      </c>
      <c r="AK2042" s="80">
        <f t="shared" si="299"/>
        <v>0</v>
      </c>
      <c r="AM2042" s="85"/>
    </row>
    <row r="2043" spans="1:39" hidden="1" x14ac:dyDescent="0.3">
      <c r="A2043" s="85" t="s">
        <v>34</v>
      </c>
      <c r="B2043" s="15" t="s">
        <v>35</v>
      </c>
      <c r="C2043" s="15" t="s">
        <v>164</v>
      </c>
      <c r="D2043" s="15" t="s">
        <v>181</v>
      </c>
      <c r="E2043" s="15" t="s">
        <v>2656</v>
      </c>
      <c r="F2043" s="15" t="s">
        <v>2656</v>
      </c>
      <c r="G2043" s="15" t="s">
        <v>2656</v>
      </c>
      <c r="H2043" s="139"/>
      <c r="I2043" s="15" t="s">
        <v>2572</v>
      </c>
      <c r="J2043" s="1" t="s">
        <v>3327</v>
      </c>
      <c r="K2043" s="1" t="s">
        <v>3284</v>
      </c>
      <c r="L2043" s="1" t="s">
        <v>35</v>
      </c>
      <c r="M2043" s="15" t="s">
        <v>2656</v>
      </c>
      <c r="N2043" s="15"/>
      <c r="O2043" s="8" t="s">
        <v>410</v>
      </c>
      <c r="P2043" s="8" t="s">
        <v>41</v>
      </c>
      <c r="Q2043" s="9">
        <v>0</v>
      </c>
      <c r="R2043" s="139">
        <v>300000775</v>
      </c>
      <c r="T2043" s="18">
        <v>676.6</v>
      </c>
      <c r="U2043" s="4">
        <v>0</v>
      </c>
      <c r="V2043" s="4">
        <v>0</v>
      </c>
      <c r="W2043" s="13">
        <f t="shared" si="294"/>
        <v>676.6</v>
      </c>
      <c r="X2043" s="13">
        <f t="shared" si="301"/>
        <v>0</v>
      </c>
      <c r="Y2043" s="13">
        <f t="shared" si="295"/>
        <v>0</v>
      </c>
      <c r="Z2043" s="2">
        <v>0</v>
      </c>
      <c r="AA2043" s="4">
        <v>0</v>
      </c>
      <c r="AB2043" s="4">
        <f t="shared" si="296"/>
        <v>0</v>
      </c>
      <c r="AC2043" s="6">
        <f t="shared" si="297"/>
        <v>0</v>
      </c>
      <c r="AD2043" s="13">
        <f t="shared" si="302"/>
        <v>0</v>
      </c>
      <c r="AE2043" s="2">
        <v>0</v>
      </c>
      <c r="AF2043" s="5">
        <f t="shared" si="298"/>
        <v>0</v>
      </c>
      <c r="AG2043" s="2">
        <v>0</v>
      </c>
      <c r="AH2043" s="5">
        <f t="shared" si="303"/>
        <v>0</v>
      </c>
      <c r="AJ2043" s="126" t="e">
        <v>#N/A</v>
      </c>
      <c r="AK2043" s="80">
        <f t="shared" si="299"/>
        <v>0</v>
      </c>
      <c r="AM2043" s="85"/>
    </row>
    <row r="2044" spans="1:39" hidden="1" x14ac:dyDescent="0.3">
      <c r="A2044" s="85" t="s">
        <v>34</v>
      </c>
      <c r="B2044" s="15" t="s">
        <v>35</v>
      </c>
      <c r="C2044" s="15" t="s">
        <v>53</v>
      </c>
      <c r="D2044" s="15" t="s">
        <v>961</v>
      </c>
      <c r="E2044" s="15" t="s">
        <v>2657</v>
      </c>
      <c r="F2044" s="15" t="s">
        <v>2658</v>
      </c>
      <c r="G2044" s="15" t="s">
        <v>2658</v>
      </c>
      <c r="H2044" s="139"/>
      <c r="I2044" s="15" t="s">
        <v>2572</v>
      </c>
      <c r="J2044" s="1" t="s">
        <v>3327</v>
      </c>
      <c r="K2044" s="1" t="s">
        <v>3284</v>
      </c>
      <c r="L2044" s="1" t="s">
        <v>35</v>
      </c>
      <c r="M2044" s="15" t="s">
        <v>2658</v>
      </c>
      <c r="N2044" s="15"/>
      <c r="O2044" s="8" t="s">
        <v>410</v>
      </c>
      <c r="P2044" s="8" t="s">
        <v>41</v>
      </c>
      <c r="Q2044" s="9">
        <v>0</v>
      </c>
      <c r="R2044" s="139">
        <v>600001437</v>
      </c>
      <c r="T2044" s="18">
        <v>46.04</v>
      </c>
      <c r="U2044" s="4">
        <v>0</v>
      </c>
      <c r="V2044" s="4">
        <v>0</v>
      </c>
      <c r="W2044" s="13">
        <f t="shared" si="294"/>
        <v>46.04</v>
      </c>
      <c r="X2044" s="13">
        <f t="shared" si="301"/>
        <v>0</v>
      </c>
      <c r="Y2044" s="13">
        <f t="shared" si="295"/>
        <v>0</v>
      </c>
      <c r="Z2044" s="2">
        <v>0</v>
      </c>
      <c r="AA2044" s="4">
        <v>0</v>
      </c>
      <c r="AB2044" s="4">
        <f t="shared" si="296"/>
        <v>0</v>
      </c>
      <c r="AC2044" s="6">
        <f t="shared" si="297"/>
        <v>0</v>
      </c>
      <c r="AD2044" s="13">
        <f t="shared" si="302"/>
        <v>0</v>
      </c>
      <c r="AE2044" s="2">
        <v>0</v>
      </c>
      <c r="AF2044" s="5">
        <f t="shared" si="298"/>
        <v>0</v>
      </c>
      <c r="AG2044" s="2">
        <v>0</v>
      </c>
      <c r="AH2044" s="5">
        <f t="shared" si="303"/>
        <v>0</v>
      </c>
      <c r="AJ2044" s="126" t="e">
        <v>#N/A</v>
      </c>
      <c r="AK2044" s="80">
        <f t="shared" si="299"/>
        <v>0</v>
      </c>
      <c r="AM2044" s="85"/>
    </row>
    <row r="2045" spans="1:39" hidden="1" x14ac:dyDescent="0.3">
      <c r="A2045" s="85" t="s">
        <v>34</v>
      </c>
      <c r="B2045" s="15" t="s">
        <v>35</v>
      </c>
      <c r="C2045" s="15" t="s">
        <v>53</v>
      </c>
      <c r="D2045" s="15" t="s">
        <v>961</v>
      </c>
      <c r="E2045" s="15" t="s">
        <v>962</v>
      </c>
      <c r="F2045" s="15" t="s">
        <v>962</v>
      </c>
      <c r="G2045" s="15" t="s">
        <v>962</v>
      </c>
      <c r="H2045" s="139"/>
      <c r="I2045" s="15" t="s">
        <v>2572</v>
      </c>
      <c r="J2045" s="1" t="s">
        <v>3327</v>
      </c>
      <c r="K2045" s="1" t="s">
        <v>3284</v>
      </c>
      <c r="L2045" s="1" t="s">
        <v>35</v>
      </c>
      <c r="M2045" s="15" t="s">
        <v>962</v>
      </c>
      <c r="N2045" s="15"/>
      <c r="O2045" s="8" t="s">
        <v>410</v>
      </c>
      <c r="P2045" s="8" t="s">
        <v>41</v>
      </c>
      <c r="Q2045" s="9">
        <v>0</v>
      </c>
      <c r="R2045" s="139">
        <v>400001353</v>
      </c>
      <c r="T2045" s="18">
        <v>15624.1</v>
      </c>
      <c r="U2045" s="4">
        <v>0</v>
      </c>
      <c r="V2045" s="4">
        <v>0</v>
      </c>
      <c r="W2045" s="13">
        <f t="shared" si="294"/>
        <v>15624.1</v>
      </c>
      <c r="X2045" s="13">
        <f t="shared" si="301"/>
        <v>0</v>
      </c>
      <c r="Y2045" s="13">
        <f t="shared" si="295"/>
        <v>0</v>
      </c>
      <c r="Z2045" s="2">
        <v>0</v>
      </c>
      <c r="AA2045" s="4">
        <v>0</v>
      </c>
      <c r="AB2045" s="4">
        <f t="shared" si="296"/>
        <v>0</v>
      </c>
      <c r="AC2045" s="6">
        <f t="shared" si="297"/>
        <v>0</v>
      </c>
      <c r="AD2045" s="13">
        <f t="shared" si="302"/>
        <v>0</v>
      </c>
      <c r="AE2045" s="2">
        <v>0</v>
      </c>
      <c r="AF2045" s="5">
        <f t="shared" si="298"/>
        <v>0</v>
      </c>
      <c r="AG2045" s="2">
        <v>0</v>
      </c>
      <c r="AH2045" s="5">
        <f t="shared" si="303"/>
        <v>0</v>
      </c>
      <c r="AJ2045" s="126" t="e">
        <v>#N/A</v>
      </c>
      <c r="AK2045" s="80">
        <f t="shared" si="299"/>
        <v>0</v>
      </c>
      <c r="AM2045" s="85"/>
    </row>
    <row r="2046" spans="1:39" hidden="1" x14ac:dyDescent="0.3">
      <c r="A2046" s="85" t="s">
        <v>34</v>
      </c>
      <c r="B2046" s="15" t="s">
        <v>35</v>
      </c>
      <c r="C2046" s="15" t="s">
        <v>53</v>
      </c>
      <c r="D2046" s="15" t="s">
        <v>961</v>
      </c>
      <c r="E2046" s="15" t="s">
        <v>2283</v>
      </c>
      <c r="F2046" s="15" t="s">
        <v>2283</v>
      </c>
      <c r="G2046" s="15" t="s">
        <v>2283</v>
      </c>
      <c r="H2046" s="139"/>
      <c r="I2046" s="15" t="s">
        <v>2572</v>
      </c>
      <c r="J2046" s="1" t="s">
        <v>3327</v>
      </c>
      <c r="K2046" s="1" t="s">
        <v>3284</v>
      </c>
      <c r="L2046" s="1" t="s">
        <v>35</v>
      </c>
      <c r="M2046" s="15" t="s">
        <v>2283</v>
      </c>
      <c r="N2046" s="15"/>
      <c r="O2046" s="8" t="s">
        <v>410</v>
      </c>
      <c r="P2046" s="8" t="s">
        <v>41</v>
      </c>
      <c r="Q2046" s="9">
        <v>0</v>
      </c>
      <c r="R2046" s="139">
        <v>400001320</v>
      </c>
      <c r="T2046" s="18">
        <v>105.94999999999982</v>
      </c>
      <c r="U2046" s="4">
        <v>0</v>
      </c>
      <c r="V2046" s="4">
        <v>0</v>
      </c>
      <c r="W2046" s="13">
        <f t="shared" si="294"/>
        <v>105.94999999999982</v>
      </c>
      <c r="X2046" s="13">
        <f t="shared" si="301"/>
        <v>0</v>
      </c>
      <c r="Y2046" s="13">
        <f t="shared" si="295"/>
        <v>0</v>
      </c>
      <c r="Z2046" s="2">
        <v>0</v>
      </c>
      <c r="AA2046" s="4">
        <v>0</v>
      </c>
      <c r="AB2046" s="4">
        <f t="shared" si="296"/>
        <v>0</v>
      </c>
      <c r="AC2046" s="6">
        <f t="shared" si="297"/>
        <v>0</v>
      </c>
      <c r="AD2046" s="13">
        <f t="shared" si="302"/>
        <v>0</v>
      </c>
      <c r="AE2046" s="2">
        <v>0</v>
      </c>
      <c r="AF2046" s="5">
        <f t="shared" si="298"/>
        <v>0</v>
      </c>
      <c r="AG2046" s="2">
        <v>0</v>
      </c>
      <c r="AH2046" s="5">
        <f t="shared" si="303"/>
        <v>0</v>
      </c>
      <c r="AJ2046" s="126" t="e">
        <v>#N/A</v>
      </c>
      <c r="AK2046" s="80">
        <f t="shared" si="299"/>
        <v>0</v>
      </c>
      <c r="AM2046" s="85"/>
    </row>
    <row r="2047" spans="1:39" hidden="1" x14ac:dyDescent="0.3">
      <c r="A2047" s="85" t="s">
        <v>34</v>
      </c>
      <c r="B2047" s="15" t="s">
        <v>35</v>
      </c>
      <c r="C2047" s="15" t="s">
        <v>53</v>
      </c>
      <c r="D2047" s="15" t="s">
        <v>224</v>
      </c>
      <c r="E2047" s="15" t="s">
        <v>2659</v>
      </c>
      <c r="F2047" s="15" t="s">
        <v>2659</v>
      </c>
      <c r="G2047" s="15" t="s">
        <v>2659</v>
      </c>
      <c r="H2047" s="139"/>
      <c r="I2047" s="15" t="s">
        <v>2572</v>
      </c>
      <c r="J2047" s="1" t="s">
        <v>3327</v>
      </c>
      <c r="K2047" s="1" t="s">
        <v>3284</v>
      </c>
      <c r="L2047" s="1" t="s">
        <v>35</v>
      </c>
      <c r="M2047" s="15" t="s">
        <v>2660</v>
      </c>
      <c r="N2047" s="15"/>
      <c r="O2047" s="8" t="s">
        <v>410</v>
      </c>
      <c r="P2047" s="8" t="s">
        <v>41</v>
      </c>
      <c r="Q2047" s="9">
        <v>0</v>
      </c>
      <c r="R2047" s="139">
        <v>400001250</v>
      </c>
      <c r="T2047" s="18">
        <v>691.69999999999982</v>
      </c>
      <c r="U2047" s="4">
        <v>0</v>
      </c>
      <c r="V2047" s="4">
        <v>0</v>
      </c>
      <c r="W2047" s="13">
        <f t="shared" si="294"/>
        <v>691.69999999999982</v>
      </c>
      <c r="X2047" s="13">
        <f t="shared" si="301"/>
        <v>0</v>
      </c>
      <c r="Y2047" s="13">
        <f t="shared" si="295"/>
        <v>0</v>
      </c>
      <c r="Z2047" s="2">
        <v>0.05</v>
      </c>
      <c r="AA2047" s="4">
        <f t="shared" ref="AA2047:AA2049" si="305">X2047*Z2047</f>
        <v>0</v>
      </c>
      <c r="AB2047" s="4">
        <f t="shared" si="296"/>
        <v>0</v>
      </c>
      <c r="AC2047" s="6">
        <f t="shared" si="297"/>
        <v>0</v>
      </c>
      <c r="AD2047" s="13">
        <f t="shared" si="302"/>
        <v>0</v>
      </c>
      <c r="AE2047" s="2">
        <v>0</v>
      </c>
      <c r="AF2047" s="5">
        <f t="shared" si="298"/>
        <v>0</v>
      </c>
      <c r="AG2047" s="2">
        <v>0</v>
      </c>
      <c r="AH2047" s="5">
        <f t="shared" si="303"/>
        <v>0</v>
      </c>
      <c r="AJ2047" s="126" t="e">
        <v>#N/A</v>
      </c>
      <c r="AK2047" s="80">
        <f t="shared" si="299"/>
        <v>0</v>
      </c>
      <c r="AM2047" s="85"/>
    </row>
    <row r="2048" spans="1:39" hidden="1" x14ac:dyDescent="0.3">
      <c r="A2048" s="85" t="s">
        <v>34</v>
      </c>
      <c r="B2048" s="15" t="s">
        <v>35</v>
      </c>
      <c r="C2048" s="15" t="s">
        <v>53</v>
      </c>
      <c r="D2048" s="15" t="s">
        <v>224</v>
      </c>
      <c r="E2048" s="15" t="s">
        <v>2661</v>
      </c>
      <c r="F2048" s="15" t="s">
        <v>2662</v>
      </c>
      <c r="G2048" s="15" t="s">
        <v>2661</v>
      </c>
      <c r="H2048" s="139"/>
      <c r="I2048" s="15" t="s">
        <v>2572</v>
      </c>
      <c r="J2048" s="1" t="s">
        <v>3327</v>
      </c>
      <c r="K2048" s="1" t="s">
        <v>3284</v>
      </c>
      <c r="L2048" s="1" t="s">
        <v>35</v>
      </c>
      <c r="M2048" s="15" t="s">
        <v>2663</v>
      </c>
      <c r="N2048" s="15"/>
      <c r="O2048" s="8" t="s">
        <v>410</v>
      </c>
      <c r="P2048" s="8" t="s">
        <v>41</v>
      </c>
      <c r="Q2048" s="9">
        <v>0</v>
      </c>
      <c r="R2048" s="139">
        <v>400001948</v>
      </c>
      <c r="T2048" s="18">
        <v>20000</v>
      </c>
      <c r="U2048" s="4">
        <v>0</v>
      </c>
      <c r="V2048" s="4">
        <v>0</v>
      </c>
      <c r="W2048" s="13">
        <f t="shared" ref="W2048:W2111" si="306">T2048+U2048-V2048</f>
        <v>20000</v>
      </c>
      <c r="X2048" s="13">
        <f t="shared" si="301"/>
        <v>0</v>
      </c>
      <c r="Y2048" s="13">
        <f t="shared" si="295"/>
        <v>0</v>
      </c>
      <c r="Z2048" s="2">
        <v>0.03</v>
      </c>
      <c r="AA2048" s="4">
        <f t="shared" si="305"/>
        <v>0</v>
      </c>
      <c r="AB2048" s="4">
        <f t="shared" si="296"/>
        <v>0</v>
      </c>
      <c r="AC2048" s="6">
        <f t="shared" si="297"/>
        <v>0</v>
      </c>
      <c r="AD2048" s="13">
        <f t="shared" si="302"/>
        <v>0</v>
      </c>
      <c r="AE2048" s="2">
        <v>0</v>
      </c>
      <c r="AF2048" s="5">
        <f t="shared" si="298"/>
        <v>0</v>
      </c>
      <c r="AG2048" s="2">
        <v>0</v>
      </c>
      <c r="AH2048" s="5">
        <f t="shared" si="303"/>
        <v>0</v>
      </c>
      <c r="AJ2048" s="126" t="e">
        <v>#N/A</v>
      </c>
      <c r="AK2048" s="80">
        <f t="shared" si="299"/>
        <v>0</v>
      </c>
      <c r="AM2048" s="85"/>
    </row>
    <row r="2049" spans="1:39" hidden="1" x14ac:dyDescent="0.3">
      <c r="A2049" s="85" t="s">
        <v>34</v>
      </c>
      <c r="B2049" s="15" t="s">
        <v>35</v>
      </c>
      <c r="C2049" s="15" t="s">
        <v>53</v>
      </c>
      <c r="D2049" s="15" t="s">
        <v>224</v>
      </c>
      <c r="E2049" s="15" t="s">
        <v>2664</v>
      </c>
      <c r="F2049" s="15" t="s">
        <v>2664</v>
      </c>
      <c r="G2049" s="15" t="s">
        <v>2664</v>
      </c>
      <c r="H2049" s="139"/>
      <c r="I2049" s="15" t="s">
        <v>2572</v>
      </c>
      <c r="J2049" s="1" t="s">
        <v>3327</v>
      </c>
      <c r="K2049" s="1" t="s">
        <v>3284</v>
      </c>
      <c r="L2049" s="1" t="s">
        <v>35</v>
      </c>
      <c r="M2049" s="15" t="s">
        <v>2664</v>
      </c>
      <c r="N2049" s="15"/>
      <c r="O2049" s="8" t="s">
        <v>410</v>
      </c>
      <c r="P2049" s="8" t="s">
        <v>41</v>
      </c>
      <c r="Q2049" s="9">
        <v>0</v>
      </c>
      <c r="R2049" s="139">
        <v>400002177</v>
      </c>
      <c r="T2049" s="18">
        <v>12</v>
      </c>
      <c r="U2049" s="4">
        <v>0</v>
      </c>
      <c r="V2049" s="4">
        <v>0</v>
      </c>
      <c r="W2049" s="13">
        <f t="shared" si="306"/>
        <v>12</v>
      </c>
      <c r="X2049" s="13">
        <f t="shared" si="301"/>
        <v>0</v>
      </c>
      <c r="Y2049" s="13">
        <f t="shared" si="295"/>
        <v>0</v>
      </c>
      <c r="Z2049" s="2">
        <v>0.02</v>
      </c>
      <c r="AA2049" s="4">
        <f t="shared" si="305"/>
        <v>0</v>
      </c>
      <c r="AB2049" s="4">
        <f t="shared" si="296"/>
        <v>0</v>
      </c>
      <c r="AC2049" s="6">
        <f t="shared" si="297"/>
        <v>0</v>
      </c>
      <c r="AD2049" s="13">
        <f t="shared" si="302"/>
        <v>0</v>
      </c>
      <c r="AE2049" s="2">
        <v>0</v>
      </c>
      <c r="AF2049" s="5">
        <f t="shared" si="298"/>
        <v>0</v>
      </c>
      <c r="AG2049" s="2">
        <v>0</v>
      </c>
      <c r="AH2049" s="5">
        <f t="shared" si="303"/>
        <v>0</v>
      </c>
      <c r="AJ2049" s="126" t="e">
        <v>#N/A</v>
      </c>
      <c r="AK2049" s="80">
        <f t="shared" si="299"/>
        <v>0</v>
      </c>
      <c r="AM2049" s="85"/>
    </row>
    <row r="2050" spans="1:39" hidden="1" x14ac:dyDescent="0.3">
      <c r="A2050" s="85" t="s">
        <v>34</v>
      </c>
      <c r="B2050" s="15" t="s">
        <v>35</v>
      </c>
      <c r="C2050" s="15" t="s">
        <v>53</v>
      </c>
      <c r="D2050" s="15" t="s">
        <v>2325</v>
      </c>
      <c r="E2050" s="15" t="s">
        <v>2665</v>
      </c>
      <c r="F2050" s="15" t="s">
        <v>2666</v>
      </c>
      <c r="G2050" s="15" t="s">
        <v>2665</v>
      </c>
      <c r="H2050" s="139"/>
      <c r="I2050" s="15" t="s">
        <v>2572</v>
      </c>
      <c r="J2050" s="1" t="s">
        <v>3327</v>
      </c>
      <c r="K2050" s="1" t="s">
        <v>3284</v>
      </c>
      <c r="L2050" s="1" t="s">
        <v>35</v>
      </c>
      <c r="M2050" s="15" t="s">
        <v>2665</v>
      </c>
      <c r="N2050" s="15"/>
      <c r="O2050" s="8" t="s">
        <v>410</v>
      </c>
      <c r="P2050" s="8" t="s">
        <v>41</v>
      </c>
      <c r="Q2050" s="9">
        <v>0</v>
      </c>
      <c r="R2050" s="139">
        <v>300000800</v>
      </c>
      <c r="T2050" s="18">
        <v>-32</v>
      </c>
      <c r="U2050" s="4">
        <v>0</v>
      </c>
      <c r="V2050" s="4">
        <v>0</v>
      </c>
      <c r="W2050" s="13">
        <f t="shared" si="306"/>
        <v>-32</v>
      </c>
      <c r="X2050" s="13">
        <f t="shared" si="301"/>
        <v>0</v>
      </c>
      <c r="Y2050" s="13">
        <f t="shared" si="295"/>
        <v>0</v>
      </c>
      <c r="Z2050" s="2">
        <v>0</v>
      </c>
      <c r="AA2050" s="4">
        <v>0</v>
      </c>
      <c r="AB2050" s="4">
        <f t="shared" si="296"/>
        <v>0</v>
      </c>
      <c r="AC2050" s="6">
        <f t="shared" si="297"/>
        <v>0</v>
      </c>
      <c r="AD2050" s="13">
        <f t="shared" si="302"/>
        <v>0</v>
      </c>
      <c r="AE2050" s="2">
        <v>0</v>
      </c>
      <c r="AF2050" s="5">
        <f t="shared" si="298"/>
        <v>0</v>
      </c>
      <c r="AG2050" s="2">
        <v>0</v>
      </c>
      <c r="AH2050" s="5">
        <f t="shared" si="303"/>
        <v>0</v>
      </c>
      <c r="AJ2050" s="126" t="e">
        <v>#N/A</v>
      </c>
      <c r="AK2050" s="80">
        <f t="shared" si="299"/>
        <v>0</v>
      </c>
      <c r="AM2050" s="85"/>
    </row>
    <row r="2051" spans="1:39" hidden="1" x14ac:dyDescent="0.3">
      <c r="A2051" s="85" t="s">
        <v>34</v>
      </c>
      <c r="B2051" s="15" t="s">
        <v>35</v>
      </c>
      <c r="C2051" s="15" t="s">
        <v>53</v>
      </c>
      <c r="D2051" s="15" t="s">
        <v>985</v>
      </c>
      <c r="E2051" s="15" t="s">
        <v>416</v>
      </c>
      <c r="F2051" s="15" t="s">
        <v>416</v>
      </c>
      <c r="G2051" s="15" t="s">
        <v>416</v>
      </c>
      <c r="H2051" s="139"/>
      <c r="I2051" s="15" t="s">
        <v>2572</v>
      </c>
      <c r="J2051" s="1" t="s">
        <v>3327</v>
      </c>
      <c r="K2051" s="1" t="s">
        <v>3284</v>
      </c>
      <c r="L2051" s="1" t="s">
        <v>35</v>
      </c>
      <c r="M2051" s="15" t="s">
        <v>416</v>
      </c>
      <c r="N2051" s="15"/>
      <c r="O2051" s="8" t="s">
        <v>410</v>
      </c>
      <c r="P2051" s="8" t="s">
        <v>46</v>
      </c>
      <c r="Q2051" s="9">
        <v>0.01</v>
      </c>
      <c r="R2051" s="139">
        <v>600001252</v>
      </c>
      <c r="T2051" s="18">
        <v>43.76</v>
      </c>
      <c r="U2051" s="4">
        <v>0</v>
      </c>
      <c r="V2051" s="4">
        <v>0</v>
      </c>
      <c r="W2051" s="13">
        <f t="shared" si="306"/>
        <v>43.76</v>
      </c>
      <c r="X2051" s="13">
        <f t="shared" si="301"/>
        <v>0</v>
      </c>
      <c r="Y2051" s="13">
        <f t="shared" ref="Y2051:Y2114" si="307">IF(X2051-AD2051&lt;=0,0,IF(P2051="返现",MAX(X2051-AC2051-AD2051,0),MAX(X2051-AD2051)))</f>
        <v>0</v>
      </c>
      <c r="Z2051" s="2">
        <v>0</v>
      </c>
      <c r="AA2051" s="4">
        <v>0</v>
      </c>
      <c r="AB2051" s="4">
        <f t="shared" ref="AB2051:AB2114" si="308">X2051+AA2051</f>
        <v>0</v>
      </c>
      <c r="AC2051" s="6">
        <f t="shared" ref="AC2051:AC2114" si="309">IF(P2051="返现",X2051*Q2051,V2051-X2051)</f>
        <v>0</v>
      </c>
      <c r="AD2051" s="13">
        <f t="shared" si="302"/>
        <v>0</v>
      </c>
      <c r="AE2051" s="2">
        <v>0</v>
      </c>
      <c r="AF2051" s="5">
        <f t="shared" ref="AF2051:AF2114" si="310">AD2051*AE2051</f>
        <v>0</v>
      </c>
      <c r="AG2051" s="2">
        <v>0</v>
      </c>
      <c r="AH2051" s="5">
        <f t="shared" si="303"/>
        <v>0</v>
      </c>
      <c r="AJ2051" s="126" t="e">
        <v>#N/A</v>
      </c>
      <c r="AK2051" s="80">
        <f t="shared" ref="AK2051:AK2114" si="311">X2051+AA2051-AB2051</f>
        <v>0</v>
      </c>
      <c r="AM2051" s="85"/>
    </row>
    <row r="2052" spans="1:39" hidden="1" x14ac:dyDescent="0.3">
      <c r="A2052" s="85" t="s">
        <v>34</v>
      </c>
      <c r="B2052" s="15" t="s">
        <v>35</v>
      </c>
      <c r="C2052" s="15" t="s">
        <v>36</v>
      </c>
      <c r="D2052" s="15" t="s">
        <v>54</v>
      </c>
      <c r="E2052" s="15" t="s">
        <v>71</v>
      </c>
      <c r="F2052" s="15" t="s">
        <v>71</v>
      </c>
      <c r="G2052" s="15" t="s">
        <v>71</v>
      </c>
      <c r="H2052" s="139"/>
      <c r="I2052" s="15" t="s">
        <v>2572</v>
      </c>
      <c r="J2052" s="1" t="s">
        <v>3327</v>
      </c>
      <c r="K2052" s="1" t="s">
        <v>3284</v>
      </c>
      <c r="L2052" s="1" t="s">
        <v>35</v>
      </c>
      <c r="M2052" s="15" t="s">
        <v>2577</v>
      </c>
      <c r="N2052" s="15"/>
      <c r="O2052" s="8" t="s">
        <v>56</v>
      </c>
      <c r="P2052" s="8" t="s">
        <v>41</v>
      </c>
      <c r="Q2052" s="9">
        <v>0</v>
      </c>
      <c r="R2052" s="139">
        <v>600001435</v>
      </c>
      <c r="T2052" s="18">
        <v>28038</v>
      </c>
      <c r="U2052" s="4">
        <v>0</v>
      </c>
      <c r="V2052" s="4">
        <v>0</v>
      </c>
      <c r="W2052" s="13">
        <f t="shared" si="306"/>
        <v>28038</v>
      </c>
      <c r="X2052" s="13">
        <f t="shared" si="301"/>
        <v>0</v>
      </c>
      <c r="Y2052" s="13">
        <f t="shared" si="307"/>
        <v>0</v>
      </c>
      <c r="Z2052" s="2">
        <v>0</v>
      </c>
      <c r="AA2052" s="4">
        <v>0</v>
      </c>
      <c r="AB2052" s="4">
        <f t="shared" si="308"/>
        <v>0</v>
      </c>
      <c r="AC2052" s="6">
        <f t="shared" si="309"/>
        <v>0</v>
      </c>
      <c r="AD2052" s="13">
        <f t="shared" si="302"/>
        <v>0</v>
      </c>
      <c r="AE2052" s="2">
        <v>0</v>
      </c>
      <c r="AF2052" s="5">
        <f t="shared" si="310"/>
        <v>0</v>
      </c>
      <c r="AG2052" s="2">
        <v>0</v>
      </c>
      <c r="AH2052" s="5">
        <f t="shared" si="303"/>
        <v>0</v>
      </c>
      <c r="AJ2052" s="126" t="e">
        <v>#N/A</v>
      </c>
      <c r="AK2052" s="80">
        <f t="shared" si="311"/>
        <v>0</v>
      </c>
      <c r="AM2052" s="85"/>
    </row>
    <row r="2053" spans="1:39" hidden="1" x14ac:dyDescent="0.3">
      <c r="A2053" s="85" t="s">
        <v>34</v>
      </c>
      <c r="B2053" s="15" t="s">
        <v>35</v>
      </c>
      <c r="C2053" s="15" t="s">
        <v>53</v>
      </c>
      <c r="D2053" s="15" t="s">
        <v>54</v>
      </c>
      <c r="E2053" s="15" t="s">
        <v>2667</v>
      </c>
      <c r="F2053" s="15" t="s">
        <v>2667</v>
      </c>
      <c r="G2053" s="15" t="s">
        <v>2667</v>
      </c>
      <c r="H2053" s="139"/>
      <c r="I2053" s="15" t="s">
        <v>2572</v>
      </c>
      <c r="J2053" s="1" t="s">
        <v>3327</v>
      </c>
      <c r="K2053" s="1" t="s">
        <v>3284</v>
      </c>
      <c r="L2053" s="1" t="s">
        <v>35</v>
      </c>
      <c r="M2053" s="15" t="s">
        <v>2668</v>
      </c>
      <c r="N2053" s="15"/>
      <c r="O2053" s="8" t="s">
        <v>410</v>
      </c>
      <c r="P2053" s="8" t="s">
        <v>41</v>
      </c>
      <c r="Q2053" s="9">
        <v>0</v>
      </c>
      <c r="R2053" s="139">
        <v>400002015</v>
      </c>
      <c r="T2053" s="18">
        <v>6846.43</v>
      </c>
      <c r="U2053" s="4">
        <v>0</v>
      </c>
      <c r="V2053" s="4">
        <v>0</v>
      </c>
      <c r="W2053" s="13">
        <f t="shared" si="306"/>
        <v>6846.43</v>
      </c>
      <c r="X2053" s="13">
        <f t="shared" si="301"/>
        <v>0</v>
      </c>
      <c r="Y2053" s="13">
        <f t="shared" si="307"/>
        <v>0</v>
      </c>
      <c r="Z2053" s="2">
        <v>0.02</v>
      </c>
      <c r="AA2053" s="4">
        <f>X2053*Z2053</f>
        <v>0</v>
      </c>
      <c r="AB2053" s="4">
        <f t="shared" si="308"/>
        <v>0</v>
      </c>
      <c r="AC2053" s="6">
        <f t="shared" si="309"/>
        <v>0</v>
      </c>
      <c r="AD2053" s="13">
        <f t="shared" si="302"/>
        <v>0</v>
      </c>
      <c r="AE2053" s="2">
        <v>0</v>
      </c>
      <c r="AF2053" s="5">
        <f t="shared" si="310"/>
        <v>0</v>
      </c>
      <c r="AG2053" s="2">
        <v>0</v>
      </c>
      <c r="AH2053" s="5">
        <f t="shared" si="303"/>
        <v>0</v>
      </c>
      <c r="AJ2053" s="126" t="e">
        <v>#N/A</v>
      </c>
      <c r="AK2053" s="80">
        <f t="shared" si="311"/>
        <v>0</v>
      </c>
      <c r="AM2053" s="85"/>
    </row>
    <row r="2054" spans="1:39" hidden="1" x14ac:dyDescent="0.3">
      <c r="A2054" s="85" t="s">
        <v>34</v>
      </c>
      <c r="B2054" s="15" t="s">
        <v>35</v>
      </c>
      <c r="C2054" s="15" t="s">
        <v>53</v>
      </c>
      <c r="D2054" s="15" t="s">
        <v>54</v>
      </c>
      <c r="E2054" s="15" t="s">
        <v>2330</v>
      </c>
      <c r="F2054" s="15" t="s">
        <v>2330</v>
      </c>
      <c r="G2054" s="15" t="s">
        <v>2330</v>
      </c>
      <c r="H2054" s="139"/>
      <c r="I2054" s="15" t="s">
        <v>2572</v>
      </c>
      <c r="J2054" s="1" t="s">
        <v>3327</v>
      </c>
      <c r="K2054" s="1" t="s">
        <v>3284</v>
      </c>
      <c r="L2054" s="1" t="s">
        <v>35</v>
      </c>
      <c r="M2054" s="15" t="s">
        <v>2331</v>
      </c>
      <c r="N2054" s="15"/>
      <c r="O2054" s="8" t="s">
        <v>410</v>
      </c>
      <c r="P2054" s="8" t="s">
        <v>41</v>
      </c>
      <c r="Q2054" s="9">
        <v>0</v>
      </c>
      <c r="R2054" s="139">
        <v>400002786</v>
      </c>
      <c r="T2054" s="18">
        <v>10000</v>
      </c>
      <c r="U2054" s="4">
        <v>0</v>
      </c>
      <c r="V2054" s="4">
        <v>0</v>
      </c>
      <c r="W2054" s="13">
        <f t="shared" si="306"/>
        <v>10000</v>
      </c>
      <c r="X2054" s="13">
        <f t="shared" si="301"/>
        <v>0</v>
      </c>
      <c r="Y2054" s="13">
        <f t="shared" si="307"/>
        <v>0</v>
      </c>
      <c r="Z2054" s="2">
        <v>0</v>
      </c>
      <c r="AA2054" s="4">
        <v>0</v>
      </c>
      <c r="AB2054" s="4">
        <f t="shared" si="308"/>
        <v>0</v>
      </c>
      <c r="AC2054" s="6">
        <f t="shared" si="309"/>
        <v>0</v>
      </c>
      <c r="AD2054" s="13">
        <f t="shared" si="302"/>
        <v>0</v>
      </c>
      <c r="AE2054" s="2">
        <v>0</v>
      </c>
      <c r="AF2054" s="5">
        <f t="shared" si="310"/>
        <v>0</v>
      </c>
      <c r="AG2054" s="2">
        <v>0</v>
      </c>
      <c r="AH2054" s="5">
        <f t="shared" si="303"/>
        <v>0</v>
      </c>
      <c r="AJ2054" s="126" t="e">
        <v>#N/A</v>
      </c>
      <c r="AK2054" s="80">
        <f t="shared" si="311"/>
        <v>0</v>
      </c>
      <c r="AM2054" s="85"/>
    </row>
    <row r="2055" spans="1:39" hidden="1" x14ac:dyDescent="0.3">
      <c r="A2055" s="85" t="s">
        <v>34</v>
      </c>
      <c r="B2055" s="15" t="s">
        <v>35</v>
      </c>
      <c r="C2055" s="15" t="s">
        <v>53</v>
      </c>
      <c r="D2055" s="15" t="s">
        <v>54</v>
      </c>
      <c r="E2055" s="15" t="s">
        <v>2669</v>
      </c>
      <c r="F2055" s="15" t="s">
        <v>2669</v>
      </c>
      <c r="G2055" s="15" t="s">
        <v>2669</v>
      </c>
      <c r="H2055" s="139"/>
      <c r="I2055" s="15" t="s">
        <v>2572</v>
      </c>
      <c r="J2055" s="1" t="s">
        <v>3327</v>
      </c>
      <c r="K2055" s="1" t="s">
        <v>3284</v>
      </c>
      <c r="L2055" s="1" t="s">
        <v>35</v>
      </c>
      <c r="M2055" s="15" t="s">
        <v>2670</v>
      </c>
      <c r="N2055" s="15"/>
      <c r="O2055" s="8" t="s">
        <v>410</v>
      </c>
      <c r="P2055" s="8" t="s">
        <v>41</v>
      </c>
      <c r="Q2055" s="9">
        <v>0</v>
      </c>
      <c r="R2055" s="139">
        <v>600001076</v>
      </c>
      <c r="T2055" s="18">
        <v>35484</v>
      </c>
      <c r="U2055" s="4">
        <v>0</v>
      </c>
      <c r="V2055" s="4">
        <v>0</v>
      </c>
      <c r="W2055" s="13">
        <f t="shared" si="306"/>
        <v>35484</v>
      </c>
      <c r="X2055" s="13">
        <f t="shared" si="301"/>
        <v>0</v>
      </c>
      <c r="Y2055" s="13">
        <f t="shared" si="307"/>
        <v>0</v>
      </c>
      <c r="Z2055" s="2">
        <v>0</v>
      </c>
      <c r="AA2055" s="4">
        <v>0</v>
      </c>
      <c r="AB2055" s="4">
        <f t="shared" si="308"/>
        <v>0</v>
      </c>
      <c r="AC2055" s="6">
        <f t="shared" si="309"/>
        <v>0</v>
      </c>
      <c r="AD2055" s="13">
        <f t="shared" si="302"/>
        <v>0</v>
      </c>
      <c r="AE2055" s="2">
        <v>0</v>
      </c>
      <c r="AF2055" s="5">
        <f t="shared" si="310"/>
        <v>0</v>
      </c>
      <c r="AG2055" s="2">
        <v>0</v>
      </c>
      <c r="AH2055" s="5">
        <f t="shared" si="303"/>
        <v>0</v>
      </c>
      <c r="AJ2055" s="126" t="e">
        <v>#N/A</v>
      </c>
      <c r="AK2055" s="80">
        <f t="shared" si="311"/>
        <v>0</v>
      </c>
      <c r="AM2055" s="85"/>
    </row>
    <row r="2056" spans="1:39" hidden="1" x14ac:dyDescent="0.3">
      <c r="A2056" s="85" t="s">
        <v>34</v>
      </c>
      <c r="B2056" s="15" t="s">
        <v>35</v>
      </c>
      <c r="C2056" s="15" t="s">
        <v>53</v>
      </c>
      <c r="D2056" s="15" t="s">
        <v>54</v>
      </c>
      <c r="E2056" s="15" t="s">
        <v>2671</v>
      </c>
      <c r="F2056" s="15" t="s">
        <v>2672</v>
      </c>
      <c r="G2056" s="15" t="s">
        <v>2671</v>
      </c>
      <c r="H2056" s="139"/>
      <c r="I2056" s="15" t="s">
        <v>2572</v>
      </c>
      <c r="J2056" s="1" t="s">
        <v>3327</v>
      </c>
      <c r="K2056" s="1" t="s">
        <v>3284</v>
      </c>
      <c r="L2056" s="1" t="s">
        <v>35</v>
      </c>
      <c r="M2056" s="15" t="s">
        <v>2670</v>
      </c>
      <c r="N2056" s="15"/>
      <c r="O2056" s="8" t="s">
        <v>410</v>
      </c>
      <c r="P2056" s="8" t="s">
        <v>41</v>
      </c>
      <c r="Q2056" s="9">
        <v>0</v>
      </c>
      <c r="R2056" s="139">
        <v>600001076</v>
      </c>
      <c r="T2056" s="18">
        <v>400000</v>
      </c>
      <c r="U2056" s="4">
        <v>0</v>
      </c>
      <c r="V2056" s="4">
        <v>0</v>
      </c>
      <c r="W2056" s="13">
        <f t="shared" si="306"/>
        <v>400000</v>
      </c>
      <c r="X2056" s="13">
        <f t="shared" si="301"/>
        <v>0</v>
      </c>
      <c r="Y2056" s="13">
        <f t="shared" si="307"/>
        <v>0</v>
      </c>
      <c r="Z2056" s="2">
        <v>0</v>
      </c>
      <c r="AA2056" s="4">
        <v>0</v>
      </c>
      <c r="AB2056" s="4">
        <f t="shared" si="308"/>
        <v>0</v>
      </c>
      <c r="AC2056" s="6">
        <f t="shared" si="309"/>
        <v>0</v>
      </c>
      <c r="AD2056" s="13">
        <f t="shared" si="302"/>
        <v>0</v>
      </c>
      <c r="AE2056" s="2">
        <v>0</v>
      </c>
      <c r="AF2056" s="5">
        <f t="shared" si="310"/>
        <v>0</v>
      </c>
      <c r="AG2056" s="2">
        <v>0</v>
      </c>
      <c r="AH2056" s="5">
        <f t="shared" si="303"/>
        <v>0</v>
      </c>
      <c r="AJ2056" s="126" t="e">
        <v>#N/A</v>
      </c>
      <c r="AK2056" s="80">
        <f t="shared" si="311"/>
        <v>0</v>
      </c>
      <c r="AM2056" s="85"/>
    </row>
    <row r="2057" spans="1:39" hidden="1" x14ac:dyDescent="0.3">
      <c r="A2057" s="85" t="s">
        <v>34</v>
      </c>
      <c r="B2057" s="15" t="s">
        <v>319</v>
      </c>
      <c r="C2057" s="15" t="s">
        <v>65</v>
      </c>
      <c r="D2057" s="15" t="s">
        <v>66</v>
      </c>
      <c r="E2057" s="15" t="s">
        <v>2673</v>
      </c>
      <c r="F2057" s="15" t="s">
        <v>2674</v>
      </c>
      <c r="G2057" s="15" t="s">
        <v>1020</v>
      </c>
      <c r="H2057" s="139"/>
      <c r="I2057" s="15" t="s">
        <v>2572</v>
      </c>
      <c r="J2057" s="1" t="s">
        <v>3327</v>
      </c>
      <c r="K2057" s="1" t="s">
        <v>3284</v>
      </c>
      <c r="L2057" s="1" t="s">
        <v>35</v>
      </c>
      <c r="M2057" s="15" t="s">
        <v>2675</v>
      </c>
      <c r="N2057" s="15"/>
      <c r="O2057" s="8" t="s">
        <v>410</v>
      </c>
      <c r="P2057" s="8" t="s">
        <v>41</v>
      </c>
      <c r="Q2057" s="9">
        <v>0</v>
      </c>
      <c r="R2057" s="139">
        <v>600001168</v>
      </c>
      <c r="T2057" s="18">
        <v>10</v>
      </c>
      <c r="U2057" s="4">
        <v>0</v>
      </c>
      <c r="V2057" s="4">
        <v>0</v>
      </c>
      <c r="W2057" s="13">
        <f t="shared" si="306"/>
        <v>10</v>
      </c>
      <c r="X2057" s="13">
        <f t="shared" si="301"/>
        <v>0</v>
      </c>
      <c r="Y2057" s="13">
        <f t="shared" si="307"/>
        <v>0</v>
      </c>
      <c r="Z2057" s="2">
        <v>0</v>
      </c>
      <c r="AA2057" s="4">
        <v>0</v>
      </c>
      <c r="AB2057" s="4">
        <f t="shared" si="308"/>
        <v>0</v>
      </c>
      <c r="AC2057" s="6">
        <f t="shared" si="309"/>
        <v>0</v>
      </c>
      <c r="AD2057" s="13">
        <f t="shared" si="302"/>
        <v>0</v>
      </c>
      <c r="AE2057" s="2">
        <v>0</v>
      </c>
      <c r="AF2057" s="5">
        <f t="shared" si="310"/>
        <v>0</v>
      </c>
      <c r="AG2057" s="2">
        <v>0</v>
      </c>
      <c r="AH2057" s="5">
        <f t="shared" si="303"/>
        <v>0</v>
      </c>
      <c r="AJ2057" s="126" t="e">
        <v>#N/A</v>
      </c>
      <c r="AK2057" s="80">
        <f t="shared" si="311"/>
        <v>0</v>
      </c>
      <c r="AM2057" s="85"/>
    </row>
    <row r="2058" spans="1:39" hidden="1" x14ac:dyDescent="0.3">
      <c r="A2058" s="85" t="s">
        <v>34</v>
      </c>
      <c r="B2058" s="15" t="s">
        <v>319</v>
      </c>
      <c r="C2058" s="15" t="s">
        <v>53</v>
      </c>
      <c r="D2058" s="15" t="s">
        <v>54</v>
      </c>
      <c r="E2058" s="15" t="s">
        <v>2676</v>
      </c>
      <c r="F2058" s="15" t="s">
        <v>2677</v>
      </c>
      <c r="G2058" s="15" t="s">
        <v>323</v>
      </c>
      <c r="H2058" s="139"/>
      <c r="I2058" s="15" t="s">
        <v>2572</v>
      </c>
      <c r="J2058" s="1" t="s">
        <v>3327</v>
      </c>
      <c r="K2058" s="1" t="s">
        <v>3284</v>
      </c>
      <c r="L2058" s="1" t="s">
        <v>35</v>
      </c>
      <c r="M2058" s="15" t="s">
        <v>2676</v>
      </c>
      <c r="N2058" s="15"/>
      <c r="O2058" s="8" t="s">
        <v>410</v>
      </c>
      <c r="P2058" s="8" t="s">
        <v>41</v>
      </c>
      <c r="Q2058" s="9">
        <v>0</v>
      </c>
      <c r="R2058" s="139">
        <v>600001250</v>
      </c>
      <c r="T2058" s="18">
        <v>148.93</v>
      </c>
      <c r="U2058" s="4">
        <v>0</v>
      </c>
      <c r="V2058" s="4">
        <v>0</v>
      </c>
      <c r="W2058" s="13">
        <f t="shared" si="306"/>
        <v>148.93</v>
      </c>
      <c r="X2058" s="13">
        <f t="shared" si="301"/>
        <v>0</v>
      </c>
      <c r="Y2058" s="13">
        <f t="shared" si="307"/>
        <v>0</v>
      </c>
      <c r="Z2058" s="2">
        <v>0</v>
      </c>
      <c r="AA2058" s="4">
        <v>0</v>
      </c>
      <c r="AB2058" s="4">
        <f t="shared" si="308"/>
        <v>0</v>
      </c>
      <c r="AC2058" s="6">
        <f t="shared" si="309"/>
        <v>0</v>
      </c>
      <c r="AD2058" s="13">
        <f t="shared" si="302"/>
        <v>0</v>
      </c>
      <c r="AE2058" s="2">
        <v>0</v>
      </c>
      <c r="AF2058" s="5">
        <f t="shared" si="310"/>
        <v>0</v>
      </c>
      <c r="AG2058" s="2">
        <v>0</v>
      </c>
      <c r="AH2058" s="5">
        <f t="shared" si="303"/>
        <v>0</v>
      </c>
      <c r="AJ2058" s="126" t="e">
        <v>#N/A</v>
      </c>
      <c r="AK2058" s="80">
        <f t="shared" si="311"/>
        <v>0</v>
      </c>
      <c r="AM2058" s="85"/>
    </row>
    <row r="2059" spans="1:39" hidden="1" x14ac:dyDescent="0.3">
      <c r="A2059" s="85" t="s">
        <v>34</v>
      </c>
      <c r="B2059" s="3" t="s">
        <v>35</v>
      </c>
      <c r="C2059" s="3" t="s">
        <v>65</v>
      </c>
      <c r="D2059" s="3" t="s">
        <v>66</v>
      </c>
      <c r="E2059" s="3" t="s">
        <v>2678</v>
      </c>
      <c r="F2059" s="3" t="s">
        <v>2679</v>
      </c>
      <c r="G2059" s="3" t="s">
        <v>2678</v>
      </c>
      <c r="I2059" s="3" t="s">
        <v>2680</v>
      </c>
      <c r="J2059" s="1" t="s">
        <v>3323</v>
      </c>
      <c r="K2059" s="1" t="s">
        <v>3285</v>
      </c>
      <c r="L2059" s="1" t="s">
        <v>35</v>
      </c>
      <c r="M2059" s="3" t="s">
        <v>2681</v>
      </c>
      <c r="O2059" s="1" t="s">
        <v>45</v>
      </c>
      <c r="P2059" s="1" t="s">
        <v>41</v>
      </c>
      <c r="Q2059" s="2">
        <v>0</v>
      </c>
      <c r="R2059" s="138">
        <v>42254</v>
      </c>
      <c r="T2059" s="4">
        <v>0</v>
      </c>
      <c r="U2059" s="4">
        <v>40000.001499999998</v>
      </c>
      <c r="V2059" s="4">
        <v>14645.269500000002</v>
      </c>
      <c r="W2059" s="13">
        <f t="shared" si="306"/>
        <v>25354.731999999996</v>
      </c>
      <c r="X2059" s="13">
        <f t="shared" si="301"/>
        <v>14645.269500000002</v>
      </c>
      <c r="Y2059" s="13">
        <f t="shared" si="307"/>
        <v>14645.269500000002</v>
      </c>
      <c r="Z2059" s="2">
        <v>0</v>
      </c>
      <c r="AA2059" s="4">
        <v>0</v>
      </c>
      <c r="AB2059" s="4">
        <f t="shared" si="308"/>
        <v>14645.269500000002</v>
      </c>
      <c r="AC2059" s="6">
        <f t="shared" si="309"/>
        <v>0</v>
      </c>
      <c r="AD2059" s="4">
        <v>0</v>
      </c>
      <c r="AE2059" s="2">
        <v>0.1</v>
      </c>
      <c r="AF2059" s="5">
        <f t="shared" si="310"/>
        <v>0</v>
      </c>
      <c r="AG2059" s="2">
        <v>0.15</v>
      </c>
      <c r="AH2059" s="4">
        <f>V2059/(1+AG2059)</f>
        <v>12735.016956521742</v>
      </c>
      <c r="AJ2059" s="126" t="e">
        <v>#N/A</v>
      </c>
      <c r="AK2059" s="80">
        <f t="shared" si="311"/>
        <v>0</v>
      </c>
      <c r="AM2059" s="85"/>
    </row>
    <row r="2060" spans="1:39" hidden="1" x14ac:dyDescent="0.3">
      <c r="A2060" s="85" t="s">
        <v>34</v>
      </c>
      <c r="B2060" s="3" t="s">
        <v>35</v>
      </c>
      <c r="C2060" s="3" t="s">
        <v>47</v>
      </c>
      <c r="D2060" s="3" t="s">
        <v>63</v>
      </c>
      <c r="E2060" s="3" t="s">
        <v>2409</v>
      </c>
      <c r="F2060" s="3" t="s">
        <v>2682</v>
      </c>
      <c r="G2060" s="3" t="s">
        <v>2409</v>
      </c>
      <c r="I2060" s="3" t="s">
        <v>2680</v>
      </c>
      <c r="J2060" s="1" t="s">
        <v>3323</v>
      </c>
      <c r="K2060" s="1" t="s">
        <v>3285</v>
      </c>
      <c r="L2060" s="1" t="s">
        <v>35</v>
      </c>
      <c r="M2060" s="3" t="s">
        <v>2683</v>
      </c>
      <c r="O2060" s="1" t="s">
        <v>45</v>
      </c>
      <c r="P2060" s="1" t="s">
        <v>46</v>
      </c>
      <c r="Q2060" s="2">
        <v>0.15</v>
      </c>
      <c r="R2060" s="138">
        <v>40388</v>
      </c>
      <c r="S2060" s="48" t="s">
        <v>3357</v>
      </c>
      <c r="T2060" s="4">
        <v>619319.92900000012</v>
      </c>
      <c r="U2060" s="4">
        <v>1150000</v>
      </c>
      <c r="V2060" s="4">
        <v>1272968.29</v>
      </c>
      <c r="W2060" s="13">
        <f t="shared" si="306"/>
        <v>496351.63899999997</v>
      </c>
      <c r="X2060" s="13">
        <f>IF(P2060="折扣",V2060*Q2060,IF(P2060="返现",V2060,(V2060-56367.24)/(1+Q2060)))</f>
        <v>1057913.9565217393</v>
      </c>
      <c r="Y2060" s="13">
        <f t="shared" si="307"/>
        <v>276822.21652173926</v>
      </c>
      <c r="Z2060" s="2">
        <v>0</v>
      </c>
      <c r="AA2060" s="4">
        <v>0</v>
      </c>
      <c r="AB2060" s="4">
        <f t="shared" si="308"/>
        <v>1057913.9565217393</v>
      </c>
      <c r="AC2060" s="6">
        <f t="shared" si="309"/>
        <v>215054.33347826079</v>
      </c>
      <c r="AD2060" s="4">
        <v>781091.74</v>
      </c>
      <c r="AE2060" s="2">
        <v>0.1</v>
      </c>
      <c r="AF2060" s="5">
        <f t="shared" si="310"/>
        <v>78109.173999999999</v>
      </c>
      <c r="AG2060" s="2">
        <v>0.15</v>
      </c>
      <c r="AH2060" s="4">
        <f t="shared" ref="AH2060:AH2076" si="312">V2060/(1+AG2060)</f>
        <v>1106928.947826087</v>
      </c>
      <c r="AJ2060" s="126" t="e">
        <v>#N/A</v>
      </c>
      <c r="AK2060" s="80">
        <f t="shared" si="311"/>
        <v>0</v>
      </c>
      <c r="AM2060" s="85"/>
    </row>
    <row r="2061" spans="1:39" hidden="1" x14ac:dyDescent="0.3">
      <c r="A2061" s="85" t="s">
        <v>34</v>
      </c>
      <c r="B2061" s="3" t="s">
        <v>35</v>
      </c>
      <c r="C2061" s="3" t="s">
        <v>47</v>
      </c>
      <c r="D2061" s="3" t="s">
        <v>63</v>
      </c>
      <c r="E2061" s="3" t="s">
        <v>2409</v>
      </c>
      <c r="F2061" s="3" t="s">
        <v>2682</v>
      </c>
      <c r="G2061" s="3" t="s">
        <v>2409</v>
      </c>
      <c r="I2061" s="3" t="s">
        <v>2680</v>
      </c>
      <c r="J2061" s="1" t="s">
        <v>3323</v>
      </c>
      <c r="K2061" s="1" t="s">
        <v>3285</v>
      </c>
      <c r="L2061" s="1" t="s">
        <v>35</v>
      </c>
      <c r="M2061" s="3" t="s">
        <v>2684</v>
      </c>
      <c r="O2061" s="1" t="s">
        <v>45</v>
      </c>
      <c r="P2061" s="1" t="s">
        <v>46</v>
      </c>
      <c r="Q2061" s="2">
        <v>0.15</v>
      </c>
      <c r="R2061" s="138">
        <v>41245</v>
      </c>
      <c r="S2061" s="48" t="s">
        <v>3358</v>
      </c>
      <c r="T2061" s="4">
        <v>147989.57</v>
      </c>
      <c r="U2061" s="4">
        <v>229999.99999999997</v>
      </c>
      <c r="V2061" s="4">
        <v>271844.75</v>
      </c>
      <c r="W2061" s="13">
        <f t="shared" si="306"/>
        <v>106144.81999999995</v>
      </c>
      <c r="X2061" s="13">
        <f>IF(P2061="折扣",V2061*Q2061,IF(P2061="返现",V2061,(V2061-2364.03)/(1+Q2061)))</f>
        <v>234331.0608695652</v>
      </c>
      <c r="Y2061" s="13">
        <f t="shared" si="307"/>
        <v>0</v>
      </c>
      <c r="Z2061" s="2">
        <v>0</v>
      </c>
      <c r="AA2061" s="4">
        <v>0</v>
      </c>
      <c r="AB2061" s="4">
        <f t="shared" si="308"/>
        <v>234331.0608695652</v>
      </c>
      <c r="AC2061" s="6">
        <f t="shared" si="309"/>
        <v>37513.689130434796</v>
      </c>
      <c r="AD2061" s="4">
        <v>271844.75</v>
      </c>
      <c r="AE2061" s="2">
        <v>0.1</v>
      </c>
      <c r="AF2061" s="5">
        <f t="shared" si="310"/>
        <v>27184.475000000002</v>
      </c>
      <c r="AG2061" s="2">
        <v>0.15</v>
      </c>
      <c r="AH2061" s="4">
        <f t="shared" si="312"/>
        <v>236386.73913043481</v>
      </c>
      <c r="AJ2061" s="126" t="e">
        <v>#N/A</v>
      </c>
      <c r="AK2061" s="80">
        <f t="shared" si="311"/>
        <v>0</v>
      </c>
      <c r="AM2061" s="85"/>
    </row>
    <row r="2062" spans="1:39" hidden="1" x14ac:dyDescent="0.3">
      <c r="A2062" s="85" t="s">
        <v>34</v>
      </c>
      <c r="B2062" s="15" t="s">
        <v>35</v>
      </c>
      <c r="C2062" s="15" t="s">
        <v>65</v>
      </c>
      <c r="D2062" s="15" t="s">
        <v>66</v>
      </c>
      <c r="E2062" s="15" t="s">
        <v>2678</v>
      </c>
      <c r="F2062" s="15" t="s">
        <v>2679</v>
      </c>
      <c r="G2062" s="15" t="s">
        <v>2678</v>
      </c>
      <c r="H2062" s="154"/>
      <c r="I2062" s="15" t="s">
        <v>2680</v>
      </c>
      <c r="J2062" s="1" t="s">
        <v>3323</v>
      </c>
      <c r="K2062" s="1" t="s">
        <v>3285</v>
      </c>
      <c r="L2062" s="1" t="s">
        <v>35</v>
      </c>
      <c r="M2062" s="15" t="s">
        <v>2681</v>
      </c>
      <c r="N2062" s="15"/>
      <c r="O2062" s="8" t="s">
        <v>45</v>
      </c>
      <c r="P2062" s="8" t="s">
        <v>46</v>
      </c>
      <c r="Q2062" s="9">
        <v>0.1</v>
      </c>
      <c r="R2062" s="139">
        <v>42254</v>
      </c>
      <c r="T2062" s="18">
        <v>5836.8804999999993</v>
      </c>
      <c r="U2062" s="4">
        <v>0</v>
      </c>
      <c r="V2062" s="18">
        <v>5836.8804999999993</v>
      </c>
      <c r="W2062" s="13">
        <f t="shared" si="306"/>
        <v>0</v>
      </c>
      <c r="X2062" s="13">
        <f t="shared" si="301"/>
        <v>5306.2549999999992</v>
      </c>
      <c r="Y2062" s="13">
        <f t="shared" si="307"/>
        <v>5306.2549999999992</v>
      </c>
      <c r="Z2062" s="2">
        <v>0</v>
      </c>
      <c r="AA2062" s="4">
        <v>0</v>
      </c>
      <c r="AB2062" s="4">
        <f t="shared" si="308"/>
        <v>5306.2549999999992</v>
      </c>
      <c r="AC2062" s="6">
        <f t="shared" si="309"/>
        <v>530.6255000000001</v>
      </c>
      <c r="AD2062" s="4">
        <v>0</v>
      </c>
      <c r="AE2062" s="2">
        <v>0.1</v>
      </c>
      <c r="AF2062" s="5">
        <f t="shared" si="310"/>
        <v>0</v>
      </c>
      <c r="AG2062" s="2">
        <v>0.15</v>
      </c>
      <c r="AH2062" s="4">
        <f t="shared" si="312"/>
        <v>5075.5482608695647</v>
      </c>
      <c r="AJ2062" s="126" t="e">
        <v>#N/A</v>
      </c>
      <c r="AK2062" s="80">
        <f t="shared" si="311"/>
        <v>0</v>
      </c>
      <c r="AM2062" s="85"/>
    </row>
    <row r="2063" spans="1:39" hidden="1" x14ac:dyDescent="0.3">
      <c r="A2063" s="85" t="s">
        <v>34</v>
      </c>
      <c r="B2063" s="15" t="s">
        <v>35</v>
      </c>
      <c r="C2063" s="15" t="s">
        <v>47</v>
      </c>
      <c r="D2063" s="15" t="s">
        <v>63</v>
      </c>
      <c r="E2063" s="15" t="s">
        <v>2418</v>
      </c>
      <c r="F2063" s="15" t="s">
        <v>2685</v>
      </c>
      <c r="G2063" s="15" t="s">
        <v>2418</v>
      </c>
      <c r="H2063" s="139"/>
      <c r="I2063" s="15" t="s">
        <v>2680</v>
      </c>
      <c r="J2063" s="1" t="s">
        <v>3323</v>
      </c>
      <c r="K2063" s="1" t="s">
        <v>3285</v>
      </c>
      <c r="L2063" s="1" t="s">
        <v>35</v>
      </c>
      <c r="M2063" s="15" t="s">
        <v>2420</v>
      </c>
      <c r="N2063" s="15"/>
      <c r="O2063" s="8" t="s">
        <v>45</v>
      </c>
      <c r="P2063" s="8" t="s">
        <v>46</v>
      </c>
      <c r="Q2063" s="9">
        <v>0.15</v>
      </c>
      <c r="R2063" s="139">
        <v>30706</v>
      </c>
      <c r="T2063" s="18">
        <v>577631.91199999966</v>
      </c>
      <c r="U2063" s="4">
        <v>0</v>
      </c>
      <c r="V2063" s="4">
        <v>0</v>
      </c>
      <c r="W2063" s="13">
        <f t="shared" si="306"/>
        <v>577631.91199999966</v>
      </c>
      <c r="X2063" s="13">
        <f t="shared" si="301"/>
        <v>0</v>
      </c>
      <c r="Y2063" s="13">
        <f t="shared" si="307"/>
        <v>0</v>
      </c>
      <c r="Z2063" s="2">
        <v>0</v>
      </c>
      <c r="AA2063" s="4">
        <v>0</v>
      </c>
      <c r="AB2063" s="4">
        <f t="shared" si="308"/>
        <v>0</v>
      </c>
      <c r="AC2063" s="6">
        <f t="shared" si="309"/>
        <v>0</v>
      </c>
      <c r="AD2063" s="4">
        <v>0</v>
      </c>
      <c r="AE2063" s="2">
        <v>0.1</v>
      </c>
      <c r="AF2063" s="5">
        <f t="shared" si="310"/>
        <v>0</v>
      </c>
      <c r="AG2063" s="2">
        <v>0.15</v>
      </c>
      <c r="AH2063" s="4">
        <f t="shared" si="312"/>
        <v>0</v>
      </c>
      <c r="AJ2063" s="126" t="e">
        <v>#N/A</v>
      </c>
      <c r="AK2063" s="80">
        <f t="shared" si="311"/>
        <v>0</v>
      </c>
      <c r="AM2063" s="85"/>
    </row>
    <row r="2064" spans="1:39" hidden="1" x14ac:dyDescent="0.3">
      <c r="A2064" s="85" t="s">
        <v>34</v>
      </c>
      <c r="B2064" s="15" t="s">
        <v>35</v>
      </c>
      <c r="C2064" s="15" t="s">
        <v>47</v>
      </c>
      <c r="D2064" s="15" t="s">
        <v>63</v>
      </c>
      <c r="E2064" s="15" t="s">
        <v>2418</v>
      </c>
      <c r="F2064" s="15" t="s">
        <v>2685</v>
      </c>
      <c r="G2064" s="15" t="s">
        <v>2418</v>
      </c>
      <c r="H2064" s="139"/>
      <c r="I2064" s="15" t="s">
        <v>2680</v>
      </c>
      <c r="J2064" s="1" t="s">
        <v>3323</v>
      </c>
      <c r="K2064" s="1" t="s">
        <v>3285</v>
      </c>
      <c r="L2064" s="1" t="s">
        <v>35</v>
      </c>
      <c r="M2064" s="15" t="s">
        <v>2686</v>
      </c>
      <c r="N2064" s="15"/>
      <c r="O2064" s="8" t="s">
        <v>45</v>
      </c>
      <c r="P2064" s="8" t="s">
        <v>46</v>
      </c>
      <c r="Q2064" s="9">
        <v>0.15</v>
      </c>
      <c r="R2064" s="139">
        <v>32605</v>
      </c>
      <c r="T2064" s="18">
        <v>41153.254499999981</v>
      </c>
      <c r="U2064" s="4">
        <v>0</v>
      </c>
      <c r="V2064" s="4">
        <v>0</v>
      </c>
      <c r="W2064" s="13">
        <f t="shared" si="306"/>
        <v>41153.254499999981</v>
      </c>
      <c r="X2064" s="13">
        <f t="shared" si="301"/>
        <v>0</v>
      </c>
      <c r="Y2064" s="13">
        <f t="shared" si="307"/>
        <v>0</v>
      </c>
      <c r="Z2064" s="2">
        <v>0</v>
      </c>
      <c r="AA2064" s="4">
        <v>0</v>
      </c>
      <c r="AB2064" s="4">
        <f t="shared" si="308"/>
        <v>0</v>
      </c>
      <c r="AC2064" s="6">
        <f t="shared" si="309"/>
        <v>0</v>
      </c>
      <c r="AD2064" s="4">
        <v>0</v>
      </c>
      <c r="AE2064" s="2">
        <v>0.1</v>
      </c>
      <c r="AF2064" s="5">
        <f t="shared" si="310"/>
        <v>0</v>
      </c>
      <c r="AG2064" s="2">
        <v>0.15</v>
      </c>
      <c r="AH2064" s="4">
        <f t="shared" si="312"/>
        <v>0</v>
      </c>
      <c r="AJ2064" s="126" t="e">
        <v>#N/A</v>
      </c>
      <c r="AK2064" s="80">
        <f t="shared" si="311"/>
        <v>0</v>
      </c>
      <c r="AM2064" s="85"/>
    </row>
    <row r="2065" spans="1:39" hidden="1" x14ac:dyDescent="0.3">
      <c r="A2065" s="85" t="s">
        <v>34</v>
      </c>
      <c r="B2065" s="15" t="s">
        <v>35</v>
      </c>
      <c r="C2065" s="15" t="s">
        <v>47</v>
      </c>
      <c r="D2065" s="15" t="s">
        <v>63</v>
      </c>
      <c r="E2065" s="15" t="s">
        <v>2409</v>
      </c>
      <c r="F2065" s="15" t="s">
        <v>2682</v>
      </c>
      <c r="G2065" s="15" t="s">
        <v>2409</v>
      </c>
      <c r="H2065" s="139"/>
      <c r="I2065" s="15" t="s">
        <v>2680</v>
      </c>
      <c r="J2065" s="1" t="s">
        <v>3323</v>
      </c>
      <c r="K2065" s="1" t="s">
        <v>3285</v>
      </c>
      <c r="L2065" s="1" t="s">
        <v>35</v>
      </c>
      <c r="M2065" s="15" t="s">
        <v>2687</v>
      </c>
      <c r="N2065" s="15"/>
      <c r="O2065" s="8" t="s">
        <v>45</v>
      </c>
      <c r="P2065" s="8" t="s">
        <v>46</v>
      </c>
      <c r="Q2065" s="9">
        <v>0.15</v>
      </c>
      <c r="R2065" s="139">
        <v>34670</v>
      </c>
      <c r="T2065" s="18">
        <v>45000.331500000029</v>
      </c>
      <c r="U2065" s="4">
        <v>0</v>
      </c>
      <c r="V2065" s="4">
        <v>0</v>
      </c>
      <c r="W2065" s="13">
        <f t="shared" si="306"/>
        <v>45000.331500000029</v>
      </c>
      <c r="X2065" s="13">
        <f t="shared" si="301"/>
        <v>0</v>
      </c>
      <c r="Y2065" s="13">
        <f t="shared" si="307"/>
        <v>0</v>
      </c>
      <c r="Z2065" s="2">
        <v>0</v>
      </c>
      <c r="AA2065" s="4">
        <v>0</v>
      </c>
      <c r="AB2065" s="4">
        <f t="shared" si="308"/>
        <v>0</v>
      </c>
      <c r="AC2065" s="6">
        <f t="shared" si="309"/>
        <v>0</v>
      </c>
      <c r="AD2065" s="4">
        <v>0</v>
      </c>
      <c r="AE2065" s="2">
        <v>0.1</v>
      </c>
      <c r="AF2065" s="5">
        <f t="shared" si="310"/>
        <v>0</v>
      </c>
      <c r="AG2065" s="2">
        <v>0.15</v>
      </c>
      <c r="AH2065" s="4">
        <f t="shared" si="312"/>
        <v>0</v>
      </c>
      <c r="AJ2065" s="126" t="e">
        <v>#N/A</v>
      </c>
      <c r="AK2065" s="80">
        <f t="shared" si="311"/>
        <v>0</v>
      </c>
      <c r="AM2065" s="85"/>
    </row>
    <row r="2066" spans="1:39" hidden="1" x14ac:dyDescent="0.3">
      <c r="A2066" s="85" t="s">
        <v>34</v>
      </c>
      <c r="B2066" s="15" t="s">
        <v>35</v>
      </c>
      <c r="C2066" s="15" t="s">
        <v>47</v>
      </c>
      <c r="D2066" s="15" t="s">
        <v>63</v>
      </c>
      <c r="E2066" s="15" t="s">
        <v>2409</v>
      </c>
      <c r="F2066" s="15" t="s">
        <v>2682</v>
      </c>
      <c r="G2066" s="15" t="s">
        <v>2409</v>
      </c>
      <c r="H2066" s="139"/>
      <c r="I2066" s="15" t="s">
        <v>2680</v>
      </c>
      <c r="J2066" s="1" t="s">
        <v>3323</v>
      </c>
      <c r="K2066" s="1" t="s">
        <v>3285</v>
      </c>
      <c r="L2066" s="1" t="s">
        <v>35</v>
      </c>
      <c r="M2066" s="15" t="s">
        <v>2688</v>
      </c>
      <c r="N2066" s="15"/>
      <c r="O2066" s="8" t="s">
        <v>45</v>
      </c>
      <c r="P2066" s="8" t="s">
        <v>46</v>
      </c>
      <c r="Q2066" s="9">
        <v>0.15</v>
      </c>
      <c r="R2066" s="139">
        <v>39284</v>
      </c>
      <c r="T2066" s="18">
        <v>-0.48100000011618249</v>
      </c>
      <c r="U2066" s="4">
        <v>0</v>
      </c>
      <c r="V2066" s="4">
        <v>0</v>
      </c>
      <c r="W2066" s="13">
        <f t="shared" si="306"/>
        <v>-0.48100000011618249</v>
      </c>
      <c r="X2066" s="13">
        <f t="shared" si="301"/>
        <v>0</v>
      </c>
      <c r="Y2066" s="13">
        <f t="shared" si="307"/>
        <v>0</v>
      </c>
      <c r="Z2066" s="2">
        <v>0</v>
      </c>
      <c r="AA2066" s="4">
        <v>0</v>
      </c>
      <c r="AB2066" s="4">
        <f t="shared" si="308"/>
        <v>0</v>
      </c>
      <c r="AC2066" s="6">
        <f t="shared" si="309"/>
        <v>0</v>
      </c>
      <c r="AD2066" s="4">
        <v>0</v>
      </c>
      <c r="AE2066" s="2">
        <v>0.1</v>
      </c>
      <c r="AF2066" s="5">
        <f t="shared" si="310"/>
        <v>0</v>
      </c>
      <c r="AG2066" s="2">
        <v>0.15</v>
      </c>
      <c r="AH2066" s="4">
        <f t="shared" si="312"/>
        <v>0</v>
      </c>
      <c r="AJ2066" s="126" t="e">
        <v>#N/A</v>
      </c>
      <c r="AK2066" s="80">
        <f t="shared" si="311"/>
        <v>0</v>
      </c>
      <c r="AM2066" s="85"/>
    </row>
    <row r="2067" spans="1:39" hidden="1" x14ac:dyDescent="0.3">
      <c r="A2067" s="85" t="s">
        <v>34</v>
      </c>
      <c r="B2067" s="15" t="s">
        <v>35</v>
      </c>
      <c r="C2067" s="15" t="s">
        <v>144</v>
      </c>
      <c r="D2067" s="15" t="s">
        <v>145</v>
      </c>
      <c r="E2067" s="15" t="s">
        <v>2689</v>
      </c>
      <c r="F2067" s="15" t="s">
        <v>2689</v>
      </c>
      <c r="G2067" s="15" t="s">
        <v>2689</v>
      </c>
      <c r="H2067" s="139"/>
      <c r="I2067" s="15" t="s">
        <v>2680</v>
      </c>
      <c r="J2067" s="1" t="s">
        <v>3323</v>
      </c>
      <c r="K2067" s="1" t="s">
        <v>3285</v>
      </c>
      <c r="L2067" s="1" t="s">
        <v>35</v>
      </c>
      <c r="M2067" s="15" t="s">
        <v>2689</v>
      </c>
      <c r="N2067" s="15"/>
      <c r="O2067" s="8" t="s">
        <v>45</v>
      </c>
      <c r="P2067" s="8" t="s">
        <v>46</v>
      </c>
      <c r="Q2067" s="9">
        <v>0.12</v>
      </c>
      <c r="R2067" s="139">
        <v>10656</v>
      </c>
      <c r="T2067" s="18">
        <v>675.27800000000207</v>
      </c>
      <c r="U2067" s="4">
        <v>0</v>
      </c>
      <c r="V2067" s="4">
        <v>0</v>
      </c>
      <c r="W2067" s="13">
        <f t="shared" si="306"/>
        <v>675.27800000000207</v>
      </c>
      <c r="X2067" s="13">
        <f t="shared" si="301"/>
        <v>0</v>
      </c>
      <c r="Y2067" s="13">
        <f t="shared" si="307"/>
        <v>0</v>
      </c>
      <c r="Z2067" s="2">
        <v>0</v>
      </c>
      <c r="AA2067" s="4">
        <v>0</v>
      </c>
      <c r="AB2067" s="4">
        <f t="shared" si="308"/>
        <v>0</v>
      </c>
      <c r="AC2067" s="6">
        <f t="shared" si="309"/>
        <v>0</v>
      </c>
      <c r="AD2067" s="4">
        <v>0</v>
      </c>
      <c r="AE2067" s="2">
        <v>0.1</v>
      </c>
      <c r="AF2067" s="5">
        <f t="shared" si="310"/>
        <v>0</v>
      </c>
      <c r="AG2067" s="2">
        <v>0.15</v>
      </c>
      <c r="AH2067" s="4">
        <f t="shared" si="312"/>
        <v>0</v>
      </c>
      <c r="AJ2067" s="126" t="e">
        <v>#N/A</v>
      </c>
      <c r="AK2067" s="80">
        <f t="shared" si="311"/>
        <v>0</v>
      </c>
      <c r="AM2067" s="85"/>
    </row>
    <row r="2068" spans="1:39" hidden="1" x14ac:dyDescent="0.3">
      <c r="A2068" s="85" t="s">
        <v>34</v>
      </c>
      <c r="B2068" s="15" t="s">
        <v>35</v>
      </c>
      <c r="C2068" s="15" t="s">
        <v>144</v>
      </c>
      <c r="D2068" s="15" t="s">
        <v>145</v>
      </c>
      <c r="E2068" s="15" t="s">
        <v>2689</v>
      </c>
      <c r="F2068" s="15" t="s">
        <v>2689</v>
      </c>
      <c r="G2068" s="15" t="s">
        <v>2689</v>
      </c>
      <c r="H2068" s="139"/>
      <c r="I2068" s="15" t="s">
        <v>2680</v>
      </c>
      <c r="J2068" s="1" t="s">
        <v>3323</v>
      </c>
      <c r="K2068" s="1" t="s">
        <v>3285</v>
      </c>
      <c r="L2068" s="1" t="s">
        <v>35</v>
      </c>
      <c r="M2068" s="15" t="s">
        <v>2689</v>
      </c>
      <c r="N2068" s="15"/>
      <c r="O2068" s="8" t="s">
        <v>45</v>
      </c>
      <c r="P2068" s="8" t="s">
        <v>46</v>
      </c>
      <c r="Q2068" s="9">
        <v>0.12</v>
      </c>
      <c r="R2068" s="139">
        <v>40513</v>
      </c>
      <c r="T2068" s="18">
        <v>13132.321499999998</v>
      </c>
      <c r="U2068" s="4">
        <v>0</v>
      </c>
      <c r="V2068" s="4">
        <v>0</v>
      </c>
      <c r="W2068" s="13">
        <f t="shared" si="306"/>
        <v>13132.321499999998</v>
      </c>
      <c r="X2068" s="13">
        <f t="shared" si="301"/>
        <v>0</v>
      </c>
      <c r="Y2068" s="13">
        <f t="shared" si="307"/>
        <v>0</v>
      </c>
      <c r="Z2068" s="2">
        <v>0</v>
      </c>
      <c r="AA2068" s="4">
        <v>0</v>
      </c>
      <c r="AB2068" s="4">
        <f t="shared" si="308"/>
        <v>0</v>
      </c>
      <c r="AC2068" s="6">
        <f t="shared" si="309"/>
        <v>0</v>
      </c>
      <c r="AD2068" s="4">
        <v>0</v>
      </c>
      <c r="AE2068" s="2">
        <v>0.1</v>
      </c>
      <c r="AF2068" s="5">
        <f t="shared" si="310"/>
        <v>0</v>
      </c>
      <c r="AG2068" s="2">
        <v>0.15</v>
      </c>
      <c r="AH2068" s="4">
        <f t="shared" si="312"/>
        <v>0</v>
      </c>
      <c r="AJ2068" s="126" t="e">
        <v>#N/A</v>
      </c>
      <c r="AK2068" s="80">
        <f t="shared" si="311"/>
        <v>0</v>
      </c>
      <c r="AM2068" s="85"/>
    </row>
    <row r="2069" spans="1:39" hidden="1" x14ac:dyDescent="0.3">
      <c r="A2069" s="85" t="s">
        <v>34</v>
      </c>
      <c r="B2069" s="15" t="s">
        <v>35</v>
      </c>
      <c r="C2069" s="15" t="s">
        <v>187</v>
      </c>
      <c r="D2069" s="15" t="s">
        <v>188</v>
      </c>
      <c r="E2069" s="15" t="s">
        <v>2486</v>
      </c>
      <c r="F2069" s="15" t="s">
        <v>2486</v>
      </c>
      <c r="G2069" s="15" t="s">
        <v>2486</v>
      </c>
      <c r="H2069" s="139"/>
      <c r="I2069" s="15" t="s">
        <v>2680</v>
      </c>
      <c r="J2069" s="1" t="s">
        <v>3323</v>
      </c>
      <c r="K2069" s="1" t="s">
        <v>3285</v>
      </c>
      <c r="L2069" s="1" t="s">
        <v>35</v>
      </c>
      <c r="M2069" s="15" t="s">
        <v>2486</v>
      </c>
      <c r="N2069" s="15"/>
      <c r="O2069" s="8" t="s">
        <v>45</v>
      </c>
      <c r="P2069" s="8" t="s">
        <v>41</v>
      </c>
      <c r="Q2069" s="9">
        <v>0</v>
      </c>
      <c r="R2069" s="139">
        <v>40608</v>
      </c>
      <c r="T2069" s="18">
        <v>1.4499999999088686E-2</v>
      </c>
      <c r="U2069" s="4">
        <v>0</v>
      </c>
      <c r="V2069" s="4">
        <v>0</v>
      </c>
      <c r="W2069" s="13">
        <f t="shared" si="306"/>
        <v>1.4499999999088686E-2</v>
      </c>
      <c r="X2069" s="13">
        <f t="shared" si="301"/>
        <v>0</v>
      </c>
      <c r="Y2069" s="13">
        <f t="shared" si="307"/>
        <v>0</v>
      </c>
      <c r="Z2069" s="2">
        <v>0</v>
      </c>
      <c r="AA2069" s="4">
        <v>0</v>
      </c>
      <c r="AB2069" s="4">
        <f t="shared" si="308"/>
        <v>0</v>
      </c>
      <c r="AC2069" s="6">
        <f t="shared" si="309"/>
        <v>0</v>
      </c>
      <c r="AD2069" s="4">
        <v>0</v>
      </c>
      <c r="AE2069" s="2">
        <v>0.1</v>
      </c>
      <c r="AF2069" s="5">
        <f t="shared" si="310"/>
        <v>0</v>
      </c>
      <c r="AG2069" s="2">
        <v>0.15</v>
      </c>
      <c r="AH2069" s="4">
        <f t="shared" si="312"/>
        <v>0</v>
      </c>
      <c r="AJ2069" s="126" t="e">
        <v>#N/A</v>
      </c>
      <c r="AK2069" s="80">
        <f t="shared" si="311"/>
        <v>0</v>
      </c>
      <c r="AM2069" s="85"/>
    </row>
    <row r="2070" spans="1:39" hidden="1" x14ac:dyDescent="0.3">
      <c r="A2070" s="85" t="s">
        <v>34</v>
      </c>
      <c r="B2070" s="15" t="s">
        <v>35</v>
      </c>
      <c r="C2070" s="15" t="s">
        <v>187</v>
      </c>
      <c r="D2070" s="15" t="s">
        <v>208</v>
      </c>
      <c r="E2070" s="15" t="s">
        <v>2690</v>
      </c>
      <c r="F2070" s="15" t="s">
        <v>2690</v>
      </c>
      <c r="G2070" s="15" t="s">
        <v>2690</v>
      </c>
      <c r="H2070" s="139"/>
      <c r="I2070" s="15" t="s">
        <v>2680</v>
      </c>
      <c r="J2070" s="1" t="s">
        <v>3323</v>
      </c>
      <c r="K2070" s="1" t="s">
        <v>3285</v>
      </c>
      <c r="L2070" s="1" t="s">
        <v>35</v>
      </c>
      <c r="M2070" s="15" t="s">
        <v>2690</v>
      </c>
      <c r="N2070" s="15"/>
      <c r="O2070" s="8" t="s">
        <v>45</v>
      </c>
      <c r="P2070" s="8" t="s">
        <v>46</v>
      </c>
      <c r="Q2070" s="9">
        <v>0.05</v>
      </c>
      <c r="R2070" s="139">
        <v>40061</v>
      </c>
      <c r="T2070" s="18">
        <v>1.3999999999668944E-2</v>
      </c>
      <c r="U2070" s="4">
        <v>0</v>
      </c>
      <c r="V2070" s="4">
        <v>0</v>
      </c>
      <c r="W2070" s="13">
        <f t="shared" si="306"/>
        <v>1.3999999999668944E-2</v>
      </c>
      <c r="X2070" s="13">
        <f t="shared" si="301"/>
        <v>0</v>
      </c>
      <c r="Y2070" s="13">
        <f t="shared" si="307"/>
        <v>0</v>
      </c>
      <c r="Z2070" s="2">
        <v>0</v>
      </c>
      <c r="AA2070" s="4">
        <v>0</v>
      </c>
      <c r="AB2070" s="4">
        <f t="shared" si="308"/>
        <v>0</v>
      </c>
      <c r="AC2070" s="6">
        <f t="shared" si="309"/>
        <v>0</v>
      </c>
      <c r="AD2070" s="4">
        <v>0</v>
      </c>
      <c r="AE2070" s="2">
        <v>0.1</v>
      </c>
      <c r="AF2070" s="5">
        <f t="shared" si="310"/>
        <v>0</v>
      </c>
      <c r="AG2070" s="2">
        <v>0.15</v>
      </c>
      <c r="AH2070" s="4">
        <f t="shared" si="312"/>
        <v>0</v>
      </c>
      <c r="AJ2070" s="126" t="e">
        <v>#N/A</v>
      </c>
      <c r="AK2070" s="80">
        <f t="shared" si="311"/>
        <v>0</v>
      </c>
      <c r="AM2070" s="85"/>
    </row>
    <row r="2071" spans="1:39" hidden="1" x14ac:dyDescent="0.3">
      <c r="A2071" s="85" t="s">
        <v>34</v>
      </c>
      <c r="B2071" s="15" t="s">
        <v>35</v>
      </c>
      <c r="C2071" s="15" t="s">
        <v>187</v>
      </c>
      <c r="D2071" s="15" t="s">
        <v>208</v>
      </c>
      <c r="E2071" s="15" t="s">
        <v>2690</v>
      </c>
      <c r="F2071" s="15" t="s">
        <v>2690</v>
      </c>
      <c r="G2071" s="15" t="s">
        <v>2690</v>
      </c>
      <c r="H2071" s="139"/>
      <c r="I2071" s="15" t="s">
        <v>2680</v>
      </c>
      <c r="J2071" s="1" t="s">
        <v>3323</v>
      </c>
      <c r="K2071" s="1" t="s">
        <v>3285</v>
      </c>
      <c r="L2071" s="1" t="s">
        <v>35</v>
      </c>
      <c r="M2071" s="15" t="s">
        <v>2690</v>
      </c>
      <c r="N2071" s="15"/>
      <c r="O2071" s="8" t="s">
        <v>45</v>
      </c>
      <c r="P2071" s="8" t="s">
        <v>46</v>
      </c>
      <c r="Q2071" s="9">
        <v>0.05</v>
      </c>
      <c r="R2071" s="139">
        <v>40850</v>
      </c>
      <c r="T2071" s="18">
        <v>2740.9789999999998</v>
      </c>
      <c r="U2071" s="4">
        <v>0</v>
      </c>
      <c r="V2071" s="4">
        <v>0</v>
      </c>
      <c r="W2071" s="13">
        <f t="shared" si="306"/>
        <v>2740.9789999999998</v>
      </c>
      <c r="X2071" s="13">
        <f t="shared" si="301"/>
        <v>0</v>
      </c>
      <c r="Y2071" s="13">
        <f t="shared" si="307"/>
        <v>0</v>
      </c>
      <c r="Z2071" s="2">
        <v>0</v>
      </c>
      <c r="AA2071" s="4">
        <v>0</v>
      </c>
      <c r="AB2071" s="4">
        <f t="shared" si="308"/>
        <v>0</v>
      </c>
      <c r="AC2071" s="6">
        <f t="shared" si="309"/>
        <v>0</v>
      </c>
      <c r="AD2071" s="4">
        <v>0</v>
      </c>
      <c r="AE2071" s="2">
        <v>0.1</v>
      </c>
      <c r="AF2071" s="5">
        <f t="shared" si="310"/>
        <v>0</v>
      </c>
      <c r="AG2071" s="2">
        <v>0.15</v>
      </c>
      <c r="AH2071" s="4">
        <f t="shared" si="312"/>
        <v>0</v>
      </c>
      <c r="AJ2071" s="126" t="e">
        <v>#N/A</v>
      </c>
      <c r="AK2071" s="80">
        <f t="shared" si="311"/>
        <v>0</v>
      </c>
      <c r="AM2071" s="85"/>
    </row>
    <row r="2072" spans="1:39" hidden="1" x14ac:dyDescent="0.3">
      <c r="A2072" s="85" t="s">
        <v>34</v>
      </c>
      <c r="B2072" s="15" t="s">
        <v>35</v>
      </c>
      <c r="C2072" s="15" t="s">
        <v>47</v>
      </c>
      <c r="D2072" s="15" t="s">
        <v>63</v>
      </c>
      <c r="E2072" s="15" t="s">
        <v>2409</v>
      </c>
      <c r="F2072" s="15" t="s">
        <v>2682</v>
      </c>
      <c r="G2072" s="15" t="s">
        <v>2409</v>
      </c>
      <c r="H2072" s="139"/>
      <c r="I2072" s="15" t="s">
        <v>2680</v>
      </c>
      <c r="J2072" s="1" t="s">
        <v>3323</v>
      </c>
      <c r="K2072" s="1" t="s">
        <v>3285</v>
      </c>
      <c r="L2072" s="1" t="s">
        <v>35</v>
      </c>
      <c r="M2072" s="15" t="s">
        <v>2691</v>
      </c>
      <c r="N2072" s="15"/>
      <c r="O2072" s="8" t="s">
        <v>45</v>
      </c>
      <c r="P2072" s="8" t="s">
        <v>46</v>
      </c>
      <c r="Q2072" s="9">
        <v>0.15</v>
      </c>
      <c r="R2072" s="139">
        <v>32604</v>
      </c>
      <c r="T2072" s="18">
        <v>9.9999999802093953E-3</v>
      </c>
      <c r="U2072" s="4">
        <v>0</v>
      </c>
      <c r="V2072" s="4">
        <v>0</v>
      </c>
      <c r="W2072" s="13">
        <f t="shared" si="306"/>
        <v>9.9999999802093953E-3</v>
      </c>
      <c r="X2072" s="13">
        <f t="shared" si="301"/>
        <v>0</v>
      </c>
      <c r="Y2072" s="13">
        <f t="shared" si="307"/>
        <v>0</v>
      </c>
      <c r="Z2072" s="2">
        <v>0</v>
      </c>
      <c r="AA2072" s="4">
        <v>0</v>
      </c>
      <c r="AB2072" s="4">
        <f t="shared" si="308"/>
        <v>0</v>
      </c>
      <c r="AC2072" s="6">
        <f t="shared" si="309"/>
        <v>0</v>
      </c>
      <c r="AD2072" s="4">
        <v>0</v>
      </c>
      <c r="AE2072" s="2">
        <v>0.1</v>
      </c>
      <c r="AF2072" s="5">
        <f t="shared" si="310"/>
        <v>0</v>
      </c>
      <c r="AG2072" s="2">
        <v>0.2</v>
      </c>
      <c r="AH2072" s="4">
        <f t="shared" si="312"/>
        <v>0</v>
      </c>
      <c r="AJ2072" s="126" t="e">
        <v>#N/A</v>
      </c>
      <c r="AK2072" s="80">
        <f t="shared" si="311"/>
        <v>0</v>
      </c>
      <c r="AM2072" s="85"/>
    </row>
    <row r="2073" spans="1:39" hidden="1" x14ac:dyDescent="0.3">
      <c r="A2073" s="85" t="s">
        <v>34</v>
      </c>
      <c r="B2073" s="15" t="s">
        <v>35</v>
      </c>
      <c r="C2073" s="15" t="s">
        <v>144</v>
      </c>
      <c r="D2073" s="15" t="s">
        <v>145</v>
      </c>
      <c r="E2073" s="15" t="s">
        <v>2692</v>
      </c>
      <c r="F2073" s="15" t="s">
        <v>2693</v>
      </c>
      <c r="G2073" s="15" t="s">
        <v>2692</v>
      </c>
      <c r="H2073" s="139"/>
      <c r="I2073" s="15" t="s">
        <v>2680</v>
      </c>
      <c r="J2073" s="1" t="s">
        <v>3323</v>
      </c>
      <c r="K2073" s="1" t="s">
        <v>3285</v>
      </c>
      <c r="L2073" s="1" t="s">
        <v>35</v>
      </c>
      <c r="M2073" s="15" t="s">
        <v>2692</v>
      </c>
      <c r="N2073" s="15"/>
      <c r="O2073" s="8" t="s">
        <v>45</v>
      </c>
      <c r="P2073" s="8" t="s">
        <v>46</v>
      </c>
      <c r="Q2073" s="9">
        <v>0.1</v>
      </c>
      <c r="R2073" s="139">
        <v>1595</v>
      </c>
      <c r="T2073" s="18">
        <v>-128.19200000000077</v>
      </c>
      <c r="U2073" s="4">
        <v>0</v>
      </c>
      <c r="V2073" s="4">
        <v>0</v>
      </c>
      <c r="W2073" s="13">
        <f t="shared" si="306"/>
        <v>-128.19200000000077</v>
      </c>
      <c r="X2073" s="13">
        <f t="shared" si="301"/>
        <v>0</v>
      </c>
      <c r="Y2073" s="13">
        <f t="shared" si="307"/>
        <v>0</v>
      </c>
      <c r="Z2073" s="2">
        <v>0</v>
      </c>
      <c r="AA2073" s="4">
        <v>0</v>
      </c>
      <c r="AB2073" s="4">
        <f t="shared" si="308"/>
        <v>0</v>
      </c>
      <c r="AC2073" s="6">
        <f t="shared" si="309"/>
        <v>0</v>
      </c>
      <c r="AD2073" s="4">
        <v>0</v>
      </c>
      <c r="AE2073" s="2">
        <v>0.1</v>
      </c>
      <c r="AF2073" s="5">
        <f t="shared" si="310"/>
        <v>0</v>
      </c>
      <c r="AG2073" s="2">
        <v>0.2</v>
      </c>
      <c r="AH2073" s="4">
        <f t="shared" si="312"/>
        <v>0</v>
      </c>
      <c r="AJ2073" s="126" t="e">
        <v>#N/A</v>
      </c>
      <c r="AK2073" s="80">
        <f t="shared" si="311"/>
        <v>0</v>
      </c>
      <c r="AM2073" s="85"/>
    </row>
    <row r="2074" spans="1:39" hidden="1" x14ac:dyDescent="0.3">
      <c r="A2074" s="85" t="s">
        <v>34</v>
      </c>
      <c r="B2074" s="15" t="s">
        <v>35</v>
      </c>
      <c r="C2074" s="15" t="s">
        <v>144</v>
      </c>
      <c r="D2074" s="15" t="s">
        <v>145</v>
      </c>
      <c r="E2074" s="15" t="s">
        <v>2692</v>
      </c>
      <c r="F2074" s="15" t="s">
        <v>2693</v>
      </c>
      <c r="G2074" s="15" t="s">
        <v>2692</v>
      </c>
      <c r="H2074" s="139"/>
      <c r="I2074" s="15" t="s">
        <v>2680</v>
      </c>
      <c r="J2074" s="1" t="s">
        <v>3323</v>
      </c>
      <c r="K2074" s="1" t="s">
        <v>3285</v>
      </c>
      <c r="L2074" s="1" t="s">
        <v>35</v>
      </c>
      <c r="M2074" s="15" t="s">
        <v>2692</v>
      </c>
      <c r="N2074" s="15"/>
      <c r="O2074" s="8" t="s">
        <v>45</v>
      </c>
      <c r="P2074" s="8" t="s">
        <v>46</v>
      </c>
      <c r="Q2074" s="9">
        <v>0.1</v>
      </c>
      <c r="R2074" s="139">
        <v>3647</v>
      </c>
      <c r="T2074" s="18">
        <v>-0.314</v>
      </c>
      <c r="U2074" s="4">
        <v>0</v>
      </c>
      <c r="V2074" s="4">
        <v>0</v>
      </c>
      <c r="W2074" s="13">
        <f t="shared" si="306"/>
        <v>-0.314</v>
      </c>
      <c r="X2074" s="13">
        <f t="shared" si="301"/>
        <v>0</v>
      </c>
      <c r="Y2074" s="13">
        <f t="shared" si="307"/>
        <v>0</v>
      </c>
      <c r="Z2074" s="2">
        <v>0</v>
      </c>
      <c r="AA2074" s="4">
        <v>0</v>
      </c>
      <c r="AB2074" s="4">
        <f t="shared" si="308"/>
        <v>0</v>
      </c>
      <c r="AC2074" s="6">
        <f t="shared" si="309"/>
        <v>0</v>
      </c>
      <c r="AD2074" s="4">
        <v>0</v>
      </c>
      <c r="AE2074" s="2">
        <v>0.1</v>
      </c>
      <c r="AF2074" s="5">
        <f t="shared" si="310"/>
        <v>0</v>
      </c>
      <c r="AG2074" s="2">
        <v>0.2</v>
      </c>
      <c r="AH2074" s="4">
        <f t="shared" si="312"/>
        <v>0</v>
      </c>
      <c r="AJ2074" s="126" t="e">
        <v>#N/A</v>
      </c>
      <c r="AK2074" s="80">
        <f t="shared" si="311"/>
        <v>0</v>
      </c>
      <c r="AM2074" s="85"/>
    </row>
    <row r="2075" spans="1:39" hidden="1" x14ac:dyDescent="0.3">
      <c r="A2075" s="85" t="s">
        <v>34</v>
      </c>
      <c r="B2075" s="15" t="s">
        <v>35</v>
      </c>
      <c r="C2075" s="15" t="s">
        <v>47</v>
      </c>
      <c r="D2075" s="15" t="s">
        <v>63</v>
      </c>
      <c r="E2075" s="15" t="s">
        <v>2388</v>
      </c>
      <c r="F2075" s="15" t="s">
        <v>2388</v>
      </c>
      <c r="G2075" s="15" t="s">
        <v>2388</v>
      </c>
      <c r="H2075" s="139"/>
      <c r="I2075" s="15" t="s">
        <v>2680</v>
      </c>
      <c r="J2075" s="1" t="s">
        <v>3323</v>
      </c>
      <c r="K2075" s="1" t="s">
        <v>3285</v>
      </c>
      <c r="L2075" s="1" t="s">
        <v>35</v>
      </c>
      <c r="M2075" s="15" t="s">
        <v>2694</v>
      </c>
      <c r="N2075" s="15"/>
      <c r="O2075" s="8" t="s">
        <v>45</v>
      </c>
      <c r="P2075" s="8" t="s">
        <v>46</v>
      </c>
      <c r="Q2075" s="9">
        <v>0.15</v>
      </c>
      <c r="R2075" s="139">
        <v>37533</v>
      </c>
      <c r="T2075" s="18">
        <v>8125.5360000000001</v>
      </c>
      <c r="U2075" s="4">
        <v>0</v>
      </c>
      <c r="V2075" s="4">
        <v>0</v>
      </c>
      <c r="W2075" s="13">
        <f t="shared" si="306"/>
        <v>8125.5360000000001</v>
      </c>
      <c r="X2075" s="13">
        <f t="shared" si="301"/>
        <v>0</v>
      </c>
      <c r="Y2075" s="13">
        <f t="shared" si="307"/>
        <v>0</v>
      </c>
      <c r="Z2075" s="2">
        <v>0</v>
      </c>
      <c r="AA2075" s="4">
        <v>0</v>
      </c>
      <c r="AB2075" s="4">
        <f t="shared" si="308"/>
        <v>0</v>
      </c>
      <c r="AC2075" s="6">
        <f t="shared" si="309"/>
        <v>0</v>
      </c>
      <c r="AD2075" s="4">
        <v>0</v>
      </c>
      <c r="AE2075" s="2">
        <v>0.1</v>
      </c>
      <c r="AF2075" s="5">
        <f t="shared" si="310"/>
        <v>0</v>
      </c>
      <c r="AG2075" s="2">
        <v>0.2</v>
      </c>
      <c r="AH2075" s="4">
        <f t="shared" si="312"/>
        <v>0</v>
      </c>
      <c r="AJ2075" s="126" t="e">
        <v>#N/A</v>
      </c>
      <c r="AK2075" s="80">
        <f t="shared" si="311"/>
        <v>0</v>
      </c>
      <c r="AM2075" s="85"/>
    </row>
    <row r="2076" spans="1:39" hidden="1" x14ac:dyDescent="0.3">
      <c r="A2076" s="85" t="s">
        <v>34</v>
      </c>
      <c r="B2076" s="15" t="s">
        <v>35</v>
      </c>
      <c r="C2076" s="15" t="s">
        <v>47</v>
      </c>
      <c r="D2076" s="15" t="s">
        <v>63</v>
      </c>
      <c r="E2076" s="15" t="s">
        <v>2388</v>
      </c>
      <c r="F2076" s="15" t="s">
        <v>2388</v>
      </c>
      <c r="G2076" s="15" t="s">
        <v>2388</v>
      </c>
      <c r="H2076" s="139"/>
      <c r="I2076" s="15" t="s">
        <v>2680</v>
      </c>
      <c r="J2076" s="1" t="s">
        <v>3323</v>
      </c>
      <c r="K2076" s="1" t="s">
        <v>3285</v>
      </c>
      <c r="L2076" s="1" t="s">
        <v>35</v>
      </c>
      <c r="M2076" s="15" t="s">
        <v>2694</v>
      </c>
      <c r="N2076" s="15"/>
      <c r="O2076" s="8" t="s">
        <v>45</v>
      </c>
      <c r="P2076" s="8" t="s">
        <v>46</v>
      </c>
      <c r="Q2076" s="9">
        <v>0.15</v>
      </c>
      <c r="R2076" s="139">
        <v>38068</v>
      </c>
      <c r="T2076" s="18">
        <v>57026.803999999996</v>
      </c>
      <c r="U2076" s="4">
        <v>0</v>
      </c>
      <c r="V2076" s="4">
        <v>0</v>
      </c>
      <c r="W2076" s="13">
        <f t="shared" si="306"/>
        <v>57026.803999999996</v>
      </c>
      <c r="X2076" s="13">
        <f t="shared" si="301"/>
        <v>0</v>
      </c>
      <c r="Y2076" s="13">
        <f t="shared" si="307"/>
        <v>0</v>
      </c>
      <c r="Z2076" s="2">
        <v>0</v>
      </c>
      <c r="AA2076" s="4">
        <v>0</v>
      </c>
      <c r="AB2076" s="4">
        <f t="shared" si="308"/>
        <v>0</v>
      </c>
      <c r="AC2076" s="6">
        <f t="shared" si="309"/>
        <v>0</v>
      </c>
      <c r="AD2076" s="4">
        <v>0</v>
      </c>
      <c r="AE2076" s="2">
        <v>0.1</v>
      </c>
      <c r="AF2076" s="5">
        <f t="shared" si="310"/>
        <v>0</v>
      </c>
      <c r="AG2076" s="2">
        <v>0.2</v>
      </c>
      <c r="AH2076" s="4">
        <f t="shared" si="312"/>
        <v>0</v>
      </c>
      <c r="AJ2076" s="126" t="e">
        <v>#N/A</v>
      </c>
      <c r="AK2076" s="80">
        <f t="shared" si="311"/>
        <v>0</v>
      </c>
      <c r="AM2076" s="85"/>
    </row>
    <row r="2077" spans="1:39" hidden="1" x14ac:dyDescent="0.3">
      <c r="A2077" s="85" t="s">
        <v>34</v>
      </c>
      <c r="B2077" s="3" t="s">
        <v>35</v>
      </c>
      <c r="C2077" s="3" t="s">
        <v>36</v>
      </c>
      <c r="D2077" s="3" t="s">
        <v>54</v>
      </c>
      <c r="E2077" s="3" t="s">
        <v>2695</v>
      </c>
      <c r="F2077" s="3" t="s">
        <v>2696</v>
      </c>
      <c r="G2077" s="3" t="s">
        <v>1845</v>
      </c>
      <c r="I2077" s="3" t="s">
        <v>78</v>
      </c>
      <c r="J2077" s="1" t="s">
        <v>3303</v>
      </c>
      <c r="K2077" s="1" t="s">
        <v>3276</v>
      </c>
      <c r="L2077" s="1" t="s">
        <v>701</v>
      </c>
      <c r="M2077" s="3" t="s">
        <v>2697</v>
      </c>
      <c r="O2077" s="1" t="s">
        <v>410</v>
      </c>
      <c r="P2077" s="1" t="s">
        <v>41</v>
      </c>
      <c r="Q2077" s="2">
        <v>0</v>
      </c>
      <c r="R2077" s="138">
        <v>7170</v>
      </c>
      <c r="T2077" s="4">
        <v>0</v>
      </c>
      <c r="U2077" s="4">
        <v>100000</v>
      </c>
      <c r="V2077" s="4">
        <v>114073.44000000003</v>
      </c>
      <c r="W2077" s="13">
        <f t="shared" si="306"/>
        <v>-14073.440000000031</v>
      </c>
      <c r="X2077" s="13">
        <f t="shared" si="301"/>
        <v>114073.44000000003</v>
      </c>
      <c r="Y2077" s="13">
        <f t="shared" si="307"/>
        <v>0</v>
      </c>
      <c r="Z2077" s="2">
        <v>0</v>
      </c>
      <c r="AA2077" s="4">
        <v>0</v>
      </c>
      <c r="AB2077" s="4">
        <f t="shared" si="308"/>
        <v>114073.44000000003</v>
      </c>
      <c r="AC2077" s="6">
        <f t="shared" si="309"/>
        <v>0</v>
      </c>
      <c r="AD2077" s="13">
        <f>V2077</f>
        <v>114073.44000000003</v>
      </c>
      <c r="AE2077" s="2">
        <v>0.17</v>
      </c>
      <c r="AF2077" s="5">
        <f t="shared" si="310"/>
        <v>19392.484800000006</v>
      </c>
      <c r="AG2077" s="2">
        <v>0</v>
      </c>
      <c r="AH2077" s="5">
        <f>V2077</f>
        <v>114073.44000000003</v>
      </c>
      <c r="AJ2077" s="126" t="e">
        <v>#N/A</v>
      </c>
      <c r="AK2077" s="80">
        <f t="shared" si="311"/>
        <v>0</v>
      </c>
      <c r="AM2077" s="85"/>
    </row>
    <row r="2078" spans="1:39" hidden="1" x14ac:dyDescent="0.3">
      <c r="A2078" s="85" t="s">
        <v>34</v>
      </c>
      <c r="B2078" s="3" t="s">
        <v>35</v>
      </c>
      <c r="C2078" s="3" t="s">
        <v>36</v>
      </c>
      <c r="D2078" s="3" t="s">
        <v>37</v>
      </c>
      <c r="E2078" s="3" t="s">
        <v>285</v>
      </c>
      <c r="F2078" s="3" t="s">
        <v>2698</v>
      </c>
      <c r="G2078" s="3" t="s">
        <v>1845</v>
      </c>
      <c r="I2078" s="3" t="s">
        <v>78</v>
      </c>
      <c r="J2078" s="1" t="s">
        <v>3303</v>
      </c>
      <c r="K2078" s="1" t="s">
        <v>3276</v>
      </c>
      <c r="L2078" s="1" t="s">
        <v>701</v>
      </c>
      <c r="M2078" s="3" t="s">
        <v>285</v>
      </c>
      <c r="O2078" s="1" t="s">
        <v>410</v>
      </c>
      <c r="P2078" s="1" t="s">
        <v>41</v>
      </c>
      <c r="Q2078" s="2">
        <v>0</v>
      </c>
      <c r="R2078" s="138">
        <v>7654</v>
      </c>
      <c r="T2078" s="4">
        <v>0</v>
      </c>
      <c r="U2078" s="4">
        <v>5000</v>
      </c>
      <c r="V2078" s="4">
        <v>27.15</v>
      </c>
      <c r="W2078" s="13">
        <f t="shared" si="306"/>
        <v>4972.8500000000004</v>
      </c>
      <c r="X2078" s="13">
        <f t="shared" si="301"/>
        <v>27.15</v>
      </c>
      <c r="Y2078" s="13">
        <f t="shared" si="307"/>
        <v>0</v>
      </c>
      <c r="Z2078" s="2">
        <v>0</v>
      </c>
      <c r="AA2078" s="4">
        <v>0</v>
      </c>
      <c r="AB2078" s="4">
        <f t="shared" si="308"/>
        <v>27.15</v>
      </c>
      <c r="AC2078" s="6">
        <f t="shared" si="309"/>
        <v>0</v>
      </c>
      <c r="AD2078" s="13">
        <f t="shared" ref="AD2078:AD2141" si="313">V2078</f>
        <v>27.15</v>
      </c>
      <c r="AE2078" s="2">
        <v>0.17</v>
      </c>
      <c r="AF2078" s="5">
        <f t="shared" si="310"/>
        <v>4.6154999999999999</v>
      </c>
      <c r="AG2078" s="2">
        <v>0</v>
      </c>
      <c r="AH2078" s="5">
        <f t="shared" ref="AH2078:AH2141" si="314">V2078</f>
        <v>27.15</v>
      </c>
      <c r="AJ2078" s="126" t="e">
        <v>#N/A</v>
      </c>
      <c r="AK2078" s="80">
        <f t="shared" si="311"/>
        <v>0</v>
      </c>
      <c r="AM2078" s="85"/>
    </row>
    <row r="2079" spans="1:39" hidden="1" x14ac:dyDescent="0.3">
      <c r="A2079" s="85" t="s">
        <v>34</v>
      </c>
      <c r="B2079" s="3" t="s">
        <v>35</v>
      </c>
      <c r="C2079" s="3" t="s">
        <v>36</v>
      </c>
      <c r="D2079" s="3" t="s">
        <v>37</v>
      </c>
      <c r="E2079" s="3" t="s">
        <v>285</v>
      </c>
      <c r="F2079" s="3" t="s">
        <v>2698</v>
      </c>
      <c r="G2079" s="3" t="s">
        <v>1845</v>
      </c>
      <c r="I2079" s="3" t="s">
        <v>78</v>
      </c>
      <c r="J2079" s="1" t="s">
        <v>3303</v>
      </c>
      <c r="K2079" s="1" t="s">
        <v>3276</v>
      </c>
      <c r="L2079" s="1" t="s">
        <v>701</v>
      </c>
      <c r="M2079" s="3" t="s">
        <v>2699</v>
      </c>
      <c r="O2079" s="1" t="s">
        <v>410</v>
      </c>
      <c r="P2079" s="1" t="s">
        <v>41</v>
      </c>
      <c r="Q2079" s="2">
        <v>0</v>
      </c>
      <c r="R2079" s="138">
        <v>7174</v>
      </c>
      <c r="T2079" s="4">
        <v>953.26000000000204</v>
      </c>
      <c r="U2079" s="4">
        <v>10000</v>
      </c>
      <c r="V2079" s="4">
        <v>2237.9700000000003</v>
      </c>
      <c r="W2079" s="13">
        <f t="shared" si="306"/>
        <v>8715.2900000000009</v>
      </c>
      <c r="X2079" s="13">
        <f t="shared" si="301"/>
        <v>2237.9700000000003</v>
      </c>
      <c r="Y2079" s="13">
        <f t="shared" si="307"/>
        <v>0</v>
      </c>
      <c r="Z2079" s="2">
        <v>0</v>
      </c>
      <c r="AA2079" s="4">
        <v>0</v>
      </c>
      <c r="AB2079" s="4">
        <f t="shared" si="308"/>
        <v>2237.9700000000003</v>
      </c>
      <c r="AC2079" s="6">
        <f t="shared" si="309"/>
        <v>0</v>
      </c>
      <c r="AD2079" s="13">
        <f t="shared" si="313"/>
        <v>2237.9700000000003</v>
      </c>
      <c r="AE2079" s="2">
        <v>0.17</v>
      </c>
      <c r="AF2079" s="5">
        <f t="shared" si="310"/>
        <v>380.45490000000007</v>
      </c>
      <c r="AG2079" s="2">
        <v>0</v>
      </c>
      <c r="AH2079" s="5">
        <f t="shared" si="314"/>
        <v>2237.9700000000003</v>
      </c>
      <c r="AJ2079" s="126" t="e">
        <v>#N/A</v>
      </c>
      <c r="AK2079" s="80">
        <f t="shared" si="311"/>
        <v>0</v>
      </c>
      <c r="AM2079" s="85"/>
    </row>
    <row r="2080" spans="1:39" hidden="1" x14ac:dyDescent="0.3">
      <c r="A2080" s="85" t="s">
        <v>34</v>
      </c>
      <c r="B2080" s="3" t="s">
        <v>35</v>
      </c>
      <c r="C2080" s="3" t="s">
        <v>65</v>
      </c>
      <c r="D2080" s="3" t="s">
        <v>66</v>
      </c>
      <c r="E2080" s="3" t="s">
        <v>2354</v>
      </c>
      <c r="F2080" s="3" t="s">
        <v>2700</v>
      </c>
      <c r="G2080" s="3" t="s">
        <v>1845</v>
      </c>
      <c r="I2080" s="3" t="s">
        <v>78</v>
      </c>
      <c r="J2080" s="1" t="s">
        <v>3303</v>
      </c>
      <c r="K2080" s="1" t="s">
        <v>3276</v>
      </c>
      <c r="L2080" s="1" t="s">
        <v>701</v>
      </c>
      <c r="M2080" s="3" t="s">
        <v>2354</v>
      </c>
      <c r="O2080" s="1" t="s">
        <v>410</v>
      </c>
      <c r="P2080" s="1" t="s">
        <v>41</v>
      </c>
      <c r="Q2080" s="2">
        <v>0</v>
      </c>
      <c r="R2080" s="138">
        <v>7109</v>
      </c>
      <c r="T2080" s="4">
        <v>6385.2700000000114</v>
      </c>
      <c r="U2080" s="4">
        <v>40169.64</v>
      </c>
      <c r="V2080" s="4">
        <v>38234.5</v>
      </c>
      <c r="W2080" s="13">
        <f t="shared" si="306"/>
        <v>8320.4100000000108</v>
      </c>
      <c r="X2080" s="13">
        <f t="shared" si="301"/>
        <v>38234.5</v>
      </c>
      <c r="Y2080" s="13">
        <f t="shared" si="307"/>
        <v>0</v>
      </c>
      <c r="Z2080" s="2">
        <v>0</v>
      </c>
      <c r="AA2080" s="4">
        <v>0</v>
      </c>
      <c r="AB2080" s="4">
        <f t="shared" si="308"/>
        <v>38234.5</v>
      </c>
      <c r="AC2080" s="6">
        <f t="shared" si="309"/>
        <v>0</v>
      </c>
      <c r="AD2080" s="13">
        <f t="shared" si="313"/>
        <v>38234.5</v>
      </c>
      <c r="AE2080" s="2">
        <v>0.17</v>
      </c>
      <c r="AF2080" s="5">
        <f t="shared" si="310"/>
        <v>6499.8650000000007</v>
      </c>
      <c r="AG2080" s="2">
        <v>0</v>
      </c>
      <c r="AH2080" s="5">
        <f t="shared" si="314"/>
        <v>38234.5</v>
      </c>
      <c r="AJ2080" s="126" t="e">
        <v>#N/A</v>
      </c>
      <c r="AK2080" s="80">
        <f t="shared" si="311"/>
        <v>0</v>
      </c>
      <c r="AM2080" s="85"/>
    </row>
    <row r="2081" spans="1:39" hidden="1" x14ac:dyDescent="0.3">
      <c r="A2081" s="85" t="s">
        <v>34</v>
      </c>
      <c r="B2081" s="3" t="s">
        <v>35</v>
      </c>
      <c r="C2081" s="3" t="s">
        <v>65</v>
      </c>
      <c r="D2081" s="3" t="s">
        <v>66</v>
      </c>
      <c r="E2081" s="3" t="s">
        <v>2678</v>
      </c>
      <c r="F2081" s="3" t="s">
        <v>2701</v>
      </c>
      <c r="G2081" s="3" t="s">
        <v>1845</v>
      </c>
      <c r="I2081" s="3" t="s">
        <v>78</v>
      </c>
      <c r="J2081" s="1" t="s">
        <v>3303</v>
      </c>
      <c r="K2081" s="1" t="s">
        <v>3276</v>
      </c>
      <c r="L2081" s="1" t="s">
        <v>701</v>
      </c>
      <c r="M2081" s="3" t="s">
        <v>2702</v>
      </c>
      <c r="O2081" s="1" t="s">
        <v>410</v>
      </c>
      <c r="P2081" s="1" t="s">
        <v>41</v>
      </c>
      <c r="Q2081" s="2">
        <v>0</v>
      </c>
      <c r="R2081" s="138">
        <v>7152</v>
      </c>
      <c r="T2081" s="4">
        <v>83477.19</v>
      </c>
      <c r="U2081" s="4">
        <v>100000</v>
      </c>
      <c r="V2081" s="4">
        <v>146153.4</v>
      </c>
      <c r="W2081" s="13">
        <f t="shared" si="306"/>
        <v>37323.790000000008</v>
      </c>
      <c r="X2081" s="13">
        <f t="shared" ref="X2081:X2144" si="315">IF(P2081="折扣",V2081*Q2081,IF(P2081="返现",V2081,V2081/(1+Q2081)))</f>
        <v>146153.4</v>
      </c>
      <c r="Y2081" s="13">
        <f t="shared" si="307"/>
        <v>0</v>
      </c>
      <c r="Z2081" s="2">
        <v>0</v>
      </c>
      <c r="AA2081" s="4">
        <v>0</v>
      </c>
      <c r="AB2081" s="4">
        <f t="shared" si="308"/>
        <v>146153.4</v>
      </c>
      <c r="AC2081" s="6">
        <f t="shared" si="309"/>
        <v>0</v>
      </c>
      <c r="AD2081" s="13">
        <f t="shared" si="313"/>
        <v>146153.4</v>
      </c>
      <c r="AE2081" s="2">
        <v>0.17</v>
      </c>
      <c r="AF2081" s="5">
        <f t="shared" si="310"/>
        <v>24846.078000000001</v>
      </c>
      <c r="AG2081" s="2">
        <v>0</v>
      </c>
      <c r="AH2081" s="5">
        <f t="shared" si="314"/>
        <v>146153.4</v>
      </c>
      <c r="AJ2081" s="126" t="e">
        <v>#N/A</v>
      </c>
      <c r="AK2081" s="80">
        <f t="shared" si="311"/>
        <v>0</v>
      </c>
      <c r="AM2081" s="85"/>
    </row>
    <row r="2082" spans="1:39" hidden="1" x14ac:dyDescent="0.3">
      <c r="A2082" s="85" t="s">
        <v>34</v>
      </c>
      <c r="B2082" s="3" t="s">
        <v>35</v>
      </c>
      <c r="C2082" s="3" t="s">
        <v>47</v>
      </c>
      <c r="D2082" s="3" t="s">
        <v>63</v>
      </c>
      <c r="E2082" s="3" t="s">
        <v>521</v>
      </c>
      <c r="F2082" s="3" t="s">
        <v>2703</v>
      </c>
      <c r="G2082" s="3" t="s">
        <v>1845</v>
      </c>
      <c r="I2082" s="3" t="s">
        <v>78</v>
      </c>
      <c r="J2082" s="1" t="s">
        <v>3303</v>
      </c>
      <c r="K2082" s="1" t="s">
        <v>3276</v>
      </c>
      <c r="L2082" s="1" t="s">
        <v>701</v>
      </c>
      <c r="M2082" s="3" t="s">
        <v>2704</v>
      </c>
      <c r="O2082" s="1" t="s">
        <v>410</v>
      </c>
      <c r="P2082" s="1" t="s">
        <v>41</v>
      </c>
      <c r="Q2082" s="2">
        <v>0</v>
      </c>
      <c r="R2082" s="138">
        <v>7101</v>
      </c>
      <c r="T2082" s="4">
        <v>18490.029999999995</v>
      </c>
      <c r="U2082" s="4">
        <v>22000</v>
      </c>
      <c r="V2082" s="4">
        <v>31630.34</v>
      </c>
      <c r="W2082" s="13">
        <f t="shared" si="306"/>
        <v>8859.6899999999987</v>
      </c>
      <c r="X2082" s="13">
        <f t="shared" si="315"/>
        <v>31630.34</v>
      </c>
      <c r="Y2082" s="13">
        <f t="shared" si="307"/>
        <v>0</v>
      </c>
      <c r="Z2082" s="2">
        <v>0</v>
      </c>
      <c r="AA2082" s="4">
        <v>0</v>
      </c>
      <c r="AB2082" s="4">
        <f t="shared" si="308"/>
        <v>31630.34</v>
      </c>
      <c r="AC2082" s="6">
        <f t="shared" si="309"/>
        <v>0</v>
      </c>
      <c r="AD2082" s="13">
        <f t="shared" si="313"/>
        <v>31630.34</v>
      </c>
      <c r="AE2082" s="2">
        <v>0.17</v>
      </c>
      <c r="AF2082" s="5">
        <f t="shared" si="310"/>
        <v>5377.1578000000009</v>
      </c>
      <c r="AG2082" s="2">
        <v>0</v>
      </c>
      <c r="AH2082" s="5">
        <f t="shared" si="314"/>
        <v>31630.34</v>
      </c>
      <c r="AJ2082" s="126" t="e">
        <v>#N/A</v>
      </c>
      <c r="AK2082" s="80">
        <f t="shared" si="311"/>
        <v>0</v>
      </c>
      <c r="AM2082" s="85"/>
    </row>
    <row r="2083" spans="1:39" hidden="1" x14ac:dyDescent="0.3">
      <c r="A2083" s="85" t="s">
        <v>34</v>
      </c>
      <c r="B2083" s="3" t="s">
        <v>35</v>
      </c>
      <c r="C2083" s="3" t="s">
        <v>47</v>
      </c>
      <c r="D2083" s="3" t="s">
        <v>48</v>
      </c>
      <c r="E2083" s="3" t="s">
        <v>2142</v>
      </c>
      <c r="F2083" s="3" t="s">
        <v>2705</v>
      </c>
      <c r="G2083" s="3" t="s">
        <v>1845</v>
      </c>
      <c r="H2083" s="138"/>
      <c r="I2083" s="3" t="s">
        <v>78</v>
      </c>
      <c r="J2083" s="1" t="s">
        <v>3303</v>
      </c>
      <c r="K2083" s="1" t="s">
        <v>3276</v>
      </c>
      <c r="L2083" s="1" t="s">
        <v>701</v>
      </c>
      <c r="M2083" s="3" t="s">
        <v>2706</v>
      </c>
      <c r="O2083" s="1" t="s">
        <v>410</v>
      </c>
      <c r="P2083" s="1" t="s">
        <v>41</v>
      </c>
      <c r="Q2083" s="2">
        <v>0</v>
      </c>
      <c r="R2083" s="138">
        <v>7111</v>
      </c>
      <c r="T2083" s="4">
        <v>147932.26999999996</v>
      </c>
      <c r="U2083" s="4">
        <v>-147932.26999999999</v>
      </c>
      <c r="V2083" s="4">
        <v>0</v>
      </c>
      <c r="W2083" s="13">
        <f t="shared" si="306"/>
        <v>-2.9103830456733704E-11</v>
      </c>
      <c r="X2083" s="13">
        <f t="shared" si="315"/>
        <v>0</v>
      </c>
      <c r="Y2083" s="13">
        <f t="shared" si="307"/>
        <v>0</v>
      </c>
      <c r="Z2083" s="2">
        <v>0</v>
      </c>
      <c r="AA2083" s="4">
        <v>0</v>
      </c>
      <c r="AB2083" s="4">
        <f t="shared" si="308"/>
        <v>0</v>
      </c>
      <c r="AC2083" s="6">
        <f t="shared" si="309"/>
        <v>0</v>
      </c>
      <c r="AD2083" s="13">
        <f t="shared" si="313"/>
        <v>0</v>
      </c>
      <c r="AE2083" s="2">
        <v>0.17</v>
      </c>
      <c r="AF2083" s="5">
        <f t="shared" si="310"/>
        <v>0</v>
      </c>
      <c r="AG2083" s="2">
        <v>0</v>
      </c>
      <c r="AH2083" s="5">
        <f t="shared" si="314"/>
        <v>0</v>
      </c>
      <c r="AJ2083" s="126" t="e">
        <v>#N/A</v>
      </c>
      <c r="AK2083" s="80">
        <f t="shared" si="311"/>
        <v>0</v>
      </c>
      <c r="AM2083" s="85"/>
    </row>
    <row r="2084" spans="1:39" hidden="1" x14ac:dyDescent="0.3">
      <c r="A2084" s="85" t="s">
        <v>34</v>
      </c>
      <c r="B2084" s="3" t="s">
        <v>35</v>
      </c>
      <c r="C2084" s="3" t="s">
        <v>47</v>
      </c>
      <c r="D2084" s="3" t="s">
        <v>48</v>
      </c>
      <c r="E2084" s="3" t="s">
        <v>542</v>
      </c>
      <c r="F2084" s="3" t="s">
        <v>2707</v>
      </c>
      <c r="G2084" s="3" t="s">
        <v>1845</v>
      </c>
      <c r="I2084" s="3" t="s">
        <v>78</v>
      </c>
      <c r="J2084" s="1" t="s">
        <v>3303</v>
      </c>
      <c r="K2084" s="1" t="s">
        <v>3276</v>
      </c>
      <c r="L2084" s="1" t="s">
        <v>701</v>
      </c>
      <c r="M2084" s="3" t="s">
        <v>2708</v>
      </c>
      <c r="O2084" s="1" t="s">
        <v>410</v>
      </c>
      <c r="P2084" s="1" t="s">
        <v>46</v>
      </c>
      <c r="Q2084" s="2">
        <v>0.02</v>
      </c>
      <c r="R2084" s="138">
        <v>7148</v>
      </c>
      <c r="T2084" s="4">
        <v>10438.819999999985</v>
      </c>
      <c r="U2084" s="4">
        <v>30600</v>
      </c>
      <c r="V2084" s="4">
        <v>36133.57</v>
      </c>
      <c r="W2084" s="13">
        <f t="shared" si="306"/>
        <v>4905.2499999999854</v>
      </c>
      <c r="X2084" s="13">
        <f t="shared" si="315"/>
        <v>35425.068627450979</v>
      </c>
      <c r="Y2084" s="13">
        <f t="shared" si="307"/>
        <v>0</v>
      </c>
      <c r="Z2084" s="2">
        <v>0</v>
      </c>
      <c r="AA2084" s="4">
        <v>0</v>
      </c>
      <c r="AB2084" s="4">
        <f t="shared" si="308"/>
        <v>35425.068627450979</v>
      </c>
      <c r="AC2084" s="6">
        <f t="shared" si="309"/>
        <v>708.50137254902074</v>
      </c>
      <c r="AD2084" s="13">
        <f t="shared" si="313"/>
        <v>36133.57</v>
      </c>
      <c r="AE2084" s="2">
        <v>0.17</v>
      </c>
      <c r="AF2084" s="5">
        <f t="shared" si="310"/>
        <v>6142.7069000000001</v>
      </c>
      <c r="AG2084" s="2">
        <v>0</v>
      </c>
      <c r="AH2084" s="5">
        <f t="shared" si="314"/>
        <v>36133.57</v>
      </c>
      <c r="AJ2084" s="126" t="e">
        <v>#N/A</v>
      </c>
      <c r="AK2084" s="80">
        <f t="shared" si="311"/>
        <v>0</v>
      </c>
      <c r="AM2084" s="85"/>
    </row>
    <row r="2085" spans="1:39" hidden="1" x14ac:dyDescent="0.3">
      <c r="A2085" s="85" t="s">
        <v>34</v>
      </c>
      <c r="B2085" s="3" t="s">
        <v>35</v>
      </c>
      <c r="C2085" s="3" t="s">
        <v>47</v>
      </c>
      <c r="D2085" s="3" t="s">
        <v>48</v>
      </c>
      <c r="E2085" s="3" t="s">
        <v>2709</v>
      </c>
      <c r="F2085" s="3" t="s">
        <v>2710</v>
      </c>
      <c r="G2085" s="3" t="s">
        <v>1845</v>
      </c>
      <c r="I2085" s="3" t="s">
        <v>78</v>
      </c>
      <c r="J2085" s="1" t="s">
        <v>3303</v>
      </c>
      <c r="K2085" s="1" t="s">
        <v>3276</v>
      </c>
      <c r="L2085" s="1" t="s">
        <v>701</v>
      </c>
      <c r="M2085" s="3" t="s">
        <v>2709</v>
      </c>
      <c r="O2085" s="1" t="s">
        <v>410</v>
      </c>
      <c r="P2085" s="1" t="s">
        <v>46</v>
      </c>
      <c r="Q2085" s="2">
        <v>0.02</v>
      </c>
      <c r="R2085" s="138">
        <v>7576</v>
      </c>
      <c r="T2085" s="4">
        <v>0</v>
      </c>
      <c r="U2085" s="4">
        <v>20000</v>
      </c>
      <c r="V2085" s="4">
        <v>11532.31</v>
      </c>
      <c r="W2085" s="13">
        <f t="shared" si="306"/>
        <v>8467.69</v>
      </c>
      <c r="X2085" s="13">
        <f t="shared" si="315"/>
        <v>11306.186274509802</v>
      </c>
      <c r="Y2085" s="13">
        <f t="shared" si="307"/>
        <v>0</v>
      </c>
      <c r="Z2085" s="2">
        <v>0</v>
      </c>
      <c r="AA2085" s="4">
        <v>0</v>
      </c>
      <c r="AB2085" s="4">
        <f t="shared" si="308"/>
        <v>11306.186274509802</v>
      </c>
      <c r="AC2085" s="6">
        <f t="shared" si="309"/>
        <v>226.1237254901971</v>
      </c>
      <c r="AD2085" s="13">
        <f t="shared" si="313"/>
        <v>11532.31</v>
      </c>
      <c r="AE2085" s="2">
        <v>0.17</v>
      </c>
      <c r="AF2085" s="5">
        <f t="shared" si="310"/>
        <v>1960.4927</v>
      </c>
      <c r="AG2085" s="2">
        <v>0</v>
      </c>
      <c r="AH2085" s="5">
        <f t="shared" si="314"/>
        <v>11532.31</v>
      </c>
      <c r="AJ2085" s="126" t="e">
        <v>#N/A</v>
      </c>
      <c r="AK2085" s="80">
        <f t="shared" si="311"/>
        <v>0</v>
      </c>
      <c r="AM2085" s="85"/>
    </row>
    <row r="2086" spans="1:39" hidden="1" x14ac:dyDescent="0.3">
      <c r="A2086" s="85" t="s">
        <v>34</v>
      </c>
      <c r="B2086" s="3" t="s">
        <v>2711</v>
      </c>
      <c r="C2086" s="3" t="s">
        <v>47</v>
      </c>
      <c r="D2086" s="3" t="s">
        <v>48</v>
      </c>
      <c r="E2086" s="3" t="s">
        <v>2709</v>
      </c>
      <c r="F2086" s="3" t="s">
        <v>2709</v>
      </c>
      <c r="G2086" s="3" t="s">
        <v>2709</v>
      </c>
      <c r="H2086" s="138"/>
      <c r="I2086" s="3" t="s">
        <v>78</v>
      </c>
      <c r="J2086" s="1" t="s">
        <v>3303</v>
      </c>
      <c r="K2086" s="1" t="s">
        <v>3276</v>
      </c>
      <c r="L2086" s="1" t="s">
        <v>701</v>
      </c>
      <c r="M2086" s="3" t="s">
        <v>2709</v>
      </c>
      <c r="O2086" s="1" t="s">
        <v>410</v>
      </c>
      <c r="P2086" s="1" t="s">
        <v>46</v>
      </c>
      <c r="Q2086" s="2">
        <v>0.02</v>
      </c>
      <c r="R2086" s="138">
        <v>7576</v>
      </c>
      <c r="T2086" s="4">
        <v>10000</v>
      </c>
      <c r="U2086" s="4">
        <v>-10000</v>
      </c>
      <c r="V2086" s="4">
        <v>0</v>
      </c>
      <c r="W2086" s="13">
        <f t="shared" si="306"/>
        <v>0</v>
      </c>
      <c r="X2086" s="13">
        <f t="shared" si="315"/>
        <v>0</v>
      </c>
      <c r="Y2086" s="13">
        <f t="shared" si="307"/>
        <v>0</v>
      </c>
      <c r="Z2086" s="2">
        <v>0</v>
      </c>
      <c r="AA2086" s="4">
        <v>0</v>
      </c>
      <c r="AB2086" s="4">
        <f t="shared" si="308"/>
        <v>0</v>
      </c>
      <c r="AC2086" s="6">
        <f t="shared" si="309"/>
        <v>0</v>
      </c>
      <c r="AD2086" s="13">
        <f t="shared" si="313"/>
        <v>0</v>
      </c>
      <c r="AE2086" s="2">
        <v>0.17</v>
      </c>
      <c r="AF2086" s="5">
        <f t="shared" si="310"/>
        <v>0</v>
      </c>
      <c r="AG2086" s="2">
        <v>0</v>
      </c>
      <c r="AH2086" s="5">
        <f t="shared" si="314"/>
        <v>0</v>
      </c>
      <c r="AJ2086" s="126" t="e">
        <v>#N/A</v>
      </c>
      <c r="AK2086" s="80">
        <f t="shared" si="311"/>
        <v>0</v>
      </c>
      <c r="AM2086" s="85"/>
    </row>
    <row r="2087" spans="1:39" hidden="1" x14ac:dyDescent="0.3">
      <c r="A2087" s="85" t="s">
        <v>34</v>
      </c>
      <c r="B2087" s="3" t="s">
        <v>35</v>
      </c>
      <c r="C2087" s="3" t="s">
        <v>144</v>
      </c>
      <c r="D2087" s="3" t="s">
        <v>145</v>
      </c>
      <c r="E2087" s="3" t="s">
        <v>146</v>
      </c>
      <c r="F2087" s="3" t="s">
        <v>2712</v>
      </c>
      <c r="G2087" s="3" t="s">
        <v>1845</v>
      </c>
      <c r="I2087" s="3" t="s">
        <v>78</v>
      </c>
      <c r="J2087" s="1" t="s">
        <v>3303</v>
      </c>
      <c r="K2087" s="1" t="s">
        <v>3276</v>
      </c>
      <c r="L2087" s="1" t="s">
        <v>701</v>
      </c>
      <c r="M2087" s="3" t="s">
        <v>146</v>
      </c>
      <c r="O2087" s="1" t="s">
        <v>410</v>
      </c>
      <c r="P2087" s="1" t="s">
        <v>41</v>
      </c>
      <c r="Q2087" s="2">
        <v>0</v>
      </c>
      <c r="R2087" s="138">
        <v>7607</v>
      </c>
      <c r="T2087" s="4">
        <v>0</v>
      </c>
      <c r="U2087" s="4">
        <v>155000</v>
      </c>
      <c r="V2087" s="4">
        <v>129626.47</v>
      </c>
      <c r="W2087" s="13">
        <f t="shared" si="306"/>
        <v>25373.53</v>
      </c>
      <c r="X2087" s="13">
        <f t="shared" si="315"/>
        <v>129626.47</v>
      </c>
      <c r="Y2087" s="13">
        <f t="shared" si="307"/>
        <v>0</v>
      </c>
      <c r="Z2087" s="2">
        <v>0</v>
      </c>
      <c r="AA2087" s="4">
        <v>0</v>
      </c>
      <c r="AB2087" s="4">
        <f t="shared" si="308"/>
        <v>129626.47</v>
      </c>
      <c r="AC2087" s="6">
        <f t="shared" si="309"/>
        <v>0</v>
      </c>
      <c r="AD2087" s="13">
        <f t="shared" si="313"/>
        <v>129626.47</v>
      </c>
      <c r="AE2087" s="2">
        <v>0.17</v>
      </c>
      <c r="AF2087" s="5">
        <f t="shared" si="310"/>
        <v>22036.499900000003</v>
      </c>
      <c r="AG2087" s="2">
        <v>0</v>
      </c>
      <c r="AH2087" s="5">
        <f t="shared" si="314"/>
        <v>129626.47</v>
      </c>
      <c r="AJ2087" s="126" t="e">
        <v>#N/A</v>
      </c>
      <c r="AK2087" s="80">
        <f t="shared" si="311"/>
        <v>0</v>
      </c>
      <c r="AM2087" s="85"/>
    </row>
    <row r="2088" spans="1:39" hidden="1" x14ac:dyDescent="0.3">
      <c r="A2088" s="85" t="s">
        <v>34</v>
      </c>
      <c r="B2088" s="3" t="s">
        <v>35</v>
      </c>
      <c r="C2088" s="3" t="s">
        <v>144</v>
      </c>
      <c r="D2088" s="3" t="s">
        <v>161</v>
      </c>
      <c r="E2088" s="3" t="s">
        <v>163</v>
      </c>
      <c r="F2088" s="3" t="s">
        <v>2713</v>
      </c>
      <c r="G2088" s="3" t="s">
        <v>1845</v>
      </c>
      <c r="I2088" s="3" t="s">
        <v>78</v>
      </c>
      <c r="J2088" s="1" t="s">
        <v>3303</v>
      </c>
      <c r="K2088" s="1" t="s">
        <v>3276</v>
      </c>
      <c r="L2088" s="1" t="s">
        <v>701</v>
      </c>
      <c r="M2088" s="3" t="s">
        <v>163</v>
      </c>
      <c r="O2088" s="1" t="s">
        <v>410</v>
      </c>
      <c r="P2088" s="1" t="s">
        <v>41</v>
      </c>
      <c r="Q2088" s="2">
        <v>0</v>
      </c>
      <c r="R2088" s="138">
        <v>7094</v>
      </c>
      <c r="T2088" s="4">
        <v>17288.680000000073</v>
      </c>
      <c r="U2088" s="4">
        <v>30000</v>
      </c>
      <c r="V2088" s="4">
        <v>30325.47</v>
      </c>
      <c r="W2088" s="13">
        <f t="shared" si="306"/>
        <v>16963.210000000072</v>
      </c>
      <c r="X2088" s="13">
        <f t="shared" si="315"/>
        <v>30325.47</v>
      </c>
      <c r="Y2088" s="13">
        <f t="shared" si="307"/>
        <v>0</v>
      </c>
      <c r="Z2088" s="2">
        <v>0</v>
      </c>
      <c r="AA2088" s="4">
        <v>0</v>
      </c>
      <c r="AB2088" s="4">
        <f t="shared" si="308"/>
        <v>30325.47</v>
      </c>
      <c r="AC2088" s="6">
        <f t="shared" si="309"/>
        <v>0</v>
      </c>
      <c r="AD2088" s="13">
        <f t="shared" si="313"/>
        <v>30325.47</v>
      </c>
      <c r="AE2088" s="2">
        <v>0.17</v>
      </c>
      <c r="AF2088" s="5">
        <f t="shared" si="310"/>
        <v>5155.3299000000006</v>
      </c>
      <c r="AG2088" s="2">
        <v>0</v>
      </c>
      <c r="AH2088" s="5">
        <f t="shared" si="314"/>
        <v>30325.47</v>
      </c>
      <c r="AJ2088" s="126" t="e">
        <v>#N/A</v>
      </c>
      <c r="AK2088" s="80">
        <f t="shared" si="311"/>
        <v>0</v>
      </c>
      <c r="AM2088" s="85"/>
    </row>
    <row r="2089" spans="1:39" hidden="1" x14ac:dyDescent="0.3">
      <c r="A2089" s="85" t="s">
        <v>34</v>
      </c>
      <c r="B2089" s="3" t="s">
        <v>35</v>
      </c>
      <c r="C2089" s="3" t="s">
        <v>144</v>
      </c>
      <c r="D2089" s="3" t="s">
        <v>161</v>
      </c>
      <c r="E2089" s="3" t="s">
        <v>163</v>
      </c>
      <c r="F2089" s="3" t="s">
        <v>2713</v>
      </c>
      <c r="G2089" s="3" t="s">
        <v>1845</v>
      </c>
      <c r="I2089" s="3" t="s">
        <v>78</v>
      </c>
      <c r="J2089" s="1" t="s">
        <v>3303</v>
      </c>
      <c r="K2089" s="1" t="s">
        <v>3276</v>
      </c>
      <c r="L2089" s="1" t="s">
        <v>701</v>
      </c>
      <c r="M2089" s="3" t="s">
        <v>2714</v>
      </c>
      <c r="O2089" s="1" t="s">
        <v>410</v>
      </c>
      <c r="P2089" s="1" t="s">
        <v>41</v>
      </c>
      <c r="Q2089" s="2">
        <v>0</v>
      </c>
      <c r="R2089" s="138">
        <v>7135</v>
      </c>
      <c r="T2089" s="4">
        <v>1012.059999999999</v>
      </c>
      <c r="U2089" s="4">
        <v>5000</v>
      </c>
      <c r="V2089" s="4">
        <v>1669.94</v>
      </c>
      <c r="W2089" s="13">
        <f t="shared" si="306"/>
        <v>4342.119999999999</v>
      </c>
      <c r="X2089" s="13">
        <f t="shared" si="315"/>
        <v>1669.94</v>
      </c>
      <c r="Y2089" s="13">
        <f t="shared" si="307"/>
        <v>0</v>
      </c>
      <c r="Z2089" s="2">
        <v>0</v>
      </c>
      <c r="AA2089" s="4">
        <v>0</v>
      </c>
      <c r="AB2089" s="4">
        <f t="shared" si="308"/>
        <v>1669.94</v>
      </c>
      <c r="AC2089" s="6">
        <f t="shared" si="309"/>
        <v>0</v>
      </c>
      <c r="AD2089" s="13">
        <f t="shared" si="313"/>
        <v>1669.94</v>
      </c>
      <c r="AE2089" s="2">
        <v>0.17</v>
      </c>
      <c r="AF2089" s="5">
        <f t="shared" si="310"/>
        <v>283.88980000000004</v>
      </c>
      <c r="AG2089" s="2">
        <v>0</v>
      </c>
      <c r="AH2089" s="5">
        <f t="shared" si="314"/>
        <v>1669.94</v>
      </c>
      <c r="AJ2089" s="126" t="e">
        <v>#N/A</v>
      </c>
      <c r="AK2089" s="80">
        <f t="shared" si="311"/>
        <v>0</v>
      </c>
      <c r="AM2089" s="85"/>
    </row>
    <row r="2090" spans="1:39" hidden="1" x14ac:dyDescent="0.3">
      <c r="A2090" s="85" t="s">
        <v>34</v>
      </c>
      <c r="B2090" s="3" t="s">
        <v>35</v>
      </c>
      <c r="C2090" s="3" t="s">
        <v>164</v>
      </c>
      <c r="D2090" s="3" t="s">
        <v>169</v>
      </c>
      <c r="E2090" s="3" t="s">
        <v>172</v>
      </c>
      <c r="F2090" s="3" t="s">
        <v>2715</v>
      </c>
      <c r="G2090" s="3" t="s">
        <v>1845</v>
      </c>
      <c r="I2090" s="3" t="s">
        <v>78</v>
      </c>
      <c r="J2090" s="1" t="s">
        <v>3303</v>
      </c>
      <c r="K2090" s="1" t="s">
        <v>3276</v>
      </c>
      <c r="L2090" s="1" t="s">
        <v>701</v>
      </c>
      <c r="M2090" s="3" t="s">
        <v>2716</v>
      </c>
      <c r="O2090" s="1" t="s">
        <v>410</v>
      </c>
      <c r="P2090" s="1" t="s">
        <v>46</v>
      </c>
      <c r="Q2090" s="2">
        <v>0.01</v>
      </c>
      <c r="R2090" s="138">
        <v>7283</v>
      </c>
      <c r="T2090" s="4">
        <v>0</v>
      </c>
      <c r="U2090" s="4">
        <v>141400</v>
      </c>
      <c r="V2090" s="4">
        <v>110562.19969999998</v>
      </c>
      <c r="W2090" s="13">
        <f t="shared" si="306"/>
        <v>30837.800300000017</v>
      </c>
      <c r="X2090" s="13">
        <f t="shared" si="315"/>
        <v>109467.52445544553</v>
      </c>
      <c r="Y2090" s="13">
        <f t="shared" si="307"/>
        <v>0</v>
      </c>
      <c r="Z2090" s="2">
        <v>0</v>
      </c>
      <c r="AA2090" s="4">
        <v>0</v>
      </c>
      <c r="AB2090" s="4">
        <f t="shared" si="308"/>
        <v>109467.52445544553</v>
      </c>
      <c r="AC2090" s="6">
        <f t="shared" si="309"/>
        <v>1094.6752445544553</v>
      </c>
      <c r="AD2090" s="13">
        <f t="shared" si="313"/>
        <v>110562.19969999998</v>
      </c>
      <c r="AE2090" s="2">
        <v>0.17</v>
      </c>
      <c r="AF2090" s="5">
        <f t="shared" si="310"/>
        <v>18795.573948999998</v>
      </c>
      <c r="AG2090" s="2">
        <v>0</v>
      </c>
      <c r="AH2090" s="5">
        <f t="shared" si="314"/>
        <v>110562.19969999998</v>
      </c>
      <c r="AJ2090" s="126" t="e">
        <v>#N/A</v>
      </c>
      <c r="AK2090" s="80">
        <f t="shared" si="311"/>
        <v>0</v>
      </c>
      <c r="AM2090" s="85"/>
    </row>
    <row r="2091" spans="1:39" hidden="1" x14ac:dyDescent="0.3">
      <c r="A2091" s="85" t="s">
        <v>34</v>
      </c>
      <c r="B2091" s="3" t="s">
        <v>35</v>
      </c>
      <c r="C2091" s="3" t="s">
        <v>164</v>
      </c>
      <c r="D2091" s="3" t="s">
        <v>169</v>
      </c>
      <c r="E2091" s="3" t="s">
        <v>2695</v>
      </c>
      <c r="F2091" s="3" t="s">
        <v>2717</v>
      </c>
      <c r="G2091" s="3" t="s">
        <v>1845</v>
      </c>
      <c r="I2091" s="3" t="s">
        <v>78</v>
      </c>
      <c r="J2091" s="1" t="s">
        <v>3303</v>
      </c>
      <c r="K2091" s="1" t="s">
        <v>3276</v>
      </c>
      <c r="L2091" s="1" t="s">
        <v>701</v>
      </c>
      <c r="M2091" s="3" t="s">
        <v>2718</v>
      </c>
      <c r="O2091" s="1" t="s">
        <v>410</v>
      </c>
      <c r="P2091" s="1" t="s">
        <v>41</v>
      </c>
      <c r="Q2091" s="2">
        <v>0</v>
      </c>
      <c r="R2091" s="138">
        <v>7095</v>
      </c>
      <c r="T2091" s="4">
        <v>0</v>
      </c>
      <c r="U2091" s="4">
        <v>100000</v>
      </c>
      <c r="V2091" s="4">
        <v>28186.899999999965</v>
      </c>
      <c r="W2091" s="13">
        <f t="shared" si="306"/>
        <v>71813.100000000035</v>
      </c>
      <c r="X2091" s="13">
        <f t="shared" si="315"/>
        <v>28186.899999999965</v>
      </c>
      <c r="Y2091" s="13">
        <f t="shared" si="307"/>
        <v>0</v>
      </c>
      <c r="Z2091" s="2">
        <v>0</v>
      </c>
      <c r="AA2091" s="4">
        <v>0</v>
      </c>
      <c r="AB2091" s="4">
        <f t="shared" si="308"/>
        <v>28186.899999999965</v>
      </c>
      <c r="AC2091" s="6">
        <f t="shared" si="309"/>
        <v>0</v>
      </c>
      <c r="AD2091" s="13">
        <f t="shared" si="313"/>
        <v>28186.899999999965</v>
      </c>
      <c r="AE2091" s="2">
        <v>0.17</v>
      </c>
      <c r="AF2091" s="5">
        <f t="shared" si="310"/>
        <v>4791.7729999999947</v>
      </c>
      <c r="AG2091" s="2">
        <v>0</v>
      </c>
      <c r="AH2091" s="5">
        <f t="shared" si="314"/>
        <v>28186.899999999965</v>
      </c>
      <c r="AJ2091" s="126" t="e">
        <v>#N/A</v>
      </c>
      <c r="AK2091" s="80">
        <f t="shared" si="311"/>
        <v>0</v>
      </c>
      <c r="AM2091" s="85"/>
    </row>
    <row r="2092" spans="1:39" hidden="1" x14ac:dyDescent="0.3">
      <c r="A2092" s="85" t="s">
        <v>34</v>
      </c>
      <c r="B2092" s="3" t="s">
        <v>35</v>
      </c>
      <c r="C2092" s="3" t="s">
        <v>164</v>
      </c>
      <c r="D2092" s="3" t="s">
        <v>169</v>
      </c>
      <c r="E2092" s="3" t="s">
        <v>2695</v>
      </c>
      <c r="F2092" s="3" t="s">
        <v>2717</v>
      </c>
      <c r="G2092" s="3" t="s">
        <v>1845</v>
      </c>
      <c r="I2092" s="3" t="s">
        <v>78</v>
      </c>
      <c r="J2092" s="1" t="s">
        <v>3303</v>
      </c>
      <c r="K2092" s="1" t="s">
        <v>3276</v>
      </c>
      <c r="L2092" s="1" t="s">
        <v>701</v>
      </c>
      <c r="M2092" s="3" t="s">
        <v>2719</v>
      </c>
      <c r="O2092" s="1" t="s">
        <v>410</v>
      </c>
      <c r="P2092" s="1" t="s">
        <v>41</v>
      </c>
      <c r="Q2092" s="2">
        <v>0</v>
      </c>
      <c r="R2092" s="138">
        <v>7103</v>
      </c>
      <c r="T2092" s="4">
        <v>0</v>
      </c>
      <c r="U2092" s="4">
        <v>510000</v>
      </c>
      <c r="V2092" s="4">
        <v>366273.39999999991</v>
      </c>
      <c r="W2092" s="13">
        <f t="shared" si="306"/>
        <v>143726.60000000009</v>
      </c>
      <c r="X2092" s="13">
        <f t="shared" si="315"/>
        <v>366273.39999999991</v>
      </c>
      <c r="Y2092" s="13">
        <f t="shared" si="307"/>
        <v>0</v>
      </c>
      <c r="Z2092" s="2">
        <v>0</v>
      </c>
      <c r="AA2092" s="4">
        <v>0</v>
      </c>
      <c r="AB2092" s="4">
        <f t="shared" si="308"/>
        <v>366273.39999999991</v>
      </c>
      <c r="AC2092" s="6">
        <f t="shared" si="309"/>
        <v>0</v>
      </c>
      <c r="AD2092" s="13">
        <f t="shared" si="313"/>
        <v>366273.39999999991</v>
      </c>
      <c r="AE2092" s="2">
        <v>0.17</v>
      </c>
      <c r="AF2092" s="5">
        <f t="shared" si="310"/>
        <v>62266.477999999988</v>
      </c>
      <c r="AG2092" s="2">
        <v>0</v>
      </c>
      <c r="AH2092" s="5">
        <f t="shared" si="314"/>
        <v>366273.39999999991</v>
      </c>
      <c r="AJ2092" s="126" t="e">
        <v>#N/A</v>
      </c>
      <c r="AK2092" s="80">
        <f t="shared" si="311"/>
        <v>0</v>
      </c>
      <c r="AM2092" s="85"/>
    </row>
    <row r="2093" spans="1:39" hidden="1" x14ac:dyDescent="0.3">
      <c r="A2093" s="85" t="s">
        <v>34</v>
      </c>
      <c r="B2093" s="3" t="s">
        <v>35</v>
      </c>
      <c r="C2093" s="3" t="s">
        <v>164</v>
      </c>
      <c r="D2093" s="3" t="s">
        <v>169</v>
      </c>
      <c r="E2093" s="3" t="s">
        <v>2695</v>
      </c>
      <c r="F2093" s="3" t="s">
        <v>2717</v>
      </c>
      <c r="G2093" s="3" t="s">
        <v>1845</v>
      </c>
      <c r="I2093" s="3" t="s">
        <v>78</v>
      </c>
      <c r="J2093" s="1" t="s">
        <v>3303</v>
      </c>
      <c r="K2093" s="1" t="s">
        <v>3276</v>
      </c>
      <c r="L2093" s="1" t="s">
        <v>701</v>
      </c>
      <c r="M2093" s="3" t="s">
        <v>2720</v>
      </c>
      <c r="O2093" s="1" t="s">
        <v>410</v>
      </c>
      <c r="P2093" s="1" t="s">
        <v>46</v>
      </c>
      <c r="Q2093" s="2">
        <v>0.03</v>
      </c>
      <c r="R2093" s="138">
        <v>7169</v>
      </c>
      <c r="T2093" s="4">
        <v>4931.8000000000247</v>
      </c>
      <c r="U2093" s="4">
        <v>50000</v>
      </c>
      <c r="V2093" s="4">
        <v>51487.6</v>
      </c>
      <c r="W2093" s="13">
        <f t="shared" si="306"/>
        <v>3444.2000000000262</v>
      </c>
      <c r="X2093" s="13">
        <f t="shared" si="315"/>
        <v>49987.961165048539</v>
      </c>
      <c r="Y2093" s="13">
        <f t="shared" si="307"/>
        <v>0</v>
      </c>
      <c r="Z2093" s="2">
        <v>0</v>
      </c>
      <c r="AA2093" s="4">
        <v>0</v>
      </c>
      <c r="AB2093" s="4">
        <f t="shared" si="308"/>
        <v>49987.961165048539</v>
      </c>
      <c r="AC2093" s="6">
        <f t="shared" si="309"/>
        <v>1499.63883495146</v>
      </c>
      <c r="AD2093" s="13">
        <f t="shared" si="313"/>
        <v>51487.6</v>
      </c>
      <c r="AE2093" s="2">
        <v>0.17</v>
      </c>
      <c r="AF2093" s="5">
        <f t="shared" si="310"/>
        <v>8752.8919999999998</v>
      </c>
      <c r="AG2093" s="2">
        <v>0</v>
      </c>
      <c r="AH2093" s="5">
        <f t="shared" si="314"/>
        <v>51487.6</v>
      </c>
      <c r="AJ2093" s="126" t="e">
        <v>#N/A</v>
      </c>
      <c r="AK2093" s="80">
        <f t="shared" si="311"/>
        <v>0</v>
      </c>
      <c r="AM2093" s="85"/>
    </row>
    <row r="2094" spans="1:39" hidden="1" x14ac:dyDescent="0.3">
      <c r="A2094" s="85" t="s">
        <v>34</v>
      </c>
      <c r="B2094" s="3" t="s">
        <v>35</v>
      </c>
      <c r="C2094" s="3" t="s">
        <v>164</v>
      </c>
      <c r="D2094" s="3" t="s">
        <v>169</v>
      </c>
      <c r="E2094" s="3" t="s">
        <v>2695</v>
      </c>
      <c r="F2094" s="3" t="s">
        <v>2717</v>
      </c>
      <c r="G2094" s="3" t="s">
        <v>1845</v>
      </c>
      <c r="H2094" s="138"/>
      <c r="I2094" s="3" t="s">
        <v>78</v>
      </c>
      <c r="J2094" s="1" t="s">
        <v>3303</v>
      </c>
      <c r="K2094" s="1" t="s">
        <v>3276</v>
      </c>
      <c r="L2094" s="1" t="s">
        <v>701</v>
      </c>
      <c r="M2094" s="3" t="s">
        <v>2720</v>
      </c>
      <c r="O2094" s="1" t="s">
        <v>410</v>
      </c>
      <c r="P2094" s="1" t="s">
        <v>41</v>
      </c>
      <c r="Q2094" s="2">
        <v>0</v>
      </c>
      <c r="R2094" s="138">
        <v>7169</v>
      </c>
      <c r="T2094" s="4">
        <v>0</v>
      </c>
      <c r="U2094" s="4">
        <v>50000</v>
      </c>
      <c r="V2094" s="4">
        <v>0</v>
      </c>
      <c r="W2094" s="13">
        <f t="shared" si="306"/>
        <v>50000</v>
      </c>
      <c r="X2094" s="13">
        <f t="shared" si="315"/>
        <v>0</v>
      </c>
      <c r="Y2094" s="13">
        <f t="shared" si="307"/>
        <v>0</v>
      </c>
      <c r="Z2094" s="2">
        <v>0</v>
      </c>
      <c r="AA2094" s="4">
        <v>0</v>
      </c>
      <c r="AB2094" s="4">
        <f t="shared" si="308"/>
        <v>0</v>
      </c>
      <c r="AC2094" s="6">
        <f t="shared" si="309"/>
        <v>0</v>
      </c>
      <c r="AD2094" s="13">
        <f t="shared" si="313"/>
        <v>0</v>
      </c>
      <c r="AE2094" s="2">
        <v>0.17</v>
      </c>
      <c r="AF2094" s="5">
        <f t="shared" si="310"/>
        <v>0</v>
      </c>
      <c r="AG2094" s="2">
        <v>0</v>
      </c>
      <c r="AH2094" s="5">
        <f t="shared" si="314"/>
        <v>0</v>
      </c>
      <c r="AJ2094" s="126" t="e">
        <v>#N/A</v>
      </c>
      <c r="AK2094" s="80">
        <f t="shared" si="311"/>
        <v>0</v>
      </c>
      <c r="AM2094" s="85"/>
    </row>
    <row r="2095" spans="1:39" hidden="1" x14ac:dyDescent="0.3">
      <c r="A2095" s="85" t="s">
        <v>34</v>
      </c>
      <c r="B2095" s="3" t="s">
        <v>35</v>
      </c>
      <c r="C2095" s="3" t="s">
        <v>164</v>
      </c>
      <c r="D2095" s="3" t="s">
        <v>181</v>
      </c>
      <c r="E2095" s="3" t="s">
        <v>182</v>
      </c>
      <c r="F2095" s="3" t="s">
        <v>2721</v>
      </c>
      <c r="G2095" s="3" t="s">
        <v>1845</v>
      </c>
      <c r="I2095" s="3" t="s">
        <v>78</v>
      </c>
      <c r="J2095" s="1" t="s">
        <v>3303</v>
      </c>
      <c r="K2095" s="1" t="s">
        <v>3276</v>
      </c>
      <c r="L2095" s="1" t="s">
        <v>701</v>
      </c>
      <c r="M2095" s="3" t="s">
        <v>182</v>
      </c>
      <c r="O2095" s="1" t="s">
        <v>410</v>
      </c>
      <c r="P2095" s="1" t="s">
        <v>41</v>
      </c>
      <c r="Q2095" s="2">
        <v>0</v>
      </c>
      <c r="R2095" s="138">
        <v>7121</v>
      </c>
      <c r="T2095" s="4">
        <v>4808.1600000000108</v>
      </c>
      <c r="U2095" s="4">
        <v>43806</v>
      </c>
      <c r="V2095" s="4">
        <v>39909.56</v>
      </c>
      <c r="W2095" s="13">
        <f t="shared" si="306"/>
        <v>8704.6000000000131</v>
      </c>
      <c r="X2095" s="13">
        <f t="shared" si="315"/>
        <v>39909.56</v>
      </c>
      <c r="Y2095" s="13">
        <f t="shared" si="307"/>
        <v>0</v>
      </c>
      <c r="Z2095" s="2">
        <v>0.02</v>
      </c>
      <c r="AA2095" s="6">
        <f>X2095/(1-Z2095)*Z2095</f>
        <v>814.48081632653066</v>
      </c>
      <c r="AB2095" s="4">
        <f t="shared" si="308"/>
        <v>40724.040816326531</v>
      </c>
      <c r="AC2095" s="6">
        <f t="shared" si="309"/>
        <v>0</v>
      </c>
      <c r="AD2095" s="13">
        <f t="shared" si="313"/>
        <v>39909.56</v>
      </c>
      <c r="AE2095" s="2">
        <v>0.17</v>
      </c>
      <c r="AF2095" s="5">
        <f t="shared" si="310"/>
        <v>6784.6252000000004</v>
      </c>
      <c r="AG2095" s="2">
        <v>0</v>
      </c>
      <c r="AH2095" s="5">
        <f t="shared" si="314"/>
        <v>39909.56</v>
      </c>
      <c r="AJ2095" s="126" t="e">
        <v>#N/A</v>
      </c>
      <c r="AK2095" s="80">
        <f t="shared" si="311"/>
        <v>0</v>
      </c>
      <c r="AM2095" s="85"/>
    </row>
    <row r="2096" spans="1:39" hidden="1" x14ac:dyDescent="0.3">
      <c r="A2096" s="85" t="s">
        <v>34</v>
      </c>
      <c r="B2096" s="3" t="s">
        <v>701</v>
      </c>
      <c r="C2096" s="3" t="s">
        <v>59</v>
      </c>
      <c r="D2096" s="3" t="s">
        <v>60</v>
      </c>
      <c r="E2096" s="3" t="s">
        <v>2722</v>
      </c>
      <c r="F2096" s="3" t="s">
        <v>2722</v>
      </c>
      <c r="G2096" s="3" t="s">
        <v>2722</v>
      </c>
      <c r="I2096" s="3" t="s">
        <v>78</v>
      </c>
      <c r="J2096" s="1" t="s">
        <v>3303</v>
      </c>
      <c r="K2096" s="1" t="s">
        <v>3276</v>
      </c>
      <c r="L2096" s="1" t="s">
        <v>701</v>
      </c>
      <c r="M2096" s="3" t="s">
        <v>2723</v>
      </c>
      <c r="O2096" s="1" t="s">
        <v>410</v>
      </c>
      <c r="P2096" s="1" t="s">
        <v>92</v>
      </c>
      <c r="Q2096" s="2">
        <v>0.9</v>
      </c>
      <c r="R2096" s="138">
        <v>7122</v>
      </c>
      <c r="T2096" s="4">
        <v>8992.690000000006</v>
      </c>
      <c r="U2096" s="4">
        <v>20000</v>
      </c>
      <c r="V2096" s="4">
        <v>20709.699999999997</v>
      </c>
      <c r="W2096" s="13">
        <f t="shared" si="306"/>
        <v>8282.9900000000089</v>
      </c>
      <c r="X2096" s="13">
        <f t="shared" si="315"/>
        <v>18638.73</v>
      </c>
      <c r="Y2096" s="13">
        <f t="shared" si="307"/>
        <v>0</v>
      </c>
      <c r="Z2096" s="2">
        <v>0</v>
      </c>
      <c r="AA2096" s="4">
        <v>0</v>
      </c>
      <c r="AB2096" s="4">
        <f t="shared" si="308"/>
        <v>18638.73</v>
      </c>
      <c r="AC2096" s="6">
        <f t="shared" si="309"/>
        <v>2070.9699999999975</v>
      </c>
      <c r="AD2096" s="13">
        <f t="shared" si="313"/>
        <v>20709.699999999997</v>
      </c>
      <c r="AE2096" s="2">
        <v>0.17</v>
      </c>
      <c r="AF2096" s="5">
        <f t="shared" si="310"/>
        <v>3520.6489999999999</v>
      </c>
      <c r="AG2096" s="2">
        <v>0</v>
      </c>
      <c r="AH2096" s="5">
        <f t="shared" si="314"/>
        <v>20709.699999999997</v>
      </c>
      <c r="AJ2096" s="126" t="e">
        <v>#N/A</v>
      </c>
      <c r="AK2096" s="80">
        <f t="shared" si="311"/>
        <v>0</v>
      </c>
      <c r="AM2096" s="85"/>
    </row>
    <row r="2097" spans="1:39" hidden="1" x14ac:dyDescent="0.3">
      <c r="A2097" s="85" t="s">
        <v>34</v>
      </c>
      <c r="B2097" s="3" t="s">
        <v>701</v>
      </c>
      <c r="C2097" s="3" t="s">
        <v>59</v>
      </c>
      <c r="D2097" s="3" t="s">
        <v>60</v>
      </c>
      <c r="E2097" s="3" t="s">
        <v>2722</v>
      </c>
      <c r="F2097" s="3" t="s">
        <v>2722</v>
      </c>
      <c r="G2097" s="3" t="s">
        <v>2722</v>
      </c>
      <c r="I2097" s="3" t="s">
        <v>78</v>
      </c>
      <c r="J2097" s="1" t="s">
        <v>3303</v>
      </c>
      <c r="K2097" s="1" t="s">
        <v>3276</v>
      </c>
      <c r="L2097" s="1" t="s">
        <v>701</v>
      </c>
      <c r="M2097" s="3" t="s">
        <v>2724</v>
      </c>
      <c r="O2097" s="1" t="s">
        <v>410</v>
      </c>
      <c r="P2097" s="1" t="s">
        <v>92</v>
      </c>
      <c r="Q2097" s="2">
        <v>0.9</v>
      </c>
      <c r="R2097" s="138">
        <v>7382</v>
      </c>
      <c r="T2097" s="4">
        <v>1661.58</v>
      </c>
      <c r="U2097" s="4">
        <v>20000</v>
      </c>
      <c r="V2097" s="4">
        <v>21661.579999999998</v>
      </c>
      <c r="W2097" s="13">
        <f t="shared" si="306"/>
        <v>0</v>
      </c>
      <c r="X2097" s="13">
        <f t="shared" si="315"/>
        <v>19495.421999999999</v>
      </c>
      <c r="Y2097" s="13">
        <f t="shared" si="307"/>
        <v>0</v>
      </c>
      <c r="Z2097" s="2">
        <v>0</v>
      </c>
      <c r="AA2097" s="4">
        <v>0</v>
      </c>
      <c r="AB2097" s="4">
        <f t="shared" si="308"/>
        <v>19495.421999999999</v>
      </c>
      <c r="AC2097" s="6">
        <f t="shared" si="309"/>
        <v>2166.1579999999994</v>
      </c>
      <c r="AD2097" s="13">
        <f t="shared" si="313"/>
        <v>21661.579999999998</v>
      </c>
      <c r="AE2097" s="2">
        <v>0.17</v>
      </c>
      <c r="AF2097" s="5">
        <f t="shared" si="310"/>
        <v>3682.4686000000002</v>
      </c>
      <c r="AG2097" s="2">
        <v>0</v>
      </c>
      <c r="AH2097" s="5">
        <f t="shared" si="314"/>
        <v>21661.579999999998</v>
      </c>
      <c r="AJ2097" s="126" t="e">
        <v>#N/A</v>
      </c>
      <c r="AK2097" s="80">
        <f t="shared" si="311"/>
        <v>0</v>
      </c>
      <c r="AM2097" s="85"/>
    </row>
    <row r="2098" spans="1:39" hidden="1" x14ac:dyDescent="0.3">
      <c r="A2098" s="85" t="s">
        <v>34</v>
      </c>
      <c r="B2098" s="3" t="s">
        <v>701</v>
      </c>
      <c r="C2098" s="3" t="s">
        <v>59</v>
      </c>
      <c r="D2098" s="3" t="s">
        <v>60</v>
      </c>
      <c r="E2098" s="3" t="s">
        <v>2722</v>
      </c>
      <c r="F2098" s="3" t="s">
        <v>2722</v>
      </c>
      <c r="G2098" s="3" t="s">
        <v>2722</v>
      </c>
      <c r="I2098" s="3" t="s">
        <v>78</v>
      </c>
      <c r="J2098" s="1" t="s">
        <v>3303</v>
      </c>
      <c r="K2098" s="1" t="s">
        <v>3276</v>
      </c>
      <c r="L2098" s="1" t="s">
        <v>701</v>
      </c>
      <c r="M2098" s="3" t="s">
        <v>2725</v>
      </c>
      <c r="O2098" s="1" t="s">
        <v>410</v>
      </c>
      <c r="P2098" s="1" t="s">
        <v>92</v>
      </c>
      <c r="Q2098" s="2">
        <v>0.9</v>
      </c>
      <c r="R2098" s="138">
        <v>7392</v>
      </c>
      <c r="T2098" s="4">
        <v>3979.6399999999994</v>
      </c>
      <c r="U2098" s="4">
        <v>5000</v>
      </c>
      <c r="V2098" s="4">
        <v>3716.8199999999997</v>
      </c>
      <c r="W2098" s="13">
        <f t="shared" si="306"/>
        <v>5262.82</v>
      </c>
      <c r="X2098" s="13">
        <f t="shared" si="315"/>
        <v>3345.1379999999999</v>
      </c>
      <c r="Y2098" s="13">
        <f t="shared" si="307"/>
        <v>0</v>
      </c>
      <c r="Z2098" s="2">
        <v>0</v>
      </c>
      <c r="AA2098" s="4">
        <v>0</v>
      </c>
      <c r="AB2098" s="4">
        <f t="shared" si="308"/>
        <v>3345.1379999999999</v>
      </c>
      <c r="AC2098" s="6">
        <f t="shared" si="309"/>
        <v>371.68199999999979</v>
      </c>
      <c r="AD2098" s="13">
        <f t="shared" si="313"/>
        <v>3716.8199999999997</v>
      </c>
      <c r="AE2098" s="2">
        <v>0.17</v>
      </c>
      <c r="AF2098" s="5">
        <f t="shared" si="310"/>
        <v>631.85940000000005</v>
      </c>
      <c r="AG2098" s="2">
        <v>0</v>
      </c>
      <c r="AH2098" s="5">
        <f t="shared" si="314"/>
        <v>3716.8199999999997</v>
      </c>
      <c r="AJ2098" s="126" t="e">
        <v>#N/A</v>
      </c>
      <c r="AK2098" s="80">
        <f t="shared" si="311"/>
        <v>0</v>
      </c>
      <c r="AM2098" s="85"/>
    </row>
    <row r="2099" spans="1:39" hidden="1" x14ac:dyDescent="0.3">
      <c r="A2099" s="85" t="s">
        <v>34</v>
      </c>
      <c r="B2099" s="3" t="s">
        <v>701</v>
      </c>
      <c r="C2099" s="3" t="s">
        <v>59</v>
      </c>
      <c r="D2099" s="3" t="s">
        <v>60</v>
      </c>
      <c r="E2099" s="3" t="s">
        <v>2722</v>
      </c>
      <c r="F2099" s="3" t="s">
        <v>2722</v>
      </c>
      <c r="G2099" s="3" t="s">
        <v>2722</v>
      </c>
      <c r="I2099" s="3" t="s">
        <v>78</v>
      </c>
      <c r="J2099" s="1" t="s">
        <v>3303</v>
      </c>
      <c r="K2099" s="1" t="s">
        <v>3276</v>
      </c>
      <c r="L2099" s="1" t="s">
        <v>701</v>
      </c>
      <c r="M2099" s="3" t="s">
        <v>2726</v>
      </c>
      <c r="O2099" s="1" t="s">
        <v>410</v>
      </c>
      <c r="P2099" s="1" t="s">
        <v>92</v>
      </c>
      <c r="Q2099" s="2">
        <v>0.9</v>
      </c>
      <c r="R2099" s="138">
        <v>7200</v>
      </c>
      <c r="T2099" s="4">
        <v>5157.7099999999973</v>
      </c>
      <c r="U2099" s="4">
        <v>10000</v>
      </c>
      <c r="V2099" s="4">
        <v>12940.98</v>
      </c>
      <c r="W2099" s="13">
        <f t="shared" si="306"/>
        <v>2216.7299999999977</v>
      </c>
      <c r="X2099" s="13">
        <f t="shared" si="315"/>
        <v>11646.882</v>
      </c>
      <c r="Y2099" s="13">
        <f t="shared" si="307"/>
        <v>0</v>
      </c>
      <c r="Z2099" s="2">
        <v>0</v>
      </c>
      <c r="AA2099" s="4">
        <v>0</v>
      </c>
      <c r="AB2099" s="4">
        <f t="shared" si="308"/>
        <v>11646.882</v>
      </c>
      <c r="AC2099" s="6">
        <f t="shared" si="309"/>
        <v>1294.098</v>
      </c>
      <c r="AD2099" s="13">
        <f t="shared" si="313"/>
        <v>12940.98</v>
      </c>
      <c r="AE2099" s="2">
        <v>0.17</v>
      </c>
      <c r="AF2099" s="5">
        <f t="shared" si="310"/>
        <v>2199.9666000000002</v>
      </c>
      <c r="AG2099" s="2">
        <v>0</v>
      </c>
      <c r="AH2099" s="5">
        <f t="shared" si="314"/>
        <v>12940.98</v>
      </c>
      <c r="AJ2099" s="126" t="e">
        <v>#N/A</v>
      </c>
      <c r="AK2099" s="80">
        <f t="shared" si="311"/>
        <v>0</v>
      </c>
      <c r="AM2099" s="85"/>
    </row>
    <row r="2100" spans="1:39" hidden="1" x14ac:dyDescent="0.3">
      <c r="A2100" s="85" t="s">
        <v>34</v>
      </c>
      <c r="B2100" s="3" t="s">
        <v>701</v>
      </c>
      <c r="C2100" s="3" t="s">
        <v>59</v>
      </c>
      <c r="D2100" s="3" t="s">
        <v>60</v>
      </c>
      <c r="E2100" s="3" t="s">
        <v>2722</v>
      </c>
      <c r="F2100" s="3" t="s">
        <v>2722</v>
      </c>
      <c r="G2100" s="3" t="s">
        <v>2722</v>
      </c>
      <c r="I2100" s="3" t="s">
        <v>78</v>
      </c>
      <c r="J2100" s="1" t="s">
        <v>3303</v>
      </c>
      <c r="K2100" s="1" t="s">
        <v>3276</v>
      </c>
      <c r="L2100" s="1" t="s">
        <v>701</v>
      </c>
      <c r="M2100" s="3" t="s">
        <v>2727</v>
      </c>
      <c r="O2100" s="1" t="s">
        <v>410</v>
      </c>
      <c r="P2100" s="1" t="s">
        <v>92</v>
      </c>
      <c r="Q2100" s="2">
        <v>0.9</v>
      </c>
      <c r="R2100" s="138">
        <v>7136</v>
      </c>
      <c r="T2100" s="4">
        <v>18270.599999999999</v>
      </c>
      <c r="U2100" s="4">
        <v>10000</v>
      </c>
      <c r="V2100" s="4">
        <v>28306</v>
      </c>
      <c r="W2100" s="13">
        <f t="shared" si="306"/>
        <v>-35.400000000001455</v>
      </c>
      <c r="X2100" s="13">
        <f t="shared" si="315"/>
        <v>25475.4</v>
      </c>
      <c r="Y2100" s="13">
        <f t="shared" si="307"/>
        <v>0</v>
      </c>
      <c r="Z2100" s="2">
        <v>0</v>
      </c>
      <c r="AA2100" s="4">
        <v>0</v>
      </c>
      <c r="AB2100" s="4">
        <f t="shared" si="308"/>
        <v>25475.4</v>
      </c>
      <c r="AC2100" s="6">
        <f t="shared" si="309"/>
        <v>2830.5999999999985</v>
      </c>
      <c r="AD2100" s="13">
        <f t="shared" si="313"/>
        <v>28306</v>
      </c>
      <c r="AE2100" s="2">
        <v>0.17</v>
      </c>
      <c r="AF2100" s="5">
        <f t="shared" si="310"/>
        <v>4812.0200000000004</v>
      </c>
      <c r="AG2100" s="2">
        <v>0</v>
      </c>
      <c r="AH2100" s="5">
        <f t="shared" si="314"/>
        <v>28306</v>
      </c>
      <c r="AJ2100" s="126" t="e">
        <v>#N/A</v>
      </c>
      <c r="AK2100" s="80">
        <f t="shared" si="311"/>
        <v>0</v>
      </c>
      <c r="AM2100" s="85"/>
    </row>
    <row r="2101" spans="1:39" hidden="1" x14ac:dyDescent="0.3">
      <c r="A2101" s="85" t="s">
        <v>34</v>
      </c>
      <c r="B2101" s="3" t="s">
        <v>701</v>
      </c>
      <c r="C2101" s="3" t="s">
        <v>59</v>
      </c>
      <c r="D2101" s="3" t="s">
        <v>60</v>
      </c>
      <c r="E2101" s="3" t="s">
        <v>2722</v>
      </c>
      <c r="F2101" s="3" t="s">
        <v>2722</v>
      </c>
      <c r="G2101" s="3" t="s">
        <v>2722</v>
      </c>
      <c r="I2101" s="3" t="s">
        <v>78</v>
      </c>
      <c r="J2101" s="1" t="s">
        <v>3303</v>
      </c>
      <c r="K2101" s="1" t="s">
        <v>3276</v>
      </c>
      <c r="L2101" s="1" t="s">
        <v>701</v>
      </c>
      <c r="M2101" s="3" t="s">
        <v>2728</v>
      </c>
      <c r="O2101" s="1" t="s">
        <v>410</v>
      </c>
      <c r="P2101" s="1" t="s">
        <v>92</v>
      </c>
      <c r="Q2101" s="2">
        <v>0.9</v>
      </c>
      <c r="R2101" s="138">
        <v>7156</v>
      </c>
      <c r="T2101" s="4">
        <v>10653.14</v>
      </c>
      <c r="U2101" s="4">
        <v>5000</v>
      </c>
      <c r="V2101" s="4">
        <v>4650.6399999999994</v>
      </c>
      <c r="W2101" s="13">
        <f t="shared" si="306"/>
        <v>11002.5</v>
      </c>
      <c r="X2101" s="13">
        <f t="shared" si="315"/>
        <v>4185.576</v>
      </c>
      <c r="Y2101" s="13">
        <f t="shared" si="307"/>
        <v>0</v>
      </c>
      <c r="Z2101" s="2">
        <v>0</v>
      </c>
      <c r="AA2101" s="4">
        <v>0</v>
      </c>
      <c r="AB2101" s="4">
        <f t="shared" si="308"/>
        <v>4185.576</v>
      </c>
      <c r="AC2101" s="6">
        <f t="shared" si="309"/>
        <v>465.0639999999994</v>
      </c>
      <c r="AD2101" s="13">
        <f t="shared" si="313"/>
        <v>4650.6399999999994</v>
      </c>
      <c r="AE2101" s="2">
        <v>0.17</v>
      </c>
      <c r="AF2101" s="5">
        <f t="shared" si="310"/>
        <v>790.60879999999997</v>
      </c>
      <c r="AG2101" s="2">
        <v>0</v>
      </c>
      <c r="AH2101" s="5">
        <f t="shared" si="314"/>
        <v>4650.6399999999994</v>
      </c>
      <c r="AJ2101" s="126" t="e">
        <v>#N/A</v>
      </c>
      <c r="AK2101" s="80">
        <f t="shared" si="311"/>
        <v>0</v>
      </c>
      <c r="AM2101" s="85"/>
    </row>
    <row r="2102" spans="1:39" hidden="1" x14ac:dyDescent="0.3">
      <c r="A2102" s="85" t="s">
        <v>34</v>
      </c>
      <c r="B2102" s="3" t="s">
        <v>701</v>
      </c>
      <c r="C2102" s="3" t="s">
        <v>59</v>
      </c>
      <c r="D2102" s="3" t="s">
        <v>60</v>
      </c>
      <c r="E2102" s="3" t="s">
        <v>2722</v>
      </c>
      <c r="F2102" s="3" t="s">
        <v>2722</v>
      </c>
      <c r="G2102" s="3" t="s">
        <v>2722</v>
      </c>
      <c r="I2102" s="3" t="s">
        <v>78</v>
      </c>
      <c r="J2102" s="1" t="s">
        <v>3303</v>
      </c>
      <c r="K2102" s="1" t="s">
        <v>3276</v>
      </c>
      <c r="L2102" s="1" t="s">
        <v>701</v>
      </c>
      <c r="M2102" s="3" t="s">
        <v>2729</v>
      </c>
      <c r="O2102" s="1" t="s">
        <v>410</v>
      </c>
      <c r="P2102" s="1" t="s">
        <v>92</v>
      </c>
      <c r="Q2102" s="2">
        <v>0.9</v>
      </c>
      <c r="R2102" s="138">
        <v>7508</v>
      </c>
      <c r="T2102" s="4">
        <v>2784.39</v>
      </c>
      <c r="U2102" s="4">
        <v>5000</v>
      </c>
      <c r="V2102" s="4">
        <v>3506.71</v>
      </c>
      <c r="W2102" s="13">
        <f t="shared" si="306"/>
        <v>4277.6799999999994</v>
      </c>
      <c r="X2102" s="13">
        <f t="shared" si="315"/>
        <v>3156.0390000000002</v>
      </c>
      <c r="Y2102" s="13">
        <f t="shared" si="307"/>
        <v>0</v>
      </c>
      <c r="Z2102" s="2">
        <v>0</v>
      </c>
      <c r="AA2102" s="4">
        <v>0</v>
      </c>
      <c r="AB2102" s="4">
        <f t="shared" si="308"/>
        <v>3156.0390000000002</v>
      </c>
      <c r="AC2102" s="6">
        <f t="shared" si="309"/>
        <v>350.67099999999982</v>
      </c>
      <c r="AD2102" s="13">
        <f t="shared" si="313"/>
        <v>3506.71</v>
      </c>
      <c r="AE2102" s="2">
        <v>0.17</v>
      </c>
      <c r="AF2102" s="5">
        <f t="shared" si="310"/>
        <v>596.14070000000004</v>
      </c>
      <c r="AG2102" s="2">
        <v>0</v>
      </c>
      <c r="AH2102" s="5">
        <f t="shared" si="314"/>
        <v>3506.71</v>
      </c>
      <c r="AJ2102" s="126" t="e">
        <v>#N/A</v>
      </c>
      <c r="AK2102" s="80">
        <f t="shared" si="311"/>
        <v>0</v>
      </c>
      <c r="AM2102" s="85"/>
    </row>
    <row r="2103" spans="1:39" hidden="1" x14ac:dyDescent="0.3">
      <c r="A2103" s="85" t="s">
        <v>34</v>
      </c>
      <c r="B2103" s="3" t="s">
        <v>701</v>
      </c>
      <c r="C2103" s="3" t="s">
        <v>59</v>
      </c>
      <c r="D2103" s="3" t="s">
        <v>60</v>
      </c>
      <c r="E2103" s="3" t="s">
        <v>85</v>
      </c>
      <c r="F2103" s="3" t="s">
        <v>2730</v>
      </c>
      <c r="G2103" s="3" t="s">
        <v>85</v>
      </c>
      <c r="H2103" s="138"/>
      <c r="I2103" s="3" t="s">
        <v>78</v>
      </c>
      <c r="J2103" s="1" t="s">
        <v>3303</v>
      </c>
      <c r="K2103" s="1" t="s">
        <v>3276</v>
      </c>
      <c r="L2103" s="1" t="s">
        <v>701</v>
      </c>
      <c r="M2103" s="3" t="s">
        <v>2731</v>
      </c>
      <c r="O2103" s="1" t="s">
        <v>410</v>
      </c>
      <c r="P2103" s="1" t="s">
        <v>75</v>
      </c>
      <c r="Q2103" s="2">
        <v>0.1</v>
      </c>
      <c r="R2103" s="138">
        <v>7481</v>
      </c>
      <c r="T2103" s="4">
        <v>0</v>
      </c>
      <c r="U2103" s="4">
        <v>424000</v>
      </c>
      <c r="V2103" s="4">
        <v>0</v>
      </c>
      <c r="W2103" s="13">
        <f t="shared" si="306"/>
        <v>424000</v>
      </c>
      <c r="X2103" s="13">
        <f t="shared" si="315"/>
        <v>0</v>
      </c>
      <c r="Y2103" s="13">
        <f t="shared" si="307"/>
        <v>0</v>
      </c>
      <c r="Z2103" s="2">
        <v>0</v>
      </c>
      <c r="AA2103" s="4">
        <v>0</v>
      </c>
      <c r="AB2103" s="4">
        <f t="shared" si="308"/>
        <v>0</v>
      </c>
      <c r="AC2103" s="6">
        <f t="shared" si="309"/>
        <v>0</v>
      </c>
      <c r="AD2103" s="13">
        <f t="shared" si="313"/>
        <v>0</v>
      </c>
      <c r="AE2103" s="2">
        <v>0.17</v>
      </c>
      <c r="AF2103" s="5">
        <f t="shared" si="310"/>
        <v>0</v>
      </c>
      <c r="AG2103" s="2">
        <v>0</v>
      </c>
      <c r="AH2103" s="5">
        <f t="shared" si="314"/>
        <v>0</v>
      </c>
      <c r="AJ2103" s="126" t="e">
        <v>#N/A</v>
      </c>
      <c r="AK2103" s="80">
        <f t="shared" si="311"/>
        <v>0</v>
      </c>
      <c r="AM2103" s="85"/>
    </row>
    <row r="2104" spans="1:39" hidden="1" x14ac:dyDescent="0.3">
      <c r="A2104" s="85" t="s">
        <v>34</v>
      </c>
      <c r="B2104" s="3" t="s">
        <v>701</v>
      </c>
      <c r="C2104" s="3" t="s">
        <v>59</v>
      </c>
      <c r="D2104" s="3" t="s">
        <v>60</v>
      </c>
      <c r="E2104" s="3" t="s">
        <v>758</v>
      </c>
      <c r="F2104" s="3" t="s">
        <v>757</v>
      </c>
      <c r="G2104" s="3" t="s">
        <v>758</v>
      </c>
      <c r="I2104" s="3" t="s">
        <v>78</v>
      </c>
      <c r="J2104" s="1" t="s">
        <v>3303</v>
      </c>
      <c r="K2104" s="1" t="s">
        <v>3276</v>
      </c>
      <c r="L2104" s="1" t="s">
        <v>701</v>
      </c>
      <c r="M2104" s="3" t="s">
        <v>2732</v>
      </c>
      <c r="O2104" s="1" t="s">
        <v>410</v>
      </c>
      <c r="P2104" s="1" t="s">
        <v>46</v>
      </c>
      <c r="Q2104" s="2">
        <v>0.02</v>
      </c>
      <c r="R2104" s="138">
        <v>102</v>
      </c>
      <c r="T2104" s="4">
        <v>24709.949999999993</v>
      </c>
      <c r="U2104" s="4">
        <v>90000</v>
      </c>
      <c r="V2104" s="4">
        <v>47443.569999999992</v>
      </c>
      <c r="W2104" s="13">
        <f t="shared" si="306"/>
        <v>67266.38</v>
      </c>
      <c r="X2104" s="13">
        <f t="shared" si="315"/>
        <v>46513.303921568622</v>
      </c>
      <c r="Y2104" s="13">
        <f t="shared" si="307"/>
        <v>0</v>
      </c>
      <c r="Z2104" s="2">
        <v>0</v>
      </c>
      <c r="AA2104" s="4">
        <v>0</v>
      </c>
      <c r="AB2104" s="4">
        <f t="shared" si="308"/>
        <v>46513.303921568622</v>
      </c>
      <c r="AC2104" s="6">
        <f t="shared" si="309"/>
        <v>930.26607843137026</v>
      </c>
      <c r="AD2104" s="13">
        <f t="shared" si="313"/>
        <v>47443.569999999992</v>
      </c>
      <c r="AE2104" s="2">
        <v>0.17</v>
      </c>
      <c r="AF2104" s="5">
        <f t="shared" si="310"/>
        <v>8065.406899999999</v>
      </c>
      <c r="AG2104" s="2">
        <v>0</v>
      </c>
      <c r="AH2104" s="5">
        <f t="shared" si="314"/>
        <v>47443.569999999992</v>
      </c>
      <c r="AJ2104" s="126" t="e">
        <v>#N/A</v>
      </c>
      <c r="AK2104" s="80">
        <f t="shared" si="311"/>
        <v>0</v>
      </c>
      <c r="AM2104" s="85"/>
    </row>
    <row r="2105" spans="1:39" hidden="1" x14ac:dyDescent="0.3">
      <c r="A2105" s="85" t="s">
        <v>34</v>
      </c>
      <c r="B2105" s="3" t="s">
        <v>701</v>
      </c>
      <c r="C2105" s="3" t="s">
        <v>36</v>
      </c>
      <c r="D2105" s="3" t="s">
        <v>224</v>
      </c>
      <c r="E2105" s="3" t="s">
        <v>2733</v>
      </c>
      <c r="F2105" s="3" t="s">
        <v>2733</v>
      </c>
      <c r="G2105" s="3" t="s">
        <v>2733</v>
      </c>
      <c r="H2105" s="138"/>
      <c r="I2105" s="3" t="s">
        <v>78</v>
      </c>
      <c r="J2105" s="1" t="s">
        <v>3303</v>
      </c>
      <c r="K2105" s="1" t="s">
        <v>3276</v>
      </c>
      <c r="L2105" s="1" t="s">
        <v>701</v>
      </c>
      <c r="M2105" s="3" t="s">
        <v>2733</v>
      </c>
      <c r="O2105" s="1" t="s">
        <v>410</v>
      </c>
      <c r="P2105" s="1" t="s">
        <v>46</v>
      </c>
      <c r="Q2105" s="2">
        <v>0.02</v>
      </c>
      <c r="R2105" s="138">
        <v>7522</v>
      </c>
      <c r="T2105" s="4">
        <v>3463.6</v>
      </c>
      <c r="U2105" s="4">
        <v>-3463.6</v>
      </c>
      <c r="V2105" s="4">
        <v>0</v>
      </c>
      <c r="W2105" s="13">
        <f t="shared" si="306"/>
        <v>0</v>
      </c>
      <c r="X2105" s="13">
        <f t="shared" si="315"/>
        <v>0</v>
      </c>
      <c r="Y2105" s="13">
        <f t="shared" si="307"/>
        <v>0</v>
      </c>
      <c r="Z2105" s="2">
        <v>0</v>
      </c>
      <c r="AA2105" s="4">
        <v>0</v>
      </c>
      <c r="AB2105" s="4">
        <f t="shared" si="308"/>
        <v>0</v>
      </c>
      <c r="AC2105" s="6">
        <f t="shared" si="309"/>
        <v>0</v>
      </c>
      <c r="AD2105" s="13">
        <f t="shared" si="313"/>
        <v>0</v>
      </c>
      <c r="AE2105" s="2">
        <v>0.17</v>
      </c>
      <c r="AF2105" s="5">
        <f t="shared" si="310"/>
        <v>0</v>
      </c>
      <c r="AG2105" s="2">
        <v>0</v>
      </c>
      <c r="AH2105" s="5">
        <f t="shared" si="314"/>
        <v>0</v>
      </c>
      <c r="AJ2105" s="126" t="e">
        <v>#N/A</v>
      </c>
      <c r="AK2105" s="80">
        <f t="shared" si="311"/>
        <v>0</v>
      </c>
      <c r="AM2105" s="85"/>
    </row>
    <row r="2106" spans="1:39" hidden="1" x14ac:dyDescent="0.3">
      <c r="A2106" s="85" t="s">
        <v>34</v>
      </c>
      <c r="B2106" s="3" t="s">
        <v>701</v>
      </c>
      <c r="C2106" s="3" t="s">
        <v>36</v>
      </c>
      <c r="D2106" s="3" t="s">
        <v>224</v>
      </c>
      <c r="E2106" s="3" t="s">
        <v>2734</v>
      </c>
      <c r="F2106" s="3" t="s">
        <v>2734</v>
      </c>
      <c r="G2106" s="3" t="s">
        <v>2734</v>
      </c>
      <c r="I2106" s="3" t="s">
        <v>78</v>
      </c>
      <c r="J2106" s="1" t="s">
        <v>3303</v>
      </c>
      <c r="K2106" s="1" t="s">
        <v>3276</v>
      </c>
      <c r="L2106" s="1" t="s">
        <v>701</v>
      </c>
      <c r="M2106" s="3" t="s">
        <v>2734</v>
      </c>
      <c r="O2106" s="1" t="s">
        <v>410</v>
      </c>
      <c r="P2106" s="1" t="s">
        <v>41</v>
      </c>
      <c r="Q2106" s="2">
        <v>0</v>
      </c>
      <c r="R2106" s="138">
        <v>7569</v>
      </c>
      <c r="T2106" s="4">
        <v>4532.79</v>
      </c>
      <c r="U2106" s="4">
        <v>5000</v>
      </c>
      <c r="V2106" s="4">
        <v>4221.08</v>
      </c>
      <c r="W2106" s="13">
        <f t="shared" si="306"/>
        <v>5311.7100000000009</v>
      </c>
      <c r="X2106" s="13">
        <f t="shared" si="315"/>
        <v>4221.08</v>
      </c>
      <c r="Y2106" s="13">
        <f t="shared" si="307"/>
        <v>0</v>
      </c>
      <c r="Z2106" s="2">
        <v>0</v>
      </c>
      <c r="AA2106" s="4">
        <v>0</v>
      </c>
      <c r="AB2106" s="4">
        <f t="shared" si="308"/>
        <v>4221.08</v>
      </c>
      <c r="AC2106" s="6">
        <f t="shared" si="309"/>
        <v>0</v>
      </c>
      <c r="AD2106" s="13">
        <f t="shared" si="313"/>
        <v>4221.08</v>
      </c>
      <c r="AE2106" s="2">
        <v>0.17</v>
      </c>
      <c r="AF2106" s="5">
        <f t="shared" si="310"/>
        <v>717.58360000000005</v>
      </c>
      <c r="AG2106" s="2">
        <v>0</v>
      </c>
      <c r="AH2106" s="5">
        <f t="shared" si="314"/>
        <v>4221.08</v>
      </c>
      <c r="AJ2106" s="126" t="e">
        <v>#N/A</v>
      </c>
      <c r="AK2106" s="80">
        <f t="shared" si="311"/>
        <v>0</v>
      </c>
      <c r="AM2106" s="85"/>
    </row>
    <row r="2107" spans="1:39" hidden="1" x14ac:dyDescent="0.3">
      <c r="A2107" s="85" t="s">
        <v>34</v>
      </c>
      <c r="B2107" s="3" t="s">
        <v>701</v>
      </c>
      <c r="C2107" s="3" t="s">
        <v>36</v>
      </c>
      <c r="D2107" s="3" t="s">
        <v>224</v>
      </c>
      <c r="E2107" s="3" t="s">
        <v>2734</v>
      </c>
      <c r="F2107" s="3" t="s">
        <v>2734</v>
      </c>
      <c r="G2107" s="3" t="s">
        <v>2734</v>
      </c>
      <c r="I2107" s="3" t="s">
        <v>78</v>
      </c>
      <c r="J2107" s="1" t="s">
        <v>3303</v>
      </c>
      <c r="K2107" s="1" t="s">
        <v>3276</v>
      </c>
      <c r="L2107" s="1" t="s">
        <v>701</v>
      </c>
      <c r="M2107" s="3" t="s">
        <v>2735</v>
      </c>
      <c r="O2107" s="1" t="s">
        <v>410</v>
      </c>
      <c r="P2107" s="1" t="s">
        <v>41</v>
      </c>
      <c r="Q2107" s="2">
        <v>0</v>
      </c>
      <c r="R2107" s="138">
        <v>7647</v>
      </c>
      <c r="T2107" s="4">
        <v>0</v>
      </c>
      <c r="U2107" s="4">
        <v>20000</v>
      </c>
      <c r="V2107" s="4">
        <v>431.84</v>
      </c>
      <c r="W2107" s="13">
        <f t="shared" si="306"/>
        <v>19568.16</v>
      </c>
      <c r="X2107" s="13">
        <f t="shared" si="315"/>
        <v>431.84</v>
      </c>
      <c r="Y2107" s="13">
        <f t="shared" si="307"/>
        <v>0</v>
      </c>
      <c r="Z2107" s="2">
        <v>0</v>
      </c>
      <c r="AA2107" s="4">
        <v>0</v>
      </c>
      <c r="AB2107" s="4">
        <f t="shared" si="308"/>
        <v>431.84</v>
      </c>
      <c r="AC2107" s="6">
        <f t="shared" si="309"/>
        <v>0</v>
      </c>
      <c r="AD2107" s="13">
        <f t="shared" si="313"/>
        <v>431.84</v>
      </c>
      <c r="AE2107" s="2">
        <v>0.17</v>
      </c>
      <c r="AF2107" s="5">
        <f t="shared" si="310"/>
        <v>73.412800000000004</v>
      </c>
      <c r="AG2107" s="2">
        <v>0</v>
      </c>
      <c r="AH2107" s="5">
        <f t="shared" si="314"/>
        <v>431.84</v>
      </c>
      <c r="AJ2107" s="126" t="e">
        <v>#N/A</v>
      </c>
      <c r="AK2107" s="80">
        <f t="shared" si="311"/>
        <v>0</v>
      </c>
      <c r="AM2107" s="85"/>
    </row>
    <row r="2108" spans="1:39" hidden="1" x14ac:dyDescent="0.3">
      <c r="A2108" s="85" t="s">
        <v>34</v>
      </c>
      <c r="B2108" s="3" t="s">
        <v>701</v>
      </c>
      <c r="C2108" s="3" t="s">
        <v>36</v>
      </c>
      <c r="D2108" s="3" t="s">
        <v>224</v>
      </c>
      <c r="E2108" s="3" t="s">
        <v>2736</v>
      </c>
      <c r="F2108" s="3" t="s">
        <v>2736</v>
      </c>
      <c r="G2108" s="3" t="s">
        <v>2736</v>
      </c>
      <c r="I2108" s="3" t="s">
        <v>78</v>
      </c>
      <c r="J2108" s="1" t="s">
        <v>3303</v>
      </c>
      <c r="K2108" s="1" t="s">
        <v>3276</v>
      </c>
      <c r="L2108" s="1" t="s">
        <v>701</v>
      </c>
      <c r="M2108" s="3" t="s">
        <v>2737</v>
      </c>
      <c r="O2108" s="1" t="s">
        <v>410</v>
      </c>
      <c r="P2108" s="1" t="s">
        <v>41</v>
      </c>
      <c r="Q2108" s="2">
        <v>0</v>
      </c>
      <c r="R2108" s="138">
        <v>7454</v>
      </c>
      <c r="T2108" s="4">
        <v>0</v>
      </c>
      <c r="U2108" s="4">
        <v>10000</v>
      </c>
      <c r="V2108" s="4">
        <v>410.49990000000003</v>
      </c>
      <c r="W2108" s="13">
        <f t="shared" si="306"/>
        <v>9589.5000999999993</v>
      </c>
      <c r="X2108" s="13">
        <f t="shared" si="315"/>
        <v>410.49990000000003</v>
      </c>
      <c r="Y2108" s="13">
        <f t="shared" si="307"/>
        <v>0</v>
      </c>
      <c r="Z2108" s="2">
        <v>0</v>
      </c>
      <c r="AA2108" s="4">
        <v>0</v>
      </c>
      <c r="AB2108" s="4">
        <f t="shared" si="308"/>
        <v>410.49990000000003</v>
      </c>
      <c r="AC2108" s="6">
        <f t="shared" si="309"/>
        <v>0</v>
      </c>
      <c r="AD2108" s="13">
        <f t="shared" si="313"/>
        <v>410.49990000000003</v>
      </c>
      <c r="AE2108" s="2">
        <v>0.17</v>
      </c>
      <c r="AF2108" s="5">
        <f t="shared" si="310"/>
        <v>69.784983000000011</v>
      </c>
      <c r="AG2108" s="2">
        <v>0</v>
      </c>
      <c r="AH2108" s="5">
        <f t="shared" si="314"/>
        <v>410.49990000000003</v>
      </c>
      <c r="AJ2108" s="126" t="e">
        <v>#N/A</v>
      </c>
      <c r="AK2108" s="80">
        <f t="shared" si="311"/>
        <v>0</v>
      </c>
      <c r="AM2108" s="85"/>
    </row>
    <row r="2109" spans="1:39" hidden="1" x14ac:dyDescent="0.3">
      <c r="A2109" s="85" t="s">
        <v>34</v>
      </c>
      <c r="B2109" s="3" t="s">
        <v>701</v>
      </c>
      <c r="C2109" s="3" t="s">
        <v>36</v>
      </c>
      <c r="D2109" s="3" t="s">
        <v>224</v>
      </c>
      <c r="E2109" s="3" t="s">
        <v>2738</v>
      </c>
      <c r="F2109" s="3" t="s">
        <v>2738</v>
      </c>
      <c r="G2109" s="3" t="s">
        <v>2738</v>
      </c>
      <c r="I2109" s="3" t="s">
        <v>78</v>
      </c>
      <c r="J2109" s="1" t="s">
        <v>3303</v>
      </c>
      <c r="K2109" s="1" t="s">
        <v>3276</v>
      </c>
      <c r="L2109" s="1" t="s">
        <v>701</v>
      </c>
      <c r="M2109" s="3" t="s">
        <v>2738</v>
      </c>
      <c r="O2109" s="1" t="s">
        <v>410</v>
      </c>
      <c r="P2109" s="1" t="s">
        <v>41</v>
      </c>
      <c r="Q2109" s="2">
        <v>0</v>
      </c>
      <c r="R2109" s="138">
        <v>7363</v>
      </c>
      <c r="T2109" s="4">
        <v>3882.7</v>
      </c>
      <c r="U2109" s="4">
        <v>5000</v>
      </c>
      <c r="V2109" s="4">
        <v>5264.3</v>
      </c>
      <c r="W2109" s="13">
        <f t="shared" si="306"/>
        <v>3618.4000000000005</v>
      </c>
      <c r="X2109" s="13">
        <f t="shared" si="315"/>
        <v>5264.3</v>
      </c>
      <c r="Y2109" s="13">
        <f t="shared" si="307"/>
        <v>0</v>
      </c>
      <c r="Z2109" s="2">
        <v>0</v>
      </c>
      <c r="AA2109" s="4">
        <v>0</v>
      </c>
      <c r="AB2109" s="4">
        <f t="shared" si="308"/>
        <v>5264.3</v>
      </c>
      <c r="AC2109" s="6">
        <f t="shared" si="309"/>
        <v>0</v>
      </c>
      <c r="AD2109" s="13">
        <f t="shared" si="313"/>
        <v>5264.3</v>
      </c>
      <c r="AE2109" s="2">
        <v>0.17</v>
      </c>
      <c r="AF2109" s="5">
        <f t="shared" si="310"/>
        <v>894.93100000000004</v>
      </c>
      <c r="AG2109" s="2">
        <v>0</v>
      </c>
      <c r="AH2109" s="5">
        <f t="shared" si="314"/>
        <v>5264.3</v>
      </c>
      <c r="AJ2109" s="126" t="e">
        <v>#N/A</v>
      </c>
      <c r="AK2109" s="80">
        <f t="shared" si="311"/>
        <v>0</v>
      </c>
      <c r="AM2109" s="85"/>
    </row>
    <row r="2110" spans="1:39" hidden="1" x14ac:dyDescent="0.3">
      <c r="A2110" s="85" t="s">
        <v>34</v>
      </c>
      <c r="B2110" s="3" t="s">
        <v>701</v>
      </c>
      <c r="C2110" s="3" t="s">
        <v>36</v>
      </c>
      <c r="D2110" s="3" t="s">
        <v>54</v>
      </c>
      <c r="E2110" s="3" t="s">
        <v>887</v>
      </c>
      <c r="F2110" s="3" t="s">
        <v>2739</v>
      </c>
      <c r="G2110" s="3" t="s">
        <v>887</v>
      </c>
      <c r="I2110" s="3" t="s">
        <v>78</v>
      </c>
      <c r="J2110" s="1" t="s">
        <v>3303</v>
      </c>
      <c r="K2110" s="1" t="s">
        <v>3276</v>
      </c>
      <c r="L2110" s="1" t="s">
        <v>701</v>
      </c>
      <c r="M2110" s="3" t="s">
        <v>1858</v>
      </c>
      <c r="O2110" s="1" t="s">
        <v>410</v>
      </c>
      <c r="P2110" s="1" t="s">
        <v>41</v>
      </c>
      <c r="Q2110" s="2">
        <v>0</v>
      </c>
      <c r="R2110" s="138">
        <v>7127</v>
      </c>
      <c r="T2110" s="4">
        <v>4000.1199999999808</v>
      </c>
      <c r="U2110" s="4">
        <v>120000</v>
      </c>
      <c r="V2110" s="4">
        <v>77720.92</v>
      </c>
      <c r="W2110" s="13">
        <f t="shared" si="306"/>
        <v>46279.199999999983</v>
      </c>
      <c r="X2110" s="13">
        <f t="shared" si="315"/>
        <v>77720.92</v>
      </c>
      <c r="Y2110" s="13">
        <f t="shared" si="307"/>
        <v>0</v>
      </c>
      <c r="Z2110" s="2">
        <v>0</v>
      </c>
      <c r="AA2110" s="4">
        <v>0</v>
      </c>
      <c r="AB2110" s="4">
        <f t="shared" si="308"/>
        <v>77720.92</v>
      </c>
      <c r="AC2110" s="6">
        <f t="shared" si="309"/>
        <v>0</v>
      </c>
      <c r="AD2110" s="13">
        <f t="shared" si="313"/>
        <v>77720.92</v>
      </c>
      <c r="AE2110" s="2">
        <v>0.17</v>
      </c>
      <c r="AF2110" s="5">
        <f t="shared" si="310"/>
        <v>13212.556400000001</v>
      </c>
      <c r="AG2110" s="2">
        <v>0</v>
      </c>
      <c r="AH2110" s="5">
        <f t="shared" si="314"/>
        <v>77720.92</v>
      </c>
      <c r="AJ2110" s="126" t="e">
        <v>#N/A</v>
      </c>
      <c r="AK2110" s="80">
        <f t="shared" si="311"/>
        <v>0</v>
      </c>
      <c r="AM2110" s="85"/>
    </row>
    <row r="2111" spans="1:39" hidden="1" x14ac:dyDescent="0.3">
      <c r="A2111" s="85" t="s">
        <v>34</v>
      </c>
      <c r="B2111" s="3" t="s">
        <v>701</v>
      </c>
      <c r="C2111" s="3" t="s">
        <v>36</v>
      </c>
      <c r="D2111" s="3" t="s">
        <v>54</v>
      </c>
      <c r="E2111" s="3" t="s">
        <v>887</v>
      </c>
      <c r="F2111" s="3" t="s">
        <v>2739</v>
      </c>
      <c r="G2111" s="3" t="s">
        <v>887</v>
      </c>
      <c r="I2111" s="3" t="s">
        <v>78</v>
      </c>
      <c r="J2111" s="1" t="s">
        <v>3303</v>
      </c>
      <c r="K2111" s="1" t="s">
        <v>3276</v>
      </c>
      <c r="L2111" s="1" t="s">
        <v>701</v>
      </c>
      <c r="M2111" s="3" t="s">
        <v>73</v>
      </c>
      <c r="O2111" s="1" t="s">
        <v>410</v>
      </c>
      <c r="P2111" s="1" t="s">
        <v>41</v>
      </c>
      <c r="Q2111" s="2">
        <v>0</v>
      </c>
      <c r="R2111" s="138">
        <v>7130</v>
      </c>
      <c r="T2111" s="4">
        <v>6082.8900000000722</v>
      </c>
      <c r="U2111" s="4">
        <v>200000</v>
      </c>
      <c r="V2111" s="4">
        <v>150275.97999999998</v>
      </c>
      <c r="W2111" s="13">
        <f t="shared" si="306"/>
        <v>55806.910000000091</v>
      </c>
      <c r="X2111" s="13">
        <f t="shared" si="315"/>
        <v>150275.97999999998</v>
      </c>
      <c r="Y2111" s="13">
        <f t="shared" si="307"/>
        <v>0</v>
      </c>
      <c r="Z2111" s="2">
        <v>0</v>
      </c>
      <c r="AA2111" s="4">
        <v>0</v>
      </c>
      <c r="AB2111" s="4">
        <f t="shared" si="308"/>
        <v>150275.97999999998</v>
      </c>
      <c r="AC2111" s="6">
        <f t="shared" si="309"/>
        <v>0</v>
      </c>
      <c r="AD2111" s="13">
        <f t="shared" si="313"/>
        <v>150275.97999999998</v>
      </c>
      <c r="AE2111" s="2">
        <v>0.17</v>
      </c>
      <c r="AF2111" s="5">
        <f t="shared" si="310"/>
        <v>25546.9166</v>
      </c>
      <c r="AG2111" s="2">
        <v>0</v>
      </c>
      <c r="AH2111" s="5">
        <f t="shared" si="314"/>
        <v>150275.97999999998</v>
      </c>
      <c r="AJ2111" s="126" t="e">
        <v>#N/A</v>
      </c>
      <c r="AK2111" s="80">
        <f t="shared" si="311"/>
        <v>0</v>
      </c>
      <c r="AM2111" s="85"/>
    </row>
    <row r="2112" spans="1:39" hidden="1" x14ac:dyDescent="0.3">
      <c r="A2112" s="85" t="s">
        <v>34</v>
      </c>
      <c r="B2112" s="3" t="s">
        <v>701</v>
      </c>
      <c r="C2112" s="3" t="s">
        <v>36</v>
      </c>
      <c r="D2112" s="3" t="s">
        <v>54</v>
      </c>
      <c r="E2112" s="3" t="s">
        <v>2740</v>
      </c>
      <c r="F2112" s="3" t="s">
        <v>2740</v>
      </c>
      <c r="G2112" s="3" t="s">
        <v>2740</v>
      </c>
      <c r="I2112" s="3" t="s">
        <v>78</v>
      </c>
      <c r="J2112" s="1" t="s">
        <v>3303</v>
      </c>
      <c r="K2112" s="1" t="s">
        <v>3276</v>
      </c>
      <c r="L2112" s="1" t="s">
        <v>701</v>
      </c>
      <c r="M2112" s="3" t="s">
        <v>2741</v>
      </c>
      <c r="O2112" s="1" t="s">
        <v>410</v>
      </c>
      <c r="P2112" s="1" t="s">
        <v>41</v>
      </c>
      <c r="Q2112" s="2">
        <v>0</v>
      </c>
      <c r="R2112" s="138">
        <v>7120</v>
      </c>
      <c r="T2112" s="4">
        <v>7549.6100000000006</v>
      </c>
      <c r="U2112" s="4">
        <v>30000</v>
      </c>
      <c r="V2112" s="4">
        <v>22925.9</v>
      </c>
      <c r="W2112" s="13">
        <f t="shared" ref="W2112:W2175" si="316">T2112+U2112-V2112</f>
        <v>14623.71</v>
      </c>
      <c r="X2112" s="13">
        <f t="shared" si="315"/>
        <v>22925.9</v>
      </c>
      <c r="Y2112" s="13">
        <f t="shared" si="307"/>
        <v>0</v>
      </c>
      <c r="Z2112" s="2">
        <v>0</v>
      </c>
      <c r="AA2112" s="4">
        <v>0</v>
      </c>
      <c r="AB2112" s="4">
        <f t="shared" si="308"/>
        <v>22925.9</v>
      </c>
      <c r="AC2112" s="6">
        <f t="shared" si="309"/>
        <v>0</v>
      </c>
      <c r="AD2112" s="13">
        <f t="shared" si="313"/>
        <v>22925.9</v>
      </c>
      <c r="AE2112" s="2">
        <v>0.17</v>
      </c>
      <c r="AF2112" s="5">
        <f t="shared" si="310"/>
        <v>3897.4030000000007</v>
      </c>
      <c r="AG2112" s="2">
        <v>0</v>
      </c>
      <c r="AH2112" s="5">
        <f t="shared" si="314"/>
        <v>22925.9</v>
      </c>
      <c r="AJ2112" s="126" t="e">
        <v>#N/A</v>
      </c>
      <c r="AK2112" s="80">
        <f t="shared" si="311"/>
        <v>0</v>
      </c>
      <c r="AM2112" s="85"/>
    </row>
    <row r="2113" spans="1:39" hidden="1" x14ac:dyDescent="0.3">
      <c r="A2113" s="85" t="s">
        <v>34</v>
      </c>
      <c r="B2113" s="3" t="s">
        <v>701</v>
      </c>
      <c r="C2113" s="3" t="s">
        <v>36</v>
      </c>
      <c r="D2113" s="3" t="s">
        <v>54</v>
      </c>
      <c r="E2113" s="3" t="s">
        <v>103</v>
      </c>
      <c r="F2113" s="3" t="s">
        <v>2742</v>
      </c>
      <c r="G2113" s="3" t="s">
        <v>103</v>
      </c>
      <c r="H2113" s="138"/>
      <c r="I2113" s="3" t="s">
        <v>78</v>
      </c>
      <c r="J2113" s="1" t="s">
        <v>3303</v>
      </c>
      <c r="K2113" s="1" t="s">
        <v>3276</v>
      </c>
      <c r="L2113" s="1" t="s">
        <v>701</v>
      </c>
      <c r="M2113" s="3" t="s">
        <v>103</v>
      </c>
      <c r="O2113" s="1" t="s">
        <v>410</v>
      </c>
      <c r="P2113" s="1" t="s">
        <v>46</v>
      </c>
      <c r="Q2113" s="2">
        <v>0.03</v>
      </c>
      <c r="R2113" s="138">
        <v>7199</v>
      </c>
      <c r="T2113" s="4">
        <v>42059.699999999837</v>
      </c>
      <c r="U2113" s="4">
        <v>-42059.7</v>
      </c>
      <c r="V2113" s="4">
        <v>0</v>
      </c>
      <c r="W2113" s="13">
        <f t="shared" si="316"/>
        <v>-1.6007106751203537E-10</v>
      </c>
      <c r="X2113" s="13">
        <f t="shared" si="315"/>
        <v>0</v>
      </c>
      <c r="Y2113" s="13">
        <f t="shared" si="307"/>
        <v>0</v>
      </c>
      <c r="Z2113" s="2">
        <v>0</v>
      </c>
      <c r="AA2113" s="4">
        <v>0</v>
      </c>
      <c r="AB2113" s="4">
        <f t="shared" si="308"/>
        <v>0</v>
      </c>
      <c r="AC2113" s="6">
        <f t="shared" si="309"/>
        <v>0</v>
      </c>
      <c r="AD2113" s="13">
        <f t="shared" si="313"/>
        <v>0</v>
      </c>
      <c r="AE2113" s="2">
        <v>0.17</v>
      </c>
      <c r="AF2113" s="5">
        <f t="shared" si="310"/>
        <v>0</v>
      </c>
      <c r="AG2113" s="2">
        <v>0</v>
      </c>
      <c r="AH2113" s="5">
        <f t="shared" si="314"/>
        <v>0</v>
      </c>
      <c r="AJ2113" s="126" t="e">
        <v>#N/A</v>
      </c>
      <c r="AK2113" s="80">
        <f t="shared" si="311"/>
        <v>0</v>
      </c>
      <c r="AM2113" s="85"/>
    </row>
    <row r="2114" spans="1:39" hidden="1" x14ac:dyDescent="0.3">
      <c r="A2114" s="85" t="s">
        <v>34</v>
      </c>
      <c r="B2114" s="3" t="s">
        <v>701</v>
      </c>
      <c r="C2114" s="3" t="s">
        <v>36</v>
      </c>
      <c r="D2114" s="3" t="s">
        <v>54</v>
      </c>
      <c r="E2114" s="3" t="s">
        <v>103</v>
      </c>
      <c r="F2114" s="3" t="s">
        <v>2742</v>
      </c>
      <c r="G2114" s="3" t="s">
        <v>103</v>
      </c>
      <c r="I2114" s="3" t="s">
        <v>78</v>
      </c>
      <c r="J2114" s="1" t="s">
        <v>3303</v>
      </c>
      <c r="K2114" s="1" t="s">
        <v>3276</v>
      </c>
      <c r="L2114" s="1" t="s">
        <v>701</v>
      </c>
      <c r="M2114" s="3" t="s">
        <v>103</v>
      </c>
      <c r="O2114" s="1" t="s">
        <v>410</v>
      </c>
      <c r="P2114" s="1" t="s">
        <v>46</v>
      </c>
      <c r="Q2114" s="2">
        <v>0.03</v>
      </c>
      <c r="R2114" s="138">
        <v>7420</v>
      </c>
      <c r="T2114" s="4">
        <v>70437.010000000009</v>
      </c>
      <c r="U2114" s="4">
        <f>-18097.71-51500</f>
        <v>-69597.709999999992</v>
      </c>
      <c r="V2114" s="4">
        <v>839.3</v>
      </c>
      <c r="W2114" s="13">
        <f t="shared" si="316"/>
        <v>1.7507773009128869E-11</v>
      </c>
      <c r="X2114" s="13">
        <f t="shared" si="315"/>
        <v>814.85436893203882</v>
      </c>
      <c r="Y2114" s="13">
        <f t="shared" si="307"/>
        <v>0</v>
      </c>
      <c r="Z2114" s="2">
        <v>0</v>
      </c>
      <c r="AA2114" s="4">
        <v>0</v>
      </c>
      <c r="AB2114" s="4">
        <f t="shared" si="308"/>
        <v>814.85436893203882</v>
      </c>
      <c r="AC2114" s="6">
        <f t="shared" si="309"/>
        <v>24.445631067961131</v>
      </c>
      <c r="AD2114" s="13">
        <f t="shared" si="313"/>
        <v>839.3</v>
      </c>
      <c r="AE2114" s="2">
        <v>0.17</v>
      </c>
      <c r="AF2114" s="5">
        <f t="shared" si="310"/>
        <v>142.68100000000001</v>
      </c>
      <c r="AG2114" s="2">
        <v>0</v>
      </c>
      <c r="AH2114" s="5">
        <f t="shared" si="314"/>
        <v>839.3</v>
      </c>
      <c r="AJ2114" s="126" t="e">
        <v>#N/A</v>
      </c>
      <c r="AK2114" s="80">
        <f t="shared" si="311"/>
        <v>0</v>
      </c>
      <c r="AM2114" s="85"/>
    </row>
    <row r="2115" spans="1:39" hidden="1" x14ac:dyDescent="0.3">
      <c r="A2115" s="85" t="s">
        <v>34</v>
      </c>
      <c r="B2115" s="3" t="s">
        <v>701</v>
      </c>
      <c r="C2115" s="3" t="s">
        <v>36</v>
      </c>
      <c r="D2115" s="3" t="s">
        <v>54</v>
      </c>
      <c r="E2115" s="3" t="s">
        <v>2743</v>
      </c>
      <c r="F2115" s="3" t="s">
        <v>2743</v>
      </c>
      <c r="G2115" s="3" t="s">
        <v>2743</v>
      </c>
      <c r="I2115" s="3" t="s">
        <v>78</v>
      </c>
      <c r="J2115" s="1" t="s">
        <v>3303</v>
      </c>
      <c r="K2115" s="1" t="s">
        <v>3276</v>
      </c>
      <c r="L2115" s="1" t="s">
        <v>701</v>
      </c>
      <c r="M2115" s="3" t="s">
        <v>2744</v>
      </c>
      <c r="O2115" s="1" t="s">
        <v>410</v>
      </c>
      <c r="P2115" s="1" t="s">
        <v>41</v>
      </c>
      <c r="Q2115" s="2">
        <v>0</v>
      </c>
      <c r="R2115" s="138">
        <v>7165</v>
      </c>
      <c r="T2115" s="4">
        <v>6983.4</v>
      </c>
      <c r="U2115" s="4">
        <v>20000</v>
      </c>
      <c r="V2115" s="4">
        <v>18699.400000000001</v>
      </c>
      <c r="W2115" s="13">
        <f t="shared" si="316"/>
        <v>8284</v>
      </c>
      <c r="X2115" s="13">
        <f t="shared" si="315"/>
        <v>18699.400000000001</v>
      </c>
      <c r="Y2115" s="13">
        <f t="shared" ref="Y2115:Y2178" si="317">IF(X2115-AD2115&lt;=0,0,IF(P2115="返现",MAX(X2115-AC2115-AD2115,0),MAX(X2115-AD2115)))</f>
        <v>0</v>
      </c>
      <c r="Z2115" s="2">
        <v>0</v>
      </c>
      <c r="AA2115" s="4">
        <v>0</v>
      </c>
      <c r="AB2115" s="4">
        <f t="shared" ref="AB2115:AB2178" si="318">X2115+AA2115</f>
        <v>18699.400000000001</v>
      </c>
      <c r="AC2115" s="6">
        <f t="shared" ref="AC2115:AC2178" si="319">IF(P2115="返现",X2115*Q2115,V2115-X2115)</f>
        <v>0</v>
      </c>
      <c r="AD2115" s="13">
        <f t="shared" si="313"/>
        <v>18699.400000000001</v>
      </c>
      <c r="AE2115" s="2">
        <v>0.17</v>
      </c>
      <c r="AF2115" s="5">
        <f t="shared" ref="AF2115:AF2178" si="320">AD2115*AE2115</f>
        <v>3178.8980000000006</v>
      </c>
      <c r="AG2115" s="2">
        <v>0</v>
      </c>
      <c r="AH2115" s="5">
        <f t="shared" si="314"/>
        <v>18699.400000000001</v>
      </c>
      <c r="AJ2115" s="126" t="e">
        <v>#N/A</v>
      </c>
      <c r="AK2115" s="80">
        <f t="shared" ref="AK2115:AK2178" si="321">X2115+AA2115-AB2115</f>
        <v>0</v>
      </c>
      <c r="AM2115" s="85"/>
    </row>
    <row r="2116" spans="1:39" hidden="1" x14ac:dyDescent="0.3">
      <c r="A2116" s="85" t="s">
        <v>34</v>
      </c>
      <c r="B2116" s="3" t="s">
        <v>701</v>
      </c>
      <c r="C2116" s="3" t="s">
        <v>36</v>
      </c>
      <c r="D2116" s="3" t="s">
        <v>54</v>
      </c>
      <c r="E2116" s="3" t="s">
        <v>2745</v>
      </c>
      <c r="F2116" s="3" t="s">
        <v>2745</v>
      </c>
      <c r="G2116" s="3" t="s">
        <v>2745</v>
      </c>
      <c r="I2116" s="3" t="s">
        <v>78</v>
      </c>
      <c r="J2116" s="1" t="s">
        <v>3303</v>
      </c>
      <c r="K2116" s="1" t="s">
        <v>3276</v>
      </c>
      <c r="L2116" s="1" t="s">
        <v>701</v>
      </c>
      <c r="M2116" s="3" t="s">
        <v>2746</v>
      </c>
      <c r="O2116" s="1" t="s">
        <v>410</v>
      </c>
      <c r="P2116" s="1" t="s">
        <v>46</v>
      </c>
      <c r="Q2116" s="2">
        <v>0.03</v>
      </c>
      <c r="R2116" s="138">
        <v>7155</v>
      </c>
      <c r="T2116" s="4">
        <v>15576.099999999991</v>
      </c>
      <c r="U2116" s="4">
        <v>55000</v>
      </c>
      <c r="V2116" s="4">
        <v>67721.699699999997</v>
      </c>
      <c r="W2116" s="13">
        <f t="shared" si="316"/>
        <v>2854.4002999999939</v>
      </c>
      <c r="X2116" s="13">
        <f t="shared" si="315"/>
        <v>65749.22300970873</v>
      </c>
      <c r="Y2116" s="13">
        <f t="shared" si="317"/>
        <v>0</v>
      </c>
      <c r="Z2116" s="2">
        <v>0</v>
      </c>
      <c r="AA2116" s="4">
        <v>0</v>
      </c>
      <c r="AB2116" s="4">
        <f t="shared" si="318"/>
        <v>65749.22300970873</v>
      </c>
      <c r="AC2116" s="6">
        <f t="shared" si="319"/>
        <v>1972.476690291267</v>
      </c>
      <c r="AD2116" s="13">
        <f t="shared" si="313"/>
        <v>67721.699699999997</v>
      </c>
      <c r="AE2116" s="2">
        <v>0.17</v>
      </c>
      <c r="AF2116" s="5">
        <f t="shared" si="320"/>
        <v>11512.688949000001</v>
      </c>
      <c r="AG2116" s="2">
        <v>0</v>
      </c>
      <c r="AH2116" s="5">
        <f t="shared" si="314"/>
        <v>67721.699699999997</v>
      </c>
      <c r="AJ2116" s="126" t="e">
        <v>#N/A</v>
      </c>
      <c r="AK2116" s="80">
        <f t="shared" si="321"/>
        <v>0</v>
      </c>
      <c r="AM2116" s="85"/>
    </row>
    <row r="2117" spans="1:39" hidden="1" x14ac:dyDescent="0.3">
      <c r="A2117" s="85" t="s">
        <v>34</v>
      </c>
      <c r="B2117" s="3" t="s">
        <v>701</v>
      </c>
      <c r="C2117" s="3" t="s">
        <v>36</v>
      </c>
      <c r="D2117" s="3" t="s">
        <v>54</v>
      </c>
      <c r="E2117" s="3" t="s">
        <v>1204</v>
      </c>
      <c r="F2117" s="3" t="s">
        <v>1204</v>
      </c>
      <c r="G2117" s="3" t="s">
        <v>1204</v>
      </c>
      <c r="I2117" s="3" t="s">
        <v>78</v>
      </c>
      <c r="J2117" s="1" t="s">
        <v>3303</v>
      </c>
      <c r="K2117" s="1" t="s">
        <v>3276</v>
      </c>
      <c r="L2117" s="1" t="s">
        <v>701</v>
      </c>
      <c r="M2117" s="3" t="s">
        <v>1204</v>
      </c>
      <c r="O2117" s="1" t="s">
        <v>410</v>
      </c>
      <c r="P2117" s="1" t="s">
        <v>41</v>
      </c>
      <c r="Q2117" s="2">
        <v>0</v>
      </c>
      <c r="R2117" s="138">
        <v>7521</v>
      </c>
      <c r="T2117" s="4">
        <v>4003.5999999999995</v>
      </c>
      <c r="U2117" s="4">
        <v>10000</v>
      </c>
      <c r="V2117" s="4">
        <v>10586.3</v>
      </c>
      <c r="W2117" s="13">
        <f t="shared" si="316"/>
        <v>3417.2999999999993</v>
      </c>
      <c r="X2117" s="13">
        <f t="shared" si="315"/>
        <v>10586.3</v>
      </c>
      <c r="Y2117" s="13">
        <f t="shared" si="317"/>
        <v>0</v>
      </c>
      <c r="Z2117" s="2">
        <v>0</v>
      </c>
      <c r="AA2117" s="4">
        <v>0</v>
      </c>
      <c r="AB2117" s="4">
        <f t="shared" si="318"/>
        <v>10586.3</v>
      </c>
      <c r="AC2117" s="6">
        <f t="shared" si="319"/>
        <v>0</v>
      </c>
      <c r="AD2117" s="13">
        <f t="shared" si="313"/>
        <v>10586.3</v>
      </c>
      <c r="AE2117" s="2">
        <v>0.17</v>
      </c>
      <c r="AF2117" s="5">
        <f t="shared" si="320"/>
        <v>1799.671</v>
      </c>
      <c r="AG2117" s="2">
        <v>0</v>
      </c>
      <c r="AH2117" s="5">
        <f t="shared" si="314"/>
        <v>10586.3</v>
      </c>
      <c r="AJ2117" s="126" t="e">
        <v>#N/A</v>
      </c>
      <c r="AK2117" s="80">
        <f t="shared" si="321"/>
        <v>0</v>
      </c>
      <c r="AM2117" s="85"/>
    </row>
    <row r="2118" spans="1:39" hidden="1" x14ac:dyDescent="0.3">
      <c r="A2118" s="85" t="s">
        <v>34</v>
      </c>
      <c r="B2118" s="3" t="s">
        <v>701</v>
      </c>
      <c r="C2118" s="3" t="s">
        <v>36</v>
      </c>
      <c r="D2118" s="3" t="s">
        <v>54</v>
      </c>
      <c r="E2118" s="3" t="s">
        <v>109</v>
      </c>
      <c r="F2118" s="3" t="s">
        <v>2747</v>
      </c>
      <c r="G2118" s="3" t="s">
        <v>109</v>
      </c>
      <c r="H2118" s="138"/>
      <c r="I2118" s="3" t="s">
        <v>78</v>
      </c>
      <c r="J2118" s="1" t="s">
        <v>3303</v>
      </c>
      <c r="K2118" s="1" t="s">
        <v>3276</v>
      </c>
      <c r="L2118" s="1" t="s">
        <v>701</v>
      </c>
      <c r="M2118" s="3" t="s">
        <v>2748</v>
      </c>
      <c r="O2118" s="1" t="s">
        <v>410</v>
      </c>
      <c r="P2118" s="1" t="s">
        <v>46</v>
      </c>
      <c r="Q2118" s="2">
        <v>0.03</v>
      </c>
      <c r="R2118" s="138">
        <v>7266</v>
      </c>
      <c r="T2118" s="4">
        <v>38437.030000000028</v>
      </c>
      <c r="U2118" s="4">
        <v>-38437.03</v>
      </c>
      <c r="V2118" s="4">
        <v>0</v>
      </c>
      <c r="W2118" s="13">
        <f t="shared" si="316"/>
        <v>2.9103830456733704E-11</v>
      </c>
      <c r="X2118" s="13">
        <f t="shared" si="315"/>
        <v>0</v>
      </c>
      <c r="Y2118" s="13">
        <f t="shared" si="317"/>
        <v>0</v>
      </c>
      <c r="Z2118" s="2">
        <v>0</v>
      </c>
      <c r="AA2118" s="4">
        <v>0</v>
      </c>
      <c r="AB2118" s="4">
        <f t="shared" si="318"/>
        <v>0</v>
      </c>
      <c r="AC2118" s="6">
        <f t="shared" si="319"/>
        <v>0</v>
      </c>
      <c r="AD2118" s="13">
        <f t="shared" si="313"/>
        <v>0</v>
      </c>
      <c r="AE2118" s="2">
        <v>0.17</v>
      </c>
      <c r="AF2118" s="5">
        <f t="shared" si="320"/>
        <v>0</v>
      </c>
      <c r="AG2118" s="2">
        <v>0</v>
      </c>
      <c r="AH2118" s="5">
        <f t="shared" si="314"/>
        <v>0</v>
      </c>
      <c r="AJ2118" s="126" t="e">
        <v>#N/A</v>
      </c>
      <c r="AK2118" s="80">
        <f t="shared" si="321"/>
        <v>0</v>
      </c>
      <c r="AM2118" s="85"/>
    </row>
    <row r="2119" spans="1:39" hidden="1" x14ac:dyDescent="0.3">
      <c r="A2119" s="85" t="s">
        <v>34</v>
      </c>
      <c r="B2119" s="3" t="s">
        <v>701</v>
      </c>
      <c r="C2119" s="3" t="s">
        <v>36</v>
      </c>
      <c r="D2119" s="3" t="s">
        <v>37</v>
      </c>
      <c r="E2119" s="3" t="s">
        <v>2749</v>
      </c>
      <c r="F2119" s="3" t="s">
        <v>2749</v>
      </c>
      <c r="G2119" s="3" t="s">
        <v>2749</v>
      </c>
      <c r="I2119" s="3" t="s">
        <v>78</v>
      </c>
      <c r="J2119" s="1" t="s">
        <v>3303</v>
      </c>
      <c r="K2119" s="1" t="s">
        <v>3276</v>
      </c>
      <c r="L2119" s="1" t="s">
        <v>701</v>
      </c>
      <c r="M2119" s="3" t="s">
        <v>2749</v>
      </c>
      <c r="O2119" s="1" t="s">
        <v>410</v>
      </c>
      <c r="P2119" s="1" t="s">
        <v>41</v>
      </c>
      <c r="Q2119" s="2">
        <v>0</v>
      </c>
      <c r="R2119" s="138">
        <v>123</v>
      </c>
      <c r="T2119" s="4">
        <v>2960.6</v>
      </c>
      <c r="U2119" s="4">
        <v>5000</v>
      </c>
      <c r="V2119" s="4">
        <v>6413.8999000000003</v>
      </c>
      <c r="W2119" s="13">
        <f t="shared" si="316"/>
        <v>1546.7001</v>
      </c>
      <c r="X2119" s="13">
        <f t="shared" si="315"/>
        <v>6413.8999000000003</v>
      </c>
      <c r="Y2119" s="13">
        <f t="shared" si="317"/>
        <v>0</v>
      </c>
      <c r="Z2119" s="2">
        <v>0</v>
      </c>
      <c r="AA2119" s="4">
        <v>0</v>
      </c>
      <c r="AB2119" s="4">
        <f t="shared" si="318"/>
        <v>6413.8999000000003</v>
      </c>
      <c r="AC2119" s="6">
        <f t="shared" si="319"/>
        <v>0</v>
      </c>
      <c r="AD2119" s="13">
        <f t="shared" si="313"/>
        <v>6413.8999000000003</v>
      </c>
      <c r="AE2119" s="2">
        <v>0.17</v>
      </c>
      <c r="AF2119" s="5">
        <f t="shared" si="320"/>
        <v>1090.3629830000002</v>
      </c>
      <c r="AG2119" s="2">
        <v>0</v>
      </c>
      <c r="AH2119" s="5">
        <f t="shared" si="314"/>
        <v>6413.8999000000003</v>
      </c>
      <c r="AJ2119" s="126" t="e">
        <v>#N/A</v>
      </c>
      <c r="AK2119" s="80">
        <f t="shared" si="321"/>
        <v>0</v>
      </c>
      <c r="AM2119" s="85"/>
    </row>
    <row r="2120" spans="1:39" hidden="1" x14ac:dyDescent="0.3">
      <c r="A2120" s="85" t="s">
        <v>34</v>
      </c>
      <c r="B2120" s="3" t="s">
        <v>701</v>
      </c>
      <c r="C2120" s="3" t="s">
        <v>65</v>
      </c>
      <c r="D2120" s="3" t="s">
        <v>66</v>
      </c>
      <c r="E2120" s="3" t="s">
        <v>2385</v>
      </c>
      <c r="F2120" s="3" t="s">
        <v>2385</v>
      </c>
      <c r="G2120" s="3" t="s">
        <v>2385</v>
      </c>
      <c r="I2120" s="3" t="s">
        <v>78</v>
      </c>
      <c r="J2120" s="1" t="s">
        <v>3303</v>
      </c>
      <c r="K2120" s="1" t="s">
        <v>3276</v>
      </c>
      <c r="L2120" s="1" t="s">
        <v>701</v>
      </c>
      <c r="M2120" s="3" t="s">
        <v>2385</v>
      </c>
      <c r="O2120" s="1" t="s">
        <v>410</v>
      </c>
      <c r="P2120" s="1" t="s">
        <v>41</v>
      </c>
      <c r="Q2120" s="2">
        <v>0</v>
      </c>
      <c r="R2120" s="138">
        <v>7092</v>
      </c>
      <c r="T2120" s="4">
        <v>6260.9000000000069</v>
      </c>
      <c r="U2120" s="4">
        <v>50000</v>
      </c>
      <c r="V2120" s="4">
        <v>14440.899999999998</v>
      </c>
      <c r="W2120" s="13">
        <f t="shared" si="316"/>
        <v>41820.000000000015</v>
      </c>
      <c r="X2120" s="13">
        <f t="shared" si="315"/>
        <v>14440.899999999998</v>
      </c>
      <c r="Y2120" s="13">
        <f t="shared" si="317"/>
        <v>0</v>
      </c>
      <c r="Z2120" s="2">
        <v>0</v>
      </c>
      <c r="AA2120" s="4">
        <v>0</v>
      </c>
      <c r="AB2120" s="4">
        <f t="shared" si="318"/>
        <v>14440.899999999998</v>
      </c>
      <c r="AC2120" s="6">
        <f t="shared" si="319"/>
        <v>0</v>
      </c>
      <c r="AD2120" s="13">
        <f t="shared" si="313"/>
        <v>14440.899999999998</v>
      </c>
      <c r="AE2120" s="2">
        <v>0.17</v>
      </c>
      <c r="AF2120" s="5">
        <f t="shared" si="320"/>
        <v>2454.953</v>
      </c>
      <c r="AG2120" s="2">
        <v>0</v>
      </c>
      <c r="AH2120" s="5">
        <f t="shared" si="314"/>
        <v>14440.899999999998</v>
      </c>
      <c r="AJ2120" s="126" t="e">
        <v>#N/A</v>
      </c>
      <c r="AK2120" s="80">
        <f t="shared" si="321"/>
        <v>0</v>
      </c>
      <c r="AM2120" s="85"/>
    </row>
    <row r="2121" spans="1:39" hidden="1" x14ac:dyDescent="0.3">
      <c r="A2121" s="85" t="s">
        <v>34</v>
      </c>
      <c r="B2121" s="3" t="s">
        <v>701</v>
      </c>
      <c r="C2121" s="3" t="s">
        <v>65</v>
      </c>
      <c r="D2121" s="3" t="s">
        <v>66</v>
      </c>
      <c r="E2121" s="3" t="s">
        <v>2750</v>
      </c>
      <c r="F2121" s="3" t="s">
        <v>2750</v>
      </c>
      <c r="G2121" s="3" t="s">
        <v>2750</v>
      </c>
      <c r="I2121" s="3" t="s">
        <v>78</v>
      </c>
      <c r="J2121" s="1" t="s">
        <v>3303</v>
      </c>
      <c r="K2121" s="1" t="s">
        <v>3276</v>
      </c>
      <c r="L2121" s="1" t="s">
        <v>701</v>
      </c>
      <c r="M2121" s="3" t="s">
        <v>2751</v>
      </c>
      <c r="O2121" s="1" t="s">
        <v>410</v>
      </c>
      <c r="P2121" s="1" t="s">
        <v>41</v>
      </c>
      <c r="Q2121" s="2">
        <v>0</v>
      </c>
      <c r="R2121" s="138">
        <v>7154</v>
      </c>
      <c r="T2121" s="4">
        <v>7113.1999999999971</v>
      </c>
      <c r="U2121" s="4">
        <v>10000</v>
      </c>
      <c r="V2121" s="4">
        <v>15500</v>
      </c>
      <c r="W2121" s="13">
        <f t="shared" si="316"/>
        <v>1613.1999999999971</v>
      </c>
      <c r="X2121" s="13">
        <f t="shared" si="315"/>
        <v>15500</v>
      </c>
      <c r="Y2121" s="13">
        <f t="shared" si="317"/>
        <v>0</v>
      </c>
      <c r="Z2121" s="2">
        <v>0</v>
      </c>
      <c r="AA2121" s="4">
        <v>0</v>
      </c>
      <c r="AB2121" s="4">
        <f t="shared" si="318"/>
        <v>15500</v>
      </c>
      <c r="AC2121" s="6">
        <f t="shared" si="319"/>
        <v>0</v>
      </c>
      <c r="AD2121" s="13">
        <f t="shared" si="313"/>
        <v>15500</v>
      </c>
      <c r="AE2121" s="2">
        <v>0.17</v>
      </c>
      <c r="AF2121" s="5">
        <f t="shared" si="320"/>
        <v>2635</v>
      </c>
      <c r="AG2121" s="2">
        <v>0</v>
      </c>
      <c r="AH2121" s="5">
        <f t="shared" si="314"/>
        <v>15500</v>
      </c>
      <c r="AJ2121" s="126" t="e">
        <v>#N/A</v>
      </c>
      <c r="AK2121" s="80">
        <f t="shared" si="321"/>
        <v>0</v>
      </c>
      <c r="AM2121" s="85"/>
    </row>
    <row r="2122" spans="1:39" hidden="1" x14ac:dyDescent="0.3">
      <c r="A2122" s="85" t="s">
        <v>34</v>
      </c>
      <c r="B2122" s="3" t="s">
        <v>701</v>
      </c>
      <c r="C2122" s="3" t="s">
        <v>65</v>
      </c>
      <c r="D2122" s="3" t="s">
        <v>66</v>
      </c>
      <c r="E2122" s="3" t="s">
        <v>2752</v>
      </c>
      <c r="F2122" s="3" t="s">
        <v>2752</v>
      </c>
      <c r="G2122" s="3" t="s">
        <v>2752</v>
      </c>
      <c r="I2122" s="3" t="s">
        <v>78</v>
      </c>
      <c r="J2122" s="1" t="s">
        <v>3303</v>
      </c>
      <c r="K2122" s="1" t="s">
        <v>3276</v>
      </c>
      <c r="L2122" s="1" t="s">
        <v>701</v>
      </c>
      <c r="M2122" s="3" t="s">
        <v>2753</v>
      </c>
      <c r="O2122" s="1" t="s">
        <v>410</v>
      </c>
      <c r="P2122" s="1" t="s">
        <v>41</v>
      </c>
      <c r="Q2122" s="2">
        <v>0</v>
      </c>
      <c r="R2122" s="138">
        <v>7593</v>
      </c>
      <c r="T2122" s="4">
        <v>0</v>
      </c>
      <c r="U2122" s="4">
        <v>50000</v>
      </c>
      <c r="V2122" s="4">
        <v>644.20000000000005</v>
      </c>
      <c r="W2122" s="13">
        <f t="shared" si="316"/>
        <v>49355.8</v>
      </c>
      <c r="X2122" s="13">
        <f t="shared" si="315"/>
        <v>644.20000000000005</v>
      </c>
      <c r="Y2122" s="13">
        <f t="shared" si="317"/>
        <v>0</v>
      </c>
      <c r="Z2122" s="2">
        <v>0</v>
      </c>
      <c r="AA2122" s="4">
        <v>0</v>
      </c>
      <c r="AB2122" s="4">
        <f t="shared" si="318"/>
        <v>644.20000000000005</v>
      </c>
      <c r="AC2122" s="6">
        <f t="shared" si="319"/>
        <v>0</v>
      </c>
      <c r="AD2122" s="13">
        <f t="shared" si="313"/>
        <v>644.20000000000005</v>
      </c>
      <c r="AE2122" s="2">
        <v>0.17</v>
      </c>
      <c r="AF2122" s="5">
        <f t="shared" si="320"/>
        <v>109.51400000000001</v>
      </c>
      <c r="AG2122" s="2">
        <v>0</v>
      </c>
      <c r="AH2122" s="5">
        <f t="shared" si="314"/>
        <v>644.20000000000005</v>
      </c>
      <c r="AJ2122" s="126" t="e">
        <v>#N/A</v>
      </c>
      <c r="AK2122" s="80">
        <f t="shared" si="321"/>
        <v>0</v>
      </c>
      <c r="AM2122" s="85"/>
    </row>
    <row r="2123" spans="1:39" hidden="1" x14ac:dyDescent="0.3">
      <c r="A2123" s="85" t="s">
        <v>34</v>
      </c>
      <c r="B2123" s="3" t="s">
        <v>701</v>
      </c>
      <c r="C2123" s="3" t="s">
        <v>65</v>
      </c>
      <c r="D2123" s="3" t="s">
        <v>66</v>
      </c>
      <c r="E2123" s="3" t="s">
        <v>493</v>
      </c>
      <c r="F2123" s="3" t="s">
        <v>493</v>
      </c>
      <c r="G2123" s="3" t="s">
        <v>493</v>
      </c>
      <c r="I2123" s="3" t="s">
        <v>78</v>
      </c>
      <c r="J2123" s="1" t="s">
        <v>3303</v>
      </c>
      <c r="K2123" s="1" t="s">
        <v>3276</v>
      </c>
      <c r="L2123" s="1" t="s">
        <v>701</v>
      </c>
      <c r="M2123" s="3" t="s">
        <v>493</v>
      </c>
      <c r="O2123" s="1" t="s">
        <v>410</v>
      </c>
      <c r="P2123" s="1" t="s">
        <v>41</v>
      </c>
      <c r="Q2123" s="2">
        <v>0</v>
      </c>
      <c r="R2123" s="138">
        <v>7624</v>
      </c>
      <c r="T2123" s="4">
        <v>0</v>
      </c>
      <c r="U2123" s="4">
        <v>55000</v>
      </c>
      <c r="V2123" s="4">
        <v>44886.6</v>
      </c>
      <c r="W2123" s="13">
        <f t="shared" si="316"/>
        <v>10113.400000000001</v>
      </c>
      <c r="X2123" s="13">
        <f t="shared" si="315"/>
        <v>44886.6</v>
      </c>
      <c r="Y2123" s="13">
        <f t="shared" si="317"/>
        <v>0</v>
      </c>
      <c r="Z2123" s="2">
        <v>0</v>
      </c>
      <c r="AA2123" s="4">
        <v>0</v>
      </c>
      <c r="AB2123" s="4">
        <f t="shared" si="318"/>
        <v>44886.6</v>
      </c>
      <c r="AC2123" s="6">
        <f t="shared" si="319"/>
        <v>0</v>
      </c>
      <c r="AD2123" s="13">
        <f t="shared" si="313"/>
        <v>44886.6</v>
      </c>
      <c r="AE2123" s="2">
        <v>0.17</v>
      </c>
      <c r="AF2123" s="5">
        <f t="shared" si="320"/>
        <v>7630.7220000000007</v>
      </c>
      <c r="AG2123" s="2">
        <v>0</v>
      </c>
      <c r="AH2123" s="5">
        <f t="shared" si="314"/>
        <v>44886.6</v>
      </c>
      <c r="AJ2123" s="126" t="e">
        <v>#N/A</v>
      </c>
      <c r="AK2123" s="80">
        <f t="shared" si="321"/>
        <v>0</v>
      </c>
      <c r="AM2123" s="85"/>
    </row>
    <row r="2124" spans="1:39" hidden="1" x14ac:dyDescent="0.3">
      <c r="A2124" s="85" t="s">
        <v>34</v>
      </c>
      <c r="B2124" s="3" t="s">
        <v>701</v>
      </c>
      <c r="C2124" s="3" t="s">
        <v>65</v>
      </c>
      <c r="D2124" s="3" t="s">
        <v>66</v>
      </c>
      <c r="E2124" s="3" t="s">
        <v>494</v>
      </c>
      <c r="F2124" s="3" t="s">
        <v>494</v>
      </c>
      <c r="G2124" s="3" t="s">
        <v>494</v>
      </c>
      <c r="I2124" s="3" t="s">
        <v>78</v>
      </c>
      <c r="J2124" s="1" t="s">
        <v>3303</v>
      </c>
      <c r="K2124" s="1" t="s">
        <v>3276</v>
      </c>
      <c r="L2124" s="1" t="s">
        <v>701</v>
      </c>
      <c r="M2124" s="3" t="s">
        <v>495</v>
      </c>
      <c r="O2124" s="1" t="s">
        <v>410</v>
      </c>
      <c r="P2124" s="1" t="s">
        <v>41</v>
      </c>
      <c r="Q2124" s="2">
        <v>0</v>
      </c>
      <c r="R2124" s="138">
        <v>7097</v>
      </c>
      <c r="T2124" s="4">
        <v>9383.689999999915</v>
      </c>
      <c r="U2124" s="4">
        <v>200000</v>
      </c>
      <c r="V2124" s="4">
        <v>161372.98000000001</v>
      </c>
      <c r="W2124" s="13">
        <f t="shared" si="316"/>
        <v>48010.709999999905</v>
      </c>
      <c r="X2124" s="13">
        <f t="shared" si="315"/>
        <v>161372.98000000001</v>
      </c>
      <c r="Y2124" s="13">
        <f t="shared" si="317"/>
        <v>0</v>
      </c>
      <c r="Z2124" s="2">
        <v>0</v>
      </c>
      <c r="AA2124" s="4">
        <v>0</v>
      </c>
      <c r="AB2124" s="4">
        <f t="shared" si="318"/>
        <v>161372.98000000001</v>
      </c>
      <c r="AC2124" s="6">
        <f t="shared" si="319"/>
        <v>0</v>
      </c>
      <c r="AD2124" s="13">
        <f t="shared" si="313"/>
        <v>161372.98000000001</v>
      </c>
      <c r="AE2124" s="2">
        <v>0.17</v>
      </c>
      <c r="AF2124" s="5">
        <f t="shared" si="320"/>
        <v>27433.406600000002</v>
      </c>
      <c r="AG2124" s="2">
        <v>0</v>
      </c>
      <c r="AH2124" s="5">
        <f t="shared" si="314"/>
        <v>161372.98000000001</v>
      </c>
      <c r="AJ2124" s="126" t="e">
        <v>#N/A</v>
      </c>
      <c r="AK2124" s="80">
        <f t="shared" si="321"/>
        <v>0</v>
      </c>
      <c r="AM2124" s="85"/>
    </row>
    <row r="2125" spans="1:39" hidden="1" x14ac:dyDescent="0.3">
      <c r="A2125" s="85" t="s">
        <v>34</v>
      </c>
      <c r="B2125" s="3" t="s">
        <v>701</v>
      </c>
      <c r="C2125" s="3" t="s">
        <v>65</v>
      </c>
      <c r="D2125" s="3" t="s">
        <v>66</v>
      </c>
      <c r="E2125" s="3" t="s">
        <v>1881</v>
      </c>
      <c r="F2125" s="3" t="s">
        <v>1881</v>
      </c>
      <c r="G2125" s="3" t="s">
        <v>1881</v>
      </c>
      <c r="I2125" s="3" t="s">
        <v>78</v>
      </c>
      <c r="J2125" s="1" t="s">
        <v>3303</v>
      </c>
      <c r="K2125" s="1" t="s">
        <v>3276</v>
      </c>
      <c r="L2125" s="1" t="s">
        <v>701</v>
      </c>
      <c r="M2125" s="3" t="s">
        <v>2754</v>
      </c>
      <c r="O2125" s="1" t="s">
        <v>410</v>
      </c>
      <c r="P2125" s="1" t="s">
        <v>46</v>
      </c>
      <c r="Q2125" s="2">
        <v>0.01</v>
      </c>
      <c r="R2125" s="138">
        <v>7275</v>
      </c>
      <c r="T2125" s="4">
        <v>14265.509999999849</v>
      </c>
      <c r="U2125" s="4">
        <v>-14203.449999999997</v>
      </c>
      <c r="V2125" s="4">
        <v>62.059999999852153</v>
      </c>
      <c r="W2125" s="13">
        <f t="shared" si="316"/>
        <v>0</v>
      </c>
      <c r="X2125" s="13">
        <f t="shared" si="315"/>
        <v>61.445544554309059</v>
      </c>
      <c r="Y2125" s="13">
        <f t="shared" si="317"/>
        <v>0</v>
      </c>
      <c r="Z2125" s="2">
        <v>0</v>
      </c>
      <c r="AA2125" s="4">
        <v>0</v>
      </c>
      <c r="AB2125" s="4">
        <f t="shared" si="318"/>
        <v>61.445544554309059</v>
      </c>
      <c r="AC2125" s="6">
        <f t="shared" si="319"/>
        <v>0.6144554455430935</v>
      </c>
      <c r="AD2125" s="13">
        <f t="shared" si="313"/>
        <v>62.059999999852153</v>
      </c>
      <c r="AE2125" s="2">
        <v>0.17</v>
      </c>
      <c r="AF2125" s="5">
        <f t="shared" si="320"/>
        <v>10.550199999974867</v>
      </c>
      <c r="AG2125" s="2">
        <v>0</v>
      </c>
      <c r="AH2125" s="5">
        <f t="shared" si="314"/>
        <v>62.059999999852153</v>
      </c>
      <c r="AJ2125" s="126" t="e">
        <v>#N/A</v>
      </c>
      <c r="AK2125" s="80">
        <f t="shared" si="321"/>
        <v>0</v>
      </c>
      <c r="AM2125" s="85"/>
    </row>
    <row r="2126" spans="1:39" hidden="1" x14ac:dyDescent="0.3">
      <c r="A2126" s="85" t="s">
        <v>34</v>
      </c>
      <c r="B2126" s="3" t="s">
        <v>701</v>
      </c>
      <c r="C2126" s="3" t="s">
        <v>65</v>
      </c>
      <c r="D2126" s="3" t="s">
        <v>66</v>
      </c>
      <c r="E2126" s="3" t="s">
        <v>1881</v>
      </c>
      <c r="F2126" s="3" t="s">
        <v>1881</v>
      </c>
      <c r="G2126" s="3" t="s">
        <v>1881</v>
      </c>
      <c r="I2126" s="3" t="s">
        <v>78</v>
      </c>
      <c r="J2126" s="1" t="s">
        <v>3303</v>
      </c>
      <c r="K2126" s="1" t="s">
        <v>3276</v>
      </c>
      <c r="L2126" s="1" t="s">
        <v>701</v>
      </c>
      <c r="M2126" s="3" t="s">
        <v>2754</v>
      </c>
      <c r="O2126" s="1" t="s">
        <v>410</v>
      </c>
      <c r="P2126" s="1" t="s">
        <v>41</v>
      </c>
      <c r="Q2126" s="2">
        <v>0</v>
      </c>
      <c r="R2126" s="138">
        <v>7275</v>
      </c>
      <c r="T2126" s="4">
        <v>0</v>
      </c>
      <c r="U2126" s="4">
        <v>86673.45</v>
      </c>
      <c r="V2126" s="4">
        <v>72936.530000000144</v>
      </c>
      <c r="W2126" s="13">
        <f t="shared" si="316"/>
        <v>13736.919999999853</v>
      </c>
      <c r="X2126" s="13">
        <f>IF(P2126="折扣",V2126*Q2126,IF(P2126="返现",V2126,V2126/(1+Q2126)))+0.61</f>
        <v>72937.140000000145</v>
      </c>
      <c r="Y2126" s="13">
        <f t="shared" si="317"/>
        <v>0.61000000000058208</v>
      </c>
      <c r="Z2126" s="2">
        <v>0</v>
      </c>
      <c r="AA2126" s="4">
        <v>0</v>
      </c>
      <c r="AB2126" s="4">
        <f t="shared" si="318"/>
        <v>72937.140000000145</v>
      </c>
      <c r="AC2126" s="6">
        <f t="shared" si="319"/>
        <v>-0.61000000000058208</v>
      </c>
      <c r="AD2126" s="13">
        <f t="shared" si="313"/>
        <v>72936.530000000144</v>
      </c>
      <c r="AE2126" s="2">
        <v>0.17</v>
      </c>
      <c r="AF2126" s="5">
        <f t="shared" si="320"/>
        <v>12399.210100000026</v>
      </c>
      <c r="AG2126" s="2">
        <v>0</v>
      </c>
      <c r="AH2126" s="5">
        <f t="shared" si="314"/>
        <v>72936.530000000144</v>
      </c>
      <c r="AJ2126" s="126" t="e">
        <v>#N/A</v>
      </c>
      <c r="AK2126" s="80">
        <f t="shared" si="321"/>
        <v>0</v>
      </c>
      <c r="AM2126" s="85"/>
    </row>
    <row r="2127" spans="1:39" hidden="1" x14ac:dyDescent="0.3">
      <c r="A2127" s="85" t="s">
        <v>34</v>
      </c>
      <c r="B2127" s="3" t="s">
        <v>701</v>
      </c>
      <c r="C2127" s="3" t="s">
        <v>65</v>
      </c>
      <c r="D2127" s="3" t="s">
        <v>66</v>
      </c>
      <c r="E2127" s="3" t="s">
        <v>1234</v>
      </c>
      <c r="F2127" s="3" t="s">
        <v>1234</v>
      </c>
      <c r="G2127" s="3" t="s">
        <v>1234</v>
      </c>
      <c r="H2127" s="138"/>
      <c r="I2127" s="3" t="s">
        <v>78</v>
      </c>
      <c r="J2127" s="1" t="s">
        <v>3303</v>
      </c>
      <c r="K2127" s="1" t="s">
        <v>3276</v>
      </c>
      <c r="L2127" s="1" t="s">
        <v>701</v>
      </c>
      <c r="M2127" s="3" t="s">
        <v>1235</v>
      </c>
      <c r="O2127" s="1" t="s">
        <v>410</v>
      </c>
      <c r="P2127" s="1" t="s">
        <v>46</v>
      </c>
      <c r="Q2127" s="2">
        <v>0.01</v>
      </c>
      <c r="R2127" s="138">
        <v>7490</v>
      </c>
      <c r="T2127" s="4">
        <v>0</v>
      </c>
      <c r="U2127" s="4">
        <v>10100</v>
      </c>
      <c r="V2127" s="4">
        <v>0</v>
      </c>
      <c r="W2127" s="13">
        <f t="shared" si="316"/>
        <v>10100</v>
      </c>
      <c r="X2127" s="13">
        <f t="shared" si="315"/>
        <v>0</v>
      </c>
      <c r="Y2127" s="13">
        <f t="shared" si="317"/>
        <v>0</v>
      </c>
      <c r="Z2127" s="2">
        <v>0</v>
      </c>
      <c r="AA2127" s="4">
        <v>0</v>
      </c>
      <c r="AB2127" s="4">
        <f t="shared" si="318"/>
        <v>0</v>
      </c>
      <c r="AC2127" s="6">
        <f t="shared" si="319"/>
        <v>0</v>
      </c>
      <c r="AD2127" s="13">
        <f t="shared" si="313"/>
        <v>0</v>
      </c>
      <c r="AE2127" s="2">
        <v>0.17</v>
      </c>
      <c r="AF2127" s="5">
        <f t="shared" si="320"/>
        <v>0</v>
      </c>
      <c r="AG2127" s="2">
        <v>0</v>
      </c>
      <c r="AH2127" s="5">
        <f t="shared" si="314"/>
        <v>0</v>
      </c>
      <c r="AJ2127" s="126" t="e">
        <v>#N/A</v>
      </c>
      <c r="AK2127" s="80">
        <f t="shared" si="321"/>
        <v>0</v>
      </c>
      <c r="AM2127" s="85"/>
    </row>
    <row r="2128" spans="1:39" hidden="1" x14ac:dyDescent="0.3">
      <c r="A2128" s="85" t="s">
        <v>34</v>
      </c>
      <c r="B2128" s="3" t="s">
        <v>701</v>
      </c>
      <c r="C2128" s="3" t="s">
        <v>65</v>
      </c>
      <c r="D2128" s="3" t="s">
        <v>66</v>
      </c>
      <c r="E2128" s="3" t="s">
        <v>2755</v>
      </c>
      <c r="F2128" s="3" t="s">
        <v>2755</v>
      </c>
      <c r="G2128" s="3" t="s">
        <v>2755</v>
      </c>
      <c r="I2128" s="3" t="s">
        <v>78</v>
      </c>
      <c r="J2128" s="1" t="s">
        <v>3303</v>
      </c>
      <c r="K2128" s="1" t="s">
        <v>3276</v>
      </c>
      <c r="L2128" s="1" t="s">
        <v>701</v>
      </c>
      <c r="M2128" s="3" t="s">
        <v>2755</v>
      </c>
      <c r="O2128" s="1" t="s">
        <v>410</v>
      </c>
      <c r="P2128" s="1" t="s">
        <v>41</v>
      </c>
      <c r="Q2128" s="2">
        <v>0</v>
      </c>
      <c r="R2128" s="138">
        <v>7157</v>
      </c>
      <c r="T2128" s="4">
        <v>0</v>
      </c>
      <c r="U2128" s="4">
        <v>50000</v>
      </c>
      <c r="V2128" s="4">
        <v>72982.800000000017</v>
      </c>
      <c r="W2128" s="13">
        <f t="shared" si="316"/>
        <v>-22982.800000000017</v>
      </c>
      <c r="X2128" s="13">
        <f t="shared" si="315"/>
        <v>72982.800000000017</v>
      </c>
      <c r="Y2128" s="13">
        <f t="shared" si="317"/>
        <v>0</v>
      </c>
      <c r="Z2128" s="2">
        <v>0</v>
      </c>
      <c r="AA2128" s="4">
        <v>0</v>
      </c>
      <c r="AB2128" s="4">
        <f t="shared" si="318"/>
        <v>72982.800000000017</v>
      </c>
      <c r="AC2128" s="6">
        <f t="shared" si="319"/>
        <v>0</v>
      </c>
      <c r="AD2128" s="13">
        <f t="shared" si="313"/>
        <v>72982.800000000017</v>
      </c>
      <c r="AE2128" s="2">
        <v>0.17</v>
      </c>
      <c r="AF2128" s="5">
        <f t="shared" si="320"/>
        <v>12407.076000000005</v>
      </c>
      <c r="AG2128" s="2">
        <v>0</v>
      </c>
      <c r="AH2128" s="5">
        <f t="shared" si="314"/>
        <v>72982.800000000017</v>
      </c>
      <c r="AJ2128" s="126" t="e">
        <v>#N/A</v>
      </c>
      <c r="AK2128" s="80">
        <f t="shared" si="321"/>
        <v>0</v>
      </c>
      <c r="AM2128" s="85"/>
    </row>
    <row r="2129" spans="1:39" hidden="1" x14ac:dyDescent="0.3">
      <c r="A2129" s="85" t="s">
        <v>34</v>
      </c>
      <c r="B2129" s="3" t="s">
        <v>701</v>
      </c>
      <c r="C2129" s="3" t="s">
        <v>65</v>
      </c>
      <c r="D2129" s="3" t="s">
        <v>66</v>
      </c>
      <c r="E2129" s="3" t="s">
        <v>2756</v>
      </c>
      <c r="F2129" s="3" t="s">
        <v>2756</v>
      </c>
      <c r="G2129" s="3" t="s">
        <v>2756</v>
      </c>
      <c r="H2129" s="138"/>
      <c r="I2129" s="3" t="s">
        <v>78</v>
      </c>
      <c r="J2129" s="1" t="s">
        <v>3303</v>
      </c>
      <c r="K2129" s="1" t="s">
        <v>3276</v>
      </c>
      <c r="L2129" s="1" t="s">
        <v>701</v>
      </c>
      <c r="M2129" s="3" t="s">
        <v>2756</v>
      </c>
      <c r="O2129" s="1" t="s">
        <v>410</v>
      </c>
      <c r="P2129" s="1" t="s">
        <v>46</v>
      </c>
      <c r="Q2129" s="2">
        <v>0.02</v>
      </c>
      <c r="R2129" s="138">
        <v>7159</v>
      </c>
      <c r="T2129" s="4">
        <v>81769.249999999971</v>
      </c>
      <c r="U2129" s="4">
        <v>-81769.25</v>
      </c>
      <c r="V2129" s="4">
        <v>0</v>
      </c>
      <c r="W2129" s="13">
        <f t="shared" si="316"/>
        <v>-2.9103830456733704E-11</v>
      </c>
      <c r="X2129" s="13">
        <f t="shared" si="315"/>
        <v>0</v>
      </c>
      <c r="Y2129" s="13">
        <f t="shared" si="317"/>
        <v>0</v>
      </c>
      <c r="Z2129" s="2">
        <v>0</v>
      </c>
      <c r="AA2129" s="4">
        <v>0</v>
      </c>
      <c r="AB2129" s="4">
        <f t="shared" si="318"/>
        <v>0</v>
      </c>
      <c r="AC2129" s="6">
        <f t="shared" si="319"/>
        <v>0</v>
      </c>
      <c r="AD2129" s="13">
        <f t="shared" si="313"/>
        <v>0</v>
      </c>
      <c r="AE2129" s="2">
        <v>0.17</v>
      </c>
      <c r="AF2129" s="5">
        <f t="shared" si="320"/>
        <v>0</v>
      </c>
      <c r="AG2129" s="2">
        <v>0</v>
      </c>
      <c r="AH2129" s="5">
        <f t="shared" si="314"/>
        <v>0</v>
      </c>
      <c r="AJ2129" s="126" t="e">
        <v>#N/A</v>
      </c>
      <c r="AK2129" s="80">
        <f t="shared" si="321"/>
        <v>0</v>
      </c>
      <c r="AM2129" s="85"/>
    </row>
    <row r="2130" spans="1:39" hidden="1" x14ac:dyDescent="0.3">
      <c r="A2130" s="85" t="s">
        <v>34</v>
      </c>
      <c r="B2130" s="3" t="s">
        <v>701</v>
      </c>
      <c r="C2130" s="3" t="s">
        <v>65</v>
      </c>
      <c r="D2130" s="3" t="s">
        <v>66</v>
      </c>
      <c r="E2130" s="3" t="s">
        <v>2757</v>
      </c>
      <c r="F2130" s="3" t="s">
        <v>2758</v>
      </c>
      <c r="G2130" s="3" t="s">
        <v>2757</v>
      </c>
      <c r="I2130" s="3" t="s">
        <v>78</v>
      </c>
      <c r="J2130" s="1" t="s">
        <v>3303</v>
      </c>
      <c r="K2130" s="1" t="s">
        <v>3276</v>
      </c>
      <c r="L2130" s="1" t="s">
        <v>701</v>
      </c>
      <c r="M2130" s="3" t="s">
        <v>2757</v>
      </c>
      <c r="O2130" s="1" t="s">
        <v>410</v>
      </c>
      <c r="P2130" s="1" t="s">
        <v>41</v>
      </c>
      <c r="Q2130" s="2">
        <v>0</v>
      </c>
      <c r="R2130" s="138">
        <v>7162</v>
      </c>
      <c r="T2130" s="4">
        <v>0</v>
      </c>
      <c r="U2130" s="4">
        <v>50000</v>
      </c>
      <c r="V2130" s="4">
        <v>46777.000000000007</v>
      </c>
      <c r="W2130" s="13">
        <f t="shared" si="316"/>
        <v>3222.9999999999927</v>
      </c>
      <c r="X2130" s="13">
        <f t="shared" si="315"/>
        <v>46777.000000000007</v>
      </c>
      <c r="Y2130" s="13">
        <f t="shared" si="317"/>
        <v>0</v>
      </c>
      <c r="Z2130" s="2">
        <v>0</v>
      </c>
      <c r="AA2130" s="4">
        <v>0</v>
      </c>
      <c r="AB2130" s="4">
        <f t="shared" si="318"/>
        <v>46777.000000000007</v>
      </c>
      <c r="AC2130" s="6">
        <f t="shared" si="319"/>
        <v>0</v>
      </c>
      <c r="AD2130" s="13">
        <f t="shared" si="313"/>
        <v>46777.000000000007</v>
      </c>
      <c r="AE2130" s="2">
        <v>0.17</v>
      </c>
      <c r="AF2130" s="5">
        <f t="shared" si="320"/>
        <v>7952.090000000002</v>
      </c>
      <c r="AG2130" s="2">
        <v>0</v>
      </c>
      <c r="AH2130" s="5">
        <f t="shared" si="314"/>
        <v>46777.000000000007</v>
      </c>
      <c r="AJ2130" s="126" t="e">
        <v>#N/A</v>
      </c>
      <c r="AK2130" s="80">
        <f t="shared" si="321"/>
        <v>0</v>
      </c>
      <c r="AM2130" s="85"/>
    </row>
    <row r="2131" spans="1:39" hidden="1" x14ac:dyDescent="0.3">
      <c r="A2131" s="85" t="s">
        <v>34</v>
      </c>
      <c r="B2131" s="3" t="s">
        <v>701</v>
      </c>
      <c r="C2131" s="3" t="s">
        <v>65</v>
      </c>
      <c r="D2131" s="3" t="s">
        <v>122</v>
      </c>
      <c r="E2131" s="3" t="s">
        <v>1266</v>
      </c>
      <c r="F2131" s="3" t="s">
        <v>1266</v>
      </c>
      <c r="G2131" s="3" t="s">
        <v>1266</v>
      </c>
      <c r="I2131" s="3" t="s">
        <v>78</v>
      </c>
      <c r="J2131" s="1" t="s">
        <v>3303</v>
      </c>
      <c r="K2131" s="1" t="s">
        <v>3276</v>
      </c>
      <c r="L2131" s="1" t="s">
        <v>701</v>
      </c>
      <c r="M2131" s="3" t="s">
        <v>2759</v>
      </c>
      <c r="O2131" s="1" t="s">
        <v>410</v>
      </c>
      <c r="P2131" s="1" t="s">
        <v>41</v>
      </c>
      <c r="Q2131" s="2">
        <v>0</v>
      </c>
      <c r="R2131" s="138">
        <v>7663</v>
      </c>
      <c r="T2131" s="4">
        <v>0</v>
      </c>
      <c r="U2131" s="4">
        <v>10000</v>
      </c>
      <c r="V2131" s="4">
        <v>628.20000000000005</v>
      </c>
      <c r="W2131" s="13">
        <f t="shared" si="316"/>
        <v>9371.7999999999993</v>
      </c>
      <c r="X2131" s="13">
        <f t="shared" si="315"/>
        <v>628.20000000000005</v>
      </c>
      <c r="Y2131" s="13">
        <f t="shared" si="317"/>
        <v>0</v>
      </c>
      <c r="Z2131" s="2">
        <v>0</v>
      </c>
      <c r="AA2131" s="4">
        <v>0</v>
      </c>
      <c r="AB2131" s="4">
        <f t="shared" si="318"/>
        <v>628.20000000000005</v>
      </c>
      <c r="AC2131" s="6">
        <f t="shared" si="319"/>
        <v>0</v>
      </c>
      <c r="AD2131" s="13">
        <f t="shared" si="313"/>
        <v>628.20000000000005</v>
      </c>
      <c r="AE2131" s="2">
        <v>0.17</v>
      </c>
      <c r="AF2131" s="5">
        <f t="shared" si="320"/>
        <v>106.79400000000001</v>
      </c>
      <c r="AG2131" s="2">
        <v>0</v>
      </c>
      <c r="AH2131" s="5">
        <f t="shared" si="314"/>
        <v>628.20000000000005</v>
      </c>
      <c r="AJ2131" s="126" t="e">
        <v>#N/A</v>
      </c>
      <c r="AK2131" s="80">
        <f t="shared" si="321"/>
        <v>0</v>
      </c>
      <c r="AM2131" s="85"/>
    </row>
    <row r="2132" spans="1:39" hidden="1" x14ac:dyDescent="0.3">
      <c r="A2132" s="85" t="s">
        <v>34</v>
      </c>
      <c r="B2132" s="3" t="s">
        <v>701</v>
      </c>
      <c r="C2132" s="3" t="s">
        <v>65</v>
      </c>
      <c r="D2132" s="3" t="s">
        <v>122</v>
      </c>
      <c r="E2132" s="3" t="s">
        <v>1266</v>
      </c>
      <c r="F2132" s="3" t="s">
        <v>1266</v>
      </c>
      <c r="G2132" s="3" t="s">
        <v>1266</v>
      </c>
      <c r="I2132" s="3" t="s">
        <v>78</v>
      </c>
      <c r="J2132" s="1" t="s">
        <v>3303</v>
      </c>
      <c r="K2132" s="1" t="s">
        <v>3276</v>
      </c>
      <c r="L2132" s="1" t="s">
        <v>701</v>
      </c>
      <c r="M2132" s="3" t="s">
        <v>2760</v>
      </c>
      <c r="O2132" s="1" t="s">
        <v>410</v>
      </c>
      <c r="P2132" s="1" t="s">
        <v>41</v>
      </c>
      <c r="Q2132" s="2">
        <v>0</v>
      </c>
      <c r="R2132" s="138">
        <v>7633</v>
      </c>
      <c r="T2132" s="4">
        <v>0</v>
      </c>
      <c r="U2132" s="4">
        <v>20000</v>
      </c>
      <c r="V2132" s="4">
        <v>14472</v>
      </c>
      <c r="W2132" s="13">
        <f t="shared" si="316"/>
        <v>5528</v>
      </c>
      <c r="X2132" s="13">
        <f t="shared" si="315"/>
        <v>14472</v>
      </c>
      <c r="Y2132" s="13">
        <f t="shared" si="317"/>
        <v>0</v>
      </c>
      <c r="Z2132" s="2">
        <v>0</v>
      </c>
      <c r="AA2132" s="4">
        <v>0</v>
      </c>
      <c r="AB2132" s="4">
        <f t="shared" si="318"/>
        <v>14472</v>
      </c>
      <c r="AC2132" s="6">
        <f t="shared" si="319"/>
        <v>0</v>
      </c>
      <c r="AD2132" s="13">
        <f t="shared" si="313"/>
        <v>14472</v>
      </c>
      <c r="AE2132" s="2">
        <v>0.17</v>
      </c>
      <c r="AF2132" s="5">
        <f t="shared" si="320"/>
        <v>2460.2400000000002</v>
      </c>
      <c r="AG2132" s="2">
        <v>0</v>
      </c>
      <c r="AH2132" s="5">
        <f t="shared" si="314"/>
        <v>14472</v>
      </c>
      <c r="AJ2132" s="126" t="e">
        <v>#N/A</v>
      </c>
      <c r="AK2132" s="80">
        <f t="shared" si="321"/>
        <v>0</v>
      </c>
      <c r="AM2132" s="85"/>
    </row>
    <row r="2133" spans="1:39" hidden="1" x14ac:dyDescent="0.3">
      <c r="A2133" s="85" t="s">
        <v>34</v>
      </c>
      <c r="B2133" s="3" t="s">
        <v>701</v>
      </c>
      <c r="C2133" s="3" t="s">
        <v>65</v>
      </c>
      <c r="D2133" s="3" t="s">
        <v>122</v>
      </c>
      <c r="E2133" s="3" t="s">
        <v>1266</v>
      </c>
      <c r="F2133" s="3" t="s">
        <v>1266</v>
      </c>
      <c r="G2133" s="3" t="s">
        <v>1266</v>
      </c>
      <c r="H2133" s="138"/>
      <c r="I2133" s="3" t="s">
        <v>78</v>
      </c>
      <c r="J2133" s="1" t="s">
        <v>3303</v>
      </c>
      <c r="K2133" s="1" t="s">
        <v>3276</v>
      </c>
      <c r="L2133" s="1" t="s">
        <v>701</v>
      </c>
      <c r="M2133" s="3" t="s">
        <v>2761</v>
      </c>
      <c r="O2133" s="1" t="s">
        <v>410</v>
      </c>
      <c r="P2133" s="1" t="s">
        <v>41</v>
      </c>
      <c r="Q2133" s="2">
        <v>0</v>
      </c>
      <c r="R2133" s="138">
        <v>7634</v>
      </c>
      <c r="T2133" s="4">
        <v>0</v>
      </c>
      <c r="U2133" s="4">
        <v>0</v>
      </c>
      <c r="V2133" s="4">
        <v>0</v>
      </c>
      <c r="W2133" s="13">
        <f t="shared" si="316"/>
        <v>0</v>
      </c>
      <c r="X2133" s="13">
        <f t="shared" si="315"/>
        <v>0</v>
      </c>
      <c r="Y2133" s="13">
        <f t="shared" si="317"/>
        <v>0</v>
      </c>
      <c r="Z2133" s="2">
        <v>0</v>
      </c>
      <c r="AA2133" s="4">
        <v>0</v>
      </c>
      <c r="AB2133" s="4">
        <f t="shared" si="318"/>
        <v>0</v>
      </c>
      <c r="AC2133" s="6">
        <f t="shared" si="319"/>
        <v>0</v>
      </c>
      <c r="AD2133" s="13">
        <f t="shared" si="313"/>
        <v>0</v>
      </c>
      <c r="AE2133" s="2">
        <v>0.17</v>
      </c>
      <c r="AF2133" s="5">
        <f t="shared" si="320"/>
        <v>0</v>
      </c>
      <c r="AG2133" s="2">
        <v>0</v>
      </c>
      <c r="AH2133" s="5">
        <f t="shared" si="314"/>
        <v>0</v>
      </c>
      <c r="AJ2133" s="126" t="e">
        <v>#N/A</v>
      </c>
      <c r="AK2133" s="80">
        <f t="shared" si="321"/>
        <v>0</v>
      </c>
      <c r="AM2133" s="85"/>
    </row>
    <row r="2134" spans="1:39" hidden="1" x14ac:dyDescent="0.3">
      <c r="A2134" s="85" t="s">
        <v>34</v>
      </c>
      <c r="B2134" s="3" t="s">
        <v>701</v>
      </c>
      <c r="C2134" s="3" t="s">
        <v>65</v>
      </c>
      <c r="D2134" s="3" t="s">
        <v>122</v>
      </c>
      <c r="E2134" s="3" t="s">
        <v>1266</v>
      </c>
      <c r="F2134" s="3" t="s">
        <v>1266</v>
      </c>
      <c r="G2134" s="3" t="s">
        <v>1266</v>
      </c>
      <c r="I2134" s="3" t="s">
        <v>78</v>
      </c>
      <c r="J2134" s="1" t="s">
        <v>3303</v>
      </c>
      <c r="K2134" s="1" t="s">
        <v>3276</v>
      </c>
      <c r="L2134" s="1" t="s">
        <v>701</v>
      </c>
      <c r="M2134" s="3" t="s">
        <v>2762</v>
      </c>
      <c r="O2134" s="1" t="s">
        <v>410</v>
      </c>
      <c r="P2134" s="1" t="s">
        <v>41</v>
      </c>
      <c r="Q2134" s="2">
        <v>0</v>
      </c>
      <c r="R2134" s="138">
        <v>7635</v>
      </c>
      <c r="T2134" s="4">
        <v>0</v>
      </c>
      <c r="U2134" s="4">
        <v>20000</v>
      </c>
      <c r="V2134" s="4">
        <v>2010.6</v>
      </c>
      <c r="W2134" s="13">
        <f t="shared" si="316"/>
        <v>17989.400000000001</v>
      </c>
      <c r="X2134" s="13">
        <f t="shared" si="315"/>
        <v>2010.6</v>
      </c>
      <c r="Y2134" s="13">
        <f t="shared" si="317"/>
        <v>0</v>
      </c>
      <c r="Z2134" s="2">
        <v>0</v>
      </c>
      <c r="AA2134" s="4">
        <v>0</v>
      </c>
      <c r="AB2134" s="4">
        <f t="shared" si="318"/>
        <v>2010.6</v>
      </c>
      <c r="AC2134" s="6">
        <f t="shared" si="319"/>
        <v>0</v>
      </c>
      <c r="AD2134" s="13">
        <f t="shared" si="313"/>
        <v>2010.6</v>
      </c>
      <c r="AE2134" s="2">
        <v>0.17</v>
      </c>
      <c r="AF2134" s="5">
        <f t="shared" si="320"/>
        <v>341.80200000000002</v>
      </c>
      <c r="AG2134" s="2">
        <v>0</v>
      </c>
      <c r="AH2134" s="5">
        <f t="shared" si="314"/>
        <v>2010.6</v>
      </c>
      <c r="AJ2134" s="126" t="e">
        <v>#N/A</v>
      </c>
      <c r="AK2134" s="80">
        <f t="shared" si="321"/>
        <v>0</v>
      </c>
      <c r="AM2134" s="85"/>
    </row>
    <row r="2135" spans="1:39" hidden="1" x14ac:dyDescent="0.3">
      <c r="A2135" s="85" t="s">
        <v>34</v>
      </c>
      <c r="B2135" s="3" t="s">
        <v>701</v>
      </c>
      <c r="C2135" s="3" t="s">
        <v>65</v>
      </c>
      <c r="D2135" s="3" t="s">
        <v>122</v>
      </c>
      <c r="E2135" s="3" t="s">
        <v>1266</v>
      </c>
      <c r="F2135" s="3" t="s">
        <v>1266</v>
      </c>
      <c r="G2135" s="3" t="s">
        <v>1266</v>
      </c>
      <c r="H2135" s="138"/>
      <c r="I2135" s="3" t="s">
        <v>78</v>
      </c>
      <c r="J2135" s="1" t="s">
        <v>3303</v>
      </c>
      <c r="K2135" s="1" t="s">
        <v>3276</v>
      </c>
      <c r="L2135" s="1" t="s">
        <v>701</v>
      </c>
      <c r="M2135" s="3" t="s">
        <v>2763</v>
      </c>
      <c r="O2135" s="1" t="s">
        <v>410</v>
      </c>
      <c r="P2135" s="1" t="s">
        <v>41</v>
      </c>
      <c r="Q2135" s="2">
        <v>0</v>
      </c>
      <c r="R2135" s="138">
        <v>7636</v>
      </c>
      <c r="T2135" s="4">
        <v>0</v>
      </c>
      <c r="U2135" s="4">
        <v>0</v>
      </c>
      <c r="V2135" s="4">
        <v>0</v>
      </c>
      <c r="W2135" s="13">
        <f t="shared" si="316"/>
        <v>0</v>
      </c>
      <c r="X2135" s="13">
        <f t="shared" si="315"/>
        <v>0</v>
      </c>
      <c r="Y2135" s="13">
        <f t="shared" si="317"/>
        <v>0</v>
      </c>
      <c r="Z2135" s="2">
        <v>0</v>
      </c>
      <c r="AA2135" s="4">
        <v>0</v>
      </c>
      <c r="AB2135" s="4">
        <f t="shared" si="318"/>
        <v>0</v>
      </c>
      <c r="AC2135" s="6">
        <f t="shared" si="319"/>
        <v>0</v>
      </c>
      <c r="AD2135" s="13">
        <f t="shared" si="313"/>
        <v>0</v>
      </c>
      <c r="AE2135" s="2">
        <v>0.17</v>
      </c>
      <c r="AF2135" s="5">
        <f t="shared" si="320"/>
        <v>0</v>
      </c>
      <c r="AG2135" s="2">
        <v>0</v>
      </c>
      <c r="AH2135" s="5">
        <f t="shared" si="314"/>
        <v>0</v>
      </c>
      <c r="AJ2135" s="126" t="e">
        <v>#N/A</v>
      </c>
      <c r="AK2135" s="80">
        <f t="shared" si="321"/>
        <v>0</v>
      </c>
      <c r="AM2135" s="85"/>
    </row>
    <row r="2136" spans="1:39" hidden="1" x14ac:dyDescent="0.3">
      <c r="A2136" s="85" t="s">
        <v>34</v>
      </c>
      <c r="B2136" s="3" t="s">
        <v>701</v>
      </c>
      <c r="C2136" s="3" t="s">
        <v>65</v>
      </c>
      <c r="D2136" s="3" t="s">
        <v>122</v>
      </c>
      <c r="E2136" s="3" t="s">
        <v>1266</v>
      </c>
      <c r="F2136" s="3" t="s">
        <v>1266</v>
      </c>
      <c r="G2136" s="3" t="s">
        <v>1266</v>
      </c>
      <c r="I2136" s="3" t="s">
        <v>78</v>
      </c>
      <c r="J2136" s="1" t="s">
        <v>3303</v>
      </c>
      <c r="K2136" s="1" t="s">
        <v>3276</v>
      </c>
      <c r="L2136" s="1" t="s">
        <v>701</v>
      </c>
      <c r="M2136" s="3" t="s">
        <v>2764</v>
      </c>
      <c r="O2136" s="1" t="s">
        <v>410</v>
      </c>
      <c r="P2136" s="1" t="s">
        <v>41</v>
      </c>
      <c r="Q2136" s="2">
        <v>0</v>
      </c>
      <c r="R2136" s="138">
        <v>7637</v>
      </c>
      <c r="T2136" s="4">
        <v>0</v>
      </c>
      <c r="U2136" s="4">
        <v>20000</v>
      </c>
      <c r="V2136" s="4">
        <v>1528.2</v>
      </c>
      <c r="W2136" s="13">
        <f t="shared" si="316"/>
        <v>18471.8</v>
      </c>
      <c r="X2136" s="13">
        <f t="shared" si="315"/>
        <v>1528.2</v>
      </c>
      <c r="Y2136" s="13">
        <f t="shared" si="317"/>
        <v>0</v>
      </c>
      <c r="Z2136" s="2">
        <v>0</v>
      </c>
      <c r="AA2136" s="4">
        <v>0</v>
      </c>
      <c r="AB2136" s="4">
        <f t="shared" si="318"/>
        <v>1528.2</v>
      </c>
      <c r="AC2136" s="6">
        <f t="shared" si="319"/>
        <v>0</v>
      </c>
      <c r="AD2136" s="13">
        <f t="shared" si="313"/>
        <v>1528.2</v>
      </c>
      <c r="AE2136" s="2">
        <v>0.17</v>
      </c>
      <c r="AF2136" s="5">
        <f t="shared" si="320"/>
        <v>259.79400000000004</v>
      </c>
      <c r="AG2136" s="2">
        <v>0</v>
      </c>
      <c r="AH2136" s="5">
        <f t="shared" si="314"/>
        <v>1528.2</v>
      </c>
      <c r="AJ2136" s="126" t="e">
        <v>#N/A</v>
      </c>
      <c r="AK2136" s="80">
        <f t="shared" si="321"/>
        <v>0</v>
      </c>
      <c r="AM2136" s="85"/>
    </row>
    <row r="2137" spans="1:39" hidden="1" x14ac:dyDescent="0.3">
      <c r="A2137" s="85" t="s">
        <v>34</v>
      </c>
      <c r="B2137" s="3" t="s">
        <v>701</v>
      </c>
      <c r="C2137" s="3" t="s">
        <v>65</v>
      </c>
      <c r="D2137" s="3" t="s">
        <v>122</v>
      </c>
      <c r="E2137" s="3" t="s">
        <v>1266</v>
      </c>
      <c r="F2137" s="3" t="s">
        <v>1266</v>
      </c>
      <c r="G2137" s="3" t="s">
        <v>1266</v>
      </c>
      <c r="H2137" s="138"/>
      <c r="I2137" s="3" t="s">
        <v>78</v>
      </c>
      <c r="J2137" s="1" t="s">
        <v>3303</v>
      </c>
      <c r="K2137" s="1" t="s">
        <v>3276</v>
      </c>
      <c r="L2137" s="1" t="s">
        <v>701</v>
      </c>
      <c r="M2137" s="3" t="s">
        <v>2765</v>
      </c>
      <c r="O2137" s="1" t="s">
        <v>410</v>
      </c>
      <c r="P2137" s="1" t="s">
        <v>41</v>
      </c>
      <c r="Q2137" s="2">
        <v>0</v>
      </c>
      <c r="R2137" s="138">
        <v>7638</v>
      </c>
      <c r="T2137" s="4">
        <v>0</v>
      </c>
      <c r="U2137" s="4">
        <v>0</v>
      </c>
      <c r="V2137" s="4">
        <v>0</v>
      </c>
      <c r="W2137" s="13">
        <f t="shared" si="316"/>
        <v>0</v>
      </c>
      <c r="X2137" s="13">
        <f t="shared" si="315"/>
        <v>0</v>
      </c>
      <c r="Y2137" s="13">
        <f t="shared" si="317"/>
        <v>0</v>
      </c>
      <c r="Z2137" s="2">
        <v>0</v>
      </c>
      <c r="AA2137" s="4">
        <v>0</v>
      </c>
      <c r="AB2137" s="4">
        <f t="shared" si="318"/>
        <v>0</v>
      </c>
      <c r="AC2137" s="6">
        <f t="shared" si="319"/>
        <v>0</v>
      </c>
      <c r="AD2137" s="13">
        <f t="shared" si="313"/>
        <v>0</v>
      </c>
      <c r="AE2137" s="2">
        <v>0.17</v>
      </c>
      <c r="AF2137" s="5">
        <f t="shared" si="320"/>
        <v>0</v>
      </c>
      <c r="AG2137" s="2">
        <v>0</v>
      </c>
      <c r="AH2137" s="5">
        <f t="shared" si="314"/>
        <v>0</v>
      </c>
      <c r="AJ2137" s="126" t="e">
        <v>#N/A</v>
      </c>
      <c r="AK2137" s="80">
        <f t="shared" si="321"/>
        <v>0</v>
      </c>
      <c r="AM2137" s="85"/>
    </row>
    <row r="2138" spans="1:39" hidden="1" x14ac:dyDescent="0.3">
      <c r="A2138" s="85" t="s">
        <v>34</v>
      </c>
      <c r="B2138" s="3" t="s">
        <v>701</v>
      </c>
      <c r="C2138" s="3" t="s">
        <v>65</v>
      </c>
      <c r="D2138" s="3" t="s">
        <v>122</v>
      </c>
      <c r="E2138" s="3" t="s">
        <v>1266</v>
      </c>
      <c r="F2138" s="3" t="s">
        <v>1266</v>
      </c>
      <c r="G2138" s="3" t="s">
        <v>1266</v>
      </c>
      <c r="I2138" s="3" t="s">
        <v>78</v>
      </c>
      <c r="J2138" s="1" t="s">
        <v>3303</v>
      </c>
      <c r="K2138" s="1" t="s">
        <v>3276</v>
      </c>
      <c r="L2138" s="1" t="s">
        <v>701</v>
      </c>
      <c r="M2138" s="3" t="s">
        <v>1274</v>
      </c>
      <c r="O2138" s="1" t="s">
        <v>410</v>
      </c>
      <c r="P2138" s="1" t="s">
        <v>41</v>
      </c>
      <c r="Q2138" s="2">
        <v>0</v>
      </c>
      <c r="R2138" s="138">
        <v>7642</v>
      </c>
      <c r="T2138" s="4">
        <v>0</v>
      </c>
      <c r="U2138" s="4">
        <v>10000</v>
      </c>
      <c r="V2138" s="4">
        <v>2547</v>
      </c>
      <c r="W2138" s="13">
        <f t="shared" si="316"/>
        <v>7453</v>
      </c>
      <c r="X2138" s="13">
        <f t="shared" si="315"/>
        <v>2547</v>
      </c>
      <c r="Y2138" s="13">
        <f t="shared" si="317"/>
        <v>0</v>
      </c>
      <c r="Z2138" s="2">
        <v>0</v>
      </c>
      <c r="AA2138" s="4">
        <v>0</v>
      </c>
      <c r="AB2138" s="4">
        <f t="shared" si="318"/>
        <v>2547</v>
      </c>
      <c r="AC2138" s="6">
        <f t="shared" si="319"/>
        <v>0</v>
      </c>
      <c r="AD2138" s="13">
        <f t="shared" si="313"/>
        <v>2547</v>
      </c>
      <c r="AE2138" s="2">
        <v>0.17</v>
      </c>
      <c r="AF2138" s="5">
        <f t="shared" si="320"/>
        <v>432.99</v>
      </c>
      <c r="AG2138" s="2">
        <v>0</v>
      </c>
      <c r="AH2138" s="5">
        <f t="shared" si="314"/>
        <v>2547</v>
      </c>
      <c r="AJ2138" s="126" t="e">
        <v>#N/A</v>
      </c>
      <c r="AK2138" s="80">
        <f t="shared" si="321"/>
        <v>0</v>
      </c>
      <c r="AM2138" s="85"/>
    </row>
    <row r="2139" spans="1:39" hidden="1" x14ac:dyDescent="0.3">
      <c r="A2139" s="85" t="s">
        <v>34</v>
      </c>
      <c r="B2139" s="3" t="s">
        <v>701</v>
      </c>
      <c r="C2139" s="3" t="s">
        <v>65</v>
      </c>
      <c r="D2139" s="3" t="s">
        <v>125</v>
      </c>
      <c r="E2139" s="3" t="s">
        <v>2766</v>
      </c>
      <c r="F2139" s="3" t="s">
        <v>2766</v>
      </c>
      <c r="G2139" s="3" t="s">
        <v>2766</v>
      </c>
      <c r="I2139" s="3" t="s">
        <v>78</v>
      </c>
      <c r="J2139" s="1" t="s">
        <v>3303</v>
      </c>
      <c r="K2139" s="1" t="s">
        <v>3276</v>
      </c>
      <c r="L2139" s="1" t="s">
        <v>701</v>
      </c>
      <c r="M2139" s="3" t="s">
        <v>2766</v>
      </c>
      <c r="O2139" s="1" t="s">
        <v>410</v>
      </c>
      <c r="P2139" s="1" t="s">
        <v>41</v>
      </c>
      <c r="Q2139" s="2">
        <v>0</v>
      </c>
      <c r="R2139" s="138">
        <v>7496</v>
      </c>
      <c r="T2139" s="4">
        <v>0</v>
      </c>
      <c r="U2139" s="4">
        <v>20000</v>
      </c>
      <c r="V2139" s="4">
        <v>10074.4</v>
      </c>
      <c r="W2139" s="13">
        <f t="shared" si="316"/>
        <v>9925.6</v>
      </c>
      <c r="X2139" s="13">
        <f t="shared" si="315"/>
        <v>10074.4</v>
      </c>
      <c r="Y2139" s="13">
        <f t="shared" si="317"/>
        <v>0</v>
      </c>
      <c r="Z2139" s="2">
        <v>0</v>
      </c>
      <c r="AA2139" s="4">
        <v>0</v>
      </c>
      <c r="AB2139" s="4">
        <f t="shared" si="318"/>
        <v>10074.4</v>
      </c>
      <c r="AC2139" s="6">
        <f t="shared" si="319"/>
        <v>0</v>
      </c>
      <c r="AD2139" s="13">
        <f t="shared" si="313"/>
        <v>10074.4</v>
      </c>
      <c r="AE2139" s="2">
        <v>0.17</v>
      </c>
      <c r="AF2139" s="5">
        <f t="shared" si="320"/>
        <v>1712.6480000000001</v>
      </c>
      <c r="AG2139" s="2">
        <v>0</v>
      </c>
      <c r="AH2139" s="5">
        <f t="shared" si="314"/>
        <v>10074.4</v>
      </c>
      <c r="AJ2139" s="126" t="e">
        <v>#N/A</v>
      </c>
      <c r="AK2139" s="80">
        <f t="shared" si="321"/>
        <v>0</v>
      </c>
      <c r="AM2139" s="85"/>
    </row>
    <row r="2140" spans="1:39" hidden="1" x14ac:dyDescent="0.3">
      <c r="A2140" s="85" t="s">
        <v>34</v>
      </c>
      <c r="B2140" s="3" t="s">
        <v>701</v>
      </c>
      <c r="C2140" s="3" t="s">
        <v>65</v>
      </c>
      <c r="D2140" s="3" t="s">
        <v>125</v>
      </c>
      <c r="E2140" s="3" t="s">
        <v>2766</v>
      </c>
      <c r="F2140" s="3" t="s">
        <v>2766</v>
      </c>
      <c r="G2140" s="3" t="s">
        <v>2766</v>
      </c>
      <c r="I2140" s="3" t="s">
        <v>78</v>
      </c>
      <c r="J2140" s="1" t="s">
        <v>3303</v>
      </c>
      <c r="K2140" s="1" t="s">
        <v>3276</v>
      </c>
      <c r="L2140" s="1" t="s">
        <v>701</v>
      </c>
      <c r="M2140" s="3" t="s">
        <v>2767</v>
      </c>
      <c r="O2140" s="1" t="s">
        <v>410</v>
      </c>
      <c r="P2140" s="1" t="s">
        <v>41</v>
      </c>
      <c r="Q2140" s="2">
        <v>0</v>
      </c>
      <c r="R2140" s="138">
        <v>7536</v>
      </c>
      <c r="T2140" s="4">
        <v>0</v>
      </c>
      <c r="U2140" s="4">
        <v>190000</v>
      </c>
      <c r="V2140" s="4">
        <v>63135.5</v>
      </c>
      <c r="W2140" s="13">
        <f t="shared" si="316"/>
        <v>126864.5</v>
      </c>
      <c r="X2140" s="13">
        <f t="shared" si="315"/>
        <v>63135.5</v>
      </c>
      <c r="Y2140" s="13">
        <f t="shared" si="317"/>
        <v>0</v>
      </c>
      <c r="Z2140" s="2">
        <v>0</v>
      </c>
      <c r="AA2140" s="4">
        <v>0</v>
      </c>
      <c r="AB2140" s="4">
        <f t="shared" si="318"/>
        <v>63135.5</v>
      </c>
      <c r="AC2140" s="6">
        <f t="shared" si="319"/>
        <v>0</v>
      </c>
      <c r="AD2140" s="13">
        <f t="shared" si="313"/>
        <v>63135.5</v>
      </c>
      <c r="AE2140" s="2">
        <v>0.17</v>
      </c>
      <c r="AF2140" s="5">
        <f t="shared" si="320"/>
        <v>10733.035000000002</v>
      </c>
      <c r="AG2140" s="2">
        <v>0</v>
      </c>
      <c r="AH2140" s="5">
        <f t="shared" si="314"/>
        <v>63135.5</v>
      </c>
      <c r="AJ2140" s="126" t="e">
        <v>#N/A</v>
      </c>
      <c r="AK2140" s="80">
        <f t="shared" si="321"/>
        <v>0</v>
      </c>
      <c r="AM2140" s="85"/>
    </row>
    <row r="2141" spans="1:39" hidden="1" x14ac:dyDescent="0.3">
      <c r="A2141" s="85" t="s">
        <v>34</v>
      </c>
      <c r="B2141" s="3" t="s">
        <v>701</v>
      </c>
      <c r="C2141" s="3" t="s">
        <v>65</v>
      </c>
      <c r="D2141" s="3" t="s">
        <v>125</v>
      </c>
      <c r="E2141" s="3" t="s">
        <v>2768</v>
      </c>
      <c r="F2141" s="3" t="s">
        <v>2768</v>
      </c>
      <c r="G2141" s="3" t="s">
        <v>2768</v>
      </c>
      <c r="I2141" s="3" t="s">
        <v>78</v>
      </c>
      <c r="J2141" s="1" t="s">
        <v>3303</v>
      </c>
      <c r="K2141" s="1" t="s">
        <v>3276</v>
      </c>
      <c r="L2141" s="1" t="s">
        <v>701</v>
      </c>
      <c r="M2141" s="3" t="s">
        <v>2768</v>
      </c>
      <c r="O2141" s="1" t="s">
        <v>410</v>
      </c>
      <c r="P2141" s="1" t="s">
        <v>41</v>
      </c>
      <c r="Q2141" s="2">
        <v>0</v>
      </c>
      <c r="R2141" s="138">
        <v>7389</v>
      </c>
      <c r="T2141" s="4">
        <v>0</v>
      </c>
      <c r="U2141" s="4">
        <v>90000</v>
      </c>
      <c r="V2141" s="4">
        <v>25794.5</v>
      </c>
      <c r="W2141" s="13">
        <f t="shared" si="316"/>
        <v>64205.5</v>
      </c>
      <c r="X2141" s="13">
        <f t="shared" si="315"/>
        <v>25794.5</v>
      </c>
      <c r="Y2141" s="13">
        <f t="shared" si="317"/>
        <v>0</v>
      </c>
      <c r="Z2141" s="2">
        <v>0</v>
      </c>
      <c r="AA2141" s="4">
        <v>0</v>
      </c>
      <c r="AB2141" s="4">
        <f t="shared" si="318"/>
        <v>25794.5</v>
      </c>
      <c r="AC2141" s="6">
        <f t="shared" si="319"/>
        <v>0</v>
      </c>
      <c r="AD2141" s="13">
        <f t="shared" si="313"/>
        <v>25794.5</v>
      </c>
      <c r="AE2141" s="2">
        <v>0.17</v>
      </c>
      <c r="AF2141" s="5">
        <f t="shared" si="320"/>
        <v>4385.0650000000005</v>
      </c>
      <c r="AG2141" s="2">
        <v>0</v>
      </c>
      <c r="AH2141" s="5">
        <f t="shared" si="314"/>
        <v>25794.5</v>
      </c>
      <c r="AJ2141" s="126" t="e">
        <v>#N/A</v>
      </c>
      <c r="AK2141" s="80">
        <f t="shared" si="321"/>
        <v>0</v>
      </c>
      <c r="AM2141" s="85"/>
    </row>
    <row r="2142" spans="1:39" hidden="1" x14ac:dyDescent="0.3">
      <c r="A2142" s="85" t="s">
        <v>34</v>
      </c>
      <c r="B2142" s="3" t="s">
        <v>701</v>
      </c>
      <c r="C2142" s="3" t="s">
        <v>47</v>
      </c>
      <c r="D2142" s="3" t="s">
        <v>878</v>
      </c>
      <c r="E2142" s="3" t="s">
        <v>2769</v>
      </c>
      <c r="F2142" s="3" t="s">
        <v>2769</v>
      </c>
      <c r="G2142" s="3" t="s">
        <v>2769</v>
      </c>
      <c r="H2142" s="138"/>
      <c r="I2142" s="3" t="s">
        <v>78</v>
      </c>
      <c r="J2142" s="1" t="s">
        <v>3303</v>
      </c>
      <c r="K2142" s="1" t="s">
        <v>3276</v>
      </c>
      <c r="L2142" s="1" t="s">
        <v>701</v>
      </c>
      <c r="M2142" s="3" t="s">
        <v>2770</v>
      </c>
      <c r="O2142" s="1" t="s">
        <v>410</v>
      </c>
      <c r="P2142" s="1" t="s">
        <v>246</v>
      </c>
      <c r="Q2142" s="2">
        <v>0</v>
      </c>
      <c r="R2142" s="138">
        <v>7287</v>
      </c>
      <c r="T2142" s="4">
        <v>27345.200000000001</v>
      </c>
      <c r="U2142" s="4">
        <v>-27345.200000000001</v>
      </c>
      <c r="V2142" s="4">
        <v>0</v>
      </c>
      <c r="W2142" s="13">
        <f t="shared" si="316"/>
        <v>0</v>
      </c>
      <c r="X2142" s="13">
        <f t="shared" si="315"/>
        <v>0</v>
      </c>
      <c r="Y2142" s="13">
        <f t="shared" si="317"/>
        <v>0</v>
      </c>
      <c r="Z2142" s="2">
        <v>0</v>
      </c>
      <c r="AA2142" s="4">
        <v>0</v>
      </c>
      <c r="AB2142" s="4">
        <f t="shared" si="318"/>
        <v>0</v>
      </c>
      <c r="AC2142" s="6">
        <f t="shared" si="319"/>
        <v>0</v>
      </c>
      <c r="AD2142" s="13">
        <f t="shared" ref="AD2142:AD2205" si="322">V2142</f>
        <v>0</v>
      </c>
      <c r="AE2142" s="2">
        <v>0.17</v>
      </c>
      <c r="AF2142" s="5">
        <f t="shared" si="320"/>
        <v>0</v>
      </c>
      <c r="AG2142" s="2">
        <v>0</v>
      </c>
      <c r="AH2142" s="5">
        <f t="shared" ref="AH2142:AH2205" si="323">V2142</f>
        <v>0</v>
      </c>
      <c r="AJ2142" s="126" t="e">
        <v>#N/A</v>
      </c>
      <c r="AK2142" s="80">
        <f t="shared" si="321"/>
        <v>0</v>
      </c>
      <c r="AM2142" s="85"/>
    </row>
    <row r="2143" spans="1:39" hidden="1" x14ac:dyDescent="0.3">
      <c r="A2143" s="85" t="s">
        <v>34</v>
      </c>
      <c r="B2143" s="3" t="s">
        <v>701</v>
      </c>
      <c r="C2143" s="3" t="s">
        <v>47</v>
      </c>
      <c r="D2143" s="3" t="s">
        <v>63</v>
      </c>
      <c r="E2143" s="3" t="s">
        <v>2388</v>
      </c>
      <c r="F2143" s="3" t="s">
        <v>2771</v>
      </c>
      <c r="G2143" s="3" t="s">
        <v>2388</v>
      </c>
      <c r="H2143" s="138"/>
      <c r="I2143" s="3" t="s">
        <v>78</v>
      </c>
      <c r="J2143" s="1" t="s">
        <v>3303</v>
      </c>
      <c r="K2143" s="1" t="s">
        <v>3276</v>
      </c>
      <c r="L2143" s="1" t="s">
        <v>701</v>
      </c>
      <c r="M2143" s="3" t="s">
        <v>2694</v>
      </c>
      <c r="O2143" s="1" t="s">
        <v>410</v>
      </c>
      <c r="P2143" s="1" t="s">
        <v>46</v>
      </c>
      <c r="Q2143" s="2">
        <v>0.05</v>
      </c>
      <c r="R2143" s="138">
        <v>7198</v>
      </c>
      <c r="T2143" s="4">
        <v>16998.239999999816</v>
      </c>
      <c r="U2143" s="4">
        <v>-16998.240000000002</v>
      </c>
      <c r="V2143" s="4">
        <v>0</v>
      </c>
      <c r="W2143" s="13">
        <f t="shared" si="316"/>
        <v>-1.8553691916167736E-10</v>
      </c>
      <c r="X2143" s="13">
        <f t="shared" si="315"/>
        <v>0</v>
      </c>
      <c r="Y2143" s="13">
        <f t="shared" si="317"/>
        <v>0</v>
      </c>
      <c r="Z2143" s="2">
        <v>0</v>
      </c>
      <c r="AA2143" s="4">
        <v>0</v>
      </c>
      <c r="AB2143" s="4">
        <f t="shared" si="318"/>
        <v>0</v>
      </c>
      <c r="AC2143" s="6">
        <f t="shared" si="319"/>
        <v>0</v>
      </c>
      <c r="AD2143" s="13">
        <f t="shared" si="322"/>
        <v>0</v>
      </c>
      <c r="AE2143" s="2">
        <v>0.17</v>
      </c>
      <c r="AF2143" s="5">
        <f t="shared" si="320"/>
        <v>0</v>
      </c>
      <c r="AG2143" s="2">
        <v>0</v>
      </c>
      <c r="AH2143" s="5">
        <f t="shared" si="323"/>
        <v>0</v>
      </c>
      <c r="AJ2143" s="126" t="e">
        <v>#N/A</v>
      </c>
      <c r="AK2143" s="80">
        <f t="shared" si="321"/>
        <v>0</v>
      </c>
      <c r="AM2143" s="85"/>
    </row>
    <row r="2144" spans="1:39" hidden="1" x14ac:dyDescent="0.3">
      <c r="A2144" s="85" t="s">
        <v>34</v>
      </c>
      <c r="B2144" s="3" t="s">
        <v>701</v>
      </c>
      <c r="C2144" s="3" t="s">
        <v>47</v>
      </c>
      <c r="D2144" s="3" t="s">
        <v>63</v>
      </c>
      <c r="E2144" s="3" t="s">
        <v>2772</v>
      </c>
      <c r="F2144" s="3" t="s">
        <v>2772</v>
      </c>
      <c r="G2144" s="3" t="s">
        <v>2772</v>
      </c>
      <c r="I2144" s="3" t="s">
        <v>78</v>
      </c>
      <c r="J2144" s="1" t="s">
        <v>3303</v>
      </c>
      <c r="K2144" s="1" t="s">
        <v>3276</v>
      </c>
      <c r="L2144" s="1" t="s">
        <v>701</v>
      </c>
      <c r="M2144" s="3" t="s">
        <v>2773</v>
      </c>
      <c r="O2144" s="1" t="s">
        <v>410</v>
      </c>
      <c r="P2144" s="1" t="s">
        <v>41</v>
      </c>
      <c r="Q2144" s="2">
        <v>0</v>
      </c>
      <c r="R2144" s="138">
        <v>7613</v>
      </c>
      <c r="T2144" s="4">
        <v>300000</v>
      </c>
      <c r="U2144" s="4">
        <v>300000</v>
      </c>
      <c r="V2144" s="4">
        <v>167701.45000000001</v>
      </c>
      <c r="W2144" s="13">
        <f t="shared" si="316"/>
        <v>432298.55</v>
      </c>
      <c r="X2144" s="13">
        <f t="shared" si="315"/>
        <v>167701.45000000001</v>
      </c>
      <c r="Y2144" s="13">
        <f t="shared" si="317"/>
        <v>0</v>
      </c>
      <c r="Z2144" s="2">
        <v>0</v>
      </c>
      <c r="AA2144" s="4">
        <v>0</v>
      </c>
      <c r="AB2144" s="4">
        <f t="shared" si="318"/>
        <v>167701.45000000001</v>
      </c>
      <c r="AC2144" s="6">
        <f t="shared" si="319"/>
        <v>0</v>
      </c>
      <c r="AD2144" s="13">
        <f t="shared" si="322"/>
        <v>167701.45000000001</v>
      </c>
      <c r="AE2144" s="2">
        <v>0.17</v>
      </c>
      <c r="AF2144" s="5">
        <f t="shared" si="320"/>
        <v>28509.246500000005</v>
      </c>
      <c r="AG2144" s="2">
        <v>0</v>
      </c>
      <c r="AH2144" s="5">
        <f t="shared" si="323"/>
        <v>167701.45000000001</v>
      </c>
      <c r="AJ2144" s="126" t="e">
        <v>#N/A</v>
      </c>
      <c r="AK2144" s="80">
        <f t="shared" si="321"/>
        <v>0</v>
      </c>
      <c r="AM2144" s="85"/>
    </row>
    <row r="2145" spans="1:39" hidden="1" x14ac:dyDescent="0.3">
      <c r="A2145" s="85" t="s">
        <v>34</v>
      </c>
      <c r="B2145" s="3" t="s">
        <v>701</v>
      </c>
      <c r="C2145" s="3" t="s">
        <v>47</v>
      </c>
      <c r="D2145" s="3" t="s">
        <v>63</v>
      </c>
      <c r="E2145" s="3" t="s">
        <v>2393</v>
      </c>
      <c r="F2145" s="3" t="s">
        <v>2774</v>
      </c>
      <c r="G2145" s="3" t="s">
        <v>2393</v>
      </c>
      <c r="I2145" s="3" t="s">
        <v>78</v>
      </c>
      <c r="J2145" s="1" t="s">
        <v>3303</v>
      </c>
      <c r="K2145" s="1" t="s">
        <v>3276</v>
      </c>
      <c r="L2145" s="1" t="s">
        <v>701</v>
      </c>
      <c r="M2145" s="3" t="s">
        <v>2775</v>
      </c>
      <c r="O2145" s="1" t="s">
        <v>410</v>
      </c>
      <c r="P2145" s="1" t="s">
        <v>46</v>
      </c>
      <c r="Q2145" s="2">
        <v>7.0000000000000007E-2</v>
      </c>
      <c r="R2145" s="138">
        <v>7587</v>
      </c>
      <c r="T2145" s="4">
        <v>10700</v>
      </c>
      <c r="U2145" s="4">
        <v>21400</v>
      </c>
      <c r="V2145" s="4">
        <v>23004</v>
      </c>
      <c r="W2145" s="13">
        <f t="shared" si="316"/>
        <v>9096</v>
      </c>
      <c r="X2145" s="13">
        <f t="shared" ref="X2145:X2208" si="324">IF(P2145="折扣",V2145*Q2145,IF(P2145="返现",V2145,V2145/(1+Q2145)))</f>
        <v>21499.065420560746</v>
      </c>
      <c r="Y2145" s="13">
        <f t="shared" si="317"/>
        <v>0</v>
      </c>
      <c r="Z2145" s="2">
        <v>0</v>
      </c>
      <c r="AA2145" s="4">
        <v>0</v>
      </c>
      <c r="AB2145" s="4">
        <f t="shared" si="318"/>
        <v>21499.065420560746</v>
      </c>
      <c r="AC2145" s="6">
        <f t="shared" si="319"/>
        <v>1504.9345794392539</v>
      </c>
      <c r="AD2145" s="13">
        <f t="shared" si="322"/>
        <v>23004</v>
      </c>
      <c r="AE2145" s="2">
        <v>0.17</v>
      </c>
      <c r="AF2145" s="5">
        <f t="shared" si="320"/>
        <v>3910.6800000000003</v>
      </c>
      <c r="AG2145" s="2">
        <v>0</v>
      </c>
      <c r="AH2145" s="5">
        <f t="shared" si="323"/>
        <v>23004</v>
      </c>
      <c r="AJ2145" s="126" t="e">
        <v>#N/A</v>
      </c>
      <c r="AK2145" s="80">
        <f t="shared" si="321"/>
        <v>0</v>
      </c>
      <c r="AM2145" s="85"/>
    </row>
    <row r="2146" spans="1:39" hidden="1" x14ac:dyDescent="0.3">
      <c r="A2146" s="85" t="s">
        <v>34</v>
      </c>
      <c r="B2146" s="3" t="s">
        <v>701</v>
      </c>
      <c r="C2146" s="3" t="s">
        <v>47</v>
      </c>
      <c r="D2146" s="3" t="s">
        <v>63</v>
      </c>
      <c r="E2146" s="3" t="s">
        <v>2581</v>
      </c>
      <c r="F2146" s="3" t="s">
        <v>2581</v>
      </c>
      <c r="G2146" s="3" t="s">
        <v>2581</v>
      </c>
      <c r="I2146" s="3" t="s">
        <v>78</v>
      </c>
      <c r="J2146" s="1" t="s">
        <v>3303</v>
      </c>
      <c r="K2146" s="1" t="s">
        <v>3276</v>
      </c>
      <c r="L2146" s="1" t="s">
        <v>701</v>
      </c>
      <c r="M2146" s="3" t="s">
        <v>70</v>
      </c>
      <c r="O2146" s="1" t="s">
        <v>410</v>
      </c>
      <c r="P2146" s="1" t="s">
        <v>41</v>
      </c>
      <c r="Q2146" s="2">
        <v>0</v>
      </c>
      <c r="R2146" s="138">
        <v>7572</v>
      </c>
      <c r="T2146" s="4">
        <v>0</v>
      </c>
      <c r="U2146" s="4">
        <v>50006.400000000001</v>
      </c>
      <c r="V2146" s="4">
        <v>2848.83</v>
      </c>
      <c r="W2146" s="13">
        <f t="shared" si="316"/>
        <v>47157.57</v>
      </c>
      <c r="X2146" s="13">
        <f t="shared" si="324"/>
        <v>2848.83</v>
      </c>
      <c r="Y2146" s="13">
        <f t="shared" si="317"/>
        <v>0</v>
      </c>
      <c r="Z2146" s="2">
        <v>0</v>
      </c>
      <c r="AA2146" s="4">
        <v>0</v>
      </c>
      <c r="AB2146" s="4">
        <f t="shared" si="318"/>
        <v>2848.83</v>
      </c>
      <c r="AC2146" s="6">
        <f t="shared" si="319"/>
        <v>0</v>
      </c>
      <c r="AD2146" s="13">
        <f t="shared" si="322"/>
        <v>2848.83</v>
      </c>
      <c r="AE2146" s="2">
        <v>0.17</v>
      </c>
      <c r="AF2146" s="5">
        <f t="shared" si="320"/>
        <v>484.30110000000002</v>
      </c>
      <c r="AG2146" s="2">
        <v>0</v>
      </c>
      <c r="AH2146" s="5">
        <f t="shared" si="323"/>
        <v>2848.83</v>
      </c>
      <c r="AJ2146" s="126" t="e">
        <v>#N/A</v>
      </c>
      <c r="AK2146" s="80">
        <f t="shared" si="321"/>
        <v>0</v>
      </c>
      <c r="AM2146" s="85"/>
    </row>
    <row r="2147" spans="1:39" hidden="1" x14ac:dyDescent="0.3">
      <c r="A2147" s="85" t="s">
        <v>34</v>
      </c>
      <c r="B2147" s="3" t="s">
        <v>701</v>
      </c>
      <c r="C2147" s="3" t="s">
        <v>47</v>
      </c>
      <c r="D2147" s="3" t="s">
        <v>63</v>
      </c>
      <c r="E2147" s="3" t="s">
        <v>2409</v>
      </c>
      <c r="F2147" s="3" t="s">
        <v>2776</v>
      </c>
      <c r="G2147" s="3" t="s">
        <v>2409</v>
      </c>
      <c r="I2147" s="3" t="s">
        <v>78</v>
      </c>
      <c r="J2147" s="1" t="s">
        <v>3303</v>
      </c>
      <c r="K2147" s="1" t="s">
        <v>3276</v>
      </c>
      <c r="L2147" s="1" t="s">
        <v>701</v>
      </c>
      <c r="M2147" s="3" t="s">
        <v>2777</v>
      </c>
      <c r="O2147" s="1" t="s">
        <v>410</v>
      </c>
      <c r="P2147" s="1" t="s">
        <v>46</v>
      </c>
      <c r="Q2147" s="2">
        <v>7.0000000000000007E-2</v>
      </c>
      <c r="R2147" s="138">
        <v>7585</v>
      </c>
      <c r="T2147" s="4">
        <v>214000</v>
      </c>
      <c r="U2147" s="4">
        <v>160500</v>
      </c>
      <c r="V2147" s="4">
        <v>348268.2</v>
      </c>
      <c r="W2147" s="13">
        <f t="shared" si="316"/>
        <v>26231.799999999988</v>
      </c>
      <c r="X2147" s="13">
        <f t="shared" si="324"/>
        <v>325484.29906542058</v>
      </c>
      <c r="Y2147" s="13">
        <f t="shared" si="317"/>
        <v>0</v>
      </c>
      <c r="Z2147" s="2">
        <v>0</v>
      </c>
      <c r="AA2147" s="4">
        <v>0</v>
      </c>
      <c r="AB2147" s="4">
        <f t="shared" si="318"/>
        <v>325484.29906542058</v>
      </c>
      <c r="AC2147" s="6">
        <f t="shared" si="319"/>
        <v>22783.900934579433</v>
      </c>
      <c r="AD2147" s="13">
        <f t="shared" si="322"/>
        <v>348268.2</v>
      </c>
      <c r="AE2147" s="2">
        <v>0.17</v>
      </c>
      <c r="AF2147" s="5">
        <f t="shared" si="320"/>
        <v>59205.594000000005</v>
      </c>
      <c r="AG2147" s="2">
        <v>0</v>
      </c>
      <c r="AH2147" s="5">
        <f t="shared" si="323"/>
        <v>348268.2</v>
      </c>
      <c r="AJ2147" s="126" t="e">
        <v>#N/A</v>
      </c>
      <c r="AK2147" s="80">
        <f t="shared" si="321"/>
        <v>0</v>
      </c>
      <c r="AM2147" s="85"/>
    </row>
    <row r="2148" spans="1:39" hidden="1" x14ac:dyDescent="0.3">
      <c r="A2148" s="85" t="s">
        <v>34</v>
      </c>
      <c r="B2148" s="3" t="s">
        <v>701</v>
      </c>
      <c r="C2148" s="3" t="s">
        <v>47</v>
      </c>
      <c r="D2148" s="3" t="s">
        <v>63</v>
      </c>
      <c r="E2148" s="3" t="s">
        <v>2409</v>
      </c>
      <c r="F2148" s="3" t="s">
        <v>2776</v>
      </c>
      <c r="G2148" s="3" t="s">
        <v>2409</v>
      </c>
      <c r="I2148" s="3" t="s">
        <v>78</v>
      </c>
      <c r="J2148" s="1" t="s">
        <v>3303</v>
      </c>
      <c r="K2148" s="1" t="s">
        <v>3276</v>
      </c>
      <c r="L2148" s="1" t="s">
        <v>701</v>
      </c>
      <c r="M2148" s="3" t="s">
        <v>2778</v>
      </c>
      <c r="O2148" s="1" t="s">
        <v>410</v>
      </c>
      <c r="P2148" s="1" t="s">
        <v>46</v>
      </c>
      <c r="Q2148" s="2">
        <v>7.0000000000000007E-2</v>
      </c>
      <c r="R2148" s="138">
        <v>7583</v>
      </c>
      <c r="T2148" s="4">
        <v>267500</v>
      </c>
      <c r="U2148" s="4">
        <v>695500</v>
      </c>
      <c r="V2148" s="4">
        <v>797316.37</v>
      </c>
      <c r="W2148" s="13">
        <f t="shared" si="316"/>
        <v>165683.63</v>
      </c>
      <c r="X2148" s="13">
        <f t="shared" si="324"/>
        <v>745155.48598130839</v>
      </c>
      <c r="Y2148" s="13">
        <f t="shared" si="317"/>
        <v>0</v>
      </c>
      <c r="Z2148" s="2">
        <v>0</v>
      </c>
      <c r="AA2148" s="4">
        <v>0</v>
      </c>
      <c r="AB2148" s="4">
        <f t="shared" si="318"/>
        <v>745155.48598130839</v>
      </c>
      <c r="AC2148" s="6">
        <f t="shared" si="319"/>
        <v>52160.884018691606</v>
      </c>
      <c r="AD2148" s="13">
        <f t="shared" si="322"/>
        <v>797316.37</v>
      </c>
      <c r="AE2148" s="2">
        <v>0.17</v>
      </c>
      <c r="AF2148" s="5">
        <f t="shared" si="320"/>
        <v>135543.78290000002</v>
      </c>
      <c r="AG2148" s="2">
        <v>0</v>
      </c>
      <c r="AH2148" s="5">
        <f t="shared" si="323"/>
        <v>797316.37</v>
      </c>
      <c r="AJ2148" s="126" t="e">
        <v>#N/A</v>
      </c>
      <c r="AK2148" s="80">
        <f t="shared" si="321"/>
        <v>0</v>
      </c>
      <c r="AM2148" s="85"/>
    </row>
    <row r="2149" spans="1:39" hidden="1" x14ac:dyDescent="0.3">
      <c r="A2149" s="85" t="s">
        <v>34</v>
      </c>
      <c r="B2149" s="3" t="s">
        <v>701</v>
      </c>
      <c r="C2149" s="3" t="s">
        <v>47</v>
      </c>
      <c r="D2149" s="3" t="s">
        <v>63</v>
      </c>
      <c r="E2149" s="3" t="s">
        <v>2409</v>
      </c>
      <c r="F2149" s="3" t="s">
        <v>2776</v>
      </c>
      <c r="G2149" s="3" t="s">
        <v>2409</v>
      </c>
      <c r="I2149" s="3" t="s">
        <v>78</v>
      </c>
      <c r="J2149" s="1" t="s">
        <v>3303</v>
      </c>
      <c r="K2149" s="1" t="s">
        <v>3276</v>
      </c>
      <c r="L2149" s="1" t="s">
        <v>701</v>
      </c>
      <c r="M2149" s="3" t="s">
        <v>2779</v>
      </c>
      <c r="O2149" s="1" t="s">
        <v>410</v>
      </c>
      <c r="P2149" s="1" t="s">
        <v>46</v>
      </c>
      <c r="Q2149" s="2">
        <v>7.0000000000000007E-2</v>
      </c>
      <c r="R2149" s="138">
        <v>7584</v>
      </c>
      <c r="T2149" s="4">
        <v>107000</v>
      </c>
      <c r="U2149" s="4">
        <v>214000</v>
      </c>
      <c r="V2149" s="4">
        <v>256633.56999999998</v>
      </c>
      <c r="W2149" s="13">
        <f t="shared" si="316"/>
        <v>64366.430000000022</v>
      </c>
      <c r="X2149" s="13">
        <f t="shared" si="324"/>
        <v>239844.4579439252</v>
      </c>
      <c r="Y2149" s="13">
        <f t="shared" si="317"/>
        <v>0</v>
      </c>
      <c r="Z2149" s="2">
        <v>0</v>
      </c>
      <c r="AA2149" s="4">
        <v>0</v>
      </c>
      <c r="AB2149" s="4">
        <f t="shared" si="318"/>
        <v>239844.4579439252</v>
      </c>
      <c r="AC2149" s="6">
        <f t="shared" si="319"/>
        <v>16789.11205607478</v>
      </c>
      <c r="AD2149" s="13">
        <f t="shared" si="322"/>
        <v>256633.56999999998</v>
      </c>
      <c r="AE2149" s="2">
        <v>0.17</v>
      </c>
      <c r="AF2149" s="5">
        <f t="shared" si="320"/>
        <v>43627.706899999997</v>
      </c>
      <c r="AG2149" s="2">
        <v>0</v>
      </c>
      <c r="AH2149" s="5">
        <f t="shared" si="323"/>
        <v>256633.56999999998</v>
      </c>
      <c r="AJ2149" s="126" t="e">
        <v>#N/A</v>
      </c>
      <c r="AK2149" s="80">
        <f t="shared" si="321"/>
        <v>0</v>
      </c>
      <c r="AM2149" s="85"/>
    </row>
    <row r="2150" spans="1:39" hidden="1" x14ac:dyDescent="0.3">
      <c r="A2150" s="85" t="s">
        <v>34</v>
      </c>
      <c r="B2150" s="3" t="s">
        <v>701</v>
      </c>
      <c r="C2150" s="3" t="s">
        <v>47</v>
      </c>
      <c r="D2150" s="3" t="s">
        <v>63</v>
      </c>
      <c r="E2150" s="3" t="s">
        <v>2409</v>
      </c>
      <c r="F2150" s="3" t="s">
        <v>2776</v>
      </c>
      <c r="G2150" s="3" t="s">
        <v>2409</v>
      </c>
      <c r="I2150" s="3" t="s">
        <v>78</v>
      </c>
      <c r="J2150" s="1" t="s">
        <v>3303</v>
      </c>
      <c r="K2150" s="1" t="s">
        <v>3276</v>
      </c>
      <c r="L2150" s="1" t="s">
        <v>701</v>
      </c>
      <c r="M2150" s="3" t="s">
        <v>2780</v>
      </c>
      <c r="O2150" s="1" t="s">
        <v>410</v>
      </c>
      <c r="P2150" s="1" t="s">
        <v>46</v>
      </c>
      <c r="Q2150" s="2">
        <v>7.0000000000000007E-2</v>
      </c>
      <c r="R2150" s="138">
        <v>7577</v>
      </c>
      <c r="T2150" s="4">
        <v>53500</v>
      </c>
      <c r="U2150" s="4">
        <v>107000</v>
      </c>
      <c r="V2150" s="4">
        <v>109278.61000000002</v>
      </c>
      <c r="W2150" s="13">
        <f t="shared" si="316"/>
        <v>51221.389999999985</v>
      </c>
      <c r="X2150" s="13">
        <f t="shared" si="324"/>
        <v>102129.54205607477</v>
      </c>
      <c r="Y2150" s="13">
        <f t="shared" si="317"/>
        <v>0</v>
      </c>
      <c r="Z2150" s="2">
        <v>0</v>
      </c>
      <c r="AA2150" s="4">
        <v>0</v>
      </c>
      <c r="AB2150" s="4">
        <f t="shared" si="318"/>
        <v>102129.54205607477</v>
      </c>
      <c r="AC2150" s="6">
        <f t="shared" si="319"/>
        <v>7149.0679439252417</v>
      </c>
      <c r="AD2150" s="13">
        <f t="shared" si="322"/>
        <v>109278.61000000002</v>
      </c>
      <c r="AE2150" s="2">
        <v>0.17</v>
      </c>
      <c r="AF2150" s="5">
        <f t="shared" si="320"/>
        <v>18577.363700000005</v>
      </c>
      <c r="AG2150" s="2">
        <v>0</v>
      </c>
      <c r="AH2150" s="5">
        <f t="shared" si="323"/>
        <v>109278.61000000002</v>
      </c>
      <c r="AJ2150" s="126" t="e">
        <v>#N/A</v>
      </c>
      <c r="AK2150" s="80">
        <f t="shared" si="321"/>
        <v>0</v>
      </c>
      <c r="AM2150" s="85"/>
    </row>
    <row r="2151" spans="1:39" hidden="1" x14ac:dyDescent="0.3">
      <c r="A2151" s="85" t="s">
        <v>34</v>
      </c>
      <c r="B2151" s="3" t="s">
        <v>701</v>
      </c>
      <c r="C2151" s="3" t="s">
        <v>47</v>
      </c>
      <c r="D2151" s="3" t="s">
        <v>63</v>
      </c>
      <c r="E2151" s="3" t="s">
        <v>2409</v>
      </c>
      <c r="F2151" s="3" t="s">
        <v>2776</v>
      </c>
      <c r="G2151" s="3" t="s">
        <v>2409</v>
      </c>
      <c r="I2151" s="3" t="s">
        <v>78</v>
      </c>
      <c r="J2151" s="1" t="s">
        <v>3303</v>
      </c>
      <c r="K2151" s="1" t="s">
        <v>3276</v>
      </c>
      <c r="L2151" s="1" t="s">
        <v>701</v>
      </c>
      <c r="M2151" s="3" t="s">
        <v>2781</v>
      </c>
      <c r="O2151" s="1" t="s">
        <v>410</v>
      </c>
      <c r="P2151" s="1" t="s">
        <v>46</v>
      </c>
      <c r="Q2151" s="2">
        <v>7.0000000000000007E-2</v>
      </c>
      <c r="R2151" s="138">
        <v>7611</v>
      </c>
      <c r="T2151" s="4">
        <v>267500</v>
      </c>
      <c r="U2151" s="4">
        <v>535000</v>
      </c>
      <c r="V2151" s="4">
        <v>637651.25</v>
      </c>
      <c r="W2151" s="13">
        <f t="shared" si="316"/>
        <v>164848.75</v>
      </c>
      <c r="X2151" s="13">
        <f t="shared" si="324"/>
        <v>595935.74766355136</v>
      </c>
      <c r="Y2151" s="13">
        <f t="shared" si="317"/>
        <v>0</v>
      </c>
      <c r="Z2151" s="2">
        <v>0</v>
      </c>
      <c r="AA2151" s="4">
        <v>0</v>
      </c>
      <c r="AB2151" s="4">
        <f t="shared" si="318"/>
        <v>595935.74766355136</v>
      </c>
      <c r="AC2151" s="6">
        <f t="shared" si="319"/>
        <v>41715.502336448641</v>
      </c>
      <c r="AD2151" s="13">
        <f t="shared" si="322"/>
        <v>637651.25</v>
      </c>
      <c r="AE2151" s="2">
        <v>0.17</v>
      </c>
      <c r="AF2151" s="5">
        <f t="shared" si="320"/>
        <v>108400.71250000001</v>
      </c>
      <c r="AG2151" s="2">
        <v>0</v>
      </c>
      <c r="AH2151" s="5">
        <f t="shared" si="323"/>
        <v>637651.25</v>
      </c>
      <c r="AJ2151" s="126" t="e">
        <v>#N/A</v>
      </c>
      <c r="AK2151" s="80">
        <f t="shared" si="321"/>
        <v>0</v>
      </c>
      <c r="AM2151" s="85"/>
    </row>
    <row r="2152" spans="1:39" hidden="1" x14ac:dyDescent="0.3">
      <c r="A2152" s="85" t="s">
        <v>34</v>
      </c>
      <c r="B2152" s="3" t="s">
        <v>701</v>
      </c>
      <c r="C2152" s="3" t="s">
        <v>47</v>
      </c>
      <c r="D2152" s="3" t="s">
        <v>63</v>
      </c>
      <c r="E2152" s="3" t="s">
        <v>2418</v>
      </c>
      <c r="F2152" s="3" t="s">
        <v>2782</v>
      </c>
      <c r="G2152" s="3" t="s">
        <v>2418</v>
      </c>
      <c r="I2152" s="3" t="s">
        <v>78</v>
      </c>
      <c r="J2152" s="1" t="s">
        <v>3303</v>
      </c>
      <c r="K2152" s="1" t="s">
        <v>3276</v>
      </c>
      <c r="L2152" s="1" t="s">
        <v>701</v>
      </c>
      <c r="M2152" s="3" t="s">
        <v>2418</v>
      </c>
      <c r="O2152" s="1" t="s">
        <v>410</v>
      </c>
      <c r="P2152" s="1" t="s">
        <v>46</v>
      </c>
      <c r="Q2152" s="2">
        <v>7.0000000000000007E-2</v>
      </c>
      <c r="R2152" s="138">
        <v>7580</v>
      </c>
      <c r="T2152" s="4">
        <v>963000</v>
      </c>
      <c r="U2152" s="4">
        <v>4494000</v>
      </c>
      <c r="V2152" s="4">
        <v>5000368.88</v>
      </c>
      <c r="W2152" s="13">
        <f t="shared" si="316"/>
        <v>456631.12000000011</v>
      </c>
      <c r="X2152" s="13">
        <f t="shared" si="324"/>
        <v>4673241.9439252336</v>
      </c>
      <c r="Y2152" s="13">
        <f t="shared" si="317"/>
        <v>0</v>
      </c>
      <c r="Z2152" s="2">
        <v>0</v>
      </c>
      <c r="AA2152" s="4">
        <v>0</v>
      </c>
      <c r="AB2152" s="4">
        <f t="shared" si="318"/>
        <v>4673241.9439252336</v>
      </c>
      <c r="AC2152" s="6">
        <f t="shared" si="319"/>
        <v>327126.93607476633</v>
      </c>
      <c r="AD2152" s="13">
        <f t="shared" si="322"/>
        <v>5000368.88</v>
      </c>
      <c r="AE2152" s="2">
        <v>0.17</v>
      </c>
      <c r="AF2152" s="5">
        <f t="shared" si="320"/>
        <v>850062.70960000006</v>
      </c>
      <c r="AG2152" s="2">
        <v>0</v>
      </c>
      <c r="AH2152" s="5">
        <f t="shared" si="323"/>
        <v>5000368.88</v>
      </c>
      <c r="AJ2152" s="126" t="e">
        <v>#N/A</v>
      </c>
      <c r="AK2152" s="80">
        <f t="shared" si="321"/>
        <v>0</v>
      </c>
      <c r="AM2152" s="85"/>
    </row>
    <row r="2153" spans="1:39" hidden="1" x14ac:dyDescent="0.3">
      <c r="A2153" s="85" t="s">
        <v>34</v>
      </c>
      <c r="B2153" s="3" t="s">
        <v>701</v>
      </c>
      <c r="C2153" s="3" t="s">
        <v>47</v>
      </c>
      <c r="D2153" s="3" t="s">
        <v>63</v>
      </c>
      <c r="E2153" s="3" t="s">
        <v>2418</v>
      </c>
      <c r="F2153" s="3" t="s">
        <v>2782</v>
      </c>
      <c r="G2153" s="3" t="s">
        <v>2418</v>
      </c>
      <c r="I2153" s="3" t="s">
        <v>78</v>
      </c>
      <c r="J2153" s="1" t="s">
        <v>3303</v>
      </c>
      <c r="K2153" s="1" t="s">
        <v>3276</v>
      </c>
      <c r="L2153" s="1" t="s">
        <v>701</v>
      </c>
      <c r="M2153" s="3" t="s">
        <v>2783</v>
      </c>
      <c r="O2153" s="1" t="s">
        <v>410</v>
      </c>
      <c r="P2153" s="1" t="s">
        <v>46</v>
      </c>
      <c r="Q2153" s="2">
        <v>7.0000000000000007E-2</v>
      </c>
      <c r="R2153" s="138">
        <v>7581</v>
      </c>
      <c r="T2153" s="4">
        <v>160500</v>
      </c>
      <c r="U2153" s="4">
        <v>535000</v>
      </c>
      <c r="V2153" s="4">
        <v>629521.54</v>
      </c>
      <c r="W2153" s="13">
        <f t="shared" si="316"/>
        <v>65978.459999999963</v>
      </c>
      <c r="X2153" s="13">
        <f t="shared" si="324"/>
        <v>588337.88785046735</v>
      </c>
      <c r="Y2153" s="13">
        <f t="shared" si="317"/>
        <v>0</v>
      </c>
      <c r="Z2153" s="2">
        <v>0</v>
      </c>
      <c r="AA2153" s="4">
        <v>0</v>
      </c>
      <c r="AB2153" s="4">
        <f t="shared" si="318"/>
        <v>588337.88785046735</v>
      </c>
      <c r="AC2153" s="6">
        <f t="shared" si="319"/>
        <v>41183.652149532689</v>
      </c>
      <c r="AD2153" s="13">
        <f t="shared" si="322"/>
        <v>629521.54</v>
      </c>
      <c r="AE2153" s="2">
        <v>0.17</v>
      </c>
      <c r="AF2153" s="5">
        <f t="shared" si="320"/>
        <v>107018.66180000002</v>
      </c>
      <c r="AG2153" s="2">
        <v>0</v>
      </c>
      <c r="AH2153" s="5">
        <f t="shared" si="323"/>
        <v>629521.54</v>
      </c>
      <c r="AJ2153" s="126" t="e">
        <v>#N/A</v>
      </c>
      <c r="AK2153" s="80">
        <f t="shared" si="321"/>
        <v>0</v>
      </c>
      <c r="AM2153" s="85"/>
    </row>
    <row r="2154" spans="1:39" hidden="1" x14ac:dyDescent="0.3">
      <c r="A2154" s="85" t="s">
        <v>34</v>
      </c>
      <c r="B2154" s="3" t="s">
        <v>701</v>
      </c>
      <c r="C2154" s="3" t="s">
        <v>47</v>
      </c>
      <c r="D2154" s="3" t="s">
        <v>63</v>
      </c>
      <c r="E2154" s="3" t="s">
        <v>2418</v>
      </c>
      <c r="F2154" s="3" t="s">
        <v>2782</v>
      </c>
      <c r="G2154" s="3" t="s">
        <v>2418</v>
      </c>
      <c r="I2154" s="3" t="s">
        <v>78</v>
      </c>
      <c r="J2154" s="1" t="s">
        <v>3303</v>
      </c>
      <c r="K2154" s="1" t="s">
        <v>3276</v>
      </c>
      <c r="L2154" s="1" t="s">
        <v>701</v>
      </c>
      <c r="M2154" s="3" t="s">
        <v>2784</v>
      </c>
      <c r="O2154" s="1" t="s">
        <v>410</v>
      </c>
      <c r="P2154" s="1" t="s">
        <v>46</v>
      </c>
      <c r="Q2154" s="2">
        <v>7.0000000000000007E-2</v>
      </c>
      <c r="R2154" s="138">
        <v>7578</v>
      </c>
      <c r="T2154" s="4">
        <v>214000</v>
      </c>
      <c r="U2154" s="4">
        <v>856000</v>
      </c>
      <c r="V2154" s="4">
        <v>803794.2</v>
      </c>
      <c r="W2154" s="13">
        <f t="shared" si="316"/>
        <v>266205.80000000005</v>
      </c>
      <c r="X2154" s="13">
        <f t="shared" si="324"/>
        <v>751209.53271028027</v>
      </c>
      <c r="Y2154" s="13">
        <f t="shared" si="317"/>
        <v>0</v>
      </c>
      <c r="Z2154" s="2">
        <v>0</v>
      </c>
      <c r="AA2154" s="4">
        <v>0</v>
      </c>
      <c r="AB2154" s="4">
        <f t="shared" si="318"/>
        <v>751209.53271028027</v>
      </c>
      <c r="AC2154" s="6">
        <f t="shared" si="319"/>
        <v>52584.667289719684</v>
      </c>
      <c r="AD2154" s="13">
        <f t="shared" si="322"/>
        <v>803794.2</v>
      </c>
      <c r="AE2154" s="2">
        <v>0.17</v>
      </c>
      <c r="AF2154" s="5">
        <f t="shared" si="320"/>
        <v>136645.014</v>
      </c>
      <c r="AG2154" s="2">
        <v>0</v>
      </c>
      <c r="AH2154" s="5">
        <f t="shared" si="323"/>
        <v>803794.2</v>
      </c>
      <c r="AJ2154" s="126" t="e">
        <v>#N/A</v>
      </c>
      <c r="AK2154" s="80">
        <f t="shared" si="321"/>
        <v>0</v>
      </c>
      <c r="AM2154" s="85"/>
    </row>
    <row r="2155" spans="1:39" hidden="1" x14ac:dyDescent="0.3">
      <c r="A2155" s="85" t="s">
        <v>34</v>
      </c>
      <c r="B2155" s="3" t="s">
        <v>701</v>
      </c>
      <c r="C2155" s="3" t="s">
        <v>47</v>
      </c>
      <c r="D2155" s="3" t="s">
        <v>63</v>
      </c>
      <c r="E2155" s="3" t="s">
        <v>2785</v>
      </c>
      <c r="F2155" s="3" t="s">
        <v>2785</v>
      </c>
      <c r="G2155" s="3" t="s">
        <v>2785</v>
      </c>
      <c r="I2155" s="3" t="s">
        <v>78</v>
      </c>
      <c r="J2155" s="1" t="s">
        <v>3303</v>
      </c>
      <c r="K2155" s="1" t="s">
        <v>3276</v>
      </c>
      <c r="L2155" s="1" t="s">
        <v>701</v>
      </c>
      <c r="M2155" s="3" t="s">
        <v>2786</v>
      </c>
      <c r="O2155" s="1" t="s">
        <v>410</v>
      </c>
      <c r="P2155" s="1" t="s">
        <v>46</v>
      </c>
      <c r="Q2155" s="2">
        <v>0.01</v>
      </c>
      <c r="R2155" s="138">
        <v>7272</v>
      </c>
      <c r="T2155" s="4">
        <v>16475.259999999973</v>
      </c>
      <c r="U2155" s="4">
        <v>20000</v>
      </c>
      <c r="V2155" s="4">
        <v>35410.050000000003</v>
      </c>
      <c r="W2155" s="13">
        <f t="shared" si="316"/>
        <v>1065.20999999997</v>
      </c>
      <c r="X2155" s="13">
        <f t="shared" si="324"/>
        <v>35059.455445544554</v>
      </c>
      <c r="Y2155" s="13">
        <f t="shared" si="317"/>
        <v>0</v>
      </c>
      <c r="Z2155" s="2">
        <v>0</v>
      </c>
      <c r="AA2155" s="4">
        <v>0</v>
      </c>
      <c r="AB2155" s="4">
        <f t="shared" si="318"/>
        <v>35059.455445544554</v>
      </c>
      <c r="AC2155" s="6">
        <f t="shared" si="319"/>
        <v>350.59455445544882</v>
      </c>
      <c r="AD2155" s="13">
        <f t="shared" si="322"/>
        <v>35410.050000000003</v>
      </c>
      <c r="AE2155" s="2">
        <v>0.17</v>
      </c>
      <c r="AF2155" s="5">
        <f t="shared" si="320"/>
        <v>6019.7085000000006</v>
      </c>
      <c r="AG2155" s="2">
        <v>0</v>
      </c>
      <c r="AH2155" s="5">
        <f t="shared" si="323"/>
        <v>35410.050000000003</v>
      </c>
      <c r="AJ2155" s="126" t="e">
        <v>#N/A</v>
      </c>
      <c r="AK2155" s="80">
        <f t="shared" si="321"/>
        <v>0</v>
      </c>
      <c r="AM2155" s="85"/>
    </row>
    <row r="2156" spans="1:39" hidden="1" x14ac:dyDescent="0.3">
      <c r="A2156" s="85" t="s">
        <v>34</v>
      </c>
      <c r="B2156" s="3" t="s">
        <v>701</v>
      </c>
      <c r="C2156" s="3" t="s">
        <v>47</v>
      </c>
      <c r="D2156" s="3" t="s">
        <v>63</v>
      </c>
      <c r="E2156" s="3" t="s">
        <v>2787</v>
      </c>
      <c r="F2156" s="3" t="s">
        <v>2787</v>
      </c>
      <c r="G2156" s="3" t="s">
        <v>2787</v>
      </c>
      <c r="I2156" s="3" t="s">
        <v>78</v>
      </c>
      <c r="J2156" s="1" t="s">
        <v>3303</v>
      </c>
      <c r="K2156" s="1" t="s">
        <v>3276</v>
      </c>
      <c r="L2156" s="1" t="s">
        <v>701</v>
      </c>
      <c r="M2156" s="3" t="s">
        <v>2788</v>
      </c>
      <c r="O2156" s="1" t="s">
        <v>410</v>
      </c>
      <c r="P2156" s="1" t="s">
        <v>41</v>
      </c>
      <c r="Q2156" s="2">
        <v>0</v>
      </c>
      <c r="R2156" s="138">
        <v>7102</v>
      </c>
      <c r="T2156" s="4">
        <v>43455.550000000017</v>
      </c>
      <c r="U2156" s="4">
        <v>100000</v>
      </c>
      <c r="V2156" s="4">
        <v>110628.15</v>
      </c>
      <c r="W2156" s="13">
        <f t="shared" si="316"/>
        <v>32827.400000000023</v>
      </c>
      <c r="X2156" s="13">
        <f t="shared" si="324"/>
        <v>110628.15</v>
      </c>
      <c r="Y2156" s="13">
        <f t="shared" si="317"/>
        <v>0</v>
      </c>
      <c r="Z2156" s="2">
        <v>0</v>
      </c>
      <c r="AA2156" s="4">
        <v>0</v>
      </c>
      <c r="AB2156" s="4">
        <f t="shared" si="318"/>
        <v>110628.15</v>
      </c>
      <c r="AC2156" s="6">
        <f t="shared" si="319"/>
        <v>0</v>
      </c>
      <c r="AD2156" s="13">
        <f t="shared" si="322"/>
        <v>110628.15</v>
      </c>
      <c r="AE2156" s="2">
        <v>0.17</v>
      </c>
      <c r="AF2156" s="5">
        <f t="shared" si="320"/>
        <v>18806.785500000002</v>
      </c>
      <c r="AG2156" s="2">
        <v>0</v>
      </c>
      <c r="AH2156" s="5">
        <f t="shared" si="323"/>
        <v>110628.15</v>
      </c>
      <c r="AJ2156" s="126" t="e">
        <v>#N/A</v>
      </c>
      <c r="AK2156" s="80">
        <f t="shared" si="321"/>
        <v>0</v>
      </c>
      <c r="AM2156" s="85"/>
    </row>
    <row r="2157" spans="1:39" hidden="1" x14ac:dyDescent="0.3">
      <c r="A2157" s="85" t="s">
        <v>34</v>
      </c>
      <c r="B2157" s="3" t="s">
        <v>701</v>
      </c>
      <c r="C2157" s="3" t="s">
        <v>47</v>
      </c>
      <c r="D2157" s="3" t="s">
        <v>48</v>
      </c>
      <c r="E2157" s="3" t="s">
        <v>2482</v>
      </c>
      <c r="F2157" s="3" t="s">
        <v>2483</v>
      </c>
      <c r="G2157" s="3" t="s">
        <v>2482</v>
      </c>
      <c r="I2157" s="3" t="s">
        <v>78</v>
      </c>
      <c r="J2157" s="1" t="s">
        <v>3303</v>
      </c>
      <c r="K2157" s="1" t="s">
        <v>3276</v>
      </c>
      <c r="L2157" s="1" t="s">
        <v>701</v>
      </c>
      <c r="M2157" s="3" t="s">
        <v>2482</v>
      </c>
      <c r="O2157" s="1" t="s">
        <v>410</v>
      </c>
      <c r="P2157" s="1" t="s">
        <v>41</v>
      </c>
      <c r="Q2157" s="2">
        <v>0</v>
      </c>
      <c r="R2157" s="138">
        <v>7592</v>
      </c>
      <c r="T2157" s="4">
        <v>10000</v>
      </c>
      <c r="U2157" s="4">
        <v>28910.9</v>
      </c>
      <c r="V2157" s="4">
        <v>17579.32</v>
      </c>
      <c r="W2157" s="13">
        <f t="shared" si="316"/>
        <v>21331.58</v>
      </c>
      <c r="X2157" s="13">
        <f t="shared" si="324"/>
        <v>17579.32</v>
      </c>
      <c r="Y2157" s="13">
        <f t="shared" si="317"/>
        <v>0</v>
      </c>
      <c r="Z2157" s="2">
        <v>0</v>
      </c>
      <c r="AA2157" s="4">
        <v>0</v>
      </c>
      <c r="AB2157" s="4">
        <f t="shared" si="318"/>
        <v>17579.32</v>
      </c>
      <c r="AC2157" s="6">
        <f t="shared" si="319"/>
        <v>0</v>
      </c>
      <c r="AD2157" s="13">
        <f t="shared" si="322"/>
        <v>17579.32</v>
      </c>
      <c r="AE2157" s="2">
        <v>0.17</v>
      </c>
      <c r="AF2157" s="5">
        <f t="shared" si="320"/>
        <v>2988.4844000000003</v>
      </c>
      <c r="AG2157" s="2">
        <v>0</v>
      </c>
      <c r="AH2157" s="5">
        <f t="shared" si="323"/>
        <v>17579.32</v>
      </c>
      <c r="AJ2157" s="126" t="e">
        <v>#N/A</v>
      </c>
      <c r="AK2157" s="80">
        <f t="shared" si="321"/>
        <v>0</v>
      </c>
      <c r="AM2157" s="85"/>
    </row>
    <row r="2158" spans="1:39" hidden="1" x14ac:dyDescent="0.3">
      <c r="A2158" s="85" t="s">
        <v>34</v>
      </c>
      <c r="B2158" s="3" t="s">
        <v>701</v>
      </c>
      <c r="C2158" s="3" t="s">
        <v>47</v>
      </c>
      <c r="D2158" s="3" t="s">
        <v>48</v>
      </c>
      <c r="E2158" s="3" t="s">
        <v>2789</v>
      </c>
      <c r="F2158" s="3" t="s">
        <v>2789</v>
      </c>
      <c r="G2158" s="3" t="s">
        <v>2789</v>
      </c>
      <c r="H2158" s="138"/>
      <c r="I2158" s="3" t="s">
        <v>78</v>
      </c>
      <c r="J2158" s="1" t="s">
        <v>3303</v>
      </c>
      <c r="K2158" s="1" t="s">
        <v>3276</v>
      </c>
      <c r="L2158" s="1" t="s">
        <v>701</v>
      </c>
      <c r="M2158" s="3" t="s">
        <v>2789</v>
      </c>
      <c r="O2158" s="1" t="s">
        <v>410</v>
      </c>
      <c r="P2158" s="1" t="s">
        <v>41</v>
      </c>
      <c r="Q2158" s="2">
        <v>0</v>
      </c>
      <c r="R2158" s="138">
        <v>7610</v>
      </c>
      <c r="T2158" s="4">
        <v>0</v>
      </c>
      <c r="U2158" s="4">
        <v>50000</v>
      </c>
      <c r="V2158" s="4">
        <v>0</v>
      </c>
      <c r="W2158" s="13">
        <f t="shared" si="316"/>
        <v>50000</v>
      </c>
      <c r="X2158" s="13">
        <f t="shared" si="324"/>
        <v>0</v>
      </c>
      <c r="Y2158" s="13">
        <f t="shared" si="317"/>
        <v>0</v>
      </c>
      <c r="Z2158" s="2">
        <v>0</v>
      </c>
      <c r="AA2158" s="4">
        <v>0</v>
      </c>
      <c r="AB2158" s="4">
        <f t="shared" si="318"/>
        <v>0</v>
      </c>
      <c r="AC2158" s="6">
        <f t="shared" si="319"/>
        <v>0</v>
      </c>
      <c r="AD2158" s="13">
        <f t="shared" si="322"/>
        <v>0</v>
      </c>
      <c r="AE2158" s="2">
        <v>0.17</v>
      </c>
      <c r="AF2158" s="5">
        <f t="shared" si="320"/>
        <v>0</v>
      </c>
      <c r="AG2158" s="2">
        <v>0</v>
      </c>
      <c r="AH2158" s="5">
        <f t="shared" si="323"/>
        <v>0</v>
      </c>
      <c r="AJ2158" s="126" t="e">
        <v>#N/A</v>
      </c>
      <c r="AK2158" s="80">
        <f t="shared" si="321"/>
        <v>0</v>
      </c>
      <c r="AM2158" s="85"/>
    </row>
    <row r="2159" spans="1:39" hidden="1" x14ac:dyDescent="0.3">
      <c r="A2159" s="85" t="s">
        <v>34</v>
      </c>
      <c r="B2159" s="3" t="s">
        <v>701</v>
      </c>
      <c r="C2159" s="3" t="s">
        <v>144</v>
      </c>
      <c r="D2159" s="3" t="s">
        <v>145</v>
      </c>
      <c r="E2159" s="3" t="s">
        <v>2790</v>
      </c>
      <c r="F2159" s="3" t="s">
        <v>2790</v>
      </c>
      <c r="G2159" s="3" t="s">
        <v>2790</v>
      </c>
      <c r="I2159" s="3" t="s">
        <v>78</v>
      </c>
      <c r="J2159" s="1" t="s">
        <v>3303</v>
      </c>
      <c r="K2159" s="1" t="s">
        <v>3276</v>
      </c>
      <c r="L2159" s="1" t="s">
        <v>701</v>
      </c>
      <c r="M2159" s="3" t="s">
        <v>2790</v>
      </c>
      <c r="O2159" s="1" t="s">
        <v>410</v>
      </c>
      <c r="P2159" s="1" t="s">
        <v>41</v>
      </c>
      <c r="Q2159" s="2">
        <v>0</v>
      </c>
      <c r="R2159" s="138">
        <v>7561</v>
      </c>
      <c r="T2159" s="4">
        <v>923</v>
      </c>
      <c r="U2159" s="4">
        <v>1000</v>
      </c>
      <c r="V2159" s="4">
        <v>1923</v>
      </c>
      <c r="W2159" s="13">
        <f t="shared" si="316"/>
        <v>0</v>
      </c>
      <c r="X2159" s="13">
        <f t="shared" si="324"/>
        <v>1923</v>
      </c>
      <c r="Y2159" s="13">
        <f t="shared" si="317"/>
        <v>0</v>
      </c>
      <c r="Z2159" s="2">
        <v>0</v>
      </c>
      <c r="AA2159" s="4">
        <v>0</v>
      </c>
      <c r="AB2159" s="4">
        <f t="shared" si="318"/>
        <v>1923</v>
      </c>
      <c r="AC2159" s="6">
        <f t="shared" si="319"/>
        <v>0</v>
      </c>
      <c r="AD2159" s="13">
        <f t="shared" si="322"/>
        <v>1923</v>
      </c>
      <c r="AE2159" s="2">
        <v>0.17</v>
      </c>
      <c r="AF2159" s="5">
        <f t="shared" si="320"/>
        <v>326.91000000000003</v>
      </c>
      <c r="AG2159" s="2">
        <v>0</v>
      </c>
      <c r="AH2159" s="5">
        <f t="shared" si="323"/>
        <v>1923</v>
      </c>
      <c r="AJ2159" s="126" t="e">
        <v>#N/A</v>
      </c>
      <c r="AK2159" s="80">
        <f t="shared" si="321"/>
        <v>0</v>
      </c>
      <c r="AM2159" s="85"/>
    </row>
    <row r="2160" spans="1:39" hidden="1" x14ac:dyDescent="0.3">
      <c r="A2160" s="85" t="s">
        <v>34</v>
      </c>
      <c r="B2160" s="3" t="s">
        <v>701</v>
      </c>
      <c r="C2160" s="3" t="s">
        <v>144</v>
      </c>
      <c r="D2160" s="3" t="s">
        <v>145</v>
      </c>
      <c r="E2160" s="3" t="s">
        <v>149</v>
      </c>
      <c r="F2160" s="3" t="s">
        <v>149</v>
      </c>
      <c r="G2160" s="3" t="s">
        <v>149</v>
      </c>
      <c r="I2160" s="3" t="s">
        <v>78</v>
      </c>
      <c r="J2160" s="1" t="s">
        <v>3303</v>
      </c>
      <c r="K2160" s="1" t="s">
        <v>3276</v>
      </c>
      <c r="L2160" s="1" t="s">
        <v>701</v>
      </c>
      <c r="M2160" s="3" t="s">
        <v>2791</v>
      </c>
      <c r="O2160" s="1" t="s">
        <v>410</v>
      </c>
      <c r="P2160" s="1" t="s">
        <v>41</v>
      </c>
      <c r="Q2160" s="2">
        <v>0</v>
      </c>
      <c r="R2160" s="138">
        <v>7653</v>
      </c>
      <c r="T2160" s="4">
        <v>0</v>
      </c>
      <c r="U2160" s="4">
        <v>50000</v>
      </c>
      <c r="V2160" s="4">
        <v>1176</v>
      </c>
      <c r="W2160" s="13">
        <f t="shared" si="316"/>
        <v>48824</v>
      </c>
      <c r="X2160" s="13">
        <f t="shared" si="324"/>
        <v>1176</v>
      </c>
      <c r="Y2160" s="13">
        <f t="shared" si="317"/>
        <v>0</v>
      </c>
      <c r="Z2160" s="2">
        <v>0</v>
      </c>
      <c r="AA2160" s="4">
        <v>0</v>
      </c>
      <c r="AB2160" s="4">
        <f t="shared" si="318"/>
        <v>1176</v>
      </c>
      <c r="AC2160" s="6">
        <f t="shared" si="319"/>
        <v>0</v>
      </c>
      <c r="AD2160" s="13">
        <f t="shared" si="322"/>
        <v>1176</v>
      </c>
      <c r="AE2160" s="2">
        <v>0.17</v>
      </c>
      <c r="AF2160" s="5">
        <f t="shared" si="320"/>
        <v>199.92000000000002</v>
      </c>
      <c r="AG2160" s="2">
        <v>0</v>
      </c>
      <c r="AH2160" s="5">
        <f t="shared" si="323"/>
        <v>1176</v>
      </c>
      <c r="AJ2160" s="126" t="e">
        <v>#N/A</v>
      </c>
      <c r="AK2160" s="80">
        <f t="shared" si="321"/>
        <v>0</v>
      </c>
      <c r="AM2160" s="85"/>
    </row>
    <row r="2161" spans="1:39" hidden="1" x14ac:dyDescent="0.3">
      <c r="A2161" s="85" t="s">
        <v>34</v>
      </c>
      <c r="B2161" s="3" t="s">
        <v>701</v>
      </c>
      <c r="C2161" s="3" t="s">
        <v>144</v>
      </c>
      <c r="D2161" s="3" t="s">
        <v>145</v>
      </c>
      <c r="E2161" s="3" t="s">
        <v>2792</v>
      </c>
      <c r="F2161" s="3" t="s">
        <v>2792</v>
      </c>
      <c r="G2161" s="3" t="s">
        <v>2792</v>
      </c>
      <c r="I2161" s="3" t="s">
        <v>78</v>
      </c>
      <c r="J2161" s="1" t="s">
        <v>3303</v>
      </c>
      <c r="K2161" s="1" t="s">
        <v>3276</v>
      </c>
      <c r="L2161" s="1" t="s">
        <v>701</v>
      </c>
      <c r="M2161" s="3" t="s">
        <v>2792</v>
      </c>
      <c r="O2161" s="1" t="s">
        <v>410</v>
      </c>
      <c r="P2161" s="1" t="s">
        <v>46</v>
      </c>
      <c r="Q2161" s="2">
        <v>0.03</v>
      </c>
      <c r="R2161" s="138">
        <v>116</v>
      </c>
      <c r="T2161" s="4">
        <v>131632.80000000005</v>
      </c>
      <c r="U2161" s="4">
        <v>154500</v>
      </c>
      <c r="V2161" s="4">
        <v>135361.19990000001</v>
      </c>
      <c r="W2161" s="13">
        <f t="shared" si="316"/>
        <v>150771.60010000004</v>
      </c>
      <c r="X2161" s="13">
        <f t="shared" si="324"/>
        <v>131418.64067961165</v>
      </c>
      <c r="Y2161" s="13">
        <f t="shared" si="317"/>
        <v>0</v>
      </c>
      <c r="Z2161" s="2">
        <v>0</v>
      </c>
      <c r="AA2161" s="4">
        <v>0</v>
      </c>
      <c r="AB2161" s="4">
        <f t="shared" si="318"/>
        <v>131418.64067961165</v>
      </c>
      <c r="AC2161" s="6">
        <f t="shared" si="319"/>
        <v>3942.5592203883571</v>
      </c>
      <c r="AD2161" s="13">
        <f t="shared" si="322"/>
        <v>135361.19990000001</v>
      </c>
      <c r="AE2161" s="2">
        <v>0.17</v>
      </c>
      <c r="AF2161" s="5">
        <f t="shared" si="320"/>
        <v>23011.403983000004</v>
      </c>
      <c r="AG2161" s="2">
        <v>0</v>
      </c>
      <c r="AH2161" s="5">
        <f t="shared" si="323"/>
        <v>135361.19990000001</v>
      </c>
      <c r="AJ2161" s="126" t="e">
        <v>#N/A</v>
      </c>
      <c r="AK2161" s="80">
        <f t="shared" si="321"/>
        <v>0</v>
      </c>
      <c r="AM2161" s="85"/>
    </row>
    <row r="2162" spans="1:39" hidden="1" x14ac:dyDescent="0.3">
      <c r="A2162" s="85" t="s">
        <v>34</v>
      </c>
      <c r="B2162" s="3" t="s">
        <v>701</v>
      </c>
      <c r="C2162" s="3" t="s">
        <v>144</v>
      </c>
      <c r="D2162" s="3" t="s">
        <v>145</v>
      </c>
      <c r="E2162" s="3" t="s">
        <v>2792</v>
      </c>
      <c r="F2162" s="3" t="s">
        <v>2793</v>
      </c>
      <c r="G2162" s="3" t="s">
        <v>2792</v>
      </c>
      <c r="I2162" s="3" t="s">
        <v>78</v>
      </c>
      <c r="J2162" s="1" t="s">
        <v>3303</v>
      </c>
      <c r="K2162" s="1" t="s">
        <v>3276</v>
      </c>
      <c r="L2162" s="1" t="s">
        <v>701</v>
      </c>
      <c r="M2162" s="3" t="s">
        <v>2792</v>
      </c>
      <c r="O2162" s="1" t="s">
        <v>410</v>
      </c>
      <c r="P2162" s="1" t="s">
        <v>46</v>
      </c>
      <c r="Q2162" s="2">
        <v>0.06</v>
      </c>
      <c r="R2162" s="138">
        <v>116</v>
      </c>
      <c r="T2162" s="4">
        <v>12771.900000000001</v>
      </c>
      <c r="U2162" s="4">
        <v>20000</v>
      </c>
      <c r="V2162" s="4">
        <v>25214.1</v>
      </c>
      <c r="W2162" s="13">
        <f t="shared" si="316"/>
        <v>7557.8000000000029</v>
      </c>
      <c r="X2162" s="13">
        <f t="shared" si="324"/>
        <v>23786.886792452828</v>
      </c>
      <c r="Y2162" s="13">
        <f t="shared" si="317"/>
        <v>0</v>
      </c>
      <c r="Z2162" s="2">
        <v>0</v>
      </c>
      <c r="AA2162" s="4">
        <v>0</v>
      </c>
      <c r="AB2162" s="4">
        <f t="shared" si="318"/>
        <v>23786.886792452828</v>
      </c>
      <c r="AC2162" s="6">
        <f t="shared" si="319"/>
        <v>1427.2132075471709</v>
      </c>
      <c r="AD2162" s="13">
        <f t="shared" si="322"/>
        <v>25214.1</v>
      </c>
      <c r="AE2162" s="2">
        <v>0.17</v>
      </c>
      <c r="AF2162" s="5">
        <f t="shared" si="320"/>
        <v>4286.3969999999999</v>
      </c>
      <c r="AG2162" s="2">
        <v>0</v>
      </c>
      <c r="AH2162" s="5">
        <f t="shared" si="323"/>
        <v>25214.1</v>
      </c>
      <c r="AJ2162" s="126" t="e">
        <v>#N/A</v>
      </c>
      <c r="AK2162" s="80">
        <f t="shared" si="321"/>
        <v>0</v>
      </c>
      <c r="AM2162" s="85"/>
    </row>
    <row r="2163" spans="1:39" hidden="1" x14ac:dyDescent="0.3">
      <c r="A2163" s="85" t="s">
        <v>34</v>
      </c>
      <c r="B2163" s="3" t="s">
        <v>701</v>
      </c>
      <c r="C2163" s="3" t="s">
        <v>144</v>
      </c>
      <c r="D2163" s="3" t="s">
        <v>145</v>
      </c>
      <c r="E2163" s="3" t="s">
        <v>150</v>
      </c>
      <c r="F2163" s="3" t="s">
        <v>151</v>
      </c>
      <c r="G2163" s="3" t="s">
        <v>150</v>
      </c>
      <c r="I2163" s="3" t="s">
        <v>78</v>
      </c>
      <c r="J2163" s="1" t="s">
        <v>3303</v>
      </c>
      <c r="K2163" s="1" t="s">
        <v>3276</v>
      </c>
      <c r="L2163" s="1" t="s">
        <v>701</v>
      </c>
      <c r="M2163" s="3" t="s">
        <v>2794</v>
      </c>
      <c r="O2163" s="1" t="s">
        <v>410</v>
      </c>
      <c r="P2163" s="1" t="s">
        <v>41</v>
      </c>
      <c r="Q2163" s="2">
        <v>0</v>
      </c>
      <c r="R2163" s="138">
        <v>7105</v>
      </c>
      <c r="T2163" s="4">
        <v>104318.05000000002</v>
      </c>
      <c r="U2163" s="4">
        <v>700000</v>
      </c>
      <c r="V2163" s="4">
        <v>295050.02999999997</v>
      </c>
      <c r="W2163" s="13">
        <f t="shared" si="316"/>
        <v>509268.02000000008</v>
      </c>
      <c r="X2163" s="13">
        <f t="shared" si="324"/>
        <v>295050.02999999997</v>
      </c>
      <c r="Y2163" s="13">
        <f t="shared" si="317"/>
        <v>0</v>
      </c>
      <c r="Z2163" s="2">
        <v>0</v>
      </c>
      <c r="AA2163" s="4">
        <v>0</v>
      </c>
      <c r="AB2163" s="4">
        <f t="shared" si="318"/>
        <v>295050.02999999997</v>
      </c>
      <c r="AC2163" s="6">
        <f t="shared" si="319"/>
        <v>0</v>
      </c>
      <c r="AD2163" s="13">
        <f t="shared" si="322"/>
        <v>295050.02999999997</v>
      </c>
      <c r="AE2163" s="2">
        <v>0.17</v>
      </c>
      <c r="AF2163" s="5">
        <f t="shared" si="320"/>
        <v>50158.505099999995</v>
      </c>
      <c r="AG2163" s="2">
        <v>0</v>
      </c>
      <c r="AH2163" s="5">
        <f t="shared" si="323"/>
        <v>295050.02999999997</v>
      </c>
      <c r="AJ2163" s="126" t="e">
        <v>#N/A</v>
      </c>
      <c r="AK2163" s="80">
        <f t="shared" si="321"/>
        <v>0</v>
      </c>
      <c r="AM2163" s="85"/>
    </row>
    <row r="2164" spans="1:39" hidden="1" x14ac:dyDescent="0.3">
      <c r="A2164" s="85" t="s">
        <v>34</v>
      </c>
      <c r="B2164" s="3" t="s">
        <v>701</v>
      </c>
      <c r="C2164" s="3" t="s">
        <v>144</v>
      </c>
      <c r="D2164" s="3" t="s">
        <v>152</v>
      </c>
      <c r="E2164" s="3" t="s">
        <v>2795</v>
      </c>
      <c r="F2164" s="3" t="s">
        <v>2795</v>
      </c>
      <c r="G2164" s="3" t="s">
        <v>2795</v>
      </c>
      <c r="H2164" s="138"/>
      <c r="I2164" s="3" t="s">
        <v>78</v>
      </c>
      <c r="J2164" s="1" t="s">
        <v>3303</v>
      </c>
      <c r="K2164" s="1" t="s">
        <v>3276</v>
      </c>
      <c r="L2164" s="1" t="s">
        <v>701</v>
      </c>
      <c r="M2164" s="3" t="s">
        <v>2796</v>
      </c>
      <c r="O2164" s="1" t="s">
        <v>410</v>
      </c>
      <c r="P2164" s="1" t="s">
        <v>41</v>
      </c>
      <c r="Q2164" s="2">
        <v>0</v>
      </c>
      <c r="R2164" s="138">
        <v>7512</v>
      </c>
      <c r="T2164" s="4">
        <v>883.60000000000014</v>
      </c>
      <c r="U2164" s="4">
        <v>-883.6</v>
      </c>
      <c r="V2164" s="4">
        <v>0</v>
      </c>
      <c r="W2164" s="13">
        <f t="shared" si="316"/>
        <v>1.1368683772161603E-13</v>
      </c>
      <c r="X2164" s="13">
        <f t="shared" si="324"/>
        <v>0</v>
      </c>
      <c r="Y2164" s="13">
        <f t="shared" si="317"/>
        <v>0</v>
      </c>
      <c r="Z2164" s="2">
        <v>0</v>
      </c>
      <c r="AA2164" s="4">
        <v>0</v>
      </c>
      <c r="AB2164" s="4"/>
      <c r="AC2164" s="6">
        <f t="shared" si="319"/>
        <v>0</v>
      </c>
      <c r="AD2164" s="13">
        <f t="shared" si="322"/>
        <v>0</v>
      </c>
      <c r="AE2164" s="2">
        <v>0.17</v>
      </c>
      <c r="AF2164" s="5">
        <f t="shared" si="320"/>
        <v>0</v>
      </c>
      <c r="AG2164" s="2">
        <v>0</v>
      </c>
      <c r="AH2164" s="5">
        <f t="shared" si="323"/>
        <v>0</v>
      </c>
      <c r="AJ2164" s="126">
        <v>93</v>
      </c>
      <c r="AK2164" s="80">
        <f t="shared" si="321"/>
        <v>0</v>
      </c>
      <c r="AM2164" s="85"/>
    </row>
    <row r="2165" spans="1:39" hidden="1" x14ac:dyDescent="0.3">
      <c r="A2165" s="85" t="s">
        <v>34</v>
      </c>
      <c r="B2165" s="3" t="s">
        <v>701</v>
      </c>
      <c r="C2165" s="3" t="s">
        <v>144</v>
      </c>
      <c r="D2165" s="3" t="s">
        <v>152</v>
      </c>
      <c r="E2165" s="3" t="s">
        <v>2795</v>
      </c>
      <c r="F2165" s="3" t="s">
        <v>2795</v>
      </c>
      <c r="G2165" s="3" t="s">
        <v>2795</v>
      </c>
      <c r="H2165" s="138"/>
      <c r="I2165" s="3" t="s">
        <v>78</v>
      </c>
      <c r="J2165" s="1" t="s">
        <v>3303</v>
      </c>
      <c r="K2165" s="1" t="s">
        <v>3276</v>
      </c>
      <c r="L2165" s="1" t="s">
        <v>701</v>
      </c>
      <c r="M2165" s="3" t="s">
        <v>2797</v>
      </c>
      <c r="O2165" s="1" t="s">
        <v>410</v>
      </c>
      <c r="P2165" s="1" t="s">
        <v>41</v>
      </c>
      <c r="Q2165" s="2">
        <v>0</v>
      </c>
      <c r="R2165" s="138">
        <v>7510</v>
      </c>
      <c r="T2165" s="4">
        <v>2150</v>
      </c>
      <c r="U2165" s="4">
        <v>883.6</v>
      </c>
      <c r="V2165" s="4">
        <v>490.3</v>
      </c>
      <c r="W2165" s="13">
        <f t="shared" si="316"/>
        <v>2543.2999999999997</v>
      </c>
      <c r="X2165" s="13">
        <f t="shared" si="324"/>
        <v>490.3</v>
      </c>
      <c r="Y2165" s="13">
        <f t="shared" si="317"/>
        <v>0</v>
      </c>
      <c r="Z2165" s="2">
        <v>0</v>
      </c>
      <c r="AA2165" s="4">
        <v>0</v>
      </c>
      <c r="AB2165" s="4"/>
      <c r="AC2165" s="6">
        <f t="shared" si="319"/>
        <v>0</v>
      </c>
      <c r="AD2165" s="13">
        <f t="shared" si="322"/>
        <v>490.3</v>
      </c>
      <c r="AE2165" s="2">
        <v>0.17</v>
      </c>
      <c r="AF2165" s="5">
        <f t="shared" si="320"/>
        <v>83.351000000000013</v>
      </c>
      <c r="AG2165" s="2">
        <v>0</v>
      </c>
      <c r="AH2165" s="5">
        <f t="shared" si="323"/>
        <v>490.3</v>
      </c>
      <c r="AJ2165" s="126">
        <v>93</v>
      </c>
      <c r="AK2165" s="80">
        <f t="shared" si="321"/>
        <v>490.3</v>
      </c>
      <c r="AM2165" s="85"/>
    </row>
    <row r="2166" spans="1:39" hidden="1" x14ac:dyDescent="0.3">
      <c r="A2166" s="85" t="s">
        <v>34</v>
      </c>
      <c r="B2166" s="3" t="s">
        <v>701</v>
      </c>
      <c r="C2166" s="3" t="s">
        <v>144</v>
      </c>
      <c r="D2166" s="3" t="s">
        <v>152</v>
      </c>
      <c r="E2166" s="3" t="s">
        <v>2795</v>
      </c>
      <c r="F2166" s="3" t="s">
        <v>2795</v>
      </c>
      <c r="G2166" s="3" t="s">
        <v>2795</v>
      </c>
      <c r="H2166" s="138"/>
      <c r="I2166" s="3" t="s">
        <v>78</v>
      </c>
      <c r="J2166" s="1" t="s">
        <v>3303</v>
      </c>
      <c r="K2166" s="1" t="s">
        <v>3276</v>
      </c>
      <c r="L2166" s="1" t="s">
        <v>701</v>
      </c>
      <c r="M2166" s="3" t="s">
        <v>2798</v>
      </c>
      <c r="O2166" s="1" t="s">
        <v>410</v>
      </c>
      <c r="P2166" s="1" t="s">
        <v>41</v>
      </c>
      <c r="Q2166" s="2">
        <v>0</v>
      </c>
      <c r="R2166" s="138">
        <v>7537</v>
      </c>
      <c r="T2166" s="4">
        <v>9877.9</v>
      </c>
      <c r="U2166" s="4">
        <v>-9877.9</v>
      </c>
      <c r="V2166" s="4">
        <v>0</v>
      </c>
      <c r="W2166" s="13">
        <f t="shared" si="316"/>
        <v>0</v>
      </c>
      <c r="X2166" s="13">
        <f t="shared" si="324"/>
        <v>0</v>
      </c>
      <c r="Y2166" s="13">
        <f t="shared" si="317"/>
        <v>0</v>
      </c>
      <c r="Z2166" s="2">
        <v>0</v>
      </c>
      <c r="AA2166" s="4">
        <v>0</v>
      </c>
      <c r="AB2166" s="4"/>
      <c r="AC2166" s="6">
        <f t="shared" si="319"/>
        <v>0</v>
      </c>
      <c r="AD2166" s="13">
        <f t="shared" si="322"/>
        <v>0</v>
      </c>
      <c r="AE2166" s="2">
        <v>0.17</v>
      </c>
      <c r="AF2166" s="5">
        <f t="shared" si="320"/>
        <v>0</v>
      </c>
      <c r="AG2166" s="2">
        <v>0</v>
      </c>
      <c r="AH2166" s="5">
        <f t="shared" si="323"/>
        <v>0</v>
      </c>
      <c r="AJ2166" s="126">
        <v>93</v>
      </c>
      <c r="AK2166" s="80">
        <f t="shared" si="321"/>
        <v>0</v>
      </c>
      <c r="AM2166" s="85"/>
    </row>
    <row r="2167" spans="1:39" hidden="1" x14ac:dyDescent="0.3">
      <c r="A2167" s="85" t="s">
        <v>34</v>
      </c>
      <c r="B2167" s="3" t="s">
        <v>701</v>
      </c>
      <c r="C2167" s="3" t="s">
        <v>144</v>
      </c>
      <c r="D2167" s="3" t="s">
        <v>152</v>
      </c>
      <c r="E2167" s="3" t="s">
        <v>2795</v>
      </c>
      <c r="F2167" s="3" t="s">
        <v>2795</v>
      </c>
      <c r="G2167" s="3" t="s">
        <v>2795</v>
      </c>
      <c r="H2167" s="138"/>
      <c r="I2167" s="3" t="s">
        <v>78</v>
      </c>
      <c r="J2167" s="1" t="s">
        <v>3303</v>
      </c>
      <c r="K2167" s="1" t="s">
        <v>3276</v>
      </c>
      <c r="L2167" s="1" t="s">
        <v>701</v>
      </c>
      <c r="M2167" s="3" t="s">
        <v>2799</v>
      </c>
      <c r="O2167" s="1" t="s">
        <v>410</v>
      </c>
      <c r="P2167" s="1" t="s">
        <v>41</v>
      </c>
      <c r="Q2167" s="2">
        <v>0</v>
      </c>
      <c r="R2167" s="138">
        <v>7622</v>
      </c>
      <c r="T2167" s="4">
        <v>0</v>
      </c>
      <c r="U2167" s="4">
        <v>9877.9</v>
      </c>
      <c r="V2167" s="4">
        <v>8732</v>
      </c>
      <c r="W2167" s="13">
        <f t="shared" si="316"/>
        <v>1145.8999999999996</v>
      </c>
      <c r="X2167" s="13">
        <f t="shared" si="324"/>
        <v>8732</v>
      </c>
      <c r="Y2167" s="13">
        <f t="shared" si="317"/>
        <v>0</v>
      </c>
      <c r="Z2167" s="2">
        <v>0</v>
      </c>
      <c r="AA2167" s="4">
        <v>0</v>
      </c>
      <c r="AB2167" s="4"/>
      <c r="AC2167" s="6">
        <f t="shared" si="319"/>
        <v>0</v>
      </c>
      <c r="AD2167" s="13">
        <f t="shared" si="322"/>
        <v>8732</v>
      </c>
      <c r="AE2167" s="2">
        <v>0.17</v>
      </c>
      <c r="AF2167" s="5">
        <f t="shared" si="320"/>
        <v>1484.44</v>
      </c>
      <c r="AG2167" s="2">
        <v>0</v>
      </c>
      <c r="AH2167" s="5">
        <f t="shared" si="323"/>
        <v>8732</v>
      </c>
      <c r="AJ2167" s="126">
        <v>93</v>
      </c>
      <c r="AK2167" s="80">
        <f t="shared" si="321"/>
        <v>8732</v>
      </c>
      <c r="AM2167" s="85"/>
    </row>
    <row r="2168" spans="1:39" hidden="1" x14ac:dyDescent="0.3">
      <c r="A2168" s="85" t="s">
        <v>34</v>
      </c>
      <c r="B2168" s="3" t="s">
        <v>701</v>
      </c>
      <c r="C2168" s="3" t="s">
        <v>144</v>
      </c>
      <c r="D2168" s="3" t="s">
        <v>152</v>
      </c>
      <c r="E2168" s="3" t="s">
        <v>2795</v>
      </c>
      <c r="F2168" s="3" t="s">
        <v>2795</v>
      </c>
      <c r="G2168" s="3" t="s">
        <v>2795</v>
      </c>
      <c r="H2168" s="138"/>
      <c r="I2168" s="3" t="s">
        <v>78</v>
      </c>
      <c r="J2168" s="1" t="s">
        <v>3303</v>
      </c>
      <c r="K2168" s="1" t="s">
        <v>3276</v>
      </c>
      <c r="L2168" s="1" t="s">
        <v>701</v>
      </c>
      <c r="M2168" s="3" t="s">
        <v>2800</v>
      </c>
      <c r="O2168" s="1" t="s">
        <v>410</v>
      </c>
      <c r="P2168" s="1" t="s">
        <v>41</v>
      </c>
      <c r="Q2168" s="2">
        <v>0</v>
      </c>
      <c r="R2168" s="138">
        <v>7509</v>
      </c>
      <c r="T2168" s="4">
        <v>2603.3999999999996</v>
      </c>
      <c r="U2168" s="4">
        <v>-2603.4</v>
      </c>
      <c r="V2168" s="4">
        <v>0</v>
      </c>
      <c r="W2168" s="13">
        <f t="shared" si="316"/>
        <v>-4.5474735088646412E-13</v>
      </c>
      <c r="X2168" s="13">
        <f t="shared" si="324"/>
        <v>0</v>
      </c>
      <c r="Y2168" s="13">
        <f t="shared" si="317"/>
        <v>0</v>
      </c>
      <c r="Z2168" s="2">
        <v>0</v>
      </c>
      <c r="AA2168" s="4">
        <v>0</v>
      </c>
      <c r="AB2168" s="4"/>
      <c r="AC2168" s="6">
        <f t="shared" si="319"/>
        <v>0</v>
      </c>
      <c r="AD2168" s="13">
        <f t="shared" si="322"/>
        <v>0</v>
      </c>
      <c r="AE2168" s="2">
        <v>0.17</v>
      </c>
      <c r="AF2168" s="5">
        <f t="shared" si="320"/>
        <v>0</v>
      </c>
      <c r="AG2168" s="2">
        <v>0</v>
      </c>
      <c r="AH2168" s="5">
        <f t="shared" si="323"/>
        <v>0</v>
      </c>
      <c r="AJ2168" s="126">
        <v>93</v>
      </c>
      <c r="AK2168" s="80">
        <f t="shared" si="321"/>
        <v>0</v>
      </c>
      <c r="AM2168" s="85"/>
    </row>
    <row r="2169" spans="1:39" hidden="1" x14ac:dyDescent="0.3">
      <c r="A2169" s="85" t="s">
        <v>34</v>
      </c>
      <c r="B2169" s="3" t="s">
        <v>701</v>
      </c>
      <c r="C2169" s="3" t="s">
        <v>144</v>
      </c>
      <c r="D2169" s="3" t="s">
        <v>152</v>
      </c>
      <c r="E2169" s="3" t="s">
        <v>2795</v>
      </c>
      <c r="F2169" s="3" t="s">
        <v>2795</v>
      </c>
      <c r="G2169" s="3" t="s">
        <v>2795</v>
      </c>
      <c r="H2169" s="138"/>
      <c r="I2169" s="3" t="s">
        <v>78</v>
      </c>
      <c r="J2169" s="1" t="s">
        <v>3303</v>
      </c>
      <c r="K2169" s="1" t="s">
        <v>3276</v>
      </c>
      <c r="L2169" s="1" t="s">
        <v>701</v>
      </c>
      <c r="M2169" s="3" t="s">
        <v>2801</v>
      </c>
      <c r="O2169" s="1" t="s">
        <v>410</v>
      </c>
      <c r="P2169" s="1" t="s">
        <v>41</v>
      </c>
      <c r="Q2169" s="2">
        <v>0</v>
      </c>
      <c r="R2169" s="138">
        <v>7511</v>
      </c>
      <c r="T2169" s="4">
        <v>830.80000000000041</v>
      </c>
      <c r="U2169" s="4">
        <v>2603.4</v>
      </c>
      <c r="V2169" s="4">
        <v>1678.8</v>
      </c>
      <c r="W2169" s="13">
        <f t="shared" si="316"/>
        <v>1755.4000000000008</v>
      </c>
      <c r="X2169" s="13">
        <f t="shared" si="324"/>
        <v>1678.8</v>
      </c>
      <c r="Y2169" s="13">
        <f t="shared" si="317"/>
        <v>0</v>
      </c>
      <c r="Z2169" s="2">
        <v>0</v>
      </c>
      <c r="AA2169" s="4">
        <v>0</v>
      </c>
      <c r="AB2169" s="4"/>
      <c r="AC2169" s="6">
        <f t="shared" si="319"/>
        <v>0</v>
      </c>
      <c r="AD2169" s="13">
        <f t="shared" si="322"/>
        <v>1678.8</v>
      </c>
      <c r="AE2169" s="2">
        <v>0.17</v>
      </c>
      <c r="AF2169" s="5">
        <f t="shared" si="320"/>
        <v>285.39600000000002</v>
      </c>
      <c r="AG2169" s="2">
        <v>0</v>
      </c>
      <c r="AH2169" s="5">
        <f t="shared" si="323"/>
        <v>1678.8</v>
      </c>
      <c r="AJ2169" s="126">
        <v>93</v>
      </c>
      <c r="AK2169" s="80">
        <f t="shared" si="321"/>
        <v>1678.8</v>
      </c>
      <c r="AM2169" s="85"/>
    </row>
    <row r="2170" spans="1:39" hidden="1" x14ac:dyDescent="0.3">
      <c r="A2170" s="85" t="s">
        <v>34</v>
      </c>
      <c r="B2170" s="3" t="s">
        <v>701</v>
      </c>
      <c r="C2170" s="3" t="s">
        <v>164</v>
      </c>
      <c r="D2170" s="3" t="s">
        <v>165</v>
      </c>
      <c r="E2170" s="3" t="s">
        <v>2802</v>
      </c>
      <c r="F2170" s="3" t="s">
        <v>2802</v>
      </c>
      <c r="G2170" s="3" t="s">
        <v>2802</v>
      </c>
      <c r="I2170" s="3" t="s">
        <v>78</v>
      </c>
      <c r="J2170" s="1" t="s">
        <v>3303</v>
      </c>
      <c r="K2170" s="1" t="s">
        <v>3276</v>
      </c>
      <c r="L2170" s="1" t="s">
        <v>701</v>
      </c>
      <c r="M2170" s="3" t="s">
        <v>2802</v>
      </c>
      <c r="O2170" s="1" t="s">
        <v>410</v>
      </c>
      <c r="P2170" s="1" t="s">
        <v>41</v>
      </c>
      <c r="Q2170" s="2">
        <v>0</v>
      </c>
      <c r="R2170" s="138">
        <v>7183</v>
      </c>
      <c r="T2170" s="4">
        <v>2409.4500000000044</v>
      </c>
      <c r="U2170" s="4">
        <v>31000</v>
      </c>
      <c r="V2170" s="4">
        <v>15869.41</v>
      </c>
      <c r="W2170" s="13">
        <f t="shared" si="316"/>
        <v>17540.040000000005</v>
      </c>
      <c r="X2170" s="13">
        <f t="shared" si="324"/>
        <v>15869.41</v>
      </c>
      <c r="Y2170" s="13">
        <f t="shared" si="317"/>
        <v>0</v>
      </c>
      <c r="Z2170" s="2">
        <v>0</v>
      </c>
      <c r="AA2170" s="4">
        <v>0</v>
      </c>
      <c r="AB2170" s="4">
        <f t="shared" si="318"/>
        <v>15869.41</v>
      </c>
      <c r="AC2170" s="6">
        <f t="shared" si="319"/>
        <v>0</v>
      </c>
      <c r="AD2170" s="13">
        <f t="shared" si="322"/>
        <v>15869.41</v>
      </c>
      <c r="AE2170" s="2">
        <v>0.17</v>
      </c>
      <c r="AF2170" s="5">
        <f t="shared" si="320"/>
        <v>2697.7997</v>
      </c>
      <c r="AG2170" s="2">
        <v>0</v>
      </c>
      <c r="AH2170" s="5">
        <f t="shared" si="323"/>
        <v>15869.41</v>
      </c>
      <c r="AJ2170" s="126" t="e">
        <v>#N/A</v>
      </c>
      <c r="AK2170" s="80">
        <f t="shared" si="321"/>
        <v>0</v>
      </c>
      <c r="AM2170" s="85"/>
    </row>
    <row r="2171" spans="1:39" hidden="1" x14ac:dyDescent="0.3">
      <c r="A2171" s="85" t="s">
        <v>34</v>
      </c>
      <c r="B2171" s="3" t="s">
        <v>701</v>
      </c>
      <c r="C2171" s="3" t="s">
        <v>164</v>
      </c>
      <c r="D2171" s="3" t="s">
        <v>165</v>
      </c>
      <c r="E2171" s="3" t="s">
        <v>2803</v>
      </c>
      <c r="F2171" s="3" t="s">
        <v>2804</v>
      </c>
      <c r="G2171" s="3" t="s">
        <v>2803</v>
      </c>
      <c r="I2171" s="3" t="s">
        <v>78</v>
      </c>
      <c r="J2171" s="1" t="s">
        <v>3303</v>
      </c>
      <c r="K2171" s="1" t="s">
        <v>3276</v>
      </c>
      <c r="L2171" s="1" t="s">
        <v>701</v>
      </c>
      <c r="M2171" s="3" t="s">
        <v>2803</v>
      </c>
      <c r="O2171" s="1" t="s">
        <v>410</v>
      </c>
      <c r="P2171" s="1" t="s">
        <v>41</v>
      </c>
      <c r="Q2171" s="2">
        <v>0</v>
      </c>
      <c r="R2171" s="138">
        <v>7177</v>
      </c>
      <c r="T2171" s="4">
        <v>6671.27</v>
      </c>
      <c r="U2171" s="4">
        <v>10000</v>
      </c>
      <c r="V2171" s="4">
        <v>9720.52</v>
      </c>
      <c r="W2171" s="13">
        <f t="shared" si="316"/>
        <v>6950.75</v>
      </c>
      <c r="X2171" s="13">
        <f t="shared" si="324"/>
        <v>9720.52</v>
      </c>
      <c r="Y2171" s="13">
        <f t="shared" si="317"/>
        <v>0</v>
      </c>
      <c r="Z2171" s="2">
        <v>0</v>
      </c>
      <c r="AA2171" s="4">
        <v>0</v>
      </c>
      <c r="AB2171" s="4">
        <f t="shared" si="318"/>
        <v>9720.52</v>
      </c>
      <c r="AC2171" s="6">
        <f t="shared" si="319"/>
        <v>0</v>
      </c>
      <c r="AD2171" s="13">
        <f t="shared" si="322"/>
        <v>9720.52</v>
      </c>
      <c r="AE2171" s="2">
        <v>0.17</v>
      </c>
      <c r="AF2171" s="5">
        <f t="shared" si="320"/>
        <v>1652.4884000000002</v>
      </c>
      <c r="AG2171" s="2">
        <v>0</v>
      </c>
      <c r="AH2171" s="5">
        <f t="shared" si="323"/>
        <v>9720.52</v>
      </c>
      <c r="AJ2171" s="126" t="e">
        <v>#N/A</v>
      </c>
      <c r="AK2171" s="80">
        <f t="shared" si="321"/>
        <v>0</v>
      </c>
      <c r="AM2171" s="85"/>
    </row>
    <row r="2172" spans="1:39" hidden="1" x14ac:dyDescent="0.3">
      <c r="A2172" s="85" t="s">
        <v>34</v>
      </c>
      <c r="B2172" s="3" t="s">
        <v>701</v>
      </c>
      <c r="C2172" s="3" t="s">
        <v>164</v>
      </c>
      <c r="D2172" s="3" t="s">
        <v>165</v>
      </c>
      <c r="E2172" s="3" t="s">
        <v>1549</v>
      </c>
      <c r="F2172" s="3" t="s">
        <v>1550</v>
      </c>
      <c r="G2172" s="3" t="s">
        <v>1549</v>
      </c>
      <c r="I2172" s="3" t="s">
        <v>78</v>
      </c>
      <c r="J2172" s="1" t="s">
        <v>3303</v>
      </c>
      <c r="K2172" s="1" t="s">
        <v>3276</v>
      </c>
      <c r="L2172" s="1" t="s">
        <v>701</v>
      </c>
      <c r="M2172" s="3" t="s">
        <v>1551</v>
      </c>
      <c r="O2172" s="1" t="s">
        <v>410</v>
      </c>
      <c r="P2172" s="1" t="s">
        <v>41</v>
      </c>
      <c r="Q2172" s="2">
        <v>0</v>
      </c>
      <c r="R2172" s="138">
        <v>7144</v>
      </c>
      <c r="T2172" s="4">
        <v>0</v>
      </c>
      <c r="U2172" s="4">
        <v>5000</v>
      </c>
      <c r="V2172" s="4">
        <v>837.19999999999982</v>
      </c>
      <c r="W2172" s="13">
        <f t="shared" si="316"/>
        <v>4162.8</v>
      </c>
      <c r="X2172" s="13">
        <f t="shared" si="324"/>
        <v>837.19999999999982</v>
      </c>
      <c r="Y2172" s="13">
        <f t="shared" si="317"/>
        <v>0</v>
      </c>
      <c r="Z2172" s="2">
        <v>0</v>
      </c>
      <c r="AA2172" s="4">
        <v>0</v>
      </c>
      <c r="AB2172" s="4">
        <f t="shared" si="318"/>
        <v>837.19999999999982</v>
      </c>
      <c r="AC2172" s="6">
        <f t="shared" si="319"/>
        <v>0</v>
      </c>
      <c r="AD2172" s="13">
        <f t="shared" si="322"/>
        <v>837.19999999999982</v>
      </c>
      <c r="AE2172" s="2">
        <v>0.17</v>
      </c>
      <c r="AF2172" s="5">
        <f t="shared" si="320"/>
        <v>142.32399999999998</v>
      </c>
      <c r="AG2172" s="2">
        <v>0</v>
      </c>
      <c r="AH2172" s="5">
        <f t="shared" si="323"/>
        <v>837.19999999999982</v>
      </c>
      <c r="AJ2172" s="126" t="e">
        <v>#N/A</v>
      </c>
      <c r="AK2172" s="80">
        <f t="shared" si="321"/>
        <v>0</v>
      </c>
      <c r="AM2172" s="85"/>
    </row>
    <row r="2173" spans="1:39" hidden="1" x14ac:dyDescent="0.3">
      <c r="A2173" s="85" t="s">
        <v>34</v>
      </c>
      <c r="B2173" s="3" t="s">
        <v>701</v>
      </c>
      <c r="C2173" s="3" t="s">
        <v>164</v>
      </c>
      <c r="D2173" s="3" t="s">
        <v>165</v>
      </c>
      <c r="E2173" s="3" t="s">
        <v>1549</v>
      </c>
      <c r="F2173" s="3" t="s">
        <v>1550</v>
      </c>
      <c r="G2173" s="3" t="s">
        <v>1549</v>
      </c>
      <c r="I2173" s="3" t="s">
        <v>78</v>
      </c>
      <c r="J2173" s="1" t="s">
        <v>3303</v>
      </c>
      <c r="K2173" s="1" t="s">
        <v>3276</v>
      </c>
      <c r="L2173" s="1" t="s">
        <v>701</v>
      </c>
      <c r="M2173" s="3" t="s">
        <v>1549</v>
      </c>
      <c r="O2173" s="1" t="s">
        <v>410</v>
      </c>
      <c r="P2173" s="1" t="s">
        <v>41</v>
      </c>
      <c r="Q2173" s="2">
        <v>0</v>
      </c>
      <c r="R2173" s="140">
        <v>7128</v>
      </c>
      <c r="T2173" s="4">
        <v>0</v>
      </c>
      <c r="U2173" s="4">
        <v>40000</v>
      </c>
      <c r="V2173" s="4">
        <v>30784.799999999999</v>
      </c>
      <c r="W2173" s="13">
        <f t="shared" si="316"/>
        <v>9215.2000000000007</v>
      </c>
      <c r="X2173" s="13">
        <f t="shared" si="324"/>
        <v>30784.799999999999</v>
      </c>
      <c r="Y2173" s="13">
        <f t="shared" si="317"/>
        <v>0</v>
      </c>
      <c r="Z2173" s="2">
        <v>0</v>
      </c>
      <c r="AA2173" s="4">
        <v>0</v>
      </c>
      <c r="AB2173" s="4">
        <f t="shared" si="318"/>
        <v>30784.799999999999</v>
      </c>
      <c r="AC2173" s="6">
        <f t="shared" si="319"/>
        <v>0</v>
      </c>
      <c r="AD2173" s="13">
        <f>V2173</f>
        <v>30784.799999999999</v>
      </c>
      <c r="AE2173" s="2">
        <v>0.17</v>
      </c>
      <c r="AF2173" s="5">
        <f t="shared" si="320"/>
        <v>5233.4160000000002</v>
      </c>
      <c r="AG2173" s="2">
        <v>0</v>
      </c>
      <c r="AH2173" s="5">
        <f t="shared" si="323"/>
        <v>30784.799999999999</v>
      </c>
      <c r="AJ2173" s="126" t="e">
        <v>#N/A</v>
      </c>
      <c r="AK2173" s="80">
        <f t="shared" si="321"/>
        <v>0</v>
      </c>
      <c r="AM2173" s="85"/>
    </row>
    <row r="2174" spans="1:39" hidden="1" x14ac:dyDescent="0.3">
      <c r="A2174" s="85" t="s">
        <v>34</v>
      </c>
      <c r="B2174" s="3" t="s">
        <v>701</v>
      </c>
      <c r="C2174" s="3" t="s">
        <v>164</v>
      </c>
      <c r="D2174" s="3" t="s">
        <v>165</v>
      </c>
      <c r="E2174" s="3" t="s">
        <v>2805</v>
      </c>
      <c r="F2174" s="3" t="s">
        <v>2805</v>
      </c>
      <c r="G2174" s="3" t="s">
        <v>2805</v>
      </c>
      <c r="I2174" s="3" t="s">
        <v>78</v>
      </c>
      <c r="J2174" s="1" t="s">
        <v>3303</v>
      </c>
      <c r="K2174" s="1" t="s">
        <v>3276</v>
      </c>
      <c r="L2174" s="1" t="s">
        <v>701</v>
      </c>
      <c r="M2174" s="3" t="s">
        <v>2805</v>
      </c>
      <c r="O2174" s="1" t="s">
        <v>410</v>
      </c>
      <c r="P2174" s="1" t="s">
        <v>41</v>
      </c>
      <c r="Q2174" s="2">
        <v>0</v>
      </c>
      <c r="R2174" s="138">
        <v>7507</v>
      </c>
      <c r="T2174" s="4">
        <v>11147.600000000002</v>
      </c>
      <c r="U2174" s="4">
        <v>20000</v>
      </c>
      <c r="V2174" s="4">
        <v>22397.4</v>
      </c>
      <c r="W2174" s="13">
        <f t="shared" si="316"/>
        <v>8750.2000000000007</v>
      </c>
      <c r="X2174" s="13">
        <f t="shared" si="324"/>
        <v>22397.4</v>
      </c>
      <c r="Y2174" s="13">
        <f t="shared" si="317"/>
        <v>0</v>
      </c>
      <c r="Z2174" s="2">
        <v>0</v>
      </c>
      <c r="AA2174" s="4">
        <v>0</v>
      </c>
      <c r="AB2174" s="4">
        <f t="shared" si="318"/>
        <v>22397.4</v>
      </c>
      <c r="AC2174" s="6">
        <f t="shared" si="319"/>
        <v>0</v>
      </c>
      <c r="AD2174" s="13">
        <f t="shared" si="322"/>
        <v>22397.4</v>
      </c>
      <c r="AE2174" s="2">
        <v>0.17</v>
      </c>
      <c r="AF2174" s="5">
        <f t="shared" si="320"/>
        <v>3807.5580000000004</v>
      </c>
      <c r="AG2174" s="2">
        <v>0</v>
      </c>
      <c r="AH2174" s="5">
        <f t="shared" si="323"/>
        <v>22397.4</v>
      </c>
      <c r="AJ2174" s="126" t="e">
        <v>#N/A</v>
      </c>
      <c r="AK2174" s="80">
        <f t="shared" si="321"/>
        <v>0</v>
      </c>
      <c r="AM2174" s="85"/>
    </row>
    <row r="2175" spans="1:39" hidden="1" x14ac:dyDescent="0.3">
      <c r="A2175" s="85" t="s">
        <v>34</v>
      </c>
      <c r="B2175" s="3" t="s">
        <v>701</v>
      </c>
      <c r="C2175" s="3" t="s">
        <v>164</v>
      </c>
      <c r="D2175" s="3" t="s">
        <v>165</v>
      </c>
      <c r="E2175" s="3" t="s">
        <v>2806</v>
      </c>
      <c r="F2175" s="3" t="s">
        <v>2806</v>
      </c>
      <c r="G2175" s="3" t="s">
        <v>2806</v>
      </c>
      <c r="I2175" s="3" t="s">
        <v>78</v>
      </c>
      <c r="J2175" s="1" t="s">
        <v>3303</v>
      </c>
      <c r="K2175" s="1" t="s">
        <v>3276</v>
      </c>
      <c r="L2175" s="1" t="s">
        <v>701</v>
      </c>
      <c r="M2175" s="3" t="s">
        <v>2806</v>
      </c>
      <c r="O2175" s="1" t="s">
        <v>410</v>
      </c>
      <c r="P2175" s="1" t="s">
        <v>46</v>
      </c>
      <c r="Q2175" s="2">
        <v>0.01</v>
      </c>
      <c r="R2175" s="138">
        <v>7614</v>
      </c>
      <c r="T2175" s="4">
        <v>50500</v>
      </c>
      <c r="U2175" s="4">
        <v>50000</v>
      </c>
      <c r="V2175" s="4">
        <v>60159.039999999994</v>
      </c>
      <c r="W2175" s="13">
        <f t="shared" si="316"/>
        <v>40340.960000000006</v>
      </c>
      <c r="X2175" s="13">
        <f t="shared" si="324"/>
        <v>59563.40594059405</v>
      </c>
      <c r="Y2175" s="13">
        <f t="shared" si="317"/>
        <v>0</v>
      </c>
      <c r="Z2175" s="2">
        <v>0</v>
      </c>
      <c r="AA2175" s="4">
        <v>0</v>
      </c>
      <c r="AB2175" s="4">
        <f t="shared" si="318"/>
        <v>59563.40594059405</v>
      </c>
      <c r="AC2175" s="6">
        <f t="shared" si="319"/>
        <v>595.63405940594384</v>
      </c>
      <c r="AD2175" s="13">
        <f t="shared" si="322"/>
        <v>60159.039999999994</v>
      </c>
      <c r="AE2175" s="2">
        <v>0.17</v>
      </c>
      <c r="AF2175" s="5">
        <f t="shared" si="320"/>
        <v>10227.0368</v>
      </c>
      <c r="AG2175" s="2">
        <v>0</v>
      </c>
      <c r="AH2175" s="5">
        <f t="shared" si="323"/>
        <v>60159.039999999994</v>
      </c>
      <c r="AJ2175" s="126" t="e">
        <v>#N/A</v>
      </c>
      <c r="AK2175" s="80">
        <f t="shared" si="321"/>
        <v>0</v>
      </c>
      <c r="AM2175" s="85"/>
    </row>
    <row r="2176" spans="1:39" hidden="1" x14ac:dyDescent="0.3">
      <c r="A2176" s="85" t="s">
        <v>34</v>
      </c>
      <c r="B2176" s="3" t="s">
        <v>701</v>
      </c>
      <c r="C2176" s="3" t="s">
        <v>164</v>
      </c>
      <c r="D2176" s="3" t="s">
        <v>169</v>
      </c>
      <c r="E2176" s="3" t="s">
        <v>1573</v>
      </c>
      <c r="F2176" s="3" t="s">
        <v>1573</v>
      </c>
      <c r="G2176" s="3" t="s">
        <v>1573</v>
      </c>
      <c r="I2176" s="3" t="s">
        <v>78</v>
      </c>
      <c r="J2176" s="1" t="s">
        <v>3303</v>
      </c>
      <c r="K2176" s="1" t="s">
        <v>3276</v>
      </c>
      <c r="L2176" s="1" t="s">
        <v>701</v>
      </c>
      <c r="M2176" s="3" t="s">
        <v>2807</v>
      </c>
      <c r="O2176" s="1" t="s">
        <v>410</v>
      </c>
      <c r="P2176" s="1" t="s">
        <v>41</v>
      </c>
      <c r="Q2176" s="2">
        <v>0</v>
      </c>
      <c r="R2176" s="138">
        <v>7643</v>
      </c>
      <c r="T2176" s="4">
        <v>0</v>
      </c>
      <c r="U2176" s="4">
        <v>7000</v>
      </c>
      <c r="V2176" s="4">
        <v>2888.8999999999996</v>
      </c>
      <c r="W2176" s="13">
        <f t="shared" ref="W2176:W2239" si="325">T2176+U2176-V2176</f>
        <v>4111.1000000000004</v>
      </c>
      <c r="X2176" s="13">
        <f t="shared" si="324"/>
        <v>2888.8999999999996</v>
      </c>
      <c r="Y2176" s="13">
        <f t="shared" si="317"/>
        <v>0</v>
      </c>
      <c r="Z2176" s="2">
        <v>0</v>
      </c>
      <c r="AA2176" s="4">
        <v>0</v>
      </c>
      <c r="AB2176" s="4">
        <f t="shared" si="318"/>
        <v>2888.8999999999996</v>
      </c>
      <c r="AC2176" s="6">
        <f t="shared" si="319"/>
        <v>0</v>
      </c>
      <c r="AD2176" s="13">
        <f t="shared" si="322"/>
        <v>2888.8999999999996</v>
      </c>
      <c r="AE2176" s="2">
        <v>0.17</v>
      </c>
      <c r="AF2176" s="5">
        <f t="shared" si="320"/>
        <v>491.113</v>
      </c>
      <c r="AG2176" s="2">
        <v>0</v>
      </c>
      <c r="AH2176" s="5">
        <f t="shared" si="323"/>
        <v>2888.8999999999996</v>
      </c>
      <c r="AJ2176" s="126" t="e">
        <v>#N/A</v>
      </c>
      <c r="AK2176" s="80">
        <f t="shared" si="321"/>
        <v>0</v>
      </c>
      <c r="AM2176" s="85"/>
    </row>
    <row r="2177" spans="1:39" hidden="1" x14ac:dyDescent="0.3">
      <c r="A2177" s="85" t="s">
        <v>34</v>
      </c>
      <c r="B2177" s="3" t="s">
        <v>701</v>
      </c>
      <c r="C2177" s="3" t="s">
        <v>164</v>
      </c>
      <c r="D2177" s="3" t="s">
        <v>169</v>
      </c>
      <c r="E2177" s="3" t="s">
        <v>1573</v>
      </c>
      <c r="F2177" s="3" t="s">
        <v>1573</v>
      </c>
      <c r="G2177" s="3" t="s">
        <v>1573</v>
      </c>
      <c r="I2177" s="3" t="s">
        <v>78</v>
      </c>
      <c r="J2177" s="1" t="s">
        <v>3303</v>
      </c>
      <c r="K2177" s="1" t="s">
        <v>3276</v>
      </c>
      <c r="L2177" s="1" t="s">
        <v>701</v>
      </c>
      <c r="M2177" s="3" t="s">
        <v>2808</v>
      </c>
      <c r="O2177" s="1" t="s">
        <v>410</v>
      </c>
      <c r="P2177" s="1" t="s">
        <v>41</v>
      </c>
      <c r="Q2177" s="2">
        <v>0</v>
      </c>
      <c r="R2177" s="138">
        <v>7644</v>
      </c>
      <c r="T2177" s="4">
        <v>0</v>
      </c>
      <c r="U2177" s="4">
        <v>7000</v>
      </c>
      <c r="V2177" s="4">
        <v>1604.1000000000001</v>
      </c>
      <c r="W2177" s="13">
        <f t="shared" si="325"/>
        <v>5395.9</v>
      </c>
      <c r="X2177" s="13">
        <f t="shared" si="324"/>
        <v>1604.1000000000001</v>
      </c>
      <c r="Y2177" s="13">
        <f t="shared" si="317"/>
        <v>0</v>
      </c>
      <c r="Z2177" s="2">
        <v>0</v>
      </c>
      <c r="AA2177" s="4">
        <v>0</v>
      </c>
      <c r="AB2177" s="4">
        <f t="shared" si="318"/>
        <v>1604.1000000000001</v>
      </c>
      <c r="AC2177" s="6">
        <f t="shared" si="319"/>
        <v>0</v>
      </c>
      <c r="AD2177" s="13">
        <f t="shared" si="322"/>
        <v>1604.1000000000001</v>
      </c>
      <c r="AE2177" s="2">
        <v>0.17</v>
      </c>
      <c r="AF2177" s="5">
        <f t="shared" si="320"/>
        <v>272.69700000000006</v>
      </c>
      <c r="AG2177" s="2">
        <v>0</v>
      </c>
      <c r="AH2177" s="5">
        <f t="shared" si="323"/>
        <v>1604.1000000000001</v>
      </c>
      <c r="AJ2177" s="126" t="e">
        <v>#N/A</v>
      </c>
      <c r="AK2177" s="80">
        <f t="shared" si="321"/>
        <v>0</v>
      </c>
      <c r="AM2177" s="85"/>
    </row>
    <row r="2178" spans="1:39" hidden="1" x14ac:dyDescent="0.3">
      <c r="A2178" s="85" t="s">
        <v>34</v>
      </c>
      <c r="B2178" s="3" t="s">
        <v>701</v>
      </c>
      <c r="C2178" s="3" t="s">
        <v>164</v>
      </c>
      <c r="D2178" s="3" t="s">
        <v>169</v>
      </c>
      <c r="E2178" s="3" t="s">
        <v>2809</v>
      </c>
      <c r="F2178" s="3" t="s">
        <v>2809</v>
      </c>
      <c r="G2178" s="3" t="s">
        <v>2809</v>
      </c>
      <c r="I2178" s="3" t="s">
        <v>78</v>
      </c>
      <c r="J2178" s="1" t="s">
        <v>3303</v>
      </c>
      <c r="K2178" s="1" t="s">
        <v>3276</v>
      </c>
      <c r="L2178" s="1" t="s">
        <v>701</v>
      </c>
      <c r="M2178" s="3" t="s">
        <v>2810</v>
      </c>
      <c r="O2178" s="1" t="s">
        <v>410</v>
      </c>
      <c r="P2178" s="1" t="s">
        <v>46</v>
      </c>
      <c r="Q2178" s="2">
        <v>0.02</v>
      </c>
      <c r="R2178" s="138">
        <v>7574</v>
      </c>
      <c r="T2178" s="4">
        <v>20000</v>
      </c>
      <c r="U2178" s="4">
        <v>40000</v>
      </c>
      <c r="V2178" s="4">
        <v>51230.7</v>
      </c>
      <c r="W2178" s="13">
        <f t="shared" si="325"/>
        <v>8769.3000000000029</v>
      </c>
      <c r="X2178" s="13">
        <f t="shared" si="324"/>
        <v>50226.176470588231</v>
      </c>
      <c r="Y2178" s="13">
        <f t="shared" si="317"/>
        <v>0</v>
      </c>
      <c r="Z2178" s="2">
        <v>0</v>
      </c>
      <c r="AA2178" s="4">
        <v>0</v>
      </c>
      <c r="AB2178" s="4">
        <f t="shared" si="318"/>
        <v>50226.176470588231</v>
      </c>
      <c r="AC2178" s="6">
        <f t="shared" si="319"/>
        <v>1004.5235294117665</v>
      </c>
      <c r="AD2178" s="13">
        <f t="shared" si="322"/>
        <v>51230.7</v>
      </c>
      <c r="AE2178" s="2">
        <v>0.17</v>
      </c>
      <c r="AF2178" s="5">
        <f t="shared" si="320"/>
        <v>8709.219000000001</v>
      </c>
      <c r="AG2178" s="2">
        <v>0</v>
      </c>
      <c r="AH2178" s="5">
        <f t="shared" si="323"/>
        <v>51230.7</v>
      </c>
      <c r="AJ2178" s="126" t="e">
        <v>#N/A</v>
      </c>
      <c r="AK2178" s="80">
        <f t="shared" si="321"/>
        <v>0</v>
      </c>
      <c r="AM2178" s="85"/>
    </row>
    <row r="2179" spans="1:39" hidden="1" x14ac:dyDescent="0.3">
      <c r="A2179" s="85" t="s">
        <v>34</v>
      </c>
      <c r="B2179" s="3" t="s">
        <v>701</v>
      </c>
      <c r="C2179" s="3" t="s">
        <v>164</v>
      </c>
      <c r="D2179" s="3" t="s">
        <v>169</v>
      </c>
      <c r="E2179" s="3" t="s">
        <v>1579</v>
      </c>
      <c r="F2179" s="3" t="s">
        <v>1579</v>
      </c>
      <c r="G2179" s="3" t="s">
        <v>1579</v>
      </c>
      <c r="I2179" s="3" t="s">
        <v>78</v>
      </c>
      <c r="J2179" s="1" t="s">
        <v>3303</v>
      </c>
      <c r="K2179" s="1" t="s">
        <v>3276</v>
      </c>
      <c r="L2179" s="1" t="s">
        <v>701</v>
      </c>
      <c r="M2179" s="3" t="s">
        <v>1579</v>
      </c>
      <c r="O2179" s="1" t="s">
        <v>410</v>
      </c>
      <c r="P2179" s="1" t="s">
        <v>41</v>
      </c>
      <c r="Q2179" s="2">
        <v>0</v>
      </c>
      <c r="R2179" s="138">
        <v>7145</v>
      </c>
      <c r="T2179" s="4">
        <v>3056.899999999996</v>
      </c>
      <c r="U2179" s="4">
        <v>20000</v>
      </c>
      <c r="V2179" s="4">
        <v>16191.9</v>
      </c>
      <c r="W2179" s="13">
        <f t="shared" si="325"/>
        <v>6864.9999999999945</v>
      </c>
      <c r="X2179" s="13">
        <f t="shared" si="324"/>
        <v>16191.9</v>
      </c>
      <c r="Y2179" s="13">
        <f t="shared" ref="Y2179:Y2242" si="326">IF(X2179-AD2179&lt;=0,0,IF(P2179="返现",MAX(X2179-AC2179-AD2179,0),MAX(X2179-AD2179)))</f>
        <v>0</v>
      </c>
      <c r="Z2179" s="2">
        <v>0</v>
      </c>
      <c r="AA2179" s="4">
        <v>0</v>
      </c>
      <c r="AB2179" s="4">
        <f t="shared" ref="AB2179:AB2242" si="327">X2179+AA2179</f>
        <v>16191.9</v>
      </c>
      <c r="AC2179" s="6">
        <f t="shared" ref="AC2179:AC2242" si="328">IF(P2179="返现",X2179*Q2179,V2179-X2179)</f>
        <v>0</v>
      </c>
      <c r="AD2179" s="13">
        <f t="shared" si="322"/>
        <v>16191.9</v>
      </c>
      <c r="AE2179" s="2">
        <v>0.17</v>
      </c>
      <c r="AF2179" s="5">
        <f t="shared" ref="AF2179:AF2242" si="329">AD2179*AE2179</f>
        <v>2752.623</v>
      </c>
      <c r="AG2179" s="2">
        <v>0</v>
      </c>
      <c r="AH2179" s="5">
        <f t="shared" si="323"/>
        <v>16191.9</v>
      </c>
      <c r="AJ2179" s="126" t="e">
        <v>#N/A</v>
      </c>
      <c r="AK2179" s="80">
        <f t="shared" ref="AK2179:AK2242" si="330">X2179+AA2179-AB2179</f>
        <v>0</v>
      </c>
      <c r="AM2179" s="85"/>
    </row>
    <row r="2180" spans="1:39" hidden="1" x14ac:dyDescent="0.3">
      <c r="A2180" s="85" t="s">
        <v>34</v>
      </c>
      <c r="B2180" s="3" t="s">
        <v>701</v>
      </c>
      <c r="C2180" s="3" t="s">
        <v>164</v>
      </c>
      <c r="D2180" s="3" t="s">
        <v>174</v>
      </c>
      <c r="E2180" s="3" t="s">
        <v>1608</v>
      </c>
      <c r="F2180" s="3" t="s">
        <v>1608</v>
      </c>
      <c r="G2180" s="3" t="s">
        <v>1608</v>
      </c>
      <c r="I2180" s="3" t="s">
        <v>78</v>
      </c>
      <c r="J2180" s="1" t="s">
        <v>3303</v>
      </c>
      <c r="K2180" s="1" t="s">
        <v>3276</v>
      </c>
      <c r="L2180" s="1" t="s">
        <v>701</v>
      </c>
      <c r="M2180" s="3" t="s">
        <v>2811</v>
      </c>
      <c r="O2180" s="1" t="s">
        <v>410</v>
      </c>
      <c r="P2180" s="1" t="s">
        <v>41</v>
      </c>
      <c r="Q2180" s="2">
        <v>0</v>
      </c>
      <c r="R2180" s="138">
        <v>7606</v>
      </c>
      <c r="T2180" s="4">
        <v>0</v>
      </c>
      <c r="U2180" s="4">
        <v>20000</v>
      </c>
      <c r="V2180" s="4">
        <v>11170.810000000001</v>
      </c>
      <c r="W2180" s="13">
        <f t="shared" si="325"/>
        <v>8829.1899999999987</v>
      </c>
      <c r="X2180" s="13">
        <f t="shared" si="324"/>
        <v>11170.810000000001</v>
      </c>
      <c r="Y2180" s="13">
        <f t="shared" si="326"/>
        <v>0</v>
      </c>
      <c r="Z2180" s="2">
        <v>0</v>
      </c>
      <c r="AA2180" s="4">
        <v>0</v>
      </c>
      <c r="AB2180" s="4">
        <f t="shared" si="327"/>
        <v>11170.810000000001</v>
      </c>
      <c r="AC2180" s="6">
        <f t="shared" si="328"/>
        <v>0</v>
      </c>
      <c r="AD2180" s="13">
        <f t="shared" si="322"/>
        <v>11170.810000000001</v>
      </c>
      <c r="AE2180" s="2">
        <v>0.17</v>
      </c>
      <c r="AF2180" s="5">
        <f t="shared" si="329"/>
        <v>1899.0377000000003</v>
      </c>
      <c r="AG2180" s="2">
        <v>0</v>
      </c>
      <c r="AH2180" s="5">
        <f t="shared" si="323"/>
        <v>11170.810000000001</v>
      </c>
      <c r="AJ2180" s="126" t="e">
        <v>#N/A</v>
      </c>
      <c r="AK2180" s="80">
        <f t="shared" si="330"/>
        <v>0</v>
      </c>
      <c r="AM2180" s="85"/>
    </row>
    <row r="2181" spans="1:39" hidden="1" x14ac:dyDescent="0.3">
      <c r="A2181" s="85" t="s">
        <v>34</v>
      </c>
      <c r="B2181" s="3" t="s">
        <v>701</v>
      </c>
      <c r="C2181" s="3" t="s">
        <v>164</v>
      </c>
      <c r="D2181" s="3" t="s">
        <v>174</v>
      </c>
      <c r="E2181" s="3" t="s">
        <v>2812</v>
      </c>
      <c r="F2181" s="3" t="s">
        <v>2812</v>
      </c>
      <c r="G2181" s="3" t="s">
        <v>2812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2813</v>
      </c>
      <c r="O2181" s="1" t="s">
        <v>410</v>
      </c>
      <c r="P2181" s="1" t="s">
        <v>41</v>
      </c>
      <c r="Q2181" s="2">
        <v>0</v>
      </c>
      <c r="R2181" s="138">
        <v>7280</v>
      </c>
      <c r="T2181" s="4">
        <v>0</v>
      </c>
      <c r="U2181" s="4">
        <v>50000</v>
      </c>
      <c r="V2181" s="4">
        <v>15722.339999999993</v>
      </c>
      <c r="W2181" s="13">
        <f t="shared" si="325"/>
        <v>34277.660000000003</v>
      </c>
      <c r="X2181" s="13">
        <f t="shared" si="324"/>
        <v>15722.339999999993</v>
      </c>
      <c r="Y2181" s="13">
        <f t="shared" si="326"/>
        <v>0</v>
      </c>
      <c r="Z2181" s="2">
        <v>0</v>
      </c>
      <c r="AA2181" s="4">
        <v>0</v>
      </c>
      <c r="AB2181" s="4">
        <f t="shared" si="327"/>
        <v>15722.339999999993</v>
      </c>
      <c r="AC2181" s="6">
        <f t="shared" si="328"/>
        <v>0</v>
      </c>
      <c r="AD2181" s="13">
        <f t="shared" si="322"/>
        <v>15722.339999999993</v>
      </c>
      <c r="AE2181" s="2">
        <v>0.17</v>
      </c>
      <c r="AF2181" s="5">
        <f t="shared" si="329"/>
        <v>2672.7977999999989</v>
      </c>
      <c r="AG2181" s="2">
        <v>0</v>
      </c>
      <c r="AH2181" s="5">
        <f t="shared" si="323"/>
        <v>15722.339999999993</v>
      </c>
      <c r="AJ2181" s="126" t="e">
        <v>#N/A</v>
      </c>
      <c r="AK2181" s="80">
        <f t="shared" si="330"/>
        <v>0</v>
      </c>
      <c r="AM2181" s="85"/>
    </row>
    <row r="2182" spans="1:39" hidden="1" x14ac:dyDescent="0.3">
      <c r="A2182" s="85" t="s">
        <v>34</v>
      </c>
      <c r="B2182" s="3" t="s">
        <v>701</v>
      </c>
      <c r="C2182" s="3" t="s">
        <v>164</v>
      </c>
      <c r="D2182" s="3" t="s">
        <v>174</v>
      </c>
      <c r="E2182" s="3" t="s">
        <v>1617</v>
      </c>
      <c r="F2182" s="3" t="s">
        <v>1617</v>
      </c>
      <c r="G2182" s="3" t="s">
        <v>1617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2814</v>
      </c>
      <c r="O2182" s="1" t="s">
        <v>410</v>
      </c>
      <c r="P2182" s="1" t="s">
        <v>41</v>
      </c>
      <c r="Q2182" s="2">
        <v>0</v>
      </c>
      <c r="R2182" s="138">
        <v>7457</v>
      </c>
      <c r="T2182" s="4">
        <v>38229.199999999997</v>
      </c>
      <c r="U2182" s="4">
        <v>100000</v>
      </c>
      <c r="V2182" s="4">
        <v>90278.55</v>
      </c>
      <c r="W2182" s="13">
        <f t="shared" si="325"/>
        <v>47950.650000000009</v>
      </c>
      <c r="X2182" s="13">
        <f t="shared" si="324"/>
        <v>90278.55</v>
      </c>
      <c r="Y2182" s="13">
        <f t="shared" si="326"/>
        <v>0</v>
      </c>
      <c r="Z2182" s="2">
        <v>0</v>
      </c>
      <c r="AA2182" s="4">
        <v>0</v>
      </c>
      <c r="AB2182" s="4">
        <f t="shared" si="327"/>
        <v>90278.55</v>
      </c>
      <c r="AC2182" s="6">
        <f t="shared" si="328"/>
        <v>0</v>
      </c>
      <c r="AD2182" s="13">
        <f t="shared" si="322"/>
        <v>90278.55</v>
      </c>
      <c r="AE2182" s="2">
        <v>0.17</v>
      </c>
      <c r="AF2182" s="5">
        <f t="shared" si="329"/>
        <v>15347.353500000001</v>
      </c>
      <c r="AG2182" s="2">
        <v>0</v>
      </c>
      <c r="AH2182" s="5">
        <f t="shared" si="323"/>
        <v>90278.55</v>
      </c>
      <c r="AJ2182" s="126" t="e">
        <v>#N/A</v>
      </c>
      <c r="AK2182" s="80">
        <f t="shared" si="330"/>
        <v>0</v>
      </c>
      <c r="AM2182" s="85"/>
    </row>
    <row r="2183" spans="1:39" hidden="1" x14ac:dyDescent="0.3">
      <c r="A2183" s="85" t="s">
        <v>34</v>
      </c>
      <c r="B2183" s="3" t="s">
        <v>701</v>
      </c>
      <c r="C2183" s="3" t="s">
        <v>164</v>
      </c>
      <c r="D2183" s="3" t="s">
        <v>174</v>
      </c>
      <c r="E2183" s="3" t="s">
        <v>2815</v>
      </c>
      <c r="F2183" s="3" t="s">
        <v>2815</v>
      </c>
      <c r="G2183" s="3" t="s">
        <v>2815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2816</v>
      </c>
      <c r="O2183" s="1" t="s">
        <v>410</v>
      </c>
      <c r="P2183" s="1" t="s">
        <v>41</v>
      </c>
      <c r="Q2183" s="2">
        <v>0</v>
      </c>
      <c r="R2183" s="138">
        <v>7352</v>
      </c>
      <c r="T2183" s="4">
        <v>0</v>
      </c>
      <c r="U2183" s="4">
        <v>10000</v>
      </c>
      <c r="V2183" s="4">
        <v>4426.7000000000007</v>
      </c>
      <c r="W2183" s="13">
        <f t="shared" si="325"/>
        <v>5573.2999999999993</v>
      </c>
      <c r="X2183" s="13">
        <f t="shared" si="324"/>
        <v>4426.7000000000007</v>
      </c>
      <c r="Y2183" s="13">
        <f t="shared" si="326"/>
        <v>0</v>
      </c>
      <c r="Z2183" s="2">
        <v>0</v>
      </c>
      <c r="AA2183" s="4">
        <v>0</v>
      </c>
      <c r="AB2183" s="4">
        <f t="shared" si="327"/>
        <v>4426.7000000000007</v>
      </c>
      <c r="AC2183" s="6">
        <f t="shared" si="328"/>
        <v>0</v>
      </c>
      <c r="AD2183" s="13">
        <f t="shared" si="322"/>
        <v>4426.7000000000007</v>
      </c>
      <c r="AE2183" s="2">
        <v>0.17</v>
      </c>
      <c r="AF2183" s="5">
        <f t="shared" si="329"/>
        <v>752.53900000000021</v>
      </c>
      <c r="AG2183" s="2">
        <v>0</v>
      </c>
      <c r="AH2183" s="5">
        <f t="shared" si="323"/>
        <v>4426.7000000000007</v>
      </c>
      <c r="AJ2183" s="126" t="e">
        <v>#N/A</v>
      </c>
      <c r="AK2183" s="80">
        <f t="shared" si="330"/>
        <v>0</v>
      </c>
      <c r="AM2183" s="85"/>
    </row>
    <row r="2184" spans="1:39" hidden="1" x14ac:dyDescent="0.3">
      <c r="A2184" s="85" t="s">
        <v>34</v>
      </c>
      <c r="B2184" s="3" t="s">
        <v>701</v>
      </c>
      <c r="C2184" s="3" t="s">
        <v>164</v>
      </c>
      <c r="D2184" s="3" t="s">
        <v>174</v>
      </c>
      <c r="E2184" s="3" t="s">
        <v>1661</v>
      </c>
      <c r="F2184" s="3" t="s">
        <v>1661</v>
      </c>
      <c r="G2184" s="3" t="s">
        <v>1661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1661</v>
      </c>
      <c r="O2184" s="1" t="s">
        <v>410</v>
      </c>
      <c r="P2184" s="1" t="s">
        <v>41</v>
      </c>
      <c r="Q2184" s="2">
        <v>0</v>
      </c>
      <c r="R2184" s="138">
        <v>7565</v>
      </c>
      <c r="T2184" s="4">
        <v>0</v>
      </c>
      <c r="U2184" s="4">
        <v>30000</v>
      </c>
      <c r="V2184" s="4">
        <v>25142.5</v>
      </c>
      <c r="W2184" s="13">
        <f t="shared" si="325"/>
        <v>4857.5</v>
      </c>
      <c r="X2184" s="13">
        <f t="shared" si="324"/>
        <v>25142.5</v>
      </c>
      <c r="Y2184" s="13">
        <f t="shared" si="326"/>
        <v>0</v>
      </c>
      <c r="Z2184" s="2">
        <v>0</v>
      </c>
      <c r="AA2184" s="4">
        <v>0</v>
      </c>
      <c r="AB2184" s="4">
        <f t="shared" si="327"/>
        <v>25142.5</v>
      </c>
      <c r="AC2184" s="6">
        <f t="shared" si="328"/>
        <v>0</v>
      </c>
      <c r="AD2184" s="13">
        <f t="shared" si="322"/>
        <v>25142.5</v>
      </c>
      <c r="AE2184" s="2">
        <v>0.17</v>
      </c>
      <c r="AF2184" s="5">
        <f t="shared" si="329"/>
        <v>4274.2250000000004</v>
      </c>
      <c r="AG2184" s="2">
        <v>0</v>
      </c>
      <c r="AH2184" s="5">
        <f t="shared" si="323"/>
        <v>25142.5</v>
      </c>
      <c r="AJ2184" s="126" t="e">
        <v>#N/A</v>
      </c>
      <c r="AK2184" s="80">
        <f t="shared" si="330"/>
        <v>0</v>
      </c>
      <c r="AM2184" s="85"/>
    </row>
    <row r="2185" spans="1:39" hidden="1" x14ac:dyDescent="0.3">
      <c r="A2185" s="85" t="s">
        <v>34</v>
      </c>
      <c r="B2185" s="3" t="s">
        <v>701</v>
      </c>
      <c r="C2185" s="3" t="s">
        <v>164</v>
      </c>
      <c r="D2185" s="3" t="s">
        <v>174</v>
      </c>
      <c r="E2185" s="3" t="s">
        <v>1664</v>
      </c>
      <c r="F2185" s="3" t="s">
        <v>1664</v>
      </c>
      <c r="G2185" s="3" t="s">
        <v>1664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2817</v>
      </c>
      <c r="O2185" s="1" t="s">
        <v>410</v>
      </c>
      <c r="P2185" s="1" t="s">
        <v>41</v>
      </c>
      <c r="Q2185" s="2">
        <v>0</v>
      </c>
      <c r="R2185" s="140">
        <v>7296</v>
      </c>
      <c r="T2185" s="4">
        <v>10693.960000000001</v>
      </c>
      <c r="U2185" s="4">
        <v>10000</v>
      </c>
      <c r="V2185" s="4">
        <v>10378.59</v>
      </c>
      <c r="W2185" s="13">
        <f t="shared" si="325"/>
        <v>10315.369999999999</v>
      </c>
      <c r="X2185" s="13">
        <f t="shared" si="324"/>
        <v>10378.59</v>
      </c>
      <c r="Y2185" s="13">
        <f t="shared" si="326"/>
        <v>0</v>
      </c>
      <c r="Z2185" s="2">
        <v>0</v>
      </c>
      <c r="AA2185" s="4">
        <v>0</v>
      </c>
      <c r="AB2185" s="4">
        <f t="shared" si="327"/>
        <v>10378.59</v>
      </c>
      <c r="AC2185" s="6">
        <f t="shared" si="328"/>
        <v>0</v>
      </c>
      <c r="AD2185" s="13">
        <f t="shared" si="322"/>
        <v>10378.59</v>
      </c>
      <c r="AE2185" s="2">
        <v>0.17</v>
      </c>
      <c r="AF2185" s="5">
        <f t="shared" si="329"/>
        <v>1764.3603000000001</v>
      </c>
      <c r="AG2185" s="2">
        <v>0</v>
      </c>
      <c r="AH2185" s="5">
        <f t="shared" si="323"/>
        <v>10378.59</v>
      </c>
      <c r="AJ2185" s="126" t="e">
        <v>#N/A</v>
      </c>
      <c r="AK2185" s="80">
        <f t="shared" si="330"/>
        <v>0</v>
      </c>
      <c r="AM2185" s="85"/>
    </row>
    <row r="2186" spans="1:39" hidden="1" x14ac:dyDescent="0.3">
      <c r="A2186" s="85" t="s">
        <v>34</v>
      </c>
      <c r="B2186" s="3" t="s">
        <v>701</v>
      </c>
      <c r="C2186" s="3" t="s">
        <v>164</v>
      </c>
      <c r="D2186" s="3" t="s">
        <v>174</v>
      </c>
      <c r="E2186" s="3" t="s">
        <v>2818</v>
      </c>
      <c r="F2186" s="3" t="s">
        <v>2818</v>
      </c>
      <c r="G2186" s="3" t="s">
        <v>2818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2819</v>
      </c>
      <c r="O2186" s="1" t="s">
        <v>410</v>
      </c>
      <c r="P2186" s="1" t="s">
        <v>41</v>
      </c>
      <c r="Q2186" s="2">
        <v>0</v>
      </c>
      <c r="R2186" s="138">
        <v>7550</v>
      </c>
      <c r="T2186" s="4">
        <v>0</v>
      </c>
      <c r="U2186" s="4">
        <v>10000</v>
      </c>
      <c r="V2186" s="4">
        <v>8193.61</v>
      </c>
      <c r="W2186" s="13">
        <f t="shared" si="325"/>
        <v>1806.3899999999994</v>
      </c>
      <c r="X2186" s="13">
        <f t="shared" si="324"/>
        <v>8193.61</v>
      </c>
      <c r="Y2186" s="13">
        <f t="shared" si="326"/>
        <v>0</v>
      </c>
      <c r="Z2186" s="2">
        <v>0</v>
      </c>
      <c r="AA2186" s="4">
        <v>0</v>
      </c>
      <c r="AB2186" s="4">
        <f t="shared" si="327"/>
        <v>8193.61</v>
      </c>
      <c r="AC2186" s="6">
        <f t="shared" si="328"/>
        <v>0</v>
      </c>
      <c r="AD2186" s="13">
        <f t="shared" si="322"/>
        <v>8193.61</v>
      </c>
      <c r="AE2186" s="2">
        <v>0.17</v>
      </c>
      <c r="AF2186" s="5">
        <f t="shared" si="329"/>
        <v>1392.9137000000003</v>
      </c>
      <c r="AG2186" s="2">
        <v>0</v>
      </c>
      <c r="AH2186" s="5">
        <f t="shared" si="323"/>
        <v>8193.61</v>
      </c>
      <c r="AJ2186" s="126" t="e">
        <v>#N/A</v>
      </c>
      <c r="AK2186" s="80">
        <f t="shared" si="330"/>
        <v>0</v>
      </c>
      <c r="AM2186" s="85"/>
    </row>
    <row r="2187" spans="1:39" hidden="1" x14ac:dyDescent="0.3">
      <c r="A2187" s="85" t="s">
        <v>34</v>
      </c>
      <c r="B2187" s="3" t="s">
        <v>701</v>
      </c>
      <c r="C2187" s="3" t="s">
        <v>164</v>
      </c>
      <c r="D2187" s="3" t="s">
        <v>174</v>
      </c>
      <c r="E2187" s="3" t="s">
        <v>2820</v>
      </c>
      <c r="F2187" s="3" t="s">
        <v>2820</v>
      </c>
      <c r="G2187" s="3" t="s">
        <v>2820</v>
      </c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2821</v>
      </c>
      <c r="O2187" s="1" t="s">
        <v>410</v>
      </c>
      <c r="P2187" s="1" t="s">
        <v>41</v>
      </c>
      <c r="Q2187" s="2">
        <v>0</v>
      </c>
      <c r="R2187" s="138">
        <v>7609</v>
      </c>
      <c r="T2187" s="4">
        <v>10000</v>
      </c>
      <c r="U2187" s="4">
        <v>10000</v>
      </c>
      <c r="V2187" s="4">
        <v>12841.05</v>
      </c>
      <c r="W2187" s="13">
        <f t="shared" si="325"/>
        <v>7158.9500000000007</v>
      </c>
      <c r="X2187" s="13">
        <f t="shared" si="324"/>
        <v>12841.05</v>
      </c>
      <c r="Y2187" s="13">
        <f t="shared" si="326"/>
        <v>0</v>
      </c>
      <c r="Z2187" s="2">
        <v>0</v>
      </c>
      <c r="AA2187" s="4">
        <v>0</v>
      </c>
      <c r="AB2187" s="4">
        <f t="shared" si="327"/>
        <v>12841.05</v>
      </c>
      <c r="AC2187" s="6">
        <f t="shared" si="328"/>
        <v>0</v>
      </c>
      <c r="AD2187" s="13">
        <f t="shared" si="322"/>
        <v>12841.05</v>
      </c>
      <c r="AE2187" s="2">
        <v>0.17</v>
      </c>
      <c r="AF2187" s="5">
        <f t="shared" si="329"/>
        <v>2182.9785000000002</v>
      </c>
      <c r="AG2187" s="2">
        <v>0</v>
      </c>
      <c r="AH2187" s="5">
        <f t="shared" si="323"/>
        <v>12841.05</v>
      </c>
      <c r="AJ2187" s="126" t="e">
        <v>#N/A</v>
      </c>
      <c r="AK2187" s="80">
        <f t="shared" si="330"/>
        <v>0</v>
      </c>
      <c r="AM2187" s="85"/>
    </row>
    <row r="2188" spans="1:39" hidden="1" x14ac:dyDescent="0.3">
      <c r="A2188" s="85" t="s">
        <v>34</v>
      </c>
      <c r="B2188" s="3" t="s">
        <v>701</v>
      </c>
      <c r="C2188" s="3" t="s">
        <v>164</v>
      </c>
      <c r="D2188" s="3" t="s">
        <v>174</v>
      </c>
      <c r="E2188" s="3" t="s">
        <v>1681</v>
      </c>
      <c r="F2188" s="3" t="s">
        <v>1682</v>
      </c>
      <c r="G2188" s="3" t="s">
        <v>1681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2822</v>
      </c>
      <c r="O2188" s="1" t="s">
        <v>410</v>
      </c>
      <c r="P2188" s="1" t="s">
        <v>41</v>
      </c>
      <c r="Q2188" s="2">
        <v>0</v>
      </c>
      <c r="R2188" s="138">
        <v>7538</v>
      </c>
      <c r="T2188" s="4">
        <v>1990.9499999999998</v>
      </c>
      <c r="U2188" s="4">
        <v>1000</v>
      </c>
      <c r="V2188" s="4">
        <v>2990.95</v>
      </c>
      <c r="W2188" s="13">
        <f t="shared" si="325"/>
        <v>0</v>
      </c>
      <c r="X2188" s="13">
        <f t="shared" si="324"/>
        <v>2990.95</v>
      </c>
      <c r="Y2188" s="13">
        <f t="shared" si="326"/>
        <v>0</v>
      </c>
      <c r="Z2188" s="2">
        <v>0</v>
      </c>
      <c r="AA2188" s="4">
        <v>0</v>
      </c>
      <c r="AB2188" s="4">
        <f t="shared" si="327"/>
        <v>2990.95</v>
      </c>
      <c r="AC2188" s="6">
        <f t="shared" si="328"/>
        <v>0</v>
      </c>
      <c r="AD2188" s="13">
        <f t="shared" si="322"/>
        <v>2990.95</v>
      </c>
      <c r="AE2188" s="2">
        <v>0.17</v>
      </c>
      <c r="AF2188" s="5">
        <f t="shared" si="329"/>
        <v>508.4615</v>
      </c>
      <c r="AG2188" s="2">
        <v>0</v>
      </c>
      <c r="AH2188" s="5">
        <f t="shared" si="323"/>
        <v>2990.95</v>
      </c>
      <c r="AJ2188" s="126" t="e">
        <v>#N/A</v>
      </c>
      <c r="AK2188" s="80">
        <f t="shared" si="330"/>
        <v>0</v>
      </c>
      <c r="AM2188" s="85"/>
    </row>
    <row r="2189" spans="1:39" hidden="1" x14ac:dyDescent="0.3">
      <c r="A2189" s="85" t="s">
        <v>34</v>
      </c>
      <c r="B2189" s="3" t="s">
        <v>701</v>
      </c>
      <c r="C2189" s="3" t="s">
        <v>164</v>
      </c>
      <c r="D2189" s="3" t="s">
        <v>174</v>
      </c>
      <c r="E2189" s="3" t="s">
        <v>1681</v>
      </c>
      <c r="F2189" s="3" t="s">
        <v>1682</v>
      </c>
      <c r="G2189" s="3" t="s">
        <v>1681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1685</v>
      </c>
      <c r="O2189" s="1" t="s">
        <v>410</v>
      </c>
      <c r="P2189" s="1" t="s">
        <v>41</v>
      </c>
      <c r="Q2189" s="2">
        <v>0</v>
      </c>
      <c r="R2189" s="138">
        <v>7312</v>
      </c>
      <c r="T2189" s="4">
        <v>5608.2500000000018</v>
      </c>
      <c r="U2189" s="4">
        <v>7500</v>
      </c>
      <c r="V2189" s="4">
        <v>12163.27</v>
      </c>
      <c r="W2189" s="13">
        <f t="shared" si="325"/>
        <v>944.98000000000138</v>
      </c>
      <c r="X2189" s="13">
        <f t="shared" si="324"/>
        <v>12163.27</v>
      </c>
      <c r="Y2189" s="13">
        <f t="shared" si="326"/>
        <v>0</v>
      </c>
      <c r="Z2189" s="2">
        <v>0</v>
      </c>
      <c r="AA2189" s="4">
        <v>0</v>
      </c>
      <c r="AB2189" s="4">
        <f t="shared" si="327"/>
        <v>12163.27</v>
      </c>
      <c r="AC2189" s="6">
        <f t="shared" si="328"/>
        <v>0</v>
      </c>
      <c r="AD2189" s="13">
        <f t="shared" si="322"/>
        <v>12163.27</v>
      </c>
      <c r="AE2189" s="2">
        <v>0.17</v>
      </c>
      <c r="AF2189" s="5">
        <f t="shared" si="329"/>
        <v>2067.7559000000001</v>
      </c>
      <c r="AG2189" s="2">
        <v>0</v>
      </c>
      <c r="AH2189" s="5">
        <f t="shared" si="323"/>
        <v>12163.27</v>
      </c>
      <c r="AJ2189" s="126" t="e">
        <v>#N/A</v>
      </c>
      <c r="AK2189" s="80">
        <f t="shared" si="330"/>
        <v>0</v>
      </c>
      <c r="AM2189" s="85"/>
    </row>
    <row r="2190" spans="1:39" hidden="1" x14ac:dyDescent="0.3">
      <c r="A2190" s="85" t="s">
        <v>34</v>
      </c>
      <c r="B2190" s="3" t="s">
        <v>701</v>
      </c>
      <c r="C2190" s="3" t="s">
        <v>164</v>
      </c>
      <c r="D2190" s="3" t="s">
        <v>174</v>
      </c>
      <c r="E2190" s="3" t="s">
        <v>1711</v>
      </c>
      <c r="F2190" s="3" t="s">
        <v>1711</v>
      </c>
      <c r="G2190" s="3" t="s">
        <v>1711</v>
      </c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2823</v>
      </c>
      <c r="O2190" s="1" t="s">
        <v>410</v>
      </c>
      <c r="P2190" s="1" t="s">
        <v>41</v>
      </c>
      <c r="Q2190" s="2">
        <v>0</v>
      </c>
      <c r="R2190" s="138">
        <v>7286</v>
      </c>
      <c r="T2190" s="4">
        <v>995.49999999999818</v>
      </c>
      <c r="U2190" s="4">
        <v>2000</v>
      </c>
      <c r="V2190" s="4">
        <v>2184.4</v>
      </c>
      <c r="W2190" s="13">
        <f t="shared" si="325"/>
        <v>811.09999999999809</v>
      </c>
      <c r="X2190" s="13">
        <f t="shared" si="324"/>
        <v>2184.4</v>
      </c>
      <c r="Y2190" s="13">
        <f t="shared" si="326"/>
        <v>0</v>
      </c>
      <c r="Z2190" s="2">
        <v>0</v>
      </c>
      <c r="AA2190" s="4">
        <v>0</v>
      </c>
      <c r="AB2190" s="4">
        <f t="shared" si="327"/>
        <v>2184.4</v>
      </c>
      <c r="AC2190" s="6">
        <f t="shared" si="328"/>
        <v>0</v>
      </c>
      <c r="AD2190" s="13">
        <f t="shared" si="322"/>
        <v>2184.4</v>
      </c>
      <c r="AE2190" s="2">
        <v>0.17</v>
      </c>
      <c r="AF2190" s="5">
        <f t="shared" si="329"/>
        <v>371.34800000000007</v>
      </c>
      <c r="AG2190" s="2">
        <v>0</v>
      </c>
      <c r="AH2190" s="5">
        <f t="shared" si="323"/>
        <v>2184.4</v>
      </c>
      <c r="AJ2190" s="126" t="e">
        <v>#N/A</v>
      </c>
      <c r="AK2190" s="80">
        <f t="shared" si="330"/>
        <v>0</v>
      </c>
      <c r="AM2190" s="85"/>
    </row>
    <row r="2191" spans="1:39" hidden="1" x14ac:dyDescent="0.3">
      <c r="A2191" s="85" t="s">
        <v>34</v>
      </c>
      <c r="B2191" s="3" t="s">
        <v>701</v>
      </c>
      <c r="C2191" s="3" t="s">
        <v>164</v>
      </c>
      <c r="D2191" s="3" t="s">
        <v>174</v>
      </c>
      <c r="E2191" s="3" t="s">
        <v>668</v>
      </c>
      <c r="F2191" s="3" t="s">
        <v>668</v>
      </c>
      <c r="G2191" s="3" t="s">
        <v>668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2824</v>
      </c>
      <c r="O2191" s="1" t="s">
        <v>410</v>
      </c>
      <c r="P2191" s="1" t="s">
        <v>46</v>
      </c>
      <c r="Q2191" s="2">
        <v>0.02</v>
      </c>
      <c r="R2191" s="138">
        <v>107</v>
      </c>
      <c r="T2191" s="4">
        <v>1487.3700000000017</v>
      </c>
      <c r="U2191" s="4">
        <v>5000</v>
      </c>
      <c r="V2191" s="4">
        <v>2951.6000000000004</v>
      </c>
      <c r="W2191" s="13">
        <f t="shared" si="325"/>
        <v>3535.7700000000013</v>
      </c>
      <c r="X2191" s="13">
        <f t="shared" si="324"/>
        <v>2893.7254901960787</v>
      </c>
      <c r="Y2191" s="13">
        <f t="shared" si="326"/>
        <v>0</v>
      </c>
      <c r="Z2191" s="2">
        <v>0</v>
      </c>
      <c r="AA2191" s="4">
        <v>0</v>
      </c>
      <c r="AB2191" s="4">
        <f t="shared" si="327"/>
        <v>2893.7254901960787</v>
      </c>
      <c r="AC2191" s="6">
        <f t="shared" si="328"/>
        <v>57.874509803921683</v>
      </c>
      <c r="AD2191" s="13">
        <f t="shared" si="322"/>
        <v>2951.6000000000004</v>
      </c>
      <c r="AE2191" s="2">
        <v>0.17</v>
      </c>
      <c r="AF2191" s="5">
        <f t="shared" si="329"/>
        <v>501.77200000000011</v>
      </c>
      <c r="AG2191" s="2">
        <v>0</v>
      </c>
      <c r="AH2191" s="5">
        <f t="shared" si="323"/>
        <v>2951.6000000000004</v>
      </c>
      <c r="AJ2191" s="126" t="e">
        <v>#N/A</v>
      </c>
      <c r="AK2191" s="80">
        <f t="shared" si="330"/>
        <v>0</v>
      </c>
      <c r="AM2191" s="85"/>
    </row>
    <row r="2192" spans="1:39" hidden="1" x14ac:dyDescent="0.3">
      <c r="A2192" s="85" t="s">
        <v>34</v>
      </c>
      <c r="B2192" s="3" t="s">
        <v>701</v>
      </c>
      <c r="C2192" s="3" t="s">
        <v>164</v>
      </c>
      <c r="D2192" s="3" t="s">
        <v>174</v>
      </c>
      <c r="E2192" s="3" t="s">
        <v>668</v>
      </c>
      <c r="F2192" s="3" t="s">
        <v>668</v>
      </c>
      <c r="G2192" s="3" t="s">
        <v>668</v>
      </c>
      <c r="H2192" s="138"/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2824</v>
      </c>
      <c r="O2192" s="1" t="s">
        <v>410</v>
      </c>
      <c r="P2192" s="1" t="s">
        <v>41</v>
      </c>
      <c r="Q2192" s="2">
        <v>0</v>
      </c>
      <c r="R2192" s="138">
        <v>107</v>
      </c>
      <c r="T2192" s="4">
        <v>0</v>
      </c>
      <c r="U2192" s="4">
        <v>0</v>
      </c>
      <c r="V2192" s="4">
        <v>0</v>
      </c>
      <c r="W2192" s="13">
        <f t="shared" si="325"/>
        <v>0</v>
      </c>
      <c r="X2192" s="13">
        <f t="shared" si="324"/>
        <v>0</v>
      </c>
      <c r="Y2192" s="13">
        <f t="shared" si="326"/>
        <v>0</v>
      </c>
      <c r="Z2192" s="2">
        <v>0</v>
      </c>
      <c r="AA2192" s="4">
        <v>0</v>
      </c>
      <c r="AB2192" s="4">
        <f t="shared" si="327"/>
        <v>0</v>
      </c>
      <c r="AC2192" s="6">
        <f t="shared" si="328"/>
        <v>0</v>
      </c>
      <c r="AD2192" s="13">
        <f t="shared" si="322"/>
        <v>0</v>
      </c>
      <c r="AE2192" s="2">
        <v>0.17</v>
      </c>
      <c r="AF2192" s="5">
        <f t="shared" si="329"/>
        <v>0</v>
      </c>
      <c r="AG2192" s="2">
        <v>0</v>
      </c>
      <c r="AH2192" s="5">
        <f t="shared" si="323"/>
        <v>0</v>
      </c>
      <c r="AJ2192" s="126" t="e">
        <v>#N/A</v>
      </c>
      <c r="AK2192" s="80">
        <f t="shared" si="330"/>
        <v>0</v>
      </c>
      <c r="AM2192" s="85"/>
    </row>
    <row r="2193" spans="1:39" hidden="1" x14ac:dyDescent="0.3">
      <c r="A2193" s="85" t="s">
        <v>34</v>
      </c>
      <c r="B2193" s="3" t="s">
        <v>701</v>
      </c>
      <c r="C2193" s="3" t="s">
        <v>164</v>
      </c>
      <c r="D2193" s="3" t="s">
        <v>174</v>
      </c>
      <c r="E2193" s="3" t="s">
        <v>1730</v>
      </c>
      <c r="F2193" s="3" t="s">
        <v>1730</v>
      </c>
      <c r="G2193" s="3" t="s">
        <v>1730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1730</v>
      </c>
      <c r="O2193" s="1" t="s">
        <v>410</v>
      </c>
      <c r="P2193" s="1" t="s">
        <v>41</v>
      </c>
      <c r="Q2193" s="2">
        <v>0</v>
      </c>
      <c r="R2193" s="138">
        <v>7208</v>
      </c>
      <c r="T2193" s="4">
        <v>0</v>
      </c>
      <c r="U2193" s="4">
        <v>20000</v>
      </c>
      <c r="V2193" s="4">
        <v>15895.8</v>
      </c>
      <c r="W2193" s="13">
        <f t="shared" si="325"/>
        <v>4104.2000000000007</v>
      </c>
      <c r="X2193" s="13">
        <f t="shared" si="324"/>
        <v>15895.8</v>
      </c>
      <c r="Y2193" s="13">
        <f t="shared" si="326"/>
        <v>0</v>
      </c>
      <c r="Z2193" s="2">
        <v>0</v>
      </c>
      <c r="AA2193" s="4">
        <v>0</v>
      </c>
      <c r="AB2193" s="4">
        <v>15895.8</v>
      </c>
      <c r="AC2193" s="6">
        <f t="shared" si="328"/>
        <v>0</v>
      </c>
      <c r="AD2193" s="13">
        <f t="shared" si="322"/>
        <v>15895.8</v>
      </c>
      <c r="AE2193" s="2">
        <v>0.17</v>
      </c>
      <c r="AF2193" s="5">
        <f t="shared" si="329"/>
        <v>2702.2860000000001</v>
      </c>
      <c r="AG2193" s="2">
        <v>0</v>
      </c>
      <c r="AH2193" s="5">
        <f t="shared" si="323"/>
        <v>15895.8</v>
      </c>
      <c r="AJ2193" s="126" t="s">
        <v>4217</v>
      </c>
      <c r="AK2193" s="80">
        <f t="shared" si="330"/>
        <v>0</v>
      </c>
      <c r="AM2193" s="85"/>
    </row>
    <row r="2194" spans="1:39" hidden="1" x14ac:dyDescent="0.3">
      <c r="A2194" s="85" t="s">
        <v>34</v>
      </c>
      <c r="B2194" s="3" t="s">
        <v>701</v>
      </c>
      <c r="C2194" s="3" t="s">
        <v>164</v>
      </c>
      <c r="D2194" s="3" t="s">
        <v>174</v>
      </c>
      <c r="E2194" s="3" t="s">
        <v>1730</v>
      </c>
      <c r="F2194" s="3" t="s">
        <v>1730</v>
      </c>
      <c r="G2194" s="3" t="s">
        <v>1730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2825</v>
      </c>
      <c r="O2194" s="1" t="s">
        <v>410</v>
      </c>
      <c r="P2194" s="1" t="s">
        <v>41</v>
      </c>
      <c r="Q2194" s="2">
        <v>0</v>
      </c>
      <c r="R2194" s="138">
        <v>7485</v>
      </c>
      <c r="T2194" s="4">
        <v>0</v>
      </c>
      <c r="U2194" s="4">
        <v>5000</v>
      </c>
      <c r="V2194" s="4">
        <v>2049.4000000000005</v>
      </c>
      <c r="W2194" s="13">
        <f t="shared" si="325"/>
        <v>2950.5999999999995</v>
      </c>
      <c r="X2194" s="13">
        <f t="shared" si="324"/>
        <v>2049.4000000000005</v>
      </c>
      <c r="Y2194" s="13">
        <f t="shared" si="326"/>
        <v>0</v>
      </c>
      <c r="Z2194" s="2">
        <v>0</v>
      </c>
      <c r="AA2194" s="4">
        <v>0</v>
      </c>
      <c r="AB2194" s="4">
        <v>2049.4000000000005</v>
      </c>
      <c r="AC2194" s="6">
        <f t="shared" si="328"/>
        <v>0</v>
      </c>
      <c r="AD2194" s="13">
        <f t="shared" si="322"/>
        <v>2049.4000000000005</v>
      </c>
      <c r="AE2194" s="2">
        <v>0.17</v>
      </c>
      <c r="AF2194" s="5">
        <f t="shared" si="329"/>
        <v>348.39800000000014</v>
      </c>
      <c r="AG2194" s="2">
        <v>0</v>
      </c>
      <c r="AH2194" s="5">
        <f t="shared" si="323"/>
        <v>2049.4000000000005</v>
      </c>
      <c r="AJ2194" s="126" t="s">
        <v>4217</v>
      </c>
      <c r="AK2194" s="80">
        <f t="shared" si="330"/>
        <v>0</v>
      </c>
      <c r="AM2194" s="85"/>
    </row>
    <row r="2195" spans="1:39" hidden="1" x14ac:dyDescent="0.3">
      <c r="A2195" s="85" t="s">
        <v>34</v>
      </c>
      <c r="B2195" s="3" t="s">
        <v>701</v>
      </c>
      <c r="C2195" s="3" t="s">
        <v>164</v>
      </c>
      <c r="D2195" s="3" t="s">
        <v>174</v>
      </c>
      <c r="E2195" s="3" t="s">
        <v>2826</v>
      </c>
      <c r="F2195" s="3" t="s">
        <v>2827</v>
      </c>
      <c r="G2195" s="3" t="s">
        <v>2826</v>
      </c>
      <c r="H2195" s="138"/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2826</v>
      </c>
      <c r="O2195" s="1" t="s">
        <v>410</v>
      </c>
      <c r="P2195" s="1" t="s">
        <v>3365</v>
      </c>
      <c r="Q2195" s="2">
        <v>0.01</v>
      </c>
      <c r="R2195" s="138">
        <v>7556</v>
      </c>
      <c r="T2195" s="4">
        <v>7123.0999999999985</v>
      </c>
      <c r="U2195" s="4">
        <v>40000</v>
      </c>
      <c r="V2195" s="4">
        <v>0</v>
      </c>
      <c r="W2195" s="13">
        <f t="shared" si="325"/>
        <v>47123.1</v>
      </c>
      <c r="X2195" s="13">
        <f t="shared" si="324"/>
        <v>0</v>
      </c>
      <c r="Y2195" s="13">
        <f t="shared" si="326"/>
        <v>0</v>
      </c>
      <c r="Z2195" s="2">
        <v>0</v>
      </c>
      <c r="AA2195" s="4">
        <v>0</v>
      </c>
      <c r="AB2195" s="4">
        <f t="shared" si="327"/>
        <v>0</v>
      </c>
      <c r="AC2195" s="6">
        <f t="shared" si="328"/>
        <v>0</v>
      </c>
      <c r="AD2195" s="13">
        <f t="shared" si="322"/>
        <v>0</v>
      </c>
      <c r="AE2195" s="2">
        <v>0.17</v>
      </c>
      <c r="AF2195" s="5">
        <f t="shared" si="329"/>
        <v>0</v>
      </c>
      <c r="AG2195" s="2">
        <v>0</v>
      </c>
      <c r="AH2195" s="5">
        <f t="shared" si="323"/>
        <v>0</v>
      </c>
      <c r="AJ2195" s="126" t="e">
        <v>#N/A</v>
      </c>
      <c r="AK2195" s="80">
        <f t="shared" si="330"/>
        <v>0</v>
      </c>
      <c r="AM2195" s="85"/>
    </row>
    <row r="2196" spans="1:39" hidden="1" x14ac:dyDescent="0.3">
      <c r="A2196" s="85" t="s">
        <v>34</v>
      </c>
      <c r="B2196" s="3" t="s">
        <v>701</v>
      </c>
      <c r="C2196" s="3" t="s">
        <v>164</v>
      </c>
      <c r="D2196" s="3" t="s">
        <v>174</v>
      </c>
      <c r="E2196" s="3" t="s">
        <v>2826</v>
      </c>
      <c r="F2196" s="3" t="s">
        <v>2827</v>
      </c>
      <c r="G2196" s="3" t="s">
        <v>2826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2826</v>
      </c>
      <c r="O2196" s="1" t="s">
        <v>410</v>
      </c>
      <c r="P2196" s="1" t="s">
        <v>41</v>
      </c>
      <c r="Q2196" s="2">
        <v>0</v>
      </c>
      <c r="R2196" s="138">
        <v>7556</v>
      </c>
      <c r="T2196" s="4">
        <v>0</v>
      </c>
      <c r="U2196" s="4">
        <v>30000</v>
      </c>
      <c r="V2196" s="4">
        <v>63701.75</v>
      </c>
      <c r="W2196" s="13">
        <f t="shared" si="325"/>
        <v>-33701.75</v>
      </c>
      <c r="X2196" s="13">
        <f t="shared" si="324"/>
        <v>63701.75</v>
      </c>
      <c r="Y2196" s="13">
        <f t="shared" si="326"/>
        <v>0</v>
      </c>
      <c r="Z2196" s="2">
        <v>0</v>
      </c>
      <c r="AA2196" s="4">
        <v>0</v>
      </c>
      <c r="AB2196" s="4">
        <f t="shared" si="327"/>
        <v>63701.75</v>
      </c>
      <c r="AC2196" s="6">
        <f t="shared" si="328"/>
        <v>0</v>
      </c>
      <c r="AD2196" s="13">
        <f t="shared" si="322"/>
        <v>63701.75</v>
      </c>
      <c r="AE2196" s="2">
        <v>0.17</v>
      </c>
      <c r="AF2196" s="5">
        <f t="shared" si="329"/>
        <v>10829.297500000001</v>
      </c>
      <c r="AG2196" s="2">
        <v>0</v>
      </c>
      <c r="AH2196" s="5">
        <f t="shared" si="323"/>
        <v>63701.75</v>
      </c>
      <c r="AJ2196" s="126" t="e">
        <v>#N/A</v>
      </c>
      <c r="AK2196" s="80">
        <f t="shared" si="330"/>
        <v>0</v>
      </c>
      <c r="AM2196" s="85"/>
    </row>
    <row r="2197" spans="1:39" hidden="1" x14ac:dyDescent="0.3">
      <c r="A2197" s="85" t="s">
        <v>34</v>
      </c>
      <c r="B2197" s="3" t="s">
        <v>701</v>
      </c>
      <c r="C2197" s="3" t="s">
        <v>164</v>
      </c>
      <c r="D2197" s="3" t="s">
        <v>174</v>
      </c>
      <c r="E2197" s="3" t="s">
        <v>681</v>
      </c>
      <c r="F2197" s="3" t="s">
        <v>681</v>
      </c>
      <c r="G2197" s="3" t="s">
        <v>681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2828</v>
      </c>
      <c r="O2197" s="1" t="s">
        <v>410</v>
      </c>
      <c r="P2197" s="1" t="s">
        <v>46</v>
      </c>
      <c r="Q2197" s="2">
        <v>0.03</v>
      </c>
      <c r="R2197" s="138">
        <v>109</v>
      </c>
      <c r="T2197" s="4">
        <v>24601.960000000021</v>
      </c>
      <c r="U2197" s="4">
        <v>60000</v>
      </c>
      <c r="V2197" s="4">
        <v>51982.149999999994</v>
      </c>
      <c r="W2197" s="13">
        <f t="shared" si="325"/>
        <v>32619.810000000027</v>
      </c>
      <c r="X2197" s="13">
        <f t="shared" si="324"/>
        <v>50468.106796116495</v>
      </c>
      <c r="Y2197" s="13">
        <f t="shared" si="326"/>
        <v>0</v>
      </c>
      <c r="Z2197" s="2">
        <v>0</v>
      </c>
      <c r="AA2197" s="4">
        <v>0</v>
      </c>
      <c r="AB2197" s="4">
        <f t="shared" si="327"/>
        <v>50468.106796116495</v>
      </c>
      <c r="AC2197" s="6">
        <f t="shared" si="328"/>
        <v>1514.0432038834988</v>
      </c>
      <c r="AD2197" s="13">
        <f t="shared" si="322"/>
        <v>51982.149999999994</v>
      </c>
      <c r="AE2197" s="2">
        <v>0.17</v>
      </c>
      <c r="AF2197" s="5">
        <f t="shared" si="329"/>
        <v>8836.9655000000002</v>
      </c>
      <c r="AG2197" s="2">
        <v>0</v>
      </c>
      <c r="AH2197" s="5">
        <f t="shared" si="323"/>
        <v>51982.149999999994</v>
      </c>
      <c r="AJ2197" s="126" t="e">
        <v>#N/A</v>
      </c>
      <c r="AK2197" s="80">
        <f t="shared" si="330"/>
        <v>0</v>
      </c>
      <c r="AM2197" s="85"/>
    </row>
    <row r="2198" spans="1:39" hidden="1" x14ac:dyDescent="0.3">
      <c r="A2198" s="85" t="s">
        <v>34</v>
      </c>
      <c r="B2198" s="3" t="s">
        <v>701</v>
      </c>
      <c r="C2198" s="3" t="s">
        <v>164</v>
      </c>
      <c r="D2198" s="3" t="s">
        <v>174</v>
      </c>
      <c r="E2198" s="3" t="s">
        <v>694</v>
      </c>
      <c r="F2198" s="3" t="s">
        <v>694</v>
      </c>
      <c r="G2198" s="3" t="s">
        <v>694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694</v>
      </c>
      <c r="O2198" s="1" t="s">
        <v>410</v>
      </c>
      <c r="P2198" s="1" t="s">
        <v>41</v>
      </c>
      <c r="Q2198" s="2">
        <v>0</v>
      </c>
      <c r="R2198" s="138">
        <v>7202</v>
      </c>
      <c r="T2198" s="4">
        <v>0</v>
      </c>
      <c r="U2198" s="4">
        <v>20000</v>
      </c>
      <c r="V2198" s="4">
        <v>0</v>
      </c>
      <c r="W2198" s="13">
        <f t="shared" si="325"/>
        <v>20000</v>
      </c>
      <c r="X2198" s="13">
        <f t="shared" si="324"/>
        <v>0</v>
      </c>
      <c r="Y2198" s="13">
        <f t="shared" si="326"/>
        <v>0</v>
      </c>
      <c r="Z2198" s="2">
        <v>0</v>
      </c>
      <c r="AA2198" s="4">
        <v>0</v>
      </c>
      <c r="AB2198" s="4">
        <f t="shared" si="327"/>
        <v>0</v>
      </c>
      <c r="AC2198" s="6">
        <f t="shared" si="328"/>
        <v>0</v>
      </c>
      <c r="AD2198" s="13">
        <f t="shared" si="322"/>
        <v>0</v>
      </c>
      <c r="AE2198" s="2">
        <v>0.17</v>
      </c>
      <c r="AF2198" s="5">
        <f t="shared" si="329"/>
        <v>0</v>
      </c>
      <c r="AG2198" s="2">
        <v>0</v>
      </c>
      <c r="AH2198" s="5">
        <f t="shared" si="323"/>
        <v>0</v>
      </c>
      <c r="AJ2198" s="126" t="e">
        <v>#N/A</v>
      </c>
      <c r="AK2198" s="80">
        <f t="shared" si="330"/>
        <v>0</v>
      </c>
      <c r="AM2198" s="85"/>
    </row>
    <row r="2199" spans="1:39" hidden="1" x14ac:dyDescent="0.3">
      <c r="A2199" s="85" t="s">
        <v>34</v>
      </c>
      <c r="B2199" s="3" t="s">
        <v>701</v>
      </c>
      <c r="C2199" s="3" t="s">
        <v>187</v>
      </c>
      <c r="D2199" s="3" t="s">
        <v>2829</v>
      </c>
      <c r="E2199" s="3" t="s">
        <v>2830</v>
      </c>
      <c r="F2199" s="3" t="s">
        <v>2830</v>
      </c>
      <c r="G2199" s="3" t="s">
        <v>2830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2830</v>
      </c>
      <c r="O2199" s="1" t="s">
        <v>410</v>
      </c>
      <c r="P2199" s="1" t="s">
        <v>41</v>
      </c>
      <c r="Q2199" s="2">
        <v>0</v>
      </c>
      <c r="R2199" s="138">
        <v>7658</v>
      </c>
      <c r="T2199" s="4">
        <v>0</v>
      </c>
      <c r="U2199" s="4">
        <v>10000</v>
      </c>
      <c r="V2199" s="4">
        <v>1546.89</v>
      </c>
      <c r="W2199" s="13">
        <f t="shared" si="325"/>
        <v>8453.11</v>
      </c>
      <c r="X2199" s="13">
        <f t="shared" si="324"/>
        <v>1546.89</v>
      </c>
      <c r="Y2199" s="13">
        <f t="shared" si="326"/>
        <v>0</v>
      </c>
      <c r="Z2199" s="2">
        <v>0</v>
      </c>
      <c r="AA2199" s="4">
        <v>0</v>
      </c>
      <c r="AB2199" s="4">
        <f t="shared" si="327"/>
        <v>1546.89</v>
      </c>
      <c r="AC2199" s="6">
        <f t="shared" si="328"/>
        <v>0</v>
      </c>
      <c r="AD2199" s="13">
        <f t="shared" si="322"/>
        <v>1546.89</v>
      </c>
      <c r="AE2199" s="2">
        <v>0.17</v>
      </c>
      <c r="AF2199" s="5">
        <f t="shared" si="329"/>
        <v>262.97130000000004</v>
      </c>
      <c r="AG2199" s="2">
        <v>0</v>
      </c>
      <c r="AH2199" s="5">
        <f t="shared" si="323"/>
        <v>1546.89</v>
      </c>
      <c r="AJ2199" s="126" t="e">
        <v>#N/A</v>
      </c>
      <c r="AK2199" s="80">
        <f t="shared" si="330"/>
        <v>0</v>
      </c>
      <c r="AM2199" s="85"/>
    </row>
    <row r="2200" spans="1:39" hidden="1" x14ac:dyDescent="0.3">
      <c r="A2200" s="85" t="s">
        <v>34</v>
      </c>
      <c r="B2200" s="15" t="s">
        <v>35</v>
      </c>
      <c r="C2200" s="15" t="s">
        <v>36</v>
      </c>
      <c r="D2200" s="15" t="s">
        <v>54</v>
      </c>
      <c r="E2200" s="15" t="s">
        <v>2695</v>
      </c>
      <c r="F2200" s="15" t="s">
        <v>2696</v>
      </c>
      <c r="G2200" s="15" t="s">
        <v>1845</v>
      </c>
      <c r="H2200" s="139"/>
      <c r="I2200" s="3" t="s">
        <v>78</v>
      </c>
      <c r="J2200" s="1" t="s">
        <v>3303</v>
      </c>
      <c r="K2200" s="1" t="s">
        <v>3276</v>
      </c>
      <c r="L2200" s="1" t="s">
        <v>701</v>
      </c>
      <c r="M2200" s="15" t="s">
        <v>2697</v>
      </c>
      <c r="N2200" s="15"/>
      <c r="O2200" s="8" t="s">
        <v>410</v>
      </c>
      <c r="P2200" s="8" t="s">
        <v>46</v>
      </c>
      <c r="Q2200" s="9">
        <v>0.03</v>
      </c>
      <c r="R2200" s="139">
        <v>7170</v>
      </c>
      <c r="T2200" s="18">
        <v>40635.070000000036</v>
      </c>
      <c r="U2200" s="4">
        <v>0</v>
      </c>
      <c r="V2200" s="18">
        <v>0</v>
      </c>
      <c r="W2200" s="13">
        <f t="shared" si="325"/>
        <v>40635.070000000036</v>
      </c>
      <c r="X2200" s="13">
        <f t="shared" si="324"/>
        <v>0</v>
      </c>
      <c r="Y2200" s="13">
        <f t="shared" si="326"/>
        <v>0</v>
      </c>
      <c r="Z2200" s="2">
        <v>0</v>
      </c>
      <c r="AA2200" s="4">
        <v>0</v>
      </c>
      <c r="AB2200" s="4">
        <f t="shared" si="327"/>
        <v>0</v>
      </c>
      <c r="AC2200" s="6">
        <f t="shared" si="328"/>
        <v>0</v>
      </c>
      <c r="AD2200" s="13">
        <f>V2200</f>
        <v>0</v>
      </c>
      <c r="AE2200" s="2">
        <v>0.17</v>
      </c>
      <c r="AF2200" s="5">
        <f t="shared" si="329"/>
        <v>0</v>
      </c>
      <c r="AG2200" s="2">
        <v>0</v>
      </c>
      <c r="AH2200" s="5">
        <f t="shared" si="323"/>
        <v>0</v>
      </c>
      <c r="AJ2200" s="126" t="e">
        <v>#N/A</v>
      </c>
      <c r="AK2200" s="80">
        <f t="shared" si="330"/>
        <v>0</v>
      </c>
      <c r="AM2200" s="85"/>
    </row>
    <row r="2201" spans="1:39" hidden="1" x14ac:dyDescent="0.3">
      <c r="A2201" s="85" t="s">
        <v>34</v>
      </c>
      <c r="B2201" s="15" t="s">
        <v>35</v>
      </c>
      <c r="C2201" s="15" t="s">
        <v>36</v>
      </c>
      <c r="D2201" s="15" t="s">
        <v>54</v>
      </c>
      <c r="E2201" s="15" t="s">
        <v>55</v>
      </c>
      <c r="F2201" s="15" t="s">
        <v>2831</v>
      </c>
      <c r="G2201" s="15" t="s">
        <v>1845</v>
      </c>
      <c r="H2201" s="139"/>
      <c r="I2201" s="3" t="s">
        <v>78</v>
      </c>
      <c r="J2201" s="1" t="s">
        <v>3303</v>
      </c>
      <c r="K2201" s="1" t="s">
        <v>3276</v>
      </c>
      <c r="L2201" s="1" t="s">
        <v>701</v>
      </c>
      <c r="M2201" s="15" t="s">
        <v>2832</v>
      </c>
      <c r="N2201" s="15"/>
      <c r="O2201" s="8" t="s">
        <v>410</v>
      </c>
      <c r="P2201" s="8" t="s">
        <v>41</v>
      </c>
      <c r="Q2201" s="9">
        <v>0</v>
      </c>
      <c r="R2201" s="139">
        <v>7265</v>
      </c>
      <c r="T2201" s="18">
        <v>27604.760000000017</v>
      </c>
      <c r="U2201" s="4">
        <v>0</v>
      </c>
      <c r="V2201" s="4">
        <v>0</v>
      </c>
      <c r="W2201" s="13">
        <f t="shared" si="325"/>
        <v>27604.760000000017</v>
      </c>
      <c r="X2201" s="13">
        <f t="shared" si="324"/>
        <v>0</v>
      </c>
      <c r="Y2201" s="13">
        <f t="shared" si="326"/>
        <v>0</v>
      </c>
      <c r="Z2201" s="2">
        <v>0</v>
      </c>
      <c r="AA2201" s="4">
        <v>0</v>
      </c>
      <c r="AB2201" s="4">
        <f t="shared" si="327"/>
        <v>0</v>
      </c>
      <c r="AC2201" s="6">
        <f t="shared" si="328"/>
        <v>0</v>
      </c>
      <c r="AD2201" s="13">
        <f t="shared" si="322"/>
        <v>0</v>
      </c>
      <c r="AE2201" s="2">
        <v>0.17</v>
      </c>
      <c r="AF2201" s="5">
        <f t="shared" si="329"/>
        <v>0</v>
      </c>
      <c r="AG2201" s="2">
        <v>0</v>
      </c>
      <c r="AH2201" s="5">
        <f t="shared" si="323"/>
        <v>0</v>
      </c>
      <c r="AJ2201" s="126" t="e">
        <v>#N/A</v>
      </c>
      <c r="AK2201" s="80">
        <f t="shared" si="330"/>
        <v>0</v>
      </c>
      <c r="AM2201" s="85"/>
    </row>
    <row r="2202" spans="1:39" hidden="1" x14ac:dyDescent="0.3">
      <c r="A2202" s="85" t="s">
        <v>34</v>
      </c>
      <c r="B2202" s="15" t="s">
        <v>35</v>
      </c>
      <c r="C2202" s="15" t="s">
        <v>47</v>
      </c>
      <c r="D2202" s="15" t="s">
        <v>63</v>
      </c>
      <c r="E2202" s="15" t="s">
        <v>127</v>
      </c>
      <c r="F2202" s="15" t="s">
        <v>2833</v>
      </c>
      <c r="G2202" s="15" t="s">
        <v>1845</v>
      </c>
      <c r="H2202" s="154"/>
      <c r="I2202" s="3" t="s">
        <v>78</v>
      </c>
      <c r="J2202" s="1" t="s">
        <v>3303</v>
      </c>
      <c r="K2202" s="1" t="s">
        <v>3276</v>
      </c>
      <c r="L2202" s="1" t="s">
        <v>701</v>
      </c>
      <c r="M2202" s="15" t="s">
        <v>127</v>
      </c>
      <c r="N2202" s="15"/>
      <c r="O2202" s="8" t="s">
        <v>410</v>
      </c>
      <c r="P2202" s="8" t="s">
        <v>41</v>
      </c>
      <c r="Q2202" s="9">
        <v>0</v>
      </c>
      <c r="R2202" s="139">
        <v>7545</v>
      </c>
      <c r="T2202" s="18">
        <v>45466.38</v>
      </c>
      <c r="U2202" s="4">
        <v>0</v>
      </c>
      <c r="V2202" s="4">
        <v>13642.480000000001</v>
      </c>
      <c r="W2202" s="13">
        <f t="shared" si="325"/>
        <v>31823.899999999994</v>
      </c>
      <c r="X2202" s="13">
        <f t="shared" si="324"/>
        <v>13642.480000000001</v>
      </c>
      <c r="Y2202" s="13">
        <f t="shared" si="326"/>
        <v>0</v>
      </c>
      <c r="Z2202" s="2">
        <v>0</v>
      </c>
      <c r="AA2202" s="4">
        <v>0</v>
      </c>
      <c r="AB2202" s="4">
        <f t="shared" si="327"/>
        <v>13642.480000000001</v>
      </c>
      <c r="AC2202" s="6">
        <f t="shared" si="328"/>
        <v>0</v>
      </c>
      <c r="AD2202" s="13">
        <f t="shared" si="322"/>
        <v>13642.480000000001</v>
      </c>
      <c r="AE2202" s="2">
        <v>0.17</v>
      </c>
      <c r="AF2202" s="5">
        <f t="shared" si="329"/>
        <v>2319.2216000000003</v>
      </c>
      <c r="AG2202" s="2">
        <v>0</v>
      </c>
      <c r="AH2202" s="5">
        <f t="shared" si="323"/>
        <v>13642.480000000001</v>
      </c>
      <c r="AJ2202" s="126" t="e">
        <v>#N/A</v>
      </c>
      <c r="AK2202" s="80">
        <f t="shared" si="330"/>
        <v>0</v>
      </c>
      <c r="AM2202" s="85"/>
    </row>
    <row r="2203" spans="1:39" hidden="1" x14ac:dyDescent="0.3">
      <c r="A2203" s="85" t="s">
        <v>34</v>
      </c>
      <c r="B2203" s="15" t="s">
        <v>35</v>
      </c>
      <c r="C2203" s="15" t="s">
        <v>164</v>
      </c>
      <c r="D2203" s="15" t="s">
        <v>169</v>
      </c>
      <c r="E2203" s="15" t="s">
        <v>172</v>
      </c>
      <c r="F2203" s="15" t="s">
        <v>2715</v>
      </c>
      <c r="G2203" s="15" t="s">
        <v>1845</v>
      </c>
      <c r="H2203" s="154"/>
      <c r="I2203" s="3" t="s">
        <v>78</v>
      </c>
      <c r="J2203" s="1" t="s">
        <v>3303</v>
      </c>
      <c r="K2203" s="1" t="s">
        <v>3276</v>
      </c>
      <c r="L2203" s="1" t="s">
        <v>701</v>
      </c>
      <c r="M2203" s="15" t="s">
        <v>2716</v>
      </c>
      <c r="N2203" s="15"/>
      <c r="O2203" s="8" t="s">
        <v>410</v>
      </c>
      <c r="P2203" s="8" t="s">
        <v>46</v>
      </c>
      <c r="Q2203" s="9">
        <v>0.02</v>
      </c>
      <c r="R2203" s="139">
        <v>7283</v>
      </c>
      <c r="T2203" s="18">
        <v>10898.99000000002</v>
      </c>
      <c r="U2203" s="4">
        <v>0</v>
      </c>
      <c r="V2203" s="18">
        <v>10898.99000000002</v>
      </c>
      <c r="W2203" s="13">
        <f t="shared" si="325"/>
        <v>0</v>
      </c>
      <c r="X2203" s="13">
        <f t="shared" si="324"/>
        <v>10685.284313725509</v>
      </c>
      <c r="Y2203" s="13">
        <f t="shared" si="326"/>
        <v>0</v>
      </c>
      <c r="Z2203" s="2">
        <v>0</v>
      </c>
      <c r="AA2203" s="4">
        <v>0</v>
      </c>
      <c r="AB2203" s="4">
        <f t="shared" si="327"/>
        <v>10685.284313725509</v>
      </c>
      <c r="AC2203" s="6">
        <f t="shared" si="328"/>
        <v>213.7056862745103</v>
      </c>
      <c r="AD2203" s="13">
        <f t="shared" si="322"/>
        <v>10898.99000000002</v>
      </c>
      <c r="AE2203" s="2">
        <v>0.17</v>
      </c>
      <c r="AF2203" s="5">
        <f t="shared" si="329"/>
        <v>1852.8283000000035</v>
      </c>
      <c r="AG2203" s="2">
        <v>0</v>
      </c>
      <c r="AH2203" s="5">
        <f t="shared" si="323"/>
        <v>10898.99000000002</v>
      </c>
      <c r="AJ2203" s="126" t="e">
        <v>#N/A</v>
      </c>
      <c r="AK2203" s="80">
        <f t="shared" si="330"/>
        <v>0</v>
      </c>
      <c r="AM2203" s="85"/>
    </row>
    <row r="2204" spans="1:39" hidden="1" x14ac:dyDescent="0.3">
      <c r="A2204" s="85" t="s">
        <v>34</v>
      </c>
      <c r="B2204" s="15" t="s">
        <v>35</v>
      </c>
      <c r="C2204" s="15" t="s">
        <v>164</v>
      </c>
      <c r="D2204" s="15" t="s">
        <v>169</v>
      </c>
      <c r="E2204" s="15" t="s">
        <v>2695</v>
      </c>
      <c r="F2204" s="15" t="s">
        <v>2717</v>
      </c>
      <c r="G2204" s="15" t="s">
        <v>1845</v>
      </c>
      <c r="H2204" s="154"/>
      <c r="I2204" s="3" t="s">
        <v>78</v>
      </c>
      <c r="J2204" s="1" t="s">
        <v>3303</v>
      </c>
      <c r="K2204" s="1" t="s">
        <v>3276</v>
      </c>
      <c r="L2204" s="1" t="s">
        <v>701</v>
      </c>
      <c r="M2204" s="15" t="s">
        <v>2718</v>
      </c>
      <c r="N2204" s="15"/>
      <c r="O2204" s="8" t="s">
        <v>410</v>
      </c>
      <c r="P2204" s="8" t="s">
        <v>46</v>
      </c>
      <c r="Q2204" s="9">
        <v>0.03</v>
      </c>
      <c r="R2204" s="139">
        <v>7095</v>
      </c>
      <c r="T2204" s="18">
        <v>103711.80000000005</v>
      </c>
      <c r="U2204" s="4">
        <v>0</v>
      </c>
      <c r="V2204" s="18">
        <v>103711.80000000005</v>
      </c>
      <c r="W2204" s="13">
        <f t="shared" si="325"/>
        <v>0</v>
      </c>
      <c r="X2204" s="13">
        <f t="shared" si="324"/>
        <v>100691.06796116508</v>
      </c>
      <c r="Y2204" s="13">
        <f t="shared" si="326"/>
        <v>0</v>
      </c>
      <c r="Z2204" s="2">
        <v>0</v>
      </c>
      <c r="AA2204" s="4">
        <v>0</v>
      </c>
      <c r="AB2204" s="4">
        <f t="shared" si="327"/>
        <v>100691.06796116508</v>
      </c>
      <c r="AC2204" s="6">
        <f t="shared" si="328"/>
        <v>3020.7320388349617</v>
      </c>
      <c r="AD2204" s="13">
        <f t="shared" si="322"/>
        <v>103711.80000000005</v>
      </c>
      <c r="AE2204" s="2">
        <v>0.17</v>
      </c>
      <c r="AF2204" s="5">
        <f t="shared" si="329"/>
        <v>17631.006000000008</v>
      </c>
      <c r="AG2204" s="2">
        <v>0</v>
      </c>
      <c r="AH2204" s="5">
        <f t="shared" si="323"/>
        <v>103711.80000000005</v>
      </c>
      <c r="AJ2204" s="126" t="e">
        <v>#N/A</v>
      </c>
      <c r="AK2204" s="80">
        <f t="shared" si="330"/>
        <v>0</v>
      </c>
      <c r="AM2204" s="85"/>
    </row>
    <row r="2205" spans="1:39" hidden="1" x14ac:dyDescent="0.3">
      <c r="A2205" s="85" t="s">
        <v>34</v>
      </c>
      <c r="B2205" s="15" t="s">
        <v>35</v>
      </c>
      <c r="C2205" s="15" t="s">
        <v>164</v>
      </c>
      <c r="D2205" s="15" t="s">
        <v>169</v>
      </c>
      <c r="E2205" s="15" t="s">
        <v>2695</v>
      </c>
      <c r="F2205" s="15" t="s">
        <v>2717</v>
      </c>
      <c r="G2205" s="15" t="s">
        <v>1845</v>
      </c>
      <c r="H2205" s="154"/>
      <c r="I2205" s="3" t="s">
        <v>78</v>
      </c>
      <c r="J2205" s="1" t="s">
        <v>3303</v>
      </c>
      <c r="K2205" s="1" t="s">
        <v>3276</v>
      </c>
      <c r="L2205" s="1" t="s">
        <v>701</v>
      </c>
      <c r="M2205" s="15" t="s">
        <v>2719</v>
      </c>
      <c r="N2205" s="15"/>
      <c r="O2205" s="8" t="s">
        <v>410</v>
      </c>
      <c r="P2205" s="8" t="s">
        <v>46</v>
      </c>
      <c r="Q2205" s="9">
        <v>0.03</v>
      </c>
      <c r="R2205" s="139">
        <v>7103</v>
      </c>
      <c r="T2205" s="18">
        <v>239542.80000000005</v>
      </c>
      <c r="U2205" s="4">
        <v>0</v>
      </c>
      <c r="V2205" s="18">
        <v>239542.80000000005</v>
      </c>
      <c r="W2205" s="13">
        <f t="shared" si="325"/>
        <v>0</v>
      </c>
      <c r="X2205" s="13">
        <f t="shared" si="324"/>
        <v>232565.82524271848</v>
      </c>
      <c r="Y2205" s="13">
        <f t="shared" si="326"/>
        <v>0</v>
      </c>
      <c r="Z2205" s="2">
        <v>0</v>
      </c>
      <c r="AA2205" s="4">
        <v>0</v>
      </c>
      <c r="AB2205" s="4">
        <f t="shared" si="327"/>
        <v>232565.82524271848</v>
      </c>
      <c r="AC2205" s="6">
        <f t="shared" si="328"/>
        <v>6976.9747572815686</v>
      </c>
      <c r="AD2205" s="13">
        <f t="shared" si="322"/>
        <v>239542.80000000005</v>
      </c>
      <c r="AE2205" s="2">
        <v>0.17</v>
      </c>
      <c r="AF2205" s="5">
        <f t="shared" si="329"/>
        <v>40722.276000000013</v>
      </c>
      <c r="AG2205" s="2">
        <v>0</v>
      </c>
      <c r="AH2205" s="5">
        <f t="shared" si="323"/>
        <v>239542.80000000005</v>
      </c>
      <c r="AJ2205" s="126" t="e">
        <v>#N/A</v>
      </c>
      <c r="AK2205" s="80">
        <f t="shared" si="330"/>
        <v>0</v>
      </c>
      <c r="AM2205" s="85"/>
    </row>
    <row r="2206" spans="1:39" hidden="1" x14ac:dyDescent="0.3">
      <c r="A2206" s="85" t="s">
        <v>34</v>
      </c>
      <c r="B2206" s="15" t="s">
        <v>35</v>
      </c>
      <c r="C2206" s="15" t="s">
        <v>164</v>
      </c>
      <c r="D2206" s="15" t="s">
        <v>174</v>
      </c>
      <c r="E2206" s="15" t="s">
        <v>1966</v>
      </c>
      <c r="F2206" s="15" t="s">
        <v>2834</v>
      </c>
      <c r="G2206" s="15" t="s">
        <v>1845</v>
      </c>
      <c r="H2206" s="139"/>
      <c r="I2206" s="3" t="s">
        <v>78</v>
      </c>
      <c r="J2206" s="1" t="s">
        <v>3303</v>
      </c>
      <c r="K2206" s="1" t="s">
        <v>3276</v>
      </c>
      <c r="L2206" s="1" t="s">
        <v>701</v>
      </c>
      <c r="M2206" s="15" t="s">
        <v>2835</v>
      </c>
      <c r="N2206" s="15"/>
      <c r="O2206" s="8" t="s">
        <v>410</v>
      </c>
      <c r="P2206" s="8" t="s">
        <v>41</v>
      </c>
      <c r="Q2206" s="9">
        <v>0</v>
      </c>
      <c r="R2206" s="139">
        <v>7115</v>
      </c>
      <c r="T2206" s="18">
        <v>35663.439999999995</v>
      </c>
      <c r="U2206" s="4">
        <v>0</v>
      </c>
      <c r="V2206" s="4">
        <v>0</v>
      </c>
      <c r="W2206" s="13">
        <f t="shared" si="325"/>
        <v>35663.439999999995</v>
      </c>
      <c r="X2206" s="13">
        <f t="shared" si="324"/>
        <v>0</v>
      </c>
      <c r="Y2206" s="13">
        <f t="shared" si="326"/>
        <v>0</v>
      </c>
      <c r="Z2206" s="2">
        <v>0</v>
      </c>
      <c r="AA2206" s="4">
        <v>0</v>
      </c>
      <c r="AB2206" s="4">
        <f t="shared" si="327"/>
        <v>0</v>
      </c>
      <c r="AC2206" s="6">
        <f t="shared" si="328"/>
        <v>0</v>
      </c>
      <c r="AD2206" s="13">
        <f t="shared" ref="AD2206:AD2269" si="331">V2206</f>
        <v>0</v>
      </c>
      <c r="AE2206" s="2">
        <v>0.17</v>
      </c>
      <c r="AF2206" s="5">
        <f t="shared" si="329"/>
        <v>0</v>
      </c>
      <c r="AG2206" s="2">
        <v>0</v>
      </c>
      <c r="AH2206" s="5">
        <f t="shared" ref="AH2206:AH2269" si="332">V2206</f>
        <v>0</v>
      </c>
      <c r="AJ2206" s="126" t="e">
        <v>#N/A</v>
      </c>
      <c r="AK2206" s="80">
        <f t="shared" si="330"/>
        <v>0</v>
      </c>
      <c r="AM2206" s="85"/>
    </row>
    <row r="2207" spans="1:39" hidden="1" x14ac:dyDescent="0.3">
      <c r="A2207" s="85" t="s">
        <v>34</v>
      </c>
      <c r="B2207" s="15" t="s">
        <v>701</v>
      </c>
      <c r="C2207" s="15" t="s">
        <v>59</v>
      </c>
      <c r="D2207" s="15" t="s">
        <v>60</v>
      </c>
      <c r="E2207" s="15" t="s">
        <v>2836</v>
      </c>
      <c r="F2207" s="15" t="s">
        <v>2836</v>
      </c>
      <c r="G2207" s="15" t="s">
        <v>2836</v>
      </c>
      <c r="H2207" s="154"/>
      <c r="I2207" s="3" t="s">
        <v>78</v>
      </c>
      <c r="J2207" s="1" t="s">
        <v>3303</v>
      </c>
      <c r="K2207" s="1" t="s">
        <v>3276</v>
      </c>
      <c r="L2207" s="1" t="s">
        <v>701</v>
      </c>
      <c r="M2207" s="15" t="s">
        <v>2837</v>
      </c>
      <c r="N2207" s="15"/>
      <c r="O2207" s="8" t="s">
        <v>410</v>
      </c>
      <c r="P2207" s="8" t="s">
        <v>46</v>
      </c>
      <c r="Q2207" s="9">
        <v>7.0000000000000007E-2</v>
      </c>
      <c r="R2207" s="139">
        <v>7481</v>
      </c>
      <c r="T2207" s="18">
        <v>795372.89999999991</v>
      </c>
      <c r="U2207" s="4">
        <v>0</v>
      </c>
      <c r="V2207" s="4">
        <v>736055.4</v>
      </c>
      <c r="W2207" s="13">
        <f t="shared" si="325"/>
        <v>59317.499999999884</v>
      </c>
      <c r="X2207" s="13">
        <f t="shared" si="324"/>
        <v>687902.24299065419</v>
      </c>
      <c r="Y2207" s="13">
        <f t="shared" si="326"/>
        <v>0</v>
      </c>
      <c r="Z2207" s="2">
        <v>0</v>
      </c>
      <c r="AA2207" s="4">
        <v>0</v>
      </c>
      <c r="AB2207" s="4">
        <f t="shared" si="327"/>
        <v>687902.24299065419</v>
      </c>
      <c r="AC2207" s="6">
        <f t="shared" si="328"/>
        <v>48153.157009345829</v>
      </c>
      <c r="AD2207" s="13">
        <f t="shared" si="331"/>
        <v>736055.4</v>
      </c>
      <c r="AE2207" s="2">
        <v>0.17</v>
      </c>
      <c r="AF2207" s="5">
        <f t="shared" si="329"/>
        <v>125129.41800000002</v>
      </c>
      <c r="AG2207" s="2">
        <v>0</v>
      </c>
      <c r="AH2207" s="5">
        <f t="shared" si="332"/>
        <v>736055.4</v>
      </c>
      <c r="AJ2207" s="126" t="e">
        <v>#N/A</v>
      </c>
      <c r="AK2207" s="80">
        <f t="shared" si="330"/>
        <v>0</v>
      </c>
      <c r="AM2207" s="85"/>
    </row>
    <row r="2208" spans="1:39" hidden="1" x14ac:dyDescent="0.3">
      <c r="A2208" s="85" t="s">
        <v>34</v>
      </c>
      <c r="B2208" s="15" t="s">
        <v>701</v>
      </c>
      <c r="C2208" s="15" t="s">
        <v>59</v>
      </c>
      <c r="D2208" s="15" t="s">
        <v>60</v>
      </c>
      <c r="E2208" s="15" t="s">
        <v>2722</v>
      </c>
      <c r="F2208" s="15" t="s">
        <v>2722</v>
      </c>
      <c r="G2208" s="15" t="s">
        <v>2722</v>
      </c>
      <c r="H2208" s="154"/>
      <c r="I2208" s="3" t="s">
        <v>78</v>
      </c>
      <c r="J2208" s="1" t="s">
        <v>3303</v>
      </c>
      <c r="K2208" s="1" t="s">
        <v>3276</v>
      </c>
      <c r="L2208" s="1" t="s">
        <v>701</v>
      </c>
      <c r="M2208" s="15" t="s">
        <v>2838</v>
      </c>
      <c r="N2208" s="15"/>
      <c r="O2208" s="8" t="s">
        <v>410</v>
      </c>
      <c r="P2208" s="8" t="s">
        <v>92</v>
      </c>
      <c r="Q2208" s="9">
        <v>0.9</v>
      </c>
      <c r="R2208" s="139">
        <v>7185</v>
      </c>
      <c r="T2208" s="18">
        <v>5197.3199999999961</v>
      </c>
      <c r="U2208" s="4">
        <v>0</v>
      </c>
      <c r="V2208" s="4">
        <v>2242.54</v>
      </c>
      <c r="W2208" s="13">
        <f t="shared" si="325"/>
        <v>2954.7799999999961</v>
      </c>
      <c r="X2208" s="13">
        <f t="shared" si="324"/>
        <v>2018.2860000000001</v>
      </c>
      <c r="Y2208" s="13">
        <f t="shared" si="326"/>
        <v>0</v>
      </c>
      <c r="Z2208" s="2">
        <v>0</v>
      </c>
      <c r="AA2208" s="4">
        <v>0</v>
      </c>
      <c r="AB2208" s="4">
        <f t="shared" si="327"/>
        <v>2018.2860000000001</v>
      </c>
      <c r="AC2208" s="6">
        <f t="shared" si="328"/>
        <v>224.25399999999991</v>
      </c>
      <c r="AD2208" s="13">
        <f t="shared" si="331"/>
        <v>2242.54</v>
      </c>
      <c r="AE2208" s="2">
        <v>0.17</v>
      </c>
      <c r="AF2208" s="5">
        <f t="shared" si="329"/>
        <v>381.23180000000002</v>
      </c>
      <c r="AG2208" s="2">
        <v>0</v>
      </c>
      <c r="AH2208" s="5">
        <f t="shared" si="332"/>
        <v>2242.54</v>
      </c>
      <c r="AJ2208" s="126" t="e">
        <v>#N/A</v>
      </c>
      <c r="AK2208" s="80">
        <f t="shared" si="330"/>
        <v>0</v>
      </c>
      <c r="AM2208" s="85"/>
    </row>
    <row r="2209" spans="1:39" hidden="1" x14ac:dyDescent="0.3">
      <c r="A2209" s="85" t="s">
        <v>34</v>
      </c>
      <c r="B2209" s="15" t="s">
        <v>701</v>
      </c>
      <c r="C2209" s="15" t="s">
        <v>36</v>
      </c>
      <c r="D2209" s="15" t="s">
        <v>224</v>
      </c>
      <c r="E2209" s="15" t="s">
        <v>2839</v>
      </c>
      <c r="F2209" s="15" t="s">
        <v>2839</v>
      </c>
      <c r="G2209" s="15" t="s">
        <v>2839</v>
      </c>
      <c r="H2209" s="154"/>
      <c r="I2209" s="3" t="s">
        <v>78</v>
      </c>
      <c r="J2209" s="1" t="s">
        <v>3303</v>
      </c>
      <c r="K2209" s="1" t="s">
        <v>3276</v>
      </c>
      <c r="L2209" s="1" t="s">
        <v>701</v>
      </c>
      <c r="M2209" s="15" t="s">
        <v>2839</v>
      </c>
      <c r="N2209" s="15"/>
      <c r="O2209" s="8" t="s">
        <v>410</v>
      </c>
      <c r="P2209" s="8" t="s">
        <v>41</v>
      </c>
      <c r="Q2209" s="9">
        <v>0</v>
      </c>
      <c r="R2209" s="139">
        <v>7544</v>
      </c>
      <c r="T2209" s="18">
        <v>6216.5499999999993</v>
      </c>
      <c r="U2209" s="4">
        <v>0</v>
      </c>
      <c r="V2209" s="4">
        <v>673.7</v>
      </c>
      <c r="W2209" s="13">
        <f t="shared" si="325"/>
        <v>5542.8499999999995</v>
      </c>
      <c r="X2209" s="13">
        <f t="shared" ref="X2209:X2272" si="333">IF(P2209="折扣",V2209*Q2209,IF(P2209="返现",V2209,V2209/(1+Q2209)))</f>
        <v>673.7</v>
      </c>
      <c r="Y2209" s="13">
        <f t="shared" si="326"/>
        <v>0</v>
      </c>
      <c r="Z2209" s="2">
        <v>0</v>
      </c>
      <c r="AA2209" s="4">
        <v>0</v>
      </c>
      <c r="AB2209" s="4">
        <f t="shared" si="327"/>
        <v>673.7</v>
      </c>
      <c r="AC2209" s="6">
        <f t="shared" si="328"/>
        <v>0</v>
      </c>
      <c r="AD2209" s="13">
        <f t="shared" si="331"/>
        <v>673.7</v>
      </c>
      <c r="AE2209" s="2">
        <v>0.17</v>
      </c>
      <c r="AF2209" s="5">
        <f t="shared" si="329"/>
        <v>114.52900000000001</v>
      </c>
      <c r="AG2209" s="2">
        <v>0</v>
      </c>
      <c r="AH2209" s="5">
        <f t="shared" si="332"/>
        <v>673.7</v>
      </c>
      <c r="AJ2209" s="126" t="e">
        <v>#N/A</v>
      </c>
      <c r="AK2209" s="80">
        <f t="shared" si="330"/>
        <v>0</v>
      </c>
      <c r="AM2209" s="85"/>
    </row>
    <row r="2210" spans="1:39" hidden="1" x14ac:dyDescent="0.3">
      <c r="A2210" s="85" t="s">
        <v>34</v>
      </c>
      <c r="B2210" s="15" t="s">
        <v>701</v>
      </c>
      <c r="C2210" s="15" t="s">
        <v>36</v>
      </c>
      <c r="D2210" s="15" t="s">
        <v>224</v>
      </c>
      <c r="E2210" s="15" t="s">
        <v>2840</v>
      </c>
      <c r="F2210" s="15" t="s">
        <v>2840</v>
      </c>
      <c r="G2210" s="15" t="s">
        <v>2840</v>
      </c>
      <c r="H2210" s="154"/>
      <c r="I2210" s="3" t="s">
        <v>78</v>
      </c>
      <c r="J2210" s="1" t="s">
        <v>3303</v>
      </c>
      <c r="K2210" s="1" t="s">
        <v>3276</v>
      </c>
      <c r="L2210" s="1" t="s">
        <v>701</v>
      </c>
      <c r="M2210" s="15" t="s">
        <v>2841</v>
      </c>
      <c r="N2210" s="15"/>
      <c r="O2210" s="8" t="s">
        <v>410</v>
      </c>
      <c r="P2210" s="8" t="s">
        <v>41</v>
      </c>
      <c r="Q2210" s="9">
        <v>0</v>
      </c>
      <c r="R2210" s="139">
        <v>7444</v>
      </c>
      <c r="T2210" s="18">
        <v>8795.76</v>
      </c>
      <c r="U2210" s="4">
        <v>0</v>
      </c>
      <c r="V2210" s="4">
        <v>3231.41</v>
      </c>
      <c r="W2210" s="13">
        <f t="shared" si="325"/>
        <v>5564.35</v>
      </c>
      <c r="X2210" s="13">
        <f t="shared" si="333"/>
        <v>3231.41</v>
      </c>
      <c r="Y2210" s="13">
        <f t="shared" si="326"/>
        <v>0</v>
      </c>
      <c r="Z2210" s="2">
        <v>0</v>
      </c>
      <c r="AA2210" s="4">
        <v>0</v>
      </c>
      <c r="AB2210" s="4">
        <f t="shared" si="327"/>
        <v>3231.41</v>
      </c>
      <c r="AC2210" s="6">
        <f t="shared" si="328"/>
        <v>0</v>
      </c>
      <c r="AD2210" s="13">
        <f t="shared" si="331"/>
        <v>3231.41</v>
      </c>
      <c r="AE2210" s="2">
        <v>0.17</v>
      </c>
      <c r="AF2210" s="5">
        <f t="shared" si="329"/>
        <v>549.33969999999999</v>
      </c>
      <c r="AG2210" s="2">
        <v>0</v>
      </c>
      <c r="AH2210" s="5">
        <f t="shared" si="332"/>
        <v>3231.41</v>
      </c>
      <c r="AJ2210" s="126" t="e">
        <v>#N/A</v>
      </c>
      <c r="AK2210" s="80">
        <f t="shared" si="330"/>
        <v>0</v>
      </c>
      <c r="AM2210" s="85"/>
    </row>
    <row r="2211" spans="1:39" hidden="1" x14ac:dyDescent="0.3">
      <c r="A2211" s="85" t="s">
        <v>34</v>
      </c>
      <c r="B2211" s="15" t="s">
        <v>701</v>
      </c>
      <c r="C2211" s="15" t="s">
        <v>36</v>
      </c>
      <c r="D2211" s="15" t="s">
        <v>54</v>
      </c>
      <c r="E2211" s="15" t="s">
        <v>2842</v>
      </c>
      <c r="F2211" s="15" t="s">
        <v>2842</v>
      </c>
      <c r="G2211" s="15" t="s">
        <v>2842</v>
      </c>
      <c r="H2211" s="154"/>
      <c r="I2211" s="3" t="s">
        <v>78</v>
      </c>
      <c r="J2211" s="1" t="s">
        <v>3303</v>
      </c>
      <c r="K2211" s="1" t="s">
        <v>3276</v>
      </c>
      <c r="L2211" s="1" t="s">
        <v>701</v>
      </c>
      <c r="M2211" s="15" t="s">
        <v>2842</v>
      </c>
      <c r="N2211" s="15"/>
      <c r="O2211" s="8" t="s">
        <v>410</v>
      </c>
      <c r="P2211" s="8" t="s">
        <v>46</v>
      </c>
      <c r="Q2211" s="9">
        <v>0.02</v>
      </c>
      <c r="R2211" s="139">
        <v>7163</v>
      </c>
      <c r="T2211" s="18">
        <v>76121.400000000023</v>
      </c>
      <c r="U2211" s="4">
        <v>0</v>
      </c>
      <c r="V2211" s="4">
        <v>30990.799999999999</v>
      </c>
      <c r="W2211" s="13">
        <f t="shared" si="325"/>
        <v>45130.60000000002</v>
      </c>
      <c r="X2211" s="13">
        <f t="shared" si="333"/>
        <v>30383.137254901958</v>
      </c>
      <c r="Y2211" s="13">
        <f t="shared" si="326"/>
        <v>0</v>
      </c>
      <c r="Z2211" s="2">
        <v>0</v>
      </c>
      <c r="AA2211" s="4">
        <v>0</v>
      </c>
      <c r="AB2211" s="4">
        <f t="shared" si="327"/>
        <v>30383.137254901958</v>
      </c>
      <c r="AC2211" s="6">
        <f t="shared" si="328"/>
        <v>607.66274509804134</v>
      </c>
      <c r="AD2211" s="13">
        <f t="shared" si="331"/>
        <v>30990.799999999999</v>
      </c>
      <c r="AE2211" s="2">
        <v>0.17</v>
      </c>
      <c r="AF2211" s="5">
        <f t="shared" si="329"/>
        <v>5268.4360000000006</v>
      </c>
      <c r="AG2211" s="2">
        <v>0</v>
      </c>
      <c r="AH2211" s="5">
        <f t="shared" si="332"/>
        <v>30990.799999999999</v>
      </c>
      <c r="AJ2211" s="126" t="e">
        <v>#N/A</v>
      </c>
      <c r="AK2211" s="80">
        <f t="shared" si="330"/>
        <v>0</v>
      </c>
      <c r="AM2211" s="85"/>
    </row>
    <row r="2212" spans="1:39" hidden="1" x14ac:dyDescent="0.3">
      <c r="A2212" s="85" t="s">
        <v>34</v>
      </c>
      <c r="B2212" s="15" t="s">
        <v>701</v>
      </c>
      <c r="C2212" s="15" t="s">
        <v>36</v>
      </c>
      <c r="D2212" s="15" t="s">
        <v>54</v>
      </c>
      <c r="E2212" s="15" t="s">
        <v>2843</v>
      </c>
      <c r="F2212" s="15" t="s">
        <v>2843</v>
      </c>
      <c r="G2212" s="15" t="s">
        <v>2843</v>
      </c>
      <c r="H2212" s="154"/>
      <c r="I2212" s="3" t="s">
        <v>78</v>
      </c>
      <c r="J2212" s="1" t="s">
        <v>3303</v>
      </c>
      <c r="K2212" s="1" t="s">
        <v>3276</v>
      </c>
      <c r="L2212" s="1" t="s">
        <v>701</v>
      </c>
      <c r="M2212" s="15" t="s">
        <v>2844</v>
      </c>
      <c r="N2212" s="15"/>
      <c r="O2212" s="8" t="s">
        <v>410</v>
      </c>
      <c r="P2212" s="8" t="s">
        <v>41</v>
      </c>
      <c r="Q2212" s="9">
        <v>0</v>
      </c>
      <c r="R2212" s="139">
        <v>7126</v>
      </c>
      <c r="T2212" s="18">
        <v>19993.379999999986</v>
      </c>
      <c r="U2212" s="4">
        <v>0</v>
      </c>
      <c r="V2212" s="4">
        <v>19993.3799</v>
      </c>
      <c r="W2212" s="13">
        <f t="shared" si="325"/>
        <v>9.9999986559851095E-5</v>
      </c>
      <c r="X2212" s="13">
        <f t="shared" si="333"/>
        <v>19993.3799</v>
      </c>
      <c r="Y2212" s="13">
        <f t="shared" si="326"/>
        <v>0</v>
      </c>
      <c r="Z2212" s="2">
        <v>0</v>
      </c>
      <c r="AA2212" s="4">
        <v>0</v>
      </c>
      <c r="AB2212" s="4">
        <f t="shared" si="327"/>
        <v>19993.3799</v>
      </c>
      <c r="AC2212" s="6">
        <f t="shared" si="328"/>
        <v>0</v>
      </c>
      <c r="AD2212" s="13">
        <f t="shared" si="331"/>
        <v>19993.3799</v>
      </c>
      <c r="AE2212" s="2">
        <v>0.17</v>
      </c>
      <c r="AF2212" s="5">
        <f t="shared" si="329"/>
        <v>3398.8745830000003</v>
      </c>
      <c r="AG2212" s="2">
        <v>0</v>
      </c>
      <c r="AH2212" s="5">
        <f t="shared" si="332"/>
        <v>19993.3799</v>
      </c>
      <c r="AJ2212" s="126" t="e">
        <v>#N/A</v>
      </c>
      <c r="AK2212" s="80">
        <f t="shared" si="330"/>
        <v>0</v>
      </c>
      <c r="AM2212" s="85"/>
    </row>
    <row r="2213" spans="1:39" hidden="1" x14ac:dyDescent="0.3">
      <c r="A2213" s="85" t="s">
        <v>34</v>
      </c>
      <c r="B2213" s="15" t="s">
        <v>701</v>
      </c>
      <c r="C2213" s="15" t="s">
        <v>36</v>
      </c>
      <c r="D2213" s="15" t="s">
        <v>54</v>
      </c>
      <c r="E2213" s="15" t="s">
        <v>2843</v>
      </c>
      <c r="F2213" s="15" t="s">
        <v>2843</v>
      </c>
      <c r="G2213" s="15" t="s">
        <v>2843</v>
      </c>
      <c r="H2213" s="154"/>
      <c r="I2213" s="3" t="s">
        <v>78</v>
      </c>
      <c r="J2213" s="1" t="s">
        <v>3303</v>
      </c>
      <c r="K2213" s="1" t="s">
        <v>3276</v>
      </c>
      <c r="L2213" s="1" t="s">
        <v>701</v>
      </c>
      <c r="M2213" s="15" t="s">
        <v>2845</v>
      </c>
      <c r="N2213" s="15"/>
      <c r="O2213" s="8" t="s">
        <v>410</v>
      </c>
      <c r="P2213" s="8" t="s">
        <v>41</v>
      </c>
      <c r="Q2213" s="9">
        <v>0</v>
      </c>
      <c r="R2213" s="139">
        <v>7244</v>
      </c>
      <c r="T2213" s="18">
        <v>22640.99</v>
      </c>
      <c r="U2213" s="4">
        <v>0</v>
      </c>
      <c r="V2213" s="4">
        <v>20840.9899</v>
      </c>
      <c r="W2213" s="13">
        <f t="shared" si="325"/>
        <v>1800.0001000000011</v>
      </c>
      <c r="X2213" s="13">
        <f t="shared" si="333"/>
        <v>20840.9899</v>
      </c>
      <c r="Y2213" s="13">
        <f t="shared" si="326"/>
        <v>0</v>
      </c>
      <c r="Z2213" s="2">
        <v>0</v>
      </c>
      <c r="AA2213" s="4">
        <v>0</v>
      </c>
      <c r="AB2213" s="4">
        <f t="shared" si="327"/>
        <v>20840.9899</v>
      </c>
      <c r="AC2213" s="6">
        <f t="shared" si="328"/>
        <v>0</v>
      </c>
      <c r="AD2213" s="13">
        <f t="shared" si="331"/>
        <v>20840.9899</v>
      </c>
      <c r="AE2213" s="2">
        <v>0.17</v>
      </c>
      <c r="AF2213" s="5">
        <f t="shared" si="329"/>
        <v>3542.9682830000002</v>
      </c>
      <c r="AG2213" s="2">
        <v>0</v>
      </c>
      <c r="AH2213" s="5">
        <f t="shared" si="332"/>
        <v>20840.9899</v>
      </c>
      <c r="AJ2213" s="126" t="e">
        <v>#N/A</v>
      </c>
      <c r="AK2213" s="80">
        <f t="shared" si="330"/>
        <v>0</v>
      </c>
      <c r="AM2213" s="85"/>
    </row>
    <row r="2214" spans="1:39" hidden="1" x14ac:dyDescent="0.3">
      <c r="A2214" s="85" t="s">
        <v>34</v>
      </c>
      <c r="B2214" s="15" t="s">
        <v>701</v>
      </c>
      <c r="C2214" s="15" t="s">
        <v>36</v>
      </c>
      <c r="D2214" s="15" t="s">
        <v>54</v>
      </c>
      <c r="E2214" s="15" t="s">
        <v>2846</v>
      </c>
      <c r="F2214" s="15" t="s">
        <v>2846</v>
      </c>
      <c r="G2214" s="15" t="s">
        <v>2846</v>
      </c>
      <c r="H2214" s="154"/>
      <c r="I2214" s="3" t="s">
        <v>78</v>
      </c>
      <c r="J2214" s="1" t="s">
        <v>3303</v>
      </c>
      <c r="K2214" s="1" t="s">
        <v>3276</v>
      </c>
      <c r="L2214" s="1" t="s">
        <v>701</v>
      </c>
      <c r="M2214" s="15" t="s">
        <v>2846</v>
      </c>
      <c r="N2214" s="15"/>
      <c r="O2214" s="8" t="s">
        <v>410</v>
      </c>
      <c r="P2214" s="8" t="s">
        <v>41</v>
      </c>
      <c r="Q2214" s="9">
        <v>0</v>
      </c>
      <c r="R2214" s="139">
        <v>7119</v>
      </c>
      <c r="T2214" s="18">
        <v>43311.200000000004</v>
      </c>
      <c r="U2214" s="4">
        <v>0</v>
      </c>
      <c r="V2214" s="4">
        <v>29414.600000000002</v>
      </c>
      <c r="W2214" s="13">
        <f t="shared" si="325"/>
        <v>13896.600000000002</v>
      </c>
      <c r="X2214" s="13">
        <f t="shared" si="333"/>
        <v>29414.600000000002</v>
      </c>
      <c r="Y2214" s="13">
        <f t="shared" si="326"/>
        <v>0</v>
      </c>
      <c r="Z2214" s="2">
        <v>0</v>
      </c>
      <c r="AA2214" s="4">
        <v>0</v>
      </c>
      <c r="AB2214" s="4">
        <f t="shared" si="327"/>
        <v>29414.600000000002</v>
      </c>
      <c r="AC2214" s="6">
        <f t="shared" si="328"/>
        <v>0</v>
      </c>
      <c r="AD2214" s="13">
        <f t="shared" si="331"/>
        <v>29414.600000000002</v>
      </c>
      <c r="AE2214" s="2">
        <v>0.17</v>
      </c>
      <c r="AF2214" s="5">
        <f t="shared" si="329"/>
        <v>5000.4820000000009</v>
      </c>
      <c r="AG2214" s="2">
        <v>0</v>
      </c>
      <c r="AH2214" s="5">
        <f t="shared" si="332"/>
        <v>29414.600000000002</v>
      </c>
      <c r="AJ2214" s="126" t="e">
        <v>#N/A</v>
      </c>
      <c r="AK2214" s="80">
        <f t="shared" si="330"/>
        <v>0</v>
      </c>
      <c r="AM2214" s="85"/>
    </row>
    <row r="2215" spans="1:39" hidden="1" x14ac:dyDescent="0.3">
      <c r="A2215" s="85" t="s">
        <v>34</v>
      </c>
      <c r="B2215" s="15" t="s">
        <v>701</v>
      </c>
      <c r="C2215" s="15" t="s">
        <v>36</v>
      </c>
      <c r="D2215" s="15" t="s">
        <v>54</v>
      </c>
      <c r="E2215" s="15" t="s">
        <v>2846</v>
      </c>
      <c r="F2215" s="15" t="s">
        <v>2846</v>
      </c>
      <c r="G2215" s="15" t="s">
        <v>2846</v>
      </c>
      <c r="H2215" s="154"/>
      <c r="I2215" s="3" t="s">
        <v>78</v>
      </c>
      <c r="J2215" s="1" t="s">
        <v>3303</v>
      </c>
      <c r="K2215" s="1" t="s">
        <v>3276</v>
      </c>
      <c r="L2215" s="1" t="s">
        <v>701</v>
      </c>
      <c r="M2215" s="15" t="s">
        <v>2847</v>
      </c>
      <c r="N2215" s="15"/>
      <c r="O2215" s="8" t="s">
        <v>410</v>
      </c>
      <c r="P2215" s="8" t="s">
        <v>41</v>
      </c>
      <c r="Q2215" s="9">
        <v>0</v>
      </c>
      <c r="R2215" s="139">
        <v>7166</v>
      </c>
      <c r="T2215" s="18">
        <v>42083</v>
      </c>
      <c r="U2215" s="4">
        <v>0</v>
      </c>
      <c r="V2215" s="4">
        <v>26308.6</v>
      </c>
      <c r="W2215" s="13">
        <f t="shared" si="325"/>
        <v>15774.400000000001</v>
      </c>
      <c r="X2215" s="13">
        <f t="shared" si="333"/>
        <v>26308.6</v>
      </c>
      <c r="Y2215" s="13">
        <f t="shared" si="326"/>
        <v>0</v>
      </c>
      <c r="Z2215" s="2">
        <v>0</v>
      </c>
      <c r="AA2215" s="4">
        <v>0</v>
      </c>
      <c r="AB2215" s="4">
        <f t="shared" si="327"/>
        <v>26308.6</v>
      </c>
      <c r="AC2215" s="6">
        <f t="shared" si="328"/>
        <v>0</v>
      </c>
      <c r="AD2215" s="13">
        <f t="shared" si="331"/>
        <v>26308.6</v>
      </c>
      <c r="AE2215" s="2">
        <v>0.17</v>
      </c>
      <c r="AF2215" s="5">
        <f t="shared" si="329"/>
        <v>4472.4620000000004</v>
      </c>
      <c r="AG2215" s="2">
        <v>0</v>
      </c>
      <c r="AH2215" s="5">
        <f t="shared" si="332"/>
        <v>26308.6</v>
      </c>
      <c r="AJ2215" s="126" t="e">
        <v>#N/A</v>
      </c>
      <c r="AK2215" s="80">
        <f t="shared" si="330"/>
        <v>0</v>
      </c>
      <c r="AM2215" s="85"/>
    </row>
    <row r="2216" spans="1:39" hidden="1" x14ac:dyDescent="0.3">
      <c r="A2216" s="85" t="s">
        <v>34</v>
      </c>
      <c r="B2216" s="15" t="s">
        <v>701</v>
      </c>
      <c r="C2216" s="15" t="s">
        <v>36</v>
      </c>
      <c r="D2216" s="15" t="s">
        <v>37</v>
      </c>
      <c r="E2216" s="15" t="s">
        <v>2848</v>
      </c>
      <c r="F2216" s="15" t="s">
        <v>2848</v>
      </c>
      <c r="G2216" s="15" t="s">
        <v>2848</v>
      </c>
      <c r="H2216" s="154"/>
      <c r="I2216" s="3" t="s">
        <v>78</v>
      </c>
      <c r="J2216" s="1" t="s">
        <v>3303</v>
      </c>
      <c r="K2216" s="1" t="s">
        <v>3276</v>
      </c>
      <c r="L2216" s="1" t="s">
        <v>701</v>
      </c>
      <c r="M2216" s="15" t="s">
        <v>2848</v>
      </c>
      <c r="N2216" s="15"/>
      <c r="O2216" s="8" t="s">
        <v>410</v>
      </c>
      <c r="P2216" s="8" t="s">
        <v>41</v>
      </c>
      <c r="Q2216" s="9">
        <v>0</v>
      </c>
      <c r="R2216" s="139">
        <v>7197</v>
      </c>
      <c r="T2216" s="18">
        <v>101005.49</v>
      </c>
      <c r="U2216" s="4">
        <v>0</v>
      </c>
      <c r="V2216" s="4">
        <v>20921.77</v>
      </c>
      <c r="W2216" s="13">
        <f t="shared" si="325"/>
        <v>80083.72</v>
      </c>
      <c r="X2216" s="13">
        <f t="shared" si="333"/>
        <v>20921.77</v>
      </c>
      <c r="Y2216" s="13">
        <f t="shared" si="326"/>
        <v>0</v>
      </c>
      <c r="Z2216" s="2">
        <v>0</v>
      </c>
      <c r="AA2216" s="4">
        <v>0</v>
      </c>
      <c r="AB2216" s="4">
        <f t="shared" si="327"/>
        <v>20921.77</v>
      </c>
      <c r="AC2216" s="6">
        <f t="shared" si="328"/>
        <v>0</v>
      </c>
      <c r="AD2216" s="13">
        <f t="shared" si="331"/>
        <v>20921.77</v>
      </c>
      <c r="AE2216" s="2">
        <v>0.17</v>
      </c>
      <c r="AF2216" s="5">
        <f t="shared" si="329"/>
        <v>3556.7009000000003</v>
      </c>
      <c r="AG2216" s="2">
        <v>0</v>
      </c>
      <c r="AH2216" s="5">
        <f t="shared" si="332"/>
        <v>20921.77</v>
      </c>
      <c r="AJ2216" s="126" t="e">
        <v>#N/A</v>
      </c>
      <c r="AK2216" s="80">
        <f t="shared" si="330"/>
        <v>0</v>
      </c>
      <c r="AM2216" s="85"/>
    </row>
    <row r="2217" spans="1:39" hidden="1" x14ac:dyDescent="0.3">
      <c r="A2217" s="85" t="s">
        <v>34</v>
      </c>
      <c r="B2217" s="15" t="s">
        <v>701</v>
      </c>
      <c r="C2217" s="15" t="s">
        <v>65</v>
      </c>
      <c r="D2217" s="15" t="s">
        <v>66</v>
      </c>
      <c r="E2217" s="15" t="s">
        <v>2849</v>
      </c>
      <c r="F2217" s="15" t="s">
        <v>2849</v>
      </c>
      <c r="G2217" s="15" t="s">
        <v>2849</v>
      </c>
      <c r="H2217" s="139"/>
      <c r="I2217" s="3" t="s">
        <v>78</v>
      </c>
      <c r="J2217" s="1" t="s">
        <v>3303</v>
      </c>
      <c r="K2217" s="1" t="s">
        <v>3276</v>
      </c>
      <c r="L2217" s="1" t="s">
        <v>701</v>
      </c>
      <c r="M2217" s="15" t="s">
        <v>2850</v>
      </c>
      <c r="N2217" s="15"/>
      <c r="O2217" s="8" t="s">
        <v>410</v>
      </c>
      <c r="P2217" s="8" t="s">
        <v>46</v>
      </c>
      <c r="Q2217" s="9">
        <v>0.02</v>
      </c>
      <c r="R2217" s="139">
        <v>7263</v>
      </c>
      <c r="T2217" s="18">
        <v>25105.22</v>
      </c>
      <c r="U2217" s="4">
        <v>0</v>
      </c>
      <c r="V2217" s="4">
        <v>0</v>
      </c>
      <c r="W2217" s="13">
        <f t="shared" si="325"/>
        <v>25105.22</v>
      </c>
      <c r="X2217" s="13">
        <f t="shared" si="333"/>
        <v>0</v>
      </c>
      <c r="Y2217" s="13">
        <f t="shared" si="326"/>
        <v>0</v>
      </c>
      <c r="Z2217" s="2">
        <v>0</v>
      </c>
      <c r="AA2217" s="4">
        <v>0</v>
      </c>
      <c r="AB2217" s="4">
        <f t="shared" si="327"/>
        <v>0</v>
      </c>
      <c r="AC2217" s="6">
        <f t="shared" si="328"/>
        <v>0</v>
      </c>
      <c r="AD2217" s="13">
        <f t="shared" si="331"/>
        <v>0</v>
      </c>
      <c r="AE2217" s="2">
        <v>0.17</v>
      </c>
      <c r="AF2217" s="5">
        <f t="shared" si="329"/>
        <v>0</v>
      </c>
      <c r="AG2217" s="2">
        <v>0</v>
      </c>
      <c r="AH2217" s="5">
        <f t="shared" si="332"/>
        <v>0</v>
      </c>
      <c r="AJ2217" s="126" t="e">
        <v>#N/A</v>
      </c>
      <c r="AK2217" s="80">
        <f t="shared" si="330"/>
        <v>0</v>
      </c>
      <c r="AM2217" s="85"/>
    </row>
    <row r="2218" spans="1:39" hidden="1" x14ac:dyDescent="0.3">
      <c r="A2218" s="85" t="s">
        <v>34</v>
      </c>
      <c r="B2218" s="15" t="s">
        <v>701</v>
      </c>
      <c r="C2218" s="15" t="s">
        <v>65</v>
      </c>
      <c r="D2218" s="15" t="s">
        <v>66</v>
      </c>
      <c r="E2218" s="15" t="s">
        <v>2851</v>
      </c>
      <c r="F2218" s="15" t="s">
        <v>2851</v>
      </c>
      <c r="G2218" s="15" t="s">
        <v>2851</v>
      </c>
      <c r="H2218" s="154"/>
      <c r="I2218" s="3" t="s">
        <v>78</v>
      </c>
      <c r="J2218" s="1" t="s">
        <v>3303</v>
      </c>
      <c r="K2218" s="1" t="s">
        <v>3276</v>
      </c>
      <c r="L2218" s="1" t="s">
        <v>701</v>
      </c>
      <c r="M2218" s="15" t="s">
        <v>2852</v>
      </c>
      <c r="N2218" s="15"/>
      <c r="O2218" s="8" t="s">
        <v>410</v>
      </c>
      <c r="P2218" s="8" t="s">
        <v>246</v>
      </c>
      <c r="Q2218" s="9">
        <v>0</v>
      </c>
      <c r="R2218" s="139">
        <v>7160</v>
      </c>
      <c r="T2218" s="18">
        <v>98652.42</v>
      </c>
      <c r="U2218" s="4">
        <v>0</v>
      </c>
      <c r="V2218" s="4">
        <v>14711.300000000001</v>
      </c>
      <c r="W2218" s="13">
        <f t="shared" si="325"/>
        <v>83941.119999999995</v>
      </c>
      <c r="X2218" s="13">
        <f t="shared" si="333"/>
        <v>14711.300000000001</v>
      </c>
      <c r="Y2218" s="13">
        <f t="shared" si="326"/>
        <v>0</v>
      </c>
      <c r="Z2218" s="2">
        <v>0</v>
      </c>
      <c r="AA2218" s="4">
        <v>0</v>
      </c>
      <c r="AB2218" s="4">
        <f t="shared" si="327"/>
        <v>14711.300000000001</v>
      </c>
      <c r="AC2218" s="6">
        <f t="shared" si="328"/>
        <v>0</v>
      </c>
      <c r="AD2218" s="13">
        <f t="shared" si="331"/>
        <v>14711.300000000001</v>
      </c>
      <c r="AE2218" s="2">
        <v>0.17</v>
      </c>
      <c r="AF2218" s="5">
        <f t="shared" si="329"/>
        <v>2500.9210000000003</v>
      </c>
      <c r="AG2218" s="2">
        <v>0</v>
      </c>
      <c r="AH2218" s="5">
        <f t="shared" si="332"/>
        <v>14711.300000000001</v>
      </c>
      <c r="AJ2218" s="126" t="e">
        <v>#N/A</v>
      </c>
      <c r="AK2218" s="80">
        <f t="shared" si="330"/>
        <v>0</v>
      </c>
      <c r="AM2218" s="85"/>
    </row>
    <row r="2219" spans="1:39" hidden="1" x14ac:dyDescent="0.3">
      <c r="A2219" s="85" t="s">
        <v>34</v>
      </c>
      <c r="B2219" s="15" t="s">
        <v>701</v>
      </c>
      <c r="C2219" s="15" t="s">
        <v>65</v>
      </c>
      <c r="D2219" s="15" t="s">
        <v>66</v>
      </c>
      <c r="E2219" s="15" t="s">
        <v>2853</v>
      </c>
      <c r="F2219" s="15" t="s">
        <v>2853</v>
      </c>
      <c r="G2219" s="15" t="s">
        <v>2853</v>
      </c>
      <c r="H2219" s="154"/>
      <c r="I2219" s="3" t="s">
        <v>78</v>
      </c>
      <c r="J2219" s="1" t="s">
        <v>3303</v>
      </c>
      <c r="K2219" s="1" t="s">
        <v>3276</v>
      </c>
      <c r="L2219" s="1" t="s">
        <v>701</v>
      </c>
      <c r="M2219" s="15" t="s">
        <v>2854</v>
      </c>
      <c r="N2219" s="15"/>
      <c r="O2219" s="8" t="s">
        <v>410</v>
      </c>
      <c r="P2219" s="8" t="s">
        <v>246</v>
      </c>
      <c r="Q2219" s="9">
        <v>0</v>
      </c>
      <c r="R2219" s="139">
        <v>7158</v>
      </c>
      <c r="T2219" s="18">
        <v>300000</v>
      </c>
      <c r="U2219" s="4">
        <v>0</v>
      </c>
      <c r="V2219" s="4">
        <v>132839.4</v>
      </c>
      <c r="W2219" s="13">
        <f t="shared" si="325"/>
        <v>167160.6</v>
      </c>
      <c r="X2219" s="13">
        <f t="shared" si="333"/>
        <v>132839.4</v>
      </c>
      <c r="Y2219" s="13">
        <f t="shared" si="326"/>
        <v>0</v>
      </c>
      <c r="Z2219" s="2">
        <v>0</v>
      </c>
      <c r="AA2219" s="4">
        <v>0</v>
      </c>
      <c r="AB2219" s="4">
        <f t="shared" si="327"/>
        <v>132839.4</v>
      </c>
      <c r="AC2219" s="6">
        <f t="shared" si="328"/>
        <v>0</v>
      </c>
      <c r="AD2219" s="13">
        <f t="shared" si="331"/>
        <v>132839.4</v>
      </c>
      <c r="AE2219" s="2">
        <v>0.17</v>
      </c>
      <c r="AF2219" s="5">
        <f t="shared" si="329"/>
        <v>22582.698</v>
      </c>
      <c r="AG2219" s="2">
        <v>0</v>
      </c>
      <c r="AH2219" s="5">
        <f t="shared" si="332"/>
        <v>132839.4</v>
      </c>
      <c r="AJ2219" s="126" t="e">
        <v>#N/A</v>
      </c>
      <c r="AK2219" s="80">
        <f t="shared" si="330"/>
        <v>0</v>
      </c>
      <c r="AM2219" s="85"/>
    </row>
    <row r="2220" spans="1:39" hidden="1" x14ac:dyDescent="0.3">
      <c r="A2220" s="85" t="s">
        <v>34</v>
      </c>
      <c r="B2220" s="15" t="s">
        <v>701</v>
      </c>
      <c r="C2220" s="15" t="s">
        <v>65</v>
      </c>
      <c r="D2220" s="15" t="s">
        <v>66</v>
      </c>
      <c r="E2220" s="15" t="s">
        <v>1234</v>
      </c>
      <c r="F2220" s="15" t="s">
        <v>1234</v>
      </c>
      <c r="G2220" s="15" t="s">
        <v>1234</v>
      </c>
      <c r="H2220" s="139"/>
      <c r="I2220" s="3" t="s">
        <v>78</v>
      </c>
      <c r="J2220" s="1" t="s">
        <v>3303</v>
      </c>
      <c r="K2220" s="1" t="s">
        <v>3276</v>
      </c>
      <c r="L2220" s="1" t="s">
        <v>701</v>
      </c>
      <c r="M2220" s="15" t="s">
        <v>2855</v>
      </c>
      <c r="N2220" s="15"/>
      <c r="O2220" s="8" t="s">
        <v>410</v>
      </c>
      <c r="P2220" s="8" t="s">
        <v>46</v>
      </c>
      <c r="Q2220" s="9">
        <v>0.01</v>
      </c>
      <c r="R2220" s="139">
        <v>7107</v>
      </c>
      <c r="T2220" s="18">
        <v>7100.9000000000106</v>
      </c>
      <c r="U2220" s="4">
        <v>0</v>
      </c>
      <c r="V2220" s="4">
        <v>0</v>
      </c>
      <c r="W2220" s="13">
        <f t="shared" si="325"/>
        <v>7100.9000000000106</v>
      </c>
      <c r="X2220" s="13">
        <f t="shared" si="333"/>
        <v>0</v>
      </c>
      <c r="Y2220" s="13">
        <f t="shared" si="326"/>
        <v>0</v>
      </c>
      <c r="Z2220" s="2">
        <v>0</v>
      </c>
      <c r="AA2220" s="4">
        <v>0</v>
      </c>
      <c r="AB2220" s="4">
        <f t="shared" si="327"/>
        <v>0</v>
      </c>
      <c r="AC2220" s="6">
        <f t="shared" si="328"/>
        <v>0</v>
      </c>
      <c r="AD2220" s="13">
        <f t="shared" si="331"/>
        <v>0</v>
      </c>
      <c r="AE2220" s="2">
        <v>0.17</v>
      </c>
      <c r="AF2220" s="5">
        <f t="shared" si="329"/>
        <v>0</v>
      </c>
      <c r="AG2220" s="2">
        <v>0</v>
      </c>
      <c r="AH2220" s="5">
        <f t="shared" si="332"/>
        <v>0</v>
      </c>
      <c r="AJ2220" s="126" t="e">
        <v>#N/A</v>
      </c>
      <c r="AK2220" s="80">
        <f t="shared" si="330"/>
        <v>0</v>
      </c>
      <c r="AM2220" s="85"/>
    </row>
    <row r="2221" spans="1:39" hidden="1" x14ac:dyDescent="0.3">
      <c r="A2221" s="85" t="s">
        <v>34</v>
      </c>
      <c r="B2221" s="15" t="s">
        <v>701</v>
      </c>
      <c r="C2221" s="15" t="s">
        <v>65</v>
      </c>
      <c r="D2221" s="15" t="s">
        <v>66</v>
      </c>
      <c r="E2221" s="15" t="s">
        <v>2755</v>
      </c>
      <c r="F2221" s="15" t="s">
        <v>2755</v>
      </c>
      <c r="G2221" s="15" t="s">
        <v>2755</v>
      </c>
      <c r="H2221" s="139"/>
      <c r="I2221" s="3" t="s">
        <v>78</v>
      </c>
      <c r="J2221" s="1" t="s">
        <v>3303</v>
      </c>
      <c r="K2221" s="1" t="s">
        <v>3276</v>
      </c>
      <c r="L2221" s="1" t="s">
        <v>701</v>
      </c>
      <c r="M2221" s="15" t="s">
        <v>2755</v>
      </c>
      <c r="N2221" s="15"/>
      <c r="O2221" s="8" t="s">
        <v>410</v>
      </c>
      <c r="P2221" s="8" t="s">
        <v>46</v>
      </c>
      <c r="Q2221" s="9">
        <v>0.02</v>
      </c>
      <c r="R2221" s="139">
        <v>7157</v>
      </c>
      <c r="T2221" s="18">
        <v>28853.400000000009</v>
      </c>
      <c r="U2221" s="4">
        <v>0</v>
      </c>
      <c r="V2221" s="18">
        <v>0</v>
      </c>
      <c r="W2221" s="13">
        <f t="shared" si="325"/>
        <v>28853.400000000009</v>
      </c>
      <c r="X2221" s="13">
        <f t="shared" si="333"/>
        <v>0</v>
      </c>
      <c r="Y2221" s="13">
        <f t="shared" si="326"/>
        <v>0</v>
      </c>
      <c r="Z2221" s="2">
        <v>0</v>
      </c>
      <c r="AA2221" s="4">
        <v>0</v>
      </c>
      <c r="AB2221" s="4">
        <f t="shared" si="327"/>
        <v>0</v>
      </c>
      <c r="AC2221" s="6">
        <f t="shared" si="328"/>
        <v>0</v>
      </c>
      <c r="AD2221" s="13">
        <f t="shared" si="331"/>
        <v>0</v>
      </c>
      <c r="AE2221" s="2">
        <v>0.17</v>
      </c>
      <c r="AF2221" s="5">
        <f t="shared" si="329"/>
        <v>0</v>
      </c>
      <c r="AG2221" s="2">
        <v>0</v>
      </c>
      <c r="AH2221" s="5">
        <f t="shared" si="332"/>
        <v>0</v>
      </c>
      <c r="AJ2221" s="126" t="e">
        <v>#N/A</v>
      </c>
      <c r="AK2221" s="80">
        <f t="shared" si="330"/>
        <v>0</v>
      </c>
      <c r="AM2221" s="85"/>
    </row>
    <row r="2222" spans="1:39" hidden="1" x14ac:dyDescent="0.3">
      <c r="A2222" s="85" t="s">
        <v>34</v>
      </c>
      <c r="B2222" s="15" t="s">
        <v>701</v>
      </c>
      <c r="C2222" s="15" t="s">
        <v>65</v>
      </c>
      <c r="D2222" s="15" t="s">
        <v>66</v>
      </c>
      <c r="E2222" s="15" t="s">
        <v>2757</v>
      </c>
      <c r="F2222" s="15" t="s">
        <v>2758</v>
      </c>
      <c r="G2222" s="15" t="s">
        <v>2757</v>
      </c>
      <c r="H2222" s="139"/>
      <c r="I2222" s="3" t="s">
        <v>78</v>
      </c>
      <c r="J2222" s="1" t="s">
        <v>3303</v>
      </c>
      <c r="K2222" s="1" t="s">
        <v>3276</v>
      </c>
      <c r="L2222" s="1" t="s">
        <v>701</v>
      </c>
      <c r="M2222" s="15" t="s">
        <v>2757</v>
      </c>
      <c r="N2222" s="15"/>
      <c r="O2222" s="8" t="s">
        <v>410</v>
      </c>
      <c r="P2222" s="8" t="s">
        <v>46</v>
      </c>
      <c r="Q2222" s="9">
        <v>0.02</v>
      </c>
      <c r="R2222" s="139">
        <v>7162</v>
      </c>
      <c r="T2222" s="18">
        <v>4159.7000000000044</v>
      </c>
      <c r="U2222" s="4">
        <v>0</v>
      </c>
      <c r="V2222" s="18">
        <v>0</v>
      </c>
      <c r="W2222" s="13">
        <f t="shared" si="325"/>
        <v>4159.7000000000044</v>
      </c>
      <c r="X2222" s="13">
        <f t="shared" si="333"/>
        <v>0</v>
      </c>
      <c r="Y2222" s="13">
        <f t="shared" si="326"/>
        <v>0</v>
      </c>
      <c r="Z2222" s="2">
        <v>0</v>
      </c>
      <c r="AA2222" s="4">
        <v>0</v>
      </c>
      <c r="AB2222" s="4">
        <f t="shared" si="327"/>
        <v>0</v>
      </c>
      <c r="AC2222" s="6">
        <f t="shared" si="328"/>
        <v>0</v>
      </c>
      <c r="AD2222" s="13">
        <f t="shared" si="331"/>
        <v>0</v>
      </c>
      <c r="AE2222" s="2">
        <v>0.17</v>
      </c>
      <c r="AF2222" s="5">
        <f t="shared" si="329"/>
        <v>0</v>
      </c>
      <c r="AG2222" s="2">
        <v>0</v>
      </c>
      <c r="AH2222" s="5">
        <f t="shared" si="332"/>
        <v>0</v>
      </c>
      <c r="AJ2222" s="126" t="e">
        <v>#N/A</v>
      </c>
      <c r="AK2222" s="80">
        <f t="shared" si="330"/>
        <v>0</v>
      </c>
      <c r="AM2222" s="85"/>
    </row>
    <row r="2223" spans="1:39" hidden="1" x14ac:dyDescent="0.3">
      <c r="A2223" s="85" t="s">
        <v>34</v>
      </c>
      <c r="B2223" s="15" t="s">
        <v>701</v>
      </c>
      <c r="C2223" s="15" t="s">
        <v>65</v>
      </c>
      <c r="D2223" s="15" t="s">
        <v>122</v>
      </c>
      <c r="E2223" s="15" t="s">
        <v>2856</v>
      </c>
      <c r="F2223" s="15" t="s">
        <v>2856</v>
      </c>
      <c r="G2223" s="15" t="s">
        <v>2856</v>
      </c>
      <c r="H2223" s="154"/>
      <c r="I2223" s="3" t="s">
        <v>78</v>
      </c>
      <c r="J2223" s="1" t="s">
        <v>3303</v>
      </c>
      <c r="K2223" s="1" t="s">
        <v>3276</v>
      </c>
      <c r="L2223" s="1" t="s">
        <v>701</v>
      </c>
      <c r="M2223" s="15" t="s">
        <v>2857</v>
      </c>
      <c r="N2223" s="15"/>
      <c r="O2223" s="8" t="s">
        <v>410</v>
      </c>
      <c r="P2223" s="8" t="s">
        <v>41</v>
      </c>
      <c r="Q2223" s="9">
        <v>0</v>
      </c>
      <c r="R2223" s="139">
        <v>7591</v>
      </c>
      <c r="T2223" s="18">
        <v>10000</v>
      </c>
      <c r="U2223" s="4">
        <v>0</v>
      </c>
      <c r="V2223" s="4">
        <v>5731.4</v>
      </c>
      <c r="W2223" s="13">
        <f t="shared" si="325"/>
        <v>4268.6000000000004</v>
      </c>
      <c r="X2223" s="13">
        <f t="shared" si="333"/>
        <v>5731.4</v>
      </c>
      <c r="Y2223" s="13">
        <f t="shared" si="326"/>
        <v>0</v>
      </c>
      <c r="Z2223" s="2">
        <v>0</v>
      </c>
      <c r="AA2223" s="4">
        <v>0</v>
      </c>
      <c r="AB2223" s="4">
        <f t="shared" si="327"/>
        <v>5731.4</v>
      </c>
      <c r="AC2223" s="6">
        <f t="shared" si="328"/>
        <v>0</v>
      </c>
      <c r="AD2223" s="13">
        <f t="shared" si="331"/>
        <v>5731.4</v>
      </c>
      <c r="AE2223" s="2">
        <v>0.17</v>
      </c>
      <c r="AF2223" s="5">
        <f t="shared" si="329"/>
        <v>974.33799999999997</v>
      </c>
      <c r="AG2223" s="2">
        <v>0</v>
      </c>
      <c r="AH2223" s="5">
        <f t="shared" si="332"/>
        <v>5731.4</v>
      </c>
      <c r="AJ2223" s="126" t="e">
        <v>#N/A</v>
      </c>
      <c r="AK2223" s="80">
        <f t="shared" si="330"/>
        <v>0</v>
      </c>
      <c r="AM2223" s="85"/>
    </row>
    <row r="2224" spans="1:39" hidden="1" x14ac:dyDescent="0.3">
      <c r="A2224" s="85" t="s">
        <v>34</v>
      </c>
      <c r="B2224" s="15" t="s">
        <v>701</v>
      </c>
      <c r="C2224" s="15" t="s">
        <v>65</v>
      </c>
      <c r="D2224" s="15" t="s">
        <v>125</v>
      </c>
      <c r="E2224" s="15" t="s">
        <v>2766</v>
      </c>
      <c r="F2224" s="15" t="s">
        <v>2766</v>
      </c>
      <c r="G2224" s="15" t="s">
        <v>2766</v>
      </c>
      <c r="H2224" s="139"/>
      <c r="I2224" s="3" t="s">
        <v>78</v>
      </c>
      <c r="J2224" s="1" t="s">
        <v>3303</v>
      </c>
      <c r="K2224" s="1" t="s">
        <v>3276</v>
      </c>
      <c r="L2224" s="1" t="s">
        <v>701</v>
      </c>
      <c r="M2224" s="15" t="s">
        <v>2766</v>
      </c>
      <c r="N2224" s="15"/>
      <c r="O2224" s="8" t="s">
        <v>410</v>
      </c>
      <c r="P2224" s="8" t="s">
        <v>46</v>
      </c>
      <c r="Q2224" s="9">
        <v>0.02</v>
      </c>
      <c r="R2224" s="139">
        <v>7496</v>
      </c>
      <c r="T2224" s="18">
        <v>9412.8000000000029</v>
      </c>
      <c r="U2224" s="4">
        <v>0</v>
      </c>
      <c r="V2224" s="18">
        <v>0</v>
      </c>
      <c r="W2224" s="13">
        <f t="shared" si="325"/>
        <v>9412.8000000000029</v>
      </c>
      <c r="X2224" s="13">
        <f t="shared" si="333"/>
        <v>0</v>
      </c>
      <c r="Y2224" s="13">
        <f t="shared" si="326"/>
        <v>0</v>
      </c>
      <c r="Z2224" s="2">
        <v>0</v>
      </c>
      <c r="AA2224" s="4">
        <v>0</v>
      </c>
      <c r="AB2224" s="4">
        <f t="shared" si="327"/>
        <v>0</v>
      </c>
      <c r="AC2224" s="6">
        <f t="shared" si="328"/>
        <v>0</v>
      </c>
      <c r="AD2224" s="13">
        <f t="shared" si="331"/>
        <v>0</v>
      </c>
      <c r="AE2224" s="2">
        <v>0.17</v>
      </c>
      <c r="AF2224" s="5">
        <f t="shared" si="329"/>
        <v>0</v>
      </c>
      <c r="AG2224" s="2">
        <v>0</v>
      </c>
      <c r="AH2224" s="5">
        <f t="shared" si="332"/>
        <v>0</v>
      </c>
      <c r="AJ2224" s="126" t="e">
        <v>#N/A</v>
      </c>
      <c r="AK2224" s="80">
        <f t="shared" si="330"/>
        <v>0</v>
      </c>
      <c r="AM2224" s="85"/>
    </row>
    <row r="2225" spans="1:39" hidden="1" x14ac:dyDescent="0.3">
      <c r="A2225" s="85" t="s">
        <v>34</v>
      </c>
      <c r="B2225" s="15" t="s">
        <v>701</v>
      </c>
      <c r="C2225" s="15" t="s">
        <v>65</v>
      </c>
      <c r="D2225" s="15" t="s">
        <v>125</v>
      </c>
      <c r="E2225" s="15" t="s">
        <v>2766</v>
      </c>
      <c r="F2225" s="15" t="s">
        <v>2766</v>
      </c>
      <c r="G2225" s="15" t="s">
        <v>2766</v>
      </c>
      <c r="H2225" s="139"/>
      <c r="I2225" s="3" t="s">
        <v>78</v>
      </c>
      <c r="J2225" s="1" t="s">
        <v>3303</v>
      </c>
      <c r="K2225" s="1" t="s">
        <v>3276</v>
      </c>
      <c r="L2225" s="1" t="s">
        <v>701</v>
      </c>
      <c r="M2225" s="15" t="s">
        <v>2767</v>
      </c>
      <c r="N2225" s="15"/>
      <c r="O2225" s="8" t="s">
        <v>410</v>
      </c>
      <c r="P2225" s="8" t="s">
        <v>46</v>
      </c>
      <c r="Q2225" s="9">
        <v>0.02</v>
      </c>
      <c r="R2225" s="139">
        <v>7536</v>
      </c>
      <c r="T2225" s="18">
        <v>22568.5</v>
      </c>
      <c r="U2225" s="4">
        <v>0</v>
      </c>
      <c r="V2225" s="18">
        <v>0</v>
      </c>
      <c r="W2225" s="13">
        <f t="shared" si="325"/>
        <v>22568.5</v>
      </c>
      <c r="X2225" s="13">
        <f t="shared" si="333"/>
        <v>0</v>
      </c>
      <c r="Y2225" s="13">
        <f t="shared" si="326"/>
        <v>0</v>
      </c>
      <c r="Z2225" s="2">
        <v>0</v>
      </c>
      <c r="AA2225" s="4">
        <v>0</v>
      </c>
      <c r="AB2225" s="4">
        <f t="shared" si="327"/>
        <v>0</v>
      </c>
      <c r="AC2225" s="6">
        <f t="shared" si="328"/>
        <v>0</v>
      </c>
      <c r="AD2225" s="13">
        <f t="shared" si="331"/>
        <v>0</v>
      </c>
      <c r="AE2225" s="2">
        <v>0.17</v>
      </c>
      <c r="AF2225" s="5">
        <f t="shared" si="329"/>
        <v>0</v>
      </c>
      <c r="AG2225" s="2">
        <v>0</v>
      </c>
      <c r="AH2225" s="5">
        <f t="shared" si="332"/>
        <v>0</v>
      </c>
      <c r="AJ2225" s="126" t="e">
        <v>#N/A</v>
      </c>
      <c r="AK2225" s="80">
        <f t="shared" si="330"/>
        <v>0</v>
      </c>
      <c r="AM2225" s="85"/>
    </row>
    <row r="2226" spans="1:39" hidden="1" x14ac:dyDescent="0.3">
      <c r="A2226" s="85" t="s">
        <v>34</v>
      </c>
      <c r="B2226" s="15" t="s">
        <v>701</v>
      </c>
      <c r="C2226" s="15" t="s">
        <v>65</v>
      </c>
      <c r="D2226" s="15" t="s">
        <v>125</v>
      </c>
      <c r="E2226" s="15" t="s">
        <v>2768</v>
      </c>
      <c r="F2226" s="15" t="s">
        <v>2768</v>
      </c>
      <c r="G2226" s="15" t="s">
        <v>2768</v>
      </c>
      <c r="H2226" s="139"/>
      <c r="I2226" s="3" t="s">
        <v>78</v>
      </c>
      <c r="J2226" s="1" t="s">
        <v>3303</v>
      </c>
      <c r="K2226" s="1" t="s">
        <v>3276</v>
      </c>
      <c r="L2226" s="1" t="s">
        <v>701</v>
      </c>
      <c r="M2226" s="15" t="s">
        <v>2768</v>
      </c>
      <c r="N2226" s="15"/>
      <c r="O2226" s="8" t="s">
        <v>410</v>
      </c>
      <c r="P2226" s="8" t="s">
        <v>46</v>
      </c>
      <c r="Q2226" s="9">
        <v>0.02</v>
      </c>
      <c r="R2226" s="139">
        <v>7389</v>
      </c>
      <c r="T2226" s="18">
        <v>3501.9000000000015</v>
      </c>
      <c r="U2226" s="4">
        <v>0</v>
      </c>
      <c r="V2226" s="18">
        <v>0</v>
      </c>
      <c r="W2226" s="13">
        <f t="shared" si="325"/>
        <v>3501.9000000000015</v>
      </c>
      <c r="X2226" s="13">
        <f t="shared" si="333"/>
        <v>0</v>
      </c>
      <c r="Y2226" s="13">
        <f t="shared" si="326"/>
        <v>0</v>
      </c>
      <c r="Z2226" s="2">
        <v>0</v>
      </c>
      <c r="AA2226" s="4">
        <v>0</v>
      </c>
      <c r="AB2226" s="4">
        <f t="shared" si="327"/>
        <v>0</v>
      </c>
      <c r="AC2226" s="6">
        <f t="shared" si="328"/>
        <v>0</v>
      </c>
      <c r="AD2226" s="13">
        <f t="shared" si="331"/>
        <v>0</v>
      </c>
      <c r="AE2226" s="2">
        <v>0.17</v>
      </c>
      <c r="AF2226" s="5">
        <f t="shared" si="329"/>
        <v>0</v>
      </c>
      <c r="AG2226" s="2">
        <v>0</v>
      </c>
      <c r="AH2226" s="5">
        <f t="shared" si="332"/>
        <v>0</v>
      </c>
      <c r="AJ2226" s="126" t="e">
        <v>#N/A</v>
      </c>
      <c r="AK2226" s="80">
        <f t="shared" si="330"/>
        <v>0</v>
      </c>
      <c r="AM2226" s="85"/>
    </row>
    <row r="2227" spans="1:39" hidden="1" x14ac:dyDescent="0.3">
      <c r="A2227" s="85" t="s">
        <v>34</v>
      </c>
      <c r="B2227" s="15" t="s">
        <v>701</v>
      </c>
      <c r="C2227" s="15" t="s">
        <v>47</v>
      </c>
      <c r="D2227" s="15" t="s">
        <v>63</v>
      </c>
      <c r="E2227" s="15" t="s">
        <v>896</v>
      </c>
      <c r="F2227" s="15" t="s">
        <v>896</v>
      </c>
      <c r="G2227" s="15" t="s">
        <v>896</v>
      </c>
      <c r="H2227" s="154"/>
      <c r="I2227" s="3" t="s">
        <v>78</v>
      </c>
      <c r="J2227" s="1" t="s">
        <v>3303</v>
      </c>
      <c r="K2227" s="1" t="s">
        <v>3276</v>
      </c>
      <c r="L2227" s="1" t="s">
        <v>701</v>
      </c>
      <c r="M2227" s="15" t="s">
        <v>2858</v>
      </c>
      <c r="N2227" s="15"/>
      <c r="O2227" s="8" t="s">
        <v>410</v>
      </c>
      <c r="P2227" s="8" t="s">
        <v>46</v>
      </c>
      <c r="Q2227" s="9">
        <v>0.02</v>
      </c>
      <c r="R2227" s="139">
        <v>105</v>
      </c>
      <c r="T2227" s="18">
        <v>25142.499999999978</v>
      </c>
      <c r="U2227" s="4">
        <v>0</v>
      </c>
      <c r="V2227" s="4">
        <v>4695</v>
      </c>
      <c r="W2227" s="13">
        <f t="shared" si="325"/>
        <v>20447.499999999978</v>
      </c>
      <c r="X2227" s="13">
        <f t="shared" si="333"/>
        <v>4602.9411764705883</v>
      </c>
      <c r="Y2227" s="13">
        <f t="shared" si="326"/>
        <v>0</v>
      </c>
      <c r="Z2227" s="2">
        <v>0</v>
      </c>
      <c r="AA2227" s="4">
        <v>0</v>
      </c>
      <c r="AB2227" s="4">
        <f t="shared" si="327"/>
        <v>4602.9411764705883</v>
      </c>
      <c r="AC2227" s="6">
        <f t="shared" si="328"/>
        <v>92.058823529411711</v>
      </c>
      <c r="AD2227" s="13">
        <f t="shared" si="331"/>
        <v>4695</v>
      </c>
      <c r="AE2227" s="2">
        <v>0.17</v>
      </c>
      <c r="AF2227" s="5">
        <f t="shared" si="329"/>
        <v>798.15000000000009</v>
      </c>
      <c r="AG2227" s="2">
        <v>0</v>
      </c>
      <c r="AH2227" s="5">
        <f t="shared" si="332"/>
        <v>4695</v>
      </c>
      <c r="AJ2227" s="126" t="e">
        <v>#N/A</v>
      </c>
      <c r="AK2227" s="80">
        <f t="shared" si="330"/>
        <v>0</v>
      </c>
      <c r="AM2227" s="85"/>
    </row>
    <row r="2228" spans="1:39" hidden="1" x14ac:dyDescent="0.3">
      <c r="A2228" s="85" t="s">
        <v>34</v>
      </c>
      <c r="B2228" s="15" t="s">
        <v>701</v>
      </c>
      <c r="C2228" s="15" t="s">
        <v>47</v>
      </c>
      <c r="D2228" s="15" t="s">
        <v>48</v>
      </c>
      <c r="E2228" s="15" t="s">
        <v>49</v>
      </c>
      <c r="F2228" s="15" t="s">
        <v>49</v>
      </c>
      <c r="G2228" s="15" t="s">
        <v>49</v>
      </c>
      <c r="H2228" s="154"/>
      <c r="I2228" s="3" t="s">
        <v>78</v>
      </c>
      <c r="J2228" s="1" t="s">
        <v>3303</v>
      </c>
      <c r="K2228" s="1" t="s">
        <v>3276</v>
      </c>
      <c r="L2228" s="1" t="s">
        <v>701</v>
      </c>
      <c r="M2228" s="15" t="s">
        <v>49</v>
      </c>
      <c r="N2228" s="15"/>
      <c r="O2228" s="8" t="s">
        <v>410</v>
      </c>
      <c r="P2228" s="8" t="s">
        <v>41</v>
      </c>
      <c r="Q2228" s="9">
        <v>0</v>
      </c>
      <c r="R2228" s="139">
        <v>7150</v>
      </c>
      <c r="T2228" s="18">
        <v>19357.969999999998</v>
      </c>
      <c r="U2228" s="4">
        <v>0</v>
      </c>
      <c r="V2228" s="4">
        <v>1592.71</v>
      </c>
      <c r="W2228" s="13">
        <f t="shared" si="325"/>
        <v>17765.259999999998</v>
      </c>
      <c r="X2228" s="13">
        <f t="shared" si="333"/>
        <v>1592.71</v>
      </c>
      <c r="Y2228" s="13">
        <f t="shared" si="326"/>
        <v>0</v>
      </c>
      <c r="Z2228" s="2">
        <v>0</v>
      </c>
      <c r="AA2228" s="4">
        <v>0</v>
      </c>
      <c r="AB2228" s="4">
        <f t="shared" si="327"/>
        <v>1592.71</v>
      </c>
      <c r="AC2228" s="6">
        <f t="shared" si="328"/>
        <v>0</v>
      </c>
      <c r="AD2228" s="13">
        <f t="shared" si="331"/>
        <v>1592.71</v>
      </c>
      <c r="AE2228" s="2">
        <v>0.17</v>
      </c>
      <c r="AF2228" s="5">
        <f t="shared" si="329"/>
        <v>270.76070000000004</v>
      </c>
      <c r="AG2228" s="2">
        <v>0</v>
      </c>
      <c r="AH2228" s="5">
        <f t="shared" si="332"/>
        <v>1592.71</v>
      </c>
      <c r="AJ2228" s="126" t="e">
        <v>#N/A</v>
      </c>
      <c r="AK2228" s="80">
        <f t="shared" si="330"/>
        <v>0</v>
      </c>
      <c r="AM2228" s="85"/>
    </row>
    <row r="2229" spans="1:39" hidden="1" x14ac:dyDescent="0.3">
      <c r="A2229" s="85" t="s">
        <v>34</v>
      </c>
      <c r="B2229" s="15" t="s">
        <v>701</v>
      </c>
      <c r="C2229" s="15" t="s">
        <v>144</v>
      </c>
      <c r="D2229" s="15" t="s">
        <v>145</v>
      </c>
      <c r="E2229" s="15" t="s">
        <v>805</v>
      </c>
      <c r="F2229" s="15" t="s">
        <v>805</v>
      </c>
      <c r="G2229" s="15" t="s">
        <v>805</v>
      </c>
      <c r="H2229" s="154"/>
      <c r="I2229" s="3" t="s">
        <v>78</v>
      </c>
      <c r="J2229" s="1" t="s">
        <v>3303</v>
      </c>
      <c r="K2229" s="1" t="s">
        <v>3276</v>
      </c>
      <c r="L2229" s="1" t="s">
        <v>701</v>
      </c>
      <c r="M2229" s="15" t="s">
        <v>2859</v>
      </c>
      <c r="N2229" s="15"/>
      <c r="O2229" s="8" t="s">
        <v>410</v>
      </c>
      <c r="P2229" s="8" t="s">
        <v>46</v>
      </c>
      <c r="Q2229" s="9">
        <v>0.03</v>
      </c>
      <c r="R2229" s="139">
        <v>113</v>
      </c>
      <c r="T2229" s="18">
        <v>7011.9299999999985</v>
      </c>
      <c r="U2229" s="4">
        <v>0</v>
      </c>
      <c r="V2229" s="4">
        <v>7011.9299000000001</v>
      </c>
      <c r="W2229" s="13">
        <f t="shared" si="325"/>
        <v>9.9999998383282218E-5</v>
      </c>
      <c r="X2229" s="13">
        <f t="shared" si="333"/>
        <v>6807.6989320388348</v>
      </c>
      <c r="Y2229" s="13">
        <f t="shared" si="326"/>
        <v>0</v>
      </c>
      <c r="Z2229" s="2">
        <v>0</v>
      </c>
      <c r="AA2229" s="4">
        <v>0</v>
      </c>
      <c r="AB2229" s="4">
        <f t="shared" si="327"/>
        <v>6807.6989320388348</v>
      </c>
      <c r="AC2229" s="6">
        <f t="shared" si="328"/>
        <v>204.23096796116533</v>
      </c>
      <c r="AD2229" s="13">
        <f t="shared" si="331"/>
        <v>7011.9299000000001</v>
      </c>
      <c r="AE2229" s="2">
        <v>0.17</v>
      </c>
      <c r="AF2229" s="5">
        <f t="shared" si="329"/>
        <v>1192.0280830000002</v>
      </c>
      <c r="AG2229" s="2">
        <v>0</v>
      </c>
      <c r="AH2229" s="5">
        <f t="shared" si="332"/>
        <v>7011.9299000000001</v>
      </c>
      <c r="AJ2229" s="126" t="e">
        <v>#N/A</v>
      </c>
      <c r="AK2229" s="80">
        <f t="shared" si="330"/>
        <v>0</v>
      </c>
      <c r="AM2229" s="85"/>
    </row>
    <row r="2230" spans="1:39" hidden="1" x14ac:dyDescent="0.3">
      <c r="A2230" s="85" t="s">
        <v>34</v>
      </c>
      <c r="B2230" s="15" t="s">
        <v>701</v>
      </c>
      <c r="C2230" s="15" t="s">
        <v>144</v>
      </c>
      <c r="D2230" s="15" t="s">
        <v>152</v>
      </c>
      <c r="E2230" s="15" t="s">
        <v>2860</v>
      </c>
      <c r="F2230" s="15" t="s">
        <v>2860</v>
      </c>
      <c r="G2230" s="15" t="s">
        <v>2860</v>
      </c>
      <c r="H2230" s="154"/>
      <c r="I2230" s="3" t="s">
        <v>78</v>
      </c>
      <c r="J2230" s="1" t="s">
        <v>3303</v>
      </c>
      <c r="K2230" s="1" t="s">
        <v>3276</v>
      </c>
      <c r="L2230" s="1" t="s">
        <v>701</v>
      </c>
      <c r="M2230" s="15" t="s">
        <v>2861</v>
      </c>
      <c r="N2230" s="15"/>
      <c r="O2230" s="8" t="s">
        <v>410</v>
      </c>
      <c r="P2230" s="8" t="s">
        <v>46</v>
      </c>
      <c r="Q2230" s="9">
        <v>0.03</v>
      </c>
      <c r="R2230" s="139">
        <v>108</v>
      </c>
      <c r="T2230" s="18">
        <v>2935.2</v>
      </c>
      <c r="U2230" s="4">
        <v>0</v>
      </c>
      <c r="V2230" s="4">
        <v>300.60000000000002</v>
      </c>
      <c r="W2230" s="13">
        <f t="shared" si="325"/>
        <v>2634.6</v>
      </c>
      <c r="X2230" s="13">
        <f t="shared" si="333"/>
        <v>291.84466019417476</v>
      </c>
      <c r="Y2230" s="13">
        <f t="shared" si="326"/>
        <v>0</v>
      </c>
      <c r="Z2230" s="2">
        <v>0</v>
      </c>
      <c r="AA2230" s="4">
        <v>0</v>
      </c>
      <c r="AB2230" s="4">
        <f t="shared" si="327"/>
        <v>291.84466019417476</v>
      </c>
      <c r="AC2230" s="6">
        <f t="shared" si="328"/>
        <v>8.7553398058252583</v>
      </c>
      <c r="AD2230" s="13">
        <f t="shared" si="331"/>
        <v>300.60000000000002</v>
      </c>
      <c r="AE2230" s="2">
        <v>0.17</v>
      </c>
      <c r="AF2230" s="5">
        <f t="shared" si="329"/>
        <v>51.102000000000011</v>
      </c>
      <c r="AG2230" s="2">
        <v>0</v>
      </c>
      <c r="AH2230" s="5">
        <f t="shared" si="332"/>
        <v>300.60000000000002</v>
      </c>
      <c r="AJ2230" s="126" t="e">
        <v>#N/A</v>
      </c>
      <c r="AK2230" s="80">
        <f t="shared" si="330"/>
        <v>0</v>
      </c>
      <c r="AM2230" s="85"/>
    </row>
    <row r="2231" spans="1:39" hidden="1" x14ac:dyDescent="0.3">
      <c r="A2231" s="85" t="s">
        <v>34</v>
      </c>
      <c r="B2231" s="15" t="s">
        <v>701</v>
      </c>
      <c r="C2231" s="15" t="s">
        <v>164</v>
      </c>
      <c r="D2231" s="15" t="s">
        <v>165</v>
      </c>
      <c r="E2231" s="15" t="s">
        <v>1549</v>
      </c>
      <c r="F2231" s="15" t="s">
        <v>1550</v>
      </c>
      <c r="G2231" s="15" t="s">
        <v>1549</v>
      </c>
      <c r="H2231" s="154"/>
      <c r="I2231" s="3" t="s">
        <v>78</v>
      </c>
      <c r="J2231" s="1" t="s">
        <v>3303</v>
      </c>
      <c r="K2231" s="1" t="s">
        <v>3276</v>
      </c>
      <c r="L2231" s="1" t="s">
        <v>701</v>
      </c>
      <c r="M2231" s="15" t="s">
        <v>1549</v>
      </c>
      <c r="N2231" s="15"/>
      <c r="O2231" s="8" t="s">
        <v>410</v>
      </c>
      <c r="P2231" s="8" t="s">
        <v>46</v>
      </c>
      <c r="Q2231" s="9">
        <v>0.02</v>
      </c>
      <c r="R2231" s="139">
        <v>7128</v>
      </c>
      <c r="T2231" s="18">
        <v>13781.900000000001</v>
      </c>
      <c r="U2231" s="4">
        <v>0</v>
      </c>
      <c r="V2231" s="18">
        <v>13781.900000000001</v>
      </c>
      <c r="W2231" s="13">
        <f t="shared" si="325"/>
        <v>0</v>
      </c>
      <c r="X2231" s="13">
        <f t="shared" si="333"/>
        <v>13511.666666666668</v>
      </c>
      <c r="Y2231" s="13">
        <f t="shared" si="326"/>
        <v>0</v>
      </c>
      <c r="Z2231" s="2">
        <v>0</v>
      </c>
      <c r="AA2231" s="4">
        <v>0</v>
      </c>
      <c r="AB2231" s="4">
        <f t="shared" si="327"/>
        <v>13511.666666666668</v>
      </c>
      <c r="AC2231" s="6">
        <f t="shared" si="328"/>
        <v>270.23333333333358</v>
      </c>
      <c r="AD2231" s="13">
        <f t="shared" si="331"/>
        <v>13781.900000000001</v>
      </c>
      <c r="AE2231" s="2">
        <v>0.17</v>
      </c>
      <c r="AF2231" s="5">
        <f t="shared" si="329"/>
        <v>2342.9230000000002</v>
      </c>
      <c r="AG2231" s="2">
        <v>0</v>
      </c>
      <c r="AH2231" s="5">
        <f t="shared" si="332"/>
        <v>13781.900000000001</v>
      </c>
      <c r="AJ2231" s="126" t="e">
        <v>#N/A</v>
      </c>
      <c r="AK2231" s="80">
        <f t="shared" si="330"/>
        <v>0</v>
      </c>
      <c r="AM2231" s="85"/>
    </row>
    <row r="2232" spans="1:39" hidden="1" x14ac:dyDescent="0.3">
      <c r="A2232" s="85" t="s">
        <v>34</v>
      </c>
      <c r="B2232" s="15" t="s">
        <v>701</v>
      </c>
      <c r="C2232" s="15" t="s">
        <v>164</v>
      </c>
      <c r="D2232" s="15" t="s">
        <v>174</v>
      </c>
      <c r="E2232" s="15" t="s">
        <v>2862</v>
      </c>
      <c r="F2232" s="15" t="s">
        <v>2862</v>
      </c>
      <c r="G2232" s="15" t="s">
        <v>2862</v>
      </c>
      <c r="H2232" s="154"/>
      <c r="I2232" s="3" t="s">
        <v>78</v>
      </c>
      <c r="J2232" s="1" t="s">
        <v>3303</v>
      </c>
      <c r="K2232" s="1" t="s">
        <v>3276</v>
      </c>
      <c r="L2232" s="1" t="s">
        <v>701</v>
      </c>
      <c r="M2232" s="15" t="s">
        <v>2863</v>
      </c>
      <c r="N2232" s="15"/>
      <c r="O2232" s="8" t="s">
        <v>410</v>
      </c>
      <c r="P2232" s="8" t="s">
        <v>46</v>
      </c>
      <c r="Q2232" s="9">
        <v>0.02</v>
      </c>
      <c r="R2232" s="139">
        <v>7194</v>
      </c>
      <c r="T2232" s="18">
        <v>19924.13</v>
      </c>
      <c r="U2232" s="4">
        <v>0</v>
      </c>
      <c r="V2232" s="4">
        <v>12852</v>
      </c>
      <c r="W2232" s="13">
        <f t="shared" si="325"/>
        <v>7072.130000000001</v>
      </c>
      <c r="X2232" s="13">
        <f t="shared" si="333"/>
        <v>12600</v>
      </c>
      <c r="Y2232" s="13">
        <f t="shared" si="326"/>
        <v>0</v>
      </c>
      <c r="Z2232" s="2">
        <v>0</v>
      </c>
      <c r="AA2232" s="4">
        <v>0</v>
      </c>
      <c r="AB2232" s="4">
        <f t="shared" si="327"/>
        <v>12600</v>
      </c>
      <c r="AC2232" s="6">
        <f t="shared" si="328"/>
        <v>252</v>
      </c>
      <c r="AD2232" s="13">
        <f t="shared" si="331"/>
        <v>12852</v>
      </c>
      <c r="AE2232" s="2">
        <v>0.17</v>
      </c>
      <c r="AF2232" s="5">
        <f t="shared" si="329"/>
        <v>2184.84</v>
      </c>
      <c r="AG2232" s="2">
        <v>0</v>
      </c>
      <c r="AH2232" s="5">
        <f t="shared" si="332"/>
        <v>12852</v>
      </c>
      <c r="AJ2232" s="126" t="e">
        <v>#N/A</v>
      </c>
      <c r="AK2232" s="80">
        <f t="shared" si="330"/>
        <v>0</v>
      </c>
      <c r="AM2232" s="85"/>
    </row>
    <row r="2233" spans="1:39" hidden="1" x14ac:dyDescent="0.3">
      <c r="A2233" s="85" t="s">
        <v>34</v>
      </c>
      <c r="B2233" s="15" t="s">
        <v>701</v>
      </c>
      <c r="C2233" s="15" t="s">
        <v>164</v>
      </c>
      <c r="D2233" s="15" t="s">
        <v>174</v>
      </c>
      <c r="E2233" s="15" t="s">
        <v>2815</v>
      </c>
      <c r="F2233" s="15" t="s">
        <v>2815</v>
      </c>
      <c r="G2233" s="15" t="s">
        <v>2815</v>
      </c>
      <c r="H2233" s="154"/>
      <c r="I2233" s="3" t="s">
        <v>78</v>
      </c>
      <c r="J2233" s="1" t="s">
        <v>3303</v>
      </c>
      <c r="K2233" s="1" t="s">
        <v>3276</v>
      </c>
      <c r="L2233" s="1" t="s">
        <v>701</v>
      </c>
      <c r="M2233" s="15" t="s">
        <v>2816</v>
      </c>
      <c r="N2233" s="15"/>
      <c r="O2233" s="8" t="s">
        <v>410</v>
      </c>
      <c r="P2233" s="8" t="s">
        <v>46</v>
      </c>
      <c r="Q2233" s="9">
        <v>0.02</v>
      </c>
      <c r="R2233" s="139">
        <v>7352</v>
      </c>
      <c r="T2233" s="18">
        <v>5943.73</v>
      </c>
      <c r="U2233" s="4">
        <v>0</v>
      </c>
      <c r="V2233" s="18">
        <v>5943.73</v>
      </c>
      <c r="W2233" s="13">
        <f t="shared" si="325"/>
        <v>0</v>
      </c>
      <c r="X2233" s="13">
        <f t="shared" si="333"/>
        <v>5827.1862745098033</v>
      </c>
      <c r="Y2233" s="13">
        <f t="shared" si="326"/>
        <v>0</v>
      </c>
      <c r="Z2233" s="2">
        <v>0</v>
      </c>
      <c r="AA2233" s="4">
        <v>0</v>
      </c>
      <c r="AB2233" s="4">
        <f t="shared" si="327"/>
        <v>5827.1862745098033</v>
      </c>
      <c r="AC2233" s="6">
        <f t="shared" si="328"/>
        <v>116.54372549019627</v>
      </c>
      <c r="AD2233" s="13">
        <f t="shared" si="331"/>
        <v>5943.73</v>
      </c>
      <c r="AE2233" s="2">
        <v>0.17</v>
      </c>
      <c r="AF2233" s="5">
        <f t="shared" si="329"/>
        <v>1010.4340999999999</v>
      </c>
      <c r="AG2233" s="2">
        <v>0</v>
      </c>
      <c r="AH2233" s="5">
        <f t="shared" si="332"/>
        <v>5943.73</v>
      </c>
      <c r="AJ2233" s="126" t="e">
        <v>#N/A</v>
      </c>
      <c r="AK2233" s="80">
        <f t="shared" si="330"/>
        <v>0</v>
      </c>
      <c r="AM2233" s="85"/>
    </row>
    <row r="2234" spans="1:39" hidden="1" x14ac:dyDescent="0.3">
      <c r="A2234" s="85" t="s">
        <v>34</v>
      </c>
      <c r="B2234" s="15" t="s">
        <v>701</v>
      </c>
      <c r="C2234" s="15" t="s">
        <v>164</v>
      </c>
      <c r="D2234" s="15" t="s">
        <v>174</v>
      </c>
      <c r="E2234" s="15" t="s">
        <v>2820</v>
      </c>
      <c r="F2234" s="15" t="s">
        <v>2820</v>
      </c>
      <c r="G2234" s="15" t="s">
        <v>2820</v>
      </c>
      <c r="H2234" s="154"/>
      <c r="I2234" s="3" t="s">
        <v>78</v>
      </c>
      <c r="J2234" s="1" t="s">
        <v>3303</v>
      </c>
      <c r="K2234" s="1" t="s">
        <v>3276</v>
      </c>
      <c r="L2234" s="1" t="s">
        <v>701</v>
      </c>
      <c r="M2234" s="15" t="s">
        <v>2360</v>
      </c>
      <c r="N2234" s="15"/>
      <c r="O2234" s="8" t="s">
        <v>410</v>
      </c>
      <c r="P2234" s="8" t="s">
        <v>41</v>
      </c>
      <c r="Q2234" s="9">
        <v>0</v>
      </c>
      <c r="R2234" s="139">
        <v>7515</v>
      </c>
      <c r="T2234" s="18">
        <v>10000</v>
      </c>
      <c r="U2234" s="4">
        <v>0</v>
      </c>
      <c r="V2234" s="4">
        <v>6212.2000000000007</v>
      </c>
      <c r="W2234" s="13">
        <f t="shared" si="325"/>
        <v>3787.7999999999993</v>
      </c>
      <c r="X2234" s="13">
        <f t="shared" si="333"/>
        <v>6212.2000000000007</v>
      </c>
      <c r="Y2234" s="13">
        <f t="shared" si="326"/>
        <v>0</v>
      </c>
      <c r="Z2234" s="2">
        <v>0</v>
      </c>
      <c r="AA2234" s="4">
        <v>0</v>
      </c>
      <c r="AB2234" s="4">
        <f t="shared" si="327"/>
        <v>6212.2000000000007</v>
      </c>
      <c r="AC2234" s="6">
        <f t="shared" si="328"/>
        <v>0</v>
      </c>
      <c r="AD2234" s="13">
        <f t="shared" si="331"/>
        <v>6212.2000000000007</v>
      </c>
      <c r="AE2234" s="2">
        <v>0.17</v>
      </c>
      <c r="AF2234" s="5">
        <f t="shared" si="329"/>
        <v>1056.0740000000003</v>
      </c>
      <c r="AG2234" s="2">
        <v>0</v>
      </c>
      <c r="AH2234" s="5">
        <f t="shared" si="332"/>
        <v>6212.2000000000007</v>
      </c>
      <c r="AJ2234" s="126" t="e">
        <v>#N/A</v>
      </c>
      <c r="AK2234" s="80">
        <f t="shared" si="330"/>
        <v>0</v>
      </c>
      <c r="AM2234" s="85"/>
    </row>
    <row r="2235" spans="1:39" hidden="1" x14ac:dyDescent="0.3">
      <c r="A2235" s="85" t="s">
        <v>34</v>
      </c>
      <c r="B2235" s="15" t="s">
        <v>701</v>
      </c>
      <c r="C2235" s="15" t="s">
        <v>164</v>
      </c>
      <c r="D2235" s="15" t="s">
        <v>174</v>
      </c>
      <c r="E2235" s="15" t="s">
        <v>1730</v>
      </c>
      <c r="F2235" s="15" t="s">
        <v>1730</v>
      </c>
      <c r="G2235" s="15" t="s">
        <v>1730</v>
      </c>
      <c r="H2235" s="154"/>
      <c r="I2235" s="3" t="s">
        <v>78</v>
      </c>
      <c r="J2235" s="1" t="s">
        <v>3303</v>
      </c>
      <c r="K2235" s="1" t="s">
        <v>3276</v>
      </c>
      <c r="L2235" s="1" t="s">
        <v>701</v>
      </c>
      <c r="M2235" s="15" t="s">
        <v>1730</v>
      </c>
      <c r="N2235" s="15"/>
      <c r="O2235" s="8" t="s">
        <v>410</v>
      </c>
      <c r="P2235" s="8" t="s">
        <v>46</v>
      </c>
      <c r="Q2235" s="9">
        <v>0.02</v>
      </c>
      <c r="R2235" s="139">
        <v>7208</v>
      </c>
      <c r="T2235" s="18">
        <v>2600.5</v>
      </c>
      <c r="U2235" s="4">
        <v>0</v>
      </c>
      <c r="V2235" s="18">
        <v>2600.5</v>
      </c>
      <c r="W2235" s="13">
        <f t="shared" si="325"/>
        <v>0</v>
      </c>
      <c r="X2235" s="13">
        <f t="shared" si="333"/>
        <v>2549.5098039215686</v>
      </c>
      <c r="Y2235" s="13">
        <f t="shared" si="326"/>
        <v>0</v>
      </c>
      <c r="Z2235" s="2">
        <v>0</v>
      </c>
      <c r="AA2235" s="4">
        <v>0</v>
      </c>
      <c r="AB2235" s="4">
        <v>2549.5098039215686</v>
      </c>
      <c r="AC2235" s="6">
        <f t="shared" si="328"/>
        <v>50.990196078431381</v>
      </c>
      <c r="AD2235" s="13">
        <f t="shared" si="331"/>
        <v>2600.5</v>
      </c>
      <c r="AE2235" s="2">
        <v>0.17</v>
      </c>
      <c r="AF2235" s="5">
        <f t="shared" si="329"/>
        <v>442.08500000000004</v>
      </c>
      <c r="AG2235" s="2">
        <v>0</v>
      </c>
      <c r="AH2235" s="5">
        <f t="shared" si="332"/>
        <v>2600.5</v>
      </c>
      <c r="AJ2235" s="126" t="s">
        <v>4217</v>
      </c>
      <c r="AK2235" s="80">
        <f t="shared" si="330"/>
        <v>0</v>
      </c>
      <c r="AM2235" s="85"/>
    </row>
    <row r="2236" spans="1:39" hidden="1" x14ac:dyDescent="0.3">
      <c r="A2236" s="85" t="s">
        <v>34</v>
      </c>
      <c r="B2236" s="15" t="s">
        <v>701</v>
      </c>
      <c r="C2236" s="15" t="s">
        <v>164</v>
      </c>
      <c r="D2236" s="15" t="s">
        <v>174</v>
      </c>
      <c r="E2236" s="15" t="s">
        <v>1730</v>
      </c>
      <c r="F2236" s="15" t="s">
        <v>1730</v>
      </c>
      <c r="G2236" s="15" t="s">
        <v>1730</v>
      </c>
      <c r="H2236" s="154"/>
      <c r="I2236" s="3" t="s">
        <v>78</v>
      </c>
      <c r="J2236" s="1" t="s">
        <v>3303</v>
      </c>
      <c r="K2236" s="1" t="s">
        <v>3276</v>
      </c>
      <c r="L2236" s="1" t="s">
        <v>701</v>
      </c>
      <c r="M2236" s="15" t="s">
        <v>2825</v>
      </c>
      <c r="N2236" s="15"/>
      <c r="O2236" s="8" t="s">
        <v>410</v>
      </c>
      <c r="P2236" s="8" t="s">
        <v>46</v>
      </c>
      <c r="Q2236" s="9">
        <v>0.02</v>
      </c>
      <c r="R2236" s="139">
        <v>7485</v>
      </c>
      <c r="T2236" s="18">
        <v>5828.2</v>
      </c>
      <c r="U2236" s="4">
        <v>0</v>
      </c>
      <c r="V2236" s="18">
        <v>5828.2</v>
      </c>
      <c r="W2236" s="13">
        <f t="shared" si="325"/>
        <v>0</v>
      </c>
      <c r="X2236" s="13">
        <f t="shared" si="333"/>
        <v>5713.9215686274511</v>
      </c>
      <c r="Y2236" s="13">
        <f t="shared" si="326"/>
        <v>0</v>
      </c>
      <c r="Z2236" s="2">
        <v>0</v>
      </c>
      <c r="AA2236" s="4">
        <v>0</v>
      </c>
      <c r="AB2236" s="4">
        <v>5713.9215686274511</v>
      </c>
      <c r="AC2236" s="6">
        <f t="shared" si="328"/>
        <v>114.27843137254877</v>
      </c>
      <c r="AD2236" s="13">
        <f t="shared" si="331"/>
        <v>5828.2</v>
      </c>
      <c r="AE2236" s="2">
        <v>0.17</v>
      </c>
      <c r="AF2236" s="5">
        <f t="shared" si="329"/>
        <v>990.7940000000001</v>
      </c>
      <c r="AG2236" s="2">
        <v>0</v>
      </c>
      <c r="AH2236" s="5">
        <f t="shared" si="332"/>
        <v>5828.2</v>
      </c>
      <c r="AJ2236" s="126" t="s">
        <v>4217</v>
      </c>
      <c r="AK2236" s="80">
        <f t="shared" si="330"/>
        <v>0</v>
      </c>
      <c r="AM2236" s="85"/>
    </row>
    <row r="2237" spans="1:39" hidden="1" x14ac:dyDescent="0.3">
      <c r="A2237" s="85" t="s">
        <v>34</v>
      </c>
      <c r="B2237" s="15" t="s">
        <v>701</v>
      </c>
      <c r="C2237" s="15" t="s">
        <v>164</v>
      </c>
      <c r="D2237" s="15" t="s">
        <v>174</v>
      </c>
      <c r="E2237" s="15" t="s">
        <v>2864</v>
      </c>
      <c r="F2237" s="15" t="s">
        <v>2864</v>
      </c>
      <c r="G2237" s="15" t="s">
        <v>2864</v>
      </c>
      <c r="H2237" s="139"/>
      <c r="I2237" s="3" t="s">
        <v>78</v>
      </c>
      <c r="J2237" s="1" t="s">
        <v>3303</v>
      </c>
      <c r="K2237" s="1" t="s">
        <v>3276</v>
      </c>
      <c r="L2237" s="1" t="s">
        <v>701</v>
      </c>
      <c r="M2237" s="15" t="s">
        <v>2864</v>
      </c>
      <c r="N2237" s="15"/>
      <c r="O2237" s="8" t="s">
        <v>410</v>
      </c>
      <c r="P2237" s="8" t="s">
        <v>41</v>
      </c>
      <c r="Q2237" s="9">
        <v>0</v>
      </c>
      <c r="R2237" s="139">
        <v>7568</v>
      </c>
      <c r="T2237" s="18">
        <v>4927.25</v>
      </c>
      <c r="U2237" s="4">
        <v>0</v>
      </c>
      <c r="V2237" s="4">
        <v>0</v>
      </c>
      <c r="W2237" s="13">
        <f t="shared" si="325"/>
        <v>4927.25</v>
      </c>
      <c r="X2237" s="13">
        <f t="shared" si="333"/>
        <v>0</v>
      </c>
      <c r="Y2237" s="13">
        <f t="shared" si="326"/>
        <v>0</v>
      </c>
      <c r="Z2237" s="2">
        <v>0</v>
      </c>
      <c r="AA2237" s="4">
        <v>0</v>
      </c>
      <c r="AB2237" s="4">
        <f t="shared" si="327"/>
        <v>0</v>
      </c>
      <c r="AC2237" s="6">
        <f t="shared" si="328"/>
        <v>0</v>
      </c>
      <c r="AD2237" s="13">
        <f t="shared" si="331"/>
        <v>0</v>
      </c>
      <c r="AE2237" s="2">
        <v>0.17</v>
      </c>
      <c r="AF2237" s="5">
        <f t="shared" si="329"/>
        <v>0</v>
      </c>
      <c r="AG2237" s="2">
        <v>0</v>
      </c>
      <c r="AH2237" s="5">
        <f t="shared" si="332"/>
        <v>0</v>
      </c>
      <c r="AJ2237" s="126" t="e">
        <v>#N/A</v>
      </c>
      <c r="AK2237" s="80">
        <f t="shared" si="330"/>
        <v>0</v>
      </c>
      <c r="AM2237" s="85"/>
    </row>
    <row r="2238" spans="1:39" hidden="1" x14ac:dyDescent="0.3">
      <c r="A2238" s="85" t="s">
        <v>34</v>
      </c>
      <c r="B2238" s="15" t="s">
        <v>701</v>
      </c>
      <c r="C2238" s="15" t="s">
        <v>164</v>
      </c>
      <c r="D2238" s="15" t="s">
        <v>174</v>
      </c>
      <c r="E2238" s="15" t="s">
        <v>694</v>
      </c>
      <c r="F2238" s="15" t="s">
        <v>694</v>
      </c>
      <c r="G2238" s="15" t="s">
        <v>694</v>
      </c>
      <c r="H2238" s="154"/>
      <c r="I2238" s="3" t="s">
        <v>78</v>
      </c>
      <c r="J2238" s="1" t="s">
        <v>3303</v>
      </c>
      <c r="K2238" s="1" t="s">
        <v>3276</v>
      </c>
      <c r="L2238" s="1" t="s">
        <v>701</v>
      </c>
      <c r="M2238" s="15" t="s">
        <v>694</v>
      </c>
      <c r="N2238" s="15"/>
      <c r="O2238" s="8" t="s">
        <v>410</v>
      </c>
      <c r="P2238" s="8" t="s">
        <v>46</v>
      </c>
      <c r="Q2238" s="9">
        <v>0.02</v>
      </c>
      <c r="R2238" s="139">
        <v>7202</v>
      </c>
      <c r="T2238" s="18">
        <v>18507.939999999995</v>
      </c>
      <c r="U2238" s="4">
        <v>0</v>
      </c>
      <c r="V2238" s="4">
        <v>15788.5</v>
      </c>
      <c r="W2238" s="13">
        <f t="shared" si="325"/>
        <v>2719.4399999999951</v>
      </c>
      <c r="X2238" s="13">
        <f t="shared" si="333"/>
        <v>15478.921568627451</v>
      </c>
      <c r="Y2238" s="13">
        <f t="shared" si="326"/>
        <v>0</v>
      </c>
      <c r="Z2238" s="2">
        <v>0</v>
      </c>
      <c r="AA2238" s="4">
        <v>0</v>
      </c>
      <c r="AB2238" s="4">
        <f t="shared" si="327"/>
        <v>15478.921568627451</v>
      </c>
      <c r="AC2238" s="6">
        <f t="shared" si="328"/>
        <v>309.57843137254895</v>
      </c>
      <c r="AD2238" s="13">
        <f t="shared" si="331"/>
        <v>15788.5</v>
      </c>
      <c r="AE2238" s="2">
        <v>0.17</v>
      </c>
      <c r="AF2238" s="5">
        <f t="shared" si="329"/>
        <v>2684.0450000000001</v>
      </c>
      <c r="AG2238" s="2">
        <v>0</v>
      </c>
      <c r="AH2238" s="5">
        <f t="shared" si="332"/>
        <v>15788.5</v>
      </c>
      <c r="AJ2238" s="126" t="e">
        <v>#N/A</v>
      </c>
      <c r="AK2238" s="80">
        <f t="shared" si="330"/>
        <v>0</v>
      </c>
      <c r="AM2238" s="85"/>
    </row>
    <row r="2239" spans="1:39" hidden="1" x14ac:dyDescent="0.3">
      <c r="A2239" s="85" t="s">
        <v>34</v>
      </c>
      <c r="B2239" s="15" t="s">
        <v>35</v>
      </c>
      <c r="C2239" s="15" t="s">
        <v>53</v>
      </c>
      <c r="D2239" s="15" t="s">
        <v>54</v>
      </c>
      <c r="E2239" s="15" t="s">
        <v>2695</v>
      </c>
      <c r="F2239" s="15" t="s">
        <v>2696</v>
      </c>
      <c r="G2239" s="15" t="s">
        <v>1845</v>
      </c>
      <c r="H2239" s="139"/>
      <c r="I2239" s="3" t="s">
        <v>78</v>
      </c>
      <c r="J2239" s="1" t="s">
        <v>3303</v>
      </c>
      <c r="K2239" s="1" t="s">
        <v>3276</v>
      </c>
      <c r="L2239" s="1" t="s">
        <v>701</v>
      </c>
      <c r="M2239" s="15" t="s">
        <v>2865</v>
      </c>
      <c r="N2239" s="15"/>
      <c r="O2239" s="8" t="s">
        <v>410</v>
      </c>
      <c r="P2239" s="8" t="s">
        <v>46</v>
      </c>
      <c r="Q2239" s="9">
        <v>0.03</v>
      </c>
      <c r="R2239" s="139">
        <v>7523</v>
      </c>
      <c r="T2239" s="18">
        <v>18708.090000000026</v>
      </c>
      <c r="U2239" s="4">
        <v>0</v>
      </c>
      <c r="V2239" s="4">
        <v>0</v>
      </c>
      <c r="W2239" s="13">
        <f t="shared" si="325"/>
        <v>18708.090000000026</v>
      </c>
      <c r="X2239" s="13">
        <f t="shared" si="333"/>
        <v>0</v>
      </c>
      <c r="Y2239" s="13">
        <f t="shared" si="326"/>
        <v>0</v>
      </c>
      <c r="Z2239" s="2">
        <v>0</v>
      </c>
      <c r="AA2239" s="4">
        <v>0</v>
      </c>
      <c r="AB2239" s="4">
        <f t="shared" si="327"/>
        <v>0</v>
      </c>
      <c r="AC2239" s="6">
        <f t="shared" si="328"/>
        <v>0</v>
      </c>
      <c r="AD2239" s="13">
        <f t="shared" si="331"/>
        <v>0</v>
      </c>
      <c r="AE2239" s="2">
        <v>0.17</v>
      </c>
      <c r="AF2239" s="5">
        <f t="shared" si="329"/>
        <v>0</v>
      </c>
      <c r="AG2239" s="2">
        <v>0</v>
      </c>
      <c r="AH2239" s="5">
        <f t="shared" si="332"/>
        <v>0</v>
      </c>
      <c r="AJ2239" s="126" t="e">
        <v>#N/A</v>
      </c>
      <c r="AK2239" s="80">
        <f t="shared" si="330"/>
        <v>0</v>
      </c>
      <c r="AM2239" s="85"/>
    </row>
    <row r="2240" spans="1:39" hidden="1" x14ac:dyDescent="0.3">
      <c r="A2240" s="85" t="s">
        <v>34</v>
      </c>
      <c r="B2240" s="15" t="s">
        <v>701</v>
      </c>
      <c r="C2240" s="15" t="s">
        <v>65</v>
      </c>
      <c r="D2240" s="15" t="s">
        <v>66</v>
      </c>
      <c r="E2240" s="15" t="s">
        <v>2866</v>
      </c>
      <c r="F2240" s="15" t="s">
        <v>2866</v>
      </c>
      <c r="G2240" s="15" t="s">
        <v>2866</v>
      </c>
      <c r="H2240" s="154"/>
      <c r="I2240" s="3" t="s">
        <v>78</v>
      </c>
      <c r="J2240" s="1" t="s">
        <v>3303</v>
      </c>
      <c r="K2240" s="1" t="s">
        <v>3276</v>
      </c>
      <c r="L2240" s="1" t="s">
        <v>701</v>
      </c>
      <c r="M2240" s="15" t="s">
        <v>2866</v>
      </c>
      <c r="N2240" s="15"/>
      <c r="O2240" s="8" t="s">
        <v>410</v>
      </c>
      <c r="P2240" s="8" t="s">
        <v>41</v>
      </c>
      <c r="Q2240" s="9">
        <v>0</v>
      </c>
      <c r="R2240" s="139">
        <v>7181</v>
      </c>
      <c r="T2240" s="18">
        <v>305281.11</v>
      </c>
      <c r="U2240" s="4">
        <v>0</v>
      </c>
      <c r="V2240" s="4">
        <v>31941.38</v>
      </c>
      <c r="W2240" s="13">
        <f t="shared" ref="W2240:W2303" si="334">T2240+U2240-V2240</f>
        <v>273339.73</v>
      </c>
      <c r="X2240" s="13">
        <f t="shared" si="333"/>
        <v>31941.38</v>
      </c>
      <c r="Y2240" s="13">
        <f t="shared" si="326"/>
        <v>0</v>
      </c>
      <c r="Z2240" s="2">
        <v>0</v>
      </c>
      <c r="AA2240" s="4">
        <v>0</v>
      </c>
      <c r="AB2240" s="4">
        <f t="shared" si="327"/>
        <v>31941.38</v>
      </c>
      <c r="AC2240" s="6">
        <f t="shared" si="328"/>
        <v>0</v>
      </c>
      <c r="AD2240" s="13">
        <f t="shared" si="331"/>
        <v>31941.38</v>
      </c>
      <c r="AE2240" s="2">
        <v>0.17</v>
      </c>
      <c r="AF2240" s="5">
        <f t="shared" si="329"/>
        <v>5430.0346000000009</v>
      </c>
      <c r="AG2240" s="2">
        <v>0</v>
      </c>
      <c r="AH2240" s="5">
        <f t="shared" si="332"/>
        <v>31941.38</v>
      </c>
      <c r="AJ2240" s="126" t="e">
        <v>#N/A</v>
      </c>
      <c r="AK2240" s="80">
        <f t="shared" si="330"/>
        <v>0</v>
      </c>
      <c r="AM2240" s="85"/>
    </row>
    <row r="2241" spans="1:39" hidden="1" x14ac:dyDescent="0.3">
      <c r="A2241" s="85" t="s">
        <v>34</v>
      </c>
      <c r="B2241" s="15" t="s">
        <v>701</v>
      </c>
      <c r="C2241" s="15" t="s">
        <v>65</v>
      </c>
      <c r="D2241" s="15" t="s">
        <v>66</v>
      </c>
      <c r="E2241" s="15" t="s">
        <v>2867</v>
      </c>
      <c r="F2241" s="15" t="s">
        <v>2867</v>
      </c>
      <c r="G2241" s="15" t="s">
        <v>2867</v>
      </c>
      <c r="H2241" s="154"/>
      <c r="I2241" s="3" t="s">
        <v>78</v>
      </c>
      <c r="J2241" s="1" t="s">
        <v>3303</v>
      </c>
      <c r="K2241" s="1" t="s">
        <v>3276</v>
      </c>
      <c r="L2241" s="1" t="s">
        <v>701</v>
      </c>
      <c r="M2241" s="15" t="s">
        <v>2868</v>
      </c>
      <c r="N2241" s="15"/>
      <c r="O2241" s="8" t="s">
        <v>410</v>
      </c>
      <c r="P2241" s="8" t="s">
        <v>41</v>
      </c>
      <c r="Q2241" s="9">
        <v>0</v>
      </c>
      <c r="R2241" s="139">
        <v>7125</v>
      </c>
      <c r="T2241" s="18">
        <v>11290.880000000005</v>
      </c>
      <c r="U2241" s="4">
        <v>0</v>
      </c>
      <c r="V2241" s="4">
        <v>6855.8600000000006</v>
      </c>
      <c r="W2241" s="13">
        <f t="shared" si="334"/>
        <v>4435.0200000000041</v>
      </c>
      <c r="X2241" s="13">
        <f t="shared" si="333"/>
        <v>6855.8600000000006</v>
      </c>
      <c r="Y2241" s="13">
        <f t="shared" si="326"/>
        <v>0</v>
      </c>
      <c r="Z2241" s="2">
        <v>0</v>
      </c>
      <c r="AA2241" s="4">
        <v>0</v>
      </c>
      <c r="AB2241" s="4">
        <f t="shared" si="327"/>
        <v>6855.8600000000006</v>
      </c>
      <c r="AC2241" s="6">
        <f t="shared" si="328"/>
        <v>0</v>
      </c>
      <c r="AD2241" s="13">
        <f t="shared" si="331"/>
        <v>6855.8600000000006</v>
      </c>
      <c r="AE2241" s="2">
        <v>0.17</v>
      </c>
      <c r="AF2241" s="5">
        <f t="shared" si="329"/>
        <v>1165.4962000000003</v>
      </c>
      <c r="AG2241" s="2">
        <v>0</v>
      </c>
      <c r="AH2241" s="5">
        <f t="shared" si="332"/>
        <v>6855.8600000000006</v>
      </c>
      <c r="AJ2241" s="126" t="e">
        <v>#N/A</v>
      </c>
      <c r="AK2241" s="80">
        <f t="shared" si="330"/>
        <v>0</v>
      </c>
      <c r="AM2241" s="85"/>
    </row>
    <row r="2242" spans="1:39" hidden="1" x14ac:dyDescent="0.3">
      <c r="A2242" s="85" t="s">
        <v>34</v>
      </c>
      <c r="B2242" s="15" t="s">
        <v>701</v>
      </c>
      <c r="C2242" s="15" t="s">
        <v>65</v>
      </c>
      <c r="D2242" s="15" t="s">
        <v>66</v>
      </c>
      <c r="E2242" s="15" t="s">
        <v>2853</v>
      </c>
      <c r="F2242" s="15" t="s">
        <v>2853</v>
      </c>
      <c r="G2242" s="15" t="s">
        <v>2853</v>
      </c>
      <c r="H2242" s="139"/>
      <c r="I2242" s="3" t="s">
        <v>78</v>
      </c>
      <c r="J2242" s="1" t="s">
        <v>3303</v>
      </c>
      <c r="K2242" s="1" t="s">
        <v>3276</v>
      </c>
      <c r="L2242" s="1" t="s">
        <v>701</v>
      </c>
      <c r="M2242" s="15" t="s">
        <v>2854</v>
      </c>
      <c r="N2242" s="15"/>
      <c r="O2242" s="8" t="s">
        <v>410</v>
      </c>
      <c r="P2242" s="8" t="s">
        <v>46</v>
      </c>
      <c r="Q2242" s="9">
        <v>0.02</v>
      </c>
      <c r="R2242" s="139">
        <v>7158</v>
      </c>
      <c r="T2242" s="18">
        <v>31640.199999999997</v>
      </c>
      <c r="U2242" s="4">
        <v>0</v>
      </c>
      <c r="V2242" s="18">
        <v>0</v>
      </c>
      <c r="W2242" s="13">
        <f t="shared" si="334"/>
        <v>31640.199999999997</v>
      </c>
      <c r="X2242" s="13">
        <f t="shared" si="333"/>
        <v>0</v>
      </c>
      <c r="Y2242" s="13">
        <f t="shared" si="326"/>
        <v>0</v>
      </c>
      <c r="Z2242" s="2">
        <v>0</v>
      </c>
      <c r="AA2242" s="4">
        <v>0</v>
      </c>
      <c r="AB2242" s="4">
        <f t="shared" si="327"/>
        <v>0</v>
      </c>
      <c r="AC2242" s="6">
        <f t="shared" si="328"/>
        <v>0</v>
      </c>
      <c r="AD2242" s="13">
        <f t="shared" si="331"/>
        <v>0</v>
      </c>
      <c r="AE2242" s="2">
        <v>0.17</v>
      </c>
      <c r="AF2242" s="5">
        <f t="shared" si="329"/>
        <v>0</v>
      </c>
      <c r="AG2242" s="2">
        <v>0</v>
      </c>
      <c r="AH2242" s="5">
        <f t="shared" si="332"/>
        <v>0</v>
      </c>
      <c r="AJ2242" s="126" t="e">
        <v>#N/A</v>
      </c>
      <c r="AK2242" s="80">
        <f t="shared" si="330"/>
        <v>0</v>
      </c>
      <c r="AM2242" s="85"/>
    </row>
    <row r="2243" spans="1:39" hidden="1" x14ac:dyDescent="0.3">
      <c r="A2243" s="85" t="s">
        <v>34</v>
      </c>
      <c r="B2243" s="15" t="s">
        <v>701</v>
      </c>
      <c r="C2243" s="15" t="s">
        <v>65</v>
      </c>
      <c r="D2243" s="15" t="s">
        <v>66</v>
      </c>
      <c r="E2243" s="15" t="s">
        <v>1234</v>
      </c>
      <c r="F2243" s="15" t="s">
        <v>1234</v>
      </c>
      <c r="G2243" s="15" t="s">
        <v>1234</v>
      </c>
      <c r="H2243" s="154"/>
      <c r="I2243" s="3" t="s">
        <v>78</v>
      </c>
      <c r="J2243" s="1" t="s">
        <v>3303</v>
      </c>
      <c r="K2243" s="1" t="s">
        <v>3276</v>
      </c>
      <c r="L2243" s="1" t="s">
        <v>701</v>
      </c>
      <c r="M2243" s="15" t="s">
        <v>1237</v>
      </c>
      <c r="N2243" s="15"/>
      <c r="O2243" s="8" t="s">
        <v>410</v>
      </c>
      <c r="P2243" s="8" t="s">
        <v>46</v>
      </c>
      <c r="Q2243" s="9">
        <v>0.01</v>
      </c>
      <c r="R2243" s="139">
        <v>7541</v>
      </c>
      <c r="T2243" s="18">
        <v>5244.4</v>
      </c>
      <c r="U2243" s="4">
        <v>0</v>
      </c>
      <c r="V2243" s="4">
        <v>5244.3999000000003</v>
      </c>
      <c r="W2243" s="13">
        <f t="shared" si="334"/>
        <v>9.999999929277692E-5</v>
      </c>
      <c r="X2243" s="13">
        <f t="shared" si="333"/>
        <v>5192.4751485148518</v>
      </c>
      <c r="Y2243" s="13">
        <f t="shared" ref="Y2243:Y2306" si="335">IF(X2243-AD2243&lt;=0,0,IF(P2243="返现",MAX(X2243-AC2243-AD2243,0),MAX(X2243-AD2243)))</f>
        <v>0</v>
      </c>
      <c r="Z2243" s="2">
        <v>0</v>
      </c>
      <c r="AA2243" s="4">
        <v>0</v>
      </c>
      <c r="AB2243" s="4">
        <f t="shared" ref="AB2243:AB2306" si="336">X2243+AA2243</f>
        <v>5192.4751485148518</v>
      </c>
      <c r="AC2243" s="6">
        <f t="shared" ref="AC2243:AC2306" si="337">IF(P2243="返现",X2243*Q2243,V2243-X2243)</f>
        <v>51.92475148514859</v>
      </c>
      <c r="AD2243" s="13">
        <f t="shared" si="331"/>
        <v>5244.3999000000003</v>
      </c>
      <c r="AE2243" s="2">
        <v>0.17</v>
      </c>
      <c r="AF2243" s="5">
        <f t="shared" ref="AF2243:AF2306" si="338">AD2243*AE2243</f>
        <v>891.54798300000016</v>
      </c>
      <c r="AG2243" s="2">
        <v>0</v>
      </c>
      <c r="AH2243" s="5">
        <f t="shared" si="332"/>
        <v>5244.3999000000003</v>
      </c>
      <c r="AJ2243" s="126" t="e">
        <v>#N/A</v>
      </c>
      <c r="AK2243" s="80">
        <f t="shared" ref="AK2243:AK2306" si="339">X2243+AA2243-AB2243</f>
        <v>0</v>
      </c>
      <c r="AM2243" s="85"/>
    </row>
    <row r="2244" spans="1:39" hidden="1" x14ac:dyDescent="0.3">
      <c r="A2244" s="85" t="s">
        <v>34</v>
      </c>
      <c r="B2244" s="15" t="s">
        <v>701</v>
      </c>
      <c r="C2244" s="15" t="s">
        <v>47</v>
      </c>
      <c r="D2244" s="15" t="s">
        <v>63</v>
      </c>
      <c r="E2244" s="15" t="s">
        <v>1323</v>
      </c>
      <c r="F2244" s="15" t="s">
        <v>1323</v>
      </c>
      <c r="G2244" s="15" t="s">
        <v>1323</v>
      </c>
      <c r="H2244" s="139"/>
      <c r="I2244" s="3" t="s">
        <v>78</v>
      </c>
      <c r="J2244" s="1" t="s">
        <v>3303</v>
      </c>
      <c r="K2244" s="1" t="s">
        <v>3276</v>
      </c>
      <c r="L2244" s="1" t="s">
        <v>701</v>
      </c>
      <c r="M2244" s="15" t="s">
        <v>2869</v>
      </c>
      <c r="N2244" s="15"/>
      <c r="O2244" s="8" t="s">
        <v>410</v>
      </c>
      <c r="P2244" s="8" t="s">
        <v>46</v>
      </c>
      <c r="Q2244" s="9">
        <v>0.02</v>
      </c>
      <c r="R2244" s="139">
        <v>112</v>
      </c>
      <c r="T2244" s="18">
        <v>7764.1100000000024</v>
      </c>
      <c r="U2244" s="4">
        <v>0</v>
      </c>
      <c r="V2244" s="4">
        <v>0</v>
      </c>
      <c r="W2244" s="13">
        <f t="shared" si="334"/>
        <v>7764.1100000000024</v>
      </c>
      <c r="X2244" s="13">
        <f t="shared" si="333"/>
        <v>0</v>
      </c>
      <c r="Y2244" s="13">
        <f t="shared" si="335"/>
        <v>0</v>
      </c>
      <c r="Z2244" s="2">
        <v>0</v>
      </c>
      <c r="AA2244" s="4">
        <v>0</v>
      </c>
      <c r="AB2244" s="4">
        <f t="shared" si="336"/>
        <v>0</v>
      </c>
      <c r="AC2244" s="6">
        <f t="shared" si="337"/>
        <v>0</v>
      </c>
      <c r="AD2244" s="13">
        <f t="shared" si="331"/>
        <v>0</v>
      </c>
      <c r="AE2244" s="2">
        <v>0.17</v>
      </c>
      <c r="AF2244" s="5">
        <f t="shared" si="338"/>
        <v>0</v>
      </c>
      <c r="AG2244" s="2">
        <v>0</v>
      </c>
      <c r="AH2244" s="5">
        <f t="shared" si="332"/>
        <v>0</v>
      </c>
      <c r="AJ2244" s="126" t="e">
        <v>#N/A</v>
      </c>
      <c r="AK2244" s="80">
        <f t="shared" si="339"/>
        <v>0</v>
      </c>
      <c r="AM2244" s="85"/>
    </row>
    <row r="2245" spans="1:39" hidden="1" x14ac:dyDescent="0.3">
      <c r="A2245" s="85" t="s">
        <v>34</v>
      </c>
      <c r="B2245" s="15" t="s">
        <v>701</v>
      </c>
      <c r="C2245" s="15" t="s">
        <v>47</v>
      </c>
      <c r="D2245" s="15" t="s">
        <v>63</v>
      </c>
      <c r="E2245" s="15" t="s">
        <v>2870</v>
      </c>
      <c r="F2245" s="15" t="s">
        <v>2870</v>
      </c>
      <c r="G2245" s="15" t="s">
        <v>2870</v>
      </c>
      <c r="H2245" s="154"/>
      <c r="I2245" s="3" t="s">
        <v>78</v>
      </c>
      <c r="J2245" s="1" t="s">
        <v>3303</v>
      </c>
      <c r="K2245" s="1" t="s">
        <v>3276</v>
      </c>
      <c r="L2245" s="1" t="s">
        <v>701</v>
      </c>
      <c r="M2245" s="15" t="s">
        <v>2871</v>
      </c>
      <c r="N2245" s="15"/>
      <c r="O2245" s="8" t="s">
        <v>410</v>
      </c>
      <c r="P2245" s="8" t="s">
        <v>46</v>
      </c>
      <c r="Q2245" s="9">
        <v>0.03</v>
      </c>
      <c r="R2245" s="139">
        <v>7381</v>
      </c>
      <c r="T2245" s="18">
        <v>16832</v>
      </c>
      <c r="U2245" s="4">
        <v>0</v>
      </c>
      <c r="V2245" s="4">
        <v>2784</v>
      </c>
      <c r="W2245" s="13">
        <f t="shared" si="334"/>
        <v>14048</v>
      </c>
      <c r="X2245" s="13">
        <f t="shared" si="333"/>
        <v>2702.9126213592231</v>
      </c>
      <c r="Y2245" s="13">
        <f t="shared" si="335"/>
        <v>0</v>
      </c>
      <c r="Z2245" s="2">
        <v>0</v>
      </c>
      <c r="AA2245" s="4">
        <v>0</v>
      </c>
      <c r="AB2245" s="4">
        <f t="shared" si="336"/>
        <v>2702.9126213592231</v>
      </c>
      <c r="AC2245" s="6">
        <f t="shared" si="337"/>
        <v>81.087378640776933</v>
      </c>
      <c r="AD2245" s="13">
        <f t="shared" si="331"/>
        <v>2784</v>
      </c>
      <c r="AE2245" s="2">
        <v>0.17</v>
      </c>
      <c r="AF2245" s="5">
        <f t="shared" si="338"/>
        <v>473.28000000000003</v>
      </c>
      <c r="AG2245" s="2">
        <v>0</v>
      </c>
      <c r="AH2245" s="5">
        <f t="shared" si="332"/>
        <v>2784</v>
      </c>
      <c r="AJ2245" s="126" t="e">
        <v>#N/A</v>
      </c>
      <c r="AK2245" s="80">
        <f t="shared" si="339"/>
        <v>0</v>
      </c>
      <c r="AM2245" s="85"/>
    </row>
    <row r="2246" spans="1:39" hidden="1" x14ac:dyDescent="0.3">
      <c r="A2246" s="85" t="s">
        <v>34</v>
      </c>
      <c r="B2246" s="15" t="s">
        <v>701</v>
      </c>
      <c r="C2246" s="15" t="s">
        <v>144</v>
      </c>
      <c r="D2246" s="15" t="s">
        <v>145</v>
      </c>
      <c r="E2246" s="15" t="s">
        <v>2872</v>
      </c>
      <c r="F2246" s="15" t="s">
        <v>2872</v>
      </c>
      <c r="G2246" s="15" t="s">
        <v>2872</v>
      </c>
      <c r="H2246" s="154"/>
      <c r="I2246" s="3" t="s">
        <v>78</v>
      </c>
      <c r="J2246" s="1" t="s">
        <v>3303</v>
      </c>
      <c r="K2246" s="1" t="s">
        <v>3276</v>
      </c>
      <c r="L2246" s="1" t="s">
        <v>701</v>
      </c>
      <c r="M2246" s="15" t="s">
        <v>2873</v>
      </c>
      <c r="N2246" s="15"/>
      <c r="O2246" s="8" t="s">
        <v>410</v>
      </c>
      <c r="P2246" s="8" t="s">
        <v>46</v>
      </c>
      <c r="Q2246" s="9">
        <v>0.02</v>
      </c>
      <c r="R2246" s="139">
        <v>100</v>
      </c>
      <c r="T2246" s="18">
        <v>19819.38</v>
      </c>
      <c r="U2246" s="4">
        <v>0</v>
      </c>
      <c r="V2246" s="4">
        <v>1972.58</v>
      </c>
      <c r="W2246" s="13">
        <f t="shared" si="334"/>
        <v>17846.800000000003</v>
      </c>
      <c r="X2246" s="13">
        <f t="shared" si="333"/>
        <v>1933.9019607843136</v>
      </c>
      <c r="Y2246" s="13">
        <f t="shared" si="335"/>
        <v>0</v>
      </c>
      <c r="Z2246" s="2">
        <v>0</v>
      </c>
      <c r="AA2246" s="4">
        <v>0</v>
      </c>
      <c r="AB2246" s="4">
        <f t="shared" si="336"/>
        <v>1933.9019607843136</v>
      </c>
      <c r="AC2246" s="6">
        <f t="shared" si="337"/>
        <v>38.67803921568634</v>
      </c>
      <c r="AD2246" s="13">
        <f t="shared" si="331"/>
        <v>1972.58</v>
      </c>
      <c r="AE2246" s="2">
        <v>0.17</v>
      </c>
      <c r="AF2246" s="5">
        <f t="shared" si="338"/>
        <v>335.33859999999999</v>
      </c>
      <c r="AG2246" s="2">
        <v>0</v>
      </c>
      <c r="AH2246" s="5">
        <f t="shared" si="332"/>
        <v>1972.58</v>
      </c>
      <c r="AJ2246" s="126" t="e">
        <v>#N/A</v>
      </c>
      <c r="AK2246" s="80">
        <f t="shared" si="339"/>
        <v>0</v>
      </c>
      <c r="AM2246" s="85"/>
    </row>
    <row r="2247" spans="1:39" hidden="1" x14ac:dyDescent="0.3">
      <c r="A2247" s="85" t="s">
        <v>34</v>
      </c>
      <c r="B2247" s="15" t="s">
        <v>701</v>
      </c>
      <c r="C2247" s="15" t="s">
        <v>144</v>
      </c>
      <c r="D2247" s="15" t="s">
        <v>152</v>
      </c>
      <c r="E2247" s="15" t="s">
        <v>155</v>
      </c>
      <c r="F2247" s="15" t="s">
        <v>1465</v>
      </c>
      <c r="G2247" s="15" t="s">
        <v>155</v>
      </c>
      <c r="H2247" s="154"/>
      <c r="I2247" s="3" t="s">
        <v>78</v>
      </c>
      <c r="J2247" s="1" t="s">
        <v>3303</v>
      </c>
      <c r="K2247" s="1" t="s">
        <v>3276</v>
      </c>
      <c r="L2247" s="1" t="s">
        <v>701</v>
      </c>
      <c r="M2247" s="15" t="s">
        <v>2874</v>
      </c>
      <c r="N2247" s="15"/>
      <c r="O2247" s="8" t="s">
        <v>410</v>
      </c>
      <c r="P2247" s="8" t="s">
        <v>46</v>
      </c>
      <c r="Q2247" s="9">
        <v>0.02</v>
      </c>
      <c r="R2247" s="139">
        <v>7446</v>
      </c>
      <c r="T2247" s="18">
        <v>23583.530000000006</v>
      </c>
      <c r="U2247" s="4">
        <v>0</v>
      </c>
      <c r="V2247" s="4">
        <v>11142.92</v>
      </c>
      <c r="W2247" s="13">
        <f t="shared" si="334"/>
        <v>12440.610000000006</v>
      </c>
      <c r="X2247" s="13">
        <f t="shared" si="333"/>
        <v>10924.431372549019</v>
      </c>
      <c r="Y2247" s="13">
        <f t="shared" si="335"/>
        <v>0</v>
      </c>
      <c r="Z2247" s="2">
        <v>0</v>
      </c>
      <c r="AA2247" s="4">
        <v>0</v>
      </c>
      <c r="AB2247" s="4">
        <f t="shared" si="336"/>
        <v>10924.431372549019</v>
      </c>
      <c r="AC2247" s="6">
        <f t="shared" si="337"/>
        <v>218.48862745098086</v>
      </c>
      <c r="AD2247" s="13">
        <f t="shared" si="331"/>
        <v>11142.92</v>
      </c>
      <c r="AE2247" s="2">
        <v>0.17</v>
      </c>
      <c r="AF2247" s="5">
        <f t="shared" si="338"/>
        <v>1894.2964000000002</v>
      </c>
      <c r="AG2247" s="2">
        <v>0</v>
      </c>
      <c r="AH2247" s="5">
        <f t="shared" si="332"/>
        <v>11142.92</v>
      </c>
      <c r="AJ2247" s="126" t="e">
        <v>#N/A</v>
      </c>
      <c r="AK2247" s="80">
        <f t="shared" si="339"/>
        <v>0</v>
      </c>
      <c r="AM2247" s="85"/>
    </row>
    <row r="2248" spans="1:39" hidden="1" x14ac:dyDescent="0.3">
      <c r="A2248" s="85" t="s">
        <v>34</v>
      </c>
      <c r="B2248" s="15" t="s">
        <v>701</v>
      </c>
      <c r="C2248" s="15" t="s">
        <v>144</v>
      </c>
      <c r="D2248" s="15" t="s">
        <v>152</v>
      </c>
      <c r="E2248" s="15" t="s">
        <v>2875</v>
      </c>
      <c r="F2248" s="15" t="s">
        <v>2875</v>
      </c>
      <c r="G2248" s="15" t="s">
        <v>2875</v>
      </c>
      <c r="H2248" s="139"/>
      <c r="I2248" s="3" t="s">
        <v>78</v>
      </c>
      <c r="J2248" s="1" t="s">
        <v>3303</v>
      </c>
      <c r="K2248" s="1" t="s">
        <v>3276</v>
      </c>
      <c r="L2248" s="1" t="s">
        <v>701</v>
      </c>
      <c r="M2248" s="15" t="s">
        <v>2876</v>
      </c>
      <c r="N2248" s="15"/>
      <c r="O2248" s="8" t="s">
        <v>410</v>
      </c>
      <c r="P2248" s="8" t="s">
        <v>41</v>
      </c>
      <c r="Q2248" s="9">
        <v>0</v>
      </c>
      <c r="R2248" s="139">
        <v>7506</v>
      </c>
      <c r="T2248" s="18">
        <v>14428.95</v>
      </c>
      <c r="U2248" s="4">
        <v>0</v>
      </c>
      <c r="V2248" s="4">
        <v>7992.9</v>
      </c>
      <c r="W2248" s="13">
        <f t="shared" si="334"/>
        <v>6436.0500000000011</v>
      </c>
      <c r="X2248" s="13">
        <f t="shared" si="333"/>
        <v>7992.9</v>
      </c>
      <c r="Y2248" s="13">
        <f t="shared" si="335"/>
        <v>0</v>
      </c>
      <c r="Z2248" s="2">
        <v>0</v>
      </c>
      <c r="AA2248" s="4">
        <v>0</v>
      </c>
      <c r="AB2248" s="4"/>
      <c r="AC2248" s="6">
        <f t="shared" si="337"/>
        <v>0</v>
      </c>
      <c r="AD2248" s="13">
        <f t="shared" si="331"/>
        <v>7992.9</v>
      </c>
      <c r="AE2248" s="2">
        <v>0.17</v>
      </c>
      <c r="AF2248" s="5">
        <f t="shared" si="338"/>
        <v>1358.7930000000001</v>
      </c>
      <c r="AG2248" s="2">
        <v>0</v>
      </c>
      <c r="AH2248" s="5">
        <f t="shared" si="332"/>
        <v>7992.9</v>
      </c>
      <c r="AJ2248" s="126">
        <v>107</v>
      </c>
      <c r="AK2248" s="80">
        <f t="shared" si="339"/>
        <v>7992.9</v>
      </c>
      <c r="AM2248" s="85"/>
    </row>
    <row r="2249" spans="1:39" hidden="1" x14ac:dyDescent="0.3">
      <c r="A2249" s="85" t="s">
        <v>34</v>
      </c>
      <c r="B2249" s="15" t="s">
        <v>701</v>
      </c>
      <c r="C2249" s="15" t="s">
        <v>144</v>
      </c>
      <c r="D2249" s="15" t="s">
        <v>152</v>
      </c>
      <c r="E2249" s="15" t="s">
        <v>2877</v>
      </c>
      <c r="F2249" s="15" t="s">
        <v>2877</v>
      </c>
      <c r="G2249" s="15" t="s">
        <v>2877</v>
      </c>
      <c r="H2249" s="139"/>
      <c r="I2249" s="3" t="s">
        <v>78</v>
      </c>
      <c r="J2249" s="1" t="s">
        <v>3303</v>
      </c>
      <c r="K2249" s="1" t="s">
        <v>3276</v>
      </c>
      <c r="L2249" s="1" t="s">
        <v>701</v>
      </c>
      <c r="M2249" s="15" t="s">
        <v>2878</v>
      </c>
      <c r="N2249" s="15"/>
      <c r="O2249" s="8" t="s">
        <v>410</v>
      </c>
      <c r="P2249" s="8" t="s">
        <v>46</v>
      </c>
      <c r="Q2249" s="9">
        <v>0.02</v>
      </c>
      <c r="R2249" s="139">
        <v>7547</v>
      </c>
      <c r="T2249" s="18">
        <v>2755.4399999999996</v>
      </c>
      <c r="U2249" s="4">
        <v>0</v>
      </c>
      <c r="V2249" s="4">
        <v>0</v>
      </c>
      <c r="W2249" s="13">
        <f t="shared" si="334"/>
        <v>2755.4399999999996</v>
      </c>
      <c r="X2249" s="13">
        <f t="shared" si="333"/>
        <v>0</v>
      </c>
      <c r="Y2249" s="13">
        <f t="shared" si="335"/>
        <v>0</v>
      </c>
      <c r="Z2249" s="2">
        <v>0</v>
      </c>
      <c r="AA2249" s="4">
        <v>0</v>
      </c>
      <c r="AB2249" s="4">
        <f t="shared" si="336"/>
        <v>0</v>
      </c>
      <c r="AC2249" s="6">
        <f t="shared" si="337"/>
        <v>0</v>
      </c>
      <c r="AD2249" s="13">
        <f t="shared" si="331"/>
        <v>0</v>
      </c>
      <c r="AE2249" s="2">
        <v>0.17</v>
      </c>
      <c r="AF2249" s="5">
        <f t="shared" si="338"/>
        <v>0</v>
      </c>
      <c r="AG2249" s="2">
        <v>0</v>
      </c>
      <c r="AH2249" s="5">
        <f t="shared" si="332"/>
        <v>0</v>
      </c>
      <c r="AJ2249" s="126" t="e">
        <v>#N/A</v>
      </c>
      <c r="AK2249" s="80">
        <f t="shared" si="339"/>
        <v>0</v>
      </c>
      <c r="AM2249" s="85"/>
    </row>
    <row r="2250" spans="1:39" hidden="1" x14ac:dyDescent="0.3">
      <c r="A2250" s="85" t="s">
        <v>34</v>
      </c>
      <c r="B2250" s="15" t="s">
        <v>701</v>
      </c>
      <c r="C2250" s="15" t="s">
        <v>144</v>
      </c>
      <c r="D2250" s="15" t="s">
        <v>161</v>
      </c>
      <c r="E2250" s="15" t="s">
        <v>1935</v>
      </c>
      <c r="F2250" s="15" t="s">
        <v>1935</v>
      </c>
      <c r="G2250" s="15" t="s">
        <v>1935</v>
      </c>
      <c r="H2250" s="139"/>
      <c r="I2250" s="3" t="s">
        <v>78</v>
      </c>
      <c r="J2250" s="1" t="s">
        <v>3303</v>
      </c>
      <c r="K2250" s="1" t="s">
        <v>3276</v>
      </c>
      <c r="L2250" s="1" t="s">
        <v>701</v>
      </c>
      <c r="M2250" s="15" t="s">
        <v>1935</v>
      </c>
      <c r="N2250" s="15"/>
      <c r="O2250" s="8" t="s">
        <v>410</v>
      </c>
      <c r="P2250" s="8" t="s">
        <v>46</v>
      </c>
      <c r="Q2250" s="9">
        <v>0.02</v>
      </c>
      <c r="R2250" s="139">
        <v>7451</v>
      </c>
      <c r="T2250" s="18">
        <v>20400.000000000004</v>
      </c>
      <c r="U2250" s="4">
        <v>0</v>
      </c>
      <c r="V2250" s="4">
        <v>0</v>
      </c>
      <c r="W2250" s="13">
        <f t="shared" si="334"/>
        <v>20400.000000000004</v>
      </c>
      <c r="X2250" s="13">
        <f t="shared" si="333"/>
        <v>0</v>
      </c>
      <c r="Y2250" s="13">
        <f t="shared" si="335"/>
        <v>0</v>
      </c>
      <c r="Z2250" s="2">
        <v>0</v>
      </c>
      <c r="AA2250" s="4">
        <v>0</v>
      </c>
      <c r="AB2250" s="4">
        <f t="shared" si="336"/>
        <v>0</v>
      </c>
      <c r="AC2250" s="6">
        <f t="shared" si="337"/>
        <v>0</v>
      </c>
      <c r="AD2250" s="13">
        <f t="shared" si="331"/>
        <v>0</v>
      </c>
      <c r="AE2250" s="2">
        <v>0.17</v>
      </c>
      <c r="AF2250" s="5">
        <f t="shared" si="338"/>
        <v>0</v>
      </c>
      <c r="AG2250" s="2">
        <v>0</v>
      </c>
      <c r="AH2250" s="5">
        <f t="shared" si="332"/>
        <v>0</v>
      </c>
      <c r="AJ2250" s="126" t="e">
        <v>#N/A</v>
      </c>
      <c r="AK2250" s="80">
        <f t="shared" si="339"/>
        <v>0</v>
      </c>
      <c r="AM2250" s="85"/>
    </row>
    <row r="2251" spans="1:39" hidden="1" x14ac:dyDescent="0.3">
      <c r="A2251" s="85" t="s">
        <v>34</v>
      </c>
      <c r="B2251" s="15" t="s">
        <v>701</v>
      </c>
      <c r="C2251" s="15" t="s">
        <v>164</v>
      </c>
      <c r="D2251" s="15" t="s">
        <v>165</v>
      </c>
      <c r="E2251" s="15" t="s">
        <v>1549</v>
      </c>
      <c r="F2251" s="15" t="s">
        <v>1550</v>
      </c>
      <c r="G2251" s="15" t="s">
        <v>1549</v>
      </c>
      <c r="H2251" s="154"/>
      <c r="I2251" s="3" t="s">
        <v>78</v>
      </c>
      <c r="J2251" s="1" t="s">
        <v>3303</v>
      </c>
      <c r="K2251" s="1" t="s">
        <v>3276</v>
      </c>
      <c r="L2251" s="1" t="s">
        <v>701</v>
      </c>
      <c r="M2251" s="15" t="s">
        <v>1551</v>
      </c>
      <c r="N2251" s="15"/>
      <c r="O2251" s="8" t="s">
        <v>410</v>
      </c>
      <c r="P2251" s="8" t="s">
        <v>46</v>
      </c>
      <c r="Q2251" s="9">
        <v>0.02</v>
      </c>
      <c r="R2251" s="139">
        <v>7144</v>
      </c>
      <c r="T2251" s="18">
        <v>2920.1000000000004</v>
      </c>
      <c r="U2251" s="4">
        <v>0</v>
      </c>
      <c r="V2251" s="18">
        <v>2920.1000000000004</v>
      </c>
      <c r="W2251" s="13">
        <f t="shared" si="334"/>
        <v>0</v>
      </c>
      <c r="X2251" s="13">
        <f t="shared" si="333"/>
        <v>2862.8431372549021</v>
      </c>
      <c r="Y2251" s="13">
        <f t="shared" si="335"/>
        <v>0</v>
      </c>
      <c r="Z2251" s="2">
        <v>0</v>
      </c>
      <c r="AA2251" s="4">
        <v>0</v>
      </c>
      <c r="AB2251" s="4">
        <f t="shared" si="336"/>
        <v>2862.8431372549021</v>
      </c>
      <c r="AC2251" s="6">
        <f t="shared" si="337"/>
        <v>57.25686274509826</v>
      </c>
      <c r="AD2251" s="13">
        <f t="shared" si="331"/>
        <v>2920.1000000000004</v>
      </c>
      <c r="AE2251" s="2">
        <v>0.17</v>
      </c>
      <c r="AF2251" s="5">
        <f t="shared" si="338"/>
        <v>496.41700000000009</v>
      </c>
      <c r="AG2251" s="2">
        <v>0</v>
      </c>
      <c r="AH2251" s="5">
        <f t="shared" si="332"/>
        <v>2920.1000000000004</v>
      </c>
      <c r="AJ2251" s="126" t="e">
        <v>#N/A</v>
      </c>
      <c r="AK2251" s="80">
        <f t="shared" si="339"/>
        <v>0</v>
      </c>
      <c r="AM2251" s="85"/>
    </row>
    <row r="2252" spans="1:39" hidden="1" x14ac:dyDescent="0.3">
      <c r="A2252" s="85" t="s">
        <v>34</v>
      </c>
      <c r="B2252" s="15" t="s">
        <v>701</v>
      </c>
      <c r="C2252" s="15" t="s">
        <v>164</v>
      </c>
      <c r="D2252" s="15" t="s">
        <v>174</v>
      </c>
      <c r="E2252" s="15" t="s">
        <v>2879</v>
      </c>
      <c r="F2252" s="15" t="s">
        <v>2879</v>
      </c>
      <c r="G2252" s="15" t="s">
        <v>2879</v>
      </c>
      <c r="H2252" s="139"/>
      <c r="I2252" s="3" t="s">
        <v>78</v>
      </c>
      <c r="J2252" s="1" t="s">
        <v>3303</v>
      </c>
      <c r="K2252" s="1" t="s">
        <v>3276</v>
      </c>
      <c r="L2252" s="1" t="s">
        <v>701</v>
      </c>
      <c r="M2252" s="15" t="s">
        <v>2880</v>
      </c>
      <c r="N2252" s="15"/>
      <c r="O2252" s="8" t="s">
        <v>410</v>
      </c>
      <c r="P2252" s="8" t="s">
        <v>41</v>
      </c>
      <c r="Q2252" s="9">
        <v>0</v>
      </c>
      <c r="R2252" s="139">
        <v>7433</v>
      </c>
      <c r="T2252" s="18">
        <v>817</v>
      </c>
      <c r="U2252" s="4">
        <v>0</v>
      </c>
      <c r="V2252" s="4">
        <v>0</v>
      </c>
      <c r="W2252" s="13">
        <f t="shared" si="334"/>
        <v>817</v>
      </c>
      <c r="X2252" s="13">
        <f t="shared" si="333"/>
        <v>0</v>
      </c>
      <c r="Y2252" s="13">
        <f t="shared" si="335"/>
        <v>0</v>
      </c>
      <c r="Z2252" s="2">
        <v>0</v>
      </c>
      <c r="AA2252" s="4">
        <v>0</v>
      </c>
      <c r="AB2252" s="4"/>
      <c r="AC2252" s="6">
        <f t="shared" si="337"/>
        <v>0</v>
      </c>
      <c r="AD2252" s="13">
        <f t="shared" si="331"/>
        <v>0</v>
      </c>
      <c r="AE2252" s="2">
        <v>0.17</v>
      </c>
      <c r="AF2252" s="5">
        <f t="shared" si="338"/>
        <v>0</v>
      </c>
      <c r="AG2252" s="2">
        <v>0</v>
      </c>
      <c r="AH2252" s="5">
        <f t="shared" si="332"/>
        <v>0</v>
      </c>
      <c r="AJ2252" s="126">
        <v>40</v>
      </c>
      <c r="AK2252" s="80">
        <f t="shared" si="339"/>
        <v>0</v>
      </c>
      <c r="AM2252" s="85"/>
    </row>
    <row r="2253" spans="1:39" hidden="1" x14ac:dyDescent="0.3">
      <c r="A2253" s="85" t="s">
        <v>34</v>
      </c>
      <c r="B2253" s="15" t="s">
        <v>701</v>
      </c>
      <c r="C2253" s="15" t="s">
        <v>53</v>
      </c>
      <c r="D2253" s="15" t="s">
        <v>224</v>
      </c>
      <c r="E2253" s="15" t="s">
        <v>2736</v>
      </c>
      <c r="F2253" s="15" t="s">
        <v>2736</v>
      </c>
      <c r="G2253" s="15" t="s">
        <v>2736</v>
      </c>
      <c r="H2253" s="154"/>
      <c r="I2253" s="3" t="s">
        <v>78</v>
      </c>
      <c r="J2253" s="1" t="s">
        <v>3303</v>
      </c>
      <c r="K2253" s="1" t="s">
        <v>3276</v>
      </c>
      <c r="L2253" s="1" t="s">
        <v>701</v>
      </c>
      <c r="M2253" s="15" t="s">
        <v>2737</v>
      </c>
      <c r="N2253" s="15"/>
      <c r="O2253" s="8" t="s">
        <v>410</v>
      </c>
      <c r="P2253" s="8" t="s">
        <v>46</v>
      </c>
      <c r="Q2253" s="9">
        <v>0.02</v>
      </c>
      <c r="R2253" s="139">
        <v>7454</v>
      </c>
      <c r="T2253" s="18">
        <v>1619.7</v>
      </c>
      <c r="U2253" s="4">
        <v>0</v>
      </c>
      <c r="V2253" s="18">
        <v>1619.7</v>
      </c>
      <c r="W2253" s="13">
        <f t="shared" si="334"/>
        <v>0</v>
      </c>
      <c r="X2253" s="13">
        <f t="shared" si="333"/>
        <v>1587.9411764705883</v>
      </c>
      <c r="Y2253" s="13">
        <f t="shared" si="335"/>
        <v>0</v>
      </c>
      <c r="Z2253" s="2">
        <v>0</v>
      </c>
      <c r="AA2253" s="4">
        <v>0</v>
      </c>
      <c r="AB2253" s="4">
        <f t="shared" si="336"/>
        <v>1587.9411764705883</v>
      </c>
      <c r="AC2253" s="6">
        <f t="shared" si="337"/>
        <v>31.758823529411757</v>
      </c>
      <c r="AD2253" s="13">
        <f t="shared" si="331"/>
        <v>1619.7</v>
      </c>
      <c r="AE2253" s="2">
        <v>0.17</v>
      </c>
      <c r="AF2253" s="5">
        <f t="shared" si="338"/>
        <v>275.34900000000005</v>
      </c>
      <c r="AG2253" s="2">
        <v>0</v>
      </c>
      <c r="AH2253" s="5">
        <f t="shared" si="332"/>
        <v>1619.7</v>
      </c>
      <c r="AJ2253" s="126" t="e">
        <v>#N/A</v>
      </c>
      <c r="AK2253" s="80">
        <f t="shared" si="339"/>
        <v>0</v>
      </c>
      <c r="AM2253" s="85"/>
    </row>
    <row r="2254" spans="1:39" hidden="1" x14ac:dyDescent="0.3">
      <c r="A2254" s="85" t="s">
        <v>34</v>
      </c>
      <c r="B2254" s="15" t="s">
        <v>701</v>
      </c>
      <c r="C2254" s="15" t="s">
        <v>53</v>
      </c>
      <c r="D2254" s="15" t="s">
        <v>54</v>
      </c>
      <c r="E2254" s="15" t="s">
        <v>2881</v>
      </c>
      <c r="F2254" s="15" t="s">
        <v>2881</v>
      </c>
      <c r="G2254" s="15" t="s">
        <v>2881</v>
      </c>
      <c r="H2254" s="154"/>
      <c r="I2254" s="3" t="s">
        <v>78</v>
      </c>
      <c r="J2254" s="1" t="s">
        <v>3303</v>
      </c>
      <c r="K2254" s="1" t="s">
        <v>3276</v>
      </c>
      <c r="L2254" s="1" t="s">
        <v>701</v>
      </c>
      <c r="M2254" s="15" t="s">
        <v>2882</v>
      </c>
      <c r="N2254" s="15"/>
      <c r="O2254" s="8" t="s">
        <v>410</v>
      </c>
      <c r="P2254" s="8" t="s">
        <v>41</v>
      </c>
      <c r="Q2254" s="9">
        <v>0</v>
      </c>
      <c r="R2254" s="139">
        <v>7189</v>
      </c>
      <c r="T2254" s="18">
        <v>4817.7</v>
      </c>
      <c r="U2254" s="4">
        <v>0</v>
      </c>
      <c r="V2254" s="4">
        <v>2324.4</v>
      </c>
      <c r="W2254" s="13">
        <f t="shared" si="334"/>
        <v>2493.2999999999997</v>
      </c>
      <c r="X2254" s="13">
        <f t="shared" si="333"/>
        <v>2324.4</v>
      </c>
      <c r="Y2254" s="13">
        <f t="shared" si="335"/>
        <v>0</v>
      </c>
      <c r="Z2254" s="2">
        <v>0</v>
      </c>
      <c r="AA2254" s="4">
        <v>0</v>
      </c>
      <c r="AB2254" s="4">
        <f t="shared" si="336"/>
        <v>2324.4</v>
      </c>
      <c r="AC2254" s="6">
        <f t="shared" si="337"/>
        <v>0</v>
      </c>
      <c r="AD2254" s="13">
        <f t="shared" si="331"/>
        <v>2324.4</v>
      </c>
      <c r="AE2254" s="2">
        <v>0.17</v>
      </c>
      <c r="AF2254" s="5">
        <f t="shared" si="338"/>
        <v>395.14800000000002</v>
      </c>
      <c r="AG2254" s="2">
        <v>0</v>
      </c>
      <c r="AH2254" s="5">
        <f t="shared" si="332"/>
        <v>2324.4</v>
      </c>
      <c r="AJ2254" s="126" t="e">
        <v>#N/A</v>
      </c>
      <c r="AK2254" s="80">
        <f t="shared" si="339"/>
        <v>0</v>
      </c>
      <c r="AM2254" s="85"/>
    </row>
    <row r="2255" spans="1:39" hidden="1" x14ac:dyDescent="0.3">
      <c r="A2255" s="85" t="s">
        <v>34</v>
      </c>
      <c r="B2255" s="15" t="s">
        <v>701</v>
      </c>
      <c r="C2255" s="15" t="s">
        <v>47</v>
      </c>
      <c r="D2255" s="15" t="s">
        <v>48</v>
      </c>
      <c r="E2255" s="15" t="s">
        <v>2883</v>
      </c>
      <c r="F2255" s="15" t="s">
        <v>2883</v>
      </c>
      <c r="G2255" s="15" t="s">
        <v>2883</v>
      </c>
      <c r="H2255" s="154"/>
      <c r="I2255" s="3" t="s">
        <v>78</v>
      </c>
      <c r="J2255" s="1" t="s">
        <v>3303</v>
      </c>
      <c r="K2255" s="1" t="s">
        <v>3276</v>
      </c>
      <c r="L2255" s="1" t="s">
        <v>701</v>
      </c>
      <c r="M2255" s="15" t="s">
        <v>1917</v>
      </c>
      <c r="N2255" s="15"/>
      <c r="O2255" s="8" t="s">
        <v>410</v>
      </c>
      <c r="P2255" s="8" t="s">
        <v>41</v>
      </c>
      <c r="Q2255" s="9">
        <v>0</v>
      </c>
      <c r="R2255" s="139">
        <v>7184</v>
      </c>
      <c r="T2255" s="18">
        <v>3440.6599999999944</v>
      </c>
      <c r="U2255" s="4">
        <v>0</v>
      </c>
      <c r="V2255" s="4">
        <v>3440.66</v>
      </c>
      <c r="W2255" s="13">
        <f t="shared" si="334"/>
        <v>-5.4569682106375694E-12</v>
      </c>
      <c r="X2255" s="13">
        <f t="shared" si="333"/>
        <v>3440.66</v>
      </c>
      <c r="Y2255" s="13">
        <f t="shared" si="335"/>
        <v>0</v>
      </c>
      <c r="Z2255" s="2">
        <v>0</v>
      </c>
      <c r="AA2255" s="4">
        <v>0</v>
      </c>
      <c r="AB2255" s="4">
        <f t="shared" si="336"/>
        <v>3440.66</v>
      </c>
      <c r="AC2255" s="6">
        <f t="shared" si="337"/>
        <v>0</v>
      </c>
      <c r="AD2255" s="13">
        <f t="shared" si="331"/>
        <v>3440.66</v>
      </c>
      <c r="AE2255" s="2">
        <v>0.17</v>
      </c>
      <c r="AF2255" s="5">
        <f t="shared" si="338"/>
        <v>584.91219999999998</v>
      </c>
      <c r="AG2255" s="2">
        <v>0</v>
      </c>
      <c r="AH2255" s="5">
        <f t="shared" si="332"/>
        <v>3440.66</v>
      </c>
      <c r="AJ2255" s="126" t="e">
        <v>#N/A</v>
      </c>
      <c r="AK2255" s="80">
        <f t="shared" si="339"/>
        <v>0</v>
      </c>
      <c r="AM2255" s="85"/>
    </row>
    <row r="2256" spans="1:39" hidden="1" x14ac:dyDescent="0.3">
      <c r="A2256" s="85" t="s">
        <v>34</v>
      </c>
      <c r="B2256" s="15" t="s">
        <v>701</v>
      </c>
      <c r="C2256" s="15" t="s">
        <v>144</v>
      </c>
      <c r="D2256" s="15" t="s">
        <v>145</v>
      </c>
      <c r="E2256" s="15" t="s">
        <v>2884</v>
      </c>
      <c r="F2256" s="15" t="s">
        <v>2884</v>
      </c>
      <c r="G2256" s="15" t="s">
        <v>2884</v>
      </c>
      <c r="H2256" s="154"/>
      <c r="I2256" s="3" t="s">
        <v>78</v>
      </c>
      <c r="J2256" s="1" t="s">
        <v>3303</v>
      </c>
      <c r="K2256" s="1" t="s">
        <v>3276</v>
      </c>
      <c r="L2256" s="1" t="s">
        <v>701</v>
      </c>
      <c r="M2256" s="15" t="s">
        <v>2884</v>
      </c>
      <c r="N2256" s="15"/>
      <c r="O2256" s="8" t="s">
        <v>410</v>
      </c>
      <c r="P2256" s="8" t="s">
        <v>46</v>
      </c>
      <c r="Q2256" s="9">
        <v>0.02</v>
      </c>
      <c r="R2256" s="139">
        <v>7355</v>
      </c>
      <c r="T2256" s="18">
        <v>182.79999999999927</v>
      </c>
      <c r="U2256" s="4">
        <v>0</v>
      </c>
      <c r="V2256" s="4">
        <v>182.79999999999998</v>
      </c>
      <c r="W2256" s="13">
        <f t="shared" si="334"/>
        <v>-7.1054273576010019E-13</v>
      </c>
      <c r="X2256" s="13">
        <f t="shared" si="333"/>
        <v>179.21568627450978</v>
      </c>
      <c r="Y2256" s="13">
        <f t="shared" si="335"/>
        <v>0</v>
      </c>
      <c r="Z2256" s="2">
        <v>0</v>
      </c>
      <c r="AA2256" s="4">
        <v>0</v>
      </c>
      <c r="AB2256" s="4">
        <f t="shared" si="336"/>
        <v>179.21568627450978</v>
      </c>
      <c r="AC2256" s="6">
        <f t="shared" si="337"/>
        <v>3.5843137254902047</v>
      </c>
      <c r="AD2256" s="13">
        <f t="shared" si="331"/>
        <v>182.79999999999998</v>
      </c>
      <c r="AE2256" s="2">
        <v>0.17</v>
      </c>
      <c r="AF2256" s="5">
        <f t="shared" si="338"/>
        <v>31.076000000000001</v>
      </c>
      <c r="AG2256" s="2">
        <v>0</v>
      </c>
      <c r="AH2256" s="5">
        <f t="shared" si="332"/>
        <v>182.79999999999998</v>
      </c>
      <c r="AJ2256" s="126" t="e">
        <v>#N/A</v>
      </c>
      <c r="AK2256" s="80">
        <f t="shared" si="339"/>
        <v>0</v>
      </c>
      <c r="AM2256" s="85"/>
    </row>
    <row r="2257" spans="1:39" hidden="1" x14ac:dyDescent="0.3">
      <c r="A2257" s="85" t="s">
        <v>34</v>
      </c>
      <c r="B2257" s="15" t="s">
        <v>701</v>
      </c>
      <c r="C2257" s="15" t="s">
        <v>144</v>
      </c>
      <c r="D2257" s="15" t="s">
        <v>145</v>
      </c>
      <c r="E2257" s="15" t="s">
        <v>2066</v>
      </c>
      <c r="F2257" s="15" t="s">
        <v>2066</v>
      </c>
      <c r="G2257" s="15" t="s">
        <v>2066</v>
      </c>
      <c r="H2257" s="154"/>
      <c r="I2257" s="3" t="s">
        <v>78</v>
      </c>
      <c r="J2257" s="1" t="s">
        <v>3303</v>
      </c>
      <c r="K2257" s="1" t="s">
        <v>3276</v>
      </c>
      <c r="L2257" s="1" t="s">
        <v>701</v>
      </c>
      <c r="M2257" s="15" t="s">
        <v>2885</v>
      </c>
      <c r="N2257" s="15"/>
      <c r="O2257" s="8" t="s">
        <v>410</v>
      </c>
      <c r="P2257" s="8" t="s">
        <v>46</v>
      </c>
      <c r="Q2257" s="9">
        <v>0.03</v>
      </c>
      <c r="R2257" s="139">
        <v>101</v>
      </c>
      <c r="T2257" s="18">
        <v>4127.45999999999</v>
      </c>
      <c r="U2257" s="4">
        <v>0</v>
      </c>
      <c r="V2257" s="4">
        <v>4127.46</v>
      </c>
      <c r="W2257" s="13">
        <f t="shared" si="334"/>
        <v>-1.0004441719502211E-11</v>
      </c>
      <c r="X2257" s="13">
        <f t="shared" si="333"/>
        <v>4007.2427184466019</v>
      </c>
      <c r="Y2257" s="13">
        <f t="shared" si="335"/>
        <v>0</v>
      </c>
      <c r="Z2257" s="2">
        <v>0</v>
      </c>
      <c r="AA2257" s="4">
        <v>0</v>
      </c>
      <c r="AB2257" s="4">
        <f t="shared" si="336"/>
        <v>4007.2427184466019</v>
      </c>
      <c r="AC2257" s="6">
        <f t="shared" si="337"/>
        <v>120.21728155339815</v>
      </c>
      <c r="AD2257" s="13">
        <f t="shared" si="331"/>
        <v>4127.46</v>
      </c>
      <c r="AE2257" s="2">
        <v>0.17</v>
      </c>
      <c r="AF2257" s="5">
        <f t="shared" si="338"/>
        <v>701.66820000000007</v>
      </c>
      <c r="AG2257" s="2">
        <v>0</v>
      </c>
      <c r="AH2257" s="5">
        <f t="shared" si="332"/>
        <v>4127.46</v>
      </c>
      <c r="AJ2257" s="126" t="e">
        <v>#N/A</v>
      </c>
      <c r="AK2257" s="80">
        <f t="shared" si="339"/>
        <v>0</v>
      </c>
      <c r="AM2257" s="85"/>
    </row>
    <row r="2258" spans="1:39" hidden="1" x14ac:dyDescent="0.3">
      <c r="A2258" s="85" t="s">
        <v>34</v>
      </c>
      <c r="B2258" s="15" t="s">
        <v>701</v>
      </c>
      <c r="C2258" s="15" t="s">
        <v>144</v>
      </c>
      <c r="D2258" s="15" t="s">
        <v>152</v>
      </c>
      <c r="E2258" s="15" t="s">
        <v>2886</v>
      </c>
      <c r="F2258" s="15" t="s">
        <v>2886</v>
      </c>
      <c r="G2258" s="15" t="s">
        <v>2886</v>
      </c>
      <c r="H2258" s="139"/>
      <c r="I2258" s="3" t="s">
        <v>78</v>
      </c>
      <c r="J2258" s="1" t="s">
        <v>3303</v>
      </c>
      <c r="K2258" s="1" t="s">
        <v>3276</v>
      </c>
      <c r="L2258" s="1" t="s">
        <v>701</v>
      </c>
      <c r="M2258" s="15" t="s">
        <v>2886</v>
      </c>
      <c r="N2258" s="15"/>
      <c r="O2258" s="8" t="s">
        <v>410</v>
      </c>
      <c r="P2258" s="8" t="s">
        <v>46</v>
      </c>
      <c r="Q2258" s="9">
        <v>0.02</v>
      </c>
      <c r="R2258" s="139">
        <v>7482</v>
      </c>
      <c r="T2258" s="18">
        <v>19030.79</v>
      </c>
      <c r="U2258" s="4">
        <v>0</v>
      </c>
      <c r="V2258" s="4">
        <v>12176.79</v>
      </c>
      <c r="W2258" s="13">
        <f t="shared" si="334"/>
        <v>6854</v>
      </c>
      <c r="X2258" s="13">
        <f t="shared" si="333"/>
        <v>11938.029411764706</v>
      </c>
      <c r="Y2258" s="13">
        <f t="shared" si="335"/>
        <v>0</v>
      </c>
      <c r="Z2258" s="2">
        <v>0</v>
      </c>
      <c r="AA2258" s="4">
        <v>0</v>
      </c>
      <c r="AB2258" s="4"/>
      <c r="AC2258" s="6">
        <f t="shared" si="337"/>
        <v>238.76058823529456</v>
      </c>
      <c r="AD2258" s="13">
        <f t="shared" si="331"/>
        <v>12176.79</v>
      </c>
      <c r="AE2258" s="2">
        <v>0.17</v>
      </c>
      <c r="AF2258" s="5">
        <f t="shared" si="338"/>
        <v>2070.0543000000002</v>
      </c>
      <c r="AG2258" s="2">
        <v>0</v>
      </c>
      <c r="AH2258" s="5">
        <f t="shared" si="332"/>
        <v>12176.79</v>
      </c>
      <c r="AJ2258" s="126">
        <v>104</v>
      </c>
      <c r="AK2258" s="80">
        <f t="shared" si="339"/>
        <v>11938.029411764706</v>
      </c>
      <c r="AM2258" s="85"/>
    </row>
    <row r="2259" spans="1:39" hidden="1" x14ac:dyDescent="0.3">
      <c r="A2259" s="85" t="s">
        <v>34</v>
      </c>
      <c r="B2259" s="15" t="s">
        <v>701</v>
      </c>
      <c r="C2259" s="15" t="s">
        <v>164</v>
      </c>
      <c r="D2259" s="15" t="s">
        <v>169</v>
      </c>
      <c r="E2259" s="15" t="s">
        <v>1579</v>
      </c>
      <c r="F2259" s="15" t="s">
        <v>1579</v>
      </c>
      <c r="G2259" s="15" t="s">
        <v>1579</v>
      </c>
      <c r="H2259" s="139"/>
      <c r="I2259" s="3" t="s">
        <v>78</v>
      </c>
      <c r="J2259" s="1" t="s">
        <v>3303</v>
      </c>
      <c r="K2259" s="1" t="s">
        <v>3276</v>
      </c>
      <c r="L2259" s="1" t="s">
        <v>701</v>
      </c>
      <c r="M2259" s="15" t="s">
        <v>2887</v>
      </c>
      <c r="N2259" s="15"/>
      <c r="O2259" s="8" t="s">
        <v>410</v>
      </c>
      <c r="P2259" s="8" t="s">
        <v>41</v>
      </c>
      <c r="Q2259" s="9">
        <v>0</v>
      </c>
      <c r="R2259" s="139">
        <v>7524</v>
      </c>
      <c r="T2259" s="18">
        <v>4446.7000000000007</v>
      </c>
      <c r="U2259" s="4">
        <v>0</v>
      </c>
      <c r="V2259" s="4">
        <v>0</v>
      </c>
      <c r="W2259" s="13">
        <f t="shared" si="334"/>
        <v>4446.7000000000007</v>
      </c>
      <c r="X2259" s="13">
        <f t="shared" si="333"/>
        <v>0</v>
      </c>
      <c r="Y2259" s="13">
        <f t="shared" si="335"/>
        <v>0</v>
      </c>
      <c r="Z2259" s="2">
        <v>0</v>
      </c>
      <c r="AA2259" s="4">
        <v>0</v>
      </c>
      <c r="AB2259" s="4">
        <f t="shared" si="336"/>
        <v>0</v>
      </c>
      <c r="AC2259" s="6">
        <f t="shared" si="337"/>
        <v>0</v>
      </c>
      <c r="AD2259" s="13">
        <f t="shared" si="331"/>
        <v>0</v>
      </c>
      <c r="AE2259" s="2">
        <v>0.17</v>
      </c>
      <c r="AF2259" s="5">
        <f t="shared" si="338"/>
        <v>0</v>
      </c>
      <c r="AG2259" s="2">
        <v>0</v>
      </c>
      <c r="AH2259" s="5">
        <f t="shared" si="332"/>
        <v>0</v>
      </c>
      <c r="AJ2259" s="126" t="e">
        <v>#N/A</v>
      </c>
      <c r="AK2259" s="80">
        <f t="shared" si="339"/>
        <v>0</v>
      </c>
      <c r="AM2259" s="85"/>
    </row>
    <row r="2260" spans="1:39" hidden="1" x14ac:dyDescent="0.3">
      <c r="A2260" s="85" t="s">
        <v>34</v>
      </c>
      <c r="B2260" s="15" t="s">
        <v>701</v>
      </c>
      <c r="C2260" s="15" t="s">
        <v>164</v>
      </c>
      <c r="D2260" s="15" t="s">
        <v>174</v>
      </c>
      <c r="E2260" s="15" t="s">
        <v>2812</v>
      </c>
      <c r="F2260" s="15" t="s">
        <v>2812</v>
      </c>
      <c r="G2260" s="15" t="s">
        <v>2812</v>
      </c>
      <c r="H2260" s="154"/>
      <c r="I2260" s="3" t="s">
        <v>78</v>
      </c>
      <c r="J2260" s="1" t="s">
        <v>3303</v>
      </c>
      <c r="K2260" s="1" t="s">
        <v>3276</v>
      </c>
      <c r="L2260" s="1" t="s">
        <v>701</v>
      </c>
      <c r="M2260" s="15" t="s">
        <v>2813</v>
      </c>
      <c r="N2260" s="15"/>
      <c r="O2260" s="8" t="s">
        <v>410</v>
      </c>
      <c r="P2260" s="8" t="s">
        <v>46</v>
      </c>
      <c r="Q2260" s="9">
        <v>0.02</v>
      </c>
      <c r="R2260" s="139">
        <v>7280</v>
      </c>
      <c r="T2260" s="18">
        <v>11345.660000000007</v>
      </c>
      <c r="U2260" s="4">
        <v>0</v>
      </c>
      <c r="V2260" s="18">
        <v>11345.660000000007</v>
      </c>
      <c r="W2260" s="13">
        <f t="shared" si="334"/>
        <v>0</v>
      </c>
      <c r="X2260" s="13">
        <f t="shared" si="333"/>
        <v>11123.19607843138</v>
      </c>
      <c r="Y2260" s="13">
        <f t="shared" si="335"/>
        <v>0</v>
      </c>
      <c r="Z2260" s="2">
        <v>0</v>
      </c>
      <c r="AA2260" s="4">
        <v>0</v>
      </c>
      <c r="AB2260" s="4">
        <f t="shared" si="336"/>
        <v>11123.19607843138</v>
      </c>
      <c r="AC2260" s="6">
        <f t="shared" si="337"/>
        <v>222.46392156862748</v>
      </c>
      <c r="AD2260" s="13">
        <f t="shared" si="331"/>
        <v>11345.660000000007</v>
      </c>
      <c r="AE2260" s="2">
        <v>0.17</v>
      </c>
      <c r="AF2260" s="5">
        <f t="shared" si="338"/>
        <v>1928.7622000000013</v>
      </c>
      <c r="AG2260" s="2">
        <v>0</v>
      </c>
      <c r="AH2260" s="5">
        <f t="shared" si="332"/>
        <v>11345.660000000007</v>
      </c>
      <c r="AJ2260" s="126" t="e">
        <v>#N/A</v>
      </c>
      <c r="AK2260" s="80">
        <f t="shared" si="339"/>
        <v>0</v>
      </c>
      <c r="AM2260" s="85"/>
    </row>
    <row r="2261" spans="1:39" hidden="1" x14ac:dyDescent="0.3">
      <c r="A2261" s="85" t="s">
        <v>34</v>
      </c>
      <c r="B2261" s="15" t="s">
        <v>701</v>
      </c>
      <c r="C2261" s="15" t="s">
        <v>164</v>
      </c>
      <c r="D2261" s="15" t="s">
        <v>174</v>
      </c>
      <c r="E2261" s="15" t="s">
        <v>112</v>
      </c>
      <c r="F2261" s="15" t="s">
        <v>112</v>
      </c>
      <c r="G2261" s="15" t="s">
        <v>112</v>
      </c>
      <c r="H2261" s="154"/>
      <c r="I2261" s="3" t="s">
        <v>78</v>
      </c>
      <c r="J2261" s="1" t="s">
        <v>3303</v>
      </c>
      <c r="K2261" s="1" t="s">
        <v>3276</v>
      </c>
      <c r="L2261" s="1" t="s">
        <v>701</v>
      </c>
      <c r="M2261" s="15" t="s">
        <v>2888</v>
      </c>
      <c r="N2261" s="15"/>
      <c r="O2261" s="8" t="s">
        <v>410</v>
      </c>
      <c r="P2261" s="8" t="s">
        <v>46</v>
      </c>
      <c r="Q2261" s="9">
        <v>0.01</v>
      </c>
      <c r="R2261" s="139">
        <v>7117</v>
      </c>
      <c r="T2261" s="18">
        <v>1121.4200000000042</v>
      </c>
      <c r="U2261" s="4">
        <v>0</v>
      </c>
      <c r="V2261" s="4">
        <v>800</v>
      </c>
      <c r="W2261" s="13">
        <f t="shared" si="334"/>
        <v>321.42000000000417</v>
      </c>
      <c r="X2261" s="13">
        <f t="shared" si="333"/>
        <v>792.0792079207921</v>
      </c>
      <c r="Y2261" s="13">
        <f t="shared" si="335"/>
        <v>0</v>
      </c>
      <c r="Z2261" s="2">
        <v>0</v>
      </c>
      <c r="AA2261" s="4">
        <v>0</v>
      </c>
      <c r="AB2261" s="4">
        <f t="shared" si="336"/>
        <v>792.0792079207921</v>
      </c>
      <c r="AC2261" s="6">
        <f t="shared" si="337"/>
        <v>7.9207920792078994</v>
      </c>
      <c r="AD2261" s="13">
        <f t="shared" si="331"/>
        <v>800</v>
      </c>
      <c r="AE2261" s="2">
        <v>0.17</v>
      </c>
      <c r="AF2261" s="5">
        <f t="shared" si="338"/>
        <v>136</v>
      </c>
      <c r="AG2261" s="2">
        <v>0</v>
      </c>
      <c r="AH2261" s="5">
        <f t="shared" si="332"/>
        <v>800</v>
      </c>
      <c r="AJ2261" s="126" t="e">
        <v>#N/A</v>
      </c>
      <c r="AK2261" s="80">
        <f t="shared" si="339"/>
        <v>0</v>
      </c>
      <c r="AM2261" s="85"/>
    </row>
    <row r="2262" spans="1:39" hidden="1" x14ac:dyDescent="0.3">
      <c r="A2262" s="85" t="s">
        <v>34</v>
      </c>
      <c r="B2262" s="15" t="s">
        <v>701</v>
      </c>
      <c r="C2262" s="15" t="s">
        <v>53</v>
      </c>
      <c r="D2262" s="15" t="s">
        <v>54</v>
      </c>
      <c r="E2262" s="15" t="s">
        <v>2846</v>
      </c>
      <c r="F2262" s="15" t="s">
        <v>2846</v>
      </c>
      <c r="G2262" s="15" t="s">
        <v>2846</v>
      </c>
      <c r="H2262" s="154"/>
      <c r="I2262" s="3" t="s">
        <v>78</v>
      </c>
      <c r="J2262" s="1" t="s">
        <v>3303</v>
      </c>
      <c r="K2262" s="1" t="s">
        <v>3276</v>
      </c>
      <c r="L2262" s="1" t="s">
        <v>701</v>
      </c>
      <c r="M2262" s="15" t="s">
        <v>2889</v>
      </c>
      <c r="N2262" s="15"/>
      <c r="O2262" s="8" t="s">
        <v>410</v>
      </c>
      <c r="P2262" s="8" t="s">
        <v>41</v>
      </c>
      <c r="Q2262" s="9">
        <v>0</v>
      </c>
      <c r="R2262" s="139">
        <v>7435</v>
      </c>
      <c r="T2262" s="18">
        <v>14674.7</v>
      </c>
      <c r="U2262" s="4">
        <v>0</v>
      </c>
      <c r="V2262" s="4">
        <v>8994.5</v>
      </c>
      <c r="W2262" s="13">
        <f t="shared" si="334"/>
        <v>5680.2000000000007</v>
      </c>
      <c r="X2262" s="13">
        <f t="shared" si="333"/>
        <v>8994.5</v>
      </c>
      <c r="Y2262" s="13">
        <f t="shared" si="335"/>
        <v>0</v>
      </c>
      <c r="Z2262" s="2">
        <v>0</v>
      </c>
      <c r="AA2262" s="4">
        <v>0</v>
      </c>
      <c r="AB2262" s="4">
        <f t="shared" si="336"/>
        <v>8994.5</v>
      </c>
      <c r="AC2262" s="6">
        <f t="shared" si="337"/>
        <v>0</v>
      </c>
      <c r="AD2262" s="13">
        <f t="shared" si="331"/>
        <v>8994.5</v>
      </c>
      <c r="AE2262" s="2">
        <v>0.17</v>
      </c>
      <c r="AF2262" s="5">
        <f t="shared" si="338"/>
        <v>1529.0650000000001</v>
      </c>
      <c r="AG2262" s="2">
        <v>0</v>
      </c>
      <c r="AH2262" s="5">
        <f t="shared" si="332"/>
        <v>8994.5</v>
      </c>
      <c r="AJ2262" s="126" t="e">
        <v>#N/A</v>
      </c>
      <c r="AK2262" s="80">
        <f t="shared" si="339"/>
        <v>0</v>
      </c>
      <c r="AM2262" s="85"/>
    </row>
    <row r="2263" spans="1:39" hidden="1" x14ac:dyDescent="0.3">
      <c r="A2263" s="85" t="s">
        <v>34</v>
      </c>
      <c r="B2263" s="15" t="s">
        <v>701</v>
      </c>
      <c r="C2263" s="15" t="s">
        <v>53</v>
      </c>
      <c r="D2263" s="15" t="s">
        <v>37</v>
      </c>
      <c r="E2263" s="15" t="s">
        <v>2890</v>
      </c>
      <c r="F2263" s="15" t="s">
        <v>2890</v>
      </c>
      <c r="G2263" s="15" t="s">
        <v>2890</v>
      </c>
      <c r="H2263" s="139"/>
      <c r="I2263" s="3" t="s">
        <v>78</v>
      </c>
      <c r="J2263" s="1" t="s">
        <v>3303</v>
      </c>
      <c r="K2263" s="1" t="s">
        <v>3276</v>
      </c>
      <c r="L2263" s="1" t="s">
        <v>701</v>
      </c>
      <c r="M2263" s="15" t="s">
        <v>2890</v>
      </c>
      <c r="N2263" s="15"/>
      <c r="O2263" s="8" t="s">
        <v>410</v>
      </c>
      <c r="P2263" s="8" t="s">
        <v>41</v>
      </c>
      <c r="Q2263" s="9">
        <v>0</v>
      </c>
      <c r="R2263" s="139">
        <v>7316</v>
      </c>
      <c r="T2263" s="18">
        <v>1223.2999999999811</v>
      </c>
      <c r="U2263" s="4">
        <v>0</v>
      </c>
      <c r="V2263" s="4">
        <v>0</v>
      </c>
      <c r="W2263" s="13">
        <f t="shared" si="334"/>
        <v>1223.2999999999811</v>
      </c>
      <c r="X2263" s="13">
        <f t="shared" si="333"/>
        <v>0</v>
      </c>
      <c r="Y2263" s="13">
        <f t="shared" si="335"/>
        <v>0</v>
      </c>
      <c r="Z2263" s="2">
        <v>0</v>
      </c>
      <c r="AA2263" s="4">
        <v>0</v>
      </c>
      <c r="AB2263" s="4">
        <f t="shared" si="336"/>
        <v>0</v>
      </c>
      <c r="AC2263" s="6">
        <f t="shared" si="337"/>
        <v>0</v>
      </c>
      <c r="AD2263" s="13">
        <f t="shared" si="331"/>
        <v>0</v>
      </c>
      <c r="AE2263" s="2">
        <v>0.17</v>
      </c>
      <c r="AF2263" s="5">
        <f t="shared" si="338"/>
        <v>0</v>
      </c>
      <c r="AG2263" s="2">
        <v>0</v>
      </c>
      <c r="AH2263" s="5">
        <f t="shared" si="332"/>
        <v>0</v>
      </c>
      <c r="AJ2263" s="126" t="e">
        <v>#N/A</v>
      </c>
      <c r="AK2263" s="80">
        <f t="shared" si="339"/>
        <v>0</v>
      </c>
      <c r="AM2263" s="85"/>
    </row>
    <row r="2264" spans="1:39" hidden="1" x14ac:dyDescent="0.3">
      <c r="A2264" s="85" t="s">
        <v>34</v>
      </c>
      <c r="B2264" s="15" t="s">
        <v>701</v>
      </c>
      <c r="C2264" s="15" t="s">
        <v>59</v>
      </c>
      <c r="D2264" s="15" t="s">
        <v>60</v>
      </c>
      <c r="E2264" s="15" t="s">
        <v>2722</v>
      </c>
      <c r="F2264" s="15" t="s">
        <v>2722</v>
      </c>
      <c r="G2264" s="15" t="s">
        <v>2722</v>
      </c>
      <c r="H2264" s="139"/>
      <c r="I2264" s="3" t="s">
        <v>78</v>
      </c>
      <c r="J2264" s="1" t="s">
        <v>3303</v>
      </c>
      <c r="K2264" s="1" t="s">
        <v>3276</v>
      </c>
      <c r="L2264" s="1" t="s">
        <v>701</v>
      </c>
      <c r="M2264" s="15" t="s">
        <v>2891</v>
      </c>
      <c r="N2264" s="15"/>
      <c r="O2264" s="8" t="s">
        <v>410</v>
      </c>
      <c r="P2264" s="8" t="s">
        <v>92</v>
      </c>
      <c r="Q2264" s="9">
        <v>0.9</v>
      </c>
      <c r="R2264" s="139">
        <v>7498</v>
      </c>
      <c r="T2264" s="18">
        <v>13322.84</v>
      </c>
      <c r="U2264" s="4">
        <v>0</v>
      </c>
      <c r="V2264" s="4">
        <v>0</v>
      </c>
      <c r="W2264" s="13">
        <f t="shared" si="334"/>
        <v>13322.84</v>
      </c>
      <c r="X2264" s="13">
        <f t="shared" si="333"/>
        <v>0</v>
      </c>
      <c r="Y2264" s="13">
        <f t="shared" si="335"/>
        <v>0</v>
      </c>
      <c r="Z2264" s="2">
        <v>0</v>
      </c>
      <c r="AA2264" s="4">
        <v>0</v>
      </c>
      <c r="AB2264" s="4">
        <f t="shared" si="336"/>
        <v>0</v>
      </c>
      <c r="AC2264" s="6">
        <f t="shared" si="337"/>
        <v>0</v>
      </c>
      <c r="AD2264" s="13">
        <f t="shared" si="331"/>
        <v>0</v>
      </c>
      <c r="AE2264" s="2">
        <v>0.17</v>
      </c>
      <c r="AF2264" s="5">
        <f t="shared" si="338"/>
        <v>0</v>
      </c>
      <c r="AG2264" s="2">
        <v>0</v>
      </c>
      <c r="AH2264" s="5">
        <f t="shared" si="332"/>
        <v>0</v>
      </c>
      <c r="AJ2264" s="126" t="e">
        <v>#N/A</v>
      </c>
      <c r="AK2264" s="80">
        <f t="shared" si="339"/>
        <v>0</v>
      </c>
      <c r="AM2264" s="85"/>
    </row>
    <row r="2265" spans="1:39" hidden="1" x14ac:dyDescent="0.3">
      <c r="A2265" s="85" t="s">
        <v>34</v>
      </c>
      <c r="B2265" s="15" t="s">
        <v>701</v>
      </c>
      <c r="C2265" s="15" t="s">
        <v>59</v>
      </c>
      <c r="D2265" s="15" t="s">
        <v>60</v>
      </c>
      <c r="E2265" s="15" t="s">
        <v>2722</v>
      </c>
      <c r="F2265" s="15" t="s">
        <v>2722</v>
      </c>
      <c r="G2265" s="15" t="s">
        <v>2722</v>
      </c>
      <c r="H2265" s="154"/>
      <c r="I2265" s="3" t="s">
        <v>78</v>
      </c>
      <c r="J2265" s="1" t="s">
        <v>3303</v>
      </c>
      <c r="K2265" s="1" t="s">
        <v>3276</v>
      </c>
      <c r="L2265" s="1" t="s">
        <v>701</v>
      </c>
      <c r="M2265" s="15" t="s">
        <v>2892</v>
      </c>
      <c r="N2265" s="15"/>
      <c r="O2265" s="8" t="s">
        <v>410</v>
      </c>
      <c r="P2265" s="8" t="s">
        <v>92</v>
      </c>
      <c r="Q2265" s="9">
        <v>0.9</v>
      </c>
      <c r="R2265" s="139">
        <v>7487</v>
      </c>
      <c r="T2265" s="18">
        <v>6510.6600000000026</v>
      </c>
      <c r="U2265" s="4">
        <v>0</v>
      </c>
      <c r="V2265" s="4">
        <v>5800</v>
      </c>
      <c r="W2265" s="13">
        <f t="shared" si="334"/>
        <v>710.66000000000258</v>
      </c>
      <c r="X2265" s="13">
        <f t="shared" si="333"/>
        <v>5220</v>
      </c>
      <c r="Y2265" s="13">
        <f t="shared" si="335"/>
        <v>0</v>
      </c>
      <c r="Z2265" s="2">
        <v>0</v>
      </c>
      <c r="AA2265" s="4">
        <v>0</v>
      </c>
      <c r="AB2265" s="4">
        <f t="shared" si="336"/>
        <v>5220</v>
      </c>
      <c r="AC2265" s="6">
        <f t="shared" si="337"/>
        <v>580</v>
      </c>
      <c r="AD2265" s="13">
        <f t="shared" si="331"/>
        <v>5800</v>
      </c>
      <c r="AE2265" s="2">
        <v>0.17</v>
      </c>
      <c r="AF2265" s="5">
        <f t="shared" si="338"/>
        <v>986.00000000000011</v>
      </c>
      <c r="AG2265" s="2">
        <v>0</v>
      </c>
      <c r="AH2265" s="5">
        <f t="shared" si="332"/>
        <v>5800</v>
      </c>
      <c r="AJ2265" s="126" t="e">
        <v>#N/A</v>
      </c>
      <c r="AK2265" s="80">
        <f t="shared" si="339"/>
        <v>0</v>
      </c>
      <c r="AM2265" s="85"/>
    </row>
    <row r="2266" spans="1:39" hidden="1" x14ac:dyDescent="0.3">
      <c r="A2266" s="85" t="s">
        <v>34</v>
      </c>
      <c r="B2266" s="15" t="s">
        <v>701</v>
      </c>
      <c r="C2266" s="15" t="s">
        <v>59</v>
      </c>
      <c r="D2266" s="15" t="s">
        <v>60</v>
      </c>
      <c r="E2266" s="15" t="s">
        <v>2893</v>
      </c>
      <c r="F2266" s="15" t="s">
        <v>2894</v>
      </c>
      <c r="G2266" s="15" t="s">
        <v>2893</v>
      </c>
      <c r="H2266" s="139"/>
      <c r="I2266" s="3" t="s">
        <v>78</v>
      </c>
      <c r="J2266" s="1" t="s">
        <v>3303</v>
      </c>
      <c r="K2266" s="1" t="s">
        <v>3276</v>
      </c>
      <c r="L2266" s="1" t="s">
        <v>701</v>
      </c>
      <c r="M2266" s="15" t="s">
        <v>2895</v>
      </c>
      <c r="N2266" s="15"/>
      <c r="O2266" s="8" t="s">
        <v>410</v>
      </c>
      <c r="P2266" s="8" t="s">
        <v>46</v>
      </c>
      <c r="Q2266" s="9">
        <v>0.02</v>
      </c>
      <c r="R2266" s="139">
        <v>119</v>
      </c>
      <c r="T2266" s="18">
        <v>7310.2999999999993</v>
      </c>
      <c r="U2266" s="4">
        <v>0</v>
      </c>
      <c r="V2266" s="4">
        <v>0</v>
      </c>
      <c r="W2266" s="13">
        <f t="shared" si="334"/>
        <v>7310.2999999999993</v>
      </c>
      <c r="X2266" s="13">
        <f t="shared" si="333"/>
        <v>0</v>
      </c>
      <c r="Y2266" s="13">
        <f t="shared" si="335"/>
        <v>0</v>
      </c>
      <c r="Z2266" s="2">
        <v>0</v>
      </c>
      <c r="AA2266" s="4">
        <v>0</v>
      </c>
      <c r="AB2266" s="4">
        <f t="shared" si="336"/>
        <v>0</v>
      </c>
      <c r="AC2266" s="6">
        <f t="shared" si="337"/>
        <v>0</v>
      </c>
      <c r="AD2266" s="13">
        <f t="shared" si="331"/>
        <v>0</v>
      </c>
      <c r="AE2266" s="2">
        <v>0.17</v>
      </c>
      <c r="AF2266" s="5">
        <f t="shared" si="338"/>
        <v>0</v>
      </c>
      <c r="AG2266" s="2">
        <v>0</v>
      </c>
      <c r="AH2266" s="5">
        <f t="shared" si="332"/>
        <v>0</v>
      </c>
      <c r="AJ2266" s="126" t="e">
        <v>#N/A</v>
      </c>
      <c r="AK2266" s="80">
        <f t="shared" si="339"/>
        <v>0</v>
      </c>
      <c r="AM2266" s="85"/>
    </row>
    <row r="2267" spans="1:39" hidden="1" x14ac:dyDescent="0.3">
      <c r="A2267" s="85" t="s">
        <v>34</v>
      </c>
      <c r="B2267" s="15" t="s">
        <v>701</v>
      </c>
      <c r="C2267" s="15" t="s">
        <v>65</v>
      </c>
      <c r="D2267" s="15" t="s">
        <v>125</v>
      </c>
      <c r="E2267" s="15" t="s">
        <v>2896</v>
      </c>
      <c r="F2267" s="15" t="s">
        <v>2896</v>
      </c>
      <c r="G2267" s="15" t="s">
        <v>2896</v>
      </c>
      <c r="H2267" s="139"/>
      <c r="I2267" s="3" t="s">
        <v>78</v>
      </c>
      <c r="J2267" s="1" t="s">
        <v>3303</v>
      </c>
      <c r="K2267" s="1" t="s">
        <v>3276</v>
      </c>
      <c r="L2267" s="1" t="s">
        <v>701</v>
      </c>
      <c r="M2267" s="15" t="s">
        <v>2896</v>
      </c>
      <c r="N2267" s="15"/>
      <c r="O2267" s="8" t="s">
        <v>410</v>
      </c>
      <c r="P2267" s="8" t="s">
        <v>41</v>
      </c>
      <c r="Q2267" s="9">
        <v>0</v>
      </c>
      <c r="R2267" s="139">
        <v>7513</v>
      </c>
      <c r="T2267" s="18">
        <v>15.720000000000027</v>
      </c>
      <c r="U2267" s="4">
        <v>0</v>
      </c>
      <c r="V2267" s="4">
        <v>0</v>
      </c>
      <c r="W2267" s="13">
        <f t="shared" si="334"/>
        <v>15.720000000000027</v>
      </c>
      <c r="X2267" s="13">
        <f t="shared" si="333"/>
        <v>0</v>
      </c>
      <c r="Y2267" s="13">
        <f t="shared" si="335"/>
        <v>0</v>
      </c>
      <c r="Z2267" s="2">
        <v>0</v>
      </c>
      <c r="AA2267" s="4">
        <v>0</v>
      </c>
      <c r="AB2267" s="4">
        <f t="shared" si="336"/>
        <v>0</v>
      </c>
      <c r="AC2267" s="6">
        <f t="shared" si="337"/>
        <v>0</v>
      </c>
      <c r="AD2267" s="13">
        <f t="shared" si="331"/>
        <v>0</v>
      </c>
      <c r="AE2267" s="2">
        <v>0.17</v>
      </c>
      <c r="AF2267" s="5">
        <f t="shared" si="338"/>
        <v>0</v>
      </c>
      <c r="AG2267" s="2">
        <v>0</v>
      </c>
      <c r="AH2267" s="5">
        <f t="shared" si="332"/>
        <v>0</v>
      </c>
      <c r="AJ2267" s="126" t="e">
        <v>#N/A</v>
      </c>
      <c r="AK2267" s="80">
        <f t="shared" si="339"/>
        <v>0</v>
      </c>
      <c r="AM2267" s="85"/>
    </row>
    <row r="2268" spans="1:39" hidden="1" x14ac:dyDescent="0.3">
      <c r="A2268" s="85" t="s">
        <v>34</v>
      </c>
      <c r="B2268" s="15" t="s">
        <v>701</v>
      </c>
      <c r="C2268" s="15" t="s">
        <v>53</v>
      </c>
      <c r="D2268" s="15" t="s">
        <v>224</v>
      </c>
      <c r="E2268" s="15" t="s">
        <v>2897</v>
      </c>
      <c r="F2268" s="15" t="s">
        <v>2897</v>
      </c>
      <c r="G2268" s="15" t="s">
        <v>2897</v>
      </c>
      <c r="H2268" s="154"/>
      <c r="I2268" s="3" t="s">
        <v>78</v>
      </c>
      <c r="J2268" s="1" t="s">
        <v>3303</v>
      </c>
      <c r="K2268" s="1" t="s">
        <v>3276</v>
      </c>
      <c r="L2268" s="1" t="s">
        <v>701</v>
      </c>
      <c r="M2268" s="15" t="s">
        <v>2898</v>
      </c>
      <c r="N2268" s="15"/>
      <c r="O2268" s="8" t="s">
        <v>410</v>
      </c>
      <c r="P2268" s="8" t="s">
        <v>41</v>
      </c>
      <c r="Q2268" s="9">
        <v>0</v>
      </c>
      <c r="R2268" s="139">
        <v>7306</v>
      </c>
      <c r="T2268" s="18">
        <v>7870.5999999999995</v>
      </c>
      <c r="U2268" s="4">
        <v>0</v>
      </c>
      <c r="V2268" s="4">
        <v>725.4</v>
      </c>
      <c r="W2268" s="13">
        <f t="shared" si="334"/>
        <v>7145.2</v>
      </c>
      <c r="X2268" s="13">
        <f t="shared" si="333"/>
        <v>725.4</v>
      </c>
      <c r="Y2268" s="13">
        <f t="shared" si="335"/>
        <v>0</v>
      </c>
      <c r="Z2268" s="2">
        <v>0</v>
      </c>
      <c r="AA2268" s="4">
        <v>0</v>
      </c>
      <c r="AB2268" s="4">
        <f t="shared" si="336"/>
        <v>725.4</v>
      </c>
      <c r="AC2268" s="6">
        <f t="shared" si="337"/>
        <v>0</v>
      </c>
      <c r="AD2268" s="13">
        <f t="shared" si="331"/>
        <v>725.4</v>
      </c>
      <c r="AE2268" s="2">
        <v>0.17</v>
      </c>
      <c r="AF2268" s="5">
        <f t="shared" si="338"/>
        <v>123.31800000000001</v>
      </c>
      <c r="AG2268" s="2">
        <v>0</v>
      </c>
      <c r="AH2268" s="5">
        <f t="shared" si="332"/>
        <v>725.4</v>
      </c>
      <c r="AJ2268" s="126" t="e">
        <v>#N/A</v>
      </c>
      <c r="AK2268" s="80">
        <f t="shared" si="339"/>
        <v>0</v>
      </c>
      <c r="AM2268" s="85"/>
    </row>
    <row r="2269" spans="1:39" hidden="1" x14ac:dyDescent="0.3">
      <c r="A2269" s="85" t="s">
        <v>34</v>
      </c>
      <c r="B2269" s="15" t="s">
        <v>701</v>
      </c>
      <c r="C2269" s="15" t="s">
        <v>144</v>
      </c>
      <c r="D2269" s="15" t="s">
        <v>152</v>
      </c>
      <c r="E2269" s="15" t="s">
        <v>2899</v>
      </c>
      <c r="F2269" s="15" t="s">
        <v>2899</v>
      </c>
      <c r="G2269" s="15" t="s">
        <v>2899</v>
      </c>
      <c r="H2269" s="139"/>
      <c r="I2269" s="3" t="s">
        <v>78</v>
      </c>
      <c r="J2269" s="1" t="s">
        <v>3303</v>
      </c>
      <c r="K2269" s="1" t="s">
        <v>3276</v>
      </c>
      <c r="L2269" s="1" t="s">
        <v>701</v>
      </c>
      <c r="M2269" s="15" t="s">
        <v>2900</v>
      </c>
      <c r="N2269" s="15"/>
      <c r="O2269" s="8" t="s">
        <v>410</v>
      </c>
      <c r="P2269" s="8" t="s">
        <v>46</v>
      </c>
      <c r="Q2269" s="9">
        <v>0.01</v>
      </c>
      <c r="R2269" s="139">
        <v>7182</v>
      </c>
      <c r="T2269" s="18">
        <v>2.2999999999935881</v>
      </c>
      <c r="U2269" s="4">
        <v>0</v>
      </c>
      <c r="V2269" s="4">
        <v>0</v>
      </c>
      <c r="W2269" s="13">
        <f t="shared" si="334"/>
        <v>2.2999999999935881</v>
      </c>
      <c r="X2269" s="13">
        <f t="shared" si="333"/>
        <v>0</v>
      </c>
      <c r="Y2269" s="13">
        <f t="shared" si="335"/>
        <v>0</v>
      </c>
      <c r="Z2269" s="2">
        <v>0</v>
      </c>
      <c r="AA2269" s="4">
        <v>0</v>
      </c>
      <c r="AB2269" s="4">
        <f t="shared" si="336"/>
        <v>0</v>
      </c>
      <c r="AC2269" s="6">
        <f t="shared" si="337"/>
        <v>0</v>
      </c>
      <c r="AD2269" s="13">
        <f t="shared" si="331"/>
        <v>0</v>
      </c>
      <c r="AE2269" s="2">
        <v>0.17</v>
      </c>
      <c r="AF2269" s="5">
        <f t="shared" si="338"/>
        <v>0</v>
      </c>
      <c r="AG2269" s="2">
        <v>0</v>
      </c>
      <c r="AH2269" s="5">
        <f t="shared" si="332"/>
        <v>0</v>
      </c>
      <c r="AJ2269" s="126" t="e">
        <v>#N/A</v>
      </c>
      <c r="AK2269" s="80">
        <f t="shared" si="339"/>
        <v>0</v>
      </c>
      <c r="AM2269" s="85"/>
    </row>
    <row r="2270" spans="1:39" hidden="1" x14ac:dyDescent="0.3">
      <c r="A2270" s="85" t="s">
        <v>34</v>
      </c>
      <c r="B2270" s="15" t="s">
        <v>701</v>
      </c>
      <c r="C2270" s="15" t="s">
        <v>65</v>
      </c>
      <c r="D2270" s="15" t="s">
        <v>122</v>
      </c>
      <c r="E2270" s="15" t="s">
        <v>2901</v>
      </c>
      <c r="F2270" s="15" t="s">
        <v>2901</v>
      </c>
      <c r="G2270" s="15" t="s">
        <v>2901</v>
      </c>
      <c r="H2270" s="139"/>
      <c r="I2270" s="3" t="s">
        <v>78</v>
      </c>
      <c r="J2270" s="1" t="s">
        <v>3303</v>
      </c>
      <c r="K2270" s="1" t="s">
        <v>3276</v>
      </c>
      <c r="L2270" s="1" t="s">
        <v>701</v>
      </c>
      <c r="M2270" s="15" t="s">
        <v>2901</v>
      </c>
      <c r="N2270" s="15"/>
      <c r="O2270" s="8" t="s">
        <v>410</v>
      </c>
      <c r="P2270" s="8" t="s">
        <v>41</v>
      </c>
      <c r="Q2270" s="9">
        <v>0</v>
      </c>
      <c r="R2270" s="139">
        <v>7168</v>
      </c>
      <c r="T2270" s="18">
        <v>5033.8</v>
      </c>
      <c r="U2270" s="4">
        <v>0</v>
      </c>
      <c r="V2270" s="4">
        <v>0</v>
      </c>
      <c r="W2270" s="13">
        <f t="shared" si="334"/>
        <v>5033.8</v>
      </c>
      <c r="X2270" s="13">
        <f t="shared" si="333"/>
        <v>0</v>
      </c>
      <c r="Y2270" s="13">
        <f t="shared" si="335"/>
        <v>0</v>
      </c>
      <c r="Z2270" s="2">
        <v>0</v>
      </c>
      <c r="AA2270" s="4">
        <v>0</v>
      </c>
      <c r="AB2270" s="4">
        <f t="shared" si="336"/>
        <v>0</v>
      </c>
      <c r="AC2270" s="6">
        <f t="shared" si="337"/>
        <v>0</v>
      </c>
      <c r="AD2270" s="13">
        <f t="shared" ref="AD2270:AD2322" si="340">V2270</f>
        <v>0</v>
      </c>
      <c r="AE2270" s="2">
        <v>0.17</v>
      </c>
      <c r="AF2270" s="5">
        <f t="shared" si="338"/>
        <v>0</v>
      </c>
      <c r="AG2270" s="2">
        <v>0</v>
      </c>
      <c r="AH2270" s="5">
        <f t="shared" ref="AH2270:AH2322" si="341">V2270</f>
        <v>0</v>
      </c>
      <c r="AJ2270" s="126" t="e">
        <v>#N/A</v>
      </c>
      <c r="AK2270" s="80">
        <f t="shared" si="339"/>
        <v>0</v>
      </c>
      <c r="AM2270" s="85"/>
    </row>
    <row r="2271" spans="1:39" hidden="1" x14ac:dyDescent="0.3">
      <c r="A2271" s="85" t="s">
        <v>34</v>
      </c>
      <c r="B2271" s="15" t="s">
        <v>701</v>
      </c>
      <c r="C2271" s="15" t="s">
        <v>65</v>
      </c>
      <c r="D2271" s="15" t="s">
        <v>122</v>
      </c>
      <c r="E2271" s="15" t="s">
        <v>2901</v>
      </c>
      <c r="F2271" s="15" t="s">
        <v>2901</v>
      </c>
      <c r="G2271" s="15" t="s">
        <v>2901</v>
      </c>
      <c r="H2271" s="139"/>
      <c r="I2271" s="3" t="s">
        <v>78</v>
      </c>
      <c r="J2271" s="1" t="s">
        <v>3303</v>
      </c>
      <c r="K2271" s="1" t="s">
        <v>3276</v>
      </c>
      <c r="L2271" s="1" t="s">
        <v>701</v>
      </c>
      <c r="M2271" s="15" t="s">
        <v>2902</v>
      </c>
      <c r="N2271" s="15"/>
      <c r="O2271" s="8" t="s">
        <v>410</v>
      </c>
      <c r="P2271" s="8" t="s">
        <v>41</v>
      </c>
      <c r="Q2271" s="9">
        <v>0</v>
      </c>
      <c r="R2271" s="139">
        <v>7442</v>
      </c>
      <c r="T2271" s="18">
        <v>5582.6</v>
      </c>
      <c r="U2271" s="4">
        <v>0</v>
      </c>
      <c r="V2271" s="4">
        <v>0</v>
      </c>
      <c r="W2271" s="13">
        <f t="shared" si="334"/>
        <v>5582.6</v>
      </c>
      <c r="X2271" s="13">
        <f t="shared" si="333"/>
        <v>0</v>
      </c>
      <c r="Y2271" s="13">
        <f t="shared" si="335"/>
        <v>0</v>
      </c>
      <c r="Z2271" s="2">
        <v>0</v>
      </c>
      <c r="AA2271" s="4">
        <v>0</v>
      </c>
      <c r="AB2271" s="4">
        <f t="shared" si="336"/>
        <v>0</v>
      </c>
      <c r="AC2271" s="6">
        <f t="shared" si="337"/>
        <v>0</v>
      </c>
      <c r="AD2271" s="13">
        <f t="shared" si="340"/>
        <v>0</v>
      </c>
      <c r="AE2271" s="2">
        <v>0.17</v>
      </c>
      <c r="AF2271" s="5">
        <f t="shared" si="338"/>
        <v>0</v>
      </c>
      <c r="AG2271" s="2">
        <v>0</v>
      </c>
      <c r="AH2271" s="5">
        <f t="shared" si="341"/>
        <v>0</v>
      </c>
      <c r="AJ2271" s="126" t="e">
        <v>#N/A</v>
      </c>
      <c r="AK2271" s="80">
        <f t="shared" si="339"/>
        <v>0</v>
      </c>
      <c r="AM2271" s="85"/>
    </row>
    <row r="2272" spans="1:39" hidden="1" x14ac:dyDescent="0.3">
      <c r="A2272" s="85" t="s">
        <v>34</v>
      </c>
      <c r="B2272" s="15" t="s">
        <v>701</v>
      </c>
      <c r="C2272" s="15" t="s">
        <v>144</v>
      </c>
      <c r="D2272" s="15" t="s">
        <v>145</v>
      </c>
      <c r="E2272" s="15" t="s">
        <v>1416</v>
      </c>
      <c r="F2272" s="15" t="s">
        <v>1416</v>
      </c>
      <c r="G2272" s="15" t="s">
        <v>1416</v>
      </c>
      <c r="H2272" s="139"/>
      <c r="I2272" s="3" t="s">
        <v>78</v>
      </c>
      <c r="J2272" s="1" t="s">
        <v>3303</v>
      </c>
      <c r="K2272" s="1" t="s">
        <v>3276</v>
      </c>
      <c r="L2272" s="1" t="s">
        <v>701</v>
      </c>
      <c r="M2272" s="15" t="s">
        <v>2903</v>
      </c>
      <c r="N2272" s="15"/>
      <c r="O2272" s="8" t="s">
        <v>410</v>
      </c>
      <c r="P2272" s="8" t="s">
        <v>46</v>
      </c>
      <c r="Q2272" s="9">
        <v>0.02</v>
      </c>
      <c r="R2272" s="139">
        <v>7295</v>
      </c>
      <c r="T2272" s="18">
        <v>18957.150000000001</v>
      </c>
      <c r="U2272" s="4">
        <v>0</v>
      </c>
      <c r="V2272" s="4">
        <v>0</v>
      </c>
      <c r="W2272" s="13">
        <f t="shared" si="334"/>
        <v>18957.150000000001</v>
      </c>
      <c r="X2272" s="13">
        <f t="shared" si="333"/>
        <v>0</v>
      </c>
      <c r="Y2272" s="13">
        <f t="shared" si="335"/>
        <v>0</v>
      </c>
      <c r="Z2272" s="2">
        <v>0</v>
      </c>
      <c r="AA2272" s="4">
        <v>0</v>
      </c>
      <c r="AB2272" s="4">
        <f t="shared" si="336"/>
        <v>0</v>
      </c>
      <c r="AC2272" s="6">
        <f t="shared" si="337"/>
        <v>0</v>
      </c>
      <c r="AD2272" s="13">
        <f t="shared" si="340"/>
        <v>0</v>
      </c>
      <c r="AE2272" s="2">
        <v>0.17</v>
      </c>
      <c r="AF2272" s="5">
        <f t="shared" si="338"/>
        <v>0</v>
      </c>
      <c r="AG2272" s="2">
        <v>0</v>
      </c>
      <c r="AH2272" s="5">
        <f t="shared" si="341"/>
        <v>0</v>
      </c>
      <c r="AJ2272" s="126" t="e">
        <v>#N/A</v>
      </c>
      <c r="AK2272" s="80">
        <f t="shared" si="339"/>
        <v>0</v>
      </c>
      <c r="AM2272" s="85"/>
    </row>
    <row r="2273" spans="1:39" hidden="1" x14ac:dyDescent="0.3">
      <c r="A2273" s="85" t="s">
        <v>34</v>
      </c>
      <c r="B2273" s="15" t="s">
        <v>701</v>
      </c>
      <c r="C2273" s="15" t="s">
        <v>144</v>
      </c>
      <c r="D2273" s="15" t="s">
        <v>161</v>
      </c>
      <c r="E2273" s="15" t="s">
        <v>1903</v>
      </c>
      <c r="F2273" s="15" t="s">
        <v>1903</v>
      </c>
      <c r="G2273" s="15" t="s">
        <v>1903</v>
      </c>
      <c r="H2273" s="154"/>
      <c r="I2273" s="3" t="s">
        <v>78</v>
      </c>
      <c r="J2273" s="1" t="s">
        <v>3303</v>
      </c>
      <c r="K2273" s="1" t="s">
        <v>3276</v>
      </c>
      <c r="L2273" s="1" t="s">
        <v>701</v>
      </c>
      <c r="M2273" s="15" t="s">
        <v>2148</v>
      </c>
      <c r="N2273" s="15"/>
      <c r="O2273" s="8" t="s">
        <v>410</v>
      </c>
      <c r="P2273" s="8" t="s">
        <v>46</v>
      </c>
      <c r="Q2273" s="9">
        <v>0.02</v>
      </c>
      <c r="R2273" s="139">
        <v>7096</v>
      </c>
      <c r="T2273" s="18">
        <v>11197.850000000002</v>
      </c>
      <c r="U2273" s="4">
        <v>0</v>
      </c>
      <c r="V2273" s="4">
        <v>9620.84</v>
      </c>
      <c r="W2273" s="13">
        <f t="shared" si="334"/>
        <v>1577.010000000002</v>
      </c>
      <c r="X2273" s="13">
        <f t="shared" ref="X2273:X2336" si="342">IF(P2273="折扣",V2273*Q2273,IF(P2273="返现",V2273,V2273/(1+Q2273)))</f>
        <v>9432.1960784313724</v>
      </c>
      <c r="Y2273" s="13">
        <f t="shared" si="335"/>
        <v>0</v>
      </c>
      <c r="Z2273" s="2">
        <v>0</v>
      </c>
      <c r="AA2273" s="4">
        <v>0</v>
      </c>
      <c r="AB2273" s="4">
        <f t="shared" si="336"/>
        <v>9432.1960784313724</v>
      </c>
      <c r="AC2273" s="6">
        <f t="shared" si="337"/>
        <v>188.64392156862777</v>
      </c>
      <c r="AD2273" s="13">
        <f t="shared" si="340"/>
        <v>9620.84</v>
      </c>
      <c r="AE2273" s="2">
        <v>0.17</v>
      </c>
      <c r="AF2273" s="5">
        <f t="shared" si="338"/>
        <v>1635.5428000000002</v>
      </c>
      <c r="AG2273" s="2">
        <v>0</v>
      </c>
      <c r="AH2273" s="5">
        <f t="shared" si="341"/>
        <v>9620.84</v>
      </c>
      <c r="AJ2273" s="126" t="e">
        <v>#N/A</v>
      </c>
      <c r="AK2273" s="80">
        <f t="shared" si="339"/>
        <v>0</v>
      </c>
      <c r="AM2273" s="85"/>
    </row>
    <row r="2274" spans="1:39" hidden="1" x14ac:dyDescent="0.3">
      <c r="A2274" s="85" t="s">
        <v>34</v>
      </c>
      <c r="B2274" s="15" t="s">
        <v>35</v>
      </c>
      <c r="C2274" s="15" t="s">
        <v>65</v>
      </c>
      <c r="D2274" s="15" t="s">
        <v>125</v>
      </c>
      <c r="E2274" s="15" t="s">
        <v>2904</v>
      </c>
      <c r="F2274" s="15" t="s">
        <v>2905</v>
      </c>
      <c r="G2274" s="15" t="s">
        <v>1845</v>
      </c>
      <c r="H2274" s="139"/>
      <c r="I2274" s="3" t="s">
        <v>78</v>
      </c>
      <c r="J2274" s="1" t="s">
        <v>3303</v>
      </c>
      <c r="K2274" s="1" t="s">
        <v>3276</v>
      </c>
      <c r="L2274" s="1" t="s">
        <v>701</v>
      </c>
      <c r="M2274" s="15" t="s">
        <v>2906</v>
      </c>
      <c r="N2274" s="15"/>
      <c r="O2274" s="8" t="s">
        <v>410</v>
      </c>
      <c r="P2274" s="8" t="s">
        <v>41</v>
      </c>
      <c r="Q2274" s="9">
        <v>0</v>
      </c>
      <c r="R2274" s="139">
        <v>7190</v>
      </c>
      <c r="T2274" s="18">
        <v>384.57999999999811</v>
      </c>
      <c r="U2274" s="4">
        <v>0</v>
      </c>
      <c r="V2274" s="4">
        <v>0</v>
      </c>
      <c r="W2274" s="13">
        <f t="shared" si="334"/>
        <v>384.57999999999811</v>
      </c>
      <c r="X2274" s="13">
        <f t="shared" si="342"/>
        <v>0</v>
      </c>
      <c r="Y2274" s="13">
        <f t="shared" si="335"/>
        <v>0</v>
      </c>
      <c r="Z2274" s="2">
        <v>0</v>
      </c>
      <c r="AA2274" s="4">
        <v>0</v>
      </c>
      <c r="AB2274" s="4">
        <f t="shared" si="336"/>
        <v>0</v>
      </c>
      <c r="AC2274" s="6">
        <f t="shared" si="337"/>
        <v>0</v>
      </c>
      <c r="AD2274" s="13">
        <f t="shared" si="340"/>
        <v>0</v>
      </c>
      <c r="AE2274" s="2">
        <v>0.17</v>
      </c>
      <c r="AF2274" s="5">
        <f t="shared" si="338"/>
        <v>0</v>
      </c>
      <c r="AG2274" s="2">
        <v>0</v>
      </c>
      <c r="AH2274" s="5">
        <f t="shared" si="341"/>
        <v>0</v>
      </c>
      <c r="AJ2274" s="126" t="e">
        <v>#N/A</v>
      </c>
      <c r="AK2274" s="80">
        <f t="shared" si="339"/>
        <v>0</v>
      </c>
      <c r="AM2274" s="85"/>
    </row>
    <row r="2275" spans="1:39" hidden="1" x14ac:dyDescent="0.3">
      <c r="A2275" s="85" t="s">
        <v>34</v>
      </c>
      <c r="B2275" s="15" t="s">
        <v>701</v>
      </c>
      <c r="C2275" s="15" t="s">
        <v>65</v>
      </c>
      <c r="D2275" s="15" t="s">
        <v>66</v>
      </c>
      <c r="E2275" s="15" t="s">
        <v>1241</v>
      </c>
      <c r="F2275" s="15" t="s">
        <v>1241</v>
      </c>
      <c r="G2275" s="15" t="s">
        <v>1241</v>
      </c>
      <c r="H2275" s="139"/>
      <c r="I2275" s="3" t="s">
        <v>78</v>
      </c>
      <c r="J2275" s="1" t="s">
        <v>3303</v>
      </c>
      <c r="K2275" s="1" t="s">
        <v>3276</v>
      </c>
      <c r="L2275" s="1" t="s">
        <v>701</v>
      </c>
      <c r="M2275" s="15" t="s">
        <v>1241</v>
      </c>
      <c r="N2275" s="15"/>
      <c r="O2275" s="8" t="s">
        <v>410</v>
      </c>
      <c r="P2275" s="8" t="s">
        <v>41</v>
      </c>
      <c r="Q2275" s="9">
        <v>0</v>
      </c>
      <c r="R2275" s="139">
        <v>7358</v>
      </c>
      <c r="T2275" s="18">
        <v>13704.699999999986</v>
      </c>
      <c r="U2275" s="4">
        <v>0</v>
      </c>
      <c r="V2275" s="4">
        <v>0</v>
      </c>
      <c r="W2275" s="13">
        <f t="shared" si="334"/>
        <v>13704.699999999986</v>
      </c>
      <c r="X2275" s="13">
        <f t="shared" si="342"/>
        <v>0</v>
      </c>
      <c r="Y2275" s="13">
        <f t="shared" si="335"/>
        <v>0</v>
      </c>
      <c r="Z2275" s="2">
        <v>0</v>
      </c>
      <c r="AA2275" s="4">
        <v>0</v>
      </c>
      <c r="AB2275" s="4">
        <f t="shared" si="336"/>
        <v>0</v>
      </c>
      <c r="AC2275" s="6">
        <f t="shared" si="337"/>
        <v>0</v>
      </c>
      <c r="AD2275" s="13">
        <f t="shared" si="340"/>
        <v>0</v>
      </c>
      <c r="AE2275" s="2">
        <v>0.17</v>
      </c>
      <c r="AF2275" s="5">
        <f t="shared" si="338"/>
        <v>0</v>
      </c>
      <c r="AG2275" s="2">
        <v>0</v>
      </c>
      <c r="AH2275" s="5">
        <f t="shared" si="341"/>
        <v>0</v>
      </c>
      <c r="AJ2275" s="126" t="e">
        <v>#N/A</v>
      </c>
      <c r="AK2275" s="80">
        <f t="shared" si="339"/>
        <v>0</v>
      </c>
      <c r="AM2275" s="85"/>
    </row>
    <row r="2276" spans="1:39" hidden="1" x14ac:dyDescent="0.3">
      <c r="A2276" s="85" t="s">
        <v>34</v>
      </c>
      <c r="B2276" s="15" t="s">
        <v>701</v>
      </c>
      <c r="C2276" s="15" t="s">
        <v>164</v>
      </c>
      <c r="D2276" s="15" t="s">
        <v>174</v>
      </c>
      <c r="E2276" s="15" t="s">
        <v>2907</v>
      </c>
      <c r="F2276" s="15" t="s">
        <v>2907</v>
      </c>
      <c r="G2276" s="15" t="s">
        <v>2907</v>
      </c>
      <c r="H2276" s="139"/>
      <c r="I2276" s="3" t="s">
        <v>78</v>
      </c>
      <c r="J2276" s="1" t="s">
        <v>3303</v>
      </c>
      <c r="K2276" s="1" t="s">
        <v>3276</v>
      </c>
      <c r="L2276" s="1" t="s">
        <v>701</v>
      </c>
      <c r="M2276" s="15" t="s">
        <v>2908</v>
      </c>
      <c r="N2276" s="15"/>
      <c r="O2276" s="8" t="s">
        <v>410</v>
      </c>
      <c r="P2276" s="8" t="s">
        <v>46</v>
      </c>
      <c r="Q2276" s="9">
        <v>0.02</v>
      </c>
      <c r="R2276" s="139">
        <v>7475</v>
      </c>
      <c r="T2276" s="18">
        <v>738.29999999999973</v>
      </c>
      <c r="U2276" s="4">
        <v>0</v>
      </c>
      <c r="V2276" s="4">
        <v>0</v>
      </c>
      <c r="W2276" s="13">
        <f t="shared" si="334"/>
        <v>738.29999999999973</v>
      </c>
      <c r="X2276" s="13">
        <f t="shared" si="342"/>
        <v>0</v>
      </c>
      <c r="Y2276" s="13">
        <f t="shared" si="335"/>
        <v>0</v>
      </c>
      <c r="Z2276" s="2">
        <v>0</v>
      </c>
      <c r="AA2276" s="4">
        <v>0</v>
      </c>
      <c r="AB2276" s="4">
        <f t="shared" si="336"/>
        <v>0</v>
      </c>
      <c r="AC2276" s="6">
        <f t="shared" si="337"/>
        <v>0</v>
      </c>
      <c r="AD2276" s="13">
        <f t="shared" si="340"/>
        <v>0</v>
      </c>
      <c r="AE2276" s="2">
        <v>0.17</v>
      </c>
      <c r="AF2276" s="5">
        <f t="shared" si="338"/>
        <v>0</v>
      </c>
      <c r="AG2276" s="2">
        <v>0</v>
      </c>
      <c r="AH2276" s="5">
        <f t="shared" si="341"/>
        <v>0</v>
      </c>
      <c r="AJ2276" s="126" t="e">
        <v>#N/A</v>
      </c>
      <c r="AK2276" s="80">
        <f t="shared" si="339"/>
        <v>0</v>
      </c>
      <c r="AM2276" s="85"/>
    </row>
    <row r="2277" spans="1:39" hidden="1" x14ac:dyDescent="0.3">
      <c r="A2277" s="85" t="s">
        <v>34</v>
      </c>
      <c r="B2277" s="15" t="s">
        <v>701</v>
      </c>
      <c r="C2277" s="15" t="s">
        <v>47</v>
      </c>
      <c r="D2277" s="15" t="s">
        <v>48</v>
      </c>
      <c r="E2277" s="15" t="s">
        <v>2909</v>
      </c>
      <c r="F2277" s="15" t="s">
        <v>2909</v>
      </c>
      <c r="G2277" s="15" t="s">
        <v>2909</v>
      </c>
      <c r="H2277" s="139"/>
      <c r="I2277" s="3" t="s">
        <v>78</v>
      </c>
      <c r="J2277" s="1" t="s">
        <v>3303</v>
      </c>
      <c r="K2277" s="1" t="s">
        <v>3276</v>
      </c>
      <c r="L2277" s="1" t="s">
        <v>701</v>
      </c>
      <c r="M2277" s="15" t="s">
        <v>2909</v>
      </c>
      <c r="N2277" s="15"/>
      <c r="O2277" s="8" t="s">
        <v>410</v>
      </c>
      <c r="P2277" s="8" t="s">
        <v>41</v>
      </c>
      <c r="Q2277" s="9">
        <v>0</v>
      </c>
      <c r="R2277" s="139">
        <v>7340</v>
      </c>
      <c r="T2277" s="18">
        <v>18701.7</v>
      </c>
      <c r="U2277" s="4">
        <v>0</v>
      </c>
      <c r="V2277" s="4">
        <v>0</v>
      </c>
      <c r="W2277" s="13">
        <f t="shared" si="334"/>
        <v>18701.7</v>
      </c>
      <c r="X2277" s="13">
        <f t="shared" si="342"/>
        <v>0</v>
      </c>
      <c r="Y2277" s="13">
        <f t="shared" si="335"/>
        <v>0</v>
      </c>
      <c r="Z2277" s="2">
        <v>0</v>
      </c>
      <c r="AA2277" s="4">
        <v>0</v>
      </c>
      <c r="AB2277" s="4">
        <f t="shared" si="336"/>
        <v>0</v>
      </c>
      <c r="AC2277" s="6">
        <f t="shared" si="337"/>
        <v>0</v>
      </c>
      <c r="AD2277" s="13">
        <f t="shared" si="340"/>
        <v>0</v>
      </c>
      <c r="AE2277" s="2">
        <v>0.17</v>
      </c>
      <c r="AF2277" s="5">
        <f t="shared" si="338"/>
        <v>0</v>
      </c>
      <c r="AG2277" s="2">
        <v>0</v>
      </c>
      <c r="AH2277" s="5">
        <f t="shared" si="341"/>
        <v>0</v>
      </c>
      <c r="AJ2277" s="126" t="e">
        <v>#N/A</v>
      </c>
      <c r="AK2277" s="80">
        <f t="shared" si="339"/>
        <v>0</v>
      </c>
      <c r="AM2277" s="85"/>
    </row>
    <row r="2278" spans="1:39" hidden="1" x14ac:dyDescent="0.3">
      <c r="A2278" s="85" t="s">
        <v>34</v>
      </c>
      <c r="B2278" s="15" t="s">
        <v>701</v>
      </c>
      <c r="C2278" s="15" t="s">
        <v>144</v>
      </c>
      <c r="D2278" s="15" t="s">
        <v>145</v>
      </c>
      <c r="E2278" s="15" t="s">
        <v>2910</v>
      </c>
      <c r="F2278" s="15" t="s">
        <v>2910</v>
      </c>
      <c r="G2278" s="15" t="s">
        <v>2910</v>
      </c>
      <c r="H2278" s="154"/>
      <c r="I2278" s="3" t="s">
        <v>78</v>
      </c>
      <c r="J2278" s="1" t="s">
        <v>3303</v>
      </c>
      <c r="K2278" s="1" t="s">
        <v>3276</v>
      </c>
      <c r="L2278" s="1" t="s">
        <v>701</v>
      </c>
      <c r="M2278" s="15" t="s">
        <v>2911</v>
      </c>
      <c r="N2278" s="15"/>
      <c r="O2278" s="8" t="s">
        <v>410</v>
      </c>
      <c r="P2278" s="8" t="s">
        <v>41</v>
      </c>
      <c r="Q2278" s="9">
        <v>0</v>
      </c>
      <c r="R2278" s="139">
        <v>7164</v>
      </c>
      <c r="T2278" s="18">
        <v>9450.19</v>
      </c>
      <c r="U2278" s="4">
        <v>0</v>
      </c>
      <c r="V2278" s="4">
        <v>1033.5999999999999</v>
      </c>
      <c r="W2278" s="13">
        <f t="shared" si="334"/>
        <v>8416.59</v>
      </c>
      <c r="X2278" s="13">
        <f t="shared" si="342"/>
        <v>1033.5999999999999</v>
      </c>
      <c r="Y2278" s="13">
        <f t="shared" si="335"/>
        <v>0</v>
      </c>
      <c r="Z2278" s="2">
        <v>0</v>
      </c>
      <c r="AA2278" s="4">
        <v>0</v>
      </c>
      <c r="AB2278" s="4">
        <f t="shared" si="336"/>
        <v>1033.5999999999999</v>
      </c>
      <c r="AC2278" s="6">
        <f t="shared" si="337"/>
        <v>0</v>
      </c>
      <c r="AD2278" s="13">
        <f t="shared" si="340"/>
        <v>1033.5999999999999</v>
      </c>
      <c r="AE2278" s="2">
        <v>0.17</v>
      </c>
      <c r="AF2278" s="5">
        <f t="shared" si="338"/>
        <v>175.71199999999999</v>
      </c>
      <c r="AG2278" s="2">
        <v>0</v>
      </c>
      <c r="AH2278" s="5">
        <f t="shared" si="341"/>
        <v>1033.5999999999999</v>
      </c>
      <c r="AJ2278" s="126" t="e">
        <v>#N/A</v>
      </c>
      <c r="AK2278" s="80">
        <f t="shared" si="339"/>
        <v>0</v>
      </c>
      <c r="AM2278" s="85"/>
    </row>
    <row r="2279" spans="1:39" hidden="1" x14ac:dyDescent="0.3">
      <c r="A2279" s="85" t="s">
        <v>34</v>
      </c>
      <c r="B2279" s="15" t="s">
        <v>701</v>
      </c>
      <c r="C2279" s="15" t="s">
        <v>53</v>
      </c>
      <c r="D2279" s="15" t="s">
        <v>54</v>
      </c>
      <c r="E2279" s="15" t="s">
        <v>2912</v>
      </c>
      <c r="F2279" s="15" t="s">
        <v>2912</v>
      </c>
      <c r="G2279" s="15" t="s">
        <v>2912</v>
      </c>
      <c r="H2279" s="139"/>
      <c r="I2279" s="3" t="s">
        <v>78</v>
      </c>
      <c r="J2279" s="1" t="s">
        <v>3303</v>
      </c>
      <c r="K2279" s="1" t="s">
        <v>3276</v>
      </c>
      <c r="L2279" s="1" t="s">
        <v>701</v>
      </c>
      <c r="M2279" s="15" t="s">
        <v>2913</v>
      </c>
      <c r="N2279" s="15"/>
      <c r="O2279" s="8" t="s">
        <v>410</v>
      </c>
      <c r="P2279" s="8" t="s">
        <v>41</v>
      </c>
      <c r="Q2279" s="9">
        <v>0</v>
      </c>
      <c r="R2279" s="139">
        <v>7449</v>
      </c>
      <c r="T2279" s="18">
        <v>12629.5</v>
      </c>
      <c r="U2279" s="4">
        <v>0</v>
      </c>
      <c r="V2279" s="4">
        <v>0</v>
      </c>
      <c r="W2279" s="13">
        <f t="shared" si="334"/>
        <v>12629.5</v>
      </c>
      <c r="X2279" s="13">
        <f t="shared" si="342"/>
        <v>0</v>
      </c>
      <c r="Y2279" s="13">
        <f t="shared" si="335"/>
        <v>0</v>
      </c>
      <c r="Z2279" s="2">
        <v>0</v>
      </c>
      <c r="AA2279" s="4">
        <v>0</v>
      </c>
      <c r="AB2279" s="4"/>
      <c r="AC2279" s="6">
        <f t="shared" si="337"/>
        <v>0</v>
      </c>
      <c r="AD2279" s="13">
        <f t="shared" si="340"/>
        <v>0</v>
      </c>
      <c r="AE2279" s="2">
        <v>0.17</v>
      </c>
      <c r="AF2279" s="5">
        <f t="shared" si="338"/>
        <v>0</v>
      </c>
      <c r="AG2279" s="2">
        <v>0</v>
      </c>
      <c r="AH2279" s="5">
        <f t="shared" si="341"/>
        <v>0</v>
      </c>
      <c r="AJ2279" s="126" t="s">
        <v>4226</v>
      </c>
      <c r="AK2279" s="80">
        <f t="shared" si="339"/>
        <v>0</v>
      </c>
      <c r="AM2279" s="85"/>
    </row>
    <row r="2280" spans="1:39" hidden="1" x14ac:dyDescent="0.3">
      <c r="A2280" s="85" t="s">
        <v>34</v>
      </c>
      <c r="B2280" s="15" t="s">
        <v>701</v>
      </c>
      <c r="C2280" s="15" t="s">
        <v>164</v>
      </c>
      <c r="D2280" s="15" t="s">
        <v>174</v>
      </c>
      <c r="E2280" s="15" t="s">
        <v>946</v>
      </c>
      <c r="F2280" s="15" t="s">
        <v>946</v>
      </c>
      <c r="G2280" s="15" t="s">
        <v>946</v>
      </c>
      <c r="H2280" s="139"/>
      <c r="I2280" s="3" t="s">
        <v>78</v>
      </c>
      <c r="J2280" s="1" t="s">
        <v>3303</v>
      </c>
      <c r="K2280" s="1" t="s">
        <v>3276</v>
      </c>
      <c r="L2280" s="1" t="s">
        <v>701</v>
      </c>
      <c r="M2280" s="15" t="s">
        <v>2914</v>
      </c>
      <c r="N2280" s="15"/>
      <c r="O2280" s="8" t="s">
        <v>410</v>
      </c>
      <c r="P2280" s="8" t="s">
        <v>46</v>
      </c>
      <c r="Q2280" s="9">
        <v>0.02</v>
      </c>
      <c r="R2280" s="139">
        <v>7426</v>
      </c>
      <c r="T2280" s="18">
        <v>3619.8499999999995</v>
      </c>
      <c r="U2280" s="4">
        <v>0</v>
      </c>
      <c r="V2280" s="4">
        <v>0</v>
      </c>
      <c r="W2280" s="13">
        <f t="shared" si="334"/>
        <v>3619.8499999999995</v>
      </c>
      <c r="X2280" s="13">
        <f t="shared" si="342"/>
        <v>0</v>
      </c>
      <c r="Y2280" s="13">
        <f t="shared" si="335"/>
        <v>0</v>
      </c>
      <c r="Z2280" s="2">
        <v>0</v>
      </c>
      <c r="AA2280" s="4">
        <v>0</v>
      </c>
      <c r="AB2280" s="4">
        <f t="shared" si="336"/>
        <v>0</v>
      </c>
      <c r="AC2280" s="6">
        <f t="shared" si="337"/>
        <v>0</v>
      </c>
      <c r="AD2280" s="13">
        <f t="shared" si="340"/>
        <v>0</v>
      </c>
      <c r="AE2280" s="2">
        <v>0.17</v>
      </c>
      <c r="AF2280" s="5">
        <f t="shared" si="338"/>
        <v>0</v>
      </c>
      <c r="AG2280" s="2">
        <v>0</v>
      </c>
      <c r="AH2280" s="5">
        <f t="shared" si="341"/>
        <v>0</v>
      </c>
      <c r="AJ2280" s="126" t="e">
        <v>#N/A</v>
      </c>
      <c r="AK2280" s="80">
        <f t="shared" si="339"/>
        <v>0</v>
      </c>
      <c r="AM2280" s="85"/>
    </row>
    <row r="2281" spans="1:39" hidden="1" x14ac:dyDescent="0.3">
      <c r="A2281" s="85" t="s">
        <v>34</v>
      </c>
      <c r="B2281" s="15" t="s">
        <v>35</v>
      </c>
      <c r="C2281" s="15" t="s">
        <v>164</v>
      </c>
      <c r="D2281" s="15" t="s">
        <v>169</v>
      </c>
      <c r="E2281" s="15" t="s">
        <v>2695</v>
      </c>
      <c r="F2281" s="15" t="s">
        <v>2717</v>
      </c>
      <c r="G2281" s="15" t="s">
        <v>1845</v>
      </c>
      <c r="H2281" s="139"/>
      <c r="I2281" s="3" t="s">
        <v>78</v>
      </c>
      <c r="J2281" s="1" t="s">
        <v>3303</v>
      </c>
      <c r="K2281" s="1" t="s">
        <v>3276</v>
      </c>
      <c r="L2281" s="1" t="s">
        <v>701</v>
      </c>
      <c r="M2281" s="15" t="s">
        <v>2915</v>
      </c>
      <c r="N2281" s="15"/>
      <c r="O2281" s="8" t="s">
        <v>410</v>
      </c>
      <c r="P2281" s="8" t="s">
        <v>41</v>
      </c>
      <c r="Q2281" s="9">
        <v>0</v>
      </c>
      <c r="R2281" s="139">
        <v>7276</v>
      </c>
      <c r="T2281" s="18">
        <v>42157.11</v>
      </c>
      <c r="U2281" s="4">
        <v>0</v>
      </c>
      <c r="V2281" s="4">
        <v>0</v>
      </c>
      <c r="W2281" s="13">
        <f t="shared" si="334"/>
        <v>42157.11</v>
      </c>
      <c r="X2281" s="13">
        <f t="shared" si="342"/>
        <v>0</v>
      </c>
      <c r="Y2281" s="13">
        <f t="shared" si="335"/>
        <v>0</v>
      </c>
      <c r="Z2281" s="2">
        <v>0</v>
      </c>
      <c r="AA2281" s="4">
        <v>0</v>
      </c>
      <c r="AB2281" s="4">
        <f t="shared" si="336"/>
        <v>0</v>
      </c>
      <c r="AC2281" s="6">
        <f t="shared" si="337"/>
        <v>0</v>
      </c>
      <c r="AD2281" s="13">
        <f t="shared" si="340"/>
        <v>0</v>
      </c>
      <c r="AE2281" s="2">
        <v>0.17</v>
      </c>
      <c r="AF2281" s="5">
        <f t="shared" si="338"/>
        <v>0</v>
      </c>
      <c r="AG2281" s="2">
        <v>0</v>
      </c>
      <c r="AH2281" s="5">
        <f t="shared" si="341"/>
        <v>0</v>
      </c>
      <c r="AJ2281" s="126" t="e">
        <v>#N/A</v>
      </c>
      <c r="AK2281" s="80">
        <f t="shared" si="339"/>
        <v>0</v>
      </c>
      <c r="AM2281" s="85"/>
    </row>
    <row r="2282" spans="1:39" hidden="1" x14ac:dyDescent="0.3">
      <c r="A2282" s="85" t="s">
        <v>34</v>
      </c>
      <c r="B2282" s="15" t="s">
        <v>701</v>
      </c>
      <c r="C2282" s="15" t="s">
        <v>59</v>
      </c>
      <c r="D2282" s="15" t="s">
        <v>60</v>
      </c>
      <c r="E2282" s="15" t="s">
        <v>2722</v>
      </c>
      <c r="F2282" s="15" t="s">
        <v>2722</v>
      </c>
      <c r="G2282" s="15" t="s">
        <v>2722</v>
      </c>
      <c r="H2282" s="139"/>
      <c r="I2282" s="3" t="s">
        <v>78</v>
      </c>
      <c r="J2282" s="1" t="s">
        <v>3303</v>
      </c>
      <c r="K2282" s="1" t="s">
        <v>3276</v>
      </c>
      <c r="L2282" s="1" t="s">
        <v>701</v>
      </c>
      <c r="M2282" s="15" t="s">
        <v>2916</v>
      </c>
      <c r="N2282" s="15"/>
      <c r="O2282" s="8" t="s">
        <v>410</v>
      </c>
      <c r="P2282" s="8" t="s">
        <v>92</v>
      </c>
      <c r="Q2282" s="9">
        <v>0.9</v>
      </c>
      <c r="R2282" s="139">
        <v>7391</v>
      </c>
      <c r="T2282" s="18">
        <v>6563.5</v>
      </c>
      <c r="U2282" s="4">
        <v>0</v>
      </c>
      <c r="V2282" s="4">
        <v>0</v>
      </c>
      <c r="W2282" s="13">
        <f t="shared" si="334"/>
        <v>6563.5</v>
      </c>
      <c r="X2282" s="13">
        <f t="shared" si="342"/>
        <v>0</v>
      </c>
      <c r="Y2282" s="13">
        <f t="shared" si="335"/>
        <v>0</v>
      </c>
      <c r="Z2282" s="2">
        <v>0</v>
      </c>
      <c r="AA2282" s="4">
        <v>0</v>
      </c>
      <c r="AB2282" s="4">
        <f t="shared" si="336"/>
        <v>0</v>
      </c>
      <c r="AC2282" s="6">
        <f t="shared" si="337"/>
        <v>0</v>
      </c>
      <c r="AD2282" s="13">
        <f t="shared" si="340"/>
        <v>0</v>
      </c>
      <c r="AE2282" s="2">
        <v>0.17</v>
      </c>
      <c r="AF2282" s="5">
        <f t="shared" si="338"/>
        <v>0</v>
      </c>
      <c r="AG2282" s="2">
        <v>0</v>
      </c>
      <c r="AH2282" s="5">
        <f t="shared" si="341"/>
        <v>0</v>
      </c>
      <c r="AJ2282" s="126" t="e">
        <v>#N/A</v>
      </c>
      <c r="AK2282" s="80">
        <f t="shared" si="339"/>
        <v>0</v>
      </c>
      <c r="AM2282" s="85"/>
    </row>
    <row r="2283" spans="1:39" hidden="1" x14ac:dyDescent="0.3">
      <c r="A2283" s="85" t="s">
        <v>34</v>
      </c>
      <c r="B2283" s="15" t="s">
        <v>701</v>
      </c>
      <c r="C2283" s="15" t="s">
        <v>59</v>
      </c>
      <c r="D2283" s="15" t="s">
        <v>60</v>
      </c>
      <c r="E2283" s="15" t="s">
        <v>2722</v>
      </c>
      <c r="F2283" s="15" t="s">
        <v>2722</v>
      </c>
      <c r="G2283" s="15" t="s">
        <v>2722</v>
      </c>
      <c r="H2283" s="139"/>
      <c r="I2283" s="3" t="s">
        <v>78</v>
      </c>
      <c r="J2283" s="1" t="s">
        <v>3303</v>
      </c>
      <c r="K2283" s="1" t="s">
        <v>3276</v>
      </c>
      <c r="L2283" s="1" t="s">
        <v>701</v>
      </c>
      <c r="M2283" s="15" t="s">
        <v>2917</v>
      </c>
      <c r="N2283" s="15"/>
      <c r="O2283" s="8" t="s">
        <v>410</v>
      </c>
      <c r="P2283" s="8" t="s">
        <v>92</v>
      </c>
      <c r="Q2283" s="9">
        <v>0.9</v>
      </c>
      <c r="R2283" s="139">
        <v>7417</v>
      </c>
      <c r="T2283" s="18">
        <v>1808.5</v>
      </c>
      <c r="U2283" s="4">
        <v>0</v>
      </c>
      <c r="V2283" s="4">
        <v>0</v>
      </c>
      <c r="W2283" s="13">
        <f t="shared" si="334"/>
        <v>1808.5</v>
      </c>
      <c r="X2283" s="13">
        <f t="shared" si="342"/>
        <v>0</v>
      </c>
      <c r="Y2283" s="13">
        <f t="shared" si="335"/>
        <v>0</v>
      </c>
      <c r="Z2283" s="2">
        <v>0</v>
      </c>
      <c r="AA2283" s="4">
        <v>0</v>
      </c>
      <c r="AB2283" s="4">
        <f t="shared" si="336"/>
        <v>0</v>
      </c>
      <c r="AC2283" s="6">
        <f t="shared" si="337"/>
        <v>0</v>
      </c>
      <c r="AD2283" s="13">
        <f t="shared" si="340"/>
        <v>0</v>
      </c>
      <c r="AE2283" s="2">
        <v>0.17</v>
      </c>
      <c r="AF2283" s="5">
        <f t="shared" si="338"/>
        <v>0</v>
      </c>
      <c r="AG2283" s="2">
        <v>0</v>
      </c>
      <c r="AH2283" s="5">
        <f t="shared" si="341"/>
        <v>0</v>
      </c>
      <c r="AJ2283" s="126" t="e">
        <v>#N/A</v>
      </c>
      <c r="AK2283" s="80">
        <f t="shared" si="339"/>
        <v>0</v>
      </c>
      <c r="AM2283" s="85"/>
    </row>
    <row r="2284" spans="1:39" hidden="1" x14ac:dyDescent="0.3">
      <c r="A2284" s="85" t="s">
        <v>34</v>
      </c>
      <c r="B2284" s="15" t="s">
        <v>701</v>
      </c>
      <c r="C2284" s="15" t="s">
        <v>144</v>
      </c>
      <c r="D2284" s="15" t="s">
        <v>152</v>
      </c>
      <c r="E2284" s="15" t="s">
        <v>2795</v>
      </c>
      <c r="F2284" s="15" t="s">
        <v>2795</v>
      </c>
      <c r="G2284" s="15" t="s">
        <v>2795</v>
      </c>
      <c r="H2284" s="139"/>
      <c r="I2284" s="3" t="s">
        <v>78</v>
      </c>
      <c r="J2284" s="1" t="s">
        <v>3303</v>
      </c>
      <c r="K2284" s="1" t="s">
        <v>3276</v>
      </c>
      <c r="L2284" s="1" t="s">
        <v>701</v>
      </c>
      <c r="M2284" s="15" t="s">
        <v>2918</v>
      </c>
      <c r="N2284" s="15"/>
      <c r="O2284" s="8" t="s">
        <v>410</v>
      </c>
      <c r="P2284" s="8" t="s">
        <v>41</v>
      </c>
      <c r="Q2284" s="9">
        <v>0</v>
      </c>
      <c r="R2284" s="139">
        <v>7324</v>
      </c>
      <c r="T2284" s="18">
        <v>6915.4</v>
      </c>
      <c r="U2284" s="4">
        <v>0</v>
      </c>
      <c r="V2284" s="4">
        <v>0</v>
      </c>
      <c r="W2284" s="13">
        <f t="shared" si="334"/>
        <v>6915.4</v>
      </c>
      <c r="X2284" s="13">
        <f t="shared" si="342"/>
        <v>0</v>
      </c>
      <c r="Y2284" s="13">
        <f t="shared" si="335"/>
        <v>0</v>
      </c>
      <c r="Z2284" s="2">
        <v>0</v>
      </c>
      <c r="AA2284" s="4">
        <v>0</v>
      </c>
      <c r="AB2284" s="4"/>
      <c r="AC2284" s="6">
        <f t="shared" si="337"/>
        <v>0</v>
      </c>
      <c r="AD2284" s="13">
        <f t="shared" si="340"/>
        <v>0</v>
      </c>
      <c r="AE2284" s="2">
        <v>0.17</v>
      </c>
      <c r="AF2284" s="5">
        <f t="shared" si="338"/>
        <v>0</v>
      </c>
      <c r="AG2284" s="2">
        <v>0</v>
      </c>
      <c r="AH2284" s="5">
        <f t="shared" si="341"/>
        <v>0</v>
      </c>
      <c r="AJ2284" s="126">
        <v>93</v>
      </c>
      <c r="AK2284" s="80">
        <f t="shared" si="339"/>
        <v>0</v>
      </c>
      <c r="AM2284" s="85"/>
    </row>
    <row r="2285" spans="1:39" hidden="1" x14ac:dyDescent="0.3">
      <c r="A2285" s="85" t="s">
        <v>34</v>
      </c>
      <c r="B2285" s="15" t="s">
        <v>701</v>
      </c>
      <c r="C2285" s="15" t="s">
        <v>164</v>
      </c>
      <c r="D2285" s="15" t="s">
        <v>174</v>
      </c>
      <c r="E2285" s="15" t="s">
        <v>2012</v>
      </c>
      <c r="F2285" s="15" t="s">
        <v>2012</v>
      </c>
      <c r="G2285" s="15" t="s">
        <v>2012</v>
      </c>
      <c r="H2285" s="139"/>
      <c r="I2285" s="3" t="s">
        <v>78</v>
      </c>
      <c r="J2285" s="1" t="s">
        <v>3303</v>
      </c>
      <c r="K2285" s="1" t="s">
        <v>3276</v>
      </c>
      <c r="L2285" s="1" t="s">
        <v>701</v>
      </c>
      <c r="M2285" s="15" t="s">
        <v>2012</v>
      </c>
      <c r="N2285" s="15"/>
      <c r="O2285" s="8" t="s">
        <v>410</v>
      </c>
      <c r="P2285" s="8" t="s">
        <v>46</v>
      </c>
      <c r="Q2285" s="9">
        <v>0.02</v>
      </c>
      <c r="R2285" s="139">
        <v>7112</v>
      </c>
      <c r="T2285" s="18">
        <v>4443.1799999999994</v>
      </c>
      <c r="U2285" s="4">
        <v>0</v>
      </c>
      <c r="V2285" s="4">
        <v>0</v>
      </c>
      <c r="W2285" s="13">
        <f t="shared" si="334"/>
        <v>4443.1799999999994</v>
      </c>
      <c r="X2285" s="13">
        <f t="shared" si="342"/>
        <v>0</v>
      </c>
      <c r="Y2285" s="13">
        <f t="shared" si="335"/>
        <v>0</v>
      </c>
      <c r="Z2285" s="2">
        <v>0</v>
      </c>
      <c r="AA2285" s="4">
        <v>0</v>
      </c>
      <c r="AB2285" s="4">
        <f t="shared" si="336"/>
        <v>0</v>
      </c>
      <c r="AC2285" s="6">
        <f t="shared" si="337"/>
        <v>0</v>
      </c>
      <c r="AD2285" s="13">
        <f t="shared" si="340"/>
        <v>0</v>
      </c>
      <c r="AE2285" s="2">
        <v>0.17</v>
      </c>
      <c r="AF2285" s="5">
        <f t="shared" si="338"/>
        <v>0</v>
      </c>
      <c r="AG2285" s="2">
        <v>0</v>
      </c>
      <c r="AH2285" s="5">
        <f t="shared" si="341"/>
        <v>0</v>
      </c>
      <c r="AJ2285" s="126" t="e">
        <v>#N/A</v>
      </c>
      <c r="AK2285" s="80">
        <f t="shared" si="339"/>
        <v>0</v>
      </c>
      <c r="AM2285" s="85"/>
    </row>
    <row r="2286" spans="1:39" hidden="1" x14ac:dyDescent="0.3">
      <c r="A2286" s="85" t="s">
        <v>34</v>
      </c>
      <c r="B2286" s="15" t="s">
        <v>701</v>
      </c>
      <c r="C2286" s="15" t="s">
        <v>65</v>
      </c>
      <c r="D2286" s="15" t="s">
        <v>66</v>
      </c>
      <c r="E2286" s="15" t="s">
        <v>2756</v>
      </c>
      <c r="F2286" s="15" t="s">
        <v>2756</v>
      </c>
      <c r="G2286" s="15" t="s">
        <v>2756</v>
      </c>
      <c r="H2286" s="139"/>
      <c r="I2286" s="3" t="s">
        <v>78</v>
      </c>
      <c r="J2286" s="1" t="s">
        <v>3303</v>
      </c>
      <c r="K2286" s="1" t="s">
        <v>3276</v>
      </c>
      <c r="L2286" s="1" t="s">
        <v>701</v>
      </c>
      <c r="M2286" s="15" t="s">
        <v>2919</v>
      </c>
      <c r="N2286" s="15"/>
      <c r="O2286" s="8" t="s">
        <v>410</v>
      </c>
      <c r="P2286" s="8" t="s">
        <v>46</v>
      </c>
      <c r="Q2286" s="9">
        <v>0.02</v>
      </c>
      <c r="R2286" s="139">
        <v>7176</v>
      </c>
      <c r="T2286" s="18">
        <v>29390.959999999999</v>
      </c>
      <c r="U2286" s="4">
        <v>0</v>
      </c>
      <c r="V2286" s="4">
        <v>0</v>
      </c>
      <c r="W2286" s="13">
        <f t="shared" si="334"/>
        <v>29390.959999999999</v>
      </c>
      <c r="X2286" s="13">
        <f t="shared" si="342"/>
        <v>0</v>
      </c>
      <c r="Y2286" s="13">
        <f t="shared" si="335"/>
        <v>0</v>
      </c>
      <c r="Z2286" s="2">
        <v>0</v>
      </c>
      <c r="AA2286" s="4">
        <v>0</v>
      </c>
      <c r="AB2286" s="4">
        <f t="shared" si="336"/>
        <v>0</v>
      </c>
      <c r="AC2286" s="6">
        <f t="shared" si="337"/>
        <v>0</v>
      </c>
      <c r="AD2286" s="13">
        <f t="shared" si="340"/>
        <v>0</v>
      </c>
      <c r="AE2286" s="2">
        <v>0.17</v>
      </c>
      <c r="AF2286" s="5">
        <f t="shared" si="338"/>
        <v>0</v>
      </c>
      <c r="AG2286" s="2">
        <v>0</v>
      </c>
      <c r="AH2286" s="5">
        <f t="shared" si="341"/>
        <v>0</v>
      </c>
      <c r="AJ2286" s="126" t="e">
        <v>#N/A</v>
      </c>
      <c r="AK2286" s="80">
        <f t="shared" si="339"/>
        <v>0</v>
      </c>
      <c r="AM2286" s="85"/>
    </row>
    <row r="2287" spans="1:39" hidden="1" x14ac:dyDescent="0.3">
      <c r="A2287" s="85" t="s">
        <v>34</v>
      </c>
      <c r="B2287" s="15" t="s">
        <v>701</v>
      </c>
      <c r="C2287" s="15" t="s">
        <v>47</v>
      </c>
      <c r="D2287" s="15" t="s">
        <v>48</v>
      </c>
      <c r="E2287" s="15" t="s">
        <v>2920</v>
      </c>
      <c r="F2287" s="15" t="s">
        <v>2920</v>
      </c>
      <c r="G2287" s="15" t="s">
        <v>2920</v>
      </c>
      <c r="H2287" s="139"/>
      <c r="I2287" s="3" t="s">
        <v>78</v>
      </c>
      <c r="J2287" s="1" t="s">
        <v>3303</v>
      </c>
      <c r="K2287" s="1" t="s">
        <v>3276</v>
      </c>
      <c r="L2287" s="1" t="s">
        <v>701</v>
      </c>
      <c r="M2287" s="15" t="s">
        <v>2921</v>
      </c>
      <c r="N2287" s="15"/>
      <c r="O2287" s="8" t="s">
        <v>410</v>
      </c>
      <c r="P2287" s="8" t="s">
        <v>46</v>
      </c>
      <c r="Q2287" s="9">
        <v>0.03</v>
      </c>
      <c r="R2287" s="139">
        <v>7290</v>
      </c>
      <c r="T2287" s="18">
        <v>2349.0300000000002</v>
      </c>
      <c r="U2287" s="4">
        <v>0</v>
      </c>
      <c r="V2287" s="4">
        <v>0</v>
      </c>
      <c r="W2287" s="13">
        <f t="shared" si="334"/>
        <v>2349.0300000000002</v>
      </c>
      <c r="X2287" s="13">
        <f t="shared" si="342"/>
        <v>0</v>
      </c>
      <c r="Y2287" s="13">
        <f t="shared" si="335"/>
        <v>0</v>
      </c>
      <c r="Z2287" s="2">
        <v>0</v>
      </c>
      <c r="AA2287" s="4">
        <v>0</v>
      </c>
      <c r="AB2287" s="4">
        <f t="shared" si="336"/>
        <v>0</v>
      </c>
      <c r="AC2287" s="6">
        <f t="shared" si="337"/>
        <v>0</v>
      </c>
      <c r="AD2287" s="13">
        <f t="shared" si="340"/>
        <v>0</v>
      </c>
      <c r="AE2287" s="2">
        <v>0.17</v>
      </c>
      <c r="AF2287" s="5">
        <f t="shared" si="338"/>
        <v>0</v>
      </c>
      <c r="AG2287" s="2">
        <v>0</v>
      </c>
      <c r="AH2287" s="5">
        <f t="shared" si="341"/>
        <v>0</v>
      </c>
      <c r="AJ2287" s="126" t="e">
        <v>#N/A</v>
      </c>
      <c r="AK2287" s="80">
        <f t="shared" si="339"/>
        <v>0</v>
      </c>
      <c r="AM2287" s="85"/>
    </row>
    <row r="2288" spans="1:39" hidden="1" x14ac:dyDescent="0.3">
      <c r="A2288" s="85" t="s">
        <v>34</v>
      </c>
      <c r="B2288" s="15" t="s">
        <v>701</v>
      </c>
      <c r="C2288" s="15" t="s">
        <v>144</v>
      </c>
      <c r="D2288" s="15" t="s">
        <v>303</v>
      </c>
      <c r="E2288" s="15" t="s">
        <v>2922</v>
      </c>
      <c r="F2288" s="15" t="s">
        <v>2922</v>
      </c>
      <c r="G2288" s="15" t="s">
        <v>2922</v>
      </c>
      <c r="H2288" s="139"/>
      <c r="I2288" s="3" t="s">
        <v>78</v>
      </c>
      <c r="J2288" s="1" t="s">
        <v>3303</v>
      </c>
      <c r="K2288" s="1" t="s">
        <v>3276</v>
      </c>
      <c r="L2288" s="1" t="s">
        <v>701</v>
      </c>
      <c r="M2288" s="15" t="s">
        <v>2922</v>
      </c>
      <c r="N2288" s="15"/>
      <c r="O2288" s="8" t="s">
        <v>410</v>
      </c>
      <c r="P2288" s="8" t="s">
        <v>46</v>
      </c>
      <c r="Q2288" s="9">
        <v>0.08</v>
      </c>
      <c r="R2288" s="139">
        <v>7179</v>
      </c>
      <c r="T2288" s="18">
        <v>5882.26</v>
      </c>
      <c r="U2288" s="4">
        <v>0</v>
      </c>
      <c r="V2288" s="4">
        <v>0</v>
      </c>
      <c r="W2288" s="13">
        <f t="shared" si="334"/>
        <v>5882.26</v>
      </c>
      <c r="X2288" s="13">
        <f t="shared" si="342"/>
        <v>0</v>
      </c>
      <c r="Y2288" s="13">
        <f t="shared" si="335"/>
        <v>0</v>
      </c>
      <c r="Z2288" s="2">
        <v>0</v>
      </c>
      <c r="AA2288" s="4">
        <v>0</v>
      </c>
      <c r="AB2288" s="4">
        <f t="shared" si="336"/>
        <v>0</v>
      </c>
      <c r="AC2288" s="6">
        <f t="shared" si="337"/>
        <v>0</v>
      </c>
      <c r="AD2288" s="13">
        <f t="shared" si="340"/>
        <v>0</v>
      </c>
      <c r="AE2288" s="2">
        <v>0.17</v>
      </c>
      <c r="AF2288" s="5">
        <f t="shared" si="338"/>
        <v>0</v>
      </c>
      <c r="AG2288" s="2">
        <v>0</v>
      </c>
      <c r="AH2288" s="5">
        <f t="shared" si="341"/>
        <v>0</v>
      </c>
      <c r="AJ2288" s="126" t="e">
        <v>#N/A</v>
      </c>
      <c r="AK2288" s="80">
        <f t="shared" si="339"/>
        <v>0</v>
      </c>
      <c r="AM2288" s="85"/>
    </row>
    <row r="2289" spans="1:39" hidden="1" x14ac:dyDescent="0.3">
      <c r="A2289" s="85" t="s">
        <v>34</v>
      </c>
      <c r="B2289" s="15" t="s">
        <v>701</v>
      </c>
      <c r="C2289" s="15" t="s">
        <v>164</v>
      </c>
      <c r="D2289" s="15" t="s">
        <v>174</v>
      </c>
      <c r="E2289" s="15" t="s">
        <v>1174</v>
      </c>
      <c r="F2289" s="15" t="s">
        <v>1174</v>
      </c>
      <c r="G2289" s="15" t="s">
        <v>1174</v>
      </c>
      <c r="H2289" s="139"/>
      <c r="I2289" s="3" t="s">
        <v>78</v>
      </c>
      <c r="J2289" s="1" t="s">
        <v>3303</v>
      </c>
      <c r="K2289" s="1" t="s">
        <v>3276</v>
      </c>
      <c r="L2289" s="1" t="s">
        <v>701</v>
      </c>
      <c r="M2289" s="15" t="s">
        <v>1174</v>
      </c>
      <c r="N2289" s="15"/>
      <c r="O2289" s="8" t="s">
        <v>410</v>
      </c>
      <c r="P2289" s="8" t="s">
        <v>46</v>
      </c>
      <c r="Q2289" s="9">
        <v>0.02</v>
      </c>
      <c r="R2289" s="139">
        <v>7377</v>
      </c>
      <c r="T2289" s="18">
        <v>2878.16</v>
      </c>
      <c r="U2289" s="4">
        <v>0</v>
      </c>
      <c r="V2289" s="4">
        <v>0</v>
      </c>
      <c r="W2289" s="13">
        <f t="shared" si="334"/>
        <v>2878.16</v>
      </c>
      <c r="X2289" s="13">
        <f t="shared" si="342"/>
        <v>0</v>
      </c>
      <c r="Y2289" s="13">
        <f t="shared" si="335"/>
        <v>0</v>
      </c>
      <c r="Z2289" s="2">
        <v>0</v>
      </c>
      <c r="AA2289" s="4">
        <v>0</v>
      </c>
      <c r="AB2289" s="4">
        <f t="shared" si="336"/>
        <v>0</v>
      </c>
      <c r="AC2289" s="6">
        <f t="shared" si="337"/>
        <v>0</v>
      </c>
      <c r="AD2289" s="13">
        <f t="shared" si="340"/>
        <v>0</v>
      </c>
      <c r="AE2289" s="2">
        <v>0.17</v>
      </c>
      <c r="AF2289" s="5">
        <f t="shared" si="338"/>
        <v>0</v>
      </c>
      <c r="AG2289" s="2">
        <v>0</v>
      </c>
      <c r="AH2289" s="5">
        <f t="shared" si="341"/>
        <v>0</v>
      </c>
      <c r="AJ2289" s="126" t="s">
        <v>4221</v>
      </c>
      <c r="AK2289" s="80">
        <f t="shared" si="339"/>
        <v>0</v>
      </c>
      <c r="AL2289" s="150"/>
      <c r="AM2289" s="85"/>
    </row>
    <row r="2290" spans="1:39" hidden="1" x14ac:dyDescent="0.3">
      <c r="A2290" s="85" t="s">
        <v>34</v>
      </c>
      <c r="B2290" s="15" t="s">
        <v>701</v>
      </c>
      <c r="C2290" s="15" t="s">
        <v>53</v>
      </c>
      <c r="D2290" s="15" t="s">
        <v>224</v>
      </c>
      <c r="E2290" s="15" t="s">
        <v>2923</v>
      </c>
      <c r="F2290" s="15" t="s">
        <v>2923</v>
      </c>
      <c r="G2290" s="15" t="s">
        <v>2923</v>
      </c>
      <c r="H2290" s="139"/>
      <c r="I2290" s="3" t="s">
        <v>78</v>
      </c>
      <c r="J2290" s="1" t="s">
        <v>3303</v>
      </c>
      <c r="K2290" s="1" t="s">
        <v>3276</v>
      </c>
      <c r="L2290" s="1" t="s">
        <v>701</v>
      </c>
      <c r="M2290" s="15" t="s">
        <v>2923</v>
      </c>
      <c r="N2290" s="15"/>
      <c r="O2290" s="8" t="s">
        <v>410</v>
      </c>
      <c r="P2290" s="8" t="s">
        <v>41</v>
      </c>
      <c r="Q2290" s="9">
        <v>0</v>
      </c>
      <c r="R2290" s="139">
        <v>7196</v>
      </c>
      <c r="T2290" s="18">
        <v>1148.67</v>
      </c>
      <c r="U2290" s="4">
        <v>0</v>
      </c>
      <c r="V2290" s="4">
        <v>0</v>
      </c>
      <c r="W2290" s="13">
        <f t="shared" si="334"/>
        <v>1148.67</v>
      </c>
      <c r="X2290" s="13">
        <f t="shared" si="342"/>
        <v>0</v>
      </c>
      <c r="Y2290" s="13">
        <f t="shared" si="335"/>
        <v>0</v>
      </c>
      <c r="Z2290" s="2">
        <v>0</v>
      </c>
      <c r="AA2290" s="4">
        <v>0</v>
      </c>
      <c r="AB2290" s="4">
        <f t="shared" si="336"/>
        <v>0</v>
      </c>
      <c r="AC2290" s="6">
        <f t="shared" si="337"/>
        <v>0</v>
      </c>
      <c r="AD2290" s="13">
        <f t="shared" si="340"/>
        <v>0</v>
      </c>
      <c r="AE2290" s="2">
        <v>0.17</v>
      </c>
      <c r="AF2290" s="5">
        <f t="shared" si="338"/>
        <v>0</v>
      </c>
      <c r="AG2290" s="2">
        <v>0</v>
      </c>
      <c r="AH2290" s="5">
        <f t="shared" si="341"/>
        <v>0</v>
      </c>
      <c r="AJ2290" s="126" t="e">
        <v>#N/A</v>
      </c>
      <c r="AK2290" s="80">
        <f t="shared" si="339"/>
        <v>0</v>
      </c>
      <c r="AM2290" s="85"/>
    </row>
    <row r="2291" spans="1:39" hidden="1" x14ac:dyDescent="0.3">
      <c r="A2291" s="85" t="s">
        <v>34</v>
      </c>
      <c r="B2291" s="15" t="s">
        <v>701</v>
      </c>
      <c r="C2291" s="15" t="s">
        <v>53</v>
      </c>
      <c r="D2291" s="15" t="s">
        <v>54</v>
      </c>
      <c r="E2291" s="15" t="s">
        <v>2378</v>
      </c>
      <c r="F2291" s="15" t="s">
        <v>2379</v>
      </c>
      <c r="G2291" s="15" t="s">
        <v>2378</v>
      </c>
      <c r="H2291" s="139"/>
      <c r="I2291" s="3" t="s">
        <v>78</v>
      </c>
      <c r="J2291" s="1" t="s">
        <v>3303</v>
      </c>
      <c r="K2291" s="1" t="s">
        <v>3276</v>
      </c>
      <c r="L2291" s="1" t="s">
        <v>701</v>
      </c>
      <c r="M2291" s="15" t="s">
        <v>2924</v>
      </c>
      <c r="N2291" s="15"/>
      <c r="O2291" s="8" t="s">
        <v>410</v>
      </c>
      <c r="P2291" s="8" t="s">
        <v>46</v>
      </c>
      <c r="Q2291" s="9">
        <v>0.02</v>
      </c>
      <c r="R2291" s="139">
        <v>7278</v>
      </c>
      <c r="T2291" s="18">
        <v>84538.4</v>
      </c>
      <c r="U2291" s="4">
        <v>0</v>
      </c>
      <c r="V2291" s="4">
        <v>0</v>
      </c>
      <c r="W2291" s="13">
        <f t="shared" si="334"/>
        <v>84538.4</v>
      </c>
      <c r="X2291" s="13">
        <f t="shared" si="342"/>
        <v>0</v>
      </c>
      <c r="Y2291" s="13">
        <f t="shared" si="335"/>
        <v>0</v>
      </c>
      <c r="Z2291" s="2">
        <v>0</v>
      </c>
      <c r="AA2291" s="4">
        <v>0</v>
      </c>
      <c r="AB2291" s="4">
        <f t="shared" si="336"/>
        <v>0</v>
      </c>
      <c r="AC2291" s="6">
        <f t="shared" si="337"/>
        <v>0</v>
      </c>
      <c r="AD2291" s="13">
        <f t="shared" si="340"/>
        <v>0</v>
      </c>
      <c r="AE2291" s="2">
        <v>0.17</v>
      </c>
      <c r="AF2291" s="5">
        <f t="shared" si="338"/>
        <v>0</v>
      </c>
      <c r="AG2291" s="2">
        <v>0</v>
      </c>
      <c r="AH2291" s="5">
        <f t="shared" si="341"/>
        <v>0</v>
      </c>
      <c r="AJ2291" s="126" t="e">
        <v>#N/A</v>
      </c>
      <c r="AK2291" s="80">
        <f t="shared" si="339"/>
        <v>0</v>
      </c>
      <c r="AM2291" s="85"/>
    </row>
    <row r="2292" spans="1:39" hidden="1" x14ac:dyDescent="0.3">
      <c r="A2292" s="85" t="s">
        <v>34</v>
      </c>
      <c r="B2292" s="15" t="s">
        <v>701</v>
      </c>
      <c r="C2292" s="15" t="s">
        <v>53</v>
      </c>
      <c r="D2292" s="15" t="s">
        <v>54</v>
      </c>
      <c r="E2292" s="15" t="s">
        <v>2843</v>
      </c>
      <c r="F2292" s="15" t="s">
        <v>2843</v>
      </c>
      <c r="G2292" s="15" t="s">
        <v>2843</v>
      </c>
      <c r="H2292" s="139"/>
      <c r="I2292" s="3" t="s">
        <v>78</v>
      </c>
      <c r="J2292" s="1" t="s">
        <v>3303</v>
      </c>
      <c r="K2292" s="1" t="s">
        <v>3276</v>
      </c>
      <c r="L2292" s="1" t="s">
        <v>701</v>
      </c>
      <c r="M2292" s="15" t="s">
        <v>2925</v>
      </c>
      <c r="N2292" s="15"/>
      <c r="O2292" s="8" t="s">
        <v>410</v>
      </c>
      <c r="P2292" s="8" t="s">
        <v>41</v>
      </c>
      <c r="Q2292" s="9">
        <v>0</v>
      </c>
      <c r="R2292" s="139">
        <v>7338</v>
      </c>
      <c r="T2292" s="18">
        <v>1661.5</v>
      </c>
      <c r="U2292" s="4">
        <v>0</v>
      </c>
      <c r="V2292" s="4">
        <v>0</v>
      </c>
      <c r="W2292" s="13">
        <f t="shared" si="334"/>
        <v>1661.5</v>
      </c>
      <c r="X2292" s="13">
        <f t="shared" si="342"/>
        <v>0</v>
      </c>
      <c r="Y2292" s="13">
        <f t="shared" si="335"/>
        <v>0</v>
      </c>
      <c r="Z2292" s="2">
        <v>0</v>
      </c>
      <c r="AA2292" s="4">
        <v>0</v>
      </c>
      <c r="AB2292" s="4">
        <f t="shared" si="336"/>
        <v>0</v>
      </c>
      <c r="AC2292" s="6">
        <f t="shared" si="337"/>
        <v>0</v>
      </c>
      <c r="AD2292" s="13">
        <f t="shared" si="340"/>
        <v>0</v>
      </c>
      <c r="AE2292" s="2">
        <v>0.17</v>
      </c>
      <c r="AF2292" s="5">
        <f t="shared" si="338"/>
        <v>0</v>
      </c>
      <c r="AG2292" s="2">
        <v>0</v>
      </c>
      <c r="AH2292" s="5">
        <f t="shared" si="341"/>
        <v>0</v>
      </c>
      <c r="AJ2292" s="126" t="e">
        <v>#N/A</v>
      </c>
      <c r="AK2292" s="80">
        <f t="shared" si="339"/>
        <v>0</v>
      </c>
      <c r="AM2292" s="85"/>
    </row>
    <row r="2293" spans="1:39" hidden="1" x14ac:dyDescent="0.3">
      <c r="A2293" s="85" t="s">
        <v>34</v>
      </c>
      <c r="B2293" s="15" t="s">
        <v>701</v>
      </c>
      <c r="C2293" s="15" t="s">
        <v>53</v>
      </c>
      <c r="D2293" s="15" t="s">
        <v>54</v>
      </c>
      <c r="E2293" s="15" t="s">
        <v>2926</v>
      </c>
      <c r="F2293" s="15" t="s">
        <v>2927</v>
      </c>
      <c r="G2293" s="15" t="s">
        <v>2926</v>
      </c>
      <c r="H2293" s="139"/>
      <c r="I2293" s="3" t="s">
        <v>78</v>
      </c>
      <c r="J2293" s="1" t="s">
        <v>3303</v>
      </c>
      <c r="K2293" s="1" t="s">
        <v>3276</v>
      </c>
      <c r="L2293" s="1" t="s">
        <v>701</v>
      </c>
      <c r="M2293" s="15" t="s">
        <v>2928</v>
      </c>
      <c r="N2293" s="15"/>
      <c r="O2293" s="8" t="s">
        <v>410</v>
      </c>
      <c r="P2293" s="8" t="s">
        <v>46</v>
      </c>
      <c r="Q2293" s="9">
        <v>0.08</v>
      </c>
      <c r="R2293" s="139">
        <v>7153</v>
      </c>
      <c r="T2293" s="18">
        <v>9588.6499999999978</v>
      </c>
      <c r="U2293" s="4">
        <v>0</v>
      </c>
      <c r="V2293" s="4">
        <v>0</v>
      </c>
      <c r="W2293" s="13">
        <f t="shared" si="334"/>
        <v>9588.6499999999978</v>
      </c>
      <c r="X2293" s="13">
        <f t="shared" si="342"/>
        <v>0</v>
      </c>
      <c r="Y2293" s="13">
        <f t="shared" si="335"/>
        <v>0</v>
      </c>
      <c r="Z2293" s="2">
        <v>0</v>
      </c>
      <c r="AA2293" s="4">
        <v>0</v>
      </c>
      <c r="AB2293" s="4">
        <f t="shared" si="336"/>
        <v>0</v>
      </c>
      <c r="AC2293" s="6">
        <f t="shared" si="337"/>
        <v>0</v>
      </c>
      <c r="AD2293" s="13">
        <f t="shared" si="340"/>
        <v>0</v>
      </c>
      <c r="AE2293" s="2">
        <v>0.17</v>
      </c>
      <c r="AF2293" s="5">
        <f t="shared" si="338"/>
        <v>0</v>
      </c>
      <c r="AG2293" s="2">
        <v>0</v>
      </c>
      <c r="AH2293" s="5">
        <f t="shared" si="341"/>
        <v>0</v>
      </c>
      <c r="AJ2293" s="126" t="e">
        <v>#N/A</v>
      </c>
      <c r="AK2293" s="80">
        <f t="shared" si="339"/>
        <v>0</v>
      </c>
      <c r="AM2293" s="85"/>
    </row>
    <row r="2294" spans="1:39" hidden="1" x14ac:dyDescent="0.3">
      <c r="A2294" s="85" t="s">
        <v>34</v>
      </c>
      <c r="B2294" s="15" t="s">
        <v>35</v>
      </c>
      <c r="C2294" s="15" t="s">
        <v>295</v>
      </c>
      <c r="D2294" s="15" t="s">
        <v>298</v>
      </c>
      <c r="E2294" s="15" t="s">
        <v>2127</v>
      </c>
      <c r="F2294" s="15" t="s">
        <v>2929</v>
      </c>
      <c r="G2294" s="15" t="s">
        <v>2127</v>
      </c>
      <c r="H2294" s="139"/>
      <c r="I2294" s="3" t="s">
        <v>78</v>
      </c>
      <c r="J2294" s="1" t="s">
        <v>3303</v>
      </c>
      <c r="K2294" s="1" t="s">
        <v>3276</v>
      </c>
      <c r="L2294" s="1" t="s">
        <v>701</v>
      </c>
      <c r="M2294" s="15" t="s">
        <v>2127</v>
      </c>
      <c r="N2294" s="15"/>
      <c r="O2294" s="8" t="s">
        <v>410</v>
      </c>
      <c r="P2294" s="8" t="s">
        <v>46</v>
      </c>
      <c r="Q2294" s="9">
        <v>0.05</v>
      </c>
      <c r="R2294" s="139">
        <v>7322</v>
      </c>
      <c r="T2294" s="18">
        <v>13407.61</v>
      </c>
      <c r="U2294" s="4">
        <v>0</v>
      </c>
      <c r="V2294" s="4">
        <v>0</v>
      </c>
      <c r="W2294" s="13">
        <f t="shared" si="334"/>
        <v>13407.61</v>
      </c>
      <c r="X2294" s="13">
        <f t="shared" si="342"/>
        <v>0</v>
      </c>
      <c r="Y2294" s="13">
        <f t="shared" si="335"/>
        <v>0</v>
      </c>
      <c r="Z2294" s="2">
        <v>0</v>
      </c>
      <c r="AA2294" s="4">
        <v>0</v>
      </c>
      <c r="AB2294" s="4">
        <f t="shared" si="336"/>
        <v>0</v>
      </c>
      <c r="AC2294" s="6">
        <f t="shared" si="337"/>
        <v>0</v>
      </c>
      <c r="AD2294" s="13">
        <f t="shared" si="340"/>
        <v>0</v>
      </c>
      <c r="AE2294" s="2">
        <v>0.17</v>
      </c>
      <c r="AF2294" s="5">
        <f t="shared" si="338"/>
        <v>0</v>
      </c>
      <c r="AG2294" s="2">
        <v>0</v>
      </c>
      <c r="AH2294" s="5">
        <f t="shared" si="341"/>
        <v>0</v>
      </c>
      <c r="AJ2294" s="126" t="e">
        <v>#N/A</v>
      </c>
      <c r="AK2294" s="80">
        <f t="shared" si="339"/>
        <v>0</v>
      </c>
      <c r="AM2294" s="85"/>
    </row>
    <row r="2295" spans="1:39" hidden="1" x14ac:dyDescent="0.3">
      <c r="A2295" s="85" t="s">
        <v>34</v>
      </c>
      <c r="B2295" s="15" t="s">
        <v>701</v>
      </c>
      <c r="C2295" s="15" t="s">
        <v>2930</v>
      </c>
      <c r="D2295" s="15" t="s">
        <v>66</v>
      </c>
      <c r="E2295" s="15" t="s">
        <v>2385</v>
      </c>
      <c r="F2295" s="15" t="s">
        <v>2385</v>
      </c>
      <c r="G2295" s="15" t="s">
        <v>2385</v>
      </c>
      <c r="H2295" s="154"/>
      <c r="I2295" s="3" t="s">
        <v>78</v>
      </c>
      <c r="J2295" s="1" t="s">
        <v>3303</v>
      </c>
      <c r="K2295" s="1" t="s">
        <v>3276</v>
      </c>
      <c r="L2295" s="1" t="s">
        <v>701</v>
      </c>
      <c r="M2295" s="15" t="s">
        <v>2385</v>
      </c>
      <c r="N2295" s="15"/>
      <c r="O2295" s="8" t="s">
        <v>941</v>
      </c>
      <c r="P2295" s="8" t="s">
        <v>41</v>
      </c>
      <c r="Q2295" s="9">
        <v>0</v>
      </c>
      <c r="R2295" s="139">
        <v>7092</v>
      </c>
      <c r="T2295" s="18">
        <v>0</v>
      </c>
      <c r="U2295" s="4">
        <v>0</v>
      </c>
      <c r="V2295" s="4">
        <v>1200</v>
      </c>
      <c r="W2295" s="13">
        <f t="shared" si="334"/>
        <v>-1200</v>
      </c>
      <c r="X2295" s="13">
        <f t="shared" si="342"/>
        <v>1200</v>
      </c>
      <c r="Y2295" s="13">
        <f t="shared" si="335"/>
        <v>0</v>
      </c>
      <c r="Z2295" s="2">
        <v>0</v>
      </c>
      <c r="AA2295" s="4">
        <v>0</v>
      </c>
      <c r="AB2295" s="4">
        <f t="shared" si="336"/>
        <v>1200</v>
      </c>
      <c r="AC2295" s="6">
        <f t="shared" si="337"/>
        <v>0</v>
      </c>
      <c r="AD2295" s="13">
        <f t="shared" si="340"/>
        <v>1200</v>
      </c>
      <c r="AE2295" s="2">
        <v>0</v>
      </c>
      <c r="AF2295" s="5">
        <f t="shared" si="338"/>
        <v>0</v>
      </c>
      <c r="AG2295" s="2">
        <v>0</v>
      </c>
      <c r="AH2295" s="5">
        <f t="shared" si="341"/>
        <v>1200</v>
      </c>
      <c r="AJ2295" s="126" t="e">
        <v>#N/A</v>
      </c>
      <c r="AK2295" s="80">
        <f t="shared" si="339"/>
        <v>0</v>
      </c>
      <c r="AM2295" s="85"/>
    </row>
    <row r="2296" spans="1:39" hidden="1" x14ac:dyDescent="0.3">
      <c r="A2296" s="85" t="s">
        <v>34</v>
      </c>
      <c r="B2296" s="15" t="s">
        <v>701</v>
      </c>
      <c r="C2296" s="15" t="s">
        <v>2931</v>
      </c>
      <c r="D2296" s="15" t="s">
        <v>161</v>
      </c>
      <c r="E2296" s="15" t="s">
        <v>1903</v>
      </c>
      <c r="F2296" s="15" t="s">
        <v>1903</v>
      </c>
      <c r="G2296" s="15" t="s">
        <v>1903</v>
      </c>
      <c r="H2296" s="154"/>
      <c r="I2296" s="3" t="s">
        <v>78</v>
      </c>
      <c r="J2296" s="1" t="s">
        <v>3303</v>
      </c>
      <c r="K2296" s="1" t="s">
        <v>3276</v>
      </c>
      <c r="L2296" s="1" t="s">
        <v>701</v>
      </c>
      <c r="M2296" s="15" t="s">
        <v>2148</v>
      </c>
      <c r="N2296" s="15"/>
      <c r="O2296" s="8" t="s">
        <v>941</v>
      </c>
      <c r="P2296" s="8" t="s">
        <v>46</v>
      </c>
      <c r="Q2296" s="9">
        <v>0.02</v>
      </c>
      <c r="R2296" s="139">
        <v>7096</v>
      </c>
      <c r="T2296" s="18">
        <v>0</v>
      </c>
      <c r="U2296" s="4">
        <v>0</v>
      </c>
      <c r="V2296" s="4">
        <v>1309</v>
      </c>
      <c r="W2296" s="13">
        <f t="shared" si="334"/>
        <v>-1309</v>
      </c>
      <c r="X2296" s="13">
        <f t="shared" si="342"/>
        <v>1283.3333333333333</v>
      </c>
      <c r="Y2296" s="13">
        <f t="shared" si="335"/>
        <v>0</v>
      </c>
      <c r="Z2296" s="2">
        <v>0</v>
      </c>
      <c r="AA2296" s="4">
        <v>0</v>
      </c>
      <c r="AB2296" s="4">
        <f t="shared" si="336"/>
        <v>1283.3333333333333</v>
      </c>
      <c r="AC2296" s="6">
        <f t="shared" si="337"/>
        <v>25.666666666666742</v>
      </c>
      <c r="AD2296" s="13">
        <f t="shared" si="340"/>
        <v>1309</v>
      </c>
      <c r="AE2296" s="2">
        <v>0</v>
      </c>
      <c r="AF2296" s="5">
        <f t="shared" si="338"/>
        <v>0</v>
      </c>
      <c r="AG2296" s="2">
        <v>0</v>
      </c>
      <c r="AH2296" s="5">
        <f t="shared" si="341"/>
        <v>1309</v>
      </c>
      <c r="AJ2296" s="126" t="e">
        <v>#N/A</v>
      </c>
      <c r="AK2296" s="80">
        <f t="shared" si="339"/>
        <v>0</v>
      </c>
      <c r="AM2296" s="85"/>
    </row>
    <row r="2297" spans="1:39" hidden="1" x14ac:dyDescent="0.3">
      <c r="A2297" s="85" t="s">
        <v>34</v>
      </c>
      <c r="B2297" s="15" t="s">
        <v>701</v>
      </c>
      <c r="C2297" s="15" t="s">
        <v>2930</v>
      </c>
      <c r="D2297" s="15" t="s">
        <v>66</v>
      </c>
      <c r="E2297" s="15" t="s">
        <v>494</v>
      </c>
      <c r="F2297" s="15" t="s">
        <v>494</v>
      </c>
      <c r="G2297" s="15" t="s">
        <v>494</v>
      </c>
      <c r="H2297" s="154"/>
      <c r="I2297" s="3" t="s">
        <v>78</v>
      </c>
      <c r="J2297" s="1" t="s">
        <v>3303</v>
      </c>
      <c r="K2297" s="1" t="s">
        <v>3276</v>
      </c>
      <c r="L2297" s="1" t="s">
        <v>701</v>
      </c>
      <c r="M2297" s="15" t="s">
        <v>495</v>
      </c>
      <c r="N2297" s="15"/>
      <c r="O2297" s="8" t="s">
        <v>941</v>
      </c>
      <c r="P2297" s="8" t="s">
        <v>41</v>
      </c>
      <c r="Q2297" s="9">
        <v>0</v>
      </c>
      <c r="R2297" s="139">
        <v>7097</v>
      </c>
      <c r="T2297" s="18">
        <v>0</v>
      </c>
      <c r="U2297" s="4">
        <v>0</v>
      </c>
      <c r="V2297" s="4">
        <v>2000</v>
      </c>
      <c r="W2297" s="13">
        <f t="shared" si="334"/>
        <v>-2000</v>
      </c>
      <c r="X2297" s="13">
        <f t="shared" si="342"/>
        <v>2000</v>
      </c>
      <c r="Y2297" s="13">
        <f t="shared" si="335"/>
        <v>0</v>
      </c>
      <c r="Z2297" s="2">
        <v>0</v>
      </c>
      <c r="AA2297" s="4">
        <v>0</v>
      </c>
      <c r="AB2297" s="4">
        <f t="shared" si="336"/>
        <v>2000</v>
      </c>
      <c r="AC2297" s="6">
        <f t="shared" si="337"/>
        <v>0</v>
      </c>
      <c r="AD2297" s="13">
        <f t="shared" si="340"/>
        <v>2000</v>
      </c>
      <c r="AE2297" s="2">
        <v>0</v>
      </c>
      <c r="AF2297" s="5">
        <f t="shared" si="338"/>
        <v>0</v>
      </c>
      <c r="AG2297" s="2">
        <v>0</v>
      </c>
      <c r="AH2297" s="5">
        <f t="shared" si="341"/>
        <v>2000</v>
      </c>
      <c r="AJ2297" s="126" t="e">
        <v>#N/A</v>
      </c>
      <c r="AK2297" s="80">
        <f t="shared" si="339"/>
        <v>0</v>
      </c>
      <c r="AM2297" s="85"/>
    </row>
    <row r="2298" spans="1:39" hidden="1" x14ac:dyDescent="0.3">
      <c r="A2298" s="85" t="s">
        <v>34</v>
      </c>
      <c r="B2298" s="15" t="s">
        <v>701</v>
      </c>
      <c r="C2298" s="15" t="s">
        <v>2932</v>
      </c>
      <c r="D2298" s="15" t="s">
        <v>63</v>
      </c>
      <c r="E2298" s="15" t="s">
        <v>2787</v>
      </c>
      <c r="F2298" s="15" t="s">
        <v>2787</v>
      </c>
      <c r="G2298" s="15" t="s">
        <v>2787</v>
      </c>
      <c r="H2298" s="154"/>
      <c r="I2298" s="3" t="s">
        <v>78</v>
      </c>
      <c r="J2298" s="1" t="s">
        <v>3303</v>
      </c>
      <c r="K2298" s="1" t="s">
        <v>3276</v>
      </c>
      <c r="L2298" s="1" t="s">
        <v>701</v>
      </c>
      <c r="M2298" s="15" t="s">
        <v>2788</v>
      </c>
      <c r="N2298" s="15"/>
      <c r="O2298" s="8" t="s">
        <v>941</v>
      </c>
      <c r="P2298" s="8" t="s">
        <v>41</v>
      </c>
      <c r="Q2298" s="9">
        <v>0</v>
      </c>
      <c r="R2298" s="139">
        <v>7102</v>
      </c>
      <c r="T2298" s="18">
        <v>0</v>
      </c>
      <c r="U2298" s="4">
        <v>0</v>
      </c>
      <c r="V2298" s="4">
        <v>3182.28</v>
      </c>
      <c r="W2298" s="13">
        <f t="shared" si="334"/>
        <v>-3182.28</v>
      </c>
      <c r="X2298" s="13">
        <f t="shared" si="342"/>
        <v>3182.28</v>
      </c>
      <c r="Y2298" s="13">
        <f t="shared" si="335"/>
        <v>0</v>
      </c>
      <c r="Z2298" s="2">
        <v>0</v>
      </c>
      <c r="AA2298" s="4">
        <v>0</v>
      </c>
      <c r="AB2298" s="4">
        <f t="shared" si="336"/>
        <v>3182.28</v>
      </c>
      <c r="AC2298" s="6">
        <f t="shared" si="337"/>
        <v>0</v>
      </c>
      <c r="AD2298" s="13">
        <f t="shared" si="340"/>
        <v>3182.28</v>
      </c>
      <c r="AE2298" s="2">
        <v>0</v>
      </c>
      <c r="AF2298" s="5">
        <f t="shared" si="338"/>
        <v>0</v>
      </c>
      <c r="AG2298" s="2">
        <v>0</v>
      </c>
      <c r="AH2298" s="5">
        <f t="shared" si="341"/>
        <v>3182.28</v>
      </c>
      <c r="AJ2298" s="126" t="e">
        <v>#N/A</v>
      </c>
      <c r="AK2298" s="80">
        <f t="shared" si="339"/>
        <v>0</v>
      </c>
      <c r="AM2298" s="85"/>
    </row>
    <row r="2299" spans="1:39" hidden="1" x14ac:dyDescent="0.3">
      <c r="A2299" s="85" t="s">
        <v>34</v>
      </c>
      <c r="B2299" s="15" t="s">
        <v>701</v>
      </c>
      <c r="C2299" s="15" t="s">
        <v>2931</v>
      </c>
      <c r="D2299" s="15" t="s">
        <v>145</v>
      </c>
      <c r="E2299" s="15" t="s">
        <v>150</v>
      </c>
      <c r="F2299" s="15" t="s">
        <v>151</v>
      </c>
      <c r="G2299" s="15" t="s">
        <v>150</v>
      </c>
      <c r="H2299" s="154"/>
      <c r="I2299" s="3" t="s">
        <v>78</v>
      </c>
      <c r="J2299" s="1" t="s">
        <v>3303</v>
      </c>
      <c r="K2299" s="1" t="s">
        <v>3276</v>
      </c>
      <c r="L2299" s="1" t="s">
        <v>701</v>
      </c>
      <c r="M2299" s="15" t="s">
        <v>2794</v>
      </c>
      <c r="N2299" s="15"/>
      <c r="O2299" s="8" t="s">
        <v>941</v>
      </c>
      <c r="P2299" s="8" t="s">
        <v>41</v>
      </c>
      <c r="Q2299" s="9">
        <v>0</v>
      </c>
      <c r="R2299" s="139">
        <v>7105</v>
      </c>
      <c r="T2299" s="18">
        <v>0</v>
      </c>
      <c r="U2299" s="4">
        <v>0</v>
      </c>
      <c r="V2299" s="4">
        <v>25648.5</v>
      </c>
      <c r="W2299" s="13">
        <f t="shared" si="334"/>
        <v>-25648.5</v>
      </c>
      <c r="X2299" s="13">
        <f t="shared" si="342"/>
        <v>25648.5</v>
      </c>
      <c r="Y2299" s="13">
        <f t="shared" si="335"/>
        <v>0</v>
      </c>
      <c r="Z2299" s="2">
        <v>0</v>
      </c>
      <c r="AA2299" s="4">
        <v>0</v>
      </c>
      <c r="AB2299" s="4">
        <f t="shared" si="336"/>
        <v>25648.5</v>
      </c>
      <c r="AC2299" s="6">
        <f t="shared" si="337"/>
        <v>0</v>
      </c>
      <c r="AD2299" s="13">
        <f t="shared" si="340"/>
        <v>25648.5</v>
      </c>
      <c r="AE2299" s="2">
        <v>0</v>
      </c>
      <c r="AF2299" s="5">
        <f t="shared" si="338"/>
        <v>0</v>
      </c>
      <c r="AG2299" s="2">
        <v>0</v>
      </c>
      <c r="AH2299" s="5">
        <f t="shared" si="341"/>
        <v>25648.5</v>
      </c>
      <c r="AJ2299" s="126" t="e">
        <v>#N/A</v>
      </c>
      <c r="AK2299" s="80">
        <f t="shared" si="339"/>
        <v>0</v>
      </c>
      <c r="AM2299" s="85"/>
    </row>
    <row r="2300" spans="1:39" hidden="1" x14ac:dyDescent="0.3">
      <c r="A2300" s="85" t="s">
        <v>34</v>
      </c>
      <c r="B2300" s="15" t="s">
        <v>35</v>
      </c>
      <c r="C2300" s="15" t="s">
        <v>2930</v>
      </c>
      <c r="D2300" s="15" t="s">
        <v>66</v>
      </c>
      <c r="E2300" s="15" t="s">
        <v>2354</v>
      </c>
      <c r="F2300" s="15" t="s">
        <v>2700</v>
      </c>
      <c r="G2300" s="15" t="s">
        <v>1845</v>
      </c>
      <c r="H2300" s="154"/>
      <c r="I2300" s="3" t="s">
        <v>78</v>
      </c>
      <c r="J2300" s="1" t="s">
        <v>3303</v>
      </c>
      <c r="K2300" s="1" t="s">
        <v>3276</v>
      </c>
      <c r="L2300" s="1" t="s">
        <v>701</v>
      </c>
      <c r="M2300" s="15" t="s">
        <v>2354</v>
      </c>
      <c r="N2300" s="15"/>
      <c r="O2300" s="8" t="s">
        <v>941</v>
      </c>
      <c r="P2300" s="8" t="s">
        <v>41</v>
      </c>
      <c r="Q2300" s="9">
        <v>0</v>
      </c>
      <c r="R2300" s="139">
        <v>7109</v>
      </c>
      <c r="T2300" s="18">
        <v>0</v>
      </c>
      <c r="U2300" s="4">
        <v>0</v>
      </c>
      <c r="V2300" s="4">
        <v>694</v>
      </c>
      <c r="W2300" s="13">
        <f t="shared" si="334"/>
        <v>-694</v>
      </c>
      <c r="X2300" s="13">
        <f t="shared" si="342"/>
        <v>694</v>
      </c>
      <c r="Y2300" s="13">
        <f t="shared" si="335"/>
        <v>0</v>
      </c>
      <c r="Z2300" s="2">
        <v>0</v>
      </c>
      <c r="AA2300" s="4">
        <v>0</v>
      </c>
      <c r="AB2300" s="4">
        <f t="shared" si="336"/>
        <v>694</v>
      </c>
      <c r="AC2300" s="6">
        <f t="shared" si="337"/>
        <v>0</v>
      </c>
      <c r="AD2300" s="13">
        <f t="shared" si="340"/>
        <v>694</v>
      </c>
      <c r="AE2300" s="2">
        <v>0</v>
      </c>
      <c r="AF2300" s="5">
        <f t="shared" si="338"/>
        <v>0</v>
      </c>
      <c r="AG2300" s="2">
        <v>0</v>
      </c>
      <c r="AH2300" s="5">
        <f t="shared" si="341"/>
        <v>694</v>
      </c>
      <c r="AJ2300" s="126" t="e">
        <v>#N/A</v>
      </c>
      <c r="AK2300" s="80">
        <f t="shared" si="339"/>
        <v>0</v>
      </c>
      <c r="AM2300" s="85"/>
    </row>
    <row r="2301" spans="1:39" hidden="1" x14ac:dyDescent="0.3">
      <c r="A2301" s="85" t="s">
        <v>34</v>
      </c>
      <c r="B2301" s="15" t="s">
        <v>701</v>
      </c>
      <c r="C2301" s="15" t="s">
        <v>53</v>
      </c>
      <c r="D2301" s="15" t="s">
        <v>54</v>
      </c>
      <c r="E2301" s="15" t="s">
        <v>2846</v>
      </c>
      <c r="F2301" s="15" t="s">
        <v>2846</v>
      </c>
      <c r="G2301" s="15" t="s">
        <v>2846</v>
      </c>
      <c r="H2301" s="154"/>
      <c r="I2301" s="3" t="s">
        <v>78</v>
      </c>
      <c r="J2301" s="1" t="s">
        <v>3303</v>
      </c>
      <c r="K2301" s="1" t="s">
        <v>3276</v>
      </c>
      <c r="L2301" s="1" t="s">
        <v>701</v>
      </c>
      <c r="M2301" s="15" t="s">
        <v>2846</v>
      </c>
      <c r="N2301" s="15"/>
      <c r="O2301" s="8" t="s">
        <v>941</v>
      </c>
      <c r="P2301" s="8" t="s">
        <v>41</v>
      </c>
      <c r="Q2301" s="9">
        <v>0</v>
      </c>
      <c r="R2301" s="139">
        <v>7119</v>
      </c>
      <c r="T2301" s="18">
        <v>0</v>
      </c>
      <c r="U2301" s="4">
        <v>0</v>
      </c>
      <c r="V2301" s="4">
        <v>1505</v>
      </c>
      <c r="W2301" s="13">
        <f t="shared" si="334"/>
        <v>-1505</v>
      </c>
      <c r="X2301" s="13">
        <f t="shared" si="342"/>
        <v>1505</v>
      </c>
      <c r="Y2301" s="13">
        <f t="shared" si="335"/>
        <v>0</v>
      </c>
      <c r="Z2301" s="2">
        <v>0</v>
      </c>
      <c r="AA2301" s="4">
        <v>0</v>
      </c>
      <c r="AB2301" s="4">
        <f t="shared" si="336"/>
        <v>1505</v>
      </c>
      <c r="AC2301" s="6">
        <f t="shared" si="337"/>
        <v>0</v>
      </c>
      <c r="AD2301" s="13">
        <f t="shared" si="340"/>
        <v>1505</v>
      </c>
      <c r="AE2301" s="2">
        <v>0</v>
      </c>
      <c r="AF2301" s="5">
        <f t="shared" si="338"/>
        <v>0</v>
      </c>
      <c r="AG2301" s="2">
        <v>0</v>
      </c>
      <c r="AH2301" s="5">
        <f t="shared" si="341"/>
        <v>1505</v>
      </c>
      <c r="AJ2301" s="126" t="e">
        <v>#N/A</v>
      </c>
      <c r="AK2301" s="80">
        <f t="shared" si="339"/>
        <v>0</v>
      </c>
      <c r="AM2301" s="85"/>
    </row>
    <row r="2302" spans="1:39" hidden="1" x14ac:dyDescent="0.3">
      <c r="A2302" s="85" t="s">
        <v>34</v>
      </c>
      <c r="B2302" s="15" t="s">
        <v>701</v>
      </c>
      <c r="C2302" s="15" t="s">
        <v>53</v>
      </c>
      <c r="D2302" s="15" t="s">
        <v>54</v>
      </c>
      <c r="E2302" s="15" t="s">
        <v>2740</v>
      </c>
      <c r="F2302" s="15" t="s">
        <v>2740</v>
      </c>
      <c r="G2302" s="15" t="s">
        <v>2740</v>
      </c>
      <c r="H2302" s="154"/>
      <c r="I2302" s="3" t="s">
        <v>78</v>
      </c>
      <c r="J2302" s="1" t="s">
        <v>3303</v>
      </c>
      <c r="K2302" s="1" t="s">
        <v>3276</v>
      </c>
      <c r="L2302" s="1" t="s">
        <v>701</v>
      </c>
      <c r="M2302" s="15" t="s">
        <v>2741</v>
      </c>
      <c r="N2302" s="15"/>
      <c r="O2302" s="8" t="s">
        <v>941</v>
      </c>
      <c r="P2302" s="8" t="s">
        <v>41</v>
      </c>
      <c r="Q2302" s="9">
        <v>0</v>
      </c>
      <c r="R2302" s="139">
        <v>7120</v>
      </c>
      <c r="T2302" s="18">
        <v>0</v>
      </c>
      <c r="U2302" s="4">
        <v>0</v>
      </c>
      <c r="V2302" s="4">
        <v>2600</v>
      </c>
      <c r="W2302" s="13">
        <f t="shared" si="334"/>
        <v>-2600</v>
      </c>
      <c r="X2302" s="13">
        <f t="shared" si="342"/>
        <v>2600</v>
      </c>
      <c r="Y2302" s="13">
        <f t="shared" si="335"/>
        <v>0</v>
      </c>
      <c r="Z2302" s="2">
        <v>0</v>
      </c>
      <c r="AA2302" s="4">
        <v>0</v>
      </c>
      <c r="AB2302" s="4">
        <f t="shared" si="336"/>
        <v>2600</v>
      </c>
      <c r="AC2302" s="6">
        <f t="shared" si="337"/>
        <v>0</v>
      </c>
      <c r="AD2302" s="13">
        <f t="shared" si="340"/>
        <v>2600</v>
      </c>
      <c r="AE2302" s="2">
        <v>0</v>
      </c>
      <c r="AF2302" s="5">
        <f t="shared" si="338"/>
        <v>0</v>
      </c>
      <c r="AG2302" s="2">
        <v>0</v>
      </c>
      <c r="AH2302" s="5">
        <f t="shared" si="341"/>
        <v>2600</v>
      </c>
      <c r="AJ2302" s="126" t="e">
        <v>#N/A</v>
      </c>
      <c r="AK2302" s="80">
        <f t="shared" si="339"/>
        <v>0</v>
      </c>
      <c r="AM2302" s="85"/>
    </row>
    <row r="2303" spans="1:39" hidden="1" x14ac:dyDescent="0.3">
      <c r="A2303" s="85" t="s">
        <v>34</v>
      </c>
      <c r="B2303" s="15" t="s">
        <v>701</v>
      </c>
      <c r="C2303" s="15" t="s">
        <v>53</v>
      </c>
      <c r="D2303" s="15" t="s">
        <v>54</v>
      </c>
      <c r="E2303" s="15" t="s">
        <v>887</v>
      </c>
      <c r="F2303" s="15" t="s">
        <v>2739</v>
      </c>
      <c r="G2303" s="15" t="s">
        <v>887</v>
      </c>
      <c r="H2303" s="154"/>
      <c r="I2303" s="3" t="s">
        <v>78</v>
      </c>
      <c r="J2303" s="1" t="s">
        <v>3303</v>
      </c>
      <c r="K2303" s="1" t="s">
        <v>3276</v>
      </c>
      <c r="L2303" s="1" t="s">
        <v>701</v>
      </c>
      <c r="M2303" s="15" t="s">
        <v>1858</v>
      </c>
      <c r="N2303" s="15"/>
      <c r="O2303" s="8" t="s">
        <v>941</v>
      </c>
      <c r="P2303" s="8" t="s">
        <v>41</v>
      </c>
      <c r="Q2303" s="9">
        <v>0</v>
      </c>
      <c r="R2303" s="139">
        <v>7127</v>
      </c>
      <c r="T2303" s="18">
        <v>0</v>
      </c>
      <c r="U2303" s="4">
        <v>0</v>
      </c>
      <c r="V2303" s="4">
        <v>9948.5</v>
      </c>
      <c r="W2303" s="13">
        <f t="shared" si="334"/>
        <v>-9948.5</v>
      </c>
      <c r="X2303" s="13">
        <f t="shared" si="342"/>
        <v>9948.5</v>
      </c>
      <c r="Y2303" s="13">
        <f t="shared" si="335"/>
        <v>0</v>
      </c>
      <c r="Z2303" s="2">
        <v>0</v>
      </c>
      <c r="AA2303" s="4">
        <v>0</v>
      </c>
      <c r="AB2303" s="4">
        <f t="shared" si="336"/>
        <v>9948.5</v>
      </c>
      <c r="AC2303" s="6">
        <f t="shared" si="337"/>
        <v>0</v>
      </c>
      <c r="AD2303" s="13">
        <f t="shared" si="340"/>
        <v>9948.5</v>
      </c>
      <c r="AE2303" s="2">
        <v>0</v>
      </c>
      <c r="AF2303" s="5">
        <f t="shared" si="338"/>
        <v>0</v>
      </c>
      <c r="AG2303" s="2">
        <v>0</v>
      </c>
      <c r="AH2303" s="5">
        <f t="shared" si="341"/>
        <v>9948.5</v>
      </c>
      <c r="AJ2303" s="126" t="e">
        <v>#N/A</v>
      </c>
      <c r="AK2303" s="80">
        <f t="shared" si="339"/>
        <v>0</v>
      </c>
      <c r="AM2303" s="85"/>
    </row>
    <row r="2304" spans="1:39" hidden="1" x14ac:dyDescent="0.3">
      <c r="A2304" s="85" t="s">
        <v>34</v>
      </c>
      <c r="B2304" s="15" t="s">
        <v>701</v>
      </c>
      <c r="C2304" s="15" t="s">
        <v>53</v>
      </c>
      <c r="D2304" s="15" t="s">
        <v>54</v>
      </c>
      <c r="E2304" s="15" t="s">
        <v>887</v>
      </c>
      <c r="F2304" s="15" t="s">
        <v>2739</v>
      </c>
      <c r="G2304" s="15" t="s">
        <v>887</v>
      </c>
      <c r="H2304" s="154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73</v>
      </c>
      <c r="N2304" s="15"/>
      <c r="O2304" s="8" t="s">
        <v>941</v>
      </c>
      <c r="P2304" s="8" t="s">
        <v>41</v>
      </c>
      <c r="Q2304" s="9">
        <v>0</v>
      </c>
      <c r="R2304" s="139">
        <v>7130</v>
      </c>
      <c r="T2304" s="18">
        <v>0</v>
      </c>
      <c r="U2304" s="4">
        <v>0</v>
      </c>
      <c r="V2304" s="4">
        <v>11408</v>
      </c>
      <c r="W2304" s="13">
        <f t="shared" ref="W2304:W2322" si="343">T2304+U2304-V2304</f>
        <v>-11408</v>
      </c>
      <c r="X2304" s="13">
        <f t="shared" si="342"/>
        <v>11408</v>
      </c>
      <c r="Y2304" s="13">
        <f t="shared" si="335"/>
        <v>0</v>
      </c>
      <c r="Z2304" s="2">
        <v>0</v>
      </c>
      <c r="AA2304" s="4">
        <v>0</v>
      </c>
      <c r="AB2304" s="4">
        <f t="shared" si="336"/>
        <v>11408</v>
      </c>
      <c r="AC2304" s="6">
        <f t="shared" si="337"/>
        <v>0</v>
      </c>
      <c r="AD2304" s="13">
        <f t="shared" si="340"/>
        <v>11408</v>
      </c>
      <c r="AE2304" s="2">
        <v>0</v>
      </c>
      <c r="AF2304" s="5">
        <f t="shared" si="338"/>
        <v>0</v>
      </c>
      <c r="AG2304" s="2">
        <v>0</v>
      </c>
      <c r="AH2304" s="5">
        <f t="shared" si="341"/>
        <v>11408</v>
      </c>
      <c r="AJ2304" s="126" t="e">
        <v>#N/A</v>
      </c>
      <c r="AK2304" s="80">
        <f t="shared" si="339"/>
        <v>0</v>
      </c>
      <c r="AM2304" s="85"/>
    </row>
    <row r="2305" spans="1:39" hidden="1" x14ac:dyDescent="0.3">
      <c r="A2305" s="85" t="s">
        <v>34</v>
      </c>
      <c r="B2305" s="15" t="s">
        <v>701</v>
      </c>
      <c r="C2305" s="15" t="s">
        <v>2933</v>
      </c>
      <c r="D2305" s="15" t="s">
        <v>169</v>
      </c>
      <c r="E2305" s="15" t="s">
        <v>1579</v>
      </c>
      <c r="F2305" s="15" t="s">
        <v>1579</v>
      </c>
      <c r="G2305" s="15" t="s">
        <v>1579</v>
      </c>
      <c r="H2305" s="154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1579</v>
      </c>
      <c r="N2305" s="15"/>
      <c r="O2305" s="8" t="s">
        <v>941</v>
      </c>
      <c r="P2305" s="8" t="s">
        <v>41</v>
      </c>
      <c r="Q2305" s="9">
        <v>0</v>
      </c>
      <c r="R2305" s="139">
        <v>7145</v>
      </c>
      <c r="T2305" s="18">
        <v>0</v>
      </c>
      <c r="U2305" s="4">
        <v>0</v>
      </c>
      <c r="V2305" s="4">
        <v>507</v>
      </c>
      <c r="W2305" s="13">
        <f t="shared" si="343"/>
        <v>-507</v>
      </c>
      <c r="X2305" s="13">
        <f t="shared" si="342"/>
        <v>507</v>
      </c>
      <c r="Y2305" s="13">
        <f t="shared" si="335"/>
        <v>0</v>
      </c>
      <c r="Z2305" s="2">
        <v>0</v>
      </c>
      <c r="AA2305" s="4">
        <v>0</v>
      </c>
      <c r="AB2305" s="4">
        <f t="shared" si="336"/>
        <v>507</v>
      </c>
      <c r="AC2305" s="6">
        <f t="shared" si="337"/>
        <v>0</v>
      </c>
      <c r="AD2305" s="13">
        <f t="shared" si="340"/>
        <v>507</v>
      </c>
      <c r="AE2305" s="2">
        <v>0</v>
      </c>
      <c r="AF2305" s="5">
        <f t="shared" si="338"/>
        <v>0</v>
      </c>
      <c r="AG2305" s="2">
        <v>0</v>
      </c>
      <c r="AH2305" s="5">
        <f t="shared" si="341"/>
        <v>507</v>
      </c>
      <c r="AJ2305" s="126" t="e">
        <v>#N/A</v>
      </c>
      <c r="AK2305" s="80">
        <f t="shared" si="339"/>
        <v>0</v>
      </c>
      <c r="AM2305" s="85"/>
    </row>
    <row r="2306" spans="1:39" hidden="1" x14ac:dyDescent="0.3">
      <c r="A2306" s="85" t="s">
        <v>34</v>
      </c>
      <c r="B2306" s="15" t="s">
        <v>35</v>
      </c>
      <c r="C2306" s="15" t="s">
        <v>2930</v>
      </c>
      <c r="D2306" s="15" t="s">
        <v>66</v>
      </c>
      <c r="E2306" s="15" t="s">
        <v>2678</v>
      </c>
      <c r="F2306" s="15" t="s">
        <v>2701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2702</v>
      </c>
      <c r="N2306" s="15"/>
      <c r="O2306" s="8" t="s">
        <v>941</v>
      </c>
      <c r="P2306" s="8" t="s">
        <v>41</v>
      </c>
      <c r="Q2306" s="9">
        <v>0</v>
      </c>
      <c r="R2306" s="139">
        <v>7152</v>
      </c>
      <c r="T2306" s="18">
        <v>0</v>
      </c>
      <c r="U2306" s="4">
        <v>0</v>
      </c>
      <c r="V2306" s="4">
        <v>11047</v>
      </c>
      <c r="W2306" s="13">
        <f t="shared" si="343"/>
        <v>-11047</v>
      </c>
      <c r="X2306" s="13">
        <f t="shared" si="342"/>
        <v>11047</v>
      </c>
      <c r="Y2306" s="13">
        <f t="shared" si="335"/>
        <v>0</v>
      </c>
      <c r="Z2306" s="2">
        <v>0</v>
      </c>
      <c r="AA2306" s="4">
        <v>0</v>
      </c>
      <c r="AB2306" s="4">
        <f t="shared" si="336"/>
        <v>11047</v>
      </c>
      <c r="AC2306" s="6">
        <f t="shared" si="337"/>
        <v>0</v>
      </c>
      <c r="AD2306" s="13">
        <f t="shared" si="340"/>
        <v>11047</v>
      </c>
      <c r="AE2306" s="2">
        <v>0</v>
      </c>
      <c r="AF2306" s="5">
        <f t="shared" si="338"/>
        <v>0</v>
      </c>
      <c r="AG2306" s="2">
        <v>0</v>
      </c>
      <c r="AH2306" s="5">
        <f t="shared" si="341"/>
        <v>11047</v>
      </c>
      <c r="AJ2306" s="126" t="e">
        <v>#N/A</v>
      </c>
      <c r="AK2306" s="80">
        <f t="shared" si="339"/>
        <v>0</v>
      </c>
      <c r="AM2306" s="85"/>
    </row>
    <row r="2307" spans="1:39" hidden="1" x14ac:dyDescent="0.3">
      <c r="A2307" s="85" t="s">
        <v>34</v>
      </c>
      <c r="B2307" s="15" t="s">
        <v>701</v>
      </c>
      <c r="C2307" s="15" t="s">
        <v>2930</v>
      </c>
      <c r="D2307" s="15" t="s">
        <v>66</v>
      </c>
      <c r="E2307" s="15" t="s">
        <v>2755</v>
      </c>
      <c r="F2307" s="15" t="s">
        <v>2755</v>
      </c>
      <c r="G2307" s="15" t="s">
        <v>2755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2755</v>
      </c>
      <c r="N2307" s="15"/>
      <c r="O2307" s="8" t="s">
        <v>941</v>
      </c>
      <c r="P2307" s="1" t="s">
        <v>246</v>
      </c>
      <c r="Q2307" s="9">
        <v>0</v>
      </c>
      <c r="R2307" s="139">
        <v>7157</v>
      </c>
      <c r="T2307" s="18">
        <v>0</v>
      </c>
      <c r="U2307" s="4">
        <v>0</v>
      </c>
      <c r="V2307" s="4">
        <v>989</v>
      </c>
      <c r="W2307" s="13">
        <f t="shared" si="343"/>
        <v>-989</v>
      </c>
      <c r="X2307" s="13">
        <f t="shared" si="342"/>
        <v>989</v>
      </c>
      <c r="Y2307" s="13">
        <f t="shared" ref="Y2307:Y2370" si="344">IF(X2307-AD2307&lt;=0,0,IF(P2307="返现",MAX(X2307-AC2307-AD2307,0),MAX(X2307-AD2307)))</f>
        <v>0</v>
      </c>
      <c r="Z2307" s="2">
        <v>0</v>
      </c>
      <c r="AA2307" s="4">
        <v>0</v>
      </c>
      <c r="AB2307" s="4">
        <f t="shared" ref="AB2307:AB2370" si="345">X2307+AA2307</f>
        <v>989</v>
      </c>
      <c r="AC2307" s="6">
        <f t="shared" ref="AC2307:AC2370" si="346">IF(P2307="返现",X2307*Q2307,V2307-X2307)</f>
        <v>0</v>
      </c>
      <c r="AD2307" s="13">
        <f t="shared" si="340"/>
        <v>989</v>
      </c>
      <c r="AE2307" s="2">
        <v>0</v>
      </c>
      <c r="AF2307" s="5">
        <f t="shared" ref="AF2307:AF2370" si="347">AD2307*AE2307</f>
        <v>0</v>
      </c>
      <c r="AG2307" s="2">
        <v>0</v>
      </c>
      <c r="AH2307" s="5">
        <f t="shared" si="341"/>
        <v>989</v>
      </c>
      <c r="AJ2307" s="126" t="e">
        <v>#N/A</v>
      </c>
      <c r="AK2307" s="80">
        <f t="shared" ref="AK2307:AK2370" si="348">X2307+AA2307-AB2307</f>
        <v>0</v>
      </c>
      <c r="AM2307" s="85"/>
    </row>
    <row r="2308" spans="1:39" hidden="1" x14ac:dyDescent="0.3">
      <c r="A2308" s="85" t="s">
        <v>34</v>
      </c>
      <c r="B2308" s="15" t="s">
        <v>35</v>
      </c>
      <c r="C2308" s="15" t="s">
        <v>53</v>
      </c>
      <c r="D2308" s="15" t="s">
        <v>37</v>
      </c>
      <c r="E2308" s="15" t="s">
        <v>285</v>
      </c>
      <c r="F2308" s="15" t="s">
        <v>2698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2699</v>
      </c>
      <c r="N2308" s="15"/>
      <c r="O2308" s="8" t="s">
        <v>941</v>
      </c>
      <c r="P2308" s="8" t="s">
        <v>41</v>
      </c>
      <c r="Q2308" s="9">
        <v>0</v>
      </c>
      <c r="R2308" s="139">
        <v>7174</v>
      </c>
      <c r="T2308" s="18">
        <v>0</v>
      </c>
      <c r="U2308" s="4">
        <v>0</v>
      </c>
      <c r="V2308" s="4">
        <v>400</v>
      </c>
      <c r="W2308" s="13">
        <f t="shared" si="343"/>
        <v>-400</v>
      </c>
      <c r="X2308" s="13">
        <f t="shared" si="342"/>
        <v>400</v>
      </c>
      <c r="Y2308" s="13">
        <f t="shared" si="344"/>
        <v>0</v>
      </c>
      <c r="Z2308" s="2">
        <v>0</v>
      </c>
      <c r="AA2308" s="4">
        <v>0</v>
      </c>
      <c r="AB2308" s="4">
        <f t="shared" si="345"/>
        <v>400</v>
      </c>
      <c r="AC2308" s="6">
        <f t="shared" si="346"/>
        <v>0</v>
      </c>
      <c r="AD2308" s="13">
        <f t="shared" si="340"/>
        <v>400</v>
      </c>
      <c r="AE2308" s="2">
        <v>0</v>
      </c>
      <c r="AF2308" s="5">
        <f t="shared" si="347"/>
        <v>0</v>
      </c>
      <c r="AG2308" s="2">
        <v>0</v>
      </c>
      <c r="AH2308" s="5">
        <f t="shared" si="341"/>
        <v>400</v>
      </c>
      <c r="AJ2308" s="126" t="e">
        <v>#N/A</v>
      </c>
      <c r="AK2308" s="80">
        <f t="shared" si="348"/>
        <v>0</v>
      </c>
      <c r="AM2308" s="85"/>
    </row>
    <row r="2309" spans="1:39" hidden="1" x14ac:dyDescent="0.3">
      <c r="A2309" s="85" t="s">
        <v>34</v>
      </c>
      <c r="B2309" s="15" t="s">
        <v>701</v>
      </c>
      <c r="C2309" s="15" t="s">
        <v>2930</v>
      </c>
      <c r="D2309" s="15" t="s">
        <v>66</v>
      </c>
      <c r="E2309" s="15" t="s">
        <v>2866</v>
      </c>
      <c r="F2309" s="15" t="s">
        <v>2866</v>
      </c>
      <c r="G2309" s="15" t="s">
        <v>2866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2866</v>
      </c>
      <c r="N2309" s="15"/>
      <c r="O2309" s="8" t="s">
        <v>941</v>
      </c>
      <c r="P2309" s="8" t="s">
        <v>41</v>
      </c>
      <c r="Q2309" s="9">
        <v>0</v>
      </c>
      <c r="R2309" s="139">
        <v>7181</v>
      </c>
      <c r="T2309" s="18">
        <v>0</v>
      </c>
      <c r="U2309" s="4">
        <v>0</v>
      </c>
      <c r="V2309" s="4">
        <v>1182</v>
      </c>
      <c r="W2309" s="13">
        <f t="shared" si="343"/>
        <v>-1182</v>
      </c>
      <c r="X2309" s="13">
        <f t="shared" si="342"/>
        <v>1182</v>
      </c>
      <c r="Y2309" s="13">
        <f t="shared" si="344"/>
        <v>0</v>
      </c>
      <c r="Z2309" s="2">
        <v>0</v>
      </c>
      <c r="AA2309" s="4">
        <v>0</v>
      </c>
      <c r="AB2309" s="4">
        <f t="shared" si="345"/>
        <v>1182</v>
      </c>
      <c r="AC2309" s="6">
        <f t="shared" si="346"/>
        <v>0</v>
      </c>
      <c r="AD2309" s="13">
        <f t="shared" si="340"/>
        <v>1182</v>
      </c>
      <c r="AE2309" s="2">
        <v>0</v>
      </c>
      <c r="AF2309" s="5">
        <f t="shared" si="347"/>
        <v>0</v>
      </c>
      <c r="AG2309" s="2">
        <v>0</v>
      </c>
      <c r="AH2309" s="5">
        <f t="shared" si="341"/>
        <v>1182</v>
      </c>
      <c r="AJ2309" s="126" t="e">
        <v>#N/A</v>
      </c>
      <c r="AK2309" s="80">
        <f t="shared" si="348"/>
        <v>0</v>
      </c>
      <c r="AM2309" s="85"/>
    </row>
    <row r="2310" spans="1:39" hidden="1" x14ac:dyDescent="0.3">
      <c r="A2310" s="85" t="s">
        <v>34</v>
      </c>
      <c r="B2310" s="15" t="s">
        <v>701</v>
      </c>
      <c r="C2310" s="15" t="s">
        <v>2933</v>
      </c>
      <c r="D2310" s="15" t="s">
        <v>174</v>
      </c>
      <c r="E2310" s="15" t="s">
        <v>694</v>
      </c>
      <c r="F2310" s="15" t="s">
        <v>694</v>
      </c>
      <c r="G2310" s="15" t="s">
        <v>694</v>
      </c>
      <c r="H2310" s="154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694</v>
      </c>
      <c r="N2310" s="15"/>
      <c r="O2310" s="8" t="s">
        <v>941</v>
      </c>
      <c r="P2310" s="8" t="s">
        <v>41</v>
      </c>
      <c r="Q2310" s="9">
        <v>0</v>
      </c>
      <c r="R2310" s="139">
        <v>7202</v>
      </c>
      <c r="T2310" s="18">
        <v>0</v>
      </c>
      <c r="U2310" s="4">
        <v>0</v>
      </c>
      <c r="V2310" s="4">
        <v>2600</v>
      </c>
      <c r="W2310" s="13">
        <f t="shared" si="343"/>
        <v>-2600</v>
      </c>
      <c r="X2310" s="13">
        <f t="shared" si="342"/>
        <v>2600</v>
      </c>
      <c r="Y2310" s="13">
        <f t="shared" si="344"/>
        <v>0</v>
      </c>
      <c r="Z2310" s="2">
        <v>0</v>
      </c>
      <c r="AA2310" s="4">
        <v>0</v>
      </c>
      <c r="AB2310" s="4">
        <f t="shared" si="345"/>
        <v>2600</v>
      </c>
      <c r="AC2310" s="6">
        <f t="shared" si="346"/>
        <v>0</v>
      </c>
      <c r="AD2310" s="13">
        <f t="shared" si="340"/>
        <v>2600</v>
      </c>
      <c r="AE2310" s="2">
        <v>0</v>
      </c>
      <c r="AF2310" s="5">
        <f t="shared" si="347"/>
        <v>0</v>
      </c>
      <c r="AG2310" s="2">
        <v>0</v>
      </c>
      <c r="AH2310" s="5">
        <f t="shared" si="341"/>
        <v>2600</v>
      </c>
      <c r="AJ2310" s="126" t="e">
        <v>#N/A</v>
      </c>
      <c r="AK2310" s="80">
        <f t="shared" si="348"/>
        <v>0</v>
      </c>
      <c r="AM2310" s="85"/>
    </row>
    <row r="2311" spans="1:39" hidden="1" x14ac:dyDescent="0.3">
      <c r="A2311" s="85" t="s">
        <v>34</v>
      </c>
      <c r="B2311" s="15" t="s">
        <v>701</v>
      </c>
      <c r="C2311" s="15" t="s">
        <v>53</v>
      </c>
      <c r="D2311" s="15" t="s">
        <v>54</v>
      </c>
      <c r="E2311" s="15" t="s">
        <v>2843</v>
      </c>
      <c r="F2311" s="15" t="s">
        <v>2843</v>
      </c>
      <c r="G2311" s="15" t="s">
        <v>2843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2845</v>
      </c>
      <c r="N2311" s="15"/>
      <c r="O2311" s="8" t="s">
        <v>941</v>
      </c>
      <c r="P2311" s="8" t="s">
        <v>41</v>
      </c>
      <c r="Q2311" s="9">
        <v>0</v>
      </c>
      <c r="R2311" s="139">
        <v>7244</v>
      </c>
      <c r="T2311" s="18">
        <v>0</v>
      </c>
      <c r="U2311" s="4">
        <v>0</v>
      </c>
      <c r="V2311" s="4">
        <v>1800</v>
      </c>
      <c r="W2311" s="13">
        <f t="shared" si="343"/>
        <v>-1800</v>
      </c>
      <c r="X2311" s="13">
        <f t="shared" si="342"/>
        <v>1800</v>
      </c>
      <c r="Y2311" s="13">
        <f t="shared" si="344"/>
        <v>0</v>
      </c>
      <c r="Z2311" s="2">
        <v>0</v>
      </c>
      <c r="AA2311" s="4">
        <v>0</v>
      </c>
      <c r="AB2311" s="4">
        <f t="shared" si="345"/>
        <v>1800</v>
      </c>
      <c r="AC2311" s="6">
        <f t="shared" si="346"/>
        <v>0</v>
      </c>
      <c r="AD2311" s="13">
        <f t="shared" si="340"/>
        <v>1800</v>
      </c>
      <c r="AE2311" s="2">
        <v>0</v>
      </c>
      <c r="AF2311" s="5">
        <f t="shared" si="347"/>
        <v>0</v>
      </c>
      <c r="AG2311" s="2">
        <v>0</v>
      </c>
      <c r="AH2311" s="5">
        <f t="shared" si="341"/>
        <v>1800</v>
      </c>
      <c r="AJ2311" s="126" t="e">
        <v>#N/A</v>
      </c>
      <c r="AK2311" s="80">
        <f t="shared" si="348"/>
        <v>0</v>
      </c>
      <c r="AM2311" s="85"/>
    </row>
    <row r="2312" spans="1:39" hidden="1" x14ac:dyDescent="0.3">
      <c r="A2312" s="85" t="s">
        <v>34</v>
      </c>
      <c r="B2312" s="15" t="s">
        <v>701</v>
      </c>
      <c r="C2312" s="15" t="s">
        <v>2934</v>
      </c>
      <c r="D2312" s="15" t="s">
        <v>60</v>
      </c>
      <c r="E2312" s="15" t="s">
        <v>85</v>
      </c>
      <c r="F2312" s="15" t="s">
        <v>2730</v>
      </c>
      <c r="G2312" s="15" t="s">
        <v>85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2731</v>
      </c>
      <c r="N2312" s="15"/>
      <c r="O2312" s="8" t="s">
        <v>941</v>
      </c>
      <c r="P2312" s="8" t="s">
        <v>75</v>
      </c>
      <c r="Q2312" s="9">
        <v>0.1</v>
      </c>
      <c r="R2312" s="139">
        <v>7481</v>
      </c>
      <c r="T2312" s="18">
        <v>0</v>
      </c>
      <c r="U2312" s="4">
        <v>0</v>
      </c>
      <c r="V2312" s="4">
        <v>195169</v>
      </c>
      <c r="W2312" s="13">
        <f t="shared" si="343"/>
        <v>-195169</v>
      </c>
      <c r="X2312" s="13">
        <f t="shared" si="342"/>
        <v>195169</v>
      </c>
      <c r="Y2312" s="13">
        <f t="shared" si="344"/>
        <v>0</v>
      </c>
      <c r="Z2312" s="2">
        <v>0</v>
      </c>
      <c r="AA2312" s="4">
        <v>0</v>
      </c>
      <c r="AB2312" s="4">
        <f t="shared" si="345"/>
        <v>195169</v>
      </c>
      <c r="AC2312" s="6">
        <f t="shared" si="346"/>
        <v>19516.900000000001</v>
      </c>
      <c r="AD2312" s="13">
        <f t="shared" si="340"/>
        <v>195169</v>
      </c>
      <c r="AE2312" s="2">
        <v>0</v>
      </c>
      <c r="AF2312" s="5">
        <f t="shared" si="347"/>
        <v>0</v>
      </c>
      <c r="AG2312" s="2">
        <v>0</v>
      </c>
      <c r="AH2312" s="5">
        <f t="shared" si="341"/>
        <v>195169</v>
      </c>
      <c r="AJ2312" s="126" t="e">
        <v>#N/A</v>
      </c>
      <c r="AK2312" s="80">
        <f t="shared" si="348"/>
        <v>0</v>
      </c>
      <c r="AM2312" s="85"/>
    </row>
    <row r="2313" spans="1:39" hidden="1" x14ac:dyDescent="0.3">
      <c r="A2313" s="85" t="s">
        <v>34</v>
      </c>
      <c r="B2313" s="15" t="s">
        <v>701</v>
      </c>
      <c r="C2313" s="15" t="s">
        <v>2933</v>
      </c>
      <c r="D2313" s="15" t="s">
        <v>174</v>
      </c>
      <c r="E2313" s="15" t="s">
        <v>1730</v>
      </c>
      <c r="F2313" s="15" t="s">
        <v>1730</v>
      </c>
      <c r="G2313" s="15" t="s">
        <v>1730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2825</v>
      </c>
      <c r="N2313" s="15"/>
      <c r="O2313" s="8" t="s">
        <v>941</v>
      </c>
      <c r="P2313" s="8" t="s">
        <v>41</v>
      </c>
      <c r="Q2313" s="9">
        <v>0</v>
      </c>
      <c r="R2313" s="139">
        <v>7485</v>
      </c>
      <c r="T2313" s="18">
        <v>0</v>
      </c>
      <c r="U2313" s="4">
        <v>0</v>
      </c>
      <c r="V2313" s="4">
        <v>400</v>
      </c>
      <c r="W2313" s="13">
        <f t="shared" si="343"/>
        <v>-400</v>
      </c>
      <c r="X2313" s="13">
        <f t="shared" si="342"/>
        <v>400</v>
      </c>
      <c r="Y2313" s="13">
        <f t="shared" si="344"/>
        <v>0</v>
      </c>
      <c r="Z2313" s="2">
        <v>0</v>
      </c>
      <c r="AA2313" s="4">
        <v>0</v>
      </c>
      <c r="AB2313" s="4">
        <v>400</v>
      </c>
      <c r="AC2313" s="6">
        <f t="shared" si="346"/>
        <v>0</v>
      </c>
      <c r="AD2313" s="13">
        <f t="shared" si="340"/>
        <v>400</v>
      </c>
      <c r="AE2313" s="2">
        <v>0</v>
      </c>
      <c r="AF2313" s="5">
        <f t="shared" si="347"/>
        <v>0</v>
      </c>
      <c r="AG2313" s="2">
        <v>0</v>
      </c>
      <c r="AH2313" s="5">
        <f t="shared" si="341"/>
        <v>400</v>
      </c>
      <c r="AJ2313" s="126" t="s">
        <v>4217</v>
      </c>
      <c r="AK2313" s="80">
        <f t="shared" si="348"/>
        <v>0</v>
      </c>
      <c r="AM2313" s="85"/>
    </row>
    <row r="2314" spans="1:39" hidden="1" x14ac:dyDescent="0.3">
      <c r="A2314" s="85" t="s">
        <v>34</v>
      </c>
      <c r="B2314" s="15" t="s">
        <v>701</v>
      </c>
      <c r="C2314" s="15" t="s">
        <v>2933</v>
      </c>
      <c r="D2314" s="15" t="s">
        <v>165</v>
      </c>
      <c r="E2314" s="15" t="s">
        <v>2805</v>
      </c>
      <c r="F2314" s="15" t="s">
        <v>2805</v>
      </c>
      <c r="G2314" s="15" t="s">
        <v>2805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2805</v>
      </c>
      <c r="N2314" s="15"/>
      <c r="O2314" s="8" t="s">
        <v>941</v>
      </c>
      <c r="P2314" s="8" t="s">
        <v>41</v>
      </c>
      <c r="Q2314" s="9">
        <v>0</v>
      </c>
      <c r="R2314" s="139">
        <v>7507</v>
      </c>
      <c r="T2314" s="18">
        <v>0</v>
      </c>
      <c r="U2314" s="4">
        <v>0</v>
      </c>
      <c r="V2314" s="4">
        <v>1586</v>
      </c>
      <c r="W2314" s="13">
        <f t="shared" si="343"/>
        <v>-1586</v>
      </c>
      <c r="X2314" s="13">
        <f t="shared" si="342"/>
        <v>1586</v>
      </c>
      <c r="Y2314" s="13">
        <f t="shared" si="344"/>
        <v>0</v>
      </c>
      <c r="Z2314" s="2">
        <v>0</v>
      </c>
      <c r="AA2314" s="4">
        <v>0</v>
      </c>
      <c r="AB2314" s="4">
        <f t="shared" si="345"/>
        <v>1586</v>
      </c>
      <c r="AC2314" s="6">
        <f t="shared" si="346"/>
        <v>0</v>
      </c>
      <c r="AD2314" s="13">
        <f t="shared" si="340"/>
        <v>1586</v>
      </c>
      <c r="AE2314" s="2">
        <v>0</v>
      </c>
      <c r="AF2314" s="5">
        <f t="shared" si="347"/>
        <v>0</v>
      </c>
      <c r="AG2314" s="2">
        <v>0</v>
      </c>
      <c r="AH2314" s="5">
        <f t="shared" si="341"/>
        <v>1586</v>
      </c>
      <c r="AJ2314" s="126" t="e">
        <v>#N/A</v>
      </c>
      <c r="AK2314" s="80">
        <f t="shared" si="348"/>
        <v>0</v>
      </c>
      <c r="AM2314" s="85"/>
    </row>
    <row r="2315" spans="1:39" hidden="1" x14ac:dyDescent="0.3">
      <c r="A2315" s="85" t="s">
        <v>34</v>
      </c>
      <c r="B2315" s="15" t="s">
        <v>701</v>
      </c>
      <c r="C2315" s="15" t="s">
        <v>53</v>
      </c>
      <c r="D2315" s="15" t="s">
        <v>54</v>
      </c>
      <c r="E2315" s="15" t="s">
        <v>1204</v>
      </c>
      <c r="F2315" s="15" t="s">
        <v>1204</v>
      </c>
      <c r="G2315" s="15" t="s">
        <v>1204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1204</v>
      </c>
      <c r="N2315" s="15"/>
      <c r="O2315" s="8" t="s">
        <v>941</v>
      </c>
      <c r="P2315" s="8" t="s">
        <v>41</v>
      </c>
      <c r="Q2315" s="9">
        <v>0</v>
      </c>
      <c r="R2315" s="139">
        <v>7521</v>
      </c>
      <c r="T2315" s="18">
        <v>0</v>
      </c>
      <c r="U2315" s="4">
        <v>0</v>
      </c>
      <c r="V2315" s="4">
        <v>1000</v>
      </c>
      <c r="W2315" s="13">
        <f t="shared" si="343"/>
        <v>-1000</v>
      </c>
      <c r="X2315" s="13">
        <f t="shared" si="342"/>
        <v>1000</v>
      </c>
      <c r="Y2315" s="13">
        <f t="shared" si="344"/>
        <v>0</v>
      </c>
      <c r="Z2315" s="2">
        <v>0</v>
      </c>
      <c r="AA2315" s="4">
        <v>0</v>
      </c>
      <c r="AB2315" s="4">
        <f t="shared" si="345"/>
        <v>1000</v>
      </c>
      <c r="AC2315" s="6">
        <f t="shared" si="346"/>
        <v>0</v>
      </c>
      <c r="AD2315" s="13">
        <f t="shared" si="340"/>
        <v>1000</v>
      </c>
      <c r="AE2315" s="2">
        <v>0</v>
      </c>
      <c r="AF2315" s="5">
        <f t="shared" si="347"/>
        <v>0</v>
      </c>
      <c r="AG2315" s="2">
        <v>0</v>
      </c>
      <c r="AH2315" s="5">
        <f t="shared" si="341"/>
        <v>1000</v>
      </c>
      <c r="AJ2315" s="126" t="e">
        <v>#N/A</v>
      </c>
      <c r="AK2315" s="80">
        <f t="shared" si="348"/>
        <v>0</v>
      </c>
      <c r="AM2315" s="85"/>
    </row>
    <row r="2316" spans="1:39" hidden="1" x14ac:dyDescent="0.3">
      <c r="A2316" s="85" t="s">
        <v>34</v>
      </c>
      <c r="B2316" s="15" t="s">
        <v>701</v>
      </c>
      <c r="C2316" s="15" t="s">
        <v>53</v>
      </c>
      <c r="D2316" s="15" t="s">
        <v>224</v>
      </c>
      <c r="E2316" s="15" t="s">
        <v>2734</v>
      </c>
      <c r="F2316" s="15" t="s">
        <v>2734</v>
      </c>
      <c r="G2316" s="15" t="s">
        <v>2734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2734</v>
      </c>
      <c r="N2316" s="15"/>
      <c r="O2316" s="8" t="s">
        <v>941</v>
      </c>
      <c r="P2316" s="8" t="s">
        <v>41</v>
      </c>
      <c r="Q2316" s="9">
        <v>0</v>
      </c>
      <c r="R2316" s="139">
        <v>7569</v>
      </c>
      <c r="T2316" s="18">
        <v>0</v>
      </c>
      <c r="U2316" s="4">
        <v>0</v>
      </c>
      <c r="V2316" s="4">
        <v>1287</v>
      </c>
      <c r="W2316" s="13">
        <f t="shared" si="343"/>
        <v>-1287</v>
      </c>
      <c r="X2316" s="13">
        <f t="shared" si="342"/>
        <v>1287</v>
      </c>
      <c r="Y2316" s="13">
        <f t="shared" si="344"/>
        <v>0</v>
      </c>
      <c r="Z2316" s="2">
        <v>0</v>
      </c>
      <c r="AA2316" s="4">
        <v>0</v>
      </c>
      <c r="AB2316" s="4">
        <f t="shared" si="345"/>
        <v>1287</v>
      </c>
      <c r="AC2316" s="6">
        <f t="shared" si="346"/>
        <v>0</v>
      </c>
      <c r="AD2316" s="13">
        <f t="shared" si="340"/>
        <v>1287</v>
      </c>
      <c r="AE2316" s="2">
        <v>0</v>
      </c>
      <c r="AF2316" s="5">
        <f t="shared" si="347"/>
        <v>0</v>
      </c>
      <c r="AG2316" s="2">
        <v>0</v>
      </c>
      <c r="AH2316" s="5">
        <f t="shared" si="341"/>
        <v>1287</v>
      </c>
      <c r="AJ2316" s="126" t="e">
        <v>#N/A</v>
      </c>
      <c r="AK2316" s="80">
        <f t="shared" si="348"/>
        <v>0</v>
      </c>
      <c r="AM2316" s="85"/>
    </row>
    <row r="2317" spans="1:39" hidden="1" x14ac:dyDescent="0.3">
      <c r="A2317" s="85" t="s">
        <v>34</v>
      </c>
      <c r="B2317" s="15" t="s">
        <v>701</v>
      </c>
      <c r="C2317" s="15" t="s">
        <v>2930</v>
      </c>
      <c r="D2317" s="15" t="s">
        <v>122</v>
      </c>
      <c r="E2317" s="15" t="s">
        <v>2856</v>
      </c>
      <c r="F2317" s="15" t="s">
        <v>2856</v>
      </c>
      <c r="G2317" s="15" t="s">
        <v>2856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2857</v>
      </c>
      <c r="N2317" s="15"/>
      <c r="O2317" s="8" t="s">
        <v>941</v>
      </c>
      <c r="P2317" s="8" t="s">
        <v>41</v>
      </c>
      <c r="Q2317" s="9">
        <v>0</v>
      </c>
      <c r="R2317" s="139">
        <v>7591</v>
      </c>
      <c r="T2317" s="18">
        <v>0</v>
      </c>
      <c r="U2317" s="4">
        <v>0</v>
      </c>
      <c r="V2317" s="4">
        <v>3500</v>
      </c>
      <c r="W2317" s="13">
        <f t="shared" si="343"/>
        <v>-3500</v>
      </c>
      <c r="X2317" s="13">
        <f t="shared" si="342"/>
        <v>3500</v>
      </c>
      <c r="Y2317" s="13">
        <f t="shared" si="344"/>
        <v>0</v>
      </c>
      <c r="Z2317" s="2">
        <v>0</v>
      </c>
      <c r="AA2317" s="4">
        <v>0</v>
      </c>
      <c r="AB2317" s="4">
        <f t="shared" si="345"/>
        <v>3500</v>
      </c>
      <c r="AC2317" s="6">
        <f t="shared" si="346"/>
        <v>0</v>
      </c>
      <c r="AD2317" s="13">
        <f t="shared" si="340"/>
        <v>3500</v>
      </c>
      <c r="AE2317" s="2">
        <v>0</v>
      </c>
      <c r="AF2317" s="5">
        <f t="shared" si="347"/>
        <v>0</v>
      </c>
      <c r="AG2317" s="2">
        <v>0</v>
      </c>
      <c r="AH2317" s="5">
        <f t="shared" si="341"/>
        <v>3500</v>
      </c>
      <c r="AJ2317" s="126" t="e">
        <v>#N/A</v>
      </c>
      <c r="AK2317" s="80">
        <f t="shared" si="348"/>
        <v>0</v>
      </c>
      <c r="AM2317" s="85"/>
    </row>
    <row r="2318" spans="1:39" hidden="1" x14ac:dyDescent="0.3">
      <c r="A2318" s="85" t="s">
        <v>34</v>
      </c>
      <c r="B2318" s="15" t="s">
        <v>701</v>
      </c>
      <c r="C2318" s="15" t="s">
        <v>2932</v>
      </c>
      <c r="D2318" s="15" t="s">
        <v>48</v>
      </c>
      <c r="E2318" s="15" t="s">
        <v>2482</v>
      </c>
      <c r="F2318" s="15" t="s">
        <v>2483</v>
      </c>
      <c r="G2318" s="15" t="s">
        <v>2482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2482</v>
      </c>
      <c r="N2318" s="15"/>
      <c r="O2318" s="8" t="s">
        <v>941</v>
      </c>
      <c r="P2318" s="8" t="s">
        <v>41</v>
      </c>
      <c r="Q2318" s="9">
        <v>0</v>
      </c>
      <c r="R2318" s="139">
        <v>7592</v>
      </c>
      <c r="T2318" s="18">
        <v>0</v>
      </c>
      <c r="U2318" s="4">
        <v>0</v>
      </c>
      <c r="V2318" s="4">
        <v>1010.5</v>
      </c>
      <c r="W2318" s="13">
        <f t="shared" si="343"/>
        <v>-1010.5</v>
      </c>
      <c r="X2318" s="13">
        <f t="shared" si="342"/>
        <v>1010.5</v>
      </c>
      <c r="Y2318" s="13">
        <f t="shared" si="344"/>
        <v>0</v>
      </c>
      <c r="Z2318" s="2">
        <v>0</v>
      </c>
      <c r="AA2318" s="4">
        <v>0</v>
      </c>
      <c r="AB2318" s="4">
        <f t="shared" si="345"/>
        <v>1010.5</v>
      </c>
      <c r="AC2318" s="6">
        <f t="shared" si="346"/>
        <v>0</v>
      </c>
      <c r="AD2318" s="13">
        <f t="shared" si="340"/>
        <v>1010.5</v>
      </c>
      <c r="AE2318" s="2">
        <v>0</v>
      </c>
      <c r="AF2318" s="5">
        <f t="shared" si="347"/>
        <v>0</v>
      </c>
      <c r="AG2318" s="2">
        <v>0</v>
      </c>
      <c r="AH2318" s="5">
        <f t="shared" si="341"/>
        <v>1010.5</v>
      </c>
      <c r="AJ2318" s="126" t="e">
        <v>#N/A</v>
      </c>
      <c r="AK2318" s="80">
        <f t="shared" si="348"/>
        <v>0</v>
      </c>
      <c r="AM2318" s="85"/>
    </row>
    <row r="2319" spans="1:39" hidden="1" x14ac:dyDescent="0.3">
      <c r="A2319" s="85" t="s">
        <v>34</v>
      </c>
      <c r="B2319" s="15" t="s">
        <v>701</v>
      </c>
      <c r="C2319" s="15" t="s">
        <v>2932</v>
      </c>
      <c r="D2319" s="15" t="s">
        <v>63</v>
      </c>
      <c r="E2319" s="15" t="s">
        <v>2409</v>
      </c>
      <c r="F2319" s="15" t="s">
        <v>2776</v>
      </c>
      <c r="G2319" s="15" t="s">
        <v>2409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2781</v>
      </c>
      <c r="N2319" s="15"/>
      <c r="O2319" s="8" t="s">
        <v>941</v>
      </c>
      <c r="P2319" s="8" t="s">
        <v>46</v>
      </c>
      <c r="Q2319" s="9">
        <v>7.0000000000000007E-2</v>
      </c>
      <c r="R2319" s="139">
        <v>7611</v>
      </c>
      <c r="T2319" s="18">
        <v>0</v>
      </c>
      <c r="U2319" s="4">
        <v>0</v>
      </c>
      <c r="V2319" s="4">
        <v>12669</v>
      </c>
      <c r="W2319" s="13">
        <f t="shared" si="343"/>
        <v>-12669</v>
      </c>
      <c r="X2319" s="13">
        <f t="shared" si="342"/>
        <v>11840.186915887849</v>
      </c>
      <c r="Y2319" s="13">
        <f t="shared" si="344"/>
        <v>0</v>
      </c>
      <c r="Z2319" s="2">
        <v>0</v>
      </c>
      <c r="AA2319" s="4">
        <v>0</v>
      </c>
      <c r="AB2319" s="4">
        <f t="shared" si="345"/>
        <v>11840.186915887849</v>
      </c>
      <c r="AC2319" s="6">
        <f t="shared" si="346"/>
        <v>828.81308411215105</v>
      </c>
      <c r="AD2319" s="13">
        <f t="shared" si="340"/>
        <v>12669</v>
      </c>
      <c r="AE2319" s="2">
        <v>0</v>
      </c>
      <c r="AF2319" s="5">
        <f t="shared" si="347"/>
        <v>0</v>
      </c>
      <c r="AG2319" s="2">
        <v>0</v>
      </c>
      <c r="AH2319" s="5">
        <f t="shared" si="341"/>
        <v>12669</v>
      </c>
      <c r="AJ2319" s="126" t="e">
        <v>#N/A</v>
      </c>
      <c r="AK2319" s="80">
        <f t="shared" si="348"/>
        <v>0</v>
      </c>
      <c r="AM2319" s="85"/>
    </row>
    <row r="2320" spans="1:39" hidden="1" x14ac:dyDescent="0.3">
      <c r="A2320" s="85" t="s">
        <v>34</v>
      </c>
      <c r="B2320" s="15" t="s">
        <v>701</v>
      </c>
      <c r="C2320" s="15" t="s">
        <v>2932</v>
      </c>
      <c r="D2320" s="15" t="s">
        <v>63</v>
      </c>
      <c r="E2320" s="15" t="s">
        <v>2772</v>
      </c>
      <c r="F2320" s="15" t="s">
        <v>2772</v>
      </c>
      <c r="G2320" s="15" t="s">
        <v>2772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2773</v>
      </c>
      <c r="N2320" s="15"/>
      <c r="O2320" s="8" t="s">
        <v>941</v>
      </c>
      <c r="P2320" s="8" t="s">
        <v>41</v>
      </c>
      <c r="Q2320" s="9">
        <v>0</v>
      </c>
      <c r="R2320" s="139">
        <v>7613</v>
      </c>
      <c r="T2320" s="18">
        <v>0</v>
      </c>
      <c r="U2320" s="4">
        <v>0</v>
      </c>
      <c r="V2320" s="4">
        <v>93721.91</v>
      </c>
      <c r="W2320" s="13">
        <f t="shared" si="343"/>
        <v>-93721.91</v>
      </c>
      <c r="X2320" s="13">
        <f t="shared" si="342"/>
        <v>93721.91</v>
      </c>
      <c r="Y2320" s="13">
        <f t="shared" si="344"/>
        <v>0</v>
      </c>
      <c r="Z2320" s="2">
        <v>0</v>
      </c>
      <c r="AA2320" s="4">
        <v>0</v>
      </c>
      <c r="AB2320" s="4">
        <f t="shared" si="345"/>
        <v>93721.91</v>
      </c>
      <c r="AC2320" s="6">
        <f t="shared" si="346"/>
        <v>0</v>
      </c>
      <c r="AD2320" s="13">
        <f t="shared" si="340"/>
        <v>93721.91</v>
      </c>
      <c r="AE2320" s="2">
        <v>0</v>
      </c>
      <c r="AF2320" s="5">
        <f t="shared" si="347"/>
        <v>0</v>
      </c>
      <c r="AG2320" s="2">
        <v>0</v>
      </c>
      <c r="AH2320" s="5">
        <f t="shared" si="341"/>
        <v>93721.91</v>
      </c>
      <c r="AJ2320" s="126" t="e">
        <v>#N/A</v>
      </c>
      <c r="AK2320" s="80">
        <f t="shared" si="348"/>
        <v>0</v>
      </c>
      <c r="AM2320" s="85"/>
    </row>
    <row r="2321" spans="1:39" hidden="1" x14ac:dyDescent="0.3">
      <c r="A2321" s="85" t="s">
        <v>34</v>
      </c>
      <c r="B2321" s="15" t="s">
        <v>701</v>
      </c>
      <c r="C2321" s="15" t="s">
        <v>2933</v>
      </c>
      <c r="D2321" s="15" t="s">
        <v>165</v>
      </c>
      <c r="E2321" s="15" t="s">
        <v>2806</v>
      </c>
      <c r="F2321" s="15" t="s">
        <v>2806</v>
      </c>
      <c r="G2321" s="15" t="s">
        <v>2806</v>
      </c>
      <c r="H2321" s="154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2806</v>
      </c>
      <c r="N2321" s="15"/>
      <c r="O2321" s="8" t="s">
        <v>941</v>
      </c>
      <c r="P2321" s="8" t="s">
        <v>46</v>
      </c>
      <c r="Q2321" s="9">
        <v>0.01</v>
      </c>
      <c r="R2321" s="139">
        <v>7614</v>
      </c>
      <c r="T2321" s="18">
        <v>0</v>
      </c>
      <c r="U2321" s="4">
        <v>0</v>
      </c>
      <c r="V2321" s="4">
        <v>1910</v>
      </c>
      <c r="W2321" s="13">
        <f t="shared" si="343"/>
        <v>-1910</v>
      </c>
      <c r="X2321" s="13">
        <f t="shared" si="342"/>
        <v>1891.0891089108911</v>
      </c>
      <c r="Y2321" s="13">
        <f t="shared" si="344"/>
        <v>0</v>
      </c>
      <c r="Z2321" s="2">
        <v>0</v>
      </c>
      <c r="AA2321" s="4">
        <v>0</v>
      </c>
      <c r="AB2321" s="4">
        <f t="shared" si="345"/>
        <v>1891.0891089108911</v>
      </c>
      <c r="AC2321" s="6">
        <f t="shared" si="346"/>
        <v>18.910891089108873</v>
      </c>
      <c r="AD2321" s="13">
        <f t="shared" si="340"/>
        <v>1910</v>
      </c>
      <c r="AE2321" s="2">
        <v>0</v>
      </c>
      <c r="AF2321" s="5">
        <f t="shared" si="347"/>
        <v>0</v>
      </c>
      <c r="AG2321" s="2">
        <v>0</v>
      </c>
      <c r="AH2321" s="5">
        <f t="shared" si="341"/>
        <v>1910</v>
      </c>
      <c r="AJ2321" s="126" t="e">
        <v>#N/A</v>
      </c>
      <c r="AK2321" s="80">
        <f t="shared" si="348"/>
        <v>0</v>
      </c>
      <c r="AM2321" s="85"/>
    </row>
    <row r="2322" spans="1:39" hidden="1" x14ac:dyDescent="0.3">
      <c r="A2322" s="85" t="s">
        <v>34</v>
      </c>
      <c r="B2322" s="15" t="s">
        <v>701</v>
      </c>
      <c r="C2322" s="15" t="s">
        <v>144</v>
      </c>
      <c r="D2322" s="15" t="s">
        <v>145</v>
      </c>
      <c r="E2322" s="15" t="s">
        <v>2872</v>
      </c>
      <c r="F2322" s="15" t="s">
        <v>2872</v>
      </c>
      <c r="G2322" s="15" t="s">
        <v>2872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2873</v>
      </c>
      <c r="N2322" s="15"/>
      <c r="O2322" s="8" t="s">
        <v>941</v>
      </c>
      <c r="P2322" s="8" t="s">
        <v>46</v>
      </c>
      <c r="Q2322" s="9">
        <v>0.02</v>
      </c>
      <c r="R2322" s="139">
        <v>100</v>
      </c>
      <c r="T2322" s="18">
        <v>0</v>
      </c>
      <c r="U2322" s="4">
        <v>0</v>
      </c>
      <c r="V2322" s="4">
        <v>200</v>
      </c>
      <c r="W2322" s="13">
        <f t="shared" si="343"/>
        <v>-200</v>
      </c>
      <c r="X2322" s="13">
        <f t="shared" si="342"/>
        <v>196.07843137254901</v>
      </c>
      <c r="Y2322" s="13">
        <f t="shared" si="344"/>
        <v>0</v>
      </c>
      <c r="Z2322" s="2">
        <v>0</v>
      </c>
      <c r="AA2322" s="4">
        <v>0</v>
      </c>
      <c r="AB2322" s="4">
        <f t="shared" si="345"/>
        <v>196.07843137254901</v>
      </c>
      <c r="AC2322" s="6">
        <f t="shared" si="346"/>
        <v>3.9215686274509949</v>
      </c>
      <c r="AD2322" s="13">
        <f t="shared" si="340"/>
        <v>200</v>
      </c>
      <c r="AE2322" s="2">
        <v>0</v>
      </c>
      <c r="AF2322" s="5">
        <f t="shared" si="347"/>
        <v>0</v>
      </c>
      <c r="AG2322" s="2">
        <v>0</v>
      </c>
      <c r="AH2322" s="5">
        <f t="shared" si="341"/>
        <v>200</v>
      </c>
      <c r="AJ2322" s="126" t="e">
        <v>#N/A</v>
      </c>
      <c r="AK2322" s="80">
        <f t="shared" si="348"/>
        <v>0</v>
      </c>
      <c r="AM2322" s="85"/>
    </row>
    <row r="2323" spans="1:39" hidden="1" x14ac:dyDescent="0.3">
      <c r="A2323" s="85" t="s">
        <v>34</v>
      </c>
      <c r="B2323" s="3" t="s">
        <v>35</v>
      </c>
      <c r="C2323" s="3" t="s">
        <v>59</v>
      </c>
      <c r="D2323" s="3" t="s">
        <v>60</v>
      </c>
      <c r="E2323" s="3" t="s">
        <v>1069</v>
      </c>
      <c r="F2323" s="3" t="s">
        <v>1069</v>
      </c>
      <c r="G2323" s="3" t="s">
        <v>1069</v>
      </c>
      <c r="H2323" s="138"/>
      <c r="I2323" s="3" t="s">
        <v>2935</v>
      </c>
      <c r="J2323" s="1" t="s">
        <v>3302</v>
      </c>
      <c r="K2323" s="1" t="s">
        <v>3281</v>
      </c>
      <c r="L2323" s="1" t="s">
        <v>35</v>
      </c>
      <c r="M2323" s="3" t="s">
        <v>2936</v>
      </c>
      <c r="O2323" s="1" t="s">
        <v>410</v>
      </c>
      <c r="P2323" s="1" t="s">
        <v>46</v>
      </c>
      <c r="Q2323" s="2">
        <v>0.05</v>
      </c>
      <c r="R2323" s="138">
        <v>8755</v>
      </c>
      <c r="T2323" s="4">
        <v>4748605.0899999989</v>
      </c>
      <c r="U2323" s="4">
        <v>-285579.49</v>
      </c>
      <c r="V2323" s="4">
        <v>0</v>
      </c>
      <c r="W2323" s="13">
        <v>0</v>
      </c>
      <c r="X2323" s="13">
        <f t="shared" si="342"/>
        <v>0</v>
      </c>
      <c r="Y2323" s="13">
        <f t="shared" si="344"/>
        <v>0</v>
      </c>
      <c r="Z2323" s="2">
        <v>0</v>
      </c>
      <c r="AA2323" s="4">
        <v>0</v>
      </c>
      <c r="AB2323" s="4">
        <f t="shared" si="345"/>
        <v>0</v>
      </c>
      <c r="AC2323" s="6">
        <f t="shared" si="346"/>
        <v>0</v>
      </c>
      <c r="AD2323" s="13">
        <f>V2323</f>
        <v>0</v>
      </c>
      <c r="AE2323" s="2">
        <v>0.09</v>
      </c>
      <c r="AF2323" s="5">
        <f t="shared" si="347"/>
        <v>0</v>
      </c>
      <c r="AG2323" s="2">
        <v>0</v>
      </c>
      <c r="AH2323" s="5">
        <f>V2323</f>
        <v>0</v>
      </c>
      <c r="AJ2323" s="126" t="e">
        <v>#N/A</v>
      </c>
      <c r="AK2323" s="80">
        <f t="shared" si="348"/>
        <v>0</v>
      </c>
      <c r="AM2323" s="85"/>
    </row>
    <row r="2324" spans="1:39" hidden="1" x14ac:dyDescent="0.3">
      <c r="A2324" s="85" t="s">
        <v>34</v>
      </c>
      <c r="B2324" s="3" t="s">
        <v>35</v>
      </c>
      <c r="C2324" s="3" t="s">
        <v>59</v>
      </c>
      <c r="D2324" s="3" t="s">
        <v>60</v>
      </c>
      <c r="E2324" s="3" t="s">
        <v>416</v>
      </c>
      <c r="F2324" s="3" t="s">
        <v>2937</v>
      </c>
      <c r="G2324" s="3" t="s">
        <v>416</v>
      </c>
      <c r="I2324" s="3" t="s">
        <v>2935</v>
      </c>
      <c r="J2324" s="1" t="s">
        <v>3302</v>
      </c>
      <c r="K2324" s="1" t="s">
        <v>3281</v>
      </c>
      <c r="L2324" s="1" t="s">
        <v>35</v>
      </c>
      <c r="M2324" s="3" t="s">
        <v>2938</v>
      </c>
      <c r="O2324" s="1" t="s">
        <v>410</v>
      </c>
      <c r="P2324" s="1" t="s">
        <v>41</v>
      </c>
      <c r="Q2324" s="2">
        <v>0</v>
      </c>
      <c r="R2324" s="138">
        <v>143732</v>
      </c>
      <c r="T2324" s="4">
        <v>0</v>
      </c>
      <c r="U2324" s="4">
        <v>36000</v>
      </c>
      <c r="V2324" s="4">
        <v>23463.32</v>
      </c>
      <c r="W2324" s="13">
        <f t="shared" ref="W2324:W2387" si="349">T2324+U2324-V2324</f>
        <v>12536.68</v>
      </c>
      <c r="X2324" s="13">
        <f t="shared" si="342"/>
        <v>23463.32</v>
      </c>
      <c r="Y2324" s="13">
        <f t="shared" si="344"/>
        <v>0</v>
      </c>
      <c r="Z2324" s="2">
        <v>0</v>
      </c>
      <c r="AA2324" s="4">
        <v>0</v>
      </c>
      <c r="AB2324" s="4">
        <f t="shared" si="345"/>
        <v>23463.32</v>
      </c>
      <c r="AC2324" s="6">
        <f t="shared" si="346"/>
        <v>0</v>
      </c>
      <c r="AD2324" s="13">
        <f t="shared" ref="AD2324:AD2387" si="350">V2324</f>
        <v>23463.32</v>
      </c>
      <c r="AE2324" s="2">
        <v>0.09</v>
      </c>
      <c r="AF2324" s="5">
        <f t="shared" si="347"/>
        <v>2111.6988000000001</v>
      </c>
      <c r="AG2324" s="2">
        <v>0</v>
      </c>
      <c r="AH2324" s="5">
        <f t="shared" ref="AH2324:AH2387" si="351">V2324</f>
        <v>23463.32</v>
      </c>
      <c r="AJ2324" s="126" t="e">
        <v>#N/A</v>
      </c>
      <c r="AK2324" s="80">
        <f t="shared" si="348"/>
        <v>0</v>
      </c>
      <c r="AM2324" s="85"/>
    </row>
    <row r="2325" spans="1:39" hidden="1" x14ac:dyDescent="0.3">
      <c r="A2325" s="85" t="s">
        <v>34</v>
      </c>
      <c r="B2325" s="3" t="s">
        <v>35</v>
      </c>
      <c r="C2325" s="3" t="s">
        <v>59</v>
      </c>
      <c r="D2325" s="3" t="s">
        <v>60</v>
      </c>
      <c r="E2325" s="3" t="s">
        <v>2939</v>
      </c>
      <c r="F2325" s="3" t="s">
        <v>2939</v>
      </c>
      <c r="G2325" s="3" t="s">
        <v>2939</v>
      </c>
      <c r="I2325" s="3" t="s">
        <v>2935</v>
      </c>
      <c r="J2325" s="1" t="s">
        <v>3302</v>
      </c>
      <c r="K2325" s="1" t="s">
        <v>3281</v>
      </c>
      <c r="L2325" s="1" t="s">
        <v>35</v>
      </c>
      <c r="M2325" s="3" t="s">
        <v>2940</v>
      </c>
      <c r="O2325" s="1" t="s">
        <v>410</v>
      </c>
      <c r="P2325" s="1" t="s">
        <v>41</v>
      </c>
      <c r="Q2325" s="2">
        <v>0</v>
      </c>
      <c r="R2325" s="138">
        <v>244712</v>
      </c>
      <c r="T2325" s="4">
        <v>0</v>
      </c>
      <c r="U2325" s="4">
        <v>5000</v>
      </c>
      <c r="V2325" s="4">
        <v>2577.62</v>
      </c>
      <c r="W2325" s="13">
        <f t="shared" si="349"/>
        <v>2422.38</v>
      </c>
      <c r="X2325" s="13">
        <f t="shared" si="342"/>
        <v>2577.62</v>
      </c>
      <c r="Y2325" s="13">
        <f t="shared" si="344"/>
        <v>0</v>
      </c>
      <c r="Z2325" s="2">
        <v>0</v>
      </c>
      <c r="AA2325" s="4">
        <v>0</v>
      </c>
      <c r="AB2325" s="4">
        <f t="shared" si="345"/>
        <v>2577.62</v>
      </c>
      <c r="AC2325" s="6">
        <f t="shared" si="346"/>
        <v>0</v>
      </c>
      <c r="AD2325" s="13">
        <f t="shared" si="350"/>
        <v>2577.62</v>
      </c>
      <c r="AE2325" s="2">
        <v>0.09</v>
      </c>
      <c r="AF2325" s="5">
        <f t="shared" si="347"/>
        <v>231.98579999999998</v>
      </c>
      <c r="AG2325" s="2">
        <v>0</v>
      </c>
      <c r="AH2325" s="5">
        <f t="shared" si="351"/>
        <v>2577.62</v>
      </c>
      <c r="AJ2325" s="126" t="e">
        <v>#N/A</v>
      </c>
      <c r="AK2325" s="80">
        <f t="shared" si="348"/>
        <v>0</v>
      </c>
      <c r="AM2325" s="85"/>
    </row>
    <row r="2326" spans="1:39" hidden="1" x14ac:dyDescent="0.3">
      <c r="A2326" s="85" t="s">
        <v>34</v>
      </c>
      <c r="B2326" s="3" t="s">
        <v>35</v>
      </c>
      <c r="C2326" s="3" t="s">
        <v>59</v>
      </c>
      <c r="D2326" s="3" t="s">
        <v>60</v>
      </c>
      <c r="E2326" s="3" t="s">
        <v>765</v>
      </c>
      <c r="F2326" s="3" t="s">
        <v>766</v>
      </c>
      <c r="G2326" s="3" t="s">
        <v>765</v>
      </c>
      <c r="I2326" s="3" t="s">
        <v>2935</v>
      </c>
      <c r="J2326" s="1" t="s">
        <v>3302</v>
      </c>
      <c r="K2326" s="1" t="s">
        <v>3281</v>
      </c>
      <c r="L2326" s="1" t="s">
        <v>35</v>
      </c>
      <c r="M2326" s="3" t="s">
        <v>2941</v>
      </c>
      <c r="O2326" s="1" t="s">
        <v>410</v>
      </c>
      <c r="P2326" s="1" t="s">
        <v>46</v>
      </c>
      <c r="Q2326" s="2">
        <v>0.02</v>
      </c>
      <c r="R2326" s="138">
        <v>6521</v>
      </c>
      <c r="T2326" s="4">
        <v>0</v>
      </c>
      <c r="U2326" s="4">
        <v>14092.51</v>
      </c>
      <c r="V2326" s="4">
        <v>11074.510000000002</v>
      </c>
      <c r="W2326" s="13">
        <f t="shared" si="349"/>
        <v>3017.9999999999982</v>
      </c>
      <c r="X2326" s="13">
        <f t="shared" si="342"/>
        <v>10857.36274509804</v>
      </c>
      <c r="Y2326" s="13">
        <f t="shared" si="344"/>
        <v>0</v>
      </c>
      <c r="Z2326" s="2">
        <v>0</v>
      </c>
      <c r="AA2326" s="4">
        <v>0</v>
      </c>
      <c r="AB2326" s="4">
        <f t="shared" si="345"/>
        <v>10857.36274509804</v>
      </c>
      <c r="AC2326" s="6">
        <f t="shared" si="346"/>
        <v>217.14725490196179</v>
      </c>
      <c r="AD2326" s="13">
        <f t="shared" si="350"/>
        <v>11074.510000000002</v>
      </c>
      <c r="AE2326" s="2">
        <v>0.09</v>
      </c>
      <c r="AF2326" s="5">
        <f t="shared" si="347"/>
        <v>996.70590000000016</v>
      </c>
      <c r="AG2326" s="2">
        <v>0</v>
      </c>
      <c r="AH2326" s="5">
        <f t="shared" si="351"/>
        <v>11074.510000000002</v>
      </c>
      <c r="AJ2326" s="126" t="e">
        <v>#N/A</v>
      </c>
      <c r="AK2326" s="80">
        <f t="shared" si="348"/>
        <v>0</v>
      </c>
      <c r="AM2326" s="85"/>
    </row>
    <row r="2327" spans="1:39" hidden="1" x14ac:dyDescent="0.3">
      <c r="A2327" s="85" t="s">
        <v>34</v>
      </c>
      <c r="B2327" s="3" t="s">
        <v>35</v>
      </c>
      <c r="C2327" s="3" t="s">
        <v>59</v>
      </c>
      <c r="D2327" s="3" t="s">
        <v>60</v>
      </c>
      <c r="E2327" s="3" t="s">
        <v>419</v>
      </c>
      <c r="F2327" s="3" t="s">
        <v>419</v>
      </c>
      <c r="G2327" s="3" t="s">
        <v>419</v>
      </c>
      <c r="H2327" s="138"/>
      <c r="I2327" s="3" t="s">
        <v>2935</v>
      </c>
      <c r="J2327" s="1" t="s">
        <v>3302</v>
      </c>
      <c r="K2327" s="1" t="s">
        <v>3281</v>
      </c>
      <c r="L2327" s="1" t="s">
        <v>35</v>
      </c>
      <c r="M2327" s="3" t="s">
        <v>419</v>
      </c>
      <c r="O2327" s="1" t="s">
        <v>410</v>
      </c>
      <c r="P2327" s="1" t="s">
        <v>46</v>
      </c>
      <c r="Q2327" s="2">
        <v>0.02</v>
      </c>
      <c r="R2327" s="138">
        <v>245882</v>
      </c>
      <c r="T2327" s="4">
        <v>0</v>
      </c>
      <c r="U2327" s="4">
        <v>20000</v>
      </c>
      <c r="V2327" s="4">
        <v>0</v>
      </c>
      <c r="W2327" s="13">
        <f t="shared" si="349"/>
        <v>20000</v>
      </c>
      <c r="X2327" s="13">
        <f t="shared" si="342"/>
        <v>0</v>
      </c>
      <c r="Y2327" s="13">
        <f t="shared" si="344"/>
        <v>0</v>
      </c>
      <c r="Z2327" s="2">
        <v>0</v>
      </c>
      <c r="AA2327" s="4">
        <v>0</v>
      </c>
      <c r="AB2327" s="4">
        <f t="shared" si="345"/>
        <v>0</v>
      </c>
      <c r="AC2327" s="6">
        <f t="shared" si="346"/>
        <v>0</v>
      </c>
      <c r="AD2327" s="13">
        <f t="shared" si="350"/>
        <v>0</v>
      </c>
      <c r="AE2327" s="2">
        <v>0.09</v>
      </c>
      <c r="AF2327" s="5">
        <f t="shared" si="347"/>
        <v>0</v>
      </c>
      <c r="AG2327" s="2">
        <v>0</v>
      </c>
      <c r="AH2327" s="5">
        <f t="shared" si="351"/>
        <v>0</v>
      </c>
      <c r="AJ2327" s="126" t="e">
        <v>#N/A</v>
      </c>
      <c r="AK2327" s="80">
        <f t="shared" si="348"/>
        <v>0</v>
      </c>
      <c r="AM2327" s="85"/>
    </row>
    <row r="2328" spans="1:39" hidden="1" x14ac:dyDescent="0.3">
      <c r="A2328" s="85" t="s">
        <v>34</v>
      </c>
      <c r="B2328" s="3" t="s">
        <v>35</v>
      </c>
      <c r="C2328" s="3" t="s">
        <v>36</v>
      </c>
      <c r="D2328" s="3" t="s">
        <v>224</v>
      </c>
      <c r="E2328" s="3" t="s">
        <v>431</v>
      </c>
      <c r="F2328" s="3" t="s">
        <v>431</v>
      </c>
      <c r="G2328" s="3" t="s">
        <v>431</v>
      </c>
      <c r="H2328" s="138"/>
      <c r="I2328" s="3" t="s">
        <v>2935</v>
      </c>
      <c r="J2328" s="1" t="s">
        <v>3302</v>
      </c>
      <c r="K2328" s="1" t="s">
        <v>3281</v>
      </c>
      <c r="L2328" s="1" t="s">
        <v>35</v>
      </c>
      <c r="M2328" s="3" t="s">
        <v>431</v>
      </c>
      <c r="O2328" s="1" t="s">
        <v>410</v>
      </c>
      <c r="P2328" s="1" t="s">
        <v>46</v>
      </c>
      <c r="Q2328" s="2">
        <v>0.02</v>
      </c>
      <c r="R2328" s="138">
        <v>72942</v>
      </c>
      <c r="T2328" s="4">
        <v>19168.179999999993</v>
      </c>
      <c r="U2328" s="4">
        <v>-19168.18</v>
      </c>
      <c r="V2328" s="4">
        <v>0</v>
      </c>
      <c r="W2328" s="13">
        <f t="shared" si="349"/>
        <v>-7.2759576141834259E-12</v>
      </c>
      <c r="X2328" s="13">
        <f t="shared" si="342"/>
        <v>0</v>
      </c>
      <c r="Y2328" s="13">
        <f t="shared" si="344"/>
        <v>0</v>
      </c>
      <c r="Z2328" s="2">
        <v>0</v>
      </c>
      <c r="AA2328" s="4">
        <v>0</v>
      </c>
      <c r="AB2328" s="4">
        <f t="shared" si="345"/>
        <v>0</v>
      </c>
      <c r="AC2328" s="6">
        <f t="shared" si="346"/>
        <v>0</v>
      </c>
      <c r="AD2328" s="13">
        <f t="shared" si="350"/>
        <v>0</v>
      </c>
      <c r="AE2328" s="2">
        <v>0.09</v>
      </c>
      <c r="AF2328" s="5">
        <f t="shared" si="347"/>
        <v>0</v>
      </c>
      <c r="AG2328" s="2">
        <v>0</v>
      </c>
      <c r="AH2328" s="5">
        <f t="shared" si="351"/>
        <v>0</v>
      </c>
      <c r="AJ2328" s="126" t="e">
        <v>#N/A</v>
      </c>
      <c r="AK2328" s="80">
        <f t="shared" si="348"/>
        <v>0</v>
      </c>
      <c r="AM2328" s="85"/>
    </row>
    <row r="2329" spans="1:39" hidden="1" x14ac:dyDescent="0.3">
      <c r="A2329" s="85" t="s">
        <v>34</v>
      </c>
      <c r="B2329" s="3" t="s">
        <v>35</v>
      </c>
      <c r="C2329" s="3" t="s">
        <v>36</v>
      </c>
      <c r="D2329" s="3" t="s">
        <v>224</v>
      </c>
      <c r="E2329" s="3" t="s">
        <v>431</v>
      </c>
      <c r="F2329" s="3" t="s">
        <v>431</v>
      </c>
      <c r="G2329" s="3" t="s">
        <v>431</v>
      </c>
      <c r="H2329" s="138"/>
      <c r="I2329" s="3" t="s">
        <v>2935</v>
      </c>
      <c r="J2329" s="1" t="s">
        <v>3302</v>
      </c>
      <c r="K2329" s="1" t="s">
        <v>3281</v>
      </c>
      <c r="L2329" s="1" t="s">
        <v>35</v>
      </c>
      <c r="M2329" s="3" t="s">
        <v>431</v>
      </c>
      <c r="O2329" s="1" t="s">
        <v>410</v>
      </c>
      <c r="P2329" s="1" t="s">
        <v>41</v>
      </c>
      <c r="Q2329" s="2">
        <v>0</v>
      </c>
      <c r="R2329" s="138">
        <v>72942</v>
      </c>
      <c r="T2329" s="4">
        <v>0</v>
      </c>
      <c r="U2329" s="4">
        <v>0</v>
      </c>
      <c r="V2329" s="4">
        <v>0</v>
      </c>
      <c r="W2329" s="13">
        <f>T2329+U2329-V2329</f>
        <v>0</v>
      </c>
      <c r="X2329" s="13">
        <f t="shared" si="342"/>
        <v>0</v>
      </c>
      <c r="Y2329" s="13">
        <f t="shared" si="344"/>
        <v>0</v>
      </c>
      <c r="Z2329" s="2">
        <v>0</v>
      </c>
      <c r="AA2329" s="4">
        <v>0</v>
      </c>
      <c r="AB2329" s="4">
        <f t="shared" si="345"/>
        <v>0</v>
      </c>
      <c r="AC2329" s="6">
        <f t="shared" si="346"/>
        <v>0</v>
      </c>
      <c r="AD2329" s="13">
        <f t="shared" si="350"/>
        <v>0</v>
      </c>
      <c r="AE2329" s="2">
        <v>0.09</v>
      </c>
      <c r="AF2329" s="5">
        <f t="shared" si="347"/>
        <v>0</v>
      </c>
      <c r="AG2329" s="2">
        <v>0</v>
      </c>
      <c r="AH2329" s="5">
        <f t="shared" si="351"/>
        <v>0</v>
      </c>
      <c r="AJ2329" s="126" t="e">
        <v>#N/A</v>
      </c>
      <c r="AK2329" s="80">
        <f t="shared" si="348"/>
        <v>0</v>
      </c>
      <c r="AM2329" s="85"/>
    </row>
    <row r="2330" spans="1:39" hidden="1" x14ac:dyDescent="0.3">
      <c r="A2330" s="85" t="s">
        <v>34</v>
      </c>
      <c r="B2330" s="3" t="s">
        <v>35</v>
      </c>
      <c r="C2330" s="3" t="s">
        <v>36</v>
      </c>
      <c r="D2330" s="3" t="s">
        <v>224</v>
      </c>
      <c r="E2330" s="3" t="s">
        <v>2942</v>
      </c>
      <c r="F2330" s="3" t="s">
        <v>2942</v>
      </c>
      <c r="G2330" s="3" t="s">
        <v>2942</v>
      </c>
      <c r="I2330" s="3" t="s">
        <v>2935</v>
      </c>
      <c r="J2330" s="1" t="s">
        <v>3302</v>
      </c>
      <c r="K2330" s="1" t="s">
        <v>3281</v>
      </c>
      <c r="L2330" s="1" t="s">
        <v>35</v>
      </c>
      <c r="M2330" s="3" t="s">
        <v>2943</v>
      </c>
      <c r="O2330" s="1" t="s">
        <v>410</v>
      </c>
      <c r="P2330" s="1" t="s">
        <v>41</v>
      </c>
      <c r="Q2330" s="2">
        <v>0</v>
      </c>
      <c r="R2330" s="138">
        <v>237452</v>
      </c>
      <c r="T2330" s="4">
        <v>0</v>
      </c>
      <c r="U2330" s="4">
        <v>15000</v>
      </c>
      <c r="V2330" s="4">
        <v>8023.45</v>
      </c>
      <c r="W2330" s="13">
        <f t="shared" si="349"/>
        <v>6976.55</v>
      </c>
      <c r="X2330" s="13">
        <f t="shared" si="342"/>
        <v>8023.45</v>
      </c>
      <c r="Y2330" s="13">
        <f t="shared" si="344"/>
        <v>0</v>
      </c>
      <c r="Z2330" s="2">
        <v>0</v>
      </c>
      <c r="AA2330" s="4">
        <v>0</v>
      </c>
      <c r="AB2330" s="4">
        <f t="shared" si="345"/>
        <v>8023.45</v>
      </c>
      <c r="AC2330" s="6">
        <f t="shared" si="346"/>
        <v>0</v>
      </c>
      <c r="AD2330" s="13">
        <f t="shared" si="350"/>
        <v>8023.45</v>
      </c>
      <c r="AE2330" s="2">
        <v>0.09</v>
      </c>
      <c r="AF2330" s="5">
        <f t="shared" si="347"/>
        <v>722.1105</v>
      </c>
      <c r="AG2330" s="2">
        <v>0</v>
      </c>
      <c r="AH2330" s="5">
        <f t="shared" si="351"/>
        <v>8023.45</v>
      </c>
      <c r="AJ2330" s="126" t="e">
        <v>#N/A</v>
      </c>
      <c r="AK2330" s="80">
        <f t="shared" si="348"/>
        <v>0</v>
      </c>
      <c r="AM2330" s="85"/>
    </row>
    <row r="2331" spans="1:39" hidden="1" x14ac:dyDescent="0.3">
      <c r="A2331" s="85" t="s">
        <v>34</v>
      </c>
      <c r="B2331" s="3" t="s">
        <v>35</v>
      </c>
      <c r="C2331" s="3" t="s">
        <v>36</v>
      </c>
      <c r="D2331" s="3" t="s">
        <v>224</v>
      </c>
      <c r="E2331" s="3" t="s">
        <v>433</v>
      </c>
      <c r="F2331" s="3" t="s">
        <v>433</v>
      </c>
      <c r="G2331" s="3" t="s">
        <v>433</v>
      </c>
      <c r="I2331" s="3" t="s">
        <v>2935</v>
      </c>
      <c r="J2331" s="1" t="s">
        <v>3302</v>
      </c>
      <c r="K2331" s="1" t="s">
        <v>3281</v>
      </c>
      <c r="L2331" s="1" t="s">
        <v>35</v>
      </c>
      <c r="M2331" s="3" t="s">
        <v>2944</v>
      </c>
      <c r="O2331" s="1" t="s">
        <v>410</v>
      </c>
      <c r="P2331" s="1" t="s">
        <v>41</v>
      </c>
      <c r="Q2331" s="2">
        <v>0</v>
      </c>
      <c r="R2331" s="138">
        <v>10772</v>
      </c>
      <c r="T2331" s="4">
        <v>168390.25999999978</v>
      </c>
      <c r="U2331" s="4">
        <v>1500000</v>
      </c>
      <c r="V2331" s="4">
        <v>1730659.8</v>
      </c>
      <c r="W2331" s="13">
        <f t="shared" si="349"/>
        <v>-62269.54000000027</v>
      </c>
      <c r="X2331" s="13">
        <f t="shared" si="342"/>
        <v>1730659.8</v>
      </c>
      <c r="Y2331" s="13">
        <f t="shared" si="344"/>
        <v>0</v>
      </c>
      <c r="Z2331" s="2">
        <v>0</v>
      </c>
      <c r="AA2331" s="4">
        <v>0</v>
      </c>
      <c r="AB2331" s="4">
        <f t="shared" si="345"/>
        <v>1730659.8</v>
      </c>
      <c r="AC2331" s="6">
        <f t="shared" si="346"/>
        <v>0</v>
      </c>
      <c r="AD2331" s="13">
        <f t="shared" si="350"/>
        <v>1730659.8</v>
      </c>
      <c r="AE2331" s="2">
        <v>0.09</v>
      </c>
      <c r="AF2331" s="5">
        <f t="shared" si="347"/>
        <v>155759.38200000001</v>
      </c>
      <c r="AG2331" s="2">
        <v>0</v>
      </c>
      <c r="AH2331" s="5">
        <f t="shared" si="351"/>
        <v>1730659.8</v>
      </c>
      <c r="AJ2331" s="126" t="e">
        <v>#N/A</v>
      </c>
      <c r="AK2331" s="80">
        <f t="shared" si="348"/>
        <v>0</v>
      </c>
      <c r="AM2331" s="85"/>
    </row>
    <row r="2332" spans="1:39" hidden="1" x14ac:dyDescent="0.3">
      <c r="A2332" s="85" t="s">
        <v>34</v>
      </c>
      <c r="B2332" s="3" t="s">
        <v>35</v>
      </c>
      <c r="C2332" s="3" t="s">
        <v>36</v>
      </c>
      <c r="D2332" s="3" t="s">
        <v>224</v>
      </c>
      <c r="E2332" s="3" t="s">
        <v>2945</v>
      </c>
      <c r="F2332" s="3" t="s">
        <v>2945</v>
      </c>
      <c r="G2332" s="3" t="s">
        <v>2945</v>
      </c>
      <c r="I2332" s="3" t="s">
        <v>2935</v>
      </c>
      <c r="J2332" s="1" t="s">
        <v>3302</v>
      </c>
      <c r="K2332" s="1" t="s">
        <v>3281</v>
      </c>
      <c r="L2332" s="1" t="s">
        <v>35</v>
      </c>
      <c r="M2332" s="3" t="s">
        <v>2946</v>
      </c>
      <c r="O2332" s="1" t="s">
        <v>410</v>
      </c>
      <c r="P2332" s="1" t="s">
        <v>41</v>
      </c>
      <c r="Q2332" s="2">
        <v>0</v>
      </c>
      <c r="R2332" s="138">
        <v>6662</v>
      </c>
      <c r="T2332" s="4">
        <v>70417.670000000071</v>
      </c>
      <c r="U2332" s="4">
        <v>70000</v>
      </c>
      <c r="V2332" s="4">
        <v>122340</v>
      </c>
      <c r="W2332" s="13">
        <f t="shared" si="349"/>
        <v>18077.670000000071</v>
      </c>
      <c r="X2332" s="13">
        <f t="shared" si="342"/>
        <v>122340</v>
      </c>
      <c r="Y2332" s="13">
        <f t="shared" si="344"/>
        <v>0</v>
      </c>
      <c r="Z2332" s="2">
        <v>0</v>
      </c>
      <c r="AA2332" s="4">
        <v>0</v>
      </c>
      <c r="AB2332" s="4">
        <f t="shared" si="345"/>
        <v>122340</v>
      </c>
      <c r="AC2332" s="6">
        <f t="shared" si="346"/>
        <v>0</v>
      </c>
      <c r="AD2332" s="13">
        <f t="shared" si="350"/>
        <v>122340</v>
      </c>
      <c r="AE2332" s="2">
        <v>0.09</v>
      </c>
      <c r="AF2332" s="5">
        <f t="shared" si="347"/>
        <v>11010.6</v>
      </c>
      <c r="AG2332" s="2">
        <v>0</v>
      </c>
      <c r="AH2332" s="5">
        <f t="shared" si="351"/>
        <v>122340</v>
      </c>
      <c r="AJ2332" s="126" t="e">
        <v>#N/A</v>
      </c>
      <c r="AK2332" s="80">
        <f t="shared" si="348"/>
        <v>0</v>
      </c>
      <c r="AM2332" s="85"/>
    </row>
    <row r="2333" spans="1:39" hidden="1" x14ac:dyDescent="0.3">
      <c r="A2333" s="85" t="s">
        <v>34</v>
      </c>
      <c r="B2333" s="3" t="s">
        <v>35</v>
      </c>
      <c r="C2333" s="3" t="s">
        <v>36</v>
      </c>
      <c r="D2333" s="3" t="s">
        <v>224</v>
      </c>
      <c r="E2333" s="3" t="s">
        <v>1192</v>
      </c>
      <c r="F2333" s="3" t="s">
        <v>1192</v>
      </c>
      <c r="G2333" s="3" t="s">
        <v>1192</v>
      </c>
      <c r="I2333" s="3" t="s">
        <v>2935</v>
      </c>
      <c r="J2333" s="1" t="s">
        <v>3302</v>
      </c>
      <c r="K2333" s="1" t="s">
        <v>3281</v>
      </c>
      <c r="L2333" s="1" t="s">
        <v>35</v>
      </c>
      <c r="M2333" s="3" t="s">
        <v>1192</v>
      </c>
      <c r="O2333" s="1" t="s">
        <v>410</v>
      </c>
      <c r="P2333" s="1" t="s">
        <v>41</v>
      </c>
      <c r="Q2333" s="2">
        <v>0</v>
      </c>
      <c r="R2333" s="138">
        <v>231182</v>
      </c>
      <c r="T2333" s="4">
        <v>0</v>
      </c>
      <c r="U2333" s="4">
        <v>82363.08</v>
      </c>
      <c r="V2333" s="4">
        <v>72314</v>
      </c>
      <c r="W2333" s="13">
        <f t="shared" si="349"/>
        <v>10049.080000000002</v>
      </c>
      <c r="X2333" s="13">
        <f t="shared" si="342"/>
        <v>72314</v>
      </c>
      <c r="Y2333" s="13">
        <f t="shared" si="344"/>
        <v>0</v>
      </c>
      <c r="Z2333" s="2">
        <v>0</v>
      </c>
      <c r="AA2333" s="4">
        <v>0</v>
      </c>
      <c r="AB2333" s="4">
        <f t="shared" si="345"/>
        <v>72314</v>
      </c>
      <c r="AC2333" s="6">
        <f t="shared" si="346"/>
        <v>0</v>
      </c>
      <c r="AD2333" s="13">
        <f t="shared" si="350"/>
        <v>72314</v>
      </c>
      <c r="AE2333" s="2">
        <v>0.09</v>
      </c>
      <c r="AF2333" s="5">
        <f t="shared" si="347"/>
        <v>6508.2599999999993</v>
      </c>
      <c r="AG2333" s="2">
        <v>0</v>
      </c>
      <c r="AH2333" s="5">
        <f t="shared" si="351"/>
        <v>72314</v>
      </c>
      <c r="AJ2333" s="126" t="e">
        <v>#N/A</v>
      </c>
      <c r="AK2333" s="80">
        <f t="shared" si="348"/>
        <v>0</v>
      </c>
      <c r="AM2333" s="85"/>
    </row>
    <row r="2334" spans="1:39" hidden="1" x14ac:dyDescent="0.3">
      <c r="A2334" s="85" t="s">
        <v>34</v>
      </c>
      <c r="B2334" s="3" t="s">
        <v>35</v>
      </c>
      <c r="C2334" s="3" t="s">
        <v>36</v>
      </c>
      <c r="D2334" s="3" t="s">
        <v>224</v>
      </c>
      <c r="E2334" s="3" t="s">
        <v>1192</v>
      </c>
      <c r="F2334" s="3" t="s">
        <v>1192</v>
      </c>
      <c r="G2334" s="3" t="s">
        <v>1192</v>
      </c>
      <c r="I2334" s="3" t="s">
        <v>2935</v>
      </c>
      <c r="J2334" s="1" t="s">
        <v>3302</v>
      </c>
      <c r="K2334" s="1" t="s">
        <v>3281</v>
      </c>
      <c r="L2334" s="1" t="s">
        <v>35</v>
      </c>
      <c r="M2334" s="3" t="s">
        <v>2947</v>
      </c>
      <c r="O2334" s="1" t="s">
        <v>410</v>
      </c>
      <c r="P2334" s="1" t="s">
        <v>41</v>
      </c>
      <c r="Q2334" s="2">
        <v>0</v>
      </c>
      <c r="R2334" s="138">
        <v>245482</v>
      </c>
      <c r="T2334" s="4">
        <v>0</v>
      </c>
      <c r="U2334" s="4">
        <v>10000</v>
      </c>
      <c r="V2334" s="4">
        <v>8680</v>
      </c>
      <c r="W2334" s="13">
        <f t="shared" si="349"/>
        <v>1320</v>
      </c>
      <c r="X2334" s="13">
        <f t="shared" si="342"/>
        <v>8680</v>
      </c>
      <c r="Y2334" s="13">
        <f t="shared" si="344"/>
        <v>0</v>
      </c>
      <c r="Z2334" s="2">
        <v>0</v>
      </c>
      <c r="AA2334" s="4">
        <v>0</v>
      </c>
      <c r="AB2334" s="4">
        <f t="shared" si="345"/>
        <v>8680</v>
      </c>
      <c r="AC2334" s="6">
        <f t="shared" si="346"/>
        <v>0</v>
      </c>
      <c r="AD2334" s="13">
        <f t="shared" si="350"/>
        <v>8680</v>
      </c>
      <c r="AE2334" s="2">
        <v>0.09</v>
      </c>
      <c r="AF2334" s="5">
        <f t="shared" si="347"/>
        <v>781.19999999999993</v>
      </c>
      <c r="AG2334" s="2">
        <v>0</v>
      </c>
      <c r="AH2334" s="5">
        <f t="shared" si="351"/>
        <v>8680</v>
      </c>
      <c r="AJ2334" s="126" t="e">
        <v>#N/A</v>
      </c>
      <c r="AK2334" s="80">
        <f t="shared" si="348"/>
        <v>0</v>
      </c>
      <c r="AM2334" s="85"/>
    </row>
    <row r="2335" spans="1:39" hidden="1" x14ac:dyDescent="0.3">
      <c r="A2335" s="85" t="s">
        <v>34</v>
      </c>
      <c r="B2335" s="3" t="s">
        <v>35</v>
      </c>
      <c r="C2335" s="3" t="s">
        <v>36</v>
      </c>
      <c r="D2335" s="3" t="s">
        <v>54</v>
      </c>
      <c r="E2335" s="3" t="s">
        <v>2740</v>
      </c>
      <c r="F2335" s="3" t="s">
        <v>2740</v>
      </c>
      <c r="G2335" s="3" t="s">
        <v>2740</v>
      </c>
      <c r="I2335" s="3" t="s">
        <v>2935</v>
      </c>
      <c r="J2335" s="1" t="s">
        <v>3302</v>
      </c>
      <c r="K2335" s="1" t="s">
        <v>3281</v>
      </c>
      <c r="L2335" s="1" t="s">
        <v>35</v>
      </c>
      <c r="M2335" s="3" t="s">
        <v>2948</v>
      </c>
      <c r="O2335" s="1" t="s">
        <v>410</v>
      </c>
      <c r="P2335" s="1" t="s">
        <v>41</v>
      </c>
      <c r="Q2335" s="2">
        <v>0</v>
      </c>
      <c r="R2335" s="138">
        <v>46462</v>
      </c>
      <c r="T2335" s="4">
        <v>0</v>
      </c>
      <c r="U2335" s="4">
        <v>300000</v>
      </c>
      <c r="V2335" s="4">
        <v>214468.66</v>
      </c>
      <c r="W2335" s="13">
        <f t="shared" si="349"/>
        <v>85531.34</v>
      </c>
      <c r="X2335" s="13">
        <f t="shared" si="342"/>
        <v>214468.66</v>
      </c>
      <c r="Y2335" s="13">
        <f t="shared" si="344"/>
        <v>0</v>
      </c>
      <c r="Z2335" s="2">
        <v>0</v>
      </c>
      <c r="AA2335" s="4">
        <v>0</v>
      </c>
      <c r="AB2335" s="4">
        <f t="shared" si="345"/>
        <v>214468.66</v>
      </c>
      <c r="AC2335" s="6">
        <f t="shared" si="346"/>
        <v>0</v>
      </c>
      <c r="AD2335" s="13">
        <f t="shared" si="350"/>
        <v>214468.66</v>
      </c>
      <c r="AE2335" s="2">
        <v>0.09</v>
      </c>
      <c r="AF2335" s="5">
        <f t="shared" si="347"/>
        <v>19302.179400000001</v>
      </c>
      <c r="AG2335" s="2">
        <v>0</v>
      </c>
      <c r="AH2335" s="5">
        <f t="shared" si="351"/>
        <v>214468.66</v>
      </c>
      <c r="AJ2335" s="126" t="e">
        <v>#N/A</v>
      </c>
      <c r="AK2335" s="80">
        <f t="shared" si="348"/>
        <v>0</v>
      </c>
      <c r="AM2335" s="85"/>
    </row>
    <row r="2336" spans="1:39" hidden="1" x14ac:dyDescent="0.3">
      <c r="A2336" s="85" t="s">
        <v>34</v>
      </c>
      <c r="B2336" s="3" t="s">
        <v>35</v>
      </c>
      <c r="C2336" s="3" t="s">
        <v>36</v>
      </c>
      <c r="D2336" s="3" t="s">
        <v>54</v>
      </c>
      <c r="E2336" s="3" t="s">
        <v>1200</v>
      </c>
      <c r="F2336" s="3" t="s">
        <v>1201</v>
      </c>
      <c r="G2336" s="3" t="s">
        <v>1200</v>
      </c>
      <c r="I2336" s="3" t="s">
        <v>2935</v>
      </c>
      <c r="J2336" s="1" t="s">
        <v>3302</v>
      </c>
      <c r="K2336" s="1" t="s">
        <v>3281</v>
      </c>
      <c r="L2336" s="1" t="s">
        <v>35</v>
      </c>
      <c r="M2336" s="3" t="s">
        <v>2949</v>
      </c>
      <c r="O2336" s="1" t="s">
        <v>410</v>
      </c>
      <c r="P2336" s="1" t="s">
        <v>41</v>
      </c>
      <c r="Q2336" s="2">
        <v>0</v>
      </c>
      <c r="R2336" s="138">
        <v>89262</v>
      </c>
      <c r="T2336" s="4">
        <v>0</v>
      </c>
      <c r="U2336" s="4">
        <v>13000</v>
      </c>
      <c r="V2336" s="4">
        <v>6483.1799999999985</v>
      </c>
      <c r="W2336" s="13">
        <f t="shared" si="349"/>
        <v>6516.8200000000015</v>
      </c>
      <c r="X2336" s="13">
        <f t="shared" si="342"/>
        <v>6483.1799999999985</v>
      </c>
      <c r="Y2336" s="13">
        <f t="shared" si="344"/>
        <v>0</v>
      </c>
      <c r="Z2336" s="2">
        <v>0</v>
      </c>
      <c r="AA2336" s="4">
        <v>0</v>
      </c>
      <c r="AB2336" s="4">
        <f t="shared" si="345"/>
        <v>6483.1799999999985</v>
      </c>
      <c r="AC2336" s="6">
        <f t="shared" si="346"/>
        <v>0</v>
      </c>
      <c r="AD2336" s="13">
        <f t="shared" si="350"/>
        <v>6483.1799999999985</v>
      </c>
      <c r="AE2336" s="2">
        <v>0.09</v>
      </c>
      <c r="AF2336" s="5">
        <f t="shared" si="347"/>
        <v>583.48619999999983</v>
      </c>
      <c r="AG2336" s="2">
        <v>0</v>
      </c>
      <c r="AH2336" s="5">
        <f t="shared" si="351"/>
        <v>6483.1799999999985</v>
      </c>
      <c r="AJ2336" s="126" t="e">
        <v>#N/A</v>
      </c>
      <c r="AK2336" s="80">
        <f t="shared" si="348"/>
        <v>0</v>
      </c>
      <c r="AM2336" s="85"/>
    </row>
    <row r="2337" spans="1:39" hidden="1" x14ac:dyDescent="0.3">
      <c r="A2337" s="85" t="s">
        <v>34</v>
      </c>
      <c r="B2337" s="3" t="s">
        <v>35</v>
      </c>
      <c r="C2337" s="3" t="s">
        <v>36</v>
      </c>
      <c r="D2337" s="3" t="s">
        <v>54</v>
      </c>
      <c r="E2337" s="3" t="s">
        <v>1200</v>
      </c>
      <c r="F2337" s="3" t="s">
        <v>1201</v>
      </c>
      <c r="G2337" s="3" t="s">
        <v>1200</v>
      </c>
      <c r="I2337" s="3" t="s">
        <v>2935</v>
      </c>
      <c r="J2337" s="1" t="s">
        <v>3302</v>
      </c>
      <c r="K2337" s="1" t="s">
        <v>3281</v>
      </c>
      <c r="L2337" s="1" t="s">
        <v>35</v>
      </c>
      <c r="M2337" s="3" t="s">
        <v>2331</v>
      </c>
      <c r="O2337" s="1" t="s">
        <v>410</v>
      </c>
      <c r="P2337" s="1" t="s">
        <v>41</v>
      </c>
      <c r="Q2337" s="2">
        <v>0</v>
      </c>
      <c r="R2337" s="138">
        <v>245072</v>
      </c>
      <c r="T2337" s="4">
        <v>0</v>
      </c>
      <c r="U2337" s="4">
        <v>13000</v>
      </c>
      <c r="V2337" s="4">
        <v>4994.01</v>
      </c>
      <c r="W2337" s="13">
        <f t="shared" si="349"/>
        <v>8005.99</v>
      </c>
      <c r="X2337" s="13">
        <f t="shared" ref="X2337:X2400" si="352">IF(P2337="折扣",V2337*Q2337,IF(P2337="返现",V2337,V2337/(1+Q2337)))</f>
        <v>4994.01</v>
      </c>
      <c r="Y2337" s="13">
        <f t="shared" si="344"/>
        <v>0</v>
      </c>
      <c r="Z2337" s="2">
        <v>0</v>
      </c>
      <c r="AA2337" s="4">
        <v>0</v>
      </c>
      <c r="AB2337" s="4">
        <f t="shared" si="345"/>
        <v>4994.01</v>
      </c>
      <c r="AC2337" s="6">
        <f t="shared" si="346"/>
        <v>0</v>
      </c>
      <c r="AD2337" s="13">
        <f t="shared" si="350"/>
        <v>4994.01</v>
      </c>
      <c r="AE2337" s="2">
        <v>0.09</v>
      </c>
      <c r="AF2337" s="5">
        <f t="shared" si="347"/>
        <v>449.46089999999998</v>
      </c>
      <c r="AG2337" s="2">
        <v>0</v>
      </c>
      <c r="AH2337" s="5">
        <f t="shared" si="351"/>
        <v>4994.01</v>
      </c>
      <c r="AJ2337" s="126" t="e">
        <v>#N/A</v>
      </c>
      <c r="AK2337" s="80">
        <f t="shared" si="348"/>
        <v>0</v>
      </c>
      <c r="AM2337" s="85"/>
    </row>
    <row r="2338" spans="1:39" hidden="1" x14ac:dyDescent="0.3">
      <c r="A2338" s="85" t="s">
        <v>34</v>
      </c>
      <c r="B2338" s="3" t="s">
        <v>35</v>
      </c>
      <c r="C2338" s="3" t="s">
        <v>36</v>
      </c>
      <c r="D2338" s="3" t="s">
        <v>54</v>
      </c>
      <c r="E2338" s="3" t="s">
        <v>1200</v>
      </c>
      <c r="F2338" s="3" t="s">
        <v>1201</v>
      </c>
      <c r="G2338" s="3" t="s">
        <v>1200</v>
      </c>
      <c r="I2338" s="3" t="s">
        <v>2935</v>
      </c>
      <c r="J2338" s="1" t="s">
        <v>3302</v>
      </c>
      <c r="K2338" s="1" t="s">
        <v>3281</v>
      </c>
      <c r="L2338" s="1" t="s">
        <v>35</v>
      </c>
      <c r="M2338" s="3" t="s">
        <v>1200</v>
      </c>
      <c r="O2338" s="1" t="s">
        <v>410</v>
      </c>
      <c r="P2338" s="1" t="s">
        <v>41</v>
      </c>
      <c r="Q2338" s="2">
        <v>0</v>
      </c>
      <c r="R2338" s="138">
        <v>49572</v>
      </c>
      <c r="T2338" s="4">
        <v>89771.549999999974</v>
      </c>
      <c r="U2338" s="4">
        <v>44000</v>
      </c>
      <c r="V2338" s="4">
        <v>45382.479999999996</v>
      </c>
      <c r="W2338" s="13">
        <f t="shared" si="349"/>
        <v>88389.069999999992</v>
      </c>
      <c r="X2338" s="13">
        <f t="shared" si="352"/>
        <v>45382.479999999996</v>
      </c>
      <c r="Y2338" s="13">
        <f t="shared" si="344"/>
        <v>0</v>
      </c>
      <c r="Z2338" s="2">
        <v>0</v>
      </c>
      <c r="AA2338" s="4">
        <v>0</v>
      </c>
      <c r="AB2338" s="4">
        <f t="shared" si="345"/>
        <v>45382.479999999996</v>
      </c>
      <c r="AC2338" s="6">
        <f t="shared" si="346"/>
        <v>0</v>
      </c>
      <c r="AD2338" s="13">
        <f t="shared" si="350"/>
        <v>45382.479999999996</v>
      </c>
      <c r="AE2338" s="2">
        <v>0.09</v>
      </c>
      <c r="AF2338" s="5">
        <f t="shared" si="347"/>
        <v>4084.4231999999993</v>
      </c>
      <c r="AG2338" s="2">
        <v>0</v>
      </c>
      <c r="AH2338" s="5">
        <f t="shared" si="351"/>
        <v>45382.479999999996</v>
      </c>
      <c r="AJ2338" s="126" t="e">
        <v>#N/A</v>
      </c>
      <c r="AK2338" s="80">
        <f t="shared" si="348"/>
        <v>0</v>
      </c>
      <c r="AM2338" s="85"/>
    </row>
    <row r="2339" spans="1:39" hidden="1" x14ac:dyDescent="0.3">
      <c r="A2339" s="85" t="s">
        <v>34</v>
      </c>
      <c r="B2339" s="3" t="s">
        <v>35</v>
      </c>
      <c r="C2339" s="3" t="s">
        <v>36</v>
      </c>
      <c r="D2339" s="3" t="s">
        <v>54</v>
      </c>
      <c r="E2339" s="3" t="s">
        <v>2843</v>
      </c>
      <c r="F2339" s="3" t="s">
        <v>2843</v>
      </c>
      <c r="G2339" s="3" t="s">
        <v>2843</v>
      </c>
      <c r="I2339" s="3" t="s">
        <v>2935</v>
      </c>
      <c r="J2339" s="1" t="s">
        <v>3302</v>
      </c>
      <c r="K2339" s="1" t="s">
        <v>3281</v>
      </c>
      <c r="L2339" s="1" t="s">
        <v>35</v>
      </c>
      <c r="M2339" s="3" t="s">
        <v>2950</v>
      </c>
      <c r="O2339" s="1" t="s">
        <v>410</v>
      </c>
      <c r="P2339" s="1" t="s">
        <v>41</v>
      </c>
      <c r="Q2339" s="2">
        <v>0</v>
      </c>
      <c r="R2339" s="138">
        <v>213242</v>
      </c>
      <c r="T2339" s="4">
        <v>0</v>
      </c>
      <c r="U2339" s="4">
        <v>20000</v>
      </c>
      <c r="V2339" s="4">
        <v>1700</v>
      </c>
      <c r="W2339" s="13">
        <f t="shared" si="349"/>
        <v>18300</v>
      </c>
      <c r="X2339" s="13">
        <f t="shared" si="352"/>
        <v>1700</v>
      </c>
      <c r="Y2339" s="13">
        <f t="shared" si="344"/>
        <v>0</v>
      </c>
      <c r="Z2339" s="2">
        <v>0</v>
      </c>
      <c r="AA2339" s="4">
        <v>0</v>
      </c>
      <c r="AB2339" s="4">
        <f t="shared" si="345"/>
        <v>1700</v>
      </c>
      <c r="AC2339" s="6">
        <f t="shared" si="346"/>
        <v>0</v>
      </c>
      <c r="AD2339" s="13">
        <f t="shared" si="350"/>
        <v>1700</v>
      </c>
      <c r="AE2339" s="2">
        <v>0.09</v>
      </c>
      <c r="AF2339" s="5">
        <f t="shared" si="347"/>
        <v>153</v>
      </c>
      <c r="AG2339" s="2">
        <v>0</v>
      </c>
      <c r="AH2339" s="5">
        <f t="shared" si="351"/>
        <v>1700</v>
      </c>
      <c r="AJ2339" s="126" t="e">
        <v>#N/A</v>
      </c>
      <c r="AK2339" s="80">
        <f t="shared" si="348"/>
        <v>0</v>
      </c>
      <c r="AM2339" s="85"/>
    </row>
    <row r="2340" spans="1:39" hidden="1" x14ac:dyDescent="0.3">
      <c r="A2340" s="85" t="s">
        <v>34</v>
      </c>
      <c r="B2340" s="3" t="s">
        <v>35</v>
      </c>
      <c r="C2340" s="3" t="s">
        <v>36</v>
      </c>
      <c r="D2340" s="3" t="s">
        <v>54</v>
      </c>
      <c r="E2340" s="3" t="s">
        <v>2846</v>
      </c>
      <c r="F2340" s="3" t="s">
        <v>2846</v>
      </c>
      <c r="G2340" s="3" t="s">
        <v>2846</v>
      </c>
      <c r="I2340" s="3" t="s">
        <v>2935</v>
      </c>
      <c r="J2340" s="1" t="s">
        <v>3302</v>
      </c>
      <c r="K2340" s="1" t="s">
        <v>3281</v>
      </c>
      <c r="L2340" s="1" t="s">
        <v>35</v>
      </c>
      <c r="M2340" s="3" t="s">
        <v>2846</v>
      </c>
      <c r="O2340" s="1" t="s">
        <v>410</v>
      </c>
      <c r="P2340" s="1" t="s">
        <v>41</v>
      </c>
      <c r="Q2340" s="2">
        <v>0</v>
      </c>
      <c r="R2340" s="138">
        <v>22902</v>
      </c>
      <c r="T2340" s="4">
        <v>238363.19999999995</v>
      </c>
      <c r="U2340" s="4">
        <v>400000</v>
      </c>
      <c r="V2340" s="4">
        <v>621610.22</v>
      </c>
      <c r="W2340" s="13">
        <f t="shared" si="349"/>
        <v>16752.979999999981</v>
      </c>
      <c r="X2340" s="13">
        <f t="shared" si="352"/>
        <v>621610.22</v>
      </c>
      <c r="Y2340" s="13">
        <f t="shared" si="344"/>
        <v>0</v>
      </c>
      <c r="Z2340" s="2">
        <v>0</v>
      </c>
      <c r="AA2340" s="4">
        <v>0</v>
      </c>
      <c r="AB2340" s="4">
        <f t="shared" si="345"/>
        <v>621610.22</v>
      </c>
      <c r="AC2340" s="6">
        <f t="shared" si="346"/>
        <v>0</v>
      </c>
      <c r="AD2340" s="13">
        <f t="shared" si="350"/>
        <v>621610.22</v>
      </c>
      <c r="AE2340" s="2">
        <v>0.09</v>
      </c>
      <c r="AF2340" s="5">
        <f t="shared" si="347"/>
        <v>55944.919799999996</v>
      </c>
      <c r="AG2340" s="2">
        <v>0</v>
      </c>
      <c r="AH2340" s="5">
        <f t="shared" si="351"/>
        <v>621610.22</v>
      </c>
      <c r="AJ2340" s="126" t="e">
        <v>#N/A</v>
      </c>
      <c r="AK2340" s="80">
        <f t="shared" si="348"/>
        <v>0</v>
      </c>
      <c r="AM2340" s="85"/>
    </row>
    <row r="2341" spans="1:39" hidden="1" x14ac:dyDescent="0.3">
      <c r="A2341" s="85" t="s">
        <v>34</v>
      </c>
      <c r="B2341" s="3" t="s">
        <v>35</v>
      </c>
      <c r="C2341" s="3" t="s">
        <v>36</v>
      </c>
      <c r="D2341" s="3" t="s">
        <v>54</v>
      </c>
      <c r="E2341" s="3" t="s">
        <v>2846</v>
      </c>
      <c r="F2341" s="3" t="s">
        <v>2846</v>
      </c>
      <c r="G2341" s="3" t="s">
        <v>2846</v>
      </c>
      <c r="I2341" s="3" t="s">
        <v>2935</v>
      </c>
      <c r="J2341" s="1" t="s">
        <v>3302</v>
      </c>
      <c r="K2341" s="1" t="s">
        <v>3281</v>
      </c>
      <c r="L2341" s="1" t="s">
        <v>35</v>
      </c>
      <c r="M2341" s="3" t="s">
        <v>2951</v>
      </c>
      <c r="O2341" s="1" t="s">
        <v>410</v>
      </c>
      <c r="P2341" s="1" t="s">
        <v>41</v>
      </c>
      <c r="Q2341" s="2">
        <v>0</v>
      </c>
      <c r="R2341" s="138">
        <v>234782</v>
      </c>
      <c r="T2341" s="4">
        <v>0</v>
      </c>
      <c r="U2341" s="4">
        <v>50000</v>
      </c>
      <c r="V2341" s="4">
        <v>2583.5999999999985</v>
      </c>
      <c r="W2341" s="13">
        <f t="shared" si="349"/>
        <v>47416.4</v>
      </c>
      <c r="X2341" s="13">
        <f t="shared" si="352"/>
        <v>2583.5999999999985</v>
      </c>
      <c r="Y2341" s="13">
        <f t="shared" si="344"/>
        <v>0</v>
      </c>
      <c r="Z2341" s="2">
        <v>0</v>
      </c>
      <c r="AA2341" s="4">
        <v>0</v>
      </c>
      <c r="AB2341" s="4">
        <f t="shared" si="345"/>
        <v>2583.5999999999985</v>
      </c>
      <c r="AC2341" s="6">
        <f t="shared" si="346"/>
        <v>0</v>
      </c>
      <c r="AD2341" s="13">
        <f t="shared" si="350"/>
        <v>2583.5999999999985</v>
      </c>
      <c r="AE2341" s="2">
        <v>0.09</v>
      </c>
      <c r="AF2341" s="5">
        <f t="shared" si="347"/>
        <v>232.52399999999986</v>
      </c>
      <c r="AG2341" s="2">
        <v>0</v>
      </c>
      <c r="AH2341" s="5">
        <f t="shared" si="351"/>
        <v>2583.5999999999985</v>
      </c>
      <c r="AJ2341" s="126" t="e">
        <v>#N/A</v>
      </c>
      <c r="AK2341" s="80">
        <f t="shared" si="348"/>
        <v>0</v>
      </c>
      <c r="AM2341" s="85"/>
    </row>
    <row r="2342" spans="1:39" hidden="1" x14ac:dyDescent="0.3">
      <c r="A2342" s="85" t="s">
        <v>34</v>
      </c>
      <c r="B2342" s="3" t="s">
        <v>35</v>
      </c>
      <c r="C2342" s="3" t="s">
        <v>36</v>
      </c>
      <c r="D2342" s="3" t="s">
        <v>54</v>
      </c>
      <c r="E2342" s="3" t="s">
        <v>2846</v>
      </c>
      <c r="F2342" s="3" t="s">
        <v>2846</v>
      </c>
      <c r="G2342" s="3" t="s">
        <v>2846</v>
      </c>
      <c r="I2342" s="3" t="s">
        <v>2935</v>
      </c>
      <c r="J2342" s="1" t="s">
        <v>3302</v>
      </c>
      <c r="K2342" s="1" t="s">
        <v>3281</v>
      </c>
      <c r="L2342" s="1" t="s">
        <v>35</v>
      </c>
      <c r="M2342" s="3" t="s">
        <v>2952</v>
      </c>
      <c r="O2342" s="1" t="s">
        <v>410</v>
      </c>
      <c r="P2342" s="1" t="s">
        <v>41</v>
      </c>
      <c r="Q2342" s="2">
        <v>0</v>
      </c>
      <c r="R2342" s="138">
        <v>97602</v>
      </c>
      <c r="T2342" s="4">
        <v>173076.44</v>
      </c>
      <c r="U2342" s="4">
        <v>400000</v>
      </c>
      <c r="V2342" s="4">
        <v>536889.30000000005</v>
      </c>
      <c r="W2342" s="13">
        <f t="shared" si="349"/>
        <v>36187.139999999898</v>
      </c>
      <c r="X2342" s="13">
        <f t="shared" si="352"/>
        <v>536889.30000000005</v>
      </c>
      <c r="Y2342" s="13">
        <f t="shared" si="344"/>
        <v>0</v>
      </c>
      <c r="Z2342" s="2">
        <v>0</v>
      </c>
      <c r="AA2342" s="4">
        <v>0</v>
      </c>
      <c r="AB2342" s="4">
        <f t="shared" si="345"/>
        <v>536889.30000000005</v>
      </c>
      <c r="AC2342" s="6">
        <f t="shared" si="346"/>
        <v>0</v>
      </c>
      <c r="AD2342" s="13">
        <f t="shared" si="350"/>
        <v>536889.30000000005</v>
      </c>
      <c r="AE2342" s="2">
        <v>0.09</v>
      </c>
      <c r="AF2342" s="5">
        <f t="shared" si="347"/>
        <v>48320.037000000004</v>
      </c>
      <c r="AG2342" s="2">
        <v>0</v>
      </c>
      <c r="AH2342" s="5">
        <f t="shared" si="351"/>
        <v>536889.30000000005</v>
      </c>
      <c r="AJ2342" s="126" t="e">
        <v>#N/A</v>
      </c>
      <c r="AK2342" s="80">
        <f t="shared" si="348"/>
        <v>0</v>
      </c>
      <c r="AM2342" s="85"/>
    </row>
    <row r="2343" spans="1:39" hidden="1" x14ac:dyDescent="0.3">
      <c r="A2343" s="85" t="s">
        <v>34</v>
      </c>
      <c r="B2343" s="3" t="s">
        <v>35</v>
      </c>
      <c r="C2343" s="3" t="s">
        <v>36</v>
      </c>
      <c r="D2343" s="3" t="s">
        <v>54</v>
      </c>
      <c r="E2343" s="3" t="s">
        <v>458</v>
      </c>
      <c r="F2343" s="3" t="s">
        <v>458</v>
      </c>
      <c r="G2343" s="3" t="s">
        <v>458</v>
      </c>
      <c r="I2343" s="3" t="s">
        <v>2935</v>
      </c>
      <c r="J2343" s="1" t="s">
        <v>3302</v>
      </c>
      <c r="K2343" s="1" t="s">
        <v>3281</v>
      </c>
      <c r="L2343" s="1" t="s">
        <v>35</v>
      </c>
      <c r="M2343" s="3" t="s">
        <v>458</v>
      </c>
      <c r="O2343" s="1" t="s">
        <v>410</v>
      </c>
      <c r="P2343" s="1" t="s">
        <v>41</v>
      </c>
      <c r="Q2343" s="2">
        <v>0</v>
      </c>
      <c r="R2343" s="138">
        <v>39522</v>
      </c>
      <c r="T2343" s="4">
        <v>82307.669999999969</v>
      </c>
      <c r="U2343" s="4">
        <v>50000</v>
      </c>
      <c r="V2343" s="4">
        <v>119331.74</v>
      </c>
      <c r="W2343" s="13">
        <f t="shared" si="349"/>
        <v>12975.929999999978</v>
      </c>
      <c r="X2343" s="13">
        <f t="shared" si="352"/>
        <v>119331.74</v>
      </c>
      <c r="Y2343" s="13">
        <f t="shared" si="344"/>
        <v>0</v>
      </c>
      <c r="Z2343" s="2">
        <v>0</v>
      </c>
      <c r="AA2343" s="4">
        <v>0</v>
      </c>
      <c r="AB2343" s="4">
        <f t="shared" si="345"/>
        <v>119331.74</v>
      </c>
      <c r="AC2343" s="6">
        <f t="shared" si="346"/>
        <v>0</v>
      </c>
      <c r="AD2343" s="13">
        <f t="shared" si="350"/>
        <v>119331.74</v>
      </c>
      <c r="AE2343" s="2">
        <v>0.09</v>
      </c>
      <c r="AF2343" s="5">
        <f t="shared" si="347"/>
        <v>10739.856600000001</v>
      </c>
      <c r="AG2343" s="2">
        <v>0</v>
      </c>
      <c r="AH2343" s="5">
        <f t="shared" si="351"/>
        <v>119331.74</v>
      </c>
      <c r="AJ2343" s="126" t="e">
        <v>#N/A</v>
      </c>
      <c r="AK2343" s="80">
        <f t="shared" si="348"/>
        <v>0</v>
      </c>
      <c r="AM2343" s="85"/>
    </row>
    <row r="2344" spans="1:39" hidden="1" x14ac:dyDescent="0.3">
      <c r="A2344" s="85" t="s">
        <v>34</v>
      </c>
      <c r="B2344" s="3" t="s">
        <v>35</v>
      </c>
      <c r="C2344" s="3" t="s">
        <v>36</v>
      </c>
      <c r="D2344" s="3" t="s">
        <v>54</v>
      </c>
      <c r="E2344" s="3" t="s">
        <v>2953</v>
      </c>
      <c r="F2344" s="3" t="s">
        <v>2953</v>
      </c>
      <c r="G2344" s="3" t="s">
        <v>2953</v>
      </c>
      <c r="I2344" s="3" t="s">
        <v>2935</v>
      </c>
      <c r="J2344" s="1" t="s">
        <v>3302</v>
      </c>
      <c r="K2344" s="1" t="s">
        <v>3281</v>
      </c>
      <c r="L2344" s="1" t="s">
        <v>35</v>
      </c>
      <c r="M2344" s="3" t="s">
        <v>2954</v>
      </c>
      <c r="O2344" s="1" t="s">
        <v>410</v>
      </c>
      <c r="P2344" s="1" t="s">
        <v>46</v>
      </c>
      <c r="Q2344" s="2">
        <v>0.02</v>
      </c>
      <c r="R2344" s="138">
        <v>207742</v>
      </c>
      <c r="T2344" s="4">
        <v>0</v>
      </c>
      <c r="U2344" s="4">
        <v>30600</v>
      </c>
      <c r="V2344" s="4">
        <v>29769.17</v>
      </c>
      <c r="W2344" s="13">
        <f t="shared" si="349"/>
        <v>830.83000000000175</v>
      </c>
      <c r="X2344" s="13">
        <f t="shared" si="352"/>
        <v>29185.460784313724</v>
      </c>
      <c r="Y2344" s="13">
        <f t="shared" si="344"/>
        <v>0</v>
      </c>
      <c r="Z2344" s="2">
        <v>0</v>
      </c>
      <c r="AA2344" s="4">
        <v>0</v>
      </c>
      <c r="AB2344" s="4">
        <f t="shared" si="345"/>
        <v>29185.460784313724</v>
      </c>
      <c r="AC2344" s="6">
        <f t="shared" si="346"/>
        <v>583.70921568627455</v>
      </c>
      <c r="AD2344" s="13">
        <f t="shared" si="350"/>
        <v>29769.17</v>
      </c>
      <c r="AE2344" s="2">
        <v>0.09</v>
      </c>
      <c r="AF2344" s="5">
        <f t="shared" si="347"/>
        <v>2679.2252999999996</v>
      </c>
      <c r="AG2344" s="2">
        <v>0</v>
      </c>
      <c r="AH2344" s="5">
        <f t="shared" si="351"/>
        <v>29769.17</v>
      </c>
      <c r="AJ2344" s="126" t="e">
        <v>#N/A</v>
      </c>
      <c r="AK2344" s="80">
        <f t="shared" si="348"/>
        <v>0</v>
      </c>
      <c r="AM2344" s="85"/>
    </row>
    <row r="2345" spans="1:39" hidden="1" x14ac:dyDescent="0.3">
      <c r="A2345" s="85" t="s">
        <v>34</v>
      </c>
      <c r="B2345" s="3" t="s">
        <v>35</v>
      </c>
      <c r="C2345" s="3" t="s">
        <v>36</v>
      </c>
      <c r="D2345" s="3" t="s">
        <v>54</v>
      </c>
      <c r="E2345" s="3" t="s">
        <v>291</v>
      </c>
      <c r="F2345" s="3" t="s">
        <v>291</v>
      </c>
      <c r="G2345" s="3" t="s">
        <v>291</v>
      </c>
      <c r="I2345" s="3" t="s">
        <v>2935</v>
      </c>
      <c r="J2345" s="1" t="s">
        <v>3302</v>
      </c>
      <c r="K2345" s="1" t="s">
        <v>3281</v>
      </c>
      <c r="L2345" s="1" t="s">
        <v>35</v>
      </c>
      <c r="M2345" s="3" t="s">
        <v>2955</v>
      </c>
      <c r="O2345" s="1" t="s">
        <v>410</v>
      </c>
      <c r="P2345" s="1" t="s">
        <v>41</v>
      </c>
      <c r="Q2345" s="2">
        <v>0</v>
      </c>
      <c r="R2345" s="138">
        <v>46382</v>
      </c>
      <c r="T2345" s="4">
        <v>0</v>
      </c>
      <c r="U2345" s="4">
        <v>20000</v>
      </c>
      <c r="V2345" s="4">
        <v>26436.459999999966</v>
      </c>
      <c r="W2345" s="13">
        <f t="shared" si="349"/>
        <v>-6436.4599999999664</v>
      </c>
      <c r="X2345" s="13">
        <f t="shared" si="352"/>
        <v>26436.459999999966</v>
      </c>
      <c r="Y2345" s="13">
        <f t="shared" si="344"/>
        <v>0</v>
      </c>
      <c r="Z2345" s="2">
        <v>0</v>
      </c>
      <c r="AA2345" s="4">
        <v>0</v>
      </c>
      <c r="AB2345" s="4">
        <f t="shared" si="345"/>
        <v>26436.459999999966</v>
      </c>
      <c r="AC2345" s="6">
        <f t="shared" si="346"/>
        <v>0</v>
      </c>
      <c r="AD2345" s="13">
        <f t="shared" si="350"/>
        <v>26436.459999999966</v>
      </c>
      <c r="AE2345" s="2">
        <v>0.09</v>
      </c>
      <c r="AF2345" s="5">
        <f t="shared" si="347"/>
        <v>2379.2813999999967</v>
      </c>
      <c r="AG2345" s="2">
        <v>0</v>
      </c>
      <c r="AH2345" s="5">
        <f t="shared" si="351"/>
        <v>26436.459999999966</v>
      </c>
      <c r="AJ2345" s="126" t="e">
        <v>#N/A</v>
      </c>
      <c r="AK2345" s="80">
        <f t="shared" si="348"/>
        <v>0</v>
      </c>
      <c r="AM2345" s="85"/>
    </row>
    <row r="2346" spans="1:39" hidden="1" x14ac:dyDescent="0.3">
      <c r="A2346" s="85" t="s">
        <v>34</v>
      </c>
      <c r="B2346" s="3" t="s">
        <v>35</v>
      </c>
      <c r="C2346" s="3" t="s">
        <v>36</v>
      </c>
      <c r="D2346" s="3" t="s">
        <v>54</v>
      </c>
      <c r="E2346" s="3" t="s">
        <v>114</v>
      </c>
      <c r="F2346" s="3" t="s">
        <v>114</v>
      </c>
      <c r="G2346" s="3" t="s">
        <v>114</v>
      </c>
      <c r="I2346" s="3" t="s">
        <v>2935</v>
      </c>
      <c r="J2346" s="1" t="s">
        <v>3302</v>
      </c>
      <c r="K2346" s="1" t="s">
        <v>3281</v>
      </c>
      <c r="L2346" s="1" t="s">
        <v>35</v>
      </c>
      <c r="M2346" s="3" t="s">
        <v>1866</v>
      </c>
      <c r="O2346" s="1" t="s">
        <v>410</v>
      </c>
      <c r="P2346" s="1" t="s">
        <v>46</v>
      </c>
      <c r="Q2346" s="2">
        <v>0.02</v>
      </c>
      <c r="R2346" s="138">
        <v>62122</v>
      </c>
      <c r="T2346" s="4">
        <v>0</v>
      </c>
      <c r="U2346" s="4">
        <v>3600000</v>
      </c>
      <c r="V2346" s="4">
        <v>2930558.9400000004</v>
      </c>
      <c r="W2346" s="13">
        <f t="shared" si="349"/>
        <v>669441.05999999959</v>
      </c>
      <c r="X2346" s="13">
        <f t="shared" si="352"/>
        <v>2873097.0000000005</v>
      </c>
      <c r="Y2346" s="13">
        <f t="shared" si="344"/>
        <v>0</v>
      </c>
      <c r="Z2346" s="2">
        <v>0</v>
      </c>
      <c r="AA2346" s="4">
        <v>0</v>
      </c>
      <c r="AB2346" s="4">
        <f t="shared" si="345"/>
        <v>2873097.0000000005</v>
      </c>
      <c r="AC2346" s="6">
        <f t="shared" si="346"/>
        <v>57461.939999999944</v>
      </c>
      <c r="AD2346" s="13">
        <f t="shared" si="350"/>
        <v>2930558.9400000004</v>
      </c>
      <c r="AE2346" s="2">
        <v>0.09</v>
      </c>
      <c r="AF2346" s="5">
        <f t="shared" si="347"/>
        <v>263750.30460000003</v>
      </c>
      <c r="AG2346" s="2">
        <v>0</v>
      </c>
      <c r="AH2346" s="5">
        <f t="shared" si="351"/>
        <v>2930558.9400000004</v>
      </c>
      <c r="AJ2346" s="126" t="e">
        <v>#N/A</v>
      </c>
      <c r="AK2346" s="80">
        <f t="shared" si="348"/>
        <v>0</v>
      </c>
      <c r="AM2346" s="85"/>
    </row>
    <row r="2347" spans="1:39" hidden="1" x14ac:dyDescent="0.3">
      <c r="A2347" s="85" t="s">
        <v>34</v>
      </c>
      <c r="B2347" s="3" t="s">
        <v>35</v>
      </c>
      <c r="C2347" s="3" t="s">
        <v>36</v>
      </c>
      <c r="D2347" s="3" t="s">
        <v>54</v>
      </c>
      <c r="E2347" s="3" t="s">
        <v>114</v>
      </c>
      <c r="F2347" s="3" t="s">
        <v>114</v>
      </c>
      <c r="G2347" s="3" t="s">
        <v>114</v>
      </c>
      <c r="I2347" s="3" t="s">
        <v>2935</v>
      </c>
      <c r="J2347" s="1" t="s">
        <v>3302</v>
      </c>
      <c r="K2347" s="1" t="s">
        <v>3281</v>
      </c>
      <c r="L2347" s="1" t="s">
        <v>35</v>
      </c>
      <c r="M2347" s="3" t="s">
        <v>2956</v>
      </c>
      <c r="O2347" s="1" t="s">
        <v>410</v>
      </c>
      <c r="P2347" s="1" t="s">
        <v>46</v>
      </c>
      <c r="Q2347" s="2">
        <v>0.02</v>
      </c>
      <c r="R2347" s="138">
        <v>238152</v>
      </c>
      <c r="T2347" s="4">
        <v>0</v>
      </c>
      <c r="U2347" s="4">
        <v>1050000</v>
      </c>
      <c r="V2347" s="4">
        <v>924198.29999999981</v>
      </c>
      <c r="W2347" s="13">
        <f t="shared" si="349"/>
        <v>125801.70000000019</v>
      </c>
      <c r="X2347" s="13">
        <f t="shared" si="352"/>
        <v>906076.76470588217</v>
      </c>
      <c r="Y2347" s="13">
        <f t="shared" si="344"/>
        <v>0</v>
      </c>
      <c r="Z2347" s="2">
        <v>0</v>
      </c>
      <c r="AA2347" s="4">
        <v>0</v>
      </c>
      <c r="AB2347" s="4">
        <f t="shared" si="345"/>
        <v>906076.76470588217</v>
      </c>
      <c r="AC2347" s="6">
        <f t="shared" si="346"/>
        <v>18121.535294117639</v>
      </c>
      <c r="AD2347" s="13">
        <f t="shared" si="350"/>
        <v>924198.29999999981</v>
      </c>
      <c r="AE2347" s="2">
        <v>0.09</v>
      </c>
      <c r="AF2347" s="5">
        <f t="shared" si="347"/>
        <v>83177.84699999998</v>
      </c>
      <c r="AG2347" s="2">
        <v>0</v>
      </c>
      <c r="AH2347" s="5">
        <f t="shared" si="351"/>
        <v>924198.29999999981</v>
      </c>
      <c r="AJ2347" s="126" t="e">
        <v>#N/A</v>
      </c>
      <c r="AK2347" s="80">
        <f t="shared" si="348"/>
        <v>0</v>
      </c>
      <c r="AM2347" s="85"/>
    </row>
    <row r="2348" spans="1:39" hidden="1" x14ac:dyDescent="0.3">
      <c r="A2348" s="85" t="s">
        <v>34</v>
      </c>
      <c r="B2348" s="3" t="s">
        <v>35</v>
      </c>
      <c r="C2348" s="3" t="s">
        <v>36</v>
      </c>
      <c r="D2348" s="3" t="s">
        <v>54</v>
      </c>
      <c r="E2348" s="3" t="s">
        <v>2957</v>
      </c>
      <c r="F2348" s="3" t="s">
        <v>2957</v>
      </c>
      <c r="G2348" s="3" t="s">
        <v>2957</v>
      </c>
      <c r="I2348" s="3" t="s">
        <v>2935</v>
      </c>
      <c r="J2348" s="1" t="s">
        <v>3302</v>
      </c>
      <c r="K2348" s="1" t="s">
        <v>3281</v>
      </c>
      <c r="L2348" s="1" t="s">
        <v>35</v>
      </c>
      <c r="M2348" s="3" t="s">
        <v>2958</v>
      </c>
      <c r="O2348" s="1" t="s">
        <v>410</v>
      </c>
      <c r="P2348" s="1" t="s">
        <v>46</v>
      </c>
      <c r="Q2348" s="2">
        <v>0.02</v>
      </c>
      <c r="R2348" s="138">
        <v>227402</v>
      </c>
      <c r="T2348" s="4">
        <v>0</v>
      </c>
      <c r="U2348" s="4">
        <v>40000</v>
      </c>
      <c r="V2348" s="4">
        <v>20725.739999999994</v>
      </c>
      <c r="W2348" s="13">
        <f t="shared" si="349"/>
        <v>19274.260000000006</v>
      </c>
      <c r="X2348" s="13">
        <f t="shared" si="352"/>
        <v>20319.352941176465</v>
      </c>
      <c r="Y2348" s="13">
        <f t="shared" si="344"/>
        <v>0</v>
      </c>
      <c r="Z2348" s="2">
        <v>0</v>
      </c>
      <c r="AA2348" s="4">
        <v>0</v>
      </c>
      <c r="AB2348" s="4">
        <f t="shared" si="345"/>
        <v>20319.352941176465</v>
      </c>
      <c r="AC2348" s="6">
        <f t="shared" si="346"/>
        <v>406.38705882352951</v>
      </c>
      <c r="AD2348" s="13">
        <f t="shared" si="350"/>
        <v>20725.739999999994</v>
      </c>
      <c r="AE2348" s="2">
        <v>0.09</v>
      </c>
      <c r="AF2348" s="5">
        <f t="shared" si="347"/>
        <v>1865.3165999999994</v>
      </c>
      <c r="AG2348" s="2">
        <v>0</v>
      </c>
      <c r="AH2348" s="5">
        <f t="shared" si="351"/>
        <v>20725.739999999994</v>
      </c>
      <c r="AJ2348" s="126" t="e">
        <v>#N/A</v>
      </c>
      <c r="AK2348" s="80">
        <f t="shared" si="348"/>
        <v>0</v>
      </c>
      <c r="AM2348" s="85"/>
    </row>
    <row r="2349" spans="1:39" hidden="1" x14ac:dyDescent="0.3">
      <c r="A2349" s="85" t="s">
        <v>34</v>
      </c>
      <c r="B2349" s="3" t="s">
        <v>35</v>
      </c>
      <c r="C2349" s="3" t="s">
        <v>36</v>
      </c>
      <c r="D2349" s="3" t="s">
        <v>54</v>
      </c>
      <c r="E2349" s="3" t="s">
        <v>2957</v>
      </c>
      <c r="F2349" s="3" t="s">
        <v>2957</v>
      </c>
      <c r="G2349" s="3" t="s">
        <v>2957</v>
      </c>
      <c r="I2349" s="3" t="s">
        <v>2935</v>
      </c>
      <c r="J2349" s="1" t="s">
        <v>3302</v>
      </c>
      <c r="K2349" s="1" t="s">
        <v>3281</v>
      </c>
      <c r="L2349" s="1" t="s">
        <v>35</v>
      </c>
      <c r="M2349" s="3" t="s">
        <v>2959</v>
      </c>
      <c r="O2349" s="1" t="s">
        <v>410</v>
      </c>
      <c r="P2349" s="1" t="s">
        <v>46</v>
      </c>
      <c r="Q2349" s="2">
        <v>0.02</v>
      </c>
      <c r="R2349" s="138">
        <v>110452</v>
      </c>
      <c r="T2349" s="4">
        <v>0</v>
      </c>
      <c r="U2349" s="4">
        <v>100000</v>
      </c>
      <c r="V2349" s="4">
        <v>27490.559999999969</v>
      </c>
      <c r="W2349" s="13">
        <f t="shared" si="349"/>
        <v>72509.440000000031</v>
      </c>
      <c r="X2349" s="13">
        <f t="shared" si="352"/>
        <v>26951.529411764674</v>
      </c>
      <c r="Y2349" s="13">
        <f t="shared" si="344"/>
        <v>0</v>
      </c>
      <c r="Z2349" s="2">
        <v>0</v>
      </c>
      <c r="AA2349" s="4">
        <v>0</v>
      </c>
      <c r="AB2349" s="4">
        <f t="shared" si="345"/>
        <v>26951.529411764674</v>
      </c>
      <c r="AC2349" s="6">
        <f t="shared" si="346"/>
        <v>539.030588235295</v>
      </c>
      <c r="AD2349" s="13">
        <f t="shared" si="350"/>
        <v>27490.559999999969</v>
      </c>
      <c r="AE2349" s="2">
        <v>0.09</v>
      </c>
      <c r="AF2349" s="5">
        <f t="shared" si="347"/>
        <v>2474.1503999999973</v>
      </c>
      <c r="AG2349" s="2">
        <v>0</v>
      </c>
      <c r="AH2349" s="5">
        <f t="shared" si="351"/>
        <v>27490.559999999969</v>
      </c>
      <c r="AJ2349" s="126" t="e">
        <v>#N/A</v>
      </c>
      <c r="AK2349" s="80">
        <f t="shared" si="348"/>
        <v>0</v>
      </c>
      <c r="AM2349" s="85"/>
    </row>
    <row r="2350" spans="1:39" hidden="1" x14ac:dyDescent="0.3">
      <c r="A2350" s="85" t="s">
        <v>34</v>
      </c>
      <c r="B2350" s="3" t="s">
        <v>35</v>
      </c>
      <c r="C2350" s="3" t="s">
        <v>36</v>
      </c>
      <c r="D2350" s="3" t="s">
        <v>37</v>
      </c>
      <c r="E2350" s="3" t="s">
        <v>222</v>
      </c>
      <c r="F2350" s="3" t="s">
        <v>462</v>
      </c>
      <c r="G2350" s="3" t="s">
        <v>222</v>
      </c>
      <c r="I2350" s="3" t="s">
        <v>2935</v>
      </c>
      <c r="J2350" s="1" t="s">
        <v>3302</v>
      </c>
      <c r="K2350" s="1" t="s">
        <v>3281</v>
      </c>
      <c r="L2350" s="1" t="s">
        <v>35</v>
      </c>
      <c r="M2350" s="3" t="s">
        <v>2960</v>
      </c>
      <c r="O2350" s="1" t="s">
        <v>410</v>
      </c>
      <c r="P2350" s="1" t="s">
        <v>46</v>
      </c>
      <c r="Q2350" s="2">
        <v>0.02</v>
      </c>
      <c r="R2350" s="138">
        <v>242342</v>
      </c>
      <c r="T2350" s="4">
        <v>0</v>
      </c>
      <c r="U2350" s="4">
        <v>20000</v>
      </c>
      <c r="V2350" s="4">
        <v>16230.67</v>
      </c>
      <c r="W2350" s="13">
        <f t="shared" si="349"/>
        <v>3769.33</v>
      </c>
      <c r="X2350" s="13">
        <f t="shared" si="352"/>
        <v>15912.421568627451</v>
      </c>
      <c r="Y2350" s="13">
        <f t="shared" si="344"/>
        <v>0</v>
      </c>
      <c r="Z2350" s="2">
        <v>0</v>
      </c>
      <c r="AA2350" s="4">
        <v>0</v>
      </c>
      <c r="AB2350" s="4">
        <f t="shared" si="345"/>
        <v>15912.421568627451</v>
      </c>
      <c r="AC2350" s="6">
        <f t="shared" si="346"/>
        <v>318.24843137254902</v>
      </c>
      <c r="AD2350" s="13">
        <f t="shared" si="350"/>
        <v>16230.67</v>
      </c>
      <c r="AE2350" s="2">
        <v>0.09</v>
      </c>
      <c r="AF2350" s="5">
        <f t="shared" si="347"/>
        <v>1460.7602999999999</v>
      </c>
      <c r="AG2350" s="2">
        <v>0</v>
      </c>
      <c r="AH2350" s="5">
        <f t="shared" si="351"/>
        <v>16230.67</v>
      </c>
      <c r="AJ2350" s="126" t="e">
        <v>#N/A</v>
      </c>
      <c r="AK2350" s="80">
        <f t="shared" si="348"/>
        <v>0</v>
      </c>
      <c r="AM2350" s="85"/>
    </row>
    <row r="2351" spans="1:39" hidden="1" x14ac:dyDescent="0.3">
      <c r="A2351" s="85" t="s">
        <v>34</v>
      </c>
      <c r="B2351" s="3" t="s">
        <v>35</v>
      </c>
      <c r="C2351" s="3" t="s">
        <v>36</v>
      </c>
      <c r="D2351" s="3" t="s">
        <v>37</v>
      </c>
      <c r="E2351" s="3" t="s">
        <v>222</v>
      </c>
      <c r="F2351" s="3" t="s">
        <v>462</v>
      </c>
      <c r="G2351" s="3" t="s">
        <v>222</v>
      </c>
      <c r="I2351" s="3" t="s">
        <v>2935</v>
      </c>
      <c r="J2351" s="1" t="s">
        <v>3302</v>
      </c>
      <c r="K2351" s="1" t="s">
        <v>3281</v>
      </c>
      <c r="L2351" s="1" t="s">
        <v>35</v>
      </c>
      <c r="M2351" s="3" t="s">
        <v>2961</v>
      </c>
      <c r="O2351" s="1" t="s">
        <v>410</v>
      </c>
      <c r="P2351" s="1" t="s">
        <v>46</v>
      </c>
      <c r="Q2351" s="2">
        <v>0.02</v>
      </c>
      <c r="R2351" s="138">
        <v>245152</v>
      </c>
      <c r="T2351" s="4">
        <v>0</v>
      </c>
      <c r="U2351" s="4">
        <v>20000</v>
      </c>
      <c r="V2351" s="4">
        <v>14763.47</v>
      </c>
      <c r="W2351" s="13">
        <f t="shared" si="349"/>
        <v>5236.5300000000007</v>
      </c>
      <c r="X2351" s="13">
        <f t="shared" si="352"/>
        <v>14473.99019607843</v>
      </c>
      <c r="Y2351" s="13">
        <f t="shared" si="344"/>
        <v>0</v>
      </c>
      <c r="Z2351" s="2">
        <v>0</v>
      </c>
      <c r="AA2351" s="4">
        <v>0</v>
      </c>
      <c r="AB2351" s="4">
        <f t="shared" si="345"/>
        <v>14473.99019607843</v>
      </c>
      <c r="AC2351" s="6">
        <f t="shared" si="346"/>
        <v>289.47980392156933</v>
      </c>
      <c r="AD2351" s="13">
        <f t="shared" si="350"/>
        <v>14763.47</v>
      </c>
      <c r="AE2351" s="2">
        <v>0.09</v>
      </c>
      <c r="AF2351" s="5">
        <f t="shared" si="347"/>
        <v>1328.7122999999999</v>
      </c>
      <c r="AG2351" s="2">
        <v>0</v>
      </c>
      <c r="AH2351" s="5">
        <f t="shared" si="351"/>
        <v>14763.47</v>
      </c>
      <c r="AJ2351" s="126" t="e">
        <v>#N/A</v>
      </c>
      <c r="AK2351" s="80">
        <f t="shared" si="348"/>
        <v>0</v>
      </c>
      <c r="AM2351" s="85"/>
    </row>
    <row r="2352" spans="1:39" hidden="1" x14ac:dyDescent="0.3">
      <c r="A2352" s="85" t="s">
        <v>34</v>
      </c>
      <c r="B2352" s="3" t="s">
        <v>35</v>
      </c>
      <c r="C2352" s="3" t="s">
        <v>36</v>
      </c>
      <c r="D2352" s="3" t="s">
        <v>37</v>
      </c>
      <c r="E2352" s="3" t="s">
        <v>466</v>
      </c>
      <c r="F2352" s="3" t="s">
        <v>466</v>
      </c>
      <c r="G2352" s="3" t="s">
        <v>466</v>
      </c>
      <c r="H2352" s="138"/>
      <c r="I2352" s="3" t="s">
        <v>2935</v>
      </c>
      <c r="J2352" s="1" t="s">
        <v>3302</v>
      </c>
      <c r="K2352" s="1" t="s">
        <v>3281</v>
      </c>
      <c r="L2352" s="1" t="s">
        <v>35</v>
      </c>
      <c r="M2352" s="3" t="s">
        <v>466</v>
      </c>
      <c r="O2352" s="1" t="s">
        <v>45</v>
      </c>
      <c r="P2352" s="1" t="s">
        <v>1327</v>
      </c>
      <c r="Q2352" s="2">
        <v>0</v>
      </c>
      <c r="R2352" s="138">
        <v>180302</v>
      </c>
      <c r="T2352" s="4">
        <v>0</v>
      </c>
      <c r="U2352" s="4">
        <v>2600</v>
      </c>
      <c r="V2352" s="4">
        <v>0</v>
      </c>
      <c r="W2352" s="13">
        <f t="shared" si="349"/>
        <v>2600</v>
      </c>
      <c r="X2352" s="13">
        <f t="shared" si="352"/>
        <v>0</v>
      </c>
      <c r="Y2352" s="13">
        <f t="shared" si="344"/>
        <v>0</v>
      </c>
      <c r="Z2352" s="2">
        <v>0</v>
      </c>
      <c r="AA2352" s="4">
        <v>0</v>
      </c>
      <c r="AB2352" s="4"/>
      <c r="AC2352" s="6">
        <f t="shared" si="346"/>
        <v>0</v>
      </c>
      <c r="AD2352" s="13">
        <f t="shared" si="350"/>
        <v>0</v>
      </c>
      <c r="AE2352" s="2">
        <v>0.18</v>
      </c>
      <c r="AF2352" s="5">
        <f t="shared" si="347"/>
        <v>0</v>
      </c>
      <c r="AG2352" s="2">
        <v>0</v>
      </c>
      <c r="AH2352" s="5">
        <f t="shared" si="351"/>
        <v>0</v>
      </c>
      <c r="AJ2352" s="126">
        <v>96</v>
      </c>
      <c r="AK2352" s="80">
        <f t="shared" si="348"/>
        <v>0</v>
      </c>
      <c r="AM2352" s="85"/>
    </row>
    <row r="2353" spans="1:39" hidden="1" x14ac:dyDescent="0.3">
      <c r="A2353" s="85" t="s">
        <v>34</v>
      </c>
      <c r="B2353" s="3" t="s">
        <v>35</v>
      </c>
      <c r="C2353" s="3" t="s">
        <v>36</v>
      </c>
      <c r="D2353" s="3" t="s">
        <v>37</v>
      </c>
      <c r="E2353" s="3" t="s">
        <v>466</v>
      </c>
      <c r="F2353" s="3" t="s">
        <v>466</v>
      </c>
      <c r="G2353" s="3" t="s">
        <v>466</v>
      </c>
      <c r="H2353" s="138"/>
      <c r="I2353" s="3" t="s">
        <v>2935</v>
      </c>
      <c r="J2353" s="1" t="s">
        <v>3302</v>
      </c>
      <c r="K2353" s="1" t="s">
        <v>3281</v>
      </c>
      <c r="L2353" s="1" t="s">
        <v>35</v>
      </c>
      <c r="M2353" s="3" t="s">
        <v>466</v>
      </c>
      <c r="O2353" s="1" t="s">
        <v>410</v>
      </c>
      <c r="P2353" s="1" t="s">
        <v>1327</v>
      </c>
      <c r="Q2353" s="2">
        <v>0</v>
      </c>
      <c r="R2353" s="138">
        <v>180302</v>
      </c>
      <c r="T2353" s="4">
        <v>0</v>
      </c>
      <c r="U2353" s="4">
        <v>-2600</v>
      </c>
      <c r="V2353" s="4">
        <v>0</v>
      </c>
      <c r="W2353" s="13">
        <f t="shared" si="349"/>
        <v>-2600</v>
      </c>
      <c r="X2353" s="13">
        <f t="shared" si="352"/>
        <v>0</v>
      </c>
      <c r="Y2353" s="13">
        <f t="shared" si="344"/>
        <v>0</v>
      </c>
      <c r="Z2353" s="2">
        <v>0</v>
      </c>
      <c r="AA2353" s="4">
        <v>0</v>
      </c>
      <c r="AB2353" s="4"/>
      <c r="AC2353" s="6">
        <f t="shared" si="346"/>
        <v>0</v>
      </c>
      <c r="AD2353" s="13">
        <f t="shared" si="350"/>
        <v>0</v>
      </c>
      <c r="AE2353" s="2">
        <v>0.09</v>
      </c>
      <c r="AF2353" s="5">
        <f t="shared" si="347"/>
        <v>0</v>
      </c>
      <c r="AG2353" s="2">
        <v>0</v>
      </c>
      <c r="AH2353" s="5">
        <f t="shared" si="351"/>
        <v>0</v>
      </c>
      <c r="AJ2353" s="126">
        <v>96</v>
      </c>
      <c r="AK2353" s="80">
        <f t="shared" si="348"/>
        <v>0</v>
      </c>
      <c r="AM2353" s="85"/>
    </row>
    <row r="2354" spans="1:39" hidden="1" x14ac:dyDescent="0.3">
      <c r="A2354" s="85" t="s">
        <v>34</v>
      </c>
      <c r="B2354" s="3" t="s">
        <v>35</v>
      </c>
      <c r="C2354" s="3" t="s">
        <v>65</v>
      </c>
      <c r="D2354" s="3" t="s">
        <v>66</v>
      </c>
      <c r="E2354" s="3" t="s">
        <v>469</v>
      </c>
      <c r="F2354" s="3" t="s">
        <v>469</v>
      </c>
      <c r="G2354" s="3" t="s">
        <v>469</v>
      </c>
      <c r="I2354" s="3" t="s">
        <v>2935</v>
      </c>
      <c r="J2354" s="1" t="s">
        <v>3302</v>
      </c>
      <c r="K2354" s="1" t="s">
        <v>3281</v>
      </c>
      <c r="L2354" s="1" t="s">
        <v>35</v>
      </c>
      <c r="M2354" s="3" t="s">
        <v>469</v>
      </c>
      <c r="O2354" s="1" t="s">
        <v>410</v>
      </c>
      <c r="P2354" s="1" t="s">
        <v>41</v>
      </c>
      <c r="Q2354" s="2">
        <v>0</v>
      </c>
      <c r="R2354" s="138">
        <v>102202</v>
      </c>
      <c r="T2354" s="4">
        <v>100000</v>
      </c>
      <c r="U2354" s="4">
        <v>50000</v>
      </c>
      <c r="V2354" s="4">
        <v>152998.06999999998</v>
      </c>
      <c r="W2354" s="13">
        <f t="shared" si="349"/>
        <v>-2998.0699999999779</v>
      </c>
      <c r="X2354" s="13">
        <f t="shared" si="352"/>
        <v>152998.06999999998</v>
      </c>
      <c r="Y2354" s="13">
        <f t="shared" si="344"/>
        <v>0</v>
      </c>
      <c r="Z2354" s="2">
        <v>0</v>
      </c>
      <c r="AA2354" s="4">
        <v>0</v>
      </c>
      <c r="AB2354" s="4">
        <f t="shared" si="345"/>
        <v>152998.06999999998</v>
      </c>
      <c r="AC2354" s="6">
        <f t="shared" si="346"/>
        <v>0</v>
      </c>
      <c r="AD2354" s="13">
        <f t="shared" si="350"/>
        <v>152998.06999999998</v>
      </c>
      <c r="AE2354" s="2">
        <v>0.09</v>
      </c>
      <c r="AF2354" s="5">
        <f t="shared" si="347"/>
        <v>13769.826299999997</v>
      </c>
      <c r="AG2354" s="2">
        <v>0</v>
      </c>
      <c r="AH2354" s="5">
        <f t="shared" si="351"/>
        <v>152998.06999999998</v>
      </c>
      <c r="AJ2354" s="126" t="e">
        <v>#N/A</v>
      </c>
      <c r="AK2354" s="80">
        <f t="shared" si="348"/>
        <v>0</v>
      </c>
      <c r="AM2354" s="85"/>
    </row>
    <row r="2355" spans="1:39" hidden="1" x14ac:dyDescent="0.3">
      <c r="A2355" s="85" t="s">
        <v>34</v>
      </c>
      <c r="B2355" s="3" t="s">
        <v>35</v>
      </c>
      <c r="C2355" s="3" t="s">
        <v>65</v>
      </c>
      <c r="D2355" s="3" t="s">
        <v>66</v>
      </c>
      <c r="E2355" s="3" t="s">
        <v>2384</v>
      </c>
      <c r="F2355" s="3" t="s">
        <v>2384</v>
      </c>
      <c r="G2355" s="3" t="s">
        <v>2384</v>
      </c>
      <c r="H2355" s="138"/>
      <c r="I2355" s="3" t="s">
        <v>2935</v>
      </c>
      <c r="J2355" s="1" t="s">
        <v>3302</v>
      </c>
      <c r="K2355" s="1" t="s">
        <v>3281</v>
      </c>
      <c r="L2355" s="1" t="s">
        <v>35</v>
      </c>
      <c r="M2355" s="3" t="s">
        <v>2385</v>
      </c>
      <c r="O2355" s="1" t="s">
        <v>410</v>
      </c>
      <c r="P2355" s="1" t="s">
        <v>41</v>
      </c>
      <c r="Q2355" s="2">
        <v>0</v>
      </c>
      <c r="R2355" s="138">
        <v>95372</v>
      </c>
      <c r="T2355" s="4">
        <v>0</v>
      </c>
      <c r="U2355" s="4">
        <v>0</v>
      </c>
      <c r="V2355" s="4">
        <v>0</v>
      </c>
      <c r="W2355" s="13">
        <f t="shared" si="349"/>
        <v>0</v>
      </c>
      <c r="X2355" s="13">
        <f t="shared" si="352"/>
        <v>0</v>
      </c>
      <c r="Y2355" s="13">
        <f t="shared" si="344"/>
        <v>0</v>
      </c>
      <c r="Z2355" s="2">
        <v>0</v>
      </c>
      <c r="AA2355" s="4">
        <v>0</v>
      </c>
      <c r="AB2355" s="4">
        <f t="shared" si="345"/>
        <v>0</v>
      </c>
      <c r="AC2355" s="6">
        <f t="shared" si="346"/>
        <v>0</v>
      </c>
      <c r="AD2355" s="13">
        <f t="shared" si="350"/>
        <v>0</v>
      </c>
      <c r="AE2355" s="2">
        <v>0.09</v>
      </c>
      <c r="AF2355" s="5">
        <f t="shared" si="347"/>
        <v>0</v>
      </c>
      <c r="AG2355" s="2">
        <v>0</v>
      </c>
      <c r="AH2355" s="5">
        <f t="shared" si="351"/>
        <v>0</v>
      </c>
      <c r="AJ2355" s="126" t="e">
        <v>#N/A</v>
      </c>
      <c r="AK2355" s="80">
        <f t="shared" si="348"/>
        <v>0</v>
      </c>
      <c r="AM2355" s="85"/>
    </row>
    <row r="2356" spans="1:39" hidden="1" x14ac:dyDescent="0.3">
      <c r="A2356" s="85" t="s">
        <v>34</v>
      </c>
      <c r="B2356" s="3" t="s">
        <v>35</v>
      </c>
      <c r="C2356" s="3" t="s">
        <v>65</v>
      </c>
      <c r="D2356" s="3" t="s">
        <v>66</v>
      </c>
      <c r="E2356" s="3" t="s">
        <v>2385</v>
      </c>
      <c r="F2356" s="3" t="s">
        <v>2385</v>
      </c>
      <c r="G2356" s="3" t="s">
        <v>2385</v>
      </c>
      <c r="I2356" s="3" t="s">
        <v>2935</v>
      </c>
      <c r="J2356" s="1" t="s">
        <v>3302</v>
      </c>
      <c r="K2356" s="1" t="s">
        <v>3281</v>
      </c>
      <c r="L2356" s="1" t="s">
        <v>35</v>
      </c>
      <c r="M2356" s="3" t="s">
        <v>2385</v>
      </c>
      <c r="O2356" s="1" t="s">
        <v>410</v>
      </c>
      <c r="P2356" s="1" t="s">
        <v>46</v>
      </c>
      <c r="Q2356" s="2">
        <v>0.01</v>
      </c>
      <c r="R2356" s="138">
        <v>95372</v>
      </c>
      <c r="T2356" s="4">
        <v>1313.3299999999872</v>
      </c>
      <c r="U2356" s="4">
        <v>404000</v>
      </c>
      <c r="V2356" s="4">
        <v>150389.79</v>
      </c>
      <c r="W2356" s="13">
        <f t="shared" si="349"/>
        <v>254923.53999999995</v>
      </c>
      <c r="X2356" s="13">
        <f t="shared" si="352"/>
        <v>148900.78217821784</v>
      </c>
      <c r="Y2356" s="13">
        <f t="shared" si="344"/>
        <v>0</v>
      </c>
      <c r="Z2356" s="2">
        <v>0</v>
      </c>
      <c r="AA2356" s="4">
        <v>0</v>
      </c>
      <c r="AB2356" s="4">
        <f t="shared" si="345"/>
        <v>148900.78217821784</v>
      </c>
      <c r="AC2356" s="6">
        <f t="shared" si="346"/>
        <v>1489.007821782172</v>
      </c>
      <c r="AD2356" s="13">
        <f t="shared" si="350"/>
        <v>150389.79</v>
      </c>
      <c r="AE2356" s="2">
        <v>0.09</v>
      </c>
      <c r="AF2356" s="5">
        <f t="shared" si="347"/>
        <v>13535.081099999999</v>
      </c>
      <c r="AG2356" s="2">
        <v>0</v>
      </c>
      <c r="AH2356" s="5">
        <f t="shared" si="351"/>
        <v>150389.79</v>
      </c>
      <c r="AJ2356" s="126" t="e">
        <v>#N/A</v>
      </c>
      <c r="AK2356" s="80">
        <f t="shared" si="348"/>
        <v>0</v>
      </c>
      <c r="AM2356" s="85"/>
    </row>
    <row r="2357" spans="1:39" hidden="1" x14ac:dyDescent="0.3">
      <c r="A2357" s="85" t="s">
        <v>34</v>
      </c>
      <c r="B2357" s="3" t="s">
        <v>35</v>
      </c>
      <c r="C2357" s="3" t="s">
        <v>65</v>
      </c>
      <c r="D2357" s="3" t="s">
        <v>66</v>
      </c>
      <c r="E2357" s="3" t="s">
        <v>2354</v>
      </c>
      <c r="F2357" s="3" t="s">
        <v>2354</v>
      </c>
      <c r="G2357" s="3" t="s">
        <v>2354</v>
      </c>
      <c r="I2357" s="3" t="s">
        <v>2935</v>
      </c>
      <c r="J2357" s="1" t="s">
        <v>3302</v>
      </c>
      <c r="K2357" s="1" t="s">
        <v>3281</v>
      </c>
      <c r="L2357" s="1" t="s">
        <v>35</v>
      </c>
      <c r="M2357" s="3" t="s">
        <v>2354</v>
      </c>
      <c r="O2357" s="1" t="s">
        <v>410</v>
      </c>
      <c r="P2357" s="1" t="s">
        <v>46</v>
      </c>
      <c r="Q2357" s="2">
        <v>0.02</v>
      </c>
      <c r="R2357" s="138">
        <v>10872</v>
      </c>
      <c r="T2357" s="4">
        <v>0</v>
      </c>
      <c r="U2357" s="4">
        <v>2825820.77</v>
      </c>
      <c r="V2357" s="4">
        <v>1769607.7800000003</v>
      </c>
      <c r="W2357" s="13">
        <f t="shared" si="349"/>
        <v>1056212.9899999998</v>
      </c>
      <c r="X2357" s="13">
        <f t="shared" si="352"/>
        <v>1734909.5882352944</v>
      </c>
      <c r="Y2357" s="13">
        <f t="shared" si="344"/>
        <v>0</v>
      </c>
      <c r="Z2357" s="2">
        <v>0</v>
      </c>
      <c r="AA2357" s="4">
        <v>0</v>
      </c>
      <c r="AB2357" s="4">
        <f t="shared" si="345"/>
        <v>1734909.5882352944</v>
      </c>
      <c r="AC2357" s="6">
        <f t="shared" si="346"/>
        <v>34698.191764705814</v>
      </c>
      <c r="AD2357" s="13">
        <f t="shared" si="350"/>
        <v>1769607.7800000003</v>
      </c>
      <c r="AE2357" s="2">
        <v>0.09</v>
      </c>
      <c r="AF2357" s="5">
        <f t="shared" si="347"/>
        <v>159264.70020000002</v>
      </c>
      <c r="AG2357" s="2">
        <v>0</v>
      </c>
      <c r="AH2357" s="5">
        <f t="shared" si="351"/>
        <v>1769607.7800000003</v>
      </c>
      <c r="AJ2357" s="126" t="e">
        <v>#N/A</v>
      </c>
      <c r="AK2357" s="80">
        <f t="shared" si="348"/>
        <v>0</v>
      </c>
      <c r="AM2357" s="85"/>
    </row>
    <row r="2358" spans="1:39" hidden="1" x14ac:dyDescent="0.3">
      <c r="A2358" s="85" t="s">
        <v>34</v>
      </c>
      <c r="B2358" s="3" t="s">
        <v>35</v>
      </c>
      <c r="C2358" s="3" t="s">
        <v>65</v>
      </c>
      <c r="D2358" s="3" t="s">
        <v>66</v>
      </c>
      <c r="E2358" s="3" t="s">
        <v>2752</v>
      </c>
      <c r="F2358" s="3" t="s">
        <v>2752</v>
      </c>
      <c r="G2358" s="3" t="s">
        <v>2752</v>
      </c>
      <c r="I2358" s="3" t="s">
        <v>2935</v>
      </c>
      <c r="J2358" s="1" t="s">
        <v>3302</v>
      </c>
      <c r="K2358" s="1" t="s">
        <v>3281</v>
      </c>
      <c r="L2358" s="1" t="s">
        <v>35</v>
      </c>
      <c r="M2358" s="3" t="s">
        <v>2962</v>
      </c>
      <c r="O2358" s="1" t="s">
        <v>410</v>
      </c>
      <c r="P2358" s="1" t="s">
        <v>41</v>
      </c>
      <c r="Q2358" s="2">
        <v>0</v>
      </c>
      <c r="R2358" s="138">
        <v>30032</v>
      </c>
      <c r="T2358" s="4">
        <v>0</v>
      </c>
      <c r="U2358" s="4">
        <v>50000</v>
      </c>
      <c r="V2358" s="4">
        <v>1557.32</v>
      </c>
      <c r="W2358" s="13">
        <f t="shared" si="349"/>
        <v>48442.68</v>
      </c>
      <c r="X2358" s="13">
        <f t="shared" si="352"/>
        <v>1557.32</v>
      </c>
      <c r="Y2358" s="13">
        <f t="shared" si="344"/>
        <v>0</v>
      </c>
      <c r="Z2358" s="2">
        <v>0</v>
      </c>
      <c r="AA2358" s="4">
        <v>0</v>
      </c>
      <c r="AB2358" s="4">
        <f t="shared" si="345"/>
        <v>1557.32</v>
      </c>
      <c r="AC2358" s="6">
        <f t="shared" si="346"/>
        <v>0</v>
      </c>
      <c r="AD2358" s="13">
        <f t="shared" si="350"/>
        <v>1557.32</v>
      </c>
      <c r="AE2358" s="2">
        <v>0.09</v>
      </c>
      <c r="AF2358" s="5">
        <f t="shared" si="347"/>
        <v>140.15879999999999</v>
      </c>
      <c r="AG2358" s="2">
        <v>0</v>
      </c>
      <c r="AH2358" s="5">
        <f t="shared" si="351"/>
        <v>1557.32</v>
      </c>
      <c r="AJ2358" s="126" t="e">
        <v>#N/A</v>
      </c>
      <c r="AK2358" s="80">
        <f t="shared" si="348"/>
        <v>0</v>
      </c>
      <c r="AM2358" s="85"/>
    </row>
    <row r="2359" spans="1:39" hidden="1" x14ac:dyDescent="0.3">
      <c r="A2359" s="85" t="s">
        <v>34</v>
      </c>
      <c r="B2359" s="3" t="s">
        <v>35</v>
      </c>
      <c r="C2359" s="3" t="s">
        <v>65</v>
      </c>
      <c r="D2359" s="3" t="s">
        <v>66</v>
      </c>
      <c r="E2359" s="3" t="s">
        <v>494</v>
      </c>
      <c r="F2359" s="3" t="s">
        <v>494</v>
      </c>
      <c r="G2359" s="3" t="s">
        <v>494</v>
      </c>
      <c r="I2359" s="3" t="s">
        <v>2935</v>
      </c>
      <c r="J2359" s="1" t="s">
        <v>3302</v>
      </c>
      <c r="K2359" s="1" t="s">
        <v>3281</v>
      </c>
      <c r="L2359" s="1" t="s">
        <v>35</v>
      </c>
      <c r="M2359" s="3" t="s">
        <v>495</v>
      </c>
      <c r="O2359" s="1" t="s">
        <v>45</v>
      </c>
      <c r="P2359" s="1" t="s">
        <v>46</v>
      </c>
      <c r="Q2359" s="2">
        <v>0.02</v>
      </c>
      <c r="R2359" s="138">
        <v>16172</v>
      </c>
      <c r="T2359" s="4">
        <v>-3964434.31</v>
      </c>
      <c r="U2359" s="4">
        <v>15951.74</v>
      </c>
      <c r="V2359" s="4">
        <v>279161.19</v>
      </c>
      <c r="W2359" s="13">
        <f t="shared" si="349"/>
        <v>-4227643.76</v>
      </c>
      <c r="X2359" s="13">
        <f t="shared" si="352"/>
        <v>273687.4411764706</v>
      </c>
      <c r="Y2359" s="13">
        <f t="shared" si="344"/>
        <v>0</v>
      </c>
      <c r="Z2359" s="2">
        <v>0</v>
      </c>
      <c r="AA2359" s="4">
        <v>0</v>
      </c>
      <c r="AB2359" s="4">
        <f t="shared" si="345"/>
        <v>273687.4411764706</v>
      </c>
      <c r="AC2359" s="6">
        <f t="shared" si="346"/>
        <v>5473.7488235294004</v>
      </c>
      <c r="AD2359" s="13">
        <f t="shared" si="350"/>
        <v>279161.19</v>
      </c>
      <c r="AE2359" s="2">
        <v>0.18</v>
      </c>
      <c r="AF2359" s="5">
        <f t="shared" si="347"/>
        <v>50249.014199999998</v>
      </c>
      <c r="AG2359" s="2">
        <v>0</v>
      </c>
      <c r="AH2359" s="5">
        <f t="shared" si="351"/>
        <v>279161.19</v>
      </c>
      <c r="AJ2359" s="126" t="e">
        <v>#N/A</v>
      </c>
      <c r="AK2359" s="80">
        <f t="shared" si="348"/>
        <v>0</v>
      </c>
      <c r="AM2359" s="85"/>
    </row>
    <row r="2360" spans="1:39" hidden="1" x14ac:dyDescent="0.3">
      <c r="A2360" s="85" t="s">
        <v>34</v>
      </c>
      <c r="B2360" s="3" t="s">
        <v>35</v>
      </c>
      <c r="C2360" s="3" t="s">
        <v>65</v>
      </c>
      <c r="D2360" s="3" t="s">
        <v>66</v>
      </c>
      <c r="E2360" s="3" t="s">
        <v>494</v>
      </c>
      <c r="F2360" s="3" t="s">
        <v>494</v>
      </c>
      <c r="G2360" s="3" t="s">
        <v>494</v>
      </c>
      <c r="I2360" s="3" t="s">
        <v>2935</v>
      </c>
      <c r="J2360" s="1" t="s">
        <v>3302</v>
      </c>
      <c r="K2360" s="1" t="s">
        <v>3281</v>
      </c>
      <c r="L2360" s="1" t="s">
        <v>35</v>
      </c>
      <c r="M2360" s="3" t="s">
        <v>495</v>
      </c>
      <c r="O2360" s="1" t="s">
        <v>410</v>
      </c>
      <c r="P2360" s="1" t="s">
        <v>41</v>
      </c>
      <c r="Q2360" s="2">
        <v>0</v>
      </c>
      <c r="R2360" s="138">
        <v>16172</v>
      </c>
      <c r="T2360" s="4">
        <v>4044528.0999999987</v>
      </c>
      <c r="U2360" s="4">
        <v>1500000</v>
      </c>
      <c r="V2360" s="4">
        <v>1111042.53</v>
      </c>
      <c r="W2360" s="13">
        <f t="shared" si="349"/>
        <v>4433485.5699999984</v>
      </c>
      <c r="X2360" s="13">
        <f t="shared" si="352"/>
        <v>1111042.53</v>
      </c>
      <c r="Y2360" s="13">
        <f t="shared" si="344"/>
        <v>0</v>
      </c>
      <c r="Z2360" s="2">
        <v>0</v>
      </c>
      <c r="AA2360" s="4">
        <v>0</v>
      </c>
      <c r="AB2360" s="4">
        <f t="shared" si="345"/>
        <v>1111042.53</v>
      </c>
      <c r="AC2360" s="6">
        <f t="shared" si="346"/>
        <v>0</v>
      </c>
      <c r="AD2360" s="13">
        <f t="shared" si="350"/>
        <v>1111042.53</v>
      </c>
      <c r="AE2360" s="2">
        <v>0.09</v>
      </c>
      <c r="AF2360" s="5">
        <f t="shared" si="347"/>
        <v>99993.827699999994</v>
      </c>
      <c r="AG2360" s="2">
        <v>0</v>
      </c>
      <c r="AH2360" s="5">
        <f t="shared" si="351"/>
        <v>1111042.53</v>
      </c>
      <c r="AJ2360" s="126" t="e">
        <v>#N/A</v>
      </c>
      <c r="AK2360" s="80">
        <f t="shared" si="348"/>
        <v>0</v>
      </c>
      <c r="AM2360" s="85"/>
    </row>
    <row r="2361" spans="1:39" hidden="1" x14ac:dyDescent="0.3">
      <c r="A2361" s="85" t="s">
        <v>34</v>
      </c>
      <c r="B2361" s="3" t="s">
        <v>35</v>
      </c>
      <c r="C2361" s="3" t="s">
        <v>65</v>
      </c>
      <c r="D2361" s="3" t="s">
        <v>66</v>
      </c>
      <c r="E2361" s="3" t="s">
        <v>501</v>
      </c>
      <c r="F2361" s="3" t="s">
        <v>501</v>
      </c>
      <c r="G2361" s="3" t="s">
        <v>501</v>
      </c>
      <c r="I2361" s="3" t="s">
        <v>2935</v>
      </c>
      <c r="J2361" s="1" t="s">
        <v>3302</v>
      </c>
      <c r="K2361" s="1" t="s">
        <v>3281</v>
      </c>
      <c r="L2361" s="1" t="s">
        <v>35</v>
      </c>
      <c r="M2361" s="3" t="s">
        <v>501</v>
      </c>
      <c r="O2361" s="1" t="s">
        <v>45</v>
      </c>
      <c r="P2361" s="1" t="s">
        <v>41</v>
      </c>
      <c r="Q2361" s="2">
        <v>0</v>
      </c>
      <c r="R2361" s="138">
        <v>26112</v>
      </c>
      <c r="S2361" s="3" t="s">
        <v>3363</v>
      </c>
      <c r="T2361" s="4">
        <v>0</v>
      </c>
      <c r="U2361" s="4">
        <v>5813.44</v>
      </c>
      <c r="V2361" s="4">
        <v>28736.77</v>
      </c>
      <c r="W2361" s="13">
        <f t="shared" si="349"/>
        <v>-22923.33</v>
      </c>
      <c r="X2361" s="13">
        <f>IF(P2361="折扣",V2361*Q2361,IF(P2361="返现",V2361,(V2361-U2361)/(1+Q2361)))</f>
        <v>22923.33</v>
      </c>
      <c r="Y2361" s="13">
        <f t="shared" si="344"/>
        <v>0</v>
      </c>
      <c r="Z2361" s="2">
        <v>0</v>
      </c>
      <c r="AA2361" s="4">
        <v>0</v>
      </c>
      <c r="AB2361" s="4">
        <f t="shared" si="345"/>
        <v>22923.33</v>
      </c>
      <c r="AC2361" s="6">
        <f t="shared" si="346"/>
        <v>5813.4399999999987</v>
      </c>
      <c r="AD2361" s="13">
        <f t="shared" si="350"/>
        <v>28736.77</v>
      </c>
      <c r="AE2361" s="2">
        <v>0.18</v>
      </c>
      <c r="AF2361" s="5">
        <f t="shared" si="347"/>
        <v>5172.6185999999998</v>
      </c>
      <c r="AG2361" s="2">
        <v>0</v>
      </c>
      <c r="AH2361" s="5">
        <f t="shared" si="351"/>
        <v>28736.77</v>
      </c>
      <c r="AJ2361" s="126" t="e">
        <v>#N/A</v>
      </c>
      <c r="AK2361" s="80">
        <f t="shared" si="348"/>
        <v>0</v>
      </c>
      <c r="AM2361" s="85"/>
    </row>
    <row r="2362" spans="1:39" hidden="1" x14ac:dyDescent="0.3">
      <c r="A2362" s="85" t="s">
        <v>34</v>
      </c>
      <c r="B2362" s="3" t="s">
        <v>35</v>
      </c>
      <c r="C2362" s="3" t="s">
        <v>65</v>
      </c>
      <c r="D2362" s="3" t="s">
        <v>66</v>
      </c>
      <c r="E2362" s="3" t="s">
        <v>501</v>
      </c>
      <c r="F2362" s="3" t="s">
        <v>501</v>
      </c>
      <c r="G2362" s="3" t="s">
        <v>501</v>
      </c>
      <c r="I2362" s="3" t="s">
        <v>2935</v>
      </c>
      <c r="J2362" s="1" t="s">
        <v>3302</v>
      </c>
      <c r="K2362" s="1" t="s">
        <v>3281</v>
      </c>
      <c r="L2362" s="1" t="s">
        <v>35</v>
      </c>
      <c r="M2362" s="3" t="s">
        <v>501</v>
      </c>
      <c r="O2362" s="1" t="s">
        <v>410</v>
      </c>
      <c r="P2362" s="1" t="s">
        <v>41</v>
      </c>
      <c r="Q2362" s="2">
        <v>0</v>
      </c>
      <c r="R2362" s="138">
        <v>26112</v>
      </c>
      <c r="T2362" s="4">
        <v>100000</v>
      </c>
      <c r="U2362" s="4">
        <v>300000</v>
      </c>
      <c r="V2362" s="4">
        <v>347156.28000000014</v>
      </c>
      <c r="W2362" s="13">
        <f t="shared" si="349"/>
        <v>52843.719999999856</v>
      </c>
      <c r="X2362" s="13">
        <f t="shared" si="352"/>
        <v>347156.28000000014</v>
      </c>
      <c r="Y2362" s="13">
        <f t="shared" si="344"/>
        <v>0</v>
      </c>
      <c r="Z2362" s="2">
        <v>0</v>
      </c>
      <c r="AA2362" s="4">
        <v>0</v>
      </c>
      <c r="AB2362" s="4">
        <f t="shared" si="345"/>
        <v>347156.28000000014</v>
      </c>
      <c r="AC2362" s="6">
        <f t="shared" si="346"/>
        <v>0</v>
      </c>
      <c r="AD2362" s="13">
        <f t="shared" si="350"/>
        <v>347156.28000000014</v>
      </c>
      <c r="AE2362" s="2">
        <v>0.09</v>
      </c>
      <c r="AF2362" s="5">
        <f t="shared" si="347"/>
        <v>31244.065200000012</v>
      </c>
      <c r="AG2362" s="2">
        <v>0</v>
      </c>
      <c r="AH2362" s="5">
        <f t="shared" si="351"/>
        <v>347156.28000000014</v>
      </c>
      <c r="AJ2362" s="126" t="e">
        <v>#N/A</v>
      </c>
      <c r="AK2362" s="80">
        <f t="shared" si="348"/>
        <v>0</v>
      </c>
      <c r="AM2362" s="85"/>
    </row>
    <row r="2363" spans="1:39" hidden="1" x14ac:dyDescent="0.3">
      <c r="A2363" s="85" t="s">
        <v>34</v>
      </c>
      <c r="B2363" s="3" t="s">
        <v>35</v>
      </c>
      <c r="C2363" s="3" t="s">
        <v>65</v>
      </c>
      <c r="D2363" s="3" t="s">
        <v>66</v>
      </c>
      <c r="E2363" s="3" t="s">
        <v>2963</v>
      </c>
      <c r="F2363" s="3" t="s">
        <v>2963</v>
      </c>
      <c r="G2363" s="3" t="s">
        <v>2963</v>
      </c>
      <c r="I2363" s="3" t="s">
        <v>2935</v>
      </c>
      <c r="J2363" s="1" t="s">
        <v>3302</v>
      </c>
      <c r="K2363" s="1" t="s">
        <v>3281</v>
      </c>
      <c r="L2363" s="1" t="s">
        <v>35</v>
      </c>
      <c r="M2363" s="3" t="s">
        <v>2964</v>
      </c>
      <c r="O2363" s="1" t="s">
        <v>410</v>
      </c>
      <c r="P2363" s="1" t="s">
        <v>41</v>
      </c>
      <c r="Q2363" s="2">
        <v>0</v>
      </c>
      <c r="R2363" s="138">
        <v>27432</v>
      </c>
      <c r="T2363" s="4">
        <v>0</v>
      </c>
      <c r="U2363" s="4">
        <v>230000</v>
      </c>
      <c r="V2363" s="4">
        <v>90830.3</v>
      </c>
      <c r="W2363" s="13">
        <f t="shared" si="349"/>
        <v>139169.70000000001</v>
      </c>
      <c r="X2363" s="13">
        <f t="shared" si="352"/>
        <v>90830.3</v>
      </c>
      <c r="Y2363" s="13">
        <f t="shared" si="344"/>
        <v>0</v>
      </c>
      <c r="Z2363" s="2">
        <v>0</v>
      </c>
      <c r="AA2363" s="4">
        <v>0</v>
      </c>
      <c r="AB2363" s="4">
        <f t="shared" si="345"/>
        <v>90830.3</v>
      </c>
      <c r="AC2363" s="6">
        <f t="shared" si="346"/>
        <v>0</v>
      </c>
      <c r="AD2363" s="13">
        <f t="shared" si="350"/>
        <v>90830.3</v>
      </c>
      <c r="AE2363" s="2">
        <v>0.09</v>
      </c>
      <c r="AF2363" s="5">
        <f t="shared" si="347"/>
        <v>8174.7269999999999</v>
      </c>
      <c r="AG2363" s="2">
        <v>0</v>
      </c>
      <c r="AH2363" s="5">
        <f t="shared" si="351"/>
        <v>90830.3</v>
      </c>
      <c r="AJ2363" s="126" t="e">
        <v>#N/A</v>
      </c>
      <c r="AK2363" s="80">
        <f t="shared" si="348"/>
        <v>0</v>
      </c>
      <c r="AM2363" s="85"/>
    </row>
    <row r="2364" spans="1:39" hidden="1" x14ac:dyDescent="0.3">
      <c r="A2364" s="85" t="s">
        <v>34</v>
      </c>
      <c r="B2364" s="3" t="s">
        <v>35</v>
      </c>
      <c r="C2364" s="3" t="s">
        <v>65</v>
      </c>
      <c r="D2364" s="3" t="s">
        <v>66</v>
      </c>
      <c r="E2364" s="3" t="s">
        <v>2678</v>
      </c>
      <c r="F2364" s="3" t="s">
        <v>2679</v>
      </c>
      <c r="G2364" s="3" t="s">
        <v>2678</v>
      </c>
      <c r="I2364" s="3" t="s">
        <v>2935</v>
      </c>
      <c r="J2364" s="1" t="s">
        <v>3302</v>
      </c>
      <c r="K2364" s="1" t="s">
        <v>3281</v>
      </c>
      <c r="L2364" s="1" t="s">
        <v>35</v>
      </c>
      <c r="M2364" s="3" t="s">
        <v>2678</v>
      </c>
      <c r="O2364" s="1" t="s">
        <v>45</v>
      </c>
      <c r="P2364" s="1" t="s">
        <v>46</v>
      </c>
      <c r="Q2364" s="2">
        <v>0.06</v>
      </c>
      <c r="R2364" s="138">
        <v>72222</v>
      </c>
      <c r="T2364" s="4">
        <v>0</v>
      </c>
      <c r="U2364" s="4">
        <v>110039.96</v>
      </c>
      <c r="V2364" s="4">
        <v>1073152.78</v>
      </c>
      <c r="W2364" s="13">
        <f t="shared" si="349"/>
        <v>-963112.82000000007</v>
      </c>
      <c r="X2364" s="13">
        <f>IF(P2364="折扣",V2364*Q2364,IF(P2364="返现",V2364,(V2364-U2364)/(1+Q2364)))+U2364/1.08</f>
        <v>1010485.8518518519</v>
      </c>
      <c r="Y2364" s="13">
        <f t="shared" si="344"/>
        <v>0</v>
      </c>
      <c r="Z2364" s="2">
        <v>0</v>
      </c>
      <c r="AA2364" s="4">
        <v>0</v>
      </c>
      <c r="AB2364" s="4">
        <f t="shared" si="345"/>
        <v>1010485.8518518519</v>
      </c>
      <c r="AC2364" s="6">
        <f t="shared" si="346"/>
        <v>62666.928148148116</v>
      </c>
      <c r="AD2364" s="13">
        <f t="shared" si="350"/>
        <v>1073152.78</v>
      </c>
      <c r="AE2364" s="2">
        <v>0.18</v>
      </c>
      <c r="AF2364" s="5">
        <f t="shared" si="347"/>
        <v>193167.50039999999</v>
      </c>
      <c r="AG2364" s="2">
        <v>0</v>
      </c>
      <c r="AH2364" s="5">
        <f t="shared" si="351"/>
        <v>1073152.78</v>
      </c>
      <c r="AJ2364" s="126" t="e">
        <v>#N/A</v>
      </c>
      <c r="AK2364" s="80">
        <f t="shared" si="348"/>
        <v>0</v>
      </c>
      <c r="AM2364" s="85"/>
    </row>
    <row r="2365" spans="1:39" hidden="1" x14ac:dyDescent="0.3">
      <c r="A2365" s="85" t="s">
        <v>34</v>
      </c>
      <c r="B2365" s="3" t="s">
        <v>35</v>
      </c>
      <c r="C2365" s="3" t="s">
        <v>65</v>
      </c>
      <c r="D2365" s="3" t="s">
        <v>66</v>
      </c>
      <c r="E2365" s="3" t="s">
        <v>2678</v>
      </c>
      <c r="F2365" s="3" t="s">
        <v>2679</v>
      </c>
      <c r="G2365" s="3" t="s">
        <v>2678</v>
      </c>
      <c r="H2365" s="138"/>
      <c r="I2365" s="3" t="s">
        <v>2935</v>
      </c>
      <c r="J2365" s="1" t="s">
        <v>3302</v>
      </c>
      <c r="K2365" s="1" t="s">
        <v>3281</v>
      </c>
      <c r="L2365" s="1" t="s">
        <v>35</v>
      </c>
      <c r="M2365" s="3" t="s">
        <v>2678</v>
      </c>
      <c r="O2365" s="1" t="s">
        <v>410</v>
      </c>
      <c r="P2365" s="1" t="s">
        <v>46</v>
      </c>
      <c r="Q2365" s="2">
        <v>0.04</v>
      </c>
      <c r="R2365" s="138">
        <v>72222</v>
      </c>
      <c r="S2365" s="3" t="s">
        <v>1168</v>
      </c>
      <c r="T2365" s="4">
        <v>0</v>
      </c>
      <c r="U2365" s="4">
        <v>932000</v>
      </c>
      <c r="V2365" s="4">
        <v>32000</v>
      </c>
      <c r="W2365" s="13">
        <f t="shared" si="349"/>
        <v>900000</v>
      </c>
      <c r="X2365" s="13">
        <v>0</v>
      </c>
      <c r="Y2365" s="13">
        <f t="shared" si="344"/>
        <v>0</v>
      </c>
      <c r="Z2365" s="2">
        <v>0</v>
      </c>
      <c r="AA2365" s="4">
        <v>0</v>
      </c>
      <c r="AB2365" s="4">
        <f t="shared" si="345"/>
        <v>0</v>
      </c>
      <c r="AC2365" s="6">
        <f t="shared" si="346"/>
        <v>32000</v>
      </c>
      <c r="AD2365" s="13">
        <f t="shared" si="350"/>
        <v>32000</v>
      </c>
      <c r="AE2365" s="2">
        <v>0.09</v>
      </c>
      <c r="AF2365" s="5">
        <f t="shared" si="347"/>
        <v>2880</v>
      </c>
      <c r="AG2365" s="2">
        <v>0</v>
      </c>
      <c r="AH2365" s="5">
        <f t="shared" si="351"/>
        <v>32000</v>
      </c>
      <c r="AJ2365" s="126" t="e">
        <v>#N/A</v>
      </c>
      <c r="AK2365" s="80">
        <f t="shared" si="348"/>
        <v>0</v>
      </c>
      <c r="AM2365" s="85"/>
    </row>
    <row r="2366" spans="1:39" hidden="1" x14ac:dyDescent="0.3">
      <c r="A2366" s="85" t="s">
        <v>34</v>
      </c>
      <c r="B2366" s="3" t="s">
        <v>35</v>
      </c>
      <c r="C2366" s="3" t="s">
        <v>65</v>
      </c>
      <c r="D2366" s="3" t="s">
        <v>66</v>
      </c>
      <c r="E2366" s="3" t="s">
        <v>2678</v>
      </c>
      <c r="F2366" s="3" t="s">
        <v>2679</v>
      </c>
      <c r="G2366" s="3" t="s">
        <v>2678</v>
      </c>
      <c r="I2366" s="3" t="s">
        <v>2935</v>
      </c>
      <c r="J2366" s="1" t="s">
        <v>3302</v>
      </c>
      <c r="K2366" s="1" t="s">
        <v>3281</v>
      </c>
      <c r="L2366" s="1" t="s">
        <v>35</v>
      </c>
      <c r="M2366" s="3" t="s">
        <v>2678</v>
      </c>
      <c r="O2366" s="1" t="s">
        <v>410</v>
      </c>
      <c r="P2366" s="1" t="s">
        <v>41</v>
      </c>
      <c r="Q2366" s="2">
        <v>0</v>
      </c>
      <c r="R2366" s="138">
        <v>72222</v>
      </c>
      <c r="T2366" s="4">
        <v>446889.99000000092</v>
      </c>
      <c r="U2366" s="4">
        <v>300000</v>
      </c>
      <c r="V2366" s="4">
        <v>393800.18</v>
      </c>
      <c r="W2366" s="13">
        <f t="shared" si="349"/>
        <v>353089.81000000093</v>
      </c>
      <c r="X2366" s="13">
        <f t="shared" si="352"/>
        <v>393800.18</v>
      </c>
      <c r="Y2366" s="13">
        <f t="shared" si="344"/>
        <v>0</v>
      </c>
      <c r="Z2366" s="2">
        <v>0</v>
      </c>
      <c r="AA2366" s="4">
        <v>0</v>
      </c>
      <c r="AB2366" s="4">
        <f t="shared" si="345"/>
        <v>393800.18</v>
      </c>
      <c r="AC2366" s="6">
        <f t="shared" si="346"/>
        <v>0</v>
      </c>
      <c r="AD2366" s="13">
        <f t="shared" si="350"/>
        <v>393800.18</v>
      </c>
      <c r="AE2366" s="2">
        <v>0.09</v>
      </c>
      <c r="AF2366" s="5">
        <f t="shared" si="347"/>
        <v>35442.016199999998</v>
      </c>
      <c r="AG2366" s="2">
        <v>0</v>
      </c>
      <c r="AH2366" s="5">
        <f t="shared" si="351"/>
        <v>393800.18</v>
      </c>
      <c r="AJ2366" s="126" t="e">
        <v>#N/A</v>
      </c>
      <c r="AK2366" s="80">
        <f t="shared" si="348"/>
        <v>0</v>
      </c>
      <c r="AM2366" s="85"/>
    </row>
    <row r="2367" spans="1:39" hidden="1" x14ac:dyDescent="0.3">
      <c r="A2367" s="85" t="s">
        <v>34</v>
      </c>
      <c r="B2367" s="3" t="s">
        <v>35</v>
      </c>
      <c r="C2367" s="3" t="s">
        <v>65</v>
      </c>
      <c r="D2367" s="3" t="s">
        <v>66</v>
      </c>
      <c r="E2367" s="3" t="s">
        <v>2678</v>
      </c>
      <c r="F2367" s="3" t="s">
        <v>2679</v>
      </c>
      <c r="G2367" s="3" t="s">
        <v>2678</v>
      </c>
      <c r="I2367" s="3" t="s">
        <v>2935</v>
      </c>
      <c r="J2367" s="1" t="s">
        <v>3302</v>
      </c>
      <c r="K2367" s="1" t="s">
        <v>3281</v>
      </c>
      <c r="L2367" s="1" t="s">
        <v>35</v>
      </c>
      <c r="M2367" s="3" t="s">
        <v>2965</v>
      </c>
      <c r="O2367" s="1" t="s">
        <v>410</v>
      </c>
      <c r="P2367" s="1" t="s">
        <v>41</v>
      </c>
      <c r="Q2367" s="2">
        <v>0</v>
      </c>
      <c r="R2367" s="138">
        <v>112112</v>
      </c>
      <c r="T2367" s="4">
        <v>0</v>
      </c>
      <c r="U2367" s="4">
        <v>30000</v>
      </c>
      <c r="V2367" s="4">
        <v>20</v>
      </c>
      <c r="W2367" s="13">
        <f t="shared" si="349"/>
        <v>29980</v>
      </c>
      <c r="X2367" s="13">
        <f t="shared" si="352"/>
        <v>20</v>
      </c>
      <c r="Y2367" s="13">
        <f t="shared" si="344"/>
        <v>0</v>
      </c>
      <c r="Z2367" s="2">
        <v>0</v>
      </c>
      <c r="AA2367" s="4">
        <v>0</v>
      </c>
      <c r="AB2367" s="4">
        <f t="shared" si="345"/>
        <v>20</v>
      </c>
      <c r="AC2367" s="6">
        <f t="shared" si="346"/>
        <v>0</v>
      </c>
      <c r="AD2367" s="13">
        <f t="shared" si="350"/>
        <v>20</v>
      </c>
      <c r="AE2367" s="2">
        <v>0.09</v>
      </c>
      <c r="AF2367" s="5">
        <f t="shared" si="347"/>
        <v>1.7999999999999998</v>
      </c>
      <c r="AG2367" s="2">
        <v>0</v>
      </c>
      <c r="AH2367" s="5">
        <f t="shared" si="351"/>
        <v>20</v>
      </c>
      <c r="AJ2367" s="126" t="e">
        <v>#N/A</v>
      </c>
      <c r="AK2367" s="80">
        <f t="shared" si="348"/>
        <v>0</v>
      </c>
      <c r="AM2367" s="85"/>
    </row>
    <row r="2368" spans="1:39" hidden="1" x14ac:dyDescent="0.3">
      <c r="A2368" s="85" t="s">
        <v>34</v>
      </c>
      <c r="B2368" s="3" t="s">
        <v>35</v>
      </c>
      <c r="C2368" s="3" t="s">
        <v>65</v>
      </c>
      <c r="D2368" s="3" t="s">
        <v>66</v>
      </c>
      <c r="E2368" s="3" t="s">
        <v>2678</v>
      </c>
      <c r="F2368" s="3" t="s">
        <v>2679</v>
      </c>
      <c r="G2368" s="3" t="s">
        <v>2678</v>
      </c>
      <c r="H2368" s="138"/>
      <c r="I2368" s="3" t="s">
        <v>2935</v>
      </c>
      <c r="J2368" s="1" t="s">
        <v>3302</v>
      </c>
      <c r="K2368" s="1" t="s">
        <v>3281</v>
      </c>
      <c r="L2368" s="1" t="s">
        <v>35</v>
      </c>
      <c r="M2368" s="3" t="s">
        <v>2966</v>
      </c>
      <c r="O2368" s="1" t="s">
        <v>45</v>
      </c>
      <c r="P2368" s="1" t="s">
        <v>46</v>
      </c>
      <c r="Q2368" s="2">
        <v>0.06</v>
      </c>
      <c r="R2368" s="138">
        <v>242112</v>
      </c>
      <c r="S2368" s="3" t="s">
        <v>1168</v>
      </c>
      <c r="T2368" s="4">
        <v>0</v>
      </c>
      <c r="U2368" s="4">
        <v>8000</v>
      </c>
      <c r="V2368" s="4">
        <v>8000</v>
      </c>
      <c r="W2368" s="13">
        <f t="shared" si="349"/>
        <v>0</v>
      </c>
      <c r="X2368" s="13">
        <v>0</v>
      </c>
      <c r="Y2368" s="13">
        <f t="shared" si="344"/>
        <v>0</v>
      </c>
      <c r="Z2368" s="2">
        <v>0</v>
      </c>
      <c r="AA2368" s="4">
        <v>0</v>
      </c>
      <c r="AB2368" s="4">
        <f t="shared" si="345"/>
        <v>0</v>
      </c>
      <c r="AC2368" s="6">
        <f t="shared" si="346"/>
        <v>8000</v>
      </c>
      <c r="AD2368" s="13">
        <f t="shared" si="350"/>
        <v>8000</v>
      </c>
      <c r="AE2368" s="2">
        <v>0.18</v>
      </c>
      <c r="AF2368" s="5">
        <f t="shared" si="347"/>
        <v>1440</v>
      </c>
      <c r="AG2368" s="2">
        <v>0</v>
      </c>
      <c r="AH2368" s="5">
        <f t="shared" si="351"/>
        <v>8000</v>
      </c>
      <c r="AJ2368" s="126" t="e">
        <v>#N/A</v>
      </c>
      <c r="AK2368" s="80">
        <f t="shared" si="348"/>
        <v>0</v>
      </c>
      <c r="AM2368" s="85"/>
    </row>
    <row r="2369" spans="1:39" hidden="1" x14ac:dyDescent="0.3">
      <c r="A2369" s="85" t="s">
        <v>34</v>
      </c>
      <c r="B2369" s="3" t="s">
        <v>35</v>
      </c>
      <c r="C2369" s="3" t="s">
        <v>65</v>
      </c>
      <c r="D2369" s="3" t="s">
        <v>122</v>
      </c>
      <c r="E2369" s="3" t="s">
        <v>2967</v>
      </c>
      <c r="F2369" s="3" t="s">
        <v>2968</v>
      </c>
      <c r="G2369" s="3" t="s">
        <v>2967</v>
      </c>
      <c r="I2369" s="3" t="s">
        <v>2935</v>
      </c>
      <c r="J2369" s="1" t="s">
        <v>3302</v>
      </c>
      <c r="K2369" s="1" t="s">
        <v>3281</v>
      </c>
      <c r="L2369" s="1" t="s">
        <v>35</v>
      </c>
      <c r="M2369" s="3" t="s">
        <v>2969</v>
      </c>
      <c r="O2369" s="1" t="s">
        <v>410</v>
      </c>
      <c r="P2369" s="1" t="s">
        <v>46</v>
      </c>
      <c r="Q2369" s="2">
        <v>0.01</v>
      </c>
      <c r="R2369" s="138">
        <v>77462</v>
      </c>
      <c r="T2369" s="4">
        <v>23610.010000000009</v>
      </c>
      <c r="U2369" s="4">
        <v>57010</v>
      </c>
      <c r="V2369" s="4">
        <v>70232</v>
      </c>
      <c r="W2369" s="13">
        <f t="shared" si="349"/>
        <v>10388.010000000009</v>
      </c>
      <c r="X2369" s="13">
        <f t="shared" si="352"/>
        <v>69536.63366336633</v>
      </c>
      <c r="Y2369" s="13">
        <f t="shared" si="344"/>
        <v>0</v>
      </c>
      <c r="Z2369" s="2">
        <v>0</v>
      </c>
      <c r="AA2369" s="4">
        <v>0</v>
      </c>
      <c r="AB2369" s="4">
        <f t="shared" si="345"/>
        <v>69536.63366336633</v>
      </c>
      <c r="AC2369" s="6">
        <f t="shared" si="346"/>
        <v>695.36633663366956</v>
      </c>
      <c r="AD2369" s="13">
        <f t="shared" si="350"/>
        <v>70232</v>
      </c>
      <c r="AE2369" s="2">
        <v>0.09</v>
      </c>
      <c r="AF2369" s="5">
        <f t="shared" si="347"/>
        <v>6320.88</v>
      </c>
      <c r="AG2369" s="2">
        <v>0</v>
      </c>
      <c r="AH2369" s="5">
        <f t="shared" si="351"/>
        <v>70232</v>
      </c>
      <c r="AJ2369" s="126" t="e">
        <v>#N/A</v>
      </c>
      <c r="AK2369" s="80">
        <f t="shared" si="348"/>
        <v>0</v>
      </c>
      <c r="AM2369" s="85"/>
    </row>
    <row r="2370" spans="1:39" hidden="1" x14ac:dyDescent="0.3">
      <c r="A2370" s="85" t="s">
        <v>34</v>
      </c>
      <c r="B2370" s="3" t="s">
        <v>35</v>
      </c>
      <c r="C2370" s="3" t="s">
        <v>65</v>
      </c>
      <c r="D2370" s="3" t="s">
        <v>122</v>
      </c>
      <c r="E2370" s="3" t="s">
        <v>2967</v>
      </c>
      <c r="F2370" s="3" t="s">
        <v>2968</v>
      </c>
      <c r="G2370" s="3" t="s">
        <v>2967</v>
      </c>
      <c r="I2370" s="3" t="s">
        <v>2935</v>
      </c>
      <c r="J2370" s="1" t="s">
        <v>3302</v>
      </c>
      <c r="K2370" s="1" t="s">
        <v>3281</v>
      </c>
      <c r="L2370" s="1" t="s">
        <v>35</v>
      </c>
      <c r="M2370" s="3" t="s">
        <v>2970</v>
      </c>
      <c r="O2370" s="1" t="s">
        <v>410</v>
      </c>
      <c r="P2370" s="1" t="s">
        <v>46</v>
      </c>
      <c r="Q2370" s="2">
        <v>0.01</v>
      </c>
      <c r="R2370" s="138">
        <v>36962</v>
      </c>
      <c r="T2370" s="4">
        <v>38919.5</v>
      </c>
      <c r="U2370" s="4">
        <v>93570</v>
      </c>
      <c r="V2370" s="4">
        <v>98308.5</v>
      </c>
      <c r="W2370" s="13">
        <f t="shared" si="349"/>
        <v>34181</v>
      </c>
      <c r="X2370" s="13">
        <f t="shared" si="352"/>
        <v>97335.148514851491</v>
      </c>
      <c r="Y2370" s="13">
        <f t="shared" si="344"/>
        <v>0</v>
      </c>
      <c r="Z2370" s="2">
        <v>0</v>
      </c>
      <c r="AA2370" s="4">
        <v>0</v>
      </c>
      <c r="AB2370" s="4">
        <f t="shared" si="345"/>
        <v>97335.148514851491</v>
      </c>
      <c r="AC2370" s="6">
        <f t="shared" si="346"/>
        <v>973.3514851485088</v>
      </c>
      <c r="AD2370" s="13">
        <f t="shared" si="350"/>
        <v>98308.5</v>
      </c>
      <c r="AE2370" s="2">
        <v>0.09</v>
      </c>
      <c r="AF2370" s="5">
        <f t="shared" si="347"/>
        <v>8847.7649999999994</v>
      </c>
      <c r="AG2370" s="2">
        <v>0</v>
      </c>
      <c r="AH2370" s="5">
        <f t="shared" si="351"/>
        <v>98308.5</v>
      </c>
      <c r="AJ2370" s="126" t="e">
        <v>#N/A</v>
      </c>
      <c r="AK2370" s="80">
        <f t="shared" si="348"/>
        <v>0</v>
      </c>
      <c r="AM2370" s="85"/>
    </row>
    <row r="2371" spans="1:39" hidden="1" x14ac:dyDescent="0.3">
      <c r="A2371" s="85" t="s">
        <v>34</v>
      </c>
      <c r="B2371" s="3" t="s">
        <v>35</v>
      </c>
      <c r="C2371" s="3" t="s">
        <v>65</v>
      </c>
      <c r="D2371" s="3" t="s">
        <v>122</v>
      </c>
      <c r="E2371" s="3" t="s">
        <v>2856</v>
      </c>
      <c r="F2371" s="3" t="s">
        <v>2856</v>
      </c>
      <c r="G2371" s="3" t="s">
        <v>2856</v>
      </c>
      <c r="H2371" s="138"/>
      <c r="I2371" s="3" t="s">
        <v>2935</v>
      </c>
      <c r="J2371" s="1" t="s">
        <v>3302</v>
      </c>
      <c r="K2371" s="1" t="s">
        <v>3281</v>
      </c>
      <c r="L2371" s="1" t="s">
        <v>35</v>
      </c>
      <c r="M2371" s="3" t="s">
        <v>2857</v>
      </c>
      <c r="O2371" s="1" t="s">
        <v>410</v>
      </c>
      <c r="P2371" s="1" t="s">
        <v>41</v>
      </c>
      <c r="Q2371" s="2">
        <v>0</v>
      </c>
      <c r="R2371" s="138">
        <v>19802</v>
      </c>
      <c r="S2371" s="3" t="s">
        <v>2971</v>
      </c>
      <c r="T2371" s="4">
        <v>0</v>
      </c>
      <c r="U2371" s="4">
        <v>809.96</v>
      </c>
      <c r="V2371" s="4">
        <v>809.96</v>
      </c>
      <c r="W2371" s="13">
        <f t="shared" si="349"/>
        <v>0</v>
      </c>
      <c r="X2371" s="13">
        <v>0</v>
      </c>
      <c r="Y2371" s="13">
        <f t="shared" ref="Y2371:Y2434" si="353">IF(X2371-AD2371&lt;=0,0,IF(P2371="返现",MAX(X2371-AC2371-AD2371,0),MAX(X2371-AD2371)))</f>
        <v>0</v>
      </c>
      <c r="Z2371" s="2">
        <v>0</v>
      </c>
      <c r="AA2371" s="4">
        <v>0</v>
      </c>
      <c r="AB2371" s="4">
        <f t="shared" ref="AB2371:AB2434" si="354">X2371+AA2371</f>
        <v>0</v>
      </c>
      <c r="AC2371" s="6">
        <f t="shared" ref="AC2371:AC2434" si="355">IF(P2371="返现",X2371*Q2371,V2371-X2371)</f>
        <v>809.96</v>
      </c>
      <c r="AD2371" s="13">
        <f t="shared" si="350"/>
        <v>809.96</v>
      </c>
      <c r="AE2371" s="2">
        <v>0.09</v>
      </c>
      <c r="AF2371" s="5">
        <f t="shared" ref="AF2371:AF2434" si="356">AD2371*AE2371</f>
        <v>72.8964</v>
      </c>
      <c r="AG2371" s="2">
        <v>0</v>
      </c>
      <c r="AH2371" s="5">
        <f t="shared" si="351"/>
        <v>809.96</v>
      </c>
      <c r="AJ2371" s="126" t="e">
        <v>#N/A</v>
      </c>
      <c r="AK2371" s="80">
        <f t="shared" ref="AK2371:AK2434" si="357">X2371+AA2371-AB2371</f>
        <v>0</v>
      </c>
      <c r="AM2371" s="85"/>
    </row>
    <row r="2372" spans="1:39" hidden="1" x14ac:dyDescent="0.3">
      <c r="A2372" s="85" t="s">
        <v>34</v>
      </c>
      <c r="B2372" s="3" t="s">
        <v>35</v>
      </c>
      <c r="C2372" s="3" t="s">
        <v>65</v>
      </c>
      <c r="D2372" s="3" t="s">
        <v>122</v>
      </c>
      <c r="E2372" s="3" t="s">
        <v>2856</v>
      </c>
      <c r="F2372" s="3" t="s">
        <v>2856</v>
      </c>
      <c r="G2372" s="3" t="s">
        <v>2856</v>
      </c>
      <c r="I2372" s="3" t="s">
        <v>2935</v>
      </c>
      <c r="J2372" s="1" t="s">
        <v>3302</v>
      </c>
      <c r="K2372" s="1" t="s">
        <v>3281</v>
      </c>
      <c r="L2372" s="1" t="s">
        <v>35</v>
      </c>
      <c r="M2372" s="3" t="s">
        <v>2857</v>
      </c>
      <c r="O2372" s="1" t="s">
        <v>410</v>
      </c>
      <c r="P2372" s="1" t="s">
        <v>41</v>
      </c>
      <c r="Q2372" s="2">
        <v>0</v>
      </c>
      <c r="R2372" s="138">
        <v>19802</v>
      </c>
      <c r="T2372" s="4">
        <v>49502.000000000029</v>
      </c>
      <c r="U2372" s="4">
        <v>80000</v>
      </c>
      <c r="V2372" s="4">
        <v>94437.03</v>
      </c>
      <c r="W2372" s="13">
        <f t="shared" si="349"/>
        <v>35064.97000000003</v>
      </c>
      <c r="X2372" s="13">
        <f t="shared" si="352"/>
        <v>94437.03</v>
      </c>
      <c r="Y2372" s="13">
        <f t="shared" si="353"/>
        <v>0</v>
      </c>
      <c r="Z2372" s="2">
        <v>0</v>
      </c>
      <c r="AA2372" s="4">
        <v>0</v>
      </c>
      <c r="AB2372" s="4">
        <f t="shared" si="354"/>
        <v>94437.03</v>
      </c>
      <c r="AC2372" s="6">
        <f t="shared" si="355"/>
        <v>0</v>
      </c>
      <c r="AD2372" s="13">
        <f t="shared" si="350"/>
        <v>94437.03</v>
      </c>
      <c r="AE2372" s="2">
        <v>0.09</v>
      </c>
      <c r="AF2372" s="5">
        <f t="shared" si="356"/>
        <v>8499.332699999999</v>
      </c>
      <c r="AG2372" s="2">
        <v>0</v>
      </c>
      <c r="AH2372" s="5">
        <f t="shared" si="351"/>
        <v>94437.03</v>
      </c>
      <c r="AJ2372" s="126" t="e">
        <v>#N/A</v>
      </c>
      <c r="AK2372" s="80">
        <f t="shared" si="357"/>
        <v>0</v>
      </c>
      <c r="AM2372" s="85"/>
    </row>
    <row r="2373" spans="1:39" hidden="1" x14ac:dyDescent="0.3">
      <c r="A2373" s="85" t="s">
        <v>34</v>
      </c>
      <c r="B2373" s="3" t="s">
        <v>35</v>
      </c>
      <c r="C2373" s="3" t="s">
        <v>65</v>
      </c>
      <c r="D2373" s="3" t="s">
        <v>1291</v>
      </c>
      <c r="E2373" s="3" t="s">
        <v>2972</v>
      </c>
      <c r="F2373" s="3" t="s">
        <v>2972</v>
      </c>
      <c r="G2373" s="3" t="s">
        <v>2972</v>
      </c>
      <c r="I2373" s="3" t="s">
        <v>2935</v>
      </c>
      <c r="J2373" s="1" t="s">
        <v>3302</v>
      </c>
      <c r="K2373" s="1" t="s">
        <v>3281</v>
      </c>
      <c r="L2373" s="1" t="s">
        <v>35</v>
      </c>
      <c r="M2373" s="3" t="s">
        <v>2972</v>
      </c>
      <c r="O2373" s="1" t="s">
        <v>410</v>
      </c>
      <c r="P2373" s="1" t="s">
        <v>41</v>
      </c>
      <c r="Q2373" s="2">
        <v>0</v>
      </c>
      <c r="R2373" s="138">
        <v>244382</v>
      </c>
      <c r="T2373" s="4">
        <v>0</v>
      </c>
      <c r="U2373" s="4">
        <v>10000</v>
      </c>
      <c r="V2373" s="4">
        <v>3502</v>
      </c>
      <c r="W2373" s="13">
        <f t="shared" si="349"/>
        <v>6498</v>
      </c>
      <c r="X2373" s="13">
        <f t="shared" si="352"/>
        <v>3502</v>
      </c>
      <c r="Y2373" s="13">
        <f t="shared" si="353"/>
        <v>0</v>
      </c>
      <c r="Z2373" s="2">
        <v>0</v>
      </c>
      <c r="AA2373" s="4">
        <v>0</v>
      </c>
      <c r="AB2373" s="4">
        <f t="shared" si="354"/>
        <v>3502</v>
      </c>
      <c r="AC2373" s="6">
        <f t="shared" si="355"/>
        <v>0</v>
      </c>
      <c r="AD2373" s="13">
        <f t="shared" si="350"/>
        <v>3502</v>
      </c>
      <c r="AE2373" s="2">
        <v>0.09</v>
      </c>
      <c r="AF2373" s="5">
        <f t="shared" si="356"/>
        <v>315.18</v>
      </c>
      <c r="AG2373" s="2">
        <v>0</v>
      </c>
      <c r="AH2373" s="5">
        <f t="shared" si="351"/>
        <v>3502</v>
      </c>
      <c r="AJ2373" s="126" t="e">
        <v>#N/A</v>
      </c>
      <c r="AK2373" s="80">
        <f t="shared" si="357"/>
        <v>0</v>
      </c>
      <c r="AM2373" s="85"/>
    </row>
    <row r="2374" spans="1:39" hidden="1" x14ac:dyDescent="0.3">
      <c r="A2374" s="85" t="s">
        <v>34</v>
      </c>
      <c r="B2374" s="3" t="s">
        <v>35</v>
      </c>
      <c r="C2374" s="3" t="s">
        <v>65</v>
      </c>
      <c r="D2374" s="3" t="s">
        <v>1291</v>
      </c>
      <c r="E2374" s="3" t="s">
        <v>2973</v>
      </c>
      <c r="F2374" s="3" t="s">
        <v>2973</v>
      </c>
      <c r="G2374" s="3" t="s">
        <v>2973</v>
      </c>
      <c r="H2374" s="138"/>
      <c r="I2374" s="3" t="s">
        <v>2935</v>
      </c>
      <c r="J2374" s="1" t="s">
        <v>3302</v>
      </c>
      <c r="K2374" s="1" t="s">
        <v>3281</v>
      </c>
      <c r="L2374" s="1" t="s">
        <v>35</v>
      </c>
      <c r="M2374" s="3" t="s">
        <v>2973</v>
      </c>
      <c r="O2374" s="1" t="s">
        <v>410</v>
      </c>
      <c r="P2374" s="1" t="s">
        <v>41</v>
      </c>
      <c r="Q2374" s="2">
        <v>0</v>
      </c>
      <c r="R2374" s="138">
        <v>246412</v>
      </c>
      <c r="T2374" s="4">
        <v>0</v>
      </c>
      <c r="U2374" s="4">
        <v>20000</v>
      </c>
      <c r="V2374" s="4">
        <v>5400.5</v>
      </c>
      <c r="W2374" s="13">
        <f t="shared" si="349"/>
        <v>14599.5</v>
      </c>
      <c r="X2374" s="13">
        <f t="shared" si="352"/>
        <v>5400.5</v>
      </c>
      <c r="Y2374" s="13">
        <f t="shared" si="353"/>
        <v>0</v>
      </c>
      <c r="Z2374" s="2">
        <v>0</v>
      </c>
      <c r="AA2374" s="4">
        <v>0</v>
      </c>
      <c r="AB2374" s="4"/>
      <c r="AC2374" s="6">
        <f t="shared" si="355"/>
        <v>0</v>
      </c>
      <c r="AD2374" s="13">
        <f t="shared" si="350"/>
        <v>5400.5</v>
      </c>
      <c r="AE2374" s="2">
        <v>0.09</v>
      </c>
      <c r="AF2374" s="5">
        <f t="shared" si="356"/>
        <v>486.04499999999996</v>
      </c>
      <c r="AG2374" s="2">
        <v>0</v>
      </c>
      <c r="AH2374" s="5">
        <f t="shared" si="351"/>
        <v>5400.5</v>
      </c>
      <c r="AJ2374" s="126">
        <v>119</v>
      </c>
      <c r="AK2374" s="80">
        <f t="shared" si="357"/>
        <v>5400.5</v>
      </c>
      <c r="AM2374" s="85"/>
    </row>
    <row r="2375" spans="1:39" hidden="1" x14ac:dyDescent="0.3">
      <c r="A2375" s="85" t="s">
        <v>34</v>
      </c>
      <c r="B2375" s="3" t="s">
        <v>35</v>
      </c>
      <c r="C2375" s="3" t="s">
        <v>47</v>
      </c>
      <c r="D2375" s="3" t="s">
        <v>63</v>
      </c>
      <c r="E2375" s="3" t="s">
        <v>2772</v>
      </c>
      <c r="F2375" s="3" t="s">
        <v>2772</v>
      </c>
      <c r="G2375" s="3" t="s">
        <v>2772</v>
      </c>
      <c r="I2375" s="3" t="s">
        <v>2935</v>
      </c>
      <c r="J2375" s="1" t="s">
        <v>3302</v>
      </c>
      <c r="K2375" s="1" t="s">
        <v>3281</v>
      </c>
      <c r="L2375" s="1" t="s">
        <v>35</v>
      </c>
      <c r="M2375" s="3" t="s">
        <v>2974</v>
      </c>
      <c r="O2375" s="1" t="s">
        <v>410</v>
      </c>
      <c r="P2375" s="1" t="s">
        <v>41</v>
      </c>
      <c r="Q2375" s="2">
        <v>0</v>
      </c>
      <c r="R2375" s="138">
        <v>40472</v>
      </c>
      <c r="T2375" s="4">
        <v>339684.73999999982</v>
      </c>
      <c r="U2375" s="4">
        <v>500000</v>
      </c>
      <c r="V2375" s="4">
        <v>249830.53</v>
      </c>
      <c r="W2375" s="13">
        <f t="shared" si="349"/>
        <v>589854.20999999973</v>
      </c>
      <c r="X2375" s="13">
        <f t="shared" si="352"/>
        <v>249830.53</v>
      </c>
      <c r="Y2375" s="13">
        <f t="shared" si="353"/>
        <v>0</v>
      </c>
      <c r="Z2375" s="2">
        <v>0</v>
      </c>
      <c r="AA2375" s="4">
        <v>0</v>
      </c>
      <c r="AB2375" s="4">
        <f t="shared" si="354"/>
        <v>249830.53</v>
      </c>
      <c r="AC2375" s="6">
        <f t="shared" si="355"/>
        <v>0</v>
      </c>
      <c r="AD2375" s="13">
        <f t="shared" si="350"/>
        <v>249830.53</v>
      </c>
      <c r="AE2375" s="2">
        <v>0.09</v>
      </c>
      <c r="AF2375" s="5">
        <f t="shared" si="356"/>
        <v>22484.7477</v>
      </c>
      <c r="AG2375" s="2">
        <v>0</v>
      </c>
      <c r="AH2375" s="5">
        <f t="shared" si="351"/>
        <v>249830.53</v>
      </c>
      <c r="AJ2375" s="126" t="e">
        <v>#N/A</v>
      </c>
      <c r="AK2375" s="80">
        <f t="shared" si="357"/>
        <v>0</v>
      </c>
      <c r="AM2375" s="85"/>
    </row>
    <row r="2376" spans="1:39" hidden="1" x14ac:dyDescent="0.3">
      <c r="A2376" s="85" t="s">
        <v>34</v>
      </c>
      <c r="B2376" s="3" t="s">
        <v>35</v>
      </c>
      <c r="C2376" s="3" t="s">
        <v>47</v>
      </c>
      <c r="D2376" s="3" t="s">
        <v>63</v>
      </c>
      <c r="E2376" s="3" t="s">
        <v>528</v>
      </c>
      <c r="F2376" s="3" t="s">
        <v>528</v>
      </c>
      <c r="G2376" s="3" t="s">
        <v>528</v>
      </c>
      <c r="I2376" s="3" t="s">
        <v>2935</v>
      </c>
      <c r="J2376" s="1" t="s">
        <v>3302</v>
      </c>
      <c r="K2376" s="1" t="s">
        <v>3281</v>
      </c>
      <c r="L2376" s="1" t="s">
        <v>35</v>
      </c>
      <c r="M2376" s="3" t="s">
        <v>2391</v>
      </c>
      <c r="O2376" s="1" t="s">
        <v>410</v>
      </c>
      <c r="P2376" s="1" t="s">
        <v>46</v>
      </c>
      <c r="Q2376" s="2">
        <v>1.4999999999999999E-2</v>
      </c>
      <c r="R2376" s="138">
        <v>2252</v>
      </c>
      <c r="T2376" s="4">
        <v>0</v>
      </c>
      <c r="U2376" s="4">
        <v>609000</v>
      </c>
      <c r="V2376" s="4">
        <v>417388.49000000017</v>
      </c>
      <c r="W2376" s="13">
        <f t="shared" si="349"/>
        <v>191611.50999999983</v>
      </c>
      <c r="X2376" s="13">
        <f t="shared" si="352"/>
        <v>411220.18719211844</v>
      </c>
      <c r="Y2376" s="13">
        <f t="shared" si="353"/>
        <v>0</v>
      </c>
      <c r="Z2376" s="2">
        <v>0</v>
      </c>
      <c r="AA2376" s="4">
        <v>0</v>
      </c>
      <c r="AB2376" s="4">
        <f t="shared" si="354"/>
        <v>411220.18719211844</v>
      </c>
      <c r="AC2376" s="6">
        <f t="shared" si="355"/>
        <v>6168.3028078817297</v>
      </c>
      <c r="AD2376" s="13">
        <f t="shared" si="350"/>
        <v>417388.49000000017</v>
      </c>
      <c r="AE2376" s="2">
        <v>0.09</v>
      </c>
      <c r="AF2376" s="5">
        <f t="shared" si="356"/>
        <v>37564.964100000012</v>
      </c>
      <c r="AG2376" s="2">
        <v>0</v>
      </c>
      <c r="AH2376" s="5">
        <f t="shared" si="351"/>
        <v>417388.49000000017</v>
      </c>
      <c r="AJ2376" s="126" t="e">
        <v>#N/A</v>
      </c>
      <c r="AK2376" s="80">
        <f t="shared" si="357"/>
        <v>0</v>
      </c>
      <c r="AM2376" s="85"/>
    </row>
    <row r="2377" spans="1:39" hidden="1" x14ac:dyDescent="0.3">
      <c r="A2377" s="85" t="s">
        <v>34</v>
      </c>
      <c r="B2377" s="3" t="s">
        <v>35</v>
      </c>
      <c r="C2377" s="3" t="s">
        <v>47</v>
      </c>
      <c r="D2377" s="3" t="s">
        <v>63</v>
      </c>
      <c r="E2377" s="3" t="s">
        <v>528</v>
      </c>
      <c r="F2377" s="3" t="s">
        <v>528</v>
      </c>
      <c r="G2377" s="3" t="s">
        <v>528</v>
      </c>
      <c r="I2377" s="3" t="s">
        <v>2935</v>
      </c>
      <c r="J2377" s="1" t="s">
        <v>3302</v>
      </c>
      <c r="K2377" s="1" t="s">
        <v>3281</v>
      </c>
      <c r="L2377" s="1" t="s">
        <v>35</v>
      </c>
      <c r="M2377" s="3" t="s">
        <v>2391</v>
      </c>
      <c r="O2377" s="1" t="s">
        <v>410</v>
      </c>
      <c r="P2377" s="1" t="s">
        <v>46</v>
      </c>
      <c r="Q2377" s="2">
        <v>0.02</v>
      </c>
      <c r="R2377" s="138">
        <v>2252</v>
      </c>
      <c r="T2377" s="4">
        <v>57571.729999999807</v>
      </c>
      <c r="U2377" s="4">
        <v>2000</v>
      </c>
      <c r="V2377" s="4">
        <v>59571.729999999807</v>
      </c>
      <c r="W2377" s="13">
        <f t="shared" si="349"/>
        <v>0</v>
      </c>
      <c r="X2377" s="13">
        <f t="shared" si="352"/>
        <v>58403.656862744909</v>
      </c>
      <c r="Y2377" s="13">
        <f t="shared" si="353"/>
        <v>0</v>
      </c>
      <c r="Z2377" s="2">
        <v>0</v>
      </c>
      <c r="AA2377" s="4">
        <v>0</v>
      </c>
      <c r="AB2377" s="4">
        <f t="shared" si="354"/>
        <v>58403.656862744909</v>
      </c>
      <c r="AC2377" s="6">
        <f t="shared" si="355"/>
        <v>1168.073137254898</v>
      </c>
      <c r="AD2377" s="13">
        <f t="shared" si="350"/>
        <v>59571.729999999807</v>
      </c>
      <c r="AE2377" s="2">
        <v>0.09</v>
      </c>
      <c r="AF2377" s="5">
        <f t="shared" si="356"/>
        <v>5361.4556999999822</v>
      </c>
      <c r="AG2377" s="2">
        <v>0</v>
      </c>
      <c r="AH2377" s="5">
        <f t="shared" si="351"/>
        <v>59571.729999999807</v>
      </c>
      <c r="AJ2377" s="126" t="e">
        <v>#N/A</v>
      </c>
      <c r="AK2377" s="80">
        <f t="shared" si="357"/>
        <v>0</v>
      </c>
      <c r="AM2377" s="85"/>
    </row>
    <row r="2378" spans="1:39" hidden="1" x14ac:dyDescent="0.3">
      <c r="A2378" s="85" t="s">
        <v>34</v>
      </c>
      <c r="B2378" s="3" t="s">
        <v>35</v>
      </c>
      <c r="C2378" s="3" t="s">
        <v>47</v>
      </c>
      <c r="D2378" s="3" t="s">
        <v>63</v>
      </c>
      <c r="E2378" s="3" t="s">
        <v>528</v>
      </c>
      <c r="F2378" s="3" t="s">
        <v>528</v>
      </c>
      <c r="G2378" s="3" t="s">
        <v>528</v>
      </c>
      <c r="I2378" s="3" t="s">
        <v>2935</v>
      </c>
      <c r="J2378" s="1" t="s">
        <v>3302</v>
      </c>
      <c r="K2378" s="1" t="s">
        <v>3281</v>
      </c>
      <c r="L2378" s="1" t="s">
        <v>35</v>
      </c>
      <c r="M2378" s="3" t="s">
        <v>2975</v>
      </c>
      <c r="O2378" s="1" t="s">
        <v>410</v>
      </c>
      <c r="P2378" s="1" t="s">
        <v>46</v>
      </c>
      <c r="Q2378" s="2">
        <v>1.4999999999999999E-2</v>
      </c>
      <c r="R2378" s="138">
        <v>72892</v>
      </c>
      <c r="T2378" s="4">
        <v>0</v>
      </c>
      <c r="U2378" s="4">
        <v>812000</v>
      </c>
      <c r="V2378" s="4">
        <v>626788.83000000007</v>
      </c>
      <c r="W2378" s="13">
        <f t="shared" si="349"/>
        <v>185211.16999999993</v>
      </c>
      <c r="X2378" s="13">
        <f t="shared" si="352"/>
        <v>617525.94088669959</v>
      </c>
      <c r="Y2378" s="13">
        <f t="shared" si="353"/>
        <v>0</v>
      </c>
      <c r="Z2378" s="2">
        <v>0</v>
      </c>
      <c r="AA2378" s="4">
        <v>0</v>
      </c>
      <c r="AB2378" s="4">
        <f t="shared" si="354"/>
        <v>617525.94088669959</v>
      </c>
      <c r="AC2378" s="6">
        <f t="shared" si="355"/>
        <v>9262.8891133004799</v>
      </c>
      <c r="AD2378" s="13">
        <f t="shared" si="350"/>
        <v>626788.83000000007</v>
      </c>
      <c r="AE2378" s="2">
        <v>0.09</v>
      </c>
      <c r="AF2378" s="5">
        <f t="shared" si="356"/>
        <v>56410.994700000003</v>
      </c>
      <c r="AG2378" s="2">
        <v>0</v>
      </c>
      <c r="AH2378" s="5">
        <f t="shared" si="351"/>
        <v>626788.83000000007</v>
      </c>
      <c r="AJ2378" s="126" t="e">
        <v>#N/A</v>
      </c>
      <c r="AK2378" s="80">
        <f t="shared" si="357"/>
        <v>0</v>
      </c>
      <c r="AM2378" s="85"/>
    </row>
    <row r="2379" spans="1:39" hidden="1" x14ac:dyDescent="0.3">
      <c r="A2379" s="85" t="s">
        <v>34</v>
      </c>
      <c r="B2379" s="3" t="s">
        <v>35</v>
      </c>
      <c r="C2379" s="3" t="s">
        <v>47</v>
      </c>
      <c r="D2379" s="3" t="s">
        <v>63</v>
      </c>
      <c r="E2379" s="3" t="s">
        <v>528</v>
      </c>
      <c r="F2379" s="3" t="s">
        <v>528</v>
      </c>
      <c r="G2379" s="3" t="s">
        <v>528</v>
      </c>
      <c r="I2379" s="3" t="s">
        <v>2935</v>
      </c>
      <c r="J2379" s="1" t="s">
        <v>3302</v>
      </c>
      <c r="K2379" s="1" t="s">
        <v>3281</v>
      </c>
      <c r="L2379" s="1" t="s">
        <v>35</v>
      </c>
      <c r="M2379" s="3" t="s">
        <v>2975</v>
      </c>
      <c r="O2379" s="1" t="s">
        <v>410</v>
      </c>
      <c r="P2379" s="1" t="s">
        <v>46</v>
      </c>
      <c r="Q2379" s="2">
        <v>0.02</v>
      </c>
      <c r="R2379" s="138">
        <v>72892</v>
      </c>
      <c r="T2379" s="4">
        <v>112333.42999999993</v>
      </c>
      <c r="U2379" s="4">
        <v>2000</v>
      </c>
      <c r="V2379" s="4">
        <v>114333.42999999993</v>
      </c>
      <c r="W2379" s="13">
        <f t="shared" si="349"/>
        <v>0</v>
      </c>
      <c r="X2379" s="13">
        <f t="shared" si="352"/>
        <v>112091.59803921562</v>
      </c>
      <c r="Y2379" s="13">
        <f t="shared" si="353"/>
        <v>0</v>
      </c>
      <c r="Z2379" s="2">
        <v>0</v>
      </c>
      <c r="AA2379" s="4">
        <v>0</v>
      </c>
      <c r="AB2379" s="4">
        <f t="shared" si="354"/>
        <v>112091.59803921562</v>
      </c>
      <c r="AC2379" s="6">
        <f t="shared" si="355"/>
        <v>2241.831960784315</v>
      </c>
      <c r="AD2379" s="13">
        <f t="shared" si="350"/>
        <v>114333.42999999993</v>
      </c>
      <c r="AE2379" s="2">
        <v>0.09</v>
      </c>
      <c r="AF2379" s="5">
        <f t="shared" si="356"/>
        <v>10290.008699999993</v>
      </c>
      <c r="AG2379" s="2">
        <v>0</v>
      </c>
      <c r="AH2379" s="5">
        <f t="shared" si="351"/>
        <v>114333.42999999993</v>
      </c>
      <c r="AJ2379" s="126" t="e">
        <v>#N/A</v>
      </c>
      <c r="AK2379" s="80">
        <f t="shared" si="357"/>
        <v>0</v>
      </c>
      <c r="AM2379" s="85"/>
    </row>
    <row r="2380" spans="1:39" hidden="1" x14ac:dyDescent="0.3">
      <c r="A2380" s="85" t="s">
        <v>34</v>
      </c>
      <c r="B2380" s="3" t="s">
        <v>35</v>
      </c>
      <c r="C2380" s="3" t="s">
        <v>47</v>
      </c>
      <c r="D2380" s="3" t="s">
        <v>63</v>
      </c>
      <c r="E2380" s="3" t="s">
        <v>528</v>
      </c>
      <c r="F2380" s="3" t="s">
        <v>528</v>
      </c>
      <c r="G2380" s="3" t="s">
        <v>528</v>
      </c>
      <c r="I2380" s="3" t="s">
        <v>2935</v>
      </c>
      <c r="J2380" s="1" t="s">
        <v>3302</v>
      </c>
      <c r="K2380" s="1" t="s">
        <v>3281</v>
      </c>
      <c r="L2380" s="1" t="s">
        <v>35</v>
      </c>
      <c r="M2380" s="3" t="s">
        <v>2976</v>
      </c>
      <c r="O2380" s="1" t="s">
        <v>410</v>
      </c>
      <c r="P2380" s="1" t="s">
        <v>46</v>
      </c>
      <c r="Q2380" s="2">
        <v>1.4999999999999999E-2</v>
      </c>
      <c r="R2380" s="138">
        <v>182662</v>
      </c>
      <c r="T2380" s="4">
        <v>0</v>
      </c>
      <c r="U2380" s="4">
        <v>101500</v>
      </c>
      <c r="V2380" s="4">
        <v>76926.920000000013</v>
      </c>
      <c r="W2380" s="13">
        <f t="shared" si="349"/>
        <v>24573.079999999987</v>
      </c>
      <c r="X2380" s="13">
        <f t="shared" si="352"/>
        <v>75790.068965517261</v>
      </c>
      <c r="Y2380" s="13">
        <f t="shared" si="353"/>
        <v>0</v>
      </c>
      <c r="Z2380" s="2">
        <v>0</v>
      </c>
      <c r="AA2380" s="4">
        <v>0</v>
      </c>
      <c r="AB2380" s="4">
        <f t="shared" si="354"/>
        <v>75790.068965517261</v>
      </c>
      <c r="AC2380" s="6">
        <f t="shared" si="355"/>
        <v>1136.8510344827519</v>
      </c>
      <c r="AD2380" s="13">
        <f t="shared" si="350"/>
        <v>76926.920000000013</v>
      </c>
      <c r="AE2380" s="2">
        <v>0.09</v>
      </c>
      <c r="AF2380" s="5">
        <f t="shared" si="356"/>
        <v>6923.4228000000012</v>
      </c>
      <c r="AG2380" s="2">
        <v>0</v>
      </c>
      <c r="AH2380" s="5">
        <f t="shared" si="351"/>
        <v>76926.920000000013</v>
      </c>
      <c r="AJ2380" s="126" t="e">
        <v>#N/A</v>
      </c>
      <c r="AK2380" s="80">
        <f t="shared" si="357"/>
        <v>0</v>
      </c>
      <c r="AM2380" s="85"/>
    </row>
    <row r="2381" spans="1:39" hidden="1" x14ac:dyDescent="0.3">
      <c r="A2381" s="85" t="s">
        <v>34</v>
      </c>
      <c r="B2381" s="3" t="s">
        <v>35</v>
      </c>
      <c r="C2381" s="3" t="s">
        <v>47</v>
      </c>
      <c r="D2381" s="3" t="s">
        <v>63</v>
      </c>
      <c r="E2381" s="3" t="s">
        <v>528</v>
      </c>
      <c r="F2381" s="3" t="s">
        <v>528</v>
      </c>
      <c r="G2381" s="3" t="s">
        <v>528</v>
      </c>
      <c r="I2381" s="3" t="s">
        <v>2935</v>
      </c>
      <c r="J2381" s="1" t="s">
        <v>3302</v>
      </c>
      <c r="K2381" s="1" t="s">
        <v>3281</v>
      </c>
      <c r="L2381" s="1" t="s">
        <v>35</v>
      </c>
      <c r="M2381" s="3" t="s">
        <v>2976</v>
      </c>
      <c r="O2381" s="1" t="s">
        <v>410</v>
      </c>
      <c r="P2381" s="1" t="s">
        <v>46</v>
      </c>
      <c r="Q2381" s="2">
        <v>0.02</v>
      </c>
      <c r="R2381" s="138">
        <v>182662</v>
      </c>
      <c r="T2381" s="4">
        <v>10933.809999999983</v>
      </c>
      <c r="U2381" s="4">
        <v>200</v>
      </c>
      <c r="V2381" s="4">
        <v>11133.809999999983</v>
      </c>
      <c r="W2381" s="13">
        <f t="shared" si="349"/>
        <v>0</v>
      </c>
      <c r="X2381" s="13">
        <f t="shared" si="352"/>
        <v>10915.499999999984</v>
      </c>
      <c r="Y2381" s="13">
        <f t="shared" si="353"/>
        <v>0</v>
      </c>
      <c r="Z2381" s="2">
        <v>0</v>
      </c>
      <c r="AA2381" s="4">
        <v>0</v>
      </c>
      <c r="AB2381" s="4">
        <f t="shared" si="354"/>
        <v>10915.499999999984</v>
      </c>
      <c r="AC2381" s="6">
        <f t="shared" si="355"/>
        <v>218.30999999999949</v>
      </c>
      <c r="AD2381" s="13">
        <f t="shared" si="350"/>
        <v>11133.809999999983</v>
      </c>
      <c r="AE2381" s="2">
        <v>0.09</v>
      </c>
      <c r="AF2381" s="5">
        <f t="shared" si="356"/>
        <v>1002.0428999999984</v>
      </c>
      <c r="AG2381" s="2">
        <v>0</v>
      </c>
      <c r="AH2381" s="5">
        <f t="shared" si="351"/>
        <v>11133.809999999983</v>
      </c>
      <c r="AJ2381" s="126" t="e">
        <v>#N/A</v>
      </c>
      <c r="AK2381" s="80">
        <f t="shared" si="357"/>
        <v>0</v>
      </c>
      <c r="AM2381" s="85"/>
    </row>
    <row r="2382" spans="1:39" hidden="1" x14ac:dyDescent="0.3">
      <c r="A2382" s="85" t="s">
        <v>34</v>
      </c>
      <c r="B2382" s="3" t="s">
        <v>35</v>
      </c>
      <c r="C2382" s="3" t="s">
        <v>47</v>
      </c>
      <c r="D2382" s="3" t="s">
        <v>63</v>
      </c>
      <c r="E2382" s="3" t="s">
        <v>533</v>
      </c>
      <c r="F2382" s="3" t="s">
        <v>533</v>
      </c>
      <c r="G2382" s="3" t="s">
        <v>533</v>
      </c>
      <c r="I2382" s="3" t="s">
        <v>2935</v>
      </c>
      <c r="J2382" s="1" t="s">
        <v>3302</v>
      </c>
      <c r="K2382" s="1" t="s">
        <v>3281</v>
      </c>
      <c r="L2382" s="1" t="s">
        <v>35</v>
      </c>
      <c r="M2382" s="3" t="s">
        <v>533</v>
      </c>
      <c r="O2382" s="1" t="s">
        <v>45</v>
      </c>
      <c r="P2382" s="1" t="s">
        <v>46</v>
      </c>
      <c r="Q2382" s="2">
        <v>0.05</v>
      </c>
      <c r="R2382" s="138">
        <v>58532</v>
      </c>
      <c r="T2382" s="4">
        <v>-493627.99</v>
      </c>
      <c r="U2382" s="4">
        <v>2446.0500000000002</v>
      </c>
      <c r="V2382" s="4">
        <v>32010.11</v>
      </c>
      <c r="W2382" s="13">
        <f t="shared" si="349"/>
        <v>-523192.05</v>
      </c>
      <c r="X2382" s="13">
        <f t="shared" si="352"/>
        <v>30485.819047619047</v>
      </c>
      <c r="Y2382" s="13">
        <f t="shared" si="353"/>
        <v>0</v>
      </c>
      <c r="Z2382" s="2">
        <v>0</v>
      </c>
      <c r="AA2382" s="4">
        <v>0</v>
      </c>
      <c r="AB2382" s="4">
        <f t="shared" si="354"/>
        <v>30485.819047619047</v>
      </c>
      <c r="AC2382" s="6">
        <f t="shared" si="355"/>
        <v>1524.290952380954</v>
      </c>
      <c r="AD2382" s="13">
        <f t="shared" si="350"/>
        <v>32010.11</v>
      </c>
      <c r="AE2382" s="2">
        <v>0.18</v>
      </c>
      <c r="AF2382" s="5">
        <f t="shared" si="356"/>
        <v>5761.8198000000002</v>
      </c>
      <c r="AG2382" s="2">
        <v>0</v>
      </c>
      <c r="AH2382" s="5">
        <f t="shared" si="351"/>
        <v>32010.11</v>
      </c>
      <c r="AJ2382" s="126" t="e">
        <v>#N/A</v>
      </c>
      <c r="AK2382" s="80">
        <f t="shared" si="357"/>
        <v>0</v>
      </c>
      <c r="AM2382" s="85"/>
    </row>
    <row r="2383" spans="1:39" hidden="1" x14ac:dyDescent="0.3">
      <c r="A2383" s="85" t="s">
        <v>34</v>
      </c>
      <c r="B2383" s="3" t="s">
        <v>35</v>
      </c>
      <c r="C2383" s="3" t="s">
        <v>47</v>
      </c>
      <c r="D2383" s="3" t="s">
        <v>63</v>
      </c>
      <c r="E2383" s="3" t="s">
        <v>533</v>
      </c>
      <c r="F2383" s="3" t="s">
        <v>533</v>
      </c>
      <c r="G2383" s="3" t="s">
        <v>533</v>
      </c>
      <c r="I2383" s="3" t="s">
        <v>2935</v>
      </c>
      <c r="J2383" s="1" t="s">
        <v>3302</v>
      </c>
      <c r="K2383" s="1" t="s">
        <v>3281</v>
      </c>
      <c r="L2383" s="1" t="s">
        <v>35</v>
      </c>
      <c r="M2383" s="3" t="s">
        <v>533</v>
      </c>
      <c r="O2383" s="1" t="s">
        <v>410</v>
      </c>
      <c r="P2383" s="1" t="s">
        <v>46</v>
      </c>
      <c r="Q2383" s="2">
        <v>0.02</v>
      </c>
      <c r="R2383" s="138">
        <v>58532</v>
      </c>
      <c r="T2383" s="4">
        <v>493628.00999999989</v>
      </c>
      <c r="U2383" s="4">
        <v>154589.01</v>
      </c>
      <c r="V2383" s="4">
        <v>73951.929999999993</v>
      </c>
      <c r="W2383" s="13">
        <f t="shared" si="349"/>
        <v>574265.08999999985</v>
      </c>
      <c r="X2383" s="13">
        <f t="shared" si="352"/>
        <v>72501.892156862741</v>
      </c>
      <c r="Y2383" s="13">
        <f t="shared" si="353"/>
        <v>0</v>
      </c>
      <c r="Z2383" s="2">
        <v>0</v>
      </c>
      <c r="AA2383" s="4">
        <v>0</v>
      </c>
      <c r="AB2383" s="4">
        <f t="shared" si="354"/>
        <v>72501.892156862741</v>
      </c>
      <c r="AC2383" s="6">
        <f t="shared" si="355"/>
        <v>1450.0378431372519</v>
      </c>
      <c r="AD2383" s="13">
        <f t="shared" si="350"/>
        <v>73951.929999999993</v>
      </c>
      <c r="AE2383" s="2">
        <v>0.09</v>
      </c>
      <c r="AF2383" s="5">
        <f t="shared" si="356"/>
        <v>6655.6736999999994</v>
      </c>
      <c r="AG2383" s="2">
        <v>0</v>
      </c>
      <c r="AH2383" s="5">
        <f t="shared" si="351"/>
        <v>73951.929999999993</v>
      </c>
      <c r="AJ2383" s="126" t="e">
        <v>#N/A</v>
      </c>
      <c r="AK2383" s="80">
        <f t="shared" si="357"/>
        <v>0</v>
      </c>
      <c r="AM2383" s="85"/>
    </row>
    <row r="2384" spans="1:39" hidden="1" x14ac:dyDescent="0.3">
      <c r="A2384" s="85" t="s">
        <v>34</v>
      </c>
      <c r="B2384" s="3" t="s">
        <v>35</v>
      </c>
      <c r="C2384" s="3" t="s">
        <v>47</v>
      </c>
      <c r="D2384" s="3" t="s">
        <v>63</v>
      </c>
      <c r="E2384" s="3" t="s">
        <v>2480</v>
      </c>
      <c r="F2384" s="3" t="s">
        <v>2480</v>
      </c>
      <c r="G2384" s="3" t="s">
        <v>2480</v>
      </c>
      <c r="I2384" s="3" t="s">
        <v>2935</v>
      </c>
      <c r="J2384" s="1" t="s">
        <v>3302</v>
      </c>
      <c r="K2384" s="1" t="s">
        <v>3281</v>
      </c>
      <c r="L2384" s="1" t="s">
        <v>35</v>
      </c>
      <c r="M2384" s="3" t="s">
        <v>2480</v>
      </c>
      <c r="O2384" s="1" t="s">
        <v>410</v>
      </c>
      <c r="P2384" s="1" t="s">
        <v>41</v>
      </c>
      <c r="Q2384" s="2">
        <v>0</v>
      </c>
      <c r="R2384" s="138">
        <v>26532</v>
      </c>
      <c r="T2384" s="4">
        <v>104108.56999999989</v>
      </c>
      <c r="U2384" s="4">
        <v>50000</v>
      </c>
      <c r="V2384" s="4">
        <v>104967.89</v>
      </c>
      <c r="W2384" s="13">
        <f t="shared" si="349"/>
        <v>49140.679999999891</v>
      </c>
      <c r="X2384" s="13">
        <f t="shared" si="352"/>
        <v>104967.89</v>
      </c>
      <c r="Y2384" s="13">
        <f t="shared" si="353"/>
        <v>0</v>
      </c>
      <c r="Z2384" s="2">
        <v>0</v>
      </c>
      <c r="AA2384" s="4">
        <v>0</v>
      </c>
      <c r="AB2384" s="4">
        <f t="shared" si="354"/>
        <v>104967.89</v>
      </c>
      <c r="AC2384" s="6">
        <f t="shared" si="355"/>
        <v>0</v>
      </c>
      <c r="AD2384" s="13">
        <f t="shared" si="350"/>
        <v>104967.89</v>
      </c>
      <c r="AE2384" s="2">
        <v>0.09</v>
      </c>
      <c r="AF2384" s="5">
        <f t="shared" si="356"/>
        <v>9447.1100999999999</v>
      </c>
      <c r="AG2384" s="2">
        <v>0</v>
      </c>
      <c r="AH2384" s="5">
        <f t="shared" si="351"/>
        <v>104967.89</v>
      </c>
      <c r="AJ2384" s="126" t="e">
        <v>#N/A</v>
      </c>
      <c r="AK2384" s="80">
        <f t="shared" si="357"/>
        <v>0</v>
      </c>
      <c r="AM2384" s="85"/>
    </row>
    <row r="2385" spans="1:39" hidden="1" x14ac:dyDescent="0.3">
      <c r="A2385" s="85" t="s">
        <v>34</v>
      </c>
      <c r="B2385" s="3" t="s">
        <v>35</v>
      </c>
      <c r="C2385" s="3" t="s">
        <v>47</v>
      </c>
      <c r="D2385" s="3" t="s">
        <v>63</v>
      </c>
      <c r="E2385" s="3" t="s">
        <v>2977</v>
      </c>
      <c r="F2385" s="3" t="s">
        <v>2977</v>
      </c>
      <c r="G2385" s="3" t="s">
        <v>2977</v>
      </c>
      <c r="I2385" s="3" t="s">
        <v>2935</v>
      </c>
      <c r="J2385" s="1" t="s">
        <v>3302</v>
      </c>
      <c r="K2385" s="1" t="s">
        <v>3281</v>
      </c>
      <c r="L2385" s="1" t="s">
        <v>35</v>
      </c>
      <c r="M2385" s="3" t="s">
        <v>2977</v>
      </c>
      <c r="O2385" s="1" t="s">
        <v>410</v>
      </c>
      <c r="P2385" s="1" t="s">
        <v>46</v>
      </c>
      <c r="Q2385" s="2">
        <v>0.02</v>
      </c>
      <c r="R2385" s="138">
        <v>114262</v>
      </c>
      <c r="T2385" s="4">
        <v>0</v>
      </c>
      <c r="U2385" s="4">
        <v>30000</v>
      </c>
      <c r="V2385" s="4">
        <v>24000</v>
      </c>
      <c r="W2385" s="13">
        <f t="shared" si="349"/>
        <v>6000</v>
      </c>
      <c r="X2385" s="13">
        <f t="shared" si="352"/>
        <v>23529.411764705881</v>
      </c>
      <c r="Y2385" s="13">
        <f t="shared" si="353"/>
        <v>0</v>
      </c>
      <c r="Z2385" s="2">
        <v>0</v>
      </c>
      <c r="AA2385" s="4">
        <v>0</v>
      </c>
      <c r="AB2385" s="4">
        <f t="shared" si="354"/>
        <v>23529.411764705881</v>
      </c>
      <c r="AC2385" s="6">
        <f t="shared" si="355"/>
        <v>470.58823529411893</v>
      </c>
      <c r="AD2385" s="13">
        <f t="shared" si="350"/>
        <v>24000</v>
      </c>
      <c r="AE2385" s="2">
        <v>0.09</v>
      </c>
      <c r="AF2385" s="5">
        <f t="shared" si="356"/>
        <v>2160</v>
      </c>
      <c r="AG2385" s="2">
        <v>0</v>
      </c>
      <c r="AH2385" s="5">
        <f t="shared" si="351"/>
        <v>24000</v>
      </c>
      <c r="AJ2385" s="126" t="e">
        <v>#N/A</v>
      </c>
      <c r="AK2385" s="80">
        <f t="shared" si="357"/>
        <v>0</v>
      </c>
      <c r="AM2385" s="85"/>
    </row>
    <row r="2386" spans="1:39" hidden="1" x14ac:dyDescent="0.3">
      <c r="A2386" s="85" t="s">
        <v>34</v>
      </c>
      <c r="B2386" s="3" t="s">
        <v>35</v>
      </c>
      <c r="C2386" s="3" t="s">
        <v>47</v>
      </c>
      <c r="D2386" s="3" t="s">
        <v>63</v>
      </c>
      <c r="E2386" s="3" t="s">
        <v>1334</v>
      </c>
      <c r="F2386" s="3" t="s">
        <v>1334</v>
      </c>
      <c r="G2386" s="3" t="s">
        <v>1334</v>
      </c>
      <c r="I2386" s="3" t="s">
        <v>2935</v>
      </c>
      <c r="J2386" s="1" t="s">
        <v>3302</v>
      </c>
      <c r="K2386" s="1" t="s">
        <v>3281</v>
      </c>
      <c r="L2386" s="1" t="s">
        <v>35</v>
      </c>
      <c r="M2386" s="3" t="s">
        <v>1334</v>
      </c>
      <c r="O2386" s="1" t="s">
        <v>410</v>
      </c>
      <c r="P2386" s="1" t="s">
        <v>41</v>
      </c>
      <c r="Q2386" s="2">
        <v>0</v>
      </c>
      <c r="R2386" s="138">
        <v>80182</v>
      </c>
      <c r="T2386" s="4">
        <v>20000</v>
      </c>
      <c r="U2386" s="4">
        <v>20000</v>
      </c>
      <c r="V2386" s="4">
        <v>28559.609999999975</v>
      </c>
      <c r="W2386" s="13">
        <f t="shared" si="349"/>
        <v>11440.390000000025</v>
      </c>
      <c r="X2386" s="13">
        <f t="shared" si="352"/>
        <v>28559.609999999975</v>
      </c>
      <c r="Y2386" s="13">
        <f t="shared" si="353"/>
        <v>0</v>
      </c>
      <c r="Z2386" s="2">
        <v>0</v>
      </c>
      <c r="AA2386" s="4">
        <v>0</v>
      </c>
      <c r="AB2386" s="4">
        <f t="shared" si="354"/>
        <v>28559.609999999975</v>
      </c>
      <c r="AC2386" s="6">
        <f t="shared" si="355"/>
        <v>0</v>
      </c>
      <c r="AD2386" s="13">
        <f t="shared" si="350"/>
        <v>28559.609999999975</v>
      </c>
      <c r="AE2386" s="2">
        <v>0.09</v>
      </c>
      <c r="AF2386" s="5">
        <f t="shared" si="356"/>
        <v>2570.3648999999978</v>
      </c>
      <c r="AG2386" s="2">
        <v>0</v>
      </c>
      <c r="AH2386" s="5">
        <f t="shared" si="351"/>
        <v>28559.609999999975</v>
      </c>
      <c r="AJ2386" s="126" t="e">
        <v>#N/A</v>
      </c>
      <c r="AK2386" s="80">
        <f t="shared" si="357"/>
        <v>0</v>
      </c>
      <c r="AM2386" s="85"/>
    </row>
    <row r="2387" spans="1:39" hidden="1" x14ac:dyDescent="0.3">
      <c r="A2387" s="85" t="s">
        <v>34</v>
      </c>
      <c r="B2387" s="3" t="s">
        <v>35</v>
      </c>
      <c r="C2387" s="3" t="s">
        <v>47</v>
      </c>
      <c r="D2387" s="3" t="s">
        <v>63</v>
      </c>
      <c r="E2387" s="3" t="s">
        <v>2957</v>
      </c>
      <c r="F2387" s="3" t="s">
        <v>2978</v>
      </c>
      <c r="G2387" s="3" t="s">
        <v>2957</v>
      </c>
      <c r="I2387" s="3" t="s">
        <v>2935</v>
      </c>
      <c r="J2387" s="1" t="s">
        <v>3302</v>
      </c>
      <c r="K2387" s="1" t="s">
        <v>3281</v>
      </c>
      <c r="L2387" s="1" t="s">
        <v>35</v>
      </c>
      <c r="M2387" s="3" t="s">
        <v>2979</v>
      </c>
      <c r="O2387" s="1" t="s">
        <v>410</v>
      </c>
      <c r="P2387" s="1" t="s">
        <v>46</v>
      </c>
      <c r="Q2387" s="2">
        <v>0.02</v>
      </c>
      <c r="R2387" s="138">
        <v>19992</v>
      </c>
      <c r="T2387" s="4">
        <v>0</v>
      </c>
      <c r="U2387" s="4">
        <v>1122000</v>
      </c>
      <c r="V2387" s="4">
        <v>817812.08000000007</v>
      </c>
      <c r="W2387" s="13">
        <f t="shared" si="349"/>
        <v>304187.91999999993</v>
      </c>
      <c r="X2387" s="13">
        <f t="shared" si="352"/>
        <v>801776.54901960795</v>
      </c>
      <c r="Y2387" s="13">
        <f t="shared" si="353"/>
        <v>0</v>
      </c>
      <c r="Z2387" s="2">
        <v>0</v>
      </c>
      <c r="AA2387" s="4">
        <v>0</v>
      </c>
      <c r="AB2387" s="4">
        <f t="shared" si="354"/>
        <v>801776.54901960795</v>
      </c>
      <c r="AC2387" s="6">
        <f t="shared" si="355"/>
        <v>16035.530980392126</v>
      </c>
      <c r="AD2387" s="13">
        <f t="shared" si="350"/>
        <v>817812.08000000007</v>
      </c>
      <c r="AE2387" s="2">
        <v>0.09</v>
      </c>
      <c r="AF2387" s="5">
        <f t="shared" si="356"/>
        <v>73603.087200000009</v>
      </c>
      <c r="AG2387" s="2">
        <v>0</v>
      </c>
      <c r="AH2387" s="5">
        <f t="shared" si="351"/>
        <v>817812.08000000007</v>
      </c>
      <c r="AJ2387" s="126" t="e">
        <v>#N/A</v>
      </c>
      <c r="AK2387" s="80">
        <f t="shared" si="357"/>
        <v>0</v>
      </c>
      <c r="AM2387" s="85"/>
    </row>
    <row r="2388" spans="1:39" hidden="1" x14ac:dyDescent="0.3">
      <c r="A2388" s="85" t="s">
        <v>34</v>
      </c>
      <c r="B2388" s="3" t="s">
        <v>35</v>
      </c>
      <c r="C2388" s="3" t="s">
        <v>47</v>
      </c>
      <c r="D2388" s="3" t="s">
        <v>48</v>
      </c>
      <c r="E2388" s="3" t="s">
        <v>2279</v>
      </c>
      <c r="F2388" s="3" t="s">
        <v>2980</v>
      </c>
      <c r="G2388" s="3" t="s">
        <v>2279</v>
      </c>
      <c r="I2388" s="3" t="s">
        <v>2935</v>
      </c>
      <c r="J2388" s="1" t="s">
        <v>3302</v>
      </c>
      <c r="K2388" s="1" t="s">
        <v>3281</v>
      </c>
      <c r="L2388" s="1" t="s">
        <v>35</v>
      </c>
      <c r="M2388" s="3" t="s">
        <v>2279</v>
      </c>
      <c r="O2388" s="1" t="s">
        <v>410</v>
      </c>
      <c r="P2388" s="1" t="s">
        <v>46</v>
      </c>
      <c r="Q2388" s="2">
        <v>0.02</v>
      </c>
      <c r="R2388" s="138">
        <v>208532</v>
      </c>
      <c r="T2388" s="4">
        <v>527010.28</v>
      </c>
      <c r="U2388" s="4">
        <v>600000</v>
      </c>
      <c r="V2388" s="4">
        <v>434841.38</v>
      </c>
      <c r="W2388" s="13">
        <f t="shared" ref="W2388:W2451" si="358">T2388+U2388-V2388</f>
        <v>692168.9</v>
      </c>
      <c r="X2388" s="13">
        <f t="shared" si="352"/>
        <v>426315.07843137253</v>
      </c>
      <c r="Y2388" s="13">
        <f t="shared" si="353"/>
        <v>0</v>
      </c>
      <c r="Z2388" s="2">
        <v>0</v>
      </c>
      <c r="AA2388" s="4">
        <v>0</v>
      </c>
      <c r="AB2388" s="4">
        <f t="shared" si="354"/>
        <v>426315.07843137253</v>
      </c>
      <c r="AC2388" s="6">
        <f t="shared" si="355"/>
        <v>8526.3015686274739</v>
      </c>
      <c r="AD2388" s="13">
        <f t="shared" ref="AD2388:AD2451" si="359">V2388</f>
        <v>434841.38</v>
      </c>
      <c r="AE2388" s="2">
        <v>0.09</v>
      </c>
      <c r="AF2388" s="5">
        <f t="shared" si="356"/>
        <v>39135.724199999997</v>
      </c>
      <c r="AG2388" s="2">
        <v>0</v>
      </c>
      <c r="AH2388" s="5">
        <f t="shared" ref="AH2388:AH2451" si="360">V2388</f>
        <v>434841.38</v>
      </c>
      <c r="AJ2388" s="126" t="e">
        <v>#N/A</v>
      </c>
      <c r="AK2388" s="80">
        <f t="shared" si="357"/>
        <v>0</v>
      </c>
      <c r="AM2388" s="85"/>
    </row>
    <row r="2389" spans="1:39" hidden="1" x14ac:dyDescent="0.3">
      <c r="A2389" s="85" t="s">
        <v>34</v>
      </c>
      <c r="B2389" s="3" t="s">
        <v>35</v>
      </c>
      <c r="C2389" s="3" t="s">
        <v>47</v>
      </c>
      <c r="D2389" s="3" t="s">
        <v>48</v>
      </c>
      <c r="E2389" s="3" t="s">
        <v>2981</v>
      </c>
      <c r="F2389" s="3" t="s">
        <v>2981</v>
      </c>
      <c r="G2389" s="3" t="s">
        <v>2981</v>
      </c>
      <c r="I2389" s="3" t="s">
        <v>2935</v>
      </c>
      <c r="J2389" s="1" t="s">
        <v>3302</v>
      </c>
      <c r="K2389" s="1" t="s">
        <v>3281</v>
      </c>
      <c r="L2389" s="1" t="s">
        <v>35</v>
      </c>
      <c r="M2389" s="3" t="s">
        <v>2982</v>
      </c>
      <c r="O2389" s="1" t="s">
        <v>410</v>
      </c>
      <c r="P2389" s="1" t="s">
        <v>41</v>
      </c>
      <c r="Q2389" s="2">
        <v>0</v>
      </c>
      <c r="R2389" s="138">
        <v>21162</v>
      </c>
      <c r="T2389" s="4">
        <v>30033.349999999991</v>
      </c>
      <c r="U2389" s="4">
        <v>20000</v>
      </c>
      <c r="V2389" s="4">
        <v>18221.45</v>
      </c>
      <c r="W2389" s="13">
        <f t="shared" si="358"/>
        <v>31811.899999999991</v>
      </c>
      <c r="X2389" s="13">
        <f t="shared" si="352"/>
        <v>18221.45</v>
      </c>
      <c r="Y2389" s="13">
        <f t="shared" si="353"/>
        <v>0</v>
      </c>
      <c r="Z2389" s="2">
        <v>0</v>
      </c>
      <c r="AA2389" s="4">
        <v>0</v>
      </c>
      <c r="AB2389" s="4">
        <f t="shared" si="354"/>
        <v>18221.45</v>
      </c>
      <c r="AC2389" s="6">
        <f t="shared" si="355"/>
        <v>0</v>
      </c>
      <c r="AD2389" s="13">
        <f t="shared" si="359"/>
        <v>18221.45</v>
      </c>
      <c r="AE2389" s="2">
        <v>0.09</v>
      </c>
      <c r="AF2389" s="5">
        <f t="shared" si="356"/>
        <v>1639.9304999999999</v>
      </c>
      <c r="AG2389" s="2">
        <v>0</v>
      </c>
      <c r="AH2389" s="5">
        <f t="shared" si="360"/>
        <v>18221.45</v>
      </c>
      <c r="AJ2389" s="126" t="e">
        <v>#N/A</v>
      </c>
      <c r="AK2389" s="80">
        <f t="shared" si="357"/>
        <v>0</v>
      </c>
      <c r="AM2389" s="85"/>
    </row>
    <row r="2390" spans="1:39" hidden="1" x14ac:dyDescent="0.3">
      <c r="A2390" s="85" t="s">
        <v>34</v>
      </c>
      <c r="B2390" s="3" t="s">
        <v>35</v>
      </c>
      <c r="C2390" s="3" t="s">
        <v>47</v>
      </c>
      <c r="D2390" s="3" t="s">
        <v>48</v>
      </c>
      <c r="E2390" s="3" t="s">
        <v>2909</v>
      </c>
      <c r="F2390" s="3" t="s">
        <v>2909</v>
      </c>
      <c r="G2390" s="3" t="s">
        <v>2909</v>
      </c>
      <c r="I2390" s="3" t="s">
        <v>2935</v>
      </c>
      <c r="J2390" s="1" t="s">
        <v>3302</v>
      </c>
      <c r="K2390" s="1" t="s">
        <v>3281</v>
      </c>
      <c r="L2390" s="1" t="s">
        <v>35</v>
      </c>
      <c r="M2390" s="3" t="s">
        <v>2983</v>
      </c>
      <c r="O2390" s="1" t="s">
        <v>410</v>
      </c>
      <c r="P2390" s="1" t="s">
        <v>41</v>
      </c>
      <c r="Q2390" s="2">
        <v>0</v>
      </c>
      <c r="R2390" s="138">
        <v>235462</v>
      </c>
      <c r="T2390" s="4">
        <v>193580.31999999995</v>
      </c>
      <c r="U2390" s="4">
        <v>300000</v>
      </c>
      <c r="V2390" s="4">
        <v>280541.68</v>
      </c>
      <c r="W2390" s="13">
        <f t="shared" si="358"/>
        <v>213038.63999999996</v>
      </c>
      <c r="X2390" s="13">
        <f t="shared" si="352"/>
        <v>280541.68</v>
      </c>
      <c r="Y2390" s="13">
        <f t="shared" si="353"/>
        <v>0</v>
      </c>
      <c r="Z2390" s="2">
        <v>0</v>
      </c>
      <c r="AA2390" s="4">
        <v>0</v>
      </c>
      <c r="AB2390" s="4">
        <f t="shared" si="354"/>
        <v>280541.68</v>
      </c>
      <c r="AC2390" s="6">
        <f t="shared" si="355"/>
        <v>0</v>
      </c>
      <c r="AD2390" s="13">
        <f t="shared" si="359"/>
        <v>280541.68</v>
      </c>
      <c r="AE2390" s="2">
        <v>0.09</v>
      </c>
      <c r="AF2390" s="5">
        <f t="shared" si="356"/>
        <v>25248.751199999999</v>
      </c>
      <c r="AG2390" s="2">
        <v>0</v>
      </c>
      <c r="AH2390" s="5">
        <f t="shared" si="360"/>
        <v>280541.68</v>
      </c>
      <c r="AJ2390" s="126" t="e">
        <v>#N/A</v>
      </c>
      <c r="AK2390" s="80">
        <f t="shared" si="357"/>
        <v>0</v>
      </c>
      <c r="AM2390" s="85"/>
    </row>
    <row r="2391" spans="1:39" hidden="1" x14ac:dyDescent="0.3">
      <c r="A2391" s="85" t="s">
        <v>34</v>
      </c>
      <c r="B2391" s="3" t="s">
        <v>35</v>
      </c>
      <c r="C2391" s="3" t="s">
        <v>47</v>
      </c>
      <c r="D2391" s="3" t="s">
        <v>48</v>
      </c>
      <c r="E2391" s="3" t="s">
        <v>2909</v>
      </c>
      <c r="F2391" s="3" t="s">
        <v>2909</v>
      </c>
      <c r="G2391" s="3" t="s">
        <v>2909</v>
      </c>
      <c r="I2391" s="3" t="s">
        <v>2935</v>
      </c>
      <c r="J2391" s="1" t="s">
        <v>3302</v>
      </c>
      <c r="K2391" s="1" t="s">
        <v>3281</v>
      </c>
      <c r="L2391" s="1" t="s">
        <v>35</v>
      </c>
      <c r="M2391" s="3" t="s">
        <v>2984</v>
      </c>
      <c r="O2391" s="1" t="s">
        <v>410</v>
      </c>
      <c r="P2391" s="1" t="s">
        <v>41</v>
      </c>
      <c r="Q2391" s="2">
        <v>0</v>
      </c>
      <c r="R2391" s="138">
        <v>238242</v>
      </c>
      <c r="T2391" s="4">
        <v>183087.37</v>
      </c>
      <c r="U2391" s="4">
        <v>200000</v>
      </c>
      <c r="V2391" s="4">
        <v>212134.02</v>
      </c>
      <c r="W2391" s="13">
        <f t="shared" si="358"/>
        <v>170953.35</v>
      </c>
      <c r="X2391" s="13">
        <f t="shared" si="352"/>
        <v>212134.02</v>
      </c>
      <c r="Y2391" s="13">
        <f t="shared" si="353"/>
        <v>0</v>
      </c>
      <c r="Z2391" s="2">
        <v>0</v>
      </c>
      <c r="AA2391" s="4">
        <v>0</v>
      </c>
      <c r="AB2391" s="4">
        <f t="shared" si="354"/>
        <v>212134.02</v>
      </c>
      <c r="AC2391" s="6">
        <f t="shared" si="355"/>
        <v>0</v>
      </c>
      <c r="AD2391" s="13">
        <f t="shared" si="359"/>
        <v>212134.02</v>
      </c>
      <c r="AE2391" s="2">
        <v>0.09</v>
      </c>
      <c r="AF2391" s="5">
        <f t="shared" si="356"/>
        <v>19092.061799999999</v>
      </c>
      <c r="AG2391" s="2">
        <v>0</v>
      </c>
      <c r="AH2391" s="5">
        <f t="shared" si="360"/>
        <v>212134.02</v>
      </c>
      <c r="AJ2391" s="126" t="e">
        <v>#N/A</v>
      </c>
      <c r="AK2391" s="80">
        <f t="shared" si="357"/>
        <v>0</v>
      </c>
      <c r="AM2391" s="85"/>
    </row>
    <row r="2392" spans="1:39" hidden="1" x14ac:dyDescent="0.3">
      <c r="A2392" s="85" t="s">
        <v>34</v>
      </c>
      <c r="B2392" s="3" t="s">
        <v>35</v>
      </c>
      <c r="C2392" s="3" t="s">
        <v>47</v>
      </c>
      <c r="D2392" s="3" t="s">
        <v>48</v>
      </c>
      <c r="E2392" s="3" t="s">
        <v>2482</v>
      </c>
      <c r="F2392" s="3" t="s">
        <v>2483</v>
      </c>
      <c r="G2392" s="3" t="s">
        <v>2482</v>
      </c>
      <c r="I2392" s="3" t="s">
        <v>2935</v>
      </c>
      <c r="J2392" s="1" t="s">
        <v>3302</v>
      </c>
      <c r="K2392" s="1" t="s">
        <v>3281</v>
      </c>
      <c r="L2392" s="1" t="s">
        <v>35</v>
      </c>
      <c r="M2392" s="3" t="s">
        <v>2482</v>
      </c>
      <c r="O2392" s="1" t="s">
        <v>410</v>
      </c>
      <c r="P2392" s="1" t="s">
        <v>41</v>
      </c>
      <c r="Q2392" s="2">
        <v>0</v>
      </c>
      <c r="R2392" s="138">
        <v>52872</v>
      </c>
      <c r="T2392" s="4">
        <v>117972.99000000002</v>
      </c>
      <c r="U2392" s="4">
        <v>50000</v>
      </c>
      <c r="V2392" s="4">
        <v>95664.04</v>
      </c>
      <c r="W2392" s="13">
        <f t="shared" si="358"/>
        <v>72308.950000000026</v>
      </c>
      <c r="X2392" s="13">
        <f t="shared" si="352"/>
        <v>95664.04</v>
      </c>
      <c r="Y2392" s="13">
        <f t="shared" si="353"/>
        <v>0</v>
      </c>
      <c r="Z2392" s="2">
        <v>0</v>
      </c>
      <c r="AA2392" s="4">
        <v>0</v>
      </c>
      <c r="AB2392" s="4">
        <f t="shared" si="354"/>
        <v>95664.04</v>
      </c>
      <c r="AC2392" s="6">
        <f t="shared" si="355"/>
        <v>0</v>
      </c>
      <c r="AD2392" s="13">
        <f t="shared" si="359"/>
        <v>95664.04</v>
      </c>
      <c r="AE2392" s="2">
        <v>0.09</v>
      </c>
      <c r="AF2392" s="5">
        <f t="shared" si="356"/>
        <v>8609.7635999999984</v>
      </c>
      <c r="AG2392" s="2">
        <v>0</v>
      </c>
      <c r="AH2392" s="5">
        <f t="shared" si="360"/>
        <v>95664.04</v>
      </c>
      <c r="AJ2392" s="126" t="e">
        <v>#N/A</v>
      </c>
      <c r="AK2392" s="80">
        <f t="shared" si="357"/>
        <v>0</v>
      </c>
      <c r="AM2392" s="85"/>
    </row>
    <row r="2393" spans="1:39" hidden="1" x14ac:dyDescent="0.3">
      <c r="A2393" s="85" t="s">
        <v>34</v>
      </c>
      <c r="B2393" s="3" t="s">
        <v>35</v>
      </c>
      <c r="C2393" s="3" t="s">
        <v>47</v>
      </c>
      <c r="D2393" s="3" t="s">
        <v>48</v>
      </c>
      <c r="E2393" s="3" t="s">
        <v>2789</v>
      </c>
      <c r="F2393" s="3" t="s">
        <v>2789</v>
      </c>
      <c r="G2393" s="3" t="s">
        <v>2789</v>
      </c>
      <c r="I2393" s="3" t="s">
        <v>2935</v>
      </c>
      <c r="J2393" s="1" t="s">
        <v>3302</v>
      </c>
      <c r="K2393" s="1" t="s">
        <v>3281</v>
      </c>
      <c r="L2393" s="1" t="s">
        <v>35</v>
      </c>
      <c r="M2393" s="3" t="s">
        <v>2789</v>
      </c>
      <c r="O2393" s="1" t="s">
        <v>410</v>
      </c>
      <c r="P2393" s="1" t="s">
        <v>41</v>
      </c>
      <c r="Q2393" s="2">
        <v>0</v>
      </c>
      <c r="R2393" s="138">
        <v>34612</v>
      </c>
      <c r="T2393" s="4">
        <v>1587681.2300000002</v>
      </c>
      <c r="U2393" s="4">
        <v>1000000</v>
      </c>
      <c r="V2393" s="4">
        <v>1003424.19</v>
      </c>
      <c r="W2393" s="13">
        <f t="shared" si="358"/>
        <v>1584257.0400000005</v>
      </c>
      <c r="X2393" s="13">
        <f t="shared" si="352"/>
        <v>1003424.19</v>
      </c>
      <c r="Y2393" s="13">
        <f t="shared" si="353"/>
        <v>0</v>
      </c>
      <c r="Z2393" s="2">
        <v>0</v>
      </c>
      <c r="AA2393" s="4">
        <v>0</v>
      </c>
      <c r="AB2393" s="4">
        <f t="shared" si="354"/>
        <v>1003424.19</v>
      </c>
      <c r="AC2393" s="6">
        <f t="shared" si="355"/>
        <v>0</v>
      </c>
      <c r="AD2393" s="13">
        <f t="shared" si="359"/>
        <v>1003424.19</v>
      </c>
      <c r="AE2393" s="2">
        <v>0.09</v>
      </c>
      <c r="AF2393" s="5">
        <f t="shared" si="356"/>
        <v>90308.177099999986</v>
      </c>
      <c r="AG2393" s="2">
        <v>0</v>
      </c>
      <c r="AH2393" s="5">
        <f t="shared" si="360"/>
        <v>1003424.19</v>
      </c>
      <c r="AJ2393" s="126" t="e">
        <v>#N/A</v>
      </c>
      <c r="AK2393" s="80">
        <f t="shared" si="357"/>
        <v>0</v>
      </c>
      <c r="AM2393" s="85"/>
    </row>
    <row r="2394" spans="1:39" hidden="1" x14ac:dyDescent="0.3">
      <c r="A2394" s="85" t="s">
        <v>34</v>
      </c>
      <c r="B2394" s="3" t="s">
        <v>35</v>
      </c>
      <c r="C2394" s="3" t="s">
        <v>47</v>
      </c>
      <c r="D2394" s="3" t="s">
        <v>48</v>
      </c>
      <c r="E2394" s="3" t="s">
        <v>2789</v>
      </c>
      <c r="F2394" s="3" t="s">
        <v>2789</v>
      </c>
      <c r="G2394" s="3" t="s">
        <v>2789</v>
      </c>
      <c r="I2394" s="3" t="s">
        <v>2935</v>
      </c>
      <c r="J2394" s="1" t="s">
        <v>3302</v>
      </c>
      <c r="K2394" s="1" t="s">
        <v>3281</v>
      </c>
      <c r="L2394" s="1" t="s">
        <v>35</v>
      </c>
      <c r="M2394" s="3" t="s">
        <v>2985</v>
      </c>
      <c r="O2394" s="1" t="s">
        <v>45</v>
      </c>
      <c r="P2394" s="1" t="s">
        <v>41</v>
      </c>
      <c r="Q2394" s="2">
        <v>0</v>
      </c>
      <c r="R2394" s="138">
        <v>179222</v>
      </c>
      <c r="T2394" s="4">
        <v>23156.810000000012</v>
      </c>
      <c r="U2394" s="4">
        <v>40000</v>
      </c>
      <c r="V2394" s="4">
        <v>52213.08</v>
      </c>
      <c r="W2394" s="13">
        <f t="shared" si="358"/>
        <v>10943.73000000001</v>
      </c>
      <c r="X2394" s="13">
        <f t="shared" si="352"/>
        <v>52213.08</v>
      </c>
      <c r="Y2394" s="13">
        <f t="shared" si="353"/>
        <v>0</v>
      </c>
      <c r="Z2394" s="2">
        <v>0</v>
      </c>
      <c r="AA2394" s="4">
        <v>0</v>
      </c>
      <c r="AB2394" s="4">
        <f t="shared" si="354"/>
        <v>52213.08</v>
      </c>
      <c r="AC2394" s="6">
        <f t="shared" si="355"/>
        <v>0</v>
      </c>
      <c r="AD2394" s="13">
        <f t="shared" si="359"/>
        <v>52213.08</v>
      </c>
      <c r="AE2394" s="2">
        <v>0.18</v>
      </c>
      <c r="AF2394" s="5">
        <f t="shared" si="356"/>
        <v>9398.3544000000002</v>
      </c>
      <c r="AG2394" s="2">
        <v>0</v>
      </c>
      <c r="AH2394" s="5">
        <f t="shared" si="360"/>
        <v>52213.08</v>
      </c>
      <c r="AJ2394" s="126" t="e">
        <v>#N/A</v>
      </c>
      <c r="AK2394" s="80">
        <f t="shared" si="357"/>
        <v>0</v>
      </c>
      <c r="AM2394" s="85"/>
    </row>
    <row r="2395" spans="1:39" hidden="1" x14ac:dyDescent="0.3">
      <c r="A2395" s="85" t="s">
        <v>34</v>
      </c>
      <c r="B2395" s="3" t="s">
        <v>35</v>
      </c>
      <c r="C2395" s="3" t="s">
        <v>47</v>
      </c>
      <c r="D2395" s="3" t="s">
        <v>48</v>
      </c>
      <c r="E2395" s="3" t="s">
        <v>542</v>
      </c>
      <c r="F2395" s="3" t="s">
        <v>543</v>
      </c>
      <c r="G2395" s="3" t="s">
        <v>542</v>
      </c>
      <c r="I2395" s="3" t="s">
        <v>2935</v>
      </c>
      <c r="J2395" s="1" t="s">
        <v>3302</v>
      </c>
      <c r="K2395" s="1" t="s">
        <v>3281</v>
      </c>
      <c r="L2395" s="1" t="s">
        <v>35</v>
      </c>
      <c r="M2395" s="3" t="s">
        <v>2986</v>
      </c>
      <c r="O2395" s="1" t="s">
        <v>410</v>
      </c>
      <c r="P2395" s="1" t="s">
        <v>46</v>
      </c>
      <c r="Q2395" s="2">
        <v>0.01</v>
      </c>
      <c r="R2395" s="138">
        <v>98692</v>
      </c>
      <c r="T2395" s="4">
        <v>110718.04999999999</v>
      </c>
      <c r="U2395" s="4">
        <v>201500</v>
      </c>
      <c r="V2395" s="4">
        <v>239422.3</v>
      </c>
      <c r="W2395" s="13">
        <f t="shared" si="358"/>
        <v>72795.75</v>
      </c>
      <c r="X2395" s="13">
        <f t="shared" si="352"/>
        <v>237051.78217821781</v>
      </c>
      <c r="Y2395" s="13">
        <f t="shared" si="353"/>
        <v>0</v>
      </c>
      <c r="Z2395" s="2">
        <v>0</v>
      </c>
      <c r="AA2395" s="4">
        <v>0</v>
      </c>
      <c r="AB2395" s="4">
        <f t="shared" si="354"/>
        <v>237051.78217821781</v>
      </c>
      <c r="AC2395" s="6">
        <f t="shared" si="355"/>
        <v>2370.5178217821813</v>
      </c>
      <c r="AD2395" s="13">
        <f t="shared" si="359"/>
        <v>239422.3</v>
      </c>
      <c r="AE2395" s="2">
        <v>0.09</v>
      </c>
      <c r="AF2395" s="5">
        <f t="shared" si="356"/>
        <v>21548.006999999998</v>
      </c>
      <c r="AG2395" s="2">
        <v>0</v>
      </c>
      <c r="AH2395" s="5">
        <f t="shared" si="360"/>
        <v>239422.3</v>
      </c>
      <c r="AJ2395" s="126" t="e">
        <v>#N/A</v>
      </c>
      <c r="AK2395" s="80">
        <f t="shared" si="357"/>
        <v>0</v>
      </c>
      <c r="AM2395" s="85"/>
    </row>
    <row r="2396" spans="1:39" hidden="1" x14ac:dyDescent="0.3">
      <c r="A2396" s="85" t="s">
        <v>34</v>
      </c>
      <c r="B2396" s="3" t="s">
        <v>35</v>
      </c>
      <c r="C2396" s="3" t="s">
        <v>47</v>
      </c>
      <c r="D2396" s="3" t="s">
        <v>48</v>
      </c>
      <c r="E2396" s="3" t="s">
        <v>2987</v>
      </c>
      <c r="F2396" s="3" t="s">
        <v>2987</v>
      </c>
      <c r="G2396" s="3" t="s">
        <v>2987</v>
      </c>
      <c r="I2396" s="3" t="s">
        <v>2935</v>
      </c>
      <c r="J2396" s="1" t="s">
        <v>3302</v>
      </c>
      <c r="K2396" s="1" t="s">
        <v>3281</v>
      </c>
      <c r="L2396" s="1" t="s">
        <v>35</v>
      </c>
      <c r="M2396" s="3" t="s">
        <v>2987</v>
      </c>
      <c r="O2396" s="1" t="s">
        <v>410</v>
      </c>
      <c r="P2396" s="1" t="s">
        <v>41</v>
      </c>
      <c r="Q2396" s="2">
        <v>0</v>
      </c>
      <c r="R2396" s="138">
        <v>106232</v>
      </c>
      <c r="T2396" s="4">
        <v>6003.1699999999983</v>
      </c>
      <c r="U2396" s="4">
        <v>10853.8</v>
      </c>
      <c r="V2396" s="4">
        <v>7847.79</v>
      </c>
      <c r="W2396" s="13">
        <f t="shared" si="358"/>
        <v>9009.1799999999967</v>
      </c>
      <c r="X2396" s="13">
        <f t="shared" si="352"/>
        <v>7847.79</v>
      </c>
      <c r="Y2396" s="13">
        <f t="shared" si="353"/>
        <v>0</v>
      </c>
      <c r="Z2396" s="2">
        <v>0</v>
      </c>
      <c r="AA2396" s="4">
        <v>0</v>
      </c>
      <c r="AB2396" s="4">
        <f t="shared" si="354"/>
        <v>7847.79</v>
      </c>
      <c r="AC2396" s="6">
        <f t="shared" si="355"/>
        <v>0</v>
      </c>
      <c r="AD2396" s="13">
        <f t="shared" si="359"/>
        <v>7847.79</v>
      </c>
      <c r="AE2396" s="2">
        <v>0.09</v>
      </c>
      <c r="AF2396" s="5">
        <f t="shared" si="356"/>
        <v>706.30110000000002</v>
      </c>
      <c r="AG2396" s="2">
        <v>0</v>
      </c>
      <c r="AH2396" s="5">
        <f t="shared" si="360"/>
        <v>7847.79</v>
      </c>
      <c r="AJ2396" s="126" t="e">
        <v>#N/A</v>
      </c>
      <c r="AK2396" s="80">
        <f t="shared" si="357"/>
        <v>0</v>
      </c>
      <c r="AM2396" s="85"/>
    </row>
    <row r="2397" spans="1:39" hidden="1" x14ac:dyDescent="0.3">
      <c r="A2397" s="85" t="s">
        <v>34</v>
      </c>
      <c r="B2397" s="3" t="s">
        <v>35</v>
      </c>
      <c r="C2397" s="3" t="s">
        <v>47</v>
      </c>
      <c r="D2397" s="3" t="s">
        <v>48</v>
      </c>
      <c r="E2397" s="3" t="s">
        <v>550</v>
      </c>
      <c r="F2397" s="3" t="s">
        <v>551</v>
      </c>
      <c r="G2397" s="3" t="s">
        <v>550</v>
      </c>
      <c r="I2397" s="3" t="s">
        <v>2935</v>
      </c>
      <c r="J2397" s="1" t="s">
        <v>3302</v>
      </c>
      <c r="K2397" s="1" t="s">
        <v>3281</v>
      </c>
      <c r="L2397" s="1" t="s">
        <v>35</v>
      </c>
      <c r="M2397" s="3" t="s">
        <v>550</v>
      </c>
      <c r="O2397" s="1" t="s">
        <v>410</v>
      </c>
      <c r="P2397" s="1" t="s">
        <v>41</v>
      </c>
      <c r="Q2397" s="2">
        <v>0</v>
      </c>
      <c r="R2397" s="138">
        <v>100212</v>
      </c>
      <c r="T2397" s="4">
        <v>200000</v>
      </c>
      <c r="U2397" s="4">
        <v>900000</v>
      </c>
      <c r="V2397" s="4">
        <v>977891.9</v>
      </c>
      <c r="W2397" s="13">
        <f t="shared" si="358"/>
        <v>122108.09999999998</v>
      </c>
      <c r="X2397" s="13">
        <f t="shared" si="352"/>
        <v>977891.9</v>
      </c>
      <c r="Y2397" s="13">
        <f t="shared" si="353"/>
        <v>0</v>
      </c>
      <c r="Z2397" s="2">
        <v>0</v>
      </c>
      <c r="AA2397" s="4">
        <v>0</v>
      </c>
      <c r="AB2397" s="4">
        <f t="shared" si="354"/>
        <v>977891.9</v>
      </c>
      <c r="AC2397" s="6">
        <f t="shared" si="355"/>
        <v>0</v>
      </c>
      <c r="AD2397" s="13">
        <f t="shared" si="359"/>
        <v>977891.9</v>
      </c>
      <c r="AE2397" s="2">
        <v>0.09</v>
      </c>
      <c r="AF2397" s="5">
        <f t="shared" si="356"/>
        <v>88010.270999999993</v>
      </c>
      <c r="AG2397" s="2">
        <v>0</v>
      </c>
      <c r="AH2397" s="5">
        <f t="shared" si="360"/>
        <v>977891.9</v>
      </c>
      <c r="AJ2397" s="126" t="e">
        <v>#N/A</v>
      </c>
      <c r="AK2397" s="80">
        <f t="shared" si="357"/>
        <v>0</v>
      </c>
      <c r="AM2397" s="85"/>
    </row>
    <row r="2398" spans="1:39" hidden="1" x14ac:dyDescent="0.3">
      <c r="A2398" s="85" t="s">
        <v>34</v>
      </c>
      <c r="B2398" s="3" t="s">
        <v>35</v>
      </c>
      <c r="C2398" s="3" t="s">
        <v>144</v>
      </c>
      <c r="D2398" s="3" t="s">
        <v>145</v>
      </c>
      <c r="E2398" s="3" t="s">
        <v>2988</v>
      </c>
      <c r="F2398" s="3" t="s">
        <v>2989</v>
      </c>
      <c r="G2398" s="3" t="s">
        <v>2988</v>
      </c>
      <c r="I2398" s="3" t="s">
        <v>2935</v>
      </c>
      <c r="J2398" s="1" t="s">
        <v>3302</v>
      </c>
      <c r="K2398" s="1" t="s">
        <v>3281</v>
      </c>
      <c r="L2398" s="1" t="s">
        <v>35</v>
      </c>
      <c r="M2398" s="3" t="s">
        <v>2990</v>
      </c>
      <c r="O2398" s="1" t="s">
        <v>410</v>
      </c>
      <c r="P2398" s="1" t="s">
        <v>46</v>
      </c>
      <c r="Q2398" s="2">
        <v>0.02</v>
      </c>
      <c r="R2398" s="138">
        <v>36132</v>
      </c>
      <c r="T2398" s="4">
        <v>124713.00999999989</v>
      </c>
      <c r="U2398" s="4">
        <v>204000</v>
      </c>
      <c r="V2398" s="4">
        <v>157150.39999999999</v>
      </c>
      <c r="W2398" s="13">
        <f t="shared" si="358"/>
        <v>171562.6099999999</v>
      </c>
      <c r="X2398" s="13">
        <f t="shared" si="352"/>
        <v>154069.01960784313</v>
      </c>
      <c r="Y2398" s="13">
        <f t="shared" si="353"/>
        <v>0</v>
      </c>
      <c r="Z2398" s="2">
        <v>0</v>
      </c>
      <c r="AA2398" s="4">
        <v>0</v>
      </c>
      <c r="AB2398" s="4">
        <f t="shared" si="354"/>
        <v>154069.01960784313</v>
      </c>
      <c r="AC2398" s="6">
        <f t="shared" si="355"/>
        <v>3081.3803921568615</v>
      </c>
      <c r="AD2398" s="13">
        <f t="shared" si="359"/>
        <v>157150.39999999999</v>
      </c>
      <c r="AE2398" s="2">
        <v>0.09</v>
      </c>
      <c r="AF2398" s="5">
        <f t="shared" si="356"/>
        <v>14143.535999999998</v>
      </c>
      <c r="AG2398" s="2">
        <v>0</v>
      </c>
      <c r="AH2398" s="5">
        <f t="shared" si="360"/>
        <v>157150.39999999999</v>
      </c>
      <c r="AJ2398" s="126" t="e">
        <v>#N/A</v>
      </c>
      <c r="AK2398" s="80">
        <f t="shared" si="357"/>
        <v>0</v>
      </c>
      <c r="AM2398" s="85"/>
    </row>
    <row r="2399" spans="1:39" hidden="1" x14ac:dyDescent="0.3">
      <c r="A2399" s="85" t="s">
        <v>34</v>
      </c>
      <c r="B2399" s="3" t="s">
        <v>35</v>
      </c>
      <c r="C2399" s="3" t="s">
        <v>144</v>
      </c>
      <c r="D2399" s="3" t="s">
        <v>145</v>
      </c>
      <c r="E2399" s="3" t="s">
        <v>150</v>
      </c>
      <c r="F2399" s="3" t="s">
        <v>151</v>
      </c>
      <c r="G2399" s="3" t="s">
        <v>150</v>
      </c>
      <c r="I2399" s="3" t="s">
        <v>2935</v>
      </c>
      <c r="J2399" s="1" t="s">
        <v>3302</v>
      </c>
      <c r="K2399" s="1" t="s">
        <v>3281</v>
      </c>
      <c r="L2399" s="1" t="s">
        <v>35</v>
      </c>
      <c r="M2399" s="3" t="s">
        <v>2991</v>
      </c>
      <c r="O2399" s="1" t="s">
        <v>410</v>
      </c>
      <c r="P2399" s="1" t="s">
        <v>46</v>
      </c>
      <c r="Q2399" s="2">
        <v>0.04</v>
      </c>
      <c r="R2399" s="138">
        <v>95122</v>
      </c>
      <c r="T2399" s="4">
        <v>0</v>
      </c>
      <c r="U2399" s="4">
        <v>156000</v>
      </c>
      <c r="V2399" s="4">
        <v>85564.45</v>
      </c>
      <c r="W2399" s="13">
        <f t="shared" si="358"/>
        <v>70435.55</v>
      </c>
      <c r="X2399" s="13">
        <f t="shared" si="352"/>
        <v>82273.50961538461</v>
      </c>
      <c r="Y2399" s="13">
        <f t="shared" si="353"/>
        <v>0</v>
      </c>
      <c r="Z2399" s="2">
        <v>0</v>
      </c>
      <c r="AA2399" s="4">
        <v>0</v>
      </c>
      <c r="AB2399" s="4">
        <f t="shared" si="354"/>
        <v>82273.50961538461</v>
      </c>
      <c r="AC2399" s="6">
        <f t="shared" si="355"/>
        <v>3290.9403846153873</v>
      </c>
      <c r="AD2399" s="13">
        <f t="shared" si="359"/>
        <v>85564.45</v>
      </c>
      <c r="AE2399" s="2">
        <v>0.09</v>
      </c>
      <c r="AF2399" s="5">
        <f t="shared" si="356"/>
        <v>7700.8004999999994</v>
      </c>
      <c r="AG2399" s="2">
        <v>0</v>
      </c>
      <c r="AH2399" s="5">
        <f t="shared" si="360"/>
        <v>85564.45</v>
      </c>
      <c r="AJ2399" s="126" t="e">
        <v>#N/A</v>
      </c>
      <c r="AK2399" s="80">
        <f t="shared" si="357"/>
        <v>0</v>
      </c>
      <c r="AM2399" s="85"/>
    </row>
    <row r="2400" spans="1:39" hidden="1" x14ac:dyDescent="0.3">
      <c r="A2400" s="85" t="s">
        <v>34</v>
      </c>
      <c r="B2400" s="3" t="s">
        <v>35</v>
      </c>
      <c r="C2400" s="3" t="s">
        <v>144</v>
      </c>
      <c r="D2400" s="3" t="s">
        <v>145</v>
      </c>
      <c r="E2400" s="3" t="s">
        <v>150</v>
      </c>
      <c r="F2400" s="3" t="s">
        <v>151</v>
      </c>
      <c r="G2400" s="3" t="s">
        <v>150</v>
      </c>
      <c r="I2400" s="3" t="s">
        <v>2935</v>
      </c>
      <c r="J2400" s="1" t="s">
        <v>3302</v>
      </c>
      <c r="K2400" s="1" t="s">
        <v>3281</v>
      </c>
      <c r="L2400" s="1" t="s">
        <v>35</v>
      </c>
      <c r="M2400" s="3" t="s">
        <v>2992</v>
      </c>
      <c r="O2400" s="1" t="s">
        <v>410</v>
      </c>
      <c r="P2400" s="1" t="s">
        <v>46</v>
      </c>
      <c r="Q2400" s="2">
        <v>0.04</v>
      </c>
      <c r="R2400" s="138">
        <v>99452</v>
      </c>
      <c r="T2400" s="4">
        <v>0</v>
      </c>
      <c r="U2400" s="4">
        <v>1040000</v>
      </c>
      <c r="V2400" s="4">
        <v>712794.17999999993</v>
      </c>
      <c r="W2400" s="13">
        <f t="shared" si="358"/>
        <v>327205.82000000007</v>
      </c>
      <c r="X2400" s="13">
        <f t="shared" si="352"/>
        <v>685379.01923076913</v>
      </c>
      <c r="Y2400" s="13">
        <f t="shared" si="353"/>
        <v>0</v>
      </c>
      <c r="Z2400" s="2">
        <v>0</v>
      </c>
      <c r="AA2400" s="4">
        <v>0</v>
      </c>
      <c r="AB2400" s="4">
        <f t="shared" si="354"/>
        <v>685379.01923076913</v>
      </c>
      <c r="AC2400" s="6">
        <f t="shared" si="355"/>
        <v>27415.160769230803</v>
      </c>
      <c r="AD2400" s="13">
        <f t="shared" si="359"/>
        <v>712794.17999999993</v>
      </c>
      <c r="AE2400" s="2">
        <v>0.09</v>
      </c>
      <c r="AF2400" s="5">
        <f t="shared" si="356"/>
        <v>64151.47619999999</v>
      </c>
      <c r="AG2400" s="2">
        <v>0</v>
      </c>
      <c r="AH2400" s="5">
        <f t="shared" si="360"/>
        <v>712794.17999999993</v>
      </c>
      <c r="AJ2400" s="126" t="e">
        <v>#N/A</v>
      </c>
      <c r="AK2400" s="80">
        <f t="shared" si="357"/>
        <v>0</v>
      </c>
      <c r="AM2400" s="85"/>
    </row>
    <row r="2401" spans="1:39" hidden="1" x14ac:dyDescent="0.3">
      <c r="A2401" s="85" t="s">
        <v>34</v>
      </c>
      <c r="B2401" s="3" t="s">
        <v>35</v>
      </c>
      <c r="C2401" s="3" t="s">
        <v>144</v>
      </c>
      <c r="D2401" s="3" t="s">
        <v>145</v>
      </c>
      <c r="E2401" s="3" t="s">
        <v>150</v>
      </c>
      <c r="F2401" s="3" t="s">
        <v>151</v>
      </c>
      <c r="G2401" s="3" t="s">
        <v>150</v>
      </c>
      <c r="H2401" s="138"/>
      <c r="I2401" s="3" t="s">
        <v>2935</v>
      </c>
      <c r="J2401" s="1" t="s">
        <v>3302</v>
      </c>
      <c r="K2401" s="1" t="s">
        <v>3281</v>
      </c>
      <c r="L2401" s="1" t="s">
        <v>35</v>
      </c>
      <c r="M2401" s="3" t="s">
        <v>2993</v>
      </c>
      <c r="O2401" s="1" t="s">
        <v>410</v>
      </c>
      <c r="P2401" s="1" t="s">
        <v>46</v>
      </c>
      <c r="Q2401" s="2">
        <v>0.04</v>
      </c>
      <c r="R2401" s="138">
        <v>99422</v>
      </c>
      <c r="T2401" s="4">
        <v>0</v>
      </c>
      <c r="U2401" s="4">
        <v>4056000</v>
      </c>
      <c r="V2401" s="4">
        <v>0</v>
      </c>
      <c r="W2401" s="13">
        <f t="shared" si="358"/>
        <v>4056000</v>
      </c>
      <c r="X2401" s="13">
        <f t="shared" ref="X2401:X2464" si="361">IF(P2401="折扣",V2401*Q2401,IF(P2401="返现",V2401,V2401/(1+Q2401)))</f>
        <v>0</v>
      </c>
      <c r="Y2401" s="13">
        <f t="shared" si="353"/>
        <v>0</v>
      </c>
      <c r="Z2401" s="2">
        <v>0</v>
      </c>
      <c r="AA2401" s="4">
        <v>0</v>
      </c>
      <c r="AB2401" s="4">
        <f t="shared" si="354"/>
        <v>0</v>
      </c>
      <c r="AC2401" s="6">
        <f t="shared" si="355"/>
        <v>0</v>
      </c>
      <c r="AD2401" s="13">
        <f t="shared" si="359"/>
        <v>0</v>
      </c>
      <c r="AE2401" s="2">
        <v>0.09</v>
      </c>
      <c r="AF2401" s="5">
        <f t="shared" si="356"/>
        <v>0</v>
      </c>
      <c r="AG2401" s="2">
        <v>0</v>
      </c>
      <c r="AH2401" s="5">
        <f t="shared" si="360"/>
        <v>0</v>
      </c>
      <c r="AJ2401" s="126" t="e">
        <v>#N/A</v>
      </c>
      <c r="AK2401" s="80">
        <f t="shared" si="357"/>
        <v>0</v>
      </c>
      <c r="AM2401" s="85"/>
    </row>
    <row r="2402" spans="1:39" hidden="1" x14ac:dyDescent="0.3">
      <c r="A2402" s="85" t="s">
        <v>34</v>
      </c>
      <c r="B2402" s="3" t="s">
        <v>35</v>
      </c>
      <c r="C2402" s="3" t="s">
        <v>144</v>
      </c>
      <c r="D2402" s="3" t="s">
        <v>145</v>
      </c>
      <c r="E2402" s="3" t="s">
        <v>150</v>
      </c>
      <c r="F2402" s="3" t="s">
        <v>151</v>
      </c>
      <c r="G2402" s="3" t="s">
        <v>150</v>
      </c>
      <c r="H2402" s="138"/>
      <c r="I2402" s="3" t="s">
        <v>2935</v>
      </c>
      <c r="J2402" s="1" t="s">
        <v>3302</v>
      </c>
      <c r="K2402" s="1" t="s">
        <v>3281</v>
      </c>
      <c r="L2402" s="1" t="s">
        <v>35</v>
      </c>
      <c r="M2402" s="3" t="s">
        <v>2994</v>
      </c>
      <c r="O2402" s="1" t="s">
        <v>410</v>
      </c>
      <c r="P2402" s="1" t="s">
        <v>46</v>
      </c>
      <c r="Q2402" s="2">
        <v>0.04</v>
      </c>
      <c r="R2402" s="138">
        <v>173702</v>
      </c>
      <c r="T2402" s="4">
        <v>0</v>
      </c>
      <c r="U2402" s="4">
        <v>4056000</v>
      </c>
      <c r="V2402" s="4">
        <v>0</v>
      </c>
      <c r="W2402" s="13">
        <f t="shared" si="358"/>
        <v>4056000</v>
      </c>
      <c r="X2402" s="13">
        <f t="shared" si="361"/>
        <v>0</v>
      </c>
      <c r="Y2402" s="13">
        <f t="shared" si="353"/>
        <v>0</v>
      </c>
      <c r="Z2402" s="2">
        <v>0</v>
      </c>
      <c r="AA2402" s="4">
        <v>0</v>
      </c>
      <c r="AB2402" s="4">
        <f t="shared" si="354"/>
        <v>0</v>
      </c>
      <c r="AC2402" s="6">
        <f t="shared" si="355"/>
        <v>0</v>
      </c>
      <c r="AD2402" s="13">
        <f t="shared" si="359"/>
        <v>0</v>
      </c>
      <c r="AE2402" s="2">
        <v>0.09</v>
      </c>
      <c r="AF2402" s="5">
        <f t="shared" si="356"/>
        <v>0</v>
      </c>
      <c r="AG2402" s="2">
        <v>0</v>
      </c>
      <c r="AH2402" s="5">
        <f t="shared" si="360"/>
        <v>0</v>
      </c>
      <c r="AJ2402" s="126" t="e">
        <v>#N/A</v>
      </c>
      <c r="AK2402" s="80">
        <f t="shared" si="357"/>
        <v>0</v>
      </c>
      <c r="AM2402" s="85"/>
    </row>
    <row r="2403" spans="1:39" hidden="1" x14ac:dyDescent="0.3">
      <c r="A2403" s="85" t="s">
        <v>34</v>
      </c>
      <c r="B2403" s="3" t="s">
        <v>35</v>
      </c>
      <c r="C2403" s="3" t="s">
        <v>144</v>
      </c>
      <c r="D2403" s="3" t="s">
        <v>145</v>
      </c>
      <c r="E2403" s="3" t="s">
        <v>150</v>
      </c>
      <c r="F2403" s="3" t="s">
        <v>151</v>
      </c>
      <c r="G2403" s="3" t="s">
        <v>150</v>
      </c>
      <c r="H2403" s="138"/>
      <c r="I2403" s="3" t="s">
        <v>2935</v>
      </c>
      <c r="J2403" s="1" t="s">
        <v>3302</v>
      </c>
      <c r="K2403" s="1" t="s">
        <v>3281</v>
      </c>
      <c r="L2403" s="1" t="s">
        <v>35</v>
      </c>
      <c r="M2403" s="3" t="s">
        <v>2995</v>
      </c>
      <c r="O2403" s="1" t="s">
        <v>410</v>
      </c>
      <c r="P2403" s="1" t="s">
        <v>46</v>
      </c>
      <c r="Q2403" s="2">
        <v>0.04</v>
      </c>
      <c r="R2403" s="138">
        <v>246342</v>
      </c>
      <c r="T2403" s="4">
        <v>0</v>
      </c>
      <c r="U2403" s="4">
        <v>312000</v>
      </c>
      <c r="V2403" s="4">
        <v>0</v>
      </c>
      <c r="W2403" s="13">
        <f t="shared" si="358"/>
        <v>312000</v>
      </c>
      <c r="X2403" s="13">
        <f t="shared" si="361"/>
        <v>0</v>
      </c>
      <c r="Y2403" s="13">
        <f t="shared" si="353"/>
        <v>0</v>
      </c>
      <c r="Z2403" s="2">
        <v>0</v>
      </c>
      <c r="AA2403" s="4">
        <v>0</v>
      </c>
      <c r="AB2403" s="4">
        <f t="shared" si="354"/>
        <v>0</v>
      </c>
      <c r="AC2403" s="6">
        <f t="shared" si="355"/>
        <v>0</v>
      </c>
      <c r="AD2403" s="13">
        <f t="shared" si="359"/>
        <v>0</v>
      </c>
      <c r="AE2403" s="2">
        <v>0.09</v>
      </c>
      <c r="AF2403" s="5">
        <f t="shared" si="356"/>
        <v>0</v>
      </c>
      <c r="AG2403" s="2">
        <v>0</v>
      </c>
      <c r="AH2403" s="5">
        <f t="shared" si="360"/>
        <v>0</v>
      </c>
      <c r="AJ2403" s="126" t="e">
        <v>#N/A</v>
      </c>
      <c r="AK2403" s="80">
        <f t="shared" si="357"/>
        <v>0</v>
      </c>
      <c r="AM2403" s="85"/>
    </row>
    <row r="2404" spans="1:39" hidden="1" x14ac:dyDescent="0.3">
      <c r="A2404" s="85" t="s">
        <v>34</v>
      </c>
      <c r="B2404" s="3" t="s">
        <v>35</v>
      </c>
      <c r="C2404" s="3" t="s">
        <v>144</v>
      </c>
      <c r="D2404" s="3" t="s">
        <v>145</v>
      </c>
      <c r="E2404" s="3" t="s">
        <v>150</v>
      </c>
      <c r="F2404" s="3" t="s">
        <v>151</v>
      </c>
      <c r="G2404" s="3" t="s">
        <v>150</v>
      </c>
      <c r="I2404" s="3" t="s">
        <v>2935</v>
      </c>
      <c r="J2404" s="1" t="s">
        <v>3302</v>
      </c>
      <c r="K2404" s="1" t="s">
        <v>3281</v>
      </c>
      <c r="L2404" s="1" t="s">
        <v>35</v>
      </c>
      <c r="M2404" s="3" t="s">
        <v>2996</v>
      </c>
      <c r="O2404" s="1" t="s">
        <v>410</v>
      </c>
      <c r="P2404" s="1" t="s">
        <v>46</v>
      </c>
      <c r="Q2404" s="2">
        <v>0.04</v>
      </c>
      <c r="R2404" s="138">
        <v>82662</v>
      </c>
      <c r="T2404" s="4">
        <v>0</v>
      </c>
      <c r="U2404" s="4">
        <v>832000</v>
      </c>
      <c r="V2404" s="4">
        <v>155000</v>
      </c>
      <c r="W2404" s="13">
        <f t="shared" si="358"/>
        <v>677000</v>
      </c>
      <c r="X2404" s="13">
        <f t="shared" si="361"/>
        <v>149038.46153846153</v>
      </c>
      <c r="Y2404" s="13">
        <f t="shared" si="353"/>
        <v>0</v>
      </c>
      <c r="Z2404" s="2">
        <v>0</v>
      </c>
      <c r="AA2404" s="4">
        <v>0</v>
      </c>
      <c r="AB2404" s="4">
        <f t="shared" si="354"/>
        <v>149038.46153846153</v>
      </c>
      <c r="AC2404" s="6">
        <f t="shared" si="355"/>
        <v>5961.5384615384683</v>
      </c>
      <c r="AD2404" s="13">
        <f t="shared" si="359"/>
        <v>155000</v>
      </c>
      <c r="AE2404" s="2">
        <v>0.09</v>
      </c>
      <c r="AF2404" s="5">
        <f t="shared" si="356"/>
        <v>13950</v>
      </c>
      <c r="AG2404" s="2">
        <v>0</v>
      </c>
      <c r="AH2404" s="5">
        <f t="shared" si="360"/>
        <v>155000</v>
      </c>
      <c r="AJ2404" s="126" t="e">
        <v>#N/A</v>
      </c>
      <c r="AK2404" s="80">
        <f t="shared" si="357"/>
        <v>0</v>
      </c>
      <c r="AM2404" s="85"/>
    </row>
    <row r="2405" spans="1:39" hidden="1" x14ac:dyDescent="0.3">
      <c r="A2405" s="85" t="s">
        <v>34</v>
      </c>
      <c r="B2405" s="3" t="s">
        <v>35</v>
      </c>
      <c r="C2405" s="3" t="s">
        <v>144</v>
      </c>
      <c r="D2405" s="3" t="s">
        <v>152</v>
      </c>
      <c r="E2405" s="3" t="s">
        <v>1468</v>
      </c>
      <c r="F2405" s="3" t="s">
        <v>1468</v>
      </c>
      <c r="G2405" s="3" t="s">
        <v>1468</v>
      </c>
      <c r="I2405" s="3" t="s">
        <v>2935</v>
      </c>
      <c r="J2405" s="1" t="s">
        <v>3302</v>
      </c>
      <c r="K2405" s="1" t="s">
        <v>3281</v>
      </c>
      <c r="L2405" s="1" t="s">
        <v>35</v>
      </c>
      <c r="M2405" s="3" t="s">
        <v>1468</v>
      </c>
      <c r="O2405" s="1" t="s">
        <v>410</v>
      </c>
      <c r="P2405" s="1" t="s">
        <v>46</v>
      </c>
      <c r="Q2405" s="2">
        <v>0.02</v>
      </c>
      <c r="R2405" s="138">
        <v>46082</v>
      </c>
      <c r="T2405" s="4">
        <v>37636.160000000003</v>
      </c>
      <c r="U2405" s="4">
        <v>52379.54</v>
      </c>
      <c r="V2405" s="4">
        <v>40400</v>
      </c>
      <c r="W2405" s="13">
        <f t="shared" si="358"/>
        <v>49615.700000000012</v>
      </c>
      <c r="X2405" s="13">
        <f t="shared" si="361"/>
        <v>39607.843137254902</v>
      </c>
      <c r="Y2405" s="13">
        <f t="shared" si="353"/>
        <v>0</v>
      </c>
      <c r="Z2405" s="2">
        <v>0</v>
      </c>
      <c r="AA2405" s="4">
        <v>0</v>
      </c>
      <c r="AB2405" s="4">
        <f t="shared" si="354"/>
        <v>39607.843137254902</v>
      </c>
      <c r="AC2405" s="6">
        <f t="shared" si="355"/>
        <v>792.1568627450979</v>
      </c>
      <c r="AD2405" s="13">
        <f t="shared" si="359"/>
        <v>40400</v>
      </c>
      <c r="AE2405" s="2">
        <v>0.09</v>
      </c>
      <c r="AF2405" s="5">
        <f t="shared" si="356"/>
        <v>3636</v>
      </c>
      <c r="AG2405" s="2">
        <v>0</v>
      </c>
      <c r="AH2405" s="5">
        <f t="shared" si="360"/>
        <v>40400</v>
      </c>
      <c r="AJ2405" s="126" t="e">
        <v>#N/A</v>
      </c>
      <c r="AK2405" s="80">
        <f t="shared" si="357"/>
        <v>0</v>
      </c>
      <c r="AM2405" s="85"/>
    </row>
    <row r="2406" spans="1:39" hidden="1" x14ac:dyDescent="0.3">
      <c r="A2406" s="85" t="s">
        <v>34</v>
      </c>
      <c r="B2406" s="3" t="s">
        <v>35</v>
      </c>
      <c r="C2406" s="3" t="s">
        <v>144</v>
      </c>
      <c r="D2406" s="3" t="s">
        <v>152</v>
      </c>
      <c r="E2406" s="3" t="s">
        <v>2997</v>
      </c>
      <c r="F2406" s="3" t="s">
        <v>2997</v>
      </c>
      <c r="G2406" s="3" t="s">
        <v>2997</v>
      </c>
      <c r="I2406" s="3" t="s">
        <v>2935</v>
      </c>
      <c r="J2406" s="1" t="s">
        <v>3302</v>
      </c>
      <c r="K2406" s="1" t="s">
        <v>3281</v>
      </c>
      <c r="L2406" s="1" t="s">
        <v>35</v>
      </c>
      <c r="M2406" s="3" t="s">
        <v>2997</v>
      </c>
      <c r="O2406" s="1" t="s">
        <v>410</v>
      </c>
      <c r="P2406" s="1" t="s">
        <v>41</v>
      </c>
      <c r="Q2406" s="2">
        <v>0</v>
      </c>
      <c r="R2406" s="138">
        <v>129832</v>
      </c>
      <c r="T2406" s="4">
        <v>0</v>
      </c>
      <c r="U2406" s="4">
        <v>50000</v>
      </c>
      <c r="V2406" s="4">
        <v>26859.129999999983</v>
      </c>
      <c r="W2406" s="13">
        <f t="shared" si="358"/>
        <v>23140.870000000017</v>
      </c>
      <c r="X2406" s="13">
        <f t="shared" si="361"/>
        <v>26859.129999999983</v>
      </c>
      <c r="Y2406" s="13">
        <f t="shared" si="353"/>
        <v>0</v>
      </c>
      <c r="Z2406" s="2">
        <v>0</v>
      </c>
      <c r="AA2406" s="4">
        <v>0</v>
      </c>
      <c r="AB2406" s="4">
        <f t="shared" si="354"/>
        <v>26859.129999999983</v>
      </c>
      <c r="AC2406" s="6">
        <f t="shared" si="355"/>
        <v>0</v>
      </c>
      <c r="AD2406" s="13">
        <f t="shared" si="359"/>
        <v>26859.129999999983</v>
      </c>
      <c r="AE2406" s="2">
        <v>0.09</v>
      </c>
      <c r="AF2406" s="5">
        <f t="shared" si="356"/>
        <v>2417.3216999999981</v>
      </c>
      <c r="AG2406" s="2">
        <v>0</v>
      </c>
      <c r="AH2406" s="5">
        <f t="shared" si="360"/>
        <v>26859.129999999983</v>
      </c>
      <c r="AJ2406" s="126" t="e">
        <v>#N/A</v>
      </c>
      <c r="AK2406" s="80">
        <f t="shared" si="357"/>
        <v>0</v>
      </c>
      <c r="AM2406" s="85"/>
    </row>
    <row r="2407" spans="1:39" hidden="1" x14ac:dyDescent="0.3">
      <c r="A2407" s="85" t="s">
        <v>34</v>
      </c>
      <c r="B2407" s="3" t="s">
        <v>35</v>
      </c>
      <c r="C2407" s="3" t="s">
        <v>144</v>
      </c>
      <c r="D2407" s="3" t="s">
        <v>152</v>
      </c>
      <c r="E2407" s="3" t="s">
        <v>159</v>
      </c>
      <c r="F2407" s="3" t="s">
        <v>159</v>
      </c>
      <c r="G2407" s="3" t="s">
        <v>159</v>
      </c>
      <c r="I2407" s="3" t="s">
        <v>2935</v>
      </c>
      <c r="J2407" s="1" t="s">
        <v>3302</v>
      </c>
      <c r="K2407" s="1" t="s">
        <v>3281</v>
      </c>
      <c r="L2407" s="1" t="s">
        <v>35</v>
      </c>
      <c r="M2407" s="3" t="s">
        <v>159</v>
      </c>
      <c r="O2407" s="1" t="s">
        <v>45</v>
      </c>
      <c r="P2407" s="1" t="s">
        <v>46</v>
      </c>
      <c r="Q2407" s="2">
        <v>0.05</v>
      </c>
      <c r="R2407" s="138">
        <v>9812</v>
      </c>
      <c r="T2407" s="4">
        <v>-132155.6</v>
      </c>
      <c r="U2407" s="4">
        <v>3516.72</v>
      </c>
      <c r="V2407" s="4">
        <v>25460.38</v>
      </c>
      <c r="W2407" s="13">
        <f t="shared" si="358"/>
        <v>-154099.26</v>
      </c>
      <c r="X2407" s="13">
        <f t="shared" si="361"/>
        <v>24247.980952380953</v>
      </c>
      <c r="Y2407" s="13">
        <f t="shared" si="353"/>
        <v>0</v>
      </c>
      <c r="Z2407" s="2">
        <v>0</v>
      </c>
      <c r="AA2407" s="4">
        <v>0</v>
      </c>
      <c r="AB2407" s="4">
        <f t="shared" si="354"/>
        <v>24247.980952380953</v>
      </c>
      <c r="AC2407" s="6">
        <f t="shared" si="355"/>
        <v>1212.3990476190484</v>
      </c>
      <c r="AD2407" s="13">
        <f t="shared" si="359"/>
        <v>25460.38</v>
      </c>
      <c r="AE2407" s="2">
        <v>0.18</v>
      </c>
      <c r="AF2407" s="5">
        <f t="shared" si="356"/>
        <v>4582.8684000000003</v>
      </c>
      <c r="AG2407" s="2">
        <v>0</v>
      </c>
      <c r="AH2407" s="5">
        <f t="shared" si="360"/>
        <v>25460.38</v>
      </c>
      <c r="AJ2407" s="126" t="e">
        <v>#N/A</v>
      </c>
      <c r="AK2407" s="80">
        <f t="shared" si="357"/>
        <v>0</v>
      </c>
      <c r="AM2407" s="85"/>
    </row>
    <row r="2408" spans="1:39" hidden="1" x14ac:dyDescent="0.3">
      <c r="A2408" s="85" t="s">
        <v>34</v>
      </c>
      <c r="B2408" s="3" t="s">
        <v>35</v>
      </c>
      <c r="C2408" s="3" t="s">
        <v>144</v>
      </c>
      <c r="D2408" s="3" t="s">
        <v>152</v>
      </c>
      <c r="E2408" s="3" t="s">
        <v>159</v>
      </c>
      <c r="F2408" s="3" t="s">
        <v>159</v>
      </c>
      <c r="G2408" s="3" t="s">
        <v>159</v>
      </c>
      <c r="I2408" s="3" t="s">
        <v>2935</v>
      </c>
      <c r="J2408" s="1" t="s">
        <v>3302</v>
      </c>
      <c r="K2408" s="1" t="s">
        <v>3281</v>
      </c>
      <c r="L2408" s="1" t="s">
        <v>35</v>
      </c>
      <c r="M2408" s="3" t="s">
        <v>159</v>
      </c>
      <c r="O2408" s="1" t="s">
        <v>410</v>
      </c>
      <c r="P2408" s="1" t="s">
        <v>46</v>
      </c>
      <c r="Q2408" s="2">
        <v>0.02</v>
      </c>
      <c r="R2408" s="138">
        <v>9812</v>
      </c>
      <c r="T2408" s="4">
        <v>153277.06000000006</v>
      </c>
      <c r="U2408" s="4">
        <v>2193000</v>
      </c>
      <c r="V2408" s="4">
        <v>1901405.38</v>
      </c>
      <c r="W2408" s="13">
        <f t="shared" si="358"/>
        <v>444871.68000000017</v>
      </c>
      <c r="X2408" s="13">
        <f t="shared" si="361"/>
        <v>1864122.9215686272</v>
      </c>
      <c r="Y2408" s="13">
        <f t="shared" si="353"/>
        <v>0</v>
      </c>
      <c r="Z2408" s="2">
        <v>0</v>
      </c>
      <c r="AA2408" s="4">
        <v>0</v>
      </c>
      <c r="AB2408" s="4">
        <f t="shared" si="354"/>
        <v>1864122.9215686272</v>
      </c>
      <c r="AC2408" s="6">
        <f t="shared" si="355"/>
        <v>37282.458431372652</v>
      </c>
      <c r="AD2408" s="13">
        <f t="shared" si="359"/>
        <v>1901405.38</v>
      </c>
      <c r="AE2408" s="2">
        <v>0.09</v>
      </c>
      <c r="AF2408" s="5">
        <f t="shared" si="356"/>
        <v>171126.48419999998</v>
      </c>
      <c r="AG2408" s="2">
        <v>0</v>
      </c>
      <c r="AH2408" s="5">
        <f t="shared" si="360"/>
        <v>1901405.38</v>
      </c>
      <c r="AJ2408" s="126" t="e">
        <v>#N/A</v>
      </c>
      <c r="AK2408" s="80">
        <f t="shared" si="357"/>
        <v>0</v>
      </c>
      <c r="AM2408" s="85"/>
    </row>
    <row r="2409" spans="1:39" hidden="1" x14ac:dyDescent="0.3">
      <c r="A2409" s="85" t="s">
        <v>34</v>
      </c>
      <c r="B2409" s="3" t="s">
        <v>35</v>
      </c>
      <c r="C2409" s="3" t="s">
        <v>144</v>
      </c>
      <c r="D2409" s="3" t="s">
        <v>152</v>
      </c>
      <c r="E2409" s="3" t="s">
        <v>159</v>
      </c>
      <c r="F2409" s="3" t="s">
        <v>159</v>
      </c>
      <c r="G2409" s="3" t="s">
        <v>159</v>
      </c>
      <c r="I2409" s="3" t="s">
        <v>2935</v>
      </c>
      <c r="J2409" s="1" t="s">
        <v>3302</v>
      </c>
      <c r="K2409" s="1" t="s">
        <v>3281</v>
      </c>
      <c r="L2409" s="1" t="s">
        <v>35</v>
      </c>
      <c r="M2409" s="3" t="s">
        <v>159</v>
      </c>
      <c r="O2409" s="1" t="s">
        <v>410</v>
      </c>
      <c r="P2409" s="1" t="s">
        <v>46</v>
      </c>
      <c r="Q2409" s="2">
        <v>0.02</v>
      </c>
      <c r="R2409" s="138">
        <v>228402</v>
      </c>
      <c r="T2409" s="4">
        <v>0</v>
      </c>
      <c r="U2409" s="4">
        <v>102000</v>
      </c>
      <c r="V2409" s="4">
        <v>52344.2</v>
      </c>
      <c r="W2409" s="13">
        <f t="shared" si="358"/>
        <v>49655.8</v>
      </c>
      <c r="X2409" s="13">
        <f t="shared" si="361"/>
        <v>51317.843137254895</v>
      </c>
      <c r="Y2409" s="13">
        <f t="shared" si="353"/>
        <v>0</v>
      </c>
      <c r="Z2409" s="2">
        <v>0</v>
      </c>
      <c r="AA2409" s="4">
        <v>0</v>
      </c>
      <c r="AB2409" s="4">
        <f t="shared" si="354"/>
        <v>51317.843137254895</v>
      </c>
      <c r="AC2409" s="6">
        <f t="shared" si="355"/>
        <v>1026.3568627451023</v>
      </c>
      <c r="AD2409" s="13">
        <f t="shared" si="359"/>
        <v>52344.2</v>
      </c>
      <c r="AE2409" s="2">
        <v>0.09</v>
      </c>
      <c r="AF2409" s="5">
        <f t="shared" si="356"/>
        <v>4710.9779999999992</v>
      </c>
      <c r="AG2409" s="2">
        <v>0</v>
      </c>
      <c r="AH2409" s="5">
        <f t="shared" si="360"/>
        <v>52344.2</v>
      </c>
      <c r="AJ2409" s="126" t="e">
        <v>#N/A</v>
      </c>
      <c r="AK2409" s="80">
        <f t="shared" si="357"/>
        <v>0</v>
      </c>
      <c r="AM2409" s="85"/>
    </row>
    <row r="2410" spans="1:39" hidden="1" x14ac:dyDescent="0.3">
      <c r="A2410" s="85" t="s">
        <v>34</v>
      </c>
      <c r="B2410" s="3" t="s">
        <v>35</v>
      </c>
      <c r="C2410" s="3" t="s">
        <v>144</v>
      </c>
      <c r="D2410" s="3" t="s">
        <v>152</v>
      </c>
      <c r="E2410" s="3" t="s">
        <v>2998</v>
      </c>
      <c r="F2410" s="3" t="s">
        <v>2998</v>
      </c>
      <c r="G2410" s="3" t="s">
        <v>2998</v>
      </c>
      <c r="I2410" s="3" t="s">
        <v>2935</v>
      </c>
      <c r="J2410" s="1" t="s">
        <v>3302</v>
      </c>
      <c r="K2410" s="1" t="s">
        <v>3281</v>
      </c>
      <c r="L2410" s="1" t="s">
        <v>35</v>
      </c>
      <c r="M2410" s="3" t="s">
        <v>2998</v>
      </c>
      <c r="O2410" s="1" t="s">
        <v>410</v>
      </c>
      <c r="P2410" s="1" t="s">
        <v>41</v>
      </c>
      <c r="Q2410" s="2">
        <v>0</v>
      </c>
      <c r="R2410" s="138">
        <v>158142</v>
      </c>
      <c r="T2410" s="4">
        <v>0</v>
      </c>
      <c r="U2410" s="4">
        <v>80000</v>
      </c>
      <c r="V2410" s="4">
        <v>61921.95</v>
      </c>
      <c r="W2410" s="13">
        <f t="shared" si="358"/>
        <v>18078.050000000003</v>
      </c>
      <c r="X2410" s="13">
        <f t="shared" si="361"/>
        <v>61921.95</v>
      </c>
      <c r="Y2410" s="13">
        <f t="shared" si="353"/>
        <v>0</v>
      </c>
      <c r="Z2410" s="2">
        <v>0</v>
      </c>
      <c r="AA2410" s="4">
        <v>0</v>
      </c>
      <c r="AB2410" s="4">
        <f t="shared" si="354"/>
        <v>61921.95</v>
      </c>
      <c r="AC2410" s="6">
        <f t="shared" si="355"/>
        <v>0</v>
      </c>
      <c r="AD2410" s="13">
        <f t="shared" si="359"/>
        <v>61921.95</v>
      </c>
      <c r="AE2410" s="2">
        <v>0.09</v>
      </c>
      <c r="AF2410" s="5">
        <f t="shared" si="356"/>
        <v>5572.9754999999996</v>
      </c>
      <c r="AG2410" s="2">
        <v>0</v>
      </c>
      <c r="AH2410" s="5">
        <f t="shared" si="360"/>
        <v>61921.95</v>
      </c>
      <c r="AJ2410" s="126" t="e">
        <v>#N/A</v>
      </c>
      <c r="AK2410" s="80">
        <f t="shared" si="357"/>
        <v>0</v>
      </c>
      <c r="AM2410" s="85"/>
    </row>
    <row r="2411" spans="1:39" hidden="1" x14ac:dyDescent="0.3">
      <c r="A2411" s="85" t="s">
        <v>34</v>
      </c>
      <c r="B2411" s="3" t="s">
        <v>35</v>
      </c>
      <c r="C2411" s="3" t="s">
        <v>144</v>
      </c>
      <c r="D2411" s="3" t="s">
        <v>152</v>
      </c>
      <c r="E2411" s="3" t="s">
        <v>1478</v>
      </c>
      <c r="F2411" s="3" t="s">
        <v>1478</v>
      </c>
      <c r="G2411" s="3" t="s">
        <v>1478</v>
      </c>
      <c r="H2411" s="138"/>
      <c r="I2411" s="3" t="s">
        <v>2935</v>
      </c>
      <c r="J2411" s="1" t="s">
        <v>3302</v>
      </c>
      <c r="K2411" s="1" t="s">
        <v>3281</v>
      </c>
      <c r="L2411" s="1" t="s">
        <v>35</v>
      </c>
      <c r="M2411" s="3" t="s">
        <v>2999</v>
      </c>
      <c r="O2411" s="1" t="s">
        <v>45</v>
      </c>
      <c r="P2411" s="1" t="s">
        <v>46</v>
      </c>
      <c r="Q2411" s="2">
        <v>0.1</v>
      </c>
      <c r="R2411" s="138">
        <v>246482</v>
      </c>
      <c r="T2411" s="4">
        <v>0</v>
      </c>
      <c r="U2411" s="4">
        <v>10000</v>
      </c>
      <c r="V2411" s="4">
        <v>0</v>
      </c>
      <c r="W2411" s="13">
        <f t="shared" si="358"/>
        <v>10000</v>
      </c>
      <c r="X2411" s="13">
        <f t="shared" si="361"/>
        <v>0</v>
      </c>
      <c r="Y2411" s="13">
        <f t="shared" si="353"/>
        <v>0</v>
      </c>
      <c r="Z2411" s="2">
        <v>0</v>
      </c>
      <c r="AA2411" s="4">
        <v>0</v>
      </c>
      <c r="AB2411" s="4">
        <f t="shared" si="354"/>
        <v>0</v>
      </c>
      <c r="AC2411" s="6">
        <f t="shared" si="355"/>
        <v>0</v>
      </c>
      <c r="AD2411" s="13">
        <f t="shared" si="359"/>
        <v>0</v>
      </c>
      <c r="AE2411" s="2">
        <v>0.18</v>
      </c>
      <c r="AF2411" s="5">
        <f t="shared" si="356"/>
        <v>0</v>
      </c>
      <c r="AG2411" s="2">
        <v>0</v>
      </c>
      <c r="AH2411" s="5">
        <f t="shared" si="360"/>
        <v>0</v>
      </c>
      <c r="AJ2411" s="126" t="e">
        <v>#N/A</v>
      </c>
      <c r="AK2411" s="80">
        <f t="shared" si="357"/>
        <v>0</v>
      </c>
      <c r="AM2411" s="85"/>
    </row>
    <row r="2412" spans="1:39" hidden="1" x14ac:dyDescent="0.3">
      <c r="A2412" s="85" t="s">
        <v>34</v>
      </c>
      <c r="B2412" s="3" t="s">
        <v>35</v>
      </c>
      <c r="C2412" s="3" t="s">
        <v>144</v>
      </c>
      <c r="D2412" s="3" t="s">
        <v>152</v>
      </c>
      <c r="E2412" s="3" t="s">
        <v>160</v>
      </c>
      <c r="F2412" s="3" t="s">
        <v>160</v>
      </c>
      <c r="G2412" s="3" t="s">
        <v>160</v>
      </c>
      <c r="H2412" s="138"/>
      <c r="I2412" s="3" t="s">
        <v>2935</v>
      </c>
      <c r="J2412" s="1" t="s">
        <v>3302</v>
      </c>
      <c r="K2412" s="1" t="s">
        <v>3281</v>
      </c>
      <c r="L2412" s="1" t="s">
        <v>35</v>
      </c>
      <c r="M2412" s="3" t="s">
        <v>160</v>
      </c>
      <c r="O2412" s="1" t="s">
        <v>45</v>
      </c>
      <c r="P2412" s="1" t="s">
        <v>46</v>
      </c>
      <c r="Q2412" s="2">
        <v>0.04</v>
      </c>
      <c r="R2412" s="138">
        <v>5052</v>
      </c>
      <c r="T2412" s="4">
        <v>0</v>
      </c>
      <c r="U2412" s="4">
        <v>469.8</v>
      </c>
      <c r="V2412" s="4">
        <v>0</v>
      </c>
      <c r="W2412" s="13">
        <f t="shared" si="358"/>
        <v>469.8</v>
      </c>
      <c r="X2412" s="13">
        <f t="shared" si="361"/>
        <v>0</v>
      </c>
      <c r="Y2412" s="13">
        <f t="shared" si="353"/>
        <v>0</v>
      </c>
      <c r="Z2412" s="2">
        <v>0</v>
      </c>
      <c r="AA2412" s="4">
        <v>0</v>
      </c>
      <c r="AB2412" s="4">
        <f t="shared" si="354"/>
        <v>0</v>
      </c>
      <c r="AC2412" s="6">
        <f t="shared" si="355"/>
        <v>0</v>
      </c>
      <c r="AD2412" s="13">
        <f t="shared" si="359"/>
        <v>0</v>
      </c>
      <c r="AE2412" s="2">
        <v>0.18</v>
      </c>
      <c r="AF2412" s="5">
        <f t="shared" si="356"/>
        <v>0</v>
      </c>
      <c r="AG2412" s="2">
        <v>0</v>
      </c>
      <c r="AH2412" s="5">
        <f t="shared" si="360"/>
        <v>0</v>
      </c>
      <c r="AJ2412" s="126" t="e">
        <v>#N/A</v>
      </c>
      <c r="AK2412" s="80">
        <f t="shared" si="357"/>
        <v>0</v>
      </c>
      <c r="AM2412" s="85"/>
    </row>
    <row r="2413" spans="1:39" hidden="1" x14ac:dyDescent="0.3">
      <c r="A2413" s="85" t="s">
        <v>34</v>
      </c>
      <c r="B2413" s="3" t="s">
        <v>35</v>
      </c>
      <c r="C2413" s="3" t="s">
        <v>144</v>
      </c>
      <c r="D2413" s="3" t="s">
        <v>152</v>
      </c>
      <c r="E2413" s="3" t="s">
        <v>160</v>
      </c>
      <c r="F2413" s="3" t="s">
        <v>160</v>
      </c>
      <c r="G2413" s="3" t="s">
        <v>160</v>
      </c>
      <c r="H2413" s="138"/>
      <c r="I2413" s="3" t="s">
        <v>2935</v>
      </c>
      <c r="J2413" s="1" t="s">
        <v>3302</v>
      </c>
      <c r="K2413" s="1" t="s">
        <v>3281</v>
      </c>
      <c r="L2413" s="1" t="s">
        <v>35</v>
      </c>
      <c r="M2413" s="3" t="s">
        <v>160</v>
      </c>
      <c r="O2413" s="1" t="s">
        <v>410</v>
      </c>
      <c r="P2413" s="1" t="s">
        <v>46</v>
      </c>
      <c r="Q2413" s="2">
        <v>0.02</v>
      </c>
      <c r="R2413" s="138">
        <v>5052</v>
      </c>
      <c r="T2413" s="4">
        <v>0</v>
      </c>
      <c r="U2413" s="4">
        <v>1.18</v>
      </c>
      <c r="V2413" s="4">
        <v>0</v>
      </c>
      <c r="W2413" s="13">
        <f t="shared" si="358"/>
        <v>1.18</v>
      </c>
      <c r="X2413" s="13">
        <f t="shared" si="361"/>
        <v>0</v>
      </c>
      <c r="Y2413" s="13">
        <f t="shared" si="353"/>
        <v>0</v>
      </c>
      <c r="Z2413" s="2">
        <v>0</v>
      </c>
      <c r="AA2413" s="4">
        <v>0</v>
      </c>
      <c r="AB2413" s="4">
        <f t="shared" si="354"/>
        <v>0</v>
      </c>
      <c r="AC2413" s="6">
        <f t="shared" si="355"/>
        <v>0</v>
      </c>
      <c r="AD2413" s="13">
        <f t="shared" si="359"/>
        <v>0</v>
      </c>
      <c r="AE2413" s="2">
        <v>0.09</v>
      </c>
      <c r="AF2413" s="5">
        <f t="shared" si="356"/>
        <v>0</v>
      </c>
      <c r="AG2413" s="2">
        <v>0</v>
      </c>
      <c r="AH2413" s="5">
        <f t="shared" si="360"/>
        <v>0</v>
      </c>
      <c r="AJ2413" s="126" t="e">
        <v>#N/A</v>
      </c>
      <c r="AK2413" s="80">
        <f t="shared" si="357"/>
        <v>0</v>
      </c>
      <c r="AM2413" s="85"/>
    </row>
    <row r="2414" spans="1:39" hidden="1" x14ac:dyDescent="0.3">
      <c r="A2414" s="85" t="s">
        <v>34</v>
      </c>
      <c r="B2414" s="3" t="s">
        <v>35</v>
      </c>
      <c r="C2414" s="3" t="s">
        <v>144</v>
      </c>
      <c r="D2414" s="3" t="s">
        <v>152</v>
      </c>
      <c r="E2414" s="3" t="s">
        <v>1482</v>
      </c>
      <c r="F2414" s="3" t="s">
        <v>1482</v>
      </c>
      <c r="G2414" s="3" t="s">
        <v>1482</v>
      </c>
      <c r="I2414" s="3" t="s">
        <v>2935</v>
      </c>
      <c r="J2414" s="1" t="s">
        <v>3302</v>
      </c>
      <c r="K2414" s="1" t="s">
        <v>3281</v>
      </c>
      <c r="L2414" s="1" t="s">
        <v>35</v>
      </c>
      <c r="M2414" s="3" t="s">
        <v>1482</v>
      </c>
      <c r="O2414" s="1" t="s">
        <v>410</v>
      </c>
      <c r="P2414" s="1" t="s">
        <v>41</v>
      </c>
      <c r="Q2414" s="2">
        <v>0</v>
      </c>
      <c r="R2414" s="138">
        <v>244522</v>
      </c>
      <c r="T2414" s="4">
        <v>0</v>
      </c>
      <c r="U2414" s="4">
        <v>5000</v>
      </c>
      <c r="V2414" s="4">
        <v>714</v>
      </c>
      <c r="W2414" s="13">
        <f t="shared" si="358"/>
        <v>4286</v>
      </c>
      <c r="X2414" s="13">
        <f t="shared" si="361"/>
        <v>714</v>
      </c>
      <c r="Y2414" s="13">
        <f t="shared" si="353"/>
        <v>0</v>
      </c>
      <c r="Z2414" s="2">
        <v>0</v>
      </c>
      <c r="AA2414" s="4">
        <v>0</v>
      </c>
      <c r="AB2414" s="4">
        <f t="shared" si="354"/>
        <v>714</v>
      </c>
      <c r="AC2414" s="6">
        <f t="shared" si="355"/>
        <v>0</v>
      </c>
      <c r="AD2414" s="13">
        <f t="shared" si="359"/>
        <v>714</v>
      </c>
      <c r="AE2414" s="2">
        <v>0.09</v>
      </c>
      <c r="AF2414" s="5">
        <f t="shared" si="356"/>
        <v>64.259999999999991</v>
      </c>
      <c r="AG2414" s="2">
        <v>0</v>
      </c>
      <c r="AH2414" s="5">
        <f t="shared" si="360"/>
        <v>714</v>
      </c>
      <c r="AJ2414" s="126" t="e">
        <v>#N/A</v>
      </c>
      <c r="AK2414" s="80">
        <f t="shared" si="357"/>
        <v>0</v>
      </c>
      <c r="AM2414" s="85"/>
    </row>
    <row r="2415" spans="1:39" hidden="1" x14ac:dyDescent="0.3">
      <c r="A2415" s="85" t="s">
        <v>34</v>
      </c>
      <c r="B2415" s="3" t="s">
        <v>35</v>
      </c>
      <c r="C2415" s="3" t="s">
        <v>144</v>
      </c>
      <c r="D2415" s="3" t="s">
        <v>152</v>
      </c>
      <c r="E2415" s="3" t="s">
        <v>1496</v>
      </c>
      <c r="F2415" s="3" t="s">
        <v>1497</v>
      </c>
      <c r="G2415" s="3" t="s">
        <v>1496</v>
      </c>
      <c r="H2415" s="138"/>
      <c r="I2415" s="3" t="s">
        <v>2935</v>
      </c>
      <c r="J2415" s="1" t="s">
        <v>3302</v>
      </c>
      <c r="K2415" s="1" t="s">
        <v>3281</v>
      </c>
      <c r="L2415" s="1" t="s">
        <v>35</v>
      </c>
      <c r="M2415" s="3" t="s">
        <v>1498</v>
      </c>
      <c r="O2415" s="1" t="s">
        <v>410</v>
      </c>
      <c r="P2415" s="1" t="s">
        <v>46</v>
      </c>
      <c r="Q2415" s="2">
        <v>0.04</v>
      </c>
      <c r="R2415" s="138">
        <v>219062</v>
      </c>
      <c r="T2415" s="4">
        <v>0</v>
      </c>
      <c r="U2415" s="4">
        <v>0</v>
      </c>
      <c r="V2415" s="4">
        <v>0</v>
      </c>
      <c r="W2415" s="13">
        <f t="shared" si="358"/>
        <v>0</v>
      </c>
      <c r="X2415" s="13">
        <f t="shared" si="361"/>
        <v>0</v>
      </c>
      <c r="Y2415" s="13">
        <f t="shared" si="353"/>
        <v>0</v>
      </c>
      <c r="Z2415" s="2">
        <v>0</v>
      </c>
      <c r="AA2415" s="4">
        <v>0</v>
      </c>
      <c r="AB2415" s="4">
        <f t="shared" si="354"/>
        <v>0</v>
      </c>
      <c r="AC2415" s="6">
        <f t="shared" si="355"/>
        <v>0</v>
      </c>
      <c r="AD2415" s="13">
        <f t="shared" si="359"/>
        <v>0</v>
      </c>
      <c r="AE2415" s="2">
        <v>0.09</v>
      </c>
      <c r="AF2415" s="5">
        <f t="shared" si="356"/>
        <v>0</v>
      </c>
      <c r="AG2415" s="2">
        <v>0</v>
      </c>
      <c r="AH2415" s="5">
        <f t="shared" si="360"/>
        <v>0</v>
      </c>
      <c r="AJ2415" s="126" t="e">
        <v>#N/A</v>
      </c>
      <c r="AK2415" s="80">
        <f t="shared" si="357"/>
        <v>0</v>
      </c>
      <c r="AM2415" s="85"/>
    </row>
    <row r="2416" spans="1:39" hidden="1" x14ac:dyDescent="0.3">
      <c r="A2416" s="85" t="s">
        <v>34</v>
      </c>
      <c r="B2416" s="3" t="s">
        <v>35</v>
      </c>
      <c r="C2416" s="3" t="s">
        <v>144</v>
      </c>
      <c r="D2416" s="3" t="s">
        <v>152</v>
      </c>
      <c r="E2416" s="3" t="s">
        <v>3000</v>
      </c>
      <c r="F2416" s="3" t="s">
        <v>3000</v>
      </c>
      <c r="G2416" s="3" t="s">
        <v>3000</v>
      </c>
      <c r="I2416" s="3" t="s">
        <v>2935</v>
      </c>
      <c r="J2416" s="1" t="s">
        <v>3302</v>
      </c>
      <c r="K2416" s="1" t="s">
        <v>3281</v>
      </c>
      <c r="L2416" s="1" t="s">
        <v>35</v>
      </c>
      <c r="M2416" s="3" t="s">
        <v>3000</v>
      </c>
      <c r="O2416" s="1" t="s">
        <v>410</v>
      </c>
      <c r="P2416" s="1" t="s">
        <v>41</v>
      </c>
      <c r="Q2416" s="2">
        <v>0</v>
      </c>
      <c r="R2416" s="138">
        <v>142322</v>
      </c>
      <c r="T2416" s="4">
        <v>0</v>
      </c>
      <c r="U2416" s="4">
        <v>15000</v>
      </c>
      <c r="V2416" s="4">
        <v>15000</v>
      </c>
      <c r="W2416" s="13">
        <f t="shared" si="358"/>
        <v>0</v>
      </c>
      <c r="X2416" s="13">
        <f t="shared" si="361"/>
        <v>15000</v>
      </c>
      <c r="Y2416" s="13">
        <f t="shared" si="353"/>
        <v>0</v>
      </c>
      <c r="Z2416" s="2">
        <v>0</v>
      </c>
      <c r="AA2416" s="4">
        <v>0</v>
      </c>
      <c r="AB2416" s="4">
        <f t="shared" si="354"/>
        <v>15000</v>
      </c>
      <c r="AC2416" s="6">
        <f t="shared" si="355"/>
        <v>0</v>
      </c>
      <c r="AD2416" s="13">
        <f t="shared" si="359"/>
        <v>15000</v>
      </c>
      <c r="AE2416" s="2">
        <v>0.09</v>
      </c>
      <c r="AF2416" s="5">
        <f t="shared" si="356"/>
        <v>1350</v>
      </c>
      <c r="AG2416" s="2">
        <v>0</v>
      </c>
      <c r="AH2416" s="5">
        <f t="shared" si="360"/>
        <v>15000</v>
      </c>
      <c r="AJ2416" s="126" t="e">
        <v>#N/A</v>
      </c>
      <c r="AK2416" s="80">
        <f t="shared" si="357"/>
        <v>0</v>
      </c>
      <c r="AM2416" s="85"/>
    </row>
    <row r="2417" spans="1:39" hidden="1" x14ac:dyDescent="0.3">
      <c r="A2417" s="85" t="s">
        <v>34</v>
      </c>
      <c r="B2417" s="3" t="s">
        <v>35</v>
      </c>
      <c r="C2417" s="3" t="s">
        <v>144</v>
      </c>
      <c r="D2417" s="3" t="s">
        <v>161</v>
      </c>
      <c r="E2417" s="3" t="s">
        <v>3001</v>
      </c>
      <c r="F2417" s="3" t="s">
        <v>3002</v>
      </c>
      <c r="G2417" s="3" t="s">
        <v>3001</v>
      </c>
      <c r="I2417" s="3" t="s">
        <v>2935</v>
      </c>
      <c r="J2417" s="1" t="s">
        <v>3302</v>
      </c>
      <c r="K2417" s="1" t="s">
        <v>3281</v>
      </c>
      <c r="L2417" s="1" t="s">
        <v>35</v>
      </c>
      <c r="M2417" s="3" t="s">
        <v>3003</v>
      </c>
      <c r="O2417" s="1" t="s">
        <v>410</v>
      </c>
      <c r="P2417" s="1" t="s">
        <v>46</v>
      </c>
      <c r="Q2417" s="2">
        <v>0.02</v>
      </c>
      <c r="R2417" s="138">
        <v>243732</v>
      </c>
      <c r="T2417" s="4">
        <v>0</v>
      </c>
      <c r="U2417" s="4">
        <v>10200</v>
      </c>
      <c r="V2417" s="4">
        <v>2887.8</v>
      </c>
      <c r="W2417" s="13">
        <f t="shared" si="358"/>
        <v>7312.2</v>
      </c>
      <c r="X2417" s="13">
        <f t="shared" si="361"/>
        <v>2831.1764705882356</v>
      </c>
      <c r="Y2417" s="13">
        <f t="shared" si="353"/>
        <v>0</v>
      </c>
      <c r="Z2417" s="2">
        <v>0</v>
      </c>
      <c r="AA2417" s="4">
        <v>0</v>
      </c>
      <c r="AB2417" s="4">
        <f t="shared" si="354"/>
        <v>2831.1764705882356</v>
      </c>
      <c r="AC2417" s="6">
        <f t="shared" si="355"/>
        <v>56.623529411764594</v>
      </c>
      <c r="AD2417" s="13">
        <f t="shared" si="359"/>
        <v>2887.8</v>
      </c>
      <c r="AE2417" s="2">
        <v>0.09</v>
      </c>
      <c r="AF2417" s="5">
        <f t="shared" si="356"/>
        <v>259.90199999999999</v>
      </c>
      <c r="AG2417" s="2">
        <v>0</v>
      </c>
      <c r="AH2417" s="5">
        <f t="shared" si="360"/>
        <v>2887.8</v>
      </c>
      <c r="AJ2417" s="126" t="e">
        <v>#N/A</v>
      </c>
      <c r="AK2417" s="80">
        <f t="shared" si="357"/>
        <v>0</v>
      </c>
      <c r="AM2417" s="85"/>
    </row>
    <row r="2418" spans="1:39" hidden="1" x14ac:dyDescent="0.3">
      <c r="A2418" s="85" t="s">
        <v>34</v>
      </c>
      <c r="B2418" s="3" t="s">
        <v>35</v>
      </c>
      <c r="C2418" s="3" t="s">
        <v>144</v>
      </c>
      <c r="D2418" s="3" t="s">
        <v>161</v>
      </c>
      <c r="E2418" s="3" t="s">
        <v>1935</v>
      </c>
      <c r="F2418" s="3" t="s">
        <v>1935</v>
      </c>
      <c r="G2418" s="3" t="s">
        <v>1935</v>
      </c>
      <c r="I2418" s="3" t="s">
        <v>2935</v>
      </c>
      <c r="J2418" s="1" t="s">
        <v>3302</v>
      </c>
      <c r="K2418" s="1" t="s">
        <v>3281</v>
      </c>
      <c r="L2418" s="1" t="s">
        <v>35</v>
      </c>
      <c r="M2418" s="3" t="s">
        <v>1935</v>
      </c>
      <c r="O2418" s="1" t="s">
        <v>410</v>
      </c>
      <c r="P2418" s="1" t="s">
        <v>41</v>
      </c>
      <c r="Q2418" s="2">
        <v>0</v>
      </c>
      <c r="R2418" s="138">
        <v>66232</v>
      </c>
      <c r="T2418" s="4">
        <v>22950.040000000008</v>
      </c>
      <c r="U2418" s="4">
        <v>110000</v>
      </c>
      <c r="V2418" s="4">
        <v>111650.89</v>
      </c>
      <c r="W2418" s="13">
        <f t="shared" si="358"/>
        <v>21299.150000000009</v>
      </c>
      <c r="X2418" s="13">
        <f t="shared" si="361"/>
        <v>111650.89</v>
      </c>
      <c r="Y2418" s="13">
        <f t="shared" si="353"/>
        <v>0</v>
      </c>
      <c r="Z2418" s="2">
        <v>0</v>
      </c>
      <c r="AA2418" s="4">
        <v>0</v>
      </c>
      <c r="AB2418" s="4">
        <f t="shared" si="354"/>
        <v>111650.89</v>
      </c>
      <c r="AC2418" s="6">
        <f t="shared" si="355"/>
        <v>0</v>
      </c>
      <c r="AD2418" s="13">
        <f t="shared" si="359"/>
        <v>111650.89</v>
      </c>
      <c r="AE2418" s="2">
        <v>0.09</v>
      </c>
      <c r="AF2418" s="5">
        <f t="shared" si="356"/>
        <v>10048.580099999999</v>
      </c>
      <c r="AG2418" s="2">
        <v>0</v>
      </c>
      <c r="AH2418" s="5">
        <f t="shared" si="360"/>
        <v>111650.89</v>
      </c>
      <c r="AJ2418" s="126" t="e">
        <v>#N/A</v>
      </c>
      <c r="AK2418" s="80">
        <f t="shared" si="357"/>
        <v>0</v>
      </c>
      <c r="AM2418" s="85"/>
    </row>
    <row r="2419" spans="1:39" hidden="1" x14ac:dyDescent="0.3">
      <c r="A2419" s="85" t="s">
        <v>34</v>
      </c>
      <c r="B2419" s="3" t="s">
        <v>35</v>
      </c>
      <c r="C2419" s="3" t="s">
        <v>164</v>
      </c>
      <c r="D2419" s="3" t="s">
        <v>165</v>
      </c>
      <c r="E2419" s="3" t="s">
        <v>615</v>
      </c>
      <c r="F2419" s="3" t="s">
        <v>615</v>
      </c>
      <c r="G2419" s="3" t="s">
        <v>615</v>
      </c>
      <c r="I2419" s="3" t="s">
        <v>2935</v>
      </c>
      <c r="J2419" s="1" t="s">
        <v>3302</v>
      </c>
      <c r="K2419" s="1" t="s">
        <v>3281</v>
      </c>
      <c r="L2419" s="1" t="s">
        <v>35</v>
      </c>
      <c r="M2419" s="3" t="s">
        <v>616</v>
      </c>
      <c r="O2419" s="1" t="s">
        <v>410</v>
      </c>
      <c r="P2419" s="1" t="s">
        <v>46</v>
      </c>
      <c r="Q2419" s="2">
        <v>0.02</v>
      </c>
      <c r="R2419" s="138">
        <v>31572</v>
      </c>
      <c r="T2419" s="4">
        <v>494591.54000000015</v>
      </c>
      <c r="U2419" s="4">
        <v>460000</v>
      </c>
      <c r="V2419" s="4">
        <v>746786.99</v>
      </c>
      <c r="W2419" s="13">
        <f t="shared" si="358"/>
        <v>207804.55000000016</v>
      </c>
      <c r="X2419" s="13">
        <f t="shared" si="361"/>
        <v>732144.10784313723</v>
      </c>
      <c r="Y2419" s="13">
        <f t="shared" si="353"/>
        <v>0</v>
      </c>
      <c r="Z2419" s="2">
        <v>0</v>
      </c>
      <c r="AA2419" s="4">
        <v>0</v>
      </c>
      <c r="AB2419" s="4">
        <f t="shared" si="354"/>
        <v>732144.10784313723</v>
      </c>
      <c r="AC2419" s="6">
        <f t="shared" si="355"/>
        <v>14642.882156862761</v>
      </c>
      <c r="AD2419" s="13">
        <f t="shared" si="359"/>
        <v>746786.99</v>
      </c>
      <c r="AE2419" s="2">
        <v>0.09</v>
      </c>
      <c r="AF2419" s="5">
        <f t="shared" si="356"/>
        <v>67210.829100000003</v>
      </c>
      <c r="AG2419" s="2">
        <v>0</v>
      </c>
      <c r="AH2419" s="5">
        <f t="shared" si="360"/>
        <v>746786.99</v>
      </c>
      <c r="AJ2419" s="126" t="e">
        <v>#N/A</v>
      </c>
      <c r="AK2419" s="80">
        <f t="shared" si="357"/>
        <v>0</v>
      </c>
      <c r="AM2419" s="85"/>
    </row>
    <row r="2420" spans="1:39" hidden="1" x14ac:dyDescent="0.3">
      <c r="A2420" s="85" t="s">
        <v>34</v>
      </c>
      <c r="B2420" s="3" t="s">
        <v>35</v>
      </c>
      <c r="C2420" s="3" t="s">
        <v>164</v>
      </c>
      <c r="D2420" s="3" t="s">
        <v>165</v>
      </c>
      <c r="E2420" s="3" t="s">
        <v>2129</v>
      </c>
      <c r="F2420" s="3" t="s">
        <v>2129</v>
      </c>
      <c r="G2420" s="3" t="s">
        <v>2129</v>
      </c>
      <c r="I2420" s="3" t="s">
        <v>2935</v>
      </c>
      <c r="J2420" s="1" t="s">
        <v>3302</v>
      </c>
      <c r="K2420" s="1" t="s">
        <v>3281</v>
      </c>
      <c r="L2420" s="1" t="s">
        <v>35</v>
      </c>
      <c r="M2420" s="3" t="s">
        <v>1539</v>
      </c>
      <c r="O2420" s="1" t="s">
        <v>410</v>
      </c>
      <c r="P2420" s="1" t="s">
        <v>41</v>
      </c>
      <c r="Q2420" s="2">
        <v>0</v>
      </c>
      <c r="R2420" s="138">
        <v>20182</v>
      </c>
      <c r="T2420" s="4">
        <v>2246775.4299999997</v>
      </c>
      <c r="U2420" s="4">
        <v>1100000</v>
      </c>
      <c r="V2420" s="4">
        <v>836354.15</v>
      </c>
      <c r="W2420" s="13">
        <f t="shared" si="358"/>
        <v>2510421.2799999998</v>
      </c>
      <c r="X2420" s="13">
        <f t="shared" si="361"/>
        <v>836354.15</v>
      </c>
      <c r="Y2420" s="13">
        <f t="shared" si="353"/>
        <v>0</v>
      </c>
      <c r="Z2420" s="2">
        <v>0</v>
      </c>
      <c r="AA2420" s="4">
        <v>0</v>
      </c>
      <c r="AB2420" s="4">
        <f t="shared" si="354"/>
        <v>836354.15</v>
      </c>
      <c r="AC2420" s="6">
        <f t="shared" si="355"/>
        <v>0</v>
      </c>
      <c r="AD2420" s="13">
        <f t="shared" si="359"/>
        <v>836354.15</v>
      </c>
      <c r="AE2420" s="2">
        <v>0.09</v>
      </c>
      <c r="AF2420" s="5">
        <f t="shared" si="356"/>
        <v>75271.873500000002</v>
      </c>
      <c r="AG2420" s="2">
        <v>0</v>
      </c>
      <c r="AH2420" s="5">
        <f t="shared" si="360"/>
        <v>836354.15</v>
      </c>
      <c r="AJ2420" s="126" t="e">
        <v>#N/A</v>
      </c>
      <c r="AK2420" s="80">
        <f t="shared" si="357"/>
        <v>0</v>
      </c>
      <c r="AM2420" s="85"/>
    </row>
    <row r="2421" spans="1:39" hidden="1" x14ac:dyDescent="0.3">
      <c r="A2421" s="85" t="s">
        <v>34</v>
      </c>
      <c r="B2421" s="3" t="s">
        <v>35</v>
      </c>
      <c r="C2421" s="3" t="s">
        <v>164</v>
      </c>
      <c r="D2421" s="3" t="s">
        <v>165</v>
      </c>
      <c r="E2421" s="3" t="s">
        <v>2129</v>
      </c>
      <c r="F2421" s="3" t="s">
        <v>2129</v>
      </c>
      <c r="G2421" s="3" t="s">
        <v>2129</v>
      </c>
      <c r="H2421" s="138"/>
      <c r="I2421" s="3" t="s">
        <v>2935</v>
      </c>
      <c r="J2421" s="1" t="s">
        <v>3302</v>
      </c>
      <c r="K2421" s="1" t="s">
        <v>3281</v>
      </c>
      <c r="L2421" s="1" t="s">
        <v>35</v>
      </c>
      <c r="M2421" s="3" t="s">
        <v>3004</v>
      </c>
      <c r="O2421" s="1" t="s">
        <v>410</v>
      </c>
      <c r="P2421" s="1" t="s">
        <v>41</v>
      </c>
      <c r="Q2421" s="2">
        <v>0</v>
      </c>
      <c r="R2421" s="138">
        <v>238232</v>
      </c>
      <c r="T2421" s="4">
        <v>950402.02</v>
      </c>
      <c r="U2421" s="4">
        <v>-14645.99</v>
      </c>
      <c r="V2421" s="4">
        <v>0</v>
      </c>
      <c r="W2421" s="13">
        <f t="shared" si="358"/>
        <v>935756.03</v>
      </c>
      <c r="X2421" s="13">
        <f t="shared" si="361"/>
        <v>0</v>
      </c>
      <c r="Y2421" s="13">
        <f t="shared" si="353"/>
        <v>0</v>
      </c>
      <c r="Z2421" s="2">
        <v>0</v>
      </c>
      <c r="AA2421" s="4">
        <v>0</v>
      </c>
      <c r="AB2421" s="4">
        <f t="shared" si="354"/>
        <v>0</v>
      </c>
      <c r="AC2421" s="6">
        <f t="shared" si="355"/>
        <v>0</v>
      </c>
      <c r="AD2421" s="13">
        <f t="shared" si="359"/>
        <v>0</v>
      </c>
      <c r="AE2421" s="2">
        <v>0.09</v>
      </c>
      <c r="AF2421" s="5">
        <f t="shared" si="356"/>
        <v>0</v>
      </c>
      <c r="AG2421" s="2">
        <v>0</v>
      </c>
      <c r="AH2421" s="5">
        <f t="shared" si="360"/>
        <v>0</v>
      </c>
      <c r="AJ2421" s="126" t="e">
        <v>#N/A</v>
      </c>
      <c r="AK2421" s="80">
        <f t="shared" si="357"/>
        <v>0</v>
      </c>
      <c r="AM2421" s="85"/>
    </row>
    <row r="2422" spans="1:39" hidden="1" x14ac:dyDescent="0.3">
      <c r="A2422" s="85" t="s">
        <v>34</v>
      </c>
      <c r="B2422" s="3" t="s">
        <v>35</v>
      </c>
      <c r="C2422" s="3" t="s">
        <v>164</v>
      </c>
      <c r="D2422" s="3" t="s">
        <v>165</v>
      </c>
      <c r="E2422" s="3" t="s">
        <v>3005</v>
      </c>
      <c r="F2422" s="3" t="s">
        <v>3005</v>
      </c>
      <c r="G2422" s="3" t="s">
        <v>3006</v>
      </c>
      <c r="I2422" s="3" t="s">
        <v>2935</v>
      </c>
      <c r="J2422" s="1" t="s">
        <v>3302</v>
      </c>
      <c r="K2422" s="1" t="s">
        <v>3281</v>
      </c>
      <c r="L2422" s="1" t="s">
        <v>35</v>
      </c>
      <c r="M2422" s="3" t="s">
        <v>3007</v>
      </c>
      <c r="O2422" s="1" t="s">
        <v>410</v>
      </c>
      <c r="P2422" s="1" t="s">
        <v>3748</v>
      </c>
      <c r="Q2422" s="2">
        <v>0.01</v>
      </c>
      <c r="R2422" s="138">
        <v>15032</v>
      </c>
      <c r="T2422" s="4">
        <v>0</v>
      </c>
      <c r="U2422" s="4">
        <v>420000</v>
      </c>
      <c r="V2422" s="4">
        <v>360147.12</v>
      </c>
      <c r="W2422" s="13">
        <f t="shared" si="358"/>
        <v>59852.880000000005</v>
      </c>
      <c r="X2422" s="13">
        <f t="shared" si="361"/>
        <v>356581.30693069304</v>
      </c>
      <c r="Y2422" s="13">
        <f t="shared" si="353"/>
        <v>0</v>
      </c>
      <c r="Z2422" s="2">
        <v>0</v>
      </c>
      <c r="AA2422" s="4">
        <v>0</v>
      </c>
      <c r="AB2422" s="4">
        <f t="shared" si="354"/>
        <v>356581.30693069304</v>
      </c>
      <c r="AC2422" s="6">
        <f t="shared" si="355"/>
        <v>3565.8130693069543</v>
      </c>
      <c r="AD2422" s="13">
        <f t="shared" si="359"/>
        <v>360147.12</v>
      </c>
      <c r="AE2422" s="2">
        <v>0.09</v>
      </c>
      <c r="AF2422" s="5">
        <f t="shared" si="356"/>
        <v>32413.2408</v>
      </c>
      <c r="AG2422" s="2">
        <v>0</v>
      </c>
      <c r="AH2422" s="5">
        <f t="shared" si="360"/>
        <v>360147.12</v>
      </c>
      <c r="AJ2422" s="126" t="e">
        <v>#N/A</v>
      </c>
      <c r="AK2422" s="80">
        <f t="shared" si="357"/>
        <v>0</v>
      </c>
      <c r="AM2422" s="85"/>
    </row>
    <row r="2423" spans="1:39" hidden="1" x14ac:dyDescent="0.3">
      <c r="A2423" s="85" t="s">
        <v>34</v>
      </c>
      <c r="B2423" s="3" t="s">
        <v>35</v>
      </c>
      <c r="C2423" s="3" t="s">
        <v>164</v>
      </c>
      <c r="D2423" s="3" t="s">
        <v>165</v>
      </c>
      <c r="E2423" s="3" t="s">
        <v>625</v>
      </c>
      <c r="F2423" s="3" t="s">
        <v>625</v>
      </c>
      <c r="G2423" s="3" t="s">
        <v>625</v>
      </c>
      <c r="H2423" s="138"/>
      <c r="I2423" s="3" t="s">
        <v>2935</v>
      </c>
      <c r="J2423" s="1" t="s">
        <v>3302</v>
      </c>
      <c r="K2423" s="1" t="s">
        <v>3281</v>
      </c>
      <c r="L2423" s="1" t="s">
        <v>35</v>
      </c>
      <c r="M2423" s="3" t="s">
        <v>625</v>
      </c>
      <c r="O2423" s="1" t="s">
        <v>410</v>
      </c>
      <c r="P2423" s="1" t="s">
        <v>46</v>
      </c>
      <c r="Q2423" s="2">
        <v>0.02</v>
      </c>
      <c r="R2423" s="138">
        <v>244692</v>
      </c>
      <c r="T2423" s="4">
        <v>0</v>
      </c>
      <c r="U2423" s="4">
        <v>2000</v>
      </c>
      <c r="V2423" s="4">
        <v>992.17</v>
      </c>
      <c r="W2423" s="13">
        <f t="shared" si="358"/>
        <v>1007.83</v>
      </c>
      <c r="X2423" s="13">
        <f t="shared" si="361"/>
        <v>972.71568627450972</v>
      </c>
      <c r="Y2423" s="13">
        <f t="shared" si="353"/>
        <v>0</v>
      </c>
      <c r="Z2423" s="2">
        <v>0</v>
      </c>
      <c r="AA2423" s="4">
        <v>0</v>
      </c>
      <c r="AB2423" s="4"/>
      <c r="AC2423" s="6">
        <f t="shared" si="355"/>
        <v>19.454313725490238</v>
      </c>
      <c r="AD2423" s="13">
        <f t="shared" si="359"/>
        <v>992.17</v>
      </c>
      <c r="AE2423" s="2">
        <v>0.09</v>
      </c>
      <c r="AF2423" s="5">
        <f t="shared" si="356"/>
        <v>89.295299999999997</v>
      </c>
      <c r="AG2423" s="2">
        <v>0</v>
      </c>
      <c r="AH2423" s="5">
        <f t="shared" si="360"/>
        <v>992.17</v>
      </c>
      <c r="AJ2423" s="126">
        <v>115</v>
      </c>
      <c r="AK2423" s="80">
        <f t="shared" si="357"/>
        <v>972.71568627450972</v>
      </c>
      <c r="AM2423" s="85"/>
    </row>
    <row r="2424" spans="1:39" hidden="1" x14ac:dyDescent="0.3">
      <c r="A2424" s="85" t="s">
        <v>34</v>
      </c>
      <c r="B2424" s="3" t="s">
        <v>35</v>
      </c>
      <c r="C2424" s="3" t="s">
        <v>164</v>
      </c>
      <c r="D2424" s="3" t="s">
        <v>165</v>
      </c>
      <c r="E2424" s="3" t="s">
        <v>1543</v>
      </c>
      <c r="F2424" s="3" t="s">
        <v>1543</v>
      </c>
      <c r="G2424" s="3" t="s">
        <v>1543</v>
      </c>
      <c r="I2424" s="3" t="s">
        <v>2935</v>
      </c>
      <c r="J2424" s="1" t="s">
        <v>3302</v>
      </c>
      <c r="K2424" s="1" t="s">
        <v>3281</v>
      </c>
      <c r="L2424" s="1" t="s">
        <v>35</v>
      </c>
      <c r="M2424" s="3" t="s">
        <v>3008</v>
      </c>
      <c r="O2424" s="1" t="s">
        <v>410</v>
      </c>
      <c r="P2424" s="1" t="s">
        <v>46</v>
      </c>
      <c r="Q2424" s="2">
        <v>0.02</v>
      </c>
      <c r="R2424" s="138">
        <v>243792</v>
      </c>
      <c r="T2424" s="4">
        <v>0</v>
      </c>
      <c r="U2424" s="4">
        <v>10300</v>
      </c>
      <c r="V2424" s="4">
        <v>10300</v>
      </c>
      <c r="W2424" s="13">
        <f t="shared" si="358"/>
        <v>0</v>
      </c>
      <c r="X2424" s="13">
        <f t="shared" si="361"/>
        <v>10098.039215686274</v>
      </c>
      <c r="Y2424" s="13">
        <f t="shared" si="353"/>
        <v>0</v>
      </c>
      <c r="Z2424" s="2">
        <v>0</v>
      </c>
      <c r="AA2424" s="4">
        <v>0</v>
      </c>
      <c r="AB2424" s="4">
        <f t="shared" si="354"/>
        <v>10098.039215686274</v>
      </c>
      <c r="AC2424" s="6">
        <f t="shared" si="355"/>
        <v>201.96078431372553</v>
      </c>
      <c r="AD2424" s="13">
        <f t="shared" si="359"/>
        <v>10300</v>
      </c>
      <c r="AE2424" s="2">
        <v>0.09</v>
      </c>
      <c r="AF2424" s="5">
        <f t="shared" si="356"/>
        <v>927</v>
      </c>
      <c r="AG2424" s="2">
        <v>0</v>
      </c>
      <c r="AH2424" s="5">
        <f t="shared" si="360"/>
        <v>10300</v>
      </c>
      <c r="AJ2424" s="126" t="e">
        <v>#N/A</v>
      </c>
      <c r="AK2424" s="80">
        <f t="shared" si="357"/>
        <v>0</v>
      </c>
      <c r="AM2424" s="85"/>
    </row>
    <row r="2425" spans="1:39" hidden="1" x14ac:dyDescent="0.3">
      <c r="A2425" s="85" t="s">
        <v>34</v>
      </c>
      <c r="B2425" s="3" t="s">
        <v>35</v>
      </c>
      <c r="C2425" s="3" t="s">
        <v>164</v>
      </c>
      <c r="D2425" s="3" t="s">
        <v>165</v>
      </c>
      <c r="E2425" s="3" t="s">
        <v>1543</v>
      </c>
      <c r="F2425" s="3" t="s">
        <v>1543</v>
      </c>
      <c r="G2425" s="3" t="s">
        <v>1543</v>
      </c>
      <c r="I2425" s="3" t="s">
        <v>2935</v>
      </c>
      <c r="J2425" s="1" t="s">
        <v>3302</v>
      </c>
      <c r="K2425" s="1" t="s">
        <v>3281</v>
      </c>
      <c r="L2425" s="1" t="s">
        <v>35</v>
      </c>
      <c r="M2425" s="3" t="s">
        <v>3008</v>
      </c>
      <c r="O2425" s="1" t="s">
        <v>410</v>
      </c>
      <c r="P2425" s="1" t="s">
        <v>1167</v>
      </c>
      <c r="Q2425" s="2">
        <v>0.02</v>
      </c>
      <c r="R2425" s="138">
        <v>243792</v>
      </c>
      <c r="T2425" s="4">
        <v>0</v>
      </c>
      <c r="U2425" s="4">
        <v>15000</v>
      </c>
      <c r="V2425" s="4">
        <v>9633.4000000000015</v>
      </c>
      <c r="W2425" s="13">
        <f t="shared" si="358"/>
        <v>5366.5999999999985</v>
      </c>
      <c r="X2425" s="13">
        <f t="shared" si="361"/>
        <v>9444.50980392157</v>
      </c>
      <c r="Y2425" s="13">
        <f t="shared" si="353"/>
        <v>0</v>
      </c>
      <c r="Z2425" s="2">
        <v>0</v>
      </c>
      <c r="AA2425" s="4">
        <v>0</v>
      </c>
      <c r="AB2425" s="4">
        <f t="shared" si="354"/>
        <v>9444.50980392157</v>
      </c>
      <c r="AC2425" s="6">
        <f t="shared" si="355"/>
        <v>188.89019607843147</v>
      </c>
      <c r="AD2425" s="13">
        <f t="shared" si="359"/>
        <v>9633.4000000000015</v>
      </c>
      <c r="AE2425" s="2">
        <v>0.09</v>
      </c>
      <c r="AF2425" s="5">
        <f t="shared" si="356"/>
        <v>867.00600000000009</v>
      </c>
      <c r="AG2425" s="2">
        <v>0</v>
      </c>
      <c r="AH2425" s="5">
        <f t="shared" si="360"/>
        <v>9633.4000000000015</v>
      </c>
      <c r="AJ2425" s="126" t="e">
        <v>#N/A</v>
      </c>
      <c r="AK2425" s="80">
        <f t="shared" si="357"/>
        <v>0</v>
      </c>
      <c r="AM2425" s="85"/>
    </row>
    <row r="2426" spans="1:39" hidden="1" x14ac:dyDescent="0.3">
      <c r="A2426" s="85" t="s">
        <v>34</v>
      </c>
      <c r="B2426" s="3" t="s">
        <v>35</v>
      </c>
      <c r="C2426" s="3" t="s">
        <v>164</v>
      </c>
      <c r="D2426" s="3" t="s">
        <v>165</v>
      </c>
      <c r="E2426" s="3" t="s">
        <v>2805</v>
      </c>
      <c r="F2426" s="3" t="s">
        <v>2805</v>
      </c>
      <c r="G2426" s="3" t="s">
        <v>2805</v>
      </c>
      <c r="I2426" s="3" t="s">
        <v>2935</v>
      </c>
      <c r="J2426" s="1" t="s">
        <v>3302</v>
      </c>
      <c r="K2426" s="1" t="s">
        <v>3281</v>
      </c>
      <c r="L2426" s="1" t="s">
        <v>35</v>
      </c>
      <c r="M2426" s="3" t="s">
        <v>3009</v>
      </c>
      <c r="O2426" s="1" t="s">
        <v>410</v>
      </c>
      <c r="P2426" s="1" t="s">
        <v>41</v>
      </c>
      <c r="Q2426" s="2">
        <v>0</v>
      </c>
      <c r="R2426" s="138">
        <v>173832</v>
      </c>
      <c r="T2426" s="4">
        <v>0</v>
      </c>
      <c r="U2426" s="4">
        <v>60000</v>
      </c>
      <c r="V2426" s="4">
        <v>43742.17</v>
      </c>
      <c r="W2426" s="13">
        <f t="shared" si="358"/>
        <v>16257.830000000002</v>
      </c>
      <c r="X2426" s="13">
        <f t="shared" si="361"/>
        <v>43742.17</v>
      </c>
      <c r="Y2426" s="13">
        <f t="shared" si="353"/>
        <v>0</v>
      </c>
      <c r="Z2426" s="2">
        <v>0</v>
      </c>
      <c r="AA2426" s="4">
        <v>0</v>
      </c>
      <c r="AB2426" s="4">
        <f t="shared" si="354"/>
        <v>43742.17</v>
      </c>
      <c r="AC2426" s="6">
        <f t="shared" si="355"/>
        <v>0</v>
      </c>
      <c r="AD2426" s="13">
        <f t="shared" si="359"/>
        <v>43742.17</v>
      </c>
      <c r="AE2426" s="2">
        <v>0.09</v>
      </c>
      <c r="AF2426" s="5">
        <f t="shared" si="356"/>
        <v>3936.7952999999998</v>
      </c>
      <c r="AG2426" s="2">
        <v>0</v>
      </c>
      <c r="AH2426" s="5">
        <f t="shared" si="360"/>
        <v>43742.17</v>
      </c>
      <c r="AJ2426" s="126" t="e">
        <v>#N/A</v>
      </c>
      <c r="AK2426" s="80">
        <f t="shared" si="357"/>
        <v>0</v>
      </c>
      <c r="AM2426" s="85"/>
    </row>
    <row r="2427" spans="1:39" hidden="1" x14ac:dyDescent="0.3">
      <c r="A2427" s="85" t="s">
        <v>34</v>
      </c>
      <c r="B2427" s="3" t="s">
        <v>35</v>
      </c>
      <c r="C2427" s="3" t="s">
        <v>164</v>
      </c>
      <c r="D2427" s="3" t="s">
        <v>165</v>
      </c>
      <c r="E2427" s="3" t="s">
        <v>2806</v>
      </c>
      <c r="F2427" s="3" t="s">
        <v>2806</v>
      </c>
      <c r="G2427" s="3" t="s">
        <v>2806</v>
      </c>
      <c r="I2427" s="3" t="s">
        <v>2935</v>
      </c>
      <c r="J2427" s="1" t="s">
        <v>3302</v>
      </c>
      <c r="K2427" s="1" t="s">
        <v>3281</v>
      </c>
      <c r="L2427" s="1" t="s">
        <v>35</v>
      </c>
      <c r="M2427" s="3" t="s">
        <v>3010</v>
      </c>
      <c r="O2427" s="1" t="s">
        <v>410</v>
      </c>
      <c r="P2427" s="1" t="s">
        <v>41</v>
      </c>
      <c r="Q2427" s="2">
        <v>0</v>
      </c>
      <c r="R2427" s="138">
        <v>19782</v>
      </c>
      <c r="T2427" s="4">
        <v>888399.04</v>
      </c>
      <c r="U2427" s="4">
        <v>400000</v>
      </c>
      <c r="V2427" s="4">
        <v>500797.31</v>
      </c>
      <c r="W2427" s="13">
        <f t="shared" si="358"/>
        <v>787601.73</v>
      </c>
      <c r="X2427" s="13">
        <f t="shared" si="361"/>
        <v>500797.31</v>
      </c>
      <c r="Y2427" s="13">
        <f t="shared" si="353"/>
        <v>0</v>
      </c>
      <c r="Z2427" s="2">
        <v>0</v>
      </c>
      <c r="AA2427" s="4">
        <v>0</v>
      </c>
      <c r="AB2427" s="4">
        <f t="shared" si="354"/>
        <v>500797.31</v>
      </c>
      <c r="AC2427" s="6">
        <f t="shared" si="355"/>
        <v>0</v>
      </c>
      <c r="AD2427" s="13">
        <f t="shared" si="359"/>
        <v>500797.31</v>
      </c>
      <c r="AE2427" s="2">
        <v>0.09</v>
      </c>
      <c r="AF2427" s="5">
        <f t="shared" si="356"/>
        <v>45071.757899999997</v>
      </c>
      <c r="AG2427" s="2">
        <v>0</v>
      </c>
      <c r="AH2427" s="5">
        <f t="shared" si="360"/>
        <v>500797.31</v>
      </c>
      <c r="AJ2427" s="126" t="e">
        <v>#N/A</v>
      </c>
      <c r="AK2427" s="80">
        <f t="shared" si="357"/>
        <v>0</v>
      </c>
      <c r="AM2427" s="85"/>
    </row>
    <row r="2428" spans="1:39" hidden="1" x14ac:dyDescent="0.3">
      <c r="A2428" s="85" t="s">
        <v>34</v>
      </c>
      <c r="B2428" s="3" t="s">
        <v>35</v>
      </c>
      <c r="C2428" s="3" t="s">
        <v>164</v>
      </c>
      <c r="D2428" s="3" t="s">
        <v>169</v>
      </c>
      <c r="E2428" s="3" t="s">
        <v>3011</v>
      </c>
      <c r="F2428" s="3" t="s">
        <v>3011</v>
      </c>
      <c r="G2428" s="3" t="s">
        <v>3011</v>
      </c>
      <c r="I2428" s="3" t="s">
        <v>2935</v>
      </c>
      <c r="J2428" s="1" t="s">
        <v>3302</v>
      </c>
      <c r="K2428" s="1" t="s">
        <v>3281</v>
      </c>
      <c r="L2428" s="1" t="s">
        <v>35</v>
      </c>
      <c r="M2428" s="3" t="s">
        <v>3011</v>
      </c>
      <c r="O2428" s="1" t="s">
        <v>410</v>
      </c>
      <c r="P2428" s="1" t="s">
        <v>41</v>
      </c>
      <c r="Q2428" s="2">
        <v>0</v>
      </c>
      <c r="R2428" s="138">
        <v>51562</v>
      </c>
      <c r="T2428" s="4">
        <v>259270.22999999995</v>
      </c>
      <c r="U2428" s="4">
        <v>200000</v>
      </c>
      <c r="V2428" s="4">
        <v>186843.83</v>
      </c>
      <c r="W2428" s="13">
        <f t="shared" si="358"/>
        <v>272426.40000000002</v>
      </c>
      <c r="X2428" s="13">
        <f t="shared" si="361"/>
        <v>186843.83</v>
      </c>
      <c r="Y2428" s="13">
        <f t="shared" si="353"/>
        <v>0</v>
      </c>
      <c r="Z2428" s="2">
        <v>0</v>
      </c>
      <c r="AA2428" s="4">
        <v>0</v>
      </c>
      <c r="AB2428" s="4">
        <f t="shared" si="354"/>
        <v>186843.83</v>
      </c>
      <c r="AC2428" s="6">
        <f t="shared" si="355"/>
        <v>0</v>
      </c>
      <c r="AD2428" s="13">
        <f t="shared" si="359"/>
        <v>186843.83</v>
      </c>
      <c r="AE2428" s="2">
        <v>0.09</v>
      </c>
      <c r="AF2428" s="5">
        <f t="shared" si="356"/>
        <v>16815.9447</v>
      </c>
      <c r="AG2428" s="2">
        <v>0</v>
      </c>
      <c r="AH2428" s="5">
        <f t="shared" si="360"/>
        <v>186843.83</v>
      </c>
      <c r="AJ2428" s="126" t="e">
        <v>#N/A</v>
      </c>
      <c r="AK2428" s="80">
        <f t="shared" si="357"/>
        <v>0</v>
      </c>
      <c r="AM2428" s="85"/>
    </row>
    <row r="2429" spans="1:39" hidden="1" x14ac:dyDescent="0.3">
      <c r="A2429" s="85" t="s">
        <v>34</v>
      </c>
      <c r="B2429" s="3" t="s">
        <v>35</v>
      </c>
      <c r="C2429" s="3" t="s">
        <v>164</v>
      </c>
      <c r="D2429" s="3" t="s">
        <v>169</v>
      </c>
      <c r="E2429" s="3" t="s">
        <v>628</v>
      </c>
      <c r="F2429" s="3" t="s">
        <v>628</v>
      </c>
      <c r="G2429" s="3" t="s">
        <v>628</v>
      </c>
      <c r="I2429" s="3" t="s">
        <v>2935</v>
      </c>
      <c r="J2429" s="1" t="s">
        <v>3302</v>
      </c>
      <c r="K2429" s="1" t="s">
        <v>3281</v>
      </c>
      <c r="L2429" s="1" t="s">
        <v>35</v>
      </c>
      <c r="M2429" s="3" t="s">
        <v>628</v>
      </c>
      <c r="O2429" s="1" t="s">
        <v>410</v>
      </c>
      <c r="P2429" s="1" t="s">
        <v>46</v>
      </c>
      <c r="Q2429" s="2">
        <v>5.5E-2</v>
      </c>
      <c r="R2429" s="138">
        <v>46582</v>
      </c>
      <c r="T2429" s="4">
        <v>1188109.6600000001</v>
      </c>
      <c r="U2429" s="4">
        <v>-972780.63</v>
      </c>
      <c r="V2429" s="4">
        <v>1547.1300000001211</v>
      </c>
      <c r="W2429" s="13">
        <v>0</v>
      </c>
      <c r="X2429" s="13">
        <f t="shared" si="361"/>
        <v>1466.473933649404</v>
      </c>
      <c r="Y2429" s="13">
        <f t="shared" si="353"/>
        <v>0</v>
      </c>
      <c r="Z2429" s="2">
        <v>0</v>
      </c>
      <c r="AA2429" s="4">
        <v>0</v>
      </c>
      <c r="AB2429" s="4">
        <f t="shared" si="354"/>
        <v>1466.473933649404</v>
      </c>
      <c r="AC2429" s="6">
        <f t="shared" si="355"/>
        <v>80.656066350717083</v>
      </c>
      <c r="AD2429" s="13">
        <f t="shared" si="359"/>
        <v>1547.1300000001211</v>
      </c>
      <c r="AE2429" s="2">
        <v>0.09</v>
      </c>
      <c r="AF2429" s="5">
        <f t="shared" si="356"/>
        <v>139.24170000001089</v>
      </c>
      <c r="AG2429" s="2">
        <v>0</v>
      </c>
      <c r="AH2429" s="5">
        <f t="shared" si="360"/>
        <v>1547.1300000001211</v>
      </c>
      <c r="AJ2429" s="126" t="e">
        <v>#N/A</v>
      </c>
      <c r="AK2429" s="80">
        <f t="shared" si="357"/>
        <v>0</v>
      </c>
      <c r="AM2429" s="85"/>
    </row>
    <row r="2430" spans="1:39" hidden="1" x14ac:dyDescent="0.3">
      <c r="A2430" s="85" t="s">
        <v>34</v>
      </c>
      <c r="B2430" s="3" t="s">
        <v>35</v>
      </c>
      <c r="C2430" s="3" t="s">
        <v>164</v>
      </c>
      <c r="D2430" s="3" t="s">
        <v>169</v>
      </c>
      <c r="E2430" s="3" t="s">
        <v>628</v>
      </c>
      <c r="F2430" s="3" t="s">
        <v>628</v>
      </c>
      <c r="G2430" s="3" t="s">
        <v>628</v>
      </c>
      <c r="I2430" s="3" t="s">
        <v>2935</v>
      </c>
      <c r="J2430" s="1" t="s">
        <v>3302</v>
      </c>
      <c r="K2430" s="1" t="s">
        <v>3281</v>
      </c>
      <c r="L2430" s="1" t="s">
        <v>35</v>
      </c>
      <c r="M2430" s="3" t="s">
        <v>628</v>
      </c>
      <c r="O2430" s="1" t="s">
        <v>410</v>
      </c>
      <c r="P2430" s="1" t="s">
        <v>46</v>
      </c>
      <c r="Q2430" s="2">
        <v>0.06</v>
      </c>
      <c r="R2430" s="138">
        <v>46582</v>
      </c>
      <c r="T2430" s="4">
        <v>0</v>
      </c>
      <c r="U2430" s="4">
        <v>5362651.63</v>
      </c>
      <c r="V2430" s="4">
        <v>4331520.32</v>
      </c>
      <c r="W2430" s="13">
        <f t="shared" si="358"/>
        <v>1031131.3099999996</v>
      </c>
      <c r="X2430" s="13">
        <f t="shared" si="361"/>
        <v>4086339.9245283022</v>
      </c>
      <c r="Y2430" s="13">
        <f t="shared" si="353"/>
        <v>0</v>
      </c>
      <c r="Z2430" s="2">
        <v>0</v>
      </c>
      <c r="AA2430" s="4">
        <v>0</v>
      </c>
      <c r="AB2430" s="4">
        <f t="shared" si="354"/>
        <v>4086339.9245283022</v>
      </c>
      <c r="AC2430" s="6">
        <f t="shared" si="355"/>
        <v>245180.39547169814</v>
      </c>
      <c r="AD2430" s="13">
        <f t="shared" si="359"/>
        <v>4331520.32</v>
      </c>
      <c r="AE2430" s="2">
        <v>0.09</v>
      </c>
      <c r="AF2430" s="5">
        <f t="shared" si="356"/>
        <v>389836.82880000002</v>
      </c>
      <c r="AG2430" s="2">
        <v>0</v>
      </c>
      <c r="AH2430" s="5">
        <f t="shared" si="360"/>
        <v>4331520.32</v>
      </c>
      <c r="AJ2430" s="126" t="e">
        <v>#N/A</v>
      </c>
      <c r="AK2430" s="80">
        <f t="shared" si="357"/>
        <v>0</v>
      </c>
      <c r="AM2430" s="85"/>
    </row>
    <row r="2431" spans="1:39" hidden="1" x14ac:dyDescent="0.3">
      <c r="A2431" s="85" t="s">
        <v>34</v>
      </c>
      <c r="B2431" s="3" t="s">
        <v>35</v>
      </c>
      <c r="C2431" s="3" t="s">
        <v>164</v>
      </c>
      <c r="D2431" s="3" t="s">
        <v>169</v>
      </c>
      <c r="E2431" s="3" t="s">
        <v>628</v>
      </c>
      <c r="F2431" s="3" t="s">
        <v>628</v>
      </c>
      <c r="G2431" s="3" t="s">
        <v>628</v>
      </c>
      <c r="I2431" s="3" t="s">
        <v>2935</v>
      </c>
      <c r="J2431" s="1" t="s">
        <v>3302</v>
      </c>
      <c r="K2431" s="1" t="s">
        <v>3281</v>
      </c>
      <c r="L2431" s="1" t="s">
        <v>35</v>
      </c>
      <c r="M2431" s="3" t="s">
        <v>628</v>
      </c>
      <c r="O2431" s="1" t="s">
        <v>410</v>
      </c>
      <c r="P2431" s="1" t="s">
        <v>1167</v>
      </c>
      <c r="Q2431" s="2">
        <v>0.06</v>
      </c>
      <c r="R2431" s="138">
        <v>46582</v>
      </c>
      <c r="T2431" s="4">
        <v>0</v>
      </c>
      <c r="U2431" s="4">
        <v>1500000</v>
      </c>
      <c r="V2431" s="4">
        <v>1500000</v>
      </c>
      <c r="W2431" s="13">
        <f t="shared" si="358"/>
        <v>0</v>
      </c>
      <c r="X2431" s="13">
        <f t="shared" si="361"/>
        <v>1415094.3396226414</v>
      </c>
      <c r="Y2431" s="13">
        <f t="shared" si="353"/>
        <v>0</v>
      </c>
      <c r="Z2431" s="2">
        <v>0</v>
      </c>
      <c r="AA2431" s="4">
        <v>0</v>
      </c>
      <c r="AB2431" s="4">
        <f t="shared" si="354"/>
        <v>1415094.3396226414</v>
      </c>
      <c r="AC2431" s="6">
        <f t="shared" si="355"/>
        <v>84905.660377358552</v>
      </c>
      <c r="AD2431" s="13">
        <f t="shared" si="359"/>
        <v>1500000</v>
      </c>
      <c r="AE2431" s="2">
        <v>0.09</v>
      </c>
      <c r="AF2431" s="5">
        <f t="shared" si="356"/>
        <v>135000</v>
      </c>
      <c r="AG2431" s="2">
        <v>0</v>
      </c>
      <c r="AH2431" s="5">
        <f t="shared" si="360"/>
        <v>1500000</v>
      </c>
      <c r="AJ2431" s="126" t="e">
        <v>#N/A</v>
      </c>
      <c r="AK2431" s="80">
        <f t="shared" si="357"/>
        <v>0</v>
      </c>
      <c r="AM2431" s="85"/>
    </row>
    <row r="2432" spans="1:39" hidden="1" x14ac:dyDescent="0.3">
      <c r="A2432" s="85" t="s">
        <v>34</v>
      </c>
      <c r="B2432" s="3" t="s">
        <v>35</v>
      </c>
      <c r="C2432" s="3" t="s">
        <v>164</v>
      </c>
      <c r="D2432" s="3" t="s">
        <v>169</v>
      </c>
      <c r="E2432" s="3" t="s">
        <v>2957</v>
      </c>
      <c r="F2432" s="3" t="s">
        <v>3012</v>
      </c>
      <c r="G2432" s="3" t="s">
        <v>2957</v>
      </c>
      <c r="I2432" s="3" t="s">
        <v>2935</v>
      </c>
      <c r="J2432" s="1" t="s">
        <v>3302</v>
      </c>
      <c r="K2432" s="1" t="s">
        <v>3281</v>
      </c>
      <c r="L2432" s="1" t="s">
        <v>35</v>
      </c>
      <c r="M2432" s="3" t="s">
        <v>3013</v>
      </c>
      <c r="O2432" s="1" t="s">
        <v>410</v>
      </c>
      <c r="P2432" s="1" t="s">
        <v>46</v>
      </c>
      <c r="Q2432" s="2">
        <v>0.02</v>
      </c>
      <c r="R2432" s="138">
        <v>71652</v>
      </c>
      <c r="T2432" s="4">
        <v>0</v>
      </c>
      <c r="U2432" s="4">
        <v>510000</v>
      </c>
      <c r="V2432" s="4">
        <v>434785.81000000011</v>
      </c>
      <c r="W2432" s="13">
        <f t="shared" si="358"/>
        <v>75214.189999999886</v>
      </c>
      <c r="X2432" s="13">
        <f t="shared" si="361"/>
        <v>426260.59803921578</v>
      </c>
      <c r="Y2432" s="13">
        <f t="shared" si="353"/>
        <v>0</v>
      </c>
      <c r="Z2432" s="2">
        <v>0</v>
      </c>
      <c r="AA2432" s="4">
        <v>0</v>
      </c>
      <c r="AB2432" s="4">
        <f t="shared" si="354"/>
        <v>426260.59803921578</v>
      </c>
      <c r="AC2432" s="6">
        <f t="shared" si="355"/>
        <v>8525.2119607843342</v>
      </c>
      <c r="AD2432" s="13">
        <f t="shared" si="359"/>
        <v>434785.81000000011</v>
      </c>
      <c r="AE2432" s="2">
        <v>0.09</v>
      </c>
      <c r="AF2432" s="5">
        <f t="shared" si="356"/>
        <v>39130.722900000008</v>
      </c>
      <c r="AG2432" s="2">
        <v>0</v>
      </c>
      <c r="AH2432" s="5">
        <f t="shared" si="360"/>
        <v>434785.81000000011</v>
      </c>
      <c r="AJ2432" s="126" t="e">
        <v>#N/A</v>
      </c>
      <c r="AK2432" s="80">
        <f t="shared" si="357"/>
        <v>0</v>
      </c>
      <c r="AM2432" s="85"/>
    </row>
    <row r="2433" spans="1:39" hidden="1" x14ac:dyDescent="0.3">
      <c r="A2433" s="85" t="s">
        <v>34</v>
      </c>
      <c r="B2433" s="3" t="s">
        <v>35</v>
      </c>
      <c r="C2433" s="3" t="s">
        <v>164</v>
      </c>
      <c r="D2433" s="3" t="s">
        <v>174</v>
      </c>
      <c r="E2433" s="3" t="s">
        <v>1283</v>
      </c>
      <c r="F2433" s="3" t="s">
        <v>3014</v>
      </c>
      <c r="G2433" s="3" t="s">
        <v>1283</v>
      </c>
      <c r="I2433" s="3" t="s">
        <v>2935</v>
      </c>
      <c r="J2433" s="1" t="s">
        <v>3302</v>
      </c>
      <c r="K2433" s="1" t="s">
        <v>3281</v>
      </c>
      <c r="L2433" s="1" t="s">
        <v>35</v>
      </c>
      <c r="M2433" s="3" t="s">
        <v>3015</v>
      </c>
      <c r="O2433" s="1" t="s">
        <v>410</v>
      </c>
      <c r="P2433" s="1" t="s">
        <v>41</v>
      </c>
      <c r="Q2433" s="2">
        <v>0</v>
      </c>
      <c r="R2433" s="138">
        <v>174222</v>
      </c>
      <c r="T2433" s="4">
        <v>0</v>
      </c>
      <c r="U2433" s="4">
        <v>200000</v>
      </c>
      <c r="V2433" s="4">
        <v>150932.57</v>
      </c>
      <c r="W2433" s="13">
        <f t="shared" si="358"/>
        <v>49067.429999999993</v>
      </c>
      <c r="X2433" s="13">
        <f t="shared" si="361"/>
        <v>150932.57</v>
      </c>
      <c r="Y2433" s="13">
        <f t="shared" si="353"/>
        <v>0</v>
      </c>
      <c r="Z2433" s="2">
        <v>0</v>
      </c>
      <c r="AA2433" s="4">
        <v>0</v>
      </c>
      <c r="AB2433" s="4">
        <f t="shared" si="354"/>
        <v>150932.57</v>
      </c>
      <c r="AC2433" s="6">
        <f t="shared" si="355"/>
        <v>0</v>
      </c>
      <c r="AD2433" s="13">
        <f t="shared" si="359"/>
        <v>150932.57</v>
      </c>
      <c r="AE2433" s="2">
        <v>0.09</v>
      </c>
      <c r="AF2433" s="5">
        <f t="shared" si="356"/>
        <v>13583.9313</v>
      </c>
      <c r="AG2433" s="2">
        <v>0</v>
      </c>
      <c r="AH2433" s="5">
        <f t="shared" si="360"/>
        <v>150932.57</v>
      </c>
      <c r="AJ2433" s="126" t="e">
        <v>#N/A</v>
      </c>
      <c r="AK2433" s="80">
        <f t="shared" si="357"/>
        <v>0</v>
      </c>
      <c r="AM2433" s="85"/>
    </row>
    <row r="2434" spans="1:39" hidden="1" x14ac:dyDescent="0.3">
      <c r="A2434" s="85" t="s">
        <v>34</v>
      </c>
      <c r="B2434" s="3" t="s">
        <v>35</v>
      </c>
      <c r="C2434" s="3" t="s">
        <v>164</v>
      </c>
      <c r="D2434" s="3" t="s">
        <v>174</v>
      </c>
      <c r="E2434" s="3" t="s">
        <v>3016</v>
      </c>
      <c r="F2434" s="3" t="s">
        <v>3016</v>
      </c>
      <c r="G2434" s="3" t="s">
        <v>3016</v>
      </c>
      <c r="I2434" s="3" t="s">
        <v>2935</v>
      </c>
      <c r="J2434" s="1" t="s">
        <v>3302</v>
      </c>
      <c r="K2434" s="1" t="s">
        <v>3281</v>
      </c>
      <c r="L2434" s="1" t="s">
        <v>35</v>
      </c>
      <c r="M2434" s="3" t="s">
        <v>3016</v>
      </c>
      <c r="O2434" s="1" t="s">
        <v>410</v>
      </c>
      <c r="P2434" s="1" t="s">
        <v>41</v>
      </c>
      <c r="Q2434" s="2">
        <v>0</v>
      </c>
      <c r="R2434" s="138">
        <v>4672</v>
      </c>
      <c r="T2434" s="4">
        <v>67915.499999999942</v>
      </c>
      <c r="U2434" s="4">
        <v>300000</v>
      </c>
      <c r="V2434" s="4">
        <v>294274.46999999997</v>
      </c>
      <c r="W2434" s="13">
        <f t="shared" si="358"/>
        <v>73641.02999999997</v>
      </c>
      <c r="X2434" s="13">
        <f t="shared" si="361"/>
        <v>294274.46999999997</v>
      </c>
      <c r="Y2434" s="13">
        <f t="shared" si="353"/>
        <v>0</v>
      </c>
      <c r="Z2434" s="2">
        <v>0</v>
      </c>
      <c r="AA2434" s="4">
        <v>0</v>
      </c>
      <c r="AB2434" s="4">
        <f t="shared" si="354"/>
        <v>294274.46999999997</v>
      </c>
      <c r="AC2434" s="6">
        <f t="shared" si="355"/>
        <v>0</v>
      </c>
      <c r="AD2434" s="13">
        <f t="shared" si="359"/>
        <v>294274.46999999997</v>
      </c>
      <c r="AE2434" s="2">
        <v>0.09</v>
      </c>
      <c r="AF2434" s="5">
        <f t="shared" si="356"/>
        <v>26484.702299999997</v>
      </c>
      <c r="AG2434" s="2">
        <v>0</v>
      </c>
      <c r="AH2434" s="5">
        <f t="shared" si="360"/>
        <v>294274.46999999997</v>
      </c>
      <c r="AJ2434" s="126" t="e">
        <v>#N/A</v>
      </c>
      <c r="AK2434" s="80">
        <f t="shared" si="357"/>
        <v>0</v>
      </c>
      <c r="AM2434" s="85"/>
    </row>
    <row r="2435" spans="1:39" hidden="1" x14ac:dyDescent="0.3">
      <c r="A2435" s="85" t="s">
        <v>34</v>
      </c>
      <c r="B2435" s="3" t="s">
        <v>35</v>
      </c>
      <c r="C2435" s="3" t="s">
        <v>164</v>
      </c>
      <c r="D2435" s="3" t="s">
        <v>174</v>
      </c>
      <c r="E2435" s="3" t="s">
        <v>1966</v>
      </c>
      <c r="F2435" s="3" t="s">
        <v>1966</v>
      </c>
      <c r="G2435" s="3" t="s">
        <v>1966</v>
      </c>
      <c r="I2435" s="3" t="s">
        <v>2935</v>
      </c>
      <c r="J2435" s="1" t="s">
        <v>3302</v>
      </c>
      <c r="K2435" s="1" t="s">
        <v>3281</v>
      </c>
      <c r="L2435" s="1" t="s">
        <v>35</v>
      </c>
      <c r="M2435" s="3" t="s">
        <v>3017</v>
      </c>
      <c r="O2435" s="1" t="s">
        <v>410</v>
      </c>
      <c r="P2435" s="1" t="s">
        <v>41</v>
      </c>
      <c r="Q2435" s="2">
        <v>0</v>
      </c>
      <c r="R2435" s="138">
        <v>215472</v>
      </c>
      <c r="T2435" s="4">
        <v>-301333.60000000009</v>
      </c>
      <c r="U2435" s="4">
        <v>400000</v>
      </c>
      <c r="V2435" s="4">
        <v>362124.1</v>
      </c>
      <c r="W2435" s="13">
        <f t="shared" si="358"/>
        <v>-263457.70000000007</v>
      </c>
      <c r="X2435" s="13">
        <f t="shared" si="361"/>
        <v>362124.1</v>
      </c>
      <c r="Y2435" s="13">
        <f t="shared" ref="Y2435:Y2498" si="362">IF(X2435-AD2435&lt;=0,0,IF(P2435="返现",MAX(X2435-AC2435-AD2435,0),MAX(X2435-AD2435)))</f>
        <v>0</v>
      </c>
      <c r="Z2435" s="2">
        <v>0</v>
      </c>
      <c r="AA2435" s="4">
        <v>0</v>
      </c>
      <c r="AB2435" s="4">
        <f t="shared" ref="AB2435:AB2498" si="363">X2435+AA2435</f>
        <v>362124.1</v>
      </c>
      <c r="AC2435" s="6">
        <f t="shared" ref="AC2435:AC2498" si="364">IF(P2435="返现",X2435*Q2435,V2435-X2435)</f>
        <v>0</v>
      </c>
      <c r="AD2435" s="13">
        <f t="shared" si="359"/>
        <v>362124.1</v>
      </c>
      <c r="AE2435" s="2">
        <v>0.09</v>
      </c>
      <c r="AF2435" s="5">
        <f t="shared" ref="AF2435:AF2498" si="365">AD2435*AE2435</f>
        <v>32591.168999999998</v>
      </c>
      <c r="AG2435" s="2">
        <v>0</v>
      </c>
      <c r="AH2435" s="5">
        <f t="shared" si="360"/>
        <v>362124.1</v>
      </c>
      <c r="AJ2435" s="126" t="e">
        <v>#N/A</v>
      </c>
      <c r="AK2435" s="80">
        <f t="shared" ref="AK2435:AK2498" si="366">X2435+AA2435-AB2435</f>
        <v>0</v>
      </c>
      <c r="AM2435" s="85"/>
    </row>
    <row r="2436" spans="1:39" hidden="1" x14ac:dyDescent="0.3">
      <c r="A2436" s="85" t="s">
        <v>34</v>
      </c>
      <c r="B2436" s="3" t="s">
        <v>35</v>
      </c>
      <c r="C2436" s="3" t="s">
        <v>164</v>
      </c>
      <c r="D2436" s="3" t="s">
        <v>174</v>
      </c>
      <c r="E2436" s="3" t="s">
        <v>1966</v>
      </c>
      <c r="F2436" s="3" t="s">
        <v>1966</v>
      </c>
      <c r="G2436" s="3" t="s">
        <v>1966</v>
      </c>
      <c r="I2436" s="3" t="s">
        <v>2935</v>
      </c>
      <c r="J2436" s="1" t="s">
        <v>3302</v>
      </c>
      <c r="K2436" s="1" t="s">
        <v>3281</v>
      </c>
      <c r="L2436" s="1" t="s">
        <v>35</v>
      </c>
      <c r="M2436" s="3" t="s">
        <v>3018</v>
      </c>
      <c r="O2436" s="1" t="s">
        <v>410</v>
      </c>
      <c r="P2436" s="1" t="s">
        <v>41</v>
      </c>
      <c r="Q2436" s="2">
        <v>0</v>
      </c>
      <c r="R2436" s="138">
        <v>41722</v>
      </c>
      <c r="T2436" s="4">
        <v>244055.52999999991</v>
      </c>
      <c r="U2436" s="4">
        <v>900000</v>
      </c>
      <c r="V2436" s="4">
        <v>731662.46</v>
      </c>
      <c r="W2436" s="13">
        <f t="shared" si="358"/>
        <v>412393.06999999983</v>
      </c>
      <c r="X2436" s="13">
        <f t="shared" si="361"/>
        <v>731662.46</v>
      </c>
      <c r="Y2436" s="13">
        <f t="shared" si="362"/>
        <v>0</v>
      </c>
      <c r="Z2436" s="2">
        <v>0</v>
      </c>
      <c r="AA2436" s="4">
        <v>0</v>
      </c>
      <c r="AB2436" s="4">
        <f t="shared" si="363"/>
        <v>731662.46</v>
      </c>
      <c r="AC2436" s="6">
        <f t="shared" si="364"/>
        <v>0</v>
      </c>
      <c r="AD2436" s="13">
        <f t="shared" si="359"/>
        <v>731662.46</v>
      </c>
      <c r="AE2436" s="2">
        <v>0.09</v>
      </c>
      <c r="AF2436" s="5">
        <f t="shared" si="365"/>
        <v>65849.621399999989</v>
      </c>
      <c r="AG2436" s="2">
        <v>0</v>
      </c>
      <c r="AH2436" s="5">
        <f t="shared" si="360"/>
        <v>731662.46</v>
      </c>
      <c r="AJ2436" s="126" t="e">
        <v>#N/A</v>
      </c>
      <c r="AK2436" s="80">
        <f t="shared" si="366"/>
        <v>0</v>
      </c>
      <c r="AM2436" s="85"/>
    </row>
    <row r="2437" spans="1:39" hidden="1" x14ac:dyDescent="0.3">
      <c r="A2437" s="85" t="s">
        <v>34</v>
      </c>
      <c r="B2437" s="3" t="s">
        <v>35</v>
      </c>
      <c r="C2437" s="3" t="s">
        <v>164</v>
      </c>
      <c r="D2437" s="3" t="s">
        <v>174</v>
      </c>
      <c r="E2437" s="3" t="s">
        <v>1966</v>
      </c>
      <c r="F2437" s="3" t="s">
        <v>1966</v>
      </c>
      <c r="G2437" s="3" t="s">
        <v>1966</v>
      </c>
      <c r="I2437" s="3" t="s">
        <v>2935</v>
      </c>
      <c r="J2437" s="1" t="s">
        <v>3302</v>
      </c>
      <c r="K2437" s="1" t="s">
        <v>3281</v>
      </c>
      <c r="L2437" s="1" t="s">
        <v>35</v>
      </c>
      <c r="M2437" s="3" t="s">
        <v>3019</v>
      </c>
      <c r="O2437" s="1" t="s">
        <v>410</v>
      </c>
      <c r="P2437" s="1" t="s">
        <v>41</v>
      </c>
      <c r="Q2437" s="2">
        <v>0</v>
      </c>
      <c r="R2437" s="138">
        <v>186502</v>
      </c>
      <c r="T2437" s="4">
        <v>12470.189999999995</v>
      </c>
      <c r="U2437" s="4">
        <v>7700</v>
      </c>
      <c r="V2437" s="4">
        <v>18450.28</v>
      </c>
      <c r="W2437" s="13">
        <f t="shared" si="358"/>
        <v>1719.9099999999962</v>
      </c>
      <c r="X2437" s="13">
        <f t="shared" si="361"/>
        <v>18450.28</v>
      </c>
      <c r="Y2437" s="13">
        <f t="shared" si="362"/>
        <v>0</v>
      </c>
      <c r="Z2437" s="2">
        <v>0</v>
      </c>
      <c r="AA2437" s="4">
        <v>0</v>
      </c>
      <c r="AB2437" s="4">
        <f t="shared" si="363"/>
        <v>18450.28</v>
      </c>
      <c r="AC2437" s="6">
        <f t="shared" si="364"/>
        <v>0</v>
      </c>
      <c r="AD2437" s="13">
        <f t="shared" si="359"/>
        <v>18450.28</v>
      </c>
      <c r="AE2437" s="2">
        <v>0.09</v>
      </c>
      <c r="AF2437" s="5">
        <f t="shared" si="365"/>
        <v>1660.5251999999998</v>
      </c>
      <c r="AG2437" s="2">
        <v>0</v>
      </c>
      <c r="AH2437" s="5">
        <f t="shared" si="360"/>
        <v>18450.28</v>
      </c>
      <c r="AJ2437" s="126" t="e">
        <v>#N/A</v>
      </c>
      <c r="AK2437" s="80">
        <f t="shared" si="366"/>
        <v>0</v>
      </c>
      <c r="AM2437" s="85"/>
    </row>
    <row r="2438" spans="1:39" hidden="1" x14ac:dyDescent="0.3">
      <c r="A2438" s="85" t="s">
        <v>34</v>
      </c>
      <c r="B2438" s="3" t="s">
        <v>35</v>
      </c>
      <c r="C2438" s="3" t="s">
        <v>164</v>
      </c>
      <c r="D2438" s="3" t="s">
        <v>174</v>
      </c>
      <c r="E2438" s="3" t="s">
        <v>1966</v>
      </c>
      <c r="F2438" s="3" t="s">
        <v>1966</v>
      </c>
      <c r="G2438" s="3" t="s">
        <v>1966</v>
      </c>
      <c r="I2438" s="3" t="s">
        <v>2935</v>
      </c>
      <c r="J2438" s="1" t="s">
        <v>3302</v>
      </c>
      <c r="K2438" s="1" t="s">
        <v>3281</v>
      </c>
      <c r="L2438" s="1" t="s">
        <v>35</v>
      </c>
      <c r="M2438" s="3" t="s">
        <v>2604</v>
      </c>
      <c r="O2438" s="1" t="s">
        <v>410</v>
      </c>
      <c r="P2438" s="1" t="s">
        <v>41</v>
      </c>
      <c r="Q2438" s="2">
        <v>0</v>
      </c>
      <c r="R2438" s="138">
        <v>20942</v>
      </c>
      <c r="T2438" s="4">
        <v>157352.75999999989</v>
      </c>
      <c r="U2438" s="4">
        <v>190000</v>
      </c>
      <c r="V2438" s="4">
        <v>251007.26</v>
      </c>
      <c r="W2438" s="13">
        <f t="shared" si="358"/>
        <v>96345.499999999884</v>
      </c>
      <c r="X2438" s="13">
        <f t="shared" si="361"/>
        <v>251007.26</v>
      </c>
      <c r="Y2438" s="13">
        <f t="shared" si="362"/>
        <v>0</v>
      </c>
      <c r="Z2438" s="2">
        <v>0</v>
      </c>
      <c r="AA2438" s="4">
        <v>0</v>
      </c>
      <c r="AB2438" s="4">
        <f t="shared" si="363"/>
        <v>251007.26</v>
      </c>
      <c r="AC2438" s="6">
        <f t="shared" si="364"/>
        <v>0</v>
      </c>
      <c r="AD2438" s="13">
        <f t="shared" si="359"/>
        <v>251007.26</v>
      </c>
      <c r="AE2438" s="2">
        <v>0.09</v>
      </c>
      <c r="AF2438" s="5">
        <f t="shared" si="365"/>
        <v>22590.653399999999</v>
      </c>
      <c r="AG2438" s="2">
        <v>0</v>
      </c>
      <c r="AH2438" s="5">
        <f t="shared" si="360"/>
        <v>251007.26</v>
      </c>
      <c r="AJ2438" s="126" t="e">
        <v>#N/A</v>
      </c>
      <c r="AK2438" s="80">
        <f t="shared" si="366"/>
        <v>0</v>
      </c>
      <c r="AM2438" s="85"/>
    </row>
    <row r="2439" spans="1:39" hidden="1" x14ac:dyDescent="0.3">
      <c r="A2439" s="85" t="s">
        <v>34</v>
      </c>
      <c r="B2439" s="3" t="s">
        <v>35</v>
      </c>
      <c r="C2439" s="3" t="s">
        <v>164</v>
      </c>
      <c r="D2439" s="3" t="s">
        <v>174</v>
      </c>
      <c r="E2439" s="3" t="s">
        <v>3020</v>
      </c>
      <c r="F2439" s="3" t="s">
        <v>3020</v>
      </c>
      <c r="G2439" s="3" t="s">
        <v>3020</v>
      </c>
      <c r="I2439" s="3" t="s">
        <v>2935</v>
      </c>
      <c r="J2439" s="1" t="s">
        <v>3302</v>
      </c>
      <c r="K2439" s="1" t="s">
        <v>3281</v>
      </c>
      <c r="L2439" s="1" t="s">
        <v>35</v>
      </c>
      <c r="M2439" s="3" t="s">
        <v>3021</v>
      </c>
      <c r="O2439" s="1" t="s">
        <v>410</v>
      </c>
      <c r="P2439" s="1" t="s">
        <v>1327</v>
      </c>
      <c r="Q2439" s="2">
        <v>0</v>
      </c>
      <c r="R2439" s="138">
        <v>241162</v>
      </c>
      <c r="T2439" s="4">
        <v>36660.120000000003</v>
      </c>
      <c r="U2439" s="4">
        <v>366.5</v>
      </c>
      <c r="V2439" s="4">
        <v>13500</v>
      </c>
      <c r="W2439" s="13">
        <f t="shared" si="358"/>
        <v>23526.620000000003</v>
      </c>
      <c r="X2439" s="13">
        <f t="shared" si="361"/>
        <v>13500</v>
      </c>
      <c r="Y2439" s="13">
        <f t="shared" si="362"/>
        <v>0</v>
      </c>
      <c r="Z2439" s="2">
        <v>0</v>
      </c>
      <c r="AA2439" s="4">
        <v>0</v>
      </c>
      <c r="AB2439" s="4">
        <f t="shared" si="363"/>
        <v>13500</v>
      </c>
      <c r="AC2439" s="6">
        <f t="shared" si="364"/>
        <v>0</v>
      </c>
      <c r="AD2439" s="13">
        <f t="shared" si="359"/>
        <v>13500</v>
      </c>
      <c r="AE2439" s="2">
        <v>0.09</v>
      </c>
      <c r="AF2439" s="5">
        <f t="shared" si="365"/>
        <v>1215</v>
      </c>
      <c r="AG2439" s="2">
        <v>0</v>
      </c>
      <c r="AH2439" s="5">
        <f t="shared" si="360"/>
        <v>13500</v>
      </c>
      <c r="AJ2439" s="126" t="e">
        <v>#N/A</v>
      </c>
      <c r="AK2439" s="80">
        <f t="shared" si="366"/>
        <v>0</v>
      </c>
      <c r="AM2439" s="85"/>
    </row>
    <row r="2440" spans="1:39" hidden="1" x14ac:dyDescent="0.3">
      <c r="A2440" s="85" t="s">
        <v>34</v>
      </c>
      <c r="B2440" s="3" t="s">
        <v>35</v>
      </c>
      <c r="C2440" s="3" t="s">
        <v>164</v>
      </c>
      <c r="D2440" s="3" t="s">
        <v>174</v>
      </c>
      <c r="E2440" s="3" t="s">
        <v>646</v>
      </c>
      <c r="F2440" s="3" t="s">
        <v>646</v>
      </c>
      <c r="G2440" s="3" t="s">
        <v>646</v>
      </c>
      <c r="I2440" s="3" t="s">
        <v>2935</v>
      </c>
      <c r="J2440" s="1" t="s">
        <v>3302</v>
      </c>
      <c r="K2440" s="1" t="s">
        <v>3281</v>
      </c>
      <c r="L2440" s="1" t="s">
        <v>35</v>
      </c>
      <c r="M2440" s="3" t="s">
        <v>646</v>
      </c>
      <c r="O2440" s="1" t="s">
        <v>410</v>
      </c>
      <c r="P2440" s="1" t="s">
        <v>41</v>
      </c>
      <c r="Q2440" s="2">
        <v>0</v>
      </c>
      <c r="R2440" s="138">
        <v>175442</v>
      </c>
      <c r="T2440" s="4">
        <v>0</v>
      </c>
      <c r="U2440" s="4">
        <v>30000</v>
      </c>
      <c r="V2440" s="4">
        <v>28000</v>
      </c>
      <c r="W2440" s="13">
        <f t="shared" si="358"/>
        <v>2000</v>
      </c>
      <c r="X2440" s="13">
        <f t="shared" si="361"/>
        <v>28000</v>
      </c>
      <c r="Y2440" s="13">
        <f t="shared" si="362"/>
        <v>0</v>
      </c>
      <c r="Z2440" s="2">
        <v>0</v>
      </c>
      <c r="AA2440" s="4">
        <v>0</v>
      </c>
      <c r="AB2440" s="4">
        <f t="shared" si="363"/>
        <v>28000</v>
      </c>
      <c r="AC2440" s="6">
        <f t="shared" si="364"/>
        <v>0</v>
      </c>
      <c r="AD2440" s="13">
        <f t="shared" si="359"/>
        <v>28000</v>
      </c>
      <c r="AE2440" s="2">
        <v>0.09</v>
      </c>
      <c r="AF2440" s="5">
        <f t="shared" si="365"/>
        <v>2520</v>
      </c>
      <c r="AG2440" s="2">
        <v>0</v>
      </c>
      <c r="AH2440" s="5">
        <f t="shared" si="360"/>
        <v>28000</v>
      </c>
      <c r="AJ2440" s="126" t="e">
        <v>#N/A</v>
      </c>
      <c r="AK2440" s="80">
        <f t="shared" si="366"/>
        <v>0</v>
      </c>
      <c r="AM2440" s="85"/>
    </row>
    <row r="2441" spans="1:39" hidden="1" x14ac:dyDescent="0.3">
      <c r="A2441" s="85" t="s">
        <v>34</v>
      </c>
      <c r="B2441" s="3" t="s">
        <v>35</v>
      </c>
      <c r="C2441" s="3" t="s">
        <v>164</v>
      </c>
      <c r="D2441" s="3" t="s">
        <v>174</v>
      </c>
      <c r="E2441" s="3" t="s">
        <v>3022</v>
      </c>
      <c r="F2441" s="3" t="s">
        <v>3022</v>
      </c>
      <c r="G2441" s="3" t="s">
        <v>3022</v>
      </c>
      <c r="I2441" s="3" t="s">
        <v>2935</v>
      </c>
      <c r="J2441" s="1" t="s">
        <v>3302</v>
      </c>
      <c r="K2441" s="1" t="s">
        <v>3281</v>
      </c>
      <c r="L2441" s="1" t="s">
        <v>35</v>
      </c>
      <c r="M2441" s="3" t="s">
        <v>3023</v>
      </c>
      <c r="O2441" s="1" t="s">
        <v>410</v>
      </c>
      <c r="P2441" s="1" t="s">
        <v>41</v>
      </c>
      <c r="Q2441" s="2">
        <v>0</v>
      </c>
      <c r="R2441" s="138">
        <v>225202</v>
      </c>
      <c r="T2441" s="4">
        <v>0</v>
      </c>
      <c r="U2441" s="4">
        <v>20000</v>
      </c>
      <c r="V2441" s="4">
        <v>14076</v>
      </c>
      <c r="W2441" s="13">
        <f t="shared" si="358"/>
        <v>5924</v>
      </c>
      <c r="X2441" s="13">
        <f t="shared" si="361"/>
        <v>14076</v>
      </c>
      <c r="Y2441" s="13">
        <f t="shared" si="362"/>
        <v>0</v>
      </c>
      <c r="Z2441" s="2">
        <v>0</v>
      </c>
      <c r="AA2441" s="4">
        <v>0</v>
      </c>
      <c r="AB2441" s="4">
        <f t="shared" si="363"/>
        <v>14076</v>
      </c>
      <c r="AC2441" s="6">
        <f t="shared" si="364"/>
        <v>0</v>
      </c>
      <c r="AD2441" s="13">
        <f t="shared" si="359"/>
        <v>14076</v>
      </c>
      <c r="AE2441" s="2">
        <v>0.09</v>
      </c>
      <c r="AF2441" s="5">
        <f t="shared" si="365"/>
        <v>1266.8399999999999</v>
      </c>
      <c r="AG2441" s="2">
        <v>0</v>
      </c>
      <c r="AH2441" s="5">
        <f t="shared" si="360"/>
        <v>14076</v>
      </c>
      <c r="AJ2441" s="126" t="e">
        <v>#N/A</v>
      </c>
      <c r="AK2441" s="80">
        <f t="shared" si="366"/>
        <v>0</v>
      </c>
      <c r="AM2441" s="85"/>
    </row>
    <row r="2442" spans="1:39" hidden="1" x14ac:dyDescent="0.3">
      <c r="A2442" s="85" t="s">
        <v>34</v>
      </c>
      <c r="B2442" s="3" t="s">
        <v>35</v>
      </c>
      <c r="C2442" s="3" t="s">
        <v>164</v>
      </c>
      <c r="D2442" s="3" t="s">
        <v>174</v>
      </c>
      <c r="E2442" s="3" t="s">
        <v>651</v>
      </c>
      <c r="F2442" s="3" t="s">
        <v>651</v>
      </c>
      <c r="G2442" s="3" t="s">
        <v>651</v>
      </c>
      <c r="I2442" s="3" t="s">
        <v>2935</v>
      </c>
      <c r="J2442" s="1" t="s">
        <v>3302</v>
      </c>
      <c r="K2442" s="1" t="s">
        <v>3281</v>
      </c>
      <c r="L2442" s="1" t="s">
        <v>35</v>
      </c>
      <c r="M2442" s="3" t="s">
        <v>651</v>
      </c>
      <c r="O2442" s="1" t="s">
        <v>45</v>
      </c>
      <c r="P2442" s="1" t="s">
        <v>46</v>
      </c>
      <c r="Q2442" s="2">
        <v>0.08</v>
      </c>
      <c r="R2442" s="138">
        <v>104552</v>
      </c>
      <c r="T2442" s="4">
        <v>0</v>
      </c>
      <c r="U2442" s="4">
        <v>70000</v>
      </c>
      <c r="V2442" s="4">
        <v>5320.1799999999857</v>
      </c>
      <c r="W2442" s="13">
        <f t="shared" si="358"/>
        <v>64679.820000000014</v>
      </c>
      <c r="X2442" s="13">
        <f t="shared" si="361"/>
        <v>4926.0925925925794</v>
      </c>
      <c r="Y2442" s="13">
        <f t="shared" si="362"/>
        <v>0</v>
      </c>
      <c r="Z2442" s="2">
        <v>0</v>
      </c>
      <c r="AA2442" s="4">
        <v>0</v>
      </c>
      <c r="AB2442" s="4">
        <f t="shared" si="363"/>
        <v>4926.0925925925794</v>
      </c>
      <c r="AC2442" s="6">
        <f t="shared" si="364"/>
        <v>394.08740740740632</v>
      </c>
      <c r="AD2442" s="13">
        <f t="shared" si="359"/>
        <v>5320.1799999999857</v>
      </c>
      <c r="AE2442" s="2">
        <v>0.18</v>
      </c>
      <c r="AF2442" s="5">
        <f t="shared" si="365"/>
        <v>957.63239999999735</v>
      </c>
      <c r="AG2442" s="2">
        <v>0</v>
      </c>
      <c r="AH2442" s="5">
        <f t="shared" si="360"/>
        <v>5320.1799999999857</v>
      </c>
      <c r="AJ2442" s="126" t="e">
        <v>#N/A</v>
      </c>
      <c r="AK2442" s="80">
        <f t="shared" si="366"/>
        <v>0</v>
      </c>
      <c r="AM2442" s="85"/>
    </row>
    <row r="2443" spans="1:39" hidden="1" x14ac:dyDescent="0.3">
      <c r="A2443" s="85" t="s">
        <v>34</v>
      </c>
      <c r="B2443" s="3" t="s">
        <v>35</v>
      </c>
      <c r="C2443" s="3" t="s">
        <v>164</v>
      </c>
      <c r="D2443" s="3" t="s">
        <v>174</v>
      </c>
      <c r="E2443" s="3" t="s">
        <v>651</v>
      </c>
      <c r="F2443" s="3" t="s">
        <v>651</v>
      </c>
      <c r="G2443" s="3" t="s">
        <v>651</v>
      </c>
      <c r="I2443" s="3" t="s">
        <v>2935</v>
      </c>
      <c r="J2443" s="1" t="s">
        <v>3302</v>
      </c>
      <c r="K2443" s="1" t="s">
        <v>3281</v>
      </c>
      <c r="L2443" s="1" t="s">
        <v>35</v>
      </c>
      <c r="M2443" s="3" t="s">
        <v>1629</v>
      </c>
      <c r="O2443" s="1" t="s">
        <v>45</v>
      </c>
      <c r="P2443" s="1" t="s">
        <v>46</v>
      </c>
      <c r="Q2443" s="2">
        <v>0.08</v>
      </c>
      <c r="R2443" s="138">
        <v>220642</v>
      </c>
      <c r="T2443" s="4">
        <v>0</v>
      </c>
      <c r="U2443" s="4">
        <v>50000</v>
      </c>
      <c r="V2443" s="4">
        <v>50000</v>
      </c>
      <c r="W2443" s="13">
        <f t="shared" si="358"/>
        <v>0</v>
      </c>
      <c r="X2443" s="13">
        <f t="shared" si="361"/>
        <v>46296.296296296292</v>
      </c>
      <c r="Y2443" s="13">
        <f t="shared" si="362"/>
        <v>0</v>
      </c>
      <c r="Z2443" s="2">
        <v>0</v>
      </c>
      <c r="AA2443" s="4">
        <v>0</v>
      </c>
      <c r="AB2443" s="4">
        <f t="shared" si="363"/>
        <v>46296.296296296292</v>
      </c>
      <c r="AC2443" s="6">
        <f t="shared" si="364"/>
        <v>3703.703703703708</v>
      </c>
      <c r="AD2443" s="13">
        <f t="shared" si="359"/>
        <v>50000</v>
      </c>
      <c r="AE2443" s="2">
        <v>0.18</v>
      </c>
      <c r="AF2443" s="5">
        <f t="shared" si="365"/>
        <v>9000</v>
      </c>
      <c r="AG2443" s="2">
        <v>0</v>
      </c>
      <c r="AH2443" s="5">
        <f t="shared" si="360"/>
        <v>50000</v>
      </c>
      <c r="AJ2443" s="126" t="e">
        <v>#N/A</v>
      </c>
      <c r="AK2443" s="80">
        <f t="shared" si="366"/>
        <v>0</v>
      </c>
      <c r="AM2443" s="85"/>
    </row>
    <row r="2444" spans="1:39" hidden="1" x14ac:dyDescent="0.3">
      <c r="A2444" s="85" t="s">
        <v>34</v>
      </c>
      <c r="B2444" s="3" t="s">
        <v>35</v>
      </c>
      <c r="C2444" s="3" t="s">
        <v>164</v>
      </c>
      <c r="D2444" s="3" t="s">
        <v>174</v>
      </c>
      <c r="E2444" s="3" t="s">
        <v>3024</v>
      </c>
      <c r="F2444" s="3" t="s">
        <v>3024</v>
      </c>
      <c r="G2444" s="3" t="s">
        <v>3024</v>
      </c>
      <c r="I2444" s="3" t="s">
        <v>2935</v>
      </c>
      <c r="J2444" s="1" t="s">
        <v>3302</v>
      </c>
      <c r="K2444" s="1" t="s">
        <v>3281</v>
      </c>
      <c r="L2444" s="1" t="s">
        <v>35</v>
      </c>
      <c r="M2444" s="3" t="s">
        <v>3025</v>
      </c>
      <c r="O2444" s="1" t="s">
        <v>410</v>
      </c>
      <c r="P2444" s="1" t="s">
        <v>46</v>
      </c>
      <c r="Q2444" s="2">
        <v>0.02</v>
      </c>
      <c r="R2444" s="138">
        <v>239792</v>
      </c>
      <c r="T2444" s="4">
        <v>3.5399999999999636</v>
      </c>
      <c r="U2444" s="4">
        <v>0</v>
      </c>
      <c r="V2444" s="4">
        <v>3.54</v>
      </c>
      <c r="W2444" s="13">
        <f t="shared" si="358"/>
        <v>-3.6415315207705135E-14</v>
      </c>
      <c r="X2444" s="13">
        <f t="shared" si="361"/>
        <v>3.4705882352941178</v>
      </c>
      <c r="Y2444" s="13">
        <f t="shared" si="362"/>
        <v>0</v>
      </c>
      <c r="Z2444" s="2">
        <v>0</v>
      </c>
      <c r="AA2444" s="4">
        <v>0</v>
      </c>
      <c r="AB2444" s="4">
        <f t="shared" si="363"/>
        <v>3.4705882352941178</v>
      </c>
      <c r="AC2444" s="6">
        <f t="shared" si="364"/>
        <v>6.9411764705882284E-2</v>
      </c>
      <c r="AD2444" s="13">
        <f t="shared" si="359"/>
        <v>3.54</v>
      </c>
      <c r="AE2444" s="2">
        <v>0.09</v>
      </c>
      <c r="AF2444" s="5">
        <f t="shared" si="365"/>
        <v>0.31859999999999999</v>
      </c>
      <c r="AG2444" s="2">
        <v>0</v>
      </c>
      <c r="AH2444" s="5">
        <f t="shared" si="360"/>
        <v>3.54</v>
      </c>
      <c r="AJ2444" s="126" t="e">
        <v>#N/A</v>
      </c>
      <c r="AK2444" s="80">
        <f t="shared" si="366"/>
        <v>0</v>
      </c>
      <c r="AM2444" s="85"/>
    </row>
    <row r="2445" spans="1:39" hidden="1" x14ac:dyDescent="0.3">
      <c r="A2445" s="85" t="s">
        <v>34</v>
      </c>
      <c r="B2445" s="3" t="s">
        <v>35</v>
      </c>
      <c r="C2445" s="3" t="s">
        <v>164</v>
      </c>
      <c r="D2445" s="3" t="s">
        <v>174</v>
      </c>
      <c r="E2445" s="3" t="s">
        <v>3024</v>
      </c>
      <c r="F2445" s="3" t="s">
        <v>3024</v>
      </c>
      <c r="G2445" s="3" t="s">
        <v>3024</v>
      </c>
      <c r="I2445" s="3" t="s">
        <v>2935</v>
      </c>
      <c r="J2445" s="1" t="s">
        <v>3302</v>
      </c>
      <c r="K2445" s="1" t="s">
        <v>3281</v>
      </c>
      <c r="L2445" s="1" t="s">
        <v>35</v>
      </c>
      <c r="M2445" s="3" t="s">
        <v>3026</v>
      </c>
      <c r="O2445" s="1" t="s">
        <v>410</v>
      </c>
      <c r="P2445" s="1" t="s">
        <v>46</v>
      </c>
      <c r="Q2445" s="2">
        <v>0.02</v>
      </c>
      <c r="R2445" s="138">
        <v>239842</v>
      </c>
      <c r="T2445" s="4">
        <v>2.4200000000000728</v>
      </c>
      <c r="U2445" s="4">
        <v>0</v>
      </c>
      <c r="V2445" s="4">
        <v>2.42</v>
      </c>
      <c r="W2445" s="13">
        <f>T2445+U2445-V2445</f>
        <v>7.2830630415410269E-14</v>
      </c>
      <c r="X2445" s="13">
        <f t="shared" si="361"/>
        <v>2.3725490196078431</v>
      </c>
      <c r="Y2445" s="13">
        <f t="shared" si="362"/>
        <v>0</v>
      </c>
      <c r="Z2445" s="2">
        <v>0</v>
      </c>
      <c r="AA2445" s="4">
        <v>0</v>
      </c>
      <c r="AB2445" s="4">
        <f t="shared" si="363"/>
        <v>2.3725490196078431</v>
      </c>
      <c r="AC2445" s="6">
        <f t="shared" si="364"/>
        <v>4.7450980392156783E-2</v>
      </c>
      <c r="AD2445" s="13">
        <f t="shared" si="359"/>
        <v>2.42</v>
      </c>
      <c r="AE2445" s="2">
        <v>0.09</v>
      </c>
      <c r="AF2445" s="5">
        <f t="shared" si="365"/>
        <v>0.21779999999999999</v>
      </c>
      <c r="AG2445" s="2">
        <v>0</v>
      </c>
      <c r="AH2445" s="5">
        <f t="shared" si="360"/>
        <v>2.42</v>
      </c>
      <c r="AJ2445" s="126" t="e">
        <v>#N/A</v>
      </c>
      <c r="AK2445" s="80">
        <f t="shared" si="366"/>
        <v>0</v>
      </c>
      <c r="AM2445" s="85"/>
    </row>
    <row r="2446" spans="1:39" hidden="1" x14ac:dyDescent="0.3">
      <c r="A2446" s="85" t="s">
        <v>34</v>
      </c>
      <c r="B2446" s="3" t="s">
        <v>35</v>
      </c>
      <c r="C2446" s="3" t="s">
        <v>164</v>
      </c>
      <c r="D2446" s="3" t="s">
        <v>174</v>
      </c>
      <c r="E2446" s="3" t="s">
        <v>3024</v>
      </c>
      <c r="F2446" s="3" t="s">
        <v>3024</v>
      </c>
      <c r="G2446" s="3" t="s">
        <v>3024</v>
      </c>
      <c r="H2446" s="138"/>
      <c r="I2446" s="3" t="s">
        <v>2935</v>
      </c>
      <c r="J2446" s="1" t="s">
        <v>3302</v>
      </c>
      <c r="K2446" s="1" t="s">
        <v>3281</v>
      </c>
      <c r="L2446" s="1" t="s">
        <v>35</v>
      </c>
      <c r="M2446" s="3" t="s">
        <v>3027</v>
      </c>
      <c r="O2446" s="1" t="s">
        <v>410</v>
      </c>
      <c r="P2446" s="1" t="s">
        <v>41</v>
      </c>
      <c r="Q2446" s="2">
        <v>0</v>
      </c>
      <c r="R2446" s="138">
        <v>162782</v>
      </c>
      <c r="T2446" s="4">
        <v>0</v>
      </c>
      <c r="U2446" s="4">
        <v>0</v>
      </c>
      <c r="V2446" s="4">
        <v>0</v>
      </c>
      <c r="W2446" s="13">
        <f t="shared" si="358"/>
        <v>0</v>
      </c>
      <c r="X2446" s="13">
        <f t="shared" si="361"/>
        <v>0</v>
      </c>
      <c r="Y2446" s="13">
        <f t="shared" si="362"/>
        <v>0</v>
      </c>
      <c r="Z2446" s="2">
        <v>0</v>
      </c>
      <c r="AA2446" s="4">
        <v>0</v>
      </c>
      <c r="AB2446" s="4">
        <f t="shared" si="363"/>
        <v>0</v>
      </c>
      <c r="AC2446" s="6">
        <f t="shared" si="364"/>
        <v>0</v>
      </c>
      <c r="AD2446" s="13">
        <f t="shared" si="359"/>
        <v>0</v>
      </c>
      <c r="AE2446" s="2">
        <v>0.09</v>
      </c>
      <c r="AF2446" s="5">
        <f t="shared" si="365"/>
        <v>0</v>
      </c>
      <c r="AG2446" s="2">
        <v>0</v>
      </c>
      <c r="AH2446" s="5">
        <f t="shared" si="360"/>
        <v>0</v>
      </c>
      <c r="AJ2446" s="126" t="e">
        <v>#N/A</v>
      </c>
      <c r="AK2446" s="80">
        <f t="shared" si="366"/>
        <v>0</v>
      </c>
      <c r="AM2446" s="85"/>
    </row>
    <row r="2447" spans="1:39" hidden="1" x14ac:dyDescent="0.3">
      <c r="A2447" s="85" t="s">
        <v>34</v>
      </c>
      <c r="B2447" s="3" t="s">
        <v>35</v>
      </c>
      <c r="C2447" s="3" t="s">
        <v>164</v>
      </c>
      <c r="D2447" s="3" t="s">
        <v>174</v>
      </c>
      <c r="E2447" s="3" t="s">
        <v>3024</v>
      </c>
      <c r="F2447" s="3" t="s">
        <v>3024</v>
      </c>
      <c r="G2447" s="3" t="s">
        <v>3024</v>
      </c>
      <c r="H2447" s="138"/>
      <c r="I2447" s="3" t="s">
        <v>2935</v>
      </c>
      <c r="J2447" s="1" t="s">
        <v>3302</v>
      </c>
      <c r="K2447" s="1" t="s">
        <v>3281</v>
      </c>
      <c r="L2447" s="1" t="s">
        <v>35</v>
      </c>
      <c r="M2447" s="3" t="s">
        <v>3028</v>
      </c>
      <c r="O2447" s="1" t="s">
        <v>410</v>
      </c>
      <c r="P2447" s="1" t="s">
        <v>46</v>
      </c>
      <c r="Q2447" s="2">
        <v>0.02</v>
      </c>
      <c r="R2447" s="138">
        <v>162772</v>
      </c>
      <c r="T2447" s="4">
        <v>0</v>
      </c>
      <c r="U2447" s="4">
        <v>0</v>
      </c>
      <c r="V2447" s="4">
        <v>0</v>
      </c>
      <c r="W2447" s="13">
        <f t="shared" si="358"/>
        <v>0</v>
      </c>
      <c r="X2447" s="13">
        <f t="shared" si="361"/>
        <v>0</v>
      </c>
      <c r="Y2447" s="13">
        <f t="shared" si="362"/>
        <v>0</v>
      </c>
      <c r="Z2447" s="2">
        <v>0</v>
      </c>
      <c r="AA2447" s="4">
        <v>0</v>
      </c>
      <c r="AB2447" s="4">
        <f t="shared" si="363"/>
        <v>0</v>
      </c>
      <c r="AC2447" s="6">
        <f t="shared" si="364"/>
        <v>0</v>
      </c>
      <c r="AD2447" s="13">
        <f t="shared" si="359"/>
        <v>0</v>
      </c>
      <c r="AE2447" s="2">
        <v>0.09</v>
      </c>
      <c r="AF2447" s="5">
        <f t="shared" si="365"/>
        <v>0</v>
      </c>
      <c r="AG2447" s="2">
        <v>0</v>
      </c>
      <c r="AH2447" s="5">
        <f t="shared" si="360"/>
        <v>0</v>
      </c>
      <c r="AJ2447" s="126" t="e">
        <v>#N/A</v>
      </c>
      <c r="AK2447" s="80">
        <f t="shared" si="366"/>
        <v>0</v>
      </c>
      <c r="AM2447" s="85"/>
    </row>
    <row r="2448" spans="1:39" hidden="1" x14ac:dyDescent="0.3">
      <c r="A2448" s="85" t="s">
        <v>34</v>
      </c>
      <c r="B2448" s="3" t="s">
        <v>35</v>
      </c>
      <c r="C2448" s="3" t="s">
        <v>164</v>
      </c>
      <c r="D2448" s="3" t="s">
        <v>174</v>
      </c>
      <c r="E2448" s="3" t="s">
        <v>3024</v>
      </c>
      <c r="F2448" s="3" t="s">
        <v>3024</v>
      </c>
      <c r="G2448" s="3" t="s">
        <v>3024</v>
      </c>
      <c r="H2448" s="138"/>
      <c r="I2448" s="3" t="s">
        <v>2935</v>
      </c>
      <c r="J2448" s="1" t="s">
        <v>3302</v>
      </c>
      <c r="K2448" s="1" t="s">
        <v>3281</v>
      </c>
      <c r="L2448" s="1" t="s">
        <v>35</v>
      </c>
      <c r="M2448" s="3" t="s">
        <v>3028</v>
      </c>
      <c r="O2448" s="1" t="s">
        <v>410</v>
      </c>
      <c r="P2448" s="1" t="s">
        <v>41</v>
      </c>
      <c r="Q2448" s="2">
        <v>0</v>
      </c>
      <c r="R2448" s="138">
        <v>162772</v>
      </c>
      <c r="T2448" s="4">
        <v>0</v>
      </c>
      <c r="U2448" s="4">
        <v>0</v>
      </c>
      <c r="V2448" s="4">
        <v>0</v>
      </c>
      <c r="W2448" s="13">
        <f t="shared" si="358"/>
        <v>0</v>
      </c>
      <c r="X2448" s="13">
        <f t="shared" si="361"/>
        <v>0</v>
      </c>
      <c r="Y2448" s="13">
        <f t="shared" si="362"/>
        <v>0</v>
      </c>
      <c r="Z2448" s="2">
        <v>0</v>
      </c>
      <c r="AA2448" s="4">
        <v>0</v>
      </c>
      <c r="AB2448" s="4">
        <f t="shared" si="363"/>
        <v>0</v>
      </c>
      <c r="AC2448" s="6">
        <f t="shared" si="364"/>
        <v>0</v>
      </c>
      <c r="AD2448" s="13">
        <f t="shared" si="359"/>
        <v>0</v>
      </c>
      <c r="AE2448" s="2">
        <v>0.09</v>
      </c>
      <c r="AF2448" s="5">
        <f t="shared" si="365"/>
        <v>0</v>
      </c>
      <c r="AG2448" s="2">
        <v>0</v>
      </c>
      <c r="AH2448" s="5">
        <f t="shared" si="360"/>
        <v>0</v>
      </c>
      <c r="AJ2448" s="126" t="e">
        <v>#N/A</v>
      </c>
      <c r="AK2448" s="80">
        <f t="shared" si="366"/>
        <v>0</v>
      </c>
      <c r="AM2448" s="85"/>
    </row>
    <row r="2449" spans="1:39" hidden="1" x14ac:dyDescent="0.3">
      <c r="A2449" s="85" t="s">
        <v>34</v>
      </c>
      <c r="B2449" s="3" t="s">
        <v>35</v>
      </c>
      <c r="C2449" s="3" t="s">
        <v>164</v>
      </c>
      <c r="D2449" s="3" t="s">
        <v>174</v>
      </c>
      <c r="E2449" s="3" t="s">
        <v>1668</v>
      </c>
      <c r="F2449" s="3" t="s">
        <v>1669</v>
      </c>
      <c r="G2449" s="3" t="s">
        <v>1668</v>
      </c>
      <c r="I2449" s="3" t="s">
        <v>2935</v>
      </c>
      <c r="J2449" s="1" t="s">
        <v>3302</v>
      </c>
      <c r="K2449" s="1" t="s">
        <v>3281</v>
      </c>
      <c r="L2449" s="1" t="s">
        <v>35</v>
      </c>
      <c r="M2449" s="3" t="s">
        <v>3029</v>
      </c>
      <c r="O2449" s="1" t="s">
        <v>410</v>
      </c>
      <c r="P2449" s="1" t="s">
        <v>46</v>
      </c>
      <c r="Q2449" s="2">
        <v>0.05</v>
      </c>
      <c r="R2449" s="138">
        <v>10818</v>
      </c>
      <c r="T2449" s="4">
        <v>0</v>
      </c>
      <c r="U2449" s="4">
        <v>46760.57</v>
      </c>
      <c r="V2449" s="4">
        <v>45643.44</v>
      </c>
      <c r="W2449" s="13">
        <f t="shared" si="358"/>
        <v>1117.1299999999974</v>
      </c>
      <c r="X2449" s="13">
        <f t="shared" si="361"/>
        <v>43469.942857142858</v>
      </c>
      <c r="Y2449" s="13">
        <f t="shared" si="362"/>
        <v>0</v>
      </c>
      <c r="Z2449" s="2">
        <v>0</v>
      </c>
      <c r="AA2449" s="4">
        <v>0</v>
      </c>
      <c r="AB2449" s="4">
        <f t="shared" si="363"/>
        <v>43469.942857142858</v>
      </c>
      <c r="AC2449" s="6">
        <f t="shared" si="364"/>
        <v>2173.4971428571444</v>
      </c>
      <c r="AD2449" s="13">
        <f t="shared" si="359"/>
        <v>45643.44</v>
      </c>
      <c r="AE2449" s="2">
        <v>0.09</v>
      </c>
      <c r="AF2449" s="5">
        <f t="shared" si="365"/>
        <v>4107.9096</v>
      </c>
      <c r="AG2449" s="2">
        <v>0</v>
      </c>
      <c r="AH2449" s="5">
        <f t="shared" si="360"/>
        <v>45643.44</v>
      </c>
      <c r="AJ2449" s="126" t="e">
        <v>#N/A</v>
      </c>
      <c r="AK2449" s="80">
        <f t="shared" si="366"/>
        <v>0</v>
      </c>
      <c r="AM2449" s="85"/>
    </row>
    <row r="2450" spans="1:39" hidden="1" x14ac:dyDescent="0.3">
      <c r="A2450" s="85" t="s">
        <v>34</v>
      </c>
      <c r="B2450" s="3" t="s">
        <v>35</v>
      </c>
      <c r="C2450" s="3" t="s">
        <v>164</v>
      </c>
      <c r="D2450" s="3" t="s">
        <v>174</v>
      </c>
      <c r="E2450" s="3" t="s">
        <v>2820</v>
      </c>
      <c r="F2450" s="3" t="s">
        <v>2820</v>
      </c>
      <c r="G2450" s="3" t="s">
        <v>2820</v>
      </c>
      <c r="I2450" s="3" t="s">
        <v>2935</v>
      </c>
      <c r="J2450" s="1" t="s">
        <v>3302</v>
      </c>
      <c r="K2450" s="1" t="s">
        <v>3281</v>
      </c>
      <c r="L2450" s="1" t="s">
        <v>35</v>
      </c>
      <c r="M2450" s="3" t="s">
        <v>2360</v>
      </c>
      <c r="O2450" s="1" t="s">
        <v>410</v>
      </c>
      <c r="P2450" s="1" t="s">
        <v>41</v>
      </c>
      <c r="Q2450" s="2">
        <v>0</v>
      </c>
      <c r="R2450" s="138">
        <v>53662</v>
      </c>
      <c r="T2450" s="4">
        <v>37082.81</v>
      </c>
      <c r="U2450" s="4">
        <v>4000</v>
      </c>
      <c r="V2450" s="4">
        <v>31131.63</v>
      </c>
      <c r="W2450" s="13">
        <f t="shared" si="358"/>
        <v>9951.1799999999967</v>
      </c>
      <c r="X2450" s="13">
        <f t="shared" si="361"/>
        <v>31131.63</v>
      </c>
      <c r="Y2450" s="13">
        <f t="shared" si="362"/>
        <v>0</v>
      </c>
      <c r="Z2450" s="2">
        <v>0</v>
      </c>
      <c r="AA2450" s="4">
        <v>0</v>
      </c>
      <c r="AB2450" s="4">
        <f t="shared" si="363"/>
        <v>31131.63</v>
      </c>
      <c r="AC2450" s="6">
        <f t="shared" si="364"/>
        <v>0</v>
      </c>
      <c r="AD2450" s="13">
        <f t="shared" si="359"/>
        <v>31131.63</v>
      </c>
      <c r="AE2450" s="2">
        <v>0.09</v>
      </c>
      <c r="AF2450" s="5">
        <f t="shared" si="365"/>
        <v>2801.8467000000001</v>
      </c>
      <c r="AG2450" s="2">
        <v>0</v>
      </c>
      <c r="AH2450" s="5">
        <f t="shared" si="360"/>
        <v>31131.63</v>
      </c>
      <c r="AJ2450" s="126" t="e">
        <v>#N/A</v>
      </c>
      <c r="AK2450" s="80">
        <f t="shared" si="366"/>
        <v>0</v>
      </c>
      <c r="AM2450" s="85"/>
    </row>
    <row r="2451" spans="1:39" hidden="1" x14ac:dyDescent="0.3">
      <c r="A2451" s="85" t="s">
        <v>34</v>
      </c>
      <c r="B2451" s="3" t="s">
        <v>35</v>
      </c>
      <c r="C2451" s="3" t="s">
        <v>164</v>
      </c>
      <c r="D2451" s="3" t="s">
        <v>174</v>
      </c>
      <c r="E2451" s="3" t="s">
        <v>2820</v>
      </c>
      <c r="F2451" s="3" t="s">
        <v>2820</v>
      </c>
      <c r="G2451" s="3" t="s">
        <v>2820</v>
      </c>
      <c r="I2451" s="3" t="s">
        <v>2935</v>
      </c>
      <c r="J2451" s="1" t="s">
        <v>3302</v>
      </c>
      <c r="K2451" s="1" t="s">
        <v>3281</v>
      </c>
      <c r="L2451" s="1" t="s">
        <v>35</v>
      </c>
      <c r="M2451" s="3" t="s">
        <v>2361</v>
      </c>
      <c r="O2451" s="1" t="s">
        <v>410</v>
      </c>
      <c r="P2451" s="1" t="s">
        <v>41</v>
      </c>
      <c r="Q2451" s="2">
        <v>0</v>
      </c>
      <c r="R2451" s="138">
        <v>107002</v>
      </c>
      <c r="T2451" s="4">
        <v>20346.939999999995</v>
      </c>
      <c r="U2451" s="4">
        <v>76000</v>
      </c>
      <c r="V2451" s="4">
        <v>73797.03</v>
      </c>
      <c r="W2451" s="13">
        <f t="shared" si="358"/>
        <v>22549.910000000003</v>
      </c>
      <c r="X2451" s="13">
        <f t="shared" si="361"/>
        <v>73797.03</v>
      </c>
      <c r="Y2451" s="13">
        <f t="shared" si="362"/>
        <v>0</v>
      </c>
      <c r="Z2451" s="2">
        <v>0</v>
      </c>
      <c r="AA2451" s="4">
        <v>0</v>
      </c>
      <c r="AB2451" s="4">
        <f t="shared" si="363"/>
        <v>73797.03</v>
      </c>
      <c r="AC2451" s="6">
        <f t="shared" si="364"/>
        <v>0</v>
      </c>
      <c r="AD2451" s="13">
        <f t="shared" si="359"/>
        <v>73797.03</v>
      </c>
      <c r="AE2451" s="2">
        <v>0.09</v>
      </c>
      <c r="AF2451" s="5">
        <f t="shared" si="365"/>
        <v>6641.7326999999996</v>
      </c>
      <c r="AG2451" s="2">
        <v>0</v>
      </c>
      <c r="AH2451" s="5">
        <f t="shared" si="360"/>
        <v>73797.03</v>
      </c>
      <c r="AJ2451" s="126" t="e">
        <v>#N/A</v>
      </c>
      <c r="AK2451" s="80">
        <f t="shared" si="366"/>
        <v>0</v>
      </c>
      <c r="AM2451" s="85"/>
    </row>
    <row r="2452" spans="1:39" hidden="1" x14ac:dyDescent="0.3">
      <c r="A2452" s="85" t="s">
        <v>34</v>
      </c>
      <c r="B2452" s="3" t="s">
        <v>35</v>
      </c>
      <c r="C2452" s="3" t="s">
        <v>164</v>
      </c>
      <c r="D2452" s="3" t="s">
        <v>174</v>
      </c>
      <c r="E2452" s="3" t="s">
        <v>3030</v>
      </c>
      <c r="F2452" s="3" t="s">
        <v>3030</v>
      </c>
      <c r="G2452" s="3" t="s">
        <v>3030</v>
      </c>
      <c r="I2452" s="3" t="s">
        <v>2935</v>
      </c>
      <c r="J2452" s="1" t="s">
        <v>3302</v>
      </c>
      <c r="K2452" s="1" t="s">
        <v>3281</v>
      </c>
      <c r="L2452" s="1" t="s">
        <v>35</v>
      </c>
      <c r="M2452" s="3" t="s">
        <v>3031</v>
      </c>
      <c r="O2452" s="1" t="s">
        <v>410</v>
      </c>
      <c r="P2452" s="1" t="s">
        <v>46</v>
      </c>
      <c r="Q2452" s="2">
        <v>0.02</v>
      </c>
      <c r="R2452" s="138">
        <v>44982</v>
      </c>
      <c r="T2452" s="4">
        <v>0</v>
      </c>
      <c r="U2452" s="4">
        <v>60000</v>
      </c>
      <c r="V2452" s="4">
        <v>32572</v>
      </c>
      <c r="W2452" s="13">
        <f t="shared" ref="W2452:W2515" si="367">T2452+U2452-V2452</f>
        <v>27428</v>
      </c>
      <c r="X2452" s="13">
        <f t="shared" si="361"/>
        <v>31933.333333333332</v>
      </c>
      <c r="Y2452" s="13">
        <f t="shared" si="362"/>
        <v>0</v>
      </c>
      <c r="Z2452" s="2">
        <v>0</v>
      </c>
      <c r="AA2452" s="4">
        <v>0</v>
      </c>
      <c r="AB2452" s="4">
        <f t="shared" si="363"/>
        <v>31933.333333333332</v>
      </c>
      <c r="AC2452" s="6">
        <f t="shared" si="364"/>
        <v>638.66666666666788</v>
      </c>
      <c r="AD2452" s="13">
        <f t="shared" ref="AD2452:AD2515" si="368">V2452</f>
        <v>32572</v>
      </c>
      <c r="AE2452" s="2">
        <v>0.09</v>
      </c>
      <c r="AF2452" s="5">
        <f t="shared" si="365"/>
        <v>2931.48</v>
      </c>
      <c r="AG2452" s="2">
        <v>0</v>
      </c>
      <c r="AH2452" s="5">
        <f t="shared" ref="AH2452:AH2515" si="369">V2452</f>
        <v>32572</v>
      </c>
      <c r="AJ2452" s="126" t="e">
        <v>#N/A</v>
      </c>
      <c r="AK2452" s="80">
        <f t="shared" si="366"/>
        <v>0</v>
      </c>
      <c r="AM2452" s="85"/>
    </row>
    <row r="2453" spans="1:39" hidden="1" x14ac:dyDescent="0.3">
      <c r="A2453" s="85" t="s">
        <v>34</v>
      </c>
      <c r="B2453" s="3" t="s">
        <v>35</v>
      </c>
      <c r="C2453" s="3" t="s">
        <v>164</v>
      </c>
      <c r="D2453" s="3" t="s">
        <v>174</v>
      </c>
      <c r="E2453" s="3" t="s">
        <v>671</v>
      </c>
      <c r="F2453" s="3" t="s">
        <v>3032</v>
      </c>
      <c r="G2453" s="3" t="s">
        <v>671</v>
      </c>
      <c r="H2453" s="138"/>
      <c r="I2453" s="3" t="s">
        <v>2935</v>
      </c>
      <c r="J2453" s="1" t="s">
        <v>3302</v>
      </c>
      <c r="K2453" s="1" t="s">
        <v>3281</v>
      </c>
      <c r="L2453" s="1" t="s">
        <v>35</v>
      </c>
      <c r="M2453" s="3" t="s">
        <v>3033</v>
      </c>
      <c r="O2453" s="1" t="s">
        <v>410</v>
      </c>
      <c r="P2453" s="1" t="s">
        <v>41</v>
      </c>
      <c r="Q2453" s="2">
        <v>0</v>
      </c>
      <c r="R2453" s="138">
        <v>244512</v>
      </c>
      <c r="T2453" s="4">
        <v>0</v>
      </c>
      <c r="U2453" s="4">
        <v>40000</v>
      </c>
      <c r="V2453" s="4">
        <v>22678</v>
      </c>
      <c r="W2453" s="13">
        <f t="shared" si="367"/>
        <v>17322</v>
      </c>
      <c r="X2453" s="13">
        <f t="shared" si="361"/>
        <v>22678</v>
      </c>
      <c r="Y2453" s="13">
        <f t="shared" si="362"/>
        <v>0</v>
      </c>
      <c r="Z2453" s="2">
        <v>0</v>
      </c>
      <c r="AA2453" s="4">
        <v>0</v>
      </c>
      <c r="AB2453" s="4"/>
      <c r="AC2453" s="6">
        <f t="shared" si="364"/>
        <v>0</v>
      </c>
      <c r="AD2453" s="13">
        <f t="shared" si="368"/>
        <v>22678</v>
      </c>
      <c r="AE2453" s="2">
        <v>0.09</v>
      </c>
      <c r="AF2453" s="5">
        <f t="shared" si="365"/>
        <v>2041.02</v>
      </c>
      <c r="AG2453" s="2">
        <v>0</v>
      </c>
      <c r="AH2453" s="5">
        <f t="shared" si="369"/>
        <v>22678</v>
      </c>
      <c r="AJ2453" s="126">
        <v>109</v>
      </c>
      <c r="AK2453" s="80">
        <f t="shared" si="366"/>
        <v>22678</v>
      </c>
      <c r="AM2453" s="85"/>
    </row>
    <row r="2454" spans="1:39" hidden="1" x14ac:dyDescent="0.3">
      <c r="A2454" s="85" t="s">
        <v>34</v>
      </c>
      <c r="B2454" s="3" t="s">
        <v>35</v>
      </c>
      <c r="C2454" s="3" t="s">
        <v>164</v>
      </c>
      <c r="D2454" s="3" t="s">
        <v>174</v>
      </c>
      <c r="E2454" s="3" t="s">
        <v>671</v>
      </c>
      <c r="F2454" s="3" t="s">
        <v>3032</v>
      </c>
      <c r="G2454" s="3" t="s">
        <v>671</v>
      </c>
      <c r="H2454" s="138"/>
      <c r="I2454" s="3" t="s">
        <v>2935</v>
      </c>
      <c r="J2454" s="1" t="s">
        <v>3302</v>
      </c>
      <c r="K2454" s="1" t="s">
        <v>3281</v>
      </c>
      <c r="L2454" s="1" t="s">
        <v>35</v>
      </c>
      <c r="M2454" s="3" t="s">
        <v>3034</v>
      </c>
      <c r="O2454" s="1" t="s">
        <v>410</v>
      </c>
      <c r="P2454" s="1" t="s">
        <v>41</v>
      </c>
      <c r="Q2454" s="2">
        <v>0</v>
      </c>
      <c r="R2454" s="138">
        <v>246772</v>
      </c>
      <c r="T2454" s="4">
        <v>0</v>
      </c>
      <c r="U2454" s="4">
        <v>30000</v>
      </c>
      <c r="V2454" s="4">
        <v>1698</v>
      </c>
      <c r="W2454" s="13">
        <f t="shared" si="367"/>
        <v>28302</v>
      </c>
      <c r="X2454" s="13">
        <f t="shared" si="361"/>
        <v>1698</v>
      </c>
      <c r="Y2454" s="13">
        <f t="shared" si="362"/>
        <v>0</v>
      </c>
      <c r="Z2454" s="2">
        <v>0</v>
      </c>
      <c r="AA2454" s="4">
        <v>0</v>
      </c>
      <c r="AB2454" s="4"/>
      <c r="AC2454" s="6">
        <f t="shared" si="364"/>
        <v>0</v>
      </c>
      <c r="AD2454" s="13">
        <f t="shared" si="368"/>
        <v>1698</v>
      </c>
      <c r="AE2454" s="2">
        <v>0.09</v>
      </c>
      <c r="AF2454" s="5">
        <f t="shared" si="365"/>
        <v>152.82</v>
      </c>
      <c r="AG2454" s="2">
        <v>0</v>
      </c>
      <c r="AH2454" s="5">
        <f t="shared" si="369"/>
        <v>1698</v>
      </c>
      <c r="AJ2454" s="126">
        <v>109</v>
      </c>
      <c r="AK2454" s="80">
        <f t="shared" si="366"/>
        <v>1698</v>
      </c>
      <c r="AM2454" s="85"/>
    </row>
    <row r="2455" spans="1:39" hidden="1" x14ac:dyDescent="0.3">
      <c r="A2455" s="85" t="s">
        <v>34</v>
      </c>
      <c r="B2455" s="3" t="s">
        <v>35</v>
      </c>
      <c r="C2455" s="3" t="s">
        <v>164</v>
      </c>
      <c r="D2455" s="3" t="s">
        <v>174</v>
      </c>
      <c r="E2455" s="3" t="s">
        <v>678</v>
      </c>
      <c r="F2455" s="3" t="s">
        <v>678</v>
      </c>
      <c r="G2455" s="3" t="s">
        <v>678</v>
      </c>
      <c r="I2455" s="3" t="s">
        <v>2935</v>
      </c>
      <c r="J2455" s="1" t="s">
        <v>3302</v>
      </c>
      <c r="K2455" s="1" t="s">
        <v>3281</v>
      </c>
      <c r="L2455" s="1" t="s">
        <v>35</v>
      </c>
      <c r="M2455" s="3" t="s">
        <v>3035</v>
      </c>
      <c r="O2455" s="1" t="s">
        <v>410</v>
      </c>
      <c r="P2455" s="1" t="s">
        <v>46</v>
      </c>
      <c r="Q2455" s="2">
        <v>0.02</v>
      </c>
      <c r="R2455" s="138">
        <v>8714</v>
      </c>
      <c r="T2455" s="4">
        <v>369.7599999999984</v>
      </c>
      <c r="U2455" s="4">
        <v>5000</v>
      </c>
      <c r="V2455" s="4">
        <v>1534.39</v>
      </c>
      <c r="W2455" s="13">
        <f t="shared" si="367"/>
        <v>3835.3699999999981</v>
      </c>
      <c r="X2455" s="13">
        <f t="shared" si="361"/>
        <v>1504.3039215686276</v>
      </c>
      <c r="Y2455" s="13">
        <f t="shared" si="362"/>
        <v>0</v>
      </c>
      <c r="Z2455" s="2">
        <v>0</v>
      </c>
      <c r="AA2455" s="4">
        <v>0</v>
      </c>
      <c r="AB2455" s="4">
        <f t="shared" si="363"/>
        <v>1504.3039215686276</v>
      </c>
      <c r="AC2455" s="6">
        <f t="shared" si="364"/>
        <v>30.086078431372471</v>
      </c>
      <c r="AD2455" s="13">
        <f t="shared" si="368"/>
        <v>1534.39</v>
      </c>
      <c r="AE2455" s="2">
        <v>0.09</v>
      </c>
      <c r="AF2455" s="5">
        <f t="shared" si="365"/>
        <v>138.0951</v>
      </c>
      <c r="AG2455" s="2">
        <v>0</v>
      </c>
      <c r="AH2455" s="5">
        <f t="shared" si="369"/>
        <v>1534.39</v>
      </c>
      <c r="AJ2455" s="126" t="e">
        <v>#N/A</v>
      </c>
      <c r="AK2455" s="80">
        <f t="shared" si="366"/>
        <v>0</v>
      </c>
      <c r="AM2455" s="85"/>
    </row>
    <row r="2456" spans="1:39" hidden="1" x14ac:dyDescent="0.3">
      <c r="A2456" s="85" t="s">
        <v>34</v>
      </c>
      <c r="B2456" s="3" t="s">
        <v>35</v>
      </c>
      <c r="C2456" s="3" t="s">
        <v>164</v>
      </c>
      <c r="D2456" s="3" t="s">
        <v>174</v>
      </c>
      <c r="E2456" s="3" t="s">
        <v>3036</v>
      </c>
      <c r="F2456" s="3" t="s">
        <v>3036</v>
      </c>
      <c r="G2456" s="3" t="s">
        <v>3036</v>
      </c>
      <c r="I2456" s="3" t="s">
        <v>2935</v>
      </c>
      <c r="J2456" s="1" t="s">
        <v>3302</v>
      </c>
      <c r="K2456" s="1" t="s">
        <v>3281</v>
      </c>
      <c r="L2456" s="1" t="s">
        <v>35</v>
      </c>
      <c r="M2456" s="3" t="s">
        <v>3036</v>
      </c>
      <c r="O2456" s="1" t="s">
        <v>410</v>
      </c>
      <c r="P2456" s="1" t="s">
        <v>41</v>
      </c>
      <c r="Q2456" s="2">
        <v>0</v>
      </c>
      <c r="R2456" s="138">
        <v>42612</v>
      </c>
      <c r="T2456" s="4">
        <v>19498.049999999992</v>
      </c>
      <c r="U2456" s="4">
        <v>50000</v>
      </c>
      <c r="V2456" s="4">
        <v>40070.959999999999</v>
      </c>
      <c r="W2456" s="13">
        <f t="shared" si="367"/>
        <v>29427.089999999989</v>
      </c>
      <c r="X2456" s="13">
        <f t="shared" si="361"/>
        <v>40070.959999999999</v>
      </c>
      <c r="Y2456" s="13">
        <f t="shared" si="362"/>
        <v>0</v>
      </c>
      <c r="Z2456" s="2">
        <v>0</v>
      </c>
      <c r="AA2456" s="4">
        <v>0</v>
      </c>
      <c r="AB2456" s="4">
        <f t="shared" si="363"/>
        <v>40070.959999999999</v>
      </c>
      <c r="AC2456" s="6">
        <f t="shared" si="364"/>
        <v>0</v>
      </c>
      <c r="AD2456" s="13">
        <f t="shared" si="368"/>
        <v>40070.959999999999</v>
      </c>
      <c r="AE2456" s="2">
        <v>0.09</v>
      </c>
      <c r="AF2456" s="5">
        <f t="shared" si="365"/>
        <v>3606.3863999999999</v>
      </c>
      <c r="AG2456" s="2">
        <v>0</v>
      </c>
      <c r="AH2456" s="5">
        <f t="shared" si="369"/>
        <v>40070.959999999999</v>
      </c>
      <c r="AJ2456" s="126" t="e">
        <v>#N/A</v>
      </c>
      <c r="AK2456" s="80">
        <f t="shared" si="366"/>
        <v>0</v>
      </c>
      <c r="AM2456" s="85"/>
    </row>
    <row r="2457" spans="1:39" hidden="1" x14ac:dyDescent="0.3">
      <c r="A2457" s="85" t="s">
        <v>34</v>
      </c>
      <c r="B2457" s="3" t="s">
        <v>35</v>
      </c>
      <c r="C2457" s="3" t="s">
        <v>164</v>
      </c>
      <c r="D2457" s="3" t="s">
        <v>174</v>
      </c>
      <c r="E2457" s="3" t="s">
        <v>1798</v>
      </c>
      <c r="F2457" s="3" t="s">
        <v>1798</v>
      </c>
      <c r="G2457" s="3" t="s">
        <v>1798</v>
      </c>
      <c r="H2457" s="138"/>
      <c r="I2457" s="3" t="s">
        <v>2935</v>
      </c>
      <c r="J2457" s="1" t="s">
        <v>3302</v>
      </c>
      <c r="K2457" s="1" t="s">
        <v>3281</v>
      </c>
      <c r="L2457" s="1" t="s">
        <v>35</v>
      </c>
      <c r="M2457" s="3" t="s">
        <v>1798</v>
      </c>
      <c r="O2457" s="1" t="s">
        <v>410</v>
      </c>
      <c r="P2457" s="1" t="s">
        <v>46</v>
      </c>
      <c r="Q2457" s="2">
        <v>0.04</v>
      </c>
      <c r="R2457" s="138">
        <v>239812</v>
      </c>
      <c r="T2457" s="4">
        <v>0</v>
      </c>
      <c r="U2457" s="4">
        <v>0</v>
      </c>
      <c r="V2457" s="4">
        <v>0</v>
      </c>
      <c r="W2457" s="13">
        <f t="shared" si="367"/>
        <v>0</v>
      </c>
      <c r="X2457" s="13">
        <f t="shared" si="361"/>
        <v>0</v>
      </c>
      <c r="Y2457" s="13">
        <f t="shared" si="362"/>
        <v>0</v>
      </c>
      <c r="Z2457" s="2">
        <v>0</v>
      </c>
      <c r="AA2457" s="4">
        <v>0</v>
      </c>
      <c r="AB2457" s="4">
        <f t="shared" si="363"/>
        <v>0</v>
      </c>
      <c r="AC2457" s="6">
        <f t="shared" si="364"/>
        <v>0</v>
      </c>
      <c r="AD2457" s="13">
        <f t="shared" si="368"/>
        <v>0</v>
      </c>
      <c r="AE2457" s="2">
        <v>0.09</v>
      </c>
      <c r="AF2457" s="5">
        <f t="shared" si="365"/>
        <v>0</v>
      </c>
      <c r="AG2457" s="2">
        <v>0</v>
      </c>
      <c r="AH2457" s="5">
        <f t="shared" si="369"/>
        <v>0</v>
      </c>
      <c r="AJ2457" s="126" t="e">
        <v>#N/A</v>
      </c>
      <c r="AK2457" s="80">
        <f t="shared" si="366"/>
        <v>0</v>
      </c>
      <c r="AM2457" s="85"/>
    </row>
    <row r="2458" spans="1:39" hidden="1" x14ac:dyDescent="0.3">
      <c r="A2458" s="85" t="s">
        <v>34</v>
      </c>
      <c r="B2458" s="3" t="s">
        <v>35</v>
      </c>
      <c r="C2458" s="3" t="s">
        <v>164</v>
      </c>
      <c r="D2458" s="3" t="s">
        <v>174</v>
      </c>
      <c r="E2458" s="3" t="s">
        <v>688</v>
      </c>
      <c r="F2458" s="3" t="s">
        <v>688</v>
      </c>
      <c r="G2458" s="3" t="s">
        <v>688</v>
      </c>
      <c r="I2458" s="3" t="s">
        <v>2935</v>
      </c>
      <c r="J2458" s="1" t="s">
        <v>3302</v>
      </c>
      <c r="K2458" s="1" t="s">
        <v>3281</v>
      </c>
      <c r="L2458" s="1" t="s">
        <v>35</v>
      </c>
      <c r="M2458" s="3" t="s">
        <v>688</v>
      </c>
      <c r="O2458" s="1" t="s">
        <v>410</v>
      </c>
      <c r="P2458" s="1" t="s">
        <v>41</v>
      </c>
      <c r="Q2458" s="2">
        <v>0</v>
      </c>
      <c r="R2458" s="138">
        <v>166042</v>
      </c>
      <c r="T2458" s="4">
        <v>0</v>
      </c>
      <c r="U2458" s="4">
        <v>110000</v>
      </c>
      <c r="V2458" s="4">
        <v>32756.910000000003</v>
      </c>
      <c r="W2458" s="13">
        <f t="shared" si="367"/>
        <v>77243.09</v>
      </c>
      <c r="X2458" s="13">
        <f t="shared" si="361"/>
        <v>32756.910000000003</v>
      </c>
      <c r="Y2458" s="13">
        <f t="shared" si="362"/>
        <v>0</v>
      </c>
      <c r="Z2458" s="2">
        <v>0</v>
      </c>
      <c r="AA2458" s="4">
        <v>0</v>
      </c>
      <c r="AB2458" s="4">
        <f t="shared" si="363"/>
        <v>32756.910000000003</v>
      </c>
      <c r="AC2458" s="6">
        <f t="shared" si="364"/>
        <v>0</v>
      </c>
      <c r="AD2458" s="13">
        <f t="shared" si="368"/>
        <v>32756.910000000003</v>
      </c>
      <c r="AE2458" s="2">
        <v>0.09</v>
      </c>
      <c r="AF2458" s="5">
        <f t="shared" si="365"/>
        <v>2948.1219000000001</v>
      </c>
      <c r="AG2458" s="2">
        <v>0</v>
      </c>
      <c r="AH2458" s="5">
        <f t="shared" si="369"/>
        <v>32756.910000000003</v>
      </c>
      <c r="AJ2458" s="126" t="e">
        <v>#N/A</v>
      </c>
      <c r="AK2458" s="80">
        <f t="shared" si="366"/>
        <v>0</v>
      </c>
      <c r="AM2458" s="85"/>
    </row>
    <row r="2459" spans="1:39" hidden="1" x14ac:dyDescent="0.3">
      <c r="A2459" s="85" t="s">
        <v>34</v>
      </c>
      <c r="B2459" s="3" t="s">
        <v>35</v>
      </c>
      <c r="C2459" s="3" t="s">
        <v>164</v>
      </c>
      <c r="D2459" s="3" t="s">
        <v>174</v>
      </c>
      <c r="E2459" s="3" t="s">
        <v>692</v>
      </c>
      <c r="F2459" s="3" t="s">
        <v>692</v>
      </c>
      <c r="G2459" s="3" t="s">
        <v>692</v>
      </c>
      <c r="I2459" s="3" t="s">
        <v>2935</v>
      </c>
      <c r="J2459" s="1" t="s">
        <v>3302</v>
      </c>
      <c r="K2459" s="1" t="s">
        <v>3281</v>
      </c>
      <c r="L2459" s="1" t="s">
        <v>35</v>
      </c>
      <c r="M2459" s="3" t="s">
        <v>3037</v>
      </c>
      <c r="O2459" s="1" t="s">
        <v>410</v>
      </c>
      <c r="P2459" s="1" t="s">
        <v>41</v>
      </c>
      <c r="Q2459" s="2">
        <v>0</v>
      </c>
      <c r="R2459" s="138">
        <v>239782</v>
      </c>
      <c r="T2459" s="4">
        <v>39900.07</v>
      </c>
      <c r="U2459" s="4">
        <v>70000</v>
      </c>
      <c r="V2459" s="4">
        <v>61465</v>
      </c>
      <c r="W2459" s="13">
        <f t="shared" si="367"/>
        <v>48435.070000000007</v>
      </c>
      <c r="X2459" s="13">
        <f t="shared" si="361"/>
        <v>61465</v>
      </c>
      <c r="Y2459" s="13">
        <f t="shared" si="362"/>
        <v>0</v>
      </c>
      <c r="Z2459" s="2">
        <v>0</v>
      </c>
      <c r="AA2459" s="4">
        <v>0</v>
      </c>
      <c r="AB2459" s="4">
        <f t="shared" si="363"/>
        <v>61465</v>
      </c>
      <c r="AC2459" s="6">
        <f t="shared" si="364"/>
        <v>0</v>
      </c>
      <c r="AD2459" s="13">
        <f t="shared" si="368"/>
        <v>61465</v>
      </c>
      <c r="AE2459" s="2">
        <v>0.09</v>
      </c>
      <c r="AF2459" s="5">
        <f t="shared" si="365"/>
        <v>5531.8499999999995</v>
      </c>
      <c r="AG2459" s="2">
        <v>0</v>
      </c>
      <c r="AH2459" s="5">
        <f t="shared" si="369"/>
        <v>61465</v>
      </c>
      <c r="AJ2459" s="126" t="e">
        <v>#N/A</v>
      </c>
      <c r="AK2459" s="80">
        <f t="shared" si="366"/>
        <v>0</v>
      </c>
      <c r="AM2459" s="85"/>
    </row>
    <row r="2460" spans="1:39" hidden="1" x14ac:dyDescent="0.3">
      <c r="A2460" s="85" t="s">
        <v>34</v>
      </c>
      <c r="B2460" s="3" t="s">
        <v>35</v>
      </c>
      <c r="C2460" s="3" t="s">
        <v>164</v>
      </c>
      <c r="D2460" s="3" t="s">
        <v>181</v>
      </c>
      <c r="E2460" s="3" t="s">
        <v>182</v>
      </c>
      <c r="F2460" s="3" t="s">
        <v>183</v>
      </c>
      <c r="G2460" s="3" t="s">
        <v>182</v>
      </c>
      <c r="I2460" s="3" t="s">
        <v>2935</v>
      </c>
      <c r="J2460" s="1" t="s">
        <v>3302</v>
      </c>
      <c r="K2460" s="1" t="s">
        <v>3281</v>
      </c>
      <c r="L2460" s="1" t="s">
        <v>35</v>
      </c>
      <c r="M2460" s="3" t="s">
        <v>3038</v>
      </c>
      <c r="O2460" s="1" t="s">
        <v>410</v>
      </c>
      <c r="P2460" s="1" t="s">
        <v>41</v>
      </c>
      <c r="Q2460" s="2">
        <v>0</v>
      </c>
      <c r="R2460" s="138">
        <v>116712</v>
      </c>
      <c r="T2460" s="4">
        <v>341451.26000000013</v>
      </c>
      <c r="U2460" s="4">
        <v>75714.8</v>
      </c>
      <c r="V2460" s="4">
        <v>348624.35</v>
      </c>
      <c r="W2460" s="13">
        <f t="shared" si="367"/>
        <v>68541.710000000137</v>
      </c>
      <c r="X2460" s="13">
        <f t="shared" si="361"/>
        <v>348624.35</v>
      </c>
      <c r="Y2460" s="13">
        <f t="shared" si="362"/>
        <v>0</v>
      </c>
      <c r="Z2460" s="2">
        <v>0.02</v>
      </c>
      <c r="AA2460" s="6">
        <f t="shared" ref="AA2460:AA2461" si="370">X2460/(1-Z2460)*Z2460</f>
        <v>7114.7826530612238</v>
      </c>
      <c r="AB2460" s="4">
        <f t="shared" si="363"/>
        <v>355739.13265306118</v>
      </c>
      <c r="AC2460" s="6">
        <f t="shared" si="364"/>
        <v>0</v>
      </c>
      <c r="AD2460" s="13">
        <f t="shared" si="368"/>
        <v>348624.35</v>
      </c>
      <c r="AE2460" s="2">
        <v>0.09</v>
      </c>
      <c r="AF2460" s="5">
        <f t="shared" si="365"/>
        <v>31376.191499999997</v>
      </c>
      <c r="AG2460" s="2">
        <v>0</v>
      </c>
      <c r="AH2460" s="5">
        <f t="shared" si="369"/>
        <v>348624.35</v>
      </c>
      <c r="AJ2460" s="126" t="e">
        <v>#N/A</v>
      </c>
      <c r="AK2460" s="80">
        <f t="shared" si="366"/>
        <v>0</v>
      </c>
      <c r="AM2460" s="85"/>
    </row>
    <row r="2461" spans="1:39" hidden="1" x14ac:dyDescent="0.3">
      <c r="A2461" s="85" t="s">
        <v>34</v>
      </c>
      <c r="B2461" s="3" t="s">
        <v>35</v>
      </c>
      <c r="C2461" s="3" t="s">
        <v>164</v>
      </c>
      <c r="D2461" s="3" t="s">
        <v>181</v>
      </c>
      <c r="E2461" s="3" t="s">
        <v>182</v>
      </c>
      <c r="F2461" s="3" t="s">
        <v>183</v>
      </c>
      <c r="G2461" s="3" t="s">
        <v>182</v>
      </c>
      <c r="I2461" s="3" t="s">
        <v>2935</v>
      </c>
      <c r="J2461" s="1" t="s">
        <v>3302</v>
      </c>
      <c r="K2461" s="1" t="s">
        <v>3281</v>
      </c>
      <c r="L2461" s="1" t="s">
        <v>35</v>
      </c>
      <c r="M2461" s="3" t="s">
        <v>1829</v>
      </c>
      <c r="O2461" s="1" t="s">
        <v>410</v>
      </c>
      <c r="P2461" s="1" t="s">
        <v>41</v>
      </c>
      <c r="Q2461" s="2">
        <v>0</v>
      </c>
      <c r="R2461" s="138">
        <v>43882</v>
      </c>
      <c r="T2461" s="4">
        <v>0</v>
      </c>
      <c r="U2461" s="4">
        <v>254800</v>
      </c>
      <c r="V2461" s="4">
        <v>233381.64</v>
      </c>
      <c r="W2461" s="13">
        <f t="shared" si="367"/>
        <v>21418.359999999986</v>
      </c>
      <c r="X2461" s="13">
        <f t="shared" si="361"/>
        <v>233381.64</v>
      </c>
      <c r="Y2461" s="13">
        <f t="shared" si="362"/>
        <v>0</v>
      </c>
      <c r="Z2461" s="2">
        <v>0.02</v>
      </c>
      <c r="AA2461" s="6">
        <f t="shared" si="370"/>
        <v>4762.890612244898</v>
      </c>
      <c r="AB2461" s="4">
        <f t="shared" si="363"/>
        <v>238144.53061224491</v>
      </c>
      <c r="AC2461" s="6">
        <f t="shared" si="364"/>
        <v>0</v>
      </c>
      <c r="AD2461" s="13">
        <f t="shared" si="368"/>
        <v>233381.64</v>
      </c>
      <c r="AE2461" s="2">
        <v>0.09</v>
      </c>
      <c r="AF2461" s="5">
        <f t="shared" si="365"/>
        <v>21004.347600000001</v>
      </c>
      <c r="AG2461" s="2">
        <v>0</v>
      </c>
      <c r="AH2461" s="5">
        <f t="shared" si="369"/>
        <v>233381.64</v>
      </c>
      <c r="AJ2461" s="126" t="e">
        <v>#N/A</v>
      </c>
      <c r="AK2461" s="80">
        <f t="shared" si="366"/>
        <v>0</v>
      </c>
      <c r="AM2461" s="85"/>
    </row>
    <row r="2462" spans="1:39" hidden="1" x14ac:dyDescent="0.3">
      <c r="A2462" s="85" t="s">
        <v>34</v>
      </c>
      <c r="B2462" s="3" t="s">
        <v>35</v>
      </c>
      <c r="C2462" s="3" t="s">
        <v>184</v>
      </c>
      <c r="D2462" s="3" t="s">
        <v>185</v>
      </c>
      <c r="E2462" s="3" t="s">
        <v>3039</v>
      </c>
      <c r="F2462" s="3" t="s">
        <v>3039</v>
      </c>
      <c r="G2462" s="3" t="s">
        <v>3039</v>
      </c>
      <c r="H2462" s="138"/>
      <c r="I2462" s="3" t="s">
        <v>2935</v>
      </c>
      <c r="J2462" s="1" t="s">
        <v>3302</v>
      </c>
      <c r="K2462" s="1" t="s">
        <v>3281</v>
      </c>
      <c r="L2462" s="1" t="s">
        <v>35</v>
      </c>
      <c r="M2462" s="3" t="s">
        <v>3039</v>
      </c>
      <c r="O2462" s="1" t="s">
        <v>410</v>
      </c>
      <c r="P2462" s="1" t="s">
        <v>41</v>
      </c>
      <c r="Q2462" s="2">
        <v>0</v>
      </c>
      <c r="R2462" s="138">
        <v>163702</v>
      </c>
      <c r="T2462" s="4">
        <v>0</v>
      </c>
      <c r="U2462" s="4">
        <v>0</v>
      </c>
      <c r="V2462" s="4">
        <v>0</v>
      </c>
      <c r="W2462" s="13">
        <f t="shared" si="367"/>
        <v>0</v>
      </c>
      <c r="X2462" s="13">
        <f t="shared" si="361"/>
        <v>0</v>
      </c>
      <c r="Y2462" s="13">
        <f t="shared" si="362"/>
        <v>0</v>
      </c>
      <c r="Z2462" s="2">
        <v>0</v>
      </c>
      <c r="AA2462" s="4">
        <v>0</v>
      </c>
      <c r="AB2462" s="4">
        <f t="shared" si="363"/>
        <v>0</v>
      </c>
      <c r="AC2462" s="6">
        <f t="shared" si="364"/>
        <v>0</v>
      </c>
      <c r="AD2462" s="13">
        <f t="shared" si="368"/>
        <v>0</v>
      </c>
      <c r="AE2462" s="2">
        <v>0.09</v>
      </c>
      <c r="AF2462" s="5">
        <f t="shared" si="365"/>
        <v>0</v>
      </c>
      <c r="AG2462" s="2">
        <v>0</v>
      </c>
      <c r="AH2462" s="5">
        <f t="shared" si="369"/>
        <v>0</v>
      </c>
      <c r="AJ2462" s="126" t="e">
        <v>#N/A</v>
      </c>
      <c r="AK2462" s="80">
        <f t="shared" si="366"/>
        <v>0</v>
      </c>
      <c r="AM2462" s="85"/>
    </row>
    <row r="2463" spans="1:39" hidden="1" x14ac:dyDescent="0.3">
      <c r="A2463" s="85" t="s">
        <v>34</v>
      </c>
      <c r="B2463" s="15" t="s">
        <v>35</v>
      </c>
      <c r="C2463" s="15" t="s">
        <v>59</v>
      </c>
      <c r="D2463" s="15" t="s">
        <v>60</v>
      </c>
      <c r="E2463" s="15" t="s">
        <v>416</v>
      </c>
      <c r="F2463" s="15" t="s">
        <v>2937</v>
      </c>
      <c r="G2463" s="15" t="s">
        <v>416</v>
      </c>
      <c r="H2463" s="154"/>
      <c r="I2463" s="3" t="s">
        <v>2935</v>
      </c>
      <c r="J2463" s="1" t="s">
        <v>3302</v>
      </c>
      <c r="K2463" s="1" t="s">
        <v>3281</v>
      </c>
      <c r="L2463" s="1" t="s">
        <v>35</v>
      </c>
      <c r="M2463" s="15" t="s">
        <v>2938</v>
      </c>
      <c r="N2463" s="15"/>
      <c r="O2463" s="8" t="s">
        <v>410</v>
      </c>
      <c r="P2463" s="8" t="s">
        <v>46</v>
      </c>
      <c r="Q2463" s="9">
        <v>0.02</v>
      </c>
      <c r="R2463" s="139">
        <v>143732</v>
      </c>
      <c r="T2463" s="6">
        <v>26840.68</v>
      </c>
      <c r="U2463" s="4">
        <v>0</v>
      </c>
      <c r="V2463" s="4">
        <v>26840.68</v>
      </c>
      <c r="W2463" s="13">
        <f t="shared" si="367"/>
        <v>0</v>
      </c>
      <c r="X2463" s="13">
        <f t="shared" si="361"/>
        <v>26314.392156862745</v>
      </c>
      <c r="Y2463" s="13">
        <f t="shared" si="362"/>
        <v>0</v>
      </c>
      <c r="Z2463" s="2">
        <v>0</v>
      </c>
      <c r="AA2463" s="4">
        <v>0</v>
      </c>
      <c r="AB2463" s="4">
        <f t="shared" si="363"/>
        <v>26314.392156862745</v>
      </c>
      <c r="AC2463" s="6">
        <f t="shared" si="364"/>
        <v>526.28784313725555</v>
      </c>
      <c r="AD2463" s="13">
        <f t="shared" si="368"/>
        <v>26840.68</v>
      </c>
      <c r="AE2463" s="2">
        <v>0.09</v>
      </c>
      <c r="AF2463" s="5">
        <f t="shared" si="365"/>
        <v>2415.6612</v>
      </c>
      <c r="AG2463" s="2">
        <v>0</v>
      </c>
      <c r="AH2463" s="5">
        <f t="shared" si="369"/>
        <v>26840.68</v>
      </c>
      <c r="AJ2463" s="126" t="e">
        <v>#N/A</v>
      </c>
      <c r="AK2463" s="80">
        <f t="shared" si="366"/>
        <v>0</v>
      </c>
      <c r="AM2463" s="85"/>
    </row>
    <row r="2464" spans="1:39" hidden="1" x14ac:dyDescent="0.3">
      <c r="A2464" s="85" t="s">
        <v>34</v>
      </c>
      <c r="B2464" s="15" t="s">
        <v>35</v>
      </c>
      <c r="C2464" s="15" t="s">
        <v>59</v>
      </c>
      <c r="D2464" s="15" t="s">
        <v>60</v>
      </c>
      <c r="E2464" s="15" t="s">
        <v>3040</v>
      </c>
      <c r="F2464" s="15" t="s">
        <v>3040</v>
      </c>
      <c r="G2464" s="15" t="s">
        <v>3040</v>
      </c>
      <c r="H2464" s="154"/>
      <c r="I2464" s="3" t="s">
        <v>2935</v>
      </c>
      <c r="J2464" s="1" t="s">
        <v>3302</v>
      </c>
      <c r="K2464" s="1" t="s">
        <v>3281</v>
      </c>
      <c r="L2464" s="1" t="s">
        <v>35</v>
      </c>
      <c r="M2464" s="15" t="s">
        <v>3040</v>
      </c>
      <c r="N2464" s="15"/>
      <c r="O2464" s="8" t="s">
        <v>410</v>
      </c>
      <c r="P2464" s="8" t="s">
        <v>41</v>
      </c>
      <c r="Q2464" s="9">
        <v>0</v>
      </c>
      <c r="R2464" s="139">
        <v>150932</v>
      </c>
      <c r="T2464" s="6">
        <v>83560.450000000012</v>
      </c>
      <c r="U2464" s="4">
        <v>0</v>
      </c>
      <c r="V2464" s="4">
        <v>22446.89</v>
      </c>
      <c r="W2464" s="13">
        <f t="shared" si="367"/>
        <v>61113.560000000012</v>
      </c>
      <c r="X2464" s="13">
        <f t="shared" si="361"/>
        <v>22446.89</v>
      </c>
      <c r="Y2464" s="13">
        <f t="shared" si="362"/>
        <v>0</v>
      </c>
      <c r="Z2464" s="2">
        <v>0</v>
      </c>
      <c r="AA2464" s="4">
        <v>0</v>
      </c>
      <c r="AB2464" s="4">
        <f t="shared" si="363"/>
        <v>22446.89</v>
      </c>
      <c r="AC2464" s="6">
        <f t="shared" si="364"/>
        <v>0</v>
      </c>
      <c r="AD2464" s="13">
        <f t="shared" si="368"/>
        <v>22446.89</v>
      </c>
      <c r="AE2464" s="2">
        <v>0.09</v>
      </c>
      <c r="AF2464" s="5">
        <f t="shared" si="365"/>
        <v>2020.2200999999998</v>
      </c>
      <c r="AG2464" s="2">
        <v>0</v>
      </c>
      <c r="AH2464" s="5">
        <f t="shared" si="369"/>
        <v>22446.89</v>
      </c>
      <c r="AJ2464" s="126" t="e">
        <v>#N/A</v>
      </c>
      <c r="AK2464" s="80">
        <f t="shared" si="366"/>
        <v>0</v>
      </c>
      <c r="AM2464" s="85"/>
    </row>
    <row r="2465" spans="1:39" hidden="1" x14ac:dyDescent="0.3">
      <c r="A2465" s="85" t="s">
        <v>34</v>
      </c>
      <c r="B2465" s="15" t="s">
        <v>35</v>
      </c>
      <c r="C2465" s="15" t="s">
        <v>36</v>
      </c>
      <c r="D2465" s="15" t="s">
        <v>224</v>
      </c>
      <c r="E2465" s="15" t="s">
        <v>2126</v>
      </c>
      <c r="F2465" s="15" t="s">
        <v>2126</v>
      </c>
      <c r="G2465" s="15" t="s">
        <v>2126</v>
      </c>
      <c r="H2465" s="154"/>
      <c r="I2465" s="3" t="s">
        <v>2935</v>
      </c>
      <c r="J2465" s="1" t="s">
        <v>3302</v>
      </c>
      <c r="K2465" s="1" t="s">
        <v>3281</v>
      </c>
      <c r="L2465" s="1" t="s">
        <v>35</v>
      </c>
      <c r="M2465" s="15" t="s">
        <v>3041</v>
      </c>
      <c r="N2465" s="15"/>
      <c r="O2465" s="8" t="s">
        <v>410</v>
      </c>
      <c r="P2465" s="8" t="s">
        <v>41</v>
      </c>
      <c r="Q2465" s="9">
        <v>0</v>
      </c>
      <c r="R2465" s="139">
        <v>57092</v>
      </c>
      <c r="T2465" s="6">
        <v>4071.9599999999627</v>
      </c>
      <c r="U2465" s="4">
        <v>0</v>
      </c>
      <c r="V2465" s="4">
        <v>58.36</v>
      </c>
      <c r="W2465" s="13">
        <f t="shared" si="367"/>
        <v>4013.5999999999626</v>
      </c>
      <c r="X2465" s="13">
        <f t="shared" ref="X2465:X2528" si="371">IF(P2465="折扣",V2465*Q2465,IF(P2465="返现",V2465,V2465/(1+Q2465)))</f>
        <v>58.36</v>
      </c>
      <c r="Y2465" s="13">
        <f t="shared" si="362"/>
        <v>0</v>
      </c>
      <c r="Z2465" s="2">
        <v>0</v>
      </c>
      <c r="AA2465" s="4">
        <v>0</v>
      </c>
      <c r="AB2465" s="4">
        <f t="shared" si="363"/>
        <v>58.36</v>
      </c>
      <c r="AC2465" s="6">
        <f t="shared" si="364"/>
        <v>0</v>
      </c>
      <c r="AD2465" s="13">
        <f t="shared" si="368"/>
        <v>58.36</v>
      </c>
      <c r="AE2465" s="2">
        <v>0.09</v>
      </c>
      <c r="AF2465" s="5">
        <f t="shared" si="365"/>
        <v>5.2523999999999997</v>
      </c>
      <c r="AG2465" s="2">
        <v>0</v>
      </c>
      <c r="AH2465" s="5">
        <f t="shared" si="369"/>
        <v>58.36</v>
      </c>
      <c r="AJ2465" s="126" t="e">
        <v>#N/A</v>
      </c>
      <c r="AK2465" s="80">
        <f t="shared" si="366"/>
        <v>0</v>
      </c>
      <c r="AM2465" s="85"/>
    </row>
    <row r="2466" spans="1:39" hidden="1" x14ac:dyDescent="0.3">
      <c r="A2466" s="85" t="s">
        <v>34</v>
      </c>
      <c r="B2466" s="15" t="s">
        <v>35</v>
      </c>
      <c r="C2466" s="15" t="s">
        <v>36</v>
      </c>
      <c r="D2466" s="15" t="s">
        <v>224</v>
      </c>
      <c r="E2466" s="15" t="s">
        <v>433</v>
      </c>
      <c r="F2466" s="15" t="s">
        <v>433</v>
      </c>
      <c r="G2466" s="15" t="s">
        <v>433</v>
      </c>
      <c r="H2466" s="139"/>
      <c r="I2466" s="3" t="s">
        <v>2935</v>
      </c>
      <c r="J2466" s="1" t="s">
        <v>3302</v>
      </c>
      <c r="K2466" s="1" t="s">
        <v>3281</v>
      </c>
      <c r="L2466" s="1" t="s">
        <v>35</v>
      </c>
      <c r="M2466" s="15" t="s">
        <v>2944</v>
      </c>
      <c r="N2466" s="15"/>
      <c r="O2466" s="8" t="s">
        <v>45</v>
      </c>
      <c r="P2466" s="8" t="s">
        <v>41</v>
      </c>
      <c r="Q2466" s="9">
        <v>0</v>
      </c>
      <c r="R2466" s="139">
        <v>10772</v>
      </c>
      <c r="T2466" s="6">
        <v>400000</v>
      </c>
      <c r="U2466" s="4">
        <v>0</v>
      </c>
      <c r="V2466" s="4">
        <v>0</v>
      </c>
      <c r="W2466" s="13">
        <f t="shared" si="367"/>
        <v>400000</v>
      </c>
      <c r="X2466" s="13">
        <f t="shared" si="371"/>
        <v>0</v>
      </c>
      <c r="Y2466" s="13">
        <f t="shared" si="362"/>
        <v>0</v>
      </c>
      <c r="Z2466" s="2">
        <v>0</v>
      </c>
      <c r="AA2466" s="4">
        <v>0</v>
      </c>
      <c r="AB2466" s="4">
        <f t="shared" si="363"/>
        <v>0</v>
      </c>
      <c r="AC2466" s="6">
        <f t="shared" si="364"/>
        <v>0</v>
      </c>
      <c r="AD2466" s="13">
        <f t="shared" si="368"/>
        <v>0</v>
      </c>
      <c r="AE2466" s="2">
        <v>0.18</v>
      </c>
      <c r="AF2466" s="5">
        <f t="shared" si="365"/>
        <v>0</v>
      </c>
      <c r="AG2466" s="2">
        <v>0</v>
      </c>
      <c r="AH2466" s="5">
        <f t="shared" si="369"/>
        <v>0</v>
      </c>
      <c r="AJ2466" s="126" t="e">
        <v>#N/A</v>
      </c>
      <c r="AK2466" s="80">
        <f t="shared" si="366"/>
        <v>0</v>
      </c>
      <c r="AM2466" s="85"/>
    </row>
    <row r="2467" spans="1:39" hidden="1" x14ac:dyDescent="0.3">
      <c r="A2467" s="85" t="s">
        <v>34</v>
      </c>
      <c r="B2467" s="15" t="s">
        <v>35</v>
      </c>
      <c r="C2467" s="15" t="s">
        <v>36</v>
      </c>
      <c r="D2467" s="15" t="s">
        <v>54</v>
      </c>
      <c r="E2467" s="15" t="s">
        <v>2740</v>
      </c>
      <c r="F2467" s="15" t="s">
        <v>2740</v>
      </c>
      <c r="G2467" s="15" t="s">
        <v>2740</v>
      </c>
      <c r="H2467" s="154"/>
      <c r="I2467" s="3" t="s">
        <v>2935</v>
      </c>
      <c r="J2467" s="1" t="s">
        <v>3302</v>
      </c>
      <c r="K2467" s="1" t="s">
        <v>3281</v>
      </c>
      <c r="L2467" s="1" t="s">
        <v>35</v>
      </c>
      <c r="M2467" s="15" t="s">
        <v>2948</v>
      </c>
      <c r="N2467" s="15"/>
      <c r="O2467" s="8" t="s">
        <v>410</v>
      </c>
      <c r="P2467" s="8" t="s">
        <v>46</v>
      </c>
      <c r="Q2467" s="9">
        <v>0.01</v>
      </c>
      <c r="R2467" s="139">
        <v>46462</v>
      </c>
      <c r="T2467" s="6">
        <v>33590.06</v>
      </c>
      <c r="U2467" s="4">
        <v>0</v>
      </c>
      <c r="V2467" s="6">
        <v>33590.06</v>
      </c>
      <c r="W2467" s="13">
        <f t="shared" si="367"/>
        <v>0</v>
      </c>
      <c r="X2467" s="13">
        <f t="shared" si="371"/>
        <v>33257.485148514847</v>
      </c>
      <c r="Y2467" s="13">
        <f t="shared" si="362"/>
        <v>0</v>
      </c>
      <c r="Z2467" s="2">
        <v>0</v>
      </c>
      <c r="AA2467" s="4">
        <v>0</v>
      </c>
      <c r="AB2467" s="4">
        <f t="shared" si="363"/>
        <v>33257.485148514847</v>
      </c>
      <c r="AC2467" s="6">
        <f t="shared" si="364"/>
        <v>332.57485148515116</v>
      </c>
      <c r="AD2467" s="13">
        <f t="shared" si="368"/>
        <v>33590.06</v>
      </c>
      <c r="AE2467" s="2">
        <v>0.09</v>
      </c>
      <c r="AF2467" s="5">
        <f t="shared" si="365"/>
        <v>3023.1053999999995</v>
      </c>
      <c r="AG2467" s="2">
        <v>0</v>
      </c>
      <c r="AH2467" s="5">
        <f t="shared" si="369"/>
        <v>33590.06</v>
      </c>
      <c r="AJ2467" s="126" t="e">
        <v>#N/A</v>
      </c>
      <c r="AK2467" s="80">
        <f t="shared" si="366"/>
        <v>0</v>
      </c>
      <c r="AM2467" s="85"/>
    </row>
    <row r="2468" spans="1:39" hidden="1" x14ac:dyDescent="0.3">
      <c r="A2468" s="85" t="s">
        <v>34</v>
      </c>
      <c r="B2468" s="15" t="s">
        <v>35</v>
      </c>
      <c r="C2468" s="15" t="s">
        <v>36</v>
      </c>
      <c r="D2468" s="15" t="s">
        <v>54</v>
      </c>
      <c r="E2468" s="15" t="s">
        <v>2843</v>
      </c>
      <c r="F2468" s="15" t="s">
        <v>2843</v>
      </c>
      <c r="G2468" s="15" t="s">
        <v>2843</v>
      </c>
      <c r="H2468" s="154"/>
      <c r="I2468" s="3" t="s">
        <v>2935</v>
      </c>
      <c r="J2468" s="1" t="s">
        <v>3302</v>
      </c>
      <c r="K2468" s="1" t="s">
        <v>3281</v>
      </c>
      <c r="L2468" s="1" t="s">
        <v>35</v>
      </c>
      <c r="M2468" s="15" t="s">
        <v>2950</v>
      </c>
      <c r="N2468" s="15"/>
      <c r="O2468" s="8" t="s">
        <v>410</v>
      </c>
      <c r="P2468" s="8" t="s">
        <v>46</v>
      </c>
      <c r="Q2468" s="9">
        <v>0.01</v>
      </c>
      <c r="R2468" s="139">
        <v>213242</v>
      </c>
      <c r="T2468" s="6">
        <v>1761</v>
      </c>
      <c r="U2468" s="4">
        <v>0</v>
      </c>
      <c r="V2468" s="6">
        <v>1761</v>
      </c>
      <c r="W2468" s="13">
        <f t="shared" si="367"/>
        <v>0</v>
      </c>
      <c r="X2468" s="13">
        <f t="shared" si="371"/>
        <v>1743.5643564356435</v>
      </c>
      <c r="Y2468" s="13">
        <f t="shared" si="362"/>
        <v>0</v>
      </c>
      <c r="Z2468" s="2">
        <v>0</v>
      </c>
      <c r="AA2468" s="4">
        <v>0</v>
      </c>
      <c r="AB2468" s="4">
        <f t="shared" si="363"/>
        <v>1743.5643564356435</v>
      </c>
      <c r="AC2468" s="6">
        <f t="shared" si="364"/>
        <v>17.435643564356496</v>
      </c>
      <c r="AD2468" s="13">
        <f t="shared" si="368"/>
        <v>1761</v>
      </c>
      <c r="AE2468" s="2">
        <v>0.09</v>
      </c>
      <c r="AF2468" s="5">
        <f t="shared" si="365"/>
        <v>158.48999999999998</v>
      </c>
      <c r="AG2468" s="2">
        <v>0</v>
      </c>
      <c r="AH2468" s="5">
        <f t="shared" si="369"/>
        <v>1761</v>
      </c>
      <c r="AJ2468" s="126" t="e">
        <v>#N/A</v>
      </c>
      <c r="AK2468" s="80">
        <f t="shared" si="366"/>
        <v>0</v>
      </c>
      <c r="AM2468" s="85"/>
    </row>
    <row r="2469" spans="1:39" hidden="1" x14ac:dyDescent="0.3">
      <c r="A2469" s="85" t="s">
        <v>34</v>
      </c>
      <c r="B2469" s="15" t="s">
        <v>35</v>
      </c>
      <c r="C2469" s="15" t="s">
        <v>36</v>
      </c>
      <c r="D2469" s="15" t="s">
        <v>54</v>
      </c>
      <c r="E2469" s="15" t="s">
        <v>291</v>
      </c>
      <c r="F2469" s="15" t="s">
        <v>291</v>
      </c>
      <c r="G2469" s="15" t="s">
        <v>291</v>
      </c>
      <c r="H2469" s="139"/>
      <c r="I2469" s="3" t="s">
        <v>2935</v>
      </c>
      <c r="J2469" s="1" t="s">
        <v>3302</v>
      </c>
      <c r="K2469" s="1" t="s">
        <v>3281</v>
      </c>
      <c r="L2469" s="1" t="s">
        <v>35</v>
      </c>
      <c r="M2469" s="15" t="s">
        <v>2955</v>
      </c>
      <c r="N2469" s="15"/>
      <c r="O2469" s="8" t="s">
        <v>410</v>
      </c>
      <c r="P2469" s="8" t="s">
        <v>46</v>
      </c>
      <c r="Q2469" s="9">
        <v>0.02</v>
      </c>
      <c r="R2469" s="139">
        <v>46382</v>
      </c>
      <c r="T2469" s="6">
        <v>8511.7100000000646</v>
      </c>
      <c r="U2469" s="4">
        <v>0</v>
      </c>
      <c r="V2469" s="6">
        <v>0</v>
      </c>
      <c r="W2469" s="13">
        <f t="shared" si="367"/>
        <v>8511.7100000000646</v>
      </c>
      <c r="X2469" s="13">
        <f t="shared" si="371"/>
        <v>0</v>
      </c>
      <c r="Y2469" s="13">
        <f t="shared" si="362"/>
        <v>0</v>
      </c>
      <c r="Z2469" s="2">
        <v>0</v>
      </c>
      <c r="AA2469" s="4">
        <v>0</v>
      </c>
      <c r="AB2469" s="4">
        <f t="shared" si="363"/>
        <v>0</v>
      </c>
      <c r="AC2469" s="6">
        <f t="shared" si="364"/>
        <v>0</v>
      </c>
      <c r="AD2469" s="13">
        <f t="shared" si="368"/>
        <v>0</v>
      </c>
      <c r="AE2469" s="2">
        <v>0.09</v>
      </c>
      <c r="AF2469" s="5">
        <f t="shared" si="365"/>
        <v>0</v>
      </c>
      <c r="AG2469" s="2">
        <v>0</v>
      </c>
      <c r="AH2469" s="5">
        <f t="shared" si="369"/>
        <v>0</v>
      </c>
      <c r="AJ2469" s="126" t="e">
        <v>#N/A</v>
      </c>
      <c r="AK2469" s="80">
        <f t="shared" si="366"/>
        <v>0</v>
      </c>
      <c r="AM2469" s="85"/>
    </row>
    <row r="2470" spans="1:39" hidden="1" x14ac:dyDescent="0.3">
      <c r="A2470" s="85" t="s">
        <v>34</v>
      </c>
      <c r="B2470" s="15" t="s">
        <v>35</v>
      </c>
      <c r="C2470" s="15" t="s">
        <v>36</v>
      </c>
      <c r="D2470" s="15" t="s">
        <v>54</v>
      </c>
      <c r="E2470" s="15" t="s">
        <v>114</v>
      </c>
      <c r="F2470" s="15" t="s">
        <v>114</v>
      </c>
      <c r="G2470" s="15" t="s">
        <v>114</v>
      </c>
      <c r="H2470" s="154"/>
      <c r="I2470" s="3" t="s">
        <v>2935</v>
      </c>
      <c r="J2470" s="1" t="s">
        <v>3302</v>
      </c>
      <c r="K2470" s="1" t="s">
        <v>3281</v>
      </c>
      <c r="L2470" s="1" t="s">
        <v>35</v>
      </c>
      <c r="M2470" s="15" t="s">
        <v>1866</v>
      </c>
      <c r="N2470" s="15"/>
      <c r="O2470" s="8" t="s">
        <v>410</v>
      </c>
      <c r="P2470" s="8" t="s">
        <v>46</v>
      </c>
      <c r="Q2470" s="9">
        <v>1.4999999999999999E-2</v>
      </c>
      <c r="R2470" s="139">
        <v>62122</v>
      </c>
      <c r="T2470" s="6">
        <v>130356.649999999</v>
      </c>
      <c r="U2470" s="4">
        <v>0</v>
      </c>
      <c r="V2470" s="4">
        <v>130356.64999999947</v>
      </c>
      <c r="W2470" s="13">
        <f t="shared" si="367"/>
        <v>-4.6566128730773926E-10</v>
      </c>
      <c r="X2470" s="13">
        <f t="shared" si="371"/>
        <v>128430.19704433446</v>
      </c>
      <c r="Y2470" s="13">
        <f t="shared" si="362"/>
        <v>0</v>
      </c>
      <c r="Z2470" s="2">
        <v>0</v>
      </c>
      <c r="AA2470" s="4">
        <v>0</v>
      </c>
      <c r="AB2470" s="4">
        <f t="shared" si="363"/>
        <v>128430.19704433446</v>
      </c>
      <c r="AC2470" s="6">
        <f t="shared" si="364"/>
        <v>1926.4529556650086</v>
      </c>
      <c r="AD2470" s="13">
        <f t="shared" si="368"/>
        <v>130356.64999999947</v>
      </c>
      <c r="AE2470" s="2">
        <v>0.09</v>
      </c>
      <c r="AF2470" s="5">
        <f t="shared" si="365"/>
        <v>11732.098499999953</v>
      </c>
      <c r="AG2470" s="2">
        <v>0</v>
      </c>
      <c r="AH2470" s="5">
        <f t="shared" si="369"/>
        <v>130356.64999999947</v>
      </c>
      <c r="AJ2470" s="126" t="e">
        <v>#N/A</v>
      </c>
      <c r="AK2470" s="80">
        <f t="shared" si="366"/>
        <v>0</v>
      </c>
      <c r="AM2470" s="85"/>
    </row>
    <row r="2471" spans="1:39" hidden="1" x14ac:dyDescent="0.3">
      <c r="A2471" s="85" t="s">
        <v>34</v>
      </c>
      <c r="B2471" s="15" t="s">
        <v>35</v>
      </c>
      <c r="C2471" s="15" t="s">
        <v>36</v>
      </c>
      <c r="D2471" s="15" t="s">
        <v>54</v>
      </c>
      <c r="E2471" s="15" t="s">
        <v>114</v>
      </c>
      <c r="F2471" s="15" t="s">
        <v>114</v>
      </c>
      <c r="G2471" s="15" t="s">
        <v>114</v>
      </c>
      <c r="H2471" s="154"/>
      <c r="I2471" s="3" t="s">
        <v>2935</v>
      </c>
      <c r="J2471" s="1" t="s">
        <v>3302</v>
      </c>
      <c r="K2471" s="1" t="s">
        <v>3281</v>
      </c>
      <c r="L2471" s="1" t="s">
        <v>35</v>
      </c>
      <c r="M2471" s="15" t="s">
        <v>2956</v>
      </c>
      <c r="N2471" s="15"/>
      <c r="O2471" s="8" t="s">
        <v>410</v>
      </c>
      <c r="P2471" s="8" t="s">
        <v>46</v>
      </c>
      <c r="Q2471" s="9">
        <v>1.4999999999999999E-2</v>
      </c>
      <c r="R2471" s="139">
        <v>238152</v>
      </c>
      <c r="T2471" s="6">
        <v>18566.910000000105</v>
      </c>
      <c r="U2471" s="4">
        <v>0</v>
      </c>
      <c r="V2471" s="6">
        <v>18566.910000000105</v>
      </c>
      <c r="W2471" s="13">
        <f t="shared" si="367"/>
        <v>0</v>
      </c>
      <c r="X2471" s="13">
        <f t="shared" si="371"/>
        <v>18292.52216748779</v>
      </c>
      <c r="Y2471" s="13">
        <f t="shared" si="362"/>
        <v>0</v>
      </c>
      <c r="Z2471" s="2">
        <v>0</v>
      </c>
      <c r="AA2471" s="4">
        <v>0</v>
      </c>
      <c r="AB2471" s="4">
        <f t="shared" si="363"/>
        <v>18292.52216748779</v>
      </c>
      <c r="AC2471" s="6">
        <f t="shared" si="364"/>
        <v>274.38783251231507</v>
      </c>
      <c r="AD2471" s="13">
        <f t="shared" si="368"/>
        <v>18566.910000000105</v>
      </c>
      <c r="AE2471" s="2">
        <v>0.09</v>
      </c>
      <c r="AF2471" s="5">
        <f t="shared" si="365"/>
        <v>1671.0219000000095</v>
      </c>
      <c r="AG2471" s="2">
        <v>0</v>
      </c>
      <c r="AH2471" s="5">
        <f t="shared" si="369"/>
        <v>18566.910000000105</v>
      </c>
      <c r="AJ2471" s="126" t="e">
        <v>#N/A</v>
      </c>
      <c r="AK2471" s="80">
        <f t="shared" si="366"/>
        <v>0</v>
      </c>
      <c r="AM2471" s="85"/>
    </row>
    <row r="2472" spans="1:39" hidden="1" x14ac:dyDescent="0.3">
      <c r="A2472" s="85" t="s">
        <v>34</v>
      </c>
      <c r="B2472" s="15" t="s">
        <v>35</v>
      </c>
      <c r="C2472" s="15" t="s">
        <v>36</v>
      </c>
      <c r="D2472" s="15" t="s">
        <v>54</v>
      </c>
      <c r="E2472" s="15" t="s">
        <v>2957</v>
      </c>
      <c r="F2472" s="15" t="s">
        <v>2957</v>
      </c>
      <c r="G2472" s="15" t="s">
        <v>2957</v>
      </c>
      <c r="H2472" s="154"/>
      <c r="I2472" s="3" t="s">
        <v>2935</v>
      </c>
      <c r="J2472" s="1" t="s">
        <v>3302</v>
      </c>
      <c r="K2472" s="1" t="s">
        <v>3281</v>
      </c>
      <c r="L2472" s="1" t="s">
        <v>35</v>
      </c>
      <c r="M2472" s="15" t="s">
        <v>2959</v>
      </c>
      <c r="N2472" s="15"/>
      <c r="O2472" s="8" t="s">
        <v>410</v>
      </c>
      <c r="P2472" s="8" t="s">
        <v>46</v>
      </c>
      <c r="Q2472" s="9">
        <v>0.04</v>
      </c>
      <c r="R2472" s="139">
        <v>110452</v>
      </c>
      <c r="T2472" s="6">
        <v>183184.65000000002</v>
      </c>
      <c r="U2472" s="4">
        <v>0</v>
      </c>
      <c r="V2472" s="6">
        <v>183184.65000000002</v>
      </c>
      <c r="W2472" s="13">
        <f t="shared" si="367"/>
        <v>0</v>
      </c>
      <c r="X2472" s="13">
        <f t="shared" si="371"/>
        <v>176139.08653846156</v>
      </c>
      <c r="Y2472" s="13">
        <f t="shared" si="362"/>
        <v>0</v>
      </c>
      <c r="Z2472" s="2">
        <v>0</v>
      </c>
      <c r="AA2472" s="4">
        <v>0</v>
      </c>
      <c r="AB2472" s="4">
        <f t="shared" si="363"/>
        <v>176139.08653846156</v>
      </c>
      <c r="AC2472" s="6">
        <f t="shared" si="364"/>
        <v>7045.5634615384624</v>
      </c>
      <c r="AD2472" s="13">
        <f t="shared" si="368"/>
        <v>183184.65000000002</v>
      </c>
      <c r="AE2472" s="2">
        <v>0.09</v>
      </c>
      <c r="AF2472" s="5">
        <f t="shared" si="365"/>
        <v>16486.6185</v>
      </c>
      <c r="AG2472" s="2">
        <v>0</v>
      </c>
      <c r="AH2472" s="5">
        <f t="shared" si="369"/>
        <v>183184.65000000002</v>
      </c>
      <c r="AJ2472" s="126" t="e">
        <v>#N/A</v>
      </c>
      <c r="AK2472" s="80">
        <f t="shared" si="366"/>
        <v>0</v>
      </c>
      <c r="AM2472" s="85"/>
    </row>
    <row r="2473" spans="1:39" hidden="1" x14ac:dyDescent="0.3">
      <c r="A2473" s="85" t="s">
        <v>34</v>
      </c>
      <c r="B2473" s="15" t="s">
        <v>35</v>
      </c>
      <c r="C2473" s="15" t="s">
        <v>36</v>
      </c>
      <c r="D2473" s="15" t="s">
        <v>54</v>
      </c>
      <c r="E2473" s="15" t="s">
        <v>2957</v>
      </c>
      <c r="F2473" s="15" t="s">
        <v>2957</v>
      </c>
      <c r="G2473" s="15" t="s">
        <v>2957</v>
      </c>
      <c r="H2473" s="154"/>
      <c r="I2473" s="3" t="s">
        <v>2935</v>
      </c>
      <c r="J2473" s="1" t="s">
        <v>3302</v>
      </c>
      <c r="K2473" s="1" t="s">
        <v>3281</v>
      </c>
      <c r="L2473" s="1" t="s">
        <v>35</v>
      </c>
      <c r="M2473" s="15" t="s">
        <v>2957</v>
      </c>
      <c r="N2473" s="15"/>
      <c r="O2473" s="8" t="s">
        <v>410</v>
      </c>
      <c r="P2473" s="8" t="s">
        <v>46</v>
      </c>
      <c r="Q2473" s="9">
        <v>0.04</v>
      </c>
      <c r="R2473" s="139">
        <v>108552</v>
      </c>
      <c r="T2473" s="6">
        <v>1226661.9500000002</v>
      </c>
      <c r="U2473" s="4">
        <v>0</v>
      </c>
      <c r="V2473" s="4">
        <v>175421.86</v>
      </c>
      <c r="W2473" s="13">
        <f t="shared" si="367"/>
        <v>1051240.0900000003</v>
      </c>
      <c r="X2473" s="13">
        <f t="shared" si="371"/>
        <v>168674.86538461538</v>
      </c>
      <c r="Y2473" s="13">
        <f t="shared" si="362"/>
        <v>0</v>
      </c>
      <c r="Z2473" s="2">
        <v>0</v>
      </c>
      <c r="AA2473" s="4">
        <v>0</v>
      </c>
      <c r="AB2473" s="4">
        <f t="shared" si="363"/>
        <v>168674.86538461538</v>
      </c>
      <c r="AC2473" s="6">
        <f t="shared" si="364"/>
        <v>6746.9946153846104</v>
      </c>
      <c r="AD2473" s="13">
        <f t="shared" si="368"/>
        <v>175421.86</v>
      </c>
      <c r="AE2473" s="2">
        <v>0.09</v>
      </c>
      <c r="AF2473" s="5">
        <f t="shared" si="365"/>
        <v>15787.967399999998</v>
      </c>
      <c r="AG2473" s="2">
        <v>0</v>
      </c>
      <c r="AH2473" s="5">
        <f t="shared" si="369"/>
        <v>175421.86</v>
      </c>
      <c r="AJ2473" s="126" t="e">
        <v>#N/A</v>
      </c>
      <c r="AK2473" s="80">
        <f t="shared" si="366"/>
        <v>0</v>
      </c>
      <c r="AM2473" s="85"/>
    </row>
    <row r="2474" spans="1:39" hidden="1" x14ac:dyDescent="0.3">
      <c r="A2474" s="85" t="s">
        <v>34</v>
      </c>
      <c r="B2474" s="15" t="s">
        <v>35</v>
      </c>
      <c r="C2474" s="15" t="s">
        <v>36</v>
      </c>
      <c r="D2474" s="15" t="s">
        <v>54</v>
      </c>
      <c r="E2474" s="15" t="s">
        <v>2957</v>
      </c>
      <c r="F2474" s="15" t="s">
        <v>3042</v>
      </c>
      <c r="G2474" s="15" t="s">
        <v>2957</v>
      </c>
      <c r="H2474" s="154"/>
      <c r="I2474" s="3" t="s">
        <v>2935</v>
      </c>
      <c r="J2474" s="1" t="s">
        <v>3302</v>
      </c>
      <c r="K2474" s="1" t="s">
        <v>3281</v>
      </c>
      <c r="L2474" s="1" t="s">
        <v>35</v>
      </c>
      <c r="M2474" s="15" t="s">
        <v>2958</v>
      </c>
      <c r="N2474" s="15"/>
      <c r="O2474" s="8" t="s">
        <v>410</v>
      </c>
      <c r="P2474" s="8" t="s">
        <v>46</v>
      </c>
      <c r="Q2474" s="9">
        <v>4.4999999999999998E-2</v>
      </c>
      <c r="R2474" s="139">
        <v>227402</v>
      </c>
      <c r="T2474" s="6">
        <v>15214.770000000004</v>
      </c>
      <c r="U2474" s="4">
        <v>0</v>
      </c>
      <c r="V2474" s="4">
        <v>10495.560000000005</v>
      </c>
      <c r="W2474" s="13">
        <v>0</v>
      </c>
      <c r="X2474" s="13">
        <f t="shared" si="371"/>
        <v>10043.598086124408</v>
      </c>
      <c r="Y2474" s="13">
        <f t="shared" si="362"/>
        <v>0</v>
      </c>
      <c r="Z2474" s="2">
        <v>0</v>
      </c>
      <c r="AA2474" s="4">
        <v>0</v>
      </c>
      <c r="AB2474" s="4">
        <f t="shared" si="363"/>
        <v>10043.598086124408</v>
      </c>
      <c r="AC2474" s="6">
        <f t="shared" si="364"/>
        <v>451.96191387559702</v>
      </c>
      <c r="AD2474" s="13">
        <f t="shared" si="368"/>
        <v>10495.560000000005</v>
      </c>
      <c r="AE2474" s="2">
        <v>0.09</v>
      </c>
      <c r="AF2474" s="5">
        <f t="shared" si="365"/>
        <v>944.60040000000038</v>
      </c>
      <c r="AG2474" s="2">
        <v>0</v>
      </c>
      <c r="AH2474" s="5">
        <f t="shared" si="369"/>
        <v>10495.560000000005</v>
      </c>
      <c r="AJ2474" s="126" t="e">
        <v>#N/A</v>
      </c>
      <c r="AK2474" s="80">
        <f t="shared" si="366"/>
        <v>0</v>
      </c>
      <c r="AM2474" s="85"/>
    </row>
    <row r="2475" spans="1:39" hidden="1" x14ac:dyDescent="0.3">
      <c r="A2475" s="85" t="s">
        <v>34</v>
      </c>
      <c r="B2475" s="15" t="s">
        <v>35</v>
      </c>
      <c r="C2475" s="15" t="s">
        <v>65</v>
      </c>
      <c r="D2475" s="15" t="s">
        <v>66</v>
      </c>
      <c r="E2475" s="15" t="s">
        <v>469</v>
      </c>
      <c r="F2475" s="15" t="s">
        <v>469</v>
      </c>
      <c r="G2475" s="15" t="s">
        <v>469</v>
      </c>
      <c r="H2475" s="139"/>
      <c r="I2475" s="3" t="s">
        <v>2935</v>
      </c>
      <c r="J2475" s="1" t="s">
        <v>3302</v>
      </c>
      <c r="K2475" s="1" t="s">
        <v>3281</v>
      </c>
      <c r="L2475" s="1" t="s">
        <v>35</v>
      </c>
      <c r="M2475" s="15" t="s">
        <v>469</v>
      </c>
      <c r="N2475" s="15"/>
      <c r="O2475" s="8" t="s">
        <v>410</v>
      </c>
      <c r="P2475" s="8" t="s">
        <v>46</v>
      </c>
      <c r="Q2475" s="9">
        <v>0.03</v>
      </c>
      <c r="R2475" s="139">
        <v>102202</v>
      </c>
      <c r="T2475" s="6">
        <v>21734.55</v>
      </c>
      <c r="U2475" s="4">
        <v>0</v>
      </c>
      <c r="V2475" s="6">
        <v>0</v>
      </c>
      <c r="W2475" s="13">
        <f t="shared" si="367"/>
        <v>21734.55</v>
      </c>
      <c r="X2475" s="13">
        <f t="shared" si="371"/>
        <v>0</v>
      </c>
      <c r="Y2475" s="13">
        <f t="shared" si="362"/>
        <v>0</v>
      </c>
      <c r="Z2475" s="2">
        <v>0</v>
      </c>
      <c r="AA2475" s="4">
        <v>0</v>
      </c>
      <c r="AB2475" s="4">
        <f t="shared" si="363"/>
        <v>0</v>
      </c>
      <c r="AC2475" s="6">
        <f t="shared" si="364"/>
        <v>0</v>
      </c>
      <c r="AD2475" s="13">
        <f t="shared" si="368"/>
        <v>0</v>
      </c>
      <c r="AE2475" s="2">
        <v>0.09</v>
      </c>
      <c r="AF2475" s="5">
        <f t="shared" si="365"/>
        <v>0</v>
      </c>
      <c r="AG2475" s="2">
        <v>0</v>
      </c>
      <c r="AH2475" s="5">
        <f t="shared" si="369"/>
        <v>0</v>
      </c>
      <c r="AJ2475" s="126" t="e">
        <v>#N/A</v>
      </c>
      <c r="AK2475" s="80">
        <f t="shared" si="366"/>
        <v>0</v>
      </c>
      <c r="AM2475" s="85"/>
    </row>
    <row r="2476" spans="1:39" hidden="1" x14ac:dyDescent="0.3">
      <c r="A2476" s="85" t="s">
        <v>34</v>
      </c>
      <c r="B2476" s="15" t="s">
        <v>35</v>
      </c>
      <c r="C2476" s="15" t="s">
        <v>65</v>
      </c>
      <c r="D2476" s="15" t="s">
        <v>66</v>
      </c>
      <c r="E2476" s="15" t="s">
        <v>2386</v>
      </c>
      <c r="F2476" s="15" t="s">
        <v>2386</v>
      </c>
      <c r="G2476" s="15" t="s">
        <v>2386</v>
      </c>
      <c r="H2476" s="154"/>
      <c r="I2476" s="3" t="s">
        <v>2935</v>
      </c>
      <c r="J2476" s="1" t="s">
        <v>3302</v>
      </c>
      <c r="K2476" s="1" t="s">
        <v>3281</v>
      </c>
      <c r="L2476" s="1" t="s">
        <v>35</v>
      </c>
      <c r="M2476" s="15" t="s">
        <v>2387</v>
      </c>
      <c r="N2476" s="15"/>
      <c r="O2476" s="8" t="s">
        <v>410</v>
      </c>
      <c r="P2476" s="8" t="s">
        <v>1327</v>
      </c>
      <c r="Q2476" s="9">
        <v>0</v>
      </c>
      <c r="R2476" s="139">
        <v>92622</v>
      </c>
      <c r="T2476" s="6">
        <v>212624.56999999989</v>
      </c>
      <c r="U2476" s="4">
        <v>0</v>
      </c>
      <c r="V2476" s="4">
        <v>169409.26</v>
      </c>
      <c r="W2476" s="13">
        <f t="shared" si="367"/>
        <v>43215.309999999881</v>
      </c>
      <c r="X2476" s="13">
        <f>V2476-732.85</f>
        <v>168676.41</v>
      </c>
      <c r="Y2476" s="13">
        <f t="shared" si="362"/>
        <v>0</v>
      </c>
      <c r="Z2476" s="2">
        <v>0</v>
      </c>
      <c r="AA2476" s="4">
        <v>0</v>
      </c>
      <c r="AB2476" s="4">
        <f t="shared" si="363"/>
        <v>168676.41</v>
      </c>
      <c r="AC2476" s="6">
        <f t="shared" si="364"/>
        <v>732.85000000000582</v>
      </c>
      <c r="AD2476" s="13">
        <f t="shared" si="368"/>
        <v>169409.26</v>
      </c>
      <c r="AE2476" s="2">
        <v>0.09</v>
      </c>
      <c r="AF2476" s="5">
        <f t="shared" si="365"/>
        <v>15246.8334</v>
      </c>
      <c r="AG2476" s="2">
        <v>0</v>
      </c>
      <c r="AH2476" s="5">
        <f t="shared" si="369"/>
        <v>169409.26</v>
      </c>
      <c r="AJ2476" s="126" t="e">
        <v>#N/A</v>
      </c>
      <c r="AK2476" s="80">
        <f t="shared" si="366"/>
        <v>0</v>
      </c>
      <c r="AM2476" s="85"/>
    </row>
    <row r="2477" spans="1:39" hidden="1" x14ac:dyDescent="0.3">
      <c r="A2477" s="85" t="s">
        <v>34</v>
      </c>
      <c r="B2477" s="15" t="s">
        <v>35</v>
      </c>
      <c r="C2477" s="15" t="s">
        <v>65</v>
      </c>
      <c r="D2477" s="15" t="s">
        <v>66</v>
      </c>
      <c r="E2477" s="15" t="s">
        <v>2354</v>
      </c>
      <c r="F2477" s="15" t="s">
        <v>2354</v>
      </c>
      <c r="G2477" s="15" t="s">
        <v>2354</v>
      </c>
      <c r="H2477" s="154"/>
      <c r="I2477" s="3" t="s">
        <v>2935</v>
      </c>
      <c r="J2477" s="1" t="s">
        <v>3302</v>
      </c>
      <c r="K2477" s="1" t="s">
        <v>3281</v>
      </c>
      <c r="L2477" s="1" t="s">
        <v>35</v>
      </c>
      <c r="M2477" s="15" t="s">
        <v>2354</v>
      </c>
      <c r="N2477" s="15"/>
      <c r="O2477" s="8" t="s">
        <v>410</v>
      </c>
      <c r="P2477" s="1" t="s">
        <v>46</v>
      </c>
      <c r="Q2477" s="2">
        <v>0.02</v>
      </c>
      <c r="R2477" s="139">
        <v>10872</v>
      </c>
      <c r="T2477" s="6">
        <v>358961.45999999996</v>
      </c>
      <c r="U2477" s="4">
        <v>0</v>
      </c>
      <c r="V2477" s="6">
        <v>358961.45999999996</v>
      </c>
      <c r="W2477" s="13">
        <f t="shared" si="367"/>
        <v>0</v>
      </c>
      <c r="X2477" s="13">
        <f t="shared" si="371"/>
        <v>351922.99999999994</v>
      </c>
      <c r="Y2477" s="13">
        <f t="shared" si="362"/>
        <v>0</v>
      </c>
      <c r="Z2477" s="2">
        <v>0</v>
      </c>
      <c r="AA2477" s="4">
        <v>0</v>
      </c>
      <c r="AB2477" s="4">
        <f t="shared" si="363"/>
        <v>351922.99999999994</v>
      </c>
      <c r="AC2477" s="6">
        <f t="shared" si="364"/>
        <v>7038.460000000021</v>
      </c>
      <c r="AD2477" s="13">
        <f t="shared" si="368"/>
        <v>358961.45999999996</v>
      </c>
      <c r="AE2477" s="2">
        <v>0.09</v>
      </c>
      <c r="AF2477" s="5">
        <f t="shared" si="365"/>
        <v>32306.531399999996</v>
      </c>
      <c r="AG2477" s="2">
        <v>0</v>
      </c>
      <c r="AH2477" s="5">
        <f t="shared" si="369"/>
        <v>358961.45999999996</v>
      </c>
      <c r="AJ2477" s="126" t="e">
        <v>#N/A</v>
      </c>
      <c r="AK2477" s="80">
        <f t="shared" si="366"/>
        <v>0</v>
      </c>
      <c r="AM2477" s="85"/>
    </row>
    <row r="2478" spans="1:39" hidden="1" x14ac:dyDescent="0.3">
      <c r="A2478" s="85" t="s">
        <v>34</v>
      </c>
      <c r="B2478" s="15" t="s">
        <v>35</v>
      </c>
      <c r="C2478" s="15" t="s">
        <v>65</v>
      </c>
      <c r="D2478" s="15" t="s">
        <v>66</v>
      </c>
      <c r="E2478" s="15" t="s">
        <v>489</v>
      </c>
      <c r="F2478" s="15" t="s">
        <v>3043</v>
      </c>
      <c r="G2478" s="15" t="s">
        <v>489</v>
      </c>
      <c r="H2478" s="154"/>
      <c r="I2478" s="3" t="s">
        <v>2935</v>
      </c>
      <c r="J2478" s="1" t="s">
        <v>3302</v>
      </c>
      <c r="K2478" s="1" t="s">
        <v>3281</v>
      </c>
      <c r="L2478" s="1" t="s">
        <v>35</v>
      </c>
      <c r="M2478" s="15" t="s">
        <v>3044</v>
      </c>
      <c r="N2478" s="15"/>
      <c r="O2478" s="8" t="s">
        <v>410</v>
      </c>
      <c r="P2478" s="8" t="s">
        <v>46</v>
      </c>
      <c r="Q2478" s="9">
        <v>0.02</v>
      </c>
      <c r="R2478" s="139">
        <v>18122</v>
      </c>
      <c r="T2478" s="6">
        <v>867234.43</v>
      </c>
      <c r="U2478" s="4">
        <v>0</v>
      </c>
      <c r="V2478" s="4">
        <v>568590.18000000005</v>
      </c>
      <c r="W2478" s="13">
        <f t="shared" si="367"/>
        <v>298644.25</v>
      </c>
      <c r="X2478" s="13">
        <f t="shared" si="371"/>
        <v>557441.3529411765</v>
      </c>
      <c r="Y2478" s="13">
        <f t="shared" si="362"/>
        <v>0</v>
      </c>
      <c r="Z2478" s="2">
        <v>0</v>
      </c>
      <c r="AA2478" s="4">
        <v>0</v>
      </c>
      <c r="AB2478" s="4">
        <f t="shared" si="363"/>
        <v>557441.3529411765</v>
      </c>
      <c r="AC2478" s="6">
        <f t="shared" si="364"/>
        <v>11148.827058823546</v>
      </c>
      <c r="AD2478" s="13">
        <f t="shared" si="368"/>
        <v>568590.18000000005</v>
      </c>
      <c r="AE2478" s="2">
        <v>0.09</v>
      </c>
      <c r="AF2478" s="5">
        <f t="shared" si="365"/>
        <v>51173.116200000004</v>
      </c>
      <c r="AG2478" s="2">
        <v>0</v>
      </c>
      <c r="AH2478" s="5">
        <f t="shared" si="369"/>
        <v>568590.18000000005</v>
      </c>
      <c r="AJ2478" s="126" t="e">
        <v>#N/A</v>
      </c>
      <c r="AK2478" s="80">
        <f t="shared" si="366"/>
        <v>0</v>
      </c>
      <c r="AM2478" s="85"/>
    </row>
    <row r="2479" spans="1:39" hidden="1" x14ac:dyDescent="0.3">
      <c r="A2479" s="85" t="s">
        <v>34</v>
      </c>
      <c r="B2479" s="15" t="s">
        <v>35</v>
      </c>
      <c r="C2479" s="15" t="s">
        <v>65</v>
      </c>
      <c r="D2479" s="15" t="s">
        <v>66</v>
      </c>
      <c r="E2479" s="15" t="s">
        <v>1877</v>
      </c>
      <c r="F2479" s="15" t="s">
        <v>1877</v>
      </c>
      <c r="G2479" s="15" t="s">
        <v>1877</v>
      </c>
      <c r="H2479" s="154"/>
      <c r="I2479" s="3" t="s">
        <v>2935</v>
      </c>
      <c r="J2479" s="1" t="s">
        <v>3302</v>
      </c>
      <c r="K2479" s="1" t="s">
        <v>3281</v>
      </c>
      <c r="L2479" s="1" t="s">
        <v>35</v>
      </c>
      <c r="M2479" s="15" t="s">
        <v>1877</v>
      </c>
      <c r="N2479" s="15"/>
      <c r="O2479" s="8" t="s">
        <v>410</v>
      </c>
      <c r="P2479" s="8" t="s">
        <v>46</v>
      </c>
      <c r="Q2479" s="9">
        <v>0.02</v>
      </c>
      <c r="R2479" s="139">
        <v>186892</v>
      </c>
      <c r="T2479" s="6">
        <v>11993.27</v>
      </c>
      <c r="U2479" s="4">
        <v>0</v>
      </c>
      <c r="V2479" s="4">
        <v>7920.22</v>
      </c>
      <c r="W2479" s="13">
        <f t="shared" si="367"/>
        <v>4073.05</v>
      </c>
      <c r="X2479" s="13">
        <f t="shared" si="371"/>
        <v>7764.9215686274511</v>
      </c>
      <c r="Y2479" s="13">
        <f t="shared" si="362"/>
        <v>0</v>
      </c>
      <c r="Z2479" s="2">
        <v>0</v>
      </c>
      <c r="AA2479" s="4">
        <v>0</v>
      </c>
      <c r="AB2479" s="4">
        <f t="shared" si="363"/>
        <v>7764.9215686274511</v>
      </c>
      <c r="AC2479" s="6">
        <f t="shared" si="364"/>
        <v>155.2984313725492</v>
      </c>
      <c r="AD2479" s="13">
        <f t="shared" si="368"/>
        <v>7920.22</v>
      </c>
      <c r="AE2479" s="2">
        <v>0.09</v>
      </c>
      <c r="AF2479" s="5">
        <f t="shared" si="365"/>
        <v>712.81979999999999</v>
      </c>
      <c r="AG2479" s="2">
        <v>0</v>
      </c>
      <c r="AH2479" s="5">
        <f t="shared" si="369"/>
        <v>7920.22</v>
      </c>
      <c r="AJ2479" s="126" t="e">
        <v>#N/A</v>
      </c>
      <c r="AK2479" s="80">
        <f t="shared" si="366"/>
        <v>0</v>
      </c>
      <c r="AM2479" s="85"/>
    </row>
    <row r="2480" spans="1:39" hidden="1" x14ac:dyDescent="0.3">
      <c r="A2480" s="85" t="s">
        <v>34</v>
      </c>
      <c r="B2480" s="15" t="s">
        <v>35</v>
      </c>
      <c r="C2480" s="15" t="s">
        <v>65</v>
      </c>
      <c r="D2480" s="15" t="s">
        <v>66</v>
      </c>
      <c r="E2480" s="15" t="s">
        <v>501</v>
      </c>
      <c r="F2480" s="15" t="s">
        <v>501</v>
      </c>
      <c r="G2480" s="15" t="s">
        <v>501</v>
      </c>
      <c r="H2480" s="139"/>
      <c r="I2480" s="3" t="s">
        <v>2935</v>
      </c>
      <c r="J2480" s="1" t="s">
        <v>3302</v>
      </c>
      <c r="K2480" s="1" t="s">
        <v>3281</v>
      </c>
      <c r="L2480" s="1" t="s">
        <v>35</v>
      </c>
      <c r="M2480" s="15" t="s">
        <v>501</v>
      </c>
      <c r="N2480" s="15"/>
      <c r="O2480" s="8" t="s">
        <v>410</v>
      </c>
      <c r="P2480" s="8" t="s">
        <v>46</v>
      </c>
      <c r="Q2480" s="9">
        <v>0.03</v>
      </c>
      <c r="R2480" s="139">
        <v>26112</v>
      </c>
      <c r="T2480" s="6">
        <v>54626.989999999991</v>
      </c>
      <c r="U2480" s="4">
        <v>0</v>
      </c>
      <c r="V2480" s="4">
        <v>0</v>
      </c>
      <c r="W2480" s="13">
        <f t="shared" si="367"/>
        <v>54626.989999999991</v>
      </c>
      <c r="X2480" s="13">
        <f t="shared" si="371"/>
        <v>0</v>
      </c>
      <c r="Y2480" s="13">
        <f t="shared" si="362"/>
        <v>0</v>
      </c>
      <c r="Z2480" s="2">
        <v>0</v>
      </c>
      <c r="AA2480" s="4">
        <v>0</v>
      </c>
      <c r="AB2480" s="4">
        <f t="shared" si="363"/>
        <v>0</v>
      </c>
      <c r="AC2480" s="6">
        <f t="shared" si="364"/>
        <v>0</v>
      </c>
      <c r="AD2480" s="13">
        <f t="shared" si="368"/>
        <v>0</v>
      </c>
      <c r="AE2480" s="2">
        <v>0.09</v>
      </c>
      <c r="AF2480" s="5">
        <f t="shared" si="365"/>
        <v>0</v>
      </c>
      <c r="AG2480" s="2">
        <v>0</v>
      </c>
      <c r="AH2480" s="5">
        <f t="shared" si="369"/>
        <v>0</v>
      </c>
      <c r="AJ2480" s="126" t="e">
        <v>#N/A</v>
      </c>
      <c r="AK2480" s="80">
        <f t="shared" si="366"/>
        <v>0</v>
      </c>
      <c r="AM2480" s="85"/>
    </row>
    <row r="2481" spans="1:39" hidden="1" x14ac:dyDescent="0.3">
      <c r="A2481" s="85" t="s">
        <v>34</v>
      </c>
      <c r="B2481" s="15" t="s">
        <v>35</v>
      </c>
      <c r="C2481" s="15" t="s">
        <v>65</v>
      </c>
      <c r="D2481" s="15" t="s">
        <v>66</v>
      </c>
      <c r="E2481" s="15" t="s">
        <v>2678</v>
      </c>
      <c r="F2481" s="15" t="s">
        <v>2679</v>
      </c>
      <c r="G2481" s="15" t="s">
        <v>2678</v>
      </c>
      <c r="H2481" s="154"/>
      <c r="I2481" s="3" t="s">
        <v>2935</v>
      </c>
      <c r="J2481" s="1" t="s">
        <v>3302</v>
      </c>
      <c r="K2481" s="1" t="s">
        <v>3281</v>
      </c>
      <c r="L2481" s="1" t="s">
        <v>35</v>
      </c>
      <c r="M2481" s="15" t="s">
        <v>2966</v>
      </c>
      <c r="N2481" s="15"/>
      <c r="O2481" s="8" t="s">
        <v>45</v>
      </c>
      <c r="P2481" s="8" t="s">
        <v>1327</v>
      </c>
      <c r="Q2481" s="9">
        <v>0</v>
      </c>
      <c r="R2481" s="139">
        <v>242112</v>
      </c>
      <c r="T2481" s="6">
        <v>189630.09</v>
      </c>
      <c r="U2481" s="4">
        <v>0</v>
      </c>
      <c r="V2481" s="4">
        <v>59543.42</v>
      </c>
      <c r="W2481" s="13">
        <f t="shared" si="367"/>
        <v>130086.67</v>
      </c>
      <c r="X2481" s="13">
        <f t="shared" si="371"/>
        <v>59543.42</v>
      </c>
      <c r="Y2481" s="13">
        <f t="shared" si="362"/>
        <v>0</v>
      </c>
      <c r="Z2481" s="2">
        <v>0</v>
      </c>
      <c r="AA2481" s="4">
        <v>0</v>
      </c>
      <c r="AB2481" s="4">
        <f t="shared" si="363"/>
        <v>59543.42</v>
      </c>
      <c r="AC2481" s="6">
        <f t="shared" si="364"/>
        <v>0</v>
      </c>
      <c r="AD2481" s="13">
        <f t="shared" si="368"/>
        <v>59543.42</v>
      </c>
      <c r="AE2481" s="2">
        <v>0.18</v>
      </c>
      <c r="AF2481" s="5">
        <f t="shared" si="365"/>
        <v>10717.8156</v>
      </c>
      <c r="AG2481" s="2">
        <v>0</v>
      </c>
      <c r="AH2481" s="5">
        <f t="shared" si="369"/>
        <v>59543.42</v>
      </c>
      <c r="AJ2481" s="126" t="e">
        <v>#N/A</v>
      </c>
      <c r="AK2481" s="80">
        <f t="shared" si="366"/>
        <v>0</v>
      </c>
      <c r="AM2481" s="85"/>
    </row>
    <row r="2482" spans="1:39" hidden="1" x14ac:dyDescent="0.3">
      <c r="A2482" s="85" t="s">
        <v>34</v>
      </c>
      <c r="B2482" s="15" t="s">
        <v>35</v>
      </c>
      <c r="C2482" s="15" t="s">
        <v>65</v>
      </c>
      <c r="D2482" s="15" t="s">
        <v>122</v>
      </c>
      <c r="E2482" s="15" t="s">
        <v>3045</v>
      </c>
      <c r="F2482" s="15" t="s">
        <v>3045</v>
      </c>
      <c r="G2482" s="15" t="s">
        <v>3045</v>
      </c>
      <c r="H2482" s="139"/>
      <c r="I2482" s="3" t="s">
        <v>2935</v>
      </c>
      <c r="J2482" s="1" t="s">
        <v>3302</v>
      </c>
      <c r="K2482" s="1" t="s">
        <v>3281</v>
      </c>
      <c r="L2482" s="1" t="s">
        <v>35</v>
      </c>
      <c r="M2482" s="15" t="s">
        <v>3046</v>
      </c>
      <c r="N2482" s="15"/>
      <c r="O2482" s="8" t="s">
        <v>410</v>
      </c>
      <c r="P2482" s="8" t="s">
        <v>46</v>
      </c>
      <c r="Q2482" s="9">
        <v>0.02</v>
      </c>
      <c r="R2482" s="139">
        <v>236362</v>
      </c>
      <c r="T2482" s="6">
        <v>29890.9</v>
      </c>
      <c r="U2482" s="4">
        <v>0</v>
      </c>
      <c r="V2482" s="4">
        <v>0</v>
      </c>
      <c r="W2482" s="13">
        <f t="shared" si="367"/>
        <v>29890.9</v>
      </c>
      <c r="X2482" s="13">
        <f t="shared" si="371"/>
        <v>0</v>
      </c>
      <c r="Y2482" s="13">
        <f t="shared" si="362"/>
        <v>0</v>
      </c>
      <c r="Z2482" s="2">
        <v>0</v>
      </c>
      <c r="AA2482" s="4">
        <v>0</v>
      </c>
      <c r="AB2482" s="4">
        <f t="shared" si="363"/>
        <v>0</v>
      </c>
      <c r="AC2482" s="6">
        <f t="shared" si="364"/>
        <v>0</v>
      </c>
      <c r="AD2482" s="13">
        <f t="shared" si="368"/>
        <v>0</v>
      </c>
      <c r="AE2482" s="2">
        <v>0.09</v>
      </c>
      <c r="AF2482" s="5">
        <f t="shared" si="365"/>
        <v>0</v>
      </c>
      <c r="AG2482" s="2">
        <v>0</v>
      </c>
      <c r="AH2482" s="5">
        <f t="shared" si="369"/>
        <v>0</v>
      </c>
      <c r="AJ2482" s="126" t="e">
        <v>#N/A</v>
      </c>
      <c r="AK2482" s="80">
        <f t="shared" si="366"/>
        <v>0</v>
      </c>
      <c r="AM2482" s="85"/>
    </row>
    <row r="2483" spans="1:39" hidden="1" x14ac:dyDescent="0.3">
      <c r="A2483" s="85" t="s">
        <v>34</v>
      </c>
      <c r="B2483" s="15" t="s">
        <v>35</v>
      </c>
      <c r="C2483" s="15" t="s">
        <v>65</v>
      </c>
      <c r="D2483" s="15" t="s">
        <v>3047</v>
      </c>
      <c r="E2483" s="15" t="s">
        <v>1907</v>
      </c>
      <c r="F2483" s="15" t="s">
        <v>1908</v>
      </c>
      <c r="G2483" s="15" t="s">
        <v>1907</v>
      </c>
      <c r="H2483" s="139"/>
      <c r="I2483" s="3" t="s">
        <v>2935</v>
      </c>
      <c r="J2483" s="1" t="s">
        <v>3302</v>
      </c>
      <c r="K2483" s="1" t="s">
        <v>3281</v>
      </c>
      <c r="L2483" s="1" t="s">
        <v>35</v>
      </c>
      <c r="M2483" s="15" t="s">
        <v>483</v>
      </c>
      <c r="N2483" s="15"/>
      <c r="O2483" s="8" t="s">
        <v>410</v>
      </c>
      <c r="P2483" s="8" t="s">
        <v>41</v>
      </c>
      <c r="Q2483" s="9">
        <v>0</v>
      </c>
      <c r="R2483" s="139">
        <v>41252</v>
      </c>
      <c r="T2483" s="6">
        <v>382278.83999999997</v>
      </c>
      <c r="U2483" s="4">
        <v>0</v>
      </c>
      <c r="V2483" s="4">
        <v>0</v>
      </c>
      <c r="W2483" s="13">
        <f t="shared" si="367"/>
        <v>382278.83999999997</v>
      </c>
      <c r="X2483" s="13">
        <f t="shared" si="371"/>
        <v>0</v>
      </c>
      <c r="Y2483" s="13">
        <f t="shared" si="362"/>
        <v>0</v>
      </c>
      <c r="Z2483" s="2">
        <v>0</v>
      </c>
      <c r="AA2483" s="4">
        <v>0</v>
      </c>
      <c r="AB2483" s="4">
        <f t="shared" si="363"/>
        <v>0</v>
      </c>
      <c r="AC2483" s="6">
        <f t="shared" si="364"/>
        <v>0</v>
      </c>
      <c r="AD2483" s="13">
        <f t="shared" si="368"/>
        <v>0</v>
      </c>
      <c r="AE2483" s="2">
        <v>0.09</v>
      </c>
      <c r="AF2483" s="5">
        <f t="shared" si="365"/>
        <v>0</v>
      </c>
      <c r="AG2483" s="2">
        <v>0</v>
      </c>
      <c r="AH2483" s="5">
        <f t="shared" si="369"/>
        <v>0</v>
      </c>
      <c r="AJ2483" s="126" t="e">
        <v>#N/A</v>
      </c>
      <c r="AK2483" s="80">
        <f t="shared" si="366"/>
        <v>0</v>
      </c>
      <c r="AM2483" s="85"/>
    </row>
    <row r="2484" spans="1:39" hidden="1" x14ac:dyDescent="0.3">
      <c r="A2484" s="85" t="s">
        <v>34</v>
      </c>
      <c r="B2484" s="15" t="s">
        <v>35</v>
      </c>
      <c r="C2484" s="15" t="s">
        <v>47</v>
      </c>
      <c r="D2484" s="15" t="s">
        <v>63</v>
      </c>
      <c r="E2484" s="15" t="s">
        <v>1334</v>
      </c>
      <c r="F2484" s="15" t="s">
        <v>1334</v>
      </c>
      <c r="G2484" s="15" t="s">
        <v>1334</v>
      </c>
      <c r="H2484" s="154"/>
      <c r="I2484" s="3" t="s">
        <v>2935</v>
      </c>
      <c r="J2484" s="1" t="s">
        <v>3302</v>
      </c>
      <c r="K2484" s="1" t="s">
        <v>3281</v>
      </c>
      <c r="L2484" s="1" t="s">
        <v>35</v>
      </c>
      <c r="M2484" s="15" t="s">
        <v>1334</v>
      </c>
      <c r="N2484" s="15"/>
      <c r="O2484" s="8" t="s">
        <v>410</v>
      </c>
      <c r="P2484" s="8" t="s">
        <v>46</v>
      </c>
      <c r="Q2484" s="9">
        <v>0.02</v>
      </c>
      <c r="R2484" s="139">
        <v>80182</v>
      </c>
      <c r="T2484" s="6">
        <v>41.67000000002372</v>
      </c>
      <c r="U2484" s="4">
        <v>0</v>
      </c>
      <c r="V2484" s="6">
        <v>41.67000000002372</v>
      </c>
      <c r="W2484" s="13">
        <f t="shared" si="367"/>
        <v>0</v>
      </c>
      <c r="X2484" s="13">
        <f t="shared" si="371"/>
        <v>40.852941176493843</v>
      </c>
      <c r="Y2484" s="13">
        <f t="shared" si="362"/>
        <v>0</v>
      </c>
      <c r="Z2484" s="2">
        <v>0</v>
      </c>
      <c r="AA2484" s="4">
        <v>0</v>
      </c>
      <c r="AB2484" s="4">
        <f t="shared" si="363"/>
        <v>40.852941176493843</v>
      </c>
      <c r="AC2484" s="6">
        <f t="shared" si="364"/>
        <v>0.81705882352987658</v>
      </c>
      <c r="AD2484" s="13">
        <f t="shared" si="368"/>
        <v>41.67000000002372</v>
      </c>
      <c r="AE2484" s="2">
        <v>0.09</v>
      </c>
      <c r="AF2484" s="5">
        <f t="shared" si="365"/>
        <v>3.7503000000021345</v>
      </c>
      <c r="AG2484" s="2">
        <v>0</v>
      </c>
      <c r="AH2484" s="5">
        <f t="shared" si="369"/>
        <v>41.67000000002372</v>
      </c>
      <c r="AJ2484" s="126" t="e">
        <v>#N/A</v>
      </c>
      <c r="AK2484" s="80">
        <f t="shared" si="366"/>
        <v>0</v>
      </c>
      <c r="AM2484" s="85"/>
    </row>
    <row r="2485" spans="1:39" hidden="1" x14ac:dyDescent="0.3">
      <c r="A2485" s="85" t="s">
        <v>34</v>
      </c>
      <c r="B2485" s="15" t="s">
        <v>35</v>
      </c>
      <c r="C2485" s="15" t="s">
        <v>47</v>
      </c>
      <c r="D2485" s="15" t="s">
        <v>63</v>
      </c>
      <c r="E2485" s="15" t="s">
        <v>2957</v>
      </c>
      <c r="F2485" s="15" t="s">
        <v>2978</v>
      </c>
      <c r="G2485" s="15" t="s">
        <v>2957</v>
      </c>
      <c r="H2485" s="154"/>
      <c r="I2485" s="3" t="s">
        <v>2935</v>
      </c>
      <c r="J2485" s="1" t="s">
        <v>3302</v>
      </c>
      <c r="K2485" s="1" t="s">
        <v>3281</v>
      </c>
      <c r="L2485" s="1" t="s">
        <v>35</v>
      </c>
      <c r="M2485" s="15" t="s">
        <v>2979</v>
      </c>
      <c r="N2485" s="15"/>
      <c r="O2485" s="8" t="s">
        <v>410</v>
      </c>
      <c r="P2485" s="8" t="s">
        <v>46</v>
      </c>
      <c r="Q2485" s="9">
        <v>0.04</v>
      </c>
      <c r="R2485" s="139">
        <v>19992</v>
      </c>
      <c r="T2485" s="6">
        <v>871947.78999999992</v>
      </c>
      <c r="U2485" s="4">
        <v>0</v>
      </c>
      <c r="V2485" s="4">
        <v>249580.17999999993</v>
      </c>
      <c r="W2485" s="13">
        <v>0</v>
      </c>
      <c r="X2485" s="13">
        <f t="shared" si="371"/>
        <v>239980.94230769222</v>
      </c>
      <c r="Y2485" s="13">
        <f t="shared" si="362"/>
        <v>0</v>
      </c>
      <c r="Z2485" s="2">
        <v>0</v>
      </c>
      <c r="AA2485" s="4">
        <v>0</v>
      </c>
      <c r="AB2485" s="4">
        <f t="shared" si="363"/>
        <v>239980.94230769222</v>
      </c>
      <c r="AC2485" s="6">
        <f t="shared" si="364"/>
        <v>9599.2376923077099</v>
      </c>
      <c r="AD2485" s="13">
        <f t="shared" si="368"/>
        <v>249580.17999999993</v>
      </c>
      <c r="AE2485" s="2">
        <v>0.09</v>
      </c>
      <c r="AF2485" s="5">
        <f t="shared" si="365"/>
        <v>22462.216199999992</v>
      </c>
      <c r="AG2485" s="2">
        <v>0</v>
      </c>
      <c r="AH2485" s="5">
        <f t="shared" si="369"/>
        <v>249580.17999999993</v>
      </c>
      <c r="AJ2485" s="126" t="e">
        <v>#N/A</v>
      </c>
      <c r="AK2485" s="80">
        <f t="shared" si="366"/>
        <v>0</v>
      </c>
      <c r="AM2485" s="85"/>
    </row>
    <row r="2486" spans="1:39" hidden="1" x14ac:dyDescent="0.3">
      <c r="A2486" s="85" t="s">
        <v>34</v>
      </c>
      <c r="B2486" s="15" t="s">
        <v>35</v>
      </c>
      <c r="C2486" s="15" t="s">
        <v>47</v>
      </c>
      <c r="D2486" s="15" t="s">
        <v>48</v>
      </c>
      <c r="E2486" s="15" t="s">
        <v>2909</v>
      </c>
      <c r="F2486" s="15" t="s">
        <v>2909</v>
      </c>
      <c r="G2486" s="15" t="s">
        <v>2909</v>
      </c>
      <c r="H2486" s="154"/>
      <c r="I2486" s="3" t="s">
        <v>2935</v>
      </c>
      <c r="J2486" s="1" t="s">
        <v>3302</v>
      </c>
      <c r="K2486" s="1" t="s">
        <v>3281</v>
      </c>
      <c r="L2486" s="1" t="s">
        <v>35</v>
      </c>
      <c r="M2486" s="15" t="s">
        <v>2909</v>
      </c>
      <c r="N2486" s="15"/>
      <c r="O2486" s="8" t="s">
        <v>410</v>
      </c>
      <c r="P2486" s="8" t="s">
        <v>41</v>
      </c>
      <c r="Q2486" s="9">
        <v>0</v>
      </c>
      <c r="R2486" s="139">
        <v>16782</v>
      </c>
      <c r="T2486" s="6">
        <v>164916.49</v>
      </c>
      <c r="U2486" s="4">
        <v>0</v>
      </c>
      <c r="V2486" s="4">
        <v>116689.57</v>
      </c>
      <c r="W2486" s="13">
        <f t="shared" si="367"/>
        <v>48226.919999999984</v>
      </c>
      <c r="X2486" s="13">
        <f t="shared" si="371"/>
        <v>116689.57</v>
      </c>
      <c r="Y2486" s="13">
        <f t="shared" si="362"/>
        <v>0</v>
      </c>
      <c r="Z2486" s="2">
        <v>0</v>
      </c>
      <c r="AA2486" s="4">
        <v>0</v>
      </c>
      <c r="AB2486" s="4">
        <f t="shared" si="363"/>
        <v>116689.57</v>
      </c>
      <c r="AC2486" s="6">
        <f t="shared" si="364"/>
        <v>0</v>
      </c>
      <c r="AD2486" s="13">
        <f t="shared" si="368"/>
        <v>116689.57</v>
      </c>
      <c r="AE2486" s="2">
        <v>0.09</v>
      </c>
      <c r="AF2486" s="5">
        <f t="shared" si="365"/>
        <v>10502.061299999999</v>
      </c>
      <c r="AG2486" s="2">
        <v>0</v>
      </c>
      <c r="AH2486" s="5">
        <f t="shared" si="369"/>
        <v>116689.57</v>
      </c>
      <c r="AJ2486" s="126" t="e">
        <v>#N/A</v>
      </c>
      <c r="AK2486" s="80">
        <f t="shared" si="366"/>
        <v>0</v>
      </c>
      <c r="AM2486" s="85"/>
    </row>
    <row r="2487" spans="1:39" hidden="1" x14ac:dyDescent="0.3">
      <c r="A2487" s="85" t="s">
        <v>34</v>
      </c>
      <c r="B2487" s="15" t="s">
        <v>35</v>
      </c>
      <c r="C2487" s="15" t="s">
        <v>47</v>
      </c>
      <c r="D2487" s="15" t="s">
        <v>48</v>
      </c>
      <c r="E2487" s="15" t="s">
        <v>550</v>
      </c>
      <c r="F2487" s="15" t="s">
        <v>551</v>
      </c>
      <c r="G2487" s="15" t="s">
        <v>550</v>
      </c>
      <c r="H2487" s="139"/>
      <c r="I2487" s="3" t="s">
        <v>2935</v>
      </c>
      <c r="J2487" s="1" t="s">
        <v>3302</v>
      </c>
      <c r="K2487" s="1" t="s">
        <v>3281</v>
      </c>
      <c r="L2487" s="1" t="s">
        <v>35</v>
      </c>
      <c r="M2487" s="15" t="s">
        <v>550</v>
      </c>
      <c r="N2487" s="15"/>
      <c r="O2487" s="8" t="s">
        <v>410</v>
      </c>
      <c r="P2487" s="8" t="s">
        <v>46</v>
      </c>
      <c r="Q2487" s="9">
        <v>0.03</v>
      </c>
      <c r="R2487" s="139">
        <v>100212</v>
      </c>
      <c r="T2487" s="6">
        <v>29308.300000000047</v>
      </c>
      <c r="U2487" s="4">
        <v>0</v>
      </c>
      <c r="V2487" s="6">
        <v>0</v>
      </c>
      <c r="W2487" s="13">
        <f t="shared" si="367"/>
        <v>29308.300000000047</v>
      </c>
      <c r="X2487" s="13">
        <f t="shared" si="371"/>
        <v>0</v>
      </c>
      <c r="Y2487" s="13">
        <f t="shared" si="362"/>
        <v>0</v>
      </c>
      <c r="Z2487" s="2">
        <v>0</v>
      </c>
      <c r="AA2487" s="4">
        <v>0</v>
      </c>
      <c r="AB2487" s="4">
        <f t="shared" si="363"/>
        <v>0</v>
      </c>
      <c r="AC2487" s="6">
        <f t="shared" si="364"/>
        <v>0</v>
      </c>
      <c r="AD2487" s="13">
        <f t="shared" si="368"/>
        <v>0</v>
      </c>
      <c r="AE2487" s="2">
        <v>0.09</v>
      </c>
      <c r="AF2487" s="5">
        <f t="shared" si="365"/>
        <v>0</v>
      </c>
      <c r="AG2487" s="2">
        <v>0</v>
      </c>
      <c r="AH2487" s="5">
        <f t="shared" si="369"/>
        <v>0</v>
      </c>
      <c r="AJ2487" s="126" t="e">
        <v>#N/A</v>
      </c>
      <c r="AK2487" s="80">
        <f t="shared" si="366"/>
        <v>0</v>
      </c>
      <c r="AM2487" s="85"/>
    </row>
    <row r="2488" spans="1:39" hidden="1" x14ac:dyDescent="0.3">
      <c r="A2488" s="85" t="s">
        <v>34</v>
      </c>
      <c r="B2488" s="15" t="s">
        <v>35</v>
      </c>
      <c r="C2488" s="15" t="s">
        <v>144</v>
      </c>
      <c r="D2488" s="15" t="s">
        <v>145</v>
      </c>
      <c r="E2488" s="15" t="s">
        <v>3048</v>
      </c>
      <c r="F2488" s="15" t="s">
        <v>3048</v>
      </c>
      <c r="G2488" s="15" t="s">
        <v>3048</v>
      </c>
      <c r="H2488" s="154"/>
      <c r="I2488" s="3" t="s">
        <v>2935</v>
      </c>
      <c r="J2488" s="1" t="s">
        <v>3302</v>
      </c>
      <c r="K2488" s="1" t="s">
        <v>3281</v>
      </c>
      <c r="L2488" s="1" t="s">
        <v>35</v>
      </c>
      <c r="M2488" s="15" t="s">
        <v>3048</v>
      </c>
      <c r="N2488" s="15"/>
      <c r="O2488" s="8" t="s">
        <v>410</v>
      </c>
      <c r="P2488" s="8" t="s">
        <v>46</v>
      </c>
      <c r="Q2488" s="9">
        <v>0.02</v>
      </c>
      <c r="R2488" s="139">
        <v>54872</v>
      </c>
      <c r="T2488" s="6">
        <v>94769.85</v>
      </c>
      <c r="U2488" s="4">
        <v>0</v>
      </c>
      <c r="V2488" s="4">
        <v>56609.75</v>
      </c>
      <c r="W2488" s="13">
        <f t="shared" si="367"/>
        <v>38160.100000000006</v>
      </c>
      <c r="X2488" s="13">
        <f t="shared" si="371"/>
        <v>55499.754901960783</v>
      </c>
      <c r="Y2488" s="13">
        <f t="shared" si="362"/>
        <v>0</v>
      </c>
      <c r="Z2488" s="2">
        <v>0</v>
      </c>
      <c r="AA2488" s="4">
        <v>0</v>
      </c>
      <c r="AB2488" s="4">
        <f t="shared" si="363"/>
        <v>55499.754901960783</v>
      </c>
      <c r="AC2488" s="6">
        <f t="shared" si="364"/>
        <v>1109.9950980392168</v>
      </c>
      <c r="AD2488" s="13">
        <f t="shared" si="368"/>
        <v>56609.75</v>
      </c>
      <c r="AE2488" s="2">
        <v>0.09</v>
      </c>
      <c r="AF2488" s="5">
        <f t="shared" si="365"/>
        <v>5094.8774999999996</v>
      </c>
      <c r="AG2488" s="2">
        <v>0</v>
      </c>
      <c r="AH2488" s="5">
        <f t="shared" si="369"/>
        <v>56609.75</v>
      </c>
      <c r="AJ2488" s="126" t="e">
        <v>#N/A</v>
      </c>
      <c r="AK2488" s="80">
        <f t="shared" si="366"/>
        <v>0</v>
      </c>
      <c r="AM2488" s="85"/>
    </row>
    <row r="2489" spans="1:39" hidden="1" x14ac:dyDescent="0.3">
      <c r="A2489" s="85" t="s">
        <v>34</v>
      </c>
      <c r="B2489" s="15" t="s">
        <v>35</v>
      </c>
      <c r="C2489" s="15" t="s">
        <v>144</v>
      </c>
      <c r="D2489" s="15" t="s">
        <v>145</v>
      </c>
      <c r="E2489" s="15" t="s">
        <v>3048</v>
      </c>
      <c r="F2489" s="15" t="s">
        <v>3048</v>
      </c>
      <c r="G2489" s="15" t="s">
        <v>3048</v>
      </c>
      <c r="H2489" s="154"/>
      <c r="I2489" s="3" t="s">
        <v>2935</v>
      </c>
      <c r="J2489" s="1" t="s">
        <v>3302</v>
      </c>
      <c r="K2489" s="1" t="s">
        <v>3281</v>
      </c>
      <c r="L2489" s="1" t="s">
        <v>35</v>
      </c>
      <c r="M2489" s="15" t="s">
        <v>3049</v>
      </c>
      <c r="N2489" s="15"/>
      <c r="O2489" s="8" t="s">
        <v>410</v>
      </c>
      <c r="P2489" s="8" t="s">
        <v>46</v>
      </c>
      <c r="Q2489" s="9">
        <v>0.02</v>
      </c>
      <c r="R2489" s="139">
        <v>228052</v>
      </c>
      <c r="T2489" s="6">
        <v>52403.73</v>
      </c>
      <c r="U2489" s="4">
        <v>0</v>
      </c>
      <c r="V2489" s="4">
        <v>42031.43</v>
      </c>
      <c r="W2489" s="13">
        <f t="shared" si="367"/>
        <v>10372.300000000003</v>
      </c>
      <c r="X2489" s="13">
        <f t="shared" si="371"/>
        <v>41207.284313725489</v>
      </c>
      <c r="Y2489" s="13">
        <f t="shared" si="362"/>
        <v>0</v>
      </c>
      <c r="Z2489" s="2">
        <v>0</v>
      </c>
      <c r="AA2489" s="4">
        <v>0</v>
      </c>
      <c r="AB2489" s="4">
        <f t="shared" si="363"/>
        <v>41207.284313725489</v>
      </c>
      <c r="AC2489" s="6">
        <f t="shared" si="364"/>
        <v>824.14568627451081</v>
      </c>
      <c r="AD2489" s="13">
        <f t="shared" si="368"/>
        <v>42031.43</v>
      </c>
      <c r="AE2489" s="2">
        <v>0.09</v>
      </c>
      <c r="AF2489" s="5">
        <f t="shared" si="365"/>
        <v>3782.8287</v>
      </c>
      <c r="AG2489" s="2">
        <v>0</v>
      </c>
      <c r="AH2489" s="5">
        <f t="shared" si="369"/>
        <v>42031.43</v>
      </c>
      <c r="AJ2489" s="126" t="e">
        <v>#N/A</v>
      </c>
      <c r="AK2489" s="80">
        <f t="shared" si="366"/>
        <v>0</v>
      </c>
      <c r="AM2489" s="85"/>
    </row>
    <row r="2490" spans="1:39" hidden="1" x14ac:dyDescent="0.3">
      <c r="A2490" s="85" t="s">
        <v>34</v>
      </c>
      <c r="B2490" s="15" t="s">
        <v>35</v>
      </c>
      <c r="C2490" s="15" t="s">
        <v>144</v>
      </c>
      <c r="D2490" s="15" t="s">
        <v>152</v>
      </c>
      <c r="E2490" s="15" t="s">
        <v>2997</v>
      </c>
      <c r="F2490" s="15" t="s">
        <v>2997</v>
      </c>
      <c r="G2490" s="15" t="s">
        <v>2997</v>
      </c>
      <c r="H2490" s="154"/>
      <c r="I2490" s="3" t="s">
        <v>2935</v>
      </c>
      <c r="J2490" s="1" t="s">
        <v>3302</v>
      </c>
      <c r="K2490" s="1" t="s">
        <v>3281</v>
      </c>
      <c r="L2490" s="1" t="s">
        <v>35</v>
      </c>
      <c r="M2490" s="15" t="s">
        <v>2997</v>
      </c>
      <c r="N2490" s="15"/>
      <c r="O2490" s="8" t="s">
        <v>410</v>
      </c>
      <c r="P2490" s="8" t="s">
        <v>46</v>
      </c>
      <c r="Q2490" s="9">
        <v>0.02</v>
      </c>
      <c r="R2490" s="139">
        <v>129832</v>
      </c>
      <c r="T2490" s="6">
        <v>26001.360000000015</v>
      </c>
      <c r="U2490" s="4">
        <v>0</v>
      </c>
      <c r="V2490" s="6">
        <v>26001.360000000015</v>
      </c>
      <c r="W2490" s="13">
        <f t="shared" si="367"/>
        <v>0</v>
      </c>
      <c r="X2490" s="13">
        <f t="shared" si="371"/>
        <v>25491.529411764721</v>
      </c>
      <c r="Y2490" s="13">
        <f t="shared" si="362"/>
        <v>0</v>
      </c>
      <c r="Z2490" s="2">
        <v>0</v>
      </c>
      <c r="AA2490" s="4">
        <v>0</v>
      </c>
      <c r="AB2490" s="4">
        <f t="shared" si="363"/>
        <v>25491.529411764721</v>
      </c>
      <c r="AC2490" s="6">
        <f t="shared" si="364"/>
        <v>509.83058823529427</v>
      </c>
      <c r="AD2490" s="13">
        <f t="shared" si="368"/>
        <v>26001.360000000015</v>
      </c>
      <c r="AE2490" s="2">
        <v>0.09</v>
      </c>
      <c r="AF2490" s="5">
        <f t="shared" si="365"/>
        <v>2340.1224000000011</v>
      </c>
      <c r="AG2490" s="2">
        <v>0</v>
      </c>
      <c r="AH2490" s="5">
        <f t="shared" si="369"/>
        <v>26001.360000000015</v>
      </c>
      <c r="AJ2490" s="126" t="e">
        <v>#N/A</v>
      </c>
      <c r="AK2490" s="80">
        <f t="shared" si="366"/>
        <v>0</v>
      </c>
      <c r="AM2490" s="85"/>
    </row>
    <row r="2491" spans="1:39" hidden="1" x14ac:dyDescent="0.3">
      <c r="A2491" s="85" t="s">
        <v>34</v>
      </c>
      <c r="B2491" s="15" t="s">
        <v>35</v>
      </c>
      <c r="C2491" s="15" t="s">
        <v>144</v>
      </c>
      <c r="D2491" s="15" t="s">
        <v>152</v>
      </c>
      <c r="E2491" s="15" t="s">
        <v>3050</v>
      </c>
      <c r="F2491" s="15" t="s">
        <v>3050</v>
      </c>
      <c r="G2491" s="15" t="s">
        <v>3050</v>
      </c>
      <c r="H2491" s="154"/>
      <c r="I2491" s="3" t="s">
        <v>2935</v>
      </c>
      <c r="J2491" s="1" t="s">
        <v>3302</v>
      </c>
      <c r="K2491" s="1" t="s">
        <v>3281</v>
      </c>
      <c r="L2491" s="1" t="s">
        <v>35</v>
      </c>
      <c r="M2491" s="15" t="s">
        <v>3051</v>
      </c>
      <c r="N2491" s="15"/>
      <c r="O2491" s="8" t="s">
        <v>410</v>
      </c>
      <c r="P2491" s="8" t="s">
        <v>46</v>
      </c>
      <c r="Q2491" s="9">
        <v>0.02</v>
      </c>
      <c r="R2491" s="139">
        <v>42992</v>
      </c>
      <c r="T2491" s="6">
        <v>24765.9</v>
      </c>
      <c r="U2491" s="4">
        <v>0</v>
      </c>
      <c r="V2491" s="4">
        <v>9243.9500000000007</v>
      </c>
      <c r="W2491" s="13">
        <f t="shared" si="367"/>
        <v>15521.95</v>
      </c>
      <c r="X2491" s="13">
        <f t="shared" si="371"/>
        <v>9062.6960784313724</v>
      </c>
      <c r="Y2491" s="13">
        <f t="shared" si="362"/>
        <v>0</v>
      </c>
      <c r="Z2491" s="2">
        <v>0</v>
      </c>
      <c r="AA2491" s="4">
        <v>0</v>
      </c>
      <c r="AB2491" s="4">
        <f t="shared" si="363"/>
        <v>9062.6960784313724</v>
      </c>
      <c r="AC2491" s="6">
        <f t="shared" si="364"/>
        <v>181.25392156862836</v>
      </c>
      <c r="AD2491" s="13">
        <f t="shared" si="368"/>
        <v>9243.9500000000007</v>
      </c>
      <c r="AE2491" s="2">
        <v>0.09</v>
      </c>
      <c r="AF2491" s="5">
        <f t="shared" si="365"/>
        <v>831.95550000000003</v>
      </c>
      <c r="AG2491" s="2">
        <v>0</v>
      </c>
      <c r="AH2491" s="5">
        <f t="shared" si="369"/>
        <v>9243.9500000000007</v>
      </c>
      <c r="AJ2491" s="126" t="e">
        <v>#N/A</v>
      </c>
      <c r="AK2491" s="80">
        <f t="shared" si="366"/>
        <v>0</v>
      </c>
      <c r="AM2491" s="85"/>
    </row>
    <row r="2492" spans="1:39" hidden="1" x14ac:dyDescent="0.3">
      <c r="A2492" s="85" t="s">
        <v>34</v>
      </c>
      <c r="B2492" s="15" t="s">
        <v>35</v>
      </c>
      <c r="C2492" s="15" t="s">
        <v>164</v>
      </c>
      <c r="D2492" s="15" t="s">
        <v>165</v>
      </c>
      <c r="E2492" s="15" t="s">
        <v>3005</v>
      </c>
      <c r="F2492" s="15" t="s">
        <v>3005</v>
      </c>
      <c r="G2492" s="15" t="s">
        <v>3006</v>
      </c>
      <c r="H2492" s="154"/>
      <c r="I2492" s="3" t="s">
        <v>2935</v>
      </c>
      <c r="J2492" s="1" t="s">
        <v>3302</v>
      </c>
      <c r="K2492" s="1" t="s">
        <v>3281</v>
      </c>
      <c r="L2492" s="1" t="s">
        <v>35</v>
      </c>
      <c r="M2492" s="15" t="s">
        <v>3007</v>
      </c>
      <c r="N2492" s="15"/>
      <c r="O2492" s="8" t="s">
        <v>410</v>
      </c>
      <c r="P2492" s="8" t="s">
        <v>46</v>
      </c>
      <c r="Q2492" s="9">
        <v>0.02</v>
      </c>
      <c r="R2492" s="139">
        <v>15032</v>
      </c>
      <c r="T2492" s="6">
        <v>87536.31</v>
      </c>
      <c r="U2492" s="4">
        <v>0</v>
      </c>
      <c r="V2492" s="6">
        <v>87536.31</v>
      </c>
      <c r="W2492" s="13">
        <f t="shared" si="367"/>
        <v>0</v>
      </c>
      <c r="X2492" s="13">
        <f t="shared" si="371"/>
        <v>85819.911764705874</v>
      </c>
      <c r="Y2492" s="13">
        <f t="shared" si="362"/>
        <v>0</v>
      </c>
      <c r="Z2492" s="2">
        <v>0</v>
      </c>
      <c r="AA2492" s="4">
        <v>0</v>
      </c>
      <c r="AB2492" s="4">
        <f t="shared" si="363"/>
        <v>85819.911764705874</v>
      </c>
      <c r="AC2492" s="6">
        <f t="shared" si="364"/>
        <v>1716.3982352941239</v>
      </c>
      <c r="AD2492" s="13">
        <f t="shared" si="368"/>
        <v>87536.31</v>
      </c>
      <c r="AE2492" s="2">
        <v>0.09</v>
      </c>
      <c r="AF2492" s="5">
        <f t="shared" si="365"/>
        <v>7878.2678999999998</v>
      </c>
      <c r="AG2492" s="2">
        <v>0</v>
      </c>
      <c r="AH2492" s="5">
        <f t="shared" si="369"/>
        <v>87536.31</v>
      </c>
      <c r="AJ2492" s="126" t="e">
        <v>#N/A</v>
      </c>
      <c r="AK2492" s="80">
        <f t="shared" si="366"/>
        <v>0</v>
      </c>
      <c r="AM2492" s="85"/>
    </row>
    <row r="2493" spans="1:39" hidden="1" x14ac:dyDescent="0.3">
      <c r="A2493" s="85" t="s">
        <v>34</v>
      </c>
      <c r="B2493" s="15" t="s">
        <v>35</v>
      </c>
      <c r="C2493" s="15" t="s">
        <v>164</v>
      </c>
      <c r="D2493" s="15" t="s">
        <v>169</v>
      </c>
      <c r="E2493" s="15" t="s">
        <v>628</v>
      </c>
      <c r="F2493" s="15" t="s">
        <v>628</v>
      </c>
      <c r="G2493" s="15" t="s">
        <v>628</v>
      </c>
      <c r="H2493" s="139"/>
      <c r="I2493" s="3" t="s">
        <v>2935</v>
      </c>
      <c r="J2493" s="1" t="s">
        <v>3302</v>
      </c>
      <c r="K2493" s="1" t="s">
        <v>3281</v>
      </c>
      <c r="L2493" s="1" t="s">
        <v>35</v>
      </c>
      <c r="M2493" s="15" t="s">
        <v>628</v>
      </c>
      <c r="N2493" s="15"/>
      <c r="O2493" s="8" t="s">
        <v>45</v>
      </c>
      <c r="P2493" s="8" t="s">
        <v>46</v>
      </c>
      <c r="Q2493" s="9">
        <v>0.12</v>
      </c>
      <c r="R2493" s="139">
        <v>46582</v>
      </c>
      <c r="T2493" s="6">
        <v>-213781.90000000002</v>
      </c>
      <c r="U2493" s="4">
        <v>0</v>
      </c>
      <c r="V2493" s="4">
        <v>0</v>
      </c>
      <c r="W2493" s="13">
        <v>0</v>
      </c>
      <c r="X2493" s="13">
        <f t="shared" si="371"/>
        <v>0</v>
      </c>
      <c r="Y2493" s="13">
        <f t="shared" si="362"/>
        <v>0</v>
      </c>
      <c r="Z2493" s="2">
        <v>0</v>
      </c>
      <c r="AA2493" s="4">
        <v>0</v>
      </c>
      <c r="AB2493" s="4">
        <f t="shared" si="363"/>
        <v>0</v>
      </c>
      <c r="AC2493" s="6">
        <f t="shared" si="364"/>
        <v>0</v>
      </c>
      <c r="AD2493" s="13">
        <f t="shared" si="368"/>
        <v>0</v>
      </c>
      <c r="AE2493" s="2">
        <v>0.18</v>
      </c>
      <c r="AF2493" s="5">
        <f t="shared" si="365"/>
        <v>0</v>
      </c>
      <c r="AG2493" s="2">
        <v>0</v>
      </c>
      <c r="AH2493" s="5">
        <f t="shared" si="369"/>
        <v>0</v>
      </c>
      <c r="AJ2493" s="126" t="e">
        <v>#N/A</v>
      </c>
      <c r="AK2493" s="80">
        <f t="shared" si="366"/>
        <v>0</v>
      </c>
      <c r="AM2493" s="85"/>
    </row>
    <row r="2494" spans="1:39" hidden="1" x14ac:dyDescent="0.3">
      <c r="A2494" s="85" t="s">
        <v>34</v>
      </c>
      <c r="B2494" s="15" t="s">
        <v>35</v>
      </c>
      <c r="C2494" s="15" t="s">
        <v>164</v>
      </c>
      <c r="D2494" s="15" t="s">
        <v>169</v>
      </c>
      <c r="E2494" s="15" t="s">
        <v>2957</v>
      </c>
      <c r="F2494" s="15" t="s">
        <v>3012</v>
      </c>
      <c r="G2494" s="15" t="s">
        <v>2957</v>
      </c>
      <c r="H2494" s="154"/>
      <c r="I2494" s="3" t="s">
        <v>2935</v>
      </c>
      <c r="J2494" s="1" t="s">
        <v>3302</v>
      </c>
      <c r="K2494" s="1" t="s">
        <v>3281</v>
      </c>
      <c r="L2494" s="1" t="s">
        <v>35</v>
      </c>
      <c r="M2494" s="15" t="s">
        <v>3013</v>
      </c>
      <c r="N2494" s="15"/>
      <c r="O2494" s="8" t="s">
        <v>410</v>
      </c>
      <c r="P2494" s="1" t="s">
        <v>46</v>
      </c>
      <c r="Q2494" s="2">
        <v>0.02</v>
      </c>
      <c r="R2494" s="139">
        <v>71652</v>
      </c>
      <c r="T2494" s="6">
        <v>578230.06999999995</v>
      </c>
      <c r="U2494" s="4">
        <v>0</v>
      </c>
      <c r="V2494" s="4">
        <v>174966.36999999994</v>
      </c>
      <c r="W2494" s="13">
        <v>0</v>
      </c>
      <c r="X2494" s="13">
        <f t="shared" si="371"/>
        <v>171535.65686274503</v>
      </c>
      <c r="Y2494" s="13">
        <f t="shared" si="362"/>
        <v>0</v>
      </c>
      <c r="Z2494" s="2">
        <v>0</v>
      </c>
      <c r="AA2494" s="4">
        <v>0</v>
      </c>
      <c r="AB2494" s="4">
        <f t="shared" si="363"/>
        <v>171535.65686274503</v>
      </c>
      <c r="AC2494" s="6">
        <f t="shared" si="364"/>
        <v>3430.7131372549047</v>
      </c>
      <c r="AD2494" s="13">
        <f t="shared" si="368"/>
        <v>174966.36999999994</v>
      </c>
      <c r="AE2494" s="2">
        <v>0.09</v>
      </c>
      <c r="AF2494" s="5">
        <f t="shared" si="365"/>
        <v>15746.973299999994</v>
      </c>
      <c r="AG2494" s="2">
        <v>0</v>
      </c>
      <c r="AH2494" s="5">
        <f t="shared" si="369"/>
        <v>174966.36999999994</v>
      </c>
      <c r="AJ2494" s="126" t="e">
        <v>#N/A</v>
      </c>
      <c r="AK2494" s="80">
        <f t="shared" si="366"/>
        <v>0</v>
      </c>
      <c r="AM2494" s="85"/>
    </row>
    <row r="2495" spans="1:39" hidden="1" x14ac:dyDescent="0.3">
      <c r="A2495" s="85" t="s">
        <v>34</v>
      </c>
      <c r="B2495" s="15" t="s">
        <v>35</v>
      </c>
      <c r="C2495" s="15" t="s">
        <v>164</v>
      </c>
      <c r="D2495" s="15" t="s">
        <v>174</v>
      </c>
      <c r="E2495" s="15" t="s">
        <v>1966</v>
      </c>
      <c r="F2495" s="15" t="s">
        <v>1966</v>
      </c>
      <c r="G2495" s="15" t="s">
        <v>1966</v>
      </c>
      <c r="H2495" s="139"/>
      <c r="I2495" s="3" t="s">
        <v>2935</v>
      </c>
      <c r="J2495" s="1" t="s">
        <v>3302</v>
      </c>
      <c r="K2495" s="1" t="s">
        <v>3281</v>
      </c>
      <c r="L2495" s="1" t="s">
        <v>35</v>
      </c>
      <c r="M2495" s="15" t="s">
        <v>3017</v>
      </c>
      <c r="N2495" s="15"/>
      <c r="O2495" s="8" t="s">
        <v>45</v>
      </c>
      <c r="P2495" s="8" t="s">
        <v>41</v>
      </c>
      <c r="Q2495" s="9">
        <v>0</v>
      </c>
      <c r="R2495" s="139">
        <v>215472</v>
      </c>
      <c r="T2495" s="6">
        <v>371992.43</v>
      </c>
      <c r="U2495" s="4">
        <v>0</v>
      </c>
      <c r="V2495" s="4">
        <v>0</v>
      </c>
      <c r="W2495" s="13">
        <f t="shared" si="367"/>
        <v>371992.43</v>
      </c>
      <c r="X2495" s="13">
        <f t="shared" si="371"/>
        <v>0</v>
      </c>
      <c r="Y2495" s="13">
        <f t="shared" si="362"/>
        <v>0</v>
      </c>
      <c r="Z2495" s="2">
        <v>0</v>
      </c>
      <c r="AA2495" s="4">
        <v>0</v>
      </c>
      <c r="AB2495" s="4">
        <f t="shared" si="363"/>
        <v>0</v>
      </c>
      <c r="AC2495" s="6">
        <f t="shared" si="364"/>
        <v>0</v>
      </c>
      <c r="AD2495" s="13">
        <f t="shared" si="368"/>
        <v>0</v>
      </c>
      <c r="AE2495" s="2">
        <v>0.18</v>
      </c>
      <c r="AF2495" s="5">
        <f t="shared" si="365"/>
        <v>0</v>
      </c>
      <c r="AG2495" s="2">
        <v>0</v>
      </c>
      <c r="AH2495" s="5">
        <f t="shared" si="369"/>
        <v>0</v>
      </c>
      <c r="AJ2495" s="126" t="e">
        <v>#N/A</v>
      </c>
      <c r="AK2495" s="80">
        <f t="shared" si="366"/>
        <v>0</v>
      </c>
      <c r="AM2495" s="85"/>
    </row>
    <row r="2496" spans="1:39" hidden="1" x14ac:dyDescent="0.3">
      <c r="A2496" s="85" t="s">
        <v>34</v>
      </c>
      <c r="B2496" s="15" t="s">
        <v>35</v>
      </c>
      <c r="C2496" s="15" t="s">
        <v>164</v>
      </c>
      <c r="D2496" s="15" t="s">
        <v>174</v>
      </c>
      <c r="E2496" s="15" t="s">
        <v>1966</v>
      </c>
      <c r="F2496" s="15" t="s">
        <v>1966</v>
      </c>
      <c r="G2496" s="15" t="s">
        <v>1966</v>
      </c>
      <c r="H2496" s="154"/>
      <c r="I2496" s="3" t="s">
        <v>2935</v>
      </c>
      <c r="J2496" s="1" t="s">
        <v>3302</v>
      </c>
      <c r="K2496" s="1" t="s">
        <v>3281</v>
      </c>
      <c r="L2496" s="1" t="s">
        <v>35</v>
      </c>
      <c r="M2496" s="15" t="s">
        <v>3052</v>
      </c>
      <c r="N2496" s="15"/>
      <c r="O2496" s="8" t="s">
        <v>410</v>
      </c>
      <c r="P2496" s="8" t="s">
        <v>41</v>
      </c>
      <c r="Q2496" s="9">
        <v>0</v>
      </c>
      <c r="R2496" s="139">
        <v>215482</v>
      </c>
      <c r="T2496" s="6">
        <v>49445.950000000012</v>
      </c>
      <c r="U2496" s="4">
        <v>0</v>
      </c>
      <c r="V2496" s="4">
        <v>23684</v>
      </c>
      <c r="W2496" s="13">
        <f t="shared" si="367"/>
        <v>25761.950000000012</v>
      </c>
      <c r="X2496" s="13">
        <f t="shared" si="371"/>
        <v>23684</v>
      </c>
      <c r="Y2496" s="13">
        <f t="shared" si="362"/>
        <v>0</v>
      </c>
      <c r="Z2496" s="2">
        <v>0</v>
      </c>
      <c r="AA2496" s="4">
        <v>0</v>
      </c>
      <c r="AB2496" s="4">
        <f t="shared" si="363"/>
        <v>23684</v>
      </c>
      <c r="AC2496" s="6">
        <f t="shared" si="364"/>
        <v>0</v>
      </c>
      <c r="AD2496" s="13">
        <f t="shared" si="368"/>
        <v>23684</v>
      </c>
      <c r="AE2496" s="2">
        <v>0.09</v>
      </c>
      <c r="AF2496" s="5">
        <f t="shared" si="365"/>
        <v>2131.56</v>
      </c>
      <c r="AG2496" s="2">
        <v>0</v>
      </c>
      <c r="AH2496" s="5">
        <f t="shared" si="369"/>
        <v>23684</v>
      </c>
      <c r="AJ2496" s="126" t="e">
        <v>#N/A</v>
      </c>
      <c r="AK2496" s="80">
        <f t="shared" si="366"/>
        <v>0</v>
      </c>
      <c r="AM2496" s="85"/>
    </row>
    <row r="2497" spans="1:39" hidden="1" x14ac:dyDescent="0.3">
      <c r="A2497" s="85" t="s">
        <v>34</v>
      </c>
      <c r="B2497" s="15" t="s">
        <v>35</v>
      </c>
      <c r="C2497" s="15" t="s">
        <v>164</v>
      </c>
      <c r="D2497" s="15" t="s">
        <v>174</v>
      </c>
      <c r="E2497" s="15" t="s">
        <v>651</v>
      </c>
      <c r="F2497" s="15" t="s">
        <v>651</v>
      </c>
      <c r="G2497" s="15" t="s">
        <v>651</v>
      </c>
      <c r="H2497" s="154"/>
      <c r="I2497" s="3" t="s">
        <v>2935</v>
      </c>
      <c r="J2497" s="1" t="s">
        <v>3302</v>
      </c>
      <c r="K2497" s="1" t="s">
        <v>3281</v>
      </c>
      <c r="L2497" s="1" t="s">
        <v>35</v>
      </c>
      <c r="M2497" s="15" t="s">
        <v>651</v>
      </c>
      <c r="N2497" s="15"/>
      <c r="O2497" s="8" t="s">
        <v>45</v>
      </c>
      <c r="P2497" s="8" t="s">
        <v>46</v>
      </c>
      <c r="Q2497" s="9">
        <v>7.0000000000000007E-2</v>
      </c>
      <c r="R2497" s="139">
        <v>104552</v>
      </c>
      <c r="T2497" s="6">
        <v>8999.390000000014</v>
      </c>
      <c r="U2497" s="4">
        <v>0</v>
      </c>
      <c r="V2497" s="6">
        <v>8999.390000000014</v>
      </c>
      <c r="W2497" s="13">
        <f t="shared" si="367"/>
        <v>0</v>
      </c>
      <c r="X2497" s="13">
        <f t="shared" si="371"/>
        <v>8410.6448598130974</v>
      </c>
      <c r="Y2497" s="13">
        <f t="shared" si="362"/>
        <v>0</v>
      </c>
      <c r="Z2497" s="2">
        <v>0</v>
      </c>
      <c r="AA2497" s="4">
        <v>0</v>
      </c>
      <c r="AB2497" s="4">
        <f t="shared" si="363"/>
        <v>8410.6448598130974</v>
      </c>
      <c r="AC2497" s="6">
        <f t="shared" si="364"/>
        <v>588.74514018691661</v>
      </c>
      <c r="AD2497" s="13">
        <f t="shared" si="368"/>
        <v>8999.390000000014</v>
      </c>
      <c r="AE2497" s="2">
        <v>0.18</v>
      </c>
      <c r="AF2497" s="5">
        <f t="shared" si="365"/>
        <v>1619.8902000000026</v>
      </c>
      <c r="AG2497" s="2">
        <v>0</v>
      </c>
      <c r="AH2497" s="5">
        <f t="shared" si="369"/>
        <v>8999.390000000014</v>
      </c>
      <c r="AJ2497" s="126" t="e">
        <v>#N/A</v>
      </c>
      <c r="AK2497" s="80">
        <f t="shared" si="366"/>
        <v>0</v>
      </c>
      <c r="AM2497" s="85"/>
    </row>
    <row r="2498" spans="1:39" hidden="1" x14ac:dyDescent="0.3">
      <c r="A2498" s="85" t="s">
        <v>34</v>
      </c>
      <c r="B2498" s="15" t="s">
        <v>35</v>
      </c>
      <c r="C2498" s="15" t="s">
        <v>164</v>
      </c>
      <c r="D2498" s="15" t="s">
        <v>174</v>
      </c>
      <c r="E2498" s="15" t="s">
        <v>3053</v>
      </c>
      <c r="F2498" s="15" t="s">
        <v>3053</v>
      </c>
      <c r="G2498" s="15" t="s">
        <v>3053</v>
      </c>
      <c r="H2498" s="139"/>
      <c r="I2498" s="3" t="s">
        <v>2935</v>
      </c>
      <c r="J2498" s="1" t="s">
        <v>3302</v>
      </c>
      <c r="K2498" s="1" t="s">
        <v>3281</v>
      </c>
      <c r="L2498" s="1" t="s">
        <v>35</v>
      </c>
      <c r="M2498" s="15" t="s">
        <v>3054</v>
      </c>
      <c r="N2498" s="15"/>
      <c r="O2498" s="8" t="s">
        <v>410</v>
      </c>
      <c r="P2498" s="8" t="s">
        <v>46</v>
      </c>
      <c r="Q2498" s="9">
        <v>0.02</v>
      </c>
      <c r="R2498" s="139">
        <v>152972</v>
      </c>
      <c r="T2498" s="6">
        <v>2982.0699999999997</v>
      </c>
      <c r="U2498" s="4">
        <v>0</v>
      </c>
      <c r="V2498" s="4">
        <v>0</v>
      </c>
      <c r="W2498" s="13">
        <f t="shared" si="367"/>
        <v>2982.0699999999997</v>
      </c>
      <c r="X2498" s="13">
        <f t="shared" si="371"/>
        <v>0</v>
      </c>
      <c r="Y2498" s="13">
        <f t="shared" si="362"/>
        <v>0</v>
      </c>
      <c r="Z2498" s="2">
        <v>0</v>
      </c>
      <c r="AA2498" s="4">
        <v>0</v>
      </c>
      <c r="AB2498" s="4">
        <f t="shared" si="363"/>
        <v>0</v>
      </c>
      <c r="AC2498" s="6">
        <f t="shared" si="364"/>
        <v>0</v>
      </c>
      <c r="AD2498" s="13">
        <f t="shared" si="368"/>
        <v>0</v>
      </c>
      <c r="AE2498" s="2">
        <v>0.09</v>
      </c>
      <c r="AF2498" s="5">
        <f t="shared" si="365"/>
        <v>0</v>
      </c>
      <c r="AG2498" s="2">
        <v>0</v>
      </c>
      <c r="AH2498" s="5">
        <f t="shared" si="369"/>
        <v>0</v>
      </c>
      <c r="AJ2498" s="126" t="e">
        <v>#N/A</v>
      </c>
      <c r="AK2498" s="80">
        <f t="shared" si="366"/>
        <v>0</v>
      </c>
      <c r="AM2498" s="85"/>
    </row>
    <row r="2499" spans="1:39" hidden="1" x14ac:dyDescent="0.3">
      <c r="A2499" s="85" t="s">
        <v>34</v>
      </c>
      <c r="B2499" s="15" t="s">
        <v>35</v>
      </c>
      <c r="C2499" s="15" t="s">
        <v>164</v>
      </c>
      <c r="D2499" s="15" t="s">
        <v>174</v>
      </c>
      <c r="E2499" s="15" t="s">
        <v>1703</v>
      </c>
      <c r="F2499" s="15" t="s">
        <v>1703</v>
      </c>
      <c r="G2499" s="15" t="s">
        <v>1703</v>
      </c>
      <c r="H2499" s="154"/>
      <c r="I2499" s="3" t="s">
        <v>2935</v>
      </c>
      <c r="J2499" s="1" t="s">
        <v>3302</v>
      </c>
      <c r="K2499" s="1" t="s">
        <v>3281</v>
      </c>
      <c r="L2499" s="1" t="s">
        <v>35</v>
      </c>
      <c r="M2499" s="15" t="s">
        <v>1707</v>
      </c>
      <c r="N2499" s="15"/>
      <c r="O2499" s="8" t="s">
        <v>410</v>
      </c>
      <c r="P2499" s="8" t="s">
        <v>46</v>
      </c>
      <c r="Q2499" s="9">
        <v>0.02</v>
      </c>
      <c r="R2499" s="139">
        <v>236282</v>
      </c>
      <c r="T2499" s="6">
        <v>16.400000000000546</v>
      </c>
      <c r="U2499" s="4">
        <v>0</v>
      </c>
      <c r="V2499" s="4">
        <v>16.399999999999999</v>
      </c>
      <c r="W2499" s="13">
        <f t="shared" si="367"/>
        <v>5.4711790653527714E-13</v>
      </c>
      <c r="X2499" s="13">
        <f t="shared" si="371"/>
        <v>16.078431372549019</v>
      </c>
      <c r="Y2499" s="13">
        <f t="shared" ref="Y2499:Y2562" si="372">IF(X2499-AD2499&lt;=0,0,IF(P2499="返现",MAX(X2499-AC2499-AD2499,0),MAX(X2499-AD2499)))</f>
        <v>0</v>
      </c>
      <c r="Z2499" s="2">
        <v>0</v>
      </c>
      <c r="AA2499" s="4">
        <v>0</v>
      </c>
      <c r="AB2499" s="4">
        <f t="shared" ref="AB2499:AB2562" si="373">X2499+AA2499</f>
        <v>16.078431372549019</v>
      </c>
      <c r="AC2499" s="6">
        <f t="shared" ref="AC2499:AC2562" si="374">IF(P2499="返现",X2499*Q2499,V2499-X2499)</f>
        <v>0.32156862745097925</v>
      </c>
      <c r="AD2499" s="13">
        <f t="shared" si="368"/>
        <v>16.399999999999999</v>
      </c>
      <c r="AE2499" s="2">
        <v>0.09</v>
      </c>
      <c r="AF2499" s="5">
        <f t="shared" ref="AF2499:AF2562" si="375">AD2499*AE2499</f>
        <v>1.4759999999999998</v>
      </c>
      <c r="AG2499" s="2">
        <v>0</v>
      </c>
      <c r="AH2499" s="5">
        <f t="shared" si="369"/>
        <v>16.399999999999999</v>
      </c>
      <c r="AJ2499" s="126" t="e">
        <v>#N/A</v>
      </c>
      <c r="AK2499" s="80">
        <f t="shared" ref="AK2499:AK2562" si="376">X2499+AA2499-AB2499</f>
        <v>0</v>
      </c>
      <c r="AM2499" s="85"/>
    </row>
    <row r="2500" spans="1:39" hidden="1" x14ac:dyDescent="0.3">
      <c r="A2500" s="85" t="s">
        <v>34</v>
      </c>
      <c r="B2500" s="15" t="s">
        <v>35</v>
      </c>
      <c r="C2500" s="15" t="s">
        <v>164</v>
      </c>
      <c r="D2500" s="15" t="s">
        <v>174</v>
      </c>
      <c r="E2500" s="15" t="s">
        <v>3055</v>
      </c>
      <c r="F2500" s="15" t="s">
        <v>3055</v>
      </c>
      <c r="G2500" s="15" t="s">
        <v>3055</v>
      </c>
      <c r="H2500" s="154"/>
      <c r="I2500" s="3" t="s">
        <v>2935</v>
      </c>
      <c r="J2500" s="1" t="s">
        <v>3302</v>
      </c>
      <c r="K2500" s="1" t="s">
        <v>3281</v>
      </c>
      <c r="L2500" s="1" t="s">
        <v>35</v>
      </c>
      <c r="M2500" s="15" t="s">
        <v>1629</v>
      </c>
      <c r="N2500" s="15"/>
      <c r="O2500" s="8" t="s">
        <v>45</v>
      </c>
      <c r="P2500" s="8" t="s">
        <v>46</v>
      </c>
      <c r="Q2500" s="9">
        <v>0.1</v>
      </c>
      <c r="R2500" s="139">
        <v>220642</v>
      </c>
      <c r="T2500" s="6">
        <v>136046.63999999998</v>
      </c>
      <c r="U2500" s="4">
        <v>0</v>
      </c>
      <c r="V2500" s="4">
        <v>-49341.96</v>
      </c>
      <c r="W2500" s="13">
        <v>0</v>
      </c>
      <c r="X2500" s="13">
        <f t="shared" si="371"/>
        <v>-44856.327272727271</v>
      </c>
      <c r="Y2500" s="13">
        <f t="shared" si="372"/>
        <v>4485.6327272727285</v>
      </c>
      <c r="Z2500" s="2">
        <v>0</v>
      </c>
      <c r="AA2500" s="4">
        <v>0</v>
      </c>
      <c r="AB2500" s="4">
        <f t="shared" si="373"/>
        <v>-44856.327272727271</v>
      </c>
      <c r="AC2500" s="6">
        <f t="shared" si="374"/>
        <v>-4485.6327272727285</v>
      </c>
      <c r="AD2500" s="13">
        <f t="shared" si="368"/>
        <v>-49341.96</v>
      </c>
      <c r="AE2500" s="2">
        <v>0.18</v>
      </c>
      <c r="AF2500" s="5">
        <f t="shared" si="375"/>
        <v>-8881.5527999999995</v>
      </c>
      <c r="AG2500" s="2">
        <v>0</v>
      </c>
      <c r="AH2500" s="5">
        <f t="shared" si="369"/>
        <v>-49341.96</v>
      </c>
      <c r="AJ2500" s="126" t="e">
        <v>#N/A</v>
      </c>
      <c r="AK2500" s="80">
        <f t="shared" si="376"/>
        <v>0</v>
      </c>
      <c r="AM2500" s="85"/>
    </row>
    <row r="2501" spans="1:39" hidden="1" x14ac:dyDescent="0.3">
      <c r="A2501" s="85" t="s">
        <v>34</v>
      </c>
      <c r="B2501" s="15" t="s">
        <v>35</v>
      </c>
      <c r="C2501" s="15" t="s">
        <v>164</v>
      </c>
      <c r="D2501" s="15" t="s">
        <v>174</v>
      </c>
      <c r="E2501" s="15" t="s">
        <v>688</v>
      </c>
      <c r="F2501" s="15" t="s">
        <v>688</v>
      </c>
      <c r="G2501" s="15" t="s">
        <v>688</v>
      </c>
      <c r="H2501" s="154"/>
      <c r="I2501" s="3" t="s">
        <v>2935</v>
      </c>
      <c r="J2501" s="1" t="s">
        <v>3302</v>
      </c>
      <c r="K2501" s="1" t="s">
        <v>3281</v>
      </c>
      <c r="L2501" s="1" t="s">
        <v>35</v>
      </c>
      <c r="M2501" s="15" t="s">
        <v>688</v>
      </c>
      <c r="N2501" s="15"/>
      <c r="O2501" s="8" t="s">
        <v>410</v>
      </c>
      <c r="P2501" s="8" t="s">
        <v>46</v>
      </c>
      <c r="Q2501" s="9">
        <v>0.02</v>
      </c>
      <c r="R2501" s="139">
        <v>166042</v>
      </c>
      <c r="T2501" s="6">
        <v>17402.949999999997</v>
      </c>
      <c r="U2501" s="4">
        <v>0</v>
      </c>
      <c r="V2501" s="6">
        <v>17402.949999999997</v>
      </c>
      <c r="W2501" s="13">
        <f t="shared" si="367"/>
        <v>0</v>
      </c>
      <c r="X2501" s="13">
        <f t="shared" si="371"/>
        <v>17061.715686274507</v>
      </c>
      <c r="Y2501" s="13">
        <f t="shared" si="372"/>
        <v>0</v>
      </c>
      <c r="Z2501" s="2">
        <v>0</v>
      </c>
      <c r="AA2501" s="4">
        <v>0</v>
      </c>
      <c r="AB2501" s="4">
        <f t="shared" si="373"/>
        <v>17061.715686274507</v>
      </c>
      <c r="AC2501" s="6">
        <f t="shared" si="374"/>
        <v>341.23431372549021</v>
      </c>
      <c r="AD2501" s="13">
        <f t="shared" si="368"/>
        <v>17402.949999999997</v>
      </c>
      <c r="AE2501" s="2">
        <v>0.09</v>
      </c>
      <c r="AF2501" s="5">
        <f t="shared" si="375"/>
        <v>1566.2654999999997</v>
      </c>
      <c r="AG2501" s="2">
        <v>0</v>
      </c>
      <c r="AH2501" s="5">
        <f t="shared" si="369"/>
        <v>17402.949999999997</v>
      </c>
      <c r="AJ2501" s="126" t="e">
        <v>#N/A</v>
      </c>
      <c r="AK2501" s="80">
        <f t="shared" si="376"/>
        <v>0</v>
      </c>
      <c r="AM2501" s="85"/>
    </row>
    <row r="2502" spans="1:39" hidden="1" x14ac:dyDescent="0.3">
      <c r="A2502" s="85" t="s">
        <v>34</v>
      </c>
      <c r="B2502" s="15" t="s">
        <v>35</v>
      </c>
      <c r="C2502" s="15" t="s">
        <v>164</v>
      </c>
      <c r="D2502" s="15" t="s">
        <v>174</v>
      </c>
      <c r="E2502" s="15" t="s">
        <v>3056</v>
      </c>
      <c r="F2502" s="15" t="s">
        <v>3056</v>
      </c>
      <c r="G2502" s="15" t="s">
        <v>3056</v>
      </c>
      <c r="H2502" s="154"/>
      <c r="I2502" s="3" t="s">
        <v>2935</v>
      </c>
      <c r="J2502" s="1" t="s">
        <v>3302</v>
      </c>
      <c r="K2502" s="1" t="s">
        <v>3281</v>
      </c>
      <c r="L2502" s="1" t="s">
        <v>35</v>
      </c>
      <c r="M2502" s="15" t="s">
        <v>3056</v>
      </c>
      <c r="N2502" s="15"/>
      <c r="O2502" s="8" t="s">
        <v>410</v>
      </c>
      <c r="P2502" s="8" t="s">
        <v>46</v>
      </c>
      <c r="Q2502" s="9">
        <v>3.6999999999999998E-2</v>
      </c>
      <c r="R2502" s="139">
        <v>227532</v>
      </c>
      <c r="T2502" s="6">
        <v>4305.8200000000652</v>
      </c>
      <c r="U2502" s="4">
        <v>0</v>
      </c>
      <c r="V2502" s="4">
        <v>5.01</v>
      </c>
      <c r="W2502" s="13">
        <v>0</v>
      </c>
      <c r="X2502" s="13">
        <f t="shared" si="371"/>
        <v>4.8312439729990357</v>
      </c>
      <c r="Y2502" s="13">
        <f t="shared" si="372"/>
        <v>0</v>
      </c>
      <c r="Z2502" s="2">
        <v>0</v>
      </c>
      <c r="AA2502" s="4">
        <v>0</v>
      </c>
      <c r="AB2502" s="4">
        <f t="shared" si="373"/>
        <v>4.8312439729990357</v>
      </c>
      <c r="AC2502" s="6">
        <f t="shared" si="374"/>
        <v>0.17875602700096405</v>
      </c>
      <c r="AD2502" s="13">
        <f t="shared" si="368"/>
        <v>5.01</v>
      </c>
      <c r="AE2502" s="2">
        <v>0.09</v>
      </c>
      <c r="AF2502" s="5">
        <f t="shared" si="375"/>
        <v>0.45089999999999997</v>
      </c>
      <c r="AG2502" s="2">
        <v>0</v>
      </c>
      <c r="AH2502" s="5">
        <f t="shared" si="369"/>
        <v>5.01</v>
      </c>
      <c r="AJ2502" s="126" t="e">
        <v>#N/A</v>
      </c>
      <c r="AK2502" s="80">
        <f t="shared" si="376"/>
        <v>0</v>
      </c>
      <c r="AM2502" s="85"/>
    </row>
    <row r="2503" spans="1:39" hidden="1" x14ac:dyDescent="0.3">
      <c r="A2503" s="85" t="s">
        <v>34</v>
      </c>
      <c r="B2503" s="15" t="s">
        <v>35</v>
      </c>
      <c r="C2503" s="15" t="s">
        <v>164</v>
      </c>
      <c r="D2503" s="15" t="s">
        <v>181</v>
      </c>
      <c r="E2503" s="15" t="s">
        <v>182</v>
      </c>
      <c r="F2503" s="15" t="s">
        <v>183</v>
      </c>
      <c r="G2503" s="15" t="s">
        <v>182</v>
      </c>
      <c r="H2503" s="154"/>
      <c r="I2503" s="3" t="s">
        <v>2935</v>
      </c>
      <c r="J2503" s="1" t="s">
        <v>3302</v>
      </c>
      <c r="K2503" s="1" t="s">
        <v>3281</v>
      </c>
      <c r="L2503" s="1" t="s">
        <v>35</v>
      </c>
      <c r="M2503" s="15" t="s">
        <v>1832</v>
      </c>
      <c r="N2503" s="15"/>
      <c r="O2503" s="8" t="s">
        <v>410</v>
      </c>
      <c r="P2503" s="8" t="s">
        <v>41</v>
      </c>
      <c r="Q2503" s="9">
        <v>0</v>
      </c>
      <c r="R2503" s="139">
        <v>16472</v>
      </c>
      <c r="T2503" s="6">
        <v>443228.02</v>
      </c>
      <c r="U2503" s="4">
        <v>0</v>
      </c>
      <c r="V2503" s="4">
        <v>125027.4</v>
      </c>
      <c r="W2503" s="13">
        <f t="shared" si="367"/>
        <v>318200.62</v>
      </c>
      <c r="X2503" s="13">
        <f t="shared" si="371"/>
        <v>125027.4</v>
      </c>
      <c r="Y2503" s="13">
        <f t="shared" si="372"/>
        <v>0</v>
      </c>
      <c r="Z2503" s="2">
        <v>0.02</v>
      </c>
      <c r="AA2503" s="6">
        <f>X2503/(1-Z2503)*Z2503</f>
        <v>2551.5795918367348</v>
      </c>
      <c r="AB2503" s="4">
        <f t="shared" si="373"/>
        <v>127578.97959183673</v>
      </c>
      <c r="AC2503" s="6">
        <f t="shared" si="374"/>
        <v>0</v>
      </c>
      <c r="AD2503" s="13">
        <f t="shared" si="368"/>
        <v>125027.4</v>
      </c>
      <c r="AE2503" s="2">
        <v>0.09</v>
      </c>
      <c r="AF2503" s="5">
        <f t="shared" si="375"/>
        <v>11252.465999999999</v>
      </c>
      <c r="AG2503" s="2">
        <v>0</v>
      </c>
      <c r="AH2503" s="5">
        <f t="shared" si="369"/>
        <v>125027.4</v>
      </c>
      <c r="AJ2503" s="126" t="e">
        <v>#N/A</v>
      </c>
      <c r="AK2503" s="80">
        <f t="shared" si="376"/>
        <v>0</v>
      </c>
      <c r="AM2503" s="85"/>
    </row>
    <row r="2504" spans="1:39" hidden="1" x14ac:dyDescent="0.3">
      <c r="A2504" s="85" t="s">
        <v>34</v>
      </c>
      <c r="B2504" s="15" t="s">
        <v>35</v>
      </c>
      <c r="C2504" s="15" t="s">
        <v>59</v>
      </c>
      <c r="D2504" s="15" t="s">
        <v>60</v>
      </c>
      <c r="E2504" s="15" t="s">
        <v>3057</v>
      </c>
      <c r="F2504" s="15" t="s">
        <v>3057</v>
      </c>
      <c r="G2504" s="15" t="s">
        <v>3057</v>
      </c>
      <c r="H2504" s="154"/>
      <c r="I2504" s="3" t="s">
        <v>2935</v>
      </c>
      <c r="J2504" s="1" t="s">
        <v>3302</v>
      </c>
      <c r="K2504" s="1" t="s">
        <v>3281</v>
      </c>
      <c r="L2504" s="1" t="s">
        <v>35</v>
      </c>
      <c r="M2504" s="15" t="s">
        <v>3057</v>
      </c>
      <c r="N2504" s="15"/>
      <c r="O2504" s="8" t="s">
        <v>410</v>
      </c>
      <c r="P2504" s="8" t="s">
        <v>41</v>
      </c>
      <c r="Q2504" s="9">
        <v>0</v>
      </c>
      <c r="R2504" s="139">
        <v>96962</v>
      </c>
      <c r="T2504" s="6">
        <v>8524.6600000000017</v>
      </c>
      <c r="U2504" s="4">
        <v>0</v>
      </c>
      <c r="V2504" s="4">
        <v>1054</v>
      </c>
      <c r="W2504" s="13">
        <f t="shared" si="367"/>
        <v>7470.6600000000017</v>
      </c>
      <c r="X2504" s="13">
        <f t="shared" si="371"/>
        <v>1054</v>
      </c>
      <c r="Y2504" s="13">
        <f t="shared" si="372"/>
        <v>0</v>
      </c>
      <c r="Z2504" s="2">
        <v>0</v>
      </c>
      <c r="AA2504" s="4">
        <v>0</v>
      </c>
      <c r="AB2504" s="4">
        <f t="shared" si="373"/>
        <v>1054</v>
      </c>
      <c r="AC2504" s="6">
        <f t="shared" si="374"/>
        <v>0</v>
      </c>
      <c r="AD2504" s="13">
        <f t="shared" si="368"/>
        <v>1054</v>
      </c>
      <c r="AE2504" s="2">
        <v>0.09</v>
      </c>
      <c r="AF2504" s="5">
        <f t="shared" si="375"/>
        <v>94.86</v>
      </c>
      <c r="AG2504" s="2">
        <v>0</v>
      </c>
      <c r="AH2504" s="5">
        <f t="shared" si="369"/>
        <v>1054</v>
      </c>
      <c r="AJ2504" s="126" t="e">
        <v>#N/A</v>
      </c>
      <c r="AK2504" s="80">
        <f t="shared" si="376"/>
        <v>0</v>
      </c>
      <c r="AM2504" s="85"/>
    </row>
    <row r="2505" spans="1:39" hidden="1" x14ac:dyDescent="0.3">
      <c r="A2505" s="85" t="s">
        <v>34</v>
      </c>
      <c r="B2505" s="15" t="s">
        <v>35</v>
      </c>
      <c r="C2505" s="15" t="s">
        <v>59</v>
      </c>
      <c r="D2505" s="15" t="s">
        <v>60</v>
      </c>
      <c r="E2505" s="15" t="s">
        <v>421</v>
      </c>
      <c r="F2505" s="15" t="s">
        <v>422</v>
      </c>
      <c r="G2505" s="15" t="s">
        <v>421</v>
      </c>
      <c r="H2505" s="139"/>
      <c r="I2505" s="3" t="s">
        <v>2935</v>
      </c>
      <c r="J2505" s="1" t="s">
        <v>3302</v>
      </c>
      <c r="K2505" s="1" t="s">
        <v>3281</v>
      </c>
      <c r="L2505" s="1" t="s">
        <v>35</v>
      </c>
      <c r="M2505" s="15" t="s">
        <v>3058</v>
      </c>
      <c r="N2505" s="15"/>
      <c r="O2505" s="8" t="s">
        <v>410</v>
      </c>
      <c r="P2505" s="8" t="s">
        <v>46</v>
      </c>
      <c r="Q2505" s="9">
        <v>0.02</v>
      </c>
      <c r="R2505" s="139">
        <v>8555</v>
      </c>
      <c r="T2505" s="6">
        <v>3000</v>
      </c>
      <c r="U2505" s="4">
        <v>0</v>
      </c>
      <c r="V2505" s="4">
        <v>0</v>
      </c>
      <c r="W2505" s="13">
        <f t="shared" si="367"/>
        <v>3000</v>
      </c>
      <c r="X2505" s="13">
        <f t="shared" si="371"/>
        <v>0</v>
      </c>
      <c r="Y2505" s="13">
        <f t="shared" si="372"/>
        <v>0</v>
      </c>
      <c r="Z2505" s="2">
        <v>0</v>
      </c>
      <c r="AA2505" s="4">
        <v>0</v>
      </c>
      <c r="AB2505" s="4">
        <f t="shared" si="373"/>
        <v>0</v>
      </c>
      <c r="AC2505" s="6">
        <f t="shared" si="374"/>
        <v>0</v>
      </c>
      <c r="AD2505" s="13">
        <f t="shared" si="368"/>
        <v>0</v>
      </c>
      <c r="AE2505" s="2">
        <v>0.09</v>
      </c>
      <c r="AF2505" s="5">
        <f t="shared" si="375"/>
        <v>0</v>
      </c>
      <c r="AG2505" s="2">
        <v>0</v>
      </c>
      <c r="AH2505" s="5">
        <f t="shared" si="369"/>
        <v>0</v>
      </c>
      <c r="AJ2505" s="126" t="e">
        <v>#N/A</v>
      </c>
      <c r="AK2505" s="80">
        <f t="shared" si="376"/>
        <v>0</v>
      </c>
      <c r="AM2505" s="85"/>
    </row>
    <row r="2506" spans="1:39" hidden="1" x14ac:dyDescent="0.3">
      <c r="A2506" s="85" t="s">
        <v>34</v>
      </c>
      <c r="B2506" s="15" t="s">
        <v>35</v>
      </c>
      <c r="C2506" s="15" t="s">
        <v>47</v>
      </c>
      <c r="D2506" s="15" t="s">
        <v>63</v>
      </c>
      <c r="E2506" s="15" t="s">
        <v>3059</v>
      </c>
      <c r="F2506" s="15" t="s">
        <v>3059</v>
      </c>
      <c r="G2506" s="15" t="s">
        <v>3059</v>
      </c>
      <c r="H2506" s="139"/>
      <c r="I2506" s="3" t="s">
        <v>2935</v>
      </c>
      <c r="J2506" s="1" t="s">
        <v>3302</v>
      </c>
      <c r="K2506" s="1" t="s">
        <v>3281</v>
      </c>
      <c r="L2506" s="1" t="s">
        <v>35</v>
      </c>
      <c r="M2506" s="15" t="s">
        <v>3059</v>
      </c>
      <c r="N2506" s="15"/>
      <c r="O2506" s="8" t="s">
        <v>410</v>
      </c>
      <c r="P2506" s="8" t="s">
        <v>41</v>
      </c>
      <c r="Q2506" s="9">
        <v>0</v>
      </c>
      <c r="R2506" s="139">
        <v>55682</v>
      </c>
      <c r="T2506" s="6">
        <v>75415.339999999982</v>
      </c>
      <c r="U2506" s="4">
        <v>0</v>
      </c>
      <c r="V2506" s="4">
        <v>0</v>
      </c>
      <c r="W2506" s="13">
        <f t="shared" si="367"/>
        <v>75415.339999999982</v>
      </c>
      <c r="X2506" s="13">
        <f t="shared" si="371"/>
        <v>0</v>
      </c>
      <c r="Y2506" s="13">
        <f t="shared" si="372"/>
        <v>0</v>
      </c>
      <c r="Z2506" s="2">
        <v>0</v>
      </c>
      <c r="AA2506" s="4">
        <v>0</v>
      </c>
      <c r="AB2506" s="4">
        <f t="shared" si="373"/>
        <v>0</v>
      </c>
      <c r="AC2506" s="6">
        <f t="shared" si="374"/>
        <v>0</v>
      </c>
      <c r="AD2506" s="13">
        <f t="shared" si="368"/>
        <v>0</v>
      </c>
      <c r="AE2506" s="2">
        <v>0.09</v>
      </c>
      <c r="AF2506" s="5">
        <f t="shared" si="375"/>
        <v>0</v>
      </c>
      <c r="AG2506" s="2">
        <v>0</v>
      </c>
      <c r="AH2506" s="5">
        <f t="shared" si="369"/>
        <v>0</v>
      </c>
      <c r="AJ2506" s="126" t="e">
        <v>#N/A</v>
      </c>
      <c r="AK2506" s="80">
        <f t="shared" si="376"/>
        <v>0</v>
      </c>
      <c r="AM2506" s="85"/>
    </row>
    <row r="2507" spans="1:39" hidden="1" x14ac:dyDescent="0.3">
      <c r="A2507" s="85" t="s">
        <v>34</v>
      </c>
      <c r="B2507" s="15" t="s">
        <v>35</v>
      </c>
      <c r="C2507" s="15" t="s">
        <v>164</v>
      </c>
      <c r="D2507" s="15" t="s">
        <v>174</v>
      </c>
      <c r="E2507" s="15" t="s">
        <v>3053</v>
      </c>
      <c r="F2507" s="15" t="s">
        <v>3053</v>
      </c>
      <c r="G2507" s="15" t="s">
        <v>3053</v>
      </c>
      <c r="H2507" s="139"/>
      <c r="I2507" s="3" t="s">
        <v>2935</v>
      </c>
      <c r="J2507" s="1" t="s">
        <v>3302</v>
      </c>
      <c r="K2507" s="1" t="s">
        <v>3281</v>
      </c>
      <c r="L2507" s="1" t="s">
        <v>35</v>
      </c>
      <c r="M2507" s="15" t="s">
        <v>3053</v>
      </c>
      <c r="N2507" s="15"/>
      <c r="O2507" s="8" t="s">
        <v>410</v>
      </c>
      <c r="P2507" s="8" t="s">
        <v>46</v>
      </c>
      <c r="Q2507" s="9">
        <v>0.02</v>
      </c>
      <c r="R2507" s="139">
        <v>133822</v>
      </c>
      <c r="T2507" s="6">
        <v>4110.1300000000019</v>
      </c>
      <c r="U2507" s="4">
        <v>0</v>
      </c>
      <c r="V2507" s="4">
        <v>0</v>
      </c>
      <c r="W2507" s="13">
        <f t="shared" si="367"/>
        <v>4110.1300000000019</v>
      </c>
      <c r="X2507" s="13">
        <f t="shared" si="371"/>
        <v>0</v>
      </c>
      <c r="Y2507" s="13">
        <f t="shared" si="372"/>
        <v>0</v>
      </c>
      <c r="Z2507" s="2">
        <v>0</v>
      </c>
      <c r="AA2507" s="4">
        <v>0</v>
      </c>
      <c r="AB2507" s="4">
        <f t="shared" si="373"/>
        <v>0</v>
      </c>
      <c r="AC2507" s="6">
        <f t="shared" si="374"/>
        <v>0</v>
      </c>
      <c r="AD2507" s="13">
        <f t="shared" si="368"/>
        <v>0</v>
      </c>
      <c r="AE2507" s="2">
        <v>0.09</v>
      </c>
      <c r="AF2507" s="5">
        <f t="shared" si="375"/>
        <v>0</v>
      </c>
      <c r="AG2507" s="2">
        <v>0</v>
      </c>
      <c r="AH2507" s="5">
        <f t="shared" si="369"/>
        <v>0</v>
      </c>
      <c r="AJ2507" s="126" t="e">
        <v>#N/A</v>
      </c>
      <c r="AK2507" s="80">
        <f t="shared" si="376"/>
        <v>0</v>
      </c>
      <c r="AM2507" s="85"/>
    </row>
    <row r="2508" spans="1:39" hidden="1" x14ac:dyDescent="0.3">
      <c r="A2508" s="85" t="s">
        <v>34</v>
      </c>
      <c r="B2508" s="15" t="s">
        <v>35</v>
      </c>
      <c r="C2508" s="15" t="s">
        <v>164</v>
      </c>
      <c r="D2508" s="15" t="s">
        <v>174</v>
      </c>
      <c r="E2508" s="15" t="s">
        <v>3060</v>
      </c>
      <c r="F2508" s="15" t="s">
        <v>3060</v>
      </c>
      <c r="G2508" s="15" t="s">
        <v>3060</v>
      </c>
      <c r="H2508" s="139"/>
      <c r="I2508" s="3" t="s">
        <v>2935</v>
      </c>
      <c r="J2508" s="1" t="s">
        <v>3302</v>
      </c>
      <c r="K2508" s="1" t="s">
        <v>3281</v>
      </c>
      <c r="L2508" s="1" t="s">
        <v>35</v>
      </c>
      <c r="M2508" s="15" t="s">
        <v>3060</v>
      </c>
      <c r="N2508" s="15"/>
      <c r="O2508" s="8" t="s">
        <v>410</v>
      </c>
      <c r="P2508" s="8" t="s">
        <v>46</v>
      </c>
      <c r="Q2508" s="9">
        <v>0.04</v>
      </c>
      <c r="R2508" s="139">
        <v>237162</v>
      </c>
      <c r="T2508" s="6">
        <v>3711.48</v>
      </c>
      <c r="U2508" s="4">
        <v>0</v>
      </c>
      <c r="V2508" s="4">
        <v>0</v>
      </c>
      <c r="W2508" s="13">
        <f t="shared" si="367"/>
        <v>3711.48</v>
      </c>
      <c r="X2508" s="13">
        <f t="shared" si="371"/>
        <v>0</v>
      </c>
      <c r="Y2508" s="13">
        <f t="shared" si="372"/>
        <v>0</v>
      </c>
      <c r="Z2508" s="2">
        <v>0</v>
      </c>
      <c r="AA2508" s="4">
        <v>0</v>
      </c>
      <c r="AB2508" s="4">
        <f t="shared" si="373"/>
        <v>0</v>
      </c>
      <c r="AC2508" s="6">
        <f t="shared" si="374"/>
        <v>0</v>
      </c>
      <c r="AD2508" s="13">
        <f t="shared" si="368"/>
        <v>0</v>
      </c>
      <c r="AE2508" s="2">
        <v>0.09</v>
      </c>
      <c r="AF2508" s="5">
        <f t="shared" si="375"/>
        <v>0</v>
      </c>
      <c r="AG2508" s="2">
        <v>0</v>
      </c>
      <c r="AH2508" s="5">
        <f t="shared" si="369"/>
        <v>0</v>
      </c>
      <c r="AJ2508" s="126" t="e">
        <v>#N/A</v>
      </c>
      <c r="AK2508" s="80">
        <f t="shared" si="376"/>
        <v>0</v>
      </c>
      <c r="AM2508" s="85"/>
    </row>
    <row r="2509" spans="1:39" hidden="1" x14ac:dyDescent="0.3">
      <c r="A2509" s="85" t="s">
        <v>34</v>
      </c>
      <c r="B2509" s="15" t="s">
        <v>35</v>
      </c>
      <c r="C2509" s="15" t="s">
        <v>164</v>
      </c>
      <c r="D2509" s="15" t="s">
        <v>174</v>
      </c>
      <c r="E2509" s="15" t="s">
        <v>671</v>
      </c>
      <c r="F2509" s="15" t="s">
        <v>671</v>
      </c>
      <c r="G2509" s="15" t="s">
        <v>671</v>
      </c>
      <c r="H2509" s="139"/>
      <c r="I2509" s="3" t="s">
        <v>2935</v>
      </c>
      <c r="J2509" s="1" t="s">
        <v>3302</v>
      </c>
      <c r="K2509" s="1" t="s">
        <v>3281</v>
      </c>
      <c r="L2509" s="1" t="s">
        <v>35</v>
      </c>
      <c r="M2509" s="15" t="s">
        <v>671</v>
      </c>
      <c r="N2509" s="15"/>
      <c r="O2509" s="8" t="s">
        <v>410</v>
      </c>
      <c r="P2509" s="8" t="s">
        <v>41</v>
      </c>
      <c r="Q2509" s="9">
        <v>0</v>
      </c>
      <c r="R2509" s="139">
        <v>240322</v>
      </c>
      <c r="T2509" s="6">
        <v>2596</v>
      </c>
      <c r="U2509" s="4">
        <v>0</v>
      </c>
      <c r="V2509" s="4">
        <v>200</v>
      </c>
      <c r="W2509" s="13">
        <f t="shared" si="367"/>
        <v>2396</v>
      </c>
      <c r="X2509" s="13">
        <f t="shared" si="371"/>
        <v>200</v>
      </c>
      <c r="Y2509" s="13">
        <f t="shared" si="372"/>
        <v>0</v>
      </c>
      <c r="Z2509" s="2">
        <v>0</v>
      </c>
      <c r="AA2509" s="4">
        <v>0</v>
      </c>
      <c r="AB2509" s="4"/>
      <c r="AC2509" s="6">
        <f t="shared" si="374"/>
        <v>0</v>
      </c>
      <c r="AD2509" s="13">
        <f t="shared" si="368"/>
        <v>200</v>
      </c>
      <c r="AE2509" s="2">
        <v>0.09</v>
      </c>
      <c r="AF2509" s="5">
        <f t="shared" si="375"/>
        <v>18</v>
      </c>
      <c r="AG2509" s="2">
        <v>0</v>
      </c>
      <c r="AH2509" s="5">
        <f t="shared" si="369"/>
        <v>200</v>
      </c>
      <c r="AJ2509" s="126">
        <v>109</v>
      </c>
      <c r="AK2509" s="80">
        <f t="shared" si="376"/>
        <v>200</v>
      </c>
      <c r="AM2509" s="85"/>
    </row>
    <row r="2510" spans="1:39" hidden="1" x14ac:dyDescent="0.3">
      <c r="A2510" s="85" t="s">
        <v>34</v>
      </c>
      <c r="B2510" s="15" t="s">
        <v>35</v>
      </c>
      <c r="C2510" s="15" t="s">
        <v>2029</v>
      </c>
      <c r="D2510" s="15" t="s">
        <v>224</v>
      </c>
      <c r="E2510" s="15" t="s">
        <v>1852</v>
      </c>
      <c r="F2510" s="15" t="s">
        <v>1852</v>
      </c>
      <c r="G2510" s="15" t="s">
        <v>1852</v>
      </c>
      <c r="H2510" s="139"/>
      <c r="I2510" s="3" t="s">
        <v>2935</v>
      </c>
      <c r="J2510" s="1" t="s">
        <v>3302</v>
      </c>
      <c r="K2510" s="1" t="s">
        <v>3281</v>
      </c>
      <c r="L2510" s="1" t="s">
        <v>35</v>
      </c>
      <c r="M2510" s="15" t="s">
        <v>1852</v>
      </c>
      <c r="N2510" s="15"/>
      <c r="O2510" s="8" t="s">
        <v>410</v>
      </c>
      <c r="P2510" s="8" t="s">
        <v>46</v>
      </c>
      <c r="Q2510" s="9">
        <v>0.03</v>
      </c>
      <c r="R2510" s="139">
        <v>42432</v>
      </c>
      <c r="T2510" s="6">
        <v>100990.47999999998</v>
      </c>
      <c r="U2510" s="4">
        <v>0</v>
      </c>
      <c r="V2510" s="4">
        <v>0</v>
      </c>
      <c r="W2510" s="13">
        <f t="shared" si="367"/>
        <v>100990.47999999998</v>
      </c>
      <c r="X2510" s="13">
        <f t="shared" si="371"/>
        <v>0</v>
      </c>
      <c r="Y2510" s="13">
        <f t="shared" si="372"/>
        <v>0</v>
      </c>
      <c r="Z2510" s="2">
        <v>0</v>
      </c>
      <c r="AA2510" s="4">
        <v>0</v>
      </c>
      <c r="AB2510" s="4">
        <f t="shared" si="373"/>
        <v>0</v>
      </c>
      <c r="AC2510" s="6">
        <f t="shared" si="374"/>
        <v>0</v>
      </c>
      <c r="AD2510" s="13">
        <f t="shared" si="368"/>
        <v>0</v>
      </c>
      <c r="AE2510" s="2">
        <v>0.09</v>
      </c>
      <c r="AF2510" s="5">
        <f t="shared" si="375"/>
        <v>0</v>
      </c>
      <c r="AG2510" s="2">
        <v>0</v>
      </c>
      <c r="AH2510" s="5">
        <f t="shared" si="369"/>
        <v>0</v>
      </c>
      <c r="AJ2510" s="126" t="e">
        <v>#N/A</v>
      </c>
      <c r="AK2510" s="80">
        <f t="shared" si="376"/>
        <v>0</v>
      </c>
      <c r="AM2510" s="85"/>
    </row>
    <row r="2511" spans="1:39" hidden="1" x14ac:dyDescent="0.3">
      <c r="A2511" s="85" t="s">
        <v>34</v>
      </c>
      <c r="B2511" s="15" t="s">
        <v>35</v>
      </c>
      <c r="C2511" s="15" t="s">
        <v>2029</v>
      </c>
      <c r="D2511" s="15" t="s">
        <v>54</v>
      </c>
      <c r="E2511" s="15" t="s">
        <v>3061</v>
      </c>
      <c r="F2511" s="15" t="s">
        <v>3061</v>
      </c>
      <c r="G2511" s="15" t="s">
        <v>3061</v>
      </c>
      <c r="H2511" s="154"/>
      <c r="I2511" s="3" t="s">
        <v>2935</v>
      </c>
      <c r="J2511" s="1" t="s">
        <v>3302</v>
      </c>
      <c r="K2511" s="1" t="s">
        <v>3281</v>
      </c>
      <c r="L2511" s="1" t="s">
        <v>35</v>
      </c>
      <c r="M2511" s="15" t="s">
        <v>2951</v>
      </c>
      <c r="N2511" s="15"/>
      <c r="O2511" s="8" t="s">
        <v>410</v>
      </c>
      <c r="P2511" s="8" t="s">
        <v>46</v>
      </c>
      <c r="Q2511" s="9">
        <v>0.02</v>
      </c>
      <c r="R2511" s="139">
        <v>234782</v>
      </c>
      <c r="T2511" s="6">
        <v>11718.800000000001</v>
      </c>
      <c r="U2511" s="4">
        <v>0</v>
      </c>
      <c r="V2511" s="6">
        <v>11718.800000000001</v>
      </c>
      <c r="W2511" s="13">
        <f t="shared" si="367"/>
        <v>0</v>
      </c>
      <c r="X2511" s="13">
        <f t="shared" si="371"/>
        <v>11489.019607843138</v>
      </c>
      <c r="Y2511" s="13">
        <f t="shared" si="372"/>
        <v>0</v>
      </c>
      <c r="Z2511" s="2">
        <v>0</v>
      </c>
      <c r="AA2511" s="4">
        <v>0</v>
      </c>
      <c r="AB2511" s="4">
        <f t="shared" si="373"/>
        <v>11489.019607843138</v>
      </c>
      <c r="AC2511" s="6">
        <f t="shared" si="374"/>
        <v>229.78039215686294</v>
      </c>
      <c r="AD2511" s="13">
        <f t="shared" si="368"/>
        <v>11718.800000000001</v>
      </c>
      <c r="AE2511" s="2">
        <v>0.09</v>
      </c>
      <c r="AF2511" s="5">
        <f t="shared" si="375"/>
        <v>1054.692</v>
      </c>
      <c r="AG2511" s="2">
        <v>0</v>
      </c>
      <c r="AH2511" s="5">
        <f t="shared" si="369"/>
        <v>11718.800000000001</v>
      </c>
      <c r="AJ2511" s="126" t="e">
        <v>#N/A</v>
      </c>
      <c r="AK2511" s="80">
        <f t="shared" si="376"/>
        <v>0</v>
      </c>
      <c r="AM2511" s="85"/>
    </row>
    <row r="2512" spans="1:39" hidden="1" x14ac:dyDescent="0.3">
      <c r="A2512" s="85" t="s">
        <v>34</v>
      </c>
      <c r="B2512" s="15" t="s">
        <v>35</v>
      </c>
      <c r="C2512" s="15" t="s">
        <v>59</v>
      </c>
      <c r="D2512" s="15" t="s">
        <v>60</v>
      </c>
      <c r="E2512" s="15" t="s">
        <v>1069</v>
      </c>
      <c r="F2512" s="15" t="s">
        <v>1069</v>
      </c>
      <c r="G2512" s="15" t="s">
        <v>1069</v>
      </c>
      <c r="H2512" s="139"/>
      <c r="I2512" s="3" t="s">
        <v>2935</v>
      </c>
      <c r="J2512" s="1" t="s">
        <v>3302</v>
      </c>
      <c r="K2512" s="1" t="s">
        <v>3281</v>
      </c>
      <c r="L2512" s="1" t="s">
        <v>35</v>
      </c>
      <c r="M2512" s="15" t="s">
        <v>2936</v>
      </c>
      <c r="N2512" s="15"/>
      <c r="O2512" s="8" t="s">
        <v>45</v>
      </c>
      <c r="P2512" s="8" t="s">
        <v>46</v>
      </c>
      <c r="Q2512" s="9">
        <v>0.15</v>
      </c>
      <c r="R2512" s="139">
        <v>8755</v>
      </c>
      <c r="T2512" s="6">
        <v>-4463025.6199999992</v>
      </c>
      <c r="U2512" s="4">
        <v>0</v>
      </c>
      <c r="V2512" s="4">
        <v>0</v>
      </c>
      <c r="W2512" s="13">
        <v>0</v>
      </c>
      <c r="X2512" s="13">
        <f t="shared" si="371"/>
        <v>0</v>
      </c>
      <c r="Y2512" s="13">
        <f t="shared" si="372"/>
        <v>0</v>
      </c>
      <c r="Z2512" s="2">
        <v>0</v>
      </c>
      <c r="AA2512" s="4">
        <v>0</v>
      </c>
      <c r="AB2512" s="4">
        <f t="shared" si="373"/>
        <v>0</v>
      </c>
      <c r="AC2512" s="6">
        <f t="shared" si="374"/>
        <v>0</v>
      </c>
      <c r="AD2512" s="13">
        <f t="shared" si="368"/>
        <v>0</v>
      </c>
      <c r="AE2512" s="2">
        <v>0.18</v>
      </c>
      <c r="AF2512" s="5">
        <f t="shared" si="375"/>
        <v>0</v>
      </c>
      <c r="AG2512" s="2">
        <v>0</v>
      </c>
      <c r="AH2512" s="5">
        <f t="shared" si="369"/>
        <v>0</v>
      </c>
      <c r="AJ2512" s="126" t="e">
        <v>#N/A</v>
      </c>
      <c r="AK2512" s="80">
        <f t="shared" si="376"/>
        <v>0</v>
      </c>
      <c r="AM2512" s="85"/>
    </row>
    <row r="2513" spans="1:39" hidden="1" x14ac:dyDescent="0.3">
      <c r="A2513" s="85" t="s">
        <v>34</v>
      </c>
      <c r="B2513" s="15" t="s">
        <v>35</v>
      </c>
      <c r="C2513" s="15" t="s">
        <v>65</v>
      </c>
      <c r="D2513" s="15" t="s">
        <v>232</v>
      </c>
      <c r="E2513" s="15" t="s">
        <v>3062</v>
      </c>
      <c r="F2513" s="15" t="s">
        <v>3062</v>
      </c>
      <c r="G2513" s="15" t="s">
        <v>3062</v>
      </c>
      <c r="H2513" s="139"/>
      <c r="I2513" s="3" t="s">
        <v>2935</v>
      </c>
      <c r="J2513" s="1" t="s">
        <v>3302</v>
      </c>
      <c r="K2513" s="1" t="s">
        <v>3281</v>
      </c>
      <c r="L2513" s="1" t="s">
        <v>35</v>
      </c>
      <c r="M2513" s="15" t="s">
        <v>3063</v>
      </c>
      <c r="N2513" s="15"/>
      <c r="O2513" s="8" t="s">
        <v>410</v>
      </c>
      <c r="P2513" s="8" t="s">
        <v>41</v>
      </c>
      <c r="Q2513" s="9">
        <v>0</v>
      </c>
      <c r="R2513" s="139">
        <v>552</v>
      </c>
      <c r="T2513" s="6">
        <v>9071.89</v>
      </c>
      <c r="U2513" s="4">
        <v>0</v>
      </c>
      <c r="V2513" s="4">
        <v>0</v>
      </c>
      <c r="W2513" s="13">
        <f t="shared" si="367"/>
        <v>9071.89</v>
      </c>
      <c r="X2513" s="13">
        <f t="shared" si="371"/>
        <v>0</v>
      </c>
      <c r="Y2513" s="13">
        <f t="shared" si="372"/>
        <v>0</v>
      </c>
      <c r="Z2513" s="2">
        <v>0</v>
      </c>
      <c r="AA2513" s="4">
        <v>0</v>
      </c>
      <c r="AB2513" s="4">
        <f t="shared" si="373"/>
        <v>0</v>
      </c>
      <c r="AC2513" s="6">
        <f t="shared" si="374"/>
        <v>0</v>
      </c>
      <c r="AD2513" s="13">
        <f t="shared" si="368"/>
        <v>0</v>
      </c>
      <c r="AE2513" s="2">
        <v>0.09</v>
      </c>
      <c r="AF2513" s="5">
        <f t="shared" si="375"/>
        <v>0</v>
      </c>
      <c r="AG2513" s="2">
        <v>0</v>
      </c>
      <c r="AH2513" s="5">
        <f t="shared" si="369"/>
        <v>0</v>
      </c>
      <c r="AJ2513" s="126" t="e">
        <v>#N/A</v>
      </c>
      <c r="AK2513" s="80">
        <f t="shared" si="376"/>
        <v>0</v>
      </c>
      <c r="AM2513" s="85"/>
    </row>
    <row r="2514" spans="1:39" hidden="1" x14ac:dyDescent="0.3">
      <c r="A2514" s="85" t="s">
        <v>34</v>
      </c>
      <c r="B2514" s="15" t="s">
        <v>35</v>
      </c>
      <c r="C2514" s="15" t="s">
        <v>59</v>
      </c>
      <c r="D2514" s="15" t="s">
        <v>60</v>
      </c>
      <c r="E2514" s="15" t="s">
        <v>906</v>
      </c>
      <c r="F2514" s="15" t="s">
        <v>3064</v>
      </c>
      <c r="G2514" s="15" t="s">
        <v>906</v>
      </c>
      <c r="H2514" s="139"/>
      <c r="I2514" s="3" t="s">
        <v>2935</v>
      </c>
      <c r="J2514" s="1" t="s">
        <v>3302</v>
      </c>
      <c r="K2514" s="1" t="s">
        <v>3281</v>
      </c>
      <c r="L2514" s="1" t="s">
        <v>35</v>
      </c>
      <c r="M2514" s="15" t="s">
        <v>3065</v>
      </c>
      <c r="N2514" s="15"/>
      <c r="O2514" s="8" t="s">
        <v>410</v>
      </c>
      <c r="P2514" s="8" t="s">
        <v>46</v>
      </c>
      <c r="Q2514" s="9">
        <v>0.02</v>
      </c>
      <c r="R2514" s="139">
        <v>9986</v>
      </c>
      <c r="T2514" s="6">
        <v>42453.239999999983</v>
      </c>
      <c r="U2514" s="4">
        <v>0</v>
      </c>
      <c r="V2514" s="4">
        <v>0</v>
      </c>
      <c r="W2514" s="13">
        <f t="shared" si="367"/>
        <v>42453.239999999983</v>
      </c>
      <c r="X2514" s="13">
        <f t="shared" si="371"/>
        <v>0</v>
      </c>
      <c r="Y2514" s="13">
        <f t="shared" si="372"/>
        <v>0</v>
      </c>
      <c r="Z2514" s="2">
        <v>0</v>
      </c>
      <c r="AA2514" s="4">
        <v>0</v>
      </c>
      <c r="AB2514" s="4">
        <f t="shared" si="373"/>
        <v>0</v>
      </c>
      <c r="AC2514" s="6">
        <f t="shared" si="374"/>
        <v>0</v>
      </c>
      <c r="AD2514" s="13">
        <f t="shared" si="368"/>
        <v>0</v>
      </c>
      <c r="AE2514" s="2">
        <v>0.09</v>
      </c>
      <c r="AF2514" s="5">
        <f t="shared" si="375"/>
        <v>0</v>
      </c>
      <c r="AG2514" s="2">
        <v>0</v>
      </c>
      <c r="AH2514" s="5">
        <f t="shared" si="369"/>
        <v>0</v>
      </c>
      <c r="AJ2514" s="126" t="e">
        <v>#N/A</v>
      </c>
      <c r="AK2514" s="80">
        <f t="shared" si="376"/>
        <v>0</v>
      </c>
      <c r="AM2514" s="85"/>
    </row>
    <row r="2515" spans="1:39" hidden="1" x14ac:dyDescent="0.3">
      <c r="A2515" s="85" t="s">
        <v>34</v>
      </c>
      <c r="B2515" s="15" t="s">
        <v>35</v>
      </c>
      <c r="C2515" s="15" t="s">
        <v>65</v>
      </c>
      <c r="D2515" s="86" t="s">
        <v>3351</v>
      </c>
      <c r="E2515" s="15" t="s">
        <v>233</v>
      </c>
      <c r="F2515" s="15" t="s">
        <v>233</v>
      </c>
      <c r="G2515" s="15" t="s">
        <v>233</v>
      </c>
      <c r="H2515" s="139"/>
      <c r="I2515" s="3" t="s">
        <v>2935</v>
      </c>
      <c r="J2515" s="1" t="s">
        <v>3302</v>
      </c>
      <c r="K2515" s="1" t="s">
        <v>3281</v>
      </c>
      <c r="L2515" s="1" t="s">
        <v>35</v>
      </c>
      <c r="M2515" s="15" t="s">
        <v>3066</v>
      </c>
      <c r="N2515" s="15"/>
      <c r="O2515" s="8" t="s">
        <v>410</v>
      </c>
      <c r="P2515" s="8" t="s">
        <v>46</v>
      </c>
      <c r="Q2515" s="9">
        <v>0.02</v>
      </c>
      <c r="R2515" s="139">
        <v>138972</v>
      </c>
      <c r="T2515" s="6">
        <v>43378.239999999998</v>
      </c>
      <c r="U2515" s="4">
        <v>0</v>
      </c>
      <c r="V2515" s="4">
        <v>0</v>
      </c>
      <c r="W2515" s="13">
        <f t="shared" si="367"/>
        <v>43378.239999999998</v>
      </c>
      <c r="X2515" s="13">
        <f t="shared" si="371"/>
        <v>0</v>
      </c>
      <c r="Y2515" s="13">
        <f t="shared" si="372"/>
        <v>0</v>
      </c>
      <c r="Z2515" s="2">
        <v>0</v>
      </c>
      <c r="AA2515" s="4">
        <v>0</v>
      </c>
      <c r="AB2515" s="4">
        <f t="shared" si="373"/>
        <v>0</v>
      </c>
      <c r="AC2515" s="6">
        <f t="shared" si="374"/>
        <v>0</v>
      </c>
      <c r="AD2515" s="13">
        <f t="shared" si="368"/>
        <v>0</v>
      </c>
      <c r="AE2515" s="2">
        <v>0.09</v>
      </c>
      <c r="AF2515" s="5">
        <f t="shared" si="375"/>
        <v>0</v>
      </c>
      <c r="AG2515" s="2">
        <v>0</v>
      </c>
      <c r="AH2515" s="5">
        <f t="shared" si="369"/>
        <v>0</v>
      </c>
      <c r="AJ2515" s="126" t="e">
        <v>#N/A</v>
      </c>
      <c r="AK2515" s="80">
        <f t="shared" si="376"/>
        <v>0</v>
      </c>
      <c r="AM2515" s="85"/>
    </row>
    <row r="2516" spans="1:39" hidden="1" x14ac:dyDescent="0.3">
      <c r="A2516" s="85" t="s">
        <v>34</v>
      </c>
      <c r="B2516" s="15" t="s">
        <v>35</v>
      </c>
      <c r="C2516" s="15" t="s">
        <v>47</v>
      </c>
      <c r="D2516" s="15" t="s">
        <v>63</v>
      </c>
      <c r="E2516" s="15" t="s">
        <v>3067</v>
      </c>
      <c r="F2516" s="15" t="s">
        <v>3067</v>
      </c>
      <c r="G2516" s="15" t="s">
        <v>3067</v>
      </c>
      <c r="H2516" s="139"/>
      <c r="I2516" s="3" t="s">
        <v>2935</v>
      </c>
      <c r="J2516" s="1" t="s">
        <v>3302</v>
      </c>
      <c r="K2516" s="1" t="s">
        <v>3281</v>
      </c>
      <c r="L2516" s="1" t="s">
        <v>35</v>
      </c>
      <c r="M2516" s="15" t="s">
        <v>2391</v>
      </c>
      <c r="N2516" s="15"/>
      <c r="O2516" s="8" t="s">
        <v>45</v>
      </c>
      <c r="P2516" s="8" t="s">
        <v>46</v>
      </c>
      <c r="Q2516" s="9">
        <v>0.04</v>
      </c>
      <c r="R2516" s="139">
        <v>2252</v>
      </c>
      <c r="T2516" s="6">
        <v>0</v>
      </c>
      <c r="U2516" s="4">
        <v>0</v>
      </c>
      <c r="V2516" s="4">
        <v>0</v>
      </c>
      <c r="W2516" s="13">
        <f t="shared" ref="W2516:W2579" si="377">T2516+U2516-V2516</f>
        <v>0</v>
      </c>
      <c r="X2516" s="13">
        <f t="shared" si="371"/>
        <v>0</v>
      </c>
      <c r="Y2516" s="13">
        <f t="shared" si="372"/>
        <v>0</v>
      </c>
      <c r="Z2516" s="2">
        <v>0</v>
      </c>
      <c r="AA2516" s="4">
        <v>0</v>
      </c>
      <c r="AB2516" s="4">
        <f t="shared" si="373"/>
        <v>0</v>
      </c>
      <c r="AC2516" s="6">
        <f t="shared" si="374"/>
        <v>0</v>
      </c>
      <c r="AD2516" s="13">
        <f t="shared" ref="AD2516:AD2579" si="378">V2516</f>
        <v>0</v>
      </c>
      <c r="AE2516" s="2">
        <v>0.18</v>
      </c>
      <c r="AF2516" s="5">
        <f t="shared" si="375"/>
        <v>0</v>
      </c>
      <c r="AG2516" s="2">
        <v>0</v>
      </c>
      <c r="AH2516" s="5">
        <f t="shared" ref="AH2516:AH2579" si="379">V2516</f>
        <v>0</v>
      </c>
      <c r="AJ2516" s="126" t="e">
        <v>#N/A</v>
      </c>
      <c r="AK2516" s="80">
        <f t="shared" si="376"/>
        <v>0</v>
      </c>
      <c r="AM2516" s="85"/>
    </row>
    <row r="2517" spans="1:39" hidden="1" x14ac:dyDescent="0.3">
      <c r="A2517" s="85" t="s">
        <v>34</v>
      </c>
      <c r="B2517" s="15" t="s">
        <v>35</v>
      </c>
      <c r="C2517" s="15" t="s">
        <v>144</v>
      </c>
      <c r="D2517" s="15" t="s">
        <v>145</v>
      </c>
      <c r="E2517" s="15" t="s">
        <v>3068</v>
      </c>
      <c r="F2517" s="15" t="s">
        <v>3068</v>
      </c>
      <c r="G2517" s="15" t="s">
        <v>3068</v>
      </c>
      <c r="H2517" s="139"/>
      <c r="I2517" s="3" t="s">
        <v>2935</v>
      </c>
      <c r="J2517" s="1" t="s">
        <v>3302</v>
      </c>
      <c r="K2517" s="1" t="s">
        <v>3281</v>
      </c>
      <c r="L2517" s="1" t="s">
        <v>35</v>
      </c>
      <c r="M2517" s="15" t="s">
        <v>3068</v>
      </c>
      <c r="N2517" s="15"/>
      <c r="O2517" s="8" t="s">
        <v>410</v>
      </c>
      <c r="P2517" s="8" t="s">
        <v>41</v>
      </c>
      <c r="Q2517" s="9">
        <v>0</v>
      </c>
      <c r="R2517" s="139">
        <v>85162</v>
      </c>
      <c r="T2517" s="6">
        <v>18.449999999999818</v>
      </c>
      <c r="U2517" s="4">
        <v>0</v>
      </c>
      <c r="V2517" s="4">
        <v>0</v>
      </c>
      <c r="W2517" s="13">
        <f t="shared" si="377"/>
        <v>18.449999999999818</v>
      </c>
      <c r="X2517" s="13">
        <f t="shared" si="371"/>
        <v>0</v>
      </c>
      <c r="Y2517" s="13">
        <f t="shared" si="372"/>
        <v>0</v>
      </c>
      <c r="Z2517" s="2">
        <v>0</v>
      </c>
      <c r="AA2517" s="4">
        <v>0</v>
      </c>
      <c r="AB2517" s="4">
        <f t="shared" si="373"/>
        <v>0</v>
      </c>
      <c r="AC2517" s="6">
        <f t="shared" si="374"/>
        <v>0</v>
      </c>
      <c r="AD2517" s="13">
        <f t="shared" si="378"/>
        <v>0</v>
      </c>
      <c r="AE2517" s="2">
        <v>0.09</v>
      </c>
      <c r="AF2517" s="5">
        <f t="shared" si="375"/>
        <v>0</v>
      </c>
      <c r="AG2517" s="2">
        <v>0</v>
      </c>
      <c r="AH2517" s="5">
        <f t="shared" si="379"/>
        <v>0</v>
      </c>
      <c r="AJ2517" s="126" t="e">
        <v>#N/A</v>
      </c>
      <c r="AK2517" s="80">
        <f t="shared" si="376"/>
        <v>0</v>
      </c>
      <c r="AM2517" s="85"/>
    </row>
    <row r="2518" spans="1:39" hidden="1" x14ac:dyDescent="0.3">
      <c r="A2518" s="85" t="s">
        <v>34</v>
      </c>
      <c r="B2518" s="15" t="s">
        <v>35</v>
      </c>
      <c r="C2518" s="15" t="s">
        <v>164</v>
      </c>
      <c r="D2518" s="15" t="s">
        <v>181</v>
      </c>
      <c r="E2518" s="15" t="s">
        <v>3069</v>
      </c>
      <c r="F2518" s="15" t="s">
        <v>3069</v>
      </c>
      <c r="G2518" s="15" t="s">
        <v>3069</v>
      </c>
      <c r="H2518" s="139"/>
      <c r="I2518" s="3" t="s">
        <v>2935</v>
      </c>
      <c r="J2518" s="1" t="s">
        <v>3302</v>
      </c>
      <c r="K2518" s="1" t="s">
        <v>3281</v>
      </c>
      <c r="L2518" s="1" t="s">
        <v>35</v>
      </c>
      <c r="M2518" s="15" t="s">
        <v>3070</v>
      </c>
      <c r="N2518" s="15"/>
      <c r="O2518" s="8" t="s">
        <v>410</v>
      </c>
      <c r="P2518" s="8" t="s">
        <v>46</v>
      </c>
      <c r="Q2518" s="9">
        <v>0.02</v>
      </c>
      <c r="R2518" s="139">
        <v>48782</v>
      </c>
      <c r="T2518" s="6">
        <v>589000</v>
      </c>
      <c r="U2518" s="4">
        <v>0</v>
      </c>
      <c r="V2518" s="4">
        <v>0</v>
      </c>
      <c r="W2518" s="13">
        <f t="shared" si="377"/>
        <v>589000</v>
      </c>
      <c r="X2518" s="13">
        <f t="shared" si="371"/>
        <v>0</v>
      </c>
      <c r="Y2518" s="13">
        <f t="shared" si="372"/>
        <v>0</v>
      </c>
      <c r="Z2518" s="2">
        <v>0</v>
      </c>
      <c r="AA2518" s="4">
        <v>0</v>
      </c>
      <c r="AB2518" s="4">
        <f t="shared" si="373"/>
        <v>0</v>
      </c>
      <c r="AC2518" s="6">
        <f t="shared" si="374"/>
        <v>0</v>
      </c>
      <c r="AD2518" s="13">
        <f t="shared" si="378"/>
        <v>0</v>
      </c>
      <c r="AE2518" s="2">
        <v>0.09</v>
      </c>
      <c r="AF2518" s="5">
        <f t="shared" si="375"/>
        <v>0</v>
      </c>
      <c r="AG2518" s="2">
        <v>0</v>
      </c>
      <c r="AH2518" s="5">
        <f t="shared" si="379"/>
        <v>0</v>
      </c>
      <c r="AJ2518" s="126" t="e">
        <v>#N/A</v>
      </c>
      <c r="AK2518" s="80">
        <f t="shared" si="376"/>
        <v>0</v>
      </c>
      <c r="AM2518" s="85"/>
    </row>
    <row r="2519" spans="1:39" hidden="1" x14ac:dyDescent="0.3">
      <c r="A2519" s="85" t="s">
        <v>34</v>
      </c>
      <c r="B2519" s="15" t="s">
        <v>35</v>
      </c>
      <c r="C2519" s="15" t="s">
        <v>2029</v>
      </c>
      <c r="D2519" s="15" t="s">
        <v>37</v>
      </c>
      <c r="E2519" s="15" t="s">
        <v>57</v>
      </c>
      <c r="F2519" s="15" t="s">
        <v>3071</v>
      </c>
      <c r="G2519" s="15" t="s">
        <v>57</v>
      </c>
      <c r="H2519" s="139"/>
      <c r="I2519" s="3" t="s">
        <v>2935</v>
      </c>
      <c r="J2519" s="1" t="s">
        <v>3302</v>
      </c>
      <c r="K2519" s="1" t="s">
        <v>3281</v>
      </c>
      <c r="L2519" s="1" t="s">
        <v>35</v>
      </c>
      <c r="M2519" s="15" t="s">
        <v>3072</v>
      </c>
      <c r="N2519" s="15"/>
      <c r="O2519" s="8" t="s">
        <v>410</v>
      </c>
      <c r="P2519" s="8" t="s">
        <v>46</v>
      </c>
      <c r="Q2519" s="9">
        <v>0.02</v>
      </c>
      <c r="R2519" s="139">
        <v>216592</v>
      </c>
      <c r="T2519" s="6">
        <v>232339.65</v>
      </c>
      <c r="U2519" s="4">
        <v>0</v>
      </c>
      <c r="V2519" s="4">
        <v>0</v>
      </c>
      <c r="W2519" s="13">
        <f t="shared" si="377"/>
        <v>232339.65</v>
      </c>
      <c r="X2519" s="13">
        <f t="shared" si="371"/>
        <v>0</v>
      </c>
      <c r="Y2519" s="13">
        <f t="shared" si="372"/>
        <v>0</v>
      </c>
      <c r="Z2519" s="2">
        <v>0</v>
      </c>
      <c r="AA2519" s="4">
        <v>0</v>
      </c>
      <c r="AB2519" s="4">
        <f t="shared" si="373"/>
        <v>0</v>
      </c>
      <c r="AC2519" s="6">
        <f t="shared" si="374"/>
        <v>0</v>
      </c>
      <c r="AD2519" s="13">
        <f t="shared" si="378"/>
        <v>0</v>
      </c>
      <c r="AE2519" s="2">
        <v>0.09</v>
      </c>
      <c r="AF2519" s="5">
        <f t="shared" si="375"/>
        <v>0</v>
      </c>
      <c r="AG2519" s="2">
        <v>0</v>
      </c>
      <c r="AH2519" s="5">
        <f t="shared" si="379"/>
        <v>0</v>
      </c>
      <c r="AJ2519" s="126" t="e">
        <v>#N/A</v>
      </c>
      <c r="AK2519" s="80">
        <f t="shared" si="376"/>
        <v>0</v>
      </c>
      <c r="AM2519" s="85"/>
    </row>
    <row r="2520" spans="1:39" hidden="1" x14ac:dyDescent="0.3">
      <c r="A2520" s="85" t="s">
        <v>34</v>
      </c>
      <c r="B2520" s="15" t="s">
        <v>35</v>
      </c>
      <c r="C2520" s="15" t="s">
        <v>59</v>
      </c>
      <c r="D2520" s="15" t="s">
        <v>60</v>
      </c>
      <c r="E2520" s="15" t="s">
        <v>3073</v>
      </c>
      <c r="F2520" s="15" t="s">
        <v>3074</v>
      </c>
      <c r="G2520" s="15" t="s">
        <v>3073</v>
      </c>
      <c r="H2520" s="139"/>
      <c r="I2520" s="3" t="s">
        <v>2935</v>
      </c>
      <c r="J2520" s="1" t="s">
        <v>3302</v>
      </c>
      <c r="K2520" s="1" t="s">
        <v>3281</v>
      </c>
      <c r="L2520" s="1" t="s">
        <v>35</v>
      </c>
      <c r="M2520" s="15" t="s">
        <v>3075</v>
      </c>
      <c r="N2520" s="15"/>
      <c r="O2520" s="8" t="s">
        <v>410</v>
      </c>
      <c r="P2520" s="8" t="s">
        <v>75</v>
      </c>
      <c r="Q2520" s="9">
        <v>0.02</v>
      </c>
      <c r="R2520" s="139">
        <v>8757</v>
      </c>
      <c r="T2520" s="6">
        <v>55769.140000000007</v>
      </c>
      <c r="U2520" s="4">
        <v>0</v>
      </c>
      <c r="V2520" s="4">
        <v>0</v>
      </c>
      <c r="W2520" s="13">
        <f t="shared" si="377"/>
        <v>55769.140000000007</v>
      </c>
      <c r="X2520" s="13">
        <f t="shared" si="371"/>
        <v>0</v>
      </c>
      <c r="Y2520" s="13">
        <f t="shared" si="372"/>
        <v>0</v>
      </c>
      <c r="Z2520" s="2">
        <v>0</v>
      </c>
      <c r="AA2520" s="4">
        <v>0</v>
      </c>
      <c r="AB2520" s="4">
        <f t="shared" si="373"/>
        <v>0</v>
      </c>
      <c r="AC2520" s="6">
        <f t="shared" si="374"/>
        <v>0</v>
      </c>
      <c r="AD2520" s="13">
        <f t="shared" si="378"/>
        <v>0</v>
      </c>
      <c r="AE2520" s="2">
        <v>0.09</v>
      </c>
      <c r="AF2520" s="5">
        <f t="shared" si="375"/>
        <v>0</v>
      </c>
      <c r="AG2520" s="2">
        <v>0</v>
      </c>
      <c r="AH2520" s="5">
        <f t="shared" si="379"/>
        <v>0</v>
      </c>
      <c r="AJ2520" s="126" t="e">
        <v>#N/A</v>
      </c>
      <c r="AK2520" s="80">
        <f t="shared" si="376"/>
        <v>0</v>
      </c>
      <c r="AM2520" s="85"/>
    </row>
    <row r="2521" spans="1:39" hidden="1" x14ac:dyDescent="0.3">
      <c r="A2521" s="85" t="s">
        <v>34</v>
      </c>
      <c r="B2521" s="15" t="s">
        <v>35</v>
      </c>
      <c r="C2521" s="15" t="s">
        <v>164</v>
      </c>
      <c r="D2521" s="15" t="s">
        <v>169</v>
      </c>
      <c r="E2521" s="15" t="s">
        <v>2957</v>
      </c>
      <c r="F2521" s="15" t="s">
        <v>3012</v>
      </c>
      <c r="G2521" s="15" t="s">
        <v>2957</v>
      </c>
      <c r="H2521" s="139"/>
      <c r="I2521" s="3" t="s">
        <v>2935</v>
      </c>
      <c r="J2521" s="1" t="s">
        <v>3302</v>
      </c>
      <c r="K2521" s="1" t="s">
        <v>3281</v>
      </c>
      <c r="L2521" s="1" t="s">
        <v>35</v>
      </c>
      <c r="M2521" s="15" t="s">
        <v>3013</v>
      </c>
      <c r="N2521" s="15"/>
      <c r="O2521" s="8" t="s">
        <v>45</v>
      </c>
      <c r="P2521" s="1" t="s">
        <v>46</v>
      </c>
      <c r="Q2521" s="2">
        <v>0.02</v>
      </c>
      <c r="R2521" s="139">
        <v>71652</v>
      </c>
      <c r="T2521" s="6">
        <v>-403263.7</v>
      </c>
      <c r="U2521" s="4">
        <v>0</v>
      </c>
      <c r="V2521" s="4">
        <v>0</v>
      </c>
      <c r="W2521" s="13">
        <v>0</v>
      </c>
      <c r="X2521" s="13">
        <f t="shared" si="371"/>
        <v>0</v>
      </c>
      <c r="Y2521" s="13">
        <f t="shared" si="372"/>
        <v>0</v>
      </c>
      <c r="Z2521" s="2">
        <v>0</v>
      </c>
      <c r="AA2521" s="4">
        <v>0</v>
      </c>
      <c r="AB2521" s="4">
        <f t="shared" si="373"/>
        <v>0</v>
      </c>
      <c r="AC2521" s="6">
        <f t="shared" si="374"/>
        <v>0</v>
      </c>
      <c r="AD2521" s="13">
        <f t="shared" si="378"/>
        <v>0</v>
      </c>
      <c r="AE2521" s="2">
        <v>0.18</v>
      </c>
      <c r="AF2521" s="5">
        <f t="shared" si="375"/>
        <v>0</v>
      </c>
      <c r="AG2521" s="2">
        <v>0</v>
      </c>
      <c r="AH2521" s="5">
        <f t="shared" si="379"/>
        <v>0</v>
      </c>
      <c r="AJ2521" s="126" t="e">
        <v>#N/A</v>
      </c>
      <c r="AK2521" s="80">
        <f t="shared" si="376"/>
        <v>0</v>
      </c>
      <c r="AM2521" s="85"/>
    </row>
    <row r="2522" spans="1:39" hidden="1" x14ac:dyDescent="0.3">
      <c r="A2522" s="85" t="s">
        <v>34</v>
      </c>
      <c r="B2522" s="15" t="s">
        <v>35</v>
      </c>
      <c r="C2522" s="15" t="s">
        <v>2029</v>
      </c>
      <c r="D2522" s="15" t="s">
        <v>37</v>
      </c>
      <c r="E2522" s="15" t="s">
        <v>57</v>
      </c>
      <c r="F2522" s="15" t="s">
        <v>3071</v>
      </c>
      <c r="G2522" s="15" t="s">
        <v>57</v>
      </c>
      <c r="H2522" s="139"/>
      <c r="I2522" s="3" t="s">
        <v>2935</v>
      </c>
      <c r="J2522" s="1" t="s">
        <v>3302</v>
      </c>
      <c r="K2522" s="1" t="s">
        <v>3281</v>
      </c>
      <c r="L2522" s="1" t="s">
        <v>35</v>
      </c>
      <c r="M2522" s="15" t="s">
        <v>3076</v>
      </c>
      <c r="N2522" s="15"/>
      <c r="O2522" s="8" t="s">
        <v>410</v>
      </c>
      <c r="P2522" s="8" t="s">
        <v>46</v>
      </c>
      <c r="Q2522" s="9">
        <v>0.02</v>
      </c>
      <c r="R2522" s="139">
        <v>33302</v>
      </c>
      <c r="T2522" s="6">
        <v>70076.809999999969</v>
      </c>
      <c r="U2522" s="4">
        <v>0</v>
      </c>
      <c r="V2522" s="4">
        <v>0</v>
      </c>
      <c r="W2522" s="13">
        <f t="shared" si="377"/>
        <v>70076.809999999969</v>
      </c>
      <c r="X2522" s="13">
        <f t="shared" si="371"/>
        <v>0</v>
      </c>
      <c r="Y2522" s="13">
        <f t="shared" si="372"/>
        <v>0</v>
      </c>
      <c r="Z2522" s="2">
        <v>0</v>
      </c>
      <c r="AA2522" s="4">
        <v>0</v>
      </c>
      <c r="AB2522" s="4">
        <f t="shared" si="373"/>
        <v>0</v>
      </c>
      <c r="AC2522" s="6">
        <f t="shared" si="374"/>
        <v>0</v>
      </c>
      <c r="AD2522" s="13">
        <f t="shared" si="378"/>
        <v>0</v>
      </c>
      <c r="AE2522" s="2">
        <v>0.09</v>
      </c>
      <c r="AF2522" s="5">
        <f t="shared" si="375"/>
        <v>0</v>
      </c>
      <c r="AG2522" s="2">
        <v>0</v>
      </c>
      <c r="AH2522" s="5">
        <f t="shared" si="379"/>
        <v>0</v>
      </c>
      <c r="AJ2522" s="126" t="e">
        <v>#N/A</v>
      </c>
      <c r="AK2522" s="80">
        <f t="shared" si="376"/>
        <v>0</v>
      </c>
      <c r="AM2522" s="85"/>
    </row>
    <row r="2523" spans="1:39" hidden="1" x14ac:dyDescent="0.3">
      <c r="A2523" s="85" t="s">
        <v>34</v>
      </c>
      <c r="B2523" s="15" t="s">
        <v>35</v>
      </c>
      <c r="C2523" s="15" t="s">
        <v>2029</v>
      </c>
      <c r="D2523" s="15" t="s">
        <v>54</v>
      </c>
      <c r="E2523" s="15" t="s">
        <v>2957</v>
      </c>
      <c r="F2523" s="15" t="s">
        <v>2957</v>
      </c>
      <c r="G2523" s="15" t="s">
        <v>2957</v>
      </c>
      <c r="H2523" s="154"/>
      <c r="I2523" s="3" t="s">
        <v>2935</v>
      </c>
      <c r="J2523" s="1" t="s">
        <v>3302</v>
      </c>
      <c r="K2523" s="1" t="s">
        <v>3281</v>
      </c>
      <c r="L2523" s="1" t="s">
        <v>35</v>
      </c>
      <c r="M2523" s="15" t="s">
        <v>2959</v>
      </c>
      <c r="N2523" s="15"/>
      <c r="O2523" s="8" t="s">
        <v>45</v>
      </c>
      <c r="P2523" s="8" t="s">
        <v>46</v>
      </c>
      <c r="Q2523" s="9">
        <v>0.05</v>
      </c>
      <c r="R2523" s="139">
        <v>110452</v>
      </c>
      <c r="T2523" s="6">
        <v>0</v>
      </c>
      <c r="U2523" s="4">
        <v>0</v>
      </c>
      <c r="V2523" s="4">
        <v>17443.18</v>
      </c>
      <c r="W2523" s="13">
        <f t="shared" si="377"/>
        <v>-17443.18</v>
      </c>
      <c r="X2523" s="13">
        <f t="shared" si="371"/>
        <v>16612.55238095238</v>
      </c>
      <c r="Y2523" s="13">
        <f t="shared" si="372"/>
        <v>0</v>
      </c>
      <c r="Z2523" s="2">
        <v>0</v>
      </c>
      <c r="AA2523" s="4">
        <v>0</v>
      </c>
      <c r="AB2523" s="4">
        <f t="shared" si="373"/>
        <v>16612.55238095238</v>
      </c>
      <c r="AC2523" s="6">
        <f t="shared" si="374"/>
        <v>830.6276190476201</v>
      </c>
      <c r="AD2523" s="13">
        <f t="shared" si="378"/>
        <v>17443.18</v>
      </c>
      <c r="AE2523" s="2">
        <v>0.18</v>
      </c>
      <c r="AF2523" s="5">
        <f t="shared" si="375"/>
        <v>3139.7723999999998</v>
      </c>
      <c r="AG2523" s="2">
        <v>0</v>
      </c>
      <c r="AH2523" s="5">
        <f t="shared" si="379"/>
        <v>17443.18</v>
      </c>
      <c r="AJ2523" s="126" t="e">
        <v>#N/A</v>
      </c>
      <c r="AK2523" s="80">
        <f t="shared" si="376"/>
        <v>0</v>
      </c>
      <c r="AM2523" s="85"/>
    </row>
    <row r="2524" spans="1:39" hidden="1" x14ac:dyDescent="0.3">
      <c r="A2524" s="85" t="s">
        <v>34</v>
      </c>
      <c r="B2524" s="15" t="s">
        <v>35</v>
      </c>
      <c r="C2524" s="15" t="s">
        <v>2029</v>
      </c>
      <c r="D2524" s="15" t="s">
        <v>54</v>
      </c>
      <c r="E2524" s="15" t="s">
        <v>2957</v>
      </c>
      <c r="F2524" s="15" t="s">
        <v>2957</v>
      </c>
      <c r="G2524" s="15" t="s">
        <v>2957</v>
      </c>
      <c r="H2524" s="154"/>
      <c r="I2524" s="3" t="s">
        <v>2935</v>
      </c>
      <c r="J2524" s="1" t="s">
        <v>3302</v>
      </c>
      <c r="K2524" s="1" t="s">
        <v>3281</v>
      </c>
      <c r="L2524" s="1" t="s">
        <v>35</v>
      </c>
      <c r="M2524" s="15" t="s">
        <v>2957</v>
      </c>
      <c r="N2524" s="15"/>
      <c r="O2524" s="8" t="s">
        <v>45</v>
      </c>
      <c r="P2524" s="8" t="s">
        <v>46</v>
      </c>
      <c r="Q2524" s="9">
        <v>0.08</v>
      </c>
      <c r="R2524" s="139">
        <v>108552</v>
      </c>
      <c r="T2524" s="6">
        <v>-903161.95000000007</v>
      </c>
      <c r="U2524" s="4">
        <v>0</v>
      </c>
      <c r="V2524" s="4">
        <v>31402.799999999999</v>
      </c>
      <c r="W2524" s="13">
        <f t="shared" si="377"/>
        <v>-934564.75000000012</v>
      </c>
      <c r="X2524" s="13">
        <f t="shared" si="371"/>
        <v>29076.666666666664</v>
      </c>
      <c r="Y2524" s="13">
        <f t="shared" si="372"/>
        <v>0</v>
      </c>
      <c r="Z2524" s="2">
        <v>0</v>
      </c>
      <c r="AA2524" s="4">
        <v>0</v>
      </c>
      <c r="AB2524" s="4">
        <f t="shared" si="373"/>
        <v>29076.666666666664</v>
      </c>
      <c r="AC2524" s="6">
        <f t="shared" si="374"/>
        <v>2326.133333333335</v>
      </c>
      <c r="AD2524" s="13">
        <f t="shared" si="378"/>
        <v>31402.799999999999</v>
      </c>
      <c r="AE2524" s="2">
        <v>0.18</v>
      </c>
      <c r="AF2524" s="5">
        <f t="shared" si="375"/>
        <v>5652.5039999999999</v>
      </c>
      <c r="AG2524" s="2">
        <v>0</v>
      </c>
      <c r="AH2524" s="5">
        <f t="shared" si="379"/>
        <v>31402.799999999999</v>
      </c>
      <c r="AJ2524" s="126" t="e">
        <v>#N/A</v>
      </c>
      <c r="AK2524" s="80">
        <f t="shared" si="376"/>
        <v>0</v>
      </c>
      <c r="AM2524" s="85"/>
    </row>
    <row r="2525" spans="1:39" hidden="1" x14ac:dyDescent="0.3">
      <c r="A2525" s="85" t="s">
        <v>34</v>
      </c>
      <c r="B2525" s="15" t="s">
        <v>35</v>
      </c>
      <c r="C2525" s="15" t="s">
        <v>47</v>
      </c>
      <c r="D2525" s="15" t="s">
        <v>48</v>
      </c>
      <c r="E2525" s="15" t="s">
        <v>3077</v>
      </c>
      <c r="F2525" s="15" t="s">
        <v>3077</v>
      </c>
      <c r="G2525" s="15" t="s">
        <v>3077</v>
      </c>
      <c r="H2525" s="139"/>
      <c r="I2525" s="3" t="s">
        <v>2935</v>
      </c>
      <c r="J2525" s="1" t="s">
        <v>3302</v>
      </c>
      <c r="K2525" s="1" t="s">
        <v>3281</v>
      </c>
      <c r="L2525" s="1" t="s">
        <v>35</v>
      </c>
      <c r="M2525" s="15" t="s">
        <v>3077</v>
      </c>
      <c r="N2525" s="15"/>
      <c r="O2525" s="8" t="s">
        <v>410</v>
      </c>
      <c r="P2525" s="8" t="s">
        <v>41</v>
      </c>
      <c r="Q2525" s="9">
        <v>0</v>
      </c>
      <c r="R2525" s="139">
        <v>169952</v>
      </c>
      <c r="T2525" s="6">
        <v>23558.670000000006</v>
      </c>
      <c r="U2525" s="4">
        <v>0</v>
      </c>
      <c r="V2525" s="4">
        <v>0</v>
      </c>
      <c r="W2525" s="13">
        <f t="shared" si="377"/>
        <v>23558.670000000006</v>
      </c>
      <c r="X2525" s="13">
        <f t="shared" si="371"/>
        <v>0</v>
      </c>
      <c r="Y2525" s="13">
        <f t="shared" si="372"/>
        <v>0</v>
      </c>
      <c r="Z2525" s="2">
        <v>0</v>
      </c>
      <c r="AA2525" s="4">
        <v>0</v>
      </c>
      <c r="AB2525" s="4">
        <f t="shared" si="373"/>
        <v>0</v>
      </c>
      <c r="AC2525" s="6">
        <f t="shared" si="374"/>
        <v>0</v>
      </c>
      <c r="AD2525" s="13">
        <f t="shared" si="378"/>
        <v>0</v>
      </c>
      <c r="AE2525" s="2">
        <v>0.09</v>
      </c>
      <c r="AF2525" s="5">
        <f t="shared" si="375"/>
        <v>0</v>
      </c>
      <c r="AG2525" s="2">
        <v>0</v>
      </c>
      <c r="AH2525" s="5">
        <f t="shared" si="379"/>
        <v>0</v>
      </c>
      <c r="AJ2525" s="126" t="e">
        <v>#N/A</v>
      </c>
      <c r="AK2525" s="80">
        <f t="shared" si="376"/>
        <v>0</v>
      </c>
      <c r="AM2525" s="85"/>
    </row>
    <row r="2526" spans="1:39" hidden="1" x14ac:dyDescent="0.3">
      <c r="A2526" s="85" t="s">
        <v>34</v>
      </c>
      <c r="B2526" s="15" t="s">
        <v>35</v>
      </c>
      <c r="C2526" s="15" t="s">
        <v>3078</v>
      </c>
      <c r="D2526" s="15" t="s">
        <v>3079</v>
      </c>
      <c r="E2526" s="15" t="s">
        <v>3080</v>
      </c>
      <c r="F2526" s="15" t="s">
        <v>3081</v>
      </c>
      <c r="G2526" s="15" t="s">
        <v>3080</v>
      </c>
      <c r="H2526" s="139"/>
      <c r="I2526" s="3" t="s">
        <v>2935</v>
      </c>
      <c r="J2526" s="1" t="s">
        <v>3302</v>
      </c>
      <c r="K2526" s="1" t="s">
        <v>3281</v>
      </c>
      <c r="L2526" s="1" t="s">
        <v>35</v>
      </c>
      <c r="M2526" s="15" t="s">
        <v>3082</v>
      </c>
      <c r="N2526" s="15"/>
      <c r="O2526" s="8" t="s">
        <v>410</v>
      </c>
      <c r="P2526" s="8" t="s">
        <v>46</v>
      </c>
      <c r="Q2526" s="9">
        <v>0.05</v>
      </c>
      <c r="R2526" s="139">
        <v>6815</v>
      </c>
      <c r="T2526" s="6">
        <v>427.65</v>
      </c>
      <c r="U2526" s="4">
        <v>0</v>
      </c>
      <c r="V2526" s="4">
        <v>0</v>
      </c>
      <c r="W2526" s="13">
        <f t="shared" si="377"/>
        <v>427.65</v>
      </c>
      <c r="X2526" s="13">
        <f t="shared" si="371"/>
        <v>0</v>
      </c>
      <c r="Y2526" s="13">
        <f t="shared" si="372"/>
        <v>0</v>
      </c>
      <c r="Z2526" s="2">
        <v>0</v>
      </c>
      <c r="AA2526" s="4">
        <v>0</v>
      </c>
      <c r="AB2526" s="4">
        <f t="shared" si="373"/>
        <v>0</v>
      </c>
      <c r="AC2526" s="6">
        <f t="shared" si="374"/>
        <v>0</v>
      </c>
      <c r="AD2526" s="13">
        <f t="shared" si="378"/>
        <v>0</v>
      </c>
      <c r="AE2526" s="2">
        <v>0.09</v>
      </c>
      <c r="AF2526" s="5">
        <f t="shared" si="375"/>
        <v>0</v>
      </c>
      <c r="AG2526" s="2">
        <v>0</v>
      </c>
      <c r="AH2526" s="5">
        <f t="shared" si="379"/>
        <v>0</v>
      </c>
      <c r="AJ2526" s="126" t="e">
        <v>#N/A</v>
      </c>
      <c r="AK2526" s="80">
        <f t="shared" si="376"/>
        <v>0</v>
      </c>
      <c r="AM2526" s="85"/>
    </row>
    <row r="2527" spans="1:39" hidden="1" x14ac:dyDescent="0.3">
      <c r="A2527" s="85" t="s">
        <v>34</v>
      </c>
      <c r="B2527" s="15" t="s">
        <v>35</v>
      </c>
      <c r="C2527" s="15" t="s">
        <v>59</v>
      </c>
      <c r="D2527" s="15" t="s">
        <v>60</v>
      </c>
      <c r="E2527" s="15" t="s">
        <v>891</v>
      </c>
      <c r="F2527" s="15" t="s">
        <v>3083</v>
      </c>
      <c r="G2527" s="15" t="s">
        <v>891</v>
      </c>
      <c r="H2527" s="139"/>
      <c r="I2527" s="3" t="s">
        <v>2935</v>
      </c>
      <c r="J2527" s="1" t="s">
        <v>3302</v>
      </c>
      <c r="K2527" s="1" t="s">
        <v>3281</v>
      </c>
      <c r="L2527" s="1" t="s">
        <v>35</v>
      </c>
      <c r="M2527" s="15" t="s">
        <v>3084</v>
      </c>
      <c r="N2527" s="15"/>
      <c r="O2527" s="8" t="s">
        <v>410</v>
      </c>
      <c r="P2527" s="8" t="s">
        <v>46</v>
      </c>
      <c r="Q2527" s="9">
        <v>0.02</v>
      </c>
      <c r="R2527" s="139">
        <v>3316</v>
      </c>
      <c r="T2527" s="6">
        <v>25000</v>
      </c>
      <c r="U2527" s="4">
        <v>0</v>
      </c>
      <c r="V2527" s="4">
        <v>0</v>
      </c>
      <c r="W2527" s="13">
        <f t="shared" si="377"/>
        <v>25000</v>
      </c>
      <c r="X2527" s="13">
        <f t="shared" si="371"/>
        <v>0</v>
      </c>
      <c r="Y2527" s="13">
        <f t="shared" si="372"/>
        <v>0</v>
      </c>
      <c r="Z2527" s="2">
        <v>0</v>
      </c>
      <c r="AA2527" s="4">
        <v>0</v>
      </c>
      <c r="AB2527" s="4">
        <f t="shared" si="373"/>
        <v>0</v>
      </c>
      <c r="AC2527" s="6">
        <f t="shared" si="374"/>
        <v>0</v>
      </c>
      <c r="AD2527" s="13">
        <f t="shared" si="378"/>
        <v>0</v>
      </c>
      <c r="AE2527" s="2">
        <v>0.09</v>
      </c>
      <c r="AF2527" s="5">
        <f t="shared" si="375"/>
        <v>0</v>
      </c>
      <c r="AG2527" s="2">
        <v>0</v>
      </c>
      <c r="AH2527" s="5">
        <f t="shared" si="379"/>
        <v>0</v>
      </c>
      <c r="AJ2527" s="126" t="e">
        <v>#N/A</v>
      </c>
      <c r="AK2527" s="80">
        <f t="shared" si="376"/>
        <v>0</v>
      </c>
      <c r="AM2527" s="85"/>
    </row>
    <row r="2528" spans="1:39" hidden="1" x14ac:dyDescent="0.3">
      <c r="A2528" s="85" t="s">
        <v>34</v>
      </c>
      <c r="B2528" s="15" t="s">
        <v>35</v>
      </c>
      <c r="C2528" s="15" t="s">
        <v>59</v>
      </c>
      <c r="D2528" s="15" t="s">
        <v>60</v>
      </c>
      <c r="E2528" s="15" t="s">
        <v>891</v>
      </c>
      <c r="F2528" s="15" t="s">
        <v>3085</v>
      </c>
      <c r="G2528" s="15" t="s">
        <v>891</v>
      </c>
      <c r="H2528" s="139"/>
      <c r="I2528" s="3" t="s">
        <v>2935</v>
      </c>
      <c r="J2528" s="1" t="s">
        <v>3302</v>
      </c>
      <c r="K2528" s="1" t="s">
        <v>3281</v>
      </c>
      <c r="L2528" s="1" t="s">
        <v>35</v>
      </c>
      <c r="M2528" s="15" t="s">
        <v>3084</v>
      </c>
      <c r="N2528" s="15"/>
      <c r="O2528" s="8" t="s">
        <v>410</v>
      </c>
      <c r="P2528" s="8" t="s">
        <v>46</v>
      </c>
      <c r="Q2528" s="9">
        <v>7.0000000000000007E-2</v>
      </c>
      <c r="R2528" s="139">
        <v>3316</v>
      </c>
      <c r="T2528" s="6">
        <v>9500</v>
      </c>
      <c r="U2528" s="4">
        <v>0</v>
      </c>
      <c r="V2528" s="4">
        <v>0</v>
      </c>
      <c r="W2528" s="13">
        <f t="shared" si="377"/>
        <v>9500</v>
      </c>
      <c r="X2528" s="13">
        <f t="shared" si="371"/>
        <v>0</v>
      </c>
      <c r="Y2528" s="13">
        <f t="shared" si="372"/>
        <v>0</v>
      </c>
      <c r="Z2528" s="2">
        <v>0</v>
      </c>
      <c r="AA2528" s="4">
        <v>0</v>
      </c>
      <c r="AB2528" s="4">
        <f t="shared" si="373"/>
        <v>0</v>
      </c>
      <c r="AC2528" s="6">
        <f t="shared" si="374"/>
        <v>0</v>
      </c>
      <c r="AD2528" s="13">
        <f t="shared" si="378"/>
        <v>0</v>
      </c>
      <c r="AE2528" s="2">
        <v>0.09</v>
      </c>
      <c r="AF2528" s="5">
        <f t="shared" si="375"/>
        <v>0</v>
      </c>
      <c r="AG2528" s="2">
        <v>0</v>
      </c>
      <c r="AH2528" s="5">
        <f t="shared" si="379"/>
        <v>0</v>
      </c>
      <c r="AJ2528" s="126" t="e">
        <v>#N/A</v>
      </c>
      <c r="AK2528" s="80">
        <f t="shared" si="376"/>
        <v>0</v>
      </c>
      <c r="AM2528" s="85"/>
    </row>
    <row r="2529" spans="1:39" hidden="1" x14ac:dyDescent="0.3">
      <c r="A2529" s="85" t="s">
        <v>34</v>
      </c>
      <c r="B2529" s="15" t="s">
        <v>35</v>
      </c>
      <c r="C2529" s="15" t="s">
        <v>59</v>
      </c>
      <c r="D2529" s="15" t="s">
        <v>60</v>
      </c>
      <c r="E2529" s="15" t="s">
        <v>3086</v>
      </c>
      <c r="F2529" s="15" t="s">
        <v>3086</v>
      </c>
      <c r="G2529" s="15" t="s">
        <v>3086</v>
      </c>
      <c r="H2529" s="139"/>
      <c r="I2529" s="3" t="s">
        <v>2935</v>
      </c>
      <c r="J2529" s="1" t="s">
        <v>3302</v>
      </c>
      <c r="K2529" s="1" t="s">
        <v>3281</v>
      </c>
      <c r="L2529" s="1" t="s">
        <v>35</v>
      </c>
      <c r="M2529" s="15" t="s">
        <v>3087</v>
      </c>
      <c r="N2529" s="15"/>
      <c r="O2529" s="8" t="s">
        <v>45</v>
      </c>
      <c r="P2529" s="8" t="s">
        <v>46</v>
      </c>
      <c r="Q2529" s="9">
        <v>0.02</v>
      </c>
      <c r="R2529" s="139">
        <v>181292</v>
      </c>
      <c r="T2529" s="6">
        <v>-1143.1799999999998</v>
      </c>
      <c r="U2529" s="4">
        <v>0</v>
      </c>
      <c r="V2529" s="4">
        <v>0</v>
      </c>
      <c r="W2529" s="13">
        <f t="shared" si="377"/>
        <v>-1143.1799999999998</v>
      </c>
      <c r="X2529" s="13">
        <f t="shared" ref="X2529:X2592" si="380">IF(P2529="折扣",V2529*Q2529,IF(P2529="返现",V2529,V2529/(1+Q2529)))</f>
        <v>0</v>
      </c>
      <c r="Y2529" s="13">
        <f t="shared" si="372"/>
        <v>0</v>
      </c>
      <c r="Z2529" s="2">
        <v>0</v>
      </c>
      <c r="AA2529" s="4">
        <v>0</v>
      </c>
      <c r="AB2529" s="4">
        <f t="shared" si="373"/>
        <v>0</v>
      </c>
      <c r="AC2529" s="6">
        <f t="shared" si="374"/>
        <v>0</v>
      </c>
      <c r="AD2529" s="13">
        <f t="shared" si="378"/>
        <v>0</v>
      </c>
      <c r="AE2529" s="2">
        <v>0.18</v>
      </c>
      <c r="AF2529" s="5">
        <f t="shared" si="375"/>
        <v>0</v>
      </c>
      <c r="AG2529" s="2">
        <v>0</v>
      </c>
      <c r="AH2529" s="5">
        <f t="shared" si="379"/>
        <v>0</v>
      </c>
      <c r="AJ2529" s="126" t="e">
        <v>#N/A</v>
      </c>
      <c r="AK2529" s="80">
        <f t="shared" si="376"/>
        <v>0</v>
      </c>
      <c r="AM2529" s="85"/>
    </row>
    <row r="2530" spans="1:39" hidden="1" x14ac:dyDescent="0.3">
      <c r="A2530" s="85" t="s">
        <v>34</v>
      </c>
      <c r="B2530" s="15" t="s">
        <v>35</v>
      </c>
      <c r="C2530" s="15" t="s">
        <v>59</v>
      </c>
      <c r="D2530" s="15" t="s">
        <v>60</v>
      </c>
      <c r="E2530" s="15" t="s">
        <v>3086</v>
      </c>
      <c r="F2530" s="15" t="s">
        <v>3086</v>
      </c>
      <c r="G2530" s="15" t="s">
        <v>3086</v>
      </c>
      <c r="H2530" s="139"/>
      <c r="I2530" s="3" t="s">
        <v>2935</v>
      </c>
      <c r="J2530" s="1" t="s">
        <v>3302</v>
      </c>
      <c r="K2530" s="1" t="s">
        <v>3281</v>
      </c>
      <c r="L2530" s="1" t="s">
        <v>35</v>
      </c>
      <c r="M2530" s="15" t="s">
        <v>3087</v>
      </c>
      <c r="N2530" s="15"/>
      <c r="O2530" s="8" t="s">
        <v>410</v>
      </c>
      <c r="P2530" s="8" t="s">
        <v>46</v>
      </c>
      <c r="Q2530" s="9">
        <v>0.02</v>
      </c>
      <c r="R2530" s="139">
        <v>181292</v>
      </c>
      <c r="T2530" s="6">
        <v>2808.2299999999996</v>
      </c>
      <c r="U2530" s="4">
        <v>0</v>
      </c>
      <c r="V2530" s="4">
        <v>0</v>
      </c>
      <c r="W2530" s="13">
        <f t="shared" si="377"/>
        <v>2808.2299999999996</v>
      </c>
      <c r="X2530" s="13">
        <f t="shared" si="380"/>
        <v>0</v>
      </c>
      <c r="Y2530" s="13">
        <f t="shared" si="372"/>
        <v>0</v>
      </c>
      <c r="Z2530" s="2">
        <v>0</v>
      </c>
      <c r="AA2530" s="4">
        <v>0</v>
      </c>
      <c r="AB2530" s="4">
        <f t="shared" si="373"/>
        <v>0</v>
      </c>
      <c r="AC2530" s="6">
        <f t="shared" si="374"/>
        <v>0</v>
      </c>
      <c r="AD2530" s="13">
        <f t="shared" si="378"/>
        <v>0</v>
      </c>
      <c r="AE2530" s="2">
        <v>0.09</v>
      </c>
      <c r="AF2530" s="5">
        <f t="shared" si="375"/>
        <v>0</v>
      </c>
      <c r="AG2530" s="2">
        <v>0</v>
      </c>
      <c r="AH2530" s="5">
        <f t="shared" si="379"/>
        <v>0</v>
      </c>
      <c r="AJ2530" s="126" t="e">
        <v>#N/A</v>
      </c>
      <c r="AK2530" s="80">
        <f t="shared" si="376"/>
        <v>0</v>
      </c>
      <c r="AM2530" s="85"/>
    </row>
    <row r="2531" spans="1:39" hidden="1" x14ac:dyDescent="0.3">
      <c r="A2531" s="85" t="s">
        <v>34</v>
      </c>
      <c r="B2531" s="15" t="s">
        <v>35</v>
      </c>
      <c r="C2531" s="15" t="s">
        <v>59</v>
      </c>
      <c r="D2531" s="15" t="s">
        <v>60</v>
      </c>
      <c r="E2531" s="15" t="s">
        <v>765</v>
      </c>
      <c r="F2531" s="15" t="s">
        <v>766</v>
      </c>
      <c r="G2531" s="15" t="s">
        <v>765</v>
      </c>
      <c r="H2531" s="154"/>
      <c r="I2531" s="3" t="s">
        <v>2935</v>
      </c>
      <c r="J2531" s="1" t="s">
        <v>3302</v>
      </c>
      <c r="K2531" s="1" t="s">
        <v>3281</v>
      </c>
      <c r="L2531" s="1" t="s">
        <v>35</v>
      </c>
      <c r="M2531" s="15" t="s">
        <v>2941</v>
      </c>
      <c r="N2531" s="15"/>
      <c r="O2531" s="8" t="s">
        <v>410</v>
      </c>
      <c r="P2531" s="8" t="s">
        <v>46</v>
      </c>
      <c r="Q2531" s="9">
        <v>0.05</v>
      </c>
      <c r="R2531" s="139">
        <v>6521</v>
      </c>
      <c r="T2531" s="6">
        <v>5860.05</v>
      </c>
      <c r="U2531" s="4">
        <v>0</v>
      </c>
      <c r="V2531" s="6">
        <v>5860.05</v>
      </c>
      <c r="W2531" s="13">
        <f t="shared" si="377"/>
        <v>0</v>
      </c>
      <c r="X2531" s="13">
        <f t="shared" si="380"/>
        <v>5581</v>
      </c>
      <c r="Y2531" s="13">
        <f t="shared" si="372"/>
        <v>0</v>
      </c>
      <c r="Z2531" s="2">
        <v>0</v>
      </c>
      <c r="AA2531" s="4">
        <v>0</v>
      </c>
      <c r="AB2531" s="4">
        <f t="shared" si="373"/>
        <v>5581</v>
      </c>
      <c r="AC2531" s="6">
        <f t="shared" si="374"/>
        <v>279.05000000000018</v>
      </c>
      <c r="AD2531" s="13">
        <f t="shared" si="378"/>
        <v>5860.05</v>
      </c>
      <c r="AE2531" s="2">
        <v>0.09</v>
      </c>
      <c r="AF2531" s="5">
        <f t="shared" si="375"/>
        <v>527.40449999999998</v>
      </c>
      <c r="AG2531" s="2">
        <v>0</v>
      </c>
      <c r="AH2531" s="5">
        <f t="shared" si="379"/>
        <v>5860.05</v>
      </c>
      <c r="AJ2531" s="126" t="e">
        <v>#N/A</v>
      </c>
      <c r="AK2531" s="80">
        <f t="shared" si="376"/>
        <v>0</v>
      </c>
      <c r="AM2531" s="85"/>
    </row>
    <row r="2532" spans="1:39" hidden="1" x14ac:dyDescent="0.3">
      <c r="A2532" s="85" t="s">
        <v>34</v>
      </c>
      <c r="B2532" s="15" t="s">
        <v>35</v>
      </c>
      <c r="C2532" s="15" t="s">
        <v>59</v>
      </c>
      <c r="D2532" s="15" t="s">
        <v>60</v>
      </c>
      <c r="E2532" s="15" t="s">
        <v>774</v>
      </c>
      <c r="F2532" s="15" t="s">
        <v>774</v>
      </c>
      <c r="G2532" s="15" t="s">
        <v>774</v>
      </c>
      <c r="H2532" s="139"/>
      <c r="I2532" s="3" t="s">
        <v>2935</v>
      </c>
      <c r="J2532" s="1" t="s">
        <v>3302</v>
      </c>
      <c r="K2532" s="1" t="s">
        <v>3281</v>
      </c>
      <c r="L2532" s="1" t="s">
        <v>35</v>
      </c>
      <c r="M2532" s="15" t="s">
        <v>3088</v>
      </c>
      <c r="N2532" s="15"/>
      <c r="O2532" s="8" t="s">
        <v>410</v>
      </c>
      <c r="P2532" s="8" t="s">
        <v>46</v>
      </c>
      <c r="Q2532" s="9">
        <v>7.0000000000000007E-2</v>
      </c>
      <c r="R2532" s="139">
        <v>7957</v>
      </c>
      <c r="T2532" s="6">
        <v>10079.870000000001</v>
      </c>
      <c r="U2532" s="4">
        <v>0</v>
      </c>
      <c r="V2532" s="4">
        <v>0</v>
      </c>
      <c r="W2532" s="13">
        <f t="shared" si="377"/>
        <v>10079.870000000001</v>
      </c>
      <c r="X2532" s="13">
        <f t="shared" si="380"/>
        <v>0</v>
      </c>
      <c r="Y2532" s="13">
        <f t="shared" si="372"/>
        <v>0</v>
      </c>
      <c r="Z2532" s="2">
        <v>0</v>
      </c>
      <c r="AA2532" s="4">
        <v>0</v>
      </c>
      <c r="AB2532" s="4">
        <f t="shared" si="373"/>
        <v>0</v>
      </c>
      <c r="AC2532" s="6">
        <f t="shared" si="374"/>
        <v>0</v>
      </c>
      <c r="AD2532" s="13">
        <f t="shared" si="378"/>
        <v>0</v>
      </c>
      <c r="AE2532" s="2">
        <v>0.09</v>
      </c>
      <c r="AF2532" s="5">
        <f t="shared" si="375"/>
        <v>0</v>
      </c>
      <c r="AG2532" s="2">
        <v>0</v>
      </c>
      <c r="AH2532" s="5">
        <f t="shared" si="379"/>
        <v>0</v>
      </c>
      <c r="AJ2532" s="126" t="e">
        <v>#N/A</v>
      </c>
      <c r="AK2532" s="80">
        <f t="shared" si="376"/>
        <v>0</v>
      </c>
      <c r="AM2532" s="85"/>
    </row>
    <row r="2533" spans="1:39" hidden="1" x14ac:dyDescent="0.3">
      <c r="A2533" s="85" t="s">
        <v>34</v>
      </c>
      <c r="B2533" s="15" t="s">
        <v>35</v>
      </c>
      <c r="C2533" s="15" t="s">
        <v>59</v>
      </c>
      <c r="D2533" s="15" t="s">
        <v>60</v>
      </c>
      <c r="E2533" s="15" t="s">
        <v>3040</v>
      </c>
      <c r="F2533" s="15" t="s">
        <v>3040</v>
      </c>
      <c r="G2533" s="15" t="s">
        <v>3040</v>
      </c>
      <c r="H2533" s="154"/>
      <c r="I2533" s="3" t="s">
        <v>2935</v>
      </c>
      <c r="J2533" s="1" t="s">
        <v>3302</v>
      </c>
      <c r="K2533" s="1" t="s">
        <v>3281</v>
      </c>
      <c r="L2533" s="1" t="s">
        <v>35</v>
      </c>
      <c r="M2533" s="15" t="s">
        <v>3040</v>
      </c>
      <c r="N2533" s="15"/>
      <c r="O2533" s="8" t="s">
        <v>45</v>
      </c>
      <c r="P2533" s="8" t="s">
        <v>41</v>
      </c>
      <c r="Q2533" s="9">
        <v>0</v>
      </c>
      <c r="R2533" s="139">
        <v>150932</v>
      </c>
      <c r="T2533" s="6">
        <v>-35629</v>
      </c>
      <c r="U2533" s="4">
        <v>0</v>
      </c>
      <c r="V2533" s="4">
        <v>4273.4399999999996</v>
      </c>
      <c r="W2533" s="13">
        <f t="shared" si="377"/>
        <v>-39902.44</v>
      </c>
      <c r="X2533" s="13">
        <f t="shared" si="380"/>
        <v>4273.4399999999996</v>
      </c>
      <c r="Y2533" s="13">
        <f t="shared" si="372"/>
        <v>0</v>
      </c>
      <c r="Z2533" s="2">
        <v>0</v>
      </c>
      <c r="AA2533" s="4">
        <v>0</v>
      </c>
      <c r="AB2533" s="4">
        <f t="shared" si="373"/>
        <v>4273.4399999999996</v>
      </c>
      <c r="AC2533" s="6">
        <f t="shared" si="374"/>
        <v>0</v>
      </c>
      <c r="AD2533" s="13">
        <f t="shared" si="378"/>
        <v>4273.4399999999996</v>
      </c>
      <c r="AE2533" s="2">
        <v>0.18</v>
      </c>
      <c r="AF2533" s="5">
        <f t="shared" si="375"/>
        <v>769.21919999999989</v>
      </c>
      <c r="AG2533" s="2">
        <v>0</v>
      </c>
      <c r="AH2533" s="5">
        <f t="shared" si="379"/>
        <v>4273.4399999999996</v>
      </c>
      <c r="AJ2533" s="126" t="e">
        <v>#N/A</v>
      </c>
      <c r="AK2533" s="80">
        <f t="shared" si="376"/>
        <v>0</v>
      </c>
      <c r="AM2533" s="85"/>
    </row>
    <row r="2534" spans="1:39" hidden="1" x14ac:dyDescent="0.3">
      <c r="A2534" s="85" t="s">
        <v>34</v>
      </c>
      <c r="B2534" s="15" t="s">
        <v>35</v>
      </c>
      <c r="C2534" s="15" t="s">
        <v>2059</v>
      </c>
      <c r="D2534" s="15" t="s">
        <v>185</v>
      </c>
      <c r="E2534" s="15" t="s">
        <v>3089</v>
      </c>
      <c r="F2534" s="15" t="s">
        <v>3089</v>
      </c>
      <c r="G2534" s="15" t="s">
        <v>3089</v>
      </c>
      <c r="H2534" s="139"/>
      <c r="I2534" s="3" t="s">
        <v>2935</v>
      </c>
      <c r="J2534" s="1" t="s">
        <v>3302</v>
      </c>
      <c r="K2534" s="1" t="s">
        <v>3281</v>
      </c>
      <c r="L2534" s="1" t="s">
        <v>35</v>
      </c>
      <c r="M2534" s="15" t="s">
        <v>3089</v>
      </c>
      <c r="N2534" s="15"/>
      <c r="O2534" s="8" t="s">
        <v>410</v>
      </c>
      <c r="P2534" s="8" t="s">
        <v>41</v>
      </c>
      <c r="Q2534" s="9">
        <v>0</v>
      </c>
      <c r="R2534" s="139">
        <v>90462</v>
      </c>
      <c r="T2534" s="6">
        <v>27897.68</v>
      </c>
      <c r="U2534" s="4">
        <v>0</v>
      </c>
      <c r="V2534" s="4">
        <v>0</v>
      </c>
      <c r="W2534" s="13">
        <f t="shared" si="377"/>
        <v>27897.68</v>
      </c>
      <c r="X2534" s="13">
        <f t="shared" si="380"/>
        <v>0</v>
      </c>
      <c r="Y2534" s="13">
        <f t="shared" si="372"/>
        <v>0</v>
      </c>
      <c r="Z2534" s="2">
        <v>0</v>
      </c>
      <c r="AA2534" s="4">
        <v>0</v>
      </c>
      <c r="AB2534" s="4">
        <f t="shared" si="373"/>
        <v>0</v>
      </c>
      <c r="AC2534" s="6">
        <f t="shared" si="374"/>
        <v>0</v>
      </c>
      <c r="AD2534" s="13">
        <f t="shared" si="378"/>
        <v>0</v>
      </c>
      <c r="AE2534" s="2">
        <v>0.09</v>
      </c>
      <c r="AF2534" s="5">
        <f t="shared" si="375"/>
        <v>0</v>
      </c>
      <c r="AG2534" s="2">
        <v>0</v>
      </c>
      <c r="AH2534" s="5">
        <f t="shared" si="379"/>
        <v>0</v>
      </c>
      <c r="AJ2534" s="126" t="e">
        <v>#N/A</v>
      </c>
      <c r="AK2534" s="80">
        <f t="shared" si="376"/>
        <v>0</v>
      </c>
      <c r="AM2534" s="85"/>
    </row>
    <row r="2535" spans="1:39" hidden="1" x14ac:dyDescent="0.3">
      <c r="A2535" s="85" t="s">
        <v>34</v>
      </c>
      <c r="B2535" s="15" t="s">
        <v>35</v>
      </c>
      <c r="C2535" s="15" t="s">
        <v>144</v>
      </c>
      <c r="D2535" s="15" t="s">
        <v>145</v>
      </c>
      <c r="E2535" s="15" t="s">
        <v>805</v>
      </c>
      <c r="F2535" s="15" t="s">
        <v>805</v>
      </c>
      <c r="G2535" s="15" t="s">
        <v>805</v>
      </c>
      <c r="H2535" s="139"/>
      <c r="I2535" s="3" t="s">
        <v>2935</v>
      </c>
      <c r="J2535" s="1" t="s">
        <v>3302</v>
      </c>
      <c r="K2535" s="1" t="s">
        <v>3281</v>
      </c>
      <c r="L2535" s="1" t="s">
        <v>35</v>
      </c>
      <c r="M2535" s="15" t="s">
        <v>3090</v>
      </c>
      <c r="N2535" s="15"/>
      <c r="O2535" s="8" t="s">
        <v>410</v>
      </c>
      <c r="P2535" s="8" t="s">
        <v>46</v>
      </c>
      <c r="Q2535" s="9">
        <v>0.02</v>
      </c>
      <c r="R2535" s="139">
        <v>6486</v>
      </c>
      <c r="T2535" s="6">
        <v>4006.75</v>
      </c>
      <c r="U2535" s="4">
        <v>0</v>
      </c>
      <c r="V2535" s="4">
        <v>0</v>
      </c>
      <c r="W2535" s="13">
        <f t="shared" si="377"/>
        <v>4006.75</v>
      </c>
      <c r="X2535" s="13">
        <f t="shared" si="380"/>
        <v>0</v>
      </c>
      <c r="Y2535" s="13">
        <f t="shared" si="372"/>
        <v>0</v>
      </c>
      <c r="Z2535" s="2">
        <v>0</v>
      </c>
      <c r="AA2535" s="4">
        <v>0</v>
      </c>
      <c r="AB2535" s="4">
        <f t="shared" si="373"/>
        <v>0</v>
      </c>
      <c r="AC2535" s="6">
        <f t="shared" si="374"/>
        <v>0</v>
      </c>
      <c r="AD2535" s="13">
        <f t="shared" si="378"/>
        <v>0</v>
      </c>
      <c r="AE2535" s="2">
        <v>0.09</v>
      </c>
      <c r="AF2535" s="5">
        <f t="shared" si="375"/>
        <v>0</v>
      </c>
      <c r="AG2535" s="2">
        <v>0</v>
      </c>
      <c r="AH2535" s="5">
        <f t="shared" si="379"/>
        <v>0</v>
      </c>
      <c r="AJ2535" s="126" t="e">
        <v>#N/A</v>
      </c>
      <c r="AK2535" s="80">
        <f t="shared" si="376"/>
        <v>0</v>
      </c>
      <c r="AM2535" s="85"/>
    </row>
    <row r="2536" spans="1:39" hidden="1" x14ac:dyDescent="0.3">
      <c r="A2536" s="85" t="s">
        <v>34</v>
      </c>
      <c r="B2536" s="15" t="s">
        <v>35</v>
      </c>
      <c r="C2536" s="15" t="s">
        <v>2059</v>
      </c>
      <c r="D2536" s="15" t="s">
        <v>185</v>
      </c>
      <c r="E2536" s="15" t="s">
        <v>3091</v>
      </c>
      <c r="F2536" s="15" t="s">
        <v>3091</v>
      </c>
      <c r="G2536" s="15" t="s">
        <v>3091</v>
      </c>
      <c r="H2536" s="139"/>
      <c r="I2536" s="3" t="s">
        <v>2935</v>
      </c>
      <c r="J2536" s="1" t="s">
        <v>3302</v>
      </c>
      <c r="K2536" s="1" t="s">
        <v>3281</v>
      </c>
      <c r="L2536" s="1" t="s">
        <v>35</v>
      </c>
      <c r="M2536" s="15" t="s">
        <v>3091</v>
      </c>
      <c r="N2536" s="15"/>
      <c r="O2536" s="8" t="s">
        <v>45</v>
      </c>
      <c r="P2536" s="8" t="s">
        <v>46</v>
      </c>
      <c r="Q2536" s="9">
        <v>0.04</v>
      </c>
      <c r="R2536" s="139">
        <v>94602</v>
      </c>
      <c r="T2536" s="6">
        <v>2238.3000000000002</v>
      </c>
      <c r="U2536" s="4">
        <v>0</v>
      </c>
      <c r="V2536" s="4">
        <v>0</v>
      </c>
      <c r="W2536" s="13">
        <f t="shared" si="377"/>
        <v>2238.3000000000002</v>
      </c>
      <c r="X2536" s="13">
        <f t="shared" si="380"/>
        <v>0</v>
      </c>
      <c r="Y2536" s="13">
        <f t="shared" si="372"/>
        <v>0</v>
      </c>
      <c r="Z2536" s="2">
        <v>0</v>
      </c>
      <c r="AA2536" s="4">
        <v>0</v>
      </c>
      <c r="AB2536" s="4">
        <f t="shared" si="373"/>
        <v>0</v>
      </c>
      <c r="AC2536" s="6">
        <f t="shared" si="374"/>
        <v>0</v>
      </c>
      <c r="AD2536" s="13">
        <f t="shared" si="378"/>
        <v>0</v>
      </c>
      <c r="AE2536" s="2">
        <v>0.18</v>
      </c>
      <c r="AF2536" s="5">
        <f t="shared" si="375"/>
        <v>0</v>
      </c>
      <c r="AG2536" s="2">
        <v>0</v>
      </c>
      <c r="AH2536" s="5">
        <f t="shared" si="379"/>
        <v>0</v>
      </c>
      <c r="AJ2536" s="126" t="e">
        <v>#N/A</v>
      </c>
      <c r="AK2536" s="80">
        <f t="shared" si="376"/>
        <v>0</v>
      </c>
      <c r="AM2536" s="85"/>
    </row>
    <row r="2537" spans="1:39" hidden="1" x14ac:dyDescent="0.3">
      <c r="A2537" s="85" t="s">
        <v>34</v>
      </c>
      <c r="B2537" s="15" t="s">
        <v>35</v>
      </c>
      <c r="C2537" s="15" t="s">
        <v>2059</v>
      </c>
      <c r="D2537" s="15" t="s">
        <v>185</v>
      </c>
      <c r="E2537" s="15" t="s">
        <v>2113</v>
      </c>
      <c r="F2537" s="15" t="s">
        <v>2113</v>
      </c>
      <c r="G2537" s="15" t="s">
        <v>2113</v>
      </c>
      <c r="H2537" s="139"/>
      <c r="I2537" s="3" t="s">
        <v>2935</v>
      </c>
      <c r="J2537" s="1" t="s">
        <v>3302</v>
      </c>
      <c r="K2537" s="1" t="s">
        <v>3281</v>
      </c>
      <c r="L2537" s="1" t="s">
        <v>35</v>
      </c>
      <c r="M2537" s="15" t="s">
        <v>2113</v>
      </c>
      <c r="N2537" s="15"/>
      <c r="O2537" s="8" t="s">
        <v>410</v>
      </c>
      <c r="P2537" s="8" t="s">
        <v>41</v>
      </c>
      <c r="Q2537" s="9">
        <v>0</v>
      </c>
      <c r="R2537" s="139">
        <v>90942</v>
      </c>
      <c r="T2537" s="6">
        <v>4257.3999999999996</v>
      </c>
      <c r="U2537" s="4">
        <v>0</v>
      </c>
      <c r="V2537" s="4">
        <v>0</v>
      </c>
      <c r="W2537" s="13">
        <f t="shared" si="377"/>
        <v>4257.3999999999996</v>
      </c>
      <c r="X2537" s="13">
        <f t="shared" si="380"/>
        <v>0</v>
      </c>
      <c r="Y2537" s="13">
        <f t="shared" si="372"/>
        <v>0</v>
      </c>
      <c r="Z2537" s="2">
        <v>0</v>
      </c>
      <c r="AA2537" s="4">
        <v>0</v>
      </c>
      <c r="AB2537" s="4">
        <f t="shared" si="373"/>
        <v>0</v>
      </c>
      <c r="AC2537" s="6">
        <f t="shared" si="374"/>
        <v>0</v>
      </c>
      <c r="AD2537" s="13">
        <f t="shared" si="378"/>
        <v>0</v>
      </c>
      <c r="AE2537" s="2">
        <v>0.09</v>
      </c>
      <c r="AF2537" s="5">
        <f t="shared" si="375"/>
        <v>0</v>
      </c>
      <c r="AG2537" s="2">
        <v>0</v>
      </c>
      <c r="AH2537" s="5">
        <f t="shared" si="379"/>
        <v>0</v>
      </c>
      <c r="AJ2537" s="126" t="e">
        <v>#N/A</v>
      </c>
      <c r="AK2537" s="80">
        <f t="shared" si="376"/>
        <v>0</v>
      </c>
      <c r="AM2537" s="85"/>
    </row>
    <row r="2538" spans="1:39" hidden="1" x14ac:dyDescent="0.3">
      <c r="A2538" s="85" t="s">
        <v>34</v>
      </c>
      <c r="B2538" s="15" t="s">
        <v>35</v>
      </c>
      <c r="C2538" s="15" t="s">
        <v>2029</v>
      </c>
      <c r="D2538" s="15" t="s">
        <v>224</v>
      </c>
      <c r="E2538" s="15" t="s">
        <v>3092</v>
      </c>
      <c r="F2538" s="15" t="s">
        <v>3092</v>
      </c>
      <c r="G2538" s="15" t="s">
        <v>3092</v>
      </c>
      <c r="H2538" s="154"/>
      <c r="I2538" s="3" t="s">
        <v>2935</v>
      </c>
      <c r="J2538" s="1" t="s">
        <v>3302</v>
      </c>
      <c r="K2538" s="1" t="s">
        <v>3281</v>
      </c>
      <c r="L2538" s="1" t="s">
        <v>35</v>
      </c>
      <c r="M2538" s="15" t="s">
        <v>3093</v>
      </c>
      <c r="N2538" s="15"/>
      <c r="O2538" s="8" t="s">
        <v>410</v>
      </c>
      <c r="P2538" s="8" t="s">
        <v>41</v>
      </c>
      <c r="Q2538" s="9">
        <v>0</v>
      </c>
      <c r="R2538" s="139">
        <v>157262</v>
      </c>
      <c r="T2538" s="6">
        <v>26.380000000000791</v>
      </c>
      <c r="U2538" s="4">
        <v>0</v>
      </c>
      <c r="V2538" s="4">
        <v>26.38</v>
      </c>
      <c r="W2538" s="13">
        <f t="shared" si="377"/>
        <v>7.9225515037251171E-13</v>
      </c>
      <c r="X2538" s="13">
        <f t="shared" si="380"/>
        <v>26.38</v>
      </c>
      <c r="Y2538" s="13">
        <f t="shared" si="372"/>
        <v>0</v>
      </c>
      <c r="Z2538" s="2">
        <v>0</v>
      </c>
      <c r="AA2538" s="4">
        <v>0</v>
      </c>
      <c r="AB2538" s="4">
        <f t="shared" si="373"/>
        <v>26.38</v>
      </c>
      <c r="AC2538" s="6">
        <f t="shared" si="374"/>
        <v>0</v>
      </c>
      <c r="AD2538" s="13">
        <f t="shared" si="378"/>
        <v>26.38</v>
      </c>
      <c r="AE2538" s="2">
        <v>0.09</v>
      </c>
      <c r="AF2538" s="5">
        <f t="shared" si="375"/>
        <v>2.3741999999999996</v>
      </c>
      <c r="AG2538" s="2">
        <v>0</v>
      </c>
      <c r="AH2538" s="5">
        <f t="shared" si="379"/>
        <v>26.38</v>
      </c>
      <c r="AJ2538" s="126" t="e">
        <v>#N/A</v>
      </c>
      <c r="AK2538" s="80">
        <f t="shared" si="376"/>
        <v>0</v>
      </c>
      <c r="AM2538" s="85"/>
    </row>
    <row r="2539" spans="1:39" hidden="1" x14ac:dyDescent="0.3">
      <c r="A2539" s="85" t="s">
        <v>34</v>
      </c>
      <c r="B2539" s="15" t="s">
        <v>35</v>
      </c>
      <c r="C2539" s="15" t="s">
        <v>164</v>
      </c>
      <c r="D2539" s="15" t="s">
        <v>165</v>
      </c>
      <c r="E2539" s="15" t="s">
        <v>2129</v>
      </c>
      <c r="F2539" s="15" t="s">
        <v>2129</v>
      </c>
      <c r="G2539" s="15" t="s">
        <v>2129</v>
      </c>
      <c r="H2539" s="154"/>
      <c r="I2539" s="3" t="s">
        <v>2935</v>
      </c>
      <c r="J2539" s="1" t="s">
        <v>3302</v>
      </c>
      <c r="K2539" s="1" t="s">
        <v>3281</v>
      </c>
      <c r="L2539" s="1" t="s">
        <v>35</v>
      </c>
      <c r="M2539" s="15" t="s">
        <v>1539</v>
      </c>
      <c r="N2539" s="15"/>
      <c r="O2539" s="8" t="s">
        <v>45</v>
      </c>
      <c r="P2539" s="8" t="s">
        <v>41</v>
      </c>
      <c r="Q2539" s="9">
        <v>0</v>
      </c>
      <c r="R2539" s="139">
        <v>20182</v>
      </c>
      <c r="T2539" s="6">
        <v>-2085098.3900000001</v>
      </c>
      <c r="U2539" s="4">
        <v>0</v>
      </c>
      <c r="V2539" s="4">
        <v>247818.64</v>
      </c>
      <c r="W2539" s="13">
        <f t="shared" si="377"/>
        <v>-2332917.0300000003</v>
      </c>
      <c r="X2539" s="13">
        <f t="shared" si="380"/>
        <v>247818.64</v>
      </c>
      <c r="Y2539" s="13">
        <f t="shared" si="372"/>
        <v>0</v>
      </c>
      <c r="Z2539" s="2">
        <v>0</v>
      </c>
      <c r="AA2539" s="4">
        <v>0</v>
      </c>
      <c r="AB2539" s="4">
        <f t="shared" si="373"/>
        <v>247818.64</v>
      </c>
      <c r="AC2539" s="6">
        <f t="shared" si="374"/>
        <v>0</v>
      </c>
      <c r="AD2539" s="13">
        <f t="shared" si="378"/>
        <v>247818.64</v>
      </c>
      <c r="AE2539" s="2">
        <v>0.18</v>
      </c>
      <c r="AF2539" s="5">
        <f t="shared" si="375"/>
        <v>44607.355199999998</v>
      </c>
      <c r="AG2539" s="2">
        <v>0</v>
      </c>
      <c r="AH2539" s="5">
        <f t="shared" si="379"/>
        <v>247818.64</v>
      </c>
      <c r="AJ2539" s="126" t="e">
        <v>#N/A</v>
      </c>
      <c r="AK2539" s="80">
        <f t="shared" si="376"/>
        <v>0</v>
      </c>
      <c r="AM2539" s="85"/>
    </row>
    <row r="2540" spans="1:39" hidden="1" x14ac:dyDescent="0.3">
      <c r="A2540" s="85" t="s">
        <v>34</v>
      </c>
      <c r="B2540" s="15" t="s">
        <v>35</v>
      </c>
      <c r="C2540" s="15" t="s">
        <v>164</v>
      </c>
      <c r="D2540" s="15" t="s">
        <v>165</v>
      </c>
      <c r="E2540" s="15" t="s">
        <v>2129</v>
      </c>
      <c r="F2540" s="15" t="s">
        <v>2129</v>
      </c>
      <c r="G2540" s="15" t="s">
        <v>2129</v>
      </c>
      <c r="H2540" s="139"/>
      <c r="I2540" s="3" t="s">
        <v>2935</v>
      </c>
      <c r="J2540" s="1" t="s">
        <v>3302</v>
      </c>
      <c r="K2540" s="1" t="s">
        <v>3281</v>
      </c>
      <c r="L2540" s="1" t="s">
        <v>35</v>
      </c>
      <c r="M2540" s="15" t="s">
        <v>2129</v>
      </c>
      <c r="N2540" s="15"/>
      <c r="O2540" s="8" t="s">
        <v>410</v>
      </c>
      <c r="P2540" s="8" t="s">
        <v>46</v>
      </c>
      <c r="Q2540" s="9">
        <v>0.01</v>
      </c>
      <c r="R2540" s="139">
        <v>105642</v>
      </c>
      <c r="T2540" s="6">
        <v>33802.089999999997</v>
      </c>
      <c r="U2540" s="4">
        <v>0</v>
      </c>
      <c r="V2540" s="4">
        <v>0</v>
      </c>
      <c r="W2540" s="13">
        <f t="shared" si="377"/>
        <v>33802.089999999997</v>
      </c>
      <c r="X2540" s="13">
        <f t="shared" si="380"/>
        <v>0</v>
      </c>
      <c r="Y2540" s="13">
        <f t="shared" si="372"/>
        <v>0</v>
      </c>
      <c r="Z2540" s="2">
        <v>0</v>
      </c>
      <c r="AA2540" s="4">
        <v>0</v>
      </c>
      <c r="AB2540" s="4">
        <f t="shared" si="373"/>
        <v>0</v>
      </c>
      <c r="AC2540" s="6">
        <f t="shared" si="374"/>
        <v>0</v>
      </c>
      <c r="AD2540" s="13">
        <f t="shared" si="378"/>
        <v>0</v>
      </c>
      <c r="AE2540" s="2">
        <v>0.09</v>
      </c>
      <c r="AF2540" s="5">
        <f t="shared" si="375"/>
        <v>0</v>
      </c>
      <c r="AG2540" s="2">
        <v>0</v>
      </c>
      <c r="AH2540" s="5">
        <f t="shared" si="379"/>
        <v>0</v>
      </c>
      <c r="AJ2540" s="126" t="e">
        <v>#N/A</v>
      </c>
      <c r="AK2540" s="80">
        <f t="shared" si="376"/>
        <v>0</v>
      </c>
      <c r="AM2540" s="85"/>
    </row>
    <row r="2541" spans="1:39" hidden="1" x14ac:dyDescent="0.3">
      <c r="A2541" s="85" t="s">
        <v>34</v>
      </c>
      <c r="B2541" s="15" t="s">
        <v>35</v>
      </c>
      <c r="C2541" s="15" t="s">
        <v>2059</v>
      </c>
      <c r="D2541" s="15" t="s">
        <v>298</v>
      </c>
      <c r="E2541" s="15" t="s">
        <v>831</v>
      </c>
      <c r="F2541" s="15" t="s">
        <v>831</v>
      </c>
      <c r="G2541" s="15" t="s">
        <v>831</v>
      </c>
      <c r="H2541" s="139"/>
      <c r="I2541" s="3" t="s">
        <v>2935</v>
      </c>
      <c r="J2541" s="1" t="s">
        <v>3302</v>
      </c>
      <c r="K2541" s="1" t="s">
        <v>3281</v>
      </c>
      <c r="L2541" s="1" t="s">
        <v>35</v>
      </c>
      <c r="M2541" s="15" t="s">
        <v>3094</v>
      </c>
      <c r="N2541" s="15"/>
      <c r="O2541" s="8" t="s">
        <v>45</v>
      </c>
      <c r="P2541" s="8" t="s">
        <v>46</v>
      </c>
      <c r="Q2541" s="9">
        <v>0.15</v>
      </c>
      <c r="R2541" s="139">
        <v>9039</v>
      </c>
      <c r="T2541" s="6">
        <v>1153.1199999999999</v>
      </c>
      <c r="U2541" s="4">
        <v>0</v>
      </c>
      <c r="V2541" s="4">
        <v>0</v>
      </c>
      <c r="W2541" s="13">
        <f t="shared" si="377"/>
        <v>1153.1199999999999</v>
      </c>
      <c r="X2541" s="13">
        <f t="shared" si="380"/>
        <v>0</v>
      </c>
      <c r="Y2541" s="13">
        <f t="shared" si="372"/>
        <v>0</v>
      </c>
      <c r="Z2541" s="2">
        <v>0</v>
      </c>
      <c r="AA2541" s="4">
        <v>0</v>
      </c>
      <c r="AB2541" s="4"/>
      <c r="AC2541" s="6">
        <f t="shared" si="374"/>
        <v>0</v>
      </c>
      <c r="AD2541" s="13">
        <f t="shared" si="378"/>
        <v>0</v>
      </c>
      <c r="AE2541" s="2">
        <v>0.18</v>
      </c>
      <c r="AF2541" s="5">
        <f t="shared" si="375"/>
        <v>0</v>
      </c>
      <c r="AG2541" s="2">
        <v>0</v>
      </c>
      <c r="AH2541" s="5">
        <f t="shared" si="379"/>
        <v>0</v>
      </c>
      <c r="AJ2541" s="126">
        <v>25</v>
      </c>
      <c r="AK2541" s="80">
        <f t="shared" si="376"/>
        <v>0</v>
      </c>
      <c r="AM2541" s="85"/>
    </row>
    <row r="2542" spans="1:39" hidden="1" x14ac:dyDescent="0.3">
      <c r="A2542" s="85" t="s">
        <v>34</v>
      </c>
      <c r="B2542" s="15" t="s">
        <v>35</v>
      </c>
      <c r="C2542" s="15" t="s">
        <v>2059</v>
      </c>
      <c r="D2542" s="15" t="s">
        <v>298</v>
      </c>
      <c r="E2542" s="15" t="s">
        <v>833</v>
      </c>
      <c r="F2542" s="15" t="s">
        <v>833</v>
      </c>
      <c r="G2542" s="15" t="s">
        <v>833</v>
      </c>
      <c r="H2542" s="139"/>
      <c r="I2542" s="3" t="s">
        <v>2935</v>
      </c>
      <c r="J2542" s="1" t="s">
        <v>3302</v>
      </c>
      <c r="K2542" s="1" t="s">
        <v>3281</v>
      </c>
      <c r="L2542" s="1" t="s">
        <v>35</v>
      </c>
      <c r="M2542" s="15" t="s">
        <v>3095</v>
      </c>
      <c r="N2542" s="15"/>
      <c r="O2542" s="8" t="s">
        <v>410</v>
      </c>
      <c r="P2542" s="8" t="s">
        <v>41</v>
      </c>
      <c r="Q2542" s="9">
        <v>0</v>
      </c>
      <c r="R2542" s="139">
        <v>7587</v>
      </c>
      <c r="T2542" s="6">
        <v>977.7</v>
      </c>
      <c r="U2542" s="4">
        <v>0</v>
      </c>
      <c r="V2542" s="4">
        <v>0</v>
      </c>
      <c r="W2542" s="13">
        <f t="shared" si="377"/>
        <v>977.7</v>
      </c>
      <c r="X2542" s="13">
        <f t="shared" si="380"/>
        <v>0</v>
      </c>
      <c r="Y2542" s="13">
        <f t="shared" si="372"/>
        <v>0</v>
      </c>
      <c r="Z2542" s="2">
        <v>0</v>
      </c>
      <c r="AA2542" s="4">
        <v>0</v>
      </c>
      <c r="AB2542" s="4">
        <f t="shared" si="373"/>
        <v>0</v>
      </c>
      <c r="AC2542" s="6">
        <f t="shared" si="374"/>
        <v>0</v>
      </c>
      <c r="AD2542" s="13">
        <f t="shared" si="378"/>
        <v>0</v>
      </c>
      <c r="AE2542" s="2">
        <v>0.09</v>
      </c>
      <c r="AF2542" s="5">
        <f t="shared" si="375"/>
        <v>0</v>
      </c>
      <c r="AG2542" s="2">
        <v>0</v>
      </c>
      <c r="AH2542" s="5">
        <f t="shared" si="379"/>
        <v>0</v>
      </c>
      <c r="AJ2542" s="126" t="e">
        <v>#N/A</v>
      </c>
      <c r="AK2542" s="80">
        <f t="shared" si="376"/>
        <v>0</v>
      </c>
      <c r="AM2542" s="85"/>
    </row>
    <row r="2543" spans="1:39" hidden="1" x14ac:dyDescent="0.3">
      <c r="A2543" s="85" t="s">
        <v>34</v>
      </c>
      <c r="B2543" s="15" t="s">
        <v>35</v>
      </c>
      <c r="C2543" s="15" t="s">
        <v>164</v>
      </c>
      <c r="D2543" s="15" t="s">
        <v>165</v>
      </c>
      <c r="E2543" s="15" t="s">
        <v>2806</v>
      </c>
      <c r="F2543" s="15" t="s">
        <v>2806</v>
      </c>
      <c r="G2543" s="15" t="s">
        <v>2806</v>
      </c>
      <c r="H2543" s="154"/>
      <c r="I2543" s="3" t="s">
        <v>2935</v>
      </c>
      <c r="J2543" s="1" t="s">
        <v>3302</v>
      </c>
      <c r="K2543" s="1" t="s">
        <v>3281</v>
      </c>
      <c r="L2543" s="1" t="s">
        <v>35</v>
      </c>
      <c r="M2543" s="15" t="s">
        <v>3010</v>
      </c>
      <c r="N2543" s="15"/>
      <c r="O2543" s="8" t="s">
        <v>45</v>
      </c>
      <c r="P2543" s="8" t="s">
        <v>41</v>
      </c>
      <c r="Q2543" s="9">
        <v>0</v>
      </c>
      <c r="R2543" s="139">
        <v>19782</v>
      </c>
      <c r="T2543" s="6">
        <v>-708428.61</v>
      </c>
      <c r="U2543" s="4">
        <v>0</v>
      </c>
      <c r="V2543" s="4">
        <v>23573.040000000001</v>
      </c>
      <c r="W2543" s="13">
        <f t="shared" si="377"/>
        <v>-732001.65</v>
      </c>
      <c r="X2543" s="13">
        <f t="shared" si="380"/>
        <v>23573.040000000001</v>
      </c>
      <c r="Y2543" s="13">
        <f t="shared" si="372"/>
        <v>0</v>
      </c>
      <c r="Z2543" s="2">
        <v>0</v>
      </c>
      <c r="AA2543" s="4">
        <v>0</v>
      </c>
      <c r="AB2543" s="4">
        <f t="shared" si="373"/>
        <v>23573.040000000001</v>
      </c>
      <c r="AC2543" s="6">
        <f t="shared" si="374"/>
        <v>0</v>
      </c>
      <c r="AD2543" s="13">
        <f t="shared" si="378"/>
        <v>23573.040000000001</v>
      </c>
      <c r="AE2543" s="2">
        <v>0.18</v>
      </c>
      <c r="AF2543" s="5">
        <f t="shared" si="375"/>
        <v>4243.1472000000003</v>
      </c>
      <c r="AG2543" s="2">
        <v>0</v>
      </c>
      <c r="AH2543" s="5">
        <f t="shared" si="379"/>
        <v>23573.040000000001</v>
      </c>
      <c r="AJ2543" s="126" t="e">
        <v>#N/A</v>
      </c>
      <c r="AK2543" s="80">
        <f t="shared" si="376"/>
        <v>0</v>
      </c>
      <c r="AM2543" s="85"/>
    </row>
    <row r="2544" spans="1:39" hidden="1" x14ac:dyDescent="0.3">
      <c r="A2544" s="85" t="s">
        <v>34</v>
      </c>
      <c r="B2544" s="15" t="s">
        <v>35</v>
      </c>
      <c r="C2544" s="15" t="s">
        <v>47</v>
      </c>
      <c r="D2544" s="15" t="s">
        <v>63</v>
      </c>
      <c r="E2544" s="15" t="s">
        <v>2772</v>
      </c>
      <c r="F2544" s="15" t="s">
        <v>2772</v>
      </c>
      <c r="G2544" s="15" t="s">
        <v>2772</v>
      </c>
      <c r="H2544" s="154"/>
      <c r="I2544" s="3" t="s">
        <v>2935</v>
      </c>
      <c r="J2544" s="1" t="s">
        <v>3302</v>
      </c>
      <c r="K2544" s="1" t="s">
        <v>3281</v>
      </c>
      <c r="L2544" s="1" t="s">
        <v>35</v>
      </c>
      <c r="M2544" s="15" t="s">
        <v>2974</v>
      </c>
      <c r="N2544" s="15"/>
      <c r="O2544" s="8" t="s">
        <v>45</v>
      </c>
      <c r="P2544" s="8" t="s">
        <v>41</v>
      </c>
      <c r="Q2544" s="9">
        <v>0</v>
      </c>
      <c r="R2544" s="139">
        <v>40472</v>
      </c>
      <c r="T2544" s="6">
        <v>-287441.90000000002</v>
      </c>
      <c r="U2544" s="4">
        <v>0</v>
      </c>
      <c r="V2544" s="4">
        <v>761.3</v>
      </c>
      <c r="W2544" s="13">
        <f t="shared" si="377"/>
        <v>-288203.2</v>
      </c>
      <c r="X2544" s="13">
        <f t="shared" si="380"/>
        <v>761.3</v>
      </c>
      <c r="Y2544" s="13">
        <f t="shared" si="372"/>
        <v>0</v>
      </c>
      <c r="Z2544" s="2">
        <v>0</v>
      </c>
      <c r="AA2544" s="4">
        <v>0</v>
      </c>
      <c r="AB2544" s="4">
        <f t="shared" si="373"/>
        <v>761.3</v>
      </c>
      <c r="AC2544" s="6">
        <f t="shared" si="374"/>
        <v>0</v>
      </c>
      <c r="AD2544" s="13">
        <f t="shared" si="378"/>
        <v>761.3</v>
      </c>
      <c r="AE2544" s="2">
        <v>0.18</v>
      </c>
      <c r="AF2544" s="5">
        <f t="shared" si="375"/>
        <v>137.03399999999999</v>
      </c>
      <c r="AG2544" s="2">
        <v>0</v>
      </c>
      <c r="AH2544" s="5">
        <f t="shared" si="379"/>
        <v>761.3</v>
      </c>
      <c r="AJ2544" s="126" t="e">
        <v>#N/A</v>
      </c>
      <c r="AK2544" s="80">
        <f t="shared" si="376"/>
        <v>0</v>
      </c>
      <c r="AM2544" s="85"/>
    </row>
    <row r="2545" spans="1:39" hidden="1" x14ac:dyDescent="0.3">
      <c r="A2545" s="85" t="s">
        <v>34</v>
      </c>
      <c r="B2545" s="15" t="s">
        <v>35</v>
      </c>
      <c r="C2545" s="15" t="s">
        <v>2059</v>
      </c>
      <c r="D2545" s="15" t="s">
        <v>185</v>
      </c>
      <c r="E2545" s="15" t="s">
        <v>3096</v>
      </c>
      <c r="F2545" s="15" t="s">
        <v>3096</v>
      </c>
      <c r="G2545" s="15" t="s">
        <v>3096</v>
      </c>
      <c r="H2545" s="139"/>
      <c r="I2545" s="3" t="s">
        <v>2935</v>
      </c>
      <c r="J2545" s="1" t="s">
        <v>3302</v>
      </c>
      <c r="K2545" s="1" t="s">
        <v>3281</v>
      </c>
      <c r="L2545" s="1" t="s">
        <v>35</v>
      </c>
      <c r="M2545" s="15" t="s">
        <v>3097</v>
      </c>
      <c r="N2545" s="15"/>
      <c r="O2545" s="8" t="s">
        <v>410</v>
      </c>
      <c r="P2545" s="8" t="s">
        <v>46</v>
      </c>
      <c r="Q2545" s="9">
        <v>0.05</v>
      </c>
      <c r="R2545" s="139">
        <v>6122</v>
      </c>
      <c r="T2545" s="6">
        <v>4458.1899999999996</v>
      </c>
      <c r="U2545" s="4">
        <v>0</v>
      </c>
      <c r="V2545" s="4">
        <v>0</v>
      </c>
      <c r="W2545" s="13">
        <f t="shared" si="377"/>
        <v>4458.1899999999996</v>
      </c>
      <c r="X2545" s="13">
        <f t="shared" si="380"/>
        <v>0</v>
      </c>
      <c r="Y2545" s="13">
        <f t="shared" si="372"/>
        <v>0</v>
      </c>
      <c r="Z2545" s="2">
        <v>0</v>
      </c>
      <c r="AA2545" s="4">
        <v>0</v>
      </c>
      <c r="AB2545" s="4">
        <f t="shared" si="373"/>
        <v>0</v>
      </c>
      <c r="AC2545" s="6">
        <f t="shared" si="374"/>
        <v>0</v>
      </c>
      <c r="AD2545" s="13">
        <f t="shared" si="378"/>
        <v>0</v>
      </c>
      <c r="AE2545" s="2">
        <v>0.09</v>
      </c>
      <c r="AF2545" s="5">
        <f t="shared" si="375"/>
        <v>0</v>
      </c>
      <c r="AG2545" s="2">
        <v>0</v>
      </c>
      <c r="AH2545" s="5">
        <f t="shared" si="379"/>
        <v>0</v>
      </c>
      <c r="AJ2545" s="126" t="e">
        <v>#N/A</v>
      </c>
      <c r="AK2545" s="80">
        <f t="shared" si="376"/>
        <v>0</v>
      </c>
      <c r="AM2545" s="85"/>
    </row>
    <row r="2546" spans="1:39" hidden="1" x14ac:dyDescent="0.3">
      <c r="A2546" s="85" t="s">
        <v>34</v>
      </c>
      <c r="B2546" s="15" t="s">
        <v>35</v>
      </c>
      <c r="C2546" s="15" t="s">
        <v>65</v>
      </c>
      <c r="D2546" s="15" t="s">
        <v>66</v>
      </c>
      <c r="E2546" s="15" t="s">
        <v>3098</v>
      </c>
      <c r="F2546" s="15" t="s">
        <v>3098</v>
      </c>
      <c r="G2546" s="15" t="s">
        <v>3098</v>
      </c>
      <c r="H2546" s="139"/>
      <c r="I2546" s="3" t="s">
        <v>2935</v>
      </c>
      <c r="J2546" s="1" t="s">
        <v>3302</v>
      </c>
      <c r="K2546" s="1" t="s">
        <v>3281</v>
      </c>
      <c r="L2546" s="1" t="s">
        <v>35</v>
      </c>
      <c r="M2546" s="15" t="s">
        <v>3099</v>
      </c>
      <c r="N2546" s="15"/>
      <c r="O2546" s="8" t="s">
        <v>410</v>
      </c>
      <c r="P2546" s="8" t="s">
        <v>46</v>
      </c>
      <c r="Q2546" s="9">
        <v>0.08</v>
      </c>
      <c r="R2546" s="139">
        <v>5508</v>
      </c>
      <c r="T2546" s="6">
        <v>69200.62</v>
      </c>
      <c r="U2546" s="4">
        <v>0</v>
      </c>
      <c r="V2546" s="4">
        <v>0</v>
      </c>
      <c r="W2546" s="13">
        <f t="shared" si="377"/>
        <v>69200.62</v>
      </c>
      <c r="X2546" s="13">
        <f t="shared" si="380"/>
        <v>0</v>
      </c>
      <c r="Y2546" s="13">
        <f t="shared" si="372"/>
        <v>0</v>
      </c>
      <c r="Z2546" s="2">
        <v>0</v>
      </c>
      <c r="AA2546" s="4">
        <v>0</v>
      </c>
      <c r="AB2546" s="4">
        <f t="shared" si="373"/>
        <v>0</v>
      </c>
      <c r="AC2546" s="6">
        <f t="shared" si="374"/>
        <v>0</v>
      </c>
      <c r="AD2546" s="13">
        <f t="shared" si="378"/>
        <v>0</v>
      </c>
      <c r="AE2546" s="2">
        <v>0.09</v>
      </c>
      <c r="AF2546" s="5">
        <f t="shared" si="375"/>
        <v>0</v>
      </c>
      <c r="AG2546" s="2">
        <v>0</v>
      </c>
      <c r="AH2546" s="5">
        <f t="shared" si="379"/>
        <v>0</v>
      </c>
      <c r="AJ2546" s="126" t="e">
        <v>#N/A</v>
      </c>
      <c r="AK2546" s="80">
        <f t="shared" si="376"/>
        <v>0</v>
      </c>
      <c r="AM2546" s="85"/>
    </row>
    <row r="2547" spans="1:39" hidden="1" x14ac:dyDescent="0.3">
      <c r="A2547" s="85" t="s">
        <v>34</v>
      </c>
      <c r="B2547" s="15" t="s">
        <v>35</v>
      </c>
      <c r="C2547" s="15" t="s">
        <v>65</v>
      </c>
      <c r="D2547" s="15" t="s">
        <v>66</v>
      </c>
      <c r="E2547" s="15" t="s">
        <v>1891</v>
      </c>
      <c r="F2547" s="15" t="s">
        <v>1891</v>
      </c>
      <c r="G2547" s="15" t="s">
        <v>1891</v>
      </c>
      <c r="H2547" s="139"/>
      <c r="I2547" s="3" t="s">
        <v>2935</v>
      </c>
      <c r="J2547" s="1" t="s">
        <v>3302</v>
      </c>
      <c r="K2547" s="1" t="s">
        <v>3281</v>
      </c>
      <c r="L2547" s="1" t="s">
        <v>35</v>
      </c>
      <c r="M2547" s="15" t="s">
        <v>3100</v>
      </c>
      <c r="N2547" s="15"/>
      <c r="O2547" s="8" t="s">
        <v>410</v>
      </c>
      <c r="P2547" s="8" t="s">
        <v>46</v>
      </c>
      <c r="Q2547" s="9">
        <v>0.06</v>
      </c>
      <c r="R2547" s="139">
        <v>3771</v>
      </c>
      <c r="T2547" s="6">
        <v>4331.8599999999997</v>
      </c>
      <c r="U2547" s="4">
        <v>0</v>
      </c>
      <c r="V2547" s="4">
        <v>0</v>
      </c>
      <c r="W2547" s="13">
        <f t="shared" si="377"/>
        <v>4331.8599999999997</v>
      </c>
      <c r="X2547" s="13">
        <f t="shared" si="380"/>
        <v>0</v>
      </c>
      <c r="Y2547" s="13">
        <f t="shared" si="372"/>
        <v>0</v>
      </c>
      <c r="Z2547" s="2">
        <v>0</v>
      </c>
      <c r="AA2547" s="4">
        <v>0</v>
      </c>
      <c r="AB2547" s="4">
        <f t="shared" si="373"/>
        <v>0</v>
      </c>
      <c r="AC2547" s="6">
        <f t="shared" si="374"/>
        <v>0</v>
      </c>
      <c r="AD2547" s="13">
        <f t="shared" si="378"/>
        <v>0</v>
      </c>
      <c r="AE2547" s="2">
        <v>0.09</v>
      </c>
      <c r="AF2547" s="5">
        <f t="shared" si="375"/>
        <v>0</v>
      </c>
      <c r="AG2547" s="2">
        <v>0</v>
      </c>
      <c r="AH2547" s="5">
        <f t="shared" si="379"/>
        <v>0</v>
      </c>
      <c r="AJ2547" s="126" t="e">
        <v>#N/A</v>
      </c>
      <c r="AK2547" s="80">
        <f t="shared" si="376"/>
        <v>0</v>
      </c>
      <c r="AM2547" s="85"/>
    </row>
    <row r="2548" spans="1:39" hidden="1" x14ac:dyDescent="0.3">
      <c r="A2548" s="85" t="s">
        <v>34</v>
      </c>
      <c r="B2548" s="15" t="s">
        <v>35</v>
      </c>
      <c r="C2548" s="15" t="s">
        <v>65</v>
      </c>
      <c r="D2548" s="15" t="s">
        <v>125</v>
      </c>
      <c r="E2548" s="15" t="s">
        <v>3101</v>
      </c>
      <c r="F2548" s="15" t="s">
        <v>3101</v>
      </c>
      <c r="G2548" s="15" t="s">
        <v>3101</v>
      </c>
      <c r="H2548" s="139"/>
      <c r="I2548" s="3" t="s">
        <v>2935</v>
      </c>
      <c r="J2548" s="1" t="s">
        <v>3302</v>
      </c>
      <c r="K2548" s="1" t="s">
        <v>3281</v>
      </c>
      <c r="L2548" s="1" t="s">
        <v>35</v>
      </c>
      <c r="M2548" s="15" t="s">
        <v>3102</v>
      </c>
      <c r="N2548" s="15"/>
      <c r="O2548" s="8" t="s">
        <v>45</v>
      </c>
      <c r="P2548" s="8" t="s">
        <v>46</v>
      </c>
      <c r="Q2548" s="9">
        <v>0.02</v>
      </c>
      <c r="R2548" s="139">
        <v>185192</v>
      </c>
      <c r="T2548" s="6">
        <v>-5342.56</v>
      </c>
      <c r="U2548" s="4">
        <v>0</v>
      </c>
      <c r="V2548" s="4">
        <v>0</v>
      </c>
      <c r="W2548" s="13">
        <f t="shared" si="377"/>
        <v>-5342.56</v>
      </c>
      <c r="X2548" s="13">
        <f t="shared" si="380"/>
        <v>0</v>
      </c>
      <c r="Y2548" s="13">
        <f t="shared" si="372"/>
        <v>0</v>
      </c>
      <c r="Z2548" s="2">
        <v>0</v>
      </c>
      <c r="AA2548" s="4">
        <v>0</v>
      </c>
      <c r="AB2548" s="4">
        <f t="shared" si="373"/>
        <v>0</v>
      </c>
      <c r="AC2548" s="6">
        <f t="shared" si="374"/>
        <v>0</v>
      </c>
      <c r="AD2548" s="13">
        <f t="shared" si="378"/>
        <v>0</v>
      </c>
      <c r="AE2548" s="2">
        <v>0.18</v>
      </c>
      <c r="AF2548" s="5">
        <f t="shared" si="375"/>
        <v>0</v>
      </c>
      <c r="AG2548" s="2">
        <v>0</v>
      </c>
      <c r="AH2548" s="5">
        <f t="shared" si="379"/>
        <v>0</v>
      </c>
      <c r="AJ2548" s="126" t="e">
        <v>#N/A</v>
      </c>
      <c r="AK2548" s="80">
        <f t="shared" si="376"/>
        <v>0</v>
      </c>
      <c r="AM2548" s="85"/>
    </row>
    <row r="2549" spans="1:39" hidden="1" x14ac:dyDescent="0.3">
      <c r="A2549" s="85" t="s">
        <v>34</v>
      </c>
      <c r="B2549" s="15" t="s">
        <v>35</v>
      </c>
      <c r="C2549" s="15" t="s">
        <v>65</v>
      </c>
      <c r="D2549" s="15" t="s">
        <v>125</v>
      </c>
      <c r="E2549" s="15" t="s">
        <v>3101</v>
      </c>
      <c r="F2549" s="15" t="s">
        <v>3101</v>
      </c>
      <c r="G2549" s="15" t="s">
        <v>3101</v>
      </c>
      <c r="H2549" s="139"/>
      <c r="I2549" s="3" t="s">
        <v>2935</v>
      </c>
      <c r="J2549" s="1" t="s">
        <v>3302</v>
      </c>
      <c r="K2549" s="1" t="s">
        <v>3281</v>
      </c>
      <c r="L2549" s="1" t="s">
        <v>35</v>
      </c>
      <c r="M2549" s="15" t="s">
        <v>3102</v>
      </c>
      <c r="N2549" s="15"/>
      <c r="O2549" s="8" t="s">
        <v>410</v>
      </c>
      <c r="P2549" s="8" t="s">
        <v>46</v>
      </c>
      <c r="Q2549" s="9">
        <v>0.02</v>
      </c>
      <c r="R2549" s="139">
        <v>185192</v>
      </c>
      <c r="T2549" s="6">
        <v>102479.85</v>
      </c>
      <c r="U2549" s="4">
        <v>0</v>
      </c>
      <c r="V2549" s="4">
        <v>0</v>
      </c>
      <c r="W2549" s="13">
        <f t="shared" si="377"/>
        <v>102479.85</v>
      </c>
      <c r="X2549" s="13">
        <f t="shared" si="380"/>
        <v>0</v>
      </c>
      <c r="Y2549" s="13">
        <f t="shared" si="372"/>
        <v>0</v>
      </c>
      <c r="Z2549" s="2">
        <v>0</v>
      </c>
      <c r="AA2549" s="4">
        <v>0</v>
      </c>
      <c r="AB2549" s="4">
        <f t="shared" si="373"/>
        <v>0</v>
      </c>
      <c r="AC2549" s="6">
        <f t="shared" si="374"/>
        <v>0</v>
      </c>
      <c r="AD2549" s="13">
        <f t="shared" si="378"/>
        <v>0</v>
      </c>
      <c r="AE2549" s="2">
        <v>0.09</v>
      </c>
      <c r="AF2549" s="5">
        <f t="shared" si="375"/>
        <v>0</v>
      </c>
      <c r="AG2549" s="2">
        <v>0</v>
      </c>
      <c r="AH2549" s="5">
        <f t="shared" si="379"/>
        <v>0</v>
      </c>
      <c r="AJ2549" s="126" t="e">
        <v>#N/A</v>
      </c>
      <c r="AK2549" s="80">
        <f t="shared" si="376"/>
        <v>0</v>
      </c>
      <c r="AM2549" s="85"/>
    </row>
    <row r="2550" spans="1:39" hidden="1" x14ac:dyDescent="0.3">
      <c r="A2550" s="85" t="s">
        <v>34</v>
      </c>
      <c r="B2550" s="15" t="s">
        <v>35</v>
      </c>
      <c r="C2550" s="15" t="s">
        <v>65</v>
      </c>
      <c r="D2550" s="15" t="s">
        <v>3047</v>
      </c>
      <c r="E2550" s="15" t="s">
        <v>1907</v>
      </c>
      <c r="F2550" s="15" t="s">
        <v>1908</v>
      </c>
      <c r="G2550" s="15" t="s">
        <v>1907</v>
      </c>
      <c r="H2550" s="139"/>
      <c r="I2550" s="3" t="s">
        <v>2935</v>
      </c>
      <c r="J2550" s="1" t="s">
        <v>3302</v>
      </c>
      <c r="K2550" s="1" t="s">
        <v>3281</v>
      </c>
      <c r="L2550" s="1" t="s">
        <v>35</v>
      </c>
      <c r="M2550" s="15" t="s">
        <v>483</v>
      </c>
      <c r="N2550" s="15"/>
      <c r="O2550" s="8" t="s">
        <v>45</v>
      </c>
      <c r="P2550" s="8" t="s">
        <v>41</v>
      </c>
      <c r="Q2550" s="9">
        <v>0</v>
      </c>
      <c r="R2550" s="139">
        <v>41252</v>
      </c>
      <c r="T2550" s="6">
        <v>-307236.3</v>
      </c>
      <c r="U2550" s="4">
        <v>0</v>
      </c>
      <c r="V2550" s="4">
        <v>0</v>
      </c>
      <c r="W2550" s="13">
        <f t="shared" si="377"/>
        <v>-307236.3</v>
      </c>
      <c r="X2550" s="13">
        <f t="shared" si="380"/>
        <v>0</v>
      </c>
      <c r="Y2550" s="13">
        <f t="shared" si="372"/>
        <v>0</v>
      </c>
      <c r="Z2550" s="2">
        <v>0</v>
      </c>
      <c r="AA2550" s="4">
        <v>0</v>
      </c>
      <c r="AB2550" s="4">
        <f t="shared" si="373"/>
        <v>0</v>
      </c>
      <c r="AC2550" s="6">
        <f t="shared" si="374"/>
        <v>0</v>
      </c>
      <c r="AD2550" s="13">
        <f t="shared" si="378"/>
        <v>0</v>
      </c>
      <c r="AE2550" s="2">
        <v>0.18</v>
      </c>
      <c r="AF2550" s="5">
        <f t="shared" si="375"/>
        <v>0</v>
      </c>
      <c r="AG2550" s="2">
        <v>0</v>
      </c>
      <c r="AH2550" s="5">
        <f t="shared" si="379"/>
        <v>0</v>
      </c>
      <c r="AJ2550" s="126" t="e">
        <v>#N/A</v>
      </c>
      <c r="AK2550" s="80">
        <f t="shared" si="376"/>
        <v>0</v>
      </c>
      <c r="AM2550" s="85"/>
    </row>
    <row r="2551" spans="1:39" hidden="1" x14ac:dyDescent="0.3">
      <c r="A2551" s="85" t="s">
        <v>34</v>
      </c>
      <c r="B2551" s="15" t="s">
        <v>35</v>
      </c>
      <c r="C2551" s="15" t="s">
        <v>47</v>
      </c>
      <c r="D2551" s="15" t="s">
        <v>48</v>
      </c>
      <c r="E2551" s="15" t="s">
        <v>2789</v>
      </c>
      <c r="F2551" s="15" t="s">
        <v>2789</v>
      </c>
      <c r="G2551" s="15" t="s">
        <v>2789</v>
      </c>
      <c r="H2551" s="154"/>
      <c r="I2551" s="3" t="s">
        <v>2935</v>
      </c>
      <c r="J2551" s="1" t="s">
        <v>3302</v>
      </c>
      <c r="K2551" s="1" t="s">
        <v>3281</v>
      </c>
      <c r="L2551" s="1" t="s">
        <v>35</v>
      </c>
      <c r="M2551" s="15" t="s">
        <v>2789</v>
      </c>
      <c r="N2551" s="15"/>
      <c r="O2551" s="8" t="s">
        <v>45</v>
      </c>
      <c r="P2551" s="8" t="s">
        <v>41</v>
      </c>
      <c r="Q2551" s="9">
        <v>0</v>
      </c>
      <c r="R2551" s="139">
        <v>34612</v>
      </c>
      <c r="T2551" s="6">
        <v>-1355881.6500000001</v>
      </c>
      <c r="U2551" s="4">
        <v>0</v>
      </c>
      <c r="V2551" s="4">
        <v>60427.94</v>
      </c>
      <c r="W2551" s="13">
        <f t="shared" si="377"/>
        <v>-1416309.59</v>
      </c>
      <c r="X2551" s="13">
        <f t="shared" si="380"/>
        <v>60427.94</v>
      </c>
      <c r="Y2551" s="13">
        <f t="shared" si="372"/>
        <v>0</v>
      </c>
      <c r="Z2551" s="2">
        <v>0</v>
      </c>
      <c r="AA2551" s="4">
        <v>0</v>
      </c>
      <c r="AB2551" s="4">
        <f t="shared" si="373"/>
        <v>60427.94</v>
      </c>
      <c r="AC2551" s="6">
        <f t="shared" si="374"/>
        <v>0</v>
      </c>
      <c r="AD2551" s="13">
        <f t="shared" si="378"/>
        <v>60427.94</v>
      </c>
      <c r="AE2551" s="2">
        <v>0.18</v>
      </c>
      <c r="AF2551" s="5">
        <f t="shared" si="375"/>
        <v>10877.029200000001</v>
      </c>
      <c r="AG2551" s="2">
        <v>0</v>
      </c>
      <c r="AH2551" s="5">
        <f t="shared" si="379"/>
        <v>60427.94</v>
      </c>
      <c r="AJ2551" s="126" t="e">
        <v>#N/A</v>
      </c>
      <c r="AK2551" s="80">
        <f t="shared" si="376"/>
        <v>0</v>
      </c>
      <c r="AM2551" s="85"/>
    </row>
    <row r="2552" spans="1:39" hidden="1" x14ac:dyDescent="0.3">
      <c r="A2552" s="85" t="s">
        <v>34</v>
      </c>
      <c r="B2552" s="15" t="s">
        <v>35</v>
      </c>
      <c r="C2552" s="15" t="s">
        <v>47</v>
      </c>
      <c r="D2552" s="15" t="s">
        <v>63</v>
      </c>
      <c r="E2552" s="15" t="s">
        <v>3103</v>
      </c>
      <c r="F2552" s="15" t="s">
        <v>3103</v>
      </c>
      <c r="G2552" s="15" t="s">
        <v>3103</v>
      </c>
      <c r="H2552" s="139"/>
      <c r="I2552" s="3" t="s">
        <v>2935</v>
      </c>
      <c r="J2552" s="1" t="s">
        <v>3302</v>
      </c>
      <c r="K2552" s="1" t="s">
        <v>3281</v>
      </c>
      <c r="L2552" s="1" t="s">
        <v>35</v>
      </c>
      <c r="M2552" s="15" t="s">
        <v>3104</v>
      </c>
      <c r="N2552" s="15"/>
      <c r="O2552" s="8" t="s">
        <v>410</v>
      </c>
      <c r="P2552" s="8" t="s">
        <v>46</v>
      </c>
      <c r="Q2552" s="9">
        <v>0.06</v>
      </c>
      <c r="R2552" s="139">
        <v>8028</v>
      </c>
      <c r="T2552" s="6">
        <v>10000</v>
      </c>
      <c r="U2552" s="4">
        <v>0</v>
      </c>
      <c r="V2552" s="4">
        <v>0</v>
      </c>
      <c r="W2552" s="13">
        <f t="shared" si="377"/>
        <v>10000</v>
      </c>
      <c r="X2552" s="13">
        <f t="shared" si="380"/>
        <v>0</v>
      </c>
      <c r="Y2552" s="13">
        <f t="shared" si="372"/>
        <v>0</v>
      </c>
      <c r="Z2552" s="2">
        <v>0</v>
      </c>
      <c r="AA2552" s="4">
        <v>0</v>
      </c>
      <c r="AB2552" s="4">
        <f t="shared" si="373"/>
        <v>0</v>
      </c>
      <c r="AC2552" s="6">
        <f t="shared" si="374"/>
        <v>0</v>
      </c>
      <c r="AD2552" s="13">
        <f t="shared" si="378"/>
        <v>0</v>
      </c>
      <c r="AE2552" s="2">
        <v>0.09</v>
      </c>
      <c r="AF2552" s="5">
        <f t="shared" si="375"/>
        <v>0</v>
      </c>
      <c r="AG2552" s="2">
        <v>0</v>
      </c>
      <c r="AH2552" s="5">
        <f t="shared" si="379"/>
        <v>0</v>
      </c>
      <c r="AJ2552" s="126" t="e">
        <v>#N/A</v>
      </c>
      <c r="AK2552" s="80">
        <f t="shared" si="376"/>
        <v>0</v>
      </c>
      <c r="AM2552" s="85"/>
    </row>
    <row r="2553" spans="1:39" hidden="1" x14ac:dyDescent="0.3">
      <c r="A2553" s="85" t="s">
        <v>34</v>
      </c>
      <c r="B2553" s="15" t="s">
        <v>35</v>
      </c>
      <c r="C2553" s="15" t="s">
        <v>47</v>
      </c>
      <c r="D2553" s="15" t="s">
        <v>63</v>
      </c>
      <c r="E2553" s="15" t="s">
        <v>3105</v>
      </c>
      <c r="F2553" s="15" t="s">
        <v>3105</v>
      </c>
      <c r="G2553" s="15" t="s">
        <v>3105</v>
      </c>
      <c r="H2553" s="139"/>
      <c r="I2553" s="3" t="s">
        <v>2935</v>
      </c>
      <c r="J2553" s="1" t="s">
        <v>3302</v>
      </c>
      <c r="K2553" s="1" t="s">
        <v>3281</v>
      </c>
      <c r="L2553" s="1" t="s">
        <v>35</v>
      </c>
      <c r="M2553" s="15" t="s">
        <v>3106</v>
      </c>
      <c r="N2553" s="15"/>
      <c r="O2553" s="8" t="s">
        <v>410</v>
      </c>
      <c r="P2553" s="8" t="s">
        <v>46</v>
      </c>
      <c r="Q2553" s="9">
        <v>0.05</v>
      </c>
      <c r="R2553" s="139">
        <v>6086</v>
      </c>
      <c r="T2553" s="6">
        <v>8478.73</v>
      </c>
      <c r="U2553" s="4">
        <v>0</v>
      </c>
      <c r="V2553" s="4">
        <v>0</v>
      </c>
      <c r="W2553" s="13">
        <f t="shared" si="377"/>
        <v>8478.73</v>
      </c>
      <c r="X2553" s="13">
        <f t="shared" si="380"/>
        <v>0</v>
      </c>
      <c r="Y2553" s="13">
        <f t="shared" si="372"/>
        <v>0</v>
      </c>
      <c r="Z2553" s="2">
        <v>0</v>
      </c>
      <c r="AA2553" s="4">
        <v>0</v>
      </c>
      <c r="AB2553" s="4">
        <f t="shared" si="373"/>
        <v>0</v>
      </c>
      <c r="AC2553" s="6">
        <f t="shared" si="374"/>
        <v>0</v>
      </c>
      <c r="AD2553" s="13">
        <f t="shared" si="378"/>
        <v>0</v>
      </c>
      <c r="AE2553" s="2">
        <v>0.09</v>
      </c>
      <c r="AF2553" s="5">
        <f t="shared" si="375"/>
        <v>0</v>
      </c>
      <c r="AG2553" s="2">
        <v>0</v>
      </c>
      <c r="AH2553" s="5">
        <f t="shared" si="379"/>
        <v>0</v>
      </c>
      <c r="AJ2553" s="126" t="e">
        <v>#N/A</v>
      </c>
      <c r="AK2553" s="80">
        <f t="shared" si="376"/>
        <v>0</v>
      </c>
      <c r="AM2553" s="85"/>
    </row>
    <row r="2554" spans="1:39" hidden="1" x14ac:dyDescent="0.3">
      <c r="A2554" s="85" t="s">
        <v>34</v>
      </c>
      <c r="B2554" s="15" t="s">
        <v>35</v>
      </c>
      <c r="C2554" s="15" t="s">
        <v>47</v>
      </c>
      <c r="D2554" s="15" t="s">
        <v>63</v>
      </c>
      <c r="E2554" s="15" t="s">
        <v>3107</v>
      </c>
      <c r="F2554" s="15" t="s">
        <v>3107</v>
      </c>
      <c r="G2554" s="15" t="s">
        <v>3107</v>
      </c>
      <c r="H2554" s="139"/>
      <c r="I2554" s="3" t="s">
        <v>2935</v>
      </c>
      <c r="J2554" s="1" t="s">
        <v>3302</v>
      </c>
      <c r="K2554" s="1" t="s">
        <v>3281</v>
      </c>
      <c r="L2554" s="1" t="s">
        <v>35</v>
      </c>
      <c r="M2554" s="15" t="s">
        <v>3108</v>
      </c>
      <c r="N2554" s="15"/>
      <c r="O2554" s="8" t="s">
        <v>410</v>
      </c>
      <c r="P2554" s="8" t="s">
        <v>46</v>
      </c>
      <c r="Q2554" s="9">
        <v>0.05</v>
      </c>
      <c r="R2554" s="139">
        <v>3487</v>
      </c>
      <c r="T2554" s="6">
        <v>1105.3699999999999</v>
      </c>
      <c r="U2554" s="4">
        <v>0</v>
      </c>
      <c r="V2554" s="4">
        <v>0</v>
      </c>
      <c r="W2554" s="13">
        <f t="shared" si="377"/>
        <v>1105.3699999999999</v>
      </c>
      <c r="X2554" s="13">
        <f t="shared" si="380"/>
        <v>0</v>
      </c>
      <c r="Y2554" s="13">
        <f t="shared" si="372"/>
        <v>0</v>
      </c>
      <c r="Z2554" s="2">
        <v>0</v>
      </c>
      <c r="AA2554" s="4">
        <v>0</v>
      </c>
      <c r="AB2554" s="4">
        <f t="shared" si="373"/>
        <v>0</v>
      </c>
      <c r="AC2554" s="6">
        <f t="shared" si="374"/>
        <v>0</v>
      </c>
      <c r="AD2554" s="13">
        <f t="shared" si="378"/>
        <v>0</v>
      </c>
      <c r="AE2554" s="2">
        <v>0.09</v>
      </c>
      <c r="AF2554" s="5">
        <f t="shared" si="375"/>
        <v>0</v>
      </c>
      <c r="AG2554" s="2">
        <v>0</v>
      </c>
      <c r="AH2554" s="5">
        <f t="shared" si="379"/>
        <v>0</v>
      </c>
      <c r="AJ2554" s="126" t="e">
        <v>#N/A</v>
      </c>
      <c r="AK2554" s="80">
        <f t="shared" si="376"/>
        <v>0</v>
      </c>
      <c r="AM2554" s="85"/>
    </row>
    <row r="2555" spans="1:39" hidden="1" x14ac:dyDescent="0.3">
      <c r="A2555" s="85" t="s">
        <v>34</v>
      </c>
      <c r="B2555" s="15" t="s">
        <v>35</v>
      </c>
      <c r="C2555" s="15" t="s">
        <v>47</v>
      </c>
      <c r="D2555" s="15" t="s">
        <v>63</v>
      </c>
      <c r="E2555" s="15" t="s">
        <v>906</v>
      </c>
      <c r="F2555" s="15" t="s">
        <v>3109</v>
      </c>
      <c r="G2555" s="15" t="s">
        <v>906</v>
      </c>
      <c r="H2555" s="139"/>
      <c r="I2555" s="3" t="s">
        <v>2935</v>
      </c>
      <c r="J2555" s="1" t="s">
        <v>3302</v>
      </c>
      <c r="K2555" s="1" t="s">
        <v>3281</v>
      </c>
      <c r="L2555" s="1" t="s">
        <v>35</v>
      </c>
      <c r="M2555" s="15" t="s">
        <v>3110</v>
      </c>
      <c r="N2555" s="15"/>
      <c r="O2555" s="8" t="s">
        <v>410</v>
      </c>
      <c r="P2555" s="8" t="s">
        <v>75</v>
      </c>
      <c r="Q2555" s="9">
        <v>0.04</v>
      </c>
      <c r="R2555" s="139">
        <v>3193</v>
      </c>
      <c r="T2555" s="6">
        <v>500000</v>
      </c>
      <c r="U2555" s="4">
        <v>0</v>
      </c>
      <c r="V2555" s="4">
        <v>0</v>
      </c>
      <c r="W2555" s="13">
        <f t="shared" si="377"/>
        <v>500000</v>
      </c>
      <c r="X2555" s="13">
        <f t="shared" si="380"/>
        <v>0</v>
      </c>
      <c r="Y2555" s="13">
        <f t="shared" si="372"/>
        <v>0</v>
      </c>
      <c r="Z2555" s="2">
        <v>0</v>
      </c>
      <c r="AA2555" s="4">
        <v>0</v>
      </c>
      <c r="AB2555" s="4">
        <f t="shared" si="373"/>
        <v>0</v>
      </c>
      <c r="AC2555" s="6">
        <f t="shared" si="374"/>
        <v>0</v>
      </c>
      <c r="AD2555" s="13">
        <f t="shared" si="378"/>
        <v>0</v>
      </c>
      <c r="AE2555" s="2">
        <v>0.09</v>
      </c>
      <c r="AF2555" s="5">
        <f t="shared" si="375"/>
        <v>0</v>
      </c>
      <c r="AG2555" s="2">
        <v>0</v>
      </c>
      <c r="AH2555" s="5">
        <f t="shared" si="379"/>
        <v>0</v>
      </c>
      <c r="AJ2555" s="126" t="e">
        <v>#N/A</v>
      </c>
      <c r="AK2555" s="80">
        <f t="shared" si="376"/>
        <v>0</v>
      </c>
      <c r="AM2555" s="85"/>
    </row>
    <row r="2556" spans="1:39" hidden="1" x14ac:dyDescent="0.3">
      <c r="A2556" s="85" t="s">
        <v>34</v>
      </c>
      <c r="B2556" s="15" t="s">
        <v>35</v>
      </c>
      <c r="C2556" s="15" t="s">
        <v>47</v>
      </c>
      <c r="D2556" s="15" t="s">
        <v>63</v>
      </c>
      <c r="E2556" s="15" t="s">
        <v>2957</v>
      </c>
      <c r="F2556" s="15" t="s">
        <v>2978</v>
      </c>
      <c r="G2556" s="15" t="s">
        <v>2957</v>
      </c>
      <c r="H2556" s="139"/>
      <c r="I2556" s="3" t="s">
        <v>2935</v>
      </c>
      <c r="J2556" s="1" t="s">
        <v>3302</v>
      </c>
      <c r="K2556" s="1" t="s">
        <v>3281</v>
      </c>
      <c r="L2556" s="1" t="s">
        <v>35</v>
      </c>
      <c r="M2556" s="15" t="s">
        <v>2979</v>
      </c>
      <c r="N2556" s="15"/>
      <c r="O2556" s="8" t="s">
        <v>45</v>
      </c>
      <c r="P2556" s="8" t="s">
        <v>46</v>
      </c>
      <c r="Q2556" s="9">
        <v>0.08</v>
      </c>
      <c r="R2556" s="139">
        <v>19992</v>
      </c>
      <c r="T2556" s="6">
        <v>-622367.61</v>
      </c>
      <c r="U2556" s="4">
        <v>0</v>
      </c>
      <c r="V2556" s="4">
        <v>0</v>
      </c>
      <c r="W2556" s="13">
        <v>0</v>
      </c>
      <c r="X2556" s="13">
        <f t="shared" si="380"/>
        <v>0</v>
      </c>
      <c r="Y2556" s="13">
        <f t="shared" si="372"/>
        <v>0</v>
      </c>
      <c r="Z2556" s="2">
        <v>0</v>
      </c>
      <c r="AA2556" s="4">
        <v>0</v>
      </c>
      <c r="AB2556" s="4">
        <f t="shared" si="373"/>
        <v>0</v>
      </c>
      <c r="AC2556" s="6">
        <f t="shared" si="374"/>
        <v>0</v>
      </c>
      <c r="AD2556" s="13">
        <f t="shared" si="378"/>
        <v>0</v>
      </c>
      <c r="AE2556" s="2">
        <v>0.18</v>
      </c>
      <c r="AF2556" s="5">
        <f t="shared" si="375"/>
        <v>0</v>
      </c>
      <c r="AG2556" s="2">
        <v>0</v>
      </c>
      <c r="AH2556" s="5">
        <f t="shared" si="379"/>
        <v>0</v>
      </c>
      <c r="AJ2556" s="126" t="e">
        <v>#N/A</v>
      </c>
      <c r="AK2556" s="80">
        <f t="shared" si="376"/>
        <v>0</v>
      </c>
      <c r="AM2556" s="85"/>
    </row>
    <row r="2557" spans="1:39" hidden="1" x14ac:dyDescent="0.3">
      <c r="A2557" s="85" t="s">
        <v>34</v>
      </c>
      <c r="B2557" s="15" t="s">
        <v>35</v>
      </c>
      <c r="C2557" s="15" t="s">
        <v>144</v>
      </c>
      <c r="D2557" s="15" t="s">
        <v>145</v>
      </c>
      <c r="E2557" s="15" t="s">
        <v>925</v>
      </c>
      <c r="F2557" s="15" t="s">
        <v>925</v>
      </c>
      <c r="G2557" s="15" t="s">
        <v>925</v>
      </c>
      <c r="H2557" s="139"/>
      <c r="I2557" s="3" t="s">
        <v>2935</v>
      </c>
      <c r="J2557" s="1" t="s">
        <v>3302</v>
      </c>
      <c r="K2557" s="1" t="s">
        <v>3281</v>
      </c>
      <c r="L2557" s="1" t="s">
        <v>35</v>
      </c>
      <c r="M2557" s="15" t="s">
        <v>2189</v>
      </c>
      <c r="N2557" s="15"/>
      <c r="O2557" s="8" t="s">
        <v>45</v>
      </c>
      <c r="P2557" s="8" t="s">
        <v>46</v>
      </c>
      <c r="Q2557" s="9">
        <v>0.1</v>
      </c>
      <c r="R2557" s="139">
        <v>109322</v>
      </c>
      <c r="T2557" s="6">
        <v>10600</v>
      </c>
      <c r="U2557" s="4">
        <v>0</v>
      </c>
      <c r="V2557" s="4">
        <v>0</v>
      </c>
      <c r="W2557" s="13">
        <f t="shared" si="377"/>
        <v>10600</v>
      </c>
      <c r="X2557" s="13">
        <f t="shared" si="380"/>
        <v>0</v>
      </c>
      <c r="Y2557" s="13">
        <f t="shared" si="372"/>
        <v>0</v>
      </c>
      <c r="Z2557" s="2">
        <v>0</v>
      </c>
      <c r="AA2557" s="4">
        <v>0</v>
      </c>
      <c r="AB2557" s="4">
        <f t="shared" si="373"/>
        <v>0</v>
      </c>
      <c r="AC2557" s="6">
        <f t="shared" si="374"/>
        <v>0</v>
      </c>
      <c r="AD2557" s="13">
        <f t="shared" si="378"/>
        <v>0</v>
      </c>
      <c r="AE2557" s="2">
        <v>0.18</v>
      </c>
      <c r="AF2557" s="5">
        <f t="shared" si="375"/>
        <v>0</v>
      </c>
      <c r="AG2557" s="2">
        <v>0</v>
      </c>
      <c r="AH2557" s="5">
        <f t="shared" si="379"/>
        <v>0</v>
      </c>
      <c r="AJ2557" s="126" t="e">
        <v>#N/A</v>
      </c>
      <c r="AK2557" s="80">
        <f t="shared" si="376"/>
        <v>0</v>
      </c>
      <c r="AM2557" s="85"/>
    </row>
    <row r="2558" spans="1:39" hidden="1" x14ac:dyDescent="0.3">
      <c r="A2558" s="85" t="s">
        <v>34</v>
      </c>
      <c r="B2558" s="15" t="s">
        <v>35</v>
      </c>
      <c r="C2558" s="15" t="s">
        <v>144</v>
      </c>
      <c r="D2558" s="15" t="s">
        <v>303</v>
      </c>
      <c r="E2558" s="15" t="s">
        <v>3111</v>
      </c>
      <c r="F2558" s="15" t="s">
        <v>3111</v>
      </c>
      <c r="G2558" s="15" t="s">
        <v>3111</v>
      </c>
      <c r="H2558" s="139"/>
      <c r="I2558" s="3" t="s">
        <v>2935</v>
      </c>
      <c r="J2558" s="1" t="s">
        <v>3302</v>
      </c>
      <c r="K2558" s="1" t="s">
        <v>3281</v>
      </c>
      <c r="L2558" s="1" t="s">
        <v>35</v>
      </c>
      <c r="M2558" s="15" t="s">
        <v>3112</v>
      </c>
      <c r="N2558" s="15"/>
      <c r="O2558" s="8" t="s">
        <v>410</v>
      </c>
      <c r="P2558" s="8" t="s">
        <v>46</v>
      </c>
      <c r="Q2558" s="9">
        <v>0.02</v>
      </c>
      <c r="R2558" s="139">
        <v>133322</v>
      </c>
      <c r="T2558" s="6">
        <v>26746.11</v>
      </c>
      <c r="U2558" s="4">
        <v>0</v>
      </c>
      <c r="V2558" s="4">
        <v>0</v>
      </c>
      <c r="W2558" s="13">
        <f t="shared" si="377"/>
        <v>26746.11</v>
      </c>
      <c r="X2558" s="13">
        <f t="shared" si="380"/>
        <v>0</v>
      </c>
      <c r="Y2558" s="13">
        <f t="shared" si="372"/>
        <v>0</v>
      </c>
      <c r="Z2558" s="2">
        <v>0</v>
      </c>
      <c r="AA2558" s="4">
        <v>0</v>
      </c>
      <c r="AB2558" s="4">
        <f t="shared" si="373"/>
        <v>0</v>
      </c>
      <c r="AC2558" s="6">
        <f t="shared" si="374"/>
        <v>0</v>
      </c>
      <c r="AD2558" s="13">
        <f t="shared" si="378"/>
        <v>0</v>
      </c>
      <c r="AE2558" s="2">
        <v>0.09</v>
      </c>
      <c r="AF2558" s="5">
        <f t="shared" si="375"/>
        <v>0</v>
      </c>
      <c r="AG2558" s="2">
        <v>0</v>
      </c>
      <c r="AH2558" s="5">
        <f t="shared" si="379"/>
        <v>0</v>
      </c>
      <c r="AJ2558" s="126" t="e">
        <v>#N/A</v>
      </c>
      <c r="AK2558" s="80">
        <f t="shared" si="376"/>
        <v>0</v>
      </c>
      <c r="AM2558" s="85"/>
    </row>
    <row r="2559" spans="1:39" hidden="1" x14ac:dyDescent="0.3">
      <c r="A2559" s="85" t="s">
        <v>34</v>
      </c>
      <c r="B2559" s="15" t="s">
        <v>35</v>
      </c>
      <c r="C2559" s="15" t="s">
        <v>144</v>
      </c>
      <c r="D2559" s="15" t="s">
        <v>303</v>
      </c>
      <c r="E2559" s="15" t="s">
        <v>3113</v>
      </c>
      <c r="F2559" s="15" t="s">
        <v>3113</v>
      </c>
      <c r="G2559" s="15" t="s">
        <v>3113</v>
      </c>
      <c r="H2559" s="139"/>
      <c r="I2559" s="3" t="s">
        <v>2935</v>
      </c>
      <c r="J2559" s="1" t="s">
        <v>3302</v>
      </c>
      <c r="K2559" s="1" t="s">
        <v>3281</v>
      </c>
      <c r="L2559" s="1" t="s">
        <v>35</v>
      </c>
      <c r="M2559" s="15" t="s">
        <v>3114</v>
      </c>
      <c r="N2559" s="15"/>
      <c r="O2559" s="8" t="s">
        <v>45</v>
      </c>
      <c r="P2559" s="8" t="s">
        <v>46</v>
      </c>
      <c r="Q2559" s="9">
        <v>0.15</v>
      </c>
      <c r="R2559" s="139">
        <v>8533</v>
      </c>
      <c r="T2559" s="6">
        <v>1262.4100000000001</v>
      </c>
      <c r="U2559" s="4">
        <v>0</v>
      </c>
      <c r="V2559" s="4">
        <v>0</v>
      </c>
      <c r="W2559" s="13">
        <f t="shared" si="377"/>
        <v>1262.4100000000001</v>
      </c>
      <c r="X2559" s="13">
        <f t="shared" si="380"/>
        <v>0</v>
      </c>
      <c r="Y2559" s="13">
        <f t="shared" si="372"/>
        <v>0</v>
      </c>
      <c r="Z2559" s="2">
        <v>0</v>
      </c>
      <c r="AA2559" s="4">
        <v>0</v>
      </c>
      <c r="AB2559" s="4">
        <f t="shared" si="373"/>
        <v>0</v>
      </c>
      <c r="AC2559" s="6">
        <f t="shared" si="374"/>
        <v>0</v>
      </c>
      <c r="AD2559" s="13">
        <f t="shared" si="378"/>
        <v>0</v>
      </c>
      <c r="AE2559" s="2">
        <v>0.18</v>
      </c>
      <c r="AF2559" s="5">
        <f t="shared" si="375"/>
        <v>0</v>
      </c>
      <c r="AG2559" s="2">
        <v>0</v>
      </c>
      <c r="AH2559" s="5">
        <f t="shared" si="379"/>
        <v>0</v>
      </c>
      <c r="AJ2559" s="126" t="e">
        <v>#N/A</v>
      </c>
      <c r="AK2559" s="80">
        <f t="shared" si="376"/>
        <v>0</v>
      </c>
      <c r="AM2559" s="85"/>
    </row>
    <row r="2560" spans="1:39" hidden="1" x14ac:dyDescent="0.3">
      <c r="A2560" s="85" t="s">
        <v>34</v>
      </c>
      <c r="B2560" s="15" t="s">
        <v>35</v>
      </c>
      <c r="C2560" s="15" t="s">
        <v>164</v>
      </c>
      <c r="D2560" s="15" t="s">
        <v>174</v>
      </c>
      <c r="E2560" s="15" t="s">
        <v>2272</v>
      </c>
      <c r="F2560" s="15" t="s">
        <v>2272</v>
      </c>
      <c r="G2560" s="15" t="s">
        <v>2272</v>
      </c>
      <c r="H2560" s="139"/>
      <c r="I2560" s="3" t="s">
        <v>2935</v>
      </c>
      <c r="J2560" s="1" t="s">
        <v>3302</v>
      </c>
      <c r="K2560" s="1" t="s">
        <v>3281</v>
      </c>
      <c r="L2560" s="1" t="s">
        <v>35</v>
      </c>
      <c r="M2560" s="15" t="s">
        <v>2273</v>
      </c>
      <c r="N2560" s="15"/>
      <c r="O2560" s="8" t="s">
        <v>410</v>
      </c>
      <c r="P2560" s="8" t="s">
        <v>46</v>
      </c>
      <c r="Q2560" s="9">
        <v>0.14000000000000001</v>
      </c>
      <c r="R2560" s="139">
        <v>84202</v>
      </c>
      <c r="T2560" s="6">
        <v>7397.8599999999988</v>
      </c>
      <c r="U2560" s="4">
        <v>0</v>
      </c>
      <c r="V2560" s="4">
        <v>0</v>
      </c>
      <c r="W2560" s="13">
        <f t="shared" si="377"/>
        <v>7397.8599999999988</v>
      </c>
      <c r="X2560" s="13">
        <f t="shared" si="380"/>
        <v>0</v>
      </c>
      <c r="Y2560" s="13">
        <f t="shared" si="372"/>
        <v>0</v>
      </c>
      <c r="Z2560" s="2">
        <v>0</v>
      </c>
      <c r="AA2560" s="4">
        <v>0</v>
      </c>
      <c r="AB2560" s="4">
        <f t="shared" si="373"/>
        <v>0</v>
      </c>
      <c r="AC2560" s="6">
        <f t="shared" si="374"/>
        <v>0</v>
      </c>
      <c r="AD2560" s="13">
        <f t="shared" si="378"/>
        <v>0</v>
      </c>
      <c r="AE2560" s="2">
        <v>0.09</v>
      </c>
      <c r="AF2560" s="5">
        <f t="shared" si="375"/>
        <v>0</v>
      </c>
      <c r="AG2560" s="2">
        <v>0</v>
      </c>
      <c r="AH2560" s="5">
        <f t="shared" si="379"/>
        <v>0</v>
      </c>
      <c r="AJ2560" s="126" t="e">
        <v>#N/A</v>
      </c>
      <c r="AK2560" s="80">
        <f t="shared" si="376"/>
        <v>0</v>
      </c>
      <c r="AM2560" s="85"/>
    </row>
    <row r="2561" spans="1:39" hidden="1" x14ac:dyDescent="0.3">
      <c r="A2561" s="85" t="s">
        <v>34</v>
      </c>
      <c r="B2561" s="15" t="s">
        <v>35</v>
      </c>
      <c r="C2561" s="15" t="s">
        <v>164</v>
      </c>
      <c r="D2561" s="15" t="s">
        <v>181</v>
      </c>
      <c r="E2561" s="15" t="s">
        <v>182</v>
      </c>
      <c r="F2561" s="15" t="s">
        <v>183</v>
      </c>
      <c r="G2561" s="15" t="s">
        <v>182</v>
      </c>
      <c r="H2561" s="154"/>
      <c r="I2561" s="3" t="s">
        <v>2935</v>
      </c>
      <c r="J2561" s="1" t="s">
        <v>3302</v>
      </c>
      <c r="K2561" s="1" t="s">
        <v>3281</v>
      </c>
      <c r="L2561" s="1" t="s">
        <v>35</v>
      </c>
      <c r="M2561" s="15" t="s">
        <v>1832</v>
      </c>
      <c r="N2561" s="15"/>
      <c r="O2561" s="8" t="s">
        <v>45</v>
      </c>
      <c r="P2561" s="8" t="s">
        <v>41</v>
      </c>
      <c r="Q2561" s="9">
        <v>0</v>
      </c>
      <c r="R2561" s="139">
        <v>16472</v>
      </c>
      <c r="T2561" s="6">
        <v>-191674.61</v>
      </c>
      <c r="U2561" s="4">
        <v>0</v>
      </c>
      <c r="V2561" s="4">
        <v>44472.6</v>
      </c>
      <c r="W2561" s="13">
        <f t="shared" si="377"/>
        <v>-236147.21</v>
      </c>
      <c r="X2561" s="13">
        <f t="shared" si="380"/>
        <v>44472.6</v>
      </c>
      <c r="Y2561" s="13">
        <f t="shared" si="372"/>
        <v>0</v>
      </c>
      <c r="Z2561" s="2">
        <v>0.02</v>
      </c>
      <c r="AA2561" s="6">
        <f>X2561/(1-Z2561)*Z2561</f>
        <v>907.60408163265311</v>
      </c>
      <c r="AB2561" s="4">
        <f t="shared" si="373"/>
        <v>45380.204081632648</v>
      </c>
      <c r="AC2561" s="6">
        <f t="shared" si="374"/>
        <v>0</v>
      </c>
      <c r="AD2561" s="13">
        <f t="shared" si="378"/>
        <v>44472.6</v>
      </c>
      <c r="AE2561" s="2">
        <v>0.18</v>
      </c>
      <c r="AF2561" s="5">
        <f t="shared" si="375"/>
        <v>8005.0679999999993</v>
      </c>
      <c r="AG2561" s="2">
        <v>0</v>
      </c>
      <c r="AH2561" s="5">
        <f t="shared" si="379"/>
        <v>44472.6</v>
      </c>
      <c r="AJ2561" s="126" t="e">
        <v>#N/A</v>
      </c>
      <c r="AK2561" s="80">
        <f t="shared" si="376"/>
        <v>0</v>
      </c>
      <c r="AM2561" s="85"/>
    </row>
    <row r="2562" spans="1:39" hidden="1" x14ac:dyDescent="0.3">
      <c r="A2562" s="85" t="s">
        <v>34</v>
      </c>
      <c r="B2562" s="15" t="s">
        <v>35</v>
      </c>
      <c r="C2562" s="15" t="s">
        <v>164</v>
      </c>
      <c r="D2562" s="15" t="s">
        <v>181</v>
      </c>
      <c r="E2562" s="15" t="s">
        <v>3069</v>
      </c>
      <c r="F2562" s="15" t="s">
        <v>3069</v>
      </c>
      <c r="G2562" s="15" t="s">
        <v>3069</v>
      </c>
      <c r="H2562" s="154"/>
      <c r="I2562" s="3" t="s">
        <v>2935</v>
      </c>
      <c r="J2562" s="1" t="s">
        <v>3302</v>
      </c>
      <c r="K2562" s="1" t="s">
        <v>3281</v>
      </c>
      <c r="L2562" s="1" t="s">
        <v>35</v>
      </c>
      <c r="M2562" s="15" t="s">
        <v>3070</v>
      </c>
      <c r="N2562" s="15"/>
      <c r="O2562" s="8" t="s">
        <v>45</v>
      </c>
      <c r="P2562" s="8" t="s">
        <v>46</v>
      </c>
      <c r="Q2562" s="17">
        <v>0.02</v>
      </c>
      <c r="R2562" s="139">
        <v>48782</v>
      </c>
      <c r="T2562" s="6">
        <v>-556364</v>
      </c>
      <c r="U2562" s="4">
        <v>0</v>
      </c>
      <c r="V2562" s="4">
        <v>3112.2</v>
      </c>
      <c r="W2562" s="13">
        <f t="shared" si="377"/>
        <v>-559476.19999999995</v>
      </c>
      <c r="X2562" s="13">
        <f t="shared" si="380"/>
        <v>3051.1764705882351</v>
      </c>
      <c r="Y2562" s="13">
        <f t="shared" si="372"/>
        <v>0</v>
      </c>
      <c r="Z2562" s="2">
        <v>0</v>
      </c>
      <c r="AA2562" s="4">
        <v>0</v>
      </c>
      <c r="AB2562" s="4">
        <f t="shared" si="373"/>
        <v>3051.1764705882351</v>
      </c>
      <c r="AC2562" s="6">
        <f t="shared" si="374"/>
        <v>61.023529411764684</v>
      </c>
      <c r="AD2562" s="13">
        <f t="shared" si="378"/>
        <v>3112.2</v>
      </c>
      <c r="AE2562" s="2">
        <v>0.18</v>
      </c>
      <c r="AF2562" s="5">
        <f t="shared" si="375"/>
        <v>560.19599999999991</v>
      </c>
      <c r="AG2562" s="2">
        <v>0</v>
      </c>
      <c r="AH2562" s="5">
        <f t="shared" si="379"/>
        <v>3112.2</v>
      </c>
      <c r="AJ2562" s="126" t="e">
        <v>#N/A</v>
      </c>
      <c r="AK2562" s="80">
        <f t="shared" si="376"/>
        <v>0</v>
      </c>
      <c r="AM2562" s="85"/>
    </row>
    <row r="2563" spans="1:39" hidden="1" x14ac:dyDescent="0.3">
      <c r="A2563" s="85" t="s">
        <v>34</v>
      </c>
      <c r="B2563" s="15" t="s">
        <v>35</v>
      </c>
      <c r="C2563" s="15" t="s">
        <v>164</v>
      </c>
      <c r="D2563" s="15" t="s">
        <v>181</v>
      </c>
      <c r="E2563" s="15" t="s">
        <v>3115</v>
      </c>
      <c r="F2563" s="15" t="s">
        <v>3115</v>
      </c>
      <c r="G2563" s="15" t="s">
        <v>3115</v>
      </c>
      <c r="H2563" s="139"/>
      <c r="I2563" s="3" t="s">
        <v>2935</v>
      </c>
      <c r="J2563" s="1" t="s">
        <v>3302</v>
      </c>
      <c r="K2563" s="1" t="s">
        <v>3281</v>
      </c>
      <c r="L2563" s="1" t="s">
        <v>35</v>
      </c>
      <c r="M2563" s="15" t="s">
        <v>3116</v>
      </c>
      <c r="N2563" s="15"/>
      <c r="O2563" s="8" t="s">
        <v>410</v>
      </c>
      <c r="P2563" s="8" t="s">
        <v>46</v>
      </c>
      <c r="Q2563" s="9">
        <v>0.05</v>
      </c>
      <c r="R2563" s="139">
        <v>8283</v>
      </c>
      <c r="T2563" s="6">
        <v>650</v>
      </c>
      <c r="U2563" s="4">
        <v>0</v>
      </c>
      <c r="V2563" s="4">
        <v>0</v>
      </c>
      <c r="W2563" s="13">
        <f t="shared" si="377"/>
        <v>650</v>
      </c>
      <c r="X2563" s="13">
        <f t="shared" si="380"/>
        <v>0</v>
      </c>
      <c r="Y2563" s="13">
        <f t="shared" ref="Y2563:Y2626" si="381">IF(X2563-AD2563&lt;=0,0,IF(P2563="返现",MAX(X2563-AC2563-AD2563,0),MAX(X2563-AD2563)))</f>
        <v>0</v>
      </c>
      <c r="Z2563" s="2">
        <v>0</v>
      </c>
      <c r="AA2563" s="4">
        <v>0</v>
      </c>
      <c r="AB2563" s="4"/>
      <c r="AC2563" s="6">
        <f t="shared" ref="AC2563:AC2626" si="382">IF(P2563="返现",X2563*Q2563,V2563-X2563)</f>
        <v>0</v>
      </c>
      <c r="AD2563" s="13">
        <f t="shared" si="378"/>
        <v>0</v>
      </c>
      <c r="AE2563" s="2">
        <v>0.09</v>
      </c>
      <c r="AF2563" s="5">
        <f t="shared" ref="AF2563:AF2626" si="383">AD2563*AE2563</f>
        <v>0</v>
      </c>
      <c r="AG2563" s="2">
        <v>0</v>
      </c>
      <c r="AH2563" s="5">
        <f t="shared" si="379"/>
        <v>0</v>
      </c>
      <c r="AJ2563" s="126">
        <v>3</v>
      </c>
      <c r="AK2563" s="80">
        <f t="shared" ref="AK2563:AK2626" si="384">X2563+AA2563-AB2563</f>
        <v>0</v>
      </c>
      <c r="AM2563" s="85"/>
    </row>
    <row r="2564" spans="1:39" hidden="1" x14ac:dyDescent="0.3">
      <c r="A2564" s="85" t="s">
        <v>34</v>
      </c>
      <c r="B2564" s="15" t="s">
        <v>35</v>
      </c>
      <c r="C2564" s="15" t="s">
        <v>2029</v>
      </c>
      <c r="D2564" s="15" t="s">
        <v>224</v>
      </c>
      <c r="E2564" s="15" t="s">
        <v>3117</v>
      </c>
      <c r="F2564" s="15" t="s">
        <v>3117</v>
      </c>
      <c r="G2564" s="15" t="s">
        <v>3117</v>
      </c>
      <c r="H2564" s="139"/>
      <c r="I2564" s="3" t="s">
        <v>2935</v>
      </c>
      <c r="J2564" s="1" t="s">
        <v>3302</v>
      </c>
      <c r="K2564" s="1" t="s">
        <v>3281</v>
      </c>
      <c r="L2564" s="1" t="s">
        <v>35</v>
      </c>
      <c r="M2564" s="15" t="s">
        <v>3117</v>
      </c>
      <c r="N2564" s="15"/>
      <c r="O2564" s="8" t="s">
        <v>410</v>
      </c>
      <c r="P2564" s="8" t="s">
        <v>41</v>
      </c>
      <c r="Q2564" s="9">
        <v>0</v>
      </c>
      <c r="R2564" s="139">
        <v>88232</v>
      </c>
      <c r="T2564" s="6">
        <v>7337</v>
      </c>
      <c r="U2564" s="4">
        <v>0</v>
      </c>
      <c r="V2564" s="4">
        <v>0</v>
      </c>
      <c r="W2564" s="13">
        <f t="shared" si="377"/>
        <v>7337</v>
      </c>
      <c r="X2564" s="13">
        <f t="shared" si="380"/>
        <v>0</v>
      </c>
      <c r="Y2564" s="13">
        <f t="shared" si="381"/>
        <v>0</v>
      </c>
      <c r="Z2564" s="2">
        <v>0</v>
      </c>
      <c r="AA2564" s="4">
        <v>0</v>
      </c>
      <c r="AB2564" s="4">
        <f t="shared" ref="AB2564:AB2626" si="385">X2564+AA2564</f>
        <v>0</v>
      </c>
      <c r="AC2564" s="6">
        <f t="shared" si="382"/>
        <v>0</v>
      </c>
      <c r="AD2564" s="13">
        <f t="shared" si="378"/>
        <v>0</v>
      </c>
      <c r="AE2564" s="2">
        <v>0.09</v>
      </c>
      <c r="AF2564" s="5">
        <f t="shared" si="383"/>
        <v>0</v>
      </c>
      <c r="AG2564" s="2">
        <v>0</v>
      </c>
      <c r="AH2564" s="5">
        <f t="shared" si="379"/>
        <v>0</v>
      </c>
      <c r="AJ2564" s="126" t="e">
        <v>#N/A</v>
      </c>
      <c r="AK2564" s="80">
        <f t="shared" si="384"/>
        <v>0</v>
      </c>
      <c r="AM2564" s="85"/>
    </row>
    <row r="2565" spans="1:39" hidden="1" x14ac:dyDescent="0.3">
      <c r="A2565" s="85" t="s">
        <v>34</v>
      </c>
      <c r="B2565" s="15" t="s">
        <v>35</v>
      </c>
      <c r="C2565" s="15" t="s">
        <v>2029</v>
      </c>
      <c r="D2565" s="15" t="s">
        <v>224</v>
      </c>
      <c r="E2565" s="15" t="s">
        <v>2290</v>
      </c>
      <c r="F2565" s="15" t="s">
        <v>2292</v>
      </c>
      <c r="G2565" s="15" t="s">
        <v>2290</v>
      </c>
      <c r="H2565" s="139"/>
      <c r="I2565" s="3" t="s">
        <v>2935</v>
      </c>
      <c r="J2565" s="1" t="s">
        <v>3302</v>
      </c>
      <c r="K2565" s="1" t="s">
        <v>3281</v>
      </c>
      <c r="L2565" s="1" t="s">
        <v>35</v>
      </c>
      <c r="M2565" s="15" t="s">
        <v>2293</v>
      </c>
      <c r="N2565" s="15"/>
      <c r="O2565" s="8" t="s">
        <v>410</v>
      </c>
      <c r="P2565" s="8" t="s">
        <v>46</v>
      </c>
      <c r="Q2565" s="9">
        <v>0.02</v>
      </c>
      <c r="R2565" s="139">
        <v>125032</v>
      </c>
      <c r="T2565" s="6">
        <v>19864.599999999999</v>
      </c>
      <c r="U2565" s="4">
        <v>0</v>
      </c>
      <c r="V2565" s="4">
        <v>0</v>
      </c>
      <c r="W2565" s="13">
        <f t="shared" si="377"/>
        <v>19864.599999999999</v>
      </c>
      <c r="X2565" s="13">
        <f t="shared" si="380"/>
        <v>0</v>
      </c>
      <c r="Y2565" s="13">
        <f t="shared" si="381"/>
        <v>0</v>
      </c>
      <c r="Z2565" s="2">
        <v>0</v>
      </c>
      <c r="AA2565" s="4">
        <v>0</v>
      </c>
      <c r="AB2565" s="4">
        <f t="shared" si="385"/>
        <v>0</v>
      </c>
      <c r="AC2565" s="6">
        <f t="shared" si="382"/>
        <v>0</v>
      </c>
      <c r="AD2565" s="13">
        <f t="shared" si="378"/>
        <v>0</v>
      </c>
      <c r="AE2565" s="2">
        <v>0.09</v>
      </c>
      <c r="AF2565" s="5">
        <f t="shared" si="383"/>
        <v>0</v>
      </c>
      <c r="AG2565" s="2">
        <v>0</v>
      </c>
      <c r="AH2565" s="5">
        <f t="shared" si="379"/>
        <v>0</v>
      </c>
      <c r="AJ2565" s="126" t="e">
        <v>#N/A</v>
      </c>
      <c r="AK2565" s="80">
        <f t="shared" si="384"/>
        <v>0</v>
      </c>
      <c r="AM2565" s="85"/>
    </row>
    <row r="2566" spans="1:39" hidden="1" x14ac:dyDescent="0.3">
      <c r="A2566" s="85" t="s">
        <v>34</v>
      </c>
      <c r="B2566" s="15" t="s">
        <v>35</v>
      </c>
      <c r="C2566" s="15" t="s">
        <v>2029</v>
      </c>
      <c r="D2566" s="3" t="s">
        <v>54</v>
      </c>
      <c r="E2566" s="15" t="s">
        <v>1200</v>
      </c>
      <c r="F2566" s="15" t="s">
        <v>1201</v>
      </c>
      <c r="G2566" s="15" t="s">
        <v>1200</v>
      </c>
      <c r="H2566" s="154"/>
      <c r="I2566" s="3" t="s">
        <v>2935</v>
      </c>
      <c r="J2566" s="1" t="s">
        <v>3302</v>
      </c>
      <c r="K2566" s="1" t="s">
        <v>3281</v>
      </c>
      <c r="L2566" s="1" t="s">
        <v>35</v>
      </c>
      <c r="M2566" s="15" t="s">
        <v>2949</v>
      </c>
      <c r="N2566" s="15"/>
      <c r="O2566" s="8" t="s">
        <v>410</v>
      </c>
      <c r="P2566" s="8" t="s">
        <v>46</v>
      </c>
      <c r="Q2566" s="9">
        <v>0.05</v>
      </c>
      <c r="R2566" s="139">
        <v>89262</v>
      </c>
      <c r="T2566" s="6">
        <v>8774.7000000000007</v>
      </c>
      <c r="U2566" s="4">
        <v>0</v>
      </c>
      <c r="V2566" s="6">
        <v>8774.7000000000007</v>
      </c>
      <c r="W2566" s="13">
        <f t="shared" si="377"/>
        <v>0</v>
      </c>
      <c r="X2566" s="13">
        <f t="shared" si="380"/>
        <v>8356.8571428571431</v>
      </c>
      <c r="Y2566" s="13">
        <f t="shared" si="381"/>
        <v>0</v>
      </c>
      <c r="Z2566" s="2">
        <v>0</v>
      </c>
      <c r="AA2566" s="4">
        <v>0</v>
      </c>
      <c r="AB2566" s="4">
        <f t="shared" si="385"/>
        <v>8356.8571428571431</v>
      </c>
      <c r="AC2566" s="6">
        <f t="shared" si="382"/>
        <v>417.84285714285761</v>
      </c>
      <c r="AD2566" s="13">
        <f t="shared" si="378"/>
        <v>8774.7000000000007</v>
      </c>
      <c r="AE2566" s="2">
        <v>0.09</v>
      </c>
      <c r="AF2566" s="5">
        <f t="shared" si="383"/>
        <v>789.72300000000007</v>
      </c>
      <c r="AG2566" s="2">
        <v>0</v>
      </c>
      <c r="AH2566" s="5">
        <f t="shared" si="379"/>
        <v>8774.7000000000007</v>
      </c>
      <c r="AJ2566" s="126" t="e">
        <v>#N/A</v>
      </c>
      <c r="AK2566" s="80">
        <f t="shared" si="384"/>
        <v>0</v>
      </c>
      <c r="AM2566" s="85"/>
    </row>
    <row r="2567" spans="1:39" hidden="1" x14ac:dyDescent="0.3">
      <c r="A2567" s="85" t="s">
        <v>34</v>
      </c>
      <c r="B2567" s="15" t="s">
        <v>35</v>
      </c>
      <c r="C2567" s="15" t="s">
        <v>2029</v>
      </c>
      <c r="D2567" s="15" t="s">
        <v>54</v>
      </c>
      <c r="E2567" s="15" t="s">
        <v>2589</v>
      </c>
      <c r="F2567" s="15" t="s">
        <v>2589</v>
      </c>
      <c r="G2567" s="15" t="s">
        <v>2589</v>
      </c>
      <c r="H2567" s="139"/>
      <c r="I2567" s="3" t="s">
        <v>2935</v>
      </c>
      <c r="J2567" s="1" t="s">
        <v>3302</v>
      </c>
      <c r="K2567" s="1" t="s">
        <v>3281</v>
      </c>
      <c r="L2567" s="1" t="s">
        <v>35</v>
      </c>
      <c r="M2567" s="15" t="s">
        <v>2590</v>
      </c>
      <c r="N2567" s="15"/>
      <c r="O2567" s="8" t="s">
        <v>410</v>
      </c>
      <c r="P2567" s="8" t="s">
        <v>41</v>
      </c>
      <c r="Q2567" s="9">
        <v>0</v>
      </c>
      <c r="R2567" s="139">
        <v>73192</v>
      </c>
      <c r="T2567" s="6">
        <v>2641</v>
      </c>
      <c r="U2567" s="4">
        <v>0</v>
      </c>
      <c r="V2567" s="4">
        <v>0</v>
      </c>
      <c r="W2567" s="13">
        <f t="shared" si="377"/>
        <v>2641</v>
      </c>
      <c r="X2567" s="13">
        <f t="shared" si="380"/>
        <v>0</v>
      </c>
      <c r="Y2567" s="13">
        <f t="shared" si="381"/>
        <v>0</v>
      </c>
      <c r="Z2567" s="2">
        <v>0</v>
      </c>
      <c r="AA2567" s="4">
        <v>0</v>
      </c>
      <c r="AB2567" s="4">
        <f t="shared" si="385"/>
        <v>0</v>
      </c>
      <c r="AC2567" s="6">
        <f t="shared" si="382"/>
        <v>0</v>
      </c>
      <c r="AD2567" s="13">
        <f t="shared" si="378"/>
        <v>0</v>
      </c>
      <c r="AE2567" s="2">
        <v>0.09</v>
      </c>
      <c r="AF2567" s="5">
        <f t="shared" si="383"/>
        <v>0</v>
      </c>
      <c r="AG2567" s="2">
        <v>0</v>
      </c>
      <c r="AH2567" s="5">
        <f t="shared" si="379"/>
        <v>0</v>
      </c>
      <c r="AJ2567" s="126" t="e">
        <v>#N/A</v>
      </c>
      <c r="AK2567" s="80">
        <f t="shared" si="384"/>
        <v>0</v>
      </c>
      <c r="AM2567" s="85"/>
    </row>
    <row r="2568" spans="1:39" hidden="1" x14ac:dyDescent="0.3">
      <c r="A2568" s="85" t="s">
        <v>34</v>
      </c>
      <c r="B2568" s="15" t="s">
        <v>35</v>
      </c>
      <c r="C2568" s="15" t="s">
        <v>2029</v>
      </c>
      <c r="D2568" s="15" t="s">
        <v>54</v>
      </c>
      <c r="E2568" s="15" t="s">
        <v>2590</v>
      </c>
      <c r="F2568" s="15" t="s">
        <v>3118</v>
      </c>
      <c r="G2568" s="15" t="s">
        <v>2590</v>
      </c>
      <c r="H2568" s="139"/>
      <c r="I2568" s="3" t="s">
        <v>2935</v>
      </c>
      <c r="J2568" s="1" t="s">
        <v>3302</v>
      </c>
      <c r="K2568" s="1" t="s">
        <v>3281</v>
      </c>
      <c r="L2568" s="1" t="s">
        <v>35</v>
      </c>
      <c r="M2568" s="15" t="s">
        <v>3119</v>
      </c>
      <c r="N2568" s="15"/>
      <c r="O2568" s="8" t="s">
        <v>410</v>
      </c>
      <c r="P2568" s="8" t="s">
        <v>41</v>
      </c>
      <c r="Q2568" s="9">
        <v>0</v>
      </c>
      <c r="R2568" s="139">
        <v>86832</v>
      </c>
      <c r="T2568" s="6">
        <v>3533.05</v>
      </c>
      <c r="U2568" s="4">
        <v>0</v>
      </c>
      <c r="V2568" s="4">
        <v>0</v>
      </c>
      <c r="W2568" s="13">
        <f t="shared" si="377"/>
        <v>3533.05</v>
      </c>
      <c r="X2568" s="13">
        <f t="shared" si="380"/>
        <v>0</v>
      </c>
      <c r="Y2568" s="13">
        <f t="shared" si="381"/>
        <v>0</v>
      </c>
      <c r="Z2568" s="2">
        <v>0</v>
      </c>
      <c r="AA2568" s="4">
        <v>0</v>
      </c>
      <c r="AB2568" s="4">
        <f t="shared" si="385"/>
        <v>0</v>
      </c>
      <c r="AC2568" s="6">
        <f t="shared" si="382"/>
        <v>0</v>
      </c>
      <c r="AD2568" s="13">
        <f t="shared" si="378"/>
        <v>0</v>
      </c>
      <c r="AE2568" s="2">
        <v>0.09</v>
      </c>
      <c r="AF2568" s="5">
        <f t="shared" si="383"/>
        <v>0</v>
      </c>
      <c r="AG2568" s="2">
        <v>0</v>
      </c>
      <c r="AH2568" s="5">
        <f t="shared" si="379"/>
        <v>0</v>
      </c>
      <c r="AJ2568" s="126" t="e">
        <v>#N/A</v>
      </c>
      <c r="AK2568" s="80">
        <f t="shared" si="384"/>
        <v>0</v>
      </c>
      <c r="AM2568" s="85"/>
    </row>
    <row r="2569" spans="1:39" hidden="1" x14ac:dyDescent="0.3">
      <c r="A2569" s="85" t="s">
        <v>34</v>
      </c>
      <c r="B2569" s="15" t="s">
        <v>35</v>
      </c>
      <c r="C2569" s="15" t="s">
        <v>2029</v>
      </c>
      <c r="D2569" s="15" t="s">
        <v>54</v>
      </c>
      <c r="E2569" s="15" t="s">
        <v>2740</v>
      </c>
      <c r="F2569" s="15" t="s">
        <v>2740</v>
      </c>
      <c r="G2569" s="15" t="s">
        <v>2740</v>
      </c>
      <c r="H2569" s="154"/>
      <c r="I2569" s="3" t="s">
        <v>2935</v>
      </c>
      <c r="J2569" s="1" t="s">
        <v>3302</v>
      </c>
      <c r="K2569" s="1" t="s">
        <v>3281</v>
      </c>
      <c r="L2569" s="1" t="s">
        <v>35</v>
      </c>
      <c r="M2569" s="15" t="s">
        <v>2948</v>
      </c>
      <c r="N2569" s="15"/>
      <c r="O2569" s="8" t="s">
        <v>45</v>
      </c>
      <c r="P2569" s="8" t="s">
        <v>41</v>
      </c>
      <c r="Q2569" s="9">
        <v>0</v>
      </c>
      <c r="R2569" s="139">
        <v>46462</v>
      </c>
      <c r="T2569" s="6">
        <v>0</v>
      </c>
      <c r="U2569" s="4">
        <v>0</v>
      </c>
      <c r="V2569" s="4">
        <v>1045.43</v>
      </c>
      <c r="W2569" s="13">
        <f t="shared" si="377"/>
        <v>-1045.43</v>
      </c>
      <c r="X2569" s="13">
        <f t="shared" si="380"/>
        <v>1045.43</v>
      </c>
      <c r="Y2569" s="13">
        <f t="shared" si="381"/>
        <v>0</v>
      </c>
      <c r="Z2569" s="2">
        <v>0</v>
      </c>
      <c r="AA2569" s="4">
        <v>0</v>
      </c>
      <c r="AB2569" s="4">
        <f t="shared" si="385"/>
        <v>1045.43</v>
      </c>
      <c r="AC2569" s="6">
        <f t="shared" si="382"/>
        <v>0</v>
      </c>
      <c r="AD2569" s="13">
        <f t="shared" si="378"/>
        <v>1045.43</v>
      </c>
      <c r="AE2569" s="2">
        <v>0.18</v>
      </c>
      <c r="AF2569" s="5">
        <f t="shared" si="383"/>
        <v>188.17740000000001</v>
      </c>
      <c r="AG2569" s="2">
        <v>0</v>
      </c>
      <c r="AH2569" s="5">
        <f t="shared" si="379"/>
        <v>1045.43</v>
      </c>
      <c r="AJ2569" s="126" t="e">
        <v>#N/A</v>
      </c>
      <c r="AK2569" s="80">
        <f t="shared" si="384"/>
        <v>0</v>
      </c>
      <c r="AM2569" s="85"/>
    </row>
    <row r="2570" spans="1:39" hidden="1" x14ac:dyDescent="0.3">
      <c r="A2570" s="85" t="s">
        <v>34</v>
      </c>
      <c r="B2570" s="15" t="s">
        <v>35</v>
      </c>
      <c r="C2570" s="15" t="s">
        <v>2029</v>
      </c>
      <c r="D2570" s="15" t="s">
        <v>54</v>
      </c>
      <c r="E2570" s="15" t="s">
        <v>1200</v>
      </c>
      <c r="F2570" s="15" t="s">
        <v>1201</v>
      </c>
      <c r="G2570" s="15" t="s">
        <v>1200</v>
      </c>
      <c r="H2570" s="154"/>
      <c r="I2570" s="3" t="s">
        <v>2935</v>
      </c>
      <c r="J2570" s="1" t="s">
        <v>3302</v>
      </c>
      <c r="K2570" s="1" t="s">
        <v>3281</v>
      </c>
      <c r="L2570" s="1" t="s">
        <v>35</v>
      </c>
      <c r="M2570" s="15" t="s">
        <v>1200</v>
      </c>
      <c r="N2570" s="15"/>
      <c r="O2570" s="8" t="s">
        <v>45</v>
      </c>
      <c r="P2570" s="8" t="s">
        <v>41</v>
      </c>
      <c r="Q2570" s="9">
        <v>0</v>
      </c>
      <c r="R2570" s="139">
        <v>49572</v>
      </c>
      <c r="T2570" s="6">
        <v>-65872</v>
      </c>
      <c r="U2570" s="4">
        <v>0</v>
      </c>
      <c r="V2570" s="4">
        <v>1800</v>
      </c>
      <c r="W2570" s="13">
        <f t="shared" si="377"/>
        <v>-67672</v>
      </c>
      <c r="X2570" s="13">
        <f t="shared" si="380"/>
        <v>1800</v>
      </c>
      <c r="Y2570" s="13">
        <f t="shared" si="381"/>
        <v>0</v>
      </c>
      <c r="Z2570" s="2">
        <v>0</v>
      </c>
      <c r="AA2570" s="4">
        <v>0</v>
      </c>
      <c r="AB2570" s="4">
        <f t="shared" si="385"/>
        <v>1800</v>
      </c>
      <c r="AC2570" s="6">
        <f t="shared" si="382"/>
        <v>0</v>
      </c>
      <c r="AD2570" s="13">
        <f t="shared" si="378"/>
        <v>1800</v>
      </c>
      <c r="AE2570" s="2">
        <v>0.18</v>
      </c>
      <c r="AF2570" s="5">
        <f t="shared" si="383"/>
        <v>324</v>
      </c>
      <c r="AG2570" s="2">
        <v>0</v>
      </c>
      <c r="AH2570" s="5">
        <f t="shared" si="379"/>
        <v>1800</v>
      </c>
      <c r="AJ2570" s="126" t="e">
        <v>#N/A</v>
      </c>
      <c r="AK2570" s="80">
        <f t="shared" si="384"/>
        <v>0</v>
      </c>
      <c r="AM2570" s="85"/>
    </row>
    <row r="2571" spans="1:39" hidden="1" x14ac:dyDescent="0.3">
      <c r="A2571" s="85" t="s">
        <v>34</v>
      </c>
      <c r="B2571" s="15" t="s">
        <v>35</v>
      </c>
      <c r="C2571" s="15" t="s">
        <v>2029</v>
      </c>
      <c r="D2571" s="15" t="s">
        <v>54</v>
      </c>
      <c r="E2571" s="15" t="s">
        <v>458</v>
      </c>
      <c r="F2571" s="15" t="s">
        <v>458</v>
      </c>
      <c r="G2571" s="15" t="s">
        <v>458</v>
      </c>
      <c r="H2571" s="139"/>
      <c r="I2571" s="3" t="s">
        <v>2935</v>
      </c>
      <c r="J2571" s="1" t="s">
        <v>3302</v>
      </c>
      <c r="K2571" s="1" t="s">
        <v>3281</v>
      </c>
      <c r="L2571" s="1" t="s">
        <v>35</v>
      </c>
      <c r="M2571" s="15" t="s">
        <v>3120</v>
      </c>
      <c r="N2571" s="15"/>
      <c r="O2571" s="8" t="s">
        <v>410</v>
      </c>
      <c r="P2571" s="8" t="s">
        <v>41</v>
      </c>
      <c r="Q2571" s="9">
        <v>0</v>
      </c>
      <c r="R2571" s="139">
        <v>67222</v>
      </c>
      <c r="T2571" s="6">
        <v>7130.130000000001</v>
      </c>
      <c r="U2571" s="4">
        <v>0</v>
      </c>
      <c r="V2571" s="4">
        <v>0</v>
      </c>
      <c r="W2571" s="13">
        <f t="shared" si="377"/>
        <v>7130.130000000001</v>
      </c>
      <c r="X2571" s="13">
        <f t="shared" si="380"/>
        <v>0</v>
      </c>
      <c r="Y2571" s="13">
        <f t="shared" si="381"/>
        <v>0</v>
      </c>
      <c r="Z2571" s="2">
        <v>0</v>
      </c>
      <c r="AA2571" s="4">
        <v>0</v>
      </c>
      <c r="AB2571" s="4">
        <f t="shared" si="385"/>
        <v>0</v>
      </c>
      <c r="AC2571" s="6">
        <f t="shared" si="382"/>
        <v>0</v>
      </c>
      <c r="AD2571" s="13">
        <f t="shared" si="378"/>
        <v>0</v>
      </c>
      <c r="AE2571" s="2">
        <v>0.09</v>
      </c>
      <c r="AF2571" s="5">
        <f t="shared" si="383"/>
        <v>0</v>
      </c>
      <c r="AG2571" s="2">
        <v>0</v>
      </c>
      <c r="AH2571" s="5">
        <f t="shared" si="379"/>
        <v>0</v>
      </c>
      <c r="AJ2571" s="126" t="e">
        <v>#N/A</v>
      </c>
      <c r="AK2571" s="80">
        <f t="shared" si="384"/>
        <v>0</v>
      </c>
      <c r="AM2571" s="85"/>
    </row>
    <row r="2572" spans="1:39" hidden="1" x14ac:dyDescent="0.3">
      <c r="A2572" s="85" t="s">
        <v>34</v>
      </c>
      <c r="B2572" s="15" t="s">
        <v>35</v>
      </c>
      <c r="C2572" s="15" t="s">
        <v>47</v>
      </c>
      <c r="D2572" s="15" t="s">
        <v>63</v>
      </c>
      <c r="E2572" s="15" t="s">
        <v>2480</v>
      </c>
      <c r="F2572" s="15" t="s">
        <v>2480</v>
      </c>
      <c r="G2572" s="15" t="s">
        <v>2480</v>
      </c>
      <c r="H2572" s="139"/>
      <c r="I2572" s="3" t="s">
        <v>2935</v>
      </c>
      <c r="J2572" s="1" t="s">
        <v>3302</v>
      </c>
      <c r="K2572" s="1" t="s">
        <v>3281</v>
      </c>
      <c r="L2572" s="1" t="s">
        <v>35</v>
      </c>
      <c r="M2572" s="15" t="s">
        <v>2480</v>
      </c>
      <c r="N2572" s="15"/>
      <c r="O2572" s="8" t="s">
        <v>45</v>
      </c>
      <c r="P2572" s="8" t="s">
        <v>41</v>
      </c>
      <c r="Q2572" s="9">
        <v>0</v>
      </c>
      <c r="R2572" s="139">
        <v>26532</v>
      </c>
      <c r="T2572" s="6">
        <v>-41545.46</v>
      </c>
      <c r="U2572" s="4">
        <v>0</v>
      </c>
      <c r="V2572" s="4">
        <v>0</v>
      </c>
      <c r="W2572" s="13">
        <f t="shared" si="377"/>
        <v>-41545.46</v>
      </c>
      <c r="X2572" s="13">
        <f t="shared" si="380"/>
        <v>0</v>
      </c>
      <c r="Y2572" s="13">
        <f t="shared" si="381"/>
        <v>0</v>
      </c>
      <c r="Z2572" s="2">
        <v>0</v>
      </c>
      <c r="AA2572" s="4">
        <v>0</v>
      </c>
      <c r="AB2572" s="4">
        <f t="shared" si="385"/>
        <v>0</v>
      </c>
      <c r="AC2572" s="6">
        <f t="shared" si="382"/>
        <v>0</v>
      </c>
      <c r="AD2572" s="13">
        <f t="shared" si="378"/>
        <v>0</v>
      </c>
      <c r="AE2572" s="2">
        <v>0.18</v>
      </c>
      <c r="AF2572" s="5">
        <f t="shared" si="383"/>
        <v>0</v>
      </c>
      <c r="AG2572" s="2">
        <v>0</v>
      </c>
      <c r="AH2572" s="5">
        <f t="shared" si="379"/>
        <v>0</v>
      </c>
      <c r="AJ2572" s="126" t="e">
        <v>#N/A</v>
      </c>
      <c r="AK2572" s="80">
        <f t="shared" si="384"/>
        <v>0</v>
      </c>
      <c r="AM2572" s="85"/>
    </row>
    <row r="2573" spans="1:39" hidden="1" x14ac:dyDescent="0.3">
      <c r="A2573" s="85" t="s">
        <v>34</v>
      </c>
      <c r="B2573" s="15" t="s">
        <v>35</v>
      </c>
      <c r="C2573" s="15" t="s">
        <v>47</v>
      </c>
      <c r="D2573" s="15" t="s">
        <v>48</v>
      </c>
      <c r="E2573" s="15" t="s">
        <v>3077</v>
      </c>
      <c r="F2573" s="15" t="s">
        <v>3077</v>
      </c>
      <c r="G2573" s="15" t="s">
        <v>3077</v>
      </c>
      <c r="H2573" s="139"/>
      <c r="I2573" s="3" t="s">
        <v>2935</v>
      </c>
      <c r="J2573" s="1" t="s">
        <v>3302</v>
      </c>
      <c r="K2573" s="1" t="s">
        <v>3281</v>
      </c>
      <c r="L2573" s="1" t="s">
        <v>35</v>
      </c>
      <c r="M2573" s="15" t="s">
        <v>3077</v>
      </c>
      <c r="N2573" s="15"/>
      <c r="O2573" s="8" t="s">
        <v>45</v>
      </c>
      <c r="P2573" s="8" t="s">
        <v>41</v>
      </c>
      <c r="Q2573" s="9">
        <v>0</v>
      </c>
      <c r="R2573" s="139">
        <v>169952</v>
      </c>
      <c r="T2573" s="6">
        <v>-10080.1</v>
      </c>
      <c r="U2573" s="4">
        <v>0</v>
      </c>
      <c r="V2573" s="4">
        <v>0</v>
      </c>
      <c r="W2573" s="13">
        <f t="shared" si="377"/>
        <v>-10080.1</v>
      </c>
      <c r="X2573" s="13">
        <f t="shared" si="380"/>
        <v>0</v>
      </c>
      <c r="Y2573" s="13">
        <f t="shared" si="381"/>
        <v>0</v>
      </c>
      <c r="Z2573" s="2">
        <v>0</v>
      </c>
      <c r="AA2573" s="4">
        <v>0</v>
      </c>
      <c r="AB2573" s="4">
        <f t="shared" si="385"/>
        <v>0</v>
      </c>
      <c r="AC2573" s="6">
        <f t="shared" si="382"/>
        <v>0</v>
      </c>
      <c r="AD2573" s="13">
        <f t="shared" si="378"/>
        <v>0</v>
      </c>
      <c r="AE2573" s="2">
        <v>0.18</v>
      </c>
      <c r="AF2573" s="5">
        <f t="shared" si="383"/>
        <v>0</v>
      </c>
      <c r="AG2573" s="2">
        <v>0</v>
      </c>
      <c r="AH2573" s="5">
        <f t="shared" si="379"/>
        <v>0</v>
      </c>
      <c r="AJ2573" s="126" t="e">
        <v>#N/A</v>
      </c>
      <c r="AK2573" s="80">
        <f t="shared" si="384"/>
        <v>0</v>
      </c>
      <c r="AM2573" s="85"/>
    </row>
    <row r="2574" spans="1:39" hidden="1" x14ac:dyDescent="0.3">
      <c r="A2574" s="85" t="s">
        <v>34</v>
      </c>
      <c r="B2574" s="15" t="s">
        <v>35</v>
      </c>
      <c r="C2574" s="15" t="s">
        <v>47</v>
      </c>
      <c r="D2574" s="15" t="s">
        <v>48</v>
      </c>
      <c r="E2574" s="15" t="s">
        <v>2279</v>
      </c>
      <c r="F2574" s="15" t="s">
        <v>2980</v>
      </c>
      <c r="G2574" s="15" t="s">
        <v>2279</v>
      </c>
      <c r="H2574" s="139"/>
      <c r="I2574" s="3" t="s">
        <v>2935</v>
      </c>
      <c r="J2574" s="1" t="s">
        <v>3302</v>
      </c>
      <c r="K2574" s="1" t="s">
        <v>3281</v>
      </c>
      <c r="L2574" s="1" t="s">
        <v>35</v>
      </c>
      <c r="M2574" s="15" t="s">
        <v>2279</v>
      </c>
      <c r="N2574" s="15"/>
      <c r="O2574" s="8" t="s">
        <v>45</v>
      </c>
      <c r="P2574" s="8" t="s">
        <v>46</v>
      </c>
      <c r="Q2574" s="9">
        <v>0.04</v>
      </c>
      <c r="R2574" s="139">
        <v>208532</v>
      </c>
      <c r="T2574" s="6">
        <v>-365615.88</v>
      </c>
      <c r="U2574" s="4">
        <v>0</v>
      </c>
      <c r="V2574" s="4">
        <v>0</v>
      </c>
      <c r="W2574" s="13">
        <f t="shared" si="377"/>
        <v>-365615.88</v>
      </c>
      <c r="X2574" s="13">
        <f t="shared" si="380"/>
        <v>0</v>
      </c>
      <c r="Y2574" s="13">
        <f t="shared" si="381"/>
        <v>0</v>
      </c>
      <c r="Z2574" s="2">
        <v>0</v>
      </c>
      <c r="AA2574" s="4">
        <v>0</v>
      </c>
      <c r="AB2574" s="4">
        <f t="shared" si="385"/>
        <v>0</v>
      </c>
      <c r="AC2574" s="6">
        <f t="shared" si="382"/>
        <v>0</v>
      </c>
      <c r="AD2574" s="13">
        <f t="shared" si="378"/>
        <v>0</v>
      </c>
      <c r="AE2574" s="2">
        <v>0.18</v>
      </c>
      <c r="AF2574" s="5">
        <f t="shared" si="383"/>
        <v>0</v>
      </c>
      <c r="AG2574" s="2">
        <v>0</v>
      </c>
      <c r="AH2574" s="5">
        <f t="shared" si="379"/>
        <v>0</v>
      </c>
      <c r="AJ2574" s="126" t="e">
        <v>#N/A</v>
      </c>
      <c r="AK2574" s="80">
        <f t="shared" si="384"/>
        <v>0</v>
      </c>
      <c r="AM2574" s="85"/>
    </row>
    <row r="2575" spans="1:39" hidden="1" x14ac:dyDescent="0.3">
      <c r="A2575" s="85" t="s">
        <v>34</v>
      </c>
      <c r="B2575" s="15" t="s">
        <v>35</v>
      </c>
      <c r="C2575" s="15" t="s">
        <v>164</v>
      </c>
      <c r="D2575" s="15" t="s">
        <v>169</v>
      </c>
      <c r="E2575" s="15" t="s">
        <v>3011</v>
      </c>
      <c r="F2575" s="15" t="s">
        <v>3011</v>
      </c>
      <c r="G2575" s="15" t="s">
        <v>3011</v>
      </c>
      <c r="H2575" s="139"/>
      <c r="I2575" s="3" t="s">
        <v>2935</v>
      </c>
      <c r="J2575" s="1" t="s">
        <v>3302</v>
      </c>
      <c r="K2575" s="1" t="s">
        <v>3281</v>
      </c>
      <c r="L2575" s="1" t="s">
        <v>35</v>
      </c>
      <c r="M2575" s="15" t="s">
        <v>3011</v>
      </c>
      <c r="N2575" s="15"/>
      <c r="O2575" s="8" t="s">
        <v>45</v>
      </c>
      <c r="P2575" s="8" t="s">
        <v>41</v>
      </c>
      <c r="Q2575" s="9">
        <v>0</v>
      </c>
      <c r="R2575" s="139">
        <v>51562</v>
      </c>
      <c r="T2575" s="6">
        <v>-168764.61</v>
      </c>
      <c r="U2575" s="4">
        <v>0</v>
      </c>
      <c r="V2575" s="4">
        <v>0</v>
      </c>
      <c r="W2575" s="13">
        <f t="shared" si="377"/>
        <v>-168764.61</v>
      </c>
      <c r="X2575" s="13">
        <f t="shared" si="380"/>
        <v>0</v>
      </c>
      <c r="Y2575" s="13">
        <f t="shared" si="381"/>
        <v>0</v>
      </c>
      <c r="Z2575" s="2">
        <v>0</v>
      </c>
      <c r="AA2575" s="4">
        <v>0</v>
      </c>
      <c r="AB2575" s="4">
        <f t="shared" si="385"/>
        <v>0</v>
      </c>
      <c r="AC2575" s="6">
        <f t="shared" si="382"/>
        <v>0</v>
      </c>
      <c r="AD2575" s="13">
        <f t="shared" si="378"/>
        <v>0</v>
      </c>
      <c r="AE2575" s="2">
        <v>0.18</v>
      </c>
      <c r="AF2575" s="5">
        <f t="shared" si="383"/>
        <v>0</v>
      </c>
      <c r="AG2575" s="2">
        <v>0</v>
      </c>
      <c r="AH2575" s="5">
        <f t="shared" si="379"/>
        <v>0</v>
      </c>
      <c r="AJ2575" s="126" t="e">
        <v>#N/A</v>
      </c>
      <c r="AK2575" s="80">
        <f t="shared" si="384"/>
        <v>0</v>
      </c>
      <c r="AM2575" s="85"/>
    </row>
    <row r="2576" spans="1:39" hidden="1" x14ac:dyDescent="0.3">
      <c r="A2576" s="85" t="s">
        <v>34</v>
      </c>
      <c r="B2576" s="15" t="s">
        <v>35</v>
      </c>
      <c r="C2576" s="15" t="s">
        <v>47</v>
      </c>
      <c r="D2576" s="15" t="s">
        <v>48</v>
      </c>
      <c r="E2576" s="15" t="s">
        <v>2482</v>
      </c>
      <c r="F2576" s="15" t="s">
        <v>2483</v>
      </c>
      <c r="G2576" s="15" t="s">
        <v>2482</v>
      </c>
      <c r="H2576" s="139"/>
      <c r="I2576" s="3" t="s">
        <v>2935</v>
      </c>
      <c r="J2576" s="1" t="s">
        <v>3302</v>
      </c>
      <c r="K2576" s="1" t="s">
        <v>3281</v>
      </c>
      <c r="L2576" s="1" t="s">
        <v>35</v>
      </c>
      <c r="M2576" s="15" t="s">
        <v>2482</v>
      </c>
      <c r="N2576" s="15"/>
      <c r="O2576" s="8" t="s">
        <v>45</v>
      </c>
      <c r="P2576" s="8" t="s">
        <v>41</v>
      </c>
      <c r="Q2576" s="9">
        <v>0</v>
      </c>
      <c r="R2576" s="139">
        <v>52872</v>
      </c>
      <c r="T2576" s="6">
        <v>-51441.16</v>
      </c>
      <c r="U2576" s="4">
        <v>0</v>
      </c>
      <c r="V2576" s="4">
        <v>0</v>
      </c>
      <c r="W2576" s="13">
        <f t="shared" si="377"/>
        <v>-51441.16</v>
      </c>
      <c r="X2576" s="13">
        <f t="shared" si="380"/>
        <v>0</v>
      </c>
      <c r="Y2576" s="13">
        <f t="shared" si="381"/>
        <v>0</v>
      </c>
      <c r="Z2576" s="2">
        <v>0</v>
      </c>
      <c r="AA2576" s="4">
        <v>0</v>
      </c>
      <c r="AB2576" s="4">
        <f t="shared" si="385"/>
        <v>0</v>
      </c>
      <c r="AC2576" s="6">
        <f t="shared" si="382"/>
        <v>0</v>
      </c>
      <c r="AD2576" s="13">
        <f t="shared" si="378"/>
        <v>0</v>
      </c>
      <c r="AE2576" s="2">
        <v>0.18</v>
      </c>
      <c r="AF2576" s="5">
        <f t="shared" si="383"/>
        <v>0</v>
      </c>
      <c r="AG2576" s="2">
        <v>0</v>
      </c>
      <c r="AH2576" s="5">
        <f t="shared" si="379"/>
        <v>0</v>
      </c>
      <c r="AJ2576" s="126" t="e">
        <v>#N/A</v>
      </c>
      <c r="AK2576" s="80">
        <f t="shared" si="384"/>
        <v>0</v>
      </c>
      <c r="AM2576" s="85"/>
    </row>
    <row r="2577" spans="1:39" hidden="1" x14ac:dyDescent="0.3">
      <c r="A2577" s="85" t="s">
        <v>34</v>
      </c>
      <c r="B2577" s="15" t="s">
        <v>35</v>
      </c>
      <c r="C2577" s="15" t="s">
        <v>164</v>
      </c>
      <c r="D2577" s="15" t="s">
        <v>174</v>
      </c>
      <c r="E2577" s="15" t="s">
        <v>1966</v>
      </c>
      <c r="F2577" s="15" t="s">
        <v>1966</v>
      </c>
      <c r="G2577" s="15" t="s">
        <v>1966</v>
      </c>
      <c r="H2577" s="139"/>
      <c r="I2577" s="3" t="s">
        <v>2935</v>
      </c>
      <c r="J2577" s="1" t="s">
        <v>3302</v>
      </c>
      <c r="K2577" s="1" t="s">
        <v>3281</v>
      </c>
      <c r="L2577" s="1" t="s">
        <v>35</v>
      </c>
      <c r="M2577" s="15" t="s">
        <v>3018</v>
      </c>
      <c r="N2577" s="15"/>
      <c r="O2577" s="8" t="s">
        <v>45</v>
      </c>
      <c r="P2577" s="8" t="s">
        <v>41</v>
      </c>
      <c r="Q2577" s="9">
        <v>0</v>
      </c>
      <c r="R2577" s="139">
        <v>41722</v>
      </c>
      <c r="T2577" s="6">
        <v>-145114.81</v>
      </c>
      <c r="U2577" s="4">
        <v>0</v>
      </c>
      <c r="V2577" s="4">
        <v>0</v>
      </c>
      <c r="W2577" s="13">
        <f t="shared" si="377"/>
        <v>-145114.81</v>
      </c>
      <c r="X2577" s="13">
        <f t="shared" si="380"/>
        <v>0</v>
      </c>
      <c r="Y2577" s="13">
        <f t="shared" si="381"/>
        <v>0</v>
      </c>
      <c r="Z2577" s="2">
        <v>0</v>
      </c>
      <c r="AA2577" s="4">
        <v>0</v>
      </c>
      <c r="AB2577" s="4">
        <f t="shared" si="385"/>
        <v>0</v>
      </c>
      <c r="AC2577" s="6">
        <f t="shared" si="382"/>
        <v>0</v>
      </c>
      <c r="AD2577" s="13">
        <f t="shared" si="378"/>
        <v>0</v>
      </c>
      <c r="AE2577" s="2">
        <v>0.18</v>
      </c>
      <c r="AF2577" s="5">
        <f t="shared" si="383"/>
        <v>0</v>
      </c>
      <c r="AG2577" s="2">
        <v>0</v>
      </c>
      <c r="AH2577" s="5">
        <f t="shared" si="379"/>
        <v>0</v>
      </c>
      <c r="AJ2577" s="126" t="e">
        <v>#N/A</v>
      </c>
      <c r="AK2577" s="80">
        <f t="shared" si="384"/>
        <v>0</v>
      </c>
      <c r="AM2577" s="85"/>
    </row>
    <row r="2578" spans="1:39" hidden="1" x14ac:dyDescent="0.3">
      <c r="A2578" s="85" t="s">
        <v>34</v>
      </c>
      <c r="B2578" s="15" t="s">
        <v>35</v>
      </c>
      <c r="C2578" s="15" t="s">
        <v>164</v>
      </c>
      <c r="D2578" s="15" t="s">
        <v>165</v>
      </c>
      <c r="E2578" s="15" t="s">
        <v>615</v>
      </c>
      <c r="F2578" s="15" t="s">
        <v>615</v>
      </c>
      <c r="G2578" s="15" t="s">
        <v>615</v>
      </c>
      <c r="H2578" s="139"/>
      <c r="I2578" s="3" t="s">
        <v>2935</v>
      </c>
      <c r="J2578" s="1" t="s">
        <v>3302</v>
      </c>
      <c r="K2578" s="1" t="s">
        <v>3281</v>
      </c>
      <c r="L2578" s="1" t="s">
        <v>35</v>
      </c>
      <c r="M2578" s="15" t="s">
        <v>616</v>
      </c>
      <c r="N2578" s="15"/>
      <c r="O2578" s="8" t="s">
        <v>45</v>
      </c>
      <c r="P2578" s="8" t="s">
        <v>41</v>
      </c>
      <c r="Q2578" s="9">
        <v>0</v>
      </c>
      <c r="R2578" s="139">
        <v>31572</v>
      </c>
      <c r="T2578" s="6">
        <v>-6716.95</v>
      </c>
      <c r="U2578" s="4">
        <v>0</v>
      </c>
      <c r="V2578" s="4">
        <v>0</v>
      </c>
      <c r="W2578" s="13">
        <f t="shared" si="377"/>
        <v>-6716.95</v>
      </c>
      <c r="X2578" s="13">
        <f t="shared" si="380"/>
        <v>0</v>
      </c>
      <c r="Y2578" s="13">
        <f t="shared" si="381"/>
        <v>0</v>
      </c>
      <c r="Z2578" s="2">
        <v>0</v>
      </c>
      <c r="AA2578" s="4">
        <v>0</v>
      </c>
      <c r="AB2578" s="4">
        <f t="shared" si="385"/>
        <v>0</v>
      </c>
      <c r="AC2578" s="6">
        <f t="shared" si="382"/>
        <v>0</v>
      </c>
      <c r="AD2578" s="13">
        <f t="shared" si="378"/>
        <v>0</v>
      </c>
      <c r="AE2578" s="2">
        <v>0.18</v>
      </c>
      <c r="AF2578" s="5">
        <f t="shared" si="383"/>
        <v>0</v>
      </c>
      <c r="AG2578" s="2">
        <v>0</v>
      </c>
      <c r="AH2578" s="5">
        <f t="shared" si="379"/>
        <v>0</v>
      </c>
      <c r="AJ2578" s="126" t="e">
        <v>#N/A</v>
      </c>
      <c r="AK2578" s="80">
        <f t="shared" si="384"/>
        <v>0</v>
      </c>
      <c r="AM2578" s="85"/>
    </row>
    <row r="2579" spans="1:39" hidden="1" x14ac:dyDescent="0.3">
      <c r="A2579" s="85" t="s">
        <v>34</v>
      </c>
      <c r="B2579" s="15" t="s">
        <v>35</v>
      </c>
      <c r="C2579" s="15" t="s">
        <v>2029</v>
      </c>
      <c r="D2579" s="15" t="s">
        <v>37</v>
      </c>
      <c r="E2579" s="15" t="s">
        <v>57</v>
      </c>
      <c r="F2579" s="15" t="s">
        <v>3071</v>
      </c>
      <c r="G2579" s="15" t="s">
        <v>57</v>
      </c>
      <c r="H2579" s="139"/>
      <c r="I2579" s="3" t="s">
        <v>2935</v>
      </c>
      <c r="J2579" s="1" t="s">
        <v>3302</v>
      </c>
      <c r="K2579" s="1" t="s">
        <v>3281</v>
      </c>
      <c r="L2579" s="1" t="s">
        <v>35</v>
      </c>
      <c r="M2579" s="15" t="s">
        <v>3076</v>
      </c>
      <c r="N2579" s="15"/>
      <c r="O2579" s="8" t="s">
        <v>45</v>
      </c>
      <c r="P2579" s="8" t="s">
        <v>46</v>
      </c>
      <c r="Q2579" s="9">
        <v>0.04</v>
      </c>
      <c r="R2579" s="139">
        <v>33302</v>
      </c>
      <c r="T2579" s="6">
        <v>-3229.28</v>
      </c>
      <c r="U2579" s="4">
        <v>0</v>
      </c>
      <c r="V2579" s="4">
        <v>0</v>
      </c>
      <c r="W2579" s="13">
        <f t="shared" si="377"/>
        <v>-3229.28</v>
      </c>
      <c r="X2579" s="13">
        <f t="shared" si="380"/>
        <v>0</v>
      </c>
      <c r="Y2579" s="13">
        <f t="shared" si="381"/>
        <v>0</v>
      </c>
      <c r="Z2579" s="2">
        <v>0</v>
      </c>
      <c r="AA2579" s="4">
        <v>0</v>
      </c>
      <c r="AB2579" s="4">
        <f t="shared" si="385"/>
        <v>0</v>
      </c>
      <c r="AC2579" s="6">
        <f t="shared" si="382"/>
        <v>0</v>
      </c>
      <c r="AD2579" s="13">
        <f t="shared" si="378"/>
        <v>0</v>
      </c>
      <c r="AE2579" s="2">
        <v>0.18</v>
      </c>
      <c r="AF2579" s="5">
        <f t="shared" si="383"/>
        <v>0</v>
      </c>
      <c r="AG2579" s="2">
        <v>0</v>
      </c>
      <c r="AH2579" s="5">
        <f t="shared" si="379"/>
        <v>0</v>
      </c>
      <c r="AJ2579" s="126" t="e">
        <v>#N/A</v>
      </c>
      <c r="AK2579" s="80">
        <f t="shared" si="384"/>
        <v>0</v>
      </c>
      <c r="AM2579" s="85"/>
    </row>
    <row r="2580" spans="1:39" hidden="1" x14ac:dyDescent="0.3">
      <c r="A2580" s="85" t="s">
        <v>34</v>
      </c>
      <c r="B2580" s="15" t="s">
        <v>35</v>
      </c>
      <c r="C2580" s="15" t="s">
        <v>164</v>
      </c>
      <c r="D2580" s="15" t="s">
        <v>174</v>
      </c>
      <c r="E2580" s="15" t="s">
        <v>3056</v>
      </c>
      <c r="F2580" s="15" t="s">
        <v>3056</v>
      </c>
      <c r="G2580" s="15" t="s">
        <v>3056</v>
      </c>
      <c r="H2580" s="139"/>
      <c r="I2580" s="3" t="s">
        <v>2935</v>
      </c>
      <c r="J2580" s="1" t="s">
        <v>3302</v>
      </c>
      <c r="K2580" s="1" t="s">
        <v>3281</v>
      </c>
      <c r="L2580" s="1" t="s">
        <v>35</v>
      </c>
      <c r="M2580" s="15" t="s">
        <v>3056</v>
      </c>
      <c r="N2580" s="15"/>
      <c r="O2580" s="8" t="s">
        <v>45</v>
      </c>
      <c r="P2580" s="8" t="s">
        <v>46</v>
      </c>
      <c r="Q2580" s="9">
        <v>3.6999999999999998E-2</v>
      </c>
      <c r="R2580" s="139">
        <v>227532</v>
      </c>
      <c r="T2580" s="6">
        <v>-4300.8</v>
      </c>
      <c r="U2580" s="4">
        <v>0</v>
      </c>
      <c r="V2580" s="4">
        <v>0</v>
      </c>
      <c r="W2580" s="13">
        <v>0</v>
      </c>
      <c r="X2580" s="13">
        <f t="shared" si="380"/>
        <v>0</v>
      </c>
      <c r="Y2580" s="13">
        <f t="shared" si="381"/>
        <v>0</v>
      </c>
      <c r="Z2580" s="2">
        <v>0</v>
      </c>
      <c r="AA2580" s="4">
        <v>0</v>
      </c>
      <c r="AB2580" s="4">
        <f t="shared" si="385"/>
        <v>0</v>
      </c>
      <c r="AC2580" s="6">
        <f t="shared" si="382"/>
        <v>0</v>
      </c>
      <c r="AD2580" s="13">
        <f t="shared" ref="AD2580:AD2604" si="386">V2580</f>
        <v>0</v>
      </c>
      <c r="AE2580" s="2">
        <v>0.18</v>
      </c>
      <c r="AF2580" s="5">
        <f t="shared" si="383"/>
        <v>0</v>
      </c>
      <c r="AG2580" s="2">
        <v>0</v>
      </c>
      <c r="AH2580" s="5">
        <f t="shared" ref="AH2580:AH2604" si="387">V2580</f>
        <v>0</v>
      </c>
      <c r="AJ2580" s="126" t="e">
        <v>#N/A</v>
      </c>
      <c r="AK2580" s="80">
        <f t="shared" si="384"/>
        <v>0</v>
      </c>
      <c r="AM2580" s="85"/>
    </row>
    <row r="2581" spans="1:39" hidden="1" x14ac:dyDescent="0.3">
      <c r="A2581" s="85" t="s">
        <v>34</v>
      </c>
      <c r="B2581" s="15" t="s">
        <v>35</v>
      </c>
      <c r="C2581" s="15" t="s">
        <v>2029</v>
      </c>
      <c r="D2581" s="15" t="s">
        <v>54</v>
      </c>
      <c r="E2581" s="15" t="s">
        <v>2957</v>
      </c>
      <c r="F2581" s="15" t="s">
        <v>3042</v>
      </c>
      <c r="G2581" s="15" t="s">
        <v>2957</v>
      </c>
      <c r="H2581" s="139"/>
      <c r="I2581" s="3" t="s">
        <v>2935</v>
      </c>
      <c r="J2581" s="1" t="s">
        <v>3302</v>
      </c>
      <c r="K2581" s="1" t="s">
        <v>3281</v>
      </c>
      <c r="L2581" s="1" t="s">
        <v>35</v>
      </c>
      <c r="M2581" s="15" t="s">
        <v>2958</v>
      </c>
      <c r="N2581" s="15"/>
      <c r="O2581" s="8" t="s">
        <v>45</v>
      </c>
      <c r="P2581" s="8" t="s">
        <v>46</v>
      </c>
      <c r="Q2581" s="9">
        <v>0.1</v>
      </c>
      <c r="R2581" s="139">
        <v>227402</v>
      </c>
      <c r="T2581" s="6">
        <v>-4719.21</v>
      </c>
      <c r="U2581" s="4">
        <v>0</v>
      </c>
      <c r="V2581" s="4">
        <v>0</v>
      </c>
      <c r="W2581" s="13">
        <v>0</v>
      </c>
      <c r="X2581" s="13">
        <f t="shared" si="380"/>
        <v>0</v>
      </c>
      <c r="Y2581" s="13">
        <f t="shared" si="381"/>
        <v>0</v>
      </c>
      <c r="Z2581" s="2">
        <v>0</v>
      </c>
      <c r="AA2581" s="4">
        <v>0</v>
      </c>
      <c r="AB2581" s="4">
        <f t="shared" si="385"/>
        <v>0</v>
      </c>
      <c r="AC2581" s="6">
        <f t="shared" si="382"/>
        <v>0</v>
      </c>
      <c r="AD2581" s="13">
        <f t="shared" si="386"/>
        <v>0</v>
      </c>
      <c r="AE2581" s="2">
        <v>0.18</v>
      </c>
      <c r="AF2581" s="5">
        <f t="shared" si="383"/>
        <v>0</v>
      </c>
      <c r="AG2581" s="2">
        <v>0</v>
      </c>
      <c r="AH2581" s="5">
        <f t="shared" si="387"/>
        <v>0</v>
      </c>
      <c r="AJ2581" s="126" t="e">
        <v>#N/A</v>
      </c>
      <c r="AK2581" s="80">
        <f t="shared" si="384"/>
        <v>0</v>
      </c>
      <c r="AM2581" s="85"/>
    </row>
    <row r="2582" spans="1:39" hidden="1" x14ac:dyDescent="0.3">
      <c r="A2582" s="85" t="s">
        <v>34</v>
      </c>
      <c r="B2582" s="15" t="s">
        <v>35</v>
      </c>
      <c r="C2582" s="15" t="s">
        <v>164</v>
      </c>
      <c r="D2582" s="15" t="s">
        <v>174</v>
      </c>
      <c r="E2582" s="15" t="s">
        <v>1966</v>
      </c>
      <c r="F2582" s="15" t="s">
        <v>1966</v>
      </c>
      <c r="G2582" s="15" t="s">
        <v>1966</v>
      </c>
      <c r="H2582" s="154"/>
      <c r="I2582" s="3" t="s">
        <v>2935</v>
      </c>
      <c r="J2582" s="1" t="s">
        <v>3302</v>
      </c>
      <c r="K2582" s="1" t="s">
        <v>3281</v>
      </c>
      <c r="L2582" s="1" t="s">
        <v>35</v>
      </c>
      <c r="M2582" s="15" t="s">
        <v>2604</v>
      </c>
      <c r="N2582" s="15"/>
      <c r="O2582" s="8" t="s">
        <v>45</v>
      </c>
      <c r="P2582" s="8" t="s">
        <v>41</v>
      </c>
      <c r="Q2582" s="9">
        <v>0</v>
      </c>
      <c r="R2582" s="139">
        <v>20942</v>
      </c>
      <c r="T2582" s="6">
        <v>-21346.61</v>
      </c>
      <c r="U2582" s="4">
        <v>0</v>
      </c>
      <c r="V2582" s="4">
        <v>48543.920000000006</v>
      </c>
      <c r="W2582" s="13">
        <f t="shared" ref="W2582:W2645" si="388">T2582+U2582-V2582</f>
        <v>-69890.53</v>
      </c>
      <c r="X2582" s="13">
        <f t="shared" si="380"/>
        <v>48543.920000000006</v>
      </c>
      <c r="Y2582" s="13">
        <f t="shared" si="381"/>
        <v>0</v>
      </c>
      <c r="Z2582" s="2">
        <v>0</v>
      </c>
      <c r="AA2582" s="4">
        <v>0</v>
      </c>
      <c r="AB2582" s="4">
        <f t="shared" si="385"/>
        <v>48543.920000000006</v>
      </c>
      <c r="AC2582" s="6">
        <f t="shared" si="382"/>
        <v>0</v>
      </c>
      <c r="AD2582" s="13">
        <f t="shared" si="386"/>
        <v>48543.920000000006</v>
      </c>
      <c r="AE2582" s="2">
        <v>0.18</v>
      </c>
      <c r="AF2582" s="5">
        <f t="shared" si="383"/>
        <v>8737.9056</v>
      </c>
      <c r="AG2582" s="2">
        <v>0</v>
      </c>
      <c r="AH2582" s="5">
        <f t="shared" si="387"/>
        <v>48543.920000000006</v>
      </c>
      <c r="AJ2582" s="126" t="e">
        <v>#N/A</v>
      </c>
      <c r="AK2582" s="80">
        <f t="shared" si="384"/>
        <v>0</v>
      </c>
      <c r="AM2582" s="85"/>
    </row>
    <row r="2583" spans="1:39" hidden="1" x14ac:dyDescent="0.3">
      <c r="A2583" s="85" t="s">
        <v>34</v>
      </c>
      <c r="B2583" s="15" t="s">
        <v>35</v>
      </c>
      <c r="C2583" s="15" t="s">
        <v>164</v>
      </c>
      <c r="D2583" s="15" t="s">
        <v>181</v>
      </c>
      <c r="E2583" s="15" t="s">
        <v>182</v>
      </c>
      <c r="F2583" s="15" t="s">
        <v>183</v>
      </c>
      <c r="G2583" s="15" t="s">
        <v>182</v>
      </c>
      <c r="H2583" s="139"/>
      <c r="I2583" s="3" t="s">
        <v>2935</v>
      </c>
      <c r="J2583" s="1" t="s">
        <v>3302</v>
      </c>
      <c r="K2583" s="1" t="s">
        <v>3281</v>
      </c>
      <c r="L2583" s="1" t="s">
        <v>35</v>
      </c>
      <c r="M2583" s="15" t="s">
        <v>3038</v>
      </c>
      <c r="N2583" s="15"/>
      <c r="O2583" s="8" t="s">
        <v>45</v>
      </c>
      <c r="P2583" s="8" t="s">
        <v>41</v>
      </c>
      <c r="Q2583" s="9">
        <v>0</v>
      </c>
      <c r="R2583" s="139">
        <v>116712</v>
      </c>
      <c r="T2583" s="6">
        <v>-26</v>
      </c>
      <c r="U2583" s="4">
        <v>0</v>
      </c>
      <c r="V2583" s="4">
        <v>0</v>
      </c>
      <c r="W2583" s="13">
        <f t="shared" si="388"/>
        <v>-26</v>
      </c>
      <c r="X2583" s="13">
        <f t="shared" si="380"/>
        <v>0</v>
      </c>
      <c r="Y2583" s="13">
        <f t="shared" si="381"/>
        <v>0</v>
      </c>
      <c r="Z2583" s="2">
        <v>0.02</v>
      </c>
      <c r="AA2583" s="6">
        <f>X2583/(1-Z2583)*Z2583</f>
        <v>0</v>
      </c>
      <c r="AB2583" s="4">
        <f t="shared" si="385"/>
        <v>0</v>
      </c>
      <c r="AC2583" s="6">
        <f t="shared" si="382"/>
        <v>0</v>
      </c>
      <c r="AD2583" s="13">
        <f t="shared" si="386"/>
        <v>0</v>
      </c>
      <c r="AE2583" s="2">
        <v>0.18</v>
      </c>
      <c r="AF2583" s="5">
        <f t="shared" si="383"/>
        <v>0</v>
      </c>
      <c r="AG2583" s="2">
        <v>0</v>
      </c>
      <c r="AH2583" s="5">
        <f t="shared" si="387"/>
        <v>0</v>
      </c>
      <c r="AJ2583" s="126" t="e">
        <v>#N/A</v>
      </c>
      <c r="AK2583" s="80">
        <f t="shared" si="384"/>
        <v>0</v>
      </c>
      <c r="AM2583" s="85"/>
    </row>
    <row r="2584" spans="1:39" hidden="1" x14ac:dyDescent="0.3">
      <c r="A2584" s="85" t="s">
        <v>34</v>
      </c>
      <c r="B2584" s="15" t="s">
        <v>35</v>
      </c>
      <c r="C2584" s="15" t="s">
        <v>47</v>
      </c>
      <c r="D2584" s="15" t="s">
        <v>48</v>
      </c>
      <c r="E2584" s="15" t="s">
        <v>2909</v>
      </c>
      <c r="F2584" s="15" t="s">
        <v>2909</v>
      </c>
      <c r="G2584" s="15" t="s">
        <v>2909</v>
      </c>
      <c r="H2584" s="139"/>
      <c r="I2584" s="3" t="s">
        <v>2935</v>
      </c>
      <c r="J2584" s="1" t="s">
        <v>3302</v>
      </c>
      <c r="K2584" s="1" t="s">
        <v>3281</v>
      </c>
      <c r="L2584" s="1" t="s">
        <v>35</v>
      </c>
      <c r="M2584" s="15" t="s">
        <v>2983</v>
      </c>
      <c r="N2584" s="15"/>
      <c r="O2584" s="8" t="s">
        <v>45</v>
      </c>
      <c r="P2584" s="8" t="s">
        <v>41</v>
      </c>
      <c r="Q2584" s="9">
        <v>0</v>
      </c>
      <c r="R2584" s="139">
        <v>235462</v>
      </c>
      <c r="T2584" s="6">
        <v>-160375.22</v>
      </c>
      <c r="U2584" s="4">
        <v>0</v>
      </c>
      <c r="V2584" s="4">
        <v>0</v>
      </c>
      <c r="W2584" s="13">
        <f t="shared" si="388"/>
        <v>-160375.22</v>
      </c>
      <c r="X2584" s="13">
        <f t="shared" si="380"/>
        <v>0</v>
      </c>
      <c r="Y2584" s="13">
        <f t="shared" si="381"/>
        <v>0</v>
      </c>
      <c r="Z2584" s="2">
        <v>0</v>
      </c>
      <c r="AA2584" s="4">
        <v>0</v>
      </c>
      <c r="AB2584" s="4">
        <f t="shared" si="385"/>
        <v>0</v>
      </c>
      <c r="AC2584" s="6">
        <f t="shared" si="382"/>
        <v>0</v>
      </c>
      <c r="AD2584" s="13">
        <f t="shared" si="386"/>
        <v>0</v>
      </c>
      <c r="AE2584" s="2">
        <v>0.18</v>
      </c>
      <c r="AF2584" s="5">
        <f t="shared" si="383"/>
        <v>0</v>
      </c>
      <c r="AG2584" s="2">
        <v>0</v>
      </c>
      <c r="AH2584" s="5">
        <f t="shared" si="387"/>
        <v>0</v>
      </c>
      <c r="AJ2584" s="126" t="e">
        <v>#N/A</v>
      </c>
      <c r="AK2584" s="80">
        <f t="shared" si="384"/>
        <v>0</v>
      </c>
      <c r="AM2584" s="85"/>
    </row>
    <row r="2585" spans="1:39" hidden="1" x14ac:dyDescent="0.3">
      <c r="A2585" s="85" t="s">
        <v>34</v>
      </c>
      <c r="B2585" s="15" t="s">
        <v>35</v>
      </c>
      <c r="C2585" s="15" t="s">
        <v>59</v>
      </c>
      <c r="D2585" s="15" t="s">
        <v>60</v>
      </c>
      <c r="E2585" s="15" t="s">
        <v>891</v>
      </c>
      <c r="F2585" s="15" t="s">
        <v>3085</v>
      </c>
      <c r="G2585" s="15" t="s">
        <v>891</v>
      </c>
      <c r="H2585" s="154"/>
      <c r="I2585" s="3" t="s">
        <v>2935</v>
      </c>
      <c r="J2585" s="1" t="s">
        <v>3302</v>
      </c>
      <c r="K2585" s="1" t="s">
        <v>3281</v>
      </c>
      <c r="L2585" s="1" t="s">
        <v>35</v>
      </c>
      <c r="M2585" s="15" t="s">
        <v>3084</v>
      </c>
      <c r="N2585" s="15"/>
      <c r="O2585" s="8" t="s">
        <v>410</v>
      </c>
      <c r="P2585" s="8" t="s">
        <v>46</v>
      </c>
      <c r="Q2585" s="9">
        <v>0.05</v>
      </c>
      <c r="R2585" s="139">
        <v>3316</v>
      </c>
      <c r="T2585" s="6">
        <v>5000</v>
      </c>
      <c r="U2585" s="4">
        <v>0</v>
      </c>
      <c r="V2585" s="4">
        <v>4643.68</v>
      </c>
      <c r="W2585" s="13">
        <f t="shared" si="388"/>
        <v>356.31999999999971</v>
      </c>
      <c r="X2585" s="13">
        <f t="shared" si="380"/>
        <v>4422.5523809523811</v>
      </c>
      <c r="Y2585" s="13">
        <f t="shared" si="381"/>
        <v>0</v>
      </c>
      <c r="Z2585" s="2">
        <v>0</v>
      </c>
      <c r="AA2585" s="4">
        <v>0</v>
      </c>
      <c r="AB2585" s="4">
        <f t="shared" si="385"/>
        <v>4422.5523809523811</v>
      </c>
      <c r="AC2585" s="6">
        <f t="shared" si="382"/>
        <v>221.12761904761919</v>
      </c>
      <c r="AD2585" s="13">
        <f t="shared" si="386"/>
        <v>4643.68</v>
      </c>
      <c r="AE2585" s="2">
        <v>0.09</v>
      </c>
      <c r="AF2585" s="5">
        <f t="shared" si="383"/>
        <v>417.93119999999999</v>
      </c>
      <c r="AG2585" s="2">
        <v>0</v>
      </c>
      <c r="AH2585" s="5">
        <f t="shared" si="387"/>
        <v>4643.68</v>
      </c>
      <c r="AJ2585" s="126" t="e">
        <v>#N/A</v>
      </c>
      <c r="AK2585" s="80">
        <f t="shared" si="384"/>
        <v>0</v>
      </c>
      <c r="AM2585" s="85"/>
    </row>
    <row r="2586" spans="1:39" hidden="1" x14ac:dyDescent="0.3">
      <c r="A2586" s="85" t="s">
        <v>34</v>
      </c>
      <c r="B2586" s="15" t="s">
        <v>35</v>
      </c>
      <c r="C2586" s="15" t="s">
        <v>59</v>
      </c>
      <c r="D2586" s="15" t="s">
        <v>60</v>
      </c>
      <c r="E2586" s="15" t="s">
        <v>891</v>
      </c>
      <c r="F2586" s="15" t="s">
        <v>3085</v>
      </c>
      <c r="G2586" s="15" t="s">
        <v>891</v>
      </c>
      <c r="H2586" s="154"/>
      <c r="I2586" s="3" t="s">
        <v>2935</v>
      </c>
      <c r="J2586" s="1" t="s">
        <v>3302</v>
      </c>
      <c r="K2586" s="1" t="s">
        <v>3281</v>
      </c>
      <c r="L2586" s="1" t="s">
        <v>35</v>
      </c>
      <c r="M2586" s="15" t="s">
        <v>3084</v>
      </c>
      <c r="N2586" s="15"/>
      <c r="O2586" s="8" t="s">
        <v>410</v>
      </c>
      <c r="P2586" s="8" t="s">
        <v>41</v>
      </c>
      <c r="Q2586" s="9">
        <v>0</v>
      </c>
      <c r="R2586" s="139">
        <v>3316</v>
      </c>
      <c r="T2586" s="6">
        <v>113.38000000000011</v>
      </c>
      <c r="U2586" s="4">
        <v>0</v>
      </c>
      <c r="V2586" s="6">
        <v>113.38000000000011</v>
      </c>
      <c r="W2586" s="13">
        <f t="shared" si="388"/>
        <v>0</v>
      </c>
      <c r="X2586" s="13">
        <f t="shared" si="380"/>
        <v>113.38000000000011</v>
      </c>
      <c r="Y2586" s="13">
        <f t="shared" si="381"/>
        <v>0</v>
      </c>
      <c r="Z2586" s="2">
        <v>0</v>
      </c>
      <c r="AA2586" s="4">
        <v>0</v>
      </c>
      <c r="AB2586" s="4">
        <f t="shared" si="385"/>
        <v>113.38000000000011</v>
      </c>
      <c r="AC2586" s="6">
        <f t="shared" si="382"/>
        <v>0</v>
      </c>
      <c r="AD2586" s="13">
        <f t="shared" si="386"/>
        <v>113.38000000000011</v>
      </c>
      <c r="AE2586" s="2">
        <v>0.09</v>
      </c>
      <c r="AF2586" s="5">
        <f t="shared" si="383"/>
        <v>10.204200000000009</v>
      </c>
      <c r="AG2586" s="2">
        <v>0</v>
      </c>
      <c r="AH2586" s="5">
        <f t="shared" si="387"/>
        <v>113.38000000000011</v>
      </c>
      <c r="AJ2586" s="126" t="e">
        <v>#N/A</v>
      </c>
      <c r="AK2586" s="80">
        <f t="shared" si="384"/>
        <v>0</v>
      </c>
      <c r="AM2586" s="85"/>
    </row>
    <row r="2587" spans="1:39" hidden="1" x14ac:dyDescent="0.3">
      <c r="A2587" s="85" t="s">
        <v>34</v>
      </c>
      <c r="B2587" s="15" t="s">
        <v>35</v>
      </c>
      <c r="C2587" s="15" t="s">
        <v>164</v>
      </c>
      <c r="D2587" s="15" t="s">
        <v>174</v>
      </c>
      <c r="E2587" s="15" t="s">
        <v>651</v>
      </c>
      <c r="F2587" s="15" t="s">
        <v>651</v>
      </c>
      <c r="G2587" s="15" t="s">
        <v>651</v>
      </c>
      <c r="H2587" s="154"/>
      <c r="I2587" s="3" t="s">
        <v>2935</v>
      </c>
      <c r="J2587" s="1" t="s">
        <v>3302</v>
      </c>
      <c r="K2587" s="1" t="s">
        <v>3281</v>
      </c>
      <c r="L2587" s="1" t="s">
        <v>35</v>
      </c>
      <c r="M2587" s="15" t="s">
        <v>651</v>
      </c>
      <c r="N2587" s="15"/>
      <c r="O2587" s="8" t="s">
        <v>410</v>
      </c>
      <c r="P2587" s="8" t="s">
        <v>46</v>
      </c>
      <c r="Q2587" s="9">
        <v>0.02</v>
      </c>
      <c r="R2587" s="139">
        <v>104552</v>
      </c>
      <c r="T2587" s="6">
        <v>0</v>
      </c>
      <c r="U2587" s="4">
        <v>0</v>
      </c>
      <c r="V2587" s="4">
        <v>48518.63</v>
      </c>
      <c r="W2587" s="13">
        <f t="shared" si="388"/>
        <v>-48518.63</v>
      </c>
      <c r="X2587" s="13">
        <f t="shared" si="380"/>
        <v>47567.284313725489</v>
      </c>
      <c r="Y2587" s="13">
        <f t="shared" si="381"/>
        <v>0</v>
      </c>
      <c r="Z2587" s="2">
        <v>0</v>
      </c>
      <c r="AA2587" s="4">
        <v>0</v>
      </c>
      <c r="AB2587" s="4">
        <f t="shared" si="385"/>
        <v>47567.284313725489</v>
      </c>
      <c r="AC2587" s="6">
        <f t="shared" si="382"/>
        <v>951.3456862745079</v>
      </c>
      <c r="AD2587" s="13">
        <f t="shared" si="386"/>
        <v>48518.63</v>
      </c>
      <c r="AE2587" s="2">
        <v>0.09</v>
      </c>
      <c r="AF2587" s="5">
        <f t="shared" si="383"/>
        <v>4366.6767</v>
      </c>
      <c r="AG2587" s="2">
        <v>0</v>
      </c>
      <c r="AH2587" s="5">
        <f t="shared" si="387"/>
        <v>48518.63</v>
      </c>
      <c r="AJ2587" s="126" t="e">
        <v>#N/A</v>
      </c>
      <c r="AK2587" s="80">
        <f t="shared" si="384"/>
        <v>0</v>
      </c>
      <c r="AM2587" s="85"/>
    </row>
    <row r="2588" spans="1:39" hidden="1" x14ac:dyDescent="0.3">
      <c r="A2588" s="85" t="s">
        <v>34</v>
      </c>
      <c r="B2588" s="15" t="s">
        <v>35</v>
      </c>
      <c r="C2588" s="15" t="s">
        <v>164</v>
      </c>
      <c r="D2588" s="15" t="s">
        <v>174</v>
      </c>
      <c r="E2588" s="15" t="s">
        <v>3055</v>
      </c>
      <c r="F2588" s="15" t="s">
        <v>3055</v>
      </c>
      <c r="G2588" s="15" t="s">
        <v>3055</v>
      </c>
      <c r="H2588" s="154"/>
      <c r="I2588" s="3" t="s">
        <v>2935</v>
      </c>
      <c r="J2588" s="1" t="s">
        <v>3302</v>
      </c>
      <c r="K2588" s="1" t="s">
        <v>3281</v>
      </c>
      <c r="L2588" s="1" t="s">
        <v>35</v>
      </c>
      <c r="M2588" s="15" t="s">
        <v>1629</v>
      </c>
      <c r="N2588" s="15"/>
      <c r="O2588" s="8" t="s">
        <v>410</v>
      </c>
      <c r="P2588" s="8" t="s">
        <v>46</v>
      </c>
      <c r="Q2588" s="9">
        <v>0.05</v>
      </c>
      <c r="R2588" s="139">
        <v>220642</v>
      </c>
      <c r="T2588" s="6">
        <v>-131217.18</v>
      </c>
      <c r="U2588" s="4">
        <v>0</v>
      </c>
      <c r="V2588" s="4">
        <v>54171.42</v>
      </c>
      <c r="W2588" s="13">
        <v>0</v>
      </c>
      <c r="X2588" s="13">
        <f t="shared" si="380"/>
        <v>51591.828571428567</v>
      </c>
      <c r="Y2588" s="13">
        <f t="shared" si="381"/>
        <v>0</v>
      </c>
      <c r="Z2588" s="2">
        <v>0</v>
      </c>
      <c r="AA2588" s="4">
        <v>0</v>
      </c>
      <c r="AB2588" s="4">
        <f t="shared" si="385"/>
        <v>51591.828571428567</v>
      </c>
      <c r="AC2588" s="6">
        <f t="shared" si="382"/>
        <v>2579.5914285714316</v>
      </c>
      <c r="AD2588" s="13">
        <f t="shared" si="386"/>
        <v>54171.42</v>
      </c>
      <c r="AE2588" s="2">
        <v>0.09</v>
      </c>
      <c r="AF2588" s="5">
        <f t="shared" si="383"/>
        <v>4875.4277999999995</v>
      </c>
      <c r="AG2588" s="2">
        <v>0</v>
      </c>
      <c r="AH2588" s="5">
        <f t="shared" si="387"/>
        <v>54171.42</v>
      </c>
      <c r="AJ2588" s="126" t="e">
        <v>#N/A</v>
      </c>
      <c r="AK2588" s="80">
        <f t="shared" si="384"/>
        <v>0</v>
      </c>
      <c r="AM2588" s="85"/>
    </row>
    <row r="2589" spans="1:39" hidden="1" x14ac:dyDescent="0.3">
      <c r="A2589" s="85" t="s">
        <v>34</v>
      </c>
      <c r="B2589" s="15" t="s">
        <v>35</v>
      </c>
      <c r="C2589" s="15" t="s">
        <v>59</v>
      </c>
      <c r="D2589" s="15" t="s">
        <v>60</v>
      </c>
      <c r="E2589" s="15" t="s">
        <v>3057</v>
      </c>
      <c r="F2589" s="15" t="s">
        <v>3057</v>
      </c>
      <c r="G2589" s="15" t="s">
        <v>3057</v>
      </c>
      <c r="H2589" s="139"/>
      <c r="I2589" s="3" t="s">
        <v>2935</v>
      </c>
      <c r="J2589" s="1" t="s">
        <v>3302</v>
      </c>
      <c r="K2589" s="1" t="s">
        <v>3281</v>
      </c>
      <c r="L2589" s="1" t="s">
        <v>35</v>
      </c>
      <c r="M2589" s="15" t="s">
        <v>3057</v>
      </c>
      <c r="N2589" s="15"/>
      <c r="O2589" s="8" t="s">
        <v>45</v>
      </c>
      <c r="P2589" s="8" t="s">
        <v>41</v>
      </c>
      <c r="Q2589" s="9">
        <v>0</v>
      </c>
      <c r="R2589" s="139">
        <v>96962</v>
      </c>
      <c r="T2589" s="6">
        <v>-293.76</v>
      </c>
      <c r="U2589" s="4">
        <v>0</v>
      </c>
      <c r="V2589" s="4">
        <v>0</v>
      </c>
      <c r="W2589" s="13">
        <f t="shared" si="388"/>
        <v>-293.76</v>
      </c>
      <c r="X2589" s="13">
        <f t="shared" si="380"/>
        <v>0</v>
      </c>
      <c r="Y2589" s="13">
        <f t="shared" si="381"/>
        <v>0</v>
      </c>
      <c r="Z2589" s="2">
        <v>0</v>
      </c>
      <c r="AA2589" s="4">
        <v>0</v>
      </c>
      <c r="AB2589" s="4">
        <f t="shared" si="385"/>
        <v>0</v>
      </c>
      <c r="AC2589" s="6">
        <f t="shared" si="382"/>
        <v>0</v>
      </c>
      <c r="AD2589" s="13">
        <f t="shared" si="386"/>
        <v>0</v>
      </c>
      <c r="AE2589" s="2">
        <v>0.18</v>
      </c>
      <c r="AF2589" s="5">
        <f t="shared" si="383"/>
        <v>0</v>
      </c>
      <c r="AG2589" s="2">
        <v>0</v>
      </c>
      <c r="AH2589" s="5">
        <f t="shared" si="387"/>
        <v>0</v>
      </c>
      <c r="AJ2589" s="126" t="e">
        <v>#N/A</v>
      </c>
      <c r="AK2589" s="80">
        <f t="shared" si="384"/>
        <v>0</v>
      </c>
      <c r="AM2589" s="85"/>
    </row>
    <row r="2590" spans="1:39" hidden="1" x14ac:dyDescent="0.3">
      <c r="A2590" s="85" t="s">
        <v>34</v>
      </c>
      <c r="B2590" s="15" t="s">
        <v>35</v>
      </c>
      <c r="C2590" s="15" t="s">
        <v>164</v>
      </c>
      <c r="D2590" s="15" t="s">
        <v>165</v>
      </c>
      <c r="E2590" s="15" t="s">
        <v>2129</v>
      </c>
      <c r="F2590" s="15" t="s">
        <v>2129</v>
      </c>
      <c r="G2590" s="15" t="s">
        <v>2129</v>
      </c>
      <c r="H2590" s="154"/>
      <c r="I2590" s="3" t="s">
        <v>2935</v>
      </c>
      <c r="J2590" s="1" t="s">
        <v>3302</v>
      </c>
      <c r="K2590" s="1" t="s">
        <v>3281</v>
      </c>
      <c r="L2590" s="1" t="s">
        <v>35</v>
      </c>
      <c r="M2590" s="15" t="s">
        <v>3004</v>
      </c>
      <c r="N2590" s="15"/>
      <c r="O2590" s="8" t="s">
        <v>45</v>
      </c>
      <c r="P2590" s="8" t="s">
        <v>41</v>
      </c>
      <c r="Q2590" s="9">
        <v>0</v>
      </c>
      <c r="R2590" s="139">
        <v>238232</v>
      </c>
      <c r="T2590" s="6">
        <v>-935680.58000000007</v>
      </c>
      <c r="U2590" s="4">
        <v>0</v>
      </c>
      <c r="V2590" s="4">
        <v>75.44</v>
      </c>
      <c r="W2590" s="13">
        <f t="shared" si="388"/>
        <v>-935756.02</v>
      </c>
      <c r="X2590" s="13">
        <f t="shared" si="380"/>
        <v>75.44</v>
      </c>
      <c r="Y2590" s="13">
        <f t="shared" si="381"/>
        <v>0</v>
      </c>
      <c r="Z2590" s="2">
        <v>0</v>
      </c>
      <c r="AA2590" s="4">
        <v>0</v>
      </c>
      <c r="AB2590" s="4">
        <f t="shared" si="385"/>
        <v>75.44</v>
      </c>
      <c r="AC2590" s="6">
        <f t="shared" si="382"/>
        <v>0</v>
      </c>
      <c r="AD2590" s="13">
        <f t="shared" si="386"/>
        <v>75.44</v>
      </c>
      <c r="AE2590" s="2">
        <v>0.18</v>
      </c>
      <c r="AF2590" s="5">
        <f t="shared" si="383"/>
        <v>13.579199999999998</v>
      </c>
      <c r="AG2590" s="2">
        <v>0</v>
      </c>
      <c r="AH2590" s="5">
        <f t="shared" si="387"/>
        <v>75.44</v>
      </c>
      <c r="AJ2590" s="126" t="e">
        <v>#N/A</v>
      </c>
      <c r="AK2590" s="80">
        <f t="shared" si="384"/>
        <v>0</v>
      </c>
      <c r="AM2590" s="85"/>
    </row>
    <row r="2591" spans="1:39" hidden="1" x14ac:dyDescent="0.3">
      <c r="A2591" s="85" t="s">
        <v>34</v>
      </c>
      <c r="B2591" s="15" t="s">
        <v>35</v>
      </c>
      <c r="C2591" s="15" t="s">
        <v>36</v>
      </c>
      <c r="D2591" s="15" t="s">
        <v>54</v>
      </c>
      <c r="E2591" s="15" t="s">
        <v>114</v>
      </c>
      <c r="F2591" s="15" t="s">
        <v>114</v>
      </c>
      <c r="G2591" s="15" t="s">
        <v>114</v>
      </c>
      <c r="H2591" s="154"/>
      <c r="I2591" s="3" t="s">
        <v>2935</v>
      </c>
      <c r="J2591" s="1" t="s">
        <v>3302</v>
      </c>
      <c r="K2591" s="1" t="s">
        <v>3281</v>
      </c>
      <c r="L2591" s="1" t="s">
        <v>35</v>
      </c>
      <c r="M2591" s="15" t="s">
        <v>1866</v>
      </c>
      <c r="N2591" s="15"/>
      <c r="O2591" s="8" t="s">
        <v>45</v>
      </c>
      <c r="P2591" s="8" t="s">
        <v>46</v>
      </c>
      <c r="Q2591" s="9">
        <v>0.04</v>
      </c>
      <c r="R2591" s="139">
        <v>62122</v>
      </c>
      <c r="T2591" s="6">
        <v>0</v>
      </c>
      <c r="U2591" s="4">
        <v>0</v>
      </c>
      <c r="V2591" s="4">
        <v>430564.51</v>
      </c>
      <c r="W2591" s="13">
        <f t="shared" si="388"/>
        <v>-430564.51</v>
      </c>
      <c r="X2591" s="13">
        <f t="shared" si="380"/>
        <v>414004.33653846156</v>
      </c>
      <c r="Y2591" s="13">
        <f t="shared" si="381"/>
        <v>0</v>
      </c>
      <c r="Z2591" s="2">
        <v>0</v>
      </c>
      <c r="AA2591" s="4">
        <v>0</v>
      </c>
      <c r="AB2591" s="4">
        <f t="shared" si="385"/>
        <v>414004.33653846156</v>
      </c>
      <c r="AC2591" s="6">
        <f t="shared" si="382"/>
        <v>16560.173461538448</v>
      </c>
      <c r="AD2591" s="13">
        <f t="shared" si="386"/>
        <v>430564.51</v>
      </c>
      <c r="AE2591" s="2">
        <v>0.18</v>
      </c>
      <c r="AF2591" s="5">
        <f t="shared" si="383"/>
        <v>77501.611799999999</v>
      </c>
      <c r="AG2591" s="2">
        <v>0</v>
      </c>
      <c r="AH2591" s="5">
        <f t="shared" si="387"/>
        <v>430564.51</v>
      </c>
      <c r="AJ2591" s="126" t="e">
        <v>#N/A</v>
      </c>
      <c r="AK2591" s="80">
        <f t="shared" si="384"/>
        <v>0</v>
      </c>
      <c r="AM2591" s="85"/>
    </row>
    <row r="2592" spans="1:39" hidden="1" x14ac:dyDescent="0.3">
      <c r="A2592" s="85" t="s">
        <v>34</v>
      </c>
      <c r="B2592" s="15" t="s">
        <v>35</v>
      </c>
      <c r="C2592" s="15" t="s">
        <v>164</v>
      </c>
      <c r="D2592" s="15" t="s">
        <v>174</v>
      </c>
      <c r="E2592" s="15" t="s">
        <v>1966</v>
      </c>
      <c r="F2592" s="15" t="s">
        <v>1966</v>
      </c>
      <c r="G2592" s="15" t="s">
        <v>1966</v>
      </c>
      <c r="H2592" s="139"/>
      <c r="I2592" s="3" t="s">
        <v>2935</v>
      </c>
      <c r="J2592" s="1" t="s">
        <v>3302</v>
      </c>
      <c r="K2592" s="1" t="s">
        <v>3281</v>
      </c>
      <c r="L2592" s="1" t="s">
        <v>35</v>
      </c>
      <c r="M2592" s="15" t="s">
        <v>3052</v>
      </c>
      <c r="N2592" s="15"/>
      <c r="O2592" s="8" t="s">
        <v>45</v>
      </c>
      <c r="P2592" s="8" t="s">
        <v>41</v>
      </c>
      <c r="Q2592" s="9">
        <v>0</v>
      </c>
      <c r="R2592" s="139">
        <v>215482</v>
      </c>
      <c r="T2592" s="6">
        <v>-23601.200000000001</v>
      </c>
      <c r="U2592" s="4">
        <v>0</v>
      </c>
      <c r="V2592" s="4">
        <v>0</v>
      </c>
      <c r="W2592" s="13">
        <f t="shared" si="388"/>
        <v>-23601.200000000001</v>
      </c>
      <c r="X2592" s="13">
        <f t="shared" si="380"/>
        <v>0</v>
      </c>
      <c r="Y2592" s="13">
        <f t="shared" si="381"/>
        <v>0</v>
      </c>
      <c r="Z2592" s="2">
        <v>0</v>
      </c>
      <c r="AA2592" s="4">
        <v>0</v>
      </c>
      <c r="AB2592" s="4">
        <f t="shared" si="385"/>
        <v>0</v>
      </c>
      <c r="AC2592" s="6">
        <f t="shared" si="382"/>
        <v>0</v>
      </c>
      <c r="AD2592" s="13">
        <f t="shared" si="386"/>
        <v>0</v>
      </c>
      <c r="AE2592" s="2">
        <v>0.18</v>
      </c>
      <c r="AF2592" s="5">
        <f t="shared" si="383"/>
        <v>0</v>
      </c>
      <c r="AG2592" s="2">
        <v>0</v>
      </c>
      <c r="AH2592" s="5">
        <f t="shared" si="387"/>
        <v>0</v>
      </c>
      <c r="AJ2592" s="126" t="e">
        <v>#N/A</v>
      </c>
      <c r="AK2592" s="80">
        <f t="shared" si="384"/>
        <v>0</v>
      </c>
      <c r="AM2592" s="85"/>
    </row>
    <row r="2593" spans="1:39" hidden="1" x14ac:dyDescent="0.3">
      <c r="A2593" s="85" t="s">
        <v>34</v>
      </c>
      <c r="B2593" s="15" t="s">
        <v>35</v>
      </c>
      <c r="C2593" s="15" t="s">
        <v>36</v>
      </c>
      <c r="D2593" s="15" t="s">
        <v>54</v>
      </c>
      <c r="E2593" s="15" t="s">
        <v>114</v>
      </c>
      <c r="F2593" s="15" t="s">
        <v>114</v>
      </c>
      <c r="G2593" s="15" t="s">
        <v>114</v>
      </c>
      <c r="H2593" s="154"/>
      <c r="I2593" s="3" t="s">
        <v>2935</v>
      </c>
      <c r="J2593" s="1" t="s">
        <v>3302</v>
      </c>
      <c r="K2593" s="1" t="s">
        <v>3281</v>
      </c>
      <c r="L2593" s="1" t="s">
        <v>35</v>
      </c>
      <c r="M2593" s="15" t="s">
        <v>2956</v>
      </c>
      <c r="N2593" s="15"/>
      <c r="O2593" s="8" t="s">
        <v>45</v>
      </c>
      <c r="P2593" s="8" t="s">
        <v>46</v>
      </c>
      <c r="Q2593" s="9">
        <v>0.04</v>
      </c>
      <c r="R2593" s="139">
        <v>238152</v>
      </c>
      <c r="T2593" s="6">
        <v>0</v>
      </c>
      <c r="U2593" s="4">
        <v>0</v>
      </c>
      <c r="V2593" s="4">
        <v>58669.73</v>
      </c>
      <c r="W2593" s="13">
        <f t="shared" si="388"/>
        <v>-58669.73</v>
      </c>
      <c r="X2593" s="13">
        <f t="shared" ref="X2593:X2624" si="389">IF(P2593="折扣",V2593*Q2593,IF(P2593="返现",V2593,V2593/(1+Q2593)))</f>
        <v>56413.201923076922</v>
      </c>
      <c r="Y2593" s="13">
        <f t="shared" si="381"/>
        <v>0</v>
      </c>
      <c r="Z2593" s="2">
        <v>0</v>
      </c>
      <c r="AA2593" s="4">
        <v>0</v>
      </c>
      <c r="AB2593" s="4">
        <f t="shared" si="385"/>
        <v>56413.201923076922</v>
      </c>
      <c r="AC2593" s="6">
        <f t="shared" si="382"/>
        <v>2256.5280769230812</v>
      </c>
      <c r="AD2593" s="13">
        <f t="shared" si="386"/>
        <v>58669.73</v>
      </c>
      <c r="AE2593" s="2">
        <v>0.18</v>
      </c>
      <c r="AF2593" s="5">
        <f t="shared" si="383"/>
        <v>10560.5514</v>
      </c>
      <c r="AG2593" s="2">
        <v>0</v>
      </c>
      <c r="AH2593" s="5">
        <f t="shared" si="387"/>
        <v>58669.73</v>
      </c>
      <c r="AJ2593" s="126" t="e">
        <v>#N/A</v>
      </c>
      <c r="AK2593" s="80">
        <f t="shared" si="384"/>
        <v>0</v>
      </c>
      <c r="AM2593" s="85"/>
    </row>
    <row r="2594" spans="1:39" hidden="1" x14ac:dyDescent="0.3">
      <c r="A2594" s="85" t="s">
        <v>34</v>
      </c>
      <c r="B2594" s="15" t="s">
        <v>35</v>
      </c>
      <c r="C2594" s="15" t="s">
        <v>47</v>
      </c>
      <c r="D2594" s="15" t="s">
        <v>48</v>
      </c>
      <c r="E2594" s="15" t="s">
        <v>2909</v>
      </c>
      <c r="F2594" s="15" t="s">
        <v>2909</v>
      </c>
      <c r="G2594" s="15" t="s">
        <v>2909</v>
      </c>
      <c r="H2594" s="154"/>
      <c r="I2594" s="3" t="s">
        <v>2935</v>
      </c>
      <c r="J2594" s="1" t="s">
        <v>3302</v>
      </c>
      <c r="K2594" s="1" t="s">
        <v>3281</v>
      </c>
      <c r="L2594" s="1" t="s">
        <v>35</v>
      </c>
      <c r="M2594" s="15" t="s">
        <v>2984</v>
      </c>
      <c r="N2594" s="15"/>
      <c r="O2594" s="8" t="s">
        <v>45</v>
      </c>
      <c r="P2594" s="8" t="s">
        <v>41</v>
      </c>
      <c r="Q2594" s="9">
        <v>0</v>
      </c>
      <c r="R2594" s="139">
        <v>238242</v>
      </c>
      <c r="T2594" s="6">
        <v>-75510.720000000001</v>
      </c>
      <c r="U2594" s="4">
        <v>0</v>
      </c>
      <c r="V2594" s="4">
        <v>113.85</v>
      </c>
      <c r="W2594" s="13">
        <f t="shared" si="388"/>
        <v>-75624.570000000007</v>
      </c>
      <c r="X2594" s="13">
        <f t="shared" si="389"/>
        <v>113.85</v>
      </c>
      <c r="Y2594" s="13">
        <f t="shared" si="381"/>
        <v>0</v>
      </c>
      <c r="Z2594" s="2">
        <v>0</v>
      </c>
      <c r="AA2594" s="4">
        <v>0</v>
      </c>
      <c r="AB2594" s="4">
        <f t="shared" si="385"/>
        <v>113.85</v>
      </c>
      <c r="AC2594" s="6">
        <f t="shared" si="382"/>
        <v>0</v>
      </c>
      <c r="AD2594" s="13">
        <f t="shared" si="386"/>
        <v>113.85</v>
      </c>
      <c r="AE2594" s="2">
        <v>0.18</v>
      </c>
      <c r="AF2594" s="5">
        <f t="shared" si="383"/>
        <v>20.492999999999999</v>
      </c>
      <c r="AG2594" s="2">
        <v>0</v>
      </c>
      <c r="AH2594" s="5">
        <f t="shared" si="387"/>
        <v>113.85</v>
      </c>
      <c r="AJ2594" s="126" t="e">
        <v>#N/A</v>
      </c>
      <c r="AK2594" s="80">
        <f t="shared" si="384"/>
        <v>0</v>
      </c>
      <c r="AM2594" s="85"/>
    </row>
    <row r="2595" spans="1:39" hidden="1" x14ac:dyDescent="0.3">
      <c r="A2595" s="85" t="s">
        <v>34</v>
      </c>
      <c r="B2595" s="15" t="s">
        <v>35</v>
      </c>
      <c r="C2595" s="15" t="s">
        <v>65</v>
      </c>
      <c r="D2595" s="15" t="s">
        <v>66</v>
      </c>
      <c r="E2595" s="15" t="s">
        <v>2354</v>
      </c>
      <c r="F2595" s="15" t="s">
        <v>2354</v>
      </c>
      <c r="G2595" s="15" t="s">
        <v>2354</v>
      </c>
      <c r="H2595" s="154"/>
      <c r="I2595" s="3" t="s">
        <v>2935</v>
      </c>
      <c r="J2595" s="1" t="s">
        <v>3302</v>
      </c>
      <c r="K2595" s="1" t="s">
        <v>3281</v>
      </c>
      <c r="L2595" s="1" t="s">
        <v>35</v>
      </c>
      <c r="M2595" s="15" t="s">
        <v>2354</v>
      </c>
      <c r="N2595" s="15"/>
      <c r="O2595" s="8" t="s">
        <v>45</v>
      </c>
      <c r="P2595" s="8" t="s">
        <v>46</v>
      </c>
      <c r="Q2595" s="9">
        <v>0.05</v>
      </c>
      <c r="R2595" s="139">
        <v>10872</v>
      </c>
      <c r="T2595" s="6">
        <v>0</v>
      </c>
      <c r="U2595" s="4">
        <v>0</v>
      </c>
      <c r="V2595" s="4">
        <v>876159.79</v>
      </c>
      <c r="W2595" s="13">
        <f t="shared" si="388"/>
        <v>-876159.79</v>
      </c>
      <c r="X2595" s="13">
        <f t="shared" si="389"/>
        <v>834437.8952380952</v>
      </c>
      <c r="Y2595" s="13">
        <f t="shared" si="381"/>
        <v>0</v>
      </c>
      <c r="Z2595" s="2">
        <v>0</v>
      </c>
      <c r="AA2595" s="4">
        <v>0</v>
      </c>
      <c r="AB2595" s="4">
        <f t="shared" si="385"/>
        <v>834437.8952380952</v>
      </c>
      <c r="AC2595" s="6">
        <f t="shared" si="382"/>
        <v>41721.894761904841</v>
      </c>
      <c r="AD2595" s="13">
        <f t="shared" si="386"/>
        <v>876159.79</v>
      </c>
      <c r="AE2595" s="2">
        <v>0.18</v>
      </c>
      <c r="AF2595" s="5">
        <f t="shared" si="383"/>
        <v>157708.7622</v>
      </c>
      <c r="AG2595" s="2">
        <v>0</v>
      </c>
      <c r="AH2595" s="5">
        <f t="shared" si="387"/>
        <v>876159.79</v>
      </c>
      <c r="AJ2595" s="126" t="e">
        <v>#N/A</v>
      </c>
      <c r="AK2595" s="80">
        <f t="shared" si="384"/>
        <v>0</v>
      </c>
      <c r="AM2595" s="85"/>
    </row>
    <row r="2596" spans="1:39" hidden="1" x14ac:dyDescent="0.3">
      <c r="A2596" s="85" t="s">
        <v>34</v>
      </c>
      <c r="B2596" s="15" t="s">
        <v>35</v>
      </c>
      <c r="C2596" s="15" t="s">
        <v>144</v>
      </c>
      <c r="D2596" s="15" t="s">
        <v>145</v>
      </c>
      <c r="E2596" s="15" t="s">
        <v>150</v>
      </c>
      <c r="F2596" s="15" t="s">
        <v>151</v>
      </c>
      <c r="G2596" s="15" t="s">
        <v>150</v>
      </c>
      <c r="H2596" s="154"/>
      <c r="I2596" s="3" t="s">
        <v>2935</v>
      </c>
      <c r="J2596" s="1" t="s">
        <v>3302</v>
      </c>
      <c r="K2596" s="1" t="s">
        <v>3281</v>
      </c>
      <c r="L2596" s="1" t="s">
        <v>35</v>
      </c>
      <c r="M2596" s="15" t="s">
        <v>2996</v>
      </c>
      <c r="N2596" s="15"/>
      <c r="O2596" s="8" t="s">
        <v>45</v>
      </c>
      <c r="P2596" s="8" t="s">
        <v>46</v>
      </c>
      <c r="Q2596" s="9">
        <v>0.06</v>
      </c>
      <c r="R2596" s="139">
        <v>82662</v>
      </c>
      <c r="T2596" s="6">
        <v>0</v>
      </c>
      <c r="U2596" s="4">
        <v>0</v>
      </c>
      <c r="V2596" s="4">
        <v>528719.76</v>
      </c>
      <c r="W2596" s="13">
        <f t="shared" si="388"/>
        <v>-528719.76</v>
      </c>
      <c r="X2596" s="13">
        <f t="shared" si="389"/>
        <v>498792.22641509434</v>
      </c>
      <c r="Y2596" s="13">
        <f t="shared" si="381"/>
        <v>0</v>
      </c>
      <c r="Z2596" s="2">
        <v>0</v>
      </c>
      <c r="AA2596" s="4">
        <v>0</v>
      </c>
      <c r="AB2596" s="4">
        <f t="shared" si="385"/>
        <v>498792.22641509434</v>
      </c>
      <c r="AC2596" s="6">
        <f t="shared" si="382"/>
        <v>29927.533584905672</v>
      </c>
      <c r="AD2596" s="13">
        <f t="shared" si="386"/>
        <v>528719.76</v>
      </c>
      <c r="AE2596" s="2">
        <v>0.18</v>
      </c>
      <c r="AF2596" s="5">
        <f t="shared" si="383"/>
        <v>95169.556799999991</v>
      </c>
      <c r="AG2596" s="2">
        <v>0</v>
      </c>
      <c r="AH2596" s="5">
        <f t="shared" si="387"/>
        <v>528719.76</v>
      </c>
      <c r="AJ2596" s="126" t="e">
        <v>#N/A</v>
      </c>
      <c r="AK2596" s="80">
        <f t="shared" si="384"/>
        <v>0</v>
      </c>
      <c r="AM2596" s="85"/>
    </row>
    <row r="2597" spans="1:39" hidden="1" x14ac:dyDescent="0.3">
      <c r="A2597" s="85" t="s">
        <v>34</v>
      </c>
      <c r="B2597" s="15" t="s">
        <v>35</v>
      </c>
      <c r="C2597" s="15" t="s">
        <v>144</v>
      </c>
      <c r="D2597" s="15" t="s">
        <v>145</v>
      </c>
      <c r="E2597" s="15" t="s">
        <v>150</v>
      </c>
      <c r="F2597" s="15" t="s">
        <v>151</v>
      </c>
      <c r="G2597" s="15" t="s">
        <v>150</v>
      </c>
      <c r="H2597" s="154"/>
      <c r="I2597" s="3" t="s">
        <v>2935</v>
      </c>
      <c r="J2597" s="1" t="s">
        <v>3302</v>
      </c>
      <c r="K2597" s="1" t="s">
        <v>3281</v>
      </c>
      <c r="L2597" s="1" t="s">
        <v>35</v>
      </c>
      <c r="M2597" s="15" t="s">
        <v>2991</v>
      </c>
      <c r="N2597" s="15"/>
      <c r="O2597" s="8" t="s">
        <v>45</v>
      </c>
      <c r="P2597" s="8" t="s">
        <v>46</v>
      </c>
      <c r="Q2597" s="9">
        <v>0.06</v>
      </c>
      <c r="R2597" s="139">
        <v>95122</v>
      </c>
      <c r="T2597" s="6">
        <v>0</v>
      </c>
      <c r="U2597" s="4">
        <v>0</v>
      </c>
      <c r="V2597" s="4">
        <v>4116.1499999999996</v>
      </c>
      <c r="W2597" s="13">
        <f t="shared" si="388"/>
        <v>-4116.1499999999996</v>
      </c>
      <c r="X2597" s="13">
        <f t="shared" si="389"/>
        <v>3883.1603773584902</v>
      </c>
      <c r="Y2597" s="13">
        <f t="shared" si="381"/>
        <v>0</v>
      </c>
      <c r="Z2597" s="2">
        <v>0</v>
      </c>
      <c r="AA2597" s="4">
        <v>0</v>
      </c>
      <c r="AB2597" s="4">
        <f t="shared" si="385"/>
        <v>3883.1603773584902</v>
      </c>
      <c r="AC2597" s="6">
        <f t="shared" si="382"/>
        <v>232.98962264150941</v>
      </c>
      <c r="AD2597" s="13">
        <f t="shared" si="386"/>
        <v>4116.1499999999996</v>
      </c>
      <c r="AE2597" s="2">
        <v>0.18</v>
      </c>
      <c r="AF2597" s="5">
        <f t="shared" si="383"/>
        <v>740.90699999999993</v>
      </c>
      <c r="AG2597" s="2">
        <v>0</v>
      </c>
      <c r="AH2597" s="5">
        <f t="shared" si="387"/>
        <v>4116.1499999999996</v>
      </c>
      <c r="AJ2597" s="126" t="e">
        <v>#N/A</v>
      </c>
      <c r="AK2597" s="80">
        <f t="shared" si="384"/>
        <v>0</v>
      </c>
      <c r="AM2597" s="85"/>
    </row>
    <row r="2598" spans="1:39" hidden="1" x14ac:dyDescent="0.3">
      <c r="A2598" s="85" t="s">
        <v>34</v>
      </c>
      <c r="B2598" s="15" t="s">
        <v>35</v>
      </c>
      <c r="C2598" s="15" t="s">
        <v>144</v>
      </c>
      <c r="D2598" s="15" t="s">
        <v>145</v>
      </c>
      <c r="E2598" s="15" t="s">
        <v>150</v>
      </c>
      <c r="F2598" s="15" t="s">
        <v>151</v>
      </c>
      <c r="G2598" s="15" t="s">
        <v>150</v>
      </c>
      <c r="H2598" s="154"/>
      <c r="I2598" s="3" t="s">
        <v>2935</v>
      </c>
      <c r="J2598" s="1" t="s">
        <v>3302</v>
      </c>
      <c r="K2598" s="1" t="s">
        <v>3281</v>
      </c>
      <c r="L2598" s="1" t="s">
        <v>35</v>
      </c>
      <c r="M2598" s="15" t="s">
        <v>2993</v>
      </c>
      <c r="N2598" s="15"/>
      <c r="O2598" s="8" t="s">
        <v>45</v>
      </c>
      <c r="P2598" s="8" t="s">
        <v>46</v>
      </c>
      <c r="Q2598" s="9">
        <v>0.06</v>
      </c>
      <c r="R2598" s="139">
        <v>99422</v>
      </c>
      <c r="T2598" s="6">
        <v>0</v>
      </c>
      <c r="U2598" s="4">
        <v>0</v>
      </c>
      <c r="V2598" s="4">
        <v>3162195.33</v>
      </c>
      <c r="W2598" s="13">
        <f t="shared" si="388"/>
        <v>-3162195.33</v>
      </c>
      <c r="X2598" s="13">
        <f t="shared" si="389"/>
        <v>2983203.1415094337</v>
      </c>
      <c r="Y2598" s="13">
        <f t="shared" si="381"/>
        <v>0</v>
      </c>
      <c r="Z2598" s="2">
        <v>0</v>
      </c>
      <c r="AA2598" s="4">
        <v>0</v>
      </c>
      <c r="AB2598" s="4">
        <f t="shared" si="385"/>
        <v>2983203.1415094337</v>
      </c>
      <c r="AC2598" s="6">
        <f t="shared" si="382"/>
        <v>178992.18849056633</v>
      </c>
      <c r="AD2598" s="13">
        <f t="shared" si="386"/>
        <v>3162195.33</v>
      </c>
      <c r="AE2598" s="2">
        <v>0.18</v>
      </c>
      <c r="AF2598" s="5">
        <f t="shared" si="383"/>
        <v>569195.1594</v>
      </c>
      <c r="AG2598" s="2">
        <v>0</v>
      </c>
      <c r="AH2598" s="5">
        <f t="shared" si="387"/>
        <v>3162195.33</v>
      </c>
      <c r="AJ2598" s="126" t="e">
        <v>#N/A</v>
      </c>
      <c r="AK2598" s="80">
        <f t="shared" si="384"/>
        <v>0</v>
      </c>
      <c r="AM2598" s="85"/>
    </row>
    <row r="2599" spans="1:39" hidden="1" x14ac:dyDescent="0.3">
      <c r="A2599" s="85" t="s">
        <v>34</v>
      </c>
      <c r="B2599" s="15" t="s">
        <v>35</v>
      </c>
      <c r="C2599" s="15" t="s">
        <v>144</v>
      </c>
      <c r="D2599" s="15" t="s">
        <v>145</v>
      </c>
      <c r="E2599" s="15" t="s">
        <v>150</v>
      </c>
      <c r="F2599" s="15" t="s">
        <v>151</v>
      </c>
      <c r="G2599" s="15" t="s">
        <v>150</v>
      </c>
      <c r="H2599" s="154"/>
      <c r="I2599" s="3" t="s">
        <v>2935</v>
      </c>
      <c r="J2599" s="1" t="s">
        <v>3302</v>
      </c>
      <c r="K2599" s="1" t="s">
        <v>3281</v>
      </c>
      <c r="L2599" s="1" t="s">
        <v>35</v>
      </c>
      <c r="M2599" s="15" t="s">
        <v>2992</v>
      </c>
      <c r="N2599" s="15"/>
      <c r="O2599" s="8" t="s">
        <v>45</v>
      </c>
      <c r="P2599" s="8" t="s">
        <v>46</v>
      </c>
      <c r="Q2599" s="9">
        <v>0.06</v>
      </c>
      <c r="R2599" s="139">
        <v>99452</v>
      </c>
      <c r="T2599" s="6">
        <v>0</v>
      </c>
      <c r="U2599" s="4">
        <v>0</v>
      </c>
      <c r="V2599" s="4">
        <v>231306.86</v>
      </c>
      <c r="W2599" s="13">
        <f t="shared" si="388"/>
        <v>-231306.86</v>
      </c>
      <c r="X2599" s="13">
        <f t="shared" si="389"/>
        <v>218214.01886792452</v>
      </c>
      <c r="Y2599" s="13">
        <f t="shared" si="381"/>
        <v>0</v>
      </c>
      <c r="Z2599" s="2">
        <v>0</v>
      </c>
      <c r="AA2599" s="4">
        <v>0</v>
      </c>
      <c r="AB2599" s="4">
        <f t="shared" si="385"/>
        <v>218214.01886792452</v>
      </c>
      <c r="AC2599" s="6">
        <f t="shared" si="382"/>
        <v>13092.841132075468</v>
      </c>
      <c r="AD2599" s="13">
        <f t="shared" si="386"/>
        <v>231306.86</v>
      </c>
      <c r="AE2599" s="2">
        <v>0.18</v>
      </c>
      <c r="AF2599" s="5">
        <f t="shared" si="383"/>
        <v>41635.234799999998</v>
      </c>
      <c r="AG2599" s="2">
        <v>0</v>
      </c>
      <c r="AH2599" s="5">
        <f t="shared" si="387"/>
        <v>231306.86</v>
      </c>
      <c r="AJ2599" s="126" t="e">
        <v>#N/A</v>
      </c>
      <c r="AK2599" s="80">
        <f t="shared" si="384"/>
        <v>0</v>
      </c>
      <c r="AM2599" s="85"/>
    </row>
    <row r="2600" spans="1:39" hidden="1" x14ac:dyDescent="0.3">
      <c r="A2600" s="85" t="s">
        <v>34</v>
      </c>
      <c r="B2600" s="15" t="s">
        <v>35</v>
      </c>
      <c r="C2600" s="15" t="s">
        <v>47</v>
      </c>
      <c r="D2600" s="15" t="s">
        <v>48</v>
      </c>
      <c r="E2600" s="15" t="s">
        <v>550</v>
      </c>
      <c r="F2600" s="15" t="s">
        <v>551</v>
      </c>
      <c r="G2600" s="15" t="s">
        <v>550</v>
      </c>
      <c r="H2600" s="154"/>
      <c r="I2600" s="3" t="s">
        <v>2935</v>
      </c>
      <c r="J2600" s="1" t="s">
        <v>3302</v>
      </c>
      <c r="K2600" s="1" t="s">
        <v>3281</v>
      </c>
      <c r="L2600" s="1" t="s">
        <v>35</v>
      </c>
      <c r="M2600" s="15" t="s">
        <v>550</v>
      </c>
      <c r="N2600" s="15"/>
      <c r="O2600" s="8" t="s">
        <v>45</v>
      </c>
      <c r="P2600" s="8" t="s">
        <v>3355</v>
      </c>
      <c r="Q2600" s="9">
        <v>0.06</v>
      </c>
      <c r="R2600" s="139">
        <v>100212</v>
      </c>
      <c r="T2600" s="6">
        <v>0</v>
      </c>
      <c r="U2600" s="4">
        <v>0</v>
      </c>
      <c r="V2600" s="4">
        <v>13759.91</v>
      </c>
      <c r="W2600" s="13">
        <f t="shared" si="388"/>
        <v>-13759.91</v>
      </c>
      <c r="X2600" s="13">
        <f t="shared" si="389"/>
        <v>12981.04716981132</v>
      </c>
      <c r="Y2600" s="13">
        <f t="shared" si="381"/>
        <v>0</v>
      </c>
      <c r="Z2600" s="2">
        <v>0</v>
      </c>
      <c r="AA2600" s="4">
        <v>0</v>
      </c>
      <c r="AB2600" s="4">
        <f t="shared" si="385"/>
        <v>12981.04716981132</v>
      </c>
      <c r="AC2600" s="6">
        <f t="shared" si="382"/>
        <v>778.86283018868016</v>
      </c>
      <c r="AD2600" s="13">
        <f t="shared" si="386"/>
        <v>13759.91</v>
      </c>
      <c r="AE2600" s="2">
        <v>0.18</v>
      </c>
      <c r="AF2600" s="5">
        <f t="shared" si="383"/>
        <v>2476.7837999999997</v>
      </c>
      <c r="AG2600" s="2">
        <v>0</v>
      </c>
      <c r="AH2600" s="5">
        <f t="shared" si="387"/>
        <v>13759.91</v>
      </c>
      <c r="AJ2600" s="126" t="e">
        <v>#N/A</v>
      </c>
      <c r="AK2600" s="80">
        <f t="shared" si="384"/>
        <v>0</v>
      </c>
      <c r="AM2600" s="85"/>
    </row>
    <row r="2601" spans="1:39" hidden="1" x14ac:dyDescent="0.3">
      <c r="A2601" s="85" t="s">
        <v>34</v>
      </c>
      <c r="B2601" s="15" t="s">
        <v>35</v>
      </c>
      <c r="C2601" s="15" t="s">
        <v>65</v>
      </c>
      <c r="D2601" s="15" t="s">
        <v>66</v>
      </c>
      <c r="E2601" s="15" t="s">
        <v>2678</v>
      </c>
      <c r="F2601" s="15" t="s">
        <v>2679</v>
      </c>
      <c r="G2601" s="15" t="s">
        <v>2678</v>
      </c>
      <c r="H2601" s="154"/>
      <c r="I2601" s="3" t="s">
        <v>2935</v>
      </c>
      <c r="J2601" s="1" t="s">
        <v>3302</v>
      </c>
      <c r="K2601" s="1" t="s">
        <v>3281</v>
      </c>
      <c r="L2601" s="1" t="s">
        <v>35</v>
      </c>
      <c r="M2601" s="15" t="s">
        <v>2965</v>
      </c>
      <c r="N2601" s="15"/>
      <c r="O2601" s="8" t="s">
        <v>45</v>
      </c>
      <c r="P2601" s="8" t="s">
        <v>41</v>
      </c>
      <c r="Q2601" s="9">
        <v>0</v>
      </c>
      <c r="R2601" s="139">
        <v>112112</v>
      </c>
      <c r="T2601" s="6">
        <v>0</v>
      </c>
      <c r="U2601" s="4">
        <v>0</v>
      </c>
      <c r="V2601" s="4">
        <v>608.1</v>
      </c>
      <c r="W2601" s="13">
        <f t="shared" si="388"/>
        <v>-608.1</v>
      </c>
      <c r="X2601" s="13">
        <f t="shared" si="389"/>
        <v>608.1</v>
      </c>
      <c r="Y2601" s="13">
        <f t="shared" si="381"/>
        <v>0</v>
      </c>
      <c r="Z2601" s="2">
        <v>0</v>
      </c>
      <c r="AA2601" s="4">
        <v>0</v>
      </c>
      <c r="AB2601" s="4">
        <f t="shared" si="385"/>
        <v>608.1</v>
      </c>
      <c r="AC2601" s="6">
        <f t="shared" si="382"/>
        <v>0</v>
      </c>
      <c r="AD2601" s="13">
        <f t="shared" si="386"/>
        <v>608.1</v>
      </c>
      <c r="AE2601" s="2">
        <v>0.18</v>
      </c>
      <c r="AF2601" s="5">
        <f t="shared" si="383"/>
        <v>109.458</v>
      </c>
      <c r="AG2601" s="2">
        <v>0</v>
      </c>
      <c r="AH2601" s="5">
        <f t="shared" si="387"/>
        <v>608.1</v>
      </c>
      <c r="AJ2601" s="126" t="e">
        <v>#N/A</v>
      </c>
      <c r="AK2601" s="80">
        <f t="shared" si="384"/>
        <v>0</v>
      </c>
      <c r="AM2601" s="85"/>
    </row>
    <row r="2602" spans="1:39" hidden="1" x14ac:dyDescent="0.3">
      <c r="A2602" s="85" t="s">
        <v>34</v>
      </c>
      <c r="B2602" s="15" t="s">
        <v>35</v>
      </c>
      <c r="C2602" s="15" t="s">
        <v>144</v>
      </c>
      <c r="D2602" s="15" t="s">
        <v>145</v>
      </c>
      <c r="E2602" s="15" t="s">
        <v>150</v>
      </c>
      <c r="F2602" s="15" t="s">
        <v>151</v>
      </c>
      <c r="G2602" s="15" t="s">
        <v>150</v>
      </c>
      <c r="H2602" s="154"/>
      <c r="I2602" s="3" t="s">
        <v>2935</v>
      </c>
      <c r="J2602" s="1" t="s">
        <v>3302</v>
      </c>
      <c r="K2602" s="1" t="s">
        <v>3281</v>
      </c>
      <c r="L2602" s="1" t="s">
        <v>35</v>
      </c>
      <c r="M2602" s="15" t="s">
        <v>2994</v>
      </c>
      <c r="N2602" s="15"/>
      <c r="O2602" s="8" t="s">
        <v>45</v>
      </c>
      <c r="P2602" s="8" t="s">
        <v>46</v>
      </c>
      <c r="Q2602" s="9">
        <v>0.06</v>
      </c>
      <c r="R2602" s="139">
        <v>173702</v>
      </c>
      <c r="T2602" s="6">
        <v>0</v>
      </c>
      <c r="U2602" s="4">
        <v>0</v>
      </c>
      <c r="V2602" s="4">
        <v>2891426.33</v>
      </c>
      <c r="W2602" s="13">
        <f t="shared" si="388"/>
        <v>-2891426.33</v>
      </c>
      <c r="X2602" s="13">
        <f t="shared" si="389"/>
        <v>2727760.6886792453</v>
      </c>
      <c r="Y2602" s="13">
        <f t="shared" si="381"/>
        <v>0</v>
      </c>
      <c r="Z2602" s="2">
        <v>0</v>
      </c>
      <c r="AA2602" s="4">
        <v>0</v>
      </c>
      <c r="AB2602" s="4">
        <f t="shared" si="385"/>
        <v>2727760.6886792453</v>
      </c>
      <c r="AC2602" s="6">
        <f t="shared" si="382"/>
        <v>163665.64132075477</v>
      </c>
      <c r="AD2602" s="13">
        <f t="shared" si="386"/>
        <v>2891426.33</v>
      </c>
      <c r="AE2602" s="2">
        <v>0.18</v>
      </c>
      <c r="AF2602" s="5">
        <f t="shared" si="383"/>
        <v>520456.73940000002</v>
      </c>
      <c r="AG2602" s="2">
        <v>0</v>
      </c>
      <c r="AH2602" s="5">
        <f t="shared" si="387"/>
        <v>2891426.33</v>
      </c>
      <c r="AJ2602" s="126" t="e">
        <v>#N/A</v>
      </c>
      <c r="AK2602" s="80">
        <f t="shared" si="384"/>
        <v>0</v>
      </c>
      <c r="AM2602" s="85"/>
    </row>
    <row r="2603" spans="1:39" hidden="1" x14ac:dyDescent="0.3">
      <c r="A2603" s="85" t="s">
        <v>34</v>
      </c>
      <c r="B2603" s="15" t="s">
        <v>35</v>
      </c>
      <c r="C2603" s="15" t="s">
        <v>164</v>
      </c>
      <c r="D2603" s="15" t="s">
        <v>174</v>
      </c>
      <c r="E2603" s="15" t="s">
        <v>1966</v>
      </c>
      <c r="F2603" s="15" t="s">
        <v>1966</v>
      </c>
      <c r="G2603" s="15" t="s">
        <v>1966</v>
      </c>
      <c r="H2603" s="154"/>
      <c r="I2603" s="3" t="s">
        <v>2935</v>
      </c>
      <c r="J2603" s="1" t="s">
        <v>3302</v>
      </c>
      <c r="K2603" s="1" t="s">
        <v>3281</v>
      </c>
      <c r="L2603" s="1" t="s">
        <v>35</v>
      </c>
      <c r="M2603" s="15" t="s">
        <v>3019</v>
      </c>
      <c r="N2603" s="15"/>
      <c r="O2603" s="8" t="s">
        <v>45</v>
      </c>
      <c r="P2603" s="8" t="s">
        <v>41</v>
      </c>
      <c r="Q2603" s="9">
        <v>0</v>
      </c>
      <c r="R2603" s="139">
        <v>186502</v>
      </c>
      <c r="T2603" s="6">
        <v>0</v>
      </c>
      <c r="U2603" s="4">
        <v>0</v>
      </c>
      <c r="V2603" s="4">
        <v>1400</v>
      </c>
      <c r="W2603" s="13">
        <f t="shared" si="388"/>
        <v>-1400</v>
      </c>
      <c r="X2603" s="13">
        <f t="shared" si="389"/>
        <v>1400</v>
      </c>
      <c r="Y2603" s="13">
        <f t="shared" si="381"/>
        <v>0</v>
      </c>
      <c r="Z2603" s="2">
        <v>0</v>
      </c>
      <c r="AA2603" s="4">
        <v>0</v>
      </c>
      <c r="AB2603" s="4">
        <f t="shared" si="385"/>
        <v>1400</v>
      </c>
      <c r="AC2603" s="6">
        <f t="shared" si="382"/>
        <v>0</v>
      </c>
      <c r="AD2603" s="13">
        <f t="shared" si="386"/>
        <v>1400</v>
      </c>
      <c r="AE2603" s="2">
        <v>0.18</v>
      </c>
      <c r="AF2603" s="5">
        <f t="shared" si="383"/>
        <v>252</v>
      </c>
      <c r="AG2603" s="2">
        <v>0</v>
      </c>
      <c r="AH2603" s="5">
        <f t="shared" si="387"/>
        <v>1400</v>
      </c>
      <c r="AJ2603" s="126" t="e">
        <v>#N/A</v>
      </c>
      <c r="AK2603" s="80">
        <f t="shared" si="384"/>
        <v>0</v>
      </c>
      <c r="AM2603" s="85"/>
    </row>
    <row r="2604" spans="1:39" hidden="1" x14ac:dyDescent="0.3">
      <c r="A2604" s="85" t="s">
        <v>34</v>
      </c>
      <c r="B2604" s="15" t="s">
        <v>35</v>
      </c>
      <c r="C2604" s="15" t="s">
        <v>164</v>
      </c>
      <c r="D2604" s="15" t="s">
        <v>174</v>
      </c>
      <c r="E2604" s="15" t="s">
        <v>1668</v>
      </c>
      <c r="F2604" s="15" t="s">
        <v>1669</v>
      </c>
      <c r="G2604" s="15" t="s">
        <v>1668</v>
      </c>
      <c r="H2604" s="154"/>
      <c r="I2604" s="3" t="s">
        <v>2935</v>
      </c>
      <c r="J2604" s="1" t="s">
        <v>3302</v>
      </c>
      <c r="K2604" s="1" t="s">
        <v>3281</v>
      </c>
      <c r="L2604" s="1" t="s">
        <v>35</v>
      </c>
      <c r="M2604" s="15" t="s">
        <v>3029</v>
      </c>
      <c r="N2604" s="15"/>
      <c r="O2604" s="8" t="s">
        <v>45</v>
      </c>
      <c r="P2604" s="8" t="s">
        <v>46</v>
      </c>
      <c r="Q2604" s="9">
        <v>0.05</v>
      </c>
      <c r="R2604" s="139">
        <v>10818</v>
      </c>
      <c r="T2604" s="6">
        <v>0</v>
      </c>
      <c r="U2604" s="4">
        <v>0</v>
      </c>
      <c r="V2604" s="4">
        <v>1117.1300000000001</v>
      </c>
      <c r="W2604" s="13">
        <f t="shared" si="388"/>
        <v>-1117.1300000000001</v>
      </c>
      <c r="X2604" s="13">
        <f t="shared" si="389"/>
        <v>1063.9333333333334</v>
      </c>
      <c r="Y2604" s="13">
        <f t="shared" si="381"/>
        <v>0</v>
      </c>
      <c r="Z2604" s="2">
        <v>0</v>
      </c>
      <c r="AA2604" s="4">
        <v>0</v>
      </c>
      <c r="AB2604" s="4">
        <f t="shared" si="385"/>
        <v>1063.9333333333334</v>
      </c>
      <c r="AC2604" s="6">
        <f t="shared" si="382"/>
        <v>53.196666666666715</v>
      </c>
      <c r="AD2604" s="13">
        <f t="shared" si="386"/>
        <v>1117.1300000000001</v>
      </c>
      <c r="AE2604" s="2">
        <v>0.18</v>
      </c>
      <c r="AF2604" s="5">
        <f t="shared" si="383"/>
        <v>201.08340000000001</v>
      </c>
      <c r="AG2604" s="2">
        <v>0</v>
      </c>
      <c r="AH2604" s="5">
        <f t="shared" si="387"/>
        <v>1117.1300000000001</v>
      </c>
      <c r="AJ2604" s="126" t="e">
        <v>#N/A</v>
      </c>
      <c r="AK2604" s="80">
        <f t="shared" si="384"/>
        <v>0</v>
      </c>
      <c r="AM2604" s="85"/>
    </row>
    <row r="2605" spans="1:39" hidden="1" x14ac:dyDescent="0.3">
      <c r="A2605" s="85" t="s">
        <v>34</v>
      </c>
      <c r="B2605" s="3" t="s">
        <v>35</v>
      </c>
      <c r="C2605" s="3" t="s">
        <v>144</v>
      </c>
      <c r="D2605" s="3" t="s">
        <v>145</v>
      </c>
      <c r="E2605" s="3" t="s">
        <v>1416</v>
      </c>
      <c r="F2605" s="3" t="s">
        <v>1416</v>
      </c>
      <c r="G2605" s="3" t="s">
        <v>1416</v>
      </c>
      <c r="H2605" s="138"/>
      <c r="I2605" s="3" t="s">
        <v>3121</v>
      </c>
      <c r="J2605" s="1" t="s">
        <v>3323</v>
      </c>
      <c r="K2605" s="1" t="s">
        <v>3274</v>
      </c>
      <c r="L2605" s="1" t="s">
        <v>35</v>
      </c>
      <c r="M2605" s="3" t="s">
        <v>3122</v>
      </c>
      <c r="O2605" s="1" t="s">
        <v>45</v>
      </c>
      <c r="P2605" s="1" t="s">
        <v>46</v>
      </c>
      <c r="Q2605" s="2">
        <v>0.1</v>
      </c>
      <c r="R2605" s="138">
        <v>7698942</v>
      </c>
      <c r="T2605" s="4">
        <v>0</v>
      </c>
      <c r="U2605" s="4">
        <v>0</v>
      </c>
      <c r="V2605" s="4">
        <v>0</v>
      </c>
      <c r="W2605" s="13">
        <f t="shared" si="388"/>
        <v>0</v>
      </c>
      <c r="X2605" s="13">
        <f t="shared" si="389"/>
        <v>0</v>
      </c>
      <c r="Y2605" s="13">
        <f t="shared" si="381"/>
        <v>0</v>
      </c>
      <c r="Z2605" s="2">
        <v>0</v>
      </c>
      <c r="AA2605" s="4">
        <v>0</v>
      </c>
      <c r="AB2605" s="4">
        <f t="shared" si="385"/>
        <v>0</v>
      </c>
      <c r="AC2605" s="6">
        <f t="shared" si="382"/>
        <v>0</v>
      </c>
      <c r="AD2605" s="13">
        <f>V2605*95%</f>
        <v>0</v>
      </c>
      <c r="AE2605" s="2">
        <v>0</v>
      </c>
      <c r="AF2605" s="5">
        <f t="shared" si="383"/>
        <v>0</v>
      </c>
      <c r="AG2605" s="2">
        <v>0</v>
      </c>
      <c r="AH2605" s="5">
        <f>AD2605</f>
        <v>0</v>
      </c>
      <c r="AJ2605" s="126" t="e">
        <v>#N/A</v>
      </c>
      <c r="AK2605" s="80">
        <f t="shared" si="384"/>
        <v>0</v>
      </c>
      <c r="AM2605" s="85"/>
    </row>
    <row r="2606" spans="1:39" hidden="1" x14ac:dyDescent="0.3">
      <c r="A2606" s="85" t="s">
        <v>34</v>
      </c>
      <c r="B2606" s="3" t="s">
        <v>35</v>
      </c>
      <c r="C2606" s="3" t="s">
        <v>144</v>
      </c>
      <c r="D2606" s="3" t="s">
        <v>145</v>
      </c>
      <c r="E2606" s="3" t="s">
        <v>1416</v>
      </c>
      <c r="F2606" s="3" t="s">
        <v>1416</v>
      </c>
      <c r="G2606" s="3" t="s">
        <v>1416</v>
      </c>
      <c r="H2606" s="138"/>
      <c r="I2606" s="3" t="s">
        <v>3121</v>
      </c>
      <c r="J2606" s="1" t="s">
        <v>3323</v>
      </c>
      <c r="K2606" s="1" t="s">
        <v>3274</v>
      </c>
      <c r="L2606" s="1" t="s">
        <v>35</v>
      </c>
      <c r="M2606" s="3" t="s">
        <v>3122</v>
      </c>
      <c r="O2606" s="1" t="s">
        <v>45</v>
      </c>
      <c r="P2606" s="1" t="s">
        <v>46</v>
      </c>
      <c r="Q2606" s="2">
        <v>0.1</v>
      </c>
      <c r="R2606" s="138">
        <v>7699064</v>
      </c>
      <c r="T2606" s="4">
        <v>0</v>
      </c>
      <c r="U2606" s="4">
        <v>0</v>
      </c>
      <c r="V2606" s="4">
        <v>0</v>
      </c>
      <c r="W2606" s="13">
        <f t="shared" si="388"/>
        <v>0</v>
      </c>
      <c r="X2606" s="13">
        <f t="shared" si="389"/>
        <v>0</v>
      </c>
      <c r="Y2606" s="13">
        <f t="shared" si="381"/>
        <v>0</v>
      </c>
      <c r="Z2606" s="2">
        <v>0</v>
      </c>
      <c r="AA2606" s="4">
        <v>0</v>
      </c>
      <c r="AB2606" s="4">
        <f t="shared" si="385"/>
        <v>0</v>
      </c>
      <c r="AC2606" s="6">
        <f t="shared" si="382"/>
        <v>0</v>
      </c>
      <c r="AD2606" s="13">
        <f t="shared" ref="AD2606:AD2641" si="390">V2606*95%</f>
        <v>0</v>
      </c>
      <c r="AE2606" s="2">
        <v>0</v>
      </c>
      <c r="AF2606" s="5">
        <f t="shared" si="383"/>
        <v>0</v>
      </c>
      <c r="AG2606" s="2">
        <v>0</v>
      </c>
      <c r="AH2606" s="5">
        <f t="shared" ref="AH2606:AH2641" si="391">AD2606</f>
        <v>0</v>
      </c>
      <c r="AJ2606" s="126" t="e">
        <v>#N/A</v>
      </c>
      <c r="AK2606" s="80">
        <f t="shared" si="384"/>
        <v>0</v>
      </c>
      <c r="AM2606" s="85"/>
    </row>
    <row r="2607" spans="1:39" hidden="1" x14ac:dyDescent="0.3">
      <c r="A2607" s="85" t="s">
        <v>34</v>
      </c>
      <c r="B2607" s="3" t="s">
        <v>35</v>
      </c>
      <c r="C2607" s="3" t="s">
        <v>164</v>
      </c>
      <c r="D2607" s="3" t="s">
        <v>181</v>
      </c>
      <c r="E2607" s="3" t="s">
        <v>182</v>
      </c>
      <c r="F2607" s="3" t="s">
        <v>183</v>
      </c>
      <c r="G2607" s="3" t="s">
        <v>182</v>
      </c>
      <c r="I2607" s="3" t="s">
        <v>3121</v>
      </c>
      <c r="J2607" s="1" t="s">
        <v>3323</v>
      </c>
      <c r="K2607" s="1" t="s">
        <v>3274</v>
      </c>
      <c r="L2607" s="1" t="s">
        <v>35</v>
      </c>
      <c r="M2607" s="3" t="s">
        <v>3123</v>
      </c>
      <c r="O2607" s="1" t="s">
        <v>45</v>
      </c>
      <c r="P2607" s="1" t="s">
        <v>46</v>
      </c>
      <c r="Q2607" s="2">
        <v>0.03</v>
      </c>
      <c r="R2607" s="138">
        <v>7014459</v>
      </c>
      <c r="T2607" s="4">
        <v>99919.198999999993</v>
      </c>
      <c r="U2607" s="4">
        <v>-98888.91</v>
      </c>
      <c r="V2607" s="4">
        <v>1030.2809999999999</v>
      </c>
      <c r="W2607" s="13">
        <f t="shared" si="388"/>
        <v>7.9999999898063834E-3</v>
      </c>
      <c r="X2607" s="13">
        <f t="shared" si="389"/>
        <v>1000.2728155339805</v>
      </c>
      <c r="Y2607" s="13">
        <f t="shared" si="381"/>
        <v>21.505865533980568</v>
      </c>
      <c r="Z2607" s="2">
        <v>0</v>
      </c>
      <c r="AA2607" s="4">
        <v>0</v>
      </c>
      <c r="AB2607" s="4">
        <f t="shared" si="385"/>
        <v>1000.2728155339805</v>
      </c>
      <c r="AC2607" s="6">
        <f t="shared" si="382"/>
        <v>30.008184466019429</v>
      </c>
      <c r="AD2607" s="13">
        <f t="shared" si="390"/>
        <v>978.76694999999995</v>
      </c>
      <c r="AE2607" s="2">
        <v>0</v>
      </c>
      <c r="AF2607" s="5">
        <f t="shared" si="383"/>
        <v>0</v>
      </c>
      <c r="AG2607" s="2">
        <v>0</v>
      </c>
      <c r="AH2607" s="5">
        <f t="shared" si="391"/>
        <v>978.76694999999995</v>
      </c>
      <c r="AJ2607" s="126" t="e">
        <v>#N/A</v>
      </c>
      <c r="AK2607" s="80">
        <f t="shared" si="384"/>
        <v>0</v>
      </c>
      <c r="AM2607" s="85"/>
    </row>
    <row r="2608" spans="1:39" hidden="1" x14ac:dyDescent="0.3">
      <c r="A2608" s="85" t="s">
        <v>34</v>
      </c>
      <c r="B2608" s="3" t="s">
        <v>35</v>
      </c>
      <c r="C2608" s="3" t="s">
        <v>184</v>
      </c>
      <c r="D2608" s="3" t="s">
        <v>185</v>
      </c>
      <c r="E2608" s="3" t="s">
        <v>261</v>
      </c>
      <c r="F2608" s="3" t="s">
        <v>261</v>
      </c>
      <c r="G2608" s="3" t="s">
        <v>261</v>
      </c>
      <c r="H2608" s="138"/>
      <c r="I2608" s="3" t="s">
        <v>3121</v>
      </c>
      <c r="J2608" s="1" t="s">
        <v>3323</v>
      </c>
      <c r="K2608" s="1" t="s">
        <v>3274</v>
      </c>
      <c r="L2608" s="1" t="s">
        <v>35</v>
      </c>
      <c r="M2608" s="3" t="s">
        <v>3124</v>
      </c>
      <c r="O2608" s="1" t="s">
        <v>45</v>
      </c>
      <c r="P2608" s="1" t="s">
        <v>46</v>
      </c>
      <c r="Q2608" s="2">
        <v>0.06</v>
      </c>
      <c r="R2608" s="138">
        <v>6947246</v>
      </c>
      <c r="T2608" s="4">
        <v>0</v>
      </c>
      <c r="U2608" s="4">
        <v>0</v>
      </c>
      <c r="V2608" s="4">
        <v>0</v>
      </c>
      <c r="W2608" s="13">
        <f t="shared" si="388"/>
        <v>0</v>
      </c>
      <c r="X2608" s="13">
        <f t="shared" si="389"/>
        <v>0</v>
      </c>
      <c r="Y2608" s="13">
        <f t="shared" si="381"/>
        <v>0</v>
      </c>
      <c r="Z2608" s="2">
        <v>0</v>
      </c>
      <c r="AA2608" s="4">
        <v>0</v>
      </c>
      <c r="AB2608" s="4">
        <f t="shared" si="385"/>
        <v>0</v>
      </c>
      <c r="AC2608" s="6">
        <f t="shared" si="382"/>
        <v>0</v>
      </c>
      <c r="AD2608" s="13">
        <f t="shared" si="390"/>
        <v>0</v>
      </c>
      <c r="AE2608" s="2">
        <v>0</v>
      </c>
      <c r="AF2608" s="5">
        <f t="shared" si="383"/>
        <v>0</v>
      </c>
      <c r="AG2608" s="2">
        <v>0</v>
      </c>
      <c r="AH2608" s="5">
        <f t="shared" si="391"/>
        <v>0</v>
      </c>
      <c r="AJ2608" s="126" t="e">
        <v>#N/A</v>
      </c>
      <c r="AK2608" s="80">
        <f t="shared" si="384"/>
        <v>0</v>
      </c>
      <c r="AM2608" s="85"/>
    </row>
    <row r="2609" spans="1:39" hidden="1" x14ac:dyDescent="0.3">
      <c r="A2609" s="85" t="s">
        <v>34</v>
      </c>
      <c r="B2609" s="3" t="s">
        <v>35</v>
      </c>
      <c r="C2609" s="3" t="s">
        <v>184</v>
      </c>
      <c r="D2609" s="3" t="s">
        <v>185</v>
      </c>
      <c r="E2609" s="3" t="s">
        <v>261</v>
      </c>
      <c r="F2609" s="3" t="s">
        <v>261</v>
      </c>
      <c r="G2609" s="3" t="s">
        <v>261</v>
      </c>
      <c r="H2609" s="138"/>
      <c r="I2609" s="3" t="s">
        <v>3121</v>
      </c>
      <c r="J2609" s="1" t="s">
        <v>3323</v>
      </c>
      <c r="K2609" s="1" t="s">
        <v>3274</v>
      </c>
      <c r="L2609" s="1" t="s">
        <v>35</v>
      </c>
      <c r="M2609" s="3" t="s">
        <v>3124</v>
      </c>
      <c r="O2609" s="1" t="s">
        <v>45</v>
      </c>
      <c r="P2609" s="1" t="s">
        <v>46</v>
      </c>
      <c r="Q2609" s="2">
        <v>0.06</v>
      </c>
      <c r="R2609" s="138">
        <v>1957009763</v>
      </c>
      <c r="T2609" s="4">
        <v>0</v>
      </c>
      <c r="U2609" s="4">
        <v>0</v>
      </c>
      <c r="V2609" s="4">
        <v>0</v>
      </c>
      <c r="W2609" s="13">
        <f t="shared" si="388"/>
        <v>0</v>
      </c>
      <c r="X2609" s="13">
        <f t="shared" si="389"/>
        <v>0</v>
      </c>
      <c r="Y2609" s="13">
        <f t="shared" si="381"/>
        <v>0</v>
      </c>
      <c r="Z2609" s="2">
        <v>0</v>
      </c>
      <c r="AA2609" s="4">
        <v>0</v>
      </c>
      <c r="AB2609" s="4">
        <f t="shared" si="385"/>
        <v>0</v>
      </c>
      <c r="AC2609" s="6">
        <f t="shared" si="382"/>
        <v>0</v>
      </c>
      <c r="AD2609" s="13">
        <f t="shared" si="390"/>
        <v>0</v>
      </c>
      <c r="AE2609" s="2">
        <v>0</v>
      </c>
      <c r="AF2609" s="5">
        <f t="shared" si="383"/>
        <v>0</v>
      </c>
      <c r="AG2609" s="2">
        <v>0</v>
      </c>
      <c r="AH2609" s="5">
        <f t="shared" si="391"/>
        <v>0</v>
      </c>
      <c r="AJ2609" s="126" t="e">
        <v>#N/A</v>
      </c>
      <c r="AK2609" s="80">
        <f t="shared" si="384"/>
        <v>0</v>
      </c>
      <c r="AM2609" s="85"/>
    </row>
    <row r="2610" spans="1:39" hidden="1" x14ac:dyDescent="0.3">
      <c r="A2610" s="85" t="s">
        <v>34</v>
      </c>
      <c r="B2610" s="3" t="s">
        <v>35</v>
      </c>
      <c r="C2610" s="3" t="s">
        <v>184</v>
      </c>
      <c r="D2610" s="3" t="s">
        <v>185</v>
      </c>
      <c r="E2610" s="3" t="s">
        <v>261</v>
      </c>
      <c r="F2610" s="3" t="s">
        <v>261</v>
      </c>
      <c r="G2610" s="3" t="s">
        <v>261</v>
      </c>
      <c r="H2610" s="138"/>
      <c r="I2610" s="3" t="s">
        <v>3121</v>
      </c>
      <c r="J2610" s="1" t="s">
        <v>3323</v>
      </c>
      <c r="K2610" s="1" t="s">
        <v>3274</v>
      </c>
      <c r="L2610" s="1" t="s">
        <v>35</v>
      </c>
      <c r="M2610" s="3" t="s">
        <v>261</v>
      </c>
      <c r="O2610" s="1" t="s">
        <v>45</v>
      </c>
      <c r="P2610" s="1" t="s">
        <v>46</v>
      </c>
      <c r="Q2610" s="2">
        <v>0.06</v>
      </c>
      <c r="R2610" s="138">
        <v>6786416</v>
      </c>
      <c r="T2610" s="4">
        <v>0</v>
      </c>
      <c r="U2610" s="4">
        <v>0</v>
      </c>
      <c r="V2610" s="4">
        <v>0</v>
      </c>
      <c r="W2610" s="13">
        <f t="shared" si="388"/>
        <v>0</v>
      </c>
      <c r="X2610" s="13">
        <f t="shared" si="389"/>
        <v>0</v>
      </c>
      <c r="Y2610" s="13">
        <f t="shared" si="381"/>
        <v>0</v>
      </c>
      <c r="Z2610" s="2">
        <v>0</v>
      </c>
      <c r="AA2610" s="4">
        <v>0</v>
      </c>
      <c r="AB2610" s="4">
        <f t="shared" si="385"/>
        <v>0</v>
      </c>
      <c r="AC2610" s="6">
        <f t="shared" si="382"/>
        <v>0</v>
      </c>
      <c r="AD2610" s="13">
        <f t="shared" si="390"/>
        <v>0</v>
      </c>
      <c r="AE2610" s="2">
        <v>0</v>
      </c>
      <c r="AF2610" s="5">
        <f t="shared" si="383"/>
        <v>0</v>
      </c>
      <c r="AG2610" s="2">
        <v>0</v>
      </c>
      <c r="AH2610" s="5">
        <f t="shared" si="391"/>
        <v>0</v>
      </c>
      <c r="AJ2610" s="126" t="e">
        <v>#N/A</v>
      </c>
      <c r="AK2610" s="80">
        <f t="shared" si="384"/>
        <v>0</v>
      </c>
      <c r="AM2610" s="85"/>
    </row>
    <row r="2611" spans="1:39" hidden="1" x14ac:dyDescent="0.3">
      <c r="A2611" s="85" t="s">
        <v>34</v>
      </c>
      <c r="B2611" s="15" t="s">
        <v>35</v>
      </c>
      <c r="C2611" s="15" t="s">
        <v>295</v>
      </c>
      <c r="D2611" s="15" t="s">
        <v>185</v>
      </c>
      <c r="E2611" s="15" t="s">
        <v>261</v>
      </c>
      <c r="F2611" s="15" t="s">
        <v>261</v>
      </c>
      <c r="G2611" s="15" t="s">
        <v>261</v>
      </c>
      <c r="H2611" s="139"/>
      <c r="I2611" s="15" t="s">
        <v>3121</v>
      </c>
      <c r="J2611" s="1" t="s">
        <v>3323</v>
      </c>
      <c r="K2611" s="1" t="s">
        <v>3274</v>
      </c>
      <c r="L2611" s="1" t="s">
        <v>35</v>
      </c>
      <c r="M2611" s="15" t="s">
        <v>3124</v>
      </c>
      <c r="N2611" s="15"/>
      <c r="O2611" s="8" t="s">
        <v>45</v>
      </c>
      <c r="P2611" s="8" t="s">
        <v>46</v>
      </c>
      <c r="Q2611" s="9">
        <v>0.06</v>
      </c>
      <c r="R2611" s="139">
        <v>6947159</v>
      </c>
      <c r="T2611" s="18">
        <v>109572.53799999968</v>
      </c>
      <c r="U2611" s="4">
        <v>-109572.54</v>
      </c>
      <c r="V2611" s="4">
        <v>0</v>
      </c>
      <c r="W2611" s="13">
        <f t="shared" si="388"/>
        <v>-2.000000313273631E-3</v>
      </c>
      <c r="X2611" s="13">
        <f t="shared" si="389"/>
        <v>0</v>
      </c>
      <c r="Y2611" s="13">
        <f t="shared" si="381"/>
        <v>0</v>
      </c>
      <c r="Z2611" s="2">
        <v>0</v>
      </c>
      <c r="AA2611" s="4">
        <v>0</v>
      </c>
      <c r="AB2611" s="4">
        <f t="shared" si="385"/>
        <v>0</v>
      </c>
      <c r="AC2611" s="6">
        <f t="shared" si="382"/>
        <v>0</v>
      </c>
      <c r="AD2611" s="13">
        <f t="shared" si="390"/>
        <v>0</v>
      </c>
      <c r="AE2611" s="2">
        <v>0</v>
      </c>
      <c r="AF2611" s="5">
        <f t="shared" si="383"/>
        <v>0</v>
      </c>
      <c r="AG2611" s="2">
        <v>0</v>
      </c>
      <c r="AH2611" s="5">
        <f t="shared" si="391"/>
        <v>0</v>
      </c>
      <c r="AJ2611" s="126" t="e">
        <v>#N/A</v>
      </c>
      <c r="AK2611" s="80">
        <f t="shared" si="384"/>
        <v>0</v>
      </c>
      <c r="AM2611" s="85"/>
    </row>
    <row r="2612" spans="1:39" hidden="1" x14ac:dyDescent="0.3">
      <c r="A2612" s="85" t="s">
        <v>34</v>
      </c>
      <c r="B2612" s="15" t="s">
        <v>35</v>
      </c>
      <c r="C2612" s="15" t="s">
        <v>295</v>
      </c>
      <c r="D2612" s="15" t="s">
        <v>185</v>
      </c>
      <c r="E2612" s="15" t="s">
        <v>261</v>
      </c>
      <c r="F2612" s="15" t="s">
        <v>261</v>
      </c>
      <c r="G2612" s="15" t="s">
        <v>261</v>
      </c>
      <c r="H2612" s="139"/>
      <c r="I2612" s="15" t="s">
        <v>3121</v>
      </c>
      <c r="J2612" s="1" t="s">
        <v>3323</v>
      </c>
      <c r="K2612" s="1" t="s">
        <v>3274</v>
      </c>
      <c r="L2612" s="1" t="s">
        <v>35</v>
      </c>
      <c r="M2612" s="15" t="s">
        <v>3124</v>
      </c>
      <c r="N2612" s="15"/>
      <c r="O2612" s="8" t="s">
        <v>45</v>
      </c>
      <c r="P2612" s="8" t="s">
        <v>46</v>
      </c>
      <c r="Q2612" s="9">
        <v>0.06</v>
      </c>
      <c r="R2612" s="139">
        <v>7792188</v>
      </c>
      <c r="T2612" s="18">
        <v>9473.469000000001</v>
      </c>
      <c r="U2612" s="4">
        <v>-9473.4699999999993</v>
      </c>
      <c r="V2612" s="4">
        <v>0</v>
      </c>
      <c r="W2612" s="13">
        <f t="shared" si="388"/>
        <v>-9.9999999838473741E-4</v>
      </c>
      <c r="X2612" s="13">
        <f t="shared" si="389"/>
        <v>0</v>
      </c>
      <c r="Y2612" s="13">
        <f t="shared" si="381"/>
        <v>0</v>
      </c>
      <c r="Z2612" s="2">
        <v>0</v>
      </c>
      <c r="AA2612" s="4">
        <v>0</v>
      </c>
      <c r="AB2612" s="4">
        <f t="shared" si="385"/>
        <v>0</v>
      </c>
      <c r="AC2612" s="6">
        <f t="shared" si="382"/>
        <v>0</v>
      </c>
      <c r="AD2612" s="13">
        <f t="shared" si="390"/>
        <v>0</v>
      </c>
      <c r="AE2612" s="2">
        <v>0</v>
      </c>
      <c r="AF2612" s="5">
        <f t="shared" si="383"/>
        <v>0</v>
      </c>
      <c r="AG2612" s="2">
        <v>0</v>
      </c>
      <c r="AH2612" s="5">
        <f t="shared" si="391"/>
        <v>0</v>
      </c>
      <c r="AJ2612" s="126" t="e">
        <v>#N/A</v>
      </c>
      <c r="AK2612" s="80">
        <f t="shared" si="384"/>
        <v>0</v>
      </c>
      <c r="AM2612" s="85"/>
    </row>
    <row r="2613" spans="1:39" hidden="1" x14ac:dyDescent="0.3">
      <c r="A2613" s="85" t="s">
        <v>34</v>
      </c>
      <c r="B2613" s="15" t="s">
        <v>35</v>
      </c>
      <c r="C2613" s="15" t="s">
        <v>295</v>
      </c>
      <c r="D2613" s="15" t="s">
        <v>185</v>
      </c>
      <c r="E2613" s="15" t="s">
        <v>261</v>
      </c>
      <c r="F2613" s="15" t="s">
        <v>261</v>
      </c>
      <c r="G2613" s="15" t="s">
        <v>261</v>
      </c>
      <c r="H2613" s="139"/>
      <c r="I2613" s="15" t="s">
        <v>3121</v>
      </c>
      <c r="J2613" s="1" t="s">
        <v>3323</v>
      </c>
      <c r="K2613" s="1" t="s">
        <v>3274</v>
      </c>
      <c r="L2613" s="1" t="s">
        <v>35</v>
      </c>
      <c r="M2613" s="15" t="s">
        <v>3124</v>
      </c>
      <c r="N2613" s="15"/>
      <c r="O2613" s="8" t="s">
        <v>45</v>
      </c>
      <c r="P2613" s="8" t="s">
        <v>46</v>
      </c>
      <c r="Q2613" s="9">
        <v>0.06</v>
      </c>
      <c r="R2613" s="139">
        <v>7729002</v>
      </c>
      <c r="T2613" s="18">
        <v>59702.162000000011</v>
      </c>
      <c r="U2613" s="4">
        <v>-59702.16</v>
      </c>
      <c r="V2613" s="4">
        <v>0</v>
      </c>
      <c r="W2613" s="13">
        <f t="shared" si="388"/>
        <v>2.0000000076834112E-3</v>
      </c>
      <c r="X2613" s="13">
        <f t="shared" si="389"/>
        <v>0</v>
      </c>
      <c r="Y2613" s="13">
        <f t="shared" si="381"/>
        <v>0</v>
      </c>
      <c r="Z2613" s="2">
        <v>0</v>
      </c>
      <c r="AA2613" s="4">
        <v>0</v>
      </c>
      <c r="AB2613" s="4">
        <f t="shared" si="385"/>
        <v>0</v>
      </c>
      <c r="AC2613" s="6">
        <f t="shared" si="382"/>
        <v>0</v>
      </c>
      <c r="AD2613" s="13">
        <f t="shared" si="390"/>
        <v>0</v>
      </c>
      <c r="AE2613" s="2">
        <v>0</v>
      </c>
      <c r="AF2613" s="5">
        <f t="shared" si="383"/>
        <v>0</v>
      </c>
      <c r="AG2613" s="2">
        <v>0</v>
      </c>
      <c r="AH2613" s="5">
        <f t="shared" si="391"/>
        <v>0</v>
      </c>
      <c r="AJ2613" s="126" t="e">
        <v>#N/A</v>
      </c>
      <c r="AK2613" s="80">
        <f t="shared" si="384"/>
        <v>0</v>
      </c>
      <c r="AM2613" s="85"/>
    </row>
    <row r="2614" spans="1:39" hidden="1" x14ac:dyDescent="0.3">
      <c r="A2614" s="85" t="s">
        <v>34</v>
      </c>
      <c r="B2614" s="15" t="s">
        <v>35</v>
      </c>
      <c r="C2614" s="15" t="s">
        <v>295</v>
      </c>
      <c r="D2614" s="15" t="s">
        <v>185</v>
      </c>
      <c r="E2614" s="15" t="s">
        <v>261</v>
      </c>
      <c r="F2614" s="15" t="s">
        <v>261</v>
      </c>
      <c r="G2614" s="15" t="s">
        <v>261</v>
      </c>
      <c r="H2614" s="139"/>
      <c r="I2614" s="15" t="s">
        <v>3121</v>
      </c>
      <c r="J2614" s="1" t="s">
        <v>3323</v>
      </c>
      <c r="K2614" s="1" t="s">
        <v>3274</v>
      </c>
      <c r="L2614" s="1" t="s">
        <v>35</v>
      </c>
      <c r="M2614" s="15" t="s">
        <v>261</v>
      </c>
      <c r="N2614" s="15"/>
      <c r="O2614" s="8" t="s">
        <v>45</v>
      </c>
      <c r="P2614" s="8" t="s">
        <v>46</v>
      </c>
      <c r="Q2614" s="9">
        <v>0.06</v>
      </c>
      <c r="R2614" s="139">
        <v>6891422</v>
      </c>
      <c r="T2614" s="18">
        <v>36456.076000000801</v>
      </c>
      <c r="U2614" s="4">
        <v>-36454.879999999997</v>
      </c>
      <c r="V2614" s="4">
        <v>0</v>
      </c>
      <c r="W2614" s="13">
        <f t="shared" si="388"/>
        <v>1.196000000803906</v>
      </c>
      <c r="X2614" s="13">
        <f t="shared" si="389"/>
        <v>0</v>
      </c>
      <c r="Y2614" s="13">
        <f t="shared" si="381"/>
        <v>0</v>
      </c>
      <c r="Z2614" s="2">
        <v>0</v>
      </c>
      <c r="AA2614" s="4">
        <v>0</v>
      </c>
      <c r="AB2614" s="4">
        <f t="shared" si="385"/>
        <v>0</v>
      </c>
      <c r="AC2614" s="6">
        <f t="shared" si="382"/>
        <v>0</v>
      </c>
      <c r="AD2614" s="13">
        <f t="shared" si="390"/>
        <v>0</v>
      </c>
      <c r="AE2614" s="2">
        <v>0</v>
      </c>
      <c r="AF2614" s="5">
        <f t="shared" si="383"/>
        <v>0</v>
      </c>
      <c r="AG2614" s="2">
        <v>0</v>
      </c>
      <c r="AH2614" s="5">
        <f t="shared" si="391"/>
        <v>0</v>
      </c>
      <c r="AJ2614" s="126" t="e">
        <v>#N/A</v>
      </c>
      <c r="AK2614" s="80">
        <f t="shared" si="384"/>
        <v>0</v>
      </c>
      <c r="AM2614" s="85"/>
    </row>
    <row r="2615" spans="1:39" hidden="1" x14ac:dyDescent="0.3">
      <c r="A2615" s="85" t="s">
        <v>34</v>
      </c>
      <c r="B2615" s="15" t="s">
        <v>35</v>
      </c>
      <c r="C2615" s="15" t="s">
        <v>295</v>
      </c>
      <c r="D2615" s="15" t="s">
        <v>185</v>
      </c>
      <c r="E2615" s="15" t="s">
        <v>261</v>
      </c>
      <c r="F2615" s="15" t="s">
        <v>261</v>
      </c>
      <c r="G2615" s="15" t="s">
        <v>261</v>
      </c>
      <c r="H2615" s="139"/>
      <c r="I2615" s="15" t="s">
        <v>3121</v>
      </c>
      <c r="J2615" s="1" t="s">
        <v>3323</v>
      </c>
      <c r="K2615" s="1" t="s">
        <v>3274</v>
      </c>
      <c r="L2615" s="1" t="s">
        <v>35</v>
      </c>
      <c r="M2615" s="15" t="s">
        <v>261</v>
      </c>
      <c r="N2615" s="15"/>
      <c r="O2615" s="8" t="s">
        <v>45</v>
      </c>
      <c r="P2615" s="8" t="s">
        <v>46</v>
      </c>
      <c r="Q2615" s="9">
        <v>0.06</v>
      </c>
      <c r="R2615" s="139">
        <v>6962945</v>
      </c>
      <c r="T2615" s="18">
        <v>32275.317999999505</v>
      </c>
      <c r="U2615" s="4">
        <v>-32275.31</v>
      </c>
      <c r="V2615" s="4">
        <v>0</v>
      </c>
      <c r="W2615" s="13">
        <f t="shared" si="388"/>
        <v>7.9999995032267179E-3</v>
      </c>
      <c r="X2615" s="13">
        <f t="shared" si="389"/>
        <v>0</v>
      </c>
      <c r="Y2615" s="13">
        <f t="shared" si="381"/>
        <v>0</v>
      </c>
      <c r="Z2615" s="2">
        <v>0</v>
      </c>
      <c r="AA2615" s="4">
        <v>0</v>
      </c>
      <c r="AB2615" s="4">
        <f t="shared" si="385"/>
        <v>0</v>
      </c>
      <c r="AC2615" s="6">
        <f t="shared" si="382"/>
        <v>0</v>
      </c>
      <c r="AD2615" s="13">
        <f t="shared" si="390"/>
        <v>0</v>
      </c>
      <c r="AE2615" s="2">
        <v>0</v>
      </c>
      <c r="AF2615" s="5">
        <f t="shared" si="383"/>
        <v>0</v>
      </c>
      <c r="AG2615" s="2">
        <v>0</v>
      </c>
      <c r="AH2615" s="5">
        <f t="shared" si="391"/>
        <v>0</v>
      </c>
      <c r="AJ2615" s="126" t="e">
        <v>#N/A</v>
      </c>
      <c r="AK2615" s="80">
        <f t="shared" si="384"/>
        <v>0</v>
      </c>
      <c r="AM2615" s="85"/>
    </row>
    <row r="2616" spans="1:39" hidden="1" x14ac:dyDescent="0.3">
      <c r="A2616" s="85" t="s">
        <v>34</v>
      </c>
      <c r="B2616" s="15" t="s">
        <v>35</v>
      </c>
      <c r="C2616" s="15" t="s">
        <v>295</v>
      </c>
      <c r="D2616" s="15" t="s">
        <v>185</v>
      </c>
      <c r="E2616" s="15" t="s">
        <v>261</v>
      </c>
      <c r="F2616" s="15" t="s">
        <v>261</v>
      </c>
      <c r="G2616" s="15" t="s">
        <v>261</v>
      </c>
      <c r="H2616" s="139"/>
      <c r="I2616" s="15" t="s">
        <v>3121</v>
      </c>
      <c r="J2616" s="1" t="s">
        <v>3323</v>
      </c>
      <c r="K2616" s="1" t="s">
        <v>3274</v>
      </c>
      <c r="L2616" s="1" t="s">
        <v>35</v>
      </c>
      <c r="M2616" s="15" t="s">
        <v>3124</v>
      </c>
      <c r="N2616" s="15"/>
      <c r="O2616" s="8" t="s">
        <v>45</v>
      </c>
      <c r="P2616" s="8" t="s">
        <v>46</v>
      </c>
      <c r="Q2616" s="9">
        <v>0.06</v>
      </c>
      <c r="R2616" s="139">
        <v>7194441</v>
      </c>
      <c r="T2616" s="18">
        <v>8.9999999909196049E-3</v>
      </c>
      <c r="U2616" s="4">
        <v>0</v>
      </c>
      <c r="V2616" s="4">
        <v>0</v>
      </c>
      <c r="W2616" s="13">
        <f t="shared" si="388"/>
        <v>8.9999999909196049E-3</v>
      </c>
      <c r="X2616" s="13">
        <f t="shared" si="389"/>
        <v>0</v>
      </c>
      <c r="Y2616" s="13">
        <f t="shared" si="381"/>
        <v>0</v>
      </c>
      <c r="Z2616" s="2">
        <v>0</v>
      </c>
      <c r="AA2616" s="4">
        <v>0</v>
      </c>
      <c r="AB2616" s="4">
        <f t="shared" si="385"/>
        <v>0</v>
      </c>
      <c r="AC2616" s="6">
        <f t="shared" si="382"/>
        <v>0</v>
      </c>
      <c r="AD2616" s="13">
        <f t="shared" si="390"/>
        <v>0</v>
      </c>
      <c r="AE2616" s="2">
        <v>0</v>
      </c>
      <c r="AF2616" s="5">
        <f t="shared" si="383"/>
        <v>0</v>
      </c>
      <c r="AG2616" s="2">
        <v>0</v>
      </c>
      <c r="AH2616" s="5">
        <f t="shared" si="391"/>
        <v>0</v>
      </c>
      <c r="AJ2616" s="126" t="e">
        <v>#N/A</v>
      </c>
      <c r="AK2616" s="80">
        <f t="shared" si="384"/>
        <v>0</v>
      </c>
      <c r="AM2616" s="85"/>
    </row>
    <row r="2617" spans="1:39" hidden="1" x14ac:dyDescent="0.3">
      <c r="A2617" s="85" t="s">
        <v>34</v>
      </c>
      <c r="B2617" s="15" t="s">
        <v>35</v>
      </c>
      <c r="C2617" s="15" t="s">
        <v>295</v>
      </c>
      <c r="D2617" s="15" t="s">
        <v>185</v>
      </c>
      <c r="E2617" s="15" t="s">
        <v>261</v>
      </c>
      <c r="F2617" s="15" t="s">
        <v>261</v>
      </c>
      <c r="G2617" s="15" t="s">
        <v>261</v>
      </c>
      <c r="H2617" s="139"/>
      <c r="I2617" s="15" t="s">
        <v>3121</v>
      </c>
      <c r="J2617" s="1" t="s">
        <v>3323</v>
      </c>
      <c r="K2617" s="1" t="s">
        <v>3274</v>
      </c>
      <c r="L2617" s="1" t="s">
        <v>35</v>
      </c>
      <c r="M2617" s="15" t="s">
        <v>3125</v>
      </c>
      <c r="N2617" s="15"/>
      <c r="O2617" s="8" t="s">
        <v>45</v>
      </c>
      <c r="P2617" s="8" t="s">
        <v>46</v>
      </c>
      <c r="Q2617" s="9">
        <v>0.06</v>
      </c>
      <c r="R2617" s="139">
        <v>7625187</v>
      </c>
      <c r="T2617" s="18">
        <v>37536.278999999995</v>
      </c>
      <c r="U2617" s="4">
        <v>-37536.28</v>
      </c>
      <c r="V2617" s="4">
        <v>0</v>
      </c>
      <c r="W2617" s="13">
        <f t="shared" si="388"/>
        <v>-1.0000000038417056E-3</v>
      </c>
      <c r="X2617" s="13">
        <f t="shared" si="389"/>
        <v>0</v>
      </c>
      <c r="Y2617" s="13">
        <f t="shared" si="381"/>
        <v>0</v>
      </c>
      <c r="Z2617" s="2">
        <v>0</v>
      </c>
      <c r="AA2617" s="4">
        <v>0</v>
      </c>
      <c r="AB2617" s="4">
        <f t="shared" si="385"/>
        <v>0</v>
      </c>
      <c r="AC2617" s="6">
        <f t="shared" si="382"/>
        <v>0</v>
      </c>
      <c r="AD2617" s="13">
        <f t="shared" si="390"/>
        <v>0</v>
      </c>
      <c r="AE2617" s="2">
        <v>0</v>
      </c>
      <c r="AF2617" s="5">
        <f t="shared" si="383"/>
        <v>0</v>
      </c>
      <c r="AG2617" s="2">
        <v>0</v>
      </c>
      <c r="AH2617" s="5">
        <f t="shared" si="391"/>
        <v>0</v>
      </c>
      <c r="AJ2617" s="126" t="e">
        <v>#N/A</v>
      </c>
      <c r="AK2617" s="80">
        <f t="shared" si="384"/>
        <v>0</v>
      </c>
      <c r="AM2617" s="85"/>
    </row>
    <row r="2618" spans="1:39" hidden="1" x14ac:dyDescent="0.3">
      <c r="A2618" s="85" t="s">
        <v>34</v>
      </c>
      <c r="B2618" s="15" t="s">
        <v>35</v>
      </c>
      <c r="C2618" s="15" t="s">
        <v>164</v>
      </c>
      <c r="D2618" s="15" t="s">
        <v>165</v>
      </c>
      <c r="E2618" s="15" t="s">
        <v>166</v>
      </c>
      <c r="F2618" s="15" t="s">
        <v>166</v>
      </c>
      <c r="G2618" s="15" t="s">
        <v>166</v>
      </c>
      <c r="H2618" s="139"/>
      <c r="I2618" s="15" t="s">
        <v>3126</v>
      </c>
      <c r="J2618" s="1" t="s">
        <v>3323</v>
      </c>
      <c r="K2618" s="1" t="s">
        <v>3272</v>
      </c>
      <c r="L2618" s="1" t="s">
        <v>35</v>
      </c>
      <c r="M2618" s="15" t="s">
        <v>166</v>
      </c>
      <c r="N2618" s="15"/>
      <c r="O2618" s="8" t="s">
        <v>45</v>
      </c>
      <c r="P2618" s="8" t="s">
        <v>46</v>
      </c>
      <c r="Q2618" s="9">
        <v>0.03</v>
      </c>
      <c r="R2618" s="139">
        <v>18001206</v>
      </c>
      <c r="T2618" s="18">
        <v>14695.009999999998</v>
      </c>
      <c r="U2618" s="4">
        <v>0</v>
      </c>
      <c r="V2618" s="4">
        <v>0</v>
      </c>
      <c r="W2618" s="13">
        <f t="shared" si="388"/>
        <v>14695.009999999998</v>
      </c>
      <c r="X2618" s="13">
        <f t="shared" si="389"/>
        <v>0</v>
      </c>
      <c r="Y2618" s="13">
        <f t="shared" si="381"/>
        <v>0</v>
      </c>
      <c r="Z2618" s="2">
        <v>0</v>
      </c>
      <c r="AA2618" s="4">
        <v>0</v>
      </c>
      <c r="AB2618" s="4">
        <f t="shared" si="385"/>
        <v>0</v>
      </c>
      <c r="AC2618" s="6">
        <f t="shared" si="382"/>
        <v>0</v>
      </c>
      <c r="AD2618" s="13">
        <f t="shared" si="390"/>
        <v>0</v>
      </c>
      <c r="AE2618" s="2">
        <v>0</v>
      </c>
      <c r="AF2618" s="5">
        <f t="shared" si="383"/>
        <v>0</v>
      </c>
      <c r="AG2618" s="2">
        <v>0</v>
      </c>
      <c r="AH2618" s="5">
        <f t="shared" si="391"/>
        <v>0</v>
      </c>
      <c r="AJ2618" s="126" t="e">
        <v>#N/A</v>
      </c>
      <c r="AK2618" s="80">
        <f t="shared" si="384"/>
        <v>0</v>
      </c>
      <c r="AM2618" s="85"/>
    </row>
    <row r="2619" spans="1:39" hidden="1" x14ac:dyDescent="0.3">
      <c r="A2619" s="85" t="s">
        <v>34</v>
      </c>
      <c r="B2619" s="15" t="s">
        <v>35</v>
      </c>
      <c r="C2619" s="15" t="s">
        <v>65</v>
      </c>
      <c r="D2619" s="15" t="s">
        <v>66</v>
      </c>
      <c r="E2619" s="15" t="s">
        <v>3127</v>
      </c>
      <c r="F2619" s="15" t="s">
        <v>3127</v>
      </c>
      <c r="G2619" s="15" t="s">
        <v>3127</v>
      </c>
      <c r="H2619" s="139"/>
      <c r="I2619" s="15" t="s">
        <v>3126</v>
      </c>
      <c r="J2619" s="1" t="s">
        <v>3323</v>
      </c>
      <c r="K2619" s="1" t="s">
        <v>3272</v>
      </c>
      <c r="L2619" s="1" t="s">
        <v>35</v>
      </c>
      <c r="M2619" s="15" t="s">
        <v>3128</v>
      </c>
      <c r="N2619" s="15"/>
      <c r="O2619" s="8" t="s">
        <v>45</v>
      </c>
      <c r="P2619" s="8" t="s">
        <v>46</v>
      </c>
      <c r="Q2619" s="9">
        <v>0.04</v>
      </c>
      <c r="R2619" s="139">
        <v>17821667</v>
      </c>
      <c r="T2619" s="18">
        <v>5946.98</v>
      </c>
      <c r="U2619" s="4">
        <v>0</v>
      </c>
      <c r="V2619" s="4">
        <v>0</v>
      </c>
      <c r="W2619" s="13">
        <f t="shared" si="388"/>
        <v>5946.98</v>
      </c>
      <c r="X2619" s="13">
        <f t="shared" si="389"/>
        <v>0</v>
      </c>
      <c r="Y2619" s="13">
        <f t="shared" si="381"/>
        <v>0</v>
      </c>
      <c r="Z2619" s="2">
        <v>0</v>
      </c>
      <c r="AA2619" s="4">
        <v>0</v>
      </c>
      <c r="AB2619" s="4">
        <f t="shared" si="385"/>
        <v>0</v>
      </c>
      <c r="AC2619" s="6">
        <f t="shared" si="382"/>
        <v>0</v>
      </c>
      <c r="AD2619" s="13">
        <f t="shared" si="390"/>
        <v>0</v>
      </c>
      <c r="AE2619" s="2">
        <v>0</v>
      </c>
      <c r="AF2619" s="5">
        <f t="shared" si="383"/>
        <v>0</v>
      </c>
      <c r="AG2619" s="2">
        <v>0</v>
      </c>
      <c r="AH2619" s="5">
        <f t="shared" si="391"/>
        <v>0</v>
      </c>
      <c r="AJ2619" s="126" t="e">
        <v>#N/A</v>
      </c>
      <c r="AK2619" s="80">
        <f t="shared" si="384"/>
        <v>0</v>
      </c>
      <c r="AM2619" s="85"/>
    </row>
    <row r="2620" spans="1:39" hidden="1" x14ac:dyDescent="0.3">
      <c r="A2620" s="85" t="s">
        <v>34</v>
      </c>
      <c r="B2620" s="15" t="s">
        <v>35</v>
      </c>
      <c r="C2620" s="15" t="s">
        <v>65</v>
      </c>
      <c r="D2620" s="15" t="s">
        <v>66</v>
      </c>
      <c r="E2620" s="15" t="s">
        <v>3127</v>
      </c>
      <c r="F2620" s="15" t="s">
        <v>3127</v>
      </c>
      <c r="G2620" s="15" t="s">
        <v>3127</v>
      </c>
      <c r="H2620" s="139"/>
      <c r="I2620" s="15" t="s">
        <v>3126</v>
      </c>
      <c r="J2620" s="1" t="s">
        <v>3323</v>
      </c>
      <c r="K2620" s="1" t="s">
        <v>3272</v>
      </c>
      <c r="L2620" s="1" t="s">
        <v>35</v>
      </c>
      <c r="M2620" s="15" t="s">
        <v>3128</v>
      </c>
      <c r="N2620" s="15"/>
      <c r="O2620" s="8" t="s">
        <v>45</v>
      </c>
      <c r="P2620" s="8" t="s">
        <v>46</v>
      </c>
      <c r="Q2620" s="9">
        <v>0.04</v>
      </c>
      <c r="R2620" s="139">
        <v>17883981</v>
      </c>
      <c r="T2620" s="18">
        <v>5126.3500000000004</v>
      </c>
      <c r="U2620" s="4">
        <v>0</v>
      </c>
      <c r="V2620" s="4">
        <v>0</v>
      </c>
      <c r="W2620" s="13">
        <f t="shared" si="388"/>
        <v>5126.3500000000004</v>
      </c>
      <c r="X2620" s="13">
        <f t="shared" si="389"/>
        <v>0</v>
      </c>
      <c r="Y2620" s="13">
        <f t="shared" si="381"/>
        <v>0</v>
      </c>
      <c r="Z2620" s="2">
        <v>0</v>
      </c>
      <c r="AA2620" s="4">
        <v>0</v>
      </c>
      <c r="AB2620" s="4">
        <f t="shared" si="385"/>
        <v>0</v>
      </c>
      <c r="AC2620" s="6">
        <f t="shared" si="382"/>
        <v>0</v>
      </c>
      <c r="AD2620" s="13">
        <f t="shared" si="390"/>
        <v>0</v>
      </c>
      <c r="AE2620" s="2">
        <v>0</v>
      </c>
      <c r="AF2620" s="5">
        <f t="shared" si="383"/>
        <v>0</v>
      </c>
      <c r="AG2620" s="2">
        <v>0</v>
      </c>
      <c r="AH2620" s="5">
        <f t="shared" si="391"/>
        <v>0</v>
      </c>
      <c r="AJ2620" s="126" t="e">
        <v>#N/A</v>
      </c>
      <c r="AK2620" s="80">
        <f t="shared" si="384"/>
        <v>0</v>
      </c>
      <c r="AM2620" s="85"/>
    </row>
    <row r="2621" spans="1:39" hidden="1" x14ac:dyDescent="0.3">
      <c r="A2621" s="85" t="s">
        <v>34</v>
      </c>
      <c r="B2621" s="15" t="s">
        <v>35</v>
      </c>
      <c r="C2621" s="15" t="s">
        <v>164</v>
      </c>
      <c r="D2621" s="15" t="s">
        <v>165</v>
      </c>
      <c r="E2621" s="15" t="s">
        <v>166</v>
      </c>
      <c r="F2621" s="15" t="s">
        <v>166</v>
      </c>
      <c r="G2621" s="15" t="s">
        <v>166</v>
      </c>
      <c r="H2621" s="139"/>
      <c r="I2621" s="15" t="s">
        <v>3126</v>
      </c>
      <c r="J2621" s="1" t="s">
        <v>3323</v>
      </c>
      <c r="K2621" s="1" t="s">
        <v>3272</v>
      </c>
      <c r="L2621" s="1" t="s">
        <v>35</v>
      </c>
      <c r="M2621" s="15" t="s">
        <v>166</v>
      </c>
      <c r="N2621" s="15"/>
      <c r="O2621" s="8" t="s">
        <v>45</v>
      </c>
      <c r="P2621" s="8" t="s">
        <v>46</v>
      </c>
      <c r="Q2621" s="9">
        <v>0.03</v>
      </c>
      <c r="R2621" s="139">
        <v>18001207</v>
      </c>
      <c r="T2621" s="18">
        <v>6831.73</v>
      </c>
      <c r="U2621" s="4">
        <v>0</v>
      </c>
      <c r="V2621" s="4">
        <v>0</v>
      </c>
      <c r="W2621" s="13">
        <f t="shared" si="388"/>
        <v>6831.73</v>
      </c>
      <c r="X2621" s="13">
        <f t="shared" si="389"/>
        <v>0</v>
      </c>
      <c r="Y2621" s="13">
        <f t="shared" si="381"/>
        <v>0</v>
      </c>
      <c r="Z2621" s="2">
        <v>0</v>
      </c>
      <c r="AA2621" s="4">
        <v>0</v>
      </c>
      <c r="AB2621" s="4">
        <f t="shared" si="385"/>
        <v>0</v>
      </c>
      <c r="AC2621" s="6">
        <f t="shared" si="382"/>
        <v>0</v>
      </c>
      <c r="AD2621" s="13">
        <f t="shared" si="390"/>
        <v>0</v>
      </c>
      <c r="AE2621" s="2">
        <v>0</v>
      </c>
      <c r="AF2621" s="5">
        <f t="shared" si="383"/>
        <v>0</v>
      </c>
      <c r="AG2621" s="2">
        <v>0</v>
      </c>
      <c r="AH2621" s="5">
        <f t="shared" si="391"/>
        <v>0</v>
      </c>
      <c r="AJ2621" s="126" t="e">
        <v>#N/A</v>
      </c>
      <c r="AK2621" s="80">
        <f t="shared" si="384"/>
        <v>0</v>
      </c>
      <c r="AM2621" s="85"/>
    </row>
    <row r="2622" spans="1:39" hidden="1" x14ac:dyDescent="0.3">
      <c r="A2622" s="85" t="s">
        <v>34</v>
      </c>
      <c r="B2622" s="3" t="s">
        <v>35</v>
      </c>
      <c r="C2622" s="3" t="s">
        <v>164</v>
      </c>
      <c r="D2622" s="3" t="s">
        <v>181</v>
      </c>
      <c r="E2622" s="3" t="s">
        <v>182</v>
      </c>
      <c r="F2622" s="3" t="s">
        <v>183</v>
      </c>
      <c r="G2622" s="3" t="s">
        <v>182</v>
      </c>
      <c r="I2622" s="3" t="s">
        <v>3121</v>
      </c>
      <c r="J2622" s="1" t="s">
        <v>3323</v>
      </c>
      <c r="K2622" s="1" t="s">
        <v>3274</v>
      </c>
      <c r="L2622" s="1" t="s">
        <v>35</v>
      </c>
      <c r="M2622" s="3" t="s">
        <v>3123</v>
      </c>
      <c r="O2622" s="1" t="s">
        <v>45</v>
      </c>
      <c r="P2622" s="1" t="s">
        <v>46</v>
      </c>
      <c r="Q2622" s="2">
        <v>0.03</v>
      </c>
      <c r="R2622" s="138">
        <v>7244002</v>
      </c>
      <c r="T2622" s="4">
        <v>0</v>
      </c>
      <c r="U2622" s="4">
        <v>104799.05</v>
      </c>
      <c r="V2622" s="4">
        <v>31295.450999999997</v>
      </c>
      <c r="W2622" s="13">
        <f t="shared" si="388"/>
        <v>73503.599000000002</v>
      </c>
      <c r="X2622" s="13">
        <f t="shared" si="389"/>
        <v>30383.933009708733</v>
      </c>
      <c r="Y2622" s="13">
        <f t="shared" si="381"/>
        <v>653.25455970873736</v>
      </c>
      <c r="Z2622" s="2">
        <v>0</v>
      </c>
      <c r="AA2622" s="4">
        <v>0</v>
      </c>
      <c r="AB2622" s="4">
        <f t="shared" si="385"/>
        <v>30383.933009708733</v>
      </c>
      <c r="AC2622" s="6">
        <f t="shared" si="382"/>
        <v>911.51799029126414</v>
      </c>
      <c r="AD2622" s="13">
        <f t="shared" si="390"/>
        <v>29730.678449999996</v>
      </c>
      <c r="AE2622" s="2">
        <v>0</v>
      </c>
      <c r="AF2622" s="5">
        <f t="shared" si="383"/>
        <v>0</v>
      </c>
      <c r="AG2622" s="2">
        <v>0</v>
      </c>
      <c r="AH2622" s="5">
        <f t="shared" si="391"/>
        <v>29730.678449999996</v>
      </c>
      <c r="AJ2622" s="126" t="e">
        <v>#N/A</v>
      </c>
      <c r="AK2622" s="80">
        <f t="shared" si="384"/>
        <v>0</v>
      </c>
      <c r="AM2622" s="85"/>
    </row>
    <row r="2623" spans="1:39" hidden="1" x14ac:dyDescent="0.3">
      <c r="A2623" s="85" t="s">
        <v>34</v>
      </c>
      <c r="B2623" s="15" t="s">
        <v>35</v>
      </c>
      <c r="C2623" s="15" t="s">
        <v>2932</v>
      </c>
      <c r="D2623" s="15" t="s">
        <v>63</v>
      </c>
      <c r="E2623" s="15" t="s">
        <v>3129</v>
      </c>
      <c r="F2623" s="15" t="s">
        <v>3130</v>
      </c>
      <c r="G2623" s="15" t="s">
        <v>2393</v>
      </c>
      <c r="H2623" s="154"/>
      <c r="I2623" s="15" t="s">
        <v>3126</v>
      </c>
      <c r="J2623" s="1" t="s">
        <v>3323</v>
      </c>
      <c r="K2623" s="1" t="s">
        <v>3272</v>
      </c>
      <c r="L2623" s="1" t="s">
        <v>35</v>
      </c>
      <c r="M2623" s="15" t="s">
        <v>3131</v>
      </c>
      <c r="N2623" s="15"/>
      <c r="O2623" s="8" t="s">
        <v>45</v>
      </c>
      <c r="P2623" s="8" t="s">
        <v>46</v>
      </c>
      <c r="Q2623" s="9">
        <v>0.05</v>
      </c>
      <c r="R2623" s="139">
        <v>19166085</v>
      </c>
      <c r="T2623" s="18">
        <v>0</v>
      </c>
      <c r="U2623" s="4">
        <v>42000</v>
      </c>
      <c r="V2623" s="4">
        <v>8.9</v>
      </c>
      <c r="W2623" s="13">
        <f t="shared" si="388"/>
        <v>41991.1</v>
      </c>
      <c r="X2623" s="13">
        <f t="shared" si="389"/>
        <v>8.4761904761904763</v>
      </c>
      <c r="Y2623" s="13">
        <f t="shared" si="381"/>
        <v>2.1190476190476204E-2</v>
      </c>
      <c r="Z2623" s="2">
        <v>0</v>
      </c>
      <c r="AA2623" s="4">
        <v>0</v>
      </c>
      <c r="AB2623" s="4">
        <f t="shared" si="385"/>
        <v>8.4761904761904763</v>
      </c>
      <c r="AC2623" s="6">
        <f t="shared" si="382"/>
        <v>0.42380952380952408</v>
      </c>
      <c r="AD2623" s="13">
        <f t="shared" si="390"/>
        <v>8.4550000000000001</v>
      </c>
      <c r="AE2623" s="2">
        <v>0</v>
      </c>
      <c r="AF2623" s="5">
        <f t="shared" si="383"/>
        <v>0</v>
      </c>
      <c r="AG2623" s="2">
        <v>0</v>
      </c>
      <c r="AH2623" s="5">
        <f t="shared" si="391"/>
        <v>8.4550000000000001</v>
      </c>
      <c r="AJ2623" s="126" t="e">
        <v>#N/A</v>
      </c>
      <c r="AK2623" s="80">
        <f t="shared" si="384"/>
        <v>0</v>
      </c>
      <c r="AM2623" s="85"/>
    </row>
    <row r="2624" spans="1:39" hidden="1" x14ac:dyDescent="0.3">
      <c r="A2624" s="85" t="s">
        <v>34</v>
      </c>
      <c r="B2624" s="15" t="s">
        <v>35</v>
      </c>
      <c r="C2624" s="15" t="s">
        <v>2932</v>
      </c>
      <c r="D2624" s="15" t="s">
        <v>48</v>
      </c>
      <c r="E2624" s="15" t="s">
        <v>3132</v>
      </c>
      <c r="F2624" s="15" t="s">
        <v>3133</v>
      </c>
      <c r="G2624" s="15" t="s">
        <v>3134</v>
      </c>
      <c r="H2624" s="154"/>
      <c r="I2624" s="15" t="s">
        <v>1060</v>
      </c>
      <c r="J2624" s="1" t="s">
        <v>3325</v>
      </c>
      <c r="K2624" s="1" t="s">
        <v>3279</v>
      </c>
      <c r="L2624" s="1" t="s">
        <v>35</v>
      </c>
      <c r="M2624" s="15"/>
      <c r="N2624" s="15"/>
      <c r="O2624" s="8" t="s">
        <v>45</v>
      </c>
      <c r="P2624" s="8" t="s">
        <v>3135</v>
      </c>
      <c r="Q2624" s="9">
        <v>0</v>
      </c>
      <c r="R2624" s="139"/>
      <c r="S2624" s="3" t="s">
        <v>3136</v>
      </c>
      <c r="T2624" s="18">
        <v>0</v>
      </c>
      <c r="U2624" s="4">
        <v>0</v>
      </c>
      <c r="V2624" s="4">
        <v>0</v>
      </c>
      <c r="W2624" s="13">
        <f t="shared" si="388"/>
        <v>0</v>
      </c>
      <c r="X2624" s="13">
        <f t="shared" si="389"/>
        <v>0</v>
      </c>
      <c r="Y2624" s="13">
        <f t="shared" si="381"/>
        <v>0</v>
      </c>
      <c r="Z2624" s="2">
        <v>0</v>
      </c>
      <c r="AA2624" s="4">
        <v>6435.84</v>
      </c>
      <c r="AB2624" s="4">
        <f t="shared" si="385"/>
        <v>6435.84</v>
      </c>
      <c r="AC2624" s="6">
        <f t="shared" si="382"/>
        <v>0</v>
      </c>
      <c r="AD2624" s="13">
        <f t="shared" si="390"/>
        <v>0</v>
      </c>
      <c r="AE2624" s="2">
        <v>0.12</v>
      </c>
      <c r="AF2624" s="5">
        <f t="shared" si="383"/>
        <v>0</v>
      </c>
      <c r="AG2624" s="2">
        <v>0</v>
      </c>
      <c r="AH2624" s="5">
        <f t="shared" si="391"/>
        <v>0</v>
      </c>
      <c r="AJ2624" s="126" t="e">
        <v>#N/A</v>
      </c>
      <c r="AK2624" s="80">
        <f t="shared" si="384"/>
        <v>0</v>
      </c>
      <c r="AM2624" s="85"/>
    </row>
    <row r="2625" spans="1:39" hidden="1" x14ac:dyDescent="0.3">
      <c r="A2625" s="85" t="s">
        <v>34</v>
      </c>
      <c r="B2625" s="15" t="s">
        <v>35</v>
      </c>
      <c r="C2625" s="15" t="s">
        <v>2931</v>
      </c>
      <c r="D2625" s="15" t="s">
        <v>161</v>
      </c>
      <c r="E2625" s="15" t="s">
        <v>3137</v>
      </c>
      <c r="F2625" s="15" t="s">
        <v>3138</v>
      </c>
      <c r="G2625" s="15" t="s">
        <v>3138</v>
      </c>
      <c r="H2625" s="154"/>
      <c r="I2625" s="15" t="s">
        <v>1060</v>
      </c>
      <c r="J2625" s="1" t="s">
        <v>3325</v>
      </c>
      <c r="K2625" s="1" t="s">
        <v>3279</v>
      </c>
      <c r="L2625" s="1" t="s">
        <v>35</v>
      </c>
      <c r="M2625" s="15"/>
      <c r="N2625" s="15"/>
      <c r="O2625" s="8" t="s">
        <v>410</v>
      </c>
      <c r="P2625" s="8" t="s">
        <v>3135</v>
      </c>
      <c r="Q2625" s="9">
        <v>0</v>
      </c>
      <c r="R2625" s="139"/>
      <c r="S2625" s="3" t="s">
        <v>3139</v>
      </c>
      <c r="T2625" s="18">
        <v>0</v>
      </c>
      <c r="U2625" s="4">
        <v>0</v>
      </c>
      <c r="V2625" s="4">
        <v>0</v>
      </c>
      <c r="W2625" s="13">
        <f t="shared" si="388"/>
        <v>0</v>
      </c>
      <c r="X2625" s="13">
        <v>-6227.65</v>
      </c>
      <c r="Y2625" s="13">
        <f t="shared" si="381"/>
        <v>0</v>
      </c>
      <c r="Z2625" s="2">
        <v>0</v>
      </c>
      <c r="AA2625" s="4">
        <v>0</v>
      </c>
      <c r="AB2625" s="4">
        <f t="shared" si="385"/>
        <v>-6227.65</v>
      </c>
      <c r="AC2625" s="6">
        <f t="shared" si="382"/>
        <v>6227.65</v>
      </c>
      <c r="AD2625" s="13">
        <f t="shared" si="390"/>
        <v>0</v>
      </c>
      <c r="AE2625" s="2">
        <v>7.0000000000000007E-2</v>
      </c>
      <c r="AF2625" s="5">
        <f t="shared" si="383"/>
        <v>0</v>
      </c>
      <c r="AG2625" s="2">
        <v>0</v>
      </c>
      <c r="AH2625" s="5">
        <f t="shared" si="391"/>
        <v>0</v>
      </c>
      <c r="AJ2625" s="126" t="e">
        <v>#N/A</v>
      </c>
      <c r="AK2625" s="80">
        <f t="shared" si="384"/>
        <v>0</v>
      </c>
      <c r="AM2625" s="85"/>
    </row>
    <row r="2626" spans="1:39" hidden="1" x14ac:dyDescent="0.3">
      <c r="A2626" s="85" t="s">
        <v>34</v>
      </c>
      <c r="B2626" s="15" t="s">
        <v>35</v>
      </c>
      <c r="C2626" s="15" t="s">
        <v>53</v>
      </c>
      <c r="D2626" s="15" t="s">
        <v>54</v>
      </c>
      <c r="E2626" s="15" t="s">
        <v>366</v>
      </c>
      <c r="F2626" s="15" t="s">
        <v>108</v>
      </c>
      <c r="G2626" s="15" t="s">
        <v>108</v>
      </c>
      <c r="H2626" s="154"/>
      <c r="I2626" s="3" t="s">
        <v>3356</v>
      </c>
      <c r="J2626" s="1" t="s">
        <v>3326</v>
      </c>
      <c r="K2626" s="1" t="s">
        <v>3712</v>
      </c>
      <c r="L2626" s="1" t="s">
        <v>35</v>
      </c>
      <c r="M2626" s="15"/>
      <c r="N2626" s="3" t="s">
        <v>3713</v>
      </c>
      <c r="O2626" s="8" t="s">
        <v>45</v>
      </c>
      <c r="P2626" s="8" t="s">
        <v>3135</v>
      </c>
      <c r="Q2626" s="9">
        <v>0</v>
      </c>
      <c r="R2626" s="139"/>
      <c r="S2626" s="3" t="s">
        <v>3140</v>
      </c>
      <c r="T2626" s="18">
        <v>0</v>
      </c>
      <c r="U2626" s="4">
        <v>0</v>
      </c>
      <c r="V2626" s="4">
        <v>0</v>
      </c>
      <c r="W2626" s="13">
        <f t="shared" si="388"/>
        <v>0</v>
      </c>
      <c r="X2626" s="13">
        <v>0</v>
      </c>
      <c r="Y2626" s="13">
        <f t="shared" si="381"/>
        <v>0</v>
      </c>
      <c r="Z2626" s="2">
        <v>0</v>
      </c>
      <c r="AA2626" s="4">
        <v>46800</v>
      </c>
      <c r="AB2626" s="4">
        <f t="shared" si="385"/>
        <v>46800</v>
      </c>
      <c r="AC2626" s="6">
        <f t="shared" si="382"/>
        <v>0</v>
      </c>
      <c r="AD2626" s="13">
        <f t="shared" si="390"/>
        <v>0</v>
      </c>
      <c r="AE2626" s="2">
        <v>0.05</v>
      </c>
      <c r="AF2626" s="5">
        <f t="shared" si="383"/>
        <v>0</v>
      </c>
      <c r="AG2626" s="2">
        <v>0</v>
      </c>
      <c r="AH2626" s="5">
        <f t="shared" si="391"/>
        <v>0</v>
      </c>
      <c r="AJ2626" s="126" t="e">
        <v>#N/A</v>
      </c>
      <c r="AK2626" s="80">
        <f t="shared" si="384"/>
        <v>0</v>
      </c>
      <c r="AM2626" s="85"/>
    </row>
    <row r="2627" spans="1:39" hidden="1" x14ac:dyDescent="0.3">
      <c r="A2627" s="85" t="s">
        <v>34</v>
      </c>
      <c r="B2627" s="15" t="s">
        <v>35</v>
      </c>
      <c r="C2627" s="15" t="s">
        <v>2934</v>
      </c>
      <c r="D2627" s="15" t="s">
        <v>3141</v>
      </c>
      <c r="E2627" s="15" t="s">
        <v>3142</v>
      </c>
      <c r="F2627" s="15" t="s">
        <v>3143</v>
      </c>
      <c r="G2627" s="15" t="s">
        <v>3144</v>
      </c>
      <c r="H2627" s="154"/>
      <c r="I2627" s="3" t="s">
        <v>3356</v>
      </c>
      <c r="J2627" s="1" t="s">
        <v>3326</v>
      </c>
      <c r="K2627" s="1" t="s">
        <v>3712</v>
      </c>
      <c r="L2627" s="1" t="s">
        <v>35</v>
      </c>
      <c r="M2627" s="15"/>
      <c r="N2627" s="3" t="s">
        <v>3729</v>
      </c>
      <c r="O2627" s="8" t="s">
        <v>45</v>
      </c>
      <c r="P2627" s="8" t="s">
        <v>3135</v>
      </c>
      <c r="Q2627" s="9">
        <v>0</v>
      </c>
      <c r="R2627" s="139"/>
      <c r="T2627" s="18">
        <v>0</v>
      </c>
      <c r="U2627" s="4">
        <v>0</v>
      </c>
      <c r="V2627" s="4">
        <v>0</v>
      </c>
      <c r="W2627" s="13">
        <f t="shared" si="388"/>
        <v>0</v>
      </c>
      <c r="X2627" s="13">
        <v>0</v>
      </c>
      <c r="Y2627" s="13">
        <f t="shared" ref="Y2627:Y2690" si="392">IF(X2627-AD2627&lt;=0,0,IF(P2627="返现",MAX(X2627-AC2627-AD2627,0),MAX(X2627-AD2627)))</f>
        <v>0</v>
      </c>
      <c r="Z2627" s="2">
        <v>0</v>
      </c>
      <c r="AA2627" s="4">
        <v>9154.2900000000009</v>
      </c>
      <c r="AB2627" s="4">
        <f t="shared" ref="AB2627:AB2690" si="393">X2627+AA2627</f>
        <v>9154.2900000000009</v>
      </c>
      <c r="AC2627" s="6">
        <f t="shared" ref="AC2627:AC2689" si="394">IF(P2627="返现",X2627*Q2627,V2627-X2627)</f>
        <v>0</v>
      </c>
      <c r="AD2627" s="13">
        <f t="shared" si="390"/>
        <v>0</v>
      </c>
      <c r="AE2627" s="2">
        <v>0.05</v>
      </c>
      <c r="AF2627" s="5">
        <f t="shared" ref="AF2627:AF2653" si="395">AD2627*AE2627</f>
        <v>0</v>
      </c>
      <c r="AG2627" s="2">
        <v>0</v>
      </c>
      <c r="AH2627" s="5">
        <f t="shared" si="391"/>
        <v>0</v>
      </c>
      <c r="AJ2627" s="126" t="e">
        <v>#N/A</v>
      </c>
      <c r="AK2627" s="80">
        <f t="shared" ref="AK2627:AK2690" si="396">X2627+AA2627-AB2627</f>
        <v>0</v>
      </c>
      <c r="AM2627" s="85"/>
    </row>
    <row r="2628" spans="1:39" hidden="1" x14ac:dyDescent="0.3">
      <c r="A2628" s="85" t="s">
        <v>34</v>
      </c>
      <c r="B2628" s="15" t="s">
        <v>35</v>
      </c>
      <c r="C2628" s="15" t="s">
        <v>53</v>
      </c>
      <c r="D2628" s="15" t="s">
        <v>54</v>
      </c>
      <c r="E2628" s="15" t="s">
        <v>3145</v>
      </c>
      <c r="F2628" s="15" t="s">
        <v>3146</v>
      </c>
      <c r="G2628" s="15" t="s">
        <v>3146</v>
      </c>
      <c r="H2628" s="154"/>
      <c r="I2628" s="3" t="s">
        <v>3356</v>
      </c>
      <c r="J2628" s="1" t="s">
        <v>3326</v>
      </c>
      <c r="K2628" s="1" t="s">
        <v>3712</v>
      </c>
      <c r="L2628" s="1" t="s">
        <v>35</v>
      </c>
      <c r="M2628" s="15"/>
      <c r="N2628" s="3" t="s">
        <v>3729</v>
      </c>
      <c r="O2628" s="8" t="s">
        <v>45</v>
      </c>
      <c r="P2628" s="8" t="s">
        <v>3135</v>
      </c>
      <c r="Q2628" s="9">
        <v>0</v>
      </c>
      <c r="R2628" s="139"/>
      <c r="T2628" s="18">
        <v>0</v>
      </c>
      <c r="U2628" s="4">
        <v>0</v>
      </c>
      <c r="V2628" s="4">
        <v>0</v>
      </c>
      <c r="W2628" s="13">
        <f t="shared" si="388"/>
        <v>0</v>
      </c>
      <c r="X2628" s="13">
        <v>0</v>
      </c>
      <c r="Y2628" s="13">
        <f t="shared" si="392"/>
        <v>0</v>
      </c>
      <c r="Z2628" s="2">
        <v>0</v>
      </c>
      <c r="AA2628" s="4">
        <v>102980.9</v>
      </c>
      <c r="AB2628" s="4">
        <f t="shared" si="393"/>
        <v>102980.9</v>
      </c>
      <c r="AC2628" s="6">
        <f t="shared" si="394"/>
        <v>0</v>
      </c>
      <c r="AD2628" s="13">
        <f t="shared" si="390"/>
        <v>0</v>
      </c>
      <c r="AE2628" s="2">
        <v>0.05</v>
      </c>
      <c r="AF2628" s="5">
        <f t="shared" si="395"/>
        <v>0</v>
      </c>
      <c r="AG2628" s="2">
        <v>0</v>
      </c>
      <c r="AH2628" s="5">
        <f t="shared" si="391"/>
        <v>0</v>
      </c>
      <c r="AJ2628" s="126" t="e">
        <v>#N/A</v>
      </c>
      <c r="AK2628" s="80">
        <f t="shared" si="396"/>
        <v>0</v>
      </c>
      <c r="AM2628" s="85"/>
    </row>
    <row r="2629" spans="1:39" hidden="1" x14ac:dyDescent="0.3">
      <c r="A2629" s="85" t="s">
        <v>34</v>
      </c>
      <c r="B2629" s="15" t="s">
        <v>35</v>
      </c>
      <c r="C2629" s="15" t="s">
        <v>53</v>
      </c>
      <c r="D2629" s="15" t="s">
        <v>54</v>
      </c>
      <c r="E2629" s="15" t="s">
        <v>3147</v>
      </c>
      <c r="F2629" s="15" t="s">
        <v>3148</v>
      </c>
      <c r="G2629" s="15" t="s">
        <v>2695</v>
      </c>
      <c r="H2629" s="154"/>
      <c r="I2629" s="15" t="s">
        <v>1060</v>
      </c>
      <c r="J2629" s="1" t="s">
        <v>3325</v>
      </c>
      <c r="K2629" s="1" t="s">
        <v>3279</v>
      </c>
      <c r="L2629" s="1" t="s">
        <v>35</v>
      </c>
      <c r="M2629" s="15"/>
      <c r="N2629" s="15"/>
      <c r="O2629" s="8" t="s">
        <v>45</v>
      </c>
      <c r="P2629" s="8" t="s">
        <v>3135</v>
      </c>
      <c r="Q2629" s="9">
        <v>0</v>
      </c>
      <c r="R2629" s="139"/>
      <c r="T2629" s="18">
        <v>0</v>
      </c>
      <c r="U2629" s="4">
        <v>0</v>
      </c>
      <c r="V2629" s="4">
        <v>0</v>
      </c>
      <c r="W2629" s="13">
        <f t="shared" si="388"/>
        <v>0</v>
      </c>
      <c r="X2629" s="13">
        <v>0</v>
      </c>
      <c r="Y2629" s="13">
        <f t="shared" si="392"/>
        <v>0</v>
      </c>
      <c r="Z2629" s="2">
        <v>0</v>
      </c>
      <c r="AA2629" s="4">
        <v>1078519.93</v>
      </c>
      <c r="AB2629" s="4">
        <f t="shared" si="393"/>
        <v>1078519.93</v>
      </c>
      <c r="AC2629" s="6">
        <f t="shared" si="394"/>
        <v>0</v>
      </c>
      <c r="AD2629" s="13">
        <f t="shared" si="390"/>
        <v>0</v>
      </c>
      <c r="AE2629" s="2">
        <v>0.12</v>
      </c>
      <c r="AF2629" s="5">
        <f t="shared" si="395"/>
        <v>0</v>
      </c>
      <c r="AG2629" s="2">
        <v>0</v>
      </c>
      <c r="AH2629" s="5">
        <f t="shared" si="391"/>
        <v>0</v>
      </c>
      <c r="AJ2629" s="126" t="e">
        <v>#N/A</v>
      </c>
      <c r="AK2629" s="80">
        <f t="shared" si="396"/>
        <v>0</v>
      </c>
      <c r="AM2629" s="85"/>
    </row>
    <row r="2630" spans="1:39" hidden="1" x14ac:dyDescent="0.3">
      <c r="A2630" s="85" t="s">
        <v>34</v>
      </c>
      <c r="B2630" s="15" t="s">
        <v>35</v>
      </c>
      <c r="C2630" s="15" t="s">
        <v>2930</v>
      </c>
      <c r="D2630" s="15" t="s">
        <v>66</v>
      </c>
      <c r="E2630" s="15" t="s">
        <v>369</v>
      </c>
      <c r="F2630" s="15" t="s">
        <v>3149</v>
      </c>
      <c r="G2630" s="15" t="s">
        <v>121</v>
      </c>
      <c r="H2630" s="154"/>
      <c r="I2630" s="15" t="s">
        <v>2374</v>
      </c>
      <c r="J2630" s="1" t="s">
        <v>3322</v>
      </c>
      <c r="K2630" s="1" t="s">
        <v>3269</v>
      </c>
      <c r="L2630" s="1" t="s">
        <v>35</v>
      </c>
      <c r="M2630" s="15"/>
      <c r="N2630" s="15"/>
      <c r="O2630" s="8" t="s">
        <v>45</v>
      </c>
      <c r="P2630" s="8" t="s">
        <v>3135</v>
      </c>
      <c r="Q2630" s="9">
        <v>0</v>
      </c>
      <c r="R2630" s="139"/>
      <c r="T2630" s="18">
        <v>0</v>
      </c>
      <c r="U2630" s="4">
        <v>0</v>
      </c>
      <c r="V2630" s="4">
        <v>0</v>
      </c>
      <c r="W2630" s="13">
        <f t="shared" si="388"/>
        <v>0</v>
      </c>
      <c r="X2630" s="13">
        <f>IF(P2630="折扣",V2630*Q2630,IF(P2630="返现",V2630,V2630/(1+Q2630+AG2630)))</f>
        <v>0</v>
      </c>
      <c r="Y2630" s="13">
        <f t="shared" si="392"/>
        <v>0</v>
      </c>
      <c r="Z2630" s="2">
        <v>0</v>
      </c>
      <c r="AA2630" s="4">
        <v>135527.35999999999</v>
      </c>
      <c r="AB2630" s="4">
        <f t="shared" si="393"/>
        <v>135527.35999999999</v>
      </c>
      <c r="AC2630" s="6">
        <f t="shared" si="394"/>
        <v>0</v>
      </c>
      <c r="AD2630" s="13">
        <f t="shared" si="390"/>
        <v>0</v>
      </c>
      <c r="AE2630" s="2">
        <v>0.06</v>
      </c>
      <c r="AF2630" s="5">
        <f t="shared" si="395"/>
        <v>0</v>
      </c>
      <c r="AG2630" s="2">
        <v>0</v>
      </c>
      <c r="AH2630" s="5">
        <f t="shared" si="391"/>
        <v>0</v>
      </c>
      <c r="AJ2630" s="126" t="e">
        <v>#N/A</v>
      </c>
      <c r="AK2630" s="80">
        <f t="shared" si="396"/>
        <v>0</v>
      </c>
      <c r="AM2630" s="85"/>
    </row>
    <row r="2631" spans="1:39" hidden="1" x14ac:dyDescent="0.3">
      <c r="A2631" s="85" t="s">
        <v>34</v>
      </c>
      <c r="B2631" s="15" t="s">
        <v>35</v>
      </c>
      <c r="C2631" s="15" t="s">
        <v>2930</v>
      </c>
      <c r="D2631" s="15" t="s">
        <v>122</v>
      </c>
      <c r="E2631" s="15" t="s">
        <v>3150</v>
      </c>
      <c r="F2631" s="15" t="s">
        <v>3151</v>
      </c>
      <c r="G2631" s="15" t="s">
        <v>2393</v>
      </c>
      <c r="H2631" s="154"/>
      <c r="I2631" s="3" t="s">
        <v>3356</v>
      </c>
      <c r="J2631" s="1" t="s">
        <v>3326</v>
      </c>
      <c r="K2631" s="1" t="s">
        <v>3712</v>
      </c>
      <c r="L2631" s="1" t="s">
        <v>35</v>
      </c>
      <c r="M2631" s="15"/>
      <c r="N2631" s="3" t="s">
        <v>3729</v>
      </c>
      <c r="O2631" s="8" t="s">
        <v>45</v>
      </c>
      <c r="P2631" s="8" t="s">
        <v>3135</v>
      </c>
      <c r="Q2631" s="9">
        <v>0</v>
      </c>
      <c r="R2631" s="139"/>
      <c r="T2631" s="18">
        <v>0</v>
      </c>
      <c r="U2631" s="4">
        <v>0</v>
      </c>
      <c r="V2631" s="4">
        <v>0</v>
      </c>
      <c r="W2631" s="13">
        <f t="shared" si="388"/>
        <v>0</v>
      </c>
      <c r="X2631" s="13">
        <v>0</v>
      </c>
      <c r="Y2631" s="13">
        <f t="shared" si="392"/>
        <v>0</v>
      </c>
      <c r="Z2631" s="2">
        <v>0</v>
      </c>
      <c r="AA2631" s="4">
        <v>3678259.36</v>
      </c>
      <c r="AB2631" s="4">
        <f t="shared" si="393"/>
        <v>3678259.36</v>
      </c>
      <c r="AC2631" s="6">
        <f t="shared" si="394"/>
        <v>0</v>
      </c>
      <c r="AD2631" s="13">
        <f t="shared" si="390"/>
        <v>0</v>
      </c>
      <c r="AE2631" s="2">
        <v>0.05</v>
      </c>
      <c r="AF2631" s="5">
        <f t="shared" si="395"/>
        <v>0</v>
      </c>
      <c r="AG2631" s="2">
        <v>0</v>
      </c>
      <c r="AH2631" s="5">
        <f t="shared" si="391"/>
        <v>0</v>
      </c>
      <c r="AJ2631" s="126" t="e">
        <v>#N/A</v>
      </c>
      <c r="AK2631" s="80">
        <f t="shared" si="396"/>
        <v>0</v>
      </c>
      <c r="AM2631" s="85"/>
    </row>
    <row r="2632" spans="1:39" hidden="1" x14ac:dyDescent="0.3">
      <c r="A2632" s="85" t="s">
        <v>34</v>
      </c>
      <c r="B2632" s="15" t="s">
        <v>35</v>
      </c>
      <c r="C2632" s="15" t="s">
        <v>2930</v>
      </c>
      <c r="D2632" s="15" t="s">
        <v>1291</v>
      </c>
      <c r="E2632" s="15" t="s">
        <v>3152</v>
      </c>
      <c r="F2632" s="15" t="s">
        <v>3153</v>
      </c>
      <c r="G2632" s="15" t="s">
        <v>3153</v>
      </c>
      <c r="H2632" s="154"/>
      <c r="I2632" s="15" t="s">
        <v>2572</v>
      </c>
      <c r="J2632" s="1" t="s">
        <v>3327</v>
      </c>
      <c r="K2632" s="1" t="s">
        <v>3284</v>
      </c>
      <c r="L2632" s="1" t="s">
        <v>35</v>
      </c>
      <c r="M2632" s="15"/>
      <c r="N2632" s="15"/>
      <c r="O2632" s="8" t="s">
        <v>410</v>
      </c>
      <c r="P2632" s="8" t="s">
        <v>3135</v>
      </c>
      <c r="Q2632" s="9">
        <v>0</v>
      </c>
      <c r="R2632" s="139"/>
      <c r="T2632" s="18">
        <v>0</v>
      </c>
      <c r="U2632" s="4">
        <v>0</v>
      </c>
      <c r="V2632" s="4">
        <v>0</v>
      </c>
      <c r="W2632" s="13">
        <f t="shared" si="388"/>
        <v>0</v>
      </c>
      <c r="X2632" s="13">
        <v>0</v>
      </c>
      <c r="Y2632" s="13">
        <f t="shared" si="392"/>
        <v>0</v>
      </c>
      <c r="Z2632" s="2">
        <v>0</v>
      </c>
      <c r="AA2632" s="4">
        <v>2196.41</v>
      </c>
      <c r="AB2632" s="4">
        <f t="shared" si="393"/>
        <v>2196.41</v>
      </c>
      <c r="AC2632" s="6">
        <f t="shared" si="394"/>
        <v>0</v>
      </c>
      <c r="AD2632" s="13">
        <f t="shared" si="390"/>
        <v>0</v>
      </c>
      <c r="AE2632" s="2">
        <v>0</v>
      </c>
      <c r="AF2632" s="5">
        <f t="shared" si="395"/>
        <v>0</v>
      </c>
      <c r="AG2632" s="2">
        <v>0</v>
      </c>
      <c r="AH2632" s="5">
        <f t="shared" si="391"/>
        <v>0</v>
      </c>
      <c r="AJ2632" s="126" t="e">
        <v>#N/A</v>
      </c>
      <c r="AK2632" s="80">
        <f t="shared" si="396"/>
        <v>0</v>
      </c>
      <c r="AM2632" s="85"/>
    </row>
    <row r="2633" spans="1:39" hidden="1" x14ac:dyDescent="0.3">
      <c r="A2633" s="85" t="s">
        <v>34</v>
      </c>
      <c r="B2633" s="15" t="s">
        <v>35</v>
      </c>
      <c r="C2633" s="15" t="s">
        <v>2932</v>
      </c>
      <c r="D2633" s="15" t="s">
        <v>63</v>
      </c>
      <c r="E2633" s="15" t="s">
        <v>3154</v>
      </c>
      <c r="F2633" s="15" t="s">
        <v>3155</v>
      </c>
      <c r="G2633" s="15" t="s">
        <v>2388</v>
      </c>
      <c r="H2633" s="154"/>
      <c r="I2633" s="15" t="s">
        <v>1060</v>
      </c>
      <c r="J2633" s="1" t="s">
        <v>3325</v>
      </c>
      <c r="K2633" s="1" t="s">
        <v>3279</v>
      </c>
      <c r="L2633" s="1" t="s">
        <v>35</v>
      </c>
      <c r="M2633" s="15"/>
      <c r="N2633" s="15"/>
      <c r="O2633" s="8" t="s">
        <v>410</v>
      </c>
      <c r="P2633" s="8" t="s">
        <v>3135</v>
      </c>
      <c r="Q2633" s="9">
        <v>0</v>
      </c>
      <c r="R2633" s="139"/>
      <c r="T2633" s="18">
        <v>0</v>
      </c>
      <c r="U2633" s="4">
        <v>0</v>
      </c>
      <c r="V2633" s="4">
        <v>0</v>
      </c>
      <c r="W2633" s="13">
        <f t="shared" si="388"/>
        <v>0</v>
      </c>
      <c r="X2633" s="13">
        <v>0</v>
      </c>
      <c r="Y2633" s="13">
        <f t="shared" si="392"/>
        <v>0</v>
      </c>
      <c r="Z2633" s="2">
        <v>0</v>
      </c>
      <c r="AA2633" s="4">
        <v>250000</v>
      </c>
      <c r="AB2633" s="4">
        <f t="shared" si="393"/>
        <v>250000</v>
      </c>
      <c r="AC2633" s="6">
        <f t="shared" si="394"/>
        <v>0</v>
      </c>
      <c r="AD2633" s="13">
        <f t="shared" si="390"/>
        <v>0</v>
      </c>
      <c r="AE2633" s="2">
        <v>7.0000000000000007E-2</v>
      </c>
      <c r="AF2633" s="5">
        <f t="shared" si="395"/>
        <v>0</v>
      </c>
      <c r="AG2633" s="2">
        <v>0</v>
      </c>
      <c r="AH2633" s="5">
        <f t="shared" si="391"/>
        <v>0</v>
      </c>
      <c r="AJ2633" s="126" t="e">
        <v>#N/A</v>
      </c>
      <c r="AK2633" s="80">
        <f t="shared" si="396"/>
        <v>0</v>
      </c>
      <c r="AM2633" s="85"/>
    </row>
    <row r="2634" spans="1:39" hidden="1" x14ac:dyDescent="0.3">
      <c r="A2634" s="85" t="s">
        <v>34</v>
      </c>
      <c r="B2634" s="15" t="s">
        <v>35</v>
      </c>
      <c r="C2634" s="15" t="s">
        <v>2932</v>
      </c>
      <c r="D2634" s="15" t="s">
        <v>63</v>
      </c>
      <c r="E2634" s="15" t="s">
        <v>3129</v>
      </c>
      <c r="F2634" s="15" t="s">
        <v>3156</v>
      </c>
      <c r="G2634" s="15" t="s">
        <v>2393</v>
      </c>
      <c r="H2634" s="154"/>
      <c r="I2634" s="3" t="s">
        <v>3356</v>
      </c>
      <c r="J2634" s="1" t="s">
        <v>3326</v>
      </c>
      <c r="K2634" s="1" t="s">
        <v>3712</v>
      </c>
      <c r="L2634" s="1" t="s">
        <v>35</v>
      </c>
      <c r="M2634" s="15"/>
      <c r="N2634" s="3" t="s">
        <v>3729</v>
      </c>
      <c r="O2634" s="8" t="s">
        <v>45</v>
      </c>
      <c r="P2634" s="8" t="s">
        <v>3135</v>
      </c>
      <c r="Q2634" s="9">
        <v>0</v>
      </c>
      <c r="R2634" s="139"/>
      <c r="T2634" s="18">
        <v>0</v>
      </c>
      <c r="U2634" s="4">
        <v>0</v>
      </c>
      <c r="V2634" s="4">
        <v>0</v>
      </c>
      <c r="W2634" s="13">
        <f t="shared" si="388"/>
        <v>0</v>
      </c>
      <c r="X2634" s="13">
        <v>0</v>
      </c>
      <c r="Y2634" s="13">
        <f t="shared" si="392"/>
        <v>0</v>
      </c>
      <c r="Z2634" s="2">
        <v>0</v>
      </c>
      <c r="AA2634" s="4">
        <v>1951.99</v>
      </c>
      <c r="AB2634" s="4">
        <f t="shared" si="393"/>
        <v>1951.99</v>
      </c>
      <c r="AC2634" s="6">
        <f t="shared" si="394"/>
        <v>0</v>
      </c>
      <c r="AD2634" s="13">
        <f t="shared" si="390"/>
        <v>0</v>
      </c>
      <c r="AE2634" s="2">
        <v>0.05</v>
      </c>
      <c r="AF2634" s="5">
        <f t="shared" si="395"/>
        <v>0</v>
      </c>
      <c r="AG2634" s="2">
        <v>0</v>
      </c>
      <c r="AH2634" s="5">
        <f t="shared" si="391"/>
        <v>0</v>
      </c>
      <c r="AJ2634" s="126" t="e">
        <v>#N/A</v>
      </c>
      <c r="AK2634" s="80">
        <f t="shared" si="396"/>
        <v>0</v>
      </c>
      <c r="AM2634" s="85"/>
    </row>
    <row r="2635" spans="1:39" hidden="1" x14ac:dyDescent="0.3">
      <c r="A2635" s="85" t="s">
        <v>34</v>
      </c>
      <c r="B2635" s="15" t="s">
        <v>35</v>
      </c>
      <c r="C2635" s="15" t="s">
        <v>2932</v>
      </c>
      <c r="D2635" s="15" t="s">
        <v>63</v>
      </c>
      <c r="E2635" s="15" t="s">
        <v>3157</v>
      </c>
      <c r="F2635" s="15" t="s">
        <v>3158</v>
      </c>
      <c r="G2635" s="15" t="s">
        <v>2418</v>
      </c>
      <c r="H2635" s="154"/>
      <c r="I2635" s="3" t="s">
        <v>3356</v>
      </c>
      <c r="J2635" s="1" t="s">
        <v>3326</v>
      </c>
      <c r="K2635" s="1" t="s">
        <v>3712</v>
      </c>
      <c r="L2635" s="1" t="s">
        <v>35</v>
      </c>
      <c r="M2635" s="15"/>
      <c r="N2635" s="3" t="s">
        <v>3729</v>
      </c>
      <c r="O2635" s="8" t="s">
        <v>45</v>
      </c>
      <c r="P2635" s="8" t="s">
        <v>3135</v>
      </c>
      <c r="Q2635" s="9">
        <v>0</v>
      </c>
      <c r="R2635" s="139"/>
      <c r="T2635" s="18">
        <v>0</v>
      </c>
      <c r="U2635" s="4">
        <v>0</v>
      </c>
      <c r="V2635" s="4">
        <v>0</v>
      </c>
      <c r="W2635" s="13">
        <f t="shared" si="388"/>
        <v>0</v>
      </c>
      <c r="X2635" s="13">
        <v>0</v>
      </c>
      <c r="Y2635" s="13">
        <f t="shared" si="392"/>
        <v>0</v>
      </c>
      <c r="Z2635" s="2">
        <v>0</v>
      </c>
      <c r="AA2635" s="4">
        <v>580069.06999999995</v>
      </c>
      <c r="AB2635" s="4">
        <f t="shared" si="393"/>
        <v>580069.06999999995</v>
      </c>
      <c r="AC2635" s="6">
        <f t="shared" si="394"/>
        <v>0</v>
      </c>
      <c r="AD2635" s="13">
        <f t="shared" si="390"/>
        <v>0</v>
      </c>
      <c r="AE2635" s="2">
        <v>0.05</v>
      </c>
      <c r="AF2635" s="5">
        <f t="shared" si="395"/>
        <v>0</v>
      </c>
      <c r="AG2635" s="2">
        <v>0</v>
      </c>
      <c r="AH2635" s="5">
        <f t="shared" si="391"/>
        <v>0</v>
      </c>
      <c r="AJ2635" s="126" t="e">
        <v>#N/A</v>
      </c>
      <c r="AK2635" s="80">
        <f t="shared" si="396"/>
        <v>0</v>
      </c>
      <c r="AM2635" s="85"/>
    </row>
    <row r="2636" spans="1:39" hidden="1" x14ac:dyDescent="0.3">
      <c r="A2636" s="85" t="s">
        <v>34</v>
      </c>
      <c r="B2636" s="15" t="s">
        <v>35</v>
      </c>
      <c r="C2636" s="15" t="s">
        <v>2932</v>
      </c>
      <c r="D2636" s="15" t="s">
        <v>63</v>
      </c>
      <c r="E2636" s="15" t="s">
        <v>3157</v>
      </c>
      <c r="F2636" s="15" t="s">
        <v>3159</v>
      </c>
      <c r="G2636" s="15" t="s">
        <v>2418</v>
      </c>
      <c r="H2636" s="154"/>
      <c r="I2636" s="3" t="s">
        <v>3356</v>
      </c>
      <c r="J2636" s="1" t="s">
        <v>3326</v>
      </c>
      <c r="K2636" s="1" t="s">
        <v>3712</v>
      </c>
      <c r="L2636" s="1" t="s">
        <v>35</v>
      </c>
      <c r="M2636" s="15"/>
      <c r="N2636" s="3" t="s">
        <v>3729</v>
      </c>
      <c r="O2636" s="8" t="s">
        <v>45</v>
      </c>
      <c r="P2636" s="8" t="s">
        <v>3135</v>
      </c>
      <c r="Q2636" s="9">
        <v>0</v>
      </c>
      <c r="R2636" s="139"/>
      <c r="T2636" s="18">
        <v>0</v>
      </c>
      <c r="U2636" s="4">
        <v>0</v>
      </c>
      <c r="V2636" s="4">
        <v>0</v>
      </c>
      <c r="W2636" s="13">
        <f t="shared" si="388"/>
        <v>0</v>
      </c>
      <c r="X2636" s="13">
        <v>0</v>
      </c>
      <c r="Y2636" s="13">
        <f t="shared" si="392"/>
        <v>0</v>
      </c>
      <c r="Z2636" s="2">
        <v>0</v>
      </c>
      <c r="AA2636" s="4">
        <v>4428.5199999999995</v>
      </c>
      <c r="AB2636" s="4">
        <f t="shared" si="393"/>
        <v>4428.5199999999995</v>
      </c>
      <c r="AC2636" s="6">
        <f t="shared" si="394"/>
        <v>0</v>
      </c>
      <c r="AD2636" s="13">
        <f t="shared" si="390"/>
        <v>0</v>
      </c>
      <c r="AE2636" s="2">
        <v>0.05</v>
      </c>
      <c r="AF2636" s="5">
        <f t="shared" si="395"/>
        <v>0</v>
      </c>
      <c r="AG2636" s="2">
        <v>0</v>
      </c>
      <c r="AH2636" s="5">
        <f t="shared" si="391"/>
        <v>0</v>
      </c>
      <c r="AJ2636" s="126" t="e">
        <v>#N/A</v>
      </c>
      <c r="AK2636" s="80">
        <f t="shared" si="396"/>
        <v>0</v>
      </c>
      <c r="AM2636" s="85"/>
    </row>
    <row r="2637" spans="1:39" hidden="1" x14ac:dyDescent="0.3">
      <c r="A2637" s="85" t="s">
        <v>34</v>
      </c>
      <c r="B2637" s="15" t="s">
        <v>35</v>
      </c>
      <c r="C2637" s="15" t="s">
        <v>2931</v>
      </c>
      <c r="D2637" s="15" t="s">
        <v>145</v>
      </c>
      <c r="E2637" s="15" t="s">
        <v>3160</v>
      </c>
      <c r="F2637" s="15" t="s">
        <v>3161</v>
      </c>
      <c r="G2637" s="15" t="s">
        <v>3161</v>
      </c>
      <c r="H2637" s="154"/>
      <c r="I2637" s="3" t="s">
        <v>3356</v>
      </c>
      <c r="J2637" s="1" t="s">
        <v>3326</v>
      </c>
      <c r="K2637" s="1" t="s">
        <v>3712</v>
      </c>
      <c r="L2637" s="1" t="s">
        <v>35</v>
      </c>
      <c r="M2637" s="15"/>
      <c r="N2637" s="3" t="s">
        <v>3729</v>
      </c>
      <c r="O2637" s="8" t="s">
        <v>45</v>
      </c>
      <c r="P2637" s="8" t="s">
        <v>3135</v>
      </c>
      <c r="Q2637" s="9">
        <v>0</v>
      </c>
      <c r="R2637" s="139"/>
      <c r="T2637" s="18">
        <v>0</v>
      </c>
      <c r="U2637" s="4">
        <v>0</v>
      </c>
      <c r="V2637" s="4">
        <v>0</v>
      </c>
      <c r="W2637" s="13">
        <f t="shared" si="388"/>
        <v>0</v>
      </c>
      <c r="X2637" s="13">
        <v>0</v>
      </c>
      <c r="Y2637" s="13">
        <f t="shared" si="392"/>
        <v>0</v>
      </c>
      <c r="Z2637" s="2">
        <v>0</v>
      </c>
      <c r="AA2637" s="4">
        <v>52.02</v>
      </c>
      <c r="AB2637" s="4">
        <f t="shared" si="393"/>
        <v>52.02</v>
      </c>
      <c r="AC2637" s="6">
        <f t="shared" si="394"/>
        <v>0</v>
      </c>
      <c r="AD2637" s="13">
        <f t="shared" si="390"/>
        <v>0</v>
      </c>
      <c r="AE2637" s="2">
        <v>0.05</v>
      </c>
      <c r="AF2637" s="5">
        <f t="shared" si="395"/>
        <v>0</v>
      </c>
      <c r="AG2637" s="2">
        <v>0</v>
      </c>
      <c r="AH2637" s="5">
        <f t="shared" si="391"/>
        <v>0</v>
      </c>
      <c r="AJ2637" s="126" t="e">
        <v>#N/A</v>
      </c>
      <c r="AK2637" s="80">
        <f t="shared" si="396"/>
        <v>0</v>
      </c>
      <c r="AM2637" s="85"/>
    </row>
    <row r="2638" spans="1:39" hidden="1" x14ac:dyDescent="0.3">
      <c r="A2638" s="85" t="s">
        <v>34</v>
      </c>
      <c r="B2638" s="15" t="s">
        <v>35</v>
      </c>
      <c r="C2638" s="15" t="s">
        <v>2933</v>
      </c>
      <c r="D2638" s="15" t="s">
        <v>169</v>
      </c>
      <c r="E2638" s="15" t="s">
        <v>3162</v>
      </c>
      <c r="F2638" s="15" t="s">
        <v>2518</v>
      </c>
      <c r="G2638" s="15" t="s">
        <v>2518</v>
      </c>
      <c r="H2638" s="154"/>
      <c r="I2638" s="15" t="s">
        <v>3674</v>
      </c>
      <c r="J2638" s="1" t="s">
        <v>3675</v>
      </c>
      <c r="K2638" s="1" t="s">
        <v>3279</v>
      </c>
      <c r="L2638" s="1" t="s">
        <v>3388</v>
      </c>
      <c r="M2638" s="15"/>
      <c r="N2638" s="15"/>
      <c r="O2638" s="8" t="s">
        <v>45</v>
      </c>
      <c r="P2638" s="8" t="s">
        <v>3135</v>
      </c>
      <c r="Q2638" s="9">
        <v>0</v>
      </c>
      <c r="R2638" s="139"/>
      <c r="T2638" s="18">
        <v>0</v>
      </c>
      <c r="U2638" s="4">
        <v>0</v>
      </c>
      <c r="V2638" s="4">
        <v>0</v>
      </c>
      <c r="W2638" s="13">
        <f t="shared" si="388"/>
        <v>0</v>
      </c>
      <c r="X2638" s="13">
        <v>0</v>
      </c>
      <c r="Y2638" s="13">
        <f t="shared" si="392"/>
        <v>0</v>
      </c>
      <c r="Z2638" s="2">
        <v>0</v>
      </c>
      <c r="AA2638" s="4">
        <v>23526.400000000001</v>
      </c>
      <c r="AB2638" s="4">
        <f t="shared" si="393"/>
        <v>23526.400000000001</v>
      </c>
      <c r="AC2638" s="6">
        <f t="shared" si="394"/>
        <v>0</v>
      </c>
      <c r="AD2638" s="13">
        <f t="shared" si="390"/>
        <v>0</v>
      </c>
      <c r="AE2638" s="2">
        <v>0</v>
      </c>
      <c r="AF2638" s="5">
        <f t="shared" si="395"/>
        <v>0</v>
      </c>
      <c r="AG2638" s="2">
        <v>0</v>
      </c>
      <c r="AH2638" s="5">
        <f t="shared" si="391"/>
        <v>0</v>
      </c>
      <c r="AJ2638" s="126" t="e">
        <v>#N/A</v>
      </c>
      <c r="AK2638" s="80">
        <f t="shared" si="396"/>
        <v>0</v>
      </c>
      <c r="AM2638" s="85"/>
    </row>
    <row r="2639" spans="1:39" hidden="1" x14ac:dyDescent="0.3">
      <c r="A2639" s="85" t="s">
        <v>34</v>
      </c>
      <c r="B2639" s="15" t="s">
        <v>35</v>
      </c>
      <c r="C2639" s="15" t="s">
        <v>2933</v>
      </c>
      <c r="D2639" s="15" t="s">
        <v>169</v>
      </c>
      <c r="E2639" s="15" t="s">
        <v>3163</v>
      </c>
      <c r="F2639" s="15" t="s">
        <v>628</v>
      </c>
      <c r="G2639" s="15" t="s">
        <v>628</v>
      </c>
      <c r="H2639" s="154"/>
      <c r="I2639" s="15" t="s">
        <v>2374</v>
      </c>
      <c r="J2639" s="1" t="s">
        <v>3322</v>
      </c>
      <c r="K2639" s="1" t="s">
        <v>3269</v>
      </c>
      <c r="L2639" s="1" t="s">
        <v>35</v>
      </c>
      <c r="M2639" s="15"/>
      <c r="N2639" s="15"/>
      <c r="O2639" s="8" t="s">
        <v>40</v>
      </c>
      <c r="P2639" s="8" t="s">
        <v>3135</v>
      </c>
      <c r="Q2639" s="9">
        <v>0</v>
      </c>
      <c r="R2639" s="139"/>
      <c r="T2639" s="18">
        <v>0</v>
      </c>
      <c r="U2639" s="4">
        <v>0</v>
      </c>
      <c r="V2639" s="4">
        <v>0</v>
      </c>
      <c r="W2639" s="13">
        <f t="shared" si="388"/>
        <v>0</v>
      </c>
      <c r="X2639" s="13">
        <f>IF(P2639="折扣",V2639*Q2639,IF(P2639="返现",V2639,V2639/(1+Q2639+AG2639)))</f>
        <v>0</v>
      </c>
      <c r="Y2639" s="13">
        <f t="shared" si="392"/>
        <v>0</v>
      </c>
      <c r="Z2639" s="2">
        <v>0</v>
      </c>
      <c r="AA2639" s="4">
        <v>908.30000000000007</v>
      </c>
      <c r="AB2639" s="4">
        <f t="shared" si="393"/>
        <v>908.30000000000007</v>
      </c>
      <c r="AC2639" s="6">
        <f t="shared" si="394"/>
        <v>0</v>
      </c>
      <c r="AD2639" s="13">
        <f t="shared" si="390"/>
        <v>0</v>
      </c>
      <c r="AE2639" s="2">
        <v>7.0000000000000007E-2</v>
      </c>
      <c r="AF2639" s="5">
        <f t="shared" si="395"/>
        <v>0</v>
      </c>
      <c r="AG2639" s="2">
        <v>0</v>
      </c>
      <c r="AH2639" s="5">
        <f t="shared" si="391"/>
        <v>0</v>
      </c>
      <c r="AJ2639" s="126" t="e">
        <v>#N/A</v>
      </c>
      <c r="AK2639" s="80">
        <f t="shared" si="396"/>
        <v>0</v>
      </c>
      <c r="AM2639" s="85"/>
    </row>
    <row r="2640" spans="1:39" hidden="1" x14ac:dyDescent="0.3">
      <c r="A2640" s="85" t="s">
        <v>34</v>
      </c>
      <c r="B2640" s="15" t="s">
        <v>35</v>
      </c>
      <c r="C2640" s="15" t="s">
        <v>2933</v>
      </c>
      <c r="D2640" s="15" t="s">
        <v>174</v>
      </c>
      <c r="E2640" s="15" t="s">
        <v>3164</v>
      </c>
      <c r="F2640" s="15" t="s">
        <v>3165</v>
      </c>
      <c r="G2640" s="15" t="s">
        <v>3165</v>
      </c>
      <c r="H2640" s="154"/>
      <c r="I2640" s="15" t="s">
        <v>2935</v>
      </c>
      <c r="J2640" s="1" t="s">
        <v>3302</v>
      </c>
      <c r="K2640" s="1" t="s">
        <v>3281</v>
      </c>
      <c r="L2640" s="1" t="s">
        <v>35</v>
      </c>
      <c r="M2640" s="15"/>
      <c r="N2640" s="15"/>
      <c r="O2640" s="8" t="s">
        <v>410</v>
      </c>
      <c r="P2640" s="8" t="s">
        <v>3135</v>
      </c>
      <c r="Q2640" s="9">
        <v>0</v>
      </c>
      <c r="R2640" s="139"/>
      <c r="T2640" s="18">
        <v>0</v>
      </c>
      <c r="U2640" s="4">
        <v>0</v>
      </c>
      <c r="V2640" s="4">
        <v>0</v>
      </c>
      <c r="W2640" s="13">
        <f t="shared" si="388"/>
        <v>0</v>
      </c>
      <c r="X2640" s="13">
        <v>0</v>
      </c>
      <c r="Y2640" s="13">
        <f t="shared" si="392"/>
        <v>0</v>
      </c>
      <c r="Z2640" s="2">
        <v>0</v>
      </c>
      <c r="AA2640" s="4">
        <v>3200.46</v>
      </c>
      <c r="AB2640" s="4">
        <f t="shared" si="393"/>
        <v>3200.46</v>
      </c>
      <c r="AC2640" s="6">
        <f t="shared" si="394"/>
        <v>0</v>
      </c>
      <c r="AD2640" s="13">
        <f t="shared" si="390"/>
        <v>0</v>
      </c>
      <c r="AE2640" s="2">
        <v>0.09</v>
      </c>
      <c r="AF2640" s="5">
        <f t="shared" si="395"/>
        <v>0</v>
      </c>
      <c r="AG2640" s="2">
        <v>0</v>
      </c>
      <c r="AH2640" s="5">
        <f t="shared" si="391"/>
        <v>0</v>
      </c>
      <c r="AJ2640" s="126" t="e">
        <v>#N/A</v>
      </c>
      <c r="AK2640" s="80">
        <f t="shared" si="396"/>
        <v>0</v>
      </c>
      <c r="AM2640" s="85"/>
    </row>
    <row r="2641" spans="1:39" hidden="1" x14ac:dyDescent="0.3">
      <c r="A2641" s="85" t="s">
        <v>34</v>
      </c>
      <c r="B2641" s="15" t="s">
        <v>35</v>
      </c>
      <c r="C2641" s="15" t="s">
        <v>2933</v>
      </c>
      <c r="D2641" s="15" t="s">
        <v>174</v>
      </c>
      <c r="E2641" s="15" t="s">
        <v>3166</v>
      </c>
      <c r="F2641" s="15" t="s">
        <v>3167</v>
      </c>
      <c r="G2641" s="15" t="s">
        <v>3167</v>
      </c>
      <c r="H2641" s="154"/>
      <c r="I2641" s="15" t="s">
        <v>1060</v>
      </c>
      <c r="J2641" s="1" t="s">
        <v>3325</v>
      </c>
      <c r="K2641" s="1" t="s">
        <v>3279</v>
      </c>
      <c r="L2641" s="1" t="s">
        <v>35</v>
      </c>
      <c r="M2641" s="15"/>
      <c r="N2641" s="15"/>
      <c r="O2641" s="8" t="s">
        <v>45</v>
      </c>
      <c r="P2641" s="8" t="s">
        <v>3135</v>
      </c>
      <c r="Q2641" s="9">
        <v>0</v>
      </c>
      <c r="R2641" s="139"/>
      <c r="T2641" s="18">
        <v>0</v>
      </c>
      <c r="U2641" s="4">
        <v>0</v>
      </c>
      <c r="V2641" s="4">
        <v>0</v>
      </c>
      <c r="W2641" s="13">
        <f t="shared" si="388"/>
        <v>0</v>
      </c>
      <c r="X2641" s="13">
        <v>0</v>
      </c>
      <c r="Y2641" s="13">
        <f t="shared" si="392"/>
        <v>0</v>
      </c>
      <c r="Z2641" s="2">
        <v>0</v>
      </c>
      <c r="AA2641" s="4">
        <v>4746.18</v>
      </c>
      <c r="AB2641" s="4">
        <f t="shared" si="393"/>
        <v>4746.18</v>
      </c>
      <c r="AC2641" s="6">
        <f t="shared" si="394"/>
        <v>0</v>
      </c>
      <c r="AD2641" s="13">
        <f t="shared" si="390"/>
        <v>0</v>
      </c>
      <c r="AE2641" s="2">
        <v>0.12</v>
      </c>
      <c r="AF2641" s="5">
        <f t="shared" si="395"/>
        <v>0</v>
      </c>
      <c r="AG2641" s="2">
        <v>0</v>
      </c>
      <c r="AH2641" s="5">
        <f t="shared" si="391"/>
        <v>0</v>
      </c>
      <c r="AJ2641" s="126" t="e">
        <v>#N/A</v>
      </c>
      <c r="AK2641" s="80">
        <f t="shared" si="396"/>
        <v>0</v>
      </c>
      <c r="AM2641" s="85"/>
    </row>
    <row r="2642" spans="1:39" hidden="1" x14ac:dyDescent="0.3">
      <c r="A2642" s="85" t="s">
        <v>34</v>
      </c>
      <c r="B2642" s="15" t="s">
        <v>35</v>
      </c>
      <c r="C2642" s="15" t="s">
        <v>65</v>
      </c>
      <c r="D2642" s="15" t="s">
        <v>3047</v>
      </c>
      <c r="E2642" s="15" t="s">
        <v>473</v>
      </c>
      <c r="F2642" s="15" t="s">
        <v>473</v>
      </c>
      <c r="G2642" s="15" t="s">
        <v>473</v>
      </c>
      <c r="H2642" s="154"/>
      <c r="I2642" s="3" t="s">
        <v>2935</v>
      </c>
      <c r="J2642" s="1" t="s">
        <v>3302</v>
      </c>
      <c r="K2642" s="1" t="s">
        <v>3281</v>
      </c>
      <c r="L2642" s="1" t="s">
        <v>35</v>
      </c>
      <c r="M2642" s="15" t="s">
        <v>483</v>
      </c>
      <c r="N2642" s="15"/>
      <c r="O2642" s="8" t="s">
        <v>410</v>
      </c>
      <c r="P2642" s="8" t="s">
        <v>41</v>
      </c>
      <c r="Q2642" s="9">
        <v>0</v>
      </c>
      <c r="R2642" s="139">
        <v>41252</v>
      </c>
      <c r="T2642" s="6">
        <v>0</v>
      </c>
      <c r="U2642" s="4">
        <v>0</v>
      </c>
      <c r="V2642" s="4">
        <v>71443.820000000007</v>
      </c>
      <c r="W2642" s="13">
        <f t="shared" si="388"/>
        <v>-71443.820000000007</v>
      </c>
      <c r="X2642" s="13">
        <f t="shared" ref="X2642:X2704" si="397">IF(P2642="折扣",V2642*Q2642,IF(P2642="返现",V2642,V2642/(1+Q2642)))</f>
        <v>71443.820000000007</v>
      </c>
      <c r="Y2642" s="13">
        <f t="shared" si="392"/>
        <v>0</v>
      </c>
      <c r="Z2642" s="2">
        <v>0</v>
      </c>
      <c r="AA2642" s="4">
        <v>0</v>
      </c>
      <c r="AB2642" s="4">
        <f t="shared" si="393"/>
        <v>71443.820000000007</v>
      </c>
      <c r="AC2642" s="6">
        <f t="shared" si="394"/>
        <v>0</v>
      </c>
      <c r="AD2642" s="13">
        <f t="shared" ref="AD2642" si="398">V2642</f>
        <v>71443.820000000007</v>
      </c>
      <c r="AE2642" s="2">
        <v>0.09</v>
      </c>
      <c r="AF2642" s="5">
        <f t="shared" si="395"/>
        <v>6429.9438</v>
      </c>
      <c r="AG2642" s="2">
        <v>0</v>
      </c>
      <c r="AH2642" s="5">
        <f t="shared" ref="AH2642" si="399">V2642</f>
        <v>71443.820000000007</v>
      </c>
      <c r="AJ2642" s="126" t="e">
        <v>#N/A</v>
      </c>
      <c r="AK2642" s="80">
        <f t="shared" si="396"/>
        <v>0</v>
      </c>
      <c r="AM2642" s="85"/>
    </row>
    <row r="2643" spans="1:39" hidden="1" x14ac:dyDescent="0.3">
      <c r="A2643" s="85" t="s">
        <v>34</v>
      </c>
      <c r="B2643" s="15" t="s">
        <v>35</v>
      </c>
      <c r="C2643" s="15" t="s">
        <v>164</v>
      </c>
      <c r="D2643" s="15" t="s">
        <v>174</v>
      </c>
      <c r="E2643" s="15" t="s">
        <v>3168</v>
      </c>
      <c r="F2643" s="15" t="s">
        <v>3169</v>
      </c>
      <c r="G2643" s="15" t="s">
        <v>3168</v>
      </c>
      <c r="H2643" s="139"/>
      <c r="I2643" s="15" t="s">
        <v>3170</v>
      </c>
      <c r="J2643" s="1" t="s">
        <v>3671</v>
      </c>
      <c r="L2643" s="1" t="s">
        <v>3388</v>
      </c>
      <c r="M2643" s="15" t="s">
        <v>1742</v>
      </c>
      <c r="N2643" s="15"/>
      <c r="O2643" s="8" t="s">
        <v>410</v>
      </c>
      <c r="P2643" s="8" t="s">
        <v>41</v>
      </c>
      <c r="Q2643" s="9">
        <v>0</v>
      </c>
      <c r="R2643" s="139">
        <v>7056584</v>
      </c>
      <c r="S2643" s="8"/>
      <c r="T2643" s="18">
        <v>11376.98</v>
      </c>
      <c r="U2643" s="6"/>
      <c r="V2643" s="6">
        <v>0</v>
      </c>
      <c r="W2643" s="18">
        <f t="shared" si="388"/>
        <v>11376.98</v>
      </c>
      <c r="X2643" s="13">
        <f t="shared" si="397"/>
        <v>0</v>
      </c>
      <c r="Y2643" s="13">
        <f t="shared" si="392"/>
        <v>0</v>
      </c>
      <c r="Z2643" s="14">
        <v>0</v>
      </c>
      <c r="AA2643" s="18"/>
      <c r="AB2643" s="4">
        <f t="shared" si="393"/>
        <v>0</v>
      </c>
      <c r="AC2643" s="6">
        <f t="shared" si="394"/>
        <v>0</v>
      </c>
      <c r="AD2643" s="6">
        <v>0</v>
      </c>
      <c r="AE2643" s="14">
        <v>0</v>
      </c>
      <c r="AF2643" s="6">
        <f t="shared" si="395"/>
        <v>0</v>
      </c>
      <c r="AG2643" s="14">
        <v>0</v>
      </c>
      <c r="AH2643" s="8"/>
      <c r="AI2643" s="16"/>
      <c r="AJ2643" s="126" t="e">
        <v>#N/A</v>
      </c>
      <c r="AK2643" s="80">
        <f t="shared" si="396"/>
        <v>0</v>
      </c>
      <c r="AM2643" s="85"/>
    </row>
    <row r="2644" spans="1:39" hidden="1" x14ac:dyDescent="0.3">
      <c r="A2644" s="85" t="s">
        <v>34</v>
      </c>
      <c r="B2644" s="15" t="s">
        <v>35</v>
      </c>
      <c r="C2644" s="15" t="s">
        <v>36</v>
      </c>
      <c r="D2644" s="15" t="s">
        <v>54</v>
      </c>
      <c r="E2644" s="15" t="s">
        <v>71</v>
      </c>
      <c r="F2644" s="15" t="s">
        <v>71</v>
      </c>
      <c r="G2644" s="15" t="s">
        <v>71</v>
      </c>
      <c r="H2644" s="139"/>
      <c r="I2644" s="15" t="s">
        <v>3171</v>
      </c>
      <c r="J2644" s="1" t="s">
        <v>3671</v>
      </c>
      <c r="L2644" s="1" t="s">
        <v>3388</v>
      </c>
      <c r="M2644" s="15"/>
      <c r="N2644" s="15"/>
      <c r="O2644" s="8" t="s">
        <v>410</v>
      </c>
      <c r="P2644" s="8" t="s">
        <v>46</v>
      </c>
      <c r="Q2644" s="14">
        <v>0.03</v>
      </c>
      <c r="R2644" s="139"/>
      <c r="S2644" s="8"/>
      <c r="T2644" s="6">
        <v>0</v>
      </c>
      <c r="U2644" s="6">
        <v>0</v>
      </c>
      <c r="V2644" s="6">
        <v>0</v>
      </c>
      <c r="W2644" s="18">
        <f t="shared" si="388"/>
        <v>0</v>
      </c>
      <c r="X2644" s="13">
        <f t="shared" si="397"/>
        <v>0</v>
      </c>
      <c r="Y2644" s="13">
        <f t="shared" si="392"/>
        <v>0</v>
      </c>
      <c r="Z2644" s="14">
        <v>0</v>
      </c>
      <c r="AA2644" s="18"/>
      <c r="AB2644" s="4">
        <f t="shared" si="393"/>
        <v>0</v>
      </c>
      <c r="AC2644" s="6">
        <f t="shared" si="394"/>
        <v>0</v>
      </c>
      <c r="AD2644" s="6">
        <v>0</v>
      </c>
      <c r="AE2644" s="14">
        <v>0</v>
      </c>
      <c r="AF2644" s="6">
        <f t="shared" si="395"/>
        <v>0</v>
      </c>
      <c r="AG2644" s="14">
        <v>0</v>
      </c>
      <c r="AH2644" s="8"/>
      <c r="AI2644" s="16"/>
      <c r="AJ2644" s="126" t="e">
        <v>#N/A</v>
      </c>
      <c r="AK2644" s="80">
        <f t="shared" si="396"/>
        <v>0</v>
      </c>
      <c r="AM2644" s="85"/>
    </row>
    <row r="2645" spans="1:39" hidden="1" x14ac:dyDescent="0.3">
      <c r="A2645" s="85" t="s">
        <v>34</v>
      </c>
      <c r="B2645" s="15" t="s">
        <v>35</v>
      </c>
      <c r="C2645" s="15" t="s">
        <v>65</v>
      </c>
      <c r="D2645" s="15" t="s">
        <v>122</v>
      </c>
      <c r="E2645" s="15" t="s">
        <v>507</v>
      </c>
      <c r="F2645" s="15" t="s">
        <v>507</v>
      </c>
      <c r="G2645" s="15" t="s">
        <v>507</v>
      </c>
      <c r="H2645" s="154"/>
      <c r="I2645" s="15" t="s">
        <v>1060</v>
      </c>
      <c r="J2645" s="1" t="s">
        <v>3325</v>
      </c>
      <c r="K2645" s="1" t="s">
        <v>3287</v>
      </c>
      <c r="L2645" s="1" t="s">
        <v>35</v>
      </c>
      <c r="M2645" s="15"/>
      <c r="N2645" s="15"/>
      <c r="O2645" s="8" t="s">
        <v>3172</v>
      </c>
      <c r="P2645" s="8" t="s">
        <v>41</v>
      </c>
      <c r="Q2645" s="14">
        <v>0</v>
      </c>
      <c r="R2645" s="139"/>
      <c r="S2645" s="8"/>
      <c r="T2645" s="6">
        <v>0</v>
      </c>
      <c r="U2645" s="6">
        <v>26720</v>
      </c>
      <c r="V2645" s="6">
        <v>26720</v>
      </c>
      <c r="W2645" s="18">
        <f t="shared" si="388"/>
        <v>0</v>
      </c>
      <c r="X2645" s="13">
        <f t="shared" si="397"/>
        <v>26720</v>
      </c>
      <c r="Y2645" s="13">
        <f t="shared" si="392"/>
        <v>0</v>
      </c>
      <c r="Z2645" s="14">
        <v>0</v>
      </c>
      <c r="AA2645" s="18"/>
      <c r="AB2645" s="4">
        <f t="shared" si="393"/>
        <v>26720</v>
      </c>
      <c r="AC2645" s="6">
        <f t="shared" si="394"/>
        <v>0</v>
      </c>
      <c r="AD2645" s="6">
        <v>26720</v>
      </c>
      <c r="AE2645" s="14">
        <v>7.0000000000000007E-2</v>
      </c>
      <c r="AF2645" s="6">
        <f t="shared" si="395"/>
        <v>1870.4</v>
      </c>
      <c r="AG2645" s="14">
        <v>0</v>
      </c>
      <c r="AH2645" s="8"/>
      <c r="AI2645" s="16"/>
      <c r="AJ2645" s="126" t="e">
        <v>#N/A</v>
      </c>
      <c r="AK2645" s="80">
        <f t="shared" si="396"/>
        <v>0</v>
      </c>
      <c r="AM2645" s="85"/>
    </row>
    <row r="2646" spans="1:39" hidden="1" x14ac:dyDescent="0.3">
      <c r="A2646" s="85" t="s">
        <v>34</v>
      </c>
      <c r="B2646" s="15" t="s">
        <v>35</v>
      </c>
      <c r="C2646" s="15" t="s">
        <v>65</v>
      </c>
      <c r="D2646" s="15" t="s">
        <v>1291</v>
      </c>
      <c r="E2646" s="15" t="s">
        <v>1292</v>
      </c>
      <c r="F2646" s="15" t="s">
        <v>1293</v>
      </c>
      <c r="G2646" s="15" t="s">
        <v>1292</v>
      </c>
      <c r="H2646" s="154"/>
      <c r="I2646" s="15" t="s">
        <v>1060</v>
      </c>
      <c r="J2646" s="1" t="s">
        <v>3325</v>
      </c>
      <c r="K2646" s="1" t="s">
        <v>3287</v>
      </c>
      <c r="L2646" s="1" t="s">
        <v>35</v>
      </c>
      <c r="M2646" s="15"/>
      <c r="N2646" s="15"/>
      <c r="O2646" s="8" t="s">
        <v>3172</v>
      </c>
      <c r="P2646" s="8" t="s">
        <v>41</v>
      </c>
      <c r="Q2646" s="14">
        <v>0</v>
      </c>
      <c r="R2646" s="139"/>
      <c r="S2646" s="8"/>
      <c r="T2646" s="6">
        <v>0</v>
      </c>
      <c r="U2646" s="6">
        <v>45750</v>
      </c>
      <c r="V2646" s="6">
        <v>45750</v>
      </c>
      <c r="W2646" s="18">
        <f t="shared" ref="W2646:W2708" si="400">T2646+U2646-V2646</f>
        <v>0</v>
      </c>
      <c r="X2646" s="13">
        <f t="shared" si="397"/>
        <v>45750</v>
      </c>
      <c r="Y2646" s="13">
        <f t="shared" si="392"/>
        <v>0</v>
      </c>
      <c r="Z2646" s="14">
        <v>0</v>
      </c>
      <c r="AA2646" s="18"/>
      <c r="AB2646" s="4">
        <f t="shared" si="393"/>
        <v>45750</v>
      </c>
      <c r="AC2646" s="6">
        <f t="shared" si="394"/>
        <v>0</v>
      </c>
      <c r="AD2646" s="6">
        <v>45750</v>
      </c>
      <c r="AE2646" s="14">
        <v>7.0000000000000007E-2</v>
      </c>
      <c r="AF2646" s="6">
        <f t="shared" si="395"/>
        <v>3202.5000000000005</v>
      </c>
      <c r="AG2646" s="14">
        <v>0</v>
      </c>
      <c r="AH2646" s="8"/>
      <c r="AI2646" s="16"/>
      <c r="AJ2646" s="126" t="e">
        <v>#N/A</v>
      </c>
      <c r="AK2646" s="80">
        <f t="shared" si="396"/>
        <v>0</v>
      </c>
      <c r="AM2646" s="85"/>
    </row>
    <row r="2647" spans="1:39" hidden="1" x14ac:dyDescent="0.3">
      <c r="A2647" s="85" t="s">
        <v>34</v>
      </c>
      <c r="B2647" s="15" t="s">
        <v>35</v>
      </c>
      <c r="C2647" s="15" t="s">
        <v>164</v>
      </c>
      <c r="D2647" s="15" t="s">
        <v>174</v>
      </c>
      <c r="E2647" s="15" t="s">
        <v>1617</v>
      </c>
      <c r="F2647" s="15" t="s">
        <v>1617</v>
      </c>
      <c r="G2647" s="15" t="s">
        <v>1617</v>
      </c>
      <c r="H2647" s="154"/>
      <c r="I2647" s="15" t="s">
        <v>1060</v>
      </c>
      <c r="J2647" s="1" t="s">
        <v>3325</v>
      </c>
      <c r="K2647" s="1" t="s">
        <v>3287</v>
      </c>
      <c r="L2647" s="1" t="s">
        <v>35</v>
      </c>
      <c r="M2647" s="15"/>
      <c r="N2647" s="15"/>
      <c r="O2647" s="8" t="s">
        <v>3172</v>
      </c>
      <c r="P2647" s="8" t="s">
        <v>41</v>
      </c>
      <c r="Q2647" s="14">
        <v>0</v>
      </c>
      <c r="R2647" s="139"/>
      <c r="S2647" s="8"/>
      <c r="T2647" s="6">
        <v>0</v>
      </c>
      <c r="U2647" s="6">
        <v>211665.66999999998</v>
      </c>
      <c r="V2647" s="6">
        <v>211665.67</v>
      </c>
      <c r="W2647" s="18">
        <f t="shared" si="400"/>
        <v>0</v>
      </c>
      <c r="X2647" s="13">
        <f t="shared" si="397"/>
        <v>211665.67</v>
      </c>
      <c r="Y2647" s="13">
        <f t="shared" si="392"/>
        <v>0</v>
      </c>
      <c r="Z2647" s="14">
        <v>0</v>
      </c>
      <c r="AA2647" s="18"/>
      <c r="AB2647" s="4">
        <f t="shared" si="393"/>
        <v>211665.67</v>
      </c>
      <c r="AC2647" s="6">
        <f t="shared" si="394"/>
        <v>0</v>
      </c>
      <c r="AD2647" s="6">
        <v>211665.67</v>
      </c>
      <c r="AE2647" s="14">
        <v>7.0000000000000007E-2</v>
      </c>
      <c r="AF2647" s="6">
        <f t="shared" si="395"/>
        <v>14816.596900000002</v>
      </c>
      <c r="AG2647" s="14">
        <v>0</v>
      </c>
      <c r="AH2647" s="8"/>
      <c r="AI2647" s="16"/>
      <c r="AJ2647" s="126" t="e">
        <v>#N/A</v>
      </c>
      <c r="AK2647" s="80">
        <f t="shared" si="396"/>
        <v>0</v>
      </c>
      <c r="AM2647" s="85"/>
    </row>
    <row r="2648" spans="1:39" hidden="1" x14ac:dyDescent="0.3">
      <c r="A2648" s="85" t="s">
        <v>34</v>
      </c>
      <c r="B2648" s="15" t="s">
        <v>35</v>
      </c>
      <c r="C2648" s="15" t="s">
        <v>164</v>
      </c>
      <c r="D2648" s="15" t="s">
        <v>174</v>
      </c>
      <c r="E2648" s="15" t="s">
        <v>1617</v>
      </c>
      <c r="F2648" s="15" t="s">
        <v>1617</v>
      </c>
      <c r="G2648" s="15" t="s">
        <v>1617</v>
      </c>
      <c r="H2648" s="139"/>
      <c r="I2648" s="15" t="s">
        <v>1060</v>
      </c>
      <c r="J2648" s="1" t="s">
        <v>3325</v>
      </c>
      <c r="K2648" s="1" t="s">
        <v>3287</v>
      </c>
      <c r="L2648" s="1" t="s">
        <v>35</v>
      </c>
      <c r="M2648" s="15"/>
      <c r="N2648" s="15"/>
      <c r="O2648" s="8" t="s">
        <v>3172</v>
      </c>
      <c r="P2648" s="8" t="s">
        <v>41</v>
      </c>
      <c r="Q2648" s="14">
        <v>0</v>
      </c>
      <c r="R2648" s="139"/>
      <c r="S2648" s="8"/>
      <c r="T2648" s="6">
        <v>0</v>
      </c>
      <c r="U2648" s="6">
        <v>47692.800000000003</v>
      </c>
      <c r="V2648" s="6">
        <v>0</v>
      </c>
      <c r="W2648" s="18">
        <v>0</v>
      </c>
      <c r="X2648" s="13">
        <f t="shared" si="397"/>
        <v>0</v>
      </c>
      <c r="Y2648" s="13">
        <f t="shared" si="392"/>
        <v>0</v>
      </c>
      <c r="Z2648" s="14">
        <v>0</v>
      </c>
      <c r="AA2648" s="18"/>
      <c r="AB2648" s="4">
        <f t="shared" si="393"/>
        <v>0</v>
      </c>
      <c r="AC2648" s="6">
        <f t="shared" si="394"/>
        <v>0</v>
      </c>
      <c r="AD2648" s="6">
        <v>0</v>
      </c>
      <c r="AE2648" s="14">
        <v>0</v>
      </c>
      <c r="AF2648" s="6">
        <f t="shared" si="395"/>
        <v>0</v>
      </c>
      <c r="AG2648" s="14">
        <v>0</v>
      </c>
      <c r="AH2648" s="8"/>
      <c r="AI2648" s="16" t="s">
        <v>3173</v>
      </c>
      <c r="AJ2648" s="126" t="e">
        <v>#N/A</v>
      </c>
      <c r="AK2648" s="80">
        <f t="shared" si="396"/>
        <v>0</v>
      </c>
      <c r="AM2648" s="85"/>
    </row>
    <row r="2649" spans="1:39" hidden="1" x14ac:dyDescent="0.3">
      <c r="A2649" s="85" t="s">
        <v>34</v>
      </c>
      <c r="B2649" s="15" t="s">
        <v>35</v>
      </c>
      <c r="C2649" s="15" t="s">
        <v>164</v>
      </c>
      <c r="D2649" s="15" t="s">
        <v>174</v>
      </c>
      <c r="E2649" s="15" t="s">
        <v>1696</v>
      </c>
      <c r="F2649" s="15" t="s">
        <v>1696</v>
      </c>
      <c r="G2649" s="15" t="s">
        <v>1696</v>
      </c>
      <c r="H2649" s="154"/>
      <c r="I2649" s="15" t="s">
        <v>1060</v>
      </c>
      <c r="J2649" s="1" t="s">
        <v>3325</v>
      </c>
      <c r="K2649" s="1" t="s">
        <v>3287</v>
      </c>
      <c r="L2649" s="1" t="s">
        <v>35</v>
      </c>
      <c r="M2649" s="15"/>
      <c r="N2649" s="15"/>
      <c r="O2649" s="8" t="s">
        <v>3172</v>
      </c>
      <c r="P2649" s="8" t="s">
        <v>41</v>
      </c>
      <c r="Q2649" s="14">
        <v>0</v>
      </c>
      <c r="R2649" s="139"/>
      <c r="S2649" s="8"/>
      <c r="T2649" s="6">
        <v>0</v>
      </c>
      <c r="U2649" s="6">
        <v>56760</v>
      </c>
      <c r="V2649" s="6">
        <v>56760</v>
      </c>
      <c r="W2649" s="18">
        <f t="shared" si="400"/>
        <v>0</v>
      </c>
      <c r="X2649" s="13">
        <f t="shared" si="397"/>
        <v>56760</v>
      </c>
      <c r="Y2649" s="13">
        <f t="shared" si="392"/>
        <v>0</v>
      </c>
      <c r="Z2649" s="14">
        <v>0</v>
      </c>
      <c r="AA2649" s="18"/>
      <c r="AB2649" s="4">
        <f t="shared" si="393"/>
        <v>56760</v>
      </c>
      <c r="AC2649" s="6">
        <f t="shared" si="394"/>
        <v>0</v>
      </c>
      <c r="AD2649" s="6">
        <v>56760</v>
      </c>
      <c r="AE2649" s="14">
        <v>7.0000000000000007E-2</v>
      </c>
      <c r="AF2649" s="6">
        <f t="shared" si="395"/>
        <v>3973.2000000000003</v>
      </c>
      <c r="AG2649" s="14">
        <v>0</v>
      </c>
      <c r="AH2649" s="8"/>
      <c r="AI2649" s="16"/>
      <c r="AJ2649" s="126" t="e">
        <v>#N/A</v>
      </c>
      <c r="AK2649" s="80">
        <f t="shared" si="396"/>
        <v>0</v>
      </c>
      <c r="AM2649" s="85"/>
    </row>
    <row r="2650" spans="1:39" hidden="1" x14ac:dyDescent="0.3">
      <c r="A2650" s="85" t="s">
        <v>34</v>
      </c>
      <c r="B2650" s="15" t="s">
        <v>35</v>
      </c>
      <c r="C2650" s="15" t="s">
        <v>164</v>
      </c>
      <c r="D2650" s="15" t="s">
        <v>174</v>
      </c>
      <c r="E2650" s="15" t="s">
        <v>1748</v>
      </c>
      <c r="F2650" s="15" t="s">
        <v>1748</v>
      </c>
      <c r="G2650" s="15" t="s">
        <v>1748</v>
      </c>
      <c r="H2650" s="154"/>
      <c r="I2650" s="15" t="s">
        <v>1060</v>
      </c>
      <c r="J2650" s="1" t="s">
        <v>3325</v>
      </c>
      <c r="K2650" s="1" t="s">
        <v>3287</v>
      </c>
      <c r="L2650" s="1" t="s">
        <v>35</v>
      </c>
      <c r="M2650" s="15"/>
      <c r="N2650" s="15"/>
      <c r="O2650" s="8" t="s">
        <v>3172</v>
      </c>
      <c r="P2650" s="8" t="s">
        <v>41</v>
      </c>
      <c r="Q2650" s="14">
        <v>0</v>
      </c>
      <c r="R2650" s="139"/>
      <c r="S2650" s="8"/>
      <c r="T2650" s="6">
        <v>0</v>
      </c>
      <c r="U2650" s="6">
        <v>56760</v>
      </c>
      <c r="V2650" s="6">
        <v>56760</v>
      </c>
      <c r="W2650" s="18">
        <f t="shared" si="400"/>
        <v>0</v>
      </c>
      <c r="X2650" s="13">
        <f t="shared" si="397"/>
        <v>56760</v>
      </c>
      <c r="Y2650" s="13">
        <f t="shared" si="392"/>
        <v>0</v>
      </c>
      <c r="Z2650" s="14">
        <v>0</v>
      </c>
      <c r="AA2650" s="18"/>
      <c r="AB2650" s="4">
        <f t="shared" si="393"/>
        <v>56760</v>
      </c>
      <c r="AC2650" s="6">
        <f t="shared" si="394"/>
        <v>0</v>
      </c>
      <c r="AD2650" s="6">
        <v>56760</v>
      </c>
      <c r="AE2650" s="14">
        <v>7.0000000000000007E-2</v>
      </c>
      <c r="AF2650" s="6">
        <f t="shared" si="395"/>
        <v>3973.2000000000003</v>
      </c>
      <c r="AG2650" s="14">
        <v>0</v>
      </c>
      <c r="AH2650" s="8"/>
      <c r="AI2650" s="16"/>
      <c r="AJ2650" s="126" t="e">
        <v>#N/A</v>
      </c>
      <c r="AK2650" s="80">
        <f t="shared" si="396"/>
        <v>0</v>
      </c>
      <c r="AM2650" s="85"/>
    </row>
    <row r="2651" spans="1:39" hidden="1" x14ac:dyDescent="0.3">
      <c r="A2651" s="85" t="s">
        <v>34</v>
      </c>
      <c r="B2651" s="15" t="s">
        <v>35</v>
      </c>
      <c r="C2651" s="15" t="s">
        <v>36</v>
      </c>
      <c r="D2651" s="15" t="s">
        <v>54</v>
      </c>
      <c r="E2651" s="15" t="s">
        <v>71</v>
      </c>
      <c r="F2651" s="15" t="s">
        <v>71</v>
      </c>
      <c r="G2651" s="15" t="s">
        <v>71</v>
      </c>
      <c r="H2651" s="139"/>
      <c r="I2651" s="15" t="s">
        <v>3171</v>
      </c>
      <c r="J2651" s="1" t="s">
        <v>3671</v>
      </c>
      <c r="L2651" s="1" t="s">
        <v>3388</v>
      </c>
      <c r="M2651" s="15"/>
      <c r="N2651" s="15"/>
      <c r="O2651" s="8" t="s">
        <v>410</v>
      </c>
      <c r="P2651" s="8" t="s">
        <v>46</v>
      </c>
      <c r="Q2651" s="14">
        <v>0.03</v>
      </c>
      <c r="R2651" s="139"/>
      <c r="S2651" s="8"/>
      <c r="T2651" s="6">
        <v>181922.77000000002</v>
      </c>
      <c r="U2651" s="6">
        <v>-88527.49</v>
      </c>
      <c r="V2651" s="6">
        <v>0</v>
      </c>
      <c r="W2651" s="18">
        <f t="shared" si="400"/>
        <v>93395.280000000013</v>
      </c>
      <c r="X2651" s="13">
        <f t="shared" si="397"/>
        <v>0</v>
      </c>
      <c r="Y2651" s="13">
        <f t="shared" si="392"/>
        <v>0</v>
      </c>
      <c r="Z2651" s="14">
        <v>0</v>
      </c>
      <c r="AA2651" s="18"/>
      <c r="AB2651" s="4">
        <f t="shared" si="393"/>
        <v>0</v>
      </c>
      <c r="AC2651" s="6">
        <f t="shared" si="394"/>
        <v>0</v>
      </c>
      <c r="AD2651" s="6">
        <v>0</v>
      </c>
      <c r="AE2651" s="14">
        <v>0</v>
      </c>
      <c r="AF2651" s="6">
        <f t="shared" si="395"/>
        <v>0</v>
      </c>
      <c r="AG2651" s="14">
        <v>0</v>
      </c>
      <c r="AH2651" s="8"/>
      <c r="AI2651" s="16"/>
      <c r="AJ2651" s="126" t="e">
        <v>#N/A</v>
      </c>
      <c r="AK2651" s="80">
        <f t="shared" si="396"/>
        <v>0</v>
      </c>
      <c r="AM2651" s="85"/>
    </row>
    <row r="2652" spans="1:39" hidden="1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521</v>
      </c>
      <c r="F2652" s="15" t="s">
        <v>522</v>
      </c>
      <c r="G2652" s="15" t="s">
        <v>521</v>
      </c>
      <c r="H2652" s="139"/>
      <c r="I2652" s="15" t="s">
        <v>3174</v>
      </c>
      <c r="J2652" s="1" t="s">
        <v>3671</v>
      </c>
      <c r="L2652" s="1" t="s">
        <v>3388</v>
      </c>
      <c r="M2652" s="15" t="s">
        <v>521</v>
      </c>
      <c r="N2652" s="15"/>
      <c r="O2652" s="8" t="s">
        <v>410</v>
      </c>
      <c r="P2652" s="8" t="s">
        <v>46</v>
      </c>
      <c r="Q2652" s="14">
        <v>0.02</v>
      </c>
      <c r="R2652" s="139"/>
      <c r="S2652" s="8"/>
      <c r="T2652" s="6">
        <v>18381.79</v>
      </c>
      <c r="U2652" s="6"/>
      <c r="V2652" s="6">
        <v>0</v>
      </c>
      <c r="W2652" s="18">
        <f t="shared" si="400"/>
        <v>18381.79</v>
      </c>
      <c r="X2652" s="13">
        <f t="shared" si="397"/>
        <v>0</v>
      </c>
      <c r="Y2652" s="13">
        <f t="shared" si="392"/>
        <v>0</v>
      </c>
      <c r="Z2652" s="14">
        <v>0</v>
      </c>
      <c r="AA2652" s="18"/>
      <c r="AB2652" s="4">
        <f t="shared" si="393"/>
        <v>0</v>
      </c>
      <c r="AC2652" s="6">
        <f t="shared" si="394"/>
        <v>0</v>
      </c>
      <c r="AD2652" s="6">
        <v>0</v>
      </c>
      <c r="AE2652" s="14">
        <v>0</v>
      </c>
      <c r="AF2652" s="6">
        <f t="shared" si="395"/>
        <v>0</v>
      </c>
      <c r="AG2652" s="14">
        <v>0</v>
      </c>
      <c r="AH2652" s="8"/>
      <c r="AI2652" s="16"/>
      <c r="AJ2652" s="126" t="e">
        <v>#N/A</v>
      </c>
      <c r="AK2652" s="80">
        <f t="shared" si="396"/>
        <v>0</v>
      </c>
      <c r="AM2652" s="85"/>
    </row>
    <row r="2653" spans="1:39" hidden="1" x14ac:dyDescent="0.3">
      <c r="A2653" s="85" t="s">
        <v>34</v>
      </c>
      <c r="B2653" s="15" t="s">
        <v>35</v>
      </c>
      <c r="C2653" s="15" t="s">
        <v>184</v>
      </c>
      <c r="D2653" s="15" t="s">
        <v>54</v>
      </c>
      <c r="E2653" s="15" t="s">
        <v>71</v>
      </c>
      <c r="F2653" s="15" t="s">
        <v>71</v>
      </c>
      <c r="G2653" s="15" t="s">
        <v>71</v>
      </c>
      <c r="H2653" s="139"/>
      <c r="I2653" s="15" t="s">
        <v>3171</v>
      </c>
      <c r="J2653" s="1" t="s">
        <v>3671</v>
      </c>
      <c r="L2653" s="1" t="s">
        <v>3388</v>
      </c>
      <c r="M2653" s="15" t="s">
        <v>71</v>
      </c>
      <c r="N2653" s="15"/>
      <c r="O2653" s="8" t="s">
        <v>45</v>
      </c>
      <c r="P2653" s="8" t="s">
        <v>46</v>
      </c>
      <c r="Q2653" s="14">
        <v>0.06</v>
      </c>
      <c r="R2653" s="139"/>
      <c r="S2653" s="8"/>
      <c r="T2653" s="6">
        <v>-3087.24</v>
      </c>
      <c r="U2653" s="6"/>
      <c r="V2653" s="6">
        <v>0</v>
      </c>
      <c r="W2653" s="18">
        <f t="shared" si="400"/>
        <v>-3087.24</v>
      </c>
      <c r="X2653" s="13">
        <f t="shared" si="397"/>
        <v>0</v>
      </c>
      <c r="Y2653" s="13">
        <f t="shared" si="392"/>
        <v>0</v>
      </c>
      <c r="Z2653" s="14">
        <v>0</v>
      </c>
      <c r="AA2653" s="18"/>
      <c r="AB2653" s="4">
        <f t="shared" si="393"/>
        <v>0</v>
      </c>
      <c r="AC2653" s="6">
        <f t="shared" si="394"/>
        <v>0</v>
      </c>
      <c r="AD2653" s="6">
        <v>0</v>
      </c>
      <c r="AE2653" s="14">
        <v>0</v>
      </c>
      <c r="AF2653" s="6">
        <f t="shared" si="395"/>
        <v>0</v>
      </c>
      <c r="AG2653" s="14">
        <v>0</v>
      </c>
      <c r="AH2653" s="8"/>
      <c r="AI2653" s="16"/>
      <c r="AJ2653" s="126" t="e">
        <v>#N/A</v>
      </c>
      <c r="AK2653" s="80">
        <f t="shared" si="396"/>
        <v>0</v>
      </c>
      <c r="AM2653" s="85"/>
    </row>
    <row r="2654" spans="1:39" hidden="1" x14ac:dyDescent="0.3">
      <c r="A2654" s="85" t="s">
        <v>34</v>
      </c>
      <c r="B2654" s="15" t="s">
        <v>35</v>
      </c>
      <c r="C2654" s="15" t="s">
        <v>144</v>
      </c>
      <c r="D2654" s="15" t="s">
        <v>145</v>
      </c>
      <c r="E2654" s="15" t="s">
        <v>146</v>
      </c>
      <c r="F2654" s="15" t="s">
        <v>146</v>
      </c>
      <c r="G2654" s="15" t="s">
        <v>146</v>
      </c>
      <c r="H2654" s="154"/>
      <c r="I2654" s="15" t="s">
        <v>2420</v>
      </c>
      <c r="J2654" s="1" t="s">
        <v>3323</v>
      </c>
      <c r="K2654" s="1" t="s">
        <v>3288</v>
      </c>
      <c r="L2654" s="1" t="s">
        <v>35</v>
      </c>
      <c r="M2654" s="15"/>
      <c r="N2654" s="15"/>
      <c r="O2654" s="8" t="s">
        <v>45</v>
      </c>
      <c r="P2654" s="8" t="s">
        <v>41</v>
      </c>
      <c r="Q2654" s="14">
        <v>0</v>
      </c>
      <c r="R2654" s="139"/>
      <c r="S2654" s="8"/>
      <c r="T2654" s="6">
        <v>0</v>
      </c>
      <c r="U2654" s="6">
        <v>295000</v>
      </c>
      <c r="V2654" s="6">
        <v>295000</v>
      </c>
      <c r="W2654" s="18">
        <f t="shared" si="400"/>
        <v>0</v>
      </c>
      <c r="X2654" s="13">
        <f t="shared" si="397"/>
        <v>295000</v>
      </c>
      <c r="Y2654" s="13">
        <f t="shared" si="392"/>
        <v>0</v>
      </c>
      <c r="Z2654" s="14">
        <v>0</v>
      </c>
      <c r="AA2654" s="18"/>
      <c r="AB2654" s="4">
        <f t="shared" si="393"/>
        <v>295000</v>
      </c>
      <c r="AC2654" s="6">
        <f t="shared" si="394"/>
        <v>0</v>
      </c>
      <c r="AD2654" s="6">
        <v>295000</v>
      </c>
      <c r="AE2654" s="14">
        <v>0</v>
      </c>
      <c r="AF2654" s="6">
        <f>AD2654*AE2654</f>
        <v>0</v>
      </c>
      <c r="AG2654" s="14">
        <v>0</v>
      </c>
      <c r="AH2654" s="6"/>
      <c r="AI2654" s="16"/>
      <c r="AJ2654" s="126" t="e">
        <v>#N/A</v>
      </c>
      <c r="AK2654" s="80">
        <f t="shared" si="396"/>
        <v>0</v>
      </c>
      <c r="AM2654" s="85"/>
    </row>
    <row r="2655" spans="1:39" hidden="1" x14ac:dyDescent="0.3">
      <c r="A2655" s="85" t="s">
        <v>34</v>
      </c>
      <c r="B2655" s="15" t="s">
        <v>35</v>
      </c>
      <c r="C2655" s="15" t="s">
        <v>59</v>
      </c>
      <c r="D2655" s="15" t="s">
        <v>60</v>
      </c>
      <c r="E2655" s="15" t="s">
        <v>3175</v>
      </c>
      <c r="F2655" s="15" t="s">
        <v>3175</v>
      </c>
      <c r="G2655" s="15" t="s">
        <v>3175</v>
      </c>
      <c r="H2655" s="154"/>
      <c r="I2655" s="15" t="s">
        <v>3176</v>
      </c>
      <c r="J2655" s="1" t="s">
        <v>3323</v>
      </c>
      <c r="K2655" s="1" t="s">
        <v>3297</v>
      </c>
      <c r="L2655" s="1" t="s">
        <v>35</v>
      </c>
      <c r="M2655" s="15"/>
      <c r="N2655" s="15"/>
      <c r="O2655" s="8" t="s">
        <v>45</v>
      </c>
      <c r="P2655" s="8" t="s">
        <v>41</v>
      </c>
      <c r="Q2655" s="14">
        <v>0</v>
      </c>
      <c r="R2655" s="139"/>
      <c r="S2655" s="8"/>
      <c r="T2655" s="6">
        <v>0</v>
      </c>
      <c r="U2655" s="6">
        <v>263736</v>
      </c>
      <c r="V2655" s="6">
        <v>263736</v>
      </c>
      <c r="W2655" s="18">
        <f t="shared" si="400"/>
        <v>0</v>
      </c>
      <c r="X2655" s="13">
        <f t="shared" si="397"/>
        <v>263736</v>
      </c>
      <c r="Y2655" s="13">
        <f t="shared" si="392"/>
        <v>0</v>
      </c>
      <c r="Z2655" s="14">
        <v>0</v>
      </c>
      <c r="AA2655" s="18"/>
      <c r="AB2655" s="4">
        <f t="shared" si="393"/>
        <v>263736</v>
      </c>
      <c r="AC2655" s="6">
        <f t="shared" si="394"/>
        <v>0</v>
      </c>
      <c r="AD2655" s="6">
        <v>263736</v>
      </c>
      <c r="AE2655" s="14">
        <v>0</v>
      </c>
      <c r="AF2655" s="6">
        <f t="shared" ref="AF2655:AF2704" si="401">AD2655*AE2655</f>
        <v>0</v>
      </c>
      <c r="AG2655" s="14">
        <v>0</v>
      </c>
      <c r="AH2655" s="6"/>
      <c r="AI2655" s="16"/>
      <c r="AJ2655" s="126" t="e">
        <v>#N/A</v>
      </c>
      <c r="AK2655" s="80">
        <f t="shared" si="396"/>
        <v>0</v>
      </c>
      <c r="AM2655" s="85"/>
    </row>
    <row r="2656" spans="1:39" hidden="1" x14ac:dyDescent="0.3">
      <c r="A2656" s="85" t="s">
        <v>34</v>
      </c>
      <c r="B2656" s="15" t="s">
        <v>35</v>
      </c>
      <c r="C2656" s="15" t="s">
        <v>59</v>
      </c>
      <c r="D2656" s="15" t="s">
        <v>60</v>
      </c>
      <c r="E2656" s="15" t="s">
        <v>89</v>
      </c>
      <c r="F2656" s="15" t="s">
        <v>89</v>
      </c>
      <c r="G2656" s="15" t="s">
        <v>89</v>
      </c>
      <c r="H2656" s="154"/>
      <c r="I2656" s="3" t="s">
        <v>3356</v>
      </c>
      <c r="J2656" s="1" t="s">
        <v>3326</v>
      </c>
      <c r="K2656" s="1" t="s">
        <v>3707</v>
      </c>
      <c r="L2656" s="1" t="s">
        <v>35</v>
      </c>
      <c r="M2656" s="15"/>
      <c r="N2656" s="3" t="s">
        <v>3708</v>
      </c>
      <c r="O2656" s="8" t="s">
        <v>3172</v>
      </c>
      <c r="P2656" s="8" t="s">
        <v>92</v>
      </c>
      <c r="Q2656" s="14">
        <v>0.9</v>
      </c>
      <c r="R2656" s="139"/>
      <c r="S2656" s="8"/>
      <c r="T2656" s="6">
        <v>0</v>
      </c>
      <c r="U2656" s="6">
        <v>105000</v>
      </c>
      <c r="V2656" s="6">
        <v>105000</v>
      </c>
      <c r="W2656" s="18">
        <f t="shared" si="400"/>
        <v>0</v>
      </c>
      <c r="X2656" s="13">
        <f t="shared" si="397"/>
        <v>94500</v>
      </c>
      <c r="Y2656" s="13">
        <f t="shared" si="392"/>
        <v>0</v>
      </c>
      <c r="Z2656" s="14">
        <v>0</v>
      </c>
      <c r="AA2656" s="18"/>
      <c r="AB2656" s="4">
        <f t="shared" si="393"/>
        <v>94500</v>
      </c>
      <c r="AC2656" s="6">
        <f t="shared" si="394"/>
        <v>10500</v>
      </c>
      <c r="AD2656" s="6">
        <v>105000</v>
      </c>
      <c r="AE2656" s="14">
        <v>0.1</v>
      </c>
      <c r="AF2656" s="6">
        <f t="shared" si="401"/>
        <v>10500</v>
      </c>
      <c r="AG2656" s="14">
        <v>0</v>
      </c>
      <c r="AH2656" s="6"/>
      <c r="AI2656" s="16"/>
      <c r="AJ2656" s="126" t="e">
        <v>#N/A</v>
      </c>
      <c r="AK2656" s="80">
        <f t="shared" si="396"/>
        <v>0</v>
      </c>
      <c r="AM2656" s="85"/>
    </row>
    <row r="2657" spans="1:39" hidden="1" x14ac:dyDescent="0.3">
      <c r="A2657" s="85" t="s">
        <v>34</v>
      </c>
      <c r="B2657" s="15" t="s">
        <v>35</v>
      </c>
      <c r="C2657" s="15" t="s">
        <v>96</v>
      </c>
      <c r="D2657" s="15" t="s">
        <v>97</v>
      </c>
      <c r="E2657" s="15" t="s">
        <v>3177</v>
      </c>
      <c r="F2657" s="15" t="s">
        <v>3177</v>
      </c>
      <c r="G2657" s="15" t="s">
        <v>3177</v>
      </c>
      <c r="H2657" s="139"/>
      <c r="I2657" s="15" t="s">
        <v>3178</v>
      </c>
      <c r="J2657" s="1" t="s">
        <v>3323</v>
      </c>
      <c r="K2657" s="1" t="s">
        <v>3290</v>
      </c>
      <c r="L2657" s="1" t="s">
        <v>35</v>
      </c>
      <c r="M2657" s="15"/>
      <c r="N2657" s="15"/>
      <c r="O2657" s="8" t="s">
        <v>45</v>
      </c>
      <c r="P2657" s="8" t="s">
        <v>41</v>
      </c>
      <c r="Q2657" s="14">
        <v>0</v>
      </c>
      <c r="R2657" s="139"/>
      <c r="S2657" s="8" t="s">
        <v>3179</v>
      </c>
      <c r="T2657" s="6">
        <v>0</v>
      </c>
      <c r="U2657" s="6">
        <v>40810</v>
      </c>
      <c r="V2657" s="6">
        <v>40810</v>
      </c>
      <c r="W2657" s="18">
        <f t="shared" si="400"/>
        <v>0</v>
      </c>
      <c r="X2657" s="13">
        <v>0</v>
      </c>
      <c r="Y2657" s="13">
        <f t="shared" si="392"/>
        <v>0</v>
      </c>
      <c r="Z2657" s="14">
        <v>0</v>
      </c>
      <c r="AA2657" s="18"/>
      <c r="AB2657" s="4">
        <f t="shared" si="393"/>
        <v>0</v>
      </c>
      <c r="AC2657" s="6">
        <f t="shared" si="394"/>
        <v>40810</v>
      </c>
      <c r="AD2657" s="6">
        <v>40810</v>
      </c>
      <c r="AE2657" s="14">
        <v>0</v>
      </c>
      <c r="AF2657" s="6">
        <f t="shared" si="401"/>
        <v>0</v>
      </c>
      <c r="AG2657" s="14">
        <v>0</v>
      </c>
      <c r="AH2657" s="6"/>
      <c r="AI2657" s="16"/>
      <c r="AJ2657" s="126" t="e">
        <v>#N/A</v>
      </c>
      <c r="AK2657" s="80">
        <f t="shared" si="396"/>
        <v>0</v>
      </c>
      <c r="AM2657" s="85"/>
    </row>
    <row r="2658" spans="1:39" hidden="1" x14ac:dyDescent="0.3">
      <c r="A2658" s="85" t="s">
        <v>34</v>
      </c>
      <c r="B2658" s="15" t="s">
        <v>35</v>
      </c>
      <c r="C2658" s="15" t="s">
        <v>36</v>
      </c>
      <c r="D2658" s="15" t="s">
        <v>54</v>
      </c>
      <c r="E2658" s="15" t="s">
        <v>71</v>
      </c>
      <c r="F2658" s="15" t="s">
        <v>72</v>
      </c>
      <c r="G2658" s="15" t="s">
        <v>71</v>
      </c>
      <c r="H2658" s="154"/>
      <c r="I2658" s="15" t="s">
        <v>3180</v>
      </c>
      <c r="J2658" s="1" t="s">
        <v>3323</v>
      </c>
      <c r="K2658" s="1" t="s">
        <v>3293</v>
      </c>
      <c r="L2658" s="1" t="s">
        <v>35</v>
      </c>
      <c r="M2658" s="15"/>
      <c r="N2658" s="15"/>
      <c r="O2658" s="8" t="s">
        <v>410</v>
      </c>
      <c r="P2658" s="8" t="s">
        <v>41</v>
      </c>
      <c r="Q2658" s="14">
        <v>0</v>
      </c>
      <c r="R2658" s="139"/>
      <c r="S2658" s="8"/>
      <c r="T2658" s="6">
        <v>0</v>
      </c>
      <c r="U2658" s="6">
        <v>-90177.23</v>
      </c>
      <c r="V2658" s="6">
        <v>-90177.23</v>
      </c>
      <c r="W2658" s="18">
        <f t="shared" si="400"/>
        <v>0</v>
      </c>
      <c r="X2658" s="13">
        <f t="shared" si="397"/>
        <v>-90177.23</v>
      </c>
      <c r="Y2658" s="13">
        <f t="shared" si="392"/>
        <v>0</v>
      </c>
      <c r="Z2658" s="14">
        <v>0</v>
      </c>
      <c r="AA2658" s="18"/>
      <c r="AB2658" s="4">
        <f t="shared" si="393"/>
        <v>-90177.23</v>
      </c>
      <c r="AC2658" s="6">
        <f t="shared" si="394"/>
        <v>0</v>
      </c>
      <c r="AD2658" s="6">
        <v>-90177.23</v>
      </c>
      <c r="AE2658" s="14">
        <v>0</v>
      </c>
      <c r="AF2658" s="6">
        <f t="shared" si="401"/>
        <v>0</v>
      </c>
      <c r="AG2658" s="14">
        <v>0</v>
      </c>
      <c r="AH2658" s="6"/>
      <c r="AI2658" s="16"/>
      <c r="AJ2658" s="126" t="e">
        <v>#N/A</v>
      </c>
      <c r="AK2658" s="80">
        <f t="shared" si="396"/>
        <v>0</v>
      </c>
      <c r="AM2658" s="85"/>
    </row>
    <row r="2659" spans="1:39" hidden="1" x14ac:dyDescent="0.3">
      <c r="A2659" s="85" t="s">
        <v>34</v>
      </c>
      <c r="B2659" s="15" t="s">
        <v>35</v>
      </c>
      <c r="C2659" s="15" t="s">
        <v>36</v>
      </c>
      <c r="D2659" s="15" t="s">
        <v>54</v>
      </c>
      <c r="E2659" s="15" t="s">
        <v>103</v>
      </c>
      <c r="F2659" s="15" t="s">
        <v>104</v>
      </c>
      <c r="G2659" s="15" t="s">
        <v>103</v>
      </c>
      <c r="H2659" s="139"/>
      <c r="I2659" s="15" t="s">
        <v>3181</v>
      </c>
      <c r="J2659" s="1" t="s">
        <v>3671</v>
      </c>
      <c r="L2659" s="1" t="s">
        <v>3388</v>
      </c>
      <c r="M2659" s="15"/>
      <c r="N2659" s="15"/>
      <c r="O2659" s="8" t="s">
        <v>45</v>
      </c>
      <c r="P2659" s="8" t="s">
        <v>46</v>
      </c>
      <c r="Q2659" s="14">
        <v>7.0000000000000007E-2</v>
      </c>
      <c r="R2659" s="139"/>
      <c r="S2659" s="8"/>
      <c r="T2659" s="6">
        <v>0</v>
      </c>
      <c r="U2659" s="6">
        <v>0</v>
      </c>
      <c r="V2659" s="6"/>
      <c r="W2659" s="18">
        <f t="shared" si="400"/>
        <v>0</v>
      </c>
      <c r="X2659" s="13">
        <f t="shared" si="397"/>
        <v>0</v>
      </c>
      <c r="Y2659" s="13">
        <f t="shared" si="392"/>
        <v>0</v>
      </c>
      <c r="Z2659" s="14">
        <v>0</v>
      </c>
      <c r="AA2659" s="18"/>
      <c r="AB2659" s="4">
        <f t="shared" si="393"/>
        <v>0</v>
      </c>
      <c r="AC2659" s="6">
        <f t="shared" si="394"/>
        <v>0</v>
      </c>
      <c r="AD2659" s="6"/>
      <c r="AE2659" s="14"/>
      <c r="AF2659" s="6">
        <f t="shared" si="401"/>
        <v>0</v>
      </c>
      <c r="AG2659" s="14">
        <v>0</v>
      </c>
      <c r="AH2659" s="6"/>
      <c r="AI2659" s="16"/>
      <c r="AJ2659" s="126" t="e">
        <v>#N/A</v>
      </c>
      <c r="AK2659" s="80">
        <f t="shared" si="396"/>
        <v>0</v>
      </c>
      <c r="AM2659" s="85"/>
    </row>
    <row r="2660" spans="1:39" hidden="1" x14ac:dyDescent="0.3">
      <c r="A2660" s="85" t="s">
        <v>34</v>
      </c>
      <c r="B2660" s="15" t="s">
        <v>35</v>
      </c>
      <c r="C2660" s="15" t="s">
        <v>36</v>
      </c>
      <c r="D2660" s="15" t="s">
        <v>54</v>
      </c>
      <c r="E2660" s="15" t="s">
        <v>55</v>
      </c>
      <c r="F2660" s="15" t="s">
        <v>55</v>
      </c>
      <c r="G2660" s="15" t="s">
        <v>55</v>
      </c>
      <c r="H2660" s="154"/>
      <c r="I2660" s="15" t="s">
        <v>3182</v>
      </c>
      <c r="J2660" s="1" t="s">
        <v>3323</v>
      </c>
      <c r="K2660" s="1" t="s">
        <v>3289</v>
      </c>
      <c r="L2660" s="1" t="s">
        <v>35</v>
      </c>
      <c r="M2660" s="15"/>
      <c r="N2660" s="15"/>
      <c r="O2660" s="8" t="s">
        <v>45</v>
      </c>
      <c r="P2660" s="8" t="s">
        <v>41</v>
      </c>
      <c r="Q2660" s="14">
        <v>0</v>
      </c>
      <c r="R2660" s="139"/>
      <c r="S2660" s="8"/>
      <c r="T2660" s="6">
        <v>242615.16999999993</v>
      </c>
      <c r="U2660" s="6">
        <v>4610490.5</v>
      </c>
      <c r="V2660" s="6">
        <v>4610490.5</v>
      </c>
      <c r="W2660" s="18">
        <f t="shared" si="400"/>
        <v>242615.16999999993</v>
      </c>
      <c r="X2660" s="13">
        <f t="shared" si="397"/>
        <v>4610490.5</v>
      </c>
      <c r="Y2660" s="13">
        <f t="shared" si="392"/>
        <v>0</v>
      </c>
      <c r="Z2660" s="14">
        <v>0</v>
      </c>
      <c r="AA2660" s="18"/>
      <c r="AB2660" s="4">
        <f t="shared" si="393"/>
        <v>4610490.5</v>
      </c>
      <c r="AC2660" s="6">
        <f t="shared" si="394"/>
        <v>0</v>
      </c>
      <c r="AD2660" s="6">
        <v>4610490.5</v>
      </c>
      <c r="AE2660" s="14">
        <v>0</v>
      </c>
      <c r="AF2660" s="6">
        <f t="shared" si="401"/>
        <v>0</v>
      </c>
      <c r="AG2660" s="14">
        <v>0</v>
      </c>
      <c r="AH2660" s="6"/>
      <c r="AI2660" s="16"/>
      <c r="AJ2660" s="126" t="e">
        <v>#N/A</v>
      </c>
      <c r="AK2660" s="80">
        <f t="shared" si="396"/>
        <v>0</v>
      </c>
      <c r="AM2660" s="85"/>
    </row>
    <row r="2661" spans="1:39" hidden="1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3183</v>
      </c>
      <c r="F2661" s="15" t="s">
        <v>3184</v>
      </c>
      <c r="G2661" s="15" t="s">
        <v>3183</v>
      </c>
      <c r="H2661" s="154"/>
      <c r="I2661" s="15" t="s">
        <v>3185</v>
      </c>
      <c r="J2661" s="1" t="s">
        <v>3323</v>
      </c>
      <c r="K2661" s="1" t="s">
        <v>3295</v>
      </c>
      <c r="L2661" s="1" t="s">
        <v>35</v>
      </c>
      <c r="M2661" s="15"/>
      <c r="N2661" s="15"/>
      <c r="O2661" s="8" t="s">
        <v>45</v>
      </c>
      <c r="P2661" s="8" t="s">
        <v>46</v>
      </c>
      <c r="Q2661" s="14">
        <v>7.0000000000000007E-2</v>
      </c>
      <c r="R2661" s="139"/>
      <c r="S2661" s="8"/>
      <c r="T2661" s="6">
        <v>220069.63</v>
      </c>
      <c r="U2661" s="6">
        <v>990000</v>
      </c>
      <c r="V2661" s="6">
        <v>758205.06</v>
      </c>
      <c r="W2661" s="18">
        <f t="shared" si="400"/>
        <v>451864.56999999983</v>
      </c>
      <c r="X2661" s="13">
        <f t="shared" si="397"/>
        <v>708602.85981308413</v>
      </c>
      <c r="Y2661" s="13">
        <f t="shared" si="392"/>
        <v>0</v>
      </c>
      <c r="Z2661" s="14">
        <v>0</v>
      </c>
      <c r="AA2661" s="18"/>
      <c r="AB2661" s="4">
        <f t="shared" si="393"/>
        <v>708602.85981308413</v>
      </c>
      <c r="AC2661" s="6">
        <f t="shared" si="394"/>
        <v>49602.200186915928</v>
      </c>
      <c r="AD2661" s="6">
        <v>758205.06</v>
      </c>
      <c r="AE2661" s="14">
        <v>0.05</v>
      </c>
      <c r="AF2661" s="6">
        <f t="shared" si="401"/>
        <v>37910.253000000004</v>
      </c>
      <c r="AG2661" s="14">
        <v>0</v>
      </c>
      <c r="AH2661" s="6"/>
      <c r="AI2661" s="16"/>
      <c r="AJ2661" s="126" t="e">
        <v>#N/A</v>
      </c>
      <c r="AK2661" s="80">
        <f t="shared" si="396"/>
        <v>0</v>
      </c>
      <c r="AM2661" s="85"/>
    </row>
    <row r="2662" spans="1:39" hidden="1" x14ac:dyDescent="0.3">
      <c r="A2662" s="85" t="s">
        <v>34</v>
      </c>
      <c r="B2662" s="15" t="s">
        <v>35</v>
      </c>
      <c r="C2662" s="15" t="s">
        <v>144</v>
      </c>
      <c r="D2662" s="15" t="s">
        <v>145</v>
      </c>
      <c r="E2662" s="15" t="s">
        <v>149</v>
      </c>
      <c r="F2662" s="15" t="s">
        <v>149</v>
      </c>
      <c r="G2662" s="15" t="s">
        <v>149</v>
      </c>
      <c r="H2662" s="154"/>
      <c r="I2662" s="15" t="s">
        <v>3185</v>
      </c>
      <c r="J2662" s="1" t="s">
        <v>3323</v>
      </c>
      <c r="K2662" s="1" t="s">
        <v>3295</v>
      </c>
      <c r="L2662" s="1" t="s">
        <v>35</v>
      </c>
      <c r="M2662" s="15"/>
      <c r="N2662" s="15"/>
      <c r="O2662" s="8" t="s">
        <v>45</v>
      </c>
      <c r="P2662" s="8" t="s">
        <v>41</v>
      </c>
      <c r="Q2662" s="14">
        <v>0</v>
      </c>
      <c r="R2662" s="139"/>
      <c r="S2662" s="8"/>
      <c r="T2662" s="6">
        <v>545683.66</v>
      </c>
      <c r="U2662" s="6">
        <v>-100000</v>
      </c>
      <c r="V2662" s="6">
        <v>159107.41</v>
      </c>
      <c r="W2662" s="18">
        <f t="shared" si="400"/>
        <v>286576.25</v>
      </c>
      <c r="X2662" s="13">
        <f t="shared" si="397"/>
        <v>159107.41</v>
      </c>
      <c r="Y2662" s="13">
        <f t="shared" si="392"/>
        <v>0</v>
      </c>
      <c r="Z2662" s="14">
        <v>0</v>
      </c>
      <c r="AA2662" s="18"/>
      <c r="AB2662" s="4">
        <f t="shared" si="393"/>
        <v>159107.41</v>
      </c>
      <c r="AC2662" s="6">
        <f t="shared" si="394"/>
        <v>0</v>
      </c>
      <c r="AD2662" s="6">
        <v>159107.41</v>
      </c>
      <c r="AE2662" s="14">
        <v>0.05</v>
      </c>
      <c r="AF2662" s="6">
        <f t="shared" si="401"/>
        <v>7955.3705000000009</v>
      </c>
      <c r="AG2662" s="14">
        <v>0</v>
      </c>
      <c r="AH2662" s="6"/>
      <c r="AI2662" s="16"/>
      <c r="AJ2662" s="126" t="e">
        <v>#N/A</v>
      </c>
      <c r="AK2662" s="80">
        <f t="shared" si="396"/>
        <v>0</v>
      </c>
      <c r="AM2662" s="85"/>
    </row>
    <row r="2663" spans="1:39" hidden="1" x14ac:dyDescent="0.3">
      <c r="A2663" s="85" t="s">
        <v>34</v>
      </c>
      <c r="B2663" s="15" t="s">
        <v>35</v>
      </c>
      <c r="C2663" s="15" t="s">
        <v>144</v>
      </c>
      <c r="D2663" s="15" t="s">
        <v>152</v>
      </c>
      <c r="E2663" s="15" t="s">
        <v>3186</v>
      </c>
      <c r="F2663" s="15" t="s">
        <v>159</v>
      </c>
      <c r="G2663" s="15" t="s">
        <v>159</v>
      </c>
      <c r="H2663" s="139"/>
      <c r="I2663" s="3" t="s">
        <v>3356</v>
      </c>
      <c r="J2663" s="1" t="s">
        <v>3326</v>
      </c>
      <c r="K2663" s="1" t="s">
        <v>3712</v>
      </c>
      <c r="L2663" s="1" t="s">
        <v>35</v>
      </c>
      <c r="M2663" s="15"/>
      <c r="N2663" s="3" t="s">
        <v>3728</v>
      </c>
      <c r="O2663" s="8" t="s">
        <v>3172</v>
      </c>
      <c r="P2663" s="8" t="s">
        <v>41</v>
      </c>
      <c r="Q2663" s="14">
        <v>0</v>
      </c>
      <c r="R2663" s="139"/>
      <c r="S2663" s="8"/>
      <c r="T2663" s="6">
        <v>0</v>
      </c>
      <c r="U2663" s="6">
        <v>0</v>
      </c>
      <c r="V2663" s="6">
        <v>0</v>
      </c>
      <c r="W2663" s="18">
        <f t="shared" si="400"/>
        <v>0</v>
      </c>
      <c r="X2663" s="13">
        <f t="shared" si="397"/>
        <v>0</v>
      </c>
      <c r="Y2663" s="13">
        <f t="shared" si="392"/>
        <v>0</v>
      </c>
      <c r="Z2663" s="14">
        <v>0</v>
      </c>
      <c r="AA2663" s="18"/>
      <c r="AB2663" s="4">
        <f t="shared" si="393"/>
        <v>0</v>
      </c>
      <c r="AC2663" s="6">
        <f t="shared" si="394"/>
        <v>0</v>
      </c>
      <c r="AD2663" s="6">
        <v>0</v>
      </c>
      <c r="AE2663" s="14">
        <v>0.1</v>
      </c>
      <c r="AF2663" s="6">
        <f t="shared" si="401"/>
        <v>0</v>
      </c>
      <c r="AG2663" s="14">
        <v>0</v>
      </c>
      <c r="AH2663" s="6"/>
      <c r="AI2663" s="16" t="s">
        <v>3187</v>
      </c>
      <c r="AJ2663" s="126" t="e">
        <v>#N/A</v>
      </c>
      <c r="AK2663" s="80">
        <f t="shared" si="396"/>
        <v>0</v>
      </c>
      <c r="AM2663" s="85"/>
    </row>
    <row r="2664" spans="1:39" hidden="1" x14ac:dyDescent="0.3">
      <c r="A2664" s="85" t="s">
        <v>34</v>
      </c>
      <c r="B2664" s="15" t="s">
        <v>35</v>
      </c>
      <c r="C2664" s="15" t="s">
        <v>164</v>
      </c>
      <c r="D2664" s="15" t="s">
        <v>165</v>
      </c>
      <c r="E2664" s="15" t="s">
        <v>3188</v>
      </c>
      <c r="F2664" s="15" t="s">
        <v>3188</v>
      </c>
      <c r="G2664" s="15" t="s">
        <v>167</v>
      </c>
      <c r="H2664" s="139"/>
      <c r="I2664" s="15" t="s">
        <v>3185</v>
      </c>
      <c r="J2664" s="1" t="s">
        <v>3323</v>
      </c>
      <c r="K2664" s="1" t="s">
        <v>3295</v>
      </c>
      <c r="L2664" s="1" t="s">
        <v>35</v>
      </c>
      <c r="M2664" s="15"/>
      <c r="N2664" s="15"/>
      <c r="O2664" s="8" t="s">
        <v>45</v>
      </c>
      <c r="P2664" s="8" t="s">
        <v>41</v>
      </c>
      <c r="Q2664" s="14">
        <v>0</v>
      </c>
      <c r="R2664" s="139"/>
      <c r="S2664" s="8"/>
      <c r="T2664" s="6">
        <v>139286.86999999994</v>
      </c>
      <c r="U2664" s="6">
        <v>-139286.87</v>
      </c>
      <c r="V2664" s="6">
        <v>0</v>
      </c>
      <c r="W2664" s="18">
        <f t="shared" si="400"/>
        <v>-5.8207660913467407E-11</v>
      </c>
      <c r="X2664" s="13">
        <f t="shared" si="397"/>
        <v>0</v>
      </c>
      <c r="Y2664" s="13">
        <f t="shared" si="392"/>
        <v>0</v>
      </c>
      <c r="Z2664" s="14">
        <v>0</v>
      </c>
      <c r="AA2664" s="18"/>
      <c r="AB2664" s="4">
        <f t="shared" si="393"/>
        <v>0</v>
      </c>
      <c r="AC2664" s="6">
        <f t="shared" si="394"/>
        <v>0</v>
      </c>
      <c r="AD2664" s="6">
        <v>0</v>
      </c>
      <c r="AE2664" s="14">
        <v>0.05</v>
      </c>
      <c r="AF2664" s="6">
        <f t="shared" si="401"/>
        <v>0</v>
      </c>
      <c r="AG2664" s="14">
        <v>0</v>
      </c>
      <c r="AH2664" s="6"/>
      <c r="AI2664" s="16"/>
      <c r="AJ2664" s="126" t="e">
        <v>#N/A</v>
      </c>
      <c r="AK2664" s="80">
        <f t="shared" si="396"/>
        <v>0</v>
      </c>
      <c r="AM2664" s="85"/>
    </row>
    <row r="2665" spans="1:39" hidden="1" x14ac:dyDescent="0.3">
      <c r="A2665" s="85" t="s">
        <v>34</v>
      </c>
      <c r="B2665" s="15" t="s">
        <v>35</v>
      </c>
      <c r="C2665" s="15" t="s">
        <v>65</v>
      </c>
      <c r="D2665" s="15" t="s">
        <v>122</v>
      </c>
      <c r="E2665" s="15" t="s">
        <v>3189</v>
      </c>
      <c r="F2665" s="15" t="s">
        <v>3189</v>
      </c>
      <c r="G2665" s="15" t="s">
        <v>3189</v>
      </c>
      <c r="H2665" s="139"/>
      <c r="I2665" s="15" t="s">
        <v>3185</v>
      </c>
      <c r="J2665" s="1" t="s">
        <v>3323</v>
      </c>
      <c r="K2665" s="1" t="s">
        <v>3295</v>
      </c>
      <c r="L2665" s="1" t="s">
        <v>35</v>
      </c>
      <c r="M2665" s="15"/>
      <c r="N2665" s="15"/>
      <c r="O2665" s="8" t="s">
        <v>45</v>
      </c>
      <c r="P2665" s="8" t="s">
        <v>46</v>
      </c>
      <c r="Q2665" s="14">
        <v>0.08</v>
      </c>
      <c r="R2665" s="139"/>
      <c r="S2665" s="8"/>
      <c r="T2665" s="6">
        <v>0</v>
      </c>
      <c r="U2665" s="6">
        <v>0</v>
      </c>
      <c r="V2665" s="6">
        <v>0</v>
      </c>
      <c r="W2665" s="18">
        <f t="shared" si="400"/>
        <v>0</v>
      </c>
      <c r="X2665" s="13">
        <f t="shared" si="397"/>
        <v>0</v>
      </c>
      <c r="Y2665" s="13">
        <f t="shared" si="392"/>
        <v>0</v>
      </c>
      <c r="Z2665" s="14">
        <v>0</v>
      </c>
      <c r="AA2665" s="18"/>
      <c r="AB2665" s="4">
        <f t="shared" si="393"/>
        <v>0</v>
      </c>
      <c r="AC2665" s="6">
        <f t="shared" si="394"/>
        <v>0</v>
      </c>
      <c r="AD2665" s="6">
        <v>0</v>
      </c>
      <c r="AE2665" s="14">
        <v>0.05</v>
      </c>
      <c r="AF2665" s="6">
        <f t="shared" si="401"/>
        <v>0</v>
      </c>
      <c r="AG2665" s="14">
        <v>0</v>
      </c>
      <c r="AH2665" s="6"/>
      <c r="AI2665" s="16"/>
      <c r="AJ2665" s="126" t="e">
        <v>#N/A</v>
      </c>
      <c r="AK2665" s="80">
        <f t="shared" si="396"/>
        <v>0</v>
      </c>
      <c r="AM2665" s="85"/>
    </row>
    <row r="2666" spans="1:39" hidden="1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3183</v>
      </c>
      <c r="F2666" s="15" t="s">
        <v>3183</v>
      </c>
      <c r="G2666" s="15" t="s">
        <v>3183</v>
      </c>
      <c r="H2666" s="139"/>
      <c r="I2666" s="15" t="s">
        <v>3185</v>
      </c>
      <c r="J2666" s="1" t="s">
        <v>3323</v>
      </c>
      <c r="K2666" s="1" t="s">
        <v>3295</v>
      </c>
      <c r="L2666" s="1" t="s">
        <v>35</v>
      </c>
      <c r="M2666" s="15"/>
      <c r="N2666" s="15"/>
      <c r="O2666" s="8" t="s">
        <v>45</v>
      </c>
      <c r="P2666" s="8" t="s">
        <v>46</v>
      </c>
      <c r="Q2666" s="14">
        <v>7.0000000000000007E-2</v>
      </c>
      <c r="R2666" s="139"/>
      <c r="S2666" s="8"/>
      <c r="T2666" s="6">
        <v>0</v>
      </c>
      <c r="U2666" s="6">
        <v>0</v>
      </c>
      <c r="V2666" s="6">
        <v>0</v>
      </c>
      <c r="W2666" s="18">
        <f t="shared" si="400"/>
        <v>0</v>
      </c>
      <c r="X2666" s="13">
        <f t="shared" si="397"/>
        <v>0</v>
      </c>
      <c r="Y2666" s="13">
        <f t="shared" si="392"/>
        <v>0</v>
      </c>
      <c r="Z2666" s="14">
        <v>0</v>
      </c>
      <c r="AA2666" s="18"/>
      <c r="AB2666" s="4">
        <f t="shared" si="393"/>
        <v>0</v>
      </c>
      <c r="AC2666" s="6">
        <f t="shared" si="394"/>
        <v>0</v>
      </c>
      <c r="AD2666" s="6">
        <v>0</v>
      </c>
      <c r="AE2666" s="14">
        <v>0.05</v>
      </c>
      <c r="AF2666" s="6">
        <f t="shared" si="401"/>
        <v>0</v>
      </c>
      <c r="AG2666" s="14">
        <v>0</v>
      </c>
      <c r="AH2666" s="6"/>
      <c r="AI2666" s="16"/>
      <c r="AJ2666" s="126" t="e">
        <v>#N/A</v>
      </c>
      <c r="AK2666" s="80">
        <f t="shared" si="396"/>
        <v>0</v>
      </c>
      <c r="AM2666" s="85"/>
    </row>
    <row r="2667" spans="1:39" hidden="1" x14ac:dyDescent="0.3">
      <c r="A2667" s="85" t="s">
        <v>34</v>
      </c>
      <c r="B2667" s="15" t="s">
        <v>35</v>
      </c>
      <c r="C2667" s="15" t="s">
        <v>164</v>
      </c>
      <c r="D2667" s="15" t="s">
        <v>165</v>
      </c>
      <c r="E2667" s="15" t="s">
        <v>167</v>
      </c>
      <c r="F2667" s="15" t="s">
        <v>167</v>
      </c>
      <c r="G2667" s="15" t="s">
        <v>167</v>
      </c>
      <c r="H2667" s="139"/>
      <c r="I2667" s="15" t="s">
        <v>3185</v>
      </c>
      <c r="J2667" s="1" t="s">
        <v>3323</v>
      </c>
      <c r="K2667" s="1" t="s">
        <v>3295</v>
      </c>
      <c r="L2667" s="1" t="s">
        <v>35</v>
      </c>
      <c r="M2667" s="15"/>
      <c r="N2667" s="15"/>
      <c r="O2667" s="8" t="s">
        <v>45</v>
      </c>
      <c r="P2667" s="8" t="s">
        <v>41</v>
      </c>
      <c r="Q2667" s="14">
        <v>0</v>
      </c>
      <c r="R2667" s="139"/>
      <c r="S2667" s="8"/>
      <c r="T2667" s="6">
        <v>0</v>
      </c>
      <c r="U2667" s="6">
        <v>0</v>
      </c>
      <c r="V2667" s="6">
        <v>0</v>
      </c>
      <c r="W2667" s="18">
        <f t="shared" si="400"/>
        <v>0</v>
      </c>
      <c r="X2667" s="13">
        <f t="shared" si="397"/>
        <v>0</v>
      </c>
      <c r="Y2667" s="13">
        <f t="shared" si="392"/>
        <v>0</v>
      </c>
      <c r="Z2667" s="14">
        <v>0</v>
      </c>
      <c r="AA2667" s="18"/>
      <c r="AB2667" s="4">
        <f t="shared" si="393"/>
        <v>0</v>
      </c>
      <c r="AC2667" s="6">
        <f t="shared" si="394"/>
        <v>0</v>
      </c>
      <c r="AD2667" s="6">
        <v>0</v>
      </c>
      <c r="AE2667" s="14">
        <v>0.05</v>
      </c>
      <c r="AF2667" s="6">
        <f t="shared" si="401"/>
        <v>0</v>
      </c>
      <c r="AG2667" s="14">
        <v>0</v>
      </c>
      <c r="AH2667" s="6"/>
      <c r="AI2667" s="16"/>
      <c r="AJ2667" s="126" t="e">
        <v>#N/A</v>
      </c>
      <c r="AK2667" s="80">
        <f t="shared" si="396"/>
        <v>0</v>
      </c>
      <c r="AM2667" s="85"/>
    </row>
    <row r="2668" spans="1:39" hidden="1" x14ac:dyDescent="0.3">
      <c r="A2668" s="85" t="s">
        <v>34</v>
      </c>
      <c r="B2668" s="15" t="s">
        <v>35</v>
      </c>
      <c r="C2668" s="15" t="s">
        <v>144</v>
      </c>
      <c r="D2668" s="15" t="s">
        <v>145</v>
      </c>
      <c r="E2668" s="15" t="s">
        <v>149</v>
      </c>
      <c r="F2668" s="15" t="s">
        <v>149</v>
      </c>
      <c r="G2668" s="15" t="s">
        <v>149</v>
      </c>
      <c r="H2668" s="139"/>
      <c r="I2668" s="15" t="s">
        <v>3185</v>
      </c>
      <c r="J2668" s="1" t="s">
        <v>3323</v>
      </c>
      <c r="K2668" s="1" t="s">
        <v>3295</v>
      </c>
      <c r="L2668" s="1" t="s">
        <v>35</v>
      </c>
      <c r="M2668" s="15"/>
      <c r="N2668" s="15"/>
      <c r="O2668" s="8" t="s">
        <v>45</v>
      </c>
      <c r="P2668" s="8" t="s">
        <v>41</v>
      </c>
      <c r="Q2668" s="14">
        <v>0</v>
      </c>
      <c r="R2668" s="139"/>
      <c r="S2668" s="8"/>
      <c r="T2668" s="6">
        <v>0</v>
      </c>
      <c r="U2668" s="6">
        <v>0</v>
      </c>
      <c r="V2668" s="6">
        <v>0</v>
      </c>
      <c r="W2668" s="18">
        <f t="shared" si="400"/>
        <v>0</v>
      </c>
      <c r="X2668" s="13">
        <f t="shared" si="397"/>
        <v>0</v>
      </c>
      <c r="Y2668" s="13">
        <f t="shared" si="392"/>
        <v>0</v>
      </c>
      <c r="Z2668" s="14">
        <v>0</v>
      </c>
      <c r="AA2668" s="18"/>
      <c r="AB2668" s="4">
        <f t="shared" si="393"/>
        <v>0</v>
      </c>
      <c r="AC2668" s="6">
        <f t="shared" si="394"/>
        <v>0</v>
      </c>
      <c r="AD2668" s="6">
        <v>0</v>
      </c>
      <c r="AE2668" s="14">
        <v>0.05</v>
      </c>
      <c r="AF2668" s="6">
        <f t="shared" si="401"/>
        <v>0</v>
      </c>
      <c r="AG2668" s="14">
        <v>0</v>
      </c>
      <c r="AH2668" s="6"/>
      <c r="AI2668" s="16"/>
      <c r="AJ2668" s="126" t="e">
        <v>#N/A</v>
      </c>
      <c r="AK2668" s="80">
        <f t="shared" si="396"/>
        <v>0</v>
      </c>
      <c r="AM2668" s="85"/>
    </row>
    <row r="2669" spans="1:39" hidden="1" x14ac:dyDescent="0.3">
      <c r="A2669" s="85" t="s">
        <v>34</v>
      </c>
      <c r="B2669" s="15" t="s">
        <v>35</v>
      </c>
      <c r="C2669" s="15" t="s">
        <v>144</v>
      </c>
      <c r="D2669" s="15" t="s">
        <v>152</v>
      </c>
      <c r="E2669" s="15" t="s">
        <v>153</v>
      </c>
      <c r="F2669" s="15" t="s">
        <v>153</v>
      </c>
      <c r="G2669" s="15" t="s">
        <v>153</v>
      </c>
      <c r="H2669" s="139"/>
      <c r="I2669" s="15" t="s">
        <v>3181</v>
      </c>
      <c r="J2669" s="1" t="s">
        <v>3671</v>
      </c>
      <c r="L2669" s="1" t="s">
        <v>3388</v>
      </c>
      <c r="M2669" s="15"/>
      <c r="N2669" s="15"/>
      <c r="O2669" s="8" t="s">
        <v>45</v>
      </c>
      <c r="P2669" s="8" t="s">
        <v>46</v>
      </c>
      <c r="Q2669" s="14">
        <v>7.0000000000000007E-2</v>
      </c>
      <c r="R2669" s="139"/>
      <c r="S2669" s="8"/>
      <c r="T2669" s="6">
        <v>0</v>
      </c>
      <c r="U2669" s="6">
        <v>0</v>
      </c>
      <c r="V2669" s="6">
        <v>0</v>
      </c>
      <c r="W2669" s="18">
        <f t="shared" si="400"/>
        <v>0</v>
      </c>
      <c r="X2669" s="13">
        <f t="shared" si="397"/>
        <v>0</v>
      </c>
      <c r="Y2669" s="13">
        <f t="shared" si="392"/>
        <v>0</v>
      </c>
      <c r="Z2669" s="14">
        <v>0</v>
      </c>
      <c r="AA2669" s="18"/>
      <c r="AB2669" s="4">
        <f t="shared" si="393"/>
        <v>0</v>
      </c>
      <c r="AC2669" s="6">
        <f t="shared" si="394"/>
        <v>0</v>
      </c>
      <c r="AD2669" s="6">
        <v>0</v>
      </c>
      <c r="AE2669" s="14">
        <v>0</v>
      </c>
      <c r="AF2669" s="6">
        <f t="shared" si="401"/>
        <v>0</v>
      </c>
      <c r="AG2669" s="14">
        <v>0</v>
      </c>
      <c r="AH2669" s="6"/>
      <c r="AI2669" s="16"/>
      <c r="AJ2669" s="126" t="e">
        <v>#N/A</v>
      </c>
      <c r="AK2669" s="80">
        <f t="shared" si="396"/>
        <v>0</v>
      </c>
      <c r="AM2669" s="85"/>
    </row>
    <row r="2670" spans="1:39" hidden="1" x14ac:dyDescent="0.3">
      <c r="A2670" s="85" t="s">
        <v>34</v>
      </c>
      <c r="B2670" s="15" t="s">
        <v>35</v>
      </c>
      <c r="C2670" s="15" t="s">
        <v>164</v>
      </c>
      <c r="D2670" s="15" t="s">
        <v>174</v>
      </c>
      <c r="E2670" s="15" t="s">
        <v>176</v>
      </c>
      <c r="F2670" s="15" t="s">
        <v>176</v>
      </c>
      <c r="G2670" s="15" t="s">
        <v>176</v>
      </c>
      <c r="H2670" s="154"/>
      <c r="I2670" s="15" t="s">
        <v>3185</v>
      </c>
      <c r="J2670" s="1" t="s">
        <v>3323</v>
      </c>
      <c r="K2670" s="1" t="s">
        <v>3295</v>
      </c>
      <c r="L2670" s="1" t="s">
        <v>35</v>
      </c>
      <c r="M2670" s="15"/>
      <c r="N2670" s="15"/>
      <c r="O2670" s="8" t="s">
        <v>45</v>
      </c>
      <c r="P2670" s="8" t="s">
        <v>3749</v>
      </c>
      <c r="Q2670" s="14">
        <v>0</v>
      </c>
      <c r="R2670" s="139"/>
      <c r="S2670" s="8"/>
      <c r="T2670" s="6">
        <v>142768.80000000002</v>
      </c>
      <c r="U2670" s="6">
        <v>0</v>
      </c>
      <c r="V2670" s="6">
        <v>65712.88</v>
      </c>
      <c r="W2670" s="18">
        <f t="shared" si="400"/>
        <v>77055.920000000013</v>
      </c>
      <c r="X2670" s="13">
        <f t="shared" si="397"/>
        <v>65712.88</v>
      </c>
      <c r="Y2670" s="13">
        <f t="shared" si="392"/>
        <v>65712.88</v>
      </c>
      <c r="Z2670" s="14">
        <v>0</v>
      </c>
      <c r="AA2670" s="18"/>
      <c r="AB2670" s="4">
        <f t="shared" si="393"/>
        <v>65712.88</v>
      </c>
      <c r="AC2670" s="6">
        <f t="shared" si="394"/>
        <v>0</v>
      </c>
      <c r="AD2670" s="6">
        <v>0</v>
      </c>
      <c r="AE2670" s="14">
        <v>0.05</v>
      </c>
      <c r="AF2670" s="6">
        <f t="shared" si="401"/>
        <v>0</v>
      </c>
      <c r="AG2670" s="14">
        <v>0</v>
      </c>
      <c r="AH2670" s="6"/>
      <c r="AI2670" s="16"/>
      <c r="AJ2670" s="126" t="e">
        <v>#N/A</v>
      </c>
      <c r="AK2670" s="80">
        <f t="shared" si="396"/>
        <v>0</v>
      </c>
      <c r="AM2670" s="85"/>
    </row>
    <row r="2671" spans="1:39" hidden="1" x14ac:dyDescent="0.3">
      <c r="A2671" s="85" t="s">
        <v>34</v>
      </c>
      <c r="B2671" s="15" t="s">
        <v>35</v>
      </c>
      <c r="C2671" s="15" t="s">
        <v>184</v>
      </c>
      <c r="D2671" s="15" t="s">
        <v>54</v>
      </c>
      <c r="E2671" s="15" t="s">
        <v>109</v>
      </c>
      <c r="F2671" s="15" t="s">
        <v>109</v>
      </c>
      <c r="G2671" s="15" t="s">
        <v>109</v>
      </c>
      <c r="H2671" s="139"/>
      <c r="I2671" s="15" t="s">
        <v>3181</v>
      </c>
      <c r="J2671" s="1" t="s">
        <v>3671</v>
      </c>
      <c r="L2671" s="1" t="s">
        <v>3388</v>
      </c>
      <c r="M2671" s="15"/>
      <c r="N2671" s="15"/>
      <c r="O2671" s="8" t="s">
        <v>45</v>
      </c>
      <c r="P2671" s="8" t="s">
        <v>46</v>
      </c>
      <c r="Q2671" s="14">
        <v>7.0000000000000007E-2</v>
      </c>
      <c r="R2671" s="139"/>
      <c r="S2671" s="8"/>
      <c r="T2671" s="6">
        <v>0</v>
      </c>
      <c r="U2671" s="6">
        <v>0</v>
      </c>
      <c r="V2671" s="6">
        <v>0</v>
      </c>
      <c r="W2671" s="18">
        <f t="shared" si="400"/>
        <v>0</v>
      </c>
      <c r="X2671" s="13">
        <f t="shared" si="397"/>
        <v>0</v>
      </c>
      <c r="Y2671" s="13">
        <f t="shared" si="392"/>
        <v>0</v>
      </c>
      <c r="Z2671" s="14">
        <v>0</v>
      </c>
      <c r="AA2671" s="18"/>
      <c r="AB2671" s="4">
        <f t="shared" si="393"/>
        <v>0</v>
      </c>
      <c r="AC2671" s="6">
        <f t="shared" si="394"/>
        <v>0</v>
      </c>
      <c r="AD2671" s="6">
        <v>0</v>
      </c>
      <c r="AE2671" s="14">
        <v>0</v>
      </c>
      <c r="AF2671" s="6">
        <f t="shared" si="401"/>
        <v>0</v>
      </c>
      <c r="AG2671" s="14">
        <v>0</v>
      </c>
      <c r="AH2671" s="6"/>
      <c r="AI2671" s="16"/>
      <c r="AJ2671" s="126" t="e">
        <v>#N/A</v>
      </c>
      <c r="AK2671" s="80">
        <f t="shared" si="396"/>
        <v>0</v>
      </c>
      <c r="AM2671" s="85"/>
    </row>
    <row r="2672" spans="1:39" hidden="1" x14ac:dyDescent="0.3">
      <c r="A2672" s="85" t="s">
        <v>34</v>
      </c>
      <c r="B2672" s="15" t="s">
        <v>35</v>
      </c>
      <c r="C2672" s="15" t="s">
        <v>184</v>
      </c>
      <c r="D2672" s="15" t="s">
        <v>54</v>
      </c>
      <c r="E2672" s="15" t="s">
        <v>2577</v>
      </c>
      <c r="F2672" s="15" t="s">
        <v>3190</v>
      </c>
      <c r="G2672" s="15" t="s">
        <v>1845</v>
      </c>
      <c r="H2672" s="139"/>
      <c r="I2672" s="87" t="s">
        <v>3340</v>
      </c>
      <c r="J2672" s="1" t="s">
        <v>3671</v>
      </c>
      <c r="L2672" s="1" t="s">
        <v>2711</v>
      </c>
      <c r="M2672" s="15" t="s">
        <v>73</v>
      </c>
      <c r="N2672" s="15"/>
      <c r="O2672" s="8" t="s">
        <v>410</v>
      </c>
      <c r="P2672" s="8" t="s">
        <v>41</v>
      </c>
      <c r="Q2672" s="14">
        <v>0</v>
      </c>
      <c r="R2672" s="139"/>
      <c r="S2672" s="8"/>
      <c r="T2672" s="6">
        <v>40943.42</v>
      </c>
      <c r="U2672" s="6">
        <v>0</v>
      </c>
      <c r="V2672" s="6">
        <v>0</v>
      </c>
      <c r="W2672" s="18">
        <f t="shared" si="400"/>
        <v>40943.42</v>
      </c>
      <c r="X2672" s="13">
        <f t="shared" si="397"/>
        <v>0</v>
      </c>
      <c r="Y2672" s="13">
        <f t="shared" si="392"/>
        <v>0</v>
      </c>
      <c r="Z2672" s="14">
        <v>0</v>
      </c>
      <c r="AA2672" s="18"/>
      <c r="AB2672" s="4">
        <f t="shared" si="393"/>
        <v>0</v>
      </c>
      <c r="AC2672" s="6">
        <f t="shared" si="394"/>
        <v>0</v>
      </c>
      <c r="AD2672" s="6">
        <v>0</v>
      </c>
      <c r="AE2672" s="14">
        <v>0</v>
      </c>
      <c r="AF2672" s="6">
        <f t="shared" si="401"/>
        <v>0</v>
      </c>
      <c r="AG2672" s="14">
        <v>0</v>
      </c>
      <c r="AH2672" s="6"/>
      <c r="AI2672" s="16"/>
      <c r="AJ2672" s="126" t="e">
        <v>#N/A</v>
      </c>
      <c r="AK2672" s="80">
        <f t="shared" si="396"/>
        <v>0</v>
      </c>
      <c r="AM2672" s="85"/>
    </row>
    <row r="2673" spans="1:39" hidden="1" x14ac:dyDescent="0.3">
      <c r="A2673" s="85" t="s">
        <v>34</v>
      </c>
      <c r="B2673" s="15" t="s">
        <v>35</v>
      </c>
      <c r="C2673" s="15" t="s">
        <v>184</v>
      </c>
      <c r="D2673" s="15" t="s">
        <v>54</v>
      </c>
      <c r="E2673" s="15" t="s">
        <v>2577</v>
      </c>
      <c r="F2673" s="15" t="s">
        <v>3192</v>
      </c>
      <c r="G2673" s="15" t="s">
        <v>1845</v>
      </c>
      <c r="H2673" s="139"/>
      <c r="I2673" s="15" t="s">
        <v>3341</v>
      </c>
      <c r="J2673" s="1" t="s">
        <v>3671</v>
      </c>
      <c r="L2673" s="1" t="s">
        <v>3388</v>
      </c>
      <c r="M2673" s="15" t="s">
        <v>2577</v>
      </c>
      <c r="N2673" s="15"/>
      <c r="O2673" s="8" t="s">
        <v>45</v>
      </c>
      <c r="P2673" s="8" t="s">
        <v>41</v>
      </c>
      <c r="Q2673" s="14">
        <v>0</v>
      </c>
      <c r="R2673" s="139"/>
      <c r="S2673" s="8"/>
      <c r="T2673" s="6">
        <v>18870.099999999999</v>
      </c>
      <c r="U2673" s="6">
        <v>0</v>
      </c>
      <c r="V2673" s="6">
        <v>0</v>
      </c>
      <c r="W2673" s="18">
        <f t="shared" si="400"/>
        <v>18870.099999999999</v>
      </c>
      <c r="X2673" s="13">
        <f t="shared" si="397"/>
        <v>0</v>
      </c>
      <c r="Y2673" s="13">
        <f t="shared" si="392"/>
        <v>0</v>
      </c>
      <c r="Z2673" s="14">
        <v>0</v>
      </c>
      <c r="AA2673" s="18"/>
      <c r="AB2673" s="4">
        <f t="shared" si="393"/>
        <v>0</v>
      </c>
      <c r="AC2673" s="6">
        <f t="shared" si="394"/>
        <v>0</v>
      </c>
      <c r="AD2673" s="6">
        <v>0</v>
      </c>
      <c r="AE2673" s="14">
        <v>0</v>
      </c>
      <c r="AF2673" s="6">
        <f t="shared" si="401"/>
        <v>0</v>
      </c>
      <c r="AG2673" s="14">
        <v>0</v>
      </c>
      <c r="AH2673" s="6"/>
      <c r="AI2673" s="16"/>
      <c r="AJ2673" s="126" t="e">
        <v>#N/A</v>
      </c>
      <c r="AK2673" s="80">
        <f t="shared" si="396"/>
        <v>0</v>
      </c>
      <c r="AM2673" s="85"/>
    </row>
    <row r="2674" spans="1:39" hidden="1" x14ac:dyDescent="0.3">
      <c r="A2674" s="85" t="s">
        <v>34</v>
      </c>
      <c r="B2674" s="15" t="s">
        <v>35</v>
      </c>
      <c r="C2674" s="15" t="s">
        <v>184</v>
      </c>
      <c r="D2674" s="15" t="s">
        <v>54</v>
      </c>
      <c r="E2674" s="15" t="s">
        <v>1858</v>
      </c>
      <c r="F2674" s="15" t="s">
        <v>3190</v>
      </c>
      <c r="G2674" s="15" t="s">
        <v>1845</v>
      </c>
      <c r="H2674" s="139"/>
      <c r="I2674" s="87" t="s">
        <v>3191</v>
      </c>
      <c r="J2674" s="1" t="s">
        <v>3671</v>
      </c>
      <c r="L2674" s="1" t="s">
        <v>2711</v>
      </c>
      <c r="M2674" s="15" t="s">
        <v>1858</v>
      </c>
      <c r="N2674" s="15"/>
      <c r="O2674" s="8" t="s">
        <v>410</v>
      </c>
      <c r="P2674" s="8" t="s">
        <v>41</v>
      </c>
      <c r="Q2674" s="14">
        <v>0</v>
      </c>
      <c r="R2674" s="139"/>
      <c r="S2674" s="8"/>
      <c r="T2674" s="6">
        <v>14857.4</v>
      </c>
      <c r="U2674" s="6">
        <v>0</v>
      </c>
      <c r="V2674" s="6">
        <v>0</v>
      </c>
      <c r="W2674" s="18">
        <f t="shared" si="400"/>
        <v>14857.4</v>
      </c>
      <c r="X2674" s="13">
        <f t="shared" si="397"/>
        <v>0</v>
      </c>
      <c r="Y2674" s="13">
        <f t="shared" si="392"/>
        <v>0</v>
      </c>
      <c r="Z2674" s="14">
        <v>0</v>
      </c>
      <c r="AA2674" s="18"/>
      <c r="AB2674" s="4">
        <f t="shared" si="393"/>
        <v>0</v>
      </c>
      <c r="AC2674" s="6">
        <f t="shared" si="394"/>
        <v>0</v>
      </c>
      <c r="AD2674" s="6">
        <v>0</v>
      </c>
      <c r="AE2674" s="14">
        <v>0</v>
      </c>
      <c r="AF2674" s="6">
        <f t="shared" si="401"/>
        <v>0</v>
      </c>
      <c r="AG2674" s="14">
        <v>0</v>
      </c>
      <c r="AH2674" s="6"/>
      <c r="AI2674" s="16"/>
      <c r="AJ2674" s="126" t="e">
        <v>#N/A</v>
      </c>
      <c r="AK2674" s="80">
        <f t="shared" si="396"/>
        <v>0</v>
      </c>
      <c r="AM2674" s="85"/>
    </row>
    <row r="2675" spans="1:39" hidden="1" x14ac:dyDescent="0.3">
      <c r="A2675" s="85" t="s">
        <v>34</v>
      </c>
      <c r="B2675" s="15" t="s">
        <v>35</v>
      </c>
      <c r="C2675" s="15" t="s">
        <v>184</v>
      </c>
      <c r="D2675" s="15" t="s">
        <v>54</v>
      </c>
      <c r="E2675" s="15" t="s">
        <v>71</v>
      </c>
      <c r="F2675" s="15" t="s">
        <v>72</v>
      </c>
      <c r="G2675" s="15" t="s">
        <v>71</v>
      </c>
      <c r="H2675" s="139"/>
      <c r="I2675" s="15" t="s">
        <v>3342</v>
      </c>
      <c r="J2675" s="1" t="s">
        <v>3671</v>
      </c>
      <c r="L2675" s="1" t="s">
        <v>3388</v>
      </c>
      <c r="M2675" s="15" t="s">
        <v>71</v>
      </c>
      <c r="N2675" s="15"/>
      <c r="O2675" s="8" t="s">
        <v>410</v>
      </c>
      <c r="P2675" s="8" t="s">
        <v>41</v>
      </c>
      <c r="Q2675" s="14">
        <v>0</v>
      </c>
      <c r="R2675" s="139"/>
      <c r="S2675" s="8"/>
      <c r="T2675" s="6">
        <v>0</v>
      </c>
      <c r="U2675" s="6">
        <v>0</v>
      </c>
      <c r="V2675" s="6">
        <v>0</v>
      </c>
      <c r="W2675" s="18">
        <f t="shared" si="400"/>
        <v>0</v>
      </c>
      <c r="X2675" s="13">
        <f t="shared" si="397"/>
        <v>0</v>
      </c>
      <c r="Y2675" s="13">
        <f t="shared" si="392"/>
        <v>0</v>
      </c>
      <c r="Z2675" s="14">
        <v>0</v>
      </c>
      <c r="AA2675" s="18"/>
      <c r="AB2675" s="4">
        <f t="shared" si="393"/>
        <v>0</v>
      </c>
      <c r="AC2675" s="6">
        <f t="shared" si="394"/>
        <v>0</v>
      </c>
      <c r="AD2675" s="6">
        <v>0</v>
      </c>
      <c r="AE2675" s="14">
        <v>0</v>
      </c>
      <c r="AF2675" s="6">
        <f t="shared" si="401"/>
        <v>0</v>
      </c>
      <c r="AG2675" s="14">
        <v>0</v>
      </c>
      <c r="AH2675" s="6"/>
      <c r="AI2675" s="16"/>
      <c r="AJ2675" s="126" t="e">
        <v>#N/A</v>
      </c>
      <c r="AK2675" s="80">
        <f t="shared" si="396"/>
        <v>0</v>
      </c>
      <c r="AM2675" s="85"/>
    </row>
    <row r="2676" spans="1:39" hidden="1" x14ac:dyDescent="0.3">
      <c r="A2676" s="85" t="s">
        <v>34</v>
      </c>
      <c r="B2676" s="15" t="s">
        <v>35</v>
      </c>
      <c r="C2676" s="15" t="s">
        <v>164</v>
      </c>
      <c r="D2676" s="15" t="s">
        <v>3193</v>
      </c>
      <c r="E2676" s="15" t="s">
        <v>3194</v>
      </c>
      <c r="F2676" s="15" t="s">
        <v>176</v>
      </c>
      <c r="G2676" s="15" t="s">
        <v>176</v>
      </c>
      <c r="H2676" s="139"/>
      <c r="I2676" s="15" t="s">
        <v>3185</v>
      </c>
      <c r="J2676" s="1" t="s">
        <v>3323</v>
      </c>
      <c r="K2676" s="1" t="s">
        <v>3295</v>
      </c>
      <c r="L2676" s="1" t="s">
        <v>35</v>
      </c>
      <c r="M2676" s="15"/>
      <c r="N2676" s="15"/>
      <c r="O2676" s="8" t="s">
        <v>45</v>
      </c>
      <c r="P2676" s="8" t="s">
        <v>3749</v>
      </c>
      <c r="Q2676" s="14">
        <v>0</v>
      </c>
      <c r="R2676" s="139"/>
      <c r="S2676" s="8"/>
      <c r="T2676" s="6">
        <v>0</v>
      </c>
      <c r="U2676" s="6">
        <v>0</v>
      </c>
      <c r="V2676" s="6">
        <v>0</v>
      </c>
      <c r="W2676" s="18">
        <f t="shared" si="400"/>
        <v>0</v>
      </c>
      <c r="X2676" s="13">
        <f t="shared" si="397"/>
        <v>0</v>
      </c>
      <c r="Y2676" s="13">
        <f t="shared" si="392"/>
        <v>0</v>
      </c>
      <c r="Z2676" s="14">
        <v>0</v>
      </c>
      <c r="AA2676" s="18"/>
      <c r="AB2676" s="4">
        <f t="shared" si="393"/>
        <v>0</v>
      </c>
      <c r="AC2676" s="6">
        <f t="shared" si="394"/>
        <v>0</v>
      </c>
      <c r="AD2676" s="6">
        <v>65712.88</v>
      </c>
      <c r="AE2676" s="14">
        <v>0.05</v>
      </c>
      <c r="AF2676" s="6">
        <f t="shared" si="401"/>
        <v>3285.6440000000002</v>
      </c>
      <c r="AG2676" s="14">
        <v>0</v>
      </c>
      <c r="AH2676" s="6"/>
      <c r="AI2676" s="16"/>
      <c r="AJ2676" s="126" t="e">
        <v>#N/A</v>
      </c>
      <c r="AK2676" s="80">
        <f t="shared" si="396"/>
        <v>0</v>
      </c>
      <c r="AM2676" s="85"/>
    </row>
    <row r="2677" spans="1:39" hidden="1" x14ac:dyDescent="0.3">
      <c r="A2677" s="85" t="s">
        <v>34</v>
      </c>
      <c r="B2677" s="15" t="s">
        <v>35</v>
      </c>
      <c r="C2677" s="15" t="s">
        <v>65</v>
      </c>
      <c r="D2677" s="15" t="s">
        <v>122</v>
      </c>
      <c r="E2677" s="15" t="s">
        <v>3189</v>
      </c>
      <c r="F2677" s="15" t="s">
        <v>3189</v>
      </c>
      <c r="G2677" s="15" t="s">
        <v>3189</v>
      </c>
      <c r="H2677" s="154"/>
      <c r="I2677" s="15" t="s">
        <v>3185</v>
      </c>
      <c r="J2677" s="1" t="s">
        <v>3323</v>
      </c>
      <c r="K2677" s="1" t="s">
        <v>3295</v>
      </c>
      <c r="L2677" s="1" t="s">
        <v>35</v>
      </c>
      <c r="M2677" s="15"/>
      <c r="N2677" s="15"/>
      <c r="O2677" s="8" t="s">
        <v>45</v>
      </c>
      <c r="P2677" s="8" t="s">
        <v>46</v>
      </c>
      <c r="Q2677" s="14">
        <v>0.08</v>
      </c>
      <c r="R2677" s="139"/>
      <c r="S2677" s="8"/>
      <c r="T2677" s="6">
        <v>55404.329999999987</v>
      </c>
      <c r="U2677" s="6">
        <v>0</v>
      </c>
      <c r="V2677" s="6">
        <v>5404.33</v>
      </c>
      <c r="W2677" s="18">
        <f t="shared" si="400"/>
        <v>49999.999999999985</v>
      </c>
      <c r="X2677" s="13">
        <f t="shared" si="397"/>
        <v>5004.0092592592591</v>
      </c>
      <c r="Y2677" s="13">
        <f t="shared" si="392"/>
        <v>0</v>
      </c>
      <c r="Z2677" s="14">
        <v>0</v>
      </c>
      <c r="AA2677" s="18"/>
      <c r="AB2677" s="4">
        <f t="shared" si="393"/>
        <v>5004.0092592592591</v>
      </c>
      <c r="AC2677" s="6">
        <f t="shared" si="394"/>
        <v>400.3207407407408</v>
      </c>
      <c r="AD2677" s="6">
        <v>5404.33</v>
      </c>
      <c r="AE2677" s="14">
        <v>0.05</v>
      </c>
      <c r="AF2677" s="6">
        <f t="shared" si="401"/>
        <v>270.2165</v>
      </c>
      <c r="AG2677" s="14">
        <v>0</v>
      </c>
      <c r="AH2677" s="6"/>
      <c r="AI2677" s="16"/>
      <c r="AJ2677" s="126" t="e">
        <v>#N/A</v>
      </c>
      <c r="AK2677" s="80">
        <f t="shared" si="396"/>
        <v>0</v>
      </c>
      <c r="AM2677" s="85"/>
    </row>
    <row r="2678" spans="1:39" hidden="1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78</v>
      </c>
      <c r="F2678" s="15" t="s">
        <v>3195</v>
      </c>
      <c r="G2678" s="15" t="s">
        <v>78</v>
      </c>
      <c r="H2678" s="154"/>
      <c r="I2678" s="3" t="s">
        <v>3356</v>
      </c>
      <c r="J2678" s="1" t="s">
        <v>3326</v>
      </c>
      <c r="K2678" s="1" t="s">
        <v>3283</v>
      </c>
      <c r="L2678" s="1" t="s">
        <v>35</v>
      </c>
      <c r="M2678" s="15"/>
      <c r="N2678" s="3" t="s">
        <v>80</v>
      </c>
      <c r="O2678" s="8" t="s">
        <v>3172</v>
      </c>
      <c r="P2678" s="8" t="s">
        <v>92</v>
      </c>
      <c r="Q2678" s="14">
        <v>0.88</v>
      </c>
      <c r="R2678" s="139"/>
      <c r="S2678" s="8"/>
      <c r="T2678" s="6"/>
      <c r="U2678" s="6">
        <v>900000</v>
      </c>
      <c r="V2678" s="6">
        <v>900000</v>
      </c>
      <c r="W2678" s="18">
        <f t="shared" si="400"/>
        <v>0</v>
      </c>
      <c r="X2678" s="13">
        <f t="shared" si="397"/>
        <v>792000</v>
      </c>
      <c r="Y2678" s="13">
        <f t="shared" si="392"/>
        <v>0</v>
      </c>
      <c r="Z2678" s="14">
        <v>0</v>
      </c>
      <c r="AA2678" s="18"/>
      <c r="AB2678" s="4">
        <f t="shared" si="393"/>
        <v>792000</v>
      </c>
      <c r="AC2678" s="6">
        <f t="shared" si="394"/>
        <v>108000</v>
      </c>
      <c r="AD2678" s="6">
        <v>900000</v>
      </c>
      <c r="AE2678" s="14">
        <v>0.1</v>
      </c>
      <c r="AF2678" s="6">
        <f t="shared" si="401"/>
        <v>90000</v>
      </c>
      <c r="AG2678" s="14"/>
      <c r="AH2678" s="6"/>
      <c r="AI2678" s="16" t="s">
        <v>3196</v>
      </c>
      <c r="AJ2678" s="126" t="e">
        <v>#N/A</v>
      </c>
      <c r="AK2678" s="80">
        <f t="shared" si="396"/>
        <v>0</v>
      </c>
      <c r="AM2678" s="85"/>
    </row>
    <row r="2679" spans="1:39" hidden="1" x14ac:dyDescent="0.3">
      <c r="A2679" s="85" t="s">
        <v>34</v>
      </c>
      <c r="B2679" s="15" t="s">
        <v>35</v>
      </c>
      <c r="C2679" s="15" t="s">
        <v>36</v>
      </c>
      <c r="D2679" s="15" t="s">
        <v>224</v>
      </c>
      <c r="E2679" s="15" t="s">
        <v>2377</v>
      </c>
      <c r="F2679" s="15" t="s">
        <v>2377</v>
      </c>
      <c r="G2679" s="15" t="s">
        <v>2377</v>
      </c>
      <c r="H2679" s="154"/>
      <c r="I2679" s="15" t="s">
        <v>2374</v>
      </c>
      <c r="J2679" s="1" t="s">
        <v>3322</v>
      </c>
      <c r="K2679" s="1" t="s">
        <v>3269</v>
      </c>
      <c r="L2679" s="1" t="s">
        <v>35</v>
      </c>
      <c r="M2679" s="15"/>
      <c r="N2679" s="15"/>
      <c r="O2679" s="8" t="s">
        <v>3197</v>
      </c>
      <c r="P2679" s="8" t="s">
        <v>41</v>
      </c>
      <c r="Q2679" s="14">
        <v>0</v>
      </c>
      <c r="R2679" s="139"/>
      <c r="S2679" s="8"/>
      <c r="T2679" s="6">
        <v>0</v>
      </c>
      <c r="U2679" s="6">
        <v>104264.19</v>
      </c>
      <c r="V2679" s="6">
        <v>23750</v>
      </c>
      <c r="W2679" s="18">
        <v>0</v>
      </c>
      <c r="X2679" s="13">
        <f t="shared" si="397"/>
        <v>23750</v>
      </c>
      <c r="Y2679" s="13">
        <f t="shared" si="392"/>
        <v>0</v>
      </c>
      <c r="Z2679" s="14">
        <v>0</v>
      </c>
      <c r="AA2679" s="18"/>
      <c r="AB2679" s="4">
        <f t="shared" si="393"/>
        <v>23750</v>
      </c>
      <c r="AC2679" s="6">
        <f t="shared" si="394"/>
        <v>0</v>
      </c>
      <c r="AD2679" s="6">
        <v>23750</v>
      </c>
      <c r="AE2679" s="2">
        <v>0.06</v>
      </c>
      <c r="AF2679" s="6">
        <f t="shared" si="401"/>
        <v>1425</v>
      </c>
      <c r="AG2679" s="14">
        <v>0</v>
      </c>
      <c r="AH2679" s="6"/>
      <c r="AI2679" s="16"/>
      <c r="AJ2679" s="126" t="s">
        <v>4223</v>
      </c>
      <c r="AK2679" s="80">
        <f t="shared" si="396"/>
        <v>0</v>
      </c>
      <c r="AL2679" s="150"/>
      <c r="AM2679" s="85"/>
    </row>
    <row r="2680" spans="1:39" hidden="1" x14ac:dyDescent="0.3">
      <c r="A2680" s="85" t="s">
        <v>34</v>
      </c>
      <c r="B2680" s="15" t="s">
        <v>35</v>
      </c>
      <c r="C2680" s="15" t="s">
        <v>36</v>
      </c>
      <c r="D2680" s="15" t="s">
        <v>54</v>
      </c>
      <c r="E2680" s="15" t="s">
        <v>2378</v>
      </c>
      <c r="F2680" s="15" t="s">
        <v>2379</v>
      </c>
      <c r="G2680" s="15" t="s">
        <v>2378</v>
      </c>
      <c r="H2680" s="154"/>
      <c r="I2680" s="15" t="s">
        <v>2374</v>
      </c>
      <c r="J2680" s="1" t="s">
        <v>3322</v>
      </c>
      <c r="K2680" s="1" t="s">
        <v>3269</v>
      </c>
      <c r="L2680" s="1" t="s">
        <v>35</v>
      </c>
      <c r="M2680" s="15"/>
      <c r="N2680" s="15"/>
      <c r="O2680" s="8" t="s">
        <v>3197</v>
      </c>
      <c r="P2680" s="8" t="s">
        <v>41</v>
      </c>
      <c r="Q2680" s="14">
        <v>0</v>
      </c>
      <c r="R2680" s="139"/>
      <c r="S2680" s="8"/>
      <c r="T2680" s="6">
        <v>0</v>
      </c>
      <c r="U2680" s="6">
        <v>579840</v>
      </c>
      <c r="V2680" s="6">
        <v>579840</v>
      </c>
      <c r="W2680" s="18">
        <v>0</v>
      </c>
      <c r="X2680" s="13">
        <f t="shared" si="397"/>
        <v>579840</v>
      </c>
      <c r="Y2680" s="13">
        <f t="shared" si="392"/>
        <v>0</v>
      </c>
      <c r="Z2680" s="14">
        <v>0</v>
      </c>
      <c r="AA2680" s="18"/>
      <c r="AB2680" s="4">
        <f t="shared" si="393"/>
        <v>579840</v>
      </c>
      <c r="AC2680" s="6">
        <f t="shared" si="394"/>
        <v>0</v>
      </c>
      <c r="AD2680" s="6">
        <v>579840</v>
      </c>
      <c r="AE2680" s="2">
        <v>0.06</v>
      </c>
      <c r="AF2680" s="6">
        <f t="shared" si="401"/>
        <v>34790.400000000001</v>
      </c>
      <c r="AG2680" s="14">
        <v>0</v>
      </c>
      <c r="AH2680" s="6"/>
      <c r="AI2680" s="16"/>
      <c r="AJ2680" s="126" t="e">
        <v>#N/A</v>
      </c>
      <c r="AK2680" s="80">
        <f t="shared" si="396"/>
        <v>0</v>
      </c>
      <c r="AM2680" s="85"/>
    </row>
    <row r="2681" spans="1:39" hidden="1" x14ac:dyDescent="0.3">
      <c r="A2681" s="85" t="s">
        <v>34</v>
      </c>
      <c r="B2681" s="15" t="s">
        <v>35</v>
      </c>
      <c r="C2681" s="15" t="s">
        <v>36</v>
      </c>
      <c r="D2681" s="15" t="s">
        <v>54</v>
      </c>
      <c r="E2681" s="15" t="s">
        <v>3198</v>
      </c>
      <c r="F2681" s="15" t="s">
        <v>3198</v>
      </c>
      <c r="G2681" s="15" t="s">
        <v>3198</v>
      </c>
      <c r="H2681" s="154"/>
      <c r="I2681" s="15" t="s">
        <v>2374</v>
      </c>
      <c r="J2681" s="1" t="s">
        <v>3322</v>
      </c>
      <c r="K2681" s="1" t="s">
        <v>3269</v>
      </c>
      <c r="L2681" s="1" t="s">
        <v>35</v>
      </c>
      <c r="M2681" s="15"/>
      <c r="N2681" s="15"/>
      <c r="O2681" s="8" t="s">
        <v>3197</v>
      </c>
      <c r="P2681" s="8" t="s">
        <v>92</v>
      </c>
      <c r="Q2681" s="14">
        <v>0.95</v>
      </c>
      <c r="R2681" s="139"/>
      <c r="S2681" s="8"/>
      <c r="T2681" s="6">
        <v>0</v>
      </c>
      <c r="U2681" s="6">
        <v>82750</v>
      </c>
      <c r="V2681" s="6">
        <v>165500</v>
      </c>
      <c r="W2681" s="18">
        <v>0</v>
      </c>
      <c r="X2681" s="13">
        <f>V2681</f>
        <v>165500</v>
      </c>
      <c r="Y2681" s="13">
        <f t="shared" si="392"/>
        <v>0</v>
      </c>
      <c r="Z2681" s="14">
        <v>0</v>
      </c>
      <c r="AA2681" s="18"/>
      <c r="AB2681" s="4">
        <f t="shared" si="393"/>
        <v>165500</v>
      </c>
      <c r="AC2681" s="6">
        <f t="shared" si="394"/>
        <v>0</v>
      </c>
      <c r="AD2681" s="6">
        <v>165500</v>
      </c>
      <c r="AE2681" s="2">
        <v>0.06</v>
      </c>
      <c r="AF2681" s="6">
        <f t="shared" si="401"/>
        <v>9930</v>
      </c>
      <c r="AG2681" s="14">
        <v>0</v>
      </c>
      <c r="AH2681" s="6"/>
      <c r="AI2681" s="16"/>
      <c r="AJ2681" s="126" t="e">
        <v>#N/A</v>
      </c>
      <c r="AK2681" s="80">
        <f t="shared" si="396"/>
        <v>0</v>
      </c>
      <c r="AM2681" s="85"/>
    </row>
    <row r="2682" spans="1:39" hidden="1" x14ac:dyDescent="0.3">
      <c r="A2682" s="85" t="s">
        <v>34</v>
      </c>
      <c r="B2682" s="15" t="s">
        <v>35</v>
      </c>
      <c r="C2682" s="15" t="s">
        <v>47</v>
      </c>
      <c r="D2682" s="15" t="s">
        <v>63</v>
      </c>
      <c r="E2682" s="15" t="s">
        <v>3199</v>
      </c>
      <c r="F2682" s="15" t="s">
        <v>3199</v>
      </c>
      <c r="G2682" s="15" t="s">
        <v>3199</v>
      </c>
      <c r="H2682" s="154"/>
      <c r="I2682" s="15" t="s">
        <v>2374</v>
      </c>
      <c r="J2682" s="1" t="s">
        <v>3322</v>
      </c>
      <c r="K2682" s="1" t="s">
        <v>3269</v>
      </c>
      <c r="L2682" s="1" t="s">
        <v>35</v>
      </c>
      <c r="M2682" s="15"/>
      <c r="N2682" s="15"/>
      <c r="O2682" s="8" t="s">
        <v>3197</v>
      </c>
      <c r="P2682" s="8" t="s">
        <v>41</v>
      </c>
      <c r="Q2682" s="14">
        <v>0</v>
      </c>
      <c r="R2682" s="139"/>
      <c r="S2682" s="8"/>
      <c r="T2682" s="6">
        <v>0</v>
      </c>
      <c r="U2682" s="6">
        <v>163600</v>
      </c>
      <c r="V2682" s="6">
        <v>163600</v>
      </c>
      <c r="W2682" s="18">
        <v>0</v>
      </c>
      <c r="X2682" s="13">
        <f t="shared" si="397"/>
        <v>163600</v>
      </c>
      <c r="Y2682" s="13">
        <f t="shared" si="392"/>
        <v>0</v>
      </c>
      <c r="Z2682" s="14">
        <v>0</v>
      </c>
      <c r="AA2682" s="18"/>
      <c r="AB2682" s="4">
        <f t="shared" si="393"/>
        <v>163600</v>
      </c>
      <c r="AC2682" s="6">
        <f t="shared" si="394"/>
        <v>0</v>
      </c>
      <c r="AD2682" s="6">
        <v>163600</v>
      </c>
      <c r="AE2682" s="2">
        <v>0.06</v>
      </c>
      <c r="AF2682" s="6">
        <f t="shared" si="401"/>
        <v>9816</v>
      </c>
      <c r="AG2682" s="14">
        <v>0.05</v>
      </c>
      <c r="AH2682" s="6"/>
      <c r="AI2682" s="16"/>
      <c r="AJ2682" s="126" t="e">
        <v>#N/A</v>
      </c>
      <c r="AK2682" s="80">
        <f t="shared" si="396"/>
        <v>0</v>
      </c>
      <c r="AM2682" s="85"/>
    </row>
    <row r="2683" spans="1:39" hidden="1" x14ac:dyDescent="0.3">
      <c r="A2683" s="85" t="s">
        <v>34</v>
      </c>
      <c r="B2683" s="15" t="s">
        <v>35</v>
      </c>
      <c r="C2683" s="15" t="s">
        <v>47</v>
      </c>
      <c r="D2683" s="15" t="s">
        <v>63</v>
      </c>
      <c r="E2683" s="15" t="s">
        <v>2393</v>
      </c>
      <c r="F2683" s="15" t="s">
        <v>3200</v>
      </c>
      <c r="G2683" s="15" t="s">
        <v>2393</v>
      </c>
      <c r="H2683" s="154"/>
      <c r="I2683" s="15" t="s">
        <v>2374</v>
      </c>
      <c r="J2683" s="1" t="s">
        <v>3322</v>
      </c>
      <c r="K2683" s="1" t="s">
        <v>3269</v>
      </c>
      <c r="L2683" s="1" t="s">
        <v>35</v>
      </c>
      <c r="M2683" s="15"/>
      <c r="N2683" s="15"/>
      <c r="O2683" s="8" t="s">
        <v>3197</v>
      </c>
      <c r="P2683" s="8" t="s">
        <v>41</v>
      </c>
      <c r="Q2683" s="14">
        <v>0</v>
      </c>
      <c r="R2683" s="139"/>
      <c r="S2683" s="8"/>
      <c r="T2683" s="6">
        <v>0</v>
      </c>
      <c r="U2683" s="6">
        <v>65148.39</v>
      </c>
      <c r="V2683" s="6">
        <v>106029</v>
      </c>
      <c r="W2683" s="18">
        <v>0</v>
      </c>
      <c r="X2683" s="13">
        <f t="shared" si="397"/>
        <v>106029</v>
      </c>
      <c r="Y2683" s="13">
        <f t="shared" si="392"/>
        <v>0</v>
      </c>
      <c r="Z2683" s="14">
        <v>0</v>
      </c>
      <c r="AA2683" s="18"/>
      <c r="AB2683" s="4">
        <f t="shared" si="393"/>
        <v>106029</v>
      </c>
      <c r="AC2683" s="6">
        <f t="shared" si="394"/>
        <v>0</v>
      </c>
      <c r="AD2683" s="6">
        <v>112200</v>
      </c>
      <c r="AE2683" s="2">
        <v>0.06</v>
      </c>
      <c r="AF2683" s="6">
        <f t="shared" si="401"/>
        <v>6732</v>
      </c>
      <c r="AG2683" s="14">
        <v>0</v>
      </c>
      <c r="AH2683" s="6"/>
      <c r="AI2683" s="16"/>
      <c r="AJ2683" s="126" t="e">
        <v>#N/A</v>
      </c>
      <c r="AK2683" s="80">
        <f t="shared" si="396"/>
        <v>0</v>
      </c>
      <c r="AM2683" s="85"/>
    </row>
    <row r="2684" spans="1:39" hidden="1" x14ac:dyDescent="0.3">
      <c r="A2684" s="85" t="s">
        <v>34</v>
      </c>
      <c r="B2684" s="15" t="s">
        <v>35</v>
      </c>
      <c r="C2684" s="15" t="s">
        <v>47</v>
      </c>
      <c r="D2684" s="15" t="s">
        <v>63</v>
      </c>
      <c r="E2684" s="15" t="s">
        <v>2393</v>
      </c>
      <c r="F2684" s="15" t="s">
        <v>3201</v>
      </c>
      <c r="G2684" s="15" t="s">
        <v>2393</v>
      </c>
      <c r="H2684" s="154"/>
      <c r="I2684" s="15" t="s">
        <v>2374</v>
      </c>
      <c r="J2684" s="1" t="s">
        <v>3322</v>
      </c>
      <c r="K2684" s="1" t="s">
        <v>3269</v>
      </c>
      <c r="L2684" s="1" t="s">
        <v>35</v>
      </c>
      <c r="M2684" s="15"/>
      <c r="N2684" s="15"/>
      <c r="O2684" s="8" t="s">
        <v>3197</v>
      </c>
      <c r="P2684" s="8" t="s">
        <v>246</v>
      </c>
      <c r="Q2684" s="14">
        <v>0</v>
      </c>
      <c r="R2684" s="139"/>
      <c r="S2684" s="8"/>
      <c r="T2684" s="6">
        <v>0</v>
      </c>
      <c r="U2684" s="6">
        <v>9893.1200000000008</v>
      </c>
      <c r="V2684" s="6">
        <v>251000</v>
      </c>
      <c r="W2684" s="18">
        <v>0</v>
      </c>
      <c r="X2684" s="13">
        <f>V2684</f>
        <v>251000</v>
      </c>
      <c r="Y2684" s="13">
        <f t="shared" si="392"/>
        <v>0</v>
      </c>
      <c r="Z2684" s="14">
        <v>0</v>
      </c>
      <c r="AA2684" s="18"/>
      <c r="AB2684" s="4">
        <f t="shared" si="393"/>
        <v>251000</v>
      </c>
      <c r="AC2684" s="6">
        <f t="shared" si="394"/>
        <v>0</v>
      </c>
      <c r="AD2684" s="6">
        <v>251000</v>
      </c>
      <c r="AE2684" s="2">
        <v>0.06</v>
      </c>
      <c r="AF2684" s="6">
        <f t="shared" si="401"/>
        <v>15060</v>
      </c>
      <c r="AG2684" s="14">
        <v>0</v>
      </c>
      <c r="AH2684" s="6"/>
      <c r="AI2684" s="16"/>
      <c r="AJ2684" s="126" t="e">
        <v>#N/A</v>
      </c>
      <c r="AK2684" s="80">
        <f t="shared" si="396"/>
        <v>0</v>
      </c>
      <c r="AM2684" s="85"/>
    </row>
    <row r="2685" spans="1:39" hidden="1" x14ac:dyDescent="0.3">
      <c r="A2685" s="85" t="s">
        <v>34</v>
      </c>
      <c r="B2685" s="15" t="s">
        <v>35</v>
      </c>
      <c r="C2685" s="15" t="s">
        <v>47</v>
      </c>
      <c r="D2685" s="15" t="s">
        <v>63</v>
      </c>
      <c r="E2685" s="15" t="s">
        <v>2393</v>
      </c>
      <c r="F2685" s="15" t="s">
        <v>3202</v>
      </c>
      <c r="G2685" s="15" t="s">
        <v>2393</v>
      </c>
      <c r="H2685" s="154"/>
      <c r="I2685" s="15" t="s">
        <v>2374</v>
      </c>
      <c r="J2685" s="1" t="s">
        <v>3322</v>
      </c>
      <c r="K2685" s="1" t="s">
        <v>3269</v>
      </c>
      <c r="L2685" s="1" t="s">
        <v>35</v>
      </c>
      <c r="M2685" s="15"/>
      <c r="N2685" s="15"/>
      <c r="O2685" s="8" t="s">
        <v>3197</v>
      </c>
      <c r="P2685" s="8" t="s">
        <v>92</v>
      </c>
      <c r="Q2685" s="14">
        <v>0.94499999999999995</v>
      </c>
      <c r="R2685" s="139"/>
      <c r="S2685" s="8"/>
      <c r="T2685" s="6">
        <v>0</v>
      </c>
      <c r="U2685" s="6">
        <v>97160.85</v>
      </c>
      <c r="V2685" s="6">
        <v>251000</v>
      </c>
      <c r="W2685" s="18">
        <v>0</v>
      </c>
      <c r="X2685" s="13">
        <f>V2685</f>
        <v>251000</v>
      </c>
      <c r="Y2685" s="13">
        <f t="shared" si="392"/>
        <v>0</v>
      </c>
      <c r="Z2685" s="14">
        <v>0</v>
      </c>
      <c r="AA2685" s="18"/>
      <c r="AB2685" s="4">
        <f t="shared" si="393"/>
        <v>251000</v>
      </c>
      <c r="AC2685" s="6">
        <f t="shared" si="394"/>
        <v>0</v>
      </c>
      <c r="AD2685" s="6">
        <v>251000</v>
      </c>
      <c r="AE2685" s="2">
        <v>0.06</v>
      </c>
      <c r="AF2685" s="6">
        <f t="shared" si="401"/>
        <v>15060</v>
      </c>
      <c r="AG2685" s="14">
        <v>0</v>
      </c>
      <c r="AH2685" s="6"/>
      <c r="AI2685" s="16"/>
      <c r="AJ2685" s="126" t="e">
        <v>#N/A</v>
      </c>
      <c r="AK2685" s="80">
        <f t="shared" si="396"/>
        <v>0</v>
      </c>
      <c r="AM2685" s="85"/>
    </row>
    <row r="2686" spans="1:39" hidden="1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2393</v>
      </c>
      <c r="F2686" s="15" t="s">
        <v>3203</v>
      </c>
      <c r="G2686" s="15" t="s">
        <v>2393</v>
      </c>
      <c r="H2686" s="154"/>
      <c r="I2686" s="15" t="s">
        <v>2374</v>
      </c>
      <c r="J2686" s="1" t="s">
        <v>3322</v>
      </c>
      <c r="K2686" s="1" t="s">
        <v>3269</v>
      </c>
      <c r="L2686" s="1" t="s">
        <v>35</v>
      </c>
      <c r="M2686" s="15"/>
      <c r="N2686" s="15"/>
      <c r="O2686" s="8" t="s">
        <v>3197</v>
      </c>
      <c r="P2686" s="8" t="s">
        <v>92</v>
      </c>
      <c r="Q2686" s="14">
        <v>0.94499999999999995</v>
      </c>
      <c r="R2686" s="139"/>
      <c r="S2686" s="8"/>
      <c r="T2686" s="6">
        <v>0</v>
      </c>
      <c r="U2686" s="6">
        <v>109200</v>
      </c>
      <c r="V2686" s="6">
        <v>103194</v>
      </c>
      <c r="W2686" s="18">
        <v>0</v>
      </c>
      <c r="X2686" s="13">
        <f>V2686</f>
        <v>103194</v>
      </c>
      <c r="Y2686" s="13">
        <f t="shared" si="392"/>
        <v>0</v>
      </c>
      <c r="Z2686" s="14">
        <v>0</v>
      </c>
      <c r="AA2686" s="18"/>
      <c r="AB2686" s="4">
        <f t="shared" si="393"/>
        <v>103194</v>
      </c>
      <c r="AC2686" s="6">
        <f t="shared" si="394"/>
        <v>0</v>
      </c>
      <c r="AD2686" s="6">
        <v>109200</v>
      </c>
      <c r="AE2686" s="2">
        <v>0.06</v>
      </c>
      <c r="AF2686" s="6">
        <f t="shared" si="401"/>
        <v>6552</v>
      </c>
      <c r="AG2686" s="14">
        <v>0</v>
      </c>
      <c r="AH2686" s="6"/>
      <c r="AI2686" s="16"/>
      <c r="AJ2686" s="126" t="e">
        <v>#N/A</v>
      </c>
      <c r="AK2686" s="80">
        <f t="shared" si="396"/>
        <v>0</v>
      </c>
      <c r="AM2686" s="85"/>
    </row>
    <row r="2687" spans="1:39" hidden="1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2393</v>
      </c>
      <c r="F2687" s="15" t="s">
        <v>2405</v>
      </c>
      <c r="G2687" s="15" t="s">
        <v>2393</v>
      </c>
      <c r="H2687" s="154"/>
      <c r="I2687" s="15" t="s">
        <v>2374</v>
      </c>
      <c r="J2687" s="1" t="s">
        <v>3322</v>
      </c>
      <c r="K2687" s="1" t="s">
        <v>3269</v>
      </c>
      <c r="L2687" s="1" t="s">
        <v>35</v>
      </c>
      <c r="M2687" s="15"/>
      <c r="N2687" s="15"/>
      <c r="O2687" s="8" t="s">
        <v>3197</v>
      </c>
      <c r="P2687" s="8" t="s">
        <v>92</v>
      </c>
      <c r="Q2687" s="14">
        <v>0.94499999999999995</v>
      </c>
      <c r="R2687" s="139"/>
      <c r="S2687" s="8"/>
      <c r="T2687" s="6">
        <v>0</v>
      </c>
      <c r="U2687" s="6">
        <v>42400</v>
      </c>
      <c r="V2687" s="6">
        <v>40068</v>
      </c>
      <c r="W2687" s="18">
        <v>0</v>
      </c>
      <c r="X2687" s="13">
        <f>V2687</f>
        <v>40068</v>
      </c>
      <c r="Y2687" s="13">
        <f t="shared" si="392"/>
        <v>0</v>
      </c>
      <c r="Z2687" s="14">
        <v>0</v>
      </c>
      <c r="AA2687" s="18"/>
      <c r="AB2687" s="4">
        <f t="shared" si="393"/>
        <v>40068</v>
      </c>
      <c r="AC2687" s="6">
        <f t="shared" si="394"/>
        <v>0</v>
      </c>
      <c r="AD2687" s="6">
        <v>42400</v>
      </c>
      <c r="AE2687" s="2">
        <v>0.06</v>
      </c>
      <c r="AF2687" s="6">
        <f t="shared" si="401"/>
        <v>2544</v>
      </c>
      <c r="AG2687" s="14">
        <v>0</v>
      </c>
      <c r="AH2687" s="6"/>
      <c r="AI2687" s="16"/>
      <c r="AJ2687" s="126" t="e">
        <v>#N/A</v>
      </c>
      <c r="AK2687" s="80">
        <f t="shared" si="396"/>
        <v>0</v>
      </c>
      <c r="AM2687" s="85"/>
    </row>
    <row r="2688" spans="1:39" hidden="1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2393</v>
      </c>
      <c r="F2688" s="15" t="s">
        <v>3204</v>
      </c>
      <c r="G2688" s="15" t="s">
        <v>2393</v>
      </c>
      <c r="H2688" s="154"/>
      <c r="I2688" s="15" t="s">
        <v>2374</v>
      </c>
      <c r="J2688" s="1" t="s">
        <v>3322</v>
      </c>
      <c r="K2688" s="1" t="s">
        <v>3269</v>
      </c>
      <c r="L2688" s="1" t="s">
        <v>35</v>
      </c>
      <c r="M2688" s="15"/>
      <c r="N2688" s="15"/>
      <c r="O2688" s="8" t="s">
        <v>3197</v>
      </c>
      <c r="P2688" s="8" t="s">
        <v>41</v>
      </c>
      <c r="Q2688" s="14">
        <v>0</v>
      </c>
      <c r="R2688" s="139"/>
      <c r="S2688" s="8"/>
      <c r="T2688" s="6">
        <v>0</v>
      </c>
      <c r="U2688" s="6">
        <v>76270.97</v>
      </c>
      <c r="V2688" s="6">
        <v>97146</v>
      </c>
      <c r="W2688" s="18">
        <v>0</v>
      </c>
      <c r="X2688" s="13">
        <f t="shared" si="397"/>
        <v>97146</v>
      </c>
      <c r="Y2688" s="13">
        <f t="shared" si="392"/>
        <v>0</v>
      </c>
      <c r="Z2688" s="14">
        <v>0</v>
      </c>
      <c r="AA2688" s="18"/>
      <c r="AB2688" s="4">
        <f t="shared" si="393"/>
        <v>97146</v>
      </c>
      <c r="AC2688" s="6">
        <f t="shared" si="394"/>
        <v>0</v>
      </c>
      <c r="AD2688" s="6">
        <v>102800</v>
      </c>
      <c r="AE2688" s="2">
        <v>0.06</v>
      </c>
      <c r="AF2688" s="6">
        <f t="shared" si="401"/>
        <v>6168</v>
      </c>
      <c r="AG2688" s="14">
        <v>0</v>
      </c>
      <c r="AH2688" s="6"/>
      <c r="AI2688" s="16"/>
      <c r="AJ2688" s="126" t="e">
        <v>#N/A</v>
      </c>
      <c r="AK2688" s="80">
        <f t="shared" si="396"/>
        <v>0</v>
      </c>
      <c r="AM2688" s="85"/>
    </row>
    <row r="2689" spans="1:39" hidden="1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2409</v>
      </c>
      <c r="F2689" s="15" t="s">
        <v>3205</v>
      </c>
      <c r="G2689" s="15" t="s">
        <v>2409</v>
      </c>
      <c r="H2689" s="154"/>
      <c r="I2689" s="15" t="s">
        <v>2374</v>
      </c>
      <c r="J2689" s="1" t="s">
        <v>3322</v>
      </c>
      <c r="K2689" s="1" t="s">
        <v>3269</v>
      </c>
      <c r="L2689" s="1" t="s">
        <v>35</v>
      </c>
      <c r="M2689" s="15"/>
      <c r="N2689" s="15"/>
      <c r="O2689" s="8" t="s">
        <v>3197</v>
      </c>
      <c r="P2689" s="8" t="s">
        <v>92</v>
      </c>
      <c r="Q2689" s="14">
        <v>0.94499999999999995</v>
      </c>
      <c r="R2689" s="139"/>
      <c r="S2689" s="8"/>
      <c r="T2689" s="6">
        <v>0</v>
      </c>
      <c r="U2689" s="6">
        <v>50000</v>
      </c>
      <c r="V2689" s="6">
        <v>47250</v>
      </c>
      <c r="W2689" s="18">
        <v>0</v>
      </c>
      <c r="X2689" s="13">
        <f>V2689</f>
        <v>47250</v>
      </c>
      <c r="Y2689" s="13">
        <f t="shared" si="392"/>
        <v>0</v>
      </c>
      <c r="Z2689" s="14">
        <v>0</v>
      </c>
      <c r="AA2689" s="18"/>
      <c r="AB2689" s="4">
        <f t="shared" si="393"/>
        <v>47250</v>
      </c>
      <c r="AC2689" s="6">
        <f t="shared" si="394"/>
        <v>0</v>
      </c>
      <c r="AD2689" s="6">
        <v>50000</v>
      </c>
      <c r="AE2689" s="2">
        <v>0.06</v>
      </c>
      <c r="AF2689" s="6">
        <f t="shared" si="401"/>
        <v>3000</v>
      </c>
      <c r="AG2689" s="14">
        <v>0</v>
      </c>
      <c r="AH2689" s="6"/>
      <c r="AI2689" s="16"/>
      <c r="AJ2689" s="126" t="e">
        <v>#N/A</v>
      </c>
      <c r="AK2689" s="80">
        <f t="shared" si="396"/>
        <v>0</v>
      </c>
      <c r="AM2689" s="85"/>
    </row>
    <row r="2690" spans="1:39" hidden="1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2409</v>
      </c>
      <c r="F2690" s="15" t="s">
        <v>3206</v>
      </c>
      <c r="G2690" s="15" t="s">
        <v>2409</v>
      </c>
      <c r="H2690" s="154"/>
      <c r="I2690" s="15" t="s">
        <v>2374</v>
      </c>
      <c r="J2690" s="1" t="s">
        <v>3322</v>
      </c>
      <c r="K2690" s="1" t="s">
        <v>3269</v>
      </c>
      <c r="L2690" s="1" t="s">
        <v>35</v>
      </c>
      <c r="M2690" s="15"/>
      <c r="N2690" s="15"/>
      <c r="O2690" s="8" t="s">
        <v>3197</v>
      </c>
      <c r="P2690" s="8" t="s">
        <v>92</v>
      </c>
      <c r="Q2690" s="14">
        <v>0.94499999999999995</v>
      </c>
      <c r="R2690" s="139"/>
      <c r="S2690" s="8"/>
      <c r="T2690" s="6">
        <v>0</v>
      </c>
      <c r="U2690" s="6">
        <v>19509.68</v>
      </c>
      <c r="V2690" s="6">
        <v>31752</v>
      </c>
      <c r="W2690" s="18">
        <v>0</v>
      </c>
      <c r="X2690" s="13">
        <f>V2690</f>
        <v>31752</v>
      </c>
      <c r="Y2690" s="13">
        <f t="shared" si="392"/>
        <v>0</v>
      </c>
      <c r="Z2690" s="14">
        <v>0</v>
      </c>
      <c r="AA2690" s="18"/>
      <c r="AB2690" s="4">
        <f t="shared" si="393"/>
        <v>31752</v>
      </c>
      <c r="AC2690" s="6">
        <f t="shared" ref="AC2690:AC2726" si="402">IF(P2690="返现",X2690*Q2690,V2690-X2690)</f>
        <v>0</v>
      </c>
      <c r="AD2690" s="6">
        <v>33600</v>
      </c>
      <c r="AE2690" s="2">
        <v>0.06</v>
      </c>
      <c r="AF2690" s="6">
        <f t="shared" si="401"/>
        <v>2016</v>
      </c>
      <c r="AG2690" s="14">
        <v>0</v>
      </c>
      <c r="AH2690" s="6"/>
      <c r="AI2690" s="16"/>
      <c r="AJ2690" s="126" t="e">
        <v>#N/A</v>
      </c>
      <c r="AK2690" s="80">
        <f t="shared" si="396"/>
        <v>0</v>
      </c>
      <c r="AM2690" s="85"/>
    </row>
    <row r="2691" spans="1:39" hidden="1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2409</v>
      </c>
      <c r="F2691" s="15" t="s">
        <v>3207</v>
      </c>
      <c r="G2691" s="15" t="s">
        <v>2409</v>
      </c>
      <c r="H2691" s="154"/>
      <c r="I2691" s="15" t="s">
        <v>2374</v>
      </c>
      <c r="J2691" s="1" t="s">
        <v>3322</v>
      </c>
      <c r="K2691" s="1" t="s">
        <v>3269</v>
      </c>
      <c r="L2691" s="1" t="s">
        <v>35</v>
      </c>
      <c r="M2691" s="15"/>
      <c r="N2691" s="15"/>
      <c r="O2691" s="8" t="s">
        <v>3197</v>
      </c>
      <c r="P2691" s="8" t="s">
        <v>92</v>
      </c>
      <c r="Q2691" s="14">
        <v>0.94499999999999995</v>
      </c>
      <c r="R2691" s="139"/>
      <c r="S2691" s="8"/>
      <c r="T2691" s="6">
        <v>0</v>
      </c>
      <c r="U2691" s="6">
        <v>740000</v>
      </c>
      <c r="V2691" s="6">
        <v>699300</v>
      </c>
      <c r="W2691" s="18">
        <v>0</v>
      </c>
      <c r="X2691" s="13">
        <f>V2691</f>
        <v>699300</v>
      </c>
      <c r="Y2691" s="13">
        <f t="shared" ref="Y2691:Y2754" si="403">IF(X2691-AD2691&lt;=0,0,IF(P2691="返现",MAX(X2691-AC2691-AD2691,0),MAX(X2691-AD2691)))</f>
        <v>0</v>
      </c>
      <c r="Z2691" s="14">
        <v>0</v>
      </c>
      <c r="AA2691" s="18"/>
      <c r="AB2691" s="4">
        <f t="shared" ref="AB2691:AB2754" si="404">X2691+AA2691</f>
        <v>699300</v>
      </c>
      <c r="AC2691" s="6">
        <f t="shared" si="402"/>
        <v>0</v>
      </c>
      <c r="AD2691" s="6">
        <v>740000</v>
      </c>
      <c r="AE2691" s="2">
        <v>0.06</v>
      </c>
      <c r="AF2691" s="6">
        <f t="shared" si="401"/>
        <v>44400</v>
      </c>
      <c r="AG2691" s="14">
        <v>0</v>
      </c>
      <c r="AH2691" s="6"/>
      <c r="AI2691" s="16"/>
      <c r="AJ2691" s="126" t="e">
        <v>#N/A</v>
      </c>
      <c r="AK2691" s="80">
        <f t="shared" ref="AK2691:AK2754" si="405">X2691+AA2691-AB2691</f>
        <v>0</v>
      </c>
      <c r="AM2691" s="85"/>
    </row>
    <row r="2692" spans="1:39" hidden="1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2409</v>
      </c>
      <c r="F2692" s="15" t="s">
        <v>3208</v>
      </c>
      <c r="G2692" s="15" t="s">
        <v>2409</v>
      </c>
      <c r="H2692" s="154"/>
      <c r="I2692" s="15" t="s">
        <v>2374</v>
      </c>
      <c r="J2692" s="1" t="s">
        <v>3322</v>
      </c>
      <c r="K2692" s="1" t="s">
        <v>3269</v>
      </c>
      <c r="L2692" s="1" t="s">
        <v>35</v>
      </c>
      <c r="M2692" s="15"/>
      <c r="N2692" s="15"/>
      <c r="O2692" s="8" t="s">
        <v>3197</v>
      </c>
      <c r="P2692" s="8" t="s">
        <v>92</v>
      </c>
      <c r="Q2692" s="14">
        <v>0.94499999999999995</v>
      </c>
      <c r="R2692" s="139"/>
      <c r="S2692" s="8"/>
      <c r="T2692" s="6">
        <v>0</v>
      </c>
      <c r="U2692" s="6">
        <v>718225.4</v>
      </c>
      <c r="V2692" s="6">
        <v>656775</v>
      </c>
      <c r="W2692" s="18">
        <v>0</v>
      </c>
      <c r="X2692" s="13">
        <f>V2692</f>
        <v>656775</v>
      </c>
      <c r="Y2692" s="13">
        <f t="shared" si="403"/>
        <v>0</v>
      </c>
      <c r="Z2692" s="14">
        <v>0</v>
      </c>
      <c r="AA2692" s="18"/>
      <c r="AB2692" s="4">
        <f t="shared" si="404"/>
        <v>656775</v>
      </c>
      <c r="AC2692" s="6">
        <f t="shared" si="402"/>
        <v>0</v>
      </c>
      <c r="AD2692" s="6">
        <v>695000</v>
      </c>
      <c r="AE2692" s="2">
        <v>0.06</v>
      </c>
      <c r="AF2692" s="6">
        <f t="shared" si="401"/>
        <v>41700</v>
      </c>
      <c r="AG2692" s="14">
        <v>0</v>
      </c>
      <c r="AH2692" s="6"/>
      <c r="AI2692" s="16"/>
      <c r="AJ2692" s="126" t="e">
        <v>#N/A</v>
      </c>
      <c r="AK2692" s="80">
        <f t="shared" si="405"/>
        <v>0</v>
      </c>
      <c r="AM2692" s="85"/>
    </row>
    <row r="2693" spans="1:39" hidden="1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3209</v>
      </c>
      <c r="G2693" s="15" t="s">
        <v>2418</v>
      </c>
      <c r="H2693" s="154"/>
      <c r="I2693" s="15" t="s">
        <v>2374</v>
      </c>
      <c r="J2693" s="1" t="s">
        <v>3322</v>
      </c>
      <c r="K2693" s="1" t="s">
        <v>3269</v>
      </c>
      <c r="L2693" s="1" t="s">
        <v>35</v>
      </c>
      <c r="M2693" s="15"/>
      <c r="N2693" s="15"/>
      <c r="O2693" s="8" t="s">
        <v>3197</v>
      </c>
      <c r="P2693" s="8" t="s">
        <v>92</v>
      </c>
      <c r="Q2693" s="14">
        <v>0.94499999999999995</v>
      </c>
      <c r="R2693" s="139"/>
      <c r="S2693" s="8"/>
      <c r="T2693" s="6">
        <v>0</v>
      </c>
      <c r="U2693" s="6">
        <v>105400</v>
      </c>
      <c r="V2693" s="6">
        <v>99603</v>
      </c>
      <c r="W2693" s="18">
        <v>0</v>
      </c>
      <c r="X2693" s="13">
        <f>V2693</f>
        <v>99603</v>
      </c>
      <c r="Y2693" s="13">
        <f t="shared" si="403"/>
        <v>0</v>
      </c>
      <c r="Z2693" s="14">
        <v>0</v>
      </c>
      <c r="AA2693" s="18"/>
      <c r="AB2693" s="4">
        <f t="shared" si="404"/>
        <v>99603</v>
      </c>
      <c r="AC2693" s="6">
        <f t="shared" si="402"/>
        <v>0</v>
      </c>
      <c r="AD2693" s="6">
        <v>105400</v>
      </c>
      <c r="AE2693" s="2">
        <v>0.06</v>
      </c>
      <c r="AF2693" s="6">
        <f t="shared" si="401"/>
        <v>6324</v>
      </c>
      <c r="AG2693" s="14">
        <v>0</v>
      </c>
      <c r="AH2693" s="6"/>
      <c r="AI2693" s="16"/>
      <c r="AJ2693" s="126" t="e">
        <v>#N/A</v>
      </c>
      <c r="AK2693" s="80">
        <f t="shared" si="405"/>
        <v>0</v>
      </c>
      <c r="AM2693" s="85"/>
    </row>
    <row r="2694" spans="1:39" hidden="1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132</v>
      </c>
      <c r="F2694" s="15" t="s">
        <v>132</v>
      </c>
      <c r="G2694" s="15" t="s">
        <v>132</v>
      </c>
      <c r="H2694" s="154"/>
      <c r="I2694" s="15" t="s">
        <v>2374</v>
      </c>
      <c r="J2694" s="1" t="s">
        <v>3322</v>
      </c>
      <c r="K2694" s="1" t="s">
        <v>3269</v>
      </c>
      <c r="L2694" s="1" t="s">
        <v>35</v>
      </c>
      <c r="M2694" s="15"/>
      <c r="N2694" s="15"/>
      <c r="O2694" s="8" t="s">
        <v>3197</v>
      </c>
      <c r="P2694" s="8" t="s">
        <v>41</v>
      </c>
      <c r="Q2694" s="14">
        <v>0</v>
      </c>
      <c r="R2694" s="139"/>
      <c r="S2694" s="8"/>
      <c r="T2694" s="6">
        <v>0</v>
      </c>
      <c r="U2694" s="6">
        <v>575000</v>
      </c>
      <c r="V2694" s="6">
        <v>575000</v>
      </c>
      <c r="W2694" s="18">
        <v>0</v>
      </c>
      <c r="X2694" s="13">
        <f t="shared" si="397"/>
        <v>575000</v>
      </c>
      <c r="Y2694" s="13">
        <f t="shared" si="403"/>
        <v>0</v>
      </c>
      <c r="Z2694" s="14">
        <v>0</v>
      </c>
      <c r="AA2694" s="18"/>
      <c r="AB2694" s="4">
        <f t="shared" si="404"/>
        <v>575000</v>
      </c>
      <c r="AC2694" s="6">
        <f t="shared" si="402"/>
        <v>0</v>
      </c>
      <c r="AD2694" s="6">
        <v>575000</v>
      </c>
      <c r="AE2694" s="2">
        <v>0.06</v>
      </c>
      <c r="AF2694" s="6">
        <f t="shared" si="401"/>
        <v>34500</v>
      </c>
      <c r="AG2694" s="14">
        <v>0</v>
      </c>
      <c r="AH2694" s="6"/>
      <c r="AI2694" s="16"/>
      <c r="AJ2694" s="126" t="e">
        <v>#N/A</v>
      </c>
      <c r="AK2694" s="80">
        <f t="shared" si="405"/>
        <v>0</v>
      </c>
      <c r="AM2694" s="85"/>
    </row>
    <row r="2695" spans="1:39" hidden="1" x14ac:dyDescent="0.3">
      <c r="A2695" s="85" t="s">
        <v>34</v>
      </c>
      <c r="B2695" s="15" t="s">
        <v>35</v>
      </c>
      <c r="C2695" s="15" t="s">
        <v>144</v>
      </c>
      <c r="D2695" s="15" t="s">
        <v>145</v>
      </c>
      <c r="E2695" s="15" t="s">
        <v>2988</v>
      </c>
      <c r="F2695" s="15" t="s">
        <v>2989</v>
      </c>
      <c r="G2695" s="15" t="s">
        <v>2988</v>
      </c>
      <c r="H2695" s="154"/>
      <c r="I2695" s="15" t="s">
        <v>3210</v>
      </c>
      <c r="J2695" s="1" t="s">
        <v>3323</v>
      </c>
      <c r="K2695" s="1" t="s">
        <v>3299</v>
      </c>
      <c r="L2695" s="1" t="s">
        <v>35</v>
      </c>
      <c r="M2695" s="15"/>
      <c r="N2695" s="15"/>
      <c r="O2695" s="8" t="s">
        <v>45</v>
      </c>
      <c r="P2695" s="8" t="s">
        <v>46</v>
      </c>
      <c r="Q2695" s="14">
        <v>7.0000000000000007E-2</v>
      </c>
      <c r="R2695" s="139"/>
      <c r="S2695" s="8"/>
      <c r="T2695" s="6">
        <v>0</v>
      </c>
      <c r="U2695" s="6">
        <v>10700</v>
      </c>
      <c r="V2695" s="6">
        <v>9661.57</v>
      </c>
      <c r="W2695" s="18">
        <f t="shared" si="400"/>
        <v>1038.4300000000003</v>
      </c>
      <c r="X2695" s="13">
        <f t="shared" si="397"/>
        <v>9029.5046728971956</v>
      </c>
      <c r="Y2695" s="13">
        <f t="shared" si="403"/>
        <v>0</v>
      </c>
      <c r="Z2695" s="14">
        <v>0</v>
      </c>
      <c r="AA2695" s="18"/>
      <c r="AB2695" s="4">
        <f t="shared" si="404"/>
        <v>9029.5046728971956</v>
      </c>
      <c r="AC2695" s="6">
        <f t="shared" si="402"/>
        <v>632.06532710280408</v>
      </c>
      <c r="AD2695" s="6">
        <v>9661.57</v>
      </c>
      <c r="AE2695" s="14">
        <v>0.12</v>
      </c>
      <c r="AF2695" s="6">
        <f t="shared" si="401"/>
        <v>1159.3883999999998</v>
      </c>
      <c r="AG2695" s="14">
        <v>0</v>
      </c>
      <c r="AH2695" s="6"/>
      <c r="AI2695" s="16"/>
      <c r="AJ2695" s="126" t="e">
        <v>#N/A</v>
      </c>
      <c r="AK2695" s="80">
        <f t="shared" si="405"/>
        <v>0</v>
      </c>
      <c r="AM2695" s="85"/>
    </row>
    <row r="2696" spans="1:39" hidden="1" x14ac:dyDescent="0.3">
      <c r="A2696" s="85" t="s">
        <v>34</v>
      </c>
      <c r="B2696" s="15" t="s">
        <v>35</v>
      </c>
      <c r="C2696" s="15" t="s">
        <v>164</v>
      </c>
      <c r="D2696" s="15" t="s">
        <v>169</v>
      </c>
      <c r="E2696" s="15" t="s">
        <v>2518</v>
      </c>
      <c r="F2696" s="15" t="s">
        <v>2518</v>
      </c>
      <c r="G2696" s="15" t="s">
        <v>2518</v>
      </c>
      <c r="H2696" s="154"/>
      <c r="I2696" s="15" t="s">
        <v>2374</v>
      </c>
      <c r="J2696" s="1" t="s">
        <v>3322</v>
      </c>
      <c r="K2696" s="1" t="s">
        <v>3269</v>
      </c>
      <c r="L2696" s="1" t="s">
        <v>35</v>
      </c>
      <c r="M2696" s="15"/>
      <c r="N2696" s="15"/>
      <c r="O2696" s="8" t="s">
        <v>3197</v>
      </c>
      <c r="P2696" s="8" t="s">
        <v>41</v>
      </c>
      <c r="Q2696" s="14">
        <v>0</v>
      </c>
      <c r="R2696" s="139"/>
      <c r="S2696" s="8"/>
      <c r="T2696" s="6">
        <v>0</v>
      </c>
      <c r="U2696" s="6">
        <v>763000</v>
      </c>
      <c r="V2696" s="6">
        <v>299750</v>
      </c>
      <c r="W2696" s="18">
        <v>0</v>
      </c>
      <c r="X2696" s="13">
        <f t="shared" si="397"/>
        <v>299750</v>
      </c>
      <c r="Y2696" s="13">
        <f t="shared" si="403"/>
        <v>0</v>
      </c>
      <c r="Z2696" s="14">
        <v>0</v>
      </c>
      <c r="AA2696" s="18"/>
      <c r="AB2696" s="4">
        <f t="shared" si="404"/>
        <v>299750</v>
      </c>
      <c r="AC2696" s="6">
        <f t="shared" si="402"/>
        <v>0</v>
      </c>
      <c r="AD2696" s="6">
        <v>299750</v>
      </c>
      <c r="AE2696" s="2">
        <v>0.06</v>
      </c>
      <c r="AF2696" s="6">
        <f t="shared" si="401"/>
        <v>17985</v>
      </c>
      <c r="AG2696" s="14">
        <v>0</v>
      </c>
      <c r="AH2696" s="6"/>
      <c r="AI2696" s="16"/>
      <c r="AJ2696" s="126" t="e">
        <v>#N/A</v>
      </c>
      <c r="AK2696" s="80">
        <f t="shared" si="405"/>
        <v>0</v>
      </c>
      <c r="AM2696" s="85"/>
    </row>
    <row r="2697" spans="1:39" hidden="1" x14ac:dyDescent="0.3">
      <c r="A2697" s="85" t="s">
        <v>34</v>
      </c>
      <c r="B2697" s="15" t="s">
        <v>35</v>
      </c>
      <c r="C2697" s="15" t="s">
        <v>164</v>
      </c>
      <c r="D2697" s="15" t="s">
        <v>169</v>
      </c>
      <c r="E2697" s="15" t="s">
        <v>2567</v>
      </c>
      <c r="F2697" s="15" t="s">
        <v>2568</v>
      </c>
      <c r="G2697" s="15" t="s">
        <v>2567</v>
      </c>
      <c r="H2697" s="154"/>
      <c r="I2697" s="15" t="s">
        <v>2374</v>
      </c>
      <c r="J2697" s="1" t="s">
        <v>3322</v>
      </c>
      <c r="K2697" s="1" t="s">
        <v>3269</v>
      </c>
      <c r="L2697" s="1" t="s">
        <v>35</v>
      </c>
      <c r="M2697" s="15"/>
      <c r="N2697" s="15"/>
      <c r="O2697" s="8" t="s">
        <v>3197</v>
      </c>
      <c r="P2697" s="8" t="s">
        <v>41</v>
      </c>
      <c r="Q2697" s="14">
        <v>0</v>
      </c>
      <c r="R2697" s="139"/>
      <c r="S2697" s="8"/>
      <c r="T2697" s="6">
        <v>0</v>
      </c>
      <c r="U2697" s="6">
        <v>108500</v>
      </c>
      <c r="V2697" s="6">
        <v>104273</v>
      </c>
      <c r="W2697" s="18">
        <v>0</v>
      </c>
      <c r="X2697" s="13">
        <v>108500</v>
      </c>
      <c r="Y2697" s="13">
        <f t="shared" si="403"/>
        <v>4227</v>
      </c>
      <c r="Z2697" s="14">
        <v>0</v>
      </c>
      <c r="AA2697" s="18"/>
      <c r="AB2697" s="4">
        <f t="shared" si="404"/>
        <v>108500</v>
      </c>
      <c r="AC2697" s="6">
        <f t="shared" si="402"/>
        <v>-4227</v>
      </c>
      <c r="AD2697" s="6">
        <v>104273</v>
      </c>
      <c r="AE2697" s="2">
        <v>0.06</v>
      </c>
      <c r="AF2697" s="6">
        <f t="shared" si="401"/>
        <v>6256.38</v>
      </c>
      <c r="AG2697" s="14">
        <v>0</v>
      </c>
      <c r="AH2697" s="6"/>
      <c r="AI2697" s="16"/>
      <c r="AJ2697" s="126" t="e">
        <v>#N/A</v>
      </c>
      <c r="AK2697" s="80">
        <f t="shared" si="405"/>
        <v>0</v>
      </c>
      <c r="AM2697" s="85"/>
    </row>
    <row r="2698" spans="1:39" hidden="1" x14ac:dyDescent="0.3">
      <c r="A2698" s="85" t="s">
        <v>34</v>
      </c>
      <c r="B2698" s="15" t="s">
        <v>35</v>
      </c>
      <c r="C2698" s="15" t="s">
        <v>187</v>
      </c>
      <c r="D2698" s="15" t="s">
        <v>188</v>
      </c>
      <c r="E2698" s="15" t="s">
        <v>2504</v>
      </c>
      <c r="F2698" s="15" t="s">
        <v>2505</v>
      </c>
      <c r="G2698" s="15" t="s">
        <v>2504</v>
      </c>
      <c r="H2698" s="154"/>
      <c r="I2698" s="15" t="s">
        <v>2374</v>
      </c>
      <c r="J2698" s="1" t="s">
        <v>3322</v>
      </c>
      <c r="K2698" s="1" t="s">
        <v>3269</v>
      </c>
      <c r="L2698" s="1" t="s">
        <v>35</v>
      </c>
      <c r="M2698" s="15"/>
      <c r="N2698" s="15"/>
      <c r="O2698" s="8" t="s">
        <v>3197</v>
      </c>
      <c r="P2698" s="8" t="s">
        <v>41</v>
      </c>
      <c r="Q2698" s="14">
        <v>0</v>
      </c>
      <c r="R2698" s="139"/>
      <c r="S2698" s="8"/>
      <c r="T2698" s="6">
        <v>0</v>
      </c>
      <c r="U2698" s="6">
        <v>42400</v>
      </c>
      <c r="V2698" s="6">
        <v>42400</v>
      </c>
      <c r="W2698" s="18">
        <v>0</v>
      </c>
      <c r="X2698" s="13">
        <f t="shared" si="397"/>
        <v>42400</v>
      </c>
      <c r="Y2698" s="13">
        <f t="shared" si="403"/>
        <v>0</v>
      </c>
      <c r="Z2698" s="14">
        <v>0</v>
      </c>
      <c r="AA2698" s="18"/>
      <c r="AB2698" s="4">
        <f t="shared" si="404"/>
        <v>42400</v>
      </c>
      <c r="AC2698" s="6">
        <f t="shared" si="402"/>
        <v>0</v>
      </c>
      <c r="AD2698" s="6">
        <v>42400</v>
      </c>
      <c r="AE2698" s="2">
        <v>0.06</v>
      </c>
      <c r="AF2698" s="6">
        <f t="shared" si="401"/>
        <v>2544</v>
      </c>
      <c r="AG2698" s="14">
        <v>0</v>
      </c>
      <c r="AH2698" s="6"/>
      <c r="AI2698" s="16"/>
      <c r="AJ2698" s="126" t="e">
        <v>#N/A</v>
      </c>
      <c r="AK2698" s="80">
        <f t="shared" si="405"/>
        <v>0</v>
      </c>
      <c r="AM2698" s="85"/>
    </row>
    <row r="2699" spans="1:39" hidden="1" x14ac:dyDescent="0.3">
      <c r="A2699" s="85" t="s">
        <v>34</v>
      </c>
      <c r="B2699" s="15" t="s">
        <v>35</v>
      </c>
      <c r="C2699" s="15" t="s">
        <v>187</v>
      </c>
      <c r="D2699" s="15" t="s">
        <v>188</v>
      </c>
      <c r="E2699" s="15" t="s">
        <v>207</v>
      </c>
      <c r="F2699" s="15" t="s">
        <v>207</v>
      </c>
      <c r="G2699" s="15" t="s">
        <v>207</v>
      </c>
      <c r="H2699" s="154"/>
      <c r="I2699" s="15" t="s">
        <v>2374</v>
      </c>
      <c r="J2699" s="1" t="s">
        <v>3322</v>
      </c>
      <c r="K2699" s="1" t="s">
        <v>3269</v>
      </c>
      <c r="L2699" s="1" t="s">
        <v>35</v>
      </c>
      <c r="M2699" s="15"/>
      <c r="N2699" s="15"/>
      <c r="O2699" s="8" t="s">
        <v>3197</v>
      </c>
      <c r="P2699" s="8" t="s">
        <v>41</v>
      </c>
      <c r="Q2699" s="14">
        <v>0</v>
      </c>
      <c r="R2699" s="139"/>
      <c r="S2699" s="8"/>
      <c r="T2699" s="6">
        <v>0</v>
      </c>
      <c r="U2699" s="6">
        <v>3000</v>
      </c>
      <c r="V2699" s="6">
        <v>30000</v>
      </c>
      <c r="W2699" s="18">
        <v>0</v>
      </c>
      <c r="X2699" s="13">
        <f t="shared" si="397"/>
        <v>30000</v>
      </c>
      <c r="Y2699" s="13">
        <f t="shared" si="403"/>
        <v>0</v>
      </c>
      <c r="Z2699" s="14">
        <v>0</v>
      </c>
      <c r="AA2699" s="18"/>
      <c r="AB2699" s="4">
        <f t="shared" si="404"/>
        <v>30000</v>
      </c>
      <c r="AC2699" s="6">
        <f t="shared" si="402"/>
        <v>0</v>
      </c>
      <c r="AD2699" s="6">
        <v>30000</v>
      </c>
      <c r="AE2699" s="2">
        <v>0.06</v>
      </c>
      <c r="AF2699" s="6">
        <f t="shared" si="401"/>
        <v>1800</v>
      </c>
      <c r="AG2699" s="14">
        <v>0</v>
      </c>
      <c r="AH2699" s="6"/>
      <c r="AI2699" s="16"/>
      <c r="AJ2699" s="126" t="e">
        <v>#N/A</v>
      </c>
      <c r="AK2699" s="80">
        <f t="shared" si="405"/>
        <v>0</v>
      </c>
      <c r="AM2699" s="85"/>
    </row>
    <row r="2700" spans="1:39" hidden="1" x14ac:dyDescent="0.3">
      <c r="A2700" s="85" t="s">
        <v>34</v>
      </c>
      <c r="B2700" s="15" t="s">
        <v>35</v>
      </c>
      <c r="C2700" s="15" t="s">
        <v>187</v>
      </c>
      <c r="D2700" s="15" t="s">
        <v>208</v>
      </c>
      <c r="E2700" s="15" t="s">
        <v>2462</v>
      </c>
      <c r="F2700" s="15" t="s">
        <v>2462</v>
      </c>
      <c r="G2700" s="15" t="s">
        <v>2462</v>
      </c>
      <c r="H2700" s="154"/>
      <c r="I2700" s="15" t="s">
        <v>2374</v>
      </c>
      <c r="J2700" s="1" t="s">
        <v>3322</v>
      </c>
      <c r="K2700" s="1" t="s">
        <v>3269</v>
      </c>
      <c r="L2700" s="1" t="s">
        <v>35</v>
      </c>
      <c r="M2700" s="15"/>
      <c r="N2700" s="15"/>
      <c r="O2700" s="8" t="s">
        <v>3197</v>
      </c>
      <c r="P2700" s="8" t="s">
        <v>41</v>
      </c>
      <c r="Q2700" s="14">
        <v>0</v>
      </c>
      <c r="R2700" s="139"/>
      <c r="S2700" s="8"/>
      <c r="T2700" s="6">
        <v>0</v>
      </c>
      <c r="U2700" s="6">
        <v>22000</v>
      </c>
      <c r="V2700" s="6">
        <v>22000</v>
      </c>
      <c r="W2700" s="18">
        <v>0</v>
      </c>
      <c r="X2700" s="13">
        <v>25000</v>
      </c>
      <c r="Y2700" s="13">
        <f t="shared" si="403"/>
        <v>3000</v>
      </c>
      <c r="Z2700" s="14">
        <v>0</v>
      </c>
      <c r="AA2700" s="18"/>
      <c r="AB2700" s="4">
        <f t="shared" si="404"/>
        <v>25000</v>
      </c>
      <c r="AC2700" s="6">
        <f t="shared" si="402"/>
        <v>-3000</v>
      </c>
      <c r="AD2700" s="6">
        <v>22000</v>
      </c>
      <c r="AE2700" s="2">
        <v>0.06</v>
      </c>
      <c r="AF2700" s="6">
        <f t="shared" si="401"/>
        <v>1320</v>
      </c>
      <c r="AG2700" s="14">
        <v>0</v>
      </c>
      <c r="AH2700" s="6"/>
      <c r="AI2700" s="16"/>
      <c r="AJ2700" s="126" t="e">
        <v>#N/A</v>
      </c>
      <c r="AK2700" s="80">
        <f t="shared" si="405"/>
        <v>0</v>
      </c>
      <c r="AM2700" s="85"/>
    </row>
    <row r="2701" spans="1:39" hidden="1" x14ac:dyDescent="0.3">
      <c r="A2701" s="85" t="s">
        <v>34</v>
      </c>
      <c r="B2701" s="15" t="s">
        <v>35</v>
      </c>
      <c r="C2701" s="15" t="s">
        <v>187</v>
      </c>
      <c r="D2701" s="15" t="s">
        <v>208</v>
      </c>
      <c r="E2701" s="15" t="s">
        <v>2465</v>
      </c>
      <c r="F2701" s="15" t="s">
        <v>2466</v>
      </c>
      <c r="G2701" s="15" t="s">
        <v>2465</v>
      </c>
      <c r="H2701" s="154"/>
      <c r="I2701" s="15" t="s">
        <v>2374</v>
      </c>
      <c r="J2701" s="1" t="s">
        <v>3322</v>
      </c>
      <c r="K2701" s="1" t="s">
        <v>3269</v>
      </c>
      <c r="L2701" s="1" t="s">
        <v>35</v>
      </c>
      <c r="M2701" s="15"/>
      <c r="N2701" s="15"/>
      <c r="O2701" s="8" t="s">
        <v>3197</v>
      </c>
      <c r="P2701" s="8" t="s">
        <v>41</v>
      </c>
      <c r="Q2701" s="14">
        <v>0</v>
      </c>
      <c r="R2701" s="139"/>
      <c r="S2701" s="8"/>
      <c r="T2701" s="6">
        <v>0</v>
      </c>
      <c r="U2701" s="6">
        <v>5805</v>
      </c>
      <c r="V2701" s="6">
        <v>20000</v>
      </c>
      <c r="W2701" s="18">
        <v>0</v>
      </c>
      <c r="X2701" s="13">
        <f t="shared" si="397"/>
        <v>20000</v>
      </c>
      <c r="Y2701" s="13">
        <f t="shared" si="403"/>
        <v>0</v>
      </c>
      <c r="Z2701" s="14">
        <v>0</v>
      </c>
      <c r="AA2701" s="18"/>
      <c r="AB2701" s="4">
        <f t="shared" si="404"/>
        <v>20000</v>
      </c>
      <c r="AC2701" s="6">
        <f t="shared" si="402"/>
        <v>0</v>
      </c>
      <c r="AD2701" s="6">
        <v>20000</v>
      </c>
      <c r="AE2701" s="2">
        <v>0.06</v>
      </c>
      <c r="AF2701" s="6">
        <f t="shared" si="401"/>
        <v>1200</v>
      </c>
      <c r="AG2701" s="14">
        <v>0</v>
      </c>
      <c r="AH2701" s="6"/>
      <c r="AI2701" s="16"/>
      <c r="AJ2701" s="126" t="e">
        <v>#N/A</v>
      </c>
      <c r="AK2701" s="80">
        <f t="shared" si="405"/>
        <v>0</v>
      </c>
      <c r="AM2701" s="85"/>
    </row>
    <row r="2702" spans="1:39" hidden="1" x14ac:dyDescent="0.3">
      <c r="A2702" s="85" t="s">
        <v>34</v>
      </c>
      <c r="B2702" s="15" t="s">
        <v>35</v>
      </c>
      <c r="C2702" s="15" t="s">
        <v>59</v>
      </c>
      <c r="D2702" s="15" t="s">
        <v>60</v>
      </c>
      <c r="E2702" s="15" t="s">
        <v>3211</v>
      </c>
      <c r="F2702" s="15" t="s">
        <v>3211</v>
      </c>
      <c r="G2702" s="15" t="s">
        <v>3211</v>
      </c>
      <c r="H2702" s="154"/>
      <c r="I2702" s="15" t="s">
        <v>3212</v>
      </c>
      <c r="J2702" s="1" t="s">
        <v>3323</v>
      </c>
      <c r="K2702" s="1" t="s">
        <v>3300</v>
      </c>
      <c r="L2702" s="1" t="s">
        <v>35</v>
      </c>
      <c r="M2702" s="15"/>
      <c r="N2702" s="15"/>
      <c r="O2702" s="8" t="s">
        <v>45</v>
      </c>
      <c r="P2702" s="8" t="s">
        <v>46</v>
      </c>
      <c r="Q2702" s="14">
        <v>0.05</v>
      </c>
      <c r="R2702" s="139"/>
      <c r="S2702" s="8"/>
      <c r="T2702" s="6">
        <v>29127.369999999995</v>
      </c>
      <c r="U2702" s="6">
        <v>30000</v>
      </c>
      <c r="V2702" s="6">
        <v>31500</v>
      </c>
      <c r="W2702" s="18">
        <f t="shared" si="400"/>
        <v>27627.369999999995</v>
      </c>
      <c r="X2702" s="13">
        <f t="shared" si="397"/>
        <v>30000</v>
      </c>
      <c r="Y2702" s="13">
        <f t="shared" si="403"/>
        <v>560.70000000000073</v>
      </c>
      <c r="Z2702" s="14">
        <v>0</v>
      </c>
      <c r="AA2702" s="18"/>
      <c r="AB2702" s="4">
        <f t="shared" si="404"/>
        <v>30000</v>
      </c>
      <c r="AC2702" s="6">
        <f t="shared" si="402"/>
        <v>1500</v>
      </c>
      <c r="AD2702" s="6">
        <v>29439.3</v>
      </c>
      <c r="AE2702" s="14">
        <v>0</v>
      </c>
      <c r="AF2702" s="6">
        <f t="shared" si="401"/>
        <v>0</v>
      </c>
      <c r="AG2702" s="14">
        <v>0</v>
      </c>
      <c r="AH2702" s="6"/>
      <c r="AI2702" s="16" t="s">
        <v>3213</v>
      </c>
      <c r="AJ2702" s="126" t="e">
        <v>#N/A</v>
      </c>
      <c r="AK2702" s="80">
        <f t="shared" si="405"/>
        <v>0</v>
      </c>
      <c r="AM2702" s="85"/>
    </row>
    <row r="2703" spans="1:39" hidden="1" x14ac:dyDescent="0.3">
      <c r="A2703" s="85" t="s">
        <v>34</v>
      </c>
      <c r="B2703" s="15" t="s">
        <v>35</v>
      </c>
      <c r="C2703" s="15" t="s">
        <v>47</v>
      </c>
      <c r="D2703" s="15" t="s">
        <v>63</v>
      </c>
      <c r="E2703" s="15" t="s">
        <v>2772</v>
      </c>
      <c r="F2703" s="15" t="s">
        <v>2772</v>
      </c>
      <c r="G2703" s="15" t="s">
        <v>2772</v>
      </c>
      <c r="H2703" s="154"/>
      <c r="I2703" s="15" t="s">
        <v>2935</v>
      </c>
      <c r="J2703" s="1" t="s">
        <v>3302</v>
      </c>
      <c r="K2703" s="1" t="s">
        <v>3302</v>
      </c>
      <c r="L2703" s="1" t="s">
        <v>35</v>
      </c>
      <c r="M2703" s="15"/>
      <c r="N2703" s="15"/>
      <c r="O2703" s="8" t="s">
        <v>3172</v>
      </c>
      <c r="P2703" s="8" t="s">
        <v>41</v>
      </c>
      <c r="Q2703" s="14">
        <v>0</v>
      </c>
      <c r="R2703" s="139"/>
      <c r="S2703" s="8"/>
      <c r="T2703" s="6">
        <v>0</v>
      </c>
      <c r="U2703" s="6">
        <v>0</v>
      </c>
      <c r="V2703" s="6">
        <v>88571.839999999997</v>
      </c>
      <c r="W2703" s="18">
        <v>0</v>
      </c>
      <c r="X2703" s="13">
        <f t="shared" si="397"/>
        <v>88571.839999999997</v>
      </c>
      <c r="Y2703" s="13">
        <f t="shared" si="403"/>
        <v>0</v>
      </c>
      <c r="Z2703" s="14">
        <v>0</v>
      </c>
      <c r="AA2703" s="18"/>
      <c r="AB2703" s="4">
        <f t="shared" si="404"/>
        <v>88571.839999999997</v>
      </c>
      <c r="AC2703" s="6">
        <f t="shared" si="402"/>
        <v>0</v>
      </c>
      <c r="AD2703" s="6">
        <v>88571.839999999997</v>
      </c>
      <c r="AE2703" s="14">
        <v>0.09</v>
      </c>
      <c r="AF2703" s="6">
        <f t="shared" si="401"/>
        <v>7971.4655999999995</v>
      </c>
      <c r="AG2703" s="14">
        <v>0</v>
      </c>
      <c r="AH2703" s="8"/>
      <c r="AI2703" s="16"/>
      <c r="AJ2703" s="126" t="e">
        <v>#N/A</v>
      </c>
      <c r="AK2703" s="80">
        <f t="shared" si="405"/>
        <v>0</v>
      </c>
      <c r="AM2703" s="85"/>
    </row>
    <row r="2704" spans="1:39" hidden="1" x14ac:dyDescent="0.3">
      <c r="A2704" s="85" t="s">
        <v>34</v>
      </c>
      <c r="B2704" s="15" t="s">
        <v>35</v>
      </c>
      <c r="C2704" s="15" t="s">
        <v>164</v>
      </c>
      <c r="D2704" s="15" t="s">
        <v>174</v>
      </c>
      <c r="E2704" s="15" t="s">
        <v>1966</v>
      </c>
      <c r="F2704" s="15" t="s">
        <v>1966</v>
      </c>
      <c r="G2704" s="15" t="s">
        <v>1966</v>
      </c>
      <c r="H2704" s="154"/>
      <c r="I2704" s="15" t="s">
        <v>2935</v>
      </c>
      <c r="J2704" s="1" t="s">
        <v>3302</v>
      </c>
      <c r="K2704" s="1" t="s">
        <v>3302</v>
      </c>
      <c r="L2704" s="1" t="s">
        <v>35</v>
      </c>
      <c r="M2704" s="15"/>
      <c r="N2704" s="15"/>
      <c r="O2704" s="8" t="s">
        <v>3172</v>
      </c>
      <c r="P2704" s="8" t="s">
        <v>41</v>
      </c>
      <c r="Q2704" s="14">
        <v>0</v>
      </c>
      <c r="R2704" s="139"/>
      <c r="S2704" s="8"/>
      <c r="T2704" s="6">
        <v>0</v>
      </c>
      <c r="U2704" s="6">
        <v>0</v>
      </c>
      <c r="V2704" s="6">
        <v>20158.919999999998</v>
      </c>
      <c r="W2704" s="18">
        <v>0</v>
      </c>
      <c r="X2704" s="13">
        <f t="shared" si="397"/>
        <v>20158.919999999998</v>
      </c>
      <c r="Y2704" s="13">
        <f t="shared" si="403"/>
        <v>0</v>
      </c>
      <c r="Z2704" s="14">
        <v>0</v>
      </c>
      <c r="AA2704" s="18"/>
      <c r="AB2704" s="4">
        <f t="shared" si="404"/>
        <v>20158.919999999998</v>
      </c>
      <c r="AC2704" s="6">
        <f t="shared" si="402"/>
        <v>0</v>
      </c>
      <c r="AD2704" s="6">
        <v>20158.919999999998</v>
      </c>
      <c r="AE2704" s="14">
        <v>0.09</v>
      </c>
      <c r="AF2704" s="6">
        <f t="shared" si="401"/>
        <v>1814.3027999999997</v>
      </c>
      <c r="AG2704" s="14">
        <v>0</v>
      </c>
      <c r="AH2704" s="8"/>
      <c r="AI2704" s="16"/>
      <c r="AJ2704" s="126" t="e">
        <v>#N/A</v>
      </c>
      <c r="AK2704" s="80">
        <f t="shared" si="405"/>
        <v>0</v>
      </c>
      <c r="AM2704" s="85"/>
    </row>
    <row r="2705" spans="1:39" hidden="1" x14ac:dyDescent="0.3">
      <c r="A2705" s="85" t="s">
        <v>34</v>
      </c>
      <c r="B2705" s="15" t="s">
        <v>35</v>
      </c>
      <c r="C2705" s="15" t="s">
        <v>36</v>
      </c>
      <c r="D2705" s="15" t="s">
        <v>224</v>
      </c>
      <c r="E2705" s="15" t="s">
        <v>2301</v>
      </c>
      <c r="F2705" s="15" t="s">
        <v>2301</v>
      </c>
      <c r="G2705" s="15" t="s">
        <v>2301</v>
      </c>
      <c r="H2705" s="139"/>
      <c r="I2705" s="15" t="s">
        <v>3214</v>
      </c>
      <c r="J2705" s="1" t="s">
        <v>3323</v>
      </c>
      <c r="K2705" s="1" t="s">
        <v>3306</v>
      </c>
      <c r="L2705" s="1" t="s">
        <v>35</v>
      </c>
      <c r="M2705" s="15" t="s">
        <v>3215</v>
      </c>
      <c r="N2705" s="15"/>
      <c r="O2705" s="8" t="s">
        <v>410</v>
      </c>
      <c r="P2705" s="8" t="s">
        <v>46</v>
      </c>
      <c r="Q2705" s="9">
        <v>0.02</v>
      </c>
      <c r="R2705" s="139">
        <v>1000066254</v>
      </c>
      <c r="S2705" s="8"/>
      <c r="T2705" s="6">
        <v>25798.6</v>
      </c>
      <c r="U2705" s="6">
        <v>-25798.6</v>
      </c>
      <c r="V2705" s="6">
        <v>0</v>
      </c>
      <c r="W2705" s="18">
        <f t="shared" si="400"/>
        <v>0</v>
      </c>
      <c r="X2705" s="13">
        <f t="shared" ref="X2705:X2725" si="406">IF(P2705="折扣",V2705*Q2705,IF(P2705="返现",V2705,V2705/(1+Q2705)))</f>
        <v>0</v>
      </c>
      <c r="Y2705" s="13">
        <f t="shared" si="403"/>
        <v>0</v>
      </c>
      <c r="Z2705" s="9">
        <v>0</v>
      </c>
      <c r="AA2705" s="18"/>
      <c r="AB2705" s="4">
        <f t="shared" si="404"/>
        <v>0</v>
      </c>
      <c r="AC2705" s="6">
        <f t="shared" si="402"/>
        <v>0</v>
      </c>
      <c r="AD2705" s="6">
        <v>0</v>
      </c>
      <c r="AE2705" s="9">
        <v>0</v>
      </c>
      <c r="AF2705" s="11">
        <v>0</v>
      </c>
      <c r="AG2705" s="9">
        <v>0</v>
      </c>
      <c r="AH2705" s="8"/>
      <c r="AI2705" s="16"/>
      <c r="AJ2705" s="126" t="e">
        <v>#N/A</v>
      </c>
      <c r="AK2705" s="80">
        <f t="shared" si="405"/>
        <v>0</v>
      </c>
      <c r="AM2705" s="85"/>
    </row>
    <row r="2706" spans="1:39" hidden="1" x14ac:dyDescent="0.3">
      <c r="A2706" s="85" t="s">
        <v>34</v>
      </c>
      <c r="B2706" s="15" t="s">
        <v>35</v>
      </c>
      <c r="C2706" s="15" t="s">
        <v>164</v>
      </c>
      <c r="D2706" s="15" t="s">
        <v>169</v>
      </c>
      <c r="E2706" s="15" t="s">
        <v>3216</v>
      </c>
      <c r="F2706" s="15" t="s">
        <v>3217</v>
      </c>
      <c r="G2706" s="15" t="s">
        <v>3216</v>
      </c>
      <c r="H2706" s="139"/>
      <c r="I2706" s="15" t="s">
        <v>3214</v>
      </c>
      <c r="J2706" s="1" t="s">
        <v>3323</v>
      </c>
      <c r="K2706" s="1" t="s">
        <v>3306</v>
      </c>
      <c r="L2706" s="1" t="s">
        <v>35</v>
      </c>
      <c r="M2706" s="15" t="s">
        <v>3218</v>
      </c>
      <c r="N2706" s="15"/>
      <c r="O2706" s="8" t="s">
        <v>410</v>
      </c>
      <c r="P2706" s="8" t="s">
        <v>41</v>
      </c>
      <c r="Q2706" s="9">
        <v>0</v>
      </c>
      <c r="R2706" s="139">
        <v>1000079951</v>
      </c>
      <c r="S2706" s="8"/>
      <c r="T2706" s="6">
        <v>9405.5</v>
      </c>
      <c r="U2706" s="6">
        <v>-9405.5</v>
      </c>
      <c r="V2706" s="6">
        <v>0</v>
      </c>
      <c r="W2706" s="18">
        <f t="shared" si="400"/>
        <v>0</v>
      </c>
      <c r="X2706" s="13">
        <f t="shared" si="406"/>
        <v>0</v>
      </c>
      <c r="Y2706" s="13">
        <f t="shared" si="403"/>
        <v>0</v>
      </c>
      <c r="Z2706" s="9">
        <v>0</v>
      </c>
      <c r="AA2706" s="18"/>
      <c r="AB2706" s="4">
        <f t="shared" si="404"/>
        <v>0</v>
      </c>
      <c r="AC2706" s="6">
        <f t="shared" si="402"/>
        <v>0</v>
      </c>
      <c r="AD2706" s="6">
        <v>0</v>
      </c>
      <c r="AE2706" s="9">
        <v>0</v>
      </c>
      <c r="AF2706" s="11">
        <v>0</v>
      </c>
      <c r="AG2706" s="9">
        <v>0</v>
      </c>
      <c r="AH2706" s="8"/>
      <c r="AI2706" s="16"/>
      <c r="AJ2706" s="126" t="e">
        <v>#N/A</v>
      </c>
      <c r="AK2706" s="80">
        <f t="shared" si="405"/>
        <v>0</v>
      </c>
      <c r="AM2706" s="85"/>
    </row>
    <row r="2707" spans="1:39" hidden="1" x14ac:dyDescent="0.3">
      <c r="A2707" s="85" t="s">
        <v>34</v>
      </c>
      <c r="B2707" s="15" t="s">
        <v>35</v>
      </c>
      <c r="C2707" s="15" t="s">
        <v>47</v>
      </c>
      <c r="D2707" s="15" t="s">
        <v>63</v>
      </c>
      <c r="E2707" s="15" t="s">
        <v>1912</v>
      </c>
      <c r="F2707" s="15" t="s">
        <v>1912</v>
      </c>
      <c r="G2707" s="15" t="s">
        <v>1912</v>
      </c>
      <c r="H2707" s="139"/>
      <c r="I2707" s="15" t="s">
        <v>3214</v>
      </c>
      <c r="J2707" s="1" t="s">
        <v>3323</v>
      </c>
      <c r="K2707" s="1" t="s">
        <v>3306</v>
      </c>
      <c r="L2707" s="1" t="s">
        <v>35</v>
      </c>
      <c r="M2707" s="15" t="s">
        <v>3219</v>
      </c>
      <c r="N2707" s="15"/>
      <c r="O2707" s="8" t="s">
        <v>410</v>
      </c>
      <c r="P2707" s="8" t="s">
        <v>41</v>
      </c>
      <c r="Q2707" s="20">
        <v>0</v>
      </c>
      <c r="R2707" s="139">
        <v>1000082509</v>
      </c>
      <c r="S2707" s="8"/>
      <c r="T2707" s="18">
        <v>1387.5</v>
      </c>
      <c r="U2707" s="6"/>
      <c r="V2707" s="6">
        <v>0</v>
      </c>
      <c r="W2707" s="18">
        <f t="shared" si="400"/>
        <v>1387.5</v>
      </c>
      <c r="X2707" s="13">
        <f t="shared" si="406"/>
        <v>0</v>
      </c>
      <c r="Y2707" s="13">
        <f t="shared" si="403"/>
        <v>0</v>
      </c>
      <c r="Z2707" s="9">
        <v>0</v>
      </c>
      <c r="AA2707" s="18"/>
      <c r="AB2707" s="4">
        <f t="shared" si="404"/>
        <v>0</v>
      </c>
      <c r="AC2707" s="6">
        <f t="shared" si="402"/>
        <v>0</v>
      </c>
      <c r="AD2707" s="6">
        <v>0</v>
      </c>
      <c r="AE2707" s="9">
        <v>0</v>
      </c>
      <c r="AF2707" s="11">
        <v>0</v>
      </c>
      <c r="AG2707" s="9">
        <v>0</v>
      </c>
      <c r="AH2707" s="8"/>
      <c r="AI2707" s="16"/>
      <c r="AJ2707" s="126" t="e">
        <v>#N/A</v>
      </c>
      <c r="AK2707" s="80">
        <f t="shared" si="405"/>
        <v>0</v>
      </c>
      <c r="AM2707" s="85"/>
    </row>
    <row r="2708" spans="1:39" hidden="1" x14ac:dyDescent="0.3">
      <c r="A2708" s="85" t="s">
        <v>34</v>
      </c>
      <c r="B2708" s="15" t="s">
        <v>35</v>
      </c>
      <c r="C2708" s="15" t="s">
        <v>144</v>
      </c>
      <c r="D2708" s="15" t="s">
        <v>152</v>
      </c>
      <c r="E2708" s="15" t="s">
        <v>3220</v>
      </c>
      <c r="F2708" s="15" t="s">
        <v>3220</v>
      </c>
      <c r="G2708" s="15" t="s">
        <v>3220</v>
      </c>
      <c r="H2708" s="139"/>
      <c r="I2708" s="15" t="s">
        <v>3214</v>
      </c>
      <c r="J2708" s="1" t="s">
        <v>3323</v>
      </c>
      <c r="K2708" s="1" t="s">
        <v>3306</v>
      </c>
      <c r="L2708" s="1" t="s">
        <v>35</v>
      </c>
      <c r="M2708" s="15" t="s">
        <v>3221</v>
      </c>
      <c r="N2708" s="15"/>
      <c r="O2708" s="8" t="s">
        <v>410</v>
      </c>
      <c r="P2708" s="8" t="s">
        <v>41</v>
      </c>
      <c r="Q2708" s="20">
        <v>0</v>
      </c>
      <c r="R2708" s="139">
        <v>1000043274</v>
      </c>
      <c r="S2708" s="8"/>
      <c r="T2708" s="18">
        <v>22550.75</v>
      </c>
      <c r="U2708" s="6"/>
      <c r="V2708" s="6">
        <v>0</v>
      </c>
      <c r="W2708" s="18">
        <f t="shared" si="400"/>
        <v>22550.75</v>
      </c>
      <c r="X2708" s="13">
        <f t="shared" si="406"/>
        <v>0</v>
      </c>
      <c r="Y2708" s="13">
        <f t="shared" si="403"/>
        <v>0</v>
      </c>
      <c r="Z2708" s="9">
        <v>0</v>
      </c>
      <c r="AA2708" s="18"/>
      <c r="AB2708" s="4">
        <f t="shared" si="404"/>
        <v>0</v>
      </c>
      <c r="AC2708" s="6">
        <f t="shared" si="402"/>
        <v>0</v>
      </c>
      <c r="AD2708" s="6">
        <v>0</v>
      </c>
      <c r="AE2708" s="9">
        <v>0</v>
      </c>
      <c r="AF2708" s="11">
        <v>0</v>
      </c>
      <c r="AG2708" s="9">
        <v>0</v>
      </c>
      <c r="AH2708" s="8"/>
      <c r="AI2708" s="16"/>
      <c r="AJ2708" s="126" t="e">
        <v>#N/A</v>
      </c>
      <c r="AK2708" s="80">
        <f t="shared" si="405"/>
        <v>0</v>
      </c>
      <c r="AM2708" s="85"/>
    </row>
    <row r="2709" spans="1:39" hidden="1" x14ac:dyDescent="0.3">
      <c r="A2709" s="85" t="s">
        <v>34</v>
      </c>
      <c r="B2709" s="15" t="s">
        <v>35</v>
      </c>
      <c r="C2709" s="15" t="s">
        <v>65</v>
      </c>
      <c r="D2709" s="15" t="s">
        <v>66</v>
      </c>
      <c r="E2709" s="15" t="s">
        <v>2866</v>
      </c>
      <c r="F2709" s="15" t="s">
        <v>2866</v>
      </c>
      <c r="G2709" s="15" t="s">
        <v>2866</v>
      </c>
      <c r="H2709" s="154"/>
      <c r="I2709" s="15" t="s">
        <v>421</v>
      </c>
      <c r="J2709" s="1" t="s">
        <v>3323</v>
      </c>
      <c r="K2709" s="1" t="s">
        <v>3308</v>
      </c>
      <c r="L2709" s="1" t="s">
        <v>35</v>
      </c>
      <c r="M2709" s="15" t="s">
        <v>3222</v>
      </c>
      <c r="N2709" s="15"/>
      <c r="O2709" s="8" t="s">
        <v>410</v>
      </c>
      <c r="P2709" s="8" t="s">
        <v>41</v>
      </c>
      <c r="Q2709" s="9">
        <v>0</v>
      </c>
      <c r="R2709" s="139"/>
      <c r="S2709" s="8"/>
      <c r="T2709" s="6">
        <v>0</v>
      </c>
      <c r="U2709" s="6">
        <v>1011723.21</v>
      </c>
      <c r="V2709" s="6">
        <v>373116.27</v>
      </c>
      <c r="W2709" s="18">
        <f t="shared" ref="W2709:W2727" si="407">T2709+U2709-V2709</f>
        <v>638606.93999999994</v>
      </c>
      <c r="X2709" s="13">
        <f t="shared" si="406"/>
        <v>373116.27</v>
      </c>
      <c r="Y2709" s="13">
        <f t="shared" si="403"/>
        <v>7316.0100000000093</v>
      </c>
      <c r="Z2709" s="9">
        <v>0</v>
      </c>
      <c r="AA2709" s="18"/>
      <c r="AB2709" s="4">
        <f t="shared" si="404"/>
        <v>373116.27</v>
      </c>
      <c r="AC2709" s="6">
        <f t="shared" si="402"/>
        <v>0</v>
      </c>
      <c r="AD2709" s="6">
        <v>365800.26</v>
      </c>
      <c r="AE2709" s="9">
        <v>0.02</v>
      </c>
      <c r="AF2709" s="11">
        <v>7316.01</v>
      </c>
      <c r="AG2709" s="9">
        <v>0</v>
      </c>
      <c r="AH2709" s="8"/>
      <c r="AI2709" s="16"/>
      <c r="AJ2709" s="126" t="e">
        <v>#N/A</v>
      </c>
      <c r="AK2709" s="80">
        <f t="shared" si="405"/>
        <v>0</v>
      </c>
      <c r="AM2709" s="85"/>
    </row>
    <row r="2710" spans="1:39" hidden="1" x14ac:dyDescent="0.3">
      <c r="A2710" s="85" t="s">
        <v>34</v>
      </c>
      <c r="B2710" s="15" t="s">
        <v>35</v>
      </c>
      <c r="C2710" s="15" t="s">
        <v>144</v>
      </c>
      <c r="D2710" s="15" t="s">
        <v>145</v>
      </c>
      <c r="E2710" s="15" t="s">
        <v>581</v>
      </c>
      <c r="F2710" s="15" t="s">
        <v>581</v>
      </c>
      <c r="G2710" s="15" t="s">
        <v>581</v>
      </c>
      <c r="H2710" s="154"/>
      <c r="I2710" s="15" t="s">
        <v>408</v>
      </c>
      <c r="J2710" s="1" t="s">
        <v>3324</v>
      </c>
      <c r="K2710" s="1" t="s">
        <v>3278</v>
      </c>
      <c r="L2710" s="1" t="s">
        <v>35</v>
      </c>
      <c r="M2710" s="15" t="s">
        <v>3223</v>
      </c>
      <c r="N2710" s="15"/>
      <c r="O2710" s="8" t="s">
        <v>3172</v>
      </c>
      <c r="P2710" s="8" t="s">
        <v>41</v>
      </c>
      <c r="Q2710" s="9">
        <v>0</v>
      </c>
      <c r="R2710" s="139"/>
      <c r="S2710" s="8"/>
      <c r="T2710" s="6">
        <v>0</v>
      </c>
      <c r="U2710" s="6">
        <v>16500</v>
      </c>
      <c r="V2710" s="6">
        <v>16500</v>
      </c>
      <c r="W2710" s="18">
        <f t="shared" si="407"/>
        <v>0</v>
      </c>
      <c r="X2710" s="13">
        <f t="shared" si="406"/>
        <v>16500</v>
      </c>
      <c r="Y2710" s="13">
        <f t="shared" si="403"/>
        <v>0</v>
      </c>
      <c r="Z2710" s="9">
        <v>0</v>
      </c>
      <c r="AA2710" s="18"/>
      <c r="AB2710" s="4">
        <f t="shared" si="404"/>
        <v>16500</v>
      </c>
      <c r="AC2710" s="6">
        <f t="shared" si="402"/>
        <v>0</v>
      </c>
      <c r="AD2710" s="6">
        <v>16500</v>
      </c>
      <c r="AE2710" s="9">
        <v>7.0000000000000007E-2</v>
      </c>
      <c r="AF2710" s="11">
        <f>AE2710*AD2710</f>
        <v>1155</v>
      </c>
      <c r="AG2710" s="9">
        <v>0</v>
      </c>
      <c r="AH2710" s="8"/>
      <c r="AI2710" s="16"/>
      <c r="AJ2710" s="126" t="e">
        <v>#N/A</v>
      </c>
      <c r="AK2710" s="80">
        <f t="shared" si="405"/>
        <v>0</v>
      </c>
      <c r="AM2710" s="85"/>
    </row>
    <row r="2711" spans="1:39" ht="13.75" hidden="1" customHeight="1" x14ac:dyDescent="0.3">
      <c r="A2711" s="85" t="s">
        <v>34</v>
      </c>
      <c r="B2711" s="15" t="s">
        <v>35</v>
      </c>
      <c r="C2711" s="15" t="s">
        <v>144</v>
      </c>
      <c r="D2711" s="15" t="s">
        <v>145</v>
      </c>
      <c r="E2711" s="15" t="s">
        <v>3224</v>
      </c>
      <c r="F2711" s="15" t="s">
        <v>3224</v>
      </c>
      <c r="G2711" s="15" t="s">
        <v>3224</v>
      </c>
      <c r="H2711" s="139"/>
      <c r="I2711" s="15" t="s">
        <v>408</v>
      </c>
      <c r="J2711" s="1" t="s">
        <v>3324</v>
      </c>
      <c r="K2711" s="1" t="s">
        <v>3278</v>
      </c>
      <c r="L2711" s="1" t="s">
        <v>35</v>
      </c>
      <c r="M2711" s="15" t="s">
        <v>3225</v>
      </c>
      <c r="N2711" s="15"/>
      <c r="O2711" s="8" t="s">
        <v>3226</v>
      </c>
      <c r="P2711" s="8" t="s">
        <v>41</v>
      </c>
      <c r="Q2711" s="9">
        <v>0</v>
      </c>
      <c r="R2711" s="139"/>
      <c r="S2711" s="8"/>
      <c r="T2711" s="6">
        <v>0</v>
      </c>
      <c r="U2711" s="6">
        <v>-113602.9</v>
      </c>
      <c r="V2711" s="6">
        <v>0</v>
      </c>
      <c r="W2711" s="18">
        <v>0</v>
      </c>
      <c r="X2711" s="13">
        <f t="shared" si="406"/>
        <v>0</v>
      </c>
      <c r="Y2711" s="13">
        <f t="shared" si="403"/>
        <v>0</v>
      </c>
      <c r="Z2711" s="9">
        <v>0</v>
      </c>
      <c r="AA2711" s="18"/>
      <c r="AB2711" s="4">
        <f t="shared" si="404"/>
        <v>0</v>
      </c>
      <c r="AC2711" s="6">
        <f t="shared" si="402"/>
        <v>0</v>
      </c>
      <c r="AD2711" s="6">
        <v>0</v>
      </c>
      <c r="AE2711" s="9">
        <v>7.0000000000000007E-2</v>
      </c>
      <c r="AF2711" s="11">
        <v>0</v>
      </c>
      <c r="AG2711" s="9">
        <v>0</v>
      </c>
      <c r="AH2711" s="8"/>
      <c r="AI2711" s="16" t="s">
        <v>3227</v>
      </c>
      <c r="AJ2711" s="126" t="e">
        <v>#N/A</v>
      </c>
      <c r="AK2711" s="80">
        <f t="shared" si="405"/>
        <v>0</v>
      </c>
      <c r="AM2711" s="85"/>
    </row>
    <row r="2712" spans="1:39" hidden="1" x14ac:dyDescent="0.3">
      <c r="A2712" s="85" t="s">
        <v>34</v>
      </c>
      <c r="B2712" s="15" t="s">
        <v>35</v>
      </c>
      <c r="C2712" s="15" t="s">
        <v>184</v>
      </c>
      <c r="D2712" s="15" t="s">
        <v>37</v>
      </c>
      <c r="E2712" s="15" t="s">
        <v>38</v>
      </c>
      <c r="F2712" s="15" t="s">
        <v>38</v>
      </c>
      <c r="G2712" s="15" t="s">
        <v>38</v>
      </c>
      <c r="H2712" s="139"/>
      <c r="I2712" s="15" t="s">
        <v>3214</v>
      </c>
      <c r="J2712" s="1" t="s">
        <v>3323</v>
      </c>
      <c r="K2712" s="1" t="s">
        <v>3306</v>
      </c>
      <c r="L2712" s="1" t="s">
        <v>35</v>
      </c>
      <c r="M2712" s="15" t="s">
        <v>3228</v>
      </c>
      <c r="N2712" s="15"/>
      <c r="O2712" s="8" t="s">
        <v>410</v>
      </c>
      <c r="P2712" s="8" t="s">
        <v>41</v>
      </c>
      <c r="Q2712" s="20">
        <v>0</v>
      </c>
      <c r="R2712" s="139"/>
      <c r="S2712" s="8"/>
      <c r="T2712" s="6">
        <v>159441.73000000001</v>
      </c>
      <c r="U2712" s="6"/>
      <c r="V2712" s="6">
        <v>0</v>
      </c>
      <c r="W2712" s="18">
        <f t="shared" si="407"/>
        <v>159441.73000000001</v>
      </c>
      <c r="X2712" s="13">
        <f t="shared" si="406"/>
        <v>0</v>
      </c>
      <c r="Y2712" s="13">
        <f t="shared" si="403"/>
        <v>0</v>
      </c>
      <c r="Z2712" s="9">
        <v>0</v>
      </c>
      <c r="AA2712" s="18"/>
      <c r="AB2712" s="4">
        <f t="shared" si="404"/>
        <v>0</v>
      </c>
      <c r="AC2712" s="6">
        <f t="shared" si="402"/>
        <v>0</v>
      </c>
      <c r="AD2712" s="6">
        <v>0</v>
      </c>
      <c r="AE2712" s="9">
        <v>0</v>
      </c>
      <c r="AF2712" s="11">
        <v>0</v>
      </c>
      <c r="AG2712" s="9">
        <v>0</v>
      </c>
      <c r="AH2712" s="8"/>
      <c r="AI2712" s="16"/>
      <c r="AJ2712" s="126" t="e">
        <v>#N/A</v>
      </c>
      <c r="AK2712" s="80">
        <f t="shared" si="405"/>
        <v>0</v>
      </c>
      <c r="AM2712" s="85"/>
    </row>
    <row r="2713" spans="1:39" hidden="1" x14ac:dyDescent="0.3">
      <c r="A2713" s="85" t="s">
        <v>34</v>
      </c>
      <c r="B2713" s="15" t="s">
        <v>35</v>
      </c>
      <c r="C2713" s="15" t="s">
        <v>47</v>
      </c>
      <c r="D2713" s="15" t="s">
        <v>63</v>
      </c>
      <c r="E2713" s="15" t="s">
        <v>533</v>
      </c>
      <c r="F2713" s="15" t="s">
        <v>533</v>
      </c>
      <c r="G2713" s="15" t="s">
        <v>533</v>
      </c>
      <c r="H2713" s="139"/>
      <c r="I2713" s="15" t="s">
        <v>3214</v>
      </c>
      <c r="J2713" s="1" t="s">
        <v>3323</v>
      </c>
      <c r="K2713" s="1" t="s">
        <v>3306</v>
      </c>
      <c r="L2713" s="1" t="s">
        <v>35</v>
      </c>
      <c r="M2713" s="15" t="s">
        <v>3229</v>
      </c>
      <c r="N2713" s="15"/>
      <c r="O2713" s="8" t="s">
        <v>410</v>
      </c>
      <c r="P2713" s="8" t="s">
        <v>41</v>
      </c>
      <c r="Q2713" s="20">
        <v>0</v>
      </c>
      <c r="R2713" s="139"/>
      <c r="S2713" s="8"/>
      <c r="T2713" s="6">
        <v>9968.7000000000007</v>
      </c>
      <c r="U2713" s="6"/>
      <c r="V2713" s="6">
        <v>0</v>
      </c>
      <c r="W2713" s="18">
        <f t="shared" si="407"/>
        <v>9968.7000000000007</v>
      </c>
      <c r="X2713" s="13">
        <f t="shared" si="406"/>
        <v>0</v>
      </c>
      <c r="Y2713" s="13">
        <f t="shared" si="403"/>
        <v>0</v>
      </c>
      <c r="Z2713" s="9">
        <v>0</v>
      </c>
      <c r="AA2713" s="18"/>
      <c r="AB2713" s="4">
        <f t="shared" si="404"/>
        <v>0</v>
      </c>
      <c r="AC2713" s="6">
        <f t="shared" si="402"/>
        <v>0</v>
      </c>
      <c r="AD2713" s="6">
        <v>0</v>
      </c>
      <c r="AE2713" s="9">
        <v>0</v>
      </c>
      <c r="AF2713" s="11">
        <v>0</v>
      </c>
      <c r="AG2713" s="9">
        <v>0</v>
      </c>
      <c r="AH2713" s="8"/>
      <c r="AI2713" s="16"/>
      <c r="AJ2713" s="126" t="e">
        <v>#N/A</v>
      </c>
      <c r="AK2713" s="80">
        <f t="shared" si="405"/>
        <v>0</v>
      </c>
      <c r="AM2713" s="85"/>
    </row>
    <row r="2714" spans="1:39" hidden="1" x14ac:dyDescent="0.3">
      <c r="A2714" s="85" t="s">
        <v>34</v>
      </c>
      <c r="B2714" s="15" t="s">
        <v>35</v>
      </c>
      <c r="C2714" s="15" t="s">
        <v>36</v>
      </c>
      <c r="D2714" s="15" t="s">
        <v>185</v>
      </c>
      <c r="E2714" s="15" t="s">
        <v>2339</v>
      </c>
      <c r="F2714" s="15" t="s">
        <v>2339</v>
      </c>
      <c r="G2714" s="15" t="s">
        <v>2339</v>
      </c>
      <c r="H2714" s="139"/>
      <c r="I2714" s="15" t="s">
        <v>3214</v>
      </c>
      <c r="J2714" s="1" t="s">
        <v>3323</v>
      </c>
      <c r="K2714" s="1" t="s">
        <v>3306</v>
      </c>
      <c r="L2714" s="1" t="s">
        <v>35</v>
      </c>
      <c r="M2714" s="15" t="s">
        <v>3230</v>
      </c>
      <c r="N2714" s="15"/>
      <c r="O2714" s="8" t="s">
        <v>410</v>
      </c>
      <c r="P2714" s="8" t="s">
        <v>41</v>
      </c>
      <c r="Q2714" s="20">
        <v>0</v>
      </c>
      <c r="R2714" s="139"/>
      <c r="S2714" s="8"/>
      <c r="T2714" s="6">
        <v>-2059.96</v>
      </c>
      <c r="U2714" s="6"/>
      <c r="V2714" s="6">
        <v>0</v>
      </c>
      <c r="W2714" s="18">
        <f t="shared" si="407"/>
        <v>-2059.96</v>
      </c>
      <c r="X2714" s="13">
        <f t="shared" si="406"/>
        <v>0</v>
      </c>
      <c r="Y2714" s="13">
        <f t="shared" si="403"/>
        <v>0</v>
      </c>
      <c r="Z2714" s="9">
        <v>0</v>
      </c>
      <c r="AA2714" s="18"/>
      <c r="AB2714" s="4">
        <f t="shared" si="404"/>
        <v>0</v>
      </c>
      <c r="AC2714" s="6">
        <f t="shared" si="402"/>
        <v>0</v>
      </c>
      <c r="AD2714" s="6">
        <v>0</v>
      </c>
      <c r="AE2714" s="9">
        <v>0</v>
      </c>
      <c r="AF2714" s="11">
        <v>0</v>
      </c>
      <c r="AG2714" s="9">
        <v>0</v>
      </c>
      <c r="AH2714" s="8"/>
      <c r="AI2714" s="16"/>
      <c r="AJ2714" s="126" t="e">
        <v>#N/A</v>
      </c>
      <c r="AK2714" s="80">
        <f t="shared" si="405"/>
        <v>0</v>
      </c>
      <c r="AM2714" s="85"/>
    </row>
    <row r="2715" spans="1:39" hidden="1" x14ac:dyDescent="0.3">
      <c r="A2715" s="85" t="s">
        <v>34</v>
      </c>
      <c r="B2715" s="15" t="s">
        <v>35</v>
      </c>
      <c r="C2715" s="15" t="s">
        <v>47</v>
      </c>
      <c r="D2715" s="15" t="s">
        <v>878</v>
      </c>
      <c r="E2715" s="15" t="s">
        <v>3231</v>
      </c>
      <c r="F2715" s="15" t="s">
        <v>3231</v>
      </c>
      <c r="G2715" s="15" t="s">
        <v>3231</v>
      </c>
      <c r="H2715" s="139"/>
      <c r="I2715" s="15" t="s">
        <v>3214</v>
      </c>
      <c r="J2715" s="1" t="s">
        <v>3323</v>
      </c>
      <c r="K2715" s="1" t="s">
        <v>3306</v>
      </c>
      <c r="L2715" s="1" t="s">
        <v>35</v>
      </c>
      <c r="M2715" s="15" t="s">
        <v>3232</v>
      </c>
      <c r="N2715" s="15"/>
      <c r="O2715" s="8" t="s">
        <v>410</v>
      </c>
      <c r="P2715" s="8" t="s">
        <v>41</v>
      </c>
      <c r="Q2715" s="20">
        <v>0</v>
      </c>
      <c r="R2715" s="139"/>
      <c r="S2715" s="8"/>
      <c r="T2715" s="6">
        <v>-74481.459999999905</v>
      </c>
      <c r="U2715" s="6"/>
      <c r="V2715" s="6">
        <v>0</v>
      </c>
      <c r="W2715" s="18">
        <f t="shared" si="407"/>
        <v>-74481.459999999905</v>
      </c>
      <c r="X2715" s="13">
        <f t="shared" si="406"/>
        <v>0</v>
      </c>
      <c r="Y2715" s="13">
        <f t="shared" si="403"/>
        <v>0</v>
      </c>
      <c r="Z2715" s="9">
        <v>0</v>
      </c>
      <c r="AA2715" s="18"/>
      <c r="AB2715" s="4">
        <f t="shared" si="404"/>
        <v>0</v>
      </c>
      <c r="AC2715" s="6">
        <f t="shared" si="402"/>
        <v>0</v>
      </c>
      <c r="AD2715" s="6">
        <v>0</v>
      </c>
      <c r="AE2715" s="9">
        <v>0</v>
      </c>
      <c r="AF2715" s="11">
        <v>0</v>
      </c>
      <c r="AG2715" s="9">
        <v>0</v>
      </c>
      <c r="AH2715" s="8"/>
      <c r="AI2715" s="16"/>
      <c r="AJ2715" s="126" t="e">
        <v>#N/A</v>
      </c>
      <c r="AK2715" s="80">
        <f t="shared" si="405"/>
        <v>0</v>
      </c>
      <c r="AM2715" s="85"/>
    </row>
    <row r="2716" spans="1:39" hidden="1" x14ac:dyDescent="0.3">
      <c r="A2716" s="85" t="s">
        <v>34</v>
      </c>
      <c r="B2716" s="15" t="s">
        <v>35</v>
      </c>
      <c r="C2716" s="15" t="s">
        <v>144</v>
      </c>
      <c r="D2716" s="15" t="s">
        <v>145</v>
      </c>
      <c r="E2716" s="15" t="s">
        <v>3233</v>
      </c>
      <c r="F2716" s="15" t="s">
        <v>3233</v>
      </c>
      <c r="G2716" s="15" t="s">
        <v>3233</v>
      </c>
      <c r="H2716" s="139"/>
      <c r="I2716" s="15" t="s">
        <v>3214</v>
      </c>
      <c r="J2716" s="1" t="s">
        <v>3323</v>
      </c>
      <c r="K2716" s="1" t="s">
        <v>3306</v>
      </c>
      <c r="L2716" s="1" t="s">
        <v>35</v>
      </c>
      <c r="M2716" s="15" t="s">
        <v>3234</v>
      </c>
      <c r="N2716" s="15"/>
      <c r="O2716" s="8" t="s">
        <v>410</v>
      </c>
      <c r="P2716" s="8" t="s">
        <v>46</v>
      </c>
      <c r="Q2716" s="20">
        <v>0.01</v>
      </c>
      <c r="R2716" s="139"/>
      <c r="S2716" s="8"/>
      <c r="T2716" s="6">
        <v>-1516.75</v>
      </c>
      <c r="U2716" s="6"/>
      <c r="V2716" s="6">
        <v>0</v>
      </c>
      <c r="W2716" s="18">
        <f t="shared" si="407"/>
        <v>-1516.75</v>
      </c>
      <c r="X2716" s="13">
        <f t="shared" si="406"/>
        <v>0</v>
      </c>
      <c r="Y2716" s="13">
        <f t="shared" si="403"/>
        <v>0</v>
      </c>
      <c r="Z2716" s="9">
        <v>0</v>
      </c>
      <c r="AA2716" s="18"/>
      <c r="AB2716" s="4">
        <f t="shared" si="404"/>
        <v>0</v>
      </c>
      <c r="AC2716" s="6">
        <f t="shared" si="402"/>
        <v>0</v>
      </c>
      <c r="AD2716" s="6">
        <v>0</v>
      </c>
      <c r="AE2716" s="9">
        <v>0</v>
      </c>
      <c r="AF2716" s="11">
        <v>0</v>
      </c>
      <c r="AG2716" s="9">
        <v>0</v>
      </c>
      <c r="AH2716" s="8"/>
      <c r="AI2716" s="16"/>
      <c r="AJ2716" s="126" t="e">
        <v>#N/A</v>
      </c>
      <c r="AK2716" s="80">
        <f t="shared" si="405"/>
        <v>0</v>
      </c>
      <c r="AM2716" s="85"/>
    </row>
    <row r="2717" spans="1:39" hidden="1" x14ac:dyDescent="0.3">
      <c r="A2717" s="85" t="s">
        <v>34</v>
      </c>
      <c r="B2717" s="15" t="s">
        <v>35</v>
      </c>
      <c r="C2717" s="15" t="s">
        <v>144</v>
      </c>
      <c r="D2717" s="15" t="s">
        <v>161</v>
      </c>
      <c r="E2717" s="15" t="s">
        <v>2212</v>
      </c>
      <c r="F2717" s="15" t="s">
        <v>2212</v>
      </c>
      <c r="G2717" s="15" t="s">
        <v>2212</v>
      </c>
      <c r="H2717" s="139"/>
      <c r="I2717" s="15" t="s">
        <v>3214</v>
      </c>
      <c r="J2717" s="1" t="s">
        <v>3323</v>
      </c>
      <c r="K2717" s="1" t="s">
        <v>3306</v>
      </c>
      <c r="L2717" s="1" t="s">
        <v>35</v>
      </c>
      <c r="M2717" s="15" t="s">
        <v>3235</v>
      </c>
      <c r="N2717" s="15"/>
      <c r="O2717" s="8" t="s">
        <v>410</v>
      </c>
      <c r="P2717" s="8" t="s">
        <v>46</v>
      </c>
      <c r="Q2717" s="20">
        <v>0.02</v>
      </c>
      <c r="R2717" s="139"/>
      <c r="S2717" s="8"/>
      <c r="T2717" s="6">
        <v>45.899999999999899</v>
      </c>
      <c r="U2717" s="6"/>
      <c r="V2717" s="6">
        <v>0</v>
      </c>
      <c r="W2717" s="18">
        <f t="shared" si="407"/>
        <v>45.899999999999899</v>
      </c>
      <c r="X2717" s="13">
        <f t="shared" si="406"/>
        <v>0</v>
      </c>
      <c r="Y2717" s="13">
        <f t="shared" si="403"/>
        <v>0</v>
      </c>
      <c r="Z2717" s="9">
        <v>0</v>
      </c>
      <c r="AA2717" s="18"/>
      <c r="AB2717" s="4">
        <f t="shared" si="404"/>
        <v>0</v>
      </c>
      <c r="AC2717" s="6">
        <f t="shared" si="402"/>
        <v>0</v>
      </c>
      <c r="AD2717" s="6">
        <v>0</v>
      </c>
      <c r="AE2717" s="9">
        <v>0</v>
      </c>
      <c r="AF2717" s="11">
        <v>0</v>
      </c>
      <c r="AG2717" s="9">
        <v>0</v>
      </c>
      <c r="AH2717" s="8"/>
      <c r="AI2717" s="16"/>
      <c r="AJ2717" s="126" t="e">
        <v>#N/A</v>
      </c>
      <c r="AK2717" s="80">
        <f t="shared" si="405"/>
        <v>0</v>
      </c>
      <c r="AM2717" s="85"/>
    </row>
    <row r="2718" spans="1:39" hidden="1" x14ac:dyDescent="0.3">
      <c r="A2718" s="85" t="s">
        <v>34</v>
      </c>
      <c r="B2718" s="15" t="s">
        <v>35</v>
      </c>
      <c r="C2718" s="15" t="s">
        <v>184</v>
      </c>
      <c r="D2718" s="15" t="s">
        <v>224</v>
      </c>
      <c r="E2718" s="15" t="s">
        <v>2301</v>
      </c>
      <c r="F2718" s="15" t="s">
        <v>2301</v>
      </c>
      <c r="G2718" s="15" t="s">
        <v>2301</v>
      </c>
      <c r="H2718" s="139"/>
      <c r="I2718" s="15" t="s">
        <v>3214</v>
      </c>
      <c r="J2718" s="1" t="s">
        <v>3323</v>
      </c>
      <c r="K2718" s="1" t="s">
        <v>3306</v>
      </c>
      <c r="L2718" s="1" t="s">
        <v>35</v>
      </c>
      <c r="M2718" s="15" t="s">
        <v>3215</v>
      </c>
      <c r="N2718" s="15"/>
      <c r="O2718" s="8" t="s">
        <v>410</v>
      </c>
      <c r="P2718" s="8" t="s">
        <v>46</v>
      </c>
      <c r="Q2718" s="20">
        <v>0.02</v>
      </c>
      <c r="R2718" s="139"/>
      <c r="S2718" s="8"/>
      <c r="T2718" s="6">
        <v>0</v>
      </c>
      <c r="U2718" s="6"/>
      <c r="V2718" s="6">
        <v>0</v>
      </c>
      <c r="W2718" s="18">
        <f t="shared" si="407"/>
        <v>0</v>
      </c>
      <c r="X2718" s="13">
        <f t="shared" si="406"/>
        <v>0</v>
      </c>
      <c r="Y2718" s="13">
        <f t="shared" si="403"/>
        <v>0</v>
      </c>
      <c r="Z2718" s="9">
        <v>0</v>
      </c>
      <c r="AA2718" s="18"/>
      <c r="AB2718" s="4">
        <f t="shared" si="404"/>
        <v>0</v>
      </c>
      <c r="AC2718" s="6">
        <f t="shared" si="402"/>
        <v>0</v>
      </c>
      <c r="AD2718" s="6">
        <v>0</v>
      </c>
      <c r="AE2718" s="9">
        <v>0</v>
      </c>
      <c r="AF2718" s="11">
        <v>0</v>
      </c>
      <c r="AG2718" s="9">
        <v>0</v>
      </c>
      <c r="AH2718" s="8"/>
      <c r="AI2718" s="16"/>
      <c r="AJ2718" s="126" t="e">
        <v>#N/A</v>
      </c>
      <c r="AK2718" s="80">
        <f t="shared" si="405"/>
        <v>0</v>
      </c>
      <c r="AM2718" s="85"/>
    </row>
    <row r="2719" spans="1:39" hidden="1" x14ac:dyDescent="0.3">
      <c r="A2719" s="85" t="s">
        <v>34</v>
      </c>
      <c r="B2719" s="15" t="s">
        <v>35</v>
      </c>
      <c r="C2719" s="15" t="s">
        <v>184</v>
      </c>
      <c r="D2719" s="15" t="s">
        <v>54</v>
      </c>
      <c r="E2719" s="15" t="s">
        <v>2182</v>
      </c>
      <c r="F2719" s="15" t="s">
        <v>2182</v>
      </c>
      <c r="G2719" s="15" t="s">
        <v>2182</v>
      </c>
      <c r="H2719" s="139"/>
      <c r="I2719" s="15" t="s">
        <v>3214</v>
      </c>
      <c r="J2719" s="1" t="s">
        <v>3323</v>
      </c>
      <c r="K2719" s="1" t="s">
        <v>3306</v>
      </c>
      <c r="L2719" s="1" t="s">
        <v>35</v>
      </c>
      <c r="M2719" s="15" t="s">
        <v>3236</v>
      </c>
      <c r="N2719" s="15"/>
      <c r="O2719" s="8" t="s">
        <v>410</v>
      </c>
      <c r="P2719" s="8" t="s">
        <v>41</v>
      </c>
      <c r="Q2719" s="20">
        <v>0</v>
      </c>
      <c r="R2719" s="139"/>
      <c r="S2719" s="8"/>
      <c r="T2719" s="6">
        <v>-2426.1</v>
      </c>
      <c r="U2719" s="6"/>
      <c r="V2719" s="6">
        <v>0</v>
      </c>
      <c r="W2719" s="18">
        <f t="shared" si="407"/>
        <v>-2426.1</v>
      </c>
      <c r="X2719" s="13">
        <f t="shared" si="406"/>
        <v>0</v>
      </c>
      <c r="Y2719" s="13">
        <f t="shared" si="403"/>
        <v>0</v>
      </c>
      <c r="Z2719" s="9">
        <v>0</v>
      </c>
      <c r="AA2719" s="18"/>
      <c r="AB2719" s="4">
        <f t="shared" si="404"/>
        <v>0</v>
      </c>
      <c r="AC2719" s="6">
        <f t="shared" si="402"/>
        <v>0</v>
      </c>
      <c r="AD2719" s="6">
        <v>0</v>
      </c>
      <c r="AE2719" s="9">
        <v>0</v>
      </c>
      <c r="AF2719" s="11">
        <v>0</v>
      </c>
      <c r="AG2719" s="9">
        <v>0</v>
      </c>
      <c r="AH2719" s="8"/>
      <c r="AI2719" s="16"/>
      <c r="AJ2719" s="126" t="e">
        <v>#N/A</v>
      </c>
      <c r="AK2719" s="80">
        <f t="shared" si="405"/>
        <v>0</v>
      </c>
      <c r="AM2719" s="85"/>
    </row>
    <row r="2720" spans="1:39" hidden="1" x14ac:dyDescent="0.3">
      <c r="A2720" s="85" t="s">
        <v>34</v>
      </c>
      <c r="B2720" s="15" t="s">
        <v>35</v>
      </c>
      <c r="C2720" s="15" t="s">
        <v>65</v>
      </c>
      <c r="D2720" s="15" t="s">
        <v>66</v>
      </c>
      <c r="E2720" s="15" t="s">
        <v>2866</v>
      </c>
      <c r="F2720" s="15" t="s">
        <v>2866</v>
      </c>
      <c r="G2720" s="15" t="s">
        <v>2866</v>
      </c>
      <c r="H2720" s="154"/>
      <c r="I2720" s="15" t="s">
        <v>3237</v>
      </c>
      <c r="J2720" s="1" t="s">
        <v>3323</v>
      </c>
      <c r="K2720" s="1" t="s">
        <v>3308</v>
      </c>
      <c r="L2720" s="1" t="s">
        <v>35</v>
      </c>
      <c r="M2720" s="15" t="s">
        <v>3222</v>
      </c>
      <c r="N2720" s="15"/>
      <c r="O2720" s="8" t="s">
        <v>45</v>
      </c>
      <c r="P2720" s="8" t="s">
        <v>41</v>
      </c>
      <c r="Q2720" s="9">
        <v>0</v>
      </c>
      <c r="R2720" s="139"/>
      <c r="S2720" s="8"/>
      <c r="T2720" s="6"/>
      <c r="U2720" s="6"/>
      <c r="V2720" s="6">
        <v>22573.94</v>
      </c>
      <c r="W2720" s="18">
        <f t="shared" si="407"/>
        <v>-22573.94</v>
      </c>
      <c r="X2720" s="13">
        <f t="shared" si="406"/>
        <v>22573.94</v>
      </c>
      <c r="Y2720" s="13">
        <f t="shared" si="403"/>
        <v>868.22999999999956</v>
      </c>
      <c r="Z2720" s="9">
        <v>0</v>
      </c>
      <c r="AA2720" s="18"/>
      <c r="AB2720" s="4">
        <f t="shared" si="404"/>
        <v>22573.94</v>
      </c>
      <c r="AC2720" s="6">
        <f t="shared" si="402"/>
        <v>0</v>
      </c>
      <c r="AD2720" s="6">
        <v>21705.71</v>
      </c>
      <c r="AE2720" s="9">
        <v>0.04</v>
      </c>
      <c r="AF2720" s="11">
        <v>868.23</v>
      </c>
      <c r="AG2720" s="9">
        <v>0</v>
      </c>
      <c r="AH2720" s="8"/>
      <c r="AI2720" s="16"/>
      <c r="AJ2720" s="126" t="e">
        <v>#N/A</v>
      </c>
      <c r="AK2720" s="80">
        <f t="shared" si="405"/>
        <v>0</v>
      </c>
      <c r="AM2720" s="85"/>
    </row>
    <row r="2721" spans="1:39" hidden="1" x14ac:dyDescent="0.3">
      <c r="A2721" s="85" t="s">
        <v>34</v>
      </c>
      <c r="B2721" s="15" t="s">
        <v>35</v>
      </c>
      <c r="C2721" s="15" t="s">
        <v>164</v>
      </c>
      <c r="D2721" s="15" t="s">
        <v>174</v>
      </c>
      <c r="E2721" s="15" t="s">
        <v>3238</v>
      </c>
      <c r="F2721" s="15" t="s">
        <v>3238</v>
      </c>
      <c r="G2721" s="15" t="s">
        <v>698</v>
      </c>
      <c r="H2721" s="154"/>
      <c r="I2721" s="15" t="s">
        <v>3239</v>
      </c>
      <c r="J2721" s="1" t="s">
        <v>3323</v>
      </c>
      <c r="K2721" s="1" t="s">
        <v>3313</v>
      </c>
      <c r="L2721" s="1" t="s">
        <v>35</v>
      </c>
      <c r="M2721" s="15" t="s">
        <v>3240</v>
      </c>
      <c r="N2721" s="15"/>
      <c r="O2721" s="8" t="s">
        <v>45</v>
      </c>
      <c r="P2721" s="8" t="s">
        <v>41</v>
      </c>
      <c r="Q2721" s="9">
        <v>0</v>
      </c>
      <c r="R2721" s="139"/>
      <c r="S2721" s="8"/>
      <c r="T2721" s="6"/>
      <c r="U2721" s="6"/>
      <c r="V2721" s="6">
        <v>0</v>
      </c>
      <c r="W2721" s="18">
        <f t="shared" si="407"/>
        <v>0</v>
      </c>
      <c r="X2721" s="18">
        <v>0</v>
      </c>
      <c r="Y2721" s="13">
        <f t="shared" si="403"/>
        <v>0</v>
      </c>
      <c r="Z2721" s="9">
        <v>0.04</v>
      </c>
      <c r="AA2721" s="18">
        <v>12811.533461538462</v>
      </c>
      <c r="AB2721" s="4">
        <f t="shared" si="404"/>
        <v>12811.533461538462</v>
      </c>
      <c r="AC2721" s="6">
        <f t="shared" si="402"/>
        <v>0</v>
      </c>
      <c r="AD2721" s="6">
        <v>0</v>
      </c>
      <c r="AE2721" s="9">
        <v>0.04</v>
      </c>
      <c r="AF2721" s="11">
        <v>13323.99</v>
      </c>
      <c r="AG2721" s="9">
        <v>0</v>
      </c>
      <c r="AH2721" s="8"/>
      <c r="AI2721" s="16"/>
      <c r="AJ2721" s="126" t="e">
        <v>#N/A</v>
      </c>
      <c r="AK2721" s="80">
        <f t="shared" si="405"/>
        <v>0</v>
      </c>
      <c r="AM2721" s="85"/>
    </row>
    <row r="2722" spans="1:39" hidden="1" x14ac:dyDescent="0.3">
      <c r="A2722" s="85" t="s">
        <v>34</v>
      </c>
      <c r="B2722" s="15" t="s">
        <v>35</v>
      </c>
      <c r="C2722" s="15" t="s">
        <v>164</v>
      </c>
      <c r="D2722" s="15" t="s">
        <v>174</v>
      </c>
      <c r="E2722" s="15" t="s">
        <v>3238</v>
      </c>
      <c r="F2722" s="15" t="s">
        <v>3238</v>
      </c>
      <c r="G2722" s="15" t="s">
        <v>698</v>
      </c>
      <c r="H2722" s="154"/>
      <c r="I2722" s="15" t="s">
        <v>3239</v>
      </c>
      <c r="J2722" s="1" t="s">
        <v>3323</v>
      </c>
      <c r="K2722" s="1" t="s">
        <v>3313</v>
      </c>
      <c r="L2722" s="1" t="s">
        <v>35</v>
      </c>
      <c r="M2722" s="15" t="s">
        <v>3240</v>
      </c>
      <c r="N2722" s="15"/>
      <c r="O2722" s="8" t="s">
        <v>941</v>
      </c>
      <c r="P2722" s="8" t="s">
        <v>41</v>
      </c>
      <c r="Q2722" s="9">
        <v>0</v>
      </c>
      <c r="R2722" s="139"/>
      <c r="S2722" s="8"/>
      <c r="T2722" s="6"/>
      <c r="U2722" s="6"/>
      <c r="V2722" s="6">
        <v>0</v>
      </c>
      <c r="W2722" s="18">
        <f t="shared" si="407"/>
        <v>0</v>
      </c>
      <c r="X2722" s="18">
        <v>0</v>
      </c>
      <c r="Y2722" s="13">
        <f t="shared" si="403"/>
        <v>0</v>
      </c>
      <c r="Z2722" s="9">
        <v>0.04</v>
      </c>
      <c r="AA2722" s="18">
        <v>96645.634230769239</v>
      </c>
      <c r="AB2722" s="4">
        <f t="shared" si="404"/>
        <v>96645.634230769239</v>
      </c>
      <c r="AC2722" s="6">
        <f t="shared" si="402"/>
        <v>0</v>
      </c>
      <c r="AD2722" s="6">
        <v>0</v>
      </c>
      <c r="AE2722" s="9">
        <v>0.04</v>
      </c>
      <c r="AF2722" s="11">
        <v>100511.46</v>
      </c>
      <c r="AG2722" s="9">
        <v>0</v>
      </c>
      <c r="AH2722" s="8"/>
      <c r="AI2722" s="16"/>
      <c r="AJ2722" s="126" t="e">
        <v>#N/A</v>
      </c>
      <c r="AK2722" s="80">
        <f t="shared" si="405"/>
        <v>0</v>
      </c>
      <c r="AM2722" s="85"/>
    </row>
    <row r="2723" spans="1:39" hidden="1" x14ac:dyDescent="0.3">
      <c r="A2723" s="85" t="s">
        <v>34</v>
      </c>
      <c r="B2723" s="15" t="s">
        <v>35</v>
      </c>
      <c r="C2723" s="15" t="s">
        <v>164</v>
      </c>
      <c r="D2723" s="15" t="s">
        <v>169</v>
      </c>
      <c r="E2723" s="15" t="s">
        <v>637</v>
      </c>
      <c r="F2723" s="15" t="s">
        <v>637</v>
      </c>
      <c r="G2723" s="15" t="s">
        <v>637</v>
      </c>
      <c r="H2723" s="139"/>
      <c r="I2723" s="15" t="s">
        <v>887</v>
      </c>
      <c r="J2723" s="1" t="s">
        <v>3323</v>
      </c>
      <c r="K2723" s="1" t="s">
        <v>3277</v>
      </c>
      <c r="L2723" s="1" t="s">
        <v>35</v>
      </c>
      <c r="M2723" s="15" t="s">
        <v>3241</v>
      </c>
      <c r="N2723" s="15"/>
      <c r="O2723" s="8" t="s">
        <v>410</v>
      </c>
      <c r="P2723" s="8" t="s">
        <v>41</v>
      </c>
      <c r="Q2723" s="9">
        <v>0</v>
      </c>
      <c r="R2723" s="139"/>
      <c r="S2723" s="8"/>
      <c r="T2723" s="6"/>
      <c r="U2723" s="6"/>
      <c r="V2723" s="6">
        <v>0</v>
      </c>
      <c r="W2723" s="18">
        <f t="shared" si="407"/>
        <v>0</v>
      </c>
      <c r="X2723" s="18">
        <f t="shared" si="406"/>
        <v>0</v>
      </c>
      <c r="Y2723" s="13">
        <f t="shared" si="403"/>
        <v>0</v>
      </c>
      <c r="Z2723" s="9">
        <v>0</v>
      </c>
      <c r="AA2723" s="18"/>
      <c r="AB2723" s="4">
        <f t="shared" si="404"/>
        <v>0</v>
      </c>
      <c r="AC2723" s="6">
        <f t="shared" si="402"/>
        <v>0</v>
      </c>
      <c r="AD2723" s="6">
        <v>0</v>
      </c>
      <c r="AE2723" s="9">
        <v>0.02</v>
      </c>
      <c r="AF2723" s="11">
        <v>23761.03</v>
      </c>
      <c r="AG2723" s="9">
        <v>0</v>
      </c>
      <c r="AH2723" s="8"/>
      <c r="AI2723" s="16"/>
      <c r="AJ2723" s="126" t="e">
        <v>#N/A</v>
      </c>
      <c r="AK2723" s="80">
        <f t="shared" si="405"/>
        <v>0</v>
      </c>
      <c r="AM2723" s="85"/>
    </row>
    <row r="2724" spans="1:39" hidden="1" x14ac:dyDescent="0.3">
      <c r="A2724" s="85" t="s">
        <v>34</v>
      </c>
      <c r="B2724" s="3" t="s">
        <v>35</v>
      </c>
      <c r="C2724" s="3" t="s">
        <v>3242</v>
      </c>
      <c r="D2724" s="3" t="s">
        <v>3243</v>
      </c>
      <c r="E2724" s="3" t="s">
        <v>176</v>
      </c>
      <c r="F2724" s="3" t="s">
        <v>176</v>
      </c>
      <c r="G2724" s="3" t="s">
        <v>176</v>
      </c>
      <c r="I2724" s="3" t="s">
        <v>2572</v>
      </c>
      <c r="J2724" s="1" t="s">
        <v>3327</v>
      </c>
      <c r="K2724" s="1" t="s">
        <v>3284</v>
      </c>
      <c r="L2724" s="1" t="s">
        <v>35</v>
      </c>
      <c r="M2724" s="3" t="s">
        <v>2573</v>
      </c>
      <c r="O2724" s="1" t="s">
        <v>410</v>
      </c>
      <c r="P2724" s="1" t="s">
        <v>41</v>
      </c>
      <c r="Q2724" s="2">
        <v>0</v>
      </c>
      <c r="R2724" s="138">
        <v>400002591</v>
      </c>
      <c r="T2724" s="4">
        <v>144120.35999999993</v>
      </c>
      <c r="U2724" s="4">
        <v>0</v>
      </c>
      <c r="V2724" s="4">
        <v>118175.36</v>
      </c>
      <c r="W2724" s="13">
        <f t="shared" si="407"/>
        <v>25944.999999999927</v>
      </c>
      <c r="X2724" s="13">
        <f t="shared" si="406"/>
        <v>118175.36</v>
      </c>
      <c r="Y2724" s="13">
        <f t="shared" si="403"/>
        <v>0</v>
      </c>
      <c r="Z2724" s="2">
        <v>0</v>
      </c>
      <c r="AA2724" s="4">
        <v>0</v>
      </c>
      <c r="AB2724" s="4">
        <f t="shared" si="404"/>
        <v>118175.36</v>
      </c>
      <c r="AC2724" s="6">
        <f t="shared" si="402"/>
        <v>0</v>
      </c>
      <c r="AD2724" s="13">
        <f t="shared" ref="AD2724:AD2725" si="408">V2724</f>
        <v>118175.36</v>
      </c>
      <c r="AF2724" s="1"/>
      <c r="AG2724" s="2">
        <v>0</v>
      </c>
      <c r="AH2724" s="5">
        <f t="shared" ref="AH2724:AH2725" si="409">V2724</f>
        <v>118175.36</v>
      </c>
      <c r="AJ2724" s="126" t="e">
        <v>#N/A</v>
      </c>
      <c r="AK2724" s="80">
        <f t="shared" si="405"/>
        <v>0</v>
      </c>
      <c r="AM2724" s="85"/>
    </row>
    <row r="2725" spans="1:39" hidden="1" x14ac:dyDescent="0.3">
      <c r="A2725" s="85" t="s">
        <v>34</v>
      </c>
      <c r="B2725" s="3" t="s">
        <v>35</v>
      </c>
      <c r="C2725" s="3" t="s">
        <v>3242</v>
      </c>
      <c r="D2725" s="3" t="s">
        <v>3243</v>
      </c>
      <c r="E2725" s="3" t="s">
        <v>176</v>
      </c>
      <c r="F2725" s="3" t="s">
        <v>176</v>
      </c>
      <c r="G2725" s="3" t="s">
        <v>176</v>
      </c>
      <c r="I2725" s="3" t="s">
        <v>2572</v>
      </c>
      <c r="J2725" s="1" t="s">
        <v>3327</v>
      </c>
      <c r="K2725" s="1" t="s">
        <v>3284</v>
      </c>
      <c r="L2725" s="1" t="s">
        <v>35</v>
      </c>
      <c r="M2725" s="3" t="s">
        <v>2574</v>
      </c>
      <c r="O2725" s="1" t="s">
        <v>410</v>
      </c>
      <c r="P2725" s="1" t="s">
        <v>41</v>
      </c>
      <c r="Q2725" s="2">
        <v>0</v>
      </c>
      <c r="R2725" s="138">
        <v>400003931</v>
      </c>
      <c r="T2725" s="4">
        <v>1567254.5700000003</v>
      </c>
      <c r="U2725" s="4">
        <v>0</v>
      </c>
      <c r="V2725" s="4">
        <v>1567254.5700000003</v>
      </c>
      <c r="W2725" s="13">
        <f t="shared" si="407"/>
        <v>0</v>
      </c>
      <c r="X2725" s="13">
        <f t="shared" si="406"/>
        <v>1567254.5700000003</v>
      </c>
      <c r="Y2725" s="13">
        <f t="shared" si="403"/>
        <v>0</v>
      </c>
      <c r="Z2725" s="2">
        <v>0</v>
      </c>
      <c r="AA2725" s="4">
        <v>0</v>
      </c>
      <c r="AB2725" s="4">
        <f t="shared" si="404"/>
        <v>1567254.5700000003</v>
      </c>
      <c r="AC2725" s="6">
        <f t="shared" si="402"/>
        <v>0</v>
      </c>
      <c r="AD2725" s="13">
        <f t="shared" si="408"/>
        <v>1567254.5700000003</v>
      </c>
      <c r="AF2725" s="1"/>
      <c r="AG2725" s="2">
        <v>0</v>
      </c>
      <c r="AH2725" s="5">
        <f t="shared" si="409"/>
        <v>1567254.5700000003</v>
      </c>
      <c r="AJ2725" s="126" t="e">
        <v>#N/A</v>
      </c>
      <c r="AK2725" s="80">
        <f t="shared" si="405"/>
        <v>0</v>
      </c>
      <c r="AM2725" s="85"/>
    </row>
    <row r="2726" spans="1:39" hidden="1" x14ac:dyDescent="0.3">
      <c r="A2726" s="85" t="s">
        <v>34</v>
      </c>
      <c r="B2726" s="15" t="s">
        <v>35</v>
      </c>
      <c r="C2726" s="15" t="s">
        <v>3244</v>
      </c>
      <c r="D2726" s="15" t="s">
        <v>3245</v>
      </c>
      <c r="E2726" s="15" t="s">
        <v>3246</v>
      </c>
      <c r="F2726" s="15" t="s">
        <v>3246</v>
      </c>
      <c r="G2726" s="15" t="s">
        <v>3246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2381</v>
      </c>
      <c r="N2726" s="15"/>
      <c r="O2726" s="8" t="s">
        <v>45</v>
      </c>
      <c r="P2726" s="1" t="s">
        <v>41</v>
      </c>
      <c r="Q2726" s="2">
        <v>0</v>
      </c>
      <c r="S2726" s="33"/>
      <c r="T2726" s="4">
        <v>1321.5999999999976</v>
      </c>
      <c r="W2726" s="13">
        <f t="shared" si="407"/>
        <v>1321.5999999999976</v>
      </c>
      <c r="X2726" s="13">
        <f t="shared" ref="X2726" si="410">IF(P2726="折扣",V2726*Q2726,IF(P2726="返现",V2726,V2726/(1+Q2726+AG2726)))</f>
        <v>0</v>
      </c>
      <c r="Y2726" s="13">
        <f t="shared" si="403"/>
        <v>0</v>
      </c>
      <c r="Z2726" s="2">
        <v>0</v>
      </c>
      <c r="AA2726" s="4">
        <v>0</v>
      </c>
      <c r="AB2726" s="4">
        <f t="shared" si="404"/>
        <v>0</v>
      </c>
      <c r="AC2726" s="6">
        <f t="shared" si="402"/>
        <v>0</v>
      </c>
      <c r="AD2726" s="4">
        <v>0</v>
      </c>
      <c r="AE2726" s="2">
        <v>0.06</v>
      </c>
      <c r="AF2726" s="5">
        <f t="shared" ref="AF2726:AF2728" si="411">AD2726*AE2726</f>
        <v>0</v>
      </c>
      <c r="AG2726" s="9">
        <v>0</v>
      </c>
      <c r="AH2726" s="4">
        <f t="shared" ref="AH2726" si="412">V2726/(1+AG2726)</f>
        <v>0</v>
      </c>
      <c r="AJ2726" s="126" t="e">
        <v>#N/A</v>
      </c>
      <c r="AK2726" s="80">
        <f t="shared" si="405"/>
        <v>0</v>
      </c>
      <c r="AM2726" s="85"/>
    </row>
    <row r="2727" spans="1:39" hidden="1" x14ac:dyDescent="0.3">
      <c r="A2727" s="85" t="s">
        <v>34</v>
      </c>
      <c r="B2727" s="15" t="s">
        <v>35</v>
      </c>
      <c r="C2727" s="15" t="s">
        <v>59</v>
      </c>
      <c r="D2727" s="15" t="s">
        <v>60</v>
      </c>
      <c r="E2727" s="15" t="s">
        <v>78</v>
      </c>
      <c r="F2727" s="15" t="s">
        <v>3247</v>
      </c>
      <c r="G2727" s="15" t="s">
        <v>78</v>
      </c>
      <c r="H2727" s="139"/>
      <c r="I2727" s="3" t="s">
        <v>3356</v>
      </c>
      <c r="J2727" s="1" t="s">
        <v>3326</v>
      </c>
      <c r="K2727" s="1" t="s">
        <v>3283</v>
      </c>
      <c r="L2727" s="1" t="s">
        <v>35</v>
      </c>
      <c r="M2727" s="95"/>
      <c r="N2727" s="3" t="s">
        <v>80</v>
      </c>
      <c r="O2727" s="8" t="s">
        <v>45</v>
      </c>
      <c r="P2727" s="8" t="s">
        <v>343</v>
      </c>
      <c r="Q2727" s="9">
        <v>0.02</v>
      </c>
      <c r="R2727" s="138"/>
      <c r="T2727" s="18">
        <v>0</v>
      </c>
      <c r="U2727" s="4">
        <v>0</v>
      </c>
      <c r="V2727" s="4">
        <v>0</v>
      </c>
      <c r="W2727" s="13">
        <f t="shared" si="407"/>
        <v>0</v>
      </c>
      <c r="X2727" s="13">
        <f t="shared" ref="X2727" si="413">IF(P2727="折扣",V2727*Q2727,IF(P2727="返现",V2727,V2727/(1+Q2727)))</f>
        <v>0</v>
      </c>
      <c r="Y2727" s="13">
        <f t="shared" si="403"/>
        <v>0</v>
      </c>
      <c r="Z2727" s="2">
        <v>0</v>
      </c>
      <c r="AA2727" s="4">
        <v>0</v>
      </c>
      <c r="AB2727" s="4">
        <f t="shared" si="404"/>
        <v>0</v>
      </c>
      <c r="AC2727" s="6">
        <v>1427666.57</v>
      </c>
      <c r="AD2727" s="13">
        <f t="shared" ref="AD2727" si="414">V2727</f>
        <v>0</v>
      </c>
      <c r="AE2727" s="2">
        <v>0.05</v>
      </c>
      <c r="AF2727" s="5">
        <f t="shared" si="411"/>
        <v>0</v>
      </c>
      <c r="AG2727" s="2">
        <v>0</v>
      </c>
      <c r="AH2727" s="5">
        <f t="shared" ref="AH2727" si="415">V2727</f>
        <v>0</v>
      </c>
      <c r="AJ2727" s="126" t="e">
        <v>#N/A</v>
      </c>
      <c r="AK2727" s="80">
        <f t="shared" si="405"/>
        <v>0</v>
      </c>
      <c r="AM2727" s="85"/>
    </row>
    <row r="2728" spans="1:39" hidden="1" x14ac:dyDescent="0.3">
      <c r="A2728" s="85" t="s">
        <v>34</v>
      </c>
      <c r="B2728" s="23" t="s">
        <v>701</v>
      </c>
      <c r="C2728" s="23" t="s">
        <v>65</v>
      </c>
      <c r="D2728" s="23" t="s">
        <v>122</v>
      </c>
      <c r="E2728" s="23" t="s">
        <v>702</v>
      </c>
      <c r="F2728" s="23" t="s">
        <v>3248</v>
      </c>
      <c r="G2728" s="23" t="s">
        <v>702</v>
      </c>
      <c r="H2728" s="155"/>
      <c r="I2728" s="23" t="s">
        <v>3249</v>
      </c>
      <c r="J2728" s="1" t="s">
        <v>3323</v>
      </c>
      <c r="K2728" s="1" t="s">
        <v>35</v>
      </c>
      <c r="L2728" s="1" t="s">
        <v>701</v>
      </c>
      <c r="M2728" s="23" t="s">
        <v>702</v>
      </c>
      <c r="N2728" s="23"/>
      <c r="O2728" s="21" t="s">
        <v>410</v>
      </c>
      <c r="P2728" s="21" t="s">
        <v>41</v>
      </c>
      <c r="Q2728" s="22">
        <v>0</v>
      </c>
      <c r="R2728" s="141">
        <v>400001033</v>
      </c>
      <c r="S2728" s="23"/>
      <c r="T2728" s="24"/>
      <c r="U2728" s="24"/>
      <c r="V2728" s="24">
        <f>X2728+AA2728</f>
        <v>349561.70899999997</v>
      </c>
      <c r="W2728" s="24"/>
      <c r="X2728" s="24">
        <v>339380.3</v>
      </c>
      <c r="Y2728" s="13">
        <f t="shared" si="403"/>
        <v>0</v>
      </c>
      <c r="Z2728" s="22">
        <v>0.03</v>
      </c>
      <c r="AA2728" s="24">
        <f t="shared" ref="AA2728" si="416">X2728*Z2728</f>
        <v>10181.409</v>
      </c>
      <c r="AB2728" s="4">
        <f t="shared" si="404"/>
        <v>349561.70899999997</v>
      </c>
      <c r="AC2728" s="26">
        <v>0</v>
      </c>
      <c r="AD2728" s="24">
        <f>V2728</f>
        <v>349561.70899999997</v>
      </c>
      <c r="AE2728" s="22">
        <v>0</v>
      </c>
      <c r="AF2728" s="25">
        <f t="shared" si="411"/>
        <v>0</v>
      </c>
      <c r="AG2728" s="22">
        <v>0</v>
      </c>
      <c r="AH2728" s="25"/>
      <c r="AI2728" s="27" t="s">
        <v>3250</v>
      </c>
      <c r="AJ2728" s="126" t="e">
        <v>#N/A</v>
      </c>
      <c r="AK2728" s="80">
        <f t="shared" si="405"/>
        <v>0</v>
      </c>
      <c r="AM2728" s="85"/>
    </row>
    <row r="2729" spans="1:39" hidden="1" x14ac:dyDescent="0.3">
      <c r="A2729" s="85" t="s">
        <v>34</v>
      </c>
      <c r="B2729" s="23" t="s">
        <v>35</v>
      </c>
      <c r="C2729" s="23" t="s">
        <v>36</v>
      </c>
      <c r="D2729" s="23" t="s">
        <v>54</v>
      </c>
      <c r="E2729" s="23" t="s">
        <v>2695</v>
      </c>
      <c r="F2729" s="23" t="s">
        <v>2695</v>
      </c>
      <c r="G2729" s="23" t="s">
        <v>2695</v>
      </c>
      <c r="H2729" s="155"/>
      <c r="I2729" s="23" t="s">
        <v>3251</v>
      </c>
      <c r="J2729" s="1" t="s">
        <v>3323</v>
      </c>
      <c r="K2729" s="1" t="s">
        <v>701</v>
      </c>
      <c r="L2729" s="1" t="s">
        <v>35</v>
      </c>
      <c r="M2729" s="23" t="s">
        <v>2697</v>
      </c>
      <c r="N2729" s="23"/>
      <c r="O2729" s="21" t="s">
        <v>410</v>
      </c>
      <c r="P2729" s="21" t="s">
        <v>41</v>
      </c>
      <c r="Q2729" s="22">
        <v>0</v>
      </c>
      <c r="R2729" s="141">
        <v>7170</v>
      </c>
      <c r="S2729" s="23"/>
      <c r="T2729" s="24"/>
      <c r="U2729" s="24"/>
      <c r="V2729" s="24">
        <f>X2729+AA2729</f>
        <v>73438.369999999966</v>
      </c>
      <c r="W2729" s="24"/>
      <c r="X2729" s="24">
        <v>73438.369999999966</v>
      </c>
      <c r="Y2729" s="13">
        <f t="shared" si="403"/>
        <v>0</v>
      </c>
      <c r="Z2729" s="22">
        <v>0</v>
      </c>
      <c r="AA2729" s="24">
        <v>0</v>
      </c>
      <c r="AB2729" s="4">
        <f t="shared" si="404"/>
        <v>73438.369999999966</v>
      </c>
      <c r="AC2729" s="26"/>
      <c r="AD2729" s="24">
        <f>V2729</f>
        <v>73438.369999999966</v>
      </c>
      <c r="AE2729" s="22">
        <v>0</v>
      </c>
      <c r="AF2729" s="25"/>
      <c r="AG2729" s="22">
        <v>0</v>
      </c>
      <c r="AH2729" s="25"/>
      <c r="AI2729" s="27" t="s">
        <v>3250</v>
      </c>
      <c r="AJ2729" s="126" t="e">
        <v>#N/A</v>
      </c>
      <c r="AK2729" s="80">
        <f t="shared" si="405"/>
        <v>0</v>
      </c>
      <c r="AM2729" s="85"/>
    </row>
    <row r="2730" spans="1:39" hidden="1" x14ac:dyDescent="0.3">
      <c r="A2730" s="85" t="s">
        <v>34</v>
      </c>
      <c r="B2730" s="23" t="s">
        <v>35</v>
      </c>
      <c r="C2730" s="23" t="s">
        <v>36</v>
      </c>
      <c r="D2730" s="23" t="s">
        <v>37</v>
      </c>
      <c r="E2730" s="23" t="s">
        <v>285</v>
      </c>
      <c r="F2730" s="23" t="s">
        <v>460</v>
      </c>
      <c r="G2730" s="23" t="s">
        <v>285</v>
      </c>
      <c r="H2730" s="155"/>
      <c r="I2730" s="23" t="s">
        <v>3252</v>
      </c>
      <c r="J2730" s="1" t="s">
        <v>3323</v>
      </c>
      <c r="K2730" s="1" t="s">
        <v>701</v>
      </c>
      <c r="L2730" s="1" t="s">
        <v>35</v>
      </c>
      <c r="M2730" s="23" t="s">
        <v>285</v>
      </c>
      <c r="N2730" s="23"/>
      <c r="O2730" s="21" t="s">
        <v>410</v>
      </c>
      <c r="P2730" s="21" t="s">
        <v>41</v>
      </c>
      <c r="Q2730" s="22">
        <v>0</v>
      </c>
      <c r="R2730" s="141">
        <v>7654</v>
      </c>
      <c r="S2730" s="23"/>
      <c r="T2730" s="24"/>
      <c r="U2730" s="24"/>
      <c r="V2730" s="24">
        <f t="shared" ref="V2730:V2752" si="417">X2730+AA2730</f>
        <v>27.15</v>
      </c>
      <c r="W2730" s="24"/>
      <c r="X2730" s="24">
        <v>27.15</v>
      </c>
      <c r="Y2730" s="13">
        <f t="shared" si="403"/>
        <v>0</v>
      </c>
      <c r="Z2730" s="22">
        <v>0</v>
      </c>
      <c r="AA2730" s="24">
        <v>0</v>
      </c>
      <c r="AB2730" s="4">
        <f t="shared" si="404"/>
        <v>27.15</v>
      </c>
      <c r="AC2730" s="26"/>
      <c r="AD2730" s="24">
        <f t="shared" ref="AD2730:AD2752" si="418">V2730</f>
        <v>27.15</v>
      </c>
      <c r="AE2730" s="22">
        <v>0</v>
      </c>
      <c r="AF2730" s="25"/>
      <c r="AG2730" s="22">
        <v>0</v>
      </c>
      <c r="AH2730" s="25"/>
      <c r="AI2730" s="27" t="s">
        <v>3250</v>
      </c>
      <c r="AJ2730" s="126" t="e">
        <v>#N/A</v>
      </c>
      <c r="AK2730" s="80">
        <f t="shared" si="405"/>
        <v>0</v>
      </c>
      <c r="AM2730" s="85"/>
    </row>
    <row r="2731" spans="1:39" hidden="1" x14ac:dyDescent="0.3">
      <c r="A2731" s="85" t="s">
        <v>34</v>
      </c>
      <c r="B2731" s="23" t="s">
        <v>35</v>
      </c>
      <c r="C2731" s="23" t="s">
        <v>36</v>
      </c>
      <c r="D2731" s="23" t="s">
        <v>37</v>
      </c>
      <c r="E2731" s="23" t="s">
        <v>285</v>
      </c>
      <c r="F2731" s="23" t="s">
        <v>460</v>
      </c>
      <c r="G2731" s="23" t="s">
        <v>285</v>
      </c>
      <c r="H2731" s="155"/>
      <c r="I2731" s="23" t="s">
        <v>3252</v>
      </c>
      <c r="J2731" s="1" t="s">
        <v>3323</v>
      </c>
      <c r="K2731" s="1" t="s">
        <v>701</v>
      </c>
      <c r="L2731" s="1" t="s">
        <v>35</v>
      </c>
      <c r="M2731" s="23" t="s">
        <v>2699</v>
      </c>
      <c r="N2731" s="23"/>
      <c r="O2731" s="21" t="s">
        <v>410</v>
      </c>
      <c r="P2731" s="21" t="s">
        <v>41</v>
      </c>
      <c r="Q2731" s="22">
        <v>0</v>
      </c>
      <c r="R2731" s="141">
        <v>7174</v>
      </c>
      <c r="S2731" s="23"/>
      <c r="T2731" s="24"/>
      <c r="U2731" s="24"/>
      <c r="V2731" s="24">
        <f t="shared" si="417"/>
        <v>2237.9700000000003</v>
      </c>
      <c r="W2731" s="24"/>
      <c r="X2731" s="24">
        <v>2237.9700000000003</v>
      </c>
      <c r="Y2731" s="13">
        <f t="shared" si="403"/>
        <v>0</v>
      </c>
      <c r="Z2731" s="22">
        <v>0</v>
      </c>
      <c r="AA2731" s="24">
        <v>0</v>
      </c>
      <c r="AB2731" s="4">
        <f t="shared" si="404"/>
        <v>2237.9700000000003</v>
      </c>
      <c r="AC2731" s="26"/>
      <c r="AD2731" s="24">
        <f t="shared" si="418"/>
        <v>2237.9700000000003</v>
      </c>
      <c r="AE2731" s="22">
        <v>0</v>
      </c>
      <c r="AF2731" s="25"/>
      <c r="AG2731" s="22">
        <v>0</v>
      </c>
      <c r="AH2731" s="25"/>
      <c r="AI2731" s="27" t="s">
        <v>3250</v>
      </c>
      <c r="AJ2731" s="126" t="e">
        <v>#N/A</v>
      </c>
      <c r="AK2731" s="80">
        <f t="shared" si="405"/>
        <v>0</v>
      </c>
      <c r="AM2731" s="85"/>
    </row>
    <row r="2732" spans="1:39" hidden="1" x14ac:dyDescent="0.3">
      <c r="A2732" s="85" t="s">
        <v>34</v>
      </c>
      <c r="B2732" s="23" t="s">
        <v>35</v>
      </c>
      <c r="C2732" s="23" t="s">
        <v>65</v>
      </c>
      <c r="D2732" s="23" t="s">
        <v>66</v>
      </c>
      <c r="E2732" s="23" t="s">
        <v>2354</v>
      </c>
      <c r="F2732" s="23" t="s">
        <v>2354</v>
      </c>
      <c r="G2732" s="23" t="s">
        <v>2354</v>
      </c>
      <c r="H2732" s="155"/>
      <c r="I2732" s="23" t="s">
        <v>3252</v>
      </c>
      <c r="J2732" s="1" t="s">
        <v>3323</v>
      </c>
      <c r="K2732" s="1" t="s">
        <v>701</v>
      </c>
      <c r="L2732" s="1" t="s">
        <v>35</v>
      </c>
      <c r="M2732" s="23" t="s">
        <v>2354</v>
      </c>
      <c r="N2732" s="23"/>
      <c r="O2732" s="21" t="s">
        <v>410</v>
      </c>
      <c r="P2732" s="21" t="s">
        <v>41</v>
      </c>
      <c r="Q2732" s="22">
        <v>0</v>
      </c>
      <c r="R2732" s="141">
        <v>7109</v>
      </c>
      <c r="S2732" s="23"/>
      <c r="T2732" s="24"/>
      <c r="U2732" s="24"/>
      <c r="V2732" s="24">
        <f t="shared" si="417"/>
        <v>38234.5</v>
      </c>
      <c r="W2732" s="24"/>
      <c r="X2732" s="24">
        <v>38234.5</v>
      </c>
      <c r="Y2732" s="13">
        <f t="shared" si="403"/>
        <v>0</v>
      </c>
      <c r="Z2732" s="22">
        <v>0</v>
      </c>
      <c r="AA2732" s="24">
        <v>0</v>
      </c>
      <c r="AB2732" s="4">
        <f t="shared" si="404"/>
        <v>38234.5</v>
      </c>
      <c r="AC2732" s="26"/>
      <c r="AD2732" s="24">
        <f t="shared" si="418"/>
        <v>38234.5</v>
      </c>
      <c r="AE2732" s="22">
        <v>0</v>
      </c>
      <c r="AF2732" s="25"/>
      <c r="AG2732" s="22">
        <v>0</v>
      </c>
      <c r="AH2732" s="25"/>
      <c r="AI2732" s="27" t="s">
        <v>3250</v>
      </c>
      <c r="AJ2732" s="126" t="e">
        <v>#N/A</v>
      </c>
      <c r="AK2732" s="80">
        <f t="shared" si="405"/>
        <v>0</v>
      </c>
      <c r="AM2732" s="85"/>
    </row>
    <row r="2733" spans="1:39" hidden="1" x14ac:dyDescent="0.3">
      <c r="A2733" s="85" t="s">
        <v>34</v>
      </c>
      <c r="B2733" s="23" t="s">
        <v>35</v>
      </c>
      <c r="C2733" s="23" t="s">
        <v>65</v>
      </c>
      <c r="D2733" s="23" t="s">
        <v>66</v>
      </c>
      <c r="E2733" s="23" t="s">
        <v>2678</v>
      </c>
      <c r="F2733" s="23" t="s">
        <v>2679</v>
      </c>
      <c r="G2733" s="23" t="s">
        <v>2678</v>
      </c>
      <c r="H2733" s="155"/>
      <c r="I2733" s="23" t="s">
        <v>3252</v>
      </c>
      <c r="J2733" s="1" t="s">
        <v>3323</v>
      </c>
      <c r="K2733" s="1" t="s">
        <v>701</v>
      </c>
      <c r="L2733" s="1" t="s">
        <v>35</v>
      </c>
      <c r="M2733" s="23" t="s">
        <v>2702</v>
      </c>
      <c r="N2733" s="23"/>
      <c r="O2733" s="21" t="s">
        <v>410</v>
      </c>
      <c r="P2733" s="21" t="s">
        <v>41</v>
      </c>
      <c r="Q2733" s="22">
        <v>0</v>
      </c>
      <c r="R2733" s="141">
        <v>7152</v>
      </c>
      <c r="S2733" s="23"/>
      <c r="T2733" s="24"/>
      <c r="U2733" s="24"/>
      <c r="V2733" s="24">
        <f t="shared" si="417"/>
        <v>146153.4</v>
      </c>
      <c r="W2733" s="24"/>
      <c r="X2733" s="24">
        <v>146153.4</v>
      </c>
      <c r="Y2733" s="13">
        <f t="shared" si="403"/>
        <v>0</v>
      </c>
      <c r="Z2733" s="22">
        <v>0</v>
      </c>
      <c r="AA2733" s="24">
        <v>0</v>
      </c>
      <c r="AB2733" s="4">
        <f t="shared" si="404"/>
        <v>146153.4</v>
      </c>
      <c r="AC2733" s="26"/>
      <c r="AD2733" s="24">
        <f t="shared" si="418"/>
        <v>146153.4</v>
      </c>
      <c r="AE2733" s="22">
        <v>0</v>
      </c>
      <c r="AF2733" s="25"/>
      <c r="AG2733" s="22">
        <v>0</v>
      </c>
      <c r="AH2733" s="25"/>
      <c r="AI2733" s="27" t="s">
        <v>3250</v>
      </c>
      <c r="AJ2733" s="126" t="e">
        <v>#N/A</v>
      </c>
      <c r="AK2733" s="80">
        <f t="shared" si="405"/>
        <v>0</v>
      </c>
      <c r="AM2733" s="85"/>
    </row>
    <row r="2734" spans="1:39" hidden="1" x14ac:dyDescent="0.3">
      <c r="A2734" s="85" t="s">
        <v>34</v>
      </c>
      <c r="B2734" s="23" t="s">
        <v>35</v>
      </c>
      <c r="C2734" s="23" t="s">
        <v>47</v>
      </c>
      <c r="D2734" s="23" t="s">
        <v>63</v>
      </c>
      <c r="E2734" s="23" t="s">
        <v>521</v>
      </c>
      <c r="F2734" s="23" t="s">
        <v>521</v>
      </c>
      <c r="G2734" s="23" t="s">
        <v>521</v>
      </c>
      <c r="H2734" s="155"/>
      <c r="I2734" s="23" t="s">
        <v>3252</v>
      </c>
      <c r="J2734" s="1" t="s">
        <v>3323</v>
      </c>
      <c r="K2734" s="1" t="s">
        <v>701</v>
      </c>
      <c r="L2734" s="1" t="s">
        <v>35</v>
      </c>
      <c r="M2734" s="23" t="s">
        <v>2704</v>
      </c>
      <c r="N2734" s="23"/>
      <c r="O2734" s="21" t="s">
        <v>410</v>
      </c>
      <c r="P2734" s="21" t="s">
        <v>41</v>
      </c>
      <c r="Q2734" s="22">
        <v>0</v>
      </c>
      <c r="R2734" s="141">
        <v>7101</v>
      </c>
      <c r="S2734" s="23"/>
      <c r="T2734" s="24"/>
      <c r="U2734" s="24"/>
      <c r="V2734" s="24">
        <f t="shared" si="417"/>
        <v>31630.34</v>
      </c>
      <c r="W2734" s="24"/>
      <c r="X2734" s="24">
        <v>31630.34</v>
      </c>
      <c r="Y2734" s="13">
        <f t="shared" si="403"/>
        <v>0</v>
      </c>
      <c r="Z2734" s="22">
        <v>0</v>
      </c>
      <c r="AA2734" s="24">
        <v>0</v>
      </c>
      <c r="AB2734" s="4">
        <f t="shared" si="404"/>
        <v>31630.34</v>
      </c>
      <c r="AC2734" s="26"/>
      <c r="AD2734" s="24">
        <f t="shared" si="418"/>
        <v>31630.34</v>
      </c>
      <c r="AE2734" s="22">
        <v>0</v>
      </c>
      <c r="AF2734" s="25"/>
      <c r="AG2734" s="22">
        <v>0</v>
      </c>
      <c r="AH2734" s="25"/>
      <c r="AI2734" s="27" t="s">
        <v>3250</v>
      </c>
      <c r="AJ2734" s="126" t="e">
        <v>#N/A</v>
      </c>
      <c r="AK2734" s="80">
        <f t="shared" si="405"/>
        <v>0</v>
      </c>
      <c r="AM2734" s="85"/>
    </row>
    <row r="2735" spans="1:39" hidden="1" x14ac:dyDescent="0.3">
      <c r="A2735" s="85" t="s">
        <v>34</v>
      </c>
      <c r="B2735" s="23" t="s">
        <v>35</v>
      </c>
      <c r="C2735" s="23" t="s">
        <v>47</v>
      </c>
      <c r="D2735" s="23" t="s">
        <v>48</v>
      </c>
      <c r="E2735" s="23" t="s">
        <v>542</v>
      </c>
      <c r="F2735" s="23" t="s">
        <v>542</v>
      </c>
      <c r="G2735" s="23" t="s">
        <v>542</v>
      </c>
      <c r="H2735" s="155"/>
      <c r="I2735" s="23" t="s">
        <v>3252</v>
      </c>
      <c r="J2735" s="1" t="s">
        <v>3323</v>
      </c>
      <c r="K2735" s="1" t="s">
        <v>701</v>
      </c>
      <c r="L2735" s="1" t="s">
        <v>35</v>
      </c>
      <c r="M2735" s="23" t="s">
        <v>2708</v>
      </c>
      <c r="N2735" s="23"/>
      <c r="O2735" s="21" t="s">
        <v>410</v>
      </c>
      <c r="P2735" s="21" t="s">
        <v>41</v>
      </c>
      <c r="Q2735" s="22">
        <v>0</v>
      </c>
      <c r="R2735" s="141">
        <v>7148</v>
      </c>
      <c r="S2735" s="23"/>
      <c r="T2735" s="24"/>
      <c r="U2735" s="24"/>
      <c r="V2735" s="24">
        <f t="shared" si="417"/>
        <v>35425.068627450979</v>
      </c>
      <c r="W2735" s="24"/>
      <c r="X2735" s="24">
        <v>35425.068627450979</v>
      </c>
      <c r="Y2735" s="13">
        <f t="shared" si="403"/>
        <v>0</v>
      </c>
      <c r="Z2735" s="22">
        <v>0</v>
      </c>
      <c r="AA2735" s="24">
        <v>0</v>
      </c>
      <c r="AB2735" s="4">
        <f t="shared" si="404"/>
        <v>35425.068627450979</v>
      </c>
      <c r="AC2735" s="26"/>
      <c r="AD2735" s="24">
        <f t="shared" si="418"/>
        <v>35425.068627450979</v>
      </c>
      <c r="AE2735" s="22">
        <v>0</v>
      </c>
      <c r="AF2735" s="25"/>
      <c r="AG2735" s="22">
        <v>0</v>
      </c>
      <c r="AH2735" s="25"/>
      <c r="AI2735" s="27" t="s">
        <v>3250</v>
      </c>
      <c r="AJ2735" s="126" t="e">
        <v>#N/A</v>
      </c>
      <c r="AK2735" s="80">
        <f t="shared" si="405"/>
        <v>0</v>
      </c>
      <c r="AM2735" s="85"/>
    </row>
    <row r="2736" spans="1:39" hidden="1" x14ac:dyDescent="0.3">
      <c r="A2736" s="85" t="s">
        <v>34</v>
      </c>
      <c r="B2736" s="23" t="s">
        <v>35</v>
      </c>
      <c r="C2736" s="23" t="s">
        <v>47</v>
      </c>
      <c r="D2736" s="23" t="s">
        <v>48</v>
      </c>
      <c r="E2736" s="23" t="s">
        <v>2709</v>
      </c>
      <c r="F2736" s="23" t="s">
        <v>2709</v>
      </c>
      <c r="G2736" s="23" t="s">
        <v>2709</v>
      </c>
      <c r="H2736" s="155"/>
      <c r="I2736" s="23" t="s">
        <v>3252</v>
      </c>
      <c r="J2736" s="1" t="s">
        <v>3323</v>
      </c>
      <c r="K2736" s="1" t="s">
        <v>701</v>
      </c>
      <c r="L2736" s="1" t="s">
        <v>35</v>
      </c>
      <c r="M2736" s="23" t="s">
        <v>2709</v>
      </c>
      <c r="N2736" s="23"/>
      <c r="O2736" s="21" t="s">
        <v>410</v>
      </c>
      <c r="P2736" s="21" t="s">
        <v>41</v>
      </c>
      <c r="Q2736" s="22">
        <v>0</v>
      </c>
      <c r="R2736" s="141">
        <v>7576</v>
      </c>
      <c r="S2736" s="23"/>
      <c r="T2736" s="24"/>
      <c r="U2736" s="24"/>
      <c r="V2736" s="24">
        <f t="shared" si="417"/>
        <v>11306.186274509802</v>
      </c>
      <c r="W2736" s="24"/>
      <c r="X2736" s="24">
        <v>11306.186274509802</v>
      </c>
      <c r="Y2736" s="13">
        <f t="shared" si="403"/>
        <v>0</v>
      </c>
      <c r="Z2736" s="22">
        <v>0</v>
      </c>
      <c r="AA2736" s="24">
        <v>0</v>
      </c>
      <c r="AB2736" s="4">
        <f t="shared" si="404"/>
        <v>11306.186274509802</v>
      </c>
      <c r="AC2736" s="26"/>
      <c r="AD2736" s="24">
        <f t="shared" si="418"/>
        <v>11306.186274509802</v>
      </c>
      <c r="AE2736" s="22">
        <v>0</v>
      </c>
      <c r="AF2736" s="25"/>
      <c r="AG2736" s="22">
        <v>0</v>
      </c>
      <c r="AH2736" s="25"/>
      <c r="AI2736" s="27" t="s">
        <v>3250</v>
      </c>
      <c r="AJ2736" s="126" t="e">
        <v>#N/A</v>
      </c>
      <c r="AK2736" s="80">
        <f t="shared" si="405"/>
        <v>0</v>
      </c>
      <c r="AM2736" s="85"/>
    </row>
    <row r="2737" spans="1:39" hidden="1" x14ac:dyDescent="0.3">
      <c r="A2737" s="85" t="s">
        <v>34</v>
      </c>
      <c r="B2737" s="23" t="s">
        <v>35</v>
      </c>
      <c r="C2737" s="23" t="s">
        <v>144</v>
      </c>
      <c r="D2737" s="23" t="s">
        <v>145</v>
      </c>
      <c r="E2737" s="23" t="s">
        <v>146</v>
      </c>
      <c r="F2737" s="23" t="s">
        <v>146</v>
      </c>
      <c r="G2737" s="23" t="s">
        <v>146</v>
      </c>
      <c r="H2737" s="155"/>
      <c r="I2737" s="23" t="s">
        <v>3252</v>
      </c>
      <c r="J2737" s="1" t="s">
        <v>3323</v>
      </c>
      <c r="K2737" s="1" t="s">
        <v>701</v>
      </c>
      <c r="L2737" s="1" t="s">
        <v>35</v>
      </c>
      <c r="M2737" s="23" t="s">
        <v>146</v>
      </c>
      <c r="N2737" s="23"/>
      <c r="O2737" s="21" t="s">
        <v>410</v>
      </c>
      <c r="P2737" s="21" t="s">
        <v>41</v>
      </c>
      <c r="Q2737" s="22">
        <v>0</v>
      </c>
      <c r="R2737" s="141">
        <v>7607</v>
      </c>
      <c r="S2737" s="23"/>
      <c r="T2737" s="24"/>
      <c r="U2737" s="24"/>
      <c r="V2737" s="24">
        <f t="shared" si="417"/>
        <v>129626.47</v>
      </c>
      <c r="W2737" s="24"/>
      <c r="X2737" s="24">
        <v>129626.47</v>
      </c>
      <c r="Y2737" s="13">
        <f t="shared" si="403"/>
        <v>0</v>
      </c>
      <c r="Z2737" s="22">
        <v>0</v>
      </c>
      <c r="AA2737" s="24">
        <v>0</v>
      </c>
      <c r="AB2737" s="4">
        <f t="shared" si="404"/>
        <v>129626.47</v>
      </c>
      <c r="AC2737" s="26"/>
      <c r="AD2737" s="24">
        <f t="shared" si="418"/>
        <v>129626.47</v>
      </c>
      <c r="AE2737" s="22">
        <v>0</v>
      </c>
      <c r="AF2737" s="25"/>
      <c r="AG2737" s="22">
        <v>0</v>
      </c>
      <c r="AH2737" s="25"/>
      <c r="AI2737" s="27" t="s">
        <v>3250</v>
      </c>
      <c r="AJ2737" s="126" t="e">
        <v>#N/A</v>
      </c>
      <c r="AK2737" s="80">
        <f t="shared" si="405"/>
        <v>0</v>
      </c>
      <c r="AM2737" s="85"/>
    </row>
    <row r="2738" spans="1:39" hidden="1" x14ac:dyDescent="0.3">
      <c r="A2738" s="85" t="s">
        <v>34</v>
      </c>
      <c r="B2738" s="23" t="s">
        <v>35</v>
      </c>
      <c r="C2738" s="23" t="s">
        <v>144</v>
      </c>
      <c r="D2738" s="23" t="s">
        <v>161</v>
      </c>
      <c r="E2738" s="23" t="s">
        <v>163</v>
      </c>
      <c r="F2738" s="23" t="s">
        <v>163</v>
      </c>
      <c r="G2738" s="23" t="s">
        <v>163</v>
      </c>
      <c r="H2738" s="155"/>
      <c r="I2738" s="23" t="s">
        <v>3252</v>
      </c>
      <c r="J2738" s="1" t="s">
        <v>3323</v>
      </c>
      <c r="K2738" s="1" t="s">
        <v>701</v>
      </c>
      <c r="L2738" s="1" t="s">
        <v>35</v>
      </c>
      <c r="M2738" s="23" t="s">
        <v>163</v>
      </c>
      <c r="N2738" s="23"/>
      <c r="O2738" s="21" t="s">
        <v>410</v>
      </c>
      <c r="P2738" s="21" t="s">
        <v>41</v>
      </c>
      <c r="Q2738" s="22">
        <v>0</v>
      </c>
      <c r="R2738" s="141">
        <v>7094</v>
      </c>
      <c r="S2738" s="23"/>
      <c r="T2738" s="24"/>
      <c r="U2738" s="24"/>
      <c r="V2738" s="24">
        <f t="shared" si="417"/>
        <v>30325.47</v>
      </c>
      <c r="W2738" s="24"/>
      <c r="X2738" s="24">
        <v>30325.47</v>
      </c>
      <c r="Y2738" s="13">
        <f t="shared" si="403"/>
        <v>0</v>
      </c>
      <c r="Z2738" s="22">
        <v>0</v>
      </c>
      <c r="AA2738" s="24">
        <v>0</v>
      </c>
      <c r="AB2738" s="4">
        <f t="shared" si="404"/>
        <v>30325.47</v>
      </c>
      <c r="AC2738" s="26"/>
      <c r="AD2738" s="24">
        <f t="shared" si="418"/>
        <v>30325.47</v>
      </c>
      <c r="AE2738" s="22">
        <v>0</v>
      </c>
      <c r="AF2738" s="25"/>
      <c r="AG2738" s="22">
        <v>0</v>
      </c>
      <c r="AH2738" s="25"/>
      <c r="AI2738" s="27" t="s">
        <v>3250</v>
      </c>
      <c r="AJ2738" s="126" t="e">
        <v>#N/A</v>
      </c>
      <c r="AK2738" s="80">
        <f t="shared" si="405"/>
        <v>0</v>
      </c>
      <c r="AM2738" s="85"/>
    </row>
    <row r="2739" spans="1:39" hidden="1" x14ac:dyDescent="0.3">
      <c r="A2739" s="85" t="s">
        <v>34</v>
      </c>
      <c r="B2739" s="23" t="s">
        <v>35</v>
      </c>
      <c r="C2739" s="23" t="s">
        <v>144</v>
      </c>
      <c r="D2739" s="23" t="s">
        <v>161</v>
      </c>
      <c r="E2739" s="23" t="s">
        <v>163</v>
      </c>
      <c r="F2739" s="23" t="s">
        <v>163</v>
      </c>
      <c r="G2739" s="23" t="s">
        <v>163</v>
      </c>
      <c r="H2739" s="155"/>
      <c r="I2739" s="23" t="s">
        <v>3252</v>
      </c>
      <c r="J2739" s="1" t="s">
        <v>3323</v>
      </c>
      <c r="K2739" s="1" t="s">
        <v>701</v>
      </c>
      <c r="L2739" s="1" t="s">
        <v>35</v>
      </c>
      <c r="M2739" s="23" t="s">
        <v>2714</v>
      </c>
      <c r="N2739" s="23"/>
      <c r="O2739" s="21" t="s">
        <v>410</v>
      </c>
      <c r="P2739" s="21" t="s">
        <v>41</v>
      </c>
      <c r="Q2739" s="22">
        <v>0</v>
      </c>
      <c r="R2739" s="141">
        <v>7135</v>
      </c>
      <c r="S2739" s="23"/>
      <c r="T2739" s="24"/>
      <c r="U2739" s="24"/>
      <c r="V2739" s="24">
        <f t="shared" si="417"/>
        <v>1669.94</v>
      </c>
      <c r="W2739" s="24"/>
      <c r="X2739" s="24">
        <v>1669.94</v>
      </c>
      <c r="Y2739" s="13">
        <f t="shared" si="403"/>
        <v>0</v>
      </c>
      <c r="Z2739" s="22">
        <v>0</v>
      </c>
      <c r="AA2739" s="24">
        <v>0</v>
      </c>
      <c r="AB2739" s="4">
        <f t="shared" si="404"/>
        <v>1669.94</v>
      </c>
      <c r="AC2739" s="26"/>
      <c r="AD2739" s="24">
        <f t="shared" si="418"/>
        <v>1669.94</v>
      </c>
      <c r="AE2739" s="22">
        <v>0</v>
      </c>
      <c r="AF2739" s="25"/>
      <c r="AG2739" s="22">
        <v>0</v>
      </c>
      <c r="AH2739" s="25"/>
      <c r="AI2739" s="27" t="s">
        <v>3250</v>
      </c>
      <c r="AJ2739" s="126" t="e">
        <v>#N/A</v>
      </c>
      <c r="AK2739" s="80">
        <f t="shared" si="405"/>
        <v>0</v>
      </c>
      <c r="AM2739" s="85"/>
    </row>
    <row r="2740" spans="1:39" hidden="1" x14ac:dyDescent="0.3">
      <c r="A2740" s="85" t="s">
        <v>34</v>
      </c>
      <c r="B2740" s="23" t="s">
        <v>35</v>
      </c>
      <c r="C2740" s="23" t="s">
        <v>164</v>
      </c>
      <c r="D2740" s="23" t="s">
        <v>169</v>
      </c>
      <c r="E2740" s="23" t="s">
        <v>172</v>
      </c>
      <c r="F2740" s="23" t="s">
        <v>172</v>
      </c>
      <c r="G2740" s="23" t="s">
        <v>172</v>
      </c>
      <c r="H2740" s="155"/>
      <c r="I2740" s="23" t="s">
        <v>3252</v>
      </c>
      <c r="J2740" s="1" t="s">
        <v>3323</v>
      </c>
      <c r="K2740" s="1" t="s">
        <v>701</v>
      </c>
      <c r="L2740" s="1" t="s">
        <v>35</v>
      </c>
      <c r="M2740" s="23" t="s">
        <v>2716</v>
      </c>
      <c r="N2740" s="23"/>
      <c r="O2740" s="21" t="s">
        <v>410</v>
      </c>
      <c r="P2740" s="21" t="s">
        <v>41</v>
      </c>
      <c r="Q2740" s="22">
        <v>0</v>
      </c>
      <c r="R2740" s="141">
        <v>7283</v>
      </c>
      <c r="S2740" s="23"/>
      <c r="T2740" s="24"/>
      <c r="U2740" s="24"/>
      <c r="V2740" s="24">
        <f t="shared" si="417"/>
        <v>109467.52445544553</v>
      </c>
      <c r="W2740" s="24"/>
      <c r="X2740" s="24">
        <v>109467.52445544553</v>
      </c>
      <c r="Y2740" s="13">
        <f t="shared" si="403"/>
        <v>0</v>
      </c>
      <c r="Z2740" s="22">
        <v>0</v>
      </c>
      <c r="AA2740" s="24">
        <v>0</v>
      </c>
      <c r="AB2740" s="4">
        <f t="shared" si="404"/>
        <v>109467.52445544553</v>
      </c>
      <c r="AC2740" s="26"/>
      <c r="AD2740" s="24">
        <f t="shared" si="418"/>
        <v>109467.52445544553</v>
      </c>
      <c r="AE2740" s="22">
        <v>0</v>
      </c>
      <c r="AF2740" s="25"/>
      <c r="AG2740" s="22">
        <v>0</v>
      </c>
      <c r="AH2740" s="25"/>
      <c r="AI2740" s="27" t="s">
        <v>3250</v>
      </c>
      <c r="AJ2740" s="126" t="e">
        <v>#N/A</v>
      </c>
      <c r="AK2740" s="80">
        <f t="shared" si="405"/>
        <v>0</v>
      </c>
      <c r="AM2740" s="85"/>
    </row>
    <row r="2741" spans="1:39" hidden="1" x14ac:dyDescent="0.3">
      <c r="A2741" s="85" t="s">
        <v>34</v>
      </c>
      <c r="B2741" s="23" t="s">
        <v>35</v>
      </c>
      <c r="C2741" s="23" t="s">
        <v>164</v>
      </c>
      <c r="D2741" s="23" t="s">
        <v>169</v>
      </c>
      <c r="E2741" s="23" t="s">
        <v>2695</v>
      </c>
      <c r="F2741" s="23" t="s">
        <v>3253</v>
      </c>
      <c r="G2741" s="23" t="s">
        <v>2695</v>
      </c>
      <c r="H2741" s="155"/>
      <c r="I2741" s="23" t="s">
        <v>3252</v>
      </c>
      <c r="J2741" s="1" t="s">
        <v>3323</v>
      </c>
      <c r="K2741" s="1" t="s">
        <v>701</v>
      </c>
      <c r="L2741" s="1" t="s">
        <v>35</v>
      </c>
      <c r="M2741" s="23" t="s">
        <v>2718</v>
      </c>
      <c r="N2741" s="23"/>
      <c r="O2741" s="21" t="s">
        <v>410</v>
      </c>
      <c r="P2741" s="21" t="s">
        <v>41</v>
      </c>
      <c r="Q2741" s="22">
        <v>0</v>
      </c>
      <c r="R2741" s="141">
        <v>7095</v>
      </c>
      <c r="S2741" s="23"/>
      <c r="T2741" s="24"/>
      <c r="U2741" s="24"/>
      <c r="V2741" s="24">
        <f t="shared" si="417"/>
        <v>28186.899999999965</v>
      </c>
      <c r="W2741" s="24"/>
      <c r="X2741" s="24">
        <v>28186.899999999965</v>
      </c>
      <c r="Y2741" s="13">
        <f t="shared" si="403"/>
        <v>0</v>
      </c>
      <c r="Z2741" s="22">
        <v>0</v>
      </c>
      <c r="AA2741" s="24">
        <v>0</v>
      </c>
      <c r="AB2741" s="4">
        <f t="shared" si="404"/>
        <v>28186.899999999965</v>
      </c>
      <c r="AC2741" s="26"/>
      <c r="AD2741" s="24">
        <f t="shared" si="418"/>
        <v>28186.899999999965</v>
      </c>
      <c r="AE2741" s="22">
        <v>0</v>
      </c>
      <c r="AF2741" s="25"/>
      <c r="AG2741" s="22">
        <v>0</v>
      </c>
      <c r="AH2741" s="25"/>
      <c r="AI2741" s="27" t="s">
        <v>3250</v>
      </c>
      <c r="AJ2741" s="126" t="e">
        <v>#N/A</v>
      </c>
      <c r="AK2741" s="80">
        <f t="shared" si="405"/>
        <v>0</v>
      </c>
      <c r="AM2741" s="85"/>
    </row>
    <row r="2742" spans="1:39" hidden="1" x14ac:dyDescent="0.3">
      <c r="A2742" s="85" t="s">
        <v>34</v>
      </c>
      <c r="B2742" s="23" t="s">
        <v>35</v>
      </c>
      <c r="C2742" s="23" t="s">
        <v>164</v>
      </c>
      <c r="D2742" s="23" t="s">
        <v>169</v>
      </c>
      <c r="E2742" s="23" t="s">
        <v>2695</v>
      </c>
      <c r="F2742" s="23" t="s">
        <v>3253</v>
      </c>
      <c r="G2742" s="23" t="s">
        <v>2695</v>
      </c>
      <c r="H2742" s="155"/>
      <c r="I2742" s="23" t="s">
        <v>3252</v>
      </c>
      <c r="J2742" s="1" t="s">
        <v>3323</v>
      </c>
      <c r="K2742" s="1" t="s">
        <v>701</v>
      </c>
      <c r="L2742" s="1" t="s">
        <v>35</v>
      </c>
      <c r="M2742" s="23" t="s">
        <v>2719</v>
      </c>
      <c r="N2742" s="23"/>
      <c r="O2742" s="21" t="s">
        <v>410</v>
      </c>
      <c r="P2742" s="21" t="s">
        <v>41</v>
      </c>
      <c r="Q2742" s="22">
        <v>0</v>
      </c>
      <c r="R2742" s="141">
        <v>7103</v>
      </c>
      <c r="S2742" s="23"/>
      <c r="T2742" s="24"/>
      <c r="U2742" s="24"/>
      <c r="V2742" s="24">
        <f t="shared" si="417"/>
        <v>366273.39999999991</v>
      </c>
      <c r="W2742" s="24"/>
      <c r="X2742" s="24">
        <v>366273.39999999991</v>
      </c>
      <c r="Y2742" s="13">
        <f t="shared" si="403"/>
        <v>0</v>
      </c>
      <c r="Z2742" s="22">
        <v>0</v>
      </c>
      <c r="AA2742" s="24">
        <v>0</v>
      </c>
      <c r="AB2742" s="4">
        <f t="shared" si="404"/>
        <v>366273.39999999991</v>
      </c>
      <c r="AC2742" s="26"/>
      <c r="AD2742" s="24">
        <f t="shared" si="418"/>
        <v>366273.39999999991</v>
      </c>
      <c r="AE2742" s="22">
        <v>0</v>
      </c>
      <c r="AF2742" s="25"/>
      <c r="AG2742" s="22">
        <v>0</v>
      </c>
      <c r="AH2742" s="25"/>
      <c r="AI2742" s="27" t="s">
        <v>3250</v>
      </c>
      <c r="AJ2742" s="126" t="e">
        <v>#N/A</v>
      </c>
      <c r="AK2742" s="80">
        <f t="shared" si="405"/>
        <v>0</v>
      </c>
      <c r="AM2742" s="85"/>
    </row>
    <row r="2743" spans="1:39" hidden="1" x14ac:dyDescent="0.3">
      <c r="A2743" s="85" t="s">
        <v>34</v>
      </c>
      <c r="B2743" s="23" t="s">
        <v>35</v>
      </c>
      <c r="C2743" s="23" t="s">
        <v>164</v>
      </c>
      <c r="D2743" s="23" t="s">
        <v>169</v>
      </c>
      <c r="E2743" s="23" t="s">
        <v>2695</v>
      </c>
      <c r="F2743" s="23" t="s">
        <v>3253</v>
      </c>
      <c r="G2743" s="23" t="s">
        <v>2695</v>
      </c>
      <c r="H2743" s="155"/>
      <c r="I2743" s="23" t="s">
        <v>3252</v>
      </c>
      <c r="J2743" s="1" t="s">
        <v>3323</v>
      </c>
      <c r="K2743" s="1" t="s">
        <v>701</v>
      </c>
      <c r="L2743" s="1" t="s">
        <v>35</v>
      </c>
      <c r="M2743" s="23" t="s">
        <v>2720</v>
      </c>
      <c r="N2743" s="23"/>
      <c r="O2743" s="21" t="s">
        <v>410</v>
      </c>
      <c r="P2743" s="21" t="s">
        <v>41</v>
      </c>
      <c r="Q2743" s="22">
        <v>0</v>
      </c>
      <c r="R2743" s="141">
        <v>7169</v>
      </c>
      <c r="S2743" s="23"/>
      <c r="T2743" s="24"/>
      <c r="U2743" s="24"/>
      <c r="V2743" s="24">
        <f t="shared" si="417"/>
        <v>49987.961165048539</v>
      </c>
      <c r="W2743" s="24"/>
      <c r="X2743" s="24">
        <v>49987.961165048539</v>
      </c>
      <c r="Y2743" s="13">
        <f t="shared" si="403"/>
        <v>0</v>
      </c>
      <c r="Z2743" s="22">
        <v>0</v>
      </c>
      <c r="AA2743" s="24">
        <v>0</v>
      </c>
      <c r="AB2743" s="4">
        <f t="shared" si="404"/>
        <v>49987.961165048539</v>
      </c>
      <c r="AC2743" s="26"/>
      <c r="AD2743" s="24">
        <f t="shared" si="418"/>
        <v>49987.961165048539</v>
      </c>
      <c r="AE2743" s="22">
        <v>0</v>
      </c>
      <c r="AF2743" s="25"/>
      <c r="AG2743" s="22">
        <v>0</v>
      </c>
      <c r="AH2743" s="25"/>
      <c r="AI2743" s="27" t="s">
        <v>3250</v>
      </c>
      <c r="AJ2743" s="126" t="e">
        <v>#N/A</v>
      </c>
      <c r="AK2743" s="80">
        <f t="shared" si="405"/>
        <v>0</v>
      </c>
      <c r="AM2743" s="85"/>
    </row>
    <row r="2744" spans="1:39" hidden="1" x14ac:dyDescent="0.3">
      <c r="A2744" s="85" t="s">
        <v>34</v>
      </c>
      <c r="B2744" s="23" t="s">
        <v>35</v>
      </c>
      <c r="C2744" s="23" t="s">
        <v>164</v>
      </c>
      <c r="D2744" s="23" t="s">
        <v>181</v>
      </c>
      <c r="E2744" s="23" t="s">
        <v>182</v>
      </c>
      <c r="F2744" s="23" t="s">
        <v>183</v>
      </c>
      <c r="G2744" s="23" t="s">
        <v>182</v>
      </c>
      <c r="H2744" s="155"/>
      <c r="I2744" s="23" t="s">
        <v>3252</v>
      </c>
      <c r="J2744" s="1" t="s">
        <v>3323</v>
      </c>
      <c r="K2744" s="1" t="s">
        <v>701</v>
      </c>
      <c r="L2744" s="1" t="s">
        <v>35</v>
      </c>
      <c r="M2744" s="23" t="s">
        <v>182</v>
      </c>
      <c r="N2744" s="23"/>
      <c r="O2744" s="21" t="s">
        <v>410</v>
      </c>
      <c r="P2744" s="21" t="s">
        <v>41</v>
      </c>
      <c r="Q2744" s="22">
        <v>0</v>
      </c>
      <c r="R2744" s="141">
        <v>7121</v>
      </c>
      <c r="S2744" s="23"/>
      <c r="T2744" s="24"/>
      <c r="U2744" s="24"/>
      <c r="V2744" s="24">
        <f t="shared" si="417"/>
        <v>40724.040816326531</v>
      </c>
      <c r="W2744" s="24"/>
      <c r="X2744" s="24">
        <v>39909.56</v>
      </c>
      <c r="Y2744" s="13">
        <f t="shared" si="403"/>
        <v>0</v>
      </c>
      <c r="Z2744" s="22">
        <v>0.02</v>
      </c>
      <c r="AA2744" s="26">
        <v>814.48081632653066</v>
      </c>
      <c r="AB2744" s="4">
        <f t="shared" si="404"/>
        <v>40724.040816326531</v>
      </c>
      <c r="AC2744" s="26"/>
      <c r="AD2744" s="24">
        <f t="shared" si="418"/>
        <v>40724.040816326531</v>
      </c>
      <c r="AE2744" s="22">
        <v>0</v>
      </c>
      <c r="AF2744" s="25"/>
      <c r="AG2744" s="22">
        <v>0</v>
      </c>
      <c r="AH2744" s="25"/>
      <c r="AI2744" s="27" t="s">
        <v>3250</v>
      </c>
      <c r="AJ2744" s="126" t="e">
        <v>#N/A</v>
      </c>
      <c r="AK2744" s="80">
        <f t="shared" si="405"/>
        <v>0</v>
      </c>
      <c r="AM2744" s="85"/>
    </row>
    <row r="2745" spans="1:39" hidden="1" x14ac:dyDescent="0.3">
      <c r="A2745" s="85" t="s">
        <v>34</v>
      </c>
      <c r="B2745" s="88" t="s">
        <v>35</v>
      </c>
      <c r="C2745" s="88" t="s">
        <v>36</v>
      </c>
      <c r="D2745" s="88" t="s">
        <v>54</v>
      </c>
      <c r="E2745" s="88" t="s">
        <v>2695</v>
      </c>
      <c r="F2745" s="88" t="s">
        <v>2695</v>
      </c>
      <c r="G2745" s="88" t="s">
        <v>2695</v>
      </c>
      <c r="H2745" s="156"/>
      <c r="I2745" s="23" t="s">
        <v>3252</v>
      </c>
      <c r="J2745" s="1" t="s">
        <v>3323</v>
      </c>
      <c r="K2745" s="1" t="s">
        <v>701</v>
      </c>
      <c r="L2745" s="1" t="s">
        <v>35</v>
      </c>
      <c r="M2745" s="88" t="s">
        <v>2697</v>
      </c>
      <c r="N2745" s="88"/>
      <c r="O2745" s="28" t="s">
        <v>410</v>
      </c>
      <c r="P2745" s="21" t="s">
        <v>41</v>
      </c>
      <c r="Q2745" s="22">
        <v>0</v>
      </c>
      <c r="R2745" s="142">
        <v>7170</v>
      </c>
      <c r="S2745" s="23"/>
      <c r="T2745" s="26"/>
      <c r="U2745" s="24"/>
      <c r="V2745" s="24">
        <f>X2745+AA2745</f>
        <v>40635.0742718447</v>
      </c>
      <c r="W2745" s="24"/>
      <c r="X2745" s="24">
        <v>40635.0742718447</v>
      </c>
      <c r="Y2745" s="13">
        <f t="shared" si="403"/>
        <v>0</v>
      </c>
      <c r="Z2745" s="22">
        <v>0</v>
      </c>
      <c r="AA2745" s="24">
        <v>0</v>
      </c>
      <c r="AB2745" s="4">
        <f t="shared" si="404"/>
        <v>40635.0742718447</v>
      </c>
      <c r="AC2745" s="26"/>
      <c r="AD2745" s="24">
        <f t="shared" si="418"/>
        <v>40635.0742718447</v>
      </c>
      <c r="AE2745" s="22">
        <v>0</v>
      </c>
      <c r="AF2745" s="25"/>
      <c r="AG2745" s="22">
        <v>0</v>
      </c>
      <c r="AH2745" s="25"/>
      <c r="AI2745" s="27" t="s">
        <v>3250</v>
      </c>
      <c r="AJ2745" s="126" t="e">
        <v>#N/A</v>
      </c>
      <c r="AK2745" s="80">
        <f t="shared" si="405"/>
        <v>0</v>
      </c>
      <c r="AM2745" s="85"/>
    </row>
    <row r="2746" spans="1:39" hidden="1" x14ac:dyDescent="0.3">
      <c r="A2746" s="85" t="s">
        <v>34</v>
      </c>
      <c r="B2746" s="88" t="s">
        <v>35</v>
      </c>
      <c r="C2746" s="88" t="s">
        <v>47</v>
      </c>
      <c r="D2746" s="88" t="s">
        <v>63</v>
      </c>
      <c r="E2746" s="88" t="s">
        <v>127</v>
      </c>
      <c r="F2746" s="88" t="s">
        <v>127</v>
      </c>
      <c r="G2746" s="88" t="s">
        <v>127</v>
      </c>
      <c r="H2746" s="156"/>
      <c r="I2746" s="23" t="s">
        <v>3252</v>
      </c>
      <c r="J2746" s="1" t="s">
        <v>3323</v>
      </c>
      <c r="K2746" s="1" t="s">
        <v>701</v>
      </c>
      <c r="L2746" s="1" t="s">
        <v>35</v>
      </c>
      <c r="M2746" s="88" t="s">
        <v>127</v>
      </c>
      <c r="N2746" s="88"/>
      <c r="O2746" s="28" t="s">
        <v>410</v>
      </c>
      <c r="P2746" s="21" t="s">
        <v>41</v>
      </c>
      <c r="Q2746" s="22">
        <v>0</v>
      </c>
      <c r="R2746" s="142">
        <v>7545</v>
      </c>
      <c r="S2746" s="23"/>
      <c r="T2746" s="26"/>
      <c r="U2746" s="24"/>
      <c r="V2746" s="24">
        <f t="shared" si="417"/>
        <v>13642.480000000001</v>
      </c>
      <c r="W2746" s="24"/>
      <c r="X2746" s="24">
        <v>13642.480000000001</v>
      </c>
      <c r="Y2746" s="13">
        <f t="shared" si="403"/>
        <v>0</v>
      </c>
      <c r="Z2746" s="22">
        <v>0</v>
      </c>
      <c r="AA2746" s="24">
        <v>0</v>
      </c>
      <c r="AB2746" s="4">
        <f t="shared" si="404"/>
        <v>13642.480000000001</v>
      </c>
      <c r="AC2746" s="26"/>
      <c r="AD2746" s="24">
        <f t="shared" si="418"/>
        <v>13642.480000000001</v>
      </c>
      <c r="AE2746" s="22">
        <v>0</v>
      </c>
      <c r="AF2746" s="25"/>
      <c r="AG2746" s="22">
        <v>0</v>
      </c>
      <c r="AH2746" s="25"/>
      <c r="AI2746" s="27" t="s">
        <v>3250</v>
      </c>
      <c r="AJ2746" s="126" t="e">
        <v>#N/A</v>
      </c>
      <c r="AK2746" s="80">
        <f t="shared" si="405"/>
        <v>0</v>
      </c>
      <c r="AM2746" s="85"/>
    </row>
    <row r="2747" spans="1:39" hidden="1" x14ac:dyDescent="0.3">
      <c r="A2747" s="85" t="s">
        <v>34</v>
      </c>
      <c r="B2747" s="88" t="s">
        <v>35</v>
      </c>
      <c r="C2747" s="88" t="s">
        <v>164</v>
      </c>
      <c r="D2747" s="88" t="s">
        <v>169</v>
      </c>
      <c r="E2747" s="88" t="s">
        <v>172</v>
      </c>
      <c r="F2747" s="88" t="s">
        <v>172</v>
      </c>
      <c r="G2747" s="88" t="s">
        <v>172</v>
      </c>
      <c r="H2747" s="156"/>
      <c r="I2747" s="23" t="s">
        <v>3252</v>
      </c>
      <c r="J2747" s="1" t="s">
        <v>3323</v>
      </c>
      <c r="K2747" s="1" t="s">
        <v>701</v>
      </c>
      <c r="L2747" s="1" t="s">
        <v>35</v>
      </c>
      <c r="M2747" s="88" t="s">
        <v>2716</v>
      </c>
      <c r="N2747" s="88"/>
      <c r="O2747" s="28" t="s">
        <v>410</v>
      </c>
      <c r="P2747" s="21" t="s">
        <v>41</v>
      </c>
      <c r="Q2747" s="22">
        <v>0</v>
      </c>
      <c r="R2747" s="142">
        <v>7283</v>
      </c>
      <c r="S2747" s="23"/>
      <c r="T2747" s="26"/>
      <c r="U2747" s="24"/>
      <c r="V2747" s="24">
        <f t="shared" si="417"/>
        <v>10685.284313725509</v>
      </c>
      <c r="W2747" s="24"/>
      <c r="X2747" s="24">
        <v>10685.284313725509</v>
      </c>
      <c r="Y2747" s="13">
        <f t="shared" si="403"/>
        <v>0</v>
      </c>
      <c r="Z2747" s="22">
        <v>0</v>
      </c>
      <c r="AA2747" s="24">
        <v>0</v>
      </c>
      <c r="AB2747" s="4">
        <f t="shared" si="404"/>
        <v>10685.284313725509</v>
      </c>
      <c r="AC2747" s="26"/>
      <c r="AD2747" s="24">
        <f t="shared" si="418"/>
        <v>10685.284313725509</v>
      </c>
      <c r="AE2747" s="22">
        <v>0</v>
      </c>
      <c r="AF2747" s="25"/>
      <c r="AG2747" s="22">
        <v>0</v>
      </c>
      <c r="AH2747" s="25"/>
      <c r="AI2747" s="27" t="s">
        <v>3250</v>
      </c>
      <c r="AJ2747" s="126" t="e">
        <v>#N/A</v>
      </c>
      <c r="AK2747" s="80">
        <f t="shared" si="405"/>
        <v>0</v>
      </c>
      <c r="AM2747" s="85"/>
    </row>
    <row r="2748" spans="1:39" hidden="1" x14ac:dyDescent="0.3">
      <c r="A2748" s="85" t="s">
        <v>34</v>
      </c>
      <c r="B2748" s="88" t="s">
        <v>35</v>
      </c>
      <c r="C2748" s="88" t="s">
        <v>164</v>
      </c>
      <c r="D2748" s="88" t="s">
        <v>169</v>
      </c>
      <c r="E2748" s="88" t="s">
        <v>2695</v>
      </c>
      <c r="F2748" s="88" t="s">
        <v>3253</v>
      </c>
      <c r="G2748" s="88" t="s">
        <v>2695</v>
      </c>
      <c r="H2748" s="156"/>
      <c r="I2748" s="23" t="s">
        <v>3252</v>
      </c>
      <c r="J2748" s="1" t="s">
        <v>3323</v>
      </c>
      <c r="K2748" s="1" t="s">
        <v>701</v>
      </c>
      <c r="L2748" s="1" t="s">
        <v>35</v>
      </c>
      <c r="M2748" s="88" t="s">
        <v>2718</v>
      </c>
      <c r="N2748" s="88"/>
      <c r="O2748" s="28" t="s">
        <v>410</v>
      </c>
      <c r="P2748" s="21" t="s">
        <v>41</v>
      </c>
      <c r="Q2748" s="22">
        <v>0</v>
      </c>
      <c r="R2748" s="142">
        <v>7095</v>
      </c>
      <c r="S2748" s="23"/>
      <c r="T2748" s="26"/>
      <c r="U2748" s="24"/>
      <c r="V2748" s="24">
        <f t="shared" si="417"/>
        <v>100691.06796116508</v>
      </c>
      <c r="W2748" s="24"/>
      <c r="X2748" s="24">
        <v>100691.06796116508</v>
      </c>
      <c r="Y2748" s="13">
        <f t="shared" si="403"/>
        <v>0</v>
      </c>
      <c r="Z2748" s="22">
        <v>0</v>
      </c>
      <c r="AA2748" s="24">
        <v>0</v>
      </c>
      <c r="AB2748" s="4">
        <f t="shared" si="404"/>
        <v>100691.06796116508</v>
      </c>
      <c r="AC2748" s="26"/>
      <c r="AD2748" s="24">
        <f t="shared" si="418"/>
        <v>100691.06796116508</v>
      </c>
      <c r="AE2748" s="22">
        <v>0</v>
      </c>
      <c r="AF2748" s="25"/>
      <c r="AG2748" s="22">
        <v>0</v>
      </c>
      <c r="AH2748" s="25"/>
      <c r="AI2748" s="27" t="s">
        <v>3250</v>
      </c>
      <c r="AJ2748" s="126" t="e">
        <v>#N/A</v>
      </c>
      <c r="AK2748" s="80">
        <f t="shared" si="405"/>
        <v>0</v>
      </c>
      <c r="AM2748" s="85"/>
    </row>
    <row r="2749" spans="1:39" hidden="1" x14ac:dyDescent="0.3">
      <c r="A2749" s="85" t="s">
        <v>34</v>
      </c>
      <c r="B2749" s="88" t="s">
        <v>35</v>
      </c>
      <c r="C2749" s="88" t="s">
        <v>164</v>
      </c>
      <c r="D2749" s="88" t="s">
        <v>169</v>
      </c>
      <c r="E2749" s="88" t="s">
        <v>2695</v>
      </c>
      <c r="F2749" s="88" t="s">
        <v>3253</v>
      </c>
      <c r="G2749" s="88" t="s">
        <v>2695</v>
      </c>
      <c r="H2749" s="156"/>
      <c r="I2749" s="23" t="s">
        <v>3252</v>
      </c>
      <c r="J2749" s="1" t="s">
        <v>3323</v>
      </c>
      <c r="K2749" s="1" t="s">
        <v>701</v>
      </c>
      <c r="L2749" s="1" t="s">
        <v>35</v>
      </c>
      <c r="M2749" s="88" t="s">
        <v>2719</v>
      </c>
      <c r="N2749" s="88"/>
      <c r="O2749" s="28" t="s">
        <v>410</v>
      </c>
      <c r="P2749" s="21" t="s">
        <v>41</v>
      </c>
      <c r="Q2749" s="22">
        <v>0</v>
      </c>
      <c r="R2749" s="142">
        <v>7103</v>
      </c>
      <c r="S2749" s="23"/>
      <c r="T2749" s="26"/>
      <c r="U2749" s="24"/>
      <c r="V2749" s="24">
        <f t="shared" si="417"/>
        <v>232565.82524271848</v>
      </c>
      <c r="W2749" s="24"/>
      <c r="X2749" s="24">
        <v>232565.82524271848</v>
      </c>
      <c r="Y2749" s="13">
        <f t="shared" si="403"/>
        <v>0</v>
      </c>
      <c r="Z2749" s="22">
        <v>0</v>
      </c>
      <c r="AA2749" s="24">
        <v>0</v>
      </c>
      <c r="AB2749" s="4">
        <f t="shared" si="404"/>
        <v>232565.82524271848</v>
      </c>
      <c r="AC2749" s="26"/>
      <c r="AD2749" s="24">
        <f t="shared" si="418"/>
        <v>232565.82524271848</v>
      </c>
      <c r="AE2749" s="22">
        <v>0</v>
      </c>
      <c r="AF2749" s="25"/>
      <c r="AG2749" s="22">
        <v>0</v>
      </c>
      <c r="AH2749" s="25"/>
      <c r="AI2749" s="27" t="s">
        <v>3250</v>
      </c>
      <c r="AJ2749" s="126" t="e">
        <v>#N/A</v>
      </c>
      <c r="AK2749" s="80">
        <f t="shared" si="405"/>
        <v>0</v>
      </c>
      <c r="AM2749" s="85"/>
    </row>
    <row r="2750" spans="1:39" hidden="1" x14ac:dyDescent="0.3">
      <c r="A2750" s="85" t="s">
        <v>34</v>
      </c>
      <c r="B2750" s="88" t="s">
        <v>35</v>
      </c>
      <c r="C2750" s="88" t="s">
        <v>2930</v>
      </c>
      <c r="D2750" s="88" t="s">
        <v>66</v>
      </c>
      <c r="E2750" s="88" t="s">
        <v>2354</v>
      </c>
      <c r="F2750" s="88" t="s">
        <v>2354</v>
      </c>
      <c r="G2750" s="88" t="s">
        <v>2354</v>
      </c>
      <c r="H2750" s="156"/>
      <c r="I2750" s="23" t="s">
        <v>3252</v>
      </c>
      <c r="J2750" s="1" t="s">
        <v>3323</v>
      </c>
      <c r="K2750" s="1" t="s">
        <v>701</v>
      </c>
      <c r="L2750" s="1" t="s">
        <v>35</v>
      </c>
      <c r="M2750" s="88" t="s">
        <v>2354</v>
      </c>
      <c r="N2750" s="88"/>
      <c r="O2750" s="28" t="s">
        <v>941</v>
      </c>
      <c r="P2750" s="21" t="s">
        <v>41</v>
      </c>
      <c r="Q2750" s="22">
        <v>0</v>
      </c>
      <c r="R2750" s="142">
        <v>7109</v>
      </c>
      <c r="S2750" s="23"/>
      <c r="T2750" s="26"/>
      <c r="U2750" s="24"/>
      <c r="V2750" s="24">
        <f t="shared" si="417"/>
        <v>694</v>
      </c>
      <c r="W2750" s="24"/>
      <c r="X2750" s="24">
        <v>694</v>
      </c>
      <c r="Y2750" s="13">
        <f t="shared" si="403"/>
        <v>0</v>
      </c>
      <c r="Z2750" s="22">
        <v>0</v>
      </c>
      <c r="AA2750" s="24">
        <v>0</v>
      </c>
      <c r="AB2750" s="4">
        <f t="shared" si="404"/>
        <v>694</v>
      </c>
      <c r="AC2750" s="26"/>
      <c r="AD2750" s="24">
        <f t="shared" si="418"/>
        <v>694</v>
      </c>
      <c r="AE2750" s="22">
        <v>0</v>
      </c>
      <c r="AF2750" s="25"/>
      <c r="AG2750" s="22">
        <v>0</v>
      </c>
      <c r="AH2750" s="25"/>
      <c r="AI2750" s="27" t="s">
        <v>3250</v>
      </c>
      <c r="AJ2750" s="126" t="e">
        <v>#N/A</v>
      </c>
      <c r="AK2750" s="80">
        <f t="shared" si="405"/>
        <v>0</v>
      </c>
      <c r="AM2750" s="85"/>
    </row>
    <row r="2751" spans="1:39" hidden="1" x14ac:dyDescent="0.3">
      <c r="A2751" s="85" t="s">
        <v>34</v>
      </c>
      <c r="B2751" s="88" t="s">
        <v>35</v>
      </c>
      <c r="C2751" s="88" t="s">
        <v>2930</v>
      </c>
      <c r="D2751" s="88" t="s">
        <v>66</v>
      </c>
      <c r="E2751" s="88" t="s">
        <v>2678</v>
      </c>
      <c r="F2751" s="88" t="s">
        <v>2679</v>
      </c>
      <c r="G2751" s="88" t="s">
        <v>2678</v>
      </c>
      <c r="H2751" s="156"/>
      <c r="I2751" s="23" t="s">
        <v>3252</v>
      </c>
      <c r="J2751" s="1" t="s">
        <v>3323</v>
      </c>
      <c r="K2751" s="1" t="s">
        <v>701</v>
      </c>
      <c r="L2751" s="1" t="s">
        <v>35</v>
      </c>
      <c r="M2751" s="88" t="s">
        <v>2702</v>
      </c>
      <c r="N2751" s="88"/>
      <c r="O2751" s="28" t="s">
        <v>941</v>
      </c>
      <c r="P2751" s="21" t="s">
        <v>41</v>
      </c>
      <c r="Q2751" s="22">
        <v>0</v>
      </c>
      <c r="R2751" s="142">
        <v>7152</v>
      </c>
      <c r="S2751" s="23"/>
      <c r="T2751" s="26"/>
      <c r="U2751" s="24"/>
      <c r="V2751" s="24">
        <f t="shared" si="417"/>
        <v>11047</v>
      </c>
      <c r="W2751" s="24"/>
      <c r="X2751" s="24">
        <v>11047</v>
      </c>
      <c r="Y2751" s="13">
        <f t="shared" si="403"/>
        <v>0</v>
      </c>
      <c r="Z2751" s="22">
        <v>0</v>
      </c>
      <c r="AA2751" s="24">
        <v>0</v>
      </c>
      <c r="AB2751" s="4">
        <f t="shared" si="404"/>
        <v>11047</v>
      </c>
      <c r="AC2751" s="26"/>
      <c r="AD2751" s="24">
        <f t="shared" si="418"/>
        <v>11047</v>
      </c>
      <c r="AE2751" s="22">
        <v>0</v>
      </c>
      <c r="AF2751" s="25"/>
      <c r="AG2751" s="22">
        <v>0</v>
      </c>
      <c r="AH2751" s="25"/>
      <c r="AI2751" s="27" t="s">
        <v>3250</v>
      </c>
      <c r="AJ2751" s="126" t="e">
        <v>#N/A</v>
      </c>
      <c r="AK2751" s="80">
        <f t="shared" si="405"/>
        <v>0</v>
      </c>
      <c r="AM2751" s="85"/>
    </row>
    <row r="2752" spans="1:39" hidden="1" x14ac:dyDescent="0.3">
      <c r="A2752" s="85" t="s">
        <v>34</v>
      </c>
      <c r="B2752" s="88" t="s">
        <v>35</v>
      </c>
      <c r="C2752" s="88" t="s">
        <v>53</v>
      </c>
      <c r="D2752" s="88" t="s">
        <v>37</v>
      </c>
      <c r="E2752" s="88" t="s">
        <v>285</v>
      </c>
      <c r="F2752" s="88" t="s">
        <v>460</v>
      </c>
      <c r="G2752" s="88" t="s">
        <v>285</v>
      </c>
      <c r="H2752" s="156"/>
      <c r="I2752" s="23" t="s">
        <v>3252</v>
      </c>
      <c r="J2752" s="1" t="s">
        <v>3323</v>
      </c>
      <c r="K2752" s="1" t="s">
        <v>701</v>
      </c>
      <c r="L2752" s="1" t="s">
        <v>35</v>
      </c>
      <c r="M2752" s="88" t="s">
        <v>2699</v>
      </c>
      <c r="N2752" s="88"/>
      <c r="O2752" s="28" t="s">
        <v>941</v>
      </c>
      <c r="P2752" s="21" t="s">
        <v>41</v>
      </c>
      <c r="Q2752" s="22">
        <v>0</v>
      </c>
      <c r="R2752" s="142">
        <v>7174</v>
      </c>
      <c r="S2752" s="23"/>
      <c r="T2752" s="26"/>
      <c r="U2752" s="24"/>
      <c r="V2752" s="24">
        <f t="shared" si="417"/>
        <v>400</v>
      </c>
      <c r="W2752" s="24"/>
      <c r="X2752" s="24">
        <v>400</v>
      </c>
      <c r="Y2752" s="13">
        <f t="shared" si="403"/>
        <v>0</v>
      </c>
      <c r="Z2752" s="22">
        <v>0</v>
      </c>
      <c r="AA2752" s="24">
        <v>0</v>
      </c>
      <c r="AB2752" s="4">
        <f t="shared" si="404"/>
        <v>400</v>
      </c>
      <c r="AC2752" s="26"/>
      <c r="AD2752" s="24">
        <f t="shared" si="418"/>
        <v>400</v>
      </c>
      <c r="AE2752" s="22">
        <v>0</v>
      </c>
      <c r="AF2752" s="25"/>
      <c r="AG2752" s="22">
        <v>0</v>
      </c>
      <c r="AH2752" s="25"/>
      <c r="AI2752" s="27" t="s">
        <v>3250</v>
      </c>
      <c r="AJ2752" s="126" t="e">
        <v>#N/A</v>
      </c>
      <c r="AK2752" s="80">
        <f t="shared" si="405"/>
        <v>0</v>
      </c>
      <c r="AM2752" s="85"/>
    </row>
    <row r="2753" spans="1:39" s="23" customFormat="1" hidden="1" x14ac:dyDescent="0.3">
      <c r="A2753" s="85" t="s">
        <v>34</v>
      </c>
      <c r="B2753" s="23" t="s">
        <v>35</v>
      </c>
      <c r="C2753" s="23" t="s">
        <v>164</v>
      </c>
      <c r="D2753" s="23" t="s">
        <v>169</v>
      </c>
      <c r="E2753" s="23" t="s">
        <v>2518</v>
      </c>
      <c r="F2753" s="23" t="s">
        <v>3254</v>
      </c>
      <c r="G2753" s="23" t="s">
        <v>2518</v>
      </c>
      <c r="H2753" s="155"/>
      <c r="I2753" s="23" t="s">
        <v>3255</v>
      </c>
      <c r="J2753" s="1" t="s">
        <v>3323</v>
      </c>
      <c r="K2753" s="1" t="s">
        <v>3343</v>
      </c>
      <c r="L2753" s="1" t="s">
        <v>35</v>
      </c>
      <c r="M2753" s="23" t="s">
        <v>2519</v>
      </c>
      <c r="O2753" s="21" t="s">
        <v>45</v>
      </c>
      <c r="P2753" s="21" t="s">
        <v>41</v>
      </c>
      <c r="Q2753" s="22">
        <v>0</v>
      </c>
      <c r="R2753" s="141"/>
      <c r="S2753" s="21"/>
      <c r="T2753" s="24"/>
      <c r="U2753" s="24"/>
      <c r="V2753" s="24">
        <f>X2753</f>
        <v>1485393.7890624993</v>
      </c>
      <c r="W2753" s="24"/>
      <c r="X2753" s="24">
        <v>1485393.7890624993</v>
      </c>
      <c r="Y2753" s="13">
        <f t="shared" si="403"/>
        <v>0</v>
      </c>
      <c r="Z2753" s="22">
        <v>0</v>
      </c>
      <c r="AA2753" s="24"/>
      <c r="AB2753" s="4">
        <f t="shared" si="404"/>
        <v>1485393.7890624993</v>
      </c>
      <c r="AC2753" s="24"/>
      <c r="AD2753" s="24">
        <f>X2753</f>
        <v>1485393.7890624993</v>
      </c>
      <c r="AE2753" s="22">
        <v>0</v>
      </c>
      <c r="AF2753" s="21"/>
      <c r="AG2753" s="22">
        <v>0</v>
      </c>
      <c r="AH2753" s="24"/>
      <c r="AI2753" s="27" t="s">
        <v>3250</v>
      </c>
      <c r="AJ2753" s="126" t="e">
        <v>#N/A</v>
      </c>
      <c r="AK2753" s="80">
        <f t="shared" si="405"/>
        <v>0</v>
      </c>
      <c r="AL2753" s="85"/>
      <c r="AM2753" s="85"/>
    </row>
    <row r="2754" spans="1:39" s="23" customFormat="1" hidden="1" x14ac:dyDescent="0.3">
      <c r="A2754" s="85" t="s">
        <v>34</v>
      </c>
      <c r="B2754" s="23" t="s">
        <v>35</v>
      </c>
      <c r="C2754" s="23" t="s">
        <v>164</v>
      </c>
      <c r="D2754" s="23" t="s">
        <v>169</v>
      </c>
      <c r="E2754" s="23" t="s">
        <v>2518</v>
      </c>
      <c r="F2754" s="23" t="s">
        <v>3254</v>
      </c>
      <c r="G2754" s="23" t="s">
        <v>2518</v>
      </c>
      <c r="H2754" s="155"/>
      <c r="I2754" s="23" t="s">
        <v>3255</v>
      </c>
      <c r="J2754" s="1" t="s">
        <v>3323</v>
      </c>
      <c r="K2754" s="1" t="s">
        <v>3343</v>
      </c>
      <c r="L2754" s="1" t="s">
        <v>35</v>
      </c>
      <c r="M2754" s="23" t="s">
        <v>2519</v>
      </c>
      <c r="O2754" s="21" t="s">
        <v>40</v>
      </c>
      <c r="P2754" s="21" t="s">
        <v>41</v>
      </c>
      <c r="Q2754" s="22">
        <v>0</v>
      </c>
      <c r="R2754" s="141"/>
      <c r="S2754" s="21"/>
      <c r="T2754" s="24"/>
      <c r="U2754" s="24"/>
      <c r="V2754" s="24">
        <f t="shared" ref="V2754:V2756" si="419">X2754</f>
        <v>425191.50837202749</v>
      </c>
      <c r="W2754" s="24"/>
      <c r="X2754" s="24">
        <v>425191.50837202749</v>
      </c>
      <c r="Y2754" s="13">
        <f t="shared" si="403"/>
        <v>0</v>
      </c>
      <c r="Z2754" s="22">
        <v>0</v>
      </c>
      <c r="AA2754" s="24"/>
      <c r="AB2754" s="4">
        <f t="shared" si="404"/>
        <v>425191.50837202749</v>
      </c>
      <c r="AC2754" s="24"/>
      <c r="AD2754" s="24">
        <f t="shared" ref="AD2754:AD2756" si="420">X2754</f>
        <v>425191.50837202749</v>
      </c>
      <c r="AE2754" s="22">
        <v>0</v>
      </c>
      <c r="AF2754" s="21"/>
      <c r="AG2754" s="22">
        <v>0</v>
      </c>
      <c r="AH2754" s="24"/>
      <c r="AI2754" s="27" t="s">
        <v>3250</v>
      </c>
      <c r="AJ2754" s="126" t="e">
        <v>#N/A</v>
      </c>
      <c r="AK2754" s="80">
        <f t="shared" si="405"/>
        <v>0</v>
      </c>
      <c r="AL2754" s="85"/>
      <c r="AM2754" s="85"/>
    </row>
    <row r="2755" spans="1:39" s="23" customFormat="1" hidden="1" x14ac:dyDescent="0.3">
      <c r="A2755" s="85" t="s">
        <v>34</v>
      </c>
      <c r="B2755" s="23" t="s">
        <v>35</v>
      </c>
      <c r="C2755" s="23" t="s">
        <v>144</v>
      </c>
      <c r="D2755" s="23" t="s">
        <v>145</v>
      </c>
      <c r="E2755" s="23" t="s">
        <v>192</v>
      </c>
      <c r="F2755" s="23" t="s">
        <v>3256</v>
      </c>
      <c r="G2755" s="23" t="s">
        <v>192</v>
      </c>
      <c r="H2755" s="155"/>
      <c r="I2755" s="23" t="s">
        <v>3257</v>
      </c>
      <c r="J2755" s="1" t="s">
        <v>3323</v>
      </c>
      <c r="K2755" s="1" t="s">
        <v>3343</v>
      </c>
      <c r="L2755" s="1" t="s">
        <v>35</v>
      </c>
      <c r="M2755" s="23" t="s">
        <v>3258</v>
      </c>
      <c r="O2755" s="21" t="s">
        <v>40</v>
      </c>
      <c r="P2755" s="21" t="s">
        <v>41</v>
      </c>
      <c r="Q2755" s="22">
        <v>0</v>
      </c>
      <c r="R2755" s="141"/>
      <c r="S2755" s="21"/>
      <c r="T2755" s="24"/>
      <c r="U2755" s="24"/>
      <c r="V2755" s="24">
        <f t="shared" si="419"/>
        <v>40386.443749999999</v>
      </c>
      <c r="W2755" s="24"/>
      <c r="X2755" s="24">
        <v>40386.443749999999</v>
      </c>
      <c r="Y2755" s="13">
        <f t="shared" ref="Y2755:Y2818" si="421">IF(X2755-AD2755&lt;=0,0,IF(P2755="返现",MAX(X2755-AC2755-AD2755,0),MAX(X2755-AD2755)))</f>
        <v>0</v>
      </c>
      <c r="Z2755" s="22">
        <v>0</v>
      </c>
      <c r="AA2755" s="24"/>
      <c r="AB2755" s="4">
        <f t="shared" ref="AB2755:AB2818" si="422">X2755+AA2755</f>
        <v>40386.443749999999</v>
      </c>
      <c r="AC2755" s="24"/>
      <c r="AD2755" s="24">
        <f t="shared" si="420"/>
        <v>40386.443749999999</v>
      </c>
      <c r="AE2755" s="22">
        <v>0</v>
      </c>
      <c r="AF2755" s="21"/>
      <c r="AG2755" s="22">
        <v>0</v>
      </c>
      <c r="AH2755" s="24"/>
      <c r="AI2755" s="27" t="s">
        <v>3250</v>
      </c>
      <c r="AJ2755" s="126" t="e">
        <v>#N/A</v>
      </c>
      <c r="AK2755" s="80">
        <f t="shared" ref="AK2755:AK2818" si="423">X2755+AA2755-AB2755</f>
        <v>0</v>
      </c>
      <c r="AL2755" s="85"/>
      <c r="AM2755" s="85"/>
    </row>
    <row r="2756" spans="1:39" s="23" customFormat="1" hidden="1" x14ac:dyDescent="0.35">
      <c r="A2756" s="85" t="s">
        <v>34</v>
      </c>
      <c r="B2756" s="23" t="s">
        <v>35</v>
      </c>
      <c r="C2756" s="23" t="s">
        <v>2930</v>
      </c>
      <c r="D2756" s="23" t="s">
        <v>3259</v>
      </c>
      <c r="E2756" s="23" t="s">
        <v>3260</v>
      </c>
      <c r="F2756" s="23" t="s">
        <v>3260</v>
      </c>
      <c r="G2756" s="23" t="s">
        <v>3261</v>
      </c>
      <c r="H2756" s="155"/>
      <c r="I2756" s="23" t="s">
        <v>3255</v>
      </c>
      <c r="J2756" s="1" t="s">
        <v>3323</v>
      </c>
      <c r="K2756" s="1" t="s">
        <v>3343</v>
      </c>
      <c r="L2756" s="1" t="s">
        <v>35</v>
      </c>
      <c r="M2756" s="23" t="s">
        <v>3261</v>
      </c>
      <c r="O2756" s="21" t="s">
        <v>88</v>
      </c>
      <c r="P2756" s="21" t="s">
        <v>41</v>
      </c>
      <c r="Q2756" s="22">
        <v>0</v>
      </c>
      <c r="R2756" s="141"/>
      <c r="S2756" s="21"/>
      <c r="T2756" s="24"/>
      <c r="U2756" s="132"/>
      <c r="V2756" s="24">
        <f t="shared" si="419"/>
        <v>1.23</v>
      </c>
      <c r="W2756" s="24"/>
      <c r="X2756" s="24">
        <v>1.23</v>
      </c>
      <c r="Y2756" s="13">
        <f t="shared" si="421"/>
        <v>0</v>
      </c>
      <c r="Z2756" s="22">
        <v>0</v>
      </c>
      <c r="AA2756" s="132"/>
      <c r="AB2756" s="4">
        <f t="shared" si="422"/>
        <v>1.23</v>
      </c>
      <c r="AC2756" s="132"/>
      <c r="AD2756" s="24">
        <f t="shared" si="420"/>
        <v>1.23</v>
      </c>
      <c r="AE2756" s="22">
        <v>0</v>
      </c>
      <c r="AF2756" s="127"/>
      <c r="AG2756" s="22">
        <v>0</v>
      </c>
      <c r="AH2756" s="24"/>
      <c r="AI2756" s="27" t="s">
        <v>3250</v>
      </c>
      <c r="AJ2756" s="126" t="e">
        <v>#N/A</v>
      </c>
      <c r="AK2756" s="80">
        <f t="shared" si="423"/>
        <v>0</v>
      </c>
      <c r="AL2756" s="85"/>
      <c r="AM2756" s="85"/>
    </row>
    <row r="2757" spans="1:39" hidden="1" x14ac:dyDescent="0.3">
      <c r="A2757" s="85" t="s">
        <v>34</v>
      </c>
      <c r="B2757" s="3" t="s">
        <v>35</v>
      </c>
      <c r="C2757" s="3" t="s">
        <v>47</v>
      </c>
      <c r="D2757" s="3" t="s">
        <v>63</v>
      </c>
      <c r="E2757" s="3" t="s">
        <v>528</v>
      </c>
      <c r="F2757" s="3" t="s">
        <v>528</v>
      </c>
      <c r="G2757" s="3" t="s">
        <v>528</v>
      </c>
      <c r="I2757" s="3" t="s">
        <v>2374</v>
      </c>
      <c r="J2757" s="1" t="s">
        <v>3322</v>
      </c>
      <c r="K2757" s="1" t="s">
        <v>3269</v>
      </c>
      <c r="L2757" s="1" t="s">
        <v>35</v>
      </c>
      <c r="M2757" s="3" t="s">
        <v>2391</v>
      </c>
      <c r="O2757" s="1" t="s">
        <v>40</v>
      </c>
      <c r="P2757" s="8" t="s">
        <v>46</v>
      </c>
      <c r="Q2757" s="2">
        <v>4.4999999999999998E-2</v>
      </c>
      <c r="R2757" s="138"/>
      <c r="T2757" s="4">
        <v>1835885.8</v>
      </c>
      <c r="U2757" s="4">
        <v>0</v>
      </c>
      <c r="V2757" s="4">
        <v>1835885.8</v>
      </c>
      <c r="W2757" s="13">
        <f t="shared" ref="W2757:W2762" si="424">T2757+U2757-V2757</f>
        <v>0</v>
      </c>
      <c r="X2757" s="13">
        <f>IF(P2757="折扣",V2757*Q2757,IF(P2757="返现",V2757,V2757/(1+Q2757+AG2757)))</f>
        <v>1209410.9354413704</v>
      </c>
      <c r="Y2757" s="13">
        <f t="shared" si="421"/>
        <v>1209410.9354413704</v>
      </c>
      <c r="Z2757" s="2">
        <v>0</v>
      </c>
      <c r="AA2757" s="4">
        <v>0</v>
      </c>
      <c r="AB2757" s="4">
        <f t="shared" si="422"/>
        <v>1209410.9354413704</v>
      </c>
      <c r="AC2757" s="6">
        <f t="shared" ref="AC2757:AC2759" si="425">IF(P2757="返现",X2757*Q2757,V2757-X2757)</f>
        <v>626474.86455862969</v>
      </c>
      <c r="AD2757" s="4">
        <v>0</v>
      </c>
      <c r="AE2757" s="2">
        <v>7.0000000000000007E-2</v>
      </c>
      <c r="AF2757" s="5">
        <f t="shared" ref="AF2757:AF2759" si="426">AD2757*AE2757</f>
        <v>0</v>
      </c>
      <c r="AG2757" s="9">
        <v>0.47299999999999998</v>
      </c>
      <c r="AH2757" s="4">
        <f t="shared" ref="AH2757" si="427">V2757/(1+AG2757)</f>
        <v>1246358.3163611679</v>
      </c>
      <c r="AJ2757" s="126" t="e">
        <v>#N/A</v>
      </c>
      <c r="AK2757" s="80">
        <f t="shared" si="423"/>
        <v>0</v>
      </c>
      <c r="AM2757" s="85"/>
    </row>
    <row r="2758" spans="1:39" hidden="1" x14ac:dyDescent="0.3">
      <c r="A2758" s="85" t="s">
        <v>34</v>
      </c>
      <c r="B2758" s="15" t="s">
        <v>35</v>
      </c>
      <c r="C2758" s="15" t="s">
        <v>47</v>
      </c>
      <c r="D2758" s="15" t="s">
        <v>48</v>
      </c>
      <c r="E2758" s="15" t="s">
        <v>3359</v>
      </c>
      <c r="F2758" s="15" t="s">
        <v>541</v>
      </c>
      <c r="G2758" s="15" t="s">
        <v>540</v>
      </c>
      <c r="H2758" s="154"/>
      <c r="I2758" s="15" t="s">
        <v>1060</v>
      </c>
      <c r="J2758" s="1" t="s">
        <v>3325</v>
      </c>
      <c r="K2758" s="1" t="s">
        <v>3279</v>
      </c>
      <c r="L2758" s="1" t="s">
        <v>35</v>
      </c>
      <c r="M2758" s="15" t="s">
        <v>540</v>
      </c>
      <c r="N2758" s="15"/>
      <c r="O2758" s="8" t="s">
        <v>410</v>
      </c>
      <c r="P2758" s="8" t="s">
        <v>41</v>
      </c>
      <c r="Q2758" s="14">
        <v>0</v>
      </c>
      <c r="R2758" s="139" t="s">
        <v>1370</v>
      </c>
      <c r="S2758" s="15"/>
      <c r="T2758" s="6">
        <v>0</v>
      </c>
      <c r="U2758" s="6">
        <v>0</v>
      </c>
      <c r="V2758" s="6">
        <v>4250.7</v>
      </c>
      <c r="W2758" s="18">
        <f t="shared" si="424"/>
        <v>-4250.7</v>
      </c>
      <c r="X2758" s="18">
        <f t="shared" ref="X2758:X2762" si="428">IF(P2758="折扣",V2758*Q2758,IF(P2758="返现",V2758,V2758/(1+Q2758)))</f>
        <v>4250.7</v>
      </c>
      <c r="Y2758" s="13">
        <f t="shared" si="421"/>
        <v>1704.7208992179535</v>
      </c>
      <c r="Z2758" s="14">
        <v>0</v>
      </c>
      <c r="AA2758" s="4">
        <v>0</v>
      </c>
      <c r="AB2758" s="4">
        <f t="shared" si="422"/>
        <v>4250.7</v>
      </c>
      <c r="AC2758" s="6">
        <f t="shared" si="425"/>
        <v>0</v>
      </c>
      <c r="AD2758" s="6">
        <f t="shared" ref="AD2758" si="429">V2758*0.598955254612663</f>
        <v>2545.9791007820463</v>
      </c>
      <c r="AE2758" s="2">
        <v>0.15</v>
      </c>
      <c r="AF2758" s="5">
        <f t="shared" si="426"/>
        <v>381.89686511730696</v>
      </c>
      <c r="AG2758" s="14">
        <v>0</v>
      </c>
      <c r="AH2758" s="19">
        <f t="shared" ref="AH2758:AH2759" si="430">V2758</f>
        <v>4250.7</v>
      </c>
      <c r="AJ2758" s="126" t="e">
        <v>#N/A</v>
      </c>
      <c r="AK2758" s="80">
        <f t="shared" si="423"/>
        <v>0</v>
      </c>
      <c r="AM2758" s="85"/>
    </row>
    <row r="2759" spans="1:39" hidden="1" x14ac:dyDescent="0.3">
      <c r="A2759" s="85" t="s">
        <v>34</v>
      </c>
      <c r="B2759" s="3" t="s">
        <v>35</v>
      </c>
      <c r="C2759" s="3" t="s">
        <v>164</v>
      </c>
      <c r="D2759" s="3" t="s">
        <v>174</v>
      </c>
      <c r="E2759" s="3" t="s">
        <v>180</v>
      </c>
      <c r="F2759" s="3" t="s">
        <v>180</v>
      </c>
      <c r="G2759" s="3" t="s">
        <v>180</v>
      </c>
      <c r="I2759" s="3" t="s">
        <v>3356</v>
      </c>
      <c r="J2759" s="1" t="s">
        <v>3326</v>
      </c>
      <c r="K2759" s="1" t="s">
        <v>3712</v>
      </c>
      <c r="L2759" s="1" t="s">
        <v>35</v>
      </c>
      <c r="N2759" s="3" t="s">
        <v>3712</v>
      </c>
      <c r="O2759" s="1" t="s">
        <v>45</v>
      </c>
      <c r="P2759" s="1" t="s">
        <v>3355</v>
      </c>
      <c r="Q2759" s="2">
        <v>0.01</v>
      </c>
      <c r="R2759" s="138"/>
      <c r="T2759" s="4">
        <v>0</v>
      </c>
      <c r="U2759" s="4">
        <v>0</v>
      </c>
      <c r="V2759" s="4">
        <v>298239.03999999992</v>
      </c>
      <c r="W2759" s="13">
        <f t="shared" si="424"/>
        <v>-298239.03999999992</v>
      </c>
      <c r="X2759" s="13">
        <f t="shared" si="428"/>
        <v>295286.1782178217</v>
      </c>
      <c r="Y2759" s="13">
        <f t="shared" si="421"/>
        <v>0</v>
      </c>
      <c r="Z2759" s="2">
        <v>0</v>
      </c>
      <c r="AA2759" s="4">
        <v>0</v>
      </c>
      <c r="AB2759" s="4">
        <f t="shared" si="422"/>
        <v>295286.1782178217</v>
      </c>
      <c r="AC2759" s="6">
        <f t="shared" si="425"/>
        <v>2952.8617821782245</v>
      </c>
      <c r="AD2759" s="13">
        <f t="shared" ref="AD2759" si="431">V2759</f>
        <v>298239.03999999992</v>
      </c>
      <c r="AE2759" s="2">
        <v>0.05</v>
      </c>
      <c r="AF2759" s="5">
        <f t="shared" si="426"/>
        <v>14911.951999999997</v>
      </c>
      <c r="AG2759" s="2">
        <v>0</v>
      </c>
      <c r="AH2759" s="5">
        <f t="shared" si="430"/>
        <v>298239.03999999992</v>
      </c>
      <c r="AJ2759" s="126" t="e">
        <v>#N/A</v>
      </c>
      <c r="AK2759" s="80">
        <f t="shared" si="423"/>
        <v>0</v>
      </c>
      <c r="AM2759" s="85"/>
    </row>
    <row r="2760" spans="1:39" hidden="1" x14ac:dyDescent="0.3">
      <c r="A2760" s="85" t="s">
        <v>34</v>
      </c>
      <c r="B2760" s="15" t="s">
        <v>35</v>
      </c>
      <c r="C2760" s="15" t="s">
        <v>164</v>
      </c>
      <c r="D2760" s="15" t="s">
        <v>174</v>
      </c>
      <c r="E2760" s="15" t="s">
        <v>1996</v>
      </c>
      <c r="F2760" s="15" t="s">
        <v>1996</v>
      </c>
      <c r="G2760" s="15" t="s">
        <v>1996</v>
      </c>
      <c r="H2760" s="154"/>
      <c r="I2760" s="15" t="s">
        <v>1060</v>
      </c>
      <c r="J2760" s="1" t="s">
        <v>3325</v>
      </c>
      <c r="K2760" s="1" t="s">
        <v>3279</v>
      </c>
      <c r="L2760" s="1" t="s">
        <v>35</v>
      </c>
      <c r="M2760" s="15" t="s">
        <v>1997</v>
      </c>
      <c r="N2760" s="15"/>
      <c r="O2760" s="8" t="s">
        <v>410</v>
      </c>
      <c r="P2760" s="8" t="s">
        <v>46</v>
      </c>
      <c r="Q2760" s="9">
        <v>0.02</v>
      </c>
      <c r="R2760" s="139">
        <v>13145946544</v>
      </c>
      <c r="T2760" s="6">
        <v>12947</v>
      </c>
      <c r="V2760" s="6">
        <v>12947</v>
      </c>
      <c r="W2760" s="18">
        <f t="shared" si="424"/>
        <v>0</v>
      </c>
      <c r="X2760" s="18">
        <f t="shared" si="428"/>
        <v>12693.13725490196</v>
      </c>
      <c r="Y2760" s="13">
        <f t="shared" si="421"/>
        <v>4938.4635734318126</v>
      </c>
      <c r="Z2760" s="14">
        <v>0</v>
      </c>
      <c r="AB2760" s="4">
        <f t="shared" si="422"/>
        <v>12693.13725490196</v>
      </c>
      <c r="AD2760" s="6">
        <f t="shared" ref="AD2760:AD2761" si="432">V2760*0.598955254612663</f>
        <v>7754.6736814701471</v>
      </c>
      <c r="AJ2760" s="126" t="e">
        <v>#N/A</v>
      </c>
      <c r="AK2760" s="80">
        <f t="shared" si="423"/>
        <v>0</v>
      </c>
      <c r="AM2760" s="85"/>
    </row>
    <row r="2761" spans="1:39" hidden="1" x14ac:dyDescent="0.3">
      <c r="A2761" s="85" t="s">
        <v>34</v>
      </c>
      <c r="B2761" s="15" t="s">
        <v>35</v>
      </c>
      <c r="C2761" s="15" t="s">
        <v>164</v>
      </c>
      <c r="D2761" s="15" t="s">
        <v>174</v>
      </c>
      <c r="E2761" s="15" t="s">
        <v>1996</v>
      </c>
      <c r="F2761" s="15" t="s">
        <v>1996</v>
      </c>
      <c r="G2761" s="15" t="s">
        <v>1996</v>
      </c>
      <c r="H2761" s="154"/>
      <c r="I2761" s="15" t="s">
        <v>1060</v>
      </c>
      <c r="J2761" s="1" t="s">
        <v>3325</v>
      </c>
      <c r="K2761" s="1" t="s">
        <v>3279</v>
      </c>
      <c r="L2761" s="1" t="s">
        <v>35</v>
      </c>
      <c r="M2761" s="15" t="s">
        <v>1997</v>
      </c>
      <c r="N2761" s="15"/>
      <c r="O2761" s="8" t="s">
        <v>410</v>
      </c>
      <c r="P2761" s="8" t="s">
        <v>46</v>
      </c>
      <c r="Q2761" s="9">
        <v>0.02</v>
      </c>
      <c r="R2761" s="139" t="s">
        <v>1645</v>
      </c>
      <c r="T2761" s="6">
        <v>47456.800000000003</v>
      </c>
      <c r="V2761" s="6">
        <v>47456.800000000003</v>
      </c>
      <c r="W2761" s="18">
        <f t="shared" si="424"/>
        <v>0</v>
      </c>
      <c r="X2761" s="18">
        <f t="shared" si="428"/>
        <v>46526.274509803923</v>
      </c>
      <c r="Y2761" s="13">
        <f t="shared" si="421"/>
        <v>18101.774782701697</v>
      </c>
      <c r="Z2761" s="14">
        <v>0</v>
      </c>
      <c r="AB2761" s="4">
        <f t="shared" si="422"/>
        <v>46526.274509803923</v>
      </c>
      <c r="AD2761" s="6">
        <f t="shared" si="432"/>
        <v>28424.499727102226</v>
      </c>
      <c r="AJ2761" s="126" t="e">
        <v>#N/A</v>
      </c>
      <c r="AK2761" s="80">
        <f t="shared" si="423"/>
        <v>0</v>
      </c>
      <c r="AM2761" s="85"/>
    </row>
    <row r="2762" spans="1:39" hidden="1" x14ac:dyDescent="0.3">
      <c r="A2762" s="85" t="s">
        <v>34</v>
      </c>
      <c r="B2762" s="15" t="s">
        <v>35</v>
      </c>
      <c r="C2762" s="15" t="s">
        <v>164</v>
      </c>
      <c r="D2762" s="15" t="s">
        <v>165</v>
      </c>
      <c r="E2762" s="15" t="s">
        <v>619</v>
      </c>
      <c r="F2762" s="15" t="s">
        <v>620</v>
      </c>
      <c r="G2762" s="15" t="s">
        <v>619</v>
      </c>
      <c r="H2762" s="154"/>
      <c r="I2762" s="15" t="s">
        <v>408</v>
      </c>
      <c r="J2762" s="1" t="s">
        <v>3324</v>
      </c>
      <c r="K2762" s="1" t="s">
        <v>3278</v>
      </c>
      <c r="L2762" s="1" t="s">
        <v>35</v>
      </c>
      <c r="M2762" s="15" t="s">
        <v>622</v>
      </c>
      <c r="N2762" s="15"/>
      <c r="O2762" s="8" t="s">
        <v>45</v>
      </c>
      <c r="P2762" s="8" t="s">
        <v>41</v>
      </c>
      <c r="Q2762" s="14">
        <v>0</v>
      </c>
      <c r="R2762" s="139">
        <v>1000067334</v>
      </c>
      <c r="S2762" s="15"/>
      <c r="T2762" s="6">
        <v>0</v>
      </c>
      <c r="U2762" s="6">
        <v>0</v>
      </c>
      <c r="V2762" s="6">
        <v>21800.559999999597</v>
      </c>
      <c r="W2762" s="18">
        <f t="shared" si="424"/>
        <v>-21800.559999999597</v>
      </c>
      <c r="X2762" s="18">
        <f t="shared" si="428"/>
        <v>21800.559999999597</v>
      </c>
      <c r="Y2762" s="13">
        <f t="shared" si="421"/>
        <v>9873.2564658961746</v>
      </c>
      <c r="Z2762" s="14">
        <v>0</v>
      </c>
      <c r="AA2762" s="4">
        <v>0</v>
      </c>
      <c r="AB2762" s="4">
        <f t="shared" si="422"/>
        <v>21800.559999999597</v>
      </c>
      <c r="AC2762" s="6">
        <f t="shared" ref="AC2762" si="433">IF(P2762="返现",X2762*Q2762,V2762-X2762)</f>
        <v>0</v>
      </c>
      <c r="AD2762" s="18">
        <f t="shared" ref="AD2762" si="434">V2762*0.547109961125019</f>
        <v>11927.303534103423</v>
      </c>
      <c r="AE2762" s="2">
        <v>0.12</v>
      </c>
      <c r="AF2762" s="5">
        <f t="shared" ref="AF2762" si="435">AD2762*AE2762</f>
        <v>1431.2764240924107</v>
      </c>
      <c r="AG2762" s="14">
        <v>0</v>
      </c>
      <c r="AH2762" s="10">
        <f t="shared" ref="AH2762" si="436">V2762</f>
        <v>21800.559999999597</v>
      </c>
      <c r="AI2762" s="16"/>
      <c r="AJ2762" s="126" t="e">
        <v>#N/A</v>
      </c>
      <c r="AK2762" s="80">
        <f t="shared" si="423"/>
        <v>0</v>
      </c>
      <c r="AM2762" s="85"/>
    </row>
    <row r="2763" spans="1:39" hidden="1" x14ac:dyDescent="0.3">
      <c r="A2763" s="89" t="s">
        <v>3391</v>
      </c>
      <c r="B2763" s="86" t="s">
        <v>35</v>
      </c>
      <c r="C2763" s="86" t="s">
        <v>47</v>
      </c>
      <c r="D2763" s="86" t="s">
        <v>63</v>
      </c>
      <c r="E2763" s="86" t="s">
        <v>2393</v>
      </c>
      <c r="F2763" s="86" t="s">
        <v>3130</v>
      </c>
      <c r="G2763" s="86" t="s">
        <v>2393</v>
      </c>
      <c r="H2763" s="144">
        <v>346</v>
      </c>
      <c r="I2763" s="86" t="s">
        <v>3126</v>
      </c>
      <c r="J2763" s="1" t="s">
        <v>3323</v>
      </c>
      <c r="K2763" s="1" t="s">
        <v>3272</v>
      </c>
      <c r="L2763" s="1" t="s">
        <v>35</v>
      </c>
      <c r="M2763" s="86" t="s">
        <v>3131</v>
      </c>
      <c r="N2763" s="86"/>
      <c r="O2763" s="47" t="s">
        <v>45</v>
      </c>
      <c r="P2763" s="47" t="s">
        <v>46</v>
      </c>
      <c r="Q2763" s="14">
        <v>0.05</v>
      </c>
      <c r="R2763" s="143">
        <v>19166085</v>
      </c>
      <c r="S2763" s="47"/>
      <c r="T2763" s="6">
        <v>41991.1</v>
      </c>
      <c r="U2763" s="6">
        <v>0</v>
      </c>
      <c r="V2763" s="6">
        <v>143.12</v>
      </c>
      <c r="W2763" s="6">
        <f>T2763+U2763-V2763</f>
        <v>41847.979999999996</v>
      </c>
      <c r="X2763" s="6">
        <f>IF(P2763="折扣",V2763*Q2763,IF(P2763="返现",V2763,V2763/(1+Q2763)))</f>
        <v>136.3047619047619</v>
      </c>
      <c r="Y2763" s="13">
        <f t="shared" si="421"/>
        <v>0.34076190476190504</v>
      </c>
      <c r="Z2763" s="14">
        <v>0</v>
      </c>
      <c r="AA2763" s="6">
        <v>0</v>
      </c>
      <c r="AB2763" s="4">
        <f t="shared" si="422"/>
        <v>136.3047619047619</v>
      </c>
      <c r="AC2763" s="4">
        <f>IF(P2763="返现",X2763*Q2763,V2763-X2763)</f>
        <v>6.8152380952381009</v>
      </c>
      <c r="AD2763" s="6">
        <f>V2763*0.95</f>
        <v>135.964</v>
      </c>
      <c r="AE2763" s="2">
        <v>0</v>
      </c>
      <c r="AF2763" s="6">
        <f>AD2763*AE2763</f>
        <v>0</v>
      </c>
      <c r="AG2763" s="14">
        <v>0</v>
      </c>
      <c r="AH2763" s="64">
        <f>AD2763</f>
        <v>135.964</v>
      </c>
      <c r="AI2763" s="47"/>
      <c r="AJ2763" s="126" t="e">
        <v>#N/A</v>
      </c>
      <c r="AK2763" s="80">
        <f t="shared" si="423"/>
        <v>0</v>
      </c>
      <c r="AM2763" s="85"/>
    </row>
    <row r="2764" spans="1:39" hidden="1" x14ac:dyDescent="0.3">
      <c r="A2764" s="89" t="s">
        <v>3391</v>
      </c>
      <c r="B2764" s="86" t="s">
        <v>35</v>
      </c>
      <c r="C2764" s="86" t="s">
        <v>164</v>
      </c>
      <c r="D2764" s="86" t="s">
        <v>181</v>
      </c>
      <c r="E2764" s="86" t="s">
        <v>182</v>
      </c>
      <c r="F2764" s="86" t="s">
        <v>183</v>
      </c>
      <c r="G2764" s="86" t="s">
        <v>182</v>
      </c>
      <c r="H2764" s="144">
        <v>327</v>
      </c>
      <c r="I2764" s="86" t="s">
        <v>3121</v>
      </c>
      <c r="J2764" s="1" t="s">
        <v>3323</v>
      </c>
      <c r="K2764" s="1" t="s">
        <v>3274</v>
      </c>
      <c r="L2764" s="1" t="s">
        <v>35</v>
      </c>
      <c r="M2764" s="86" t="s">
        <v>3123</v>
      </c>
      <c r="N2764" s="86"/>
      <c r="O2764" s="47" t="s">
        <v>45</v>
      </c>
      <c r="P2764" s="47" t="s">
        <v>46</v>
      </c>
      <c r="Q2764" s="14">
        <v>0.03</v>
      </c>
      <c r="R2764" s="143">
        <v>7244002</v>
      </c>
      <c r="S2764" s="47"/>
      <c r="T2764" s="6">
        <v>73503.599000000002</v>
      </c>
      <c r="U2764" s="6">
        <v>0</v>
      </c>
      <c r="V2764" s="6">
        <v>43142.830999999991</v>
      </c>
      <c r="W2764" s="6">
        <f t="shared" ref="W2764:W2788" si="437">T2764+U2764-V2764</f>
        <v>30360.768000000011</v>
      </c>
      <c r="X2764" s="6">
        <f t="shared" ref="X2764:X2788" si="438">IF(P2764="折扣",V2764*Q2764,IF(P2764="返现",V2764,V2764/(1+Q2764)))</f>
        <v>41886.243689320378</v>
      </c>
      <c r="Y2764" s="13">
        <f t="shared" si="421"/>
        <v>900.55423932038684</v>
      </c>
      <c r="Z2764" s="14">
        <v>0</v>
      </c>
      <c r="AA2764" s="6">
        <v>0</v>
      </c>
      <c r="AB2764" s="4">
        <f t="shared" si="422"/>
        <v>41886.243689320378</v>
      </c>
      <c r="AC2764" s="4">
        <f t="shared" ref="AC2764:AC2827" si="439">IF(P2764="返现",X2764*Q2764,V2764-X2764)</f>
        <v>1256.5873106796134</v>
      </c>
      <c r="AD2764" s="6">
        <f>V2764*0.95</f>
        <v>40985.689449999991</v>
      </c>
      <c r="AE2764" s="2">
        <v>0</v>
      </c>
      <c r="AF2764" s="6">
        <f t="shared" ref="AF2764:AF2827" si="440">AD2764*AE2764</f>
        <v>0</v>
      </c>
      <c r="AG2764" s="14">
        <v>0</v>
      </c>
      <c r="AH2764" s="64">
        <f>AD2764</f>
        <v>40985.689449999991</v>
      </c>
      <c r="AI2764" s="47"/>
      <c r="AJ2764" s="126" t="e">
        <v>#N/A</v>
      </c>
      <c r="AK2764" s="80">
        <f t="shared" si="423"/>
        <v>0</v>
      </c>
      <c r="AM2764" s="85"/>
    </row>
    <row r="2765" spans="1:39" hidden="1" x14ac:dyDescent="0.3">
      <c r="A2765" s="89" t="s">
        <v>3392</v>
      </c>
      <c r="B2765" s="86" t="s">
        <v>35</v>
      </c>
      <c r="C2765" s="86" t="s">
        <v>36</v>
      </c>
      <c r="D2765" s="86" t="s">
        <v>37</v>
      </c>
      <c r="E2765" s="86" t="s">
        <v>38</v>
      </c>
      <c r="F2765" s="86" t="s">
        <v>38</v>
      </c>
      <c r="G2765" s="86" t="s">
        <v>38</v>
      </c>
      <c r="H2765" s="143">
        <v>216</v>
      </c>
      <c r="I2765" s="86" t="s">
        <v>3393</v>
      </c>
      <c r="J2765" s="1" t="s">
        <v>3671</v>
      </c>
      <c r="L2765" s="1" t="s">
        <v>3388</v>
      </c>
      <c r="M2765" s="86" t="s">
        <v>38</v>
      </c>
      <c r="N2765" s="86"/>
      <c r="O2765" s="47" t="s">
        <v>40</v>
      </c>
      <c r="P2765" s="47" t="s">
        <v>41</v>
      </c>
      <c r="Q2765" s="14">
        <v>0</v>
      </c>
      <c r="R2765" s="143">
        <v>1000000850</v>
      </c>
      <c r="S2765" s="47"/>
      <c r="T2765" s="6">
        <v>-5559.39</v>
      </c>
      <c r="U2765" s="6">
        <v>0</v>
      </c>
      <c r="V2765" s="6">
        <v>0</v>
      </c>
      <c r="W2765" s="6">
        <f t="shared" si="437"/>
        <v>-5559.39</v>
      </c>
      <c r="X2765" s="6">
        <f t="shared" si="438"/>
        <v>0</v>
      </c>
      <c r="Y2765" s="13">
        <f t="shared" si="421"/>
        <v>0</v>
      </c>
      <c r="Z2765" s="14">
        <v>0.02</v>
      </c>
      <c r="AA2765" s="6">
        <f>X2765*Z2765</f>
        <v>0</v>
      </c>
      <c r="AB2765" s="4">
        <f t="shared" si="422"/>
        <v>0</v>
      </c>
      <c r="AC2765" s="4">
        <f t="shared" si="439"/>
        <v>0</v>
      </c>
      <c r="AD2765" s="6">
        <v>0</v>
      </c>
      <c r="AE2765" s="2">
        <v>0</v>
      </c>
      <c r="AF2765" s="6">
        <f t="shared" si="440"/>
        <v>0</v>
      </c>
      <c r="AG2765" s="14">
        <v>0</v>
      </c>
      <c r="AH2765" s="6">
        <v>0</v>
      </c>
      <c r="AI2765" s="47"/>
      <c r="AJ2765" s="126" t="e">
        <v>#N/A</v>
      </c>
      <c r="AK2765" s="80">
        <f t="shared" si="423"/>
        <v>0</v>
      </c>
      <c r="AM2765" s="85"/>
    </row>
    <row r="2766" spans="1:39" hidden="1" x14ac:dyDescent="0.3">
      <c r="A2766" s="89" t="s">
        <v>3394</v>
      </c>
      <c r="B2766" s="86" t="s">
        <v>35</v>
      </c>
      <c r="C2766" s="86" t="s">
        <v>36</v>
      </c>
      <c r="D2766" s="86" t="s">
        <v>37</v>
      </c>
      <c r="E2766" s="86" t="s">
        <v>42</v>
      </c>
      <c r="F2766" s="86" t="s">
        <v>43</v>
      </c>
      <c r="G2766" s="86" t="s">
        <v>42</v>
      </c>
      <c r="H2766" s="143">
        <v>342</v>
      </c>
      <c r="I2766" s="86" t="s">
        <v>44</v>
      </c>
      <c r="J2766" s="1" t="s">
        <v>3671</v>
      </c>
      <c r="L2766" s="1" t="s">
        <v>3388</v>
      </c>
      <c r="M2766" s="86" t="s">
        <v>42</v>
      </c>
      <c r="N2766" s="86"/>
      <c r="O2766" s="47" t="s">
        <v>45</v>
      </c>
      <c r="P2766" s="47" t="s">
        <v>46</v>
      </c>
      <c r="Q2766" s="14">
        <v>0.2</v>
      </c>
      <c r="R2766" s="143">
        <v>362335</v>
      </c>
      <c r="S2766" s="47"/>
      <c r="T2766" s="6">
        <v>-978.4709999999925</v>
      </c>
      <c r="U2766" s="6">
        <v>0</v>
      </c>
      <c r="V2766" s="6">
        <v>0</v>
      </c>
      <c r="W2766" s="6">
        <f t="shared" si="437"/>
        <v>-978.4709999999925</v>
      </c>
      <c r="X2766" s="6">
        <f t="shared" si="438"/>
        <v>0</v>
      </c>
      <c r="Y2766" s="13">
        <f t="shared" si="421"/>
        <v>0</v>
      </c>
      <c r="Z2766" s="14">
        <v>0</v>
      </c>
      <c r="AA2766" s="6">
        <v>0</v>
      </c>
      <c r="AB2766" s="4">
        <f t="shared" si="422"/>
        <v>0</v>
      </c>
      <c r="AC2766" s="4">
        <f t="shared" si="439"/>
        <v>0</v>
      </c>
      <c r="AD2766" s="6">
        <v>0</v>
      </c>
      <c r="AE2766" s="2">
        <v>0</v>
      </c>
      <c r="AF2766" s="6">
        <f t="shared" si="440"/>
        <v>0</v>
      </c>
      <c r="AG2766" s="14">
        <v>0</v>
      </c>
      <c r="AH2766" s="6">
        <v>0</v>
      </c>
      <c r="AI2766" s="47"/>
      <c r="AJ2766" s="126" t="e">
        <v>#N/A</v>
      </c>
      <c r="AK2766" s="80">
        <f t="shared" si="423"/>
        <v>0</v>
      </c>
      <c r="AM2766" s="85"/>
    </row>
    <row r="2767" spans="1:39" hidden="1" x14ac:dyDescent="0.3">
      <c r="A2767" s="89" t="s">
        <v>3394</v>
      </c>
      <c r="B2767" s="86" t="s">
        <v>35</v>
      </c>
      <c r="C2767" s="86" t="s">
        <v>47</v>
      </c>
      <c r="D2767" s="86" t="s">
        <v>48</v>
      </c>
      <c r="E2767" s="86" t="s">
        <v>49</v>
      </c>
      <c r="F2767" s="86" t="s">
        <v>49</v>
      </c>
      <c r="G2767" s="86" t="s">
        <v>49</v>
      </c>
      <c r="H2767" s="143">
        <v>216</v>
      </c>
      <c r="I2767" s="86" t="s">
        <v>39</v>
      </c>
      <c r="J2767" s="1" t="s">
        <v>3671</v>
      </c>
      <c r="L2767" s="1" t="s">
        <v>3388</v>
      </c>
      <c r="M2767" s="86" t="s">
        <v>49</v>
      </c>
      <c r="N2767" s="86"/>
      <c r="O2767" s="47" t="s">
        <v>40</v>
      </c>
      <c r="P2767" s="47" t="s">
        <v>41</v>
      </c>
      <c r="Q2767" s="14">
        <v>0</v>
      </c>
      <c r="R2767" s="143">
        <v>2000100879</v>
      </c>
      <c r="S2767" s="47"/>
      <c r="T2767" s="6">
        <v>9.9999999994988542E-3</v>
      </c>
      <c r="U2767" s="6">
        <v>0</v>
      </c>
      <c r="V2767" s="6">
        <v>0</v>
      </c>
      <c r="W2767" s="6">
        <f t="shared" si="437"/>
        <v>9.9999999994988542E-3</v>
      </c>
      <c r="X2767" s="6">
        <f t="shared" si="438"/>
        <v>0</v>
      </c>
      <c r="Y2767" s="13">
        <f t="shared" si="421"/>
        <v>0</v>
      </c>
      <c r="Z2767" s="14">
        <v>0</v>
      </c>
      <c r="AA2767" s="6">
        <v>0</v>
      </c>
      <c r="AB2767" s="4">
        <f t="shared" si="422"/>
        <v>0</v>
      </c>
      <c r="AC2767" s="4">
        <f t="shared" si="439"/>
        <v>0</v>
      </c>
      <c r="AD2767" s="6">
        <v>0</v>
      </c>
      <c r="AE2767" s="2">
        <v>0</v>
      </c>
      <c r="AF2767" s="6">
        <f t="shared" si="440"/>
        <v>0</v>
      </c>
      <c r="AG2767" s="14">
        <v>0</v>
      </c>
      <c r="AH2767" s="6">
        <v>0</v>
      </c>
      <c r="AI2767" s="47"/>
      <c r="AJ2767" s="126" t="e">
        <v>#N/A</v>
      </c>
      <c r="AK2767" s="80">
        <f t="shared" si="423"/>
        <v>0</v>
      </c>
      <c r="AM2767" s="85"/>
    </row>
    <row r="2768" spans="1:39" hidden="1" x14ac:dyDescent="0.3">
      <c r="A2768" s="89" t="s">
        <v>3392</v>
      </c>
      <c r="B2768" s="86" t="s">
        <v>35</v>
      </c>
      <c r="C2768" s="86" t="s">
        <v>47</v>
      </c>
      <c r="D2768" s="86" t="s">
        <v>48</v>
      </c>
      <c r="E2768" s="86" t="s">
        <v>50</v>
      </c>
      <c r="F2768" s="86" t="s">
        <v>50</v>
      </c>
      <c r="G2768" s="86" t="s">
        <v>50</v>
      </c>
      <c r="H2768" s="143">
        <v>342</v>
      </c>
      <c r="I2768" s="86" t="s">
        <v>44</v>
      </c>
      <c r="J2768" s="1" t="s">
        <v>3671</v>
      </c>
      <c r="L2768" s="1" t="s">
        <v>3388</v>
      </c>
      <c r="M2768" s="86" t="s">
        <v>51</v>
      </c>
      <c r="N2768" s="86"/>
      <c r="O2768" s="47" t="s">
        <v>45</v>
      </c>
      <c r="P2768" s="47" t="s">
        <v>46</v>
      </c>
      <c r="Q2768" s="14">
        <v>0.3</v>
      </c>
      <c r="R2768" s="143">
        <v>350831</v>
      </c>
      <c r="S2768" s="47"/>
      <c r="T2768" s="6">
        <v>11079.391000000018</v>
      </c>
      <c r="U2768" s="6">
        <v>0</v>
      </c>
      <c r="V2768" s="6">
        <v>0</v>
      </c>
      <c r="W2768" s="6">
        <f t="shared" si="437"/>
        <v>11079.391000000018</v>
      </c>
      <c r="X2768" s="6">
        <f t="shared" si="438"/>
        <v>0</v>
      </c>
      <c r="Y2768" s="13">
        <f t="shared" si="421"/>
        <v>0</v>
      </c>
      <c r="Z2768" s="14">
        <v>0</v>
      </c>
      <c r="AA2768" s="6">
        <v>0</v>
      </c>
      <c r="AB2768" s="4">
        <f t="shared" si="422"/>
        <v>0</v>
      </c>
      <c r="AC2768" s="4">
        <f t="shared" si="439"/>
        <v>0</v>
      </c>
      <c r="AD2768" s="6">
        <v>0</v>
      </c>
      <c r="AE2768" s="2">
        <v>0</v>
      </c>
      <c r="AF2768" s="6">
        <f t="shared" si="440"/>
        <v>0</v>
      </c>
      <c r="AG2768" s="14">
        <v>0</v>
      </c>
      <c r="AH2768" s="6">
        <v>0</v>
      </c>
      <c r="AI2768" s="47"/>
      <c r="AJ2768" s="126" t="e">
        <v>#N/A</v>
      </c>
      <c r="AK2768" s="80">
        <f t="shared" si="423"/>
        <v>0</v>
      </c>
      <c r="AM2768" s="85"/>
    </row>
    <row r="2769" spans="1:39" hidden="1" x14ac:dyDescent="0.3">
      <c r="A2769" s="89" t="s">
        <v>3392</v>
      </c>
      <c r="B2769" s="86" t="s">
        <v>35</v>
      </c>
      <c r="C2769" s="86" t="s">
        <v>47</v>
      </c>
      <c r="D2769" s="86" t="s">
        <v>48</v>
      </c>
      <c r="E2769" s="86" t="s">
        <v>50</v>
      </c>
      <c r="F2769" s="86" t="s">
        <v>50</v>
      </c>
      <c r="G2769" s="86" t="s">
        <v>50</v>
      </c>
      <c r="H2769" s="143">
        <v>342</v>
      </c>
      <c r="I2769" s="86" t="s">
        <v>44</v>
      </c>
      <c r="J2769" s="1" t="s">
        <v>3671</v>
      </c>
      <c r="L2769" s="1" t="s">
        <v>3388</v>
      </c>
      <c r="M2769" s="86" t="s">
        <v>52</v>
      </c>
      <c r="N2769" s="86"/>
      <c r="O2769" s="47" t="s">
        <v>45</v>
      </c>
      <c r="P2769" s="47" t="s">
        <v>46</v>
      </c>
      <c r="Q2769" s="14">
        <v>0.3</v>
      </c>
      <c r="R2769" s="143">
        <v>354326</v>
      </c>
      <c r="S2769" s="47"/>
      <c r="T2769" s="6">
        <v>14622.041000000012</v>
      </c>
      <c r="U2769" s="6">
        <v>0</v>
      </c>
      <c r="V2769" s="6">
        <v>0</v>
      </c>
      <c r="W2769" s="6">
        <f t="shared" si="437"/>
        <v>14622.041000000012</v>
      </c>
      <c r="X2769" s="6">
        <f t="shared" si="438"/>
        <v>0</v>
      </c>
      <c r="Y2769" s="13">
        <f t="shared" si="421"/>
        <v>0</v>
      </c>
      <c r="Z2769" s="14">
        <v>0</v>
      </c>
      <c r="AA2769" s="6">
        <v>0</v>
      </c>
      <c r="AB2769" s="4">
        <f t="shared" si="422"/>
        <v>0</v>
      </c>
      <c r="AC2769" s="4">
        <f t="shared" si="439"/>
        <v>0</v>
      </c>
      <c r="AD2769" s="6">
        <v>0</v>
      </c>
      <c r="AE2769" s="2">
        <v>0</v>
      </c>
      <c r="AF2769" s="6">
        <f t="shared" si="440"/>
        <v>0</v>
      </c>
      <c r="AG2769" s="14">
        <v>0</v>
      </c>
      <c r="AH2769" s="6">
        <v>0</v>
      </c>
      <c r="AI2769" s="47"/>
      <c r="AJ2769" s="126" t="e">
        <v>#N/A</v>
      </c>
      <c r="AK2769" s="80">
        <f t="shared" si="423"/>
        <v>0</v>
      </c>
      <c r="AM2769" s="85"/>
    </row>
    <row r="2770" spans="1:39" hidden="1" x14ac:dyDescent="0.3">
      <c r="A2770" s="89" t="s">
        <v>3394</v>
      </c>
      <c r="B2770" s="86" t="s">
        <v>35</v>
      </c>
      <c r="C2770" s="86" t="s">
        <v>36</v>
      </c>
      <c r="D2770" s="86" t="s">
        <v>54</v>
      </c>
      <c r="E2770" s="86" t="s">
        <v>55</v>
      </c>
      <c r="F2770" s="86" t="s">
        <v>55</v>
      </c>
      <c r="G2770" s="86" t="s">
        <v>55</v>
      </c>
      <c r="H2770" s="143">
        <v>216</v>
      </c>
      <c r="I2770" s="86" t="s">
        <v>39</v>
      </c>
      <c r="J2770" s="1" t="s">
        <v>3671</v>
      </c>
      <c r="L2770" s="1" t="s">
        <v>3388</v>
      </c>
      <c r="M2770" s="86" t="s">
        <v>55</v>
      </c>
      <c r="N2770" s="86"/>
      <c r="O2770" s="47" t="s">
        <v>56</v>
      </c>
      <c r="P2770" s="47" t="s">
        <v>41</v>
      </c>
      <c r="Q2770" s="14">
        <v>0</v>
      </c>
      <c r="R2770" s="143">
        <v>1000000947</v>
      </c>
      <c r="S2770" s="47"/>
      <c r="T2770" s="6">
        <v>1698653.26229</v>
      </c>
      <c r="U2770" s="6">
        <v>0</v>
      </c>
      <c r="V2770" s="6">
        <v>0</v>
      </c>
      <c r="W2770" s="6">
        <f t="shared" si="437"/>
        <v>1698653.26229</v>
      </c>
      <c r="X2770" s="6">
        <f t="shared" si="438"/>
        <v>0</v>
      </c>
      <c r="Y2770" s="13">
        <f t="shared" si="421"/>
        <v>0</v>
      </c>
      <c r="Z2770" s="14">
        <v>0</v>
      </c>
      <c r="AA2770" s="6">
        <v>0</v>
      </c>
      <c r="AB2770" s="4">
        <f t="shared" si="422"/>
        <v>0</v>
      </c>
      <c r="AC2770" s="4">
        <f t="shared" si="439"/>
        <v>0</v>
      </c>
      <c r="AD2770" s="6">
        <v>0</v>
      </c>
      <c r="AE2770" s="2">
        <v>0</v>
      </c>
      <c r="AF2770" s="6">
        <f t="shared" si="440"/>
        <v>0</v>
      </c>
      <c r="AG2770" s="14">
        <v>0</v>
      </c>
      <c r="AH2770" s="6">
        <v>0</v>
      </c>
      <c r="AI2770" s="47"/>
      <c r="AJ2770" s="126" t="e">
        <v>#N/A</v>
      </c>
      <c r="AK2770" s="80">
        <f t="shared" si="423"/>
        <v>0</v>
      </c>
      <c r="AM2770" s="85"/>
    </row>
    <row r="2771" spans="1:39" hidden="1" x14ac:dyDescent="0.3">
      <c r="A2771" s="89" t="s">
        <v>3392</v>
      </c>
      <c r="B2771" s="86" t="s">
        <v>35</v>
      </c>
      <c r="C2771" s="86" t="s">
        <v>36</v>
      </c>
      <c r="D2771" s="86" t="s">
        <v>37</v>
      </c>
      <c r="E2771" s="86" t="s">
        <v>57</v>
      </c>
      <c r="F2771" s="86" t="s">
        <v>58</v>
      </c>
      <c r="G2771" s="86" t="s">
        <v>57</v>
      </c>
      <c r="H2771" s="143">
        <v>216</v>
      </c>
      <c r="I2771" s="86" t="s">
        <v>39</v>
      </c>
      <c r="J2771" s="1" t="s">
        <v>3671</v>
      </c>
      <c r="L2771" s="1" t="s">
        <v>3388</v>
      </c>
      <c r="M2771" s="86" t="s">
        <v>57</v>
      </c>
      <c r="N2771" s="86"/>
      <c r="O2771" s="47" t="s">
        <v>40</v>
      </c>
      <c r="P2771" s="47" t="s">
        <v>46</v>
      </c>
      <c r="Q2771" s="14">
        <v>0.03</v>
      </c>
      <c r="R2771" s="143">
        <v>2000100456</v>
      </c>
      <c r="S2771" s="47"/>
      <c r="T2771" s="6">
        <v>1.0000000000218279E-2</v>
      </c>
      <c r="U2771" s="6">
        <v>0</v>
      </c>
      <c r="V2771" s="6">
        <v>0</v>
      </c>
      <c r="W2771" s="6">
        <f t="shared" si="437"/>
        <v>1.0000000000218279E-2</v>
      </c>
      <c r="X2771" s="6">
        <f t="shared" si="438"/>
        <v>0</v>
      </c>
      <c r="Y2771" s="13">
        <f t="shared" si="421"/>
        <v>0</v>
      </c>
      <c r="Z2771" s="14">
        <v>0</v>
      </c>
      <c r="AA2771" s="6">
        <v>0</v>
      </c>
      <c r="AB2771" s="4">
        <f t="shared" si="422"/>
        <v>0</v>
      </c>
      <c r="AC2771" s="4">
        <f t="shared" si="439"/>
        <v>0</v>
      </c>
      <c r="AD2771" s="6">
        <v>0</v>
      </c>
      <c r="AE2771" s="2">
        <v>0</v>
      </c>
      <c r="AF2771" s="6">
        <f t="shared" si="440"/>
        <v>0</v>
      </c>
      <c r="AG2771" s="14">
        <v>0</v>
      </c>
      <c r="AH2771" s="6">
        <v>0</v>
      </c>
      <c r="AI2771" s="47"/>
      <c r="AJ2771" s="126" t="e">
        <v>#N/A</v>
      </c>
      <c r="AK2771" s="80">
        <f t="shared" si="423"/>
        <v>0</v>
      </c>
      <c r="AM2771" s="85"/>
    </row>
    <row r="2772" spans="1:39" hidden="1" x14ac:dyDescent="0.3">
      <c r="A2772" s="89" t="s">
        <v>3394</v>
      </c>
      <c r="B2772" s="86" t="s">
        <v>35</v>
      </c>
      <c r="C2772" s="86" t="s">
        <v>59</v>
      </c>
      <c r="D2772" s="86" t="s">
        <v>60</v>
      </c>
      <c r="E2772" s="86" t="s">
        <v>61</v>
      </c>
      <c r="F2772" s="86" t="s">
        <v>62</v>
      </c>
      <c r="G2772" s="86" t="s">
        <v>61</v>
      </c>
      <c r="H2772" s="143">
        <v>216</v>
      </c>
      <c r="I2772" s="86" t="s">
        <v>39</v>
      </c>
      <c r="J2772" s="1" t="s">
        <v>3671</v>
      </c>
      <c r="L2772" s="1" t="s">
        <v>3388</v>
      </c>
      <c r="M2772" s="86" t="s">
        <v>61</v>
      </c>
      <c r="N2772" s="86"/>
      <c r="O2772" s="47" t="s">
        <v>40</v>
      </c>
      <c r="P2772" s="47" t="s">
        <v>41</v>
      </c>
      <c r="Q2772" s="14">
        <v>0</v>
      </c>
      <c r="R2772" s="143">
        <v>1100000117</v>
      </c>
      <c r="S2772" s="47"/>
      <c r="T2772" s="6">
        <v>7284.76</v>
      </c>
      <c r="U2772" s="6">
        <v>0</v>
      </c>
      <c r="V2772" s="6">
        <v>0</v>
      </c>
      <c r="W2772" s="6">
        <f t="shared" si="437"/>
        <v>7284.76</v>
      </c>
      <c r="X2772" s="6">
        <f t="shared" si="438"/>
        <v>0</v>
      </c>
      <c r="Y2772" s="13">
        <f t="shared" si="421"/>
        <v>0</v>
      </c>
      <c r="Z2772" s="14">
        <v>0</v>
      </c>
      <c r="AA2772" s="6">
        <v>0</v>
      </c>
      <c r="AB2772" s="4">
        <f t="shared" si="422"/>
        <v>0</v>
      </c>
      <c r="AC2772" s="4">
        <f t="shared" si="439"/>
        <v>0</v>
      </c>
      <c r="AD2772" s="6">
        <v>0</v>
      </c>
      <c r="AE2772" s="2">
        <v>0</v>
      </c>
      <c r="AF2772" s="6">
        <f t="shared" si="440"/>
        <v>0</v>
      </c>
      <c r="AG2772" s="14">
        <v>0</v>
      </c>
      <c r="AH2772" s="6">
        <v>0</v>
      </c>
      <c r="AI2772" s="47"/>
      <c r="AJ2772" s="126" t="e">
        <v>#N/A</v>
      </c>
      <c r="AK2772" s="80">
        <f t="shared" si="423"/>
        <v>0</v>
      </c>
      <c r="AM2772" s="85"/>
    </row>
    <row r="2773" spans="1:39" hidden="1" x14ac:dyDescent="0.3">
      <c r="A2773" s="89" t="s">
        <v>3395</v>
      </c>
      <c r="B2773" s="86" t="s">
        <v>35</v>
      </c>
      <c r="C2773" s="86" t="s">
        <v>59</v>
      </c>
      <c r="D2773" s="86" t="s">
        <v>60</v>
      </c>
      <c r="E2773" s="86" t="s">
        <v>61</v>
      </c>
      <c r="F2773" s="86" t="s">
        <v>62</v>
      </c>
      <c r="G2773" s="86" t="s">
        <v>61</v>
      </c>
      <c r="H2773" s="143">
        <v>216</v>
      </c>
      <c r="I2773" s="86" t="s">
        <v>39</v>
      </c>
      <c r="J2773" s="1" t="s">
        <v>3671</v>
      </c>
      <c r="L2773" s="1" t="s">
        <v>3388</v>
      </c>
      <c r="M2773" s="86" t="s">
        <v>61</v>
      </c>
      <c r="N2773" s="86"/>
      <c r="O2773" s="47" t="s">
        <v>56</v>
      </c>
      <c r="P2773" s="47" t="s">
        <v>41</v>
      </c>
      <c r="Q2773" s="14">
        <v>0</v>
      </c>
      <c r="R2773" s="143">
        <v>1100000117</v>
      </c>
      <c r="S2773" s="47"/>
      <c r="T2773" s="6">
        <v>-7203.2599999999984</v>
      </c>
      <c r="U2773" s="6">
        <v>0</v>
      </c>
      <c r="V2773" s="6">
        <v>0</v>
      </c>
      <c r="W2773" s="6">
        <f t="shared" si="437"/>
        <v>-7203.2599999999984</v>
      </c>
      <c r="X2773" s="6">
        <f t="shared" si="438"/>
        <v>0</v>
      </c>
      <c r="Y2773" s="13">
        <f t="shared" si="421"/>
        <v>0</v>
      </c>
      <c r="Z2773" s="14">
        <v>0</v>
      </c>
      <c r="AA2773" s="6">
        <v>0</v>
      </c>
      <c r="AB2773" s="4">
        <f t="shared" si="422"/>
        <v>0</v>
      </c>
      <c r="AC2773" s="4">
        <f t="shared" si="439"/>
        <v>0</v>
      </c>
      <c r="AD2773" s="6">
        <v>0</v>
      </c>
      <c r="AE2773" s="2">
        <v>0</v>
      </c>
      <c r="AF2773" s="6">
        <f t="shared" si="440"/>
        <v>0</v>
      </c>
      <c r="AG2773" s="14">
        <v>0</v>
      </c>
      <c r="AH2773" s="6">
        <v>0</v>
      </c>
      <c r="AI2773" s="47"/>
      <c r="AJ2773" s="126" t="e">
        <v>#N/A</v>
      </c>
      <c r="AK2773" s="80">
        <f t="shared" si="423"/>
        <v>0</v>
      </c>
      <c r="AM2773" s="85"/>
    </row>
    <row r="2774" spans="1:39" hidden="1" x14ac:dyDescent="0.3">
      <c r="A2774" s="89" t="s">
        <v>3394</v>
      </c>
      <c r="B2774" s="86" t="s">
        <v>35</v>
      </c>
      <c r="C2774" s="86" t="s">
        <v>36</v>
      </c>
      <c r="D2774" s="86" t="s">
        <v>37</v>
      </c>
      <c r="E2774" s="86" t="s">
        <v>38</v>
      </c>
      <c r="F2774" s="86" t="s">
        <v>38</v>
      </c>
      <c r="G2774" s="86" t="s">
        <v>38</v>
      </c>
      <c r="H2774" s="143">
        <v>216</v>
      </c>
      <c r="I2774" s="86" t="s">
        <v>39</v>
      </c>
      <c r="J2774" s="1" t="s">
        <v>3671</v>
      </c>
      <c r="L2774" s="1" t="s">
        <v>3388</v>
      </c>
      <c r="M2774" s="86" t="s">
        <v>38</v>
      </c>
      <c r="N2774" s="86"/>
      <c r="O2774" s="47" t="s">
        <v>56</v>
      </c>
      <c r="P2774" s="47" t="s">
        <v>41</v>
      </c>
      <c r="Q2774" s="14">
        <v>0</v>
      </c>
      <c r="R2774" s="143">
        <v>1000000850</v>
      </c>
      <c r="S2774" s="47"/>
      <c r="T2774" s="6">
        <v>25818.397659999999</v>
      </c>
      <c r="U2774" s="6">
        <v>0</v>
      </c>
      <c r="V2774" s="6">
        <v>0</v>
      </c>
      <c r="W2774" s="6">
        <f t="shared" si="437"/>
        <v>25818.397659999999</v>
      </c>
      <c r="X2774" s="6">
        <f t="shared" si="438"/>
        <v>0</v>
      </c>
      <c r="Y2774" s="13">
        <f t="shared" si="421"/>
        <v>0</v>
      </c>
      <c r="Z2774" s="14">
        <v>0.02</v>
      </c>
      <c r="AA2774" s="6">
        <f>X2774*Z2774</f>
        <v>0</v>
      </c>
      <c r="AB2774" s="4">
        <f t="shared" si="422"/>
        <v>0</v>
      </c>
      <c r="AC2774" s="4">
        <f t="shared" si="439"/>
        <v>0</v>
      </c>
      <c r="AD2774" s="6">
        <v>0</v>
      </c>
      <c r="AE2774" s="2">
        <v>0</v>
      </c>
      <c r="AF2774" s="6">
        <f t="shared" si="440"/>
        <v>0</v>
      </c>
      <c r="AG2774" s="14">
        <v>0</v>
      </c>
      <c r="AH2774" s="6">
        <v>0</v>
      </c>
      <c r="AI2774" s="47"/>
      <c r="AJ2774" s="126" t="e">
        <v>#N/A</v>
      </c>
      <c r="AK2774" s="80">
        <f t="shared" si="423"/>
        <v>0</v>
      </c>
      <c r="AM2774" s="85"/>
    </row>
    <row r="2775" spans="1:39" hidden="1" x14ac:dyDescent="0.3">
      <c r="A2775" s="89" t="s">
        <v>3395</v>
      </c>
      <c r="B2775" s="86" t="s">
        <v>35</v>
      </c>
      <c r="C2775" s="86" t="s">
        <v>47</v>
      </c>
      <c r="D2775" s="86" t="s">
        <v>63</v>
      </c>
      <c r="E2775" s="86" t="s">
        <v>64</v>
      </c>
      <c r="F2775" s="86" t="s">
        <v>64</v>
      </c>
      <c r="G2775" s="86" t="s">
        <v>64</v>
      </c>
      <c r="H2775" s="143">
        <v>216</v>
      </c>
      <c r="I2775" s="86" t="s">
        <v>39</v>
      </c>
      <c r="J2775" s="1" t="s">
        <v>3671</v>
      </c>
      <c r="L2775" s="1" t="s">
        <v>3388</v>
      </c>
      <c r="M2775" s="86" t="s">
        <v>64</v>
      </c>
      <c r="N2775" s="86"/>
      <c r="O2775" s="47" t="s">
        <v>40</v>
      </c>
      <c r="P2775" s="47" t="s">
        <v>41</v>
      </c>
      <c r="Q2775" s="14">
        <v>0</v>
      </c>
      <c r="R2775" s="143">
        <v>1000000800</v>
      </c>
      <c r="S2775" s="47"/>
      <c r="T2775" s="6">
        <v>1137087.5482300001</v>
      </c>
      <c r="U2775" s="6">
        <v>0</v>
      </c>
      <c r="V2775" s="6">
        <v>0</v>
      </c>
      <c r="W2775" s="6">
        <f t="shared" si="437"/>
        <v>1137087.5482300001</v>
      </c>
      <c r="X2775" s="6">
        <f t="shared" si="438"/>
        <v>0</v>
      </c>
      <c r="Y2775" s="13">
        <f t="shared" si="421"/>
        <v>0</v>
      </c>
      <c r="Z2775" s="14">
        <v>0</v>
      </c>
      <c r="AA2775" s="6">
        <v>0</v>
      </c>
      <c r="AB2775" s="4">
        <f t="shared" si="422"/>
        <v>0</v>
      </c>
      <c r="AC2775" s="4">
        <f t="shared" si="439"/>
        <v>0</v>
      </c>
      <c r="AD2775" s="6">
        <v>0</v>
      </c>
      <c r="AE2775" s="2">
        <v>0</v>
      </c>
      <c r="AF2775" s="6">
        <f t="shared" si="440"/>
        <v>0</v>
      </c>
      <c r="AG2775" s="14">
        <v>0</v>
      </c>
      <c r="AH2775" s="6">
        <v>0</v>
      </c>
      <c r="AI2775" s="47"/>
      <c r="AJ2775" s="126" t="e">
        <v>#N/A</v>
      </c>
      <c r="AK2775" s="80">
        <f t="shared" si="423"/>
        <v>0</v>
      </c>
      <c r="AM2775" s="85"/>
    </row>
    <row r="2776" spans="1:39" hidden="1" x14ac:dyDescent="0.3">
      <c r="A2776" s="89" t="s">
        <v>3392</v>
      </c>
      <c r="B2776" s="86" t="s">
        <v>35</v>
      </c>
      <c r="C2776" s="86" t="s">
        <v>47</v>
      </c>
      <c r="D2776" s="86" t="s">
        <v>63</v>
      </c>
      <c r="E2776" s="86" t="s">
        <v>64</v>
      </c>
      <c r="F2776" s="86" t="s">
        <v>64</v>
      </c>
      <c r="G2776" s="86" t="s">
        <v>64</v>
      </c>
      <c r="H2776" s="143">
        <v>216</v>
      </c>
      <c r="I2776" s="86" t="s">
        <v>39</v>
      </c>
      <c r="J2776" s="1" t="s">
        <v>3671</v>
      </c>
      <c r="L2776" s="1" t="s">
        <v>3388</v>
      </c>
      <c r="M2776" s="86" t="s">
        <v>64</v>
      </c>
      <c r="N2776" s="86"/>
      <c r="O2776" s="47" t="s">
        <v>56</v>
      </c>
      <c r="P2776" s="47" t="s">
        <v>41</v>
      </c>
      <c r="Q2776" s="14">
        <v>0</v>
      </c>
      <c r="R2776" s="143">
        <v>1000000800</v>
      </c>
      <c r="S2776" s="47"/>
      <c r="T2776" s="6">
        <v>-1135040.31</v>
      </c>
      <c r="U2776" s="6">
        <v>0</v>
      </c>
      <c r="V2776" s="6">
        <v>0</v>
      </c>
      <c r="W2776" s="6">
        <f t="shared" si="437"/>
        <v>-1135040.31</v>
      </c>
      <c r="X2776" s="6">
        <f t="shared" si="438"/>
        <v>0</v>
      </c>
      <c r="Y2776" s="13">
        <f t="shared" si="421"/>
        <v>0</v>
      </c>
      <c r="Z2776" s="14">
        <v>0</v>
      </c>
      <c r="AA2776" s="6">
        <v>0</v>
      </c>
      <c r="AB2776" s="4">
        <f t="shared" si="422"/>
        <v>0</v>
      </c>
      <c r="AC2776" s="4">
        <f t="shared" si="439"/>
        <v>0</v>
      </c>
      <c r="AD2776" s="6">
        <v>0</v>
      </c>
      <c r="AE2776" s="2">
        <v>0</v>
      </c>
      <c r="AF2776" s="6">
        <f t="shared" si="440"/>
        <v>0</v>
      </c>
      <c r="AG2776" s="14">
        <v>0</v>
      </c>
      <c r="AH2776" s="6">
        <v>0</v>
      </c>
      <c r="AI2776" s="47"/>
      <c r="AJ2776" s="126" t="e">
        <v>#N/A</v>
      </c>
      <c r="AK2776" s="80">
        <f t="shared" si="423"/>
        <v>0</v>
      </c>
      <c r="AM2776" s="85"/>
    </row>
    <row r="2777" spans="1:39" hidden="1" x14ac:dyDescent="0.3">
      <c r="A2777" s="89" t="s">
        <v>3394</v>
      </c>
      <c r="B2777" s="86" t="s">
        <v>35</v>
      </c>
      <c r="C2777" s="86" t="s">
        <v>36</v>
      </c>
      <c r="D2777" s="86" t="s">
        <v>54</v>
      </c>
      <c r="E2777" s="86" t="s">
        <v>55</v>
      </c>
      <c r="F2777" s="86" t="s">
        <v>55</v>
      </c>
      <c r="G2777" s="86" t="s">
        <v>55</v>
      </c>
      <c r="H2777" s="143">
        <v>216</v>
      </c>
      <c r="I2777" s="86" t="s">
        <v>39</v>
      </c>
      <c r="J2777" s="1" t="s">
        <v>3671</v>
      </c>
      <c r="L2777" s="1" t="s">
        <v>3388</v>
      </c>
      <c r="M2777" s="86" t="s">
        <v>55</v>
      </c>
      <c r="N2777" s="86"/>
      <c r="O2777" s="47" t="s">
        <v>40</v>
      </c>
      <c r="P2777" s="47" t="s">
        <v>41</v>
      </c>
      <c r="Q2777" s="14">
        <v>0</v>
      </c>
      <c r="R2777" s="143">
        <v>1000000947</v>
      </c>
      <c r="S2777" s="47"/>
      <c r="T2777" s="6">
        <v>-1697896.06</v>
      </c>
      <c r="U2777" s="6">
        <v>0</v>
      </c>
      <c r="V2777" s="6">
        <v>0</v>
      </c>
      <c r="W2777" s="6">
        <f t="shared" si="437"/>
        <v>-1697896.06</v>
      </c>
      <c r="X2777" s="6">
        <f t="shared" si="438"/>
        <v>0</v>
      </c>
      <c r="Y2777" s="13">
        <f t="shared" si="421"/>
        <v>0</v>
      </c>
      <c r="Z2777" s="14">
        <v>0</v>
      </c>
      <c r="AA2777" s="6">
        <v>0</v>
      </c>
      <c r="AB2777" s="4">
        <f t="shared" si="422"/>
        <v>0</v>
      </c>
      <c r="AC2777" s="4">
        <f t="shared" si="439"/>
        <v>0</v>
      </c>
      <c r="AD2777" s="6">
        <v>0</v>
      </c>
      <c r="AE2777" s="2">
        <v>0</v>
      </c>
      <c r="AF2777" s="6">
        <f t="shared" si="440"/>
        <v>0</v>
      </c>
      <c r="AG2777" s="14">
        <v>0</v>
      </c>
      <c r="AH2777" s="6">
        <v>0</v>
      </c>
      <c r="AI2777" s="47"/>
      <c r="AJ2777" s="126" t="e">
        <v>#N/A</v>
      </c>
      <c r="AK2777" s="80">
        <f t="shared" si="423"/>
        <v>0</v>
      </c>
      <c r="AM2777" s="85"/>
    </row>
    <row r="2778" spans="1:39" hidden="1" x14ac:dyDescent="0.3">
      <c r="A2778" s="89" t="s">
        <v>3392</v>
      </c>
      <c r="B2778" s="86" t="s">
        <v>35</v>
      </c>
      <c r="C2778" s="86" t="s">
        <v>65</v>
      </c>
      <c r="D2778" s="86" t="s">
        <v>66</v>
      </c>
      <c r="E2778" s="86" t="s">
        <v>67</v>
      </c>
      <c r="F2778" s="86" t="s">
        <v>67</v>
      </c>
      <c r="G2778" s="86" t="s">
        <v>67</v>
      </c>
      <c r="H2778" s="143">
        <v>216</v>
      </c>
      <c r="I2778" s="86" t="s">
        <v>39</v>
      </c>
      <c r="J2778" s="1" t="s">
        <v>3671</v>
      </c>
      <c r="L2778" s="1" t="s">
        <v>3388</v>
      </c>
      <c r="M2778" s="86" t="s">
        <v>68</v>
      </c>
      <c r="N2778" s="86"/>
      <c r="O2778" s="47" t="s">
        <v>40</v>
      </c>
      <c r="P2778" s="47" t="s">
        <v>46</v>
      </c>
      <c r="Q2778" s="14">
        <v>0.02</v>
      </c>
      <c r="R2778" s="143">
        <v>1000000598</v>
      </c>
      <c r="S2778" s="47"/>
      <c r="T2778" s="6">
        <v>986.86000000000104</v>
      </c>
      <c r="U2778" s="6">
        <v>0</v>
      </c>
      <c r="V2778" s="6">
        <v>0</v>
      </c>
      <c r="W2778" s="6">
        <f t="shared" si="437"/>
        <v>986.86000000000104</v>
      </c>
      <c r="X2778" s="6">
        <f t="shared" si="438"/>
        <v>0</v>
      </c>
      <c r="Y2778" s="13">
        <f t="shared" si="421"/>
        <v>0</v>
      </c>
      <c r="Z2778" s="14">
        <v>0</v>
      </c>
      <c r="AA2778" s="6">
        <v>0</v>
      </c>
      <c r="AB2778" s="4">
        <f t="shared" si="422"/>
        <v>0</v>
      </c>
      <c r="AC2778" s="4">
        <f t="shared" si="439"/>
        <v>0</v>
      </c>
      <c r="AD2778" s="6">
        <v>0</v>
      </c>
      <c r="AE2778" s="2">
        <v>0</v>
      </c>
      <c r="AF2778" s="6">
        <f t="shared" si="440"/>
        <v>0</v>
      </c>
      <c r="AG2778" s="14">
        <v>0</v>
      </c>
      <c r="AH2778" s="6">
        <v>0</v>
      </c>
      <c r="AI2778" s="47"/>
      <c r="AJ2778" s="126" t="e">
        <v>#N/A</v>
      </c>
      <c r="AK2778" s="80">
        <f t="shared" si="423"/>
        <v>0</v>
      </c>
      <c r="AM2778" s="85"/>
    </row>
    <row r="2779" spans="1:39" hidden="1" x14ac:dyDescent="0.3">
      <c r="A2779" s="89" t="s">
        <v>3394</v>
      </c>
      <c r="B2779" s="86" t="s">
        <v>35</v>
      </c>
      <c r="C2779" s="86" t="s">
        <v>47</v>
      </c>
      <c r="D2779" s="86" t="s">
        <v>63</v>
      </c>
      <c r="E2779" s="86" t="s">
        <v>69</v>
      </c>
      <c r="F2779" s="86" t="s">
        <v>69</v>
      </c>
      <c r="G2779" s="86" t="s">
        <v>69</v>
      </c>
      <c r="H2779" s="143">
        <v>216</v>
      </c>
      <c r="I2779" s="86" t="s">
        <v>39</v>
      </c>
      <c r="J2779" s="1" t="s">
        <v>3671</v>
      </c>
      <c r="L2779" s="1" t="s">
        <v>3388</v>
      </c>
      <c r="M2779" s="86" t="s">
        <v>70</v>
      </c>
      <c r="N2779" s="86"/>
      <c r="O2779" s="47" t="s">
        <v>56</v>
      </c>
      <c r="P2779" s="47" t="s">
        <v>41</v>
      </c>
      <c r="Q2779" s="14">
        <v>0</v>
      </c>
      <c r="R2779" s="143">
        <v>1000000633</v>
      </c>
      <c r="S2779" s="47"/>
      <c r="T2779" s="6">
        <v>145.4</v>
      </c>
      <c r="U2779" s="6">
        <v>0</v>
      </c>
      <c r="V2779" s="6">
        <v>0</v>
      </c>
      <c r="W2779" s="6">
        <f t="shared" si="437"/>
        <v>145.4</v>
      </c>
      <c r="X2779" s="6">
        <f t="shared" si="438"/>
        <v>0</v>
      </c>
      <c r="Y2779" s="13">
        <f t="shared" si="421"/>
        <v>0</v>
      </c>
      <c r="Z2779" s="14">
        <v>0</v>
      </c>
      <c r="AA2779" s="6">
        <v>0</v>
      </c>
      <c r="AB2779" s="4">
        <f t="shared" si="422"/>
        <v>0</v>
      </c>
      <c r="AC2779" s="4">
        <f t="shared" si="439"/>
        <v>0</v>
      </c>
      <c r="AD2779" s="6">
        <v>0</v>
      </c>
      <c r="AE2779" s="2">
        <v>0</v>
      </c>
      <c r="AF2779" s="6">
        <f t="shared" si="440"/>
        <v>0</v>
      </c>
      <c r="AG2779" s="14">
        <v>0</v>
      </c>
      <c r="AH2779" s="6">
        <v>0</v>
      </c>
      <c r="AI2779" s="47"/>
      <c r="AJ2779" s="126" t="e">
        <v>#N/A</v>
      </c>
      <c r="AK2779" s="80">
        <f t="shared" si="423"/>
        <v>0</v>
      </c>
      <c r="AM2779" s="85"/>
    </row>
    <row r="2780" spans="1:39" hidden="1" x14ac:dyDescent="0.3">
      <c r="A2780" s="89" t="s">
        <v>3394</v>
      </c>
      <c r="B2780" s="86" t="s">
        <v>35</v>
      </c>
      <c r="C2780" s="86" t="s">
        <v>36</v>
      </c>
      <c r="D2780" s="86" t="s">
        <v>54</v>
      </c>
      <c r="E2780" s="86" t="s">
        <v>71</v>
      </c>
      <c r="F2780" s="86" t="s">
        <v>72</v>
      </c>
      <c r="G2780" s="86" t="s">
        <v>71</v>
      </c>
      <c r="H2780" s="143">
        <v>216</v>
      </c>
      <c r="I2780" s="86" t="s">
        <v>39</v>
      </c>
      <c r="J2780" s="1" t="s">
        <v>3671</v>
      </c>
      <c r="L2780" s="1" t="s">
        <v>3388</v>
      </c>
      <c r="M2780" s="86" t="s">
        <v>73</v>
      </c>
      <c r="N2780" s="86"/>
      <c r="O2780" s="47" t="s">
        <v>40</v>
      </c>
      <c r="P2780" s="47" t="s">
        <v>41</v>
      </c>
      <c r="Q2780" s="14">
        <v>0</v>
      </c>
      <c r="R2780" s="143">
        <v>1000000208</v>
      </c>
      <c r="S2780" s="47"/>
      <c r="T2780" s="6">
        <v>57356.7</v>
      </c>
      <c r="U2780" s="6">
        <v>0</v>
      </c>
      <c r="V2780" s="6">
        <v>0</v>
      </c>
      <c r="W2780" s="6">
        <f t="shared" si="437"/>
        <v>57356.7</v>
      </c>
      <c r="X2780" s="6">
        <f t="shared" si="438"/>
        <v>0</v>
      </c>
      <c r="Y2780" s="13">
        <f t="shared" si="421"/>
        <v>0</v>
      </c>
      <c r="Z2780" s="14">
        <v>5.5E-2</v>
      </c>
      <c r="AA2780" s="6">
        <f>X2780*Z2780</f>
        <v>0</v>
      </c>
      <c r="AB2780" s="4">
        <f t="shared" si="422"/>
        <v>0</v>
      </c>
      <c r="AC2780" s="4">
        <f t="shared" si="439"/>
        <v>0</v>
      </c>
      <c r="AD2780" s="6">
        <v>0</v>
      </c>
      <c r="AE2780" s="2">
        <v>0</v>
      </c>
      <c r="AF2780" s="6">
        <f t="shared" si="440"/>
        <v>0</v>
      </c>
      <c r="AG2780" s="14">
        <v>0</v>
      </c>
      <c r="AH2780" s="6">
        <v>0</v>
      </c>
      <c r="AI2780" s="47"/>
      <c r="AJ2780" s="126" t="e">
        <v>#N/A</v>
      </c>
      <c r="AK2780" s="80">
        <f t="shared" si="423"/>
        <v>0</v>
      </c>
      <c r="AM2780" s="85"/>
    </row>
    <row r="2781" spans="1:39" hidden="1" x14ac:dyDescent="0.3">
      <c r="A2781" s="89" t="s">
        <v>3392</v>
      </c>
      <c r="B2781" s="86" t="s">
        <v>35</v>
      </c>
      <c r="C2781" s="86" t="s">
        <v>164</v>
      </c>
      <c r="D2781" s="86" t="s">
        <v>181</v>
      </c>
      <c r="E2781" s="86" t="s">
        <v>182</v>
      </c>
      <c r="F2781" s="86" t="s">
        <v>183</v>
      </c>
      <c r="G2781" s="86" t="s">
        <v>182</v>
      </c>
      <c r="H2781" s="143">
        <v>327</v>
      </c>
      <c r="I2781" s="86" t="s">
        <v>3121</v>
      </c>
      <c r="J2781" s="1" t="s">
        <v>3323</v>
      </c>
      <c r="K2781" s="1" t="s">
        <v>3274</v>
      </c>
      <c r="L2781" s="1" t="s">
        <v>35</v>
      </c>
      <c r="M2781" s="86" t="s">
        <v>3123</v>
      </c>
      <c r="N2781" s="86"/>
      <c r="O2781" s="47" t="s">
        <v>45</v>
      </c>
      <c r="P2781" s="47" t="s">
        <v>46</v>
      </c>
      <c r="Q2781" s="14">
        <v>0.03</v>
      </c>
      <c r="R2781" s="143">
        <v>7014459</v>
      </c>
      <c r="S2781" s="47"/>
      <c r="T2781" s="6">
        <v>7.9999999898063834E-3</v>
      </c>
      <c r="U2781" s="6">
        <v>0</v>
      </c>
      <c r="V2781" s="6">
        <v>0</v>
      </c>
      <c r="W2781" s="6">
        <f t="shared" si="437"/>
        <v>7.9999999898063834E-3</v>
      </c>
      <c r="X2781" s="6">
        <f t="shared" si="438"/>
        <v>0</v>
      </c>
      <c r="Y2781" s="13">
        <f t="shared" si="421"/>
        <v>0</v>
      </c>
      <c r="Z2781" s="14">
        <v>0</v>
      </c>
      <c r="AA2781" s="6">
        <v>0</v>
      </c>
      <c r="AB2781" s="4">
        <f t="shared" si="422"/>
        <v>0</v>
      </c>
      <c r="AC2781" s="4">
        <f t="shared" si="439"/>
        <v>0</v>
      </c>
      <c r="AD2781" s="6">
        <f t="shared" ref="AD2781:AD2788" si="441">V2781*0.95</f>
        <v>0</v>
      </c>
      <c r="AE2781" s="2">
        <v>0</v>
      </c>
      <c r="AF2781" s="6">
        <f t="shared" si="440"/>
        <v>0</v>
      </c>
      <c r="AG2781" s="14">
        <v>0</v>
      </c>
      <c r="AH2781" s="6">
        <v>0</v>
      </c>
      <c r="AI2781" s="47"/>
      <c r="AJ2781" s="126" t="e">
        <v>#N/A</v>
      </c>
      <c r="AK2781" s="80">
        <f t="shared" si="423"/>
        <v>0</v>
      </c>
      <c r="AM2781" s="85"/>
    </row>
    <row r="2782" spans="1:39" hidden="1" x14ac:dyDescent="0.3">
      <c r="A2782" s="89" t="s">
        <v>3392</v>
      </c>
      <c r="B2782" s="86" t="s">
        <v>35</v>
      </c>
      <c r="C2782" s="86" t="s">
        <v>184</v>
      </c>
      <c r="D2782" s="86" t="s">
        <v>185</v>
      </c>
      <c r="E2782" s="86" t="s">
        <v>261</v>
      </c>
      <c r="F2782" s="86" t="s">
        <v>261</v>
      </c>
      <c r="G2782" s="86" t="s">
        <v>261</v>
      </c>
      <c r="H2782" s="143">
        <v>327</v>
      </c>
      <c r="I2782" s="86" t="s">
        <v>3121</v>
      </c>
      <c r="J2782" s="1" t="s">
        <v>3323</v>
      </c>
      <c r="K2782" s="1" t="s">
        <v>3274</v>
      </c>
      <c r="L2782" s="1" t="s">
        <v>35</v>
      </c>
      <c r="M2782" s="86" t="s">
        <v>261</v>
      </c>
      <c r="N2782" s="86"/>
      <c r="O2782" s="47" t="s">
        <v>45</v>
      </c>
      <c r="P2782" s="47" t="s">
        <v>46</v>
      </c>
      <c r="Q2782" s="14">
        <v>0.06</v>
      </c>
      <c r="R2782" s="143">
        <v>6891422</v>
      </c>
      <c r="S2782" s="47"/>
      <c r="T2782" s="6">
        <v>1.196000000803906</v>
      </c>
      <c r="U2782" s="6">
        <v>0</v>
      </c>
      <c r="V2782" s="6">
        <v>0</v>
      </c>
      <c r="W2782" s="6">
        <f t="shared" si="437"/>
        <v>1.196000000803906</v>
      </c>
      <c r="X2782" s="6">
        <f t="shared" si="438"/>
        <v>0</v>
      </c>
      <c r="Y2782" s="13">
        <f t="shared" si="421"/>
        <v>0</v>
      </c>
      <c r="Z2782" s="14">
        <v>0</v>
      </c>
      <c r="AA2782" s="6">
        <v>0</v>
      </c>
      <c r="AB2782" s="4">
        <f t="shared" si="422"/>
        <v>0</v>
      </c>
      <c r="AC2782" s="4">
        <f t="shared" si="439"/>
        <v>0</v>
      </c>
      <c r="AD2782" s="6">
        <f t="shared" si="441"/>
        <v>0</v>
      </c>
      <c r="AE2782" s="2">
        <v>0</v>
      </c>
      <c r="AF2782" s="6">
        <f t="shared" si="440"/>
        <v>0</v>
      </c>
      <c r="AG2782" s="14">
        <v>0</v>
      </c>
      <c r="AH2782" s="6">
        <v>0</v>
      </c>
      <c r="AI2782" s="47"/>
      <c r="AJ2782" s="126" t="e">
        <v>#N/A</v>
      </c>
      <c r="AK2782" s="80">
        <f t="shared" si="423"/>
        <v>0</v>
      </c>
      <c r="AM2782" s="85"/>
    </row>
    <row r="2783" spans="1:39" hidden="1" x14ac:dyDescent="0.3">
      <c r="A2783" s="89" t="s">
        <v>3395</v>
      </c>
      <c r="B2783" s="86" t="s">
        <v>35</v>
      </c>
      <c r="C2783" s="86" t="s">
        <v>184</v>
      </c>
      <c r="D2783" s="86" t="s">
        <v>185</v>
      </c>
      <c r="E2783" s="86" t="s">
        <v>261</v>
      </c>
      <c r="F2783" s="86" t="s">
        <v>261</v>
      </c>
      <c r="G2783" s="86" t="s">
        <v>261</v>
      </c>
      <c r="H2783" s="143">
        <v>327</v>
      </c>
      <c r="I2783" s="86" t="s">
        <v>3121</v>
      </c>
      <c r="J2783" s="1" t="s">
        <v>3323</v>
      </c>
      <c r="K2783" s="1" t="s">
        <v>3274</v>
      </c>
      <c r="L2783" s="1" t="s">
        <v>35</v>
      </c>
      <c r="M2783" s="86" t="s">
        <v>261</v>
      </c>
      <c r="N2783" s="86"/>
      <c r="O2783" s="47" t="s">
        <v>45</v>
      </c>
      <c r="P2783" s="47" t="s">
        <v>46</v>
      </c>
      <c r="Q2783" s="14">
        <v>0.06</v>
      </c>
      <c r="R2783" s="143">
        <v>6962945</v>
      </c>
      <c r="S2783" s="47"/>
      <c r="T2783" s="6">
        <v>7.9999995032267179E-3</v>
      </c>
      <c r="U2783" s="6">
        <v>0</v>
      </c>
      <c r="V2783" s="6">
        <v>0</v>
      </c>
      <c r="W2783" s="6">
        <f t="shared" si="437"/>
        <v>7.9999995032267179E-3</v>
      </c>
      <c r="X2783" s="6">
        <f t="shared" si="438"/>
        <v>0</v>
      </c>
      <c r="Y2783" s="13">
        <f t="shared" si="421"/>
        <v>0</v>
      </c>
      <c r="Z2783" s="14">
        <v>0</v>
      </c>
      <c r="AA2783" s="6">
        <v>0</v>
      </c>
      <c r="AB2783" s="4">
        <f t="shared" si="422"/>
        <v>0</v>
      </c>
      <c r="AC2783" s="4">
        <f t="shared" si="439"/>
        <v>0</v>
      </c>
      <c r="AD2783" s="6">
        <f t="shared" si="441"/>
        <v>0</v>
      </c>
      <c r="AE2783" s="2">
        <v>0</v>
      </c>
      <c r="AF2783" s="6">
        <f t="shared" si="440"/>
        <v>0</v>
      </c>
      <c r="AG2783" s="14">
        <v>0</v>
      </c>
      <c r="AH2783" s="6">
        <v>0</v>
      </c>
      <c r="AI2783" s="47"/>
      <c r="AJ2783" s="126" t="e">
        <v>#N/A</v>
      </c>
      <c r="AK2783" s="80">
        <f t="shared" si="423"/>
        <v>0</v>
      </c>
      <c r="AM2783" s="85"/>
    </row>
    <row r="2784" spans="1:39" hidden="1" x14ac:dyDescent="0.3">
      <c r="A2784" s="89" t="s">
        <v>3396</v>
      </c>
      <c r="B2784" s="86" t="s">
        <v>35</v>
      </c>
      <c r="C2784" s="86" t="s">
        <v>184</v>
      </c>
      <c r="D2784" s="86" t="s">
        <v>185</v>
      </c>
      <c r="E2784" s="86" t="s">
        <v>261</v>
      </c>
      <c r="F2784" s="86" t="s">
        <v>261</v>
      </c>
      <c r="G2784" s="86" t="s">
        <v>261</v>
      </c>
      <c r="H2784" s="143">
        <v>327</v>
      </c>
      <c r="I2784" s="86" t="s">
        <v>3121</v>
      </c>
      <c r="J2784" s="1" t="s">
        <v>3323</v>
      </c>
      <c r="K2784" s="1" t="s">
        <v>3274</v>
      </c>
      <c r="L2784" s="1" t="s">
        <v>35</v>
      </c>
      <c r="M2784" s="86" t="s">
        <v>3124</v>
      </c>
      <c r="N2784" s="86"/>
      <c r="O2784" s="47" t="s">
        <v>45</v>
      </c>
      <c r="P2784" s="47" t="s">
        <v>46</v>
      </c>
      <c r="Q2784" s="14">
        <v>0.06</v>
      </c>
      <c r="R2784" s="143">
        <v>7194441</v>
      </c>
      <c r="S2784" s="47"/>
      <c r="T2784" s="6">
        <v>8.9999999909196049E-3</v>
      </c>
      <c r="U2784" s="6">
        <v>0</v>
      </c>
      <c r="V2784" s="6">
        <v>0</v>
      </c>
      <c r="W2784" s="6">
        <f t="shared" si="437"/>
        <v>8.9999999909196049E-3</v>
      </c>
      <c r="X2784" s="6">
        <f t="shared" si="438"/>
        <v>0</v>
      </c>
      <c r="Y2784" s="13">
        <f t="shared" si="421"/>
        <v>0</v>
      </c>
      <c r="Z2784" s="14">
        <v>0</v>
      </c>
      <c r="AA2784" s="6">
        <v>0</v>
      </c>
      <c r="AB2784" s="4">
        <f t="shared" si="422"/>
        <v>0</v>
      </c>
      <c r="AC2784" s="4">
        <f t="shared" si="439"/>
        <v>0</v>
      </c>
      <c r="AD2784" s="6">
        <f t="shared" si="441"/>
        <v>0</v>
      </c>
      <c r="AE2784" s="2">
        <v>0</v>
      </c>
      <c r="AF2784" s="6">
        <f t="shared" si="440"/>
        <v>0</v>
      </c>
      <c r="AG2784" s="14">
        <v>0</v>
      </c>
      <c r="AH2784" s="6">
        <v>0</v>
      </c>
      <c r="AI2784" s="47"/>
      <c r="AJ2784" s="126" t="e">
        <v>#N/A</v>
      </c>
      <c r="AK2784" s="80">
        <f t="shared" si="423"/>
        <v>0</v>
      </c>
      <c r="AM2784" s="85"/>
    </row>
    <row r="2785" spans="1:39" hidden="1" x14ac:dyDescent="0.3">
      <c r="A2785" s="89" t="s">
        <v>3397</v>
      </c>
      <c r="B2785" s="86" t="s">
        <v>35</v>
      </c>
      <c r="C2785" s="86" t="s">
        <v>164</v>
      </c>
      <c r="D2785" s="86" t="s">
        <v>165</v>
      </c>
      <c r="E2785" s="86" t="s">
        <v>166</v>
      </c>
      <c r="F2785" s="86" t="s">
        <v>166</v>
      </c>
      <c r="G2785" s="86" t="s">
        <v>166</v>
      </c>
      <c r="H2785" s="143">
        <v>346</v>
      </c>
      <c r="I2785" s="86" t="s">
        <v>3126</v>
      </c>
      <c r="J2785" s="1" t="s">
        <v>3323</v>
      </c>
      <c r="K2785" s="1" t="s">
        <v>3272</v>
      </c>
      <c r="L2785" s="1" t="s">
        <v>35</v>
      </c>
      <c r="M2785" s="86" t="s">
        <v>166</v>
      </c>
      <c r="N2785" s="86"/>
      <c r="O2785" s="47" t="s">
        <v>45</v>
      </c>
      <c r="P2785" s="47" t="s">
        <v>46</v>
      </c>
      <c r="Q2785" s="14">
        <v>0.03</v>
      </c>
      <c r="R2785" s="143">
        <v>18001206</v>
      </c>
      <c r="S2785" s="47"/>
      <c r="T2785" s="6">
        <v>14695.009999999998</v>
      </c>
      <c r="U2785" s="6">
        <v>0</v>
      </c>
      <c r="V2785" s="6">
        <v>0</v>
      </c>
      <c r="W2785" s="6">
        <f t="shared" si="437"/>
        <v>14695.009999999998</v>
      </c>
      <c r="X2785" s="6">
        <f t="shared" si="438"/>
        <v>0</v>
      </c>
      <c r="Y2785" s="13">
        <f t="shared" si="421"/>
        <v>0</v>
      </c>
      <c r="Z2785" s="14">
        <v>0</v>
      </c>
      <c r="AA2785" s="6">
        <v>0</v>
      </c>
      <c r="AB2785" s="4">
        <f t="shared" si="422"/>
        <v>0</v>
      </c>
      <c r="AC2785" s="4">
        <f t="shared" si="439"/>
        <v>0</v>
      </c>
      <c r="AD2785" s="6">
        <f t="shared" si="441"/>
        <v>0</v>
      </c>
      <c r="AE2785" s="2">
        <v>0</v>
      </c>
      <c r="AF2785" s="6">
        <f t="shared" si="440"/>
        <v>0</v>
      </c>
      <c r="AG2785" s="14">
        <v>0</v>
      </c>
      <c r="AH2785" s="64">
        <f t="shared" ref="AH2785:AH2788" si="442">AD2785</f>
        <v>0</v>
      </c>
      <c r="AI2785" s="47"/>
      <c r="AJ2785" s="126" t="e">
        <v>#N/A</v>
      </c>
      <c r="AK2785" s="80">
        <f t="shared" si="423"/>
        <v>0</v>
      </c>
      <c r="AM2785" s="85"/>
    </row>
    <row r="2786" spans="1:39" hidden="1" x14ac:dyDescent="0.3">
      <c r="A2786" s="89" t="s">
        <v>3394</v>
      </c>
      <c r="B2786" s="86" t="s">
        <v>35</v>
      </c>
      <c r="C2786" s="86" t="s">
        <v>65</v>
      </c>
      <c r="D2786" s="86" t="s">
        <v>66</v>
      </c>
      <c r="E2786" s="86" t="s">
        <v>3127</v>
      </c>
      <c r="F2786" s="86" t="s">
        <v>3127</v>
      </c>
      <c r="G2786" s="86" t="s">
        <v>3127</v>
      </c>
      <c r="H2786" s="143">
        <v>346</v>
      </c>
      <c r="I2786" s="86" t="s">
        <v>3126</v>
      </c>
      <c r="J2786" s="1" t="s">
        <v>3323</v>
      </c>
      <c r="K2786" s="1" t="s">
        <v>3272</v>
      </c>
      <c r="L2786" s="1" t="s">
        <v>35</v>
      </c>
      <c r="M2786" s="86" t="s">
        <v>3128</v>
      </c>
      <c r="N2786" s="86"/>
      <c r="O2786" s="47" t="s">
        <v>45</v>
      </c>
      <c r="P2786" s="47" t="s">
        <v>46</v>
      </c>
      <c r="Q2786" s="14">
        <v>0.04</v>
      </c>
      <c r="R2786" s="143">
        <v>17821667</v>
      </c>
      <c r="S2786" s="47"/>
      <c r="T2786" s="6">
        <v>5946.98</v>
      </c>
      <c r="U2786" s="6">
        <v>0</v>
      </c>
      <c r="V2786" s="6">
        <v>0</v>
      </c>
      <c r="W2786" s="6">
        <f t="shared" si="437"/>
        <v>5946.98</v>
      </c>
      <c r="X2786" s="6">
        <f t="shared" si="438"/>
        <v>0</v>
      </c>
      <c r="Y2786" s="13">
        <f t="shared" si="421"/>
        <v>0</v>
      </c>
      <c r="Z2786" s="14">
        <v>0</v>
      </c>
      <c r="AA2786" s="6">
        <v>0</v>
      </c>
      <c r="AB2786" s="4">
        <f t="shared" si="422"/>
        <v>0</v>
      </c>
      <c r="AC2786" s="4">
        <f t="shared" si="439"/>
        <v>0</v>
      </c>
      <c r="AD2786" s="6">
        <f t="shared" si="441"/>
        <v>0</v>
      </c>
      <c r="AE2786" s="2">
        <v>0</v>
      </c>
      <c r="AF2786" s="6">
        <f t="shared" si="440"/>
        <v>0</v>
      </c>
      <c r="AG2786" s="14">
        <v>0</v>
      </c>
      <c r="AH2786" s="64">
        <f t="shared" si="442"/>
        <v>0</v>
      </c>
      <c r="AI2786" s="47"/>
      <c r="AJ2786" s="126" t="e">
        <v>#N/A</v>
      </c>
      <c r="AK2786" s="80">
        <f t="shared" si="423"/>
        <v>0</v>
      </c>
      <c r="AM2786" s="85"/>
    </row>
    <row r="2787" spans="1:39" hidden="1" x14ac:dyDescent="0.3">
      <c r="A2787" s="89" t="s">
        <v>3395</v>
      </c>
      <c r="B2787" s="86" t="s">
        <v>35</v>
      </c>
      <c r="C2787" s="86" t="s">
        <v>65</v>
      </c>
      <c r="D2787" s="86" t="s">
        <v>66</v>
      </c>
      <c r="E2787" s="86" t="s">
        <v>3127</v>
      </c>
      <c r="F2787" s="86" t="s">
        <v>3127</v>
      </c>
      <c r="G2787" s="86" t="s">
        <v>3127</v>
      </c>
      <c r="H2787" s="143">
        <v>346</v>
      </c>
      <c r="I2787" s="86" t="s">
        <v>3126</v>
      </c>
      <c r="J2787" s="1" t="s">
        <v>3323</v>
      </c>
      <c r="K2787" s="1" t="s">
        <v>3272</v>
      </c>
      <c r="L2787" s="1" t="s">
        <v>35</v>
      </c>
      <c r="M2787" s="86" t="s">
        <v>3128</v>
      </c>
      <c r="N2787" s="86"/>
      <c r="O2787" s="47" t="s">
        <v>45</v>
      </c>
      <c r="P2787" s="47" t="s">
        <v>46</v>
      </c>
      <c r="Q2787" s="14">
        <v>0.04</v>
      </c>
      <c r="R2787" s="143">
        <v>17883981</v>
      </c>
      <c r="S2787" s="47"/>
      <c r="T2787" s="6">
        <v>5126.3500000000004</v>
      </c>
      <c r="U2787" s="6">
        <v>0</v>
      </c>
      <c r="V2787" s="6">
        <v>0</v>
      </c>
      <c r="W2787" s="6">
        <f t="shared" si="437"/>
        <v>5126.3500000000004</v>
      </c>
      <c r="X2787" s="6">
        <f t="shared" si="438"/>
        <v>0</v>
      </c>
      <c r="Y2787" s="13">
        <f t="shared" si="421"/>
        <v>0</v>
      </c>
      <c r="Z2787" s="14">
        <v>0</v>
      </c>
      <c r="AA2787" s="6">
        <v>0</v>
      </c>
      <c r="AB2787" s="4">
        <f t="shared" si="422"/>
        <v>0</v>
      </c>
      <c r="AC2787" s="4">
        <f t="shared" si="439"/>
        <v>0</v>
      </c>
      <c r="AD2787" s="6">
        <f t="shared" si="441"/>
        <v>0</v>
      </c>
      <c r="AE2787" s="2">
        <v>0</v>
      </c>
      <c r="AF2787" s="6">
        <f t="shared" si="440"/>
        <v>0</v>
      </c>
      <c r="AG2787" s="14">
        <v>0</v>
      </c>
      <c r="AH2787" s="64">
        <f t="shared" si="442"/>
        <v>0</v>
      </c>
      <c r="AI2787" s="47"/>
      <c r="AJ2787" s="126" t="e">
        <v>#N/A</v>
      </c>
      <c r="AK2787" s="80">
        <f t="shared" si="423"/>
        <v>0</v>
      </c>
      <c r="AM2787" s="85"/>
    </row>
    <row r="2788" spans="1:39" hidden="1" x14ac:dyDescent="0.3">
      <c r="A2788" s="89" t="s">
        <v>3394</v>
      </c>
      <c r="B2788" s="86" t="s">
        <v>35</v>
      </c>
      <c r="C2788" s="86" t="s">
        <v>164</v>
      </c>
      <c r="D2788" s="86" t="s">
        <v>165</v>
      </c>
      <c r="E2788" s="86" t="s">
        <v>166</v>
      </c>
      <c r="F2788" s="86" t="s">
        <v>166</v>
      </c>
      <c r="G2788" s="86" t="s">
        <v>166</v>
      </c>
      <c r="H2788" s="143">
        <v>346</v>
      </c>
      <c r="I2788" s="86" t="s">
        <v>3126</v>
      </c>
      <c r="J2788" s="1" t="s">
        <v>3323</v>
      </c>
      <c r="K2788" s="1" t="s">
        <v>3272</v>
      </c>
      <c r="L2788" s="1" t="s">
        <v>35</v>
      </c>
      <c r="M2788" s="86" t="s">
        <v>166</v>
      </c>
      <c r="N2788" s="86"/>
      <c r="O2788" s="47" t="s">
        <v>45</v>
      </c>
      <c r="P2788" s="47" t="s">
        <v>46</v>
      </c>
      <c r="Q2788" s="14">
        <v>0.03</v>
      </c>
      <c r="R2788" s="143">
        <v>18001207</v>
      </c>
      <c r="S2788" s="47"/>
      <c r="T2788" s="6">
        <v>6831.73</v>
      </c>
      <c r="U2788" s="6">
        <v>0</v>
      </c>
      <c r="V2788" s="6">
        <v>0</v>
      </c>
      <c r="W2788" s="6">
        <f t="shared" si="437"/>
        <v>6831.73</v>
      </c>
      <c r="X2788" s="6">
        <f t="shared" si="438"/>
        <v>0</v>
      </c>
      <c r="Y2788" s="13">
        <f t="shared" si="421"/>
        <v>0</v>
      </c>
      <c r="Z2788" s="14">
        <v>0</v>
      </c>
      <c r="AA2788" s="6">
        <v>0</v>
      </c>
      <c r="AB2788" s="4">
        <f t="shared" si="422"/>
        <v>0</v>
      </c>
      <c r="AC2788" s="4">
        <f t="shared" si="439"/>
        <v>0</v>
      </c>
      <c r="AD2788" s="6">
        <f t="shared" si="441"/>
        <v>0</v>
      </c>
      <c r="AE2788" s="2">
        <v>0</v>
      </c>
      <c r="AF2788" s="6">
        <f t="shared" si="440"/>
        <v>0</v>
      </c>
      <c r="AG2788" s="14">
        <v>0</v>
      </c>
      <c r="AH2788" s="64">
        <f t="shared" si="442"/>
        <v>0</v>
      </c>
      <c r="AI2788" s="47"/>
      <c r="AJ2788" s="126" t="e">
        <v>#N/A</v>
      </c>
      <c r="AK2788" s="80">
        <f t="shared" si="423"/>
        <v>0</v>
      </c>
      <c r="AM2788" s="85"/>
    </row>
    <row r="2789" spans="1:39" hidden="1" x14ac:dyDescent="0.3">
      <c r="A2789" s="89" t="s">
        <v>3392</v>
      </c>
      <c r="B2789" s="86" t="s">
        <v>35</v>
      </c>
      <c r="C2789" s="86" t="s">
        <v>36</v>
      </c>
      <c r="D2789" s="86" t="s">
        <v>54</v>
      </c>
      <c r="E2789" s="86" t="s">
        <v>521</v>
      </c>
      <c r="F2789" s="86" t="s">
        <v>2703</v>
      </c>
      <c r="G2789" s="86" t="s">
        <v>1845</v>
      </c>
      <c r="H2789" s="144">
        <v>83</v>
      </c>
      <c r="I2789" s="86" t="s">
        <v>78</v>
      </c>
      <c r="J2789" s="1" t="s">
        <v>3303</v>
      </c>
      <c r="K2789" s="1" t="s">
        <v>3276</v>
      </c>
      <c r="L2789" s="1" t="s">
        <v>701</v>
      </c>
      <c r="M2789" s="86" t="s">
        <v>2704</v>
      </c>
      <c r="N2789" s="86"/>
      <c r="O2789" s="47" t="s">
        <v>410</v>
      </c>
      <c r="P2789" s="47" t="s">
        <v>41</v>
      </c>
      <c r="Q2789" s="14">
        <v>0</v>
      </c>
      <c r="R2789" s="143">
        <v>7101</v>
      </c>
      <c r="S2789" s="47"/>
      <c r="T2789" s="6">
        <v>8859.6899999999987</v>
      </c>
      <c r="U2789" s="6">
        <v>25000</v>
      </c>
      <c r="V2789" s="6">
        <v>21614.87</v>
      </c>
      <c r="W2789" s="6">
        <f>T2789+U2789-V2789</f>
        <v>12244.820000000003</v>
      </c>
      <c r="X2789" s="6">
        <f>IF(P2789="折扣",V2789*Q2789,IF(P2789="返现",V2789,V2789/(1+Q2789)))</f>
        <v>21614.87</v>
      </c>
      <c r="Y2789" s="13">
        <f t="shared" si="421"/>
        <v>0</v>
      </c>
      <c r="Z2789" s="14">
        <v>0</v>
      </c>
      <c r="AA2789" s="6">
        <v>0</v>
      </c>
      <c r="AB2789" s="4">
        <f t="shared" si="422"/>
        <v>21614.87</v>
      </c>
      <c r="AC2789" s="4">
        <f t="shared" si="439"/>
        <v>0</v>
      </c>
      <c r="AD2789" s="6">
        <f>V2789</f>
        <v>21614.87</v>
      </c>
      <c r="AE2789" s="2">
        <f>VLOOKUP(I2789,[1]媒体政策预估表!A:N,MATCH(O2789,[1]媒体政策预估表!$A$2:$M$2,0),0)</f>
        <v>0.17</v>
      </c>
      <c r="AF2789" s="6">
        <f t="shared" si="440"/>
        <v>3674.5279</v>
      </c>
      <c r="AG2789" s="14">
        <v>0</v>
      </c>
      <c r="AH2789" s="64">
        <f>V2789</f>
        <v>21614.87</v>
      </c>
      <c r="AI2789" s="47"/>
      <c r="AJ2789" s="126" t="e">
        <v>#N/A</v>
      </c>
      <c r="AK2789" s="80">
        <f t="shared" si="423"/>
        <v>0</v>
      </c>
      <c r="AM2789" s="85"/>
    </row>
    <row r="2790" spans="1:39" hidden="1" x14ac:dyDescent="0.3">
      <c r="A2790" s="89" t="s">
        <v>3395</v>
      </c>
      <c r="B2790" s="86" t="s">
        <v>35</v>
      </c>
      <c r="C2790" s="86" t="s">
        <v>36</v>
      </c>
      <c r="D2790" s="86" t="s">
        <v>54</v>
      </c>
      <c r="E2790" s="86" t="s">
        <v>2695</v>
      </c>
      <c r="F2790" s="86" t="s">
        <v>2696</v>
      </c>
      <c r="G2790" s="86" t="s">
        <v>1845</v>
      </c>
      <c r="H2790" s="144">
        <v>83</v>
      </c>
      <c r="I2790" s="86" t="s">
        <v>78</v>
      </c>
      <c r="J2790" s="1" t="s">
        <v>3303</v>
      </c>
      <c r="K2790" s="1" t="s">
        <v>3276</v>
      </c>
      <c r="L2790" s="1" t="s">
        <v>701</v>
      </c>
      <c r="M2790" s="86" t="s">
        <v>2865</v>
      </c>
      <c r="N2790" s="86"/>
      <c r="O2790" s="47" t="s">
        <v>410</v>
      </c>
      <c r="P2790" s="47" t="s">
        <v>41</v>
      </c>
      <c r="Q2790" s="14">
        <v>0</v>
      </c>
      <c r="R2790" s="143">
        <v>7523</v>
      </c>
      <c r="S2790" s="47"/>
      <c r="T2790" s="6">
        <v>0</v>
      </c>
      <c r="U2790" s="6">
        <v>50000</v>
      </c>
      <c r="V2790" s="6">
        <v>8094.0799999999726</v>
      </c>
      <c r="W2790" s="6">
        <f t="shared" ref="W2790:W2853" si="443">T2790+U2790-V2790</f>
        <v>41905.920000000027</v>
      </c>
      <c r="X2790" s="6">
        <f t="shared" ref="X2790:X2853" si="444">IF(P2790="折扣",V2790*Q2790,IF(P2790="返现",V2790,V2790/(1+Q2790)))</f>
        <v>8094.0799999999726</v>
      </c>
      <c r="Y2790" s="13">
        <f t="shared" si="421"/>
        <v>0</v>
      </c>
      <c r="Z2790" s="14">
        <v>0</v>
      </c>
      <c r="AA2790" s="6">
        <v>0</v>
      </c>
      <c r="AB2790" s="4">
        <f t="shared" si="422"/>
        <v>8094.0799999999726</v>
      </c>
      <c r="AC2790" s="4">
        <f t="shared" si="439"/>
        <v>0</v>
      </c>
      <c r="AD2790" s="6">
        <f t="shared" ref="AD2790:AD2853" si="445">V2790</f>
        <v>8094.0799999999726</v>
      </c>
      <c r="AE2790" s="2">
        <f>VLOOKUP(I2790,[1]媒体政策预估表!A:N,MATCH(O2790,[1]媒体政策预估表!$A$2:$M$2,0),0)</f>
        <v>0.17</v>
      </c>
      <c r="AF2790" s="6">
        <f t="shared" si="440"/>
        <v>1375.9935999999955</v>
      </c>
      <c r="AG2790" s="14">
        <v>0</v>
      </c>
      <c r="AH2790" s="64">
        <f t="shared" ref="AH2790:AH2853" si="446">V2790</f>
        <v>8094.0799999999726</v>
      </c>
      <c r="AI2790" s="47"/>
      <c r="AJ2790" s="126" t="e">
        <v>#N/A</v>
      </c>
      <c r="AK2790" s="80">
        <f t="shared" si="423"/>
        <v>0</v>
      </c>
      <c r="AM2790" s="85"/>
    </row>
    <row r="2791" spans="1:39" hidden="1" x14ac:dyDescent="0.3">
      <c r="A2791" s="89" t="s">
        <v>3395</v>
      </c>
      <c r="B2791" s="86" t="s">
        <v>35</v>
      </c>
      <c r="C2791" s="86" t="s">
        <v>36</v>
      </c>
      <c r="D2791" s="86" t="s">
        <v>54</v>
      </c>
      <c r="E2791" s="86" t="s">
        <v>2695</v>
      </c>
      <c r="F2791" s="86" t="s">
        <v>2696</v>
      </c>
      <c r="G2791" s="86" t="s">
        <v>1845</v>
      </c>
      <c r="H2791" s="144">
        <v>83</v>
      </c>
      <c r="I2791" s="86" t="s">
        <v>78</v>
      </c>
      <c r="J2791" s="1" t="s">
        <v>3303</v>
      </c>
      <c r="K2791" s="1" t="s">
        <v>3276</v>
      </c>
      <c r="L2791" s="1" t="s">
        <v>701</v>
      </c>
      <c r="M2791" s="86" t="s">
        <v>2697</v>
      </c>
      <c r="N2791" s="86"/>
      <c r="O2791" s="47" t="s">
        <v>410</v>
      </c>
      <c r="P2791" s="47" t="s">
        <v>41</v>
      </c>
      <c r="Q2791" s="14">
        <v>0</v>
      </c>
      <c r="R2791" s="143">
        <v>7170</v>
      </c>
      <c r="S2791" s="47"/>
      <c r="T2791" s="6">
        <v>-14073.44</v>
      </c>
      <c r="U2791" s="6">
        <v>100000</v>
      </c>
      <c r="V2791" s="6">
        <v>92823.61</v>
      </c>
      <c r="W2791" s="6">
        <f t="shared" si="443"/>
        <v>-6897.0500000000029</v>
      </c>
      <c r="X2791" s="6">
        <f t="shared" si="444"/>
        <v>92823.61</v>
      </c>
      <c r="Y2791" s="13">
        <f t="shared" si="421"/>
        <v>0</v>
      </c>
      <c r="Z2791" s="14">
        <v>0</v>
      </c>
      <c r="AA2791" s="6">
        <v>0</v>
      </c>
      <c r="AB2791" s="4">
        <f t="shared" si="422"/>
        <v>92823.61</v>
      </c>
      <c r="AC2791" s="4">
        <f t="shared" si="439"/>
        <v>0</v>
      </c>
      <c r="AD2791" s="6">
        <f t="shared" si="445"/>
        <v>92823.61</v>
      </c>
      <c r="AE2791" s="2">
        <f>VLOOKUP(I2791,[1]媒体政策预估表!A:N,MATCH(O2791,[1]媒体政策预估表!$A$2:$M$2,0),0)</f>
        <v>0.17</v>
      </c>
      <c r="AF2791" s="6">
        <f t="shared" si="440"/>
        <v>15780.013700000001</v>
      </c>
      <c r="AG2791" s="14">
        <v>0</v>
      </c>
      <c r="AH2791" s="64">
        <f t="shared" si="446"/>
        <v>92823.61</v>
      </c>
      <c r="AI2791" s="47"/>
      <c r="AJ2791" s="126" t="e">
        <v>#N/A</v>
      </c>
      <c r="AK2791" s="80">
        <f t="shared" si="423"/>
        <v>0</v>
      </c>
      <c r="AM2791" s="85"/>
    </row>
    <row r="2792" spans="1:39" hidden="1" x14ac:dyDescent="0.3">
      <c r="A2792" s="89" t="s">
        <v>3394</v>
      </c>
      <c r="B2792" s="86" t="s">
        <v>35</v>
      </c>
      <c r="C2792" s="86" t="s">
        <v>65</v>
      </c>
      <c r="D2792" s="86" t="s">
        <v>66</v>
      </c>
      <c r="E2792" s="86" t="s">
        <v>2354</v>
      </c>
      <c r="F2792" s="86" t="s">
        <v>2700</v>
      </c>
      <c r="G2792" s="86" t="s">
        <v>1845</v>
      </c>
      <c r="H2792" s="144">
        <v>83</v>
      </c>
      <c r="I2792" s="86" t="s">
        <v>78</v>
      </c>
      <c r="J2792" s="1" t="s">
        <v>3303</v>
      </c>
      <c r="K2792" s="1" t="s">
        <v>3276</v>
      </c>
      <c r="L2792" s="1" t="s">
        <v>701</v>
      </c>
      <c r="M2792" s="86" t="s">
        <v>2354</v>
      </c>
      <c r="N2792" s="86"/>
      <c r="O2792" s="47" t="s">
        <v>410</v>
      </c>
      <c r="P2792" s="47" t="s">
        <v>41</v>
      </c>
      <c r="Q2792" s="14">
        <v>0</v>
      </c>
      <c r="R2792" s="143">
        <v>7109</v>
      </c>
      <c r="S2792" s="47"/>
      <c r="T2792" s="6">
        <v>8320.4100000000108</v>
      </c>
      <c r="U2792" s="6">
        <v>30000</v>
      </c>
      <c r="V2792" s="6">
        <v>23588.5</v>
      </c>
      <c r="W2792" s="6">
        <f t="shared" si="443"/>
        <v>14731.910000000011</v>
      </c>
      <c r="X2792" s="6">
        <f t="shared" si="444"/>
        <v>23588.5</v>
      </c>
      <c r="Y2792" s="13">
        <f t="shared" si="421"/>
        <v>0</v>
      </c>
      <c r="Z2792" s="14">
        <v>0</v>
      </c>
      <c r="AA2792" s="6">
        <v>0</v>
      </c>
      <c r="AB2792" s="4">
        <f t="shared" si="422"/>
        <v>23588.5</v>
      </c>
      <c r="AC2792" s="4">
        <f t="shared" si="439"/>
        <v>0</v>
      </c>
      <c r="AD2792" s="6">
        <f t="shared" si="445"/>
        <v>23588.5</v>
      </c>
      <c r="AE2792" s="2">
        <f>VLOOKUP(I2792,[1]媒体政策预估表!A:N,MATCH(O2792,[1]媒体政策预估表!$A$2:$M$2,0),0)</f>
        <v>0.17</v>
      </c>
      <c r="AF2792" s="6">
        <f t="shared" si="440"/>
        <v>4010.0450000000001</v>
      </c>
      <c r="AG2792" s="14">
        <v>0</v>
      </c>
      <c r="AH2792" s="64">
        <f t="shared" si="446"/>
        <v>23588.5</v>
      </c>
      <c r="AI2792" s="47"/>
      <c r="AJ2792" s="126" t="e">
        <v>#N/A</v>
      </c>
      <c r="AK2792" s="80">
        <f t="shared" si="423"/>
        <v>0</v>
      </c>
      <c r="AM2792" s="85"/>
    </row>
    <row r="2793" spans="1:39" hidden="1" x14ac:dyDescent="0.3">
      <c r="A2793" s="89" t="s">
        <v>3394</v>
      </c>
      <c r="B2793" s="86" t="s">
        <v>35</v>
      </c>
      <c r="C2793" s="86" t="s">
        <v>65</v>
      </c>
      <c r="D2793" s="86" t="s">
        <v>66</v>
      </c>
      <c r="E2793" s="86" t="s">
        <v>2709</v>
      </c>
      <c r="F2793" s="86" t="s">
        <v>2710</v>
      </c>
      <c r="G2793" s="86" t="s">
        <v>1845</v>
      </c>
      <c r="H2793" s="144">
        <v>83</v>
      </c>
      <c r="I2793" s="86" t="s">
        <v>78</v>
      </c>
      <c r="J2793" s="1" t="s">
        <v>3303</v>
      </c>
      <c r="K2793" s="1" t="s">
        <v>3276</v>
      </c>
      <c r="L2793" s="1" t="s">
        <v>701</v>
      </c>
      <c r="M2793" s="86" t="s">
        <v>2709</v>
      </c>
      <c r="N2793" s="86"/>
      <c r="O2793" s="47" t="s">
        <v>410</v>
      </c>
      <c r="P2793" s="47" t="s">
        <v>46</v>
      </c>
      <c r="Q2793" s="14">
        <v>0.02</v>
      </c>
      <c r="R2793" s="143">
        <v>7576</v>
      </c>
      <c r="S2793" s="47"/>
      <c r="T2793" s="6">
        <v>8467.69</v>
      </c>
      <c r="U2793" s="6">
        <v>10000</v>
      </c>
      <c r="V2793" s="6">
        <v>11134.03</v>
      </c>
      <c r="W2793" s="6">
        <f t="shared" si="443"/>
        <v>7333.6600000000017</v>
      </c>
      <c r="X2793" s="6">
        <f t="shared" si="444"/>
        <v>10915.715686274511</v>
      </c>
      <c r="Y2793" s="13">
        <f t="shared" si="421"/>
        <v>0</v>
      </c>
      <c r="Z2793" s="14">
        <v>0</v>
      </c>
      <c r="AA2793" s="6">
        <v>0</v>
      </c>
      <c r="AB2793" s="4">
        <f t="shared" si="422"/>
        <v>10915.715686274511</v>
      </c>
      <c r="AC2793" s="4">
        <f t="shared" si="439"/>
        <v>218.31431372549014</v>
      </c>
      <c r="AD2793" s="6">
        <f t="shared" si="445"/>
        <v>11134.03</v>
      </c>
      <c r="AE2793" s="2">
        <f>VLOOKUP(I2793,[1]媒体政策预估表!A:N,MATCH(O2793,[1]媒体政策预估表!$A$2:$M$2,0),0)</f>
        <v>0.17</v>
      </c>
      <c r="AF2793" s="6">
        <f t="shared" si="440"/>
        <v>1892.7851000000003</v>
      </c>
      <c r="AG2793" s="14">
        <v>0</v>
      </c>
      <c r="AH2793" s="64">
        <f t="shared" si="446"/>
        <v>11134.03</v>
      </c>
      <c r="AI2793" s="47"/>
      <c r="AJ2793" s="126" t="e">
        <v>#N/A</v>
      </c>
      <c r="AK2793" s="80">
        <f t="shared" si="423"/>
        <v>0</v>
      </c>
      <c r="AM2793" s="85"/>
    </row>
    <row r="2794" spans="1:39" hidden="1" x14ac:dyDescent="0.3">
      <c r="A2794" s="89" t="s">
        <v>3392</v>
      </c>
      <c r="B2794" s="86" t="s">
        <v>35</v>
      </c>
      <c r="C2794" s="86" t="s">
        <v>65</v>
      </c>
      <c r="D2794" s="86" t="s">
        <v>66</v>
      </c>
      <c r="E2794" s="86" t="s">
        <v>2678</v>
      </c>
      <c r="F2794" s="86" t="s">
        <v>2701</v>
      </c>
      <c r="G2794" s="86" t="s">
        <v>1845</v>
      </c>
      <c r="H2794" s="144">
        <v>83</v>
      </c>
      <c r="I2794" s="86" t="s">
        <v>78</v>
      </c>
      <c r="J2794" s="1" t="s">
        <v>3303</v>
      </c>
      <c r="K2794" s="1" t="s">
        <v>3276</v>
      </c>
      <c r="L2794" s="1" t="s">
        <v>701</v>
      </c>
      <c r="M2794" s="86" t="s">
        <v>2702</v>
      </c>
      <c r="N2794" s="86"/>
      <c r="O2794" s="47" t="s">
        <v>410</v>
      </c>
      <c r="P2794" s="47" t="s">
        <v>41</v>
      </c>
      <c r="Q2794" s="14">
        <v>0</v>
      </c>
      <c r="R2794" s="143">
        <v>7152</v>
      </c>
      <c r="S2794" s="47"/>
      <c r="T2794" s="6">
        <v>37323.790000000008</v>
      </c>
      <c r="U2794" s="6">
        <v>150000</v>
      </c>
      <c r="V2794" s="6">
        <v>84289</v>
      </c>
      <c r="W2794" s="6">
        <f t="shared" si="443"/>
        <v>103034.79000000001</v>
      </c>
      <c r="X2794" s="6">
        <f t="shared" si="444"/>
        <v>84289</v>
      </c>
      <c r="Y2794" s="13">
        <f t="shared" si="421"/>
        <v>0</v>
      </c>
      <c r="Z2794" s="14">
        <v>0</v>
      </c>
      <c r="AA2794" s="6">
        <v>0</v>
      </c>
      <c r="AB2794" s="4">
        <f t="shared" si="422"/>
        <v>84289</v>
      </c>
      <c r="AC2794" s="4">
        <f t="shared" si="439"/>
        <v>0</v>
      </c>
      <c r="AD2794" s="6">
        <f t="shared" si="445"/>
        <v>84289</v>
      </c>
      <c r="AE2794" s="2">
        <f>VLOOKUP(I2794,[1]媒体政策预估表!A:N,MATCH(O2794,[1]媒体政策预估表!$A$2:$M$2,0),0)</f>
        <v>0.17</v>
      </c>
      <c r="AF2794" s="6">
        <f t="shared" si="440"/>
        <v>14329.130000000001</v>
      </c>
      <c r="AG2794" s="14">
        <v>0</v>
      </c>
      <c r="AH2794" s="64">
        <f t="shared" si="446"/>
        <v>84289</v>
      </c>
      <c r="AI2794" s="47"/>
      <c r="AJ2794" s="126" t="e">
        <v>#N/A</v>
      </c>
      <c r="AK2794" s="80">
        <f t="shared" si="423"/>
        <v>0</v>
      </c>
      <c r="AM2794" s="85"/>
    </row>
    <row r="2795" spans="1:39" hidden="1" x14ac:dyDescent="0.3">
      <c r="A2795" s="89" t="s">
        <v>3394</v>
      </c>
      <c r="B2795" s="86" t="s">
        <v>35</v>
      </c>
      <c r="C2795" s="86" t="s">
        <v>47</v>
      </c>
      <c r="D2795" s="86" t="s">
        <v>48</v>
      </c>
      <c r="E2795" s="86" t="s">
        <v>542</v>
      </c>
      <c r="F2795" s="86" t="s">
        <v>2707</v>
      </c>
      <c r="G2795" s="86" t="s">
        <v>1845</v>
      </c>
      <c r="H2795" s="144">
        <v>83</v>
      </c>
      <c r="I2795" s="86" t="s">
        <v>78</v>
      </c>
      <c r="J2795" s="1" t="s">
        <v>3303</v>
      </c>
      <c r="K2795" s="1" t="s">
        <v>3276</v>
      </c>
      <c r="L2795" s="1" t="s">
        <v>701</v>
      </c>
      <c r="M2795" s="86" t="s">
        <v>2708</v>
      </c>
      <c r="N2795" s="86"/>
      <c r="O2795" s="47" t="s">
        <v>410</v>
      </c>
      <c r="P2795" s="47" t="s">
        <v>46</v>
      </c>
      <c r="Q2795" s="14">
        <v>0.02</v>
      </c>
      <c r="R2795" s="143">
        <v>7148</v>
      </c>
      <c r="S2795" s="47"/>
      <c r="T2795" s="6">
        <v>4905.2499999999854</v>
      </c>
      <c r="U2795" s="6">
        <v>71400</v>
      </c>
      <c r="V2795" s="6">
        <v>40719.18</v>
      </c>
      <c r="W2795" s="6">
        <f t="shared" si="443"/>
        <v>35586.069999999985</v>
      </c>
      <c r="X2795" s="6">
        <f t="shared" si="444"/>
        <v>39920.76470588235</v>
      </c>
      <c r="Y2795" s="13">
        <f t="shared" si="421"/>
        <v>0</v>
      </c>
      <c r="Z2795" s="14">
        <v>0</v>
      </c>
      <c r="AA2795" s="6">
        <v>0</v>
      </c>
      <c r="AB2795" s="4">
        <f t="shared" si="422"/>
        <v>39920.76470588235</v>
      </c>
      <c r="AC2795" s="4">
        <f t="shared" si="439"/>
        <v>798.41529411765077</v>
      </c>
      <c r="AD2795" s="6">
        <f t="shared" si="445"/>
        <v>40719.18</v>
      </c>
      <c r="AE2795" s="2">
        <f>VLOOKUP(I2795,[1]媒体政策预估表!A:N,MATCH(O2795,[1]媒体政策预估表!$A$2:$M$2,0),0)</f>
        <v>0.17</v>
      </c>
      <c r="AF2795" s="6">
        <f t="shared" si="440"/>
        <v>6922.2606000000005</v>
      </c>
      <c r="AG2795" s="14">
        <v>0</v>
      </c>
      <c r="AH2795" s="64">
        <f t="shared" si="446"/>
        <v>40719.18</v>
      </c>
      <c r="AI2795" s="47"/>
      <c r="AJ2795" s="126" t="e">
        <v>#N/A</v>
      </c>
      <c r="AK2795" s="80">
        <f t="shared" si="423"/>
        <v>0</v>
      </c>
      <c r="AM2795" s="85"/>
    </row>
    <row r="2796" spans="1:39" hidden="1" x14ac:dyDescent="0.3">
      <c r="A2796" s="89" t="s">
        <v>3397</v>
      </c>
      <c r="B2796" s="86" t="s">
        <v>35</v>
      </c>
      <c r="C2796" s="86" t="s">
        <v>144</v>
      </c>
      <c r="D2796" s="86" t="s">
        <v>145</v>
      </c>
      <c r="E2796" s="86" t="s">
        <v>146</v>
      </c>
      <c r="F2796" s="86" t="s">
        <v>2712</v>
      </c>
      <c r="G2796" s="86" t="s">
        <v>1845</v>
      </c>
      <c r="H2796" s="143">
        <v>83</v>
      </c>
      <c r="I2796" s="86" t="s">
        <v>78</v>
      </c>
      <c r="J2796" s="1" t="s">
        <v>3303</v>
      </c>
      <c r="K2796" s="1" t="s">
        <v>3276</v>
      </c>
      <c r="L2796" s="1" t="s">
        <v>701</v>
      </c>
      <c r="M2796" s="86" t="s">
        <v>146</v>
      </c>
      <c r="N2796" s="86"/>
      <c r="O2796" s="47" t="s">
        <v>410</v>
      </c>
      <c r="P2796" s="47" t="s">
        <v>46</v>
      </c>
      <c r="Q2796" s="14">
        <v>0.02</v>
      </c>
      <c r="R2796" s="143">
        <v>7607</v>
      </c>
      <c r="S2796" s="47"/>
      <c r="T2796" s="6">
        <v>0</v>
      </c>
      <c r="U2796" s="6">
        <v>35700</v>
      </c>
      <c r="V2796" s="6">
        <v>0</v>
      </c>
      <c r="W2796" s="6">
        <f t="shared" si="443"/>
        <v>35700</v>
      </c>
      <c r="X2796" s="6">
        <f t="shared" si="444"/>
        <v>0</v>
      </c>
      <c r="Y2796" s="13">
        <f t="shared" si="421"/>
        <v>0</v>
      </c>
      <c r="Z2796" s="14">
        <v>0</v>
      </c>
      <c r="AA2796" s="6">
        <v>0</v>
      </c>
      <c r="AB2796" s="4">
        <f t="shared" si="422"/>
        <v>0</v>
      </c>
      <c r="AC2796" s="4">
        <f t="shared" si="439"/>
        <v>0</v>
      </c>
      <c r="AD2796" s="6">
        <f t="shared" si="445"/>
        <v>0</v>
      </c>
      <c r="AE2796" s="2">
        <f>VLOOKUP(I2796,[1]媒体政策预估表!A:N,MATCH(O2796,[1]媒体政策预估表!$A$2:$M$2,0),0)</f>
        <v>0.17</v>
      </c>
      <c r="AF2796" s="6">
        <f t="shared" si="440"/>
        <v>0</v>
      </c>
      <c r="AG2796" s="14">
        <v>0</v>
      </c>
      <c r="AH2796" s="64">
        <f t="shared" si="446"/>
        <v>0</v>
      </c>
      <c r="AI2796" s="47"/>
      <c r="AJ2796" s="126" t="e">
        <v>#N/A</v>
      </c>
      <c r="AK2796" s="80">
        <f t="shared" si="423"/>
        <v>0</v>
      </c>
      <c r="AM2796" s="85"/>
    </row>
    <row r="2797" spans="1:39" hidden="1" x14ac:dyDescent="0.3">
      <c r="A2797" s="89" t="s">
        <v>3397</v>
      </c>
      <c r="B2797" s="86" t="s">
        <v>35</v>
      </c>
      <c r="C2797" s="86" t="s">
        <v>144</v>
      </c>
      <c r="D2797" s="86" t="s">
        <v>145</v>
      </c>
      <c r="E2797" s="86" t="s">
        <v>146</v>
      </c>
      <c r="F2797" s="86" t="s">
        <v>2712</v>
      </c>
      <c r="G2797" s="86" t="s">
        <v>1845</v>
      </c>
      <c r="H2797" s="144">
        <v>83</v>
      </c>
      <c r="I2797" s="86" t="s">
        <v>78</v>
      </c>
      <c r="J2797" s="1" t="s">
        <v>3303</v>
      </c>
      <c r="K2797" s="1" t="s">
        <v>3276</v>
      </c>
      <c r="L2797" s="1" t="s">
        <v>701</v>
      </c>
      <c r="M2797" s="86" t="s">
        <v>146</v>
      </c>
      <c r="N2797" s="86"/>
      <c r="O2797" s="47" t="s">
        <v>410</v>
      </c>
      <c r="P2797" s="47" t="s">
        <v>41</v>
      </c>
      <c r="Q2797" s="14">
        <v>0</v>
      </c>
      <c r="R2797" s="143">
        <v>7607</v>
      </c>
      <c r="S2797" s="47"/>
      <c r="T2797" s="6">
        <v>25373.53</v>
      </c>
      <c r="U2797" s="6">
        <v>130000</v>
      </c>
      <c r="V2797" s="6">
        <v>150938.26</v>
      </c>
      <c r="W2797" s="6">
        <f t="shared" si="443"/>
        <v>4435.2699999999895</v>
      </c>
      <c r="X2797" s="6">
        <f t="shared" si="444"/>
        <v>150938.26</v>
      </c>
      <c r="Y2797" s="13">
        <f t="shared" si="421"/>
        <v>0</v>
      </c>
      <c r="Z2797" s="14">
        <v>0</v>
      </c>
      <c r="AA2797" s="6">
        <v>0</v>
      </c>
      <c r="AB2797" s="4">
        <f t="shared" si="422"/>
        <v>150938.26</v>
      </c>
      <c r="AC2797" s="4">
        <f t="shared" si="439"/>
        <v>0</v>
      </c>
      <c r="AD2797" s="6">
        <f t="shared" si="445"/>
        <v>150938.26</v>
      </c>
      <c r="AE2797" s="2">
        <f>VLOOKUP(I2797,[1]媒体政策预估表!A:N,MATCH(O2797,[1]媒体政策预估表!$A$2:$M$2,0),0)</f>
        <v>0.17</v>
      </c>
      <c r="AF2797" s="6">
        <f t="shared" si="440"/>
        <v>25659.504200000003</v>
      </c>
      <c r="AG2797" s="14">
        <v>0</v>
      </c>
      <c r="AH2797" s="64">
        <f t="shared" si="446"/>
        <v>150938.26</v>
      </c>
      <c r="AI2797" s="47"/>
      <c r="AJ2797" s="126" t="e">
        <v>#N/A</v>
      </c>
      <c r="AK2797" s="80">
        <f t="shared" si="423"/>
        <v>0</v>
      </c>
      <c r="AM2797" s="85"/>
    </row>
    <row r="2798" spans="1:39" hidden="1" x14ac:dyDescent="0.3">
      <c r="A2798" s="89" t="s">
        <v>3395</v>
      </c>
      <c r="B2798" s="86" t="s">
        <v>35</v>
      </c>
      <c r="C2798" s="86" t="s">
        <v>144</v>
      </c>
      <c r="D2798" s="86" t="s">
        <v>161</v>
      </c>
      <c r="E2798" s="86" t="s">
        <v>163</v>
      </c>
      <c r="F2798" s="86" t="s">
        <v>2713</v>
      </c>
      <c r="G2798" s="86" t="s">
        <v>1845</v>
      </c>
      <c r="H2798" s="144">
        <v>83</v>
      </c>
      <c r="I2798" s="86" t="s">
        <v>78</v>
      </c>
      <c r="J2798" s="1" t="s">
        <v>3303</v>
      </c>
      <c r="K2798" s="1" t="s">
        <v>3276</v>
      </c>
      <c r="L2798" s="1" t="s">
        <v>701</v>
      </c>
      <c r="M2798" s="86" t="s">
        <v>163</v>
      </c>
      <c r="N2798" s="86"/>
      <c r="O2798" s="47" t="s">
        <v>410</v>
      </c>
      <c r="P2798" s="47" t="s">
        <v>41</v>
      </c>
      <c r="Q2798" s="14">
        <v>0</v>
      </c>
      <c r="R2798" s="143">
        <v>7094</v>
      </c>
      <c r="S2798" s="47"/>
      <c r="T2798" s="6">
        <v>16963.210000000072</v>
      </c>
      <c r="U2798" s="6">
        <v>50000</v>
      </c>
      <c r="V2798" s="6">
        <v>42020.25</v>
      </c>
      <c r="W2798" s="6">
        <f t="shared" si="443"/>
        <v>24942.960000000079</v>
      </c>
      <c r="X2798" s="6">
        <f t="shared" si="444"/>
        <v>42020.25</v>
      </c>
      <c r="Y2798" s="13">
        <f t="shared" si="421"/>
        <v>0</v>
      </c>
      <c r="Z2798" s="14">
        <v>0</v>
      </c>
      <c r="AA2798" s="6">
        <v>0</v>
      </c>
      <c r="AB2798" s="4">
        <f t="shared" si="422"/>
        <v>42020.25</v>
      </c>
      <c r="AC2798" s="4">
        <f t="shared" si="439"/>
        <v>0</v>
      </c>
      <c r="AD2798" s="6">
        <f t="shared" si="445"/>
        <v>42020.25</v>
      </c>
      <c r="AE2798" s="2">
        <f>VLOOKUP(I2798,[1]媒体政策预估表!A:N,MATCH(O2798,[1]媒体政策预估表!$A$2:$M$2,0),0)</f>
        <v>0.17</v>
      </c>
      <c r="AF2798" s="6">
        <f t="shared" si="440"/>
        <v>7143.4425000000001</v>
      </c>
      <c r="AG2798" s="14">
        <v>0</v>
      </c>
      <c r="AH2798" s="64">
        <f t="shared" si="446"/>
        <v>42020.25</v>
      </c>
      <c r="AI2798" s="47"/>
      <c r="AJ2798" s="126" t="e">
        <v>#N/A</v>
      </c>
      <c r="AK2798" s="80">
        <f t="shared" si="423"/>
        <v>0</v>
      </c>
      <c r="AM2798" s="85"/>
    </row>
    <row r="2799" spans="1:39" hidden="1" x14ac:dyDescent="0.3">
      <c r="A2799" s="89" t="s">
        <v>3395</v>
      </c>
      <c r="B2799" s="86" t="s">
        <v>35</v>
      </c>
      <c r="C2799" s="86" t="s">
        <v>164</v>
      </c>
      <c r="D2799" s="86" t="s">
        <v>169</v>
      </c>
      <c r="E2799" s="86" t="s">
        <v>172</v>
      </c>
      <c r="F2799" s="86" t="s">
        <v>2715</v>
      </c>
      <c r="G2799" s="86" t="s">
        <v>1845</v>
      </c>
      <c r="H2799" s="144">
        <v>83</v>
      </c>
      <c r="I2799" s="86" t="s">
        <v>78</v>
      </c>
      <c r="J2799" s="1" t="s">
        <v>3303</v>
      </c>
      <c r="K2799" s="1" t="s">
        <v>3276</v>
      </c>
      <c r="L2799" s="1" t="s">
        <v>701</v>
      </c>
      <c r="M2799" s="86" t="s">
        <v>2716</v>
      </c>
      <c r="N2799" s="86"/>
      <c r="O2799" s="47" t="s">
        <v>410</v>
      </c>
      <c r="P2799" s="47" t="s">
        <v>46</v>
      </c>
      <c r="Q2799" s="14">
        <v>0.01</v>
      </c>
      <c r="R2799" s="143">
        <v>7283</v>
      </c>
      <c r="S2799" s="47"/>
      <c r="T2799" s="6">
        <v>30837.800300000017</v>
      </c>
      <c r="U2799" s="6">
        <v>76760</v>
      </c>
      <c r="V2799" s="6">
        <v>77691.03</v>
      </c>
      <c r="W2799" s="6">
        <f t="shared" si="443"/>
        <v>29906.770300000018</v>
      </c>
      <c r="X2799" s="6">
        <f t="shared" si="444"/>
        <v>76921.811881188114</v>
      </c>
      <c r="Y2799" s="13">
        <f t="shared" si="421"/>
        <v>0</v>
      </c>
      <c r="Z2799" s="14">
        <v>0</v>
      </c>
      <c r="AA2799" s="6">
        <v>0</v>
      </c>
      <c r="AB2799" s="4">
        <f t="shared" si="422"/>
        <v>76921.811881188114</v>
      </c>
      <c r="AC2799" s="4">
        <f t="shared" si="439"/>
        <v>769.21811881188478</v>
      </c>
      <c r="AD2799" s="6">
        <f t="shared" si="445"/>
        <v>77691.03</v>
      </c>
      <c r="AE2799" s="2">
        <f>VLOOKUP(I2799,[1]媒体政策预估表!A:N,MATCH(O2799,[1]媒体政策预估表!$A$2:$M$2,0),0)</f>
        <v>0.17</v>
      </c>
      <c r="AF2799" s="6">
        <f t="shared" si="440"/>
        <v>13207.475100000001</v>
      </c>
      <c r="AG2799" s="14">
        <v>0</v>
      </c>
      <c r="AH2799" s="64">
        <f t="shared" si="446"/>
        <v>77691.03</v>
      </c>
      <c r="AI2799" s="47"/>
      <c r="AJ2799" s="126" t="e">
        <v>#N/A</v>
      </c>
      <c r="AK2799" s="80">
        <f t="shared" si="423"/>
        <v>0</v>
      </c>
      <c r="AM2799" s="85"/>
    </row>
    <row r="2800" spans="1:39" hidden="1" x14ac:dyDescent="0.3">
      <c r="A2800" s="89" t="s">
        <v>3397</v>
      </c>
      <c r="B2800" s="86" t="s">
        <v>35</v>
      </c>
      <c r="C2800" s="86" t="s">
        <v>164</v>
      </c>
      <c r="D2800" s="86" t="s">
        <v>169</v>
      </c>
      <c r="E2800" s="86" t="s">
        <v>2695</v>
      </c>
      <c r="F2800" s="86" t="s">
        <v>2717</v>
      </c>
      <c r="G2800" s="86" t="s">
        <v>1845</v>
      </c>
      <c r="H2800" s="143">
        <v>83</v>
      </c>
      <c r="I2800" s="86" t="s">
        <v>78</v>
      </c>
      <c r="J2800" s="1" t="s">
        <v>3303</v>
      </c>
      <c r="K2800" s="1" t="s">
        <v>3276</v>
      </c>
      <c r="L2800" s="1" t="s">
        <v>701</v>
      </c>
      <c r="M2800" s="86" t="s">
        <v>2719</v>
      </c>
      <c r="N2800" s="86"/>
      <c r="O2800" s="47" t="s">
        <v>410</v>
      </c>
      <c r="P2800" s="47" t="s">
        <v>46</v>
      </c>
      <c r="Q2800" s="14">
        <v>0.03</v>
      </c>
      <c r="R2800" s="143">
        <v>7103</v>
      </c>
      <c r="S2800" s="47"/>
      <c r="T2800" s="6">
        <v>0</v>
      </c>
      <c r="U2800" s="6">
        <v>0</v>
      </c>
      <c r="V2800" s="6">
        <v>0</v>
      </c>
      <c r="W2800" s="6">
        <f t="shared" si="443"/>
        <v>0</v>
      </c>
      <c r="X2800" s="6">
        <f t="shared" si="444"/>
        <v>0</v>
      </c>
      <c r="Y2800" s="13">
        <f t="shared" si="421"/>
        <v>0</v>
      </c>
      <c r="Z2800" s="14">
        <v>0</v>
      </c>
      <c r="AA2800" s="6">
        <v>0</v>
      </c>
      <c r="AB2800" s="4">
        <f t="shared" si="422"/>
        <v>0</v>
      </c>
      <c r="AC2800" s="4">
        <f t="shared" si="439"/>
        <v>0</v>
      </c>
      <c r="AD2800" s="6">
        <f t="shared" si="445"/>
        <v>0</v>
      </c>
      <c r="AE2800" s="2">
        <f>VLOOKUP(I2800,[1]媒体政策预估表!A:N,MATCH(O2800,[1]媒体政策预估表!$A$2:$M$2,0),0)</f>
        <v>0.17</v>
      </c>
      <c r="AF2800" s="6">
        <f t="shared" si="440"/>
        <v>0</v>
      </c>
      <c r="AG2800" s="14">
        <v>0</v>
      </c>
      <c r="AH2800" s="64">
        <f t="shared" si="446"/>
        <v>0</v>
      </c>
      <c r="AI2800" s="47"/>
      <c r="AJ2800" s="126" t="e">
        <v>#N/A</v>
      </c>
      <c r="AK2800" s="80">
        <f t="shared" si="423"/>
        <v>0</v>
      </c>
      <c r="AM2800" s="85"/>
    </row>
    <row r="2801" spans="1:39" hidden="1" x14ac:dyDescent="0.3">
      <c r="A2801" s="89" t="s">
        <v>3395</v>
      </c>
      <c r="B2801" s="86" t="s">
        <v>35</v>
      </c>
      <c r="C2801" s="86" t="s">
        <v>164</v>
      </c>
      <c r="D2801" s="86" t="s">
        <v>169</v>
      </c>
      <c r="E2801" s="86" t="s">
        <v>2695</v>
      </c>
      <c r="F2801" s="86" t="s">
        <v>2717</v>
      </c>
      <c r="G2801" s="86" t="s">
        <v>1845</v>
      </c>
      <c r="H2801" s="144">
        <v>83</v>
      </c>
      <c r="I2801" s="86" t="s">
        <v>78</v>
      </c>
      <c r="J2801" s="1" t="s">
        <v>3303</v>
      </c>
      <c r="K2801" s="1" t="s">
        <v>3276</v>
      </c>
      <c r="L2801" s="1" t="s">
        <v>701</v>
      </c>
      <c r="M2801" s="86" t="s">
        <v>2719</v>
      </c>
      <c r="N2801" s="86"/>
      <c r="O2801" s="47" t="s">
        <v>410</v>
      </c>
      <c r="P2801" s="47" t="s">
        <v>41</v>
      </c>
      <c r="Q2801" s="14">
        <v>0</v>
      </c>
      <c r="R2801" s="143">
        <v>7103</v>
      </c>
      <c r="S2801" s="47"/>
      <c r="T2801" s="6">
        <v>143726.60000000009</v>
      </c>
      <c r="U2801" s="6">
        <v>296000</v>
      </c>
      <c r="V2801" s="6">
        <v>406885.7</v>
      </c>
      <c r="W2801" s="6">
        <f t="shared" si="443"/>
        <v>32840.900000000081</v>
      </c>
      <c r="X2801" s="6">
        <f t="shared" si="444"/>
        <v>406885.7</v>
      </c>
      <c r="Y2801" s="13">
        <f t="shared" si="421"/>
        <v>0</v>
      </c>
      <c r="Z2801" s="14">
        <v>0</v>
      </c>
      <c r="AA2801" s="6">
        <v>0</v>
      </c>
      <c r="AB2801" s="4">
        <f t="shared" si="422"/>
        <v>406885.7</v>
      </c>
      <c r="AC2801" s="4">
        <f t="shared" si="439"/>
        <v>0</v>
      </c>
      <c r="AD2801" s="6">
        <f t="shared" si="445"/>
        <v>406885.7</v>
      </c>
      <c r="AE2801" s="2">
        <f>VLOOKUP(I2801,[1]媒体政策预估表!A:N,MATCH(O2801,[1]媒体政策预估表!$A$2:$M$2,0),0)</f>
        <v>0.17</v>
      </c>
      <c r="AF2801" s="6">
        <f t="shared" si="440"/>
        <v>69170.569000000003</v>
      </c>
      <c r="AG2801" s="14">
        <v>0</v>
      </c>
      <c r="AH2801" s="64">
        <f t="shared" si="446"/>
        <v>406885.7</v>
      </c>
      <c r="AI2801" s="47"/>
      <c r="AJ2801" s="126" t="e">
        <v>#N/A</v>
      </c>
      <c r="AK2801" s="80">
        <f t="shared" si="423"/>
        <v>0</v>
      </c>
      <c r="AM2801" s="85"/>
    </row>
    <row r="2802" spans="1:39" hidden="1" x14ac:dyDescent="0.3">
      <c r="A2802" s="89" t="s">
        <v>3394</v>
      </c>
      <c r="B2802" s="86" t="s">
        <v>701</v>
      </c>
      <c r="C2802" s="86" t="s">
        <v>59</v>
      </c>
      <c r="D2802" s="86" t="s">
        <v>60</v>
      </c>
      <c r="E2802" s="86" t="s">
        <v>2722</v>
      </c>
      <c r="F2802" s="86" t="s">
        <v>2722</v>
      </c>
      <c r="G2802" s="86" t="s">
        <v>2722</v>
      </c>
      <c r="H2802" s="144">
        <v>83</v>
      </c>
      <c r="I2802" s="86" t="s">
        <v>78</v>
      </c>
      <c r="J2802" s="1" t="s">
        <v>3303</v>
      </c>
      <c r="K2802" s="1" t="s">
        <v>3276</v>
      </c>
      <c r="L2802" s="1" t="s">
        <v>701</v>
      </c>
      <c r="M2802" s="86" t="s">
        <v>2723</v>
      </c>
      <c r="N2802" s="86"/>
      <c r="O2802" s="47" t="s">
        <v>410</v>
      </c>
      <c r="P2802" s="47" t="s">
        <v>92</v>
      </c>
      <c r="Q2802" s="14">
        <v>0.9</v>
      </c>
      <c r="R2802" s="143">
        <v>7122</v>
      </c>
      <c r="S2802" s="47"/>
      <c r="T2802" s="6">
        <v>8282.9900000000089</v>
      </c>
      <c r="U2802" s="6">
        <v>40000</v>
      </c>
      <c r="V2802" s="6">
        <v>15464.300000000001</v>
      </c>
      <c r="W2802" s="6">
        <f t="shared" si="443"/>
        <v>32818.69</v>
      </c>
      <c r="X2802" s="6">
        <f t="shared" si="444"/>
        <v>13917.87</v>
      </c>
      <c r="Y2802" s="13">
        <f t="shared" si="421"/>
        <v>0</v>
      </c>
      <c r="Z2802" s="14">
        <v>0</v>
      </c>
      <c r="AA2802" s="6">
        <v>0</v>
      </c>
      <c r="AB2802" s="4">
        <f t="shared" si="422"/>
        <v>13917.87</v>
      </c>
      <c r="AC2802" s="4">
        <f t="shared" si="439"/>
        <v>1546.4300000000003</v>
      </c>
      <c r="AD2802" s="6">
        <f t="shared" si="445"/>
        <v>15464.300000000001</v>
      </c>
      <c r="AE2802" s="2">
        <f>VLOOKUP(I2802,[1]媒体政策预估表!A:N,MATCH(O2802,[1]媒体政策预估表!$A$2:$M$2,0),0)</f>
        <v>0.17</v>
      </c>
      <c r="AF2802" s="6">
        <f t="shared" si="440"/>
        <v>2628.9310000000005</v>
      </c>
      <c r="AG2802" s="14">
        <v>0</v>
      </c>
      <c r="AH2802" s="64">
        <f t="shared" si="446"/>
        <v>15464.300000000001</v>
      </c>
      <c r="AI2802" s="47"/>
      <c r="AJ2802" s="126" t="e">
        <v>#N/A</v>
      </c>
      <c r="AK2802" s="80">
        <f t="shared" si="423"/>
        <v>0</v>
      </c>
      <c r="AM2802" s="85"/>
    </row>
    <row r="2803" spans="1:39" hidden="1" x14ac:dyDescent="0.3">
      <c r="A2803" s="89" t="s">
        <v>3394</v>
      </c>
      <c r="B2803" s="86" t="s">
        <v>701</v>
      </c>
      <c r="C2803" s="86" t="s">
        <v>59</v>
      </c>
      <c r="D2803" s="86" t="s">
        <v>60</v>
      </c>
      <c r="E2803" s="86" t="s">
        <v>2722</v>
      </c>
      <c r="F2803" s="86" t="s">
        <v>2722</v>
      </c>
      <c r="G2803" s="86" t="s">
        <v>2722</v>
      </c>
      <c r="H2803" s="144">
        <v>83</v>
      </c>
      <c r="I2803" s="86" t="s">
        <v>78</v>
      </c>
      <c r="J2803" s="1" t="s">
        <v>3303</v>
      </c>
      <c r="K2803" s="1" t="s">
        <v>3276</v>
      </c>
      <c r="L2803" s="1" t="s">
        <v>701</v>
      </c>
      <c r="M2803" s="86" t="s">
        <v>2724</v>
      </c>
      <c r="N2803" s="86"/>
      <c r="O2803" s="47" t="s">
        <v>410</v>
      </c>
      <c r="P2803" s="47" t="s">
        <v>92</v>
      </c>
      <c r="Q2803" s="14">
        <v>0.9</v>
      </c>
      <c r="R2803" s="143">
        <v>7382</v>
      </c>
      <c r="S2803" s="47"/>
      <c r="T2803" s="6">
        <v>0</v>
      </c>
      <c r="U2803" s="6">
        <v>20000</v>
      </c>
      <c r="V2803" s="6">
        <v>15389.58</v>
      </c>
      <c r="W2803" s="6">
        <f t="shared" si="443"/>
        <v>4610.42</v>
      </c>
      <c r="X2803" s="6">
        <f t="shared" si="444"/>
        <v>13850.621999999999</v>
      </c>
      <c r="Y2803" s="13">
        <f t="shared" si="421"/>
        <v>0</v>
      </c>
      <c r="Z2803" s="14">
        <v>0</v>
      </c>
      <c r="AA2803" s="6">
        <v>0</v>
      </c>
      <c r="AB2803" s="4">
        <f t="shared" si="422"/>
        <v>13850.621999999999</v>
      </c>
      <c r="AC2803" s="4">
        <f t="shared" si="439"/>
        <v>1538.9580000000005</v>
      </c>
      <c r="AD2803" s="6">
        <f t="shared" si="445"/>
        <v>15389.58</v>
      </c>
      <c r="AE2803" s="2">
        <f>VLOOKUP(I2803,[1]媒体政策预估表!A:N,MATCH(O2803,[1]媒体政策预估表!$A$2:$M$2,0),0)</f>
        <v>0.17</v>
      </c>
      <c r="AF2803" s="6">
        <f t="shared" si="440"/>
        <v>2616.2286000000004</v>
      </c>
      <c r="AG2803" s="14">
        <v>0</v>
      </c>
      <c r="AH2803" s="64">
        <f t="shared" si="446"/>
        <v>15389.58</v>
      </c>
      <c r="AI2803" s="47"/>
      <c r="AJ2803" s="126" t="e">
        <v>#N/A</v>
      </c>
      <c r="AK2803" s="80">
        <f t="shared" si="423"/>
        <v>0</v>
      </c>
      <c r="AM2803" s="85"/>
    </row>
    <row r="2804" spans="1:39" hidden="1" x14ac:dyDescent="0.3">
      <c r="A2804" s="89" t="s">
        <v>3394</v>
      </c>
      <c r="B2804" s="86" t="s">
        <v>701</v>
      </c>
      <c r="C2804" s="86" t="s">
        <v>59</v>
      </c>
      <c r="D2804" s="86" t="s">
        <v>60</v>
      </c>
      <c r="E2804" s="86" t="s">
        <v>2722</v>
      </c>
      <c r="F2804" s="86" t="s">
        <v>2722</v>
      </c>
      <c r="G2804" s="86" t="s">
        <v>2722</v>
      </c>
      <c r="H2804" s="144">
        <v>83</v>
      </c>
      <c r="I2804" s="86" t="s">
        <v>3398</v>
      </c>
      <c r="J2804" s="1" t="s">
        <v>3303</v>
      </c>
      <c r="K2804" s="1" t="s">
        <v>3276</v>
      </c>
      <c r="L2804" s="1" t="s">
        <v>701</v>
      </c>
      <c r="M2804" s="86" t="s">
        <v>2838</v>
      </c>
      <c r="N2804" s="86"/>
      <c r="O2804" s="47" t="s">
        <v>410</v>
      </c>
      <c r="P2804" s="47" t="s">
        <v>92</v>
      </c>
      <c r="Q2804" s="14">
        <v>0.9</v>
      </c>
      <c r="R2804" s="143">
        <v>7185</v>
      </c>
      <c r="S2804" s="47"/>
      <c r="T2804" s="6">
        <v>2954.7799999999961</v>
      </c>
      <c r="U2804" s="6">
        <v>4000</v>
      </c>
      <c r="V2804" s="6">
        <v>3771.5</v>
      </c>
      <c r="W2804" s="6">
        <f t="shared" si="443"/>
        <v>3183.2799999999961</v>
      </c>
      <c r="X2804" s="6">
        <f t="shared" si="444"/>
        <v>3394.35</v>
      </c>
      <c r="Y2804" s="13">
        <f t="shared" si="421"/>
        <v>0</v>
      </c>
      <c r="Z2804" s="14">
        <v>0</v>
      </c>
      <c r="AA2804" s="6">
        <v>0</v>
      </c>
      <c r="AB2804" s="4">
        <f t="shared" si="422"/>
        <v>3394.35</v>
      </c>
      <c r="AC2804" s="4">
        <f t="shared" si="439"/>
        <v>377.15000000000009</v>
      </c>
      <c r="AD2804" s="6">
        <f t="shared" si="445"/>
        <v>3771.5</v>
      </c>
      <c r="AE2804" s="2">
        <f>VLOOKUP(I2804,[1]媒体政策预估表!A:N,MATCH(O2804,[1]媒体政策预估表!$A$2:$M$2,0),0)</f>
        <v>0.17</v>
      </c>
      <c r="AF2804" s="6">
        <f t="shared" si="440"/>
        <v>641.15500000000009</v>
      </c>
      <c r="AG2804" s="14">
        <v>0</v>
      </c>
      <c r="AH2804" s="64">
        <f t="shared" si="446"/>
        <v>3771.5</v>
      </c>
      <c r="AI2804" s="47"/>
      <c r="AJ2804" s="126" t="e">
        <v>#N/A</v>
      </c>
      <c r="AK2804" s="80">
        <f t="shared" si="423"/>
        <v>0</v>
      </c>
      <c r="AM2804" s="85"/>
    </row>
    <row r="2805" spans="1:39" hidden="1" x14ac:dyDescent="0.3">
      <c r="A2805" s="89" t="s">
        <v>3392</v>
      </c>
      <c r="B2805" s="86" t="s">
        <v>701</v>
      </c>
      <c r="C2805" s="86" t="s">
        <v>59</v>
      </c>
      <c r="D2805" s="86" t="s">
        <v>60</v>
      </c>
      <c r="E2805" s="86" t="s">
        <v>2722</v>
      </c>
      <c r="F2805" s="86" t="s">
        <v>2722</v>
      </c>
      <c r="G2805" s="86" t="s">
        <v>2722</v>
      </c>
      <c r="H2805" s="144">
        <v>83</v>
      </c>
      <c r="I2805" s="86" t="s">
        <v>78</v>
      </c>
      <c r="J2805" s="1" t="s">
        <v>3303</v>
      </c>
      <c r="K2805" s="1" t="s">
        <v>3276</v>
      </c>
      <c r="L2805" s="1" t="s">
        <v>701</v>
      </c>
      <c r="M2805" s="86" t="s">
        <v>2725</v>
      </c>
      <c r="N2805" s="86"/>
      <c r="O2805" s="47" t="s">
        <v>410</v>
      </c>
      <c r="P2805" s="47" t="s">
        <v>92</v>
      </c>
      <c r="Q2805" s="14">
        <v>0.9</v>
      </c>
      <c r="R2805" s="143">
        <v>7392</v>
      </c>
      <c r="S2805" s="47"/>
      <c r="T2805" s="6">
        <v>5262.82</v>
      </c>
      <c r="U2805" s="6">
        <v>7000</v>
      </c>
      <c r="V2805" s="6">
        <v>9112.0899999999983</v>
      </c>
      <c r="W2805" s="6">
        <f t="shared" si="443"/>
        <v>3150.7300000000014</v>
      </c>
      <c r="X2805" s="6">
        <f t="shared" si="444"/>
        <v>8200.8809999999994</v>
      </c>
      <c r="Y2805" s="13">
        <f t="shared" si="421"/>
        <v>0</v>
      </c>
      <c r="Z2805" s="14">
        <v>0</v>
      </c>
      <c r="AA2805" s="6">
        <v>0</v>
      </c>
      <c r="AB2805" s="4">
        <f t="shared" si="422"/>
        <v>8200.8809999999994</v>
      </c>
      <c r="AC2805" s="4">
        <f t="shared" si="439"/>
        <v>911.20899999999892</v>
      </c>
      <c r="AD2805" s="6">
        <f t="shared" si="445"/>
        <v>9112.0899999999983</v>
      </c>
      <c r="AE2805" s="2">
        <f>VLOOKUP(I2805,[1]媒体政策预估表!A:N,MATCH(O2805,[1]媒体政策预估表!$A$2:$M$2,0),0)</f>
        <v>0.17</v>
      </c>
      <c r="AF2805" s="6">
        <f t="shared" si="440"/>
        <v>1549.0552999999998</v>
      </c>
      <c r="AG2805" s="14">
        <v>0</v>
      </c>
      <c r="AH2805" s="64">
        <f t="shared" si="446"/>
        <v>9112.0899999999983</v>
      </c>
      <c r="AI2805" s="47"/>
      <c r="AJ2805" s="126" t="e">
        <v>#N/A</v>
      </c>
      <c r="AK2805" s="80">
        <f t="shared" si="423"/>
        <v>0</v>
      </c>
      <c r="AM2805" s="85"/>
    </row>
    <row r="2806" spans="1:39" hidden="1" x14ac:dyDescent="0.3">
      <c r="A2806" s="89" t="s">
        <v>3396</v>
      </c>
      <c r="B2806" s="86" t="s">
        <v>701</v>
      </c>
      <c r="C2806" s="86" t="s">
        <v>59</v>
      </c>
      <c r="D2806" s="86" t="s">
        <v>60</v>
      </c>
      <c r="E2806" s="86" t="s">
        <v>2722</v>
      </c>
      <c r="F2806" s="86" t="s">
        <v>2722</v>
      </c>
      <c r="G2806" s="86" t="s">
        <v>2722</v>
      </c>
      <c r="H2806" s="144">
        <v>83</v>
      </c>
      <c r="I2806" s="86" t="s">
        <v>78</v>
      </c>
      <c r="J2806" s="1" t="s">
        <v>3303</v>
      </c>
      <c r="K2806" s="1" t="s">
        <v>3276</v>
      </c>
      <c r="L2806" s="1" t="s">
        <v>701</v>
      </c>
      <c r="M2806" s="86" t="s">
        <v>2726</v>
      </c>
      <c r="N2806" s="86"/>
      <c r="O2806" s="47" t="s">
        <v>410</v>
      </c>
      <c r="P2806" s="47" t="s">
        <v>92</v>
      </c>
      <c r="Q2806" s="14">
        <v>0.9</v>
      </c>
      <c r="R2806" s="143">
        <v>7200</v>
      </c>
      <c r="S2806" s="47"/>
      <c r="T2806" s="6">
        <v>2216.7299999999977</v>
      </c>
      <c r="U2806" s="6">
        <v>20000</v>
      </c>
      <c r="V2806" s="6">
        <v>16875.61</v>
      </c>
      <c r="W2806" s="6">
        <f t="shared" si="443"/>
        <v>5341.1199999999953</v>
      </c>
      <c r="X2806" s="6">
        <f t="shared" si="444"/>
        <v>15188.049000000001</v>
      </c>
      <c r="Y2806" s="13">
        <f t="shared" si="421"/>
        <v>0</v>
      </c>
      <c r="Z2806" s="14">
        <v>0</v>
      </c>
      <c r="AA2806" s="6">
        <v>0</v>
      </c>
      <c r="AB2806" s="4">
        <f t="shared" si="422"/>
        <v>15188.049000000001</v>
      </c>
      <c r="AC2806" s="4">
        <f t="shared" si="439"/>
        <v>1687.5609999999997</v>
      </c>
      <c r="AD2806" s="6">
        <f t="shared" si="445"/>
        <v>16875.61</v>
      </c>
      <c r="AE2806" s="2">
        <f>VLOOKUP(I2806,[1]媒体政策预估表!A:N,MATCH(O2806,[1]媒体政策预估表!$A$2:$M$2,0),0)</f>
        <v>0.17</v>
      </c>
      <c r="AF2806" s="6">
        <f t="shared" si="440"/>
        <v>2868.8537000000001</v>
      </c>
      <c r="AG2806" s="14">
        <v>0</v>
      </c>
      <c r="AH2806" s="64">
        <f t="shared" si="446"/>
        <v>16875.61</v>
      </c>
      <c r="AI2806" s="47"/>
      <c r="AJ2806" s="126" t="e">
        <v>#N/A</v>
      </c>
      <c r="AK2806" s="80">
        <f t="shared" si="423"/>
        <v>0</v>
      </c>
      <c r="AM2806" s="85"/>
    </row>
    <row r="2807" spans="1:39" hidden="1" x14ac:dyDescent="0.3">
      <c r="A2807" s="89" t="s">
        <v>3394</v>
      </c>
      <c r="B2807" s="86" t="s">
        <v>701</v>
      </c>
      <c r="C2807" s="86" t="s">
        <v>59</v>
      </c>
      <c r="D2807" s="86" t="s">
        <v>60</v>
      </c>
      <c r="E2807" s="86" t="s">
        <v>2722</v>
      </c>
      <c r="F2807" s="86" t="s">
        <v>2722</v>
      </c>
      <c r="G2807" s="86" t="s">
        <v>2722</v>
      </c>
      <c r="H2807" s="144">
        <v>83</v>
      </c>
      <c r="I2807" s="86" t="s">
        <v>78</v>
      </c>
      <c r="J2807" s="1" t="s">
        <v>3303</v>
      </c>
      <c r="K2807" s="1" t="s">
        <v>3276</v>
      </c>
      <c r="L2807" s="1" t="s">
        <v>701</v>
      </c>
      <c r="M2807" s="86" t="s">
        <v>2727</v>
      </c>
      <c r="N2807" s="86"/>
      <c r="O2807" s="47" t="s">
        <v>410</v>
      </c>
      <c r="P2807" s="47" t="s">
        <v>92</v>
      </c>
      <c r="Q2807" s="14">
        <v>0.9</v>
      </c>
      <c r="R2807" s="143">
        <v>7136</v>
      </c>
      <c r="S2807" s="47"/>
      <c r="T2807" s="6">
        <v>-35.400000000001455</v>
      </c>
      <c r="U2807" s="6">
        <v>35000</v>
      </c>
      <c r="V2807" s="6">
        <v>30458</v>
      </c>
      <c r="W2807" s="6">
        <f t="shared" si="443"/>
        <v>4506.5999999999985</v>
      </c>
      <c r="X2807" s="6">
        <f t="shared" si="444"/>
        <v>27412.2</v>
      </c>
      <c r="Y2807" s="13">
        <f t="shared" si="421"/>
        <v>0</v>
      </c>
      <c r="Z2807" s="14">
        <v>0</v>
      </c>
      <c r="AA2807" s="6">
        <v>0</v>
      </c>
      <c r="AB2807" s="4">
        <f t="shared" si="422"/>
        <v>27412.2</v>
      </c>
      <c r="AC2807" s="4">
        <f t="shared" si="439"/>
        <v>3045.7999999999993</v>
      </c>
      <c r="AD2807" s="6">
        <f t="shared" si="445"/>
        <v>30458</v>
      </c>
      <c r="AE2807" s="2">
        <f>VLOOKUP(I2807,[1]媒体政策预估表!A:N,MATCH(O2807,[1]媒体政策预估表!$A$2:$M$2,0),0)</f>
        <v>0.17</v>
      </c>
      <c r="AF2807" s="6">
        <f t="shared" si="440"/>
        <v>5177.8600000000006</v>
      </c>
      <c r="AG2807" s="14">
        <v>0</v>
      </c>
      <c r="AH2807" s="64">
        <f t="shared" si="446"/>
        <v>30458</v>
      </c>
      <c r="AI2807" s="47"/>
      <c r="AJ2807" s="126" t="e">
        <v>#N/A</v>
      </c>
      <c r="AK2807" s="80">
        <f t="shared" si="423"/>
        <v>0</v>
      </c>
      <c r="AM2807" s="85"/>
    </row>
    <row r="2808" spans="1:39" hidden="1" x14ac:dyDescent="0.3">
      <c r="A2808" s="89" t="s">
        <v>3392</v>
      </c>
      <c r="B2808" s="86" t="s">
        <v>701</v>
      </c>
      <c r="C2808" s="86" t="s">
        <v>59</v>
      </c>
      <c r="D2808" s="86" t="s">
        <v>60</v>
      </c>
      <c r="E2808" s="86" t="s">
        <v>2722</v>
      </c>
      <c r="F2808" s="86" t="s">
        <v>2722</v>
      </c>
      <c r="G2808" s="86" t="s">
        <v>2722</v>
      </c>
      <c r="H2808" s="144">
        <v>83</v>
      </c>
      <c r="I2808" s="86" t="s">
        <v>78</v>
      </c>
      <c r="J2808" s="1" t="s">
        <v>3303</v>
      </c>
      <c r="K2808" s="1" t="s">
        <v>3276</v>
      </c>
      <c r="L2808" s="1" t="s">
        <v>701</v>
      </c>
      <c r="M2808" s="86" t="s">
        <v>2728</v>
      </c>
      <c r="N2808" s="86"/>
      <c r="O2808" s="47" t="s">
        <v>410</v>
      </c>
      <c r="P2808" s="47" t="s">
        <v>92</v>
      </c>
      <c r="Q2808" s="14">
        <v>0.9</v>
      </c>
      <c r="R2808" s="143">
        <v>7156</v>
      </c>
      <c r="S2808" s="47"/>
      <c r="T2808" s="6">
        <v>11002.5</v>
      </c>
      <c r="U2808" s="6">
        <v>5000</v>
      </c>
      <c r="V2808" s="6">
        <v>1990.74</v>
      </c>
      <c r="W2808" s="6">
        <f t="shared" si="443"/>
        <v>14011.76</v>
      </c>
      <c r="X2808" s="6">
        <f t="shared" si="444"/>
        <v>1791.6659999999999</v>
      </c>
      <c r="Y2808" s="13">
        <f t="shared" si="421"/>
        <v>0</v>
      </c>
      <c r="Z2808" s="14">
        <v>0</v>
      </c>
      <c r="AA2808" s="6">
        <v>0</v>
      </c>
      <c r="AB2808" s="4">
        <f t="shared" si="422"/>
        <v>1791.6659999999999</v>
      </c>
      <c r="AC2808" s="4">
        <f t="shared" si="439"/>
        <v>199.07400000000007</v>
      </c>
      <c r="AD2808" s="6">
        <f t="shared" si="445"/>
        <v>1990.74</v>
      </c>
      <c r="AE2808" s="2">
        <f>VLOOKUP(I2808,[1]媒体政策预估表!A:N,MATCH(O2808,[1]媒体政策预估表!$A$2:$M$2,0),0)</f>
        <v>0.17</v>
      </c>
      <c r="AF2808" s="6">
        <f t="shared" si="440"/>
        <v>338.42580000000004</v>
      </c>
      <c r="AG2808" s="14">
        <v>0</v>
      </c>
      <c r="AH2808" s="64">
        <f t="shared" si="446"/>
        <v>1990.74</v>
      </c>
      <c r="AI2808" s="47"/>
      <c r="AJ2808" s="126" t="e">
        <v>#N/A</v>
      </c>
      <c r="AK2808" s="80">
        <f t="shared" si="423"/>
        <v>0</v>
      </c>
      <c r="AM2808" s="85"/>
    </row>
    <row r="2809" spans="1:39" hidden="1" x14ac:dyDescent="0.3">
      <c r="A2809" s="89" t="s">
        <v>3392</v>
      </c>
      <c r="B2809" s="86" t="s">
        <v>701</v>
      </c>
      <c r="C2809" s="86" t="s">
        <v>59</v>
      </c>
      <c r="D2809" s="86" t="s">
        <v>60</v>
      </c>
      <c r="E2809" s="86" t="s">
        <v>2722</v>
      </c>
      <c r="F2809" s="86" t="s">
        <v>2722</v>
      </c>
      <c r="G2809" s="86" t="s">
        <v>2722</v>
      </c>
      <c r="H2809" s="144">
        <v>83</v>
      </c>
      <c r="I2809" s="86" t="s">
        <v>78</v>
      </c>
      <c r="J2809" s="1" t="s">
        <v>3303</v>
      </c>
      <c r="K2809" s="1" t="s">
        <v>3276</v>
      </c>
      <c r="L2809" s="1" t="s">
        <v>701</v>
      </c>
      <c r="M2809" s="86" t="s">
        <v>2729</v>
      </c>
      <c r="N2809" s="86"/>
      <c r="O2809" s="47" t="s">
        <v>410</v>
      </c>
      <c r="P2809" s="47" t="s">
        <v>92</v>
      </c>
      <c r="Q2809" s="14">
        <v>0.9</v>
      </c>
      <c r="R2809" s="143">
        <v>7508</v>
      </c>
      <c r="S2809" s="47"/>
      <c r="T2809" s="6">
        <v>4277.6799999999994</v>
      </c>
      <c r="U2809" s="6">
        <v>4000</v>
      </c>
      <c r="V2809" s="6">
        <v>4038.45</v>
      </c>
      <c r="W2809" s="6">
        <f t="shared" si="443"/>
        <v>4239.2300000000005</v>
      </c>
      <c r="X2809" s="6">
        <f t="shared" si="444"/>
        <v>3634.605</v>
      </c>
      <c r="Y2809" s="13">
        <f t="shared" si="421"/>
        <v>0</v>
      </c>
      <c r="Z2809" s="14">
        <v>0</v>
      </c>
      <c r="AA2809" s="6">
        <v>0</v>
      </c>
      <c r="AB2809" s="4">
        <f t="shared" si="422"/>
        <v>3634.605</v>
      </c>
      <c r="AC2809" s="4">
        <f t="shared" si="439"/>
        <v>403.8449999999998</v>
      </c>
      <c r="AD2809" s="6">
        <f t="shared" si="445"/>
        <v>4038.45</v>
      </c>
      <c r="AE2809" s="2">
        <f>VLOOKUP(I2809,[1]媒体政策预估表!A:N,MATCH(O2809,[1]媒体政策预估表!$A$2:$M$2,0),0)</f>
        <v>0.17</v>
      </c>
      <c r="AF2809" s="6">
        <f t="shared" si="440"/>
        <v>686.53650000000005</v>
      </c>
      <c r="AG2809" s="14">
        <v>0</v>
      </c>
      <c r="AH2809" s="64">
        <f t="shared" si="446"/>
        <v>4038.45</v>
      </c>
      <c r="AI2809" s="47"/>
      <c r="AJ2809" s="126" t="e">
        <v>#N/A</v>
      </c>
      <c r="AK2809" s="80">
        <f t="shared" si="423"/>
        <v>0</v>
      </c>
      <c r="AM2809" s="85"/>
    </row>
    <row r="2810" spans="1:39" hidden="1" x14ac:dyDescent="0.3">
      <c r="A2810" s="89" t="s">
        <v>3395</v>
      </c>
      <c r="B2810" s="86" t="s">
        <v>701</v>
      </c>
      <c r="C2810" s="86" t="s">
        <v>59</v>
      </c>
      <c r="D2810" s="86" t="s">
        <v>60</v>
      </c>
      <c r="E2810" s="86" t="s">
        <v>2722</v>
      </c>
      <c r="F2810" s="86" t="s">
        <v>2722</v>
      </c>
      <c r="G2810" s="86" t="s">
        <v>2722</v>
      </c>
      <c r="H2810" s="144">
        <v>83</v>
      </c>
      <c r="I2810" s="86" t="s">
        <v>78</v>
      </c>
      <c r="J2810" s="1" t="s">
        <v>3303</v>
      </c>
      <c r="K2810" s="1" t="s">
        <v>3276</v>
      </c>
      <c r="L2810" s="1" t="s">
        <v>701</v>
      </c>
      <c r="M2810" s="86" t="s">
        <v>2892</v>
      </c>
      <c r="N2810" s="86"/>
      <c r="O2810" s="47" t="s">
        <v>410</v>
      </c>
      <c r="P2810" s="47" t="s">
        <v>92</v>
      </c>
      <c r="Q2810" s="14">
        <v>0.9</v>
      </c>
      <c r="R2810" s="143">
        <v>7487</v>
      </c>
      <c r="S2810" s="47"/>
      <c r="T2810" s="6">
        <v>710.66000000000258</v>
      </c>
      <c r="U2810" s="6">
        <v>10000</v>
      </c>
      <c r="V2810" s="6">
        <v>600</v>
      </c>
      <c r="W2810" s="6">
        <f t="shared" si="443"/>
        <v>10110.660000000003</v>
      </c>
      <c r="X2810" s="6">
        <f t="shared" si="444"/>
        <v>540</v>
      </c>
      <c r="Y2810" s="13">
        <f t="shared" si="421"/>
        <v>0</v>
      </c>
      <c r="Z2810" s="14">
        <v>0</v>
      </c>
      <c r="AA2810" s="6">
        <v>0</v>
      </c>
      <c r="AB2810" s="4">
        <f t="shared" si="422"/>
        <v>540</v>
      </c>
      <c r="AC2810" s="4">
        <f t="shared" si="439"/>
        <v>60</v>
      </c>
      <c r="AD2810" s="6">
        <f t="shared" si="445"/>
        <v>600</v>
      </c>
      <c r="AE2810" s="2">
        <f>VLOOKUP(I2810,[1]媒体政策预估表!A:N,MATCH(O2810,[1]媒体政策预估表!$A$2:$M$2,0),0)</f>
        <v>0.17</v>
      </c>
      <c r="AF2810" s="6">
        <f t="shared" si="440"/>
        <v>102.00000000000001</v>
      </c>
      <c r="AG2810" s="14">
        <v>0</v>
      </c>
      <c r="AH2810" s="64">
        <f t="shared" si="446"/>
        <v>600</v>
      </c>
      <c r="AI2810" s="47"/>
      <c r="AJ2810" s="126" t="e">
        <v>#N/A</v>
      </c>
      <c r="AK2810" s="80">
        <f t="shared" si="423"/>
        <v>0</v>
      </c>
      <c r="AM2810" s="85"/>
    </row>
    <row r="2811" spans="1:39" hidden="1" x14ac:dyDescent="0.3">
      <c r="A2811" s="89" t="s">
        <v>3394</v>
      </c>
      <c r="B2811" s="86" t="s">
        <v>701</v>
      </c>
      <c r="C2811" s="86" t="s">
        <v>59</v>
      </c>
      <c r="D2811" s="86" t="s">
        <v>60</v>
      </c>
      <c r="E2811" s="86" t="s">
        <v>85</v>
      </c>
      <c r="F2811" s="86" t="s">
        <v>2730</v>
      </c>
      <c r="G2811" s="86" t="s">
        <v>85</v>
      </c>
      <c r="H2811" s="144">
        <v>83</v>
      </c>
      <c r="I2811" s="86" t="s">
        <v>78</v>
      </c>
      <c r="J2811" s="1" t="s">
        <v>3303</v>
      </c>
      <c r="K2811" s="1" t="s">
        <v>3276</v>
      </c>
      <c r="L2811" s="1" t="s">
        <v>701</v>
      </c>
      <c r="M2811" s="86" t="s">
        <v>2731</v>
      </c>
      <c r="N2811" s="86"/>
      <c r="O2811" s="47" t="s">
        <v>410</v>
      </c>
      <c r="P2811" s="47" t="s">
        <v>75</v>
      </c>
      <c r="Q2811" s="14">
        <v>0.1</v>
      </c>
      <c r="R2811" s="143">
        <v>7481</v>
      </c>
      <c r="S2811" s="47"/>
      <c r="T2811" s="6">
        <v>424000</v>
      </c>
      <c r="U2811" s="6">
        <v>1484000</v>
      </c>
      <c r="V2811" s="6">
        <v>1131587.8999999999</v>
      </c>
      <c r="W2811" s="6">
        <f t="shared" si="443"/>
        <v>776412.10000000009</v>
      </c>
      <c r="X2811" s="6">
        <f t="shared" si="444"/>
        <v>1131587.8999999999</v>
      </c>
      <c r="Y2811" s="13">
        <f t="shared" si="421"/>
        <v>0</v>
      </c>
      <c r="Z2811" s="14">
        <v>0</v>
      </c>
      <c r="AA2811" s="6">
        <v>0</v>
      </c>
      <c r="AB2811" s="4">
        <f t="shared" si="422"/>
        <v>1131587.8999999999</v>
      </c>
      <c r="AC2811" s="4">
        <f t="shared" si="439"/>
        <v>113158.79</v>
      </c>
      <c r="AD2811" s="6">
        <f t="shared" si="445"/>
        <v>1131587.8999999999</v>
      </c>
      <c r="AE2811" s="2">
        <f>VLOOKUP(I2811,[1]媒体政策预估表!A:N,MATCH(O2811,[1]媒体政策预估表!$A$2:$M$2,0),0)</f>
        <v>0.17</v>
      </c>
      <c r="AF2811" s="6">
        <f t="shared" si="440"/>
        <v>192369.943</v>
      </c>
      <c r="AG2811" s="14">
        <v>0</v>
      </c>
      <c r="AH2811" s="64">
        <f t="shared" si="446"/>
        <v>1131587.8999999999</v>
      </c>
      <c r="AI2811" s="47"/>
      <c r="AJ2811" s="126" t="e">
        <v>#N/A</v>
      </c>
      <c r="AK2811" s="80">
        <f t="shared" si="423"/>
        <v>0</v>
      </c>
      <c r="AM2811" s="85"/>
    </row>
    <row r="2812" spans="1:39" hidden="1" x14ac:dyDescent="0.3">
      <c r="A2812" s="89" t="s">
        <v>3392</v>
      </c>
      <c r="B2812" s="86" t="s">
        <v>701</v>
      </c>
      <c r="C2812" s="86" t="s">
        <v>36</v>
      </c>
      <c r="D2812" s="86" t="s">
        <v>224</v>
      </c>
      <c r="E2812" s="86" t="s">
        <v>2733</v>
      </c>
      <c r="F2812" s="86" t="s">
        <v>2733</v>
      </c>
      <c r="G2812" s="86" t="s">
        <v>2733</v>
      </c>
      <c r="H2812" s="143">
        <v>83</v>
      </c>
      <c r="I2812" s="86" t="s">
        <v>78</v>
      </c>
      <c r="J2812" s="1" t="s">
        <v>3303</v>
      </c>
      <c r="K2812" s="1" t="s">
        <v>3276</v>
      </c>
      <c r="L2812" s="1" t="s">
        <v>701</v>
      </c>
      <c r="M2812" s="86" t="s">
        <v>2733</v>
      </c>
      <c r="N2812" s="86"/>
      <c r="O2812" s="47" t="s">
        <v>410</v>
      </c>
      <c r="P2812" s="47" t="s">
        <v>46</v>
      </c>
      <c r="Q2812" s="14">
        <v>0.02</v>
      </c>
      <c r="R2812" s="143">
        <v>7522</v>
      </c>
      <c r="S2812" s="47"/>
      <c r="T2812" s="6">
        <v>0</v>
      </c>
      <c r="U2812" s="6">
        <v>0</v>
      </c>
      <c r="V2812" s="6">
        <v>0</v>
      </c>
      <c r="W2812" s="6">
        <f t="shared" si="443"/>
        <v>0</v>
      </c>
      <c r="X2812" s="6">
        <f t="shared" si="444"/>
        <v>0</v>
      </c>
      <c r="Y2812" s="13">
        <f t="shared" si="421"/>
        <v>0</v>
      </c>
      <c r="Z2812" s="14">
        <v>0</v>
      </c>
      <c r="AA2812" s="6">
        <v>0</v>
      </c>
      <c r="AB2812" s="4">
        <f t="shared" si="422"/>
        <v>0</v>
      </c>
      <c r="AC2812" s="4">
        <f t="shared" si="439"/>
        <v>0</v>
      </c>
      <c r="AD2812" s="6">
        <f t="shared" si="445"/>
        <v>0</v>
      </c>
      <c r="AE2812" s="2">
        <f>VLOOKUP(I2812,[1]媒体政策预估表!A:N,MATCH(O2812,[1]媒体政策预估表!$A$2:$M$2,0),0)</f>
        <v>0.17</v>
      </c>
      <c r="AF2812" s="6">
        <f t="shared" si="440"/>
        <v>0</v>
      </c>
      <c r="AG2812" s="14">
        <v>0</v>
      </c>
      <c r="AH2812" s="64">
        <f t="shared" si="446"/>
        <v>0</v>
      </c>
      <c r="AI2812" s="47"/>
      <c r="AJ2812" s="126" t="e">
        <v>#N/A</v>
      </c>
      <c r="AK2812" s="80">
        <f t="shared" si="423"/>
        <v>0</v>
      </c>
      <c r="AM2812" s="85"/>
    </row>
    <row r="2813" spans="1:39" hidden="1" x14ac:dyDescent="0.3">
      <c r="A2813" s="89" t="s">
        <v>3392</v>
      </c>
      <c r="B2813" s="86" t="s">
        <v>701</v>
      </c>
      <c r="C2813" s="86" t="s">
        <v>36</v>
      </c>
      <c r="D2813" s="86" t="s">
        <v>224</v>
      </c>
      <c r="E2813" s="86" t="s">
        <v>2734</v>
      </c>
      <c r="F2813" s="86" t="s">
        <v>2734</v>
      </c>
      <c r="G2813" s="86" t="s">
        <v>2734</v>
      </c>
      <c r="H2813" s="144">
        <v>83</v>
      </c>
      <c r="I2813" s="86" t="s">
        <v>78</v>
      </c>
      <c r="J2813" s="1" t="s">
        <v>3303</v>
      </c>
      <c r="K2813" s="1" t="s">
        <v>3276</v>
      </c>
      <c r="L2813" s="1" t="s">
        <v>701</v>
      </c>
      <c r="M2813" s="86" t="s">
        <v>2734</v>
      </c>
      <c r="N2813" s="86"/>
      <c r="O2813" s="47" t="s">
        <v>410</v>
      </c>
      <c r="P2813" s="47" t="s">
        <v>41</v>
      </c>
      <c r="Q2813" s="14">
        <v>0</v>
      </c>
      <c r="R2813" s="143">
        <v>7569</v>
      </c>
      <c r="S2813" s="47"/>
      <c r="T2813" s="6">
        <v>5311.7100000000009</v>
      </c>
      <c r="U2813" s="6">
        <v>10000</v>
      </c>
      <c r="V2813" s="6">
        <v>5995.37</v>
      </c>
      <c r="W2813" s="6">
        <f t="shared" si="443"/>
        <v>9316.34</v>
      </c>
      <c r="X2813" s="6">
        <f t="shared" si="444"/>
        <v>5995.37</v>
      </c>
      <c r="Y2813" s="13">
        <f t="shared" si="421"/>
        <v>0</v>
      </c>
      <c r="Z2813" s="14">
        <v>0</v>
      </c>
      <c r="AA2813" s="6">
        <v>0</v>
      </c>
      <c r="AB2813" s="4">
        <f t="shared" si="422"/>
        <v>5995.37</v>
      </c>
      <c r="AC2813" s="4">
        <f t="shared" si="439"/>
        <v>0</v>
      </c>
      <c r="AD2813" s="6">
        <f t="shared" si="445"/>
        <v>5995.37</v>
      </c>
      <c r="AE2813" s="2">
        <f>VLOOKUP(I2813,[1]媒体政策预估表!A:N,MATCH(O2813,[1]媒体政策预估表!$A$2:$M$2,0),0)</f>
        <v>0.17</v>
      </c>
      <c r="AF2813" s="6">
        <f t="shared" si="440"/>
        <v>1019.2129000000001</v>
      </c>
      <c r="AG2813" s="14">
        <v>0</v>
      </c>
      <c r="AH2813" s="64">
        <f t="shared" si="446"/>
        <v>5995.37</v>
      </c>
      <c r="AI2813" s="47"/>
      <c r="AJ2813" s="126" t="e">
        <v>#N/A</v>
      </c>
      <c r="AK2813" s="80">
        <f t="shared" si="423"/>
        <v>0</v>
      </c>
      <c r="AM2813" s="85"/>
    </row>
    <row r="2814" spans="1:39" hidden="1" x14ac:dyDescent="0.3">
      <c r="A2814" s="89" t="s">
        <v>3396</v>
      </c>
      <c r="B2814" s="86" t="s">
        <v>701</v>
      </c>
      <c r="C2814" s="86" t="s">
        <v>36</v>
      </c>
      <c r="D2814" s="86" t="s">
        <v>224</v>
      </c>
      <c r="E2814" s="86" t="s">
        <v>2738</v>
      </c>
      <c r="F2814" s="86" t="s">
        <v>2738</v>
      </c>
      <c r="G2814" s="86" t="s">
        <v>2738</v>
      </c>
      <c r="H2814" s="144">
        <v>83</v>
      </c>
      <c r="I2814" s="86" t="s">
        <v>78</v>
      </c>
      <c r="J2814" s="1" t="s">
        <v>3303</v>
      </c>
      <c r="K2814" s="1" t="s">
        <v>3276</v>
      </c>
      <c r="L2814" s="1" t="s">
        <v>701</v>
      </c>
      <c r="M2814" s="86" t="s">
        <v>2738</v>
      </c>
      <c r="N2814" s="86"/>
      <c r="O2814" s="47" t="s">
        <v>410</v>
      </c>
      <c r="P2814" s="47" t="s">
        <v>41</v>
      </c>
      <c r="Q2814" s="14">
        <v>0</v>
      </c>
      <c r="R2814" s="143">
        <v>7363</v>
      </c>
      <c r="S2814" s="47"/>
      <c r="T2814" s="6">
        <v>3618.4000000000005</v>
      </c>
      <c r="U2814" s="6">
        <v>5000</v>
      </c>
      <c r="V2814" s="6">
        <v>5374.7</v>
      </c>
      <c r="W2814" s="6">
        <f t="shared" si="443"/>
        <v>3243.7000000000016</v>
      </c>
      <c r="X2814" s="6">
        <f t="shared" si="444"/>
        <v>5374.7</v>
      </c>
      <c r="Y2814" s="13">
        <f t="shared" si="421"/>
        <v>0</v>
      </c>
      <c r="Z2814" s="14">
        <v>0</v>
      </c>
      <c r="AA2814" s="6">
        <v>0</v>
      </c>
      <c r="AB2814" s="4">
        <f t="shared" si="422"/>
        <v>5374.7</v>
      </c>
      <c r="AC2814" s="4">
        <f t="shared" si="439"/>
        <v>0</v>
      </c>
      <c r="AD2814" s="6">
        <f t="shared" si="445"/>
        <v>5374.7</v>
      </c>
      <c r="AE2814" s="2">
        <f>VLOOKUP(I2814,[1]媒体政策预估表!A:N,MATCH(O2814,[1]媒体政策预估表!$A$2:$M$2,0),0)</f>
        <v>0.17</v>
      </c>
      <c r="AF2814" s="6">
        <f t="shared" si="440"/>
        <v>913.69900000000007</v>
      </c>
      <c r="AG2814" s="14">
        <v>0</v>
      </c>
      <c r="AH2814" s="64">
        <f t="shared" si="446"/>
        <v>5374.7</v>
      </c>
      <c r="AI2814" s="47"/>
      <c r="AJ2814" s="126" t="e">
        <v>#N/A</v>
      </c>
      <c r="AK2814" s="80">
        <f t="shared" si="423"/>
        <v>0</v>
      </c>
      <c r="AM2814" s="85"/>
    </row>
    <row r="2815" spans="1:39" hidden="1" x14ac:dyDescent="0.3">
      <c r="A2815" s="89" t="s">
        <v>3394</v>
      </c>
      <c r="B2815" s="86" t="s">
        <v>701</v>
      </c>
      <c r="C2815" s="86" t="s">
        <v>36</v>
      </c>
      <c r="D2815" s="86" t="s">
        <v>54</v>
      </c>
      <c r="E2815" s="86" t="s">
        <v>2842</v>
      </c>
      <c r="F2815" s="86" t="s">
        <v>2842</v>
      </c>
      <c r="G2815" s="86" t="s">
        <v>2842</v>
      </c>
      <c r="H2815" s="144">
        <v>83</v>
      </c>
      <c r="I2815" s="86" t="s">
        <v>78</v>
      </c>
      <c r="J2815" s="1" t="s">
        <v>3303</v>
      </c>
      <c r="K2815" s="1" t="s">
        <v>3276</v>
      </c>
      <c r="L2815" s="1" t="s">
        <v>701</v>
      </c>
      <c r="M2815" s="86" t="s">
        <v>2842</v>
      </c>
      <c r="N2815" s="86"/>
      <c r="O2815" s="47" t="s">
        <v>410</v>
      </c>
      <c r="P2815" s="47" t="s">
        <v>46</v>
      </c>
      <c r="Q2815" s="14">
        <v>0.02</v>
      </c>
      <c r="R2815" s="143">
        <v>7163</v>
      </c>
      <c r="S2815" s="47"/>
      <c r="T2815" s="6">
        <v>45130.60000000002</v>
      </c>
      <c r="U2815" s="6">
        <v>-76121.399999999994</v>
      </c>
      <c r="V2815" s="6">
        <v>-30990.799999999974</v>
      </c>
      <c r="W2815" s="6">
        <f t="shared" si="443"/>
        <v>0</v>
      </c>
      <c r="X2815" s="6">
        <f t="shared" si="444"/>
        <v>-30383.137254901936</v>
      </c>
      <c r="Y2815" s="13">
        <f t="shared" si="421"/>
        <v>607.6627450980377</v>
      </c>
      <c r="Z2815" s="14">
        <v>0</v>
      </c>
      <c r="AA2815" s="6">
        <v>0</v>
      </c>
      <c r="AB2815" s="4">
        <f t="shared" si="422"/>
        <v>-30383.137254901936</v>
      </c>
      <c r="AC2815" s="4">
        <f t="shared" si="439"/>
        <v>-607.6627450980377</v>
      </c>
      <c r="AD2815" s="6">
        <f t="shared" si="445"/>
        <v>-30990.799999999974</v>
      </c>
      <c r="AE2815" s="2">
        <f>VLOOKUP(I2815,[1]媒体政策预估表!A:N,MATCH(O2815,[1]媒体政策预估表!$A$2:$M$2,0),0)</f>
        <v>0.17</v>
      </c>
      <c r="AF2815" s="6">
        <f t="shared" si="440"/>
        <v>-5268.4359999999961</v>
      </c>
      <c r="AG2815" s="14">
        <v>0</v>
      </c>
      <c r="AH2815" s="64">
        <f t="shared" si="446"/>
        <v>-30990.799999999974</v>
      </c>
      <c r="AI2815" s="47"/>
      <c r="AJ2815" s="126" t="e">
        <v>#N/A</v>
      </c>
      <c r="AK2815" s="80">
        <f t="shared" si="423"/>
        <v>0</v>
      </c>
      <c r="AM2815" s="85"/>
    </row>
    <row r="2816" spans="1:39" hidden="1" x14ac:dyDescent="0.3">
      <c r="A2816" s="89" t="s">
        <v>3394</v>
      </c>
      <c r="B2816" s="86" t="s">
        <v>701</v>
      </c>
      <c r="C2816" s="86" t="s">
        <v>36</v>
      </c>
      <c r="D2816" s="86" t="s">
        <v>54</v>
      </c>
      <c r="E2816" s="86" t="s">
        <v>2842</v>
      </c>
      <c r="F2816" s="86" t="s">
        <v>2842</v>
      </c>
      <c r="G2816" s="86" t="s">
        <v>2842</v>
      </c>
      <c r="H2816" s="144">
        <v>83</v>
      </c>
      <c r="I2816" s="86" t="s">
        <v>78</v>
      </c>
      <c r="J2816" s="1" t="s">
        <v>3303</v>
      </c>
      <c r="K2816" s="1" t="s">
        <v>3276</v>
      </c>
      <c r="L2816" s="1" t="s">
        <v>701</v>
      </c>
      <c r="M2816" s="86" t="s">
        <v>2842</v>
      </c>
      <c r="N2816" s="86"/>
      <c r="O2816" s="47" t="s">
        <v>410</v>
      </c>
      <c r="P2816" s="47" t="s">
        <v>41</v>
      </c>
      <c r="Q2816" s="14">
        <v>0</v>
      </c>
      <c r="R2816" s="143">
        <v>7163</v>
      </c>
      <c r="S2816" s="47"/>
      <c r="T2816" s="6">
        <v>0</v>
      </c>
      <c r="U2816" s="6">
        <v>174628.82</v>
      </c>
      <c r="V2816" s="6">
        <v>57233.699999999975</v>
      </c>
      <c r="W2816" s="6">
        <f t="shared" si="443"/>
        <v>117395.12000000002</v>
      </c>
      <c r="X2816" s="6">
        <f t="shared" si="444"/>
        <v>57233.699999999975</v>
      </c>
      <c r="Y2816" s="13">
        <f t="shared" si="421"/>
        <v>0</v>
      </c>
      <c r="Z2816" s="14">
        <v>0</v>
      </c>
      <c r="AA2816" s="6">
        <v>0</v>
      </c>
      <c r="AB2816" s="4">
        <f t="shared" si="422"/>
        <v>57233.699999999975</v>
      </c>
      <c r="AC2816" s="4">
        <f t="shared" si="439"/>
        <v>0</v>
      </c>
      <c r="AD2816" s="6">
        <f t="shared" si="445"/>
        <v>57233.699999999975</v>
      </c>
      <c r="AE2816" s="2">
        <f>VLOOKUP(I2816,[1]媒体政策预估表!A:N,MATCH(O2816,[1]媒体政策预估表!$A$2:$M$2,0),0)</f>
        <v>0.17</v>
      </c>
      <c r="AF2816" s="6">
        <f t="shared" si="440"/>
        <v>9729.7289999999957</v>
      </c>
      <c r="AG2816" s="14">
        <v>0</v>
      </c>
      <c r="AH2816" s="64">
        <f t="shared" si="446"/>
        <v>57233.699999999975</v>
      </c>
      <c r="AI2816" s="47"/>
      <c r="AJ2816" s="126" t="e">
        <v>#N/A</v>
      </c>
      <c r="AK2816" s="80">
        <f t="shared" si="423"/>
        <v>0</v>
      </c>
      <c r="AM2816" s="85"/>
    </row>
    <row r="2817" spans="1:39" hidden="1" x14ac:dyDescent="0.3">
      <c r="A2817" s="89" t="s">
        <v>3395</v>
      </c>
      <c r="B2817" s="86" t="s">
        <v>701</v>
      </c>
      <c r="C2817" s="86" t="s">
        <v>36</v>
      </c>
      <c r="D2817" s="86" t="s">
        <v>54</v>
      </c>
      <c r="E2817" s="86" t="s">
        <v>887</v>
      </c>
      <c r="F2817" s="86" t="s">
        <v>2739</v>
      </c>
      <c r="G2817" s="86" t="s">
        <v>887</v>
      </c>
      <c r="H2817" s="144">
        <v>83</v>
      </c>
      <c r="I2817" s="86" t="s">
        <v>78</v>
      </c>
      <c r="J2817" s="1" t="s">
        <v>3303</v>
      </c>
      <c r="K2817" s="1" t="s">
        <v>3276</v>
      </c>
      <c r="L2817" s="1" t="s">
        <v>701</v>
      </c>
      <c r="M2817" s="86" t="s">
        <v>1858</v>
      </c>
      <c r="N2817" s="86"/>
      <c r="O2817" s="47" t="s">
        <v>410</v>
      </c>
      <c r="P2817" s="47" t="s">
        <v>41</v>
      </c>
      <c r="Q2817" s="14">
        <v>0</v>
      </c>
      <c r="R2817" s="143">
        <v>7127</v>
      </c>
      <c r="S2817" s="47"/>
      <c r="T2817" s="6">
        <v>46279.199999999983</v>
      </c>
      <c r="U2817" s="6">
        <v>90000</v>
      </c>
      <c r="V2817" s="6">
        <v>87886.44</v>
      </c>
      <c r="W2817" s="6">
        <f t="shared" si="443"/>
        <v>48392.75999999998</v>
      </c>
      <c r="X2817" s="6">
        <f t="shared" si="444"/>
        <v>87886.44</v>
      </c>
      <c r="Y2817" s="13">
        <f t="shared" si="421"/>
        <v>0</v>
      </c>
      <c r="Z2817" s="14">
        <v>0</v>
      </c>
      <c r="AA2817" s="6">
        <v>0</v>
      </c>
      <c r="AB2817" s="4">
        <f t="shared" si="422"/>
        <v>87886.44</v>
      </c>
      <c r="AC2817" s="4">
        <f t="shared" si="439"/>
        <v>0</v>
      </c>
      <c r="AD2817" s="6">
        <f t="shared" si="445"/>
        <v>87886.44</v>
      </c>
      <c r="AE2817" s="2">
        <f>VLOOKUP(I2817,[1]媒体政策预估表!A:N,MATCH(O2817,[1]媒体政策预估表!$A$2:$M$2,0),0)</f>
        <v>0.17</v>
      </c>
      <c r="AF2817" s="6">
        <f t="shared" si="440"/>
        <v>14940.694800000001</v>
      </c>
      <c r="AG2817" s="14">
        <v>0</v>
      </c>
      <c r="AH2817" s="64">
        <f t="shared" si="446"/>
        <v>87886.44</v>
      </c>
      <c r="AI2817" s="47"/>
      <c r="AJ2817" s="126" t="e">
        <v>#N/A</v>
      </c>
      <c r="AK2817" s="80">
        <f t="shared" si="423"/>
        <v>0</v>
      </c>
      <c r="AM2817" s="85"/>
    </row>
    <row r="2818" spans="1:39" hidden="1" x14ac:dyDescent="0.3">
      <c r="A2818" s="89" t="s">
        <v>3392</v>
      </c>
      <c r="B2818" s="86" t="s">
        <v>701</v>
      </c>
      <c r="C2818" s="86" t="s">
        <v>36</v>
      </c>
      <c r="D2818" s="86" t="s">
        <v>54</v>
      </c>
      <c r="E2818" s="86" t="s">
        <v>887</v>
      </c>
      <c r="F2818" s="86" t="s">
        <v>2739</v>
      </c>
      <c r="G2818" s="86" t="s">
        <v>887</v>
      </c>
      <c r="H2818" s="144">
        <v>83</v>
      </c>
      <c r="I2818" s="86" t="s">
        <v>78</v>
      </c>
      <c r="J2818" s="1" t="s">
        <v>3303</v>
      </c>
      <c r="K2818" s="1" t="s">
        <v>3276</v>
      </c>
      <c r="L2818" s="1" t="s">
        <v>701</v>
      </c>
      <c r="M2818" s="86" t="s">
        <v>73</v>
      </c>
      <c r="N2818" s="86"/>
      <c r="O2818" s="47" t="s">
        <v>410</v>
      </c>
      <c r="P2818" s="47" t="s">
        <v>41</v>
      </c>
      <c r="Q2818" s="14">
        <v>0</v>
      </c>
      <c r="R2818" s="143">
        <v>7130</v>
      </c>
      <c r="S2818" s="47"/>
      <c r="T2818" s="6">
        <v>55806.910000000091</v>
      </c>
      <c r="U2818" s="6">
        <v>200000</v>
      </c>
      <c r="V2818" s="6">
        <v>166169.86000000002</v>
      </c>
      <c r="W2818" s="6">
        <f t="shared" si="443"/>
        <v>89637.050000000076</v>
      </c>
      <c r="X2818" s="6">
        <f t="shared" si="444"/>
        <v>166169.86000000002</v>
      </c>
      <c r="Y2818" s="13">
        <f t="shared" si="421"/>
        <v>0</v>
      </c>
      <c r="Z2818" s="14">
        <v>0</v>
      </c>
      <c r="AA2818" s="6">
        <v>0</v>
      </c>
      <c r="AB2818" s="4">
        <f t="shared" si="422"/>
        <v>166169.86000000002</v>
      </c>
      <c r="AC2818" s="4">
        <f t="shared" si="439"/>
        <v>0</v>
      </c>
      <c r="AD2818" s="6">
        <f t="shared" si="445"/>
        <v>166169.86000000002</v>
      </c>
      <c r="AE2818" s="2">
        <f>VLOOKUP(I2818,[1]媒体政策预估表!A:N,MATCH(O2818,[1]媒体政策预估表!$A$2:$M$2,0),0)</f>
        <v>0.17</v>
      </c>
      <c r="AF2818" s="6">
        <f t="shared" si="440"/>
        <v>28248.876200000006</v>
      </c>
      <c r="AG2818" s="14">
        <v>0</v>
      </c>
      <c r="AH2818" s="64">
        <f t="shared" si="446"/>
        <v>166169.86000000002</v>
      </c>
      <c r="AI2818" s="47"/>
      <c r="AJ2818" s="126" t="e">
        <v>#N/A</v>
      </c>
      <c r="AK2818" s="80">
        <f t="shared" si="423"/>
        <v>0</v>
      </c>
      <c r="AM2818" s="85"/>
    </row>
    <row r="2819" spans="1:39" hidden="1" x14ac:dyDescent="0.3">
      <c r="A2819" s="89" t="s">
        <v>3394</v>
      </c>
      <c r="B2819" s="86" t="s">
        <v>701</v>
      </c>
      <c r="C2819" s="86" t="s">
        <v>36</v>
      </c>
      <c r="D2819" s="86" t="s">
        <v>54</v>
      </c>
      <c r="E2819" s="86" t="s">
        <v>2740</v>
      </c>
      <c r="F2819" s="86" t="s">
        <v>2740</v>
      </c>
      <c r="G2819" s="86" t="s">
        <v>2740</v>
      </c>
      <c r="H2819" s="144">
        <v>83</v>
      </c>
      <c r="I2819" s="86" t="s">
        <v>78</v>
      </c>
      <c r="J2819" s="1" t="s">
        <v>3303</v>
      </c>
      <c r="K2819" s="1" t="s">
        <v>3276</v>
      </c>
      <c r="L2819" s="1" t="s">
        <v>701</v>
      </c>
      <c r="M2819" s="86" t="s">
        <v>2741</v>
      </c>
      <c r="N2819" s="86"/>
      <c r="O2819" s="47" t="s">
        <v>410</v>
      </c>
      <c r="P2819" s="47" t="s">
        <v>41</v>
      </c>
      <c r="Q2819" s="14">
        <v>0</v>
      </c>
      <c r="R2819" s="143">
        <v>7120</v>
      </c>
      <c r="S2819" s="47"/>
      <c r="T2819" s="6">
        <v>14623.71</v>
      </c>
      <c r="U2819" s="6">
        <v>20000</v>
      </c>
      <c r="V2819" s="6">
        <v>13761.65</v>
      </c>
      <c r="W2819" s="6">
        <f t="shared" si="443"/>
        <v>20862.059999999998</v>
      </c>
      <c r="X2819" s="6">
        <f t="shared" si="444"/>
        <v>13761.65</v>
      </c>
      <c r="Y2819" s="13">
        <f t="shared" ref="Y2819:Y2882" si="447">IF(X2819-AD2819&lt;=0,0,IF(P2819="返现",MAX(X2819-AC2819-AD2819,0),MAX(X2819-AD2819)))</f>
        <v>0</v>
      </c>
      <c r="Z2819" s="14">
        <v>0</v>
      </c>
      <c r="AA2819" s="6">
        <v>0</v>
      </c>
      <c r="AB2819" s="4">
        <f t="shared" ref="AB2819:AB2882" si="448">X2819+AA2819</f>
        <v>13761.65</v>
      </c>
      <c r="AC2819" s="4">
        <f t="shared" si="439"/>
        <v>0</v>
      </c>
      <c r="AD2819" s="6">
        <f t="shared" si="445"/>
        <v>13761.65</v>
      </c>
      <c r="AE2819" s="2">
        <f>VLOOKUP(I2819,[1]媒体政策预估表!A:N,MATCH(O2819,[1]媒体政策预估表!$A$2:$M$2,0),0)</f>
        <v>0.17</v>
      </c>
      <c r="AF2819" s="6">
        <f t="shared" si="440"/>
        <v>2339.4805000000001</v>
      </c>
      <c r="AG2819" s="14">
        <v>0</v>
      </c>
      <c r="AH2819" s="64">
        <f t="shared" si="446"/>
        <v>13761.65</v>
      </c>
      <c r="AI2819" s="47"/>
      <c r="AJ2819" s="126" t="e">
        <v>#N/A</v>
      </c>
      <c r="AK2819" s="80">
        <f t="shared" ref="AK2819:AK2882" si="449">X2819+AA2819-AB2819</f>
        <v>0</v>
      </c>
      <c r="AM2819" s="85"/>
    </row>
    <row r="2820" spans="1:39" hidden="1" x14ac:dyDescent="0.3">
      <c r="A2820" s="89" t="s">
        <v>3397</v>
      </c>
      <c r="B2820" s="86" t="s">
        <v>701</v>
      </c>
      <c r="C2820" s="86" t="s">
        <v>36</v>
      </c>
      <c r="D2820" s="86" t="s">
        <v>54</v>
      </c>
      <c r="E2820" s="86" t="s">
        <v>2772</v>
      </c>
      <c r="F2820" s="86" t="s">
        <v>2772</v>
      </c>
      <c r="G2820" s="86" t="s">
        <v>2772</v>
      </c>
      <c r="H2820" s="144">
        <v>83</v>
      </c>
      <c r="I2820" s="86" t="s">
        <v>78</v>
      </c>
      <c r="J2820" s="1" t="s">
        <v>3303</v>
      </c>
      <c r="K2820" s="1" t="s">
        <v>3276</v>
      </c>
      <c r="L2820" s="1" t="s">
        <v>701</v>
      </c>
      <c r="M2820" s="86" t="s">
        <v>2773</v>
      </c>
      <c r="N2820" s="86"/>
      <c r="O2820" s="47" t="s">
        <v>410</v>
      </c>
      <c r="P2820" s="47" t="s">
        <v>41</v>
      </c>
      <c r="Q2820" s="14">
        <v>0</v>
      </c>
      <c r="R2820" s="143">
        <v>7613</v>
      </c>
      <c r="S2820" s="47"/>
      <c r="T2820" s="6">
        <v>432298.55</v>
      </c>
      <c r="U2820" s="6">
        <v>400000</v>
      </c>
      <c r="V2820" s="6">
        <v>154206.87</v>
      </c>
      <c r="W2820" s="6">
        <f t="shared" si="443"/>
        <v>678091.68</v>
      </c>
      <c r="X2820" s="6">
        <f t="shared" si="444"/>
        <v>154206.87</v>
      </c>
      <c r="Y2820" s="13">
        <f t="shared" si="447"/>
        <v>0</v>
      </c>
      <c r="Z2820" s="14">
        <v>0</v>
      </c>
      <c r="AA2820" s="6">
        <v>0</v>
      </c>
      <c r="AB2820" s="4">
        <f t="shared" si="448"/>
        <v>154206.87</v>
      </c>
      <c r="AC2820" s="4">
        <f t="shared" si="439"/>
        <v>0</v>
      </c>
      <c r="AD2820" s="6">
        <f t="shared" si="445"/>
        <v>154206.87</v>
      </c>
      <c r="AE2820" s="2">
        <f>VLOOKUP(I2820,[1]媒体政策预估表!A:N,MATCH(O2820,[1]媒体政策预估表!$A$2:$M$2,0),0)</f>
        <v>0.17</v>
      </c>
      <c r="AF2820" s="6">
        <f t="shared" si="440"/>
        <v>26215.1679</v>
      </c>
      <c r="AG2820" s="14">
        <v>0</v>
      </c>
      <c r="AH2820" s="64">
        <f t="shared" si="446"/>
        <v>154206.87</v>
      </c>
      <c r="AI2820" s="47"/>
      <c r="AJ2820" s="126" t="e">
        <v>#N/A</v>
      </c>
      <c r="AK2820" s="80">
        <f t="shared" si="449"/>
        <v>0</v>
      </c>
      <c r="AM2820" s="85"/>
    </row>
    <row r="2821" spans="1:39" hidden="1" x14ac:dyDescent="0.3">
      <c r="A2821" s="89" t="s">
        <v>3392</v>
      </c>
      <c r="B2821" s="86" t="s">
        <v>701</v>
      </c>
      <c r="C2821" s="86" t="s">
        <v>36</v>
      </c>
      <c r="D2821" s="86" t="s">
        <v>54</v>
      </c>
      <c r="E2821" s="86" t="s">
        <v>2743</v>
      </c>
      <c r="F2821" s="86" t="s">
        <v>2743</v>
      </c>
      <c r="G2821" s="86" t="s">
        <v>2743</v>
      </c>
      <c r="H2821" s="144">
        <v>83</v>
      </c>
      <c r="I2821" s="86" t="s">
        <v>78</v>
      </c>
      <c r="J2821" s="1" t="s">
        <v>3303</v>
      </c>
      <c r="K2821" s="1" t="s">
        <v>3276</v>
      </c>
      <c r="L2821" s="1" t="s">
        <v>701</v>
      </c>
      <c r="M2821" s="86" t="s">
        <v>2744</v>
      </c>
      <c r="N2821" s="86"/>
      <c r="O2821" s="47" t="s">
        <v>410</v>
      </c>
      <c r="P2821" s="47" t="s">
        <v>41</v>
      </c>
      <c r="Q2821" s="14">
        <v>0</v>
      </c>
      <c r="R2821" s="143">
        <v>7165</v>
      </c>
      <c r="S2821" s="47"/>
      <c r="T2821" s="6">
        <v>8284</v>
      </c>
      <c r="U2821" s="6">
        <v>90000</v>
      </c>
      <c r="V2821" s="6">
        <v>88326.200000000012</v>
      </c>
      <c r="W2821" s="6">
        <f t="shared" si="443"/>
        <v>9957.7999999999884</v>
      </c>
      <c r="X2821" s="6">
        <f t="shared" si="444"/>
        <v>88326.200000000012</v>
      </c>
      <c r="Y2821" s="13">
        <f t="shared" si="447"/>
        <v>0</v>
      </c>
      <c r="Z2821" s="14">
        <v>0</v>
      </c>
      <c r="AA2821" s="6">
        <v>0</v>
      </c>
      <c r="AB2821" s="4">
        <f t="shared" si="448"/>
        <v>88326.200000000012</v>
      </c>
      <c r="AC2821" s="4">
        <f t="shared" si="439"/>
        <v>0</v>
      </c>
      <c r="AD2821" s="6">
        <f t="shared" si="445"/>
        <v>88326.200000000012</v>
      </c>
      <c r="AE2821" s="2">
        <f>VLOOKUP(I2821,[1]媒体政策预估表!A:N,MATCH(O2821,[1]媒体政策预估表!$A$2:$M$2,0),0)</f>
        <v>0.17</v>
      </c>
      <c r="AF2821" s="6">
        <f t="shared" si="440"/>
        <v>15015.454000000003</v>
      </c>
      <c r="AG2821" s="14">
        <v>0</v>
      </c>
      <c r="AH2821" s="64">
        <f t="shared" si="446"/>
        <v>88326.200000000012</v>
      </c>
      <c r="AI2821" s="47"/>
      <c r="AJ2821" s="126" t="e">
        <v>#N/A</v>
      </c>
      <c r="AK2821" s="80">
        <f t="shared" si="449"/>
        <v>0</v>
      </c>
      <c r="AM2821" s="85"/>
    </row>
    <row r="2822" spans="1:39" hidden="1" x14ac:dyDescent="0.3">
      <c r="A2822" s="89" t="s">
        <v>3395</v>
      </c>
      <c r="B2822" s="86" t="s">
        <v>701</v>
      </c>
      <c r="C2822" s="86" t="s">
        <v>36</v>
      </c>
      <c r="D2822" s="86" t="s">
        <v>54</v>
      </c>
      <c r="E2822" s="86" t="s">
        <v>2745</v>
      </c>
      <c r="F2822" s="86" t="s">
        <v>2745</v>
      </c>
      <c r="G2822" s="86" t="s">
        <v>2745</v>
      </c>
      <c r="H2822" s="144">
        <v>83</v>
      </c>
      <c r="I2822" s="86" t="s">
        <v>78</v>
      </c>
      <c r="J2822" s="1" t="s">
        <v>3303</v>
      </c>
      <c r="K2822" s="1" t="s">
        <v>3276</v>
      </c>
      <c r="L2822" s="1" t="s">
        <v>701</v>
      </c>
      <c r="M2822" s="86" t="s">
        <v>2746</v>
      </c>
      <c r="N2822" s="86"/>
      <c r="O2822" s="47" t="s">
        <v>410</v>
      </c>
      <c r="P2822" s="47" t="s">
        <v>46</v>
      </c>
      <c r="Q2822" s="14">
        <v>0.03</v>
      </c>
      <c r="R2822" s="143">
        <v>7155</v>
      </c>
      <c r="S2822" s="47"/>
      <c r="T2822" s="6">
        <v>2854.4002999999939</v>
      </c>
      <c r="U2822" s="6">
        <v>60000</v>
      </c>
      <c r="V2822" s="6">
        <v>56063.7</v>
      </c>
      <c r="W2822" s="6">
        <f t="shared" si="443"/>
        <v>6790.7002999999968</v>
      </c>
      <c r="X2822" s="6">
        <f t="shared" si="444"/>
        <v>54430.77669902912</v>
      </c>
      <c r="Y2822" s="13">
        <f t="shared" si="447"/>
        <v>0</v>
      </c>
      <c r="Z2822" s="14">
        <v>0</v>
      </c>
      <c r="AA2822" s="6">
        <v>0</v>
      </c>
      <c r="AB2822" s="4">
        <f t="shared" si="448"/>
        <v>54430.77669902912</v>
      </c>
      <c r="AC2822" s="4">
        <f t="shared" si="439"/>
        <v>1632.9233009708769</v>
      </c>
      <c r="AD2822" s="6">
        <f t="shared" si="445"/>
        <v>56063.7</v>
      </c>
      <c r="AE2822" s="2">
        <f>VLOOKUP(I2822,[1]媒体政策预估表!A:N,MATCH(O2822,[1]媒体政策预估表!$A$2:$M$2,0),0)</f>
        <v>0.17</v>
      </c>
      <c r="AF2822" s="6">
        <f t="shared" si="440"/>
        <v>9530.8289999999997</v>
      </c>
      <c r="AG2822" s="14">
        <v>0</v>
      </c>
      <c r="AH2822" s="64">
        <f t="shared" si="446"/>
        <v>56063.7</v>
      </c>
      <c r="AI2822" s="47"/>
      <c r="AJ2822" s="126" t="e">
        <v>#N/A</v>
      </c>
      <c r="AK2822" s="80">
        <f t="shared" si="449"/>
        <v>0</v>
      </c>
      <c r="AM2822" s="85"/>
    </row>
    <row r="2823" spans="1:39" hidden="1" x14ac:dyDescent="0.3">
      <c r="A2823" s="89" t="s">
        <v>3394</v>
      </c>
      <c r="B2823" s="86" t="s">
        <v>701</v>
      </c>
      <c r="C2823" s="86" t="s">
        <v>36</v>
      </c>
      <c r="D2823" s="86" t="s">
        <v>54</v>
      </c>
      <c r="E2823" s="86" t="s">
        <v>2785</v>
      </c>
      <c r="F2823" s="86" t="s">
        <v>2785</v>
      </c>
      <c r="G2823" s="86" t="s">
        <v>2785</v>
      </c>
      <c r="H2823" s="144">
        <v>83</v>
      </c>
      <c r="I2823" s="86" t="s">
        <v>78</v>
      </c>
      <c r="J2823" s="1" t="s">
        <v>3303</v>
      </c>
      <c r="K2823" s="1" t="s">
        <v>3276</v>
      </c>
      <c r="L2823" s="1" t="s">
        <v>701</v>
      </c>
      <c r="M2823" s="86" t="s">
        <v>2786</v>
      </c>
      <c r="N2823" s="86"/>
      <c r="O2823" s="47" t="s">
        <v>410</v>
      </c>
      <c r="P2823" s="47" t="s">
        <v>46</v>
      </c>
      <c r="Q2823" s="14">
        <v>0.01</v>
      </c>
      <c r="R2823" s="143">
        <v>7272</v>
      </c>
      <c r="S2823" s="47"/>
      <c r="T2823" s="6">
        <v>1065.20999999997</v>
      </c>
      <c r="U2823" s="6">
        <v>50000</v>
      </c>
      <c r="V2823" s="6">
        <v>33750.729999999996</v>
      </c>
      <c r="W2823" s="6">
        <f t="shared" si="443"/>
        <v>17314.479999999974</v>
      </c>
      <c r="X2823" s="6">
        <f t="shared" si="444"/>
        <v>33416.564356435636</v>
      </c>
      <c r="Y2823" s="13">
        <f t="shared" si="447"/>
        <v>0</v>
      </c>
      <c r="Z2823" s="14">
        <v>0</v>
      </c>
      <c r="AA2823" s="6">
        <v>0</v>
      </c>
      <c r="AB2823" s="4">
        <f t="shared" si="448"/>
        <v>33416.564356435636</v>
      </c>
      <c r="AC2823" s="4">
        <f t="shared" si="439"/>
        <v>334.16564356435993</v>
      </c>
      <c r="AD2823" s="6">
        <f t="shared" si="445"/>
        <v>33750.729999999996</v>
      </c>
      <c r="AE2823" s="2">
        <f>VLOOKUP(I2823,[1]媒体政策预估表!A:N,MATCH(O2823,[1]媒体政策预估表!$A$2:$M$2,0),0)</f>
        <v>0.17</v>
      </c>
      <c r="AF2823" s="6">
        <f t="shared" si="440"/>
        <v>5737.6241</v>
      </c>
      <c r="AG2823" s="14">
        <v>0</v>
      </c>
      <c r="AH2823" s="64">
        <f t="shared" si="446"/>
        <v>33750.729999999996</v>
      </c>
      <c r="AI2823" s="47"/>
      <c r="AJ2823" s="126" t="e">
        <v>#N/A</v>
      </c>
      <c r="AK2823" s="80">
        <f t="shared" si="449"/>
        <v>0</v>
      </c>
      <c r="AM2823" s="85"/>
    </row>
    <row r="2824" spans="1:39" hidden="1" x14ac:dyDescent="0.3">
      <c r="A2824" s="89" t="s">
        <v>3394</v>
      </c>
      <c r="B2824" s="86" t="s">
        <v>701</v>
      </c>
      <c r="C2824" s="86" t="s">
        <v>36</v>
      </c>
      <c r="D2824" s="86" t="s">
        <v>54</v>
      </c>
      <c r="E2824" s="86" t="s">
        <v>3399</v>
      </c>
      <c r="F2824" s="86" t="s">
        <v>3399</v>
      </c>
      <c r="G2824" s="86" t="s">
        <v>3399</v>
      </c>
      <c r="H2824" s="143">
        <v>83</v>
      </c>
      <c r="I2824" s="86" t="s">
        <v>78</v>
      </c>
      <c r="J2824" s="1" t="s">
        <v>3303</v>
      </c>
      <c r="K2824" s="1" t="s">
        <v>3276</v>
      </c>
      <c r="L2824" s="1" t="s">
        <v>701</v>
      </c>
      <c r="M2824" s="86" t="s">
        <v>3400</v>
      </c>
      <c r="N2824" s="86"/>
      <c r="O2824" s="47" t="s">
        <v>410</v>
      </c>
      <c r="P2824" s="47" t="s">
        <v>41</v>
      </c>
      <c r="Q2824" s="14">
        <v>0</v>
      </c>
      <c r="R2824" s="143">
        <v>7666</v>
      </c>
      <c r="S2824" s="47"/>
      <c r="T2824" s="6">
        <v>0</v>
      </c>
      <c r="U2824" s="6">
        <v>50000</v>
      </c>
      <c r="V2824" s="6">
        <v>39946</v>
      </c>
      <c r="W2824" s="6">
        <f t="shared" si="443"/>
        <v>10054</v>
      </c>
      <c r="X2824" s="6">
        <f t="shared" si="444"/>
        <v>39946</v>
      </c>
      <c r="Y2824" s="13">
        <f t="shared" si="447"/>
        <v>0</v>
      </c>
      <c r="Z2824" s="14">
        <v>0</v>
      </c>
      <c r="AA2824" s="6">
        <v>0</v>
      </c>
      <c r="AB2824" s="4"/>
      <c r="AC2824" s="4">
        <f t="shared" si="439"/>
        <v>0</v>
      </c>
      <c r="AD2824" s="6">
        <f t="shared" si="445"/>
        <v>39946</v>
      </c>
      <c r="AE2824" s="2">
        <f>VLOOKUP(I2824,[1]媒体政策预估表!A:N,MATCH(O2824,[1]媒体政策预估表!$A$2:$M$2,0),0)</f>
        <v>0.17</v>
      </c>
      <c r="AF2824" s="6">
        <f t="shared" si="440"/>
        <v>6790.8200000000006</v>
      </c>
      <c r="AG2824" s="14">
        <v>0</v>
      </c>
      <c r="AH2824" s="64">
        <f t="shared" si="446"/>
        <v>39946</v>
      </c>
      <c r="AI2824" s="47"/>
      <c r="AJ2824" s="126">
        <v>116</v>
      </c>
      <c r="AK2824" s="80">
        <f t="shared" si="449"/>
        <v>39946</v>
      </c>
      <c r="AM2824" s="85"/>
    </row>
    <row r="2825" spans="1:39" hidden="1" x14ac:dyDescent="0.3">
      <c r="A2825" s="89" t="s">
        <v>3395</v>
      </c>
      <c r="B2825" s="86" t="s">
        <v>701</v>
      </c>
      <c r="C2825" s="86" t="s">
        <v>36</v>
      </c>
      <c r="D2825" s="86" t="s">
        <v>54</v>
      </c>
      <c r="E2825" s="86" t="s">
        <v>1204</v>
      </c>
      <c r="F2825" s="86" t="s">
        <v>1204</v>
      </c>
      <c r="G2825" s="86" t="s">
        <v>1204</v>
      </c>
      <c r="H2825" s="144">
        <v>83</v>
      </c>
      <c r="I2825" s="86" t="s">
        <v>78</v>
      </c>
      <c r="J2825" s="1" t="s">
        <v>3303</v>
      </c>
      <c r="K2825" s="1" t="s">
        <v>3276</v>
      </c>
      <c r="L2825" s="1" t="s">
        <v>701</v>
      </c>
      <c r="M2825" s="86" t="s">
        <v>1204</v>
      </c>
      <c r="N2825" s="86"/>
      <c r="O2825" s="47" t="s">
        <v>410</v>
      </c>
      <c r="P2825" s="47" t="s">
        <v>41</v>
      </c>
      <c r="Q2825" s="14">
        <v>0</v>
      </c>
      <c r="R2825" s="143">
        <v>7521</v>
      </c>
      <c r="S2825" s="47"/>
      <c r="T2825" s="6">
        <v>3417.2999999999993</v>
      </c>
      <c r="U2825" s="6">
        <v>20000</v>
      </c>
      <c r="V2825" s="6">
        <v>9305.2000000000007</v>
      </c>
      <c r="W2825" s="6">
        <f t="shared" si="443"/>
        <v>14112.099999999999</v>
      </c>
      <c r="X2825" s="6">
        <f t="shared" si="444"/>
        <v>9305.2000000000007</v>
      </c>
      <c r="Y2825" s="13">
        <f t="shared" si="447"/>
        <v>0</v>
      </c>
      <c r="Z2825" s="14">
        <v>0</v>
      </c>
      <c r="AA2825" s="6">
        <v>0</v>
      </c>
      <c r="AB2825" s="4">
        <f t="shared" si="448"/>
        <v>9305.2000000000007</v>
      </c>
      <c r="AC2825" s="4">
        <f t="shared" si="439"/>
        <v>0</v>
      </c>
      <c r="AD2825" s="6">
        <f t="shared" si="445"/>
        <v>9305.2000000000007</v>
      </c>
      <c r="AE2825" s="2">
        <f>VLOOKUP(I2825,[1]媒体政策预估表!A:N,MATCH(O2825,[1]媒体政策预估表!$A$2:$M$2,0),0)</f>
        <v>0.17</v>
      </c>
      <c r="AF2825" s="6">
        <f t="shared" si="440"/>
        <v>1581.8840000000002</v>
      </c>
      <c r="AG2825" s="14">
        <v>0</v>
      </c>
      <c r="AH2825" s="64">
        <f t="shared" si="446"/>
        <v>9305.2000000000007</v>
      </c>
      <c r="AI2825" s="47"/>
      <c r="AJ2825" s="126" t="e">
        <v>#N/A</v>
      </c>
      <c r="AK2825" s="80">
        <f t="shared" si="449"/>
        <v>0</v>
      </c>
      <c r="AM2825" s="85"/>
    </row>
    <row r="2826" spans="1:39" hidden="1" x14ac:dyDescent="0.3">
      <c r="A2826" s="89" t="s">
        <v>3394</v>
      </c>
      <c r="B2826" s="86" t="s">
        <v>701</v>
      </c>
      <c r="C2826" s="86" t="s">
        <v>36</v>
      </c>
      <c r="D2826" s="86" t="s">
        <v>54</v>
      </c>
      <c r="E2826" s="86" t="s">
        <v>3401</v>
      </c>
      <c r="F2826" s="86" t="s">
        <v>3401</v>
      </c>
      <c r="G2826" s="86" t="s">
        <v>3401</v>
      </c>
      <c r="H2826" s="143">
        <v>83</v>
      </c>
      <c r="I2826" s="86" t="s">
        <v>78</v>
      </c>
      <c r="J2826" s="1" t="s">
        <v>3303</v>
      </c>
      <c r="K2826" s="1" t="s">
        <v>3276</v>
      </c>
      <c r="L2826" s="1" t="s">
        <v>701</v>
      </c>
      <c r="M2826" s="86" t="s">
        <v>2882</v>
      </c>
      <c r="N2826" s="86"/>
      <c r="O2826" s="47" t="s">
        <v>410</v>
      </c>
      <c r="P2826" s="47" t="s">
        <v>41</v>
      </c>
      <c r="Q2826" s="14">
        <v>0</v>
      </c>
      <c r="R2826" s="143">
        <v>7189</v>
      </c>
      <c r="S2826" s="47"/>
      <c r="T2826" s="6">
        <v>0</v>
      </c>
      <c r="U2826" s="6">
        <v>10000</v>
      </c>
      <c r="V2826" s="6">
        <v>0</v>
      </c>
      <c r="W2826" s="6">
        <f t="shared" si="443"/>
        <v>10000</v>
      </c>
      <c r="X2826" s="6">
        <f t="shared" si="444"/>
        <v>0</v>
      </c>
      <c r="Y2826" s="13">
        <f t="shared" si="447"/>
        <v>0</v>
      </c>
      <c r="Z2826" s="14">
        <v>0</v>
      </c>
      <c r="AA2826" s="6">
        <v>0</v>
      </c>
      <c r="AB2826" s="4">
        <f t="shared" si="448"/>
        <v>0</v>
      </c>
      <c r="AC2826" s="4">
        <f t="shared" si="439"/>
        <v>0</v>
      </c>
      <c r="AD2826" s="6">
        <f t="shared" si="445"/>
        <v>0</v>
      </c>
      <c r="AE2826" s="2">
        <f>VLOOKUP(I2826,[1]媒体政策预估表!A:N,MATCH(O2826,[1]媒体政策预估表!$A$2:$M$2,0),0)</f>
        <v>0.17</v>
      </c>
      <c r="AF2826" s="6">
        <f t="shared" si="440"/>
        <v>0</v>
      </c>
      <c r="AG2826" s="14">
        <v>0</v>
      </c>
      <c r="AH2826" s="64">
        <f t="shared" si="446"/>
        <v>0</v>
      </c>
      <c r="AI2826" s="47"/>
      <c r="AJ2826" s="126" t="e">
        <v>#N/A</v>
      </c>
      <c r="AK2826" s="80">
        <f t="shared" si="449"/>
        <v>0</v>
      </c>
      <c r="AM2826" s="85"/>
    </row>
    <row r="2827" spans="1:39" hidden="1" x14ac:dyDescent="0.3">
      <c r="A2827" s="89" t="s">
        <v>3394</v>
      </c>
      <c r="B2827" s="86" t="s">
        <v>701</v>
      </c>
      <c r="C2827" s="86" t="s">
        <v>36</v>
      </c>
      <c r="D2827" s="86" t="s">
        <v>54</v>
      </c>
      <c r="E2827" s="86" t="s">
        <v>2843</v>
      </c>
      <c r="F2827" s="86" t="s">
        <v>2843</v>
      </c>
      <c r="G2827" s="86" t="s">
        <v>2843</v>
      </c>
      <c r="H2827" s="144">
        <v>83</v>
      </c>
      <c r="I2827" s="86" t="s">
        <v>78</v>
      </c>
      <c r="J2827" s="1" t="s">
        <v>3303</v>
      </c>
      <c r="K2827" s="1" t="s">
        <v>3276</v>
      </c>
      <c r="L2827" s="1" t="s">
        <v>701</v>
      </c>
      <c r="M2827" s="86" t="s">
        <v>2844</v>
      </c>
      <c r="N2827" s="86"/>
      <c r="O2827" s="47" t="s">
        <v>410</v>
      </c>
      <c r="P2827" s="47" t="s">
        <v>41</v>
      </c>
      <c r="Q2827" s="14">
        <v>0</v>
      </c>
      <c r="R2827" s="143">
        <v>7126</v>
      </c>
      <c r="S2827" s="47"/>
      <c r="T2827" s="6">
        <v>0</v>
      </c>
      <c r="U2827" s="6">
        <v>35000</v>
      </c>
      <c r="V2827" s="6">
        <v>17091.41</v>
      </c>
      <c r="W2827" s="6">
        <f t="shared" si="443"/>
        <v>17908.59</v>
      </c>
      <c r="X2827" s="6">
        <f t="shared" si="444"/>
        <v>17091.41</v>
      </c>
      <c r="Y2827" s="13">
        <f t="shared" si="447"/>
        <v>0</v>
      </c>
      <c r="Z2827" s="14">
        <v>0</v>
      </c>
      <c r="AA2827" s="6">
        <v>0</v>
      </c>
      <c r="AB2827" s="4">
        <f t="shared" si="448"/>
        <v>17091.41</v>
      </c>
      <c r="AC2827" s="4">
        <f t="shared" si="439"/>
        <v>0</v>
      </c>
      <c r="AD2827" s="6">
        <f t="shared" si="445"/>
        <v>17091.41</v>
      </c>
      <c r="AE2827" s="2">
        <f>VLOOKUP(I2827,[1]媒体政策预估表!A:N,MATCH(O2827,[1]媒体政策预估表!$A$2:$M$2,0),0)</f>
        <v>0.17</v>
      </c>
      <c r="AF2827" s="6">
        <f t="shared" si="440"/>
        <v>2905.5397000000003</v>
      </c>
      <c r="AG2827" s="14">
        <v>0</v>
      </c>
      <c r="AH2827" s="64">
        <f t="shared" si="446"/>
        <v>17091.41</v>
      </c>
      <c r="AI2827" s="47"/>
      <c r="AJ2827" s="126" t="e">
        <v>#N/A</v>
      </c>
      <c r="AK2827" s="80">
        <f t="shared" si="449"/>
        <v>0</v>
      </c>
      <c r="AM2827" s="85"/>
    </row>
    <row r="2828" spans="1:39" hidden="1" x14ac:dyDescent="0.3">
      <c r="A2828" s="89" t="s">
        <v>3394</v>
      </c>
      <c r="B2828" s="86" t="s">
        <v>701</v>
      </c>
      <c r="C2828" s="86" t="s">
        <v>36</v>
      </c>
      <c r="D2828" s="86" t="s">
        <v>54</v>
      </c>
      <c r="E2828" s="86" t="s">
        <v>2843</v>
      </c>
      <c r="F2828" s="86" t="s">
        <v>2843</v>
      </c>
      <c r="G2828" s="86" t="s">
        <v>2843</v>
      </c>
      <c r="H2828" s="144">
        <v>83</v>
      </c>
      <c r="I2828" s="86" t="s">
        <v>78</v>
      </c>
      <c r="J2828" s="1" t="s">
        <v>3303</v>
      </c>
      <c r="K2828" s="1" t="s">
        <v>3276</v>
      </c>
      <c r="L2828" s="1" t="s">
        <v>701</v>
      </c>
      <c r="M2828" s="86" t="s">
        <v>3402</v>
      </c>
      <c r="N2828" s="86"/>
      <c r="O2828" s="47" t="s">
        <v>410</v>
      </c>
      <c r="P2828" s="47" t="s">
        <v>41</v>
      </c>
      <c r="Q2828" s="14">
        <v>0</v>
      </c>
      <c r="R2828" s="143">
        <v>7664</v>
      </c>
      <c r="S2828" s="47"/>
      <c r="T2828" s="6">
        <v>0</v>
      </c>
      <c r="U2828" s="6">
        <v>50000</v>
      </c>
      <c r="V2828" s="6">
        <v>26091.759999999998</v>
      </c>
      <c r="W2828" s="6">
        <f t="shared" si="443"/>
        <v>23908.240000000002</v>
      </c>
      <c r="X2828" s="6">
        <f t="shared" si="444"/>
        <v>26091.759999999998</v>
      </c>
      <c r="Y2828" s="13">
        <f t="shared" si="447"/>
        <v>0</v>
      </c>
      <c r="Z2828" s="14">
        <v>0</v>
      </c>
      <c r="AA2828" s="6">
        <v>0</v>
      </c>
      <c r="AB2828" s="4">
        <f t="shared" si="448"/>
        <v>26091.759999999998</v>
      </c>
      <c r="AC2828" s="4">
        <f t="shared" ref="AC2828:AC2891" si="450">IF(P2828="返现",X2828*Q2828,V2828-X2828)</f>
        <v>0</v>
      </c>
      <c r="AD2828" s="6">
        <f t="shared" si="445"/>
        <v>26091.759999999998</v>
      </c>
      <c r="AE2828" s="2">
        <f>VLOOKUP(I2828,[1]媒体政策预估表!A:N,MATCH(O2828,[1]媒体政策预估表!$A$2:$M$2,0),0)</f>
        <v>0.17</v>
      </c>
      <c r="AF2828" s="6">
        <f t="shared" ref="AF2828:AF2891" si="451">AD2828*AE2828</f>
        <v>4435.5991999999997</v>
      </c>
      <c r="AG2828" s="14">
        <v>0</v>
      </c>
      <c r="AH2828" s="64">
        <f t="shared" si="446"/>
        <v>26091.759999999998</v>
      </c>
      <c r="AI2828" s="47"/>
      <c r="AJ2828" s="126" t="e">
        <v>#N/A</v>
      </c>
      <c r="AK2828" s="80">
        <f t="shared" si="449"/>
        <v>0</v>
      </c>
      <c r="AM2828" s="85"/>
    </row>
    <row r="2829" spans="1:39" hidden="1" x14ac:dyDescent="0.3">
      <c r="A2829" s="89" t="s">
        <v>3394</v>
      </c>
      <c r="B2829" s="86" t="s">
        <v>701</v>
      </c>
      <c r="C2829" s="86" t="s">
        <v>36</v>
      </c>
      <c r="D2829" s="86" t="s">
        <v>54</v>
      </c>
      <c r="E2829" s="86" t="s">
        <v>2843</v>
      </c>
      <c r="F2829" s="86" t="s">
        <v>2843</v>
      </c>
      <c r="G2829" s="86" t="s">
        <v>2843</v>
      </c>
      <c r="H2829" s="144">
        <v>83</v>
      </c>
      <c r="I2829" s="86" t="s">
        <v>78</v>
      </c>
      <c r="J2829" s="1" t="s">
        <v>3303</v>
      </c>
      <c r="K2829" s="1" t="s">
        <v>3276</v>
      </c>
      <c r="L2829" s="1" t="s">
        <v>701</v>
      </c>
      <c r="M2829" s="86" t="s">
        <v>2845</v>
      </c>
      <c r="N2829" s="86"/>
      <c r="O2829" s="47" t="s">
        <v>410</v>
      </c>
      <c r="P2829" s="47" t="s">
        <v>41</v>
      </c>
      <c r="Q2829" s="14">
        <v>0</v>
      </c>
      <c r="R2829" s="143">
        <v>7244</v>
      </c>
      <c r="S2829" s="47"/>
      <c r="T2829" s="6">
        <v>1800.0001000000011</v>
      </c>
      <c r="U2829" s="6">
        <v>35000</v>
      </c>
      <c r="V2829" s="6">
        <v>21375.77</v>
      </c>
      <c r="W2829" s="6">
        <f t="shared" si="443"/>
        <v>15424.230100000004</v>
      </c>
      <c r="X2829" s="6">
        <f t="shared" si="444"/>
        <v>21375.77</v>
      </c>
      <c r="Y2829" s="13">
        <f t="shared" si="447"/>
        <v>0</v>
      </c>
      <c r="Z2829" s="14">
        <v>0</v>
      </c>
      <c r="AA2829" s="6">
        <v>0</v>
      </c>
      <c r="AB2829" s="4">
        <f t="shared" si="448"/>
        <v>21375.77</v>
      </c>
      <c r="AC2829" s="4">
        <f t="shared" si="450"/>
        <v>0</v>
      </c>
      <c r="AD2829" s="6">
        <f t="shared" si="445"/>
        <v>21375.77</v>
      </c>
      <c r="AE2829" s="2">
        <f>VLOOKUP(I2829,[1]媒体政策预估表!A:N,MATCH(O2829,[1]媒体政策预估表!$A$2:$M$2,0),0)</f>
        <v>0.17</v>
      </c>
      <c r="AF2829" s="6">
        <f t="shared" si="451"/>
        <v>3633.8809000000001</v>
      </c>
      <c r="AG2829" s="14">
        <v>0</v>
      </c>
      <c r="AH2829" s="64">
        <f t="shared" si="446"/>
        <v>21375.77</v>
      </c>
      <c r="AI2829" s="47"/>
      <c r="AJ2829" s="126" t="e">
        <v>#N/A</v>
      </c>
      <c r="AK2829" s="80">
        <f t="shared" si="449"/>
        <v>0</v>
      </c>
      <c r="AM2829" s="85"/>
    </row>
    <row r="2830" spans="1:39" hidden="1" x14ac:dyDescent="0.3">
      <c r="A2830" s="89" t="s">
        <v>3396</v>
      </c>
      <c r="B2830" s="86" t="s">
        <v>701</v>
      </c>
      <c r="C2830" s="86" t="s">
        <v>36</v>
      </c>
      <c r="D2830" s="86" t="s">
        <v>54</v>
      </c>
      <c r="E2830" s="86" t="s">
        <v>2846</v>
      </c>
      <c r="F2830" s="86" t="s">
        <v>2846</v>
      </c>
      <c r="G2830" s="86" t="s">
        <v>2846</v>
      </c>
      <c r="H2830" s="144">
        <v>83</v>
      </c>
      <c r="I2830" s="86" t="s">
        <v>78</v>
      </c>
      <c r="J2830" s="1" t="s">
        <v>3303</v>
      </c>
      <c r="K2830" s="1" t="s">
        <v>3276</v>
      </c>
      <c r="L2830" s="1" t="s">
        <v>701</v>
      </c>
      <c r="M2830" s="86" t="s">
        <v>2846</v>
      </c>
      <c r="N2830" s="86"/>
      <c r="O2830" s="47" t="s">
        <v>410</v>
      </c>
      <c r="P2830" s="47" t="s">
        <v>41</v>
      </c>
      <c r="Q2830" s="14">
        <v>0</v>
      </c>
      <c r="R2830" s="143">
        <v>7119</v>
      </c>
      <c r="S2830" s="47"/>
      <c r="T2830" s="6">
        <v>13896.600000000002</v>
      </c>
      <c r="U2830" s="6">
        <v>10000</v>
      </c>
      <c r="V2830" s="6">
        <v>19617.7</v>
      </c>
      <c r="W2830" s="6">
        <f t="shared" si="443"/>
        <v>4278.9000000000015</v>
      </c>
      <c r="X2830" s="6">
        <f t="shared" si="444"/>
        <v>19617.7</v>
      </c>
      <c r="Y2830" s="13">
        <f t="shared" si="447"/>
        <v>0</v>
      </c>
      <c r="Z2830" s="14">
        <v>0</v>
      </c>
      <c r="AA2830" s="6">
        <v>0</v>
      </c>
      <c r="AB2830" s="4">
        <f t="shared" si="448"/>
        <v>19617.7</v>
      </c>
      <c r="AC2830" s="4">
        <f t="shared" si="450"/>
        <v>0</v>
      </c>
      <c r="AD2830" s="6">
        <f t="shared" si="445"/>
        <v>19617.7</v>
      </c>
      <c r="AE2830" s="2">
        <f>VLOOKUP(I2830,[1]媒体政策预估表!A:N,MATCH(O2830,[1]媒体政策预估表!$A$2:$M$2,0),0)</f>
        <v>0.17</v>
      </c>
      <c r="AF2830" s="6">
        <f t="shared" si="451"/>
        <v>3335.0090000000005</v>
      </c>
      <c r="AG2830" s="14">
        <v>0</v>
      </c>
      <c r="AH2830" s="64">
        <f t="shared" si="446"/>
        <v>19617.7</v>
      </c>
      <c r="AI2830" s="47"/>
      <c r="AJ2830" s="126" t="e">
        <v>#N/A</v>
      </c>
      <c r="AK2830" s="80">
        <f t="shared" si="449"/>
        <v>0</v>
      </c>
      <c r="AM2830" s="85"/>
    </row>
    <row r="2831" spans="1:39" hidden="1" x14ac:dyDescent="0.3">
      <c r="A2831" s="89" t="s">
        <v>3395</v>
      </c>
      <c r="B2831" s="86" t="s">
        <v>701</v>
      </c>
      <c r="C2831" s="86" t="s">
        <v>36</v>
      </c>
      <c r="D2831" s="86" t="s">
        <v>54</v>
      </c>
      <c r="E2831" s="86" t="s">
        <v>2846</v>
      </c>
      <c r="F2831" s="86" t="s">
        <v>2846</v>
      </c>
      <c r="G2831" s="86" t="s">
        <v>2846</v>
      </c>
      <c r="H2831" s="144">
        <v>83</v>
      </c>
      <c r="I2831" s="86" t="s">
        <v>78</v>
      </c>
      <c r="J2831" s="1" t="s">
        <v>3303</v>
      </c>
      <c r="K2831" s="1" t="s">
        <v>3276</v>
      </c>
      <c r="L2831" s="1" t="s">
        <v>701</v>
      </c>
      <c r="M2831" s="86" t="s">
        <v>2889</v>
      </c>
      <c r="N2831" s="86"/>
      <c r="O2831" s="47" t="s">
        <v>410</v>
      </c>
      <c r="P2831" s="47" t="s">
        <v>46</v>
      </c>
      <c r="Q2831" s="14">
        <v>0.02</v>
      </c>
      <c r="R2831" s="143">
        <v>7435</v>
      </c>
      <c r="S2831" s="47"/>
      <c r="T2831" s="6">
        <v>0</v>
      </c>
      <c r="U2831" s="6">
        <v>10000</v>
      </c>
      <c r="V2831" s="6">
        <v>2973.1999999999989</v>
      </c>
      <c r="W2831" s="6">
        <f t="shared" si="443"/>
        <v>7026.8000000000011</v>
      </c>
      <c r="X2831" s="6">
        <f t="shared" si="444"/>
        <v>2914.9019607843125</v>
      </c>
      <c r="Y2831" s="13">
        <f t="shared" si="447"/>
        <v>0</v>
      </c>
      <c r="Z2831" s="14">
        <v>0</v>
      </c>
      <c r="AA2831" s="6">
        <v>0</v>
      </c>
      <c r="AB2831" s="4">
        <f t="shared" si="448"/>
        <v>2914.9019607843125</v>
      </c>
      <c r="AC2831" s="4">
        <f t="shared" si="450"/>
        <v>58.298039215686458</v>
      </c>
      <c r="AD2831" s="6">
        <f t="shared" si="445"/>
        <v>2973.1999999999989</v>
      </c>
      <c r="AE2831" s="2">
        <f>VLOOKUP(I2831,[1]媒体政策预估表!A:N,MATCH(O2831,[1]媒体政策预估表!$A$2:$M$2,0),0)</f>
        <v>0.17</v>
      </c>
      <c r="AF2831" s="6">
        <f t="shared" si="451"/>
        <v>505.44399999999985</v>
      </c>
      <c r="AG2831" s="14">
        <v>0</v>
      </c>
      <c r="AH2831" s="64">
        <f t="shared" si="446"/>
        <v>2973.1999999999989</v>
      </c>
      <c r="AI2831" s="47"/>
      <c r="AJ2831" s="126" t="e">
        <v>#N/A</v>
      </c>
      <c r="AK2831" s="80">
        <f t="shared" si="449"/>
        <v>0</v>
      </c>
      <c r="AM2831" s="85"/>
    </row>
    <row r="2832" spans="1:39" hidden="1" x14ac:dyDescent="0.3">
      <c r="A2832" s="89" t="s">
        <v>3394</v>
      </c>
      <c r="B2832" s="86" t="s">
        <v>701</v>
      </c>
      <c r="C2832" s="86" t="s">
        <v>36</v>
      </c>
      <c r="D2832" s="86" t="s">
        <v>37</v>
      </c>
      <c r="E2832" s="86" t="s">
        <v>2890</v>
      </c>
      <c r="F2832" s="86" t="s">
        <v>2890</v>
      </c>
      <c r="G2832" s="86" t="s">
        <v>2890</v>
      </c>
      <c r="H2832" s="144">
        <v>83</v>
      </c>
      <c r="I2832" s="86" t="s">
        <v>78</v>
      </c>
      <c r="J2832" s="1" t="s">
        <v>3303</v>
      </c>
      <c r="K2832" s="1" t="s">
        <v>3276</v>
      </c>
      <c r="L2832" s="1" t="s">
        <v>701</v>
      </c>
      <c r="M2832" s="86" t="s">
        <v>2890</v>
      </c>
      <c r="N2832" s="86"/>
      <c r="O2832" s="47" t="s">
        <v>410</v>
      </c>
      <c r="P2832" s="47" t="s">
        <v>41</v>
      </c>
      <c r="Q2832" s="14">
        <v>0</v>
      </c>
      <c r="R2832" s="143">
        <v>7316</v>
      </c>
      <c r="S2832" s="47"/>
      <c r="T2832" s="6">
        <v>1223.2999999999811</v>
      </c>
      <c r="U2832" s="6">
        <v>100000</v>
      </c>
      <c r="V2832" s="6">
        <v>18684.18</v>
      </c>
      <c r="W2832" s="6">
        <f t="shared" si="443"/>
        <v>82539.12</v>
      </c>
      <c r="X2832" s="6">
        <f t="shared" si="444"/>
        <v>18684.18</v>
      </c>
      <c r="Y2832" s="13">
        <f t="shared" si="447"/>
        <v>0</v>
      </c>
      <c r="Z2832" s="14">
        <v>0</v>
      </c>
      <c r="AA2832" s="6">
        <v>0</v>
      </c>
      <c r="AB2832" s="4">
        <f t="shared" si="448"/>
        <v>18684.18</v>
      </c>
      <c r="AC2832" s="4">
        <f t="shared" si="450"/>
        <v>0</v>
      </c>
      <c r="AD2832" s="6">
        <f t="shared" si="445"/>
        <v>18684.18</v>
      </c>
      <c r="AE2832" s="2">
        <f>VLOOKUP(I2832,[1]媒体政策预估表!A:N,MATCH(O2832,[1]媒体政策预估表!$A$2:$M$2,0),0)</f>
        <v>0.17</v>
      </c>
      <c r="AF2832" s="6">
        <f t="shared" si="451"/>
        <v>3176.3106000000002</v>
      </c>
      <c r="AG2832" s="14">
        <v>0</v>
      </c>
      <c r="AH2832" s="64">
        <f t="shared" si="446"/>
        <v>18684.18</v>
      </c>
      <c r="AI2832" s="47"/>
      <c r="AJ2832" s="126" t="e">
        <v>#N/A</v>
      </c>
      <c r="AK2832" s="80">
        <f t="shared" si="449"/>
        <v>0</v>
      </c>
      <c r="AM2832" s="85"/>
    </row>
    <row r="2833" spans="1:39" hidden="1" x14ac:dyDescent="0.3">
      <c r="A2833" s="89" t="s">
        <v>3396</v>
      </c>
      <c r="B2833" s="86" t="s">
        <v>701</v>
      </c>
      <c r="C2833" s="86" t="s">
        <v>36</v>
      </c>
      <c r="D2833" s="86" t="s">
        <v>37</v>
      </c>
      <c r="E2833" s="86" t="s">
        <v>2749</v>
      </c>
      <c r="F2833" s="86" t="s">
        <v>2749</v>
      </c>
      <c r="G2833" s="86" t="s">
        <v>2749</v>
      </c>
      <c r="H2833" s="144">
        <v>83</v>
      </c>
      <c r="I2833" s="86" t="s">
        <v>78</v>
      </c>
      <c r="J2833" s="1" t="s">
        <v>3303</v>
      </c>
      <c r="K2833" s="1" t="s">
        <v>3276</v>
      </c>
      <c r="L2833" s="1" t="s">
        <v>701</v>
      </c>
      <c r="M2833" s="86" t="s">
        <v>2749</v>
      </c>
      <c r="N2833" s="86"/>
      <c r="O2833" s="47" t="s">
        <v>410</v>
      </c>
      <c r="P2833" s="47" t="s">
        <v>41</v>
      </c>
      <c r="Q2833" s="14">
        <v>0</v>
      </c>
      <c r="R2833" s="143">
        <v>123</v>
      </c>
      <c r="S2833" s="47"/>
      <c r="T2833" s="6">
        <v>1546.7001</v>
      </c>
      <c r="U2833" s="6">
        <v>4000</v>
      </c>
      <c r="V2833" s="6">
        <v>5546.7</v>
      </c>
      <c r="W2833" s="6">
        <f t="shared" si="443"/>
        <v>1.0000000020227162E-4</v>
      </c>
      <c r="X2833" s="6">
        <f t="shared" si="444"/>
        <v>5546.7</v>
      </c>
      <c r="Y2833" s="13">
        <f t="shared" si="447"/>
        <v>0</v>
      </c>
      <c r="Z2833" s="14">
        <v>0</v>
      </c>
      <c r="AA2833" s="6">
        <v>0</v>
      </c>
      <c r="AB2833" s="4">
        <f t="shared" si="448"/>
        <v>5546.7</v>
      </c>
      <c r="AC2833" s="4">
        <f t="shared" si="450"/>
        <v>0</v>
      </c>
      <c r="AD2833" s="6">
        <f t="shared" si="445"/>
        <v>5546.7</v>
      </c>
      <c r="AE2833" s="2">
        <f>VLOOKUP(I2833,[1]媒体政策预估表!A:N,MATCH(O2833,[1]媒体政策预估表!$A$2:$M$2,0),0)</f>
        <v>0.17</v>
      </c>
      <c r="AF2833" s="6">
        <f t="shared" si="451"/>
        <v>942.93900000000008</v>
      </c>
      <c r="AG2833" s="14">
        <v>0</v>
      </c>
      <c r="AH2833" s="64">
        <f t="shared" si="446"/>
        <v>5546.7</v>
      </c>
      <c r="AI2833" s="47"/>
      <c r="AJ2833" s="126" t="e">
        <v>#N/A</v>
      </c>
      <c r="AK2833" s="80">
        <f t="shared" si="449"/>
        <v>0</v>
      </c>
      <c r="AM2833" s="85"/>
    </row>
    <row r="2834" spans="1:39" hidden="1" x14ac:dyDescent="0.3">
      <c r="A2834" s="89" t="s">
        <v>3394</v>
      </c>
      <c r="B2834" s="86" t="s">
        <v>701</v>
      </c>
      <c r="C2834" s="86" t="s">
        <v>65</v>
      </c>
      <c r="D2834" s="86" t="s">
        <v>66</v>
      </c>
      <c r="E2834" s="86" t="s">
        <v>2750</v>
      </c>
      <c r="F2834" s="86" t="s">
        <v>2750</v>
      </c>
      <c r="G2834" s="86" t="s">
        <v>2750</v>
      </c>
      <c r="H2834" s="144">
        <v>83</v>
      </c>
      <c r="I2834" s="86" t="s">
        <v>78</v>
      </c>
      <c r="J2834" s="1" t="s">
        <v>3303</v>
      </c>
      <c r="K2834" s="1" t="s">
        <v>3276</v>
      </c>
      <c r="L2834" s="1" t="s">
        <v>701</v>
      </c>
      <c r="M2834" s="86" t="s">
        <v>2751</v>
      </c>
      <c r="N2834" s="86"/>
      <c r="O2834" s="47" t="s">
        <v>410</v>
      </c>
      <c r="P2834" s="47" t="s">
        <v>41</v>
      </c>
      <c r="Q2834" s="14">
        <v>0</v>
      </c>
      <c r="R2834" s="143">
        <v>7154</v>
      </c>
      <c r="S2834" s="47"/>
      <c r="T2834" s="6">
        <v>1613.1999999999971</v>
      </c>
      <c r="U2834" s="6">
        <v>10000</v>
      </c>
      <c r="V2834" s="6">
        <v>4508.6000000000004</v>
      </c>
      <c r="W2834" s="6">
        <f t="shared" si="443"/>
        <v>7104.5999999999967</v>
      </c>
      <c r="X2834" s="6">
        <f t="shared" si="444"/>
        <v>4508.6000000000004</v>
      </c>
      <c r="Y2834" s="13">
        <f t="shared" si="447"/>
        <v>0</v>
      </c>
      <c r="Z2834" s="14">
        <v>0</v>
      </c>
      <c r="AA2834" s="6">
        <v>0</v>
      </c>
      <c r="AB2834" s="4">
        <f t="shared" si="448"/>
        <v>4508.6000000000004</v>
      </c>
      <c r="AC2834" s="4">
        <f t="shared" si="450"/>
        <v>0</v>
      </c>
      <c r="AD2834" s="6">
        <f t="shared" si="445"/>
        <v>4508.6000000000004</v>
      </c>
      <c r="AE2834" s="2">
        <f>VLOOKUP(I2834,[1]媒体政策预估表!A:N,MATCH(O2834,[1]媒体政策预估表!$A$2:$M$2,0),0)</f>
        <v>0.17</v>
      </c>
      <c r="AF2834" s="6">
        <f t="shared" si="451"/>
        <v>766.4620000000001</v>
      </c>
      <c r="AG2834" s="14">
        <v>0</v>
      </c>
      <c r="AH2834" s="64">
        <f t="shared" si="446"/>
        <v>4508.6000000000004</v>
      </c>
      <c r="AI2834" s="47"/>
      <c r="AJ2834" s="126" t="e">
        <v>#N/A</v>
      </c>
      <c r="AK2834" s="80">
        <f t="shared" si="449"/>
        <v>0</v>
      </c>
      <c r="AM2834" s="85"/>
    </row>
    <row r="2835" spans="1:39" hidden="1" x14ac:dyDescent="0.3">
      <c r="A2835" s="89" t="s">
        <v>3397</v>
      </c>
      <c r="B2835" s="86" t="s">
        <v>701</v>
      </c>
      <c r="C2835" s="86" t="s">
        <v>65</v>
      </c>
      <c r="D2835" s="86" t="s">
        <v>66</v>
      </c>
      <c r="E2835" s="86" t="s">
        <v>493</v>
      </c>
      <c r="F2835" s="86" t="s">
        <v>493</v>
      </c>
      <c r="G2835" s="86" t="s">
        <v>493</v>
      </c>
      <c r="H2835" s="144">
        <v>83</v>
      </c>
      <c r="I2835" s="86" t="s">
        <v>78</v>
      </c>
      <c r="J2835" s="1" t="s">
        <v>3303</v>
      </c>
      <c r="K2835" s="1" t="s">
        <v>3276</v>
      </c>
      <c r="L2835" s="1" t="s">
        <v>701</v>
      </c>
      <c r="M2835" s="86" t="s">
        <v>493</v>
      </c>
      <c r="N2835" s="86"/>
      <c r="O2835" s="47" t="s">
        <v>410</v>
      </c>
      <c r="P2835" s="47" t="s">
        <v>41</v>
      </c>
      <c r="Q2835" s="14">
        <v>0</v>
      </c>
      <c r="R2835" s="143">
        <v>7624</v>
      </c>
      <c r="S2835" s="47"/>
      <c r="T2835" s="6">
        <v>10113.400000000001</v>
      </c>
      <c r="U2835" s="6">
        <v>105000</v>
      </c>
      <c r="V2835" s="6">
        <v>92900.800000000003</v>
      </c>
      <c r="W2835" s="6">
        <f t="shared" si="443"/>
        <v>22212.599999999991</v>
      </c>
      <c r="X2835" s="6">
        <f t="shared" si="444"/>
        <v>92900.800000000003</v>
      </c>
      <c r="Y2835" s="13">
        <f t="shared" si="447"/>
        <v>0</v>
      </c>
      <c r="Z2835" s="14">
        <v>0</v>
      </c>
      <c r="AA2835" s="6">
        <v>0</v>
      </c>
      <c r="AB2835" s="4">
        <f t="shared" si="448"/>
        <v>92900.800000000003</v>
      </c>
      <c r="AC2835" s="4">
        <f t="shared" si="450"/>
        <v>0</v>
      </c>
      <c r="AD2835" s="6">
        <f t="shared" si="445"/>
        <v>92900.800000000003</v>
      </c>
      <c r="AE2835" s="2">
        <f>VLOOKUP(I2835,[1]媒体政策预估表!A:N,MATCH(O2835,[1]媒体政策预估表!$A$2:$M$2,0),0)</f>
        <v>0.17</v>
      </c>
      <c r="AF2835" s="6">
        <f t="shared" si="451"/>
        <v>15793.136000000002</v>
      </c>
      <c r="AG2835" s="14">
        <v>0</v>
      </c>
      <c r="AH2835" s="64">
        <f t="shared" si="446"/>
        <v>92900.800000000003</v>
      </c>
      <c r="AI2835" s="47"/>
      <c r="AJ2835" s="126" t="e">
        <v>#N/A</v>
      </c>
      <c r="AK2835" s="80">
        <f t="shared" si="449"/>
        <v>0</v>
      </c>
      <c r="AM2835" s="85"/>
    </row>
    <row r="2836" spans="1:39" hidden="1" x14ac:dyDescent="0.3">
      <c r="A2836" s="89" t="s">
        <v>3392</v>
      </c>
      <c r="B2836" s="86" t="s">
        <v>701</v>
      </c>
      <c r="C2836" s="86" t="s">
        <v>65</v>
      </c>
      <c r="D2836" s="86" t="s">
        <v>66</v>
      </c>
      <c r="E2836" s="86" t="s">
        <v>2851</v>
      </c>
      <c r="F2836" s="86" t="s">
        <v>2851</v>
      </c>
      <c r="G2836" s="86" t="s">
        <v>2851</v>
      </c>
      <c r="H2836" s="143">
        <v>83</v>
      </c>
      <c r="I2836" s="86" t="s">
        <v>78</v>
      </c>
      <c r="J2836" s="1" t="s">
        <v>3303</v>
      </c>
      <c r="K2836" s="1" t="s">
        <v>3276</v>
      </c>
      <c r="L2836" s="1" t="s">
        <v>701</v>
      </c>
      <c r="M2836" s="86" t="s">
        <v>2852</v>
      </c>
      <c r="N2836" s="86"/>
      <c r="O2836" s="47" t="s">
        <v>410</v>
      </c>
      <c r="P2836" s="47" t="s">
        <v>41</v>
      </c>
      <c r="Q2836" s="14">
        <v>0</v>
      </c>
      <c r="R2836" s="143">
        <v>7160</v>
      </c>
      <c r="S2836" s="47"/>
      <c r="T2836" s="6">
        <v>83941.119999999995</v>
      </c>
      <c r="U2836" s="6">
        <v>-83941.119999999995</v>
      </c>
      <c r="V2836" s="6">
        <v>0</v>
      </c>
      <c r="W2836" s="6">
        <f t="shared" si="443"/>
        <v>0</v>
      </c>
      <c r="X2836" s="6">
        <f t="shared" si="444"/>
        <v>0</v>
      </c>
      <c r="Y2836" s="13">
        <f t="shared" si="447"/>
        <v>0</v>
      </c>
      <c r="Z2836" s="14">
        <v>0</v>
      </c>
      <c r="AA2836" s="6">
        <v>0</v>
      </c>
      <c r="AB2836" s="4">
        <f t="shared" si="448"/>
        <v>0</v>
      </c>
      <c r="AC2836" s="4">
        <f t="shared" si="450"/>
        <v>0</v>
      </c>
      <c r="AD2836" s="6">
        <f t="shared" si="445"/>
        <v>0</v>
      </c>
      <c r="AE2836" s="2">
        <f>VLOOKUP(I2836,[1]媒体政策预估表!A:N,MATCH(O2836,[1]媒体政策预估表!$A$2:$M$2,0),0)</f>
        <v>0.17</v>
      </c>
      <c r="AF2836" s="6">
        <f t="shared" si="451"/>
        <v>0</v>
      </c>
      <c r="AG2836" s="14">
        <v>0</v>
      </c>
      <c r="AH2836" s="64">
        <f t="shared" si="446"/>
        <v>0</v>
      </c>
      <c r="AI2836" s="47"/>
      <c r="AJ2836" s="126" t="e">
        <v>#N/A</v>
      </c>
      <c r="AK2836" s="80">
        <f t="shared" si="449"/>
        <v>0</v>
      </c>
      <c r="AM2836" s="85"/>
    </row>
    <row r="2837" spans="1:39" hidden="1" x14ac:dyDescent="0.3">
      <c r="A2837" s="89" t="s">
        <v>3395</v>
      </c>
      <c r="B2837" s="86" t="s">
        <v>701</v>
      </c>
      <c r="C2837" s="86" t="s">
        <v>65</v>
      </c>
      <c r="D2837" s="86" t="s">
        <v>66</v>
      </c>
      <c r="E2837" s="86" t="s">
        <v>494</v>
      </c>
      <c r="F2837" s="86" t="s">
        <v>494</v>
      </c>
      <c r="G2837" s="86" t="s">
        <v>494</v>
      </c>
      <c r="H2837" s="144">
        <v>83</v>
      </c>
      <c r="I2837" s="86" t="s">
        <v>78</v>
      </c>
      <c r="J2837" s="1" t="s">
        <v>3303</v>
      </c>
      <c r="K2837" s="1" t="s">
        <v>3276</v>
      </c>
      <c r="L2837" s="1" t="s">
        <v>701</v>
      </c>
      <c r="M2837" s="86" t="s">
        <v>495</v>
      </c>
      <c r="N2837" s="86"/>
      <c r="O2837" s="47" t="s">
        <v>410</v>
      </c>
      <c r="P2837" s="47" t="s">
        <v>41</v>
      </c>
      <c r="Q2837" s="14">
        <v>0</v>
      </c>
      <c r="R2837" s="143">
        <v>7097</v>
      </c>
      <c r="S2837" s="47"/>
      <c r="T2837" s="6">
        <v>48010.709999999905</v>
      </c>
      <c r="U2837" s="6">
        <v>100000</v>
      </c>
      <c r="V2837" s="6">
        <v>90752.76999999999</v>
      </c>
      <c r="W2837" s="6">
        <f t="shared" si="443"/>
        <v>57257.939999999915</v>
      </c>
      <c r="X2837" s="6">
        <f t="shared" si="444"/>
        <v>90752.76999999999</v>
      </c>
      <c r="Y2837" s="13">
        <f t="shared" si="447"/>
        <v>0</v>
      </c>
      <c r="Z2837" s="14">
        <v>0</v>
      </c>
      <c r="AA2837" s="6">
        <v>0</v>
      </c>
      <c r="AB2837" s="4">
        <f t="shared" si="448"/>
        <v>90752.76999999999</v>
      </c>
      <c r="AC2837" s="4">
        <f t="shared" si="450"/>
        <v>0</v>
      </c>
      <c r="AD2837" s="6">
        <f t="shared" si="445"/>
        <v>90752.76999999999</v>
      </c>
      <c r="AE2837" s="2">
        <f>VLOOKUP(I2837,[1]媒体政策预估表!A:N,MATCH(O2837,[1]媒体政策预估表!$A$2:$M$2,0),0)</f>
        <v>0.17</v>
      </c>
      <c r="AF2837" s="6">
        <f t="shared" si="451"/>
        <v>15427.970899999998</v>
      </c>
      <c r="AG2837" s="14">
        <v>0</v>
      </c>
      <c r="AH2837" s="64">
        <f t="shared" si="446"/>
        <v>90752.76999999999</v>
      </c>
      <c r="AI2837" s="47"/>
      <c r="AJ2837" s="126" t="e">
        <v>#N/A</v>
      </c>
      <c r="AK2837" s="80">
        <f t="shared" si="449"/>
        <v>0</v>
      </c>
      <c r="AM2837" s="85"/>
    </row>
    <row r="2838" spans="1:39" hidden="1" x14ac:dyDescent="0.3">
      <c r="A2838" s="89" t="s">
        <v>3395</v>
      </c>
      <c r="B2838" s="86" t="s">
        <v>701</v>
      </c>
      <c r="C2838" s="86" t="s">
        <v>65</v>
      </c>
      <c r="D2838" s="86" t="s">
        <v>66</v>
      </c>
      <c r="E2838" s="86" t="s">
        <v>1881</v>
      </c>
      <c r="F2838" s="86" t="s">
        <v>1881</v>
      </c>
      <c r="G2838" s="86" t="s">
        <v>1881</v>
      </c>
      <c r="H2838" s="144">
        <v>83</v>
      </c>
      <c r="I2838" s="86" t="s">
        <v>78</v>
      </c>
      <c r="J2838" s="1" t="s">
        <v>3303</v>
      </c>
      <c r="K2838" s="1" t="s">
        <v>3276</v>
      </c>
      <c r="L2838" s="1" t="s">
        <v>701</v>
      </c>
      <c r="M2838" s="86" t="s">
        <v>2754</v>
      </c>
      <c r="N2838" s="86"/>
      <c r="O2838" s="47" t="s">
        <v>410</v>
      </c>
      <c r="P2838" s="47" t="s">
        <v>41</v>
      </c>
      <c r="Q2838" s="14">
        <v>0</v>
      </c>
      <c r="R2838" s="143">
        <v>7275</v>
      </c>
      <c r="S2838" s="47"/>
      <c r="T2838" s="6">
        <v>13736.919999999853</v>
      </c>
      <c r="U2838" s="6">
        <v>60000</v>
      </c>
      <c r="V2838" s="6">
        <v>68999.839999999997</v>
      </c>
      <c r="W2838" s="6">
        <f t="shared" si="443"/>
        <v>4737.0799999998562</v>
      </c>
      <c r="X2838" s="6">
        <f t="shared" si="444"/>
        <v>68999.839999999997</v>
      </c>
      <c r="Y2838" s="13">
        <f t="shared" si="447"/>
        <v>0</v>
      </c>
      <c r="Z2838" s="14">
        <v>0</v>
      </c>
      <c r="AA2838" s="6">
        <v>0</v>
      </c>
      <c r="AB2838" s="4">
        <f t="shared" si="448"/>
        <v>68999.839999999997</v>
      </c>
      <c r="AC2838" s="4">
        <f t="shared" si="450"/>
        <v>0</v>
      </c>
      <c r="AD2838" s="6">
        <f t="shared" si="445"/>
        <v>68999.839999999997</v>
      </c>
      <c r="AE2838" s="2">
        <f>VLOOKUP(I2838,[1]媒体政策预估表!A:N,MATCH(O2838,[1]媒体政策预估表!$A$2:$M$2,0),0)</f>
        <v>0.17</v>
      </c>
      <c r="AF2838" s="6">
        <f t="shared" si="451"/>
        <v>11729.9728</v>
      </c>
      <c r="AG2838" s="14">
        <v>0</v>
      </c>
      <c r="AH2838" s="64">
        <f t="shared" si="446"/>
        <v>68999.839999999997</v>
      </c>
      <c r="AI2838" s="47"/>
      <c r="AJ2838" s="126" t="e">
        <v>#N/A</v>
      </c>
      <c r="AK2838" s="80">
        <f t="shared" si="449"/>
        <v>0</v>
      </c>
      <c r="AM2838" s="85"/>
    </row>
    <row r="2839" spans="1:39" hidden="1" x14ac:dyDescent="0.3">
      <c r="A2839" s="89" t="s">
        <v>3397</v>
      </c>
      <c r="B2839" s="86" t="s">
        <v>701</v>
      </c>
      <c r="C2839" s="86" t="s">
        <v>65</v>
      </c>
      <c r="D2839" s="86" t="s">
        <v>66</v>
      </c>
      <c r="E2839" s="86" t="s">
        <v>2853</v>
      </c>
      <c r="F2839" s="86" t="s">
        <v>2853</v>
      </c>
      <c r="G2839" s="86" t="s">
        <v>2853</v>
      </c>
      <c r="H2839" s="143">
        <v>83</v>
      </c>
      <c r="I2839" s="86" t="s">
        <v>78</v>
      </c>
      <c r="J2839" s="1" t="s">
        <v>3303</v>
      </c>
      <c r="K2839" s="1" t="s">
        <v>3276</v>
      </c>
      <c r="L2839" s="1" t="s">
        <v>701</v>
      </c>
      <c r="M2839" s="86" t="s">
        <v>2854</v>
      </c>
      <c r="N2839" s="86"/>
      <c r="O2839" s="47" t="s">
        <v>410</v>
      </c>
      <c r="P2839" s="47" t="s">
        <v>41</v>
      </c>
      <c r="Q2839" s="14">
        <v>0</v>
      </c>
      <c r="R2839" s="143">
        <v>7158</v>
      </c>
      <c r="S2839" s="47"/>
      <c r="T2839" s="6">
        <v>167160.6</v>
      </c>
      <c r="U2839" s="6">
        <v>-198800.8</v>
      </c>
      <c r="V2839" s="6">
        <v>0</v>
      </c>
      <c r="W2839" s="6">
        <f t="shared" si="443"/>
        <v>-31640.199999999983</v>
      </c>
      <c r="X2839" s="13">
        <f t="shared" si="444"/>
        <v>0</v>
      </c>
      <c r="Y2839" s="13">
        <f t="shared" si="447"/>
        <v>0</v>
      </c>
      <c r="Z2839" s="14">
        <v>0</v>
      </c>
      <c r="AA2839" s="6">
        <v>0</v>
      </c>
      <c r="AB2839" s="4">
        <f t="shared" si="448"/>
        <v>0</v>
      </c>
      <c r="AC2839" s="4">
        <f t="shared" si="450"/>
        <v>0</v>
      </c>
      <c r="AD2839" s="6">
        <f t="shared" si="445"/>
        <v>0</v>
      </c>
      <c r="AE2839" s="2">
        <f>VLOOKUP(I2839,[1]媒体政策预估表!A:N,MATCH(O2839,[1]媒体政策预估表!$A$2:$M$2,0),0)</f>
        <v>0.17</v>
      </c>
      <c r="AF2839" s="6">
        <f t="shared" si="451"/>
        <v>0</v>
      </c>
      <c r="AG2839" s="14">
        <v>0</v>
      </c>
      <c r="AH2839" s="64">
        <f t="shared" si="446"/>
        <v>0</v>
      </c>
      <c r="AI2839" s="47"/>
      <c r="AJ2839" s="126" t="e">
        <v>#N/A</v>
      </c>
      <c r="AK2839" s="80">
        <f t="shared" si="449"/>
        <v>0</v>
      </c>
      <c r="AM2839" s="85"/>
    </row>
    <row r="2840" spans="1:39" hidden="1" x14ac:dyDescent="0.3">
      <c r="A2840" s="89" t="s">
        <v>3394</v>
      </c>
      <c r="B2840" s="86" t="s">
        <v>701</v>
      </c>
      <c r="C2840" s="86" t="s">
        <v>65</v>
      </c>
      <c r="D2840" s="86" t="s">
        <v>66</v>
      </c>
      <c r="E2840" s="86" t="s">
        <v>1234</v>
      </c>
      <c r="F2840" s="86" t="s">
        <v>1234</v>
      </c>
      <c r="G2840" s="86" t="s">
        <v>1234</v>
      </c>
      <c r="H2840" s="143">
        <v>83</v>
      </c>
      <c r="I2840" s="86" t="s">
        <v>78</v>
      </c>
      <c r="J2840" s="1" t="s">
        <v>3303</v>
      </c>
      <c r="K2840" s="1" t="s">
        <v>3276</v>
      </c>
      <c r="L2840" s="1" t="s">
        <v>701</v>
      </c>
      <c r="M2840" s="86" t="s">
        <v>1235</v>
      </c>
      <c r="N2840" s="86"/>
      <c r="O2840" s="47" t="s">
        <v>410</v>
      </c>
      <c r="P2840" s="47" t="s">
        <v>46</v>
      </c>
      <c r="Q2840" s="14">
        <v>0.01</v>
      </c>
      <c r="R2840" s="143">
        <v>7490</v>
      </c>
      <c r="S2840" s="47"/>
      <c r="T2840" s="6">
        <v>10100</v>
      </c>
      <c r="U2840" s="6">
        <v>-10100</v>
      </c>
      <c r="V2840" s="6">
        <v>0</v>
      </c>
      <c r="W2840" s="6">
        <f t="shared" si="443"/>
        <v>0</v>
      </c>
      <c r="X2840" s="6">
        <f t="shared" si="444"/>
        <v>0</v>
      </c>
      <c r="Y2840" s="13">
        <f t="shared" si="447"/>
        <v>0</v>
      </c>
      <c r="Z2840" s="14">
        <v>0</v>
      </c>
      <c r="AA2840" s="6">
        <v>0</v>
      </c>
      <c r="AB2840" s="4">
        <f t="shared" si="448"/>
        <v>0</v>
      </c>
      <c r="AC2840" s="4">
        <f t="shared" si="450"/>
        <v>0</v>
      </c>
      <c r="AD2840" s="6">
        <f t="shared" si="445"/>
        <v>0</v>
      </c>
      <c r="AE2840" s="2">
        <f>VLOOKUP(I2840,[1]媒体政策预估表!A:N,MATCH(O2840,[1]媒体政策预估表!$A$2:$M$2,0),0)</f>
        <v>0.17</v>
      </c>
      <c r="AF2840" s="6">
        <f t="shared" si="451"/>
        <v>0</v>
      </c>
      <c r="AG2840" s="14">
        <v>0</v>
      </c>
      <c r="AH2840" s="64">
        <f t="shared" si="446"/>
        <v>0</v>
      </c>
      <c r="AI2840" s="47"/>
      <c r="AJ2840" s="126" t="e">
        <v>#N/A</v>
      </c>
      <c r="AK2840" s="80">
        <f t="shared" si="449"/>
        <v>0</v>
      </c>
      <c r="AM2840" s="85"/>
    </row>
    <row r="2841" spans="1:39" hidden="1" x14ac:dyDescent="0.3">
      <c r="A2841" s="89" t="s">
        <v>3394</v>
      </c>
      <c r="B2841" s="86" t="s">
        <v>701</v>
      </c>
      <c r="C2841" s="86" t="s">
        <v>65</v>
      </c>
      <c r="D2841" s="86" t="s">
        <v>66</v>
      </c>
      <c r="E2841" s="86" t="s">
        <v>1234</v>
      </c>
      <c r="F2841" s="86" t="s">
        <v>1234</v>
      </c>
      <c r="G2841" s="86" t="s">
        <v>1234</v>
      </c>
      <c r="H2841" s="143">
        <v>83</v>
      </c>
      <c r="I2841" s="86" t="s">
        <v>78</v>
      </c>
      <c r="J2841" s="1" t="s">
        <v>3303</v>
      </c>
      <c r="K2841" s="1" t="s">
        <v>3276</v>
      </c>
      <c r="L2841" s="1" t="s">
        <v>701</v>
      </c>
      <c r="M2841" s="86" t="s">
        <v>2855</v>
      </c>
      <c r="N2841" s="86"/>
      <c r="O2841" s="47" t="s">
        <v>410</v>
      </c>
      <c r="P2841" s="47" t="s">
        <v>46</v>
      </c>
      <c r="Q2841" s="14">
        <v>0.01</v>
      </c>
      <c r="R2841" s="143">
        <v>7107</v>
      </c>
      <c r="S2841" s="47"/>
      <c r="T2841" s="6">
        <v>7100.9000000000106</v>
      </c>
      <c r="U2841" s="6">
        <v>10100</v>
      </c>
      <c r="V2841" s="6">
        <v>0</v>
      </c>
      <c r="W2841" s="6">
        <f t="shared" si="443"/>
        <v>17200.900000000009</v>
      </c>
      <c r="X2841" s="6">
        <f t="shared" si="444"/>
        <v>0</v>
      </c>
      <c r="Y2841" s="13">
        <f t="shared" si="447"/>
        <v>0</v>
      </c>
      <c r="Z2841" s="14">
        <v>0</v>
      </c>
      <c r="AA2841" s="6">
        <v>0</v>
      </c>
      <c r="AB2841" s="4">
        <f t="shared" si="448"/>
        <v>0</v>
      </c>
      <c r="AC2841" s="4">
        <f t="shared" si="450"/>
        <v>0</v>
      </c>
      <c r="AD2841" s="6">
        <f t="shared" si="445"/>
        <v>0</v>
      </c>
      <c r="AE2841" s="2">
        <f>VLOOKUP(I2841,[1]媒体政策预估表!A:N,MATCH(O2841,[1]媒体政策预估表!$A$2:$M$2,0),0)</f>
        <v>0.17</v>
      </c>
      <c r="AF2841" s="6">
        <f t="shared" si="451"/>
        <v>0</v>
      </c>
      <c r="AG2841" s="14">
        <v>0</v>
      </c>
      <c r="AH2841" s="64">
        <f t="shared" si="446"/>
        <v>0</v>
      </c>
      <c r="AI2841" s="47"/>
      <c r="AJ2841" s="126" t="e">
        <v>#N/A</v>
      </c>
      <c r="AK2841" s="80">
        <f t="shared" si="449"/>
        <v>0</v>
      </c>
      <c r="AM2841" s="85"/>
    </row>
    <row r="2842" spans="1:39" hidden="1" x14ac:dyDescent="0.3">
      <c r="A2842" s="89" t="s">
        <v>3395</v>
      </c>
      <c r="B2842" s="86" t="s">
        <v>701</v>
      </c>
      <c r="C2842" s="86" t="s">
        <v>65</v>
      </c>
      <c r="D2842" s="86" t="s">
        <v>66</v>
      </c>
      <c r="E2842" s="86" t="s">
        <v>2755</v>
      </c>
      <c r="F2842" s="86" t="s">
        <v>2755</v>
      </c>
      <c r="G2842" s="86" t="s">
        <v>2755</v>
      </c>
      <c r="H2842" s="143">
        <v>83</v>
      </c>
      <c r="I2842" s="86" t="s">
        <v>78</v>
      </c>
      <c r="J2842" s="1" t="s">
        <v>3303</v>
      </c>
      <c r="K2842" s="1" t="s">
        <v>3276</v>
      </c>
      <c r="L2842" s="1" t="s">
        <v>701</v>
      </c>
      <c r="M2842" s="86" t="s">
        <v>2755</v>
      </c>
      <c r="N2842" s="86"/>
      <c r="O2842" s="47" t="s">
        <v>410</v>
      </c>
      <c r="P2842" s="47" t="s">
        <v>41</v>
      </c>
      <c r="Q2842" s="14">
        <v>0</v>
      </c>
      <c r="R2842" s="143">
        <v>7157</v>
      </c>
      <c r="S2842" s="47"/>
      <c r="T2842" s="6">
        <v>-22982.800000000017</v>
      </c>
      <c r="U2842" s="6">
        <v>-4881.0600000000004</v>
      </c>
      <c r="V2842" s="6">
        <v>0</v>
      </c>
      <c r="W2842" s="6">
        <f t="shared" si="443"/>
        <v>-27863.860000000019</v>
      </c>
      <c r="X2842" s="6">
        <f t="shared" si="444"/>
        <v>0</v>
      </c>
      <c r="Y2842" s="13">
        <f t="shared" si="447"/>
        <v>0</v>
      </c>
      <c r="Z2842" s="14">
        <v>0</v>
      </c>
      <c r="AA2842" s="6">
        <v>0</v>
      </c>
      <c r="AB2842" s="4">
        <f t="shared" si="448"/>
        <v>0</v>
      </c>
      <c r="AC2842" s="4">
        <f t="shared" si="450"/>
        <v>0</v>
      </c>
      <c r="AD2842" s="6">
        <f t="shared" si="445"/>
        <v>0</v>
      </c>
      <c r="AE2842" s="2">
        <f>VLOOKUP(I2842,[1]媒体政策预估表!A:N,MATCH(O2842,[1]媒体政策预估表!$A$2:$M$2,0),0)</f>
        <v>0.17</v>
      </c>
      <c r="AF2842" s="6">
        <f t="shared" si="451"/>
        <v>0</v>
      </c>
      <c r="AG2842" s="14">
        <v>0</v>
      </c>
      <c r="AH2842" s="64">
        <f t="shared" si="446"/>
        <v>0</v>
      </c>
      <c r="AI2842" s="47"/>
      <c r="AJ2842" s="126" t="e">
        <v>#N/A</v>
      </c>
      <c r="AK2842" s="80">
        <f t="shared" si="449"/>
        <v>0</v>
      </c>
      <c r="AM2842" s="85"/>
    </row>
    <row r="2843" spans="1:39" hidden="1" x14ac:dyDescent="0.3">
      <c r="A2843" s="89" t="s">
        <v>3394</v>
      </c>
      <c r="B2843" s="86" t="s">
        <v>701</v>
      </c>
      <c r="C2843" s="86" t="s">
        <v>65</v>
      </c>
      <c r="D2843" s="86" t="s">
        <v>66</v>
      </c>
      <c r="E2843" s="86" t="s">
        <v>3183</v>
      </c>
      <c r="F2843" s="86" t="s">
        <v>3403</v>
      </c>
      <c r="G2843" s="86" t="s">
        <v>3183</v>
      </c>
      <c r="H2843" s="143">
        <v>83</v>
      </c>
      <c r="I2843" s="86" t="s">
        <v>78</v>
      </c>
      <c r="J2843" s="1" t="s">
        <v>3303</v>
      </c>
      <c r="K2843" s="1" t="s">
        <v>3276</v>
      </c>
      <c r="L2843" s="1" t="s">
        <v>701</v>
      </c>
      <c r="M2843" s="86" t="s">
        <v>3183</v>
      </c>
      <c r="N2843" s="86"/>
      <c r="O2843" s="47" t="s">
        <v>410</v>
      </c>
      <c r="P2843" s="47" t="s">
        <v>46</v>
      </c>
      <c r="Q2843" s="14">
        <v>0.02</v>
      </c>
      <c r="R2843" s="143">
        <v>7681</v>
      </c>
      <c r="S2843" s="47"/>
      <c r="T2843" s="6">
        <v>0</v>
      </c>
      <c r="U2843" s="6">
        <v>5100</v>
      </c>
      <c r="V2843" s="6">
        <v>0</v>
      </c>
      <c r="W2843" s="6">
        <f t="shared" si="443"/>
        <v>5100</v>
      </c>
      <c r="X2843" s="6">
        <f t="shared" si="444"/>
        <v>0</v>
      </c>
      <c r="Y2843" s="13">
        <f t="shared" si="447"/>
        <v>0</v>
      </c>
      <c r="Z2843" s="14">
        <v>0</v>
      </c>
      <c r="AA2843" s="6">
        <v>0</v>
      </c>
      <c r="AB2843" s="4">
        <f t="shared" si="448"/>
        <v>0</v>
      </c>
      <c r="AC2843" s="4">
        <f t="shared" si="450"/>
        <v>0</v>
      </c>
      <c r="AD2843" s="6">
        <f t="shared" si="445"/>
        <v>0</v>
      </c>
      <c r="AE2843" s="2">
        <f>VLOOKUP(I2843,[1]媒体政策预估表!A:N,MATCH(O2843,[1]媒体政策预估表!$A$2:$M$2,0),0)</f>
        <v>0.17</v>
      </c>
      <c r="AF2843" s="6">
        <f t="shared" si="451"/>
        <v>0</v>
      </c>
      <c r="AG2843" s="14">
        <v>0</v>
      </c>
      <c r="AH2843" s="64">
        <f t="shared" si="446"/>
        <v>0</v>
      </c>
      <c r="AI2843" s="47"/>
      <c r="AJ2843" s="126" t="e">
        <v>#N/A</v>
      </c>
      <c r="AK2843" s="80">
        <f t="shared" si="449"/>
        <v>0</v>
      </c>
      <c r="AM2843" s="85"/>
    </row>
    <row r="2844" spans="1:39" hidden="1" x14ac:dyDescent="0.3">
      <c r="A2844" s="89" t="s">
        <v>3394</v>
      </c>
      <c r="B2844" s="86" t="s">
        <v>701</v>
      </c>
      <c r="C2844" s="86" t="s">
        <v>65</v>
      </c>
      <c r="D2844" s="86" t="s">
        <v>66</v>
      </c>
      <c r="E2844" s="86" t="s">
        <v>2757</v>
      </c>
      <c r="F2844" s="86" t="s">
        <v>2758</v>
      </c>
      <c r="G2844" s="86" t="s">
        <v>2757</v>
      </c>
      <c r="H2844" s="144">
        <v>83</v>
      </c>
      <c r="I2844" s="86" t="s">
        <v>78</v>
      </c>
      <c r="J2844" s="1" t="s">
        <v>3303</v>
      </c>
      <c r="K2844" s="1" t="s">
        <v>3276</v>
      </c>
      <c r="L2844" s="1" t="s">
        <v>701</v>
      </c>
      <c r="M2844" s="86" t="s">
        <v>2757</v>
      </c>
      <c r="N2844" s="86"/>
      <c r="O2844" s="47" t="s">
        <v>410</v>
      </c>
      <c r="P2844" s="47" t="s">
        <v>41</v>
      </c>
      <c r="Q2844" s="14">
        <v>0</v>
      </c>
      <c r="R2844" s="143">
        <v>7162</v>
      </c>
      <c r="S2844" s="47"/>
      <c r="T2844" s="6">
        <v>3222.9999999999927</v>
      </c>
      <c r="U2844" s="6">
        <v>-7382.7</v>
      </c>
      <c r="V2844" s="6">
        <v>-4159.7000000000071</v>
      </c>
      <c r="W2844" s="6">
        <f t="shared" si="443"/>
        <v>0</v>
      </c>
      <c r="X2844" s="6">
        <f t="shared" si="444"/>
        <v>-4159.7000000000071</v>
      </c>
      <c r="Y2844" s="13">
        <f t="shared" si="447"/>
        <v>0</v>
      </c>
      <c r="Z2844" s="14">
        <v>0</v>
      </c>
      <c r="AA2844" s="6">
        <v>0</v>
      </c>
      <c r="AB2844" s="4">
        <f t="shared" si="448"/>
        <v>-4159.7000000000071</v>
      </c>
      <c r="AC2844" s="4">
        <f t="shared" si="450"/>
        <v>0</v>
      </c>
      <c r="AD2844" s="6">
        <f t="shared" si="445"/>
        <v>-4159.7000000000071</v>
      </c>
      <c r="AE2844" s="2">
        <f>VLOOKUP(I2844,[1]媒体政策预估表!A:N,MATCH(O2844,[1]媒体政策预估表!$A$2:$M$2,0),0)</f>
        <v>0.17</v>
      </c>
      <c r="AF2844" s="6">
        <f t="shared" si="451"/>
        <v>-707.14900000000125</v>
      </c>
      <c r="AG2844" s="14">
        <v>0</v>
      </c>
      <c r="AH2844" s="64">
        <f t="shared" si="446"/>
        <v>-4159.7000000000071</v>
      </c>
      <c r="AI2844" s="47"/>
      <c r="AJ2844" s="126" t="e">
        <v>#N/A</v>
      </c>
      <c r="AK2844" s="80">
        <f t="shared" si="449"/>
        <v>0</v>
      </c>
      <c r="AM2844" s="85"/>
    </row>
    <row r="2845" spans="1:39" hidden="1" x14ac:dyDescent="0.3">
      <c r="A2845" s="89" t="s">
        <v>3394</v>
      </c>
      <c r="B2845" s="86" t="s">
        <v>701</v>
      </c>
      <c r="C2845" s="86" t="s">
        <v>65</v>
      </c>
      <c r="D2845" s="86" t="s">
        <v>122</v>
      </c>
      <c r="E2845" s="86" t="s">
        <v>1266</v>
      </c>
      <c r="F2845" s="86" t="s">
        <v>1266</v>
      </c>
      <c r="G2845" s="86" t="s">
        <v>1266</v>
      </c>
      <c r="H2845" s="144">
        <v>83</v>
      </c>
      <c r="I2845" s="86" t="s">
        <v>78</v>
      </c>
      <c r="J2845" s="1" t="s">
        <v>3303</v>
      </c>
      <c r="K2845" s="1" t="s">
        <v>3276</v>
      </c>
      <c r="L2845" s="1" t="s">
        <v>701</v>
      </c>
      <c r="M2845" s="86" t="s">
        <v>2759</v>
      </c>
      <c r="N2845" s="86"/>
      <c r="O2845" s="47" t="s">
        <v>410</v>
      </c>
      <c r="P2845" s="47" t="s">
        <v>41</v>
      </c>
      <c r="Q2845" s="14">
        <v>0</v>
      </c>
      <c r="R2845" s="143">
        <v>7663</v>
      </c>
      <c r="S2845" s="47"/>
      <c r="T2845" s="6">
        <v>9371.7999999999993</v>
      </c>
      <c r="U2845" s="6">
        <v>20000</v>
      </c>
      <c r="V2845" s="6">
        <v>10533.9</v>
      </c>
      <c r="W2845" s="6">
        <f t="shared" si="443"/>
        <v>18837.900000000001</v>
      </c>
      <c r="X2845" s="6">
        <f t="shared" si="444"/>
        <v>10533.9</v>
      </c>
      <c r="Y2845" s="13">
        <f t="shared" si="447"/>
        <v>0</v>
      </c>
      <c r="Z2845" s="14">
        <v>0</v>
      </c>
      <c r="AA2845" s="6">
        <v>0</v>
      </c>
      <c r="AB2845" s="4">
        <f t="shared" si="448"/>
        <v>10533.9</v>
      </c>
      <c r="AC2845" s="4">
        <f t="shared" si="450"/>
        <v>0</v>
      </c>
      <c r="AD2845" s="6">
        <f t="shared" si="445"/>
        <v>10533.9</v>
      </c>
      <c r="AE2845" s="2">
        <f>VLOOKUP(I2845,[1]媒体政策预估表!A:N,MATCH(O2845,[1]媒体政策预估表!$A$2:$M$2,0),0)</f>
        <v>0.17</v>
      </c>
      <c r="AF2845" s="6">
        <f t="shared" si="451"/>
        <v>1790.7630000000001</v>
      </c>
      <c r="AG2845" s="14">
        <v>0</v>
      </c>
      <c r="AH2845" s="64">
        <f t="shared" si="446"/>
        <v>10533.9</v>
      </c>
      <c r="AI2845" s="47"/>
      <c r="AJ2845" s="126" t="e">
        <v>#N/A</v>
      </c>
      <c r="AK2845" s="80">
        <f t="shared" si="449"/>
        <v>0</v>
      </c>
      <c r="AM2845" s="85"/>
    </row>
    <row r="2846" spans="1:39" hidden="1" x14ac:dyDescent="0.3">
      <c r="A2846" s="89" t="s">
        <v>3392</v>
      </c>
      <c r="B2846" s="86" t="s">
        <v>701</v>
      </c>
      <c r="C2846" s="86" t="s">
        <v>65</v>
      </c>
      <c r="D2846" s="86" t="s">
        <v>122</v>
      </c>
      <c r="E2846" s="86" t="s">
        <v>1266</v>
      </c>
      <c r="F2846" s="86" t="s">
        <v>1266</v>
      </c>
      <c r="G2846" s="86" t="s">
        <v>1266</v>
      </c>
      <c r="H2846" s="144">
        <v>83</v>
      </c>
      <c r="I2846" s="86" t="s">
        <v>78</v>
      </c>
      <c r="J2846" s="1" t="s">
        <v>3303</v>
      </c>
      <c r="K2846" s="1" t="s">
        <v>3276</v>
      </c>
      <c r="L2846" s="1" t="s">
        <v>701</v>
      </c>
      <c r="M2846" s="86" t="s">
        <v>2760</v>
      </c>
      <c r="N2846" s="86"/>
      <c r="O2846" s="47" t="s">
        <v>410</v>
      </c>
      <c r="P2846" s="47" t="s">
        <v>41</v>
      </c>
      <c r="Q2846" s="14">
        <v>0</v>
      </c>
      <c r="R2846" s="143">
        <v>7633</v>
      </c>
      <c r="S2846" s="47"/>
      <c r="T2846" s="6">
        <v>5528</v>
      </c>
      <c r="U2846" s="6">
        <v>30000</v>
      </c>
      <c r="V2846" s="6">
        <v>25991</v>
      </c>
      <c r="W2846" s="6">
        <f t="shared" si="443"/>
        <v>9537</v>
      </c>
      <c r="X2846" s="6">
        <f t="shared" si="444"/>
        <v>25991</v>
      </c>
      <c r="Y2846" s="13">
        <f t="shared" si="447"/>
        <v>0</v>
      </c>
      <c r="Z2846" s="14">
        <v>0</v>
      </c>
      <c r="AA2846" s="6">
        <v>0</v>
      </c>
      <c r="AB2846" s="4">
        <f t="shared" si="448"/>
        <v>25991</v>
      </c>
      <c r="AC2846" s="4">
        <f t="shared" si="450"/>
        <v>0</v>
      </c>
      <c r="AD2846" s="6">
        <f t="shared" si="445"/>
        <v>25991</v>
      </c>
      <c r="AE2846" s="2">
        <f>VLOOKUP(I2846,[1]媒体政策预估表!A:N,MATCH(O2846,[1]媒体政策预估表!$A$2:$M$2,0),0)</f>
        <v>0.17</v>
      </c>
      <c r="AF2846" s="6">
        <f t="shared" si="451"/>
        <v>4418.47</v>
      </c>
      <c r="AG2846" s="14">
        <v>0</v>
      </c>
      <c r="AH2846" s="64">
        <f t="shared" si="446"/>
        <v>25991</v>
      </c>
      <c r="AI2846" s="47"/>
      <c r="AJ2846" s="126" t="e">
        <v>#N/A</v>
      </c>
      <c r="AK2846" s="80">
        <f t="shared" si="449"/>
        <v>0</v>
      </c>
      <c r="AM2846" s="85"/>
    </row>
    <row r="2847" spans="1:39" hidden="1" x14ac:dyDescent="0.3">
      <c r="A2847" s="89" t="s">
        <v>3394</v>
      </c>
      <c r="B2847" s="86" t="s">
        <v>701</v>
      </c>
      <c r="C2847" s="86" t="s">
        <v>65</v>
      </c>
      <c r="D2847" s="86" t="s">
        <v>122</v>
      </c>
      <c r="E2847" s="86" t="s">
        <v>1266</v>
      </c>
      <c r="F2847" s="86" t="s">
        <v>1266</v>
      </c>
      <c r="G2847" s="86" t="s">
        <v>1266</v>
      </c>
      <c r="H2847" s="144">
        <v>83</v>
      </c>
      <c r="I2847" s="86" t="s">
        <v>78</v>
      </c>
      <c r="J2847" s="1" t="s">
        <v>3303</v>
      </c>
      <c r="K2847" s="1" t="s">
        <v>3276</v>
      </c>
      <c r="L2847" s="1" t="s">
        <v>701</v>
      </c>
      <c r="M2847" s="86" t="s">
        <v>1274</v>
      </c>
      <c r="N2847" s="86"/>
      <c r="O2847" s="47" t="s">
        <v>410</v>
      </c>
      <c r="P2847" s="47" t="s">
        <v>41</v>
      </c>
      <c r="Q2847" s="14">
        <v>0</v>
      </c>
      <c r="R2847" s="143">
        <v>7642</v>
      </c>
      <c r="S2847" s="47"/>
      <c r="T2847" s="6">
        <v>7453</v>
      </c>
      <c r="U2847" s="6">
        <v>20000</v>
      </c>
      <c r="V2847" s="6">
        <v>23980.300000000003</v>
      </c>
      <c r="W2847" s="6">
        <f t="shared" si="443"/>
        <v>3472.6999999999971</v>
      </c>
      <c r="X2847" s="6">
        <f t="shared" si="444"/>
        <v>23980.300000000003</v>
      </c>
      <c r="Y2847" s="13">
        <f t="shared" si="447"/>
        <v>0</v>
      </c>
      <c r="Z2847" s="14">
        <v>0</v>
      </c>
      <c r="AA2847" s="6">
        <v>0</v>
      </c>
      <c r="AB2847" s="4">
        <f t="shared" si="448"/>
        <v>23980.300000000003</v>
      </c>
      <c r="AC2847" s="4">
        <f t="shared" si="450"/>
        <v>0</v>
      </c>
      <c r="AD2847" s="6">
        <f t="shared" si="445"/>
        <v>23980.300000000003</v>
      </c>
      <c r="AE2847" s="2">
        <f>VLOOKUP(I2847,[1]媒体政策预估表!A:N,MATCH(O2847,[1]媒体政策预估表!$A$2:$M$2,0),0)</f>
        <v>0.17</v>
      </c>
      <c r="AF2847" s="6">
        <f t="shared" si="451"/>
        <v>4076.6510000000007</v>
      </c>
      <c r="AG2847" s="14">
        <v>0</v>
      </c>
      <c r="AH2847" s="64">
        <f t="shared" si="446"/>
        <v>23980.300000000003</v>
      </c>
      <c r="AI2847" s="47"/>
      <c r="AJ2847" s="126" t="e">
        <v>#N/A</v>
      </c>
      <c r="AK2847" s="80">
        <f t="shared" si="449"/>
        <v>0</v>
      </c>
      <c r="AM2847" s="85"/>
    </row>
    <row r="2848" spans="1:39" hidden="1" x14ac:dyDescent="0.3">
      <c r="A2848" s="89" t="s">
        <v>3396</v>
      </c>
      <c r="B2848" s="86" t="s">
        <v>701</v>
      </c>
      <c r="C2848" s="86" t="s">
        <v>65</v>
      </c>
      <c r="D2848" s="86" t="s">
        <v>122</v>
      </c>
      <c r="E2848" s="86" t="s">
        <v>2867</v>
      </c>
      <c r="F2848" s="86" t="s">
        <v>2867</v>
      </c>
      <c r="G2848" s="86" t="s">
        <v>2867</v>
      </c>
      <c r="H2848" s="144">
        <v>83</v>
      </c>
      <c r="I2848" s="86" t="s">
        <v>78</v>
      </c>
      <c r="J2848" s="1" t="s">
        <v>3303</v>
      </c>
      <c r="K2848" s="1" t="s">
        <v>3276</v>
      </c>
      <c r="L2848" s="1" t="s">
        <v>701</v>
      </c>
      <c r="M2848" s="86" t="s">
        <v>2868</v>
      </c>
      <c r="N2848" s="86"/>
      <c r="O2848" s="47" t="s">
        <v>410</v>
      </c>
      <c r="P2848" s="47" t="s">
        <v>41</v>
      </c>
      <c r="Q2848" s="14">
        <v>0</v>
      </c>
      <c r="R2848" s="143">
        <v>7125</v>
      </c>
      <c r="S2848" s="47"/>
      <c r="T2848" s="6">
        <v>4435.0200000000041</v>
      </c>
      <c r="U2848" s="6">
        <v>30000</v>
      </c>
      <c r="V2848" s="6">
        <v>4427.93</v>
      </c>
      <c r="W2848" s="6">
        <f t="shared" si="443"/>
        <v>30007.090000000004</v>
      </c>
      <c r="X2848" s="6">
        <f t="shared" si="444"/>
        <v>4427.93</v>
      </c>
      <c r="Y2848" s="13">
        <f t="shared" si="447"/>
        <v>0</v>
      </c>
      <c r="Z2848" s="14">
        <v>0</v>
      </c>
      <c r="AA2848" s="6">
        <v>0</v>
      </c>
      <c r="AB2848" s="4">
        <f t="shared" si="448"/>
        <v>4427.93</v>
      </c>
      <c r="AC2848" s="4">
        <f t="shared" si="450"/>
        <v>0</v>
      </c>
      <c r="AD2848" s="6">
        <f t="shared" si="445"/>
        <v>4427.93</v>
      </c>
      <c r="AE2848" s="2">
        <f>VLOOKUP(I2848,[1]媒体政策预估表!A:N,MATCH(O2848,[1]媒体政策预估表!$A$2:$M$2,0),0)</f>
        <v>0.17</v>
      </c>
      <c r="AF2848" s="6">
        <f t="shared" si="451"/>
        <v>752.74810000000014</v>
      </c>
      <c r="AG2848" s="14">
        <v>0</v>
      </c>
      <c r="AH2848" s="64">
        <f t="shared" si="446"/>
        <v>4427.93</v>
      </c>
      <c r="AI2848" s="47"/>
      <c r="AJ2848" s="126" t="e">
        <v>#N/A</v>
      </c>
      <c r="AK2848" s="80">
        <f t="shared" si="449"/>
        <v>0</v>
      </c>
      <c r="AM2848" s="85"/>
    </row>
    <row r="2849" spans="1:39" hidden="1" x14ac:dyDescent="0.3">
      <c r="A2849" s="89" t="s">
        <v>3394</v>
      </c>
      <c r="B2849" s="86" t="s">
        <v>701</v>
      </c>
      <c r="C2849" s="86" t="s">
        <v>65</v>
      </c>
      <c r="D2849" s="86" t="s">
        <v>125</v>
      </c>
      <c r="E2849" s="86" t="s">
        <v>2766</v>
      </c>
      <c r="F2849" s="86" t="s">
        <v>2766</v>
      </c>
      <c r="G2849" s="86" t="s">
        <v>2766</v>
      </c>
      <c r="H2849" s="143">
        <v>83</v>
      </c>
      <c r="I2849" s="86" t="s">
        <v>78</v>
      </c>
      <c r="J2849" s="1" t="s">
        <v>3303</v>
      </c>
      <c r="K2849" s="1" t="s">
        <v>3276</v>
      </c>
      <c r="L2849" s="1" t="s">
        <v>701</v>
      </c>
      <c r="M2849" s="86" t="s">
        <v>2766</v>
      </c>
      <c r="N2849" s="86"/>
      <c r="O2849" s="47" t="s">
        <v>410</v>
      </c>
      <c r="P2849" s="47" t="s">
        <v>46</v>
      </c>
      <c r="Q2849" s="14">
        <v>0.02</v>
      </c>
      <c r="R2849" s="143">
        <v>7496</v>
      </c>
      <c r="S2849" s="47"/>
      <c r="T2849" s="6">
        <f>9412.8-24.5</f>
        <v>9388.2999999999993</v>
      </c>
      <c r="U2849" s="6">
        <v>-9388.2999999999993</v>
      </c>
      <c r="V2849" s="6">
        <v>0</v>
      </c>
      <c r="W2849" s="6">
        <f t="shared" si="443"/>
        <v>0</v>
      </c>
      <c r="X2849" s="6">
        <f t="shared" si="444"/>
        <v>0</v>
      </c>
      <c r="Y2849" s="13">
        <f t="shared" si="447"/>
        <v>0</v>
      </c>
      <c r="Z2849" s="14">
        <v>0</v>
      </c>
      <c r="AA2849" s="6">
        <v>0</v>
      </c>
      <c r="AB2849" s="4">
        <f t="shared" si="448"/>
        <v>0</v>
      </c>
      <c r="AC2849" s="4">
        <f t="shared" si="450"/>
        <v>0</v>
      </c>
      <c r="AD2849" s="6">
        <f t="shared" si="445"/>
        <v>0</v>
      </c>
      <c r="AE2849" s="2">
        <f>VLOOKUP(I2849,[1]媒体政策预估表!A:N,MATCH(O2849,[1]媒体政策预估表!$A$2:$M$2,0),0)</f>
        <v>0.17</v>
      </c>
      <c r="AF2849" s="6">
        <f t="shared" si="451"/>
        <v>0</v>
      </c>
      <c r="AG2849" s="14">
        <v>0</v>
      </c>
      <c r="AH2849" s="64">
        <f t="shared" si="446"/>
        <v>0</v>
      </c>
      <c r="AI2849" s="47"/>
      <c r="AJ2849" s="126" t="e">
        <v>#N/A</v>
      </c>
      <c r="AK2849" s="80">
        <f t="shared" si="449"/>
        <v>0</v>
      </c>
      <c r="AM2849" s="85"/>
    </row>
    <row r="2850" spans="1:39" hidden="1" x14ac:dyDescent="0.3">
      <c r="A2850" s="89" t="s">
        <v>3394</v>
      </c>
      <c r="B2850" s="86" t="s">
        <v>701</v>
      </c>
      <c r="C2850" s="86" t="s">
        <v>65</v>
      </c>
      <c r="D2850" s="86" t="s">
        <v>125</v>
      </c>
      <c r="E2850" s="86" t="s">
        <v>2766</v>
      </c>
      <c r="F2850" s="86" t="s">
        <v>2766</v>
      </c>
      <c r="G2850" s="86" t="s">
        <v>2766</v>
      </c>
      <c r="H2850" s="144">
        <v>83</v>
      </c>
      <c r="I2850" s="86" t="s">
        <v>78</v>
      </c>
      <c r="J2850" s="1" t="s">
        <v>3303</v>
      </c>
      <c r="K2850" s="1" t="s">
        <v>3276</v>
      </c>
      <c r="L2850" s="1" t="s">
        <v>701</v>
      </c>
      <c r="M2850" s="86" t="s">
        <v>2766</v>
      </c>
      <c r="N2850" s="86"/>
      <c r="O2850" s="47" t="s">
        <v>410</v>
      </c>
      <c r="P2850" s="47" t="s">
        <v>41</v>
      </c>
      <c r="Q2850" s="14">
        <v>0</v>
      </c>
      <c r="R2850" s="143">
        <v>7496</v>
      </c>
      <c r="S2850" s="47"/>
      <c r="T2850" s="6">
        <f>9925.6+24.5</f>
        <v>9950.1</v>
      </c>
      <c r="U2850" s="6">
        <v>9388.2999999999993</v>
      </c>
      <c r="V2850" s="6">
        <v>9092.5000000000036</v>
      </c>
      <c r="W2850" s="6">
        <f t="shared" si="443"/>
        <v>10245.899999999998</v>
      </c>
      <c r="X2850" s="6">
        <f t="shared" si="444"/>
        <v>9092.5000000000036</v>
      </c>
      <c r="Y2850" s="13">
        <f t="shared" si="447"/>
        <v>0</v>
      </c>
      <c r="Z2850" s="14">
        <v>0</v>
      </c>
      <c r="AA2850" s="6">
        <v>0</v>
      </c>
      <c r="AB2850" s="4">
        <f t="shared" si="448"/>
        <v>9092.5000000000036</v>
      </c>
      <c r="AC2850" s="4">
        <f t="shared" si="450"/>
        <v>0</v>
      </c>
      <c r="AD2850" s="6">
        <f t="shared" si="445"/>
        <v>9092.5000000000036</v>
      </c>
      <c r="AE2850" s="2">
        <f>VLOOKUP(I2850,[1]媒体政策预估表!A:N,MATCH(O2850,[1]媒体政策预估表!$A$2:$M$2,0),0)</f>
        <v>0.17</v>
      </c>
      <c r="AF2850" s="6">
        <f t="shared" si="451"/>
        <v>1545.7250000000008</v>
      </c>
      <c r="AG2850" s="14">
        <v>0</v>
      </c>
      <c r="AH2850" s="64">
        <f t="shared" si="446"/>
        <v>9092.5000000000036</v>
      </c>
      <c r="AI2850" s="47"/>
      <c r="AJ2850" s="126" t="e">
        <v>#N/A</v>
      </c>
      <c r="AK2850" s="80">
        <f t="shared" si="449"/>
        <v>0</v>
      </c>
      <c r="AM2850" s="85"/>
    </row>
    <row r="2851" spans="1:39" hidden="1" x14ac:dyDescent="0.3">
      <c r="A2851" s="89" t="s">
        <v>3395</v>
      </c>
      <c r="B2851" s="86" t="s">
        <v>701</v>
      </c>
      <c r="C2851" s="86" t="s">
        <v>65</v>
      </c>
      <c r="D2851" s="86" t="s">
        <v>125</v>
      </c>
      <c r="E2851" s="86" t="s">
        <v>2766</v>
      </c>
      <c r="F2851" s="86" t="s">
        <v>2766</v>
      </c>
      <c r="G2851" s="86" t="s">
        <v>2766</v>
      </c>
      <c r="H2851" s="143">
        <v>83</v>
      </c>
      <c r="I2851" s="86" t="s">
        <v>78</v>
      </c>
      <c r="J2851" s="1" t="s">
        <v>3303</v>
      </c>
      <c r="K2851" s="1" t="s">
        <v>3276</v>
      </c>
      <c r="L2851" s="1" t="s">
        <v>701</v>
      </c>
      <c r="M2851" s="86" t="s">
        <v>2767</v>
      </c>
      <c r="N2851" s="86"/>
      <c r="O2851" s="47" t="s">
        <v>410</v>
      </c>
      <c r="P2851" s="47" t="s">
        <v>46</v>
      </c>
      <c r="Q2851" s="14">
        <v>0.02</v>
      </c>
      <c r="R2851" s="143">
        <v>7536</v>
      </c>
      <c r="S2851" s="47"/>
      <c r="T2851" s="6">
        <f>22568.5+39</f>
        <v>22607.5</v>
      </c>
      <c r="U2851" s="6">
        <v>-22607.5</v>
      </c>
      <c r="V2851" s="6">
        <v>0</v>
      </c>
      <c r="W2851" s="6">
        <f t="shared" si="443"/>
        <v>0</v>
      </c>
      <c r="X2851" s="6">
        <f t="shared" si="444"/>
        <v>0</v>
      </c>
      <c r="Y2851" s="13">
        <f t="shared" si="447"/>
        <v>0</v>
      </c>
      <c r="Z2851" s="14">
        <v>0</v>
      </c>
      <c r="AA2851" s="6">
        <v>0</v>
      </c>
      <c r="AB2851" s="4">
        <f t="shared" si="448"/>
        <v>0</v>
      </c>
      <c r="AC2851" s="4">
        <f t="shared" si="450"/>
        <v>0</v>
      </c>
      <c r="AD2851" s="6">
        <f t="shared" si="445"/>
        <v>0</v>
      </c>
      <c r="AE2851" s="2">
        <f>VLOOKUP(I2851,[1]媒体政策预估表!A:N,MATCH(O2851,[1]媒体政策预估表!$A$2:$M$2,0),0)</f>
        <v>0.17</v>
      </c>
      <c r="AF2851" s="6">
        <f t="shared" si="451"/>
        <v>0</v>
      </c>
      <c r="AG2851" s="14">
        <v>0</v>
      </c>
      <c r="AH2851" s="64">
        <f t="shared" si="446"/>
        <v>0</v>
      </c>
      <c r="AI2851" s="47"/>
      <c r="AJ2851" s="126" t="e">
        <v>#N/A</v>
      </c>
      <c r="AK2851" s="80">
        <f t="shared" si="449"/>
        <v>0</v>
      </c>
      <c r="AM2851" s="85"/>
    </row>
    <row r="2852" spans="1:39" hidden="1" x14ac:dyDescent="0.3">
      <c r="A2852" s="89" t="s">
        <v>3395</v>
      </c>
      <c r="B2852" s="86" t="s">
        <v>701</v>
      </c>
      <c r="C2852" s="86" t="s">
        <v>65</v>
      </c>
      <c r="D2852" s="86" t="s">
        <v>125</v>
      </c>
      <c r="E2852" s="86" t="s">
        <v>2766</v>
      </c>
      <c r="F2852" s="86" t="s">
        <v>2766</v>
      </c>
      <c r="G2852" s="86" t="s">
        <v>2766</v>
      </c>
      <c r="H2852" s="144">
        <v>83</v>
      </c>
      <c r="I2852" s="86" t="s">
        <v>78</v>
      </c>
      <c r="J2852" s="1" t="s">
        <v>3303</v>
      </c>
      <c r="K2852" s="1" t="s">
        <v>3276</v>
      </c>
      <c r="L2852" s="1" t="s">
        <v>701</v>
      </c>
      <c r="M2852" s="86" t="s">
        <v>2767</v>
      </c>
      <c r="N2852" s="86"/>
      <c r="O2852" s="47" t="s">
        <v>410</v>
      </c>
      <c r="P2852" s="47" t="s">
        <v>41</v>
      </c>
      <c r="Q2852" s="14">
        <v>0</v>
      </c>
      <c r="R2852" s="143">
        <v>7536</v>
      </c>
      <c r="S2852" s="47"/>
      <c r="T2852" s="6">
        <f>126864.5-39</f>
        <v>126825.5</v>
      </c>
      <c r="U2852" s="6">
        <v>22607.5</v>
      </c>
      <c r="V2852" s="6">
        <v>54054</v>
      </c>
      <c r="W2852" s="6">
        <f t="shared" si="443"/>
        <v>95379</v>
      </c>
      <c r="X2852" s="6">
        <f t="shared" si="444"/>
        <v>54054</v>
      </c>
      <c r="Y2852" s="13">
        <f t="shared" si="447"/>
        <v>0</v>
      </c>
      <c r="Z2852" s="14">
        <v>0</v>
      </c>
      <c r="AA2852" s="6">
        <v>0</v>
      </c>
      <c r="AB2852" s="4">
        <f t="shared" si="448"/>
        <v>54054</v>
      </c>
      <c r="AC2852" s="4">
        <f t="shared" si="450"/>
        <v>0</v>
      </c>
      <c r="AD2852" s="6">
        <f t="shared" si="445"/>
        <v>54054</v>
      </c>
      <c r="AE2852" s="2">
        <f>VLOOKUP(I2852,[1]媒体政策预估表!A:N,MATCH(O2852,[1]媒体政策预估表!$A$2:$M$2,0),0)</f>
        <v>0.17</v>
      </c>
      <c r="AF2852" s="6">
        <f t="shared" si="451"/>
        <v>9189.18</v>
      </c>
      <c r="AG2852" s="14">
        <v>0</v>
      </c>
      <c r="AH2852" s="64">
        <f t="shared" si="446"/>
        <v>54054</v>
      </c>
      <c r="AI2852" s="47"/>
      <c r="AJ2852" s="126" t="e">
        <v>#N/A</v>
      </c>
      <c r="AK2852" s="80">
        <f t="shared" si="449"/>
        <v>0</v>
      </c>
      <c r="AM2852" s="85"/>
    </row>
    <row r="2853" spans="1:39" hidden="1" x14ac:dyDescent="0.3">
      <c r="A2853" s="89" t="s">
        <v>3394</v>
      </c>
      <c r="B2853" s="86" t="s">
        <v>701</v>
      </c>
      <c r="C2853" s="86" t="s">
        <v>65</v>
      </c>
      <c r="D2853" s="86" t="s">
        <v>125</v>
      </c>
      <c r="E2853" s="86" t="s">
        <v>2768</v>
      </c>
      <c r="F2853" s="86" t="s">
        <v>2768</v>
      </c>
      <c r="G2853" s="86" t="s">
        <v>2768</v>
      </c>
      <c r="H2853" s="143">
        <v>83</v>
      </c>
      <c r="I2853" s="86" t="s">
        <v>78</v>
      </c>
      <c r="J2853" s="1" t="s">
        <v>3303</v>
      </c>
      <c r="K2853" s="1" t="s">
        <v>3276</v>
      </c>
      <c r="L2853" s="1" t="s">
        <v>701</v>
      </c>
      <c r="M2853" s="86" t="s">
        <v>2768</v>
      </c>
      <c r="N2853" s="86"/>
      <c r="O2853" s="47" t="s">
        <v>410</v>
      </c>
      <c r="P2853" s="47" t="s">
        <v>46</v>
      </c>
      <c r="Q2853" s="14">
        <v>0.02</v>
      </c>
      <c r="R2853" s="143">
        <v>7389</v>
      </c>
      <c r="S2853" s="47"/>
      <c r="T2853" s="6">
        <f>3501.9-16.5</f>
        <v>3485.4</v>
      </c>
      <c r="U2853" s="6">
        <v>-3485.4</v>
      </c>
      <c r="V2853" s="6">
        <v>0</v>
      </c>
      <c r="W2853" s="6">
        <f t="shared" si="443"/>
        <v>0</v>
      </c>
      <c r="X2853" s="6">
        <f t="shared" si="444"/>
        <v>0</v>
      </c>
      <c r="Y2853" s="13">
        <f t="shared" si="447"/>
        <v>0</v>
      </c>
      <c r="Z2853" s="14">
        <v>0</v>
      </c>
      <c r="AA2853" s="6">
        <v>0</v>
      </c>
      <c r="AB2853" s="4">
        <f t="shared" si="448"/>
        <v>0</v>
      </c>
      <c r="AC2853" s="4">
        <f t="shared" si="450"/>
        <v>0</v>
      </c>
      <c r="AD2853" s="6">
        <f t="shared" si="445"/>
        <v>0</v>
      </c>
      <c r="AE2853" s="2">
        <f>VLOOKUP(I2853,[1]媒体政策预估表!A:N,MATCH(O2853,[1]媒体政策预估表!$A$2:$M$2,0),0)</f>
        <v>0.17</v>
      </c>
      <c r="AF2853" s="6">
        <f t="shared" si="451"/>
        <v>0</v>
      </c>
      <c r="AG2853" s="14">
        <v>0</v>
      </c>
      <c r="AH2853" s="64">
        <f t="shared" si="446"/>
        <v>0</v>
      </c>
      <c r="AI2853" s="47"/>
      <c r="AJ2853" s="126" t="e">
        <v>#N/A</v>
      </c>
      <c r="AK2853" s="80">
        <f t="shared" si="449"/>
        <v>0</v>
      </c>
      <c r="AM2853" s="85"/>
    </row>
    <row r="2854" spans="1:39" hidden="1" x14ac:dyDescent="0.3">
      <c r="A2854" s="89" t="s">
        <v>3395</v>
      </c>
      <c r="B2854" s="86" t="s">
        <v>701</v>
      </c>
      <c r="C2854" s="86" t="s">
        <v>65</v>
      </c>
      <c r="D2854" s="86" t="s">
        <v>125</v>
      </c>
      <c r="E2854" s="86" t="s">
        <v>2768</v>
      </c>
      <c r="F2854" s="86" t="s">
        <v>2768</v>
      </c>
      <c r="G2854" s="86" t="s">
        <v>2768</v>
      </c>
      <c r="H2854" s="144">
        <v>83</v>
      </c>
      <c r="I2854" s="86" t="s">
        <v>78</v>
      </c>
      <c r="J2854" s="1" t="s">
        <v>3303</v>
      </c>
      <c r="K2854" s="1" t="s">
        <v>3276</v>
      </c>
      <c r="L2854" s="1" t="s">
        <v>701</v>
      </c>
      <c r="M2854" s="86" t="s">
        <v>2768</v>
      </c>
      <c r="N2854" s="86"/>
      <c r="O2854" s="47" t="s">
        <v>410</v>
      </c>
      <c r="P2854" s="47" t="s">
        <v>41</v>
      </c>
      <c r="Q2854" s="14">
        <v>0</v>
      </c>
      <c r="R2854" s="143">
        <v>7389</v>
      </c>
      <c r="S2854" s="47"/>
      <c r="T2854" s="6">
        <f>64205.5+16.5</f>
        <v>64222</v>
      </c>
      <c r="U2854" s="6">
        <v>3485.4</v>
      </c>
      <c r="V2854" s="6">
        <v>30409.5</v>
      </c>
      <c r="W2854" s="6">
        <f t="shared" ref="W2854:W2917" si="452">T2854+U2854-V2854</f>
        <v>37297.899999999994</v>
      </c>
      <c r="X2854" s="6">
        <f t="shared" ref="X2854:X2917" si="453">IF(P2854="折扣",V2854*Q2854,IF(P2854="返现",V2854,V2854/(1+Q2854)))</f>
        <v>30409.5</v>
      </c>
      <c r="Y2854" s="13">
        <f t="shared" si="447"/>
        <v>0</v>
      </c>
      <c r="Z2854" s="14">
        <v>0</v>
      </c>
      <c r="AA2854" s="6">
        <v>0</v>
      </c>
      <c r="AB2854" s="4">
        <f t="shared" si="448"/>
        <v>30409.5</v>
      </c>
      <c r="AC2854" s="4">
        <f t="shared" si="450"/>
        <v>0</v>
      </c>
      <c r="AD2854" s="6">
        <f t="shared" ref="AD2854:AD2917" si="454">V2854</f>
        <v>30409.5</v>
      </c>
      <c r="AE2854" s="2">
        <f>VLOOKUP(I2854,[1]媒体政策预估表!A:N,MATCH(O2854,[1]媒体政策预估表!$A$2:$M$2,0),0)</f>
        <v>0.17</v>
      </c>
      <c r="AF2854" s="6">
        <f t="shared" si="451"/>
        <v>5169.6150000000007</v>
      </c>
      <c r="AG2854" s="14">
        <v>0</v>
      </c>
      <c r="AH2854" s="64">
        <f t="shared" ref="AH2854:AH2917" si="455">V2854</f>
        <v>30409.5</v>
      </c>
      <c r="AI2854" s="47"/>
      <c r="AJ2854" s="126" t="e">
        <v>#N/A</v>
      </c>
      <c r="AK2854" s="80">
        <f t="shared" si="449"/>
        <v>0</v>
      </c>
      <c r="AM2854" s="85"/>
    </row>
    <row r="2855" spans="1:39" hidden="1" x14ac:dyDescent="0.3">
      <c r="A2855" s="89" t="s">
        <v>3395</v>
      </c>
      <c r="B2855" s="86" t="s">
        <v>701</v>
      </c>
      <c r="C2855" s="86" t="s">
        <v>65</v>
      </c>
      <c r="D2855" s="86" t="s">
        <v>125</v>
      </c>
      <c r="E2855" s="86" t="s">
        <v>3183</v>
      </c>
      <c r="F2855" s="86" t="s">
        <v>3403</v>
      </c>
      <c r="G2855" s="86" t="s">
        <v>3183</v>
      </c>
      <c r="H2855" s="144">
        <v>83</v>
      </c>
      <c r="I2855" s="86" t="s">
        <v>78</v>
      </c>
      <c r="J2855" s="1" t="s">
        <v>3303</v>
      </c>
      <c r="K2855" s="1" t="s">
        <v>3276</v>
      </c>
      <c r="L2855" s="1" t="s">
        <v>701</v>
      </c>
      <c r="M2855" s="86" t="s">
        <v>3404</v>
      </c>
      <c r="N2855" s="86"/>
      <c r="O2855" s="47" t="s">
        <v>410</v>
      </c>
      <c r="P2855" s="47" t="s">
        <v>46</v>
      </c>
      <c r="Q2855" s="14">
        <v>0.02</v>
      </c>
      <c r="R2855" s="143">
        <v>7676</v>
      </c>
      <c r="S2855" s="47"/>
      <c r="T2855" s="6">
        <v>0</v>
      </c>
      <c r="U2855" s="6">
        <v>5100</v>
      </c>
      <c r="V2855" s="6">
        <v>1365.3</v>
      </c>
      <c r="W2855" s="6">
        <f t="shared" si="452"/>
        <v>3734.7</v>
      </c>
      <c r="X2855" s="6">
        <f t="shared" si="453"/>
        <v>1338.5294117647059</v>
      </c>
      <c r="Y2855" s="13">
        <f t="shared" si="447"/>
        <v>0</v>
      </c>
      <c r="Z2855" s="14">
        <v>0</v>
      </c>
      <c r="AA2855" s="6">
        <v>0</v>
      </c>
      <c r="AB2855" s="4">
        <f t="shared" si="448"/>
        <v>1338.5294117647059</v>
      </c>
      <c r="AC2855" s="4">
        <f t="shared" si="450"/>
        <v>26.770588235294099</v>
      </c>
      <c r="AD2855" s="6">
        <f t="shared" si="454"/>
        <v>1365.3</v>
      </c>
      <c r="AE2855" s="2">
        <f>VLOOKUP(I2855,[1]媒体政策预估表!A:N,MATCH(O2855,[1]媒体政策预估表!$A$2:$M$2,0),0)</f>
        <v>0.17</v>
      </c>
      <c r="AF2855" s="6">
        <f t="shared" si="451"/>
        <v>232.101</v>
      </c>
      <c r="AG2855" s="14">
        <v>0</v>
      </c>
      <c r="AH2855" s="64">
        <f t="shared" si="455"/>
        <v>1365.3</v>
      </c>
      <c r="AI2855" s="47"/>
      <c r="AJ2855" s="126" t="e">
        <v>#N/A</v>
      </c>
      <c r="AK2855" s="80">
        <f t="shared" si="449"/>
        <v>0</v>
      </c>
      <c r="AM2855" s="85"/>
    </row>
    <row r="2856" spans="1:39" hidden="1" x14ac:dyDescent="0.3">
      <c r="A2856" s="89" t="s">
        <v>3394</v>
      </c>
      <c r="B2856" s="86" t="s">
        <v>701</v>
      </c>
      <c r="C2856" s="86" t="s">
        <v>47</v>
      </c>
      <c r="D2856" s="86" t="s">
        <v>63</v>
      </c>
      <c r="E2856" s="86" t="s">
        <v>2393</v>
      </c>
      <c r="F2856" s="86" t="s">
        <v>2774</v>
      </c>
      <c r="G2856" s="86" t="s">
        <v>2393</v>
      </c>
      <c r="H2856" s="144">
        <v>83</v>
      </c>
      <c r="I2856" s="86" t="s">
        <v>78</v>
      </c>
      <c r="J2856" s="1" t="s">
        <v>3303</v>
      </c>
      <c r="K2856" s="1" t="s">
        <v>3276</v>
      </c>
      <c r="L2856" s="1" t="s">
        <v>701</v>
      </c>
      <c r="M2856" s="86" t="s">
        <v>2775</v>
      </c>
      <c r="N2856" s="86"/>
      <c r="O2856" s="47" t="s">
        <v>410</v>
      </c>
      <c r="P2856" s="47" t="s">
        <v>46</v>
      </c>
      <c r="Q2856" s="14">
        <v>7.0000000000000007E-2</v>
      </c>
      <c r="R2856" s="143">
        <v>7587</v>
      </c>
      <c r="S2856" s="47"/>
      <c r="T2856" s="6">
        <v>9096</v>
      </c>
      <c r="U2856" s="6">
        <v>10700</v>
      </c>
      <c r="V2856" s="6">
        <v>8684.7999999999993</v>
      </c>
      <c r="W2856" s="6">
        <f t="shared" si="452"/>
        <v>11111.2</v>
      </c>
      <c r="X2856" s="6">
        <f t="shared" si="453"/>
        <v>8116.6355140186906</v>
      </c>
      <c r="Y2856" s="13">
        <f t="shared" si="447"/>
        <v>0</v>
      </c>
      <c r="Z2856" s="14">
        <v>0</v>
      </c>
      <c r="AA2856" s="6">
        <v>0</v>
      </c>
      <c r="AB2856" s="4">
        <f t="shared" si="448"/>
        <v>8116.6355140186906</v>
      </c>
      <c r="AC2856" s="4">
        <f t="shared" si="450"/>
        <v>568.16448598130864</v>
      </c>
      <c r="AD2856" s="6">
        <f t="shared" si="454"/>
        <v>8684.7999999999993</v>
      </c>
      <c r="AE2856" s="2">
        <f>VLOOKUP(I2856,[1]媒体政策预估表!A:N,MATCH(O2856,[1]媒体政策预估表!$A$2:$M$2,0),0)</f>
        <v>0.17</v>
      </c>
      <c r="AF2856" s="6">
        <f t="shared" si="451"/>
        <v>1476.4159999999999</v>
      </c>
      <c r="AG2856" s="14">
        <v>0</v>
      </c>
      <c r="AH2856" s="64">
        <f t="shared" si="455"/>
        <v>8684.7999999999993</v>
      </c>
      <c r="AI2856" s="47"/>
      <c r="AJ2856" s="126" t="e">
        <v>#N/A</v>
      </c>
      <c r="AK2856" s="80">
        <f t="shared" si="449"/>
        <v>0</v>
      </c>
      <c r="AM2856" s="85"/>
    </row>
    <row r="2857" spans="1:39" hidden="1" x14ac:dyDescent="0.3">
      <c r="A2857" s="89" t="s">
        <v>3395</v>
      </c>
      <c r="B2857" s="86" t="s">
        <v>701</v>
      </c>
      <c r="C2857" s="86" t="s">
        <v>47</v>
      </c>
      <c r="D2857" s="86" t="s">
        <v>63</v>
      </c>
      <c r="E2857" s="86" t="s">
        <v>2581</v>
      </c>
      <c r="F2857" s="86" t="s">
        <v>2581</v>
      </c>
      <c r="G2857" s="86" t="s">
        <v>2581</v>
      </c>
      <c r="H2857" s="144">
        <v>83</v>
      </c>
      <c r="I2857" s="86" t="s">
        <v>78</v>
      </c>
      <c r="J2857" s="1" t="s">
        <v>3303</v>
      </c>
      <c r="K2857" s="1" t="s">
        <v>3276</v>
      </c>
      <c r="L2857" s="1" t="s">
        <v>701</v>
      </c>
      <c r="M2857" s="86" t="s">
        <v>70</v>
      </c>
      <c r="N2857" s="86"/>
      <c r="O2857" s="47" t="s">
        <v>410</v>
      </c>
      <c r="P2857" s="47" t="s">
        <v>41</v>
      </c>
      <c r="Q2857" s="14">
        <v>0</v>
      </c>
      <c r="R2857" s="143">
        <v>7572</v>
      </c>
      <c r="S2857" s="47"/>
      <c r="T2857" s="6">
        <v>47157.57</v>
      </c>
      <c r="U2857" s="6">
        <v>20000</v>
      </c>
      <c r="V2857" s="6">
        <v>13817</v>
      </c>
      <c r="W2857" s="6">
        <f t="shared" si="452"/>
        <v>53340.570000000007</v>
      </c>
      <c r="X2857" s="6">
        <f t="shared" si="453"/>
        <v>13817</v>
      </c>
      <c r="Y2857" s="13">
        <f t="shared" si="447"/>
        <v>0</v>
      </c>
      <c r="Z2857" s="14">
        <v>0</v>
      </c>
      <c r="AA2857" s="6">
        <v>0</v>
      </c>
      <c r="AB2857" s="4">
        <f t="shared" si="448"/>
        <v>13817</v>
      </c>
      <c r="AC2857" s="4">
        <f t="shared" si="450"/>
        <v>0</v>
      </c>
      <c r="AD2857" s="6">
        <f t="shared" si="454"/>
        <v>13817</v>
      </c>
      <c r="AE2857" s="2">
        <f>VLOOKUP(I2857,[1]媒体政策预估表!A:N,MATCH(O2857,[1]媒体政策预估表!$A$2:$M$2,0),0)</f>
        <v>0.17</v>
      </c>
      <c r="AF2857" s="6">
        <f t="shared" si="451"/>
        <v>2348.8900000000003</v>
      </c>
      <c r="AG2857" s="14">
        <v>0</v>
      </c>
      <c r="AH2857" s="64">
        <f t="shared" si="455"/>
        <v>13817</v>
      </c>
      <c r="AI2857" s="47"/>
      <c r="AJ2857" s="126" t="e">
        <v>#N/A</v>
      </c>
      <c r="AK2857" s="80">
        <f t="shared" si="449"/>
        <v>0</v>
      </c>
      <c r="AM2857" s="85"/>
    </row>
    <row r="2858" spans="1:39" hidden="1" x14ac:dyDescent="0.3">
      <c r="A2858" s="89" t="s">
        <v>3397</v>
      </c>
      <c r="B2858" s="86" t="s">
        <v>701</v>
      </c>
      <c r="C2858" s="86" t="s">
        <v>47</v>
      </c>
      <c r="D2858" s="86" t="s">
        <v>63</v>
      </c>
      <c r="E2858" s="86" t="s">
        <v>2409</v>
      </c>
      <c r="F2858" s="86" t="s">
        <v>2776</v>
      </c>
      <c r="G2858" s="86" t="s">
        <v>2409</v>
      </c>
      <c r="H2858" s="144">
        <v>83</v>
      </c>
      <c r="I2858" s="86" t="s">
        <v>78</v>
      </c>
      <c r="J2858" s="1" t="s">
        <v>3303</v>
      </c>
      <c r="K2858" s="1" t="s">
        <v>3276</v>
      </c>
      <c r="L2858" s="1" t="s">
        <v>701</v>
      </c>
      <c r="M2858" s="86" t="s">
        <v>2777</v>
      </c>
      <c r="N2858" s="86"/>
      <c r="O2858" s="47" t="s">
        <v>410</v>
      </c>
      <c r="P2858" s="47" t="s">
        <v>46</v>
      </c>
      <c r="Q2858" s="14">
        <v>7.0000000000000007E-2</v>
      </c>
      <c r="R2858" s="143">
        <v>7585</v>
      </c>
      <c r="S2858" s="47"/>
      <c r="T2858" s="6">
        <v>26231.799999999988</v>
      </c>
      <c r="U2858" s="6">
        <v>374500</v>
      </c>
      <c r="V2858" s="6">
        <v>278397</v>
      </c>
      <c r="W2858" s="6">
        <f t="shared" si="452"/>
        <v>122334.79999999999</v>
      </c>
      <c r="X2858" s="6">
        <f t="shared" si="453"/>
        <v>260184.11214953268</v>
      </c>
      <c r="Y2858" s="13">
        <f t="shared" si="447"/>
        <v>0</v>
      </c>
      <c r="Z2858" s="14">
        <v>0</v>
      </c>
      <c r="AA2858" s="6">
        <v>0</v>
      </c>
      <c r="AB2858" s="4">
        <f t="shared" si="448"/>
        <v>260184.11214953268</v>
      </c>
      <c r="AC2858" s="4">
        <f t="shared" si="450"/>
        <v>18212.887850467319</v>
      </c>
      <c r="AD2858" s="6">
        <f t="shared" si="454"/>
        <v>278397</v>
      </c>
      <c r="AE2858" s="2">
        <f>VLOOKUP(I2858,[1]媒体政策预估表!A:N,MATCH(O2858,[1]媒体政策预估表!$A$2:$M$2,0),0)</f>
        <v>0.17</v>
      </c>
      <c r="AF2858" s="6">
        <f t="shared" si="451"/>
        <v>47327.490000000005</v>
      </c>
      <c r="AG2858" s="14">
        <v>0</v>
      </c>
      <c r="AH2858" s="64">
        <f t="shared" si="455"/>
        <v>278397</v>
      </c>
      <c r="AI2858" s="47"/>
      <c r="AJ2858" s="126" t="e">
        <v>#N/A</v>
      </c>
      <c r="AK2858" s="80">
        <f t="shared" si="449"/>
        <v>0</v>
      </c>
      <c r="AM2858" s="85"/>
    </row>
    <row r="2859" spans="1:39" hidden="1" x14ac:dyDescent="0.3">
      <c r="A2859" s="89" t="s">
        <v>3395</v>
      </c>
      <c r="B2859" s="86" t="s">
        <v>701</v>
      </c>
      <c r="C2859" s="86" t="s">
        <v>47</v>
      </c>
      <c r="D2859" s="86" t="s">
        <v>63</v>
      </c>
      <c r="E2859" s="86" t="s">
        <v>2409</v>
      </c>
      <c r="F2859" s="86" t="s">
        <v>2776</v>
      </c>
      <c r="G2859" s="86" t="s">
        <v>2409</v>
      </c>
      <c r="H2859" s="144">
        <v>83</v>
      </c>
      <c r="I2859" s="86" t="s">
        <v>78</v>
      </c>
      <c r="J2859" s="1" t="s">
        <v>3303</v>
      </c>
      <c r="K2859" s="1" t="s">
        <v>3276</v>
      </c>
      <c r="L2859" s="1" t="s">
        <v>701</v>
      </c>
      <c r="M2859" s="86" t="s">
        <v>2778</v>
      </c>
      <c r="N2859" s="86"/>
      <c r="O2859" s="47" t="s">
        <v>410</v>
      </c>
      <c r="P2859" s="47" t="s">
        <v>46</v>
      </c>
      <c r="Q2859" s="14">
        <v>7.0000000000000007E-2</v>
      </c>
      <c r="R2859" s="143">
        <v>7583</v>
      </c>
      <c r="S2859" s="47"/>
      <c r="T2859" s="6">
        <v>165683.63</v>
      </c>
      <c r="U2859" s="6">
        <v>642000</v>
      </c>
      <c r="V2859" s="6">
        <v>601495.56999999995</v>
      </c>
      <c r="W2859" s="6">
        <f t="shared" si="452"/>
        <v>206188.06000000006</v>
      </c>
      <c r="X2859" s="6">
        <f t="shared" si="453"/>
        <v>562145.3925233644</v>
      </c>
      <c r="Y2859" s="13">
        <f t="shared" si="447"/>
        <v>0</v>
      </c>
      <c r="Z2859" s="14">
        <v>0</v>
      </c>
      <c r="AA2859" s="6">
        <v>0</v>
      </c>
      <c r="AB2859" s="4">
        <f t="shared" si="448"/>
        <v>562145.3925233644</v>
      </c>
      <c r="AC2859" s="4">
        <f t="shared" si="450"/>
        <v>39350.177476635552</v>
      </c>
      <c r="AD2859" s="6">
        <f t="shared" si="454"/>
        <v>601495.56999999995</v>
      </c>
      <c r="AE2859" s="2">
        <f>VLOOKUP(I2859,[1]媒体政策预估表!A:N,MATCH(O2859,[1]媒体政策预估表!$A$2:$M$2,0),0)</f>
        <v>0.17</v>
      </c>
      <c r="AF2859" s="6">
        <f t="shared" si="451"/>
        <v>102254.2469</v>
      </c>
      <c r="AG2859" s="14">
        <v>0</v>
      </c>
      <c r="AH2859" s="64">
        <f t="shared" si="455"/>
        <v>601495.56999999995</v>
      </c>
      <c r="AI2859" s="47"/>
      <c r="AJ2859" s="126" t="e">
        <v>#N/A</v>
      </c>
      <c r="AK2859" s="80">
        <f t="shared" si="449"/>
        <v>0</v>
      </c>
      <c r="AM2859" s="85"/>
    </row>
    <row r="2860" spans="1:39" hidden="1" x14ac:dyDescent="0.3">
      <c r="A2860" s="89" t="s">
        <v>3395</v>
      </c>
      <c r="B2860" s="86" t="s">
        <v>701</v>
      </c>
      <c r="C2860" s="86" t="s">
        <v>47</v>
      </c>
      <c r="D2860" s="86" t="s">
        <v>63</v>
      </c>
      <c r="E2860" s="86" t="s">
        <v>2409</v>
      </c>
      <c r="F2860" s="86" t="s">
        <v>2776</v>
      </c>
      <c r="G2860" s="86" t="s">
        <v>2409</v>
      </c>
      <c r="H2860" s="144">
        <v>83</v>
      </c>
      <c r="I2860" s="86" t="s">
        <v>78</v>
      </c>
      <c r="J2860" s="1" t="s">
        <v>3303</v>
      </c>
      <c r="K2860" s="1" t="s">
        <v>3276</v>
      </c>
      <c r="L2860" s="1" t="s">
        <v>701</v>
      </c>
      <c r="M2860" s="86" t="s">
        <v>2779</v>
      </c>
      <c r="N2860" s="86"/>
      <c r="O2860" s="47" t="s">
        <v>410</v>
      </c>
      <c r="P2860" s="47" t="s">
        <v>46</v>
      </c>
      <c r="Q2860" s="14">
        <v>7.0000000000000007E-2</v>
      </c>
      <c r="R2860" s="143">
        <v>7584</v>
      </c>
      <c r="S2860" s="47"/>
      <c r="T2860" s="6">
        <v>64366.430000000022</v>
      </c>
      <c r="U2860" s="6">
        <v>321000</v>
      </c>
      <c r="V2860" s="6">
        <v>277856.36</v>
      </c>
      <c r="W2860" s="6">
        <f t="shared" si="452"/>
        <v>107510.07000000007</v>
      </c>
      <c r="X2860" s="6">
        <f t="shared" si="453"/>
        <v>259678.84112149529</v>
      </c>
      <c r="Y2860" s="13">
        <f t="shared" si="447"/>
        <v>0</v>
      </c>
      <c r="Z2860" s="14">
        <v>0</v>
      </c>
      <c r="AA2860" s="6">
        <v>0</v>
      </c>
      <c r="AB2860" s="4">
        <f t="shared" si="448"/>
        <v>259678.84112149529</v>
      </c>
      <c r="AC2860" s="4">
        <f t="shared" si="450"/>
        <v>18177.518878504692</v>
      </c>
      <c r="AD2860" s="6">
        <f t="shared" si="454"/>
        <v>277856.36</v>
      </c>
      <c r="AE2860" s="2">
        <f>VLOOKUP(I2860,[1]媒体政策预估表!A:N,MATCH(O2860,[1]媒体政策预估表!$A$2:$M$2,0),0)</f>
        <v>0.17</v>
      </c>
      <c r="AF2860" s="6">
        <f t="shared" si="451"/>
        <v>47235.581200000001</v>
      </c>
      <c r="AG2860" s="14">
        <v>0</v>
      </c>
      <c r="AH2860" s="64">
        <f t="shared" si="455"/>
        <v>277856.36</v>
      </c>
      <c r="AI2860" s="47"/>
      <c r="AJ2860" s="126" t="e">
        <v>#N/A</v>
      </c>
      <c r="AK2860" s="80">
        <f t="shared" si="449"/>
        <v>0</v>
      </c>
      <c r="AM2860" s="85"/>
    </row>
    <row r="2861" spans="1:39" hidden="1" x14ac:dyDescent="0.3">
      <c r="A2861" s="89" t="s">
        <v>3395</v>
      </c>
      <c r="B2861" s="86" t="s">
        <v>701</v>
      </c>
      <c r="C2861" s="86" t="s">
        <v>47</v>
      </c>
      <c r="D2861" s="86" t="s">
        <v>63</v>
      </c>
      <c r="E2861" s="86" t="s">
        <v>2409</v>
      </c>
      <c r="F2861" s="86" t="s">
        <v>2776</v>
      </c>
      <c r="G2861" s="86" t="s">
        <v>2409</v>
      </c>
      <c r="H2861" s="144">
        <v>83</v>
      </c>
      <c r="I2861" s="86" t="s">
        <v>78</v>
      </c>
      <c r="J2861" s="1" t="s">
        <v>3303</v>
      </c>
      <c r="K2861" s="1" t="s">
        <v>3276</v>
      </c>
      <c r="L2861" s="1" t="s">
        <v>701</v>
      </c>
      <c r="M2861" s="86" t="s">
        <v>2780</v>
      </c>
      <c r="N2861" s="86"/>
      <c r="O2861" s="47" t="s">
        <v>410</v>
      </c>
      <c r="P2861" s="47" t="s">
        <v>46</v>
      </c>
      <c r="Q2861" s="14">
        <v>7.0000000000000007E-2</v>
      </c>
      <c r="R2861" s="143">
        <v>7577</v>
      </c>
      <c r="S2861" s="47"/>
      <c r="T2861" s="6">
        <v>51221.389999999985</v>
      </c>
      <c r="U2861" s="6">
        <v>53500</v>
      </c>
      <c r="V2861" s="6">
        <v>45981.54</v>
      </c>
      <c r="W2861" s="6">
        <f t="shared" si="452"/>
        <v>58739.849999999984</v>
      </c>
      <c r="X2861" s="6">
        <f t="shared" si="453"/>
        <v>42973.401869158879</v>
      </c>
      <c r="Y2861" s="13">
        <f t="shared" si="447"/>
        <v>0</v>
      </c>
      <c r="Z2861" s="14">
        <v>0</v>
      </c>
      <c r="AA2861" s="6">
        <v>0</v>
      </c>
      <c r="AB2861" s="4">
        <f t="shared" si="448"/>
        <v>42973.401869158879</v>
      </c>
      <c r="AC2861" s="4">
        <f t="shared" si="450"/>
        <v>3008.1381308411219</v>
      </c>
      <c r="AD2861" s="6">
        <f t="shared" si="454"/>
        <v>45981.54</v>
      </c>
      <c r="AE2861" s="2">
        <f>VLOOKUP(I2861,[1]媒体政策预估表!A:N,MATCH(O2861,[1]媒体政策预估表!$A$2:$M$2,0),0)</f>
        <v>0.17</v>
      </c>
      <c r="AF2861" s="6">
        <f t="shared" si="451"/>
        <v>7816.8618000000006</v>
      </c>
      <c r="AG2861" s="14">
        <v>0</v>
      </c>
      <c r="AH2861" s="64">
        <f t="shared" si="455"/>
        <v>45981.54</v>
      </c>
      <c r="AI2861" s="47"/>
      <c r="AJ2861" s="126" t="e">
        <v>#N/A</v>
      </c>
      <c r="AK2861" s="80">
        <f t="shared" si="449"/>
        <v>0</v>
      </c>
      <c r="AM2861" s="85"/>
    </row>
    <row r="2862" spans="1:39" hidden="1" x14ac:dyDescent="0.3">
      <c r="A2862" s="89" t="s">
        <v>3397</v>
      </c>
      <c r="B2862" s="86" t="s">
        <v>701</v>
      </c>
      <c r="C2862" s="86" t="s">
        <v>47</v>
      </c>
      <c r="D2862" s="86" t="s">
        <v>63</v>
      </c>
      <c r="E2862" s="86" t="s">
        <v>2418</v>
      </c>
      <c r="F2862" s="86" t="s">
        <v>2782</v>
      </c>
      <c r="G2862" s="86" t="s">
        <v>2418</v>
      </c>
      <c r="H2862" s="144">
        <v>83</v>
      </c>
      <c r="I2862" s="86" t="s">
        <v>78</v>
      </c>
      <c r="J2862" s="1" t="s">
        <v>3303</v>
      </c>
      <c r="K2862" s="1" t="s">
        <v>3276</v>
      </c>
      <c r="L2862" s="1" t="s">
        <v>701</v>
      </c>
      <c r="M2862" s="86" t="s">
        <v>2418</v>
      </c>
      <c r="N2862" s="86"/>
      <c r="O2862" s="47" t="s">
        <v>410</v>
      </c>
      <c r="P2862" s="47" t="s">
        <v>46</v>
      </c>
      <c r="Q2862" s="14">
        <v>7.0000000000000007E-2</v>
      </c>
      <c r="R2862" s="143">
        <v>7580</v>
      </c>
      <c r="S2862" s="47"/>
      <c r="T2862" s="6">
        <v>456631.12000000011</v>
      </c>
      <c r="U2862" s="6">
        <v>6420000</v>
      </c>
      <c r="V2862" s="6">
        <v>2928623.6799999997</v>
      </c>
      <c r="W2862" s="6">
        <f t="shared" si="452"/>
        <v>3948007.4400000004</v>
      </c>
      <c r="X2862" s="6">
        <f t="shared" si="453"/>
        <v>2737031.4766355134</v>
      </c>
      <c r="Y2862" s="13">
        <f t="shared" si="447"/>
        <v>0</v>
      </c>
      <c r="Z2862" s="14">
        <v>0</v>
      </c>
      <c r="AA2862" s="6">
        <v>0</v>
      </c>
      <c r="AB2862" s="4">
        <f t="shared" si="448"/>
        <v>2737031.4766355134</v>
      </c>
      <c r="AC2862" s="4">
        <f t="shared" si="450"/>
        <v>191592.20336448634</v>
      </c>
      <c r="AD2862" s="6">
        <f t="shared" si="454"/>
        <v>2928623.6799999997</v>
      </c>
      <c r="AE2862" s="2">
        <f>VLOOKUP(I2862,[1]媒体政策预估表!A:N,MATCH(O2862,[1]媒体政策预估表!$A$2:$M$2,0),0)</f>
        <v>0.17</v>
      </c>
      <c r="AF2862" s="6">
        <f t="shared" si="451"/>
        <v>497866.02559999999</v>
      </c>
      <c r="AG2862" s="14">
        <v>0</v>
      </c>
      <c r="AH2862" s="64">
        <f t="shared" si="455"/>
        <v>2928623.6799999997</v>
      </c>
      <c r="AI2862" s="47"/>
      <c r="AJ2862" s="126" t="e">
        <v>#N/A</v>
      </c>
      <c r="AK2862" s="80">
        <f t="shared" si="449"/>
        <v>0</v>
      </c>
      <c r="AM2862" s="85"/>
    </row>
    <row r="2863" spans="1:39" hidden="1" x14ac:dyDescent="0.3">
      <c r="A2863" s="89" t="s">
        <v>3395</v>
      </c>
      <c r="B2863" s="86" t="s">
        <v>701</v>
      </c>
      <c r="C2863" s="86" t="s">
        <v>47</v>
      </c>
      <c r="D2863" s="86" t="s">
        <v>63</v>
      </c>
      <c r="E2863" s="86" t="s">
        <v>2418</v>
      </c>
      <c r="F2863" s="86" t="s">
        <v>2782</v>
      </c>
      <c r="G2863" s="86" t="s">
        <v>2418</v>
      </c>
      <c r="H2863" s="144">
        <v>83</v>
      </c>
      <c r="I2863" s="86" t="s">
        <v>78</v>
      </c>
      <c r="J2863" s="1" t="s">
        <v>3303</v>
      </c>
      <c r="K2863" s="1" t="s">
        <v>3276</v>
      </c>
      <c r="L2863" s="1" t="s">
        <v>701</v>
      </c>
      <c r="M2863" s="86" t="s">
        <v>2783</v>
      </c>
      <c r="N2863" s="86"/>
      <c r="O2863" s="47" t="s">
        <v>410</v>
      </c>
      <c r="P2863" s="47" t="s">
        <v>46</v>
      </c>
      <c r="Q2863" s="14">
        <v>7.0000000000000007E-2</v>
      </c>
      <c r="R2863" s="143">
        <v>7581</v>
      </c>
      <c r="S2863" s="47"/>
      <c r="T2863" s="6">
        <v>65978.459999999963</v>
      </c>
      <c r="U2863" s="6">
        <v>695500</v>
      </c>
      <c r="V2863" s="6">
        <v>383279.82000000007</v>
      </c>
      <c r="W2863" s="6">
        <f t="shared" si="452"/>
        <v>378198.6399999999</v>
      </c>
      <c r="X2863" s="6">
        <f t="shared" si="453"/>
        <v>358205.43925233651</v>
      </c>
      <c r="Y2863" s="13">
        <f t="shared" si="447"/>
        <v>0</v>
      </c>
      <c r="Z2863" s="14">
        <v>0</v>
      </c>
      <c r="AA2863" s="6">
        <v>0</v>
      </c>
      <c r="AB2863" s="4">
        <f t="shared" si="448"/>
        <v>358205.43925233651</v>
      </c>
      <c r="AC2863" s="4">
        <f t="shared" si="450"/>
        <v>25074.380747663556</v>
      </c>
      <c r="AD2863" s="6">
        <f t="shared" si="454"/>
        <v>383279.82000000007</v>
      </c>
      <c r="AE2863" s="2">
        <f>VLOOKUP(I2863,[1]媒体政策预估表!A:N,MATCH(O2863,[1]媒体政策预估表!$A$2:$M$2,0),0)</f>
        <v>0.17</v>
      </c>
      <c r="AF2863" s="6">
        <f t="shared" si="451"/>
        <v>65157.569400000015</v>
      </c>
      <c r="AG2863" s="14">
        <v>0</v>
      </c>
      <c r="AH2863" s="64">
        <f t="shared" si="455"/>
        <v>383279.82000000007</v>
      </c>
      <c r="AI2863" s="47"/>
      <c r="AJ2863" s="126" t="e">
        <v>#N/A</v>
      </c>
      <c r="AK2863" s="80">
        <f t="shared" si="449"/>
        <v>0</v>
      </c>
      <c r="AM2863" s="85"/>
    </row>
    <row r="2864" spans="1:39" hidden="1" x14ac:dyDescent="0.3">
      <c r="A2864" s="89" t="s">
        <v>3395</v>
      </c>
      <c r="B2864" s="86" t="s">
        <v>701</v>
      </c>
      <c r="C2864" s="86" t="s">
        <v>47</v>
      </c>
      <c r="D2864" s="86" t="s">
        <v>63</v>
      </c>
      <c r="E2864" s="86" t="s">
        <v>2418</v>
      </c>
      <c r="F2864" s="86" t="s">
        <v>2782</v>
      </c>
      <c r="G2864" s="86" t="s">
        <v>2418</v>
      </c>
      <c r="H2864" s="144">
        <v>83</v>
      </c>
      <c r="I2864" s="86" t="s">
        <v>78</v>
      </c>
      <c r="J2864" s="1" t="s">
        <v>3303</v>
      </c>
      <c r="K2864" s="1" t="s">
        <v>3276</v>
      </c>
      <c r="L2864" s="1" t="s">
        <v>701</v>
      </c>
      <c r="M2864" s="86" t="s">
        <v>2784</v>
      </c>
      <c r="N2864" s="86"/>
      <c r="O2864" s="47" t="s">
        <v>410</v>
      </c>
      <c r="P2864" s="47" t="s">
        <v>46</v>
      </c>
      <c r="Q2864" s="14">
        <v>7.0000000000000007E-2</v>
      </c>
      <c r="R2864" s="143">
        <v>7578</v>
      </c>
      <c r="S2864" s="47"/>
      <c r="T2864" s="6">
        <v>266205.80000000005</v>
      </c>
      <c r="U2864" s="6">
        <v>1284000</v>
      </c>
      <c r="V2864" s="6">
        <v>600480.91</v>
      </c>
      <c r="W2864" s="6">
        <f t="shared" si="452"/>
        <v>949724.89</v>
      </c>
      <c r="X2864" s="6">
        <f t="shared" si="453"/>
        <v>561197.11214953265</v>
      </c>
      <c r="Y2864" s="13">
        <f t="shared" si="447"/>
        <v>0</v>
      </c>
      <c r="Z2864" s="14">
        <v>0</v>
      </c>
      <c r="AA2864" s="6">
        <v>0</v>
      </c>
      <c r="AB2864" s="4">
        <f t="shared" si="448"/>
        <v>561197.11214953265</v>
      </c>
      <c r="AC2864" s="4">
        <f t="shared" si="450"/>
        <v>39283.797850467381</v>
      </c>
      <c r="AD2864" s="6">
        <f t="shared" si="454"/>
        <v>600480.91</v>
      </c>
      <c r="AE2864" s="2">
        <f>VLOOKUP(I2864,[1]媒体政策预估表!A:N,MATCH(O2864,[1]媒体政策预估表!$A$2:$M$2,0),0)</f>
        <v>0.17</v>
      </c>
      <c r="AF2864" s="6">
        <f t="shared" si="451"/>
        <v>102081.75470000002</v>
      </c>
      <c r="AG2864" s="14">
        <v>0</v>
      </c>
      <c r="AH2864" s="64">
        <f t="shared" si="455"/>
        <v>600480.91</v>
      </c>
      <c r="AI2864" s="47"/>
      <c r="AJ2864" s="126" t="e">
        <v>#N/A</v>
      </c>
      <c r="AK2864" s="80">
        <f t="shared" si="449"/>
        <v>0</v>
      </c>
      <c r="AM2864" s="85"/>
    </row>
    <row r="2865" spans="1:39" hidden="1" x14ac:dyDescent="0.3">
      <c r="A2865" s="89" t="s">
        <v>3395</v>
      </c>
      <c r="B2865" s="86" t="s">
        <v>701</v>
      </c>
      <c r="C2865" s="86" t="s">
        <v>47</v>
      </c>
      <c r="D2865" s="86" t="s">
        <v>48</v>
      </c>
      <c r="E2865" s="86" t="s">
        <v>2482</v>
      </c>
      <c r="F2865" s="86" t="s">
        <v>2483</v>
      </c>
      <c r="G2865" s="86" t="s">
        <v>2482</v>
      </c>
      <c r="H2865" s="144">
        <v>83</v>
      </c>
      <c r="I2865" s="86" t="s">
        <v>78</v>
      </c>
      <c r="J2865" s="1" t="s">
        <v>3303</v>
      </c>
      <c r="K2865" s="1" t="s">
        <v>3276</v>
      </c>
      <c r="L2865" s="1" t="s">
        <v>701</v>
      </c>
      <c r="M2865" s="86" t="s">
        <v>2482</v>
      </c>
      <c r="N2865" s="86"/>
      <c r="O2865" s="47" t="s">
        <v>410</v>
      </c>
      <c r="P2865" s="47" t="s">
        <v>41</v>
      </c>
      <c r="Q2865" s="14">
        <v>0</v>
      </c>
      <c r="R2865" s="143">
        <v>7592</v>
      </c>
      <c r="S2865" s="47"/>
      <c r="T2865" s="6">
        <v>21331.58</v>
      </c>
      <c r="U2865" s="6">
        <v>30000</v>
      </c>
      <c r="V2865" s="6">
        <v>16127.17</v>
      </c>
      <c r="W2865" s="6">
        <f t="shared" si="452"/>
        <v>35204.410000000003</v>
      </c>
      <c r="X2865" s="6">
        <f t="shared" si="453"/>
        <v>16127.17</v>
      </c>
      <c r="Y2865" s="13">
        <f t="shared" si="447"/>
        <v>0</v>
      </c>
      <c r="Z2865" s="14">
        <v>0</v>
      </c>
      <c r="AA2865" s="6">
        <v>0</v>
      </c>
      <c r="AB2865" s="4">
        <f t="shared" si="448"/>
        <v>16127.17</v>
      </c>
      <c r="AC2865" s="4">
        <f t="shared" si="450"/>
        <v>0</v>
      </c>
      <c r="AD2865" s="6">
        <f t="shared" si="454"/>
        <v>16127.17</v>
      </c>
      <c r="AE2865" s="2">
        <f>VLOOKUP(I2865,[1]媒体政策预估表!A:N,MATCH(O2865,[1]媒体政策预估表!$A$2:$M$2,0),0)</f>
        <v>0.17</v>
      </c>
      <c r="AF2865" s="6">
        <f t="shared" si="451"/>
        <v>2741.6189000000004</v>
      </c>
      <c r="AG2865" s="14">
        <v>0</v>
      </c>
      <c r="AH2865" s="64">
        <f t="shared" si="455"/>
        <v>16127.17</v>
      </c>
      <c r="AI2865" s="47"/>
      <c r="AJ2865" s="126" t="e">
        <v>#N/A</v>
      </c>
      <c r="AK2865" s="80">
        <f t="shared" si="449"/>
        <v>0</v>
      </c>
      <c r="AM2865" s="85"/>
    </row>
    <row r="2866" spans="1:39" hidden="1" x14ac:dyDescent="0.3">
      <c r="A2866" s="89" t="s">
        <v>3395</v>
      </c>
      <c r="B2866" s="86" t="s">
        <v>701</v>
      </c>
      <c r="C2866" s="86" t="s">
        <v>144</v>
      </c>
      <c r="D2866" s="86" t="s">
        <v>145</v>
      </c>
      <c r="E2866" s="86" t="s">
        <v>149</v>
      </c>
      <c r="F2866" s="86" t="s">
        <v>149</v>
      </c>
      <c r="G2866" s="86" t="s">
        <v>149</v>
      </c>
      <c r="H2866" s="144">
        <v>83</v>
      </c>
      <c r="I2866" s="86" t="s">
        <v>78</v>
      </c>
      <c r="J2866" s="1" t="s">
        <v>3303</v>
      </c>
      <c r="K2866" s="1" t="s">
        <v>3276</v>
      </c>
      <c r="L2866" s="1" t="s">
        <v>701</v>
      </c>
      <c r="M2866" s="86" t="s">
        <v>3405</v>
      </c>
      <c r="N2866" s="86"/>
      <c r="O2866" s="47" t="s">
        <v>410</v>
      </c>
      <c r="P2866" s="47" t="s">
        <v>41</v>
      </c>
      <c r="Q2866" s="14">
        <v>0</v>
      </c>
      <c r="R2866" s="143">
        <v>7657</v>
      </c>
      <c r="S2866" s="47"/>
      <c r="T2866" s="6">
        <v>0</v>
      </c>
      <c r="U2866" s="6">
        <v>30000</v>
      </c>
      <c r="V2866" s="6">
        <v>2870.4</v>
      </c>
      <c r="W2866" s="6">
        <f t="shared" si="452"/>
        <v>27129.599999999999</v>
      </c>
      <c r="X2866" s="6">
        <f t="shared" si="453"/>
        <v>2870.4</v>
      </c>
      <c r="Y2866" s="13">
        <f t="shared" si="447"/>
        <v>0</v>
      </c>
      <c r="Z2866" s="14">
        <v>0</v>
      </c>
      <c r="AA2866" s="6">
        <v>0</v>
      </c>
      <c r="AB2866" s="4">
        <f t="shared" si="448"/>
        <v>2870.4</v>
      </c>
      <c r="AC2866" s="4">
        <f t="shared" si="450"/>
        <v>0</v>
      </c>
      <c r="AD2866" s="6">
        <f t="shared" si="454"/>
        <v>2870.4</v>
      </c>
      <c r="AE2866" s="2">
        <f>VLOOKUP(I2866,[1]媒体政策预估表!A:N,MATCH(O2866,[1]媒体政策预估表!$A$2:$M$2,0),0)</f>
        <v>0.17</v>
      </c>
      <c r="AF2866" s="6">
        <f t="shared" si="451"/>
        <v>487.96800000000007</v>
      </c>
      <c r="AG2866" s="14">
        <v>0</v>
      </c>
      <c r="AH2866" s="64">
        <f t="shared" si="455"/>
        <v>2870.4</v>
      </c>
      <c r="AI2866" s="47"/>
      <c r="AJ2866" s="126" t="e">
        <v>#N/A</v>
      </c>
      <c r="AK2866" s="80">
        <f t="shared" si="449"/>
        <v>0</v>
      </c>
      <c r="AM2866" s="85"/>
    </row>
    <row r="2867" spans="1:39" hidden="1" x14ac:dyDescent="0.3">
      <c r="A2867" s="89" t="s">
        <v>3395</v>
      </c>
      <c r="B2867" s="86" t="s">
        <v>701</v>
      </c>
      <c r="C2867" s="86" t="s">
        <v>144</v>
      </c>
      <c r="D2867" s="86" t="s">
        <v>145</v>
      </c>
      <c r="E2867" s="86" t="s">
        <v>2792</v>
      </c>
      <c r="F2867" s="86" t="s">
        <v>2792</v>
      </c>
      <c r="G2867" s="86" t="s">
        <v>2792</v>
      </c>
      <c r="H2867" s="144">
        <v>83</v>
      </c>
      <c r="I2867" s="86" t="s">
        <v>78</v>
      </c>
      <c r="J2867" s="1" t="s">
        <v>3303</v>
      </c>
      <c r="K2867" s="1" t="s">
        <v>3276</v>
      </c>
      <c r="L2867" s="1" t="s">
        <v>701</v>
      </c>
      <c r="M2867" s="86" t="s">
        <v>2792</v>
      </c>
      <c r="N2867" s="86"/>
      <c r="O2867" s="47" t="s">
        <v>410</v>
      </c>
      <c r="P2867" s="47" t="s">
        <v>46</v>
      </c>
      <c r="Q2867" s="14">
        <v>0.03</v>
      </c>
      <c r="R2867" s="143">
        <v>116</v>
      </c>
      <c r="S2867" s="47"/>
      <c r="T2867" s="6">
        <v>150771.60010000004</v>
      </c>
      <c r="U2867" s="6">
        <v>82400</v>
      </c>
      <c r="V2867" s="6">
        <v>63950</v>
      </c>
      <c r="W2867" s="6">
        <f t="shared" si="452"/>
        <v>169221.60010000004</v>
      </c>
      <c r="X2867" s="6">
        <f t="shared" si="453"/>
        <v>62087.378640776697</v>
      </c>
      <c r="Y2867" s="13">
        <f t="shared" si="447"/>
        <v>0</v>
      </c>
      <c r="Z2867" s="14">
        <v>0</v>
      </c>
      <c r="AA2867" s="6">
        <v>0</v>
      </c>
      <c r="AB2867" s="4">
        <f t="shared" si="448"/>
        <v>62087.378640776697</v>
      </c>
      <c r="AC2867" s="4">
        <f t="shared" si="450"/>
        <v>1862.6213592233034</v>
      </c>
      <c r="AD2867" s="6">
        <f t="shared" si="454"/>
        <v>63950</v>
      </c>
      <c r="AE2867" s="2">
        <f>VLOOKUP(I2867,[1]媒体政策预估表!A:N,MATCH(O2867,[1]媒体政策预估表!$A$2:$M$2,0),0)</f>
        <v>0.17</v>
      </c>
      <c r="AF2867" s="6">
        <f t="shared" si="451"/>
        <v>10871.5</v>
      </c>
      <c r="AG2867" s="14">
        <v>0</v>
      </c>
      <c r="AH2867" s="64">
        <f t="shared" si="455"/>
        <v>63950</v>
      </c>
      <c r="AI2867" s="47"/>
      <c r="AJ2867" s="126" t="e">
        <v>#N/A</v>
      </c>
      <c r="AK2867" s="80">
        <f t="shared" si="449"/>
        <v>0</v>
      </c>
      <c r="AM2867" s="85"/>
    </row>
    <row r="2868" spans="1:39" hidden="1" x14ac:dyDescent="0.3">
      <c r="A2868" s="89" t="s">
        <v>3395</v>
      </c>
      <c r="B2868" s="86" t="s">
        <v>701</v>
      </c>
      <c r="C2868" s="86" t="s">
        <v>144</v>
      </c>
      <c r="D2868" s="86" t="s">
        <v>145</v>
      </c>
      <c r="E2868" s="86" t="s">
        <v>2792</v>
      </c>
      <c r="F2868" s="86" t="s">
        <v>2793</v>
      </c>
      <c r="G2868" s="86" t="s">
        <v>2792</v>
      </c>
      <c r="H2868" s="144">
        <v>83</v>
      </c>
      <c r="I2868" s="86" t="s">
        <v>78</v>
      </c>
      <c r="J2868" s="1" t="s">
        <v>3303</v>
      </c>
      <c r="K2868" s="1" t="s">
        <v>3276</v>
      </c>
      <c r="L2868" s="1" t="s">
        <v>701</v>
      </c>
      <c r="M2868" s="86" t="s">
        <v>2792</v>
      </c>
      <c r="N2868" s="86"/>
      <c r="O2868" s="47" t="s">
        <v>410</v>
      </c>
      <c r="P2868" s="47" t="s">
        <v>46</v>
      </c>
      <c r="Q2868" s="14">
        <v>0.06</v>
      </c>
      <c r="R2868" s="143">
        <v>116</v>
      </c>
      <c r="S2868" s="47"/>
      <c r="T2868" s="6">
        <v>7557.8000000000029</v>
      </c>
      <c r="U2868" s="6">
        <v>30000</v>
      </c>
      <c r="V2868" s="6">
        <v>39273</v>
      </c>
      <c r="W2868" s="6">
        <f t="shared" si="452"/>
        <v>-1715.1999999999971</v>
      </c>
      <c r="X2868" s="6">
        <f t="shared" si="453"/>
        <v>37050</v>
      </c>
      <c r="Y2868" s="13">
        <f t="shared" si="447"/>
        <v>0</v>
      </c>
      <c r="Z2868" s="14">
        <v>0</v>
      </c>
      <c r="AA2868" s="6">
        <v>0</v>
      </c>
      <c r="AB2868" s="4">
        <f t="shared" si="448"/>
        <v>37050</v>
      </c>
      <c r="AC2868" s="4">
        <f t="shared" si="450"/>
        <v>2223</v>
      </c>
      <c r="AD2868" s="6">
        <f t="shared" si="454"/>
        <v>39273</v>
      </c>
      <c r="AE2868" s="2">
        <f>VLOOKUP(I2868,[1]媒体政策预估表!A:N,MATCH(O2868,[1]媒体政策预估表!$A$2:$M$2,0),0)</f>
        <v>0.17</v>
      </c>
      <c r="AF2868" s="6">
        <f t="shared" si="451"/>
        <v>6676.4100000000008</v>
      </c>
      <c r="AG2868" s="14">
        <v>0</v>
      </c>
      <c r="AH2868" s="64">
        <f t="shared" si="455"/>
        <v>39273</v>
      </c>
      <c r="AI2868" s="47"/>
      <c r="AJ2868" s="126" t="e">
        <v>#N/A</v>
      </c>
      <c r="AK2868" s="80">
        <f t="shared" si="449"/>
        <v>0</v>
      </c>
      <c r="AM2868" s="85"/>
    </row>
    <row r="2869" spans="1:39" hidden="1" x14ac:dyDescent="0.3">
      <c r="A2869" s="89" t="s">
        <v>3395</v>
      </c>
      <c r="B2869" s="86" t="s">
        <v>701</v>
      </c>
      <c r="C2869" s="86" t="s">
        <v>144</v>
      </c>
      <c r="D2869" s="86" t="s">
        <v>145</v>
      </c>
      <c r="E2869" s="86" t="s">
        <v>2787</v>
      </c>
      <c r="F2869" s="86" t="s">
        <v>2787</v>
      </c>
      <c r="G2869" s="86" t="s">
        <v>2787</v>
      </c>
      <c r="H2869" s="144">
        <v>83</v>
      </c>
      <c r="I2869" s="86" t="s">
        <v>78</v>
      </c>
      <c r="J2869" s="1" t="s">
        <v>3303</v>
      </c>
      <c r="K2869" s="1" t="s">
        <v>3276</v>
      </c>
      <c r="L2869" s="1" t="s">
        <v>701</v>
      </c>
      <c r="M2869" s="86" t="s">
        <v>2788</v>
      </c>
      <c r="N2869" s="86"/>
      <c r="O2869" s="47" t="s">
        <v>410</v>
      </c>
      <c r="P2869" s="47" t="s">
        <v>41</v>
      </c>
      <c r="Q2869" s="14">
        <v>0</v>
      </c>
      <c r="R2869" s="143">
        <v>7102</v>
      </c>
      <c r="S2869" s="47"/>
      <c r="T2869" s="6">
        <v>32827.400000000023</v>
      </c>
      <c r="U2869" s="6">
        <v>200000</v>
      </c>
      <c r="V2869" s="6">
        <v>114326.12999999999</v>
      </c>
      <c r="W2869" s="6">
        <f t="shared" si="452"/>
        <v>118501.27000000003</v>
      </c>
      <c r="X2869" s="6">
        <f t="shared" si="453"/>
        <v>114326.12999999999</v>
      </c>
      <c r="Y2869" s="13">
        <f t="shared" si="447"/>
        <v>0</v>
      </c>
      <c r="Z2869" s="14">
        <v>0</v>
      </c>
      <c r="AA2869" s="6">
        <v>0</v>
      </c>
      <c r="AB2869" s="4">
        <f t="shared" si="448"/>
        <v>114326.12999999999</v>
      </c>
      <c r="AC2869" s="4">
        <f t="shared" si="450"/>
        <v>0</v>
      </c>
      <c r="AD2869" s="6">
        <f t="shared" si="454"/>
        <v>114326.12999999999</v>
      </c>
      <c r="AE2869" s="2">
        <f>VLOOKUP(I2869,[1]媒体政策预估表!A:N,MATCH(O2869,[1]媒体政策预估表!$A$2:$M$2,0),0)</f>
        <v>0.17</v>
      </c>
      <c r="AF2869" s="6">
        <f t="shared" si="451"/>
        <v>19435.4421</v>
      </c>
      <c r="AG2869" s="14">
        <v>0</v>
      </c>
      <c r="AH2869" s="64">
        <f t="shared" si="455"/>
        <v>114326.12999999999</v>
      </c>
      <c r="AI2869" s="47"/>
      <c r="AJ2869" s="126" t="e">
        <v>#N/A</v>
      </c>
      <c r="AK2869" s="80">
        <f t="shared" si="449"/>
        <v>0</v>
      </c>
      <c r="AM2869" s="85"/>
    </row>
    <row r="2870" spans="1:39" hidden="1" x14ac:dyDescent="0.3">
      <c r="A2870" s="89" t="s">
        <v>3395</v>
      </c>
      <c r="B2870" s="86" t="s">
        <v>701</v>
      </c>
      <c r="C2870" s="86" t="s">
        <v>144</v>
      </c>
      <c r="D2870" s="86" t="s">
        <v>152</v>
      </c>
      <c r="E2870" s="86" t="s">
        <v>2875</v>
      </c>
      <c r="F2870" s="86" t="s">
        <v>2875</v>
      </c>
      <c r="G2870" s="86" t="s">
        <v>2875</v>
      </c>
      <c r="H2870" s="143">
        <v>83</v>
      </c>
      <c r="I2870" s="86" t="s">
        <v>78</v>
      </c>
      <c r="J2870" s="1" t="s">
        <v>3303</v>
      </c>
      <c r="K2870" s="1" t="s">
        <v>3276</v>
      </c>
      <c r="L2870" s="1" t="s">
        <v>701</v>
      </c>
      <c r="M2870" s="86" t="s">
        <v>2876</v>
      </c>
      <c r="N2870" s="86"/>
      <c r="O2870" s="47" t="s">
        <v>410</v>
      </c>
      <c r="P2870" s="47" t="s">
        <v>41</v>
      </c>
      <c r="Q2870" s="14">
        <v>0</v>
      </c>
      <c r="R2870" s="143">
        <v>7506</v>
      </c>
      <c r="S2870" s="47"/>
      <c r="T2870" s="6">
        <v>6436.0500000000011</v>
      </c>
      <c r="U2870" s="6">
        <v>20000</v>
      </c>
      <c r="V2870" s="6">
        <v>17612.7</v>
      </c>
      <c r="W2870" s="6">
        <f t="shared" si="452"/>
        <v>8823.3500000000022</v>
      </c>
      <c r="X2870" s="6">
        <f t="shared" si="453"/>
        <v>17612.7</v>
      </c>
      <c r="Y2870" s="13">
        <f t="shared" si="447"/>
        <v>0</v>
      </c>
      <c r="Z2870" s="14">
        <v>0</v>
      </c>
      <c r="AA2870" s="6">
        <v>0</v>
      </c>
      <c r="AB2870" s="4"/>
      <c r="AC2870" s="4">
        <f t="shared" si="450"/>
        <v>0</v>
      </c>
      <c r="AD2870" s="6">
        <f t="shared" si="454"/>
        <v>17612.7</v>
      </c>
      <c r="AE2870" s="2">
        <f>VLOOKUP(I2870,[1]媒体政策预估表!A:N,MATCH(O2870,[1]媒体政策预估表!$A$2:$M$2,0),0)</f>
        <v>0.17</v>
      </c>
      <c r="AF2870" s="6">
        <f t="shared" si="451"/>
        <v>2994.1590000000006</v>
      </c>
      <c r="AG2870" s="14">
        <v>0</v>
      </c>
      <c r="AH2870" s="64">
        <f t="shared" si="455"/>
        <v>17612.7</v>
      </c>
      <c r="AI2870" s="47"/>
      <c r="AJ2870" s="126">
        <v>107</v>
      </c>
      <c r="AK2870" s="80">
        <f t="shared" si="449"/>
        <v>17612.7</v>
      </c>
      <c r="AM2870" s="85"/>
    </row>
    <row r="2871" spans="1:39" hidden="1" x14ac:dyDescent="0.3">
      <c r="A2871" s="89" t="s">
        <v>3395</v>
      </c>
      <c r="B2871" s="86" t="s">
        <v>701</v>
      </c>
      <c r="C2871" s="86" t="s">
        <v>144</v>
      </c>
      <c r="D2871" s="86" t="s">
        <v>152</v>
      </c>
      <c r="E2871" s="86" t="s">
        <v>2795</v>
      </c>
      <c r="F2871" s="86" t="s">
        <v>2795</v>
      </c>
      <c r="G2871" s="86" t="s">
        <v>2795</v>
      </c>
      <c r="H2871" s="143">
        <v>83</v>
      </c>
      <c r="I2871" s="86" t="s">
        <v>78</v>
      </c>
      <c r="J2871" s="1" t="s">
        <v>3303</v>
      </c>
      <c r="K2871" s="1" t="s">
        <v>3276</v>
      </c>
      <c r="L2871" s="1" t="s">
        <v>701</v>
      </c>
      <c r="M2871" s="86" t="s">
        <v>2799</v>
      </c>
      <c r="N2871" s="86"/>
      <c r="O2871" s="47" t="s">
        <v>410</v>
      </c>
      <c r="P2871" s="47" t="s">
        <v>41</v>
      </c>
      <c r="Q2871" s="14">
        <v>0</v>
      </c>
      <c r="R2871" s="143">
        <v>7622</v>
      </c>
      <c r="S2871" s="47"/>
      <c r="T2871" s="6">
        <v>1145.8999999999996</v>
      </c>
      <c r="U2871" s="6">
        <v>10000</v>
      </c>
      <c r="V2871" s="6">
        <v>10475.9</v>
      </c>
      <c r="W2871" s="6">
        <f t="shared" si="452"/>
        <v>670</v>
      </c>
      <c r="X2871" s="6">
        <f t="shared" si="453"/>
        <v>10475.9</v>
      </c>
      <c r="Y2871" s="13">
        <f t="shared" si="447"/>
        <v>0</v>
      </c>
      <c r="Z2871" s="14">
        <v>0</v>
      </c>
      <c r="AA2871" s="6">
        <v>0</v>
      </c>
      <c r="AB2871" s="4"/>
      <c r="AC2871" s="4">
        <f t="shared" si="450"/>
        <v>0</v>
      </c>
      <c r="AD2871" s="6">
        <f t="shared" si="454"/>
        <v>10475.9</v>
      </c>
      <c r="AE2871" s="2">
        <f>VLOOKUP(I2871,[1]媒体政策预估表!A:N,MATCH(O2871,[1]媒体政策预估表!$A$2:$M$2,0),0)</f>
        <v>0.17</v>
      </c>
      <c r="AF2871" s="6">
        <f t="shared" si="451"/>
        <v>1780.903</v>
      </c>
      <c r="AG2871" s="14">
        <v>0</v>
      </c>
      <c r="AH2871" s="64">
        <f t="shared" si="455"/>
        <v>10475.9</v>
      </c>
      <c r="AI2871" s="47"/>
      <c r="AJ2871" s="126">
        <v>93</v>
      </c>
      <c r="AK2871" s="80">
        <f t="shared" si="449"/>
        <v>10475.9</v>
      </c>
      <c r="AM2871" s="85"/>
    </row>
    <row r="2872" spans="1:39" hidden="1" x14ac:dyDescent="0.3">
      <c r="A2872" s="89" t="s">
        <v>3395</v>
      </c>
      <c r="B2872" s="86" t="s">
        <v>701</v>
      </c>
      <c r="C2872" s="86" t="s">
        <v>144</v>
      </c>
      <c r="D2872" s="86" t="s">
        <v>152</v>
      </c>
      <c r="E2872" s="86" t="s">
        <v>2795</v>
      </c>
      <c r="F2872" s="86" t="s">
        <v>2795</v>
      </c>
      <c r="G2872" s="86" t="s">
        <v>2795</v>
      </c>
      <c r="H2872" s="143">
        <v>83</v>
      </c>
      <c r="I2872" s="86" t="s">
        <v>78</v>
      </c>
      <c r="J2872" s="1" t="s">
        <v>3303</v>
      </c>
      <c r="K2872" s="1" t="s">
        <v>3276</v>
      </c>
      <c r="L2872" s="1" t="s">
        <v>701</v>
      </c>
      <c r="M2872" s="86" t="s">
        <v>2801</v>
      </c>
      <c r="N2872" s="86"/>
      <c r="O2872" s="47" t="s">
        <v>410</v>
      </c>
      <c r="P2872" s="47" t="s">
        <v>41</v>
      </c>
      <c r="Q2872" s="14">
        <v>0</v>
      </c>
      <c r="R2872" s="143">
        <v>7511</v>
      </c>
      <c r="S2872" s="47"/>
      <c r="T2872" s="6">
        <v>1755.4000000000008</v>
      </c>
      <c r="U2872" s="6">
        <v>2000</v>
      </c>
      <c r="V2872" s="6">
        <v>2433.1999999999998</v>
      </c>
      <c r="W2872" s="6">
        <f t="shared" si="452"/>
        <v>1322.2000000000007</v>
      </c>
      <c r="X2872" s="6">
        <f t="shared" si="453"/>
        <v>2433.1999999999998</v>
      </c>
      <c r="Y2872" s="13">
        <f t="shared" si="447"/>
        <v>0</v>
      </c>
      <c r="Z2872" s="14">
        <v>0</v>
      </c>
      <c r="AA2872" s="6">
        <v>0</v>
      </c>
      <c r="AB2872" s="4"/>
      <c r="AC2872" s="4">
        <f t="shared" si="450"/>
        <v>0</v>
      </c>
      <c r="AD2872" s="6">
        <f t="shared" si="454"/>
        <v>2433.1999999999998</v>
      </c>
      <c r="AE2872" s="2">
        <f>VLOOKUP(I2872,[1]媒体政策预估表!A:N,MATCH(O2872,[1]媒体政策预估表!$A$2:$M$2,0),0)</f>
        <v>0.17</v>
      </c>
      <c r="AF2872" s="6">
        <f t="shared" si="451"/>
        <v>413.64400000000001</v>
      </c>
      <c r="AG2872" s="14">
        <v>0</v>
      </c>
      <c r="AH2872" s="64">
        <f t="shared" si="455"/>
        <v>2433.1999999999998</v>
      </c>
      <c r="AI2872" s="47"/>
      <c r="AJ2872" s="126">
        <v>93</v>
      </c>
      <c r="AK2872" s="80">
        <f t="shared" si="449"/>
        <v>2433.1999999999998</v>
      </c>
      <c r="AM2872" s="85"/>
    </row>
    <row r="2873" spans="1:39" hidden="1" x14ac:dyDescent="0.3">
      <c r="A2873" s="89" t="s">
        <v>3395</v>
      </c>
      <c r="B2873" s="86" t="s">
        <v>701</v>
      </c>
      <c r="C2873" s="86" t="s">
        <v>144</v>
      </c>
      <c r="D2873" s="86" t="s">
        <v>161</v>
      </c>
      <c r="E2873" s="86" t="s">
        <v>1903</v>
      </c>
      <c r="F2873" s="86" t="s">
        <v>1903</v>
      </c>
      <c r="G2873" s="86" t="s">
        <v>1903</v>
      </c>
      <c r="H2873" s="144">
        <v>83</v>
      </c>
      <c r="I2873" s="86" t="s">
        <v>78</v>
      </c>
      <c r="J2873" s="1" t="s">
        <v>3303</v>
      </c>
      <c r="K2873" s="1" t="s">
        <v>3276</v>
      </c>
      <c r="L2873" s="1" t="s">
        <v>701</v>
      </c>
      <c r="M2873" s="86" t="s">
        <v>2148</v>
      </c>
      <c r="N2873" s="86"/>
      <c r="O2873" s="47" t="s">
        <v>410</v>
      </c>
      <c r="P2873" s="47" t="s">
        <v>46</v>
      </c>
      <c r="Q2873" s="14">
        <v>0.02</v>
      </c>
      <c r="R2873" s="143">
        <v>7096</v>
      </c>
      <c r="S2873" s="47"/>
      <c r="T2873" s="6">
        <v>1577.010000000002</v>
      </c>
      <c r="U2873" s="6">
        <v>20400</v>
      </c>
      <c r="V2873" s="6">
        <v>8668.3799999999992</v>
      </c>
      <c r="W2873" s="6">
        <f t="shared" si="452"/>
        <v>13308.630000000003</v>
      </c>
      <c r="X2873" s="6">
        <f t="shared" si="453"/>
        <v>8498.4117647058811</v>
      </c>
      <c r="Y2873" s="13">
        <f t="shared" si="447"/>
        <v>0</v>
      </c>
      <c r="Z2873" s="14">
        <v>0</v>
      </c>
      <c r="AA2873" s="6">
        <v>0</v>
      </c>
      <c r="AB2873" s="4">
        <f t="shared" si="448"/>
        <v>8498.4117647058811</v>
      </c>
      <c r="AC2873" s="4">
        <f t="shared" si="450"/>
        <v>169.96823529411813</v>
      </c>
      <c r="AD2873" s="6">
        <f t="shared" si="454"/>
        <v>8668.3799999999992</v>
      </c>
      <c r="AE2873" s="2">
        <f>VLOOKUP(I2873,[1]媒体政策预估表!A:N,MATCH(O2873,[1]媒体政策预估表!$A$2:$M$2,0),0)</f>
        <v>0.17</v>
      </c>
      <c r="AF2873" s="6">
        <f t="shared" si="451"/>
        <v>1473.6245999999999</v>
      </c>
      <c r="AG2873" s="14">
        <v>0</v>
      </c>
      <c r="AH2873" s="64">
        <f t="shared" si="455"/>
        <v>8668.3799999999992</v>
      </c>
      <c r="AI2873" s="47"/>
      <c r="AJ2873" s="126" t="e">
        <v>#N/A</v>
      </c>
      <c r="AK2873" s="80">
        <f t="shared" si="449"/>
        <v>0</v>
      </c>
      <c r="AM2873" s="85"/>
    </row>
    <row r="2874" spans="1:39" hidden="1" x14ac:dyDescent="0.3">
      <c r="A2874" s="89" t="s">
        <v>3395</v>
      </c>
      <c r="B2874" s="86" t="s">
        <v>701</v>
      </c>
      <c r="C2874" s="86" t="s">
        <v>144</v>
      </c>
      <c r="D2874" s="86" t="s">
        <v>161</v>
      </c>
      <c r="E2874" s="86" t="s">
        <v>3406</v>
      </c>
      <c r="F2874" s="86" t="s">
        <v>3406</v>
      </c>
      <c r="G2874" s="86" t="s">
        <v>3406</v>
      </c>
      <c r="H2874" s="144">
        <v>83</v>
      </c>
      <c r="I2874" s="86" t="s">
        <v>78</v>
      </c>
      <c r="J2874" s="1" t="s">
        <v>3303</v>
      </c>
      <c r="K2874" s="1" t="s">
        <v>3276</v>
      </c>
      <c r="L2874" s="1" t="s">
        <v>701</v>
      </c>
      <c r="M2874" s="86" t="s">
        <v>3406</v>
      </c>
      <c r="N2874" s="86"/>
      <c r="O2874" s="47" t="s">
        <v>410</v>
      </c>
      <c r="P2874" s="47" t="s">
        <v>41</v>
      </c>
      <c r="Q2874" s="14">
        <v>0</v>
      </c>
      <c r="R2874" s="143">
        <v>7661</v>
      </c>
      <c r="S2874" s="47"/>
      <c r="T2874" s="6">
        <v>0</v>
      </c>
      <c r="U2874" s="6">
        <v>10000</v>
      </c>
      <c r="V2874" s="6">
        <v>1391.9</v>
      </c>
      <c r="W2874" s="6">
        <f t="shared" si="452"/>
        <v>8608.1</v>
      </c>
      <c r="X2874" s="6">
        <f t="shared" si="453"/>
        <v>1391.9</v>
      </c>
      <c r="Y2874" s="13">
        <f t="shared" si="447"/>
        <v>0</v>
      </c>
      <c r="Z2874" s="14">
        <v>0</v>
      </c>
      <c r="AA2874" s="6">
        <v>0</v>
      </c>
      <c r="AB2874" s="4">
        <f t="shared" si="448"/>
        <v>1391.9</v>
      </c>
      <c r="AC2874" s="4">
        <f t="shared" si="450"/>
        <v>0</v>
      </c>
      <c r="AD2874" s="6">
        <f t="shared" si="454"/>
        <v>1391.9</v>
      </c>
      <c r="AE2874" s="2">
        <f>VLOOKUP(I2874,[1]媒体政策预估表!A:N,MATCH(O2874,[1]媒体政策预估表!$A$2:$M$2,0),0)</f>
        <v>0.17</v>
      </c>
      <c r="AF2874" s="6">
        <f t="shared" si="451"/>
        <v>236.62300000000002</v>
      </c>
      <c r="AG2874" s="14">
        <v>0</v>
      </c>
      <c r="AH2874" s="64">
        <f t="shared" si="455"/>
        <v>1391.9</v>
      </c>
      <c r="AI2874" s="47"/>
      <c r="AJ2874" s="126" t="e">
        <v>#N/A</v>
      </c>
      <c r="AK2874" s="80">
        <f t="shared" si="449"/>
        <v>0</v>
      </c>
      <c r="AM2874" s="85"/>
    </row>
    <row r="2875" spans="1:39" hidden="1" x14ac:dyDescent="0.3">
      <c r="A2875" s="89" t="s">
        <v>3394</v>
      </c>
      <c r="B2875" s="86" t="s">
        <v>701</v>
      </c>
      <c r="C2875" s="86" t="s">
        <v>164</v>
      </c>
      <c r="D2875" s="86" t="s">
        <v>3407</v>
      </c>
      <c r="E2875" s="86" t="s">
        <v>2805</v>
      </c>
      <c r="F2875" s="86" t="s">
        <v>2805</v>
      </c>
      <c r="G2875" s="86" t="s">
        <v>2805</v>
      </c>
      <c r="H2875" s="144">
        <v>83</v>
      </c>
      <c r="I2875" s="86" t="s">
        <v>78</v>
      </c>
      <c r="J2875" s="1" t="s">
        <v>3303</v>
      </c>
      <c r="K2875" s="1" t="s">
        <v>3276</v>
      </c>
      <c r="L2875" s="1" t="s">
        <v>701</v>
      </c>
      <c r="M2875" s="86" t="s">
        <v>2805</v>
      </c>
      <c r="N2875" s="86"/>
      <c r="O2875" s="47" t="s">
        <v>410</v>
      </c>
      <c r="P2875" s="47" t="s">
        <v>41</v>
      </c>
      <c r="Q2875" s="14">
        <v>0</v>
      </c>
      <c r="R2875" s="143">
        <v>7507</v>
      </c>
      <c r="S2875" s="47"/>
      <c r="T2875" s="6">
        <v>8750.2000000000007</v>
      </c>
      <c r="U2875" s="6">
        <v>20000</v>
      </c>
      <c r="V2875" s="6">
        <v>7954</v>
      </c>
      <c r="W2875" s="6">
        <f t="shared" si="452"/>
        <v>20796.2</v>
      </c>
      <c r="X2875" s="6">
        <f t="shared" si="453"/>
        <v>7954</v>
      </c>
      <c r="Y2875" s="13">
        <f t="shared" si="447"/>
        <v>0</v>
      </c>
      <c r="Z2875" s="14">
        <v>0</v>
      </c>
      <c r="AA2875" s="6">
        <v>0</v>
      </c>
      <c r="AB2875" s="4">
        <f t="shared" si="448"/>
        <v>7954</v>
      </c>
      <c r="AC2875" s="4">
        <f t="shared" si="450"/>
        <v>0</v>
      </c>
      <c r="AD2875" s="6">
        <f t="shared" si="454"/>
        <v>7954</v>
      </c>
      <c r="AE2875" s="2">
        <f>VLOOKUP(I2875,[1]媒体政策预估表!A:N,MATCH(O2875,[1]媒体政策预估表!$A$2:$M$2,0),0)</f>
        <v>0.17</v>
      </c>
      <c r="AF2875" s="6">
        <f t="shared" si="451"/>
        <v>1352.18</v>
      </c>
      <c r="AG2875" s="14">
        <v>0</v>
      </c>
      <c r="AH2875" s="64">
        <f t="shared" si="455"/>
        <v>7954</v>
      </c>
      <c r="AI2875" s="47"/>
      <c r="AJ2875" s="126" t="e">
        <v>#N/A</v>
      </c>
      <c r="AK2875" s="80">
        <f t="shared" si="449"/>
        <v>0</v>
      </c>
      <c r="AM2875" s="85"/>
    </row>
    <row r="2876" spans="1:39" hidden="1" x14ac:dyDescent="0.3">
      <c r="A2876" s="89" t="s">
        <v>3395</v>
      </c>
      <c r="B2876" s="86" t="s">
        <v>701</v>
      </c>
      <c r="C2876" s="86" t="s">
        <v>164</v>
      </c>
      <c r="D2876" s="86" t="s">
        <v>165</v>
      </c>
      <c r="E2876" s="86" t="s">
        <v>2802</v>
      </c>
      <c r="F2876" s="86" t="s">
        <v>2802</v>
      </c>
      <c r="G2876" s="86" t="s">
        <v>2802</v>
      </c>
      <c r="H2876" s="144">
        <v>83</v>
      </c>
      <c r="I2876" s="86" t="s">
        <v>78</v>
      </c>
      <c r="J2876" s="1" t="s">
        <v>3303</v>
      </c>
      <c r="K2876" s="1" t="s">
        <v>3276</v>
      </c>
      <c r="L2876" s="1" t="s">
        <v>701</v>
      </c>
      <c r="M2876" s="86" t="s">
        <v>2802</v>
      </c>
      <c r="N2876" s="86"/>
      <c r="O2876" s="47" t="s">
        <v>410</v>
      </c>
      <c r="P2876" s="47" t="s">
        <v>41</v>
      </c>
      <c r="Q2876" s="14">
        <v>0</v>
      </c>
      <c r="R2876" s="143">
        <v>7183</v>
      </c>
      <c r="S2876" s="47"/>
      <c r="T2876" s="6">
        <v>17540.040000000005</v>
      </c>
      <c r="U2876" s="6">
        <v>10000</v>
      </c>
      <c r="V2876" s="6">
        <v>11113.86</v>
      </c>
      <c r="W2876" s="6">
        <f t="shared" si="452"/>
        <v>16426.180000000004</v>
      </c>
      <c r="X2876" s="6">
        <f t="shared" si="453"/>
        <v>11113.86</v>
      </c>
      <c r="Y2876" s="13">
        <f t="shared" si="447"/>
        <v>0</v>
      </c>
      <c r="Z2876" s="14">
        <v>0</v>
      </c>
      <c r="AA2876" s="6">
        <v>0</v>
      </c>
      <c r="AB2876" s="4">
        <f t="shared" si="448"/>
        <v>11113.86</v>
      </c>
      <c r="AC2876" s="4">
        <f t="shared" si="450"/>
        <v>0</v>
      </c>
      <c r="AD2876" s="6">
        <f t="shared" si="454"/>
        <v>11113.86</v>
      </c>
      <c r="AE2876" s="2">
        <f>VLOOKUP(I2876,[1]媒体政策预估表!A:N,MATCH(O2876,[1]媒体政策预估表!$A$2:$M$2,0),0)</f>
        <v>0.17</v>
      </c>
      <c r="AF2876" s="6">
        <f t="shared" si="451"/>
        <v>1889.3562000000002</v>
      </c>
      <c r="AG2876" s="14">
        <v>0</v>
      </c>
      <c r="AH2876" s="64">
        <f t="shared" si="455"/>
        <v>11113.86</v>
      </c>
      <c r="AI2876" s="47"/>
      <c r="AJ2876" s="126" t="e">
        <v>#N/A</v>
      </c>
      <c r="AK2876" s="80">
        <f t="shared" si="449"/>
        <v>0</v>
      </c>
      <c r="AM2876" s="85"/>
    </row>
    <row r="2877" spans="1:39" hidden="1" x14ac:dyDescent="0.3">
      <c r="A2877" s="89" t="s">
        <v>3395</v>
      </c>
      <c r="B2877" s="86" t="s">
        <v>701</v>
      </c>
      <c r="C2877" s="86" t="s">
        <v>164</v>
      </c>
      <c r="D2877" s="86" t="s">
        <v>165</v>
      </c>
      <c r="E2877" s="86" t="s">
        <v>2803</v>
      </c>
      <c r="F2877" s="86" t="s">
        <v>2804</v>
      </c>
      <c r="G2877" s="86" t="s">
        <v>2803</v>
      </c>
      <c r="H2877" s="144">
        <v>83</v>
      </c>
      <c r="I2877" s="86" t="s">
        <v>78</v>
      </c>
      <c r="J2877" s="1" t="s">
        <v>3303</v>
      </c>
      <c r="K2877" s="1" t="s">
        <v>3276</v>
      </c>
      <c r="L2877" s="1" t="s">
        <v>701</v>
      </c>
      <c r="M2877" s="86" t="s">
        <v>2803</v>
      </c>
      <c r="N2877" s="86"/>
      <c r="O2877" s="47" t="s">
        <v>410</v>
      </c>
      <c r="P2877" s="47" t="s">
        <v>41</v>
      </c>
      <c r="Q2877" s="14">
        <v>0</v>
      </c>
      <c r="R2877" s="143">
        <v>7177</v>
      </c>
      <c r="S2877" s="47"/>
      <c r="T2877" s="6">
        <v>6950.75</v>
      </c>
      <c r="U2877" s="6">
        <v>5000</v>
      </c>
      <c r="V2877" s="6">
        <v>7860.24</v>
      </c>
      <c r="W2877" s="6">
        <f t="shared" si="452"/>
        <v>4090.51</v>
      </c>
      <c r="X2877" s="6">
        <f t="shared" si="453"/>
        <v>7860.24</v>
      </c>
      <c r="Y2877" s="13">
        <f t="shared" si="447"/>
        <v>0</v>
      </c>
      <c r="Z2877" s="14">
        <v>0</v>
      </c>
      <c r="AA2877" s="6">
        <v>0</v>
      </c>
      <c r="AB2877" s="4">
        <f t="shared" si="448"/>
        <v>7860.24</v>
      </c>
      <c r="AC2877" s="4">
        <f t="shared" si="450"/>
        <v>0</v>
      </c>
      <c r="AD2877" s="6">
        <f t="shared" si="454"/>
        <v>7860.24</v>
      </c>
      <c r="AE2877" s="2">
        <f>VLOOKUP(I2877,[1]媒体政策预估表!A:N,MATCH(O2877,[1]媒体政策预估表!$A$2:$M$2,0),0)</f>
        <v>0.17</v>
      </c>
      <c r="AF2877" s="6">
        <f t="shared" si="451"/>
        <v>1336.2408</v>
      </c>
      <c r="AG2877" s="14">
        <v>0</v>
      </c>
      <c r="AH2877" s="64">
        <f t="shared" si="455"/>
        <v>7860.24</v>
      </c>
      <c r="AI2877" s="47"/>
      <c r="AJ2877" s="126" t="e">
        <v>#N/A</v>
      </c>
      <c r="AK2877" s="80">
        <f t="shared" si="449"/>
        <v>0</v>
      </c>
      <c r="AM2877" s="85"/>
    </row>
    <row r="2878" spans="1:39" hidden="1" x14ac:dyDescent="0.3">
      <c r="A2878" s="89" t="s">
        <v>3408</v>
      </c>
      <c r="B2878" s="86" t="s">
        <v>701</v>
      </c>
      <c r="C2878" s="86" t="s">
        <v>164</v>
      </c>
      <c r="D2878" s="86" t="s">
        <v>165</v>
      </c>
      <c r="E2878" s="86" t="s">
        <v>1549</v>
      </c>
      <c r="F2878" s="86" t="s">
        <v>1550</v>
      </c>
      <c r="G2878" s="86" t="s">
        <v>1549</v>
      </c>
      <c r="H2878" s="144">
        <v>83</v>
      </c>
      <c r="I2878" s="86" t="s">
        <v>78</v>
      </c>
      <c r="J2878" s="1" t="s">
        <v>3303</v>
      </c>
      <c r="K2878" s="1" t="s">
        <v>3276</v>
      </c>
      <c r="L2878" s="1" t="s">
        <v>701</v>
      </c>
      <c r="M2878" s="86" t="s">
        <v>1551</v>
      </c>
      <c r="N2878" s="86"/>
      <c r="O2878" s="47" t="s">
        <v>410</v>
      </c>
      <c r="P2878" s="47" t="s">
        <v>41</v>
      </c>
      <c r="Q2878" s="14">
        <v>0</v>
      </c>
      <c r="R2878" s="143">
        <v>7144</v>
      </c>
      <c r="S2878" s="47"/>
      <c r="T2878" s="6">
        <v>4162.8</v>
      </c>
      <c r="U2878" s="6">
        <v>5000</v>
      </c>
      <c r="V2878" s="6">
        <v>4614.8</v>
      </c>
      <c r="W2878" s="6">
        <f t="shared" si="452"/>
        <v>4547.9999999999991</v>
      </c>
      <c r="X2878" s="6">
        <f t="shared" si="453"/>
        <v>4614.8</v>
      </c>
      <c r="Y2878" s="13">
        <f t="shared" si="447"/>
        <v>0</v>
      </c>
      <c r="Z2878" s="14">
        <v>0</v>
      </c>
      <c r="AA2878" s="6">
        <v>0</v>
      </c>
      <c r="AB2878" s="4">
        <f t="shared" si="448"/>
        <v>4614.8</v>
      </c>
      <c r="AC2878" s="4">
        <f t="shared" si="450"/>
        <v>0</v>
      </c>
      <c r="AD2878" s="6">
        <f t="shared" si="454"/>
        <v>4614.8</v>
      </c>
      <c r="AE2878" s="2">
        <f>VLOOKUP(I2878,[1]媒体政策预估表!A:N,MATCH(O2878,[1]媒体政策预估表!$A$2:$M$2,0),0)</f>
        <v>0.17</v>
      </c>
      <c r="AF2878" s="6">
        <f t="shared" si="451"/>
        <v>784.51600000000008</v>
      </c>
      <c r="AG2878" s="14">
        <v>0</v>
      </c>
      <c r="AH2878" s="64">
        <f t="shared" si="455"/>
        <v>4614.8</v>
      </c>
      <c r="AI2878" s="47"/>
      <c r="AJ2878" s="126" t="e">
        <v>#N/A</v>
      </c>
      <c r="AK2878" s="80">
        <f t="shared" si="449"/>
        <v>0</v>
      </c>
      <c r="AM2878" s="85"/>
    </row>
    <row r="2879" spans="1:39" hidden="1" x14ac:dyDescent="0.3">
      <c r="A2879" s="89" t="s">
        <v>3408</v>
      </c>
      <c r="B2879" s="86" t="s">
        <v>701</v>
      </c>
      <c r="C2879" s="86" t="s">
        <v>164</v>
      </c>
      <c r="D2879" s="86" t="s">
        <v>165</v>
      </c>
      <c r="E2879" s="86" t="s">
        <v>1549</v>
      </c>
      <c r="F2879" s="86" t="s">
        <v>1550</v>
      </c>
      <c r="G2879" s="86" t="s">
        <v>1549</v>
      </c>
      <c r="H2879" s="144">
        <v>83</v>
      </c>
      <c r="I2879" s="86" t="s">
        <v>78</v>
      </c>
      <c r="J2879" s="1" t="s">
        <v>3303</v>
      </c>
      <c r="K2879" s="1" t="s">
        <v>3276</v>
      </c>
      <c r="L2879" s="1" t="s">
        <v>701</v>
      </c>
      <c r="M2879" s="86" t="s">
        <v>1549</v>
      </c>
      <c r="N2879" s="86"/>
      <c r="O2879" s="47" t="s">
        <v>410</v>
      </c>
      <c r="P2879" s="47" t="s">
        <v>41</v>
      </c>
      <c r="Q2879" s="14">
        <v>0</v>
      </c>
      <c r="R2879" s="143">
        <v>7128</v>
      </c>
      <c r="S2879" s="47"/>
      <c r="T2879" s="6">
        <v>9208.3000000000029</v>
      </c>
      <c r="U2879" s="6">
        <v>40000</v>
      </c>
      <c r="V2879" s="6">
        <v>45898.36</v>
      </c>
      <c r="W2879" s="6">
        <f t="shared" si="452"/>
        <v>3309.9400000000023</v>
      </c>
      <c r="X2879" s="6">
        <f t="shared" si="453"/>
        <v>45898.36</v>
      </c>
      <c r="Y2879" s="13">
        <f t="shared" si="447"/>
        <v>0</v>
      </c>
      <c r="Z2879" s="14">
        <v>0</v>
      </c>
      <c r="AA2879" s="6">
        <v>0</v>
      </c>
      <c r="AB2879" s="4">
        <f t="shared" si="448"/>
        <v>45898.36</v>
      </c>
      <c r="AC2879" s="4">
        <f t="shared" si="450"/>
        <v>0</v>
      </c>
      <c r="AD2879" s="6">
        <f t="shared" si="454"/>
        <v>45898.36</v>
      </c>
      <c r="AE2879" s="2">
        <f>VLOOKUP(I2879,[1]媒体政策预估表!A:N,MATCH(O2879,[1]媒体政策预估表!$A$2:$M$2,0),0)</f>
        <v>0.17</v>
      </c>
      <c r="AF2879" s="6">
        <f t="shared" si="451"/>
        <v>7802.7212000000009</v>
      </c>
      <c r="AG2879" s="14">
        <v>0</v>
      </c>
      <c r="AH2879" s="64">
        <f t="shared" si="455"/>
        <v>45898.36</v>
      </c>
      <c r="AI2879" s="47"/>
      <c r="AJ2879" s="126" t="e">
        <v>#N/A</v>
      </c>
      <c r="AK2879" s="80">
        <f t="shared" si="449"/>
        <v>0</v>
      </c>
      <c r="AM2879" s="85"/>
    </row>
    <row r="2880" spans="1:39" hidden="1" x14ac:dyDescent="0.3">
      <c r="A2880" s="89" t="s">
        <v>3408</v>
      </c>
      <c r="B2880" s="86" t="s">
        <v>701</v>
      </c>
      <c r="C2880" s="86" t="s">
        <v>164</v>
      </c>
      <c r="D2880" s="86" t="s">
        <v>165</v>
      </c>
      <c r="E2880" s="86" t="s">
        <v>2806</v>
      </c>
      <c r="F2880" s="86" t="s">
        <v>2806</v>
      </c>
      <c r="G2880" s="86" t="s">
        <v>2806</v>
      </c>
      <c r="H2880" s="144">
        <v>83</v>
      </c>
      <c r="I2880" s="86" t="s">
        <v>78</v>
      </c>
      <c r="J2880" s="1" t="s">
        <v>3303</v>
      </c>
      <c r="K2880" s="1" t="s">
        <v>3276</v>
      </c>
      <c r="L2880" s="1" t="s">
        <v>701</v>
      </c>
      <c r="M2880" s="86" t="s">
        <v>2806</v>
      </c>
      <c r="N2880" s="86"/>
      <c r="O2880" s="47" t="s">
        <v>410</v>
      </c>
      <c r="P2880" s="47" t="s">
        <v>46</v>
      </c>
      <c r="Q2880" s="14">
        <v>0.01</v>
      </c>
      <c r="R2880" s="143">
        <v>7614</v>
      </c>
      <c r="S2880" s="47"/>
      <c r="T2880" s="6">
        <v>40340.960000000006</v>
      </c>
      <c r="U2880" s="6">
        <v>500</v>
      </c>
      <c r="V2880" s="6">
        <v>25417.5</v>
      </c>
      <c r="W2880" s="6">
        <f t="shared" si="452"/>
        <v>15423.460000000006</v>
      </c>
      <c r="X2880" s="6">
        <f t="shared" si="453"/>
        <v>25165.841584158417</v>
      </c>
      <c r="Y2880" s="13">
        <f t="shared" si="447"/>
        <v>0</v>
      </c>
      <c r="Z2880" s="14">
        <v>0</v>
      </c>
      <c r="AA2880" s="6">
        <v>0</v>
      </c>
      <c r="AB2880" s="4">
        <f t="shared" si="448"/>
        <v>25165.841584158417</v>
      </c>
      <c r="AC2880" s="4">
        <f t="shared" si="450"/>
        <v>251.65841584158261</v>
      </c>
      <c r="AD2880" s="6">
        <f t="shared" si="454"/>
        <v>25417.5</v>
      </c>
      <c r="AE2880" s="2">
        <f>VLOOKUP(I2880,[1]媒体政策预估表!A:N,MATCH(O2880,[1]媒体政策预估表!$A$2:$M$2,0),0)</f>
        <v>0.17</v>
      </c>
      <c r="AF2880" s="6">
        <f t="shared" si="451"/>
        <v>4320.9750000000004</v>
      </c>
      <c r="AG2880" s="14">
        <v>0</v>
      </c>
      <c r="AH2880" s="64">
        <f t="shared" si="455"/>
        <v>25417.5</v>
      </c>
      <c r="AI2880" s="47"/>
      <c r="AJ2880" s="126" t="e">
        <v>#N/A</v>
      </c>
      <c r="AK2880" s="80">
        <f t="shared" si="449"/>
        <v>0</v>
      </c>
      <c r="AM2880" s="85"/>
    </row>
    <row r="2881" spans="1:39" hidden="1" x14ac:dyDescent="0.3">
      <c r="A2881" s="89" t="s">
        <v>3409</v>
      </c>
      <c r="B2881" s="86" t="s">
        <v>701</v>
      </c>
      <c r="C2881" s="86" t="s">
        <v>164</v>
      </c>
      <c r="D2881" s="86" t="s">
        <v>169</v>
      </c>
      <c r="E2881" s="86" t="s">
        <v>1573</v>
      </c>
      <c r="F2881" s="86" t="s">
        <v>1573</v>
      </c>
      <c r="G2881" s="86" t="s">
        <v>1573</v>
      </c>
      <c r="H2881" s="144">
        <v>83</v>
      </c>
      <c r="I2881" s="86" t="s">
        <v>78</v>
      </c>
      <c r="J2881" s="1" t="s">
        <v>3303</v>
      </c>
      <c r="K2881" s="1" t="s">
        <v>3276</v>
      </c>
      <c r="L2881" s="1" t="s">
        <v>701</v>
      </c>
      <c r="M2881" s="86" t="s">
        <v>2807</v>
      </c>
      <c r="N2881" s="86"/>
      <c r="O2881" s="47" t="s">
        <v>410</v>
      </c>
      <c r="P2881" s="47" t="s">
        <v>41</v>
      </c>
      <c r="Q2881" s="14">
        <v>0</v>
      </c>
      <c r="R2881" s="143">
        <v>7643</v>
      </c>
      <c r="S2881" s="47"/>
      <c r="T2881" s="6">
        <v>4111.1000000000004</v>
      </c>
      <c r="U2881" s="6">
        <v>5000</v>
      </c>
      <c r="V2881" s="6">
        <v>5487.9</v>
      </c>
      <c r="W2881" s="6">
        <f t="shared" si="452"/>
        <v>3623.2000000000007</v>
      </c>
      <c r="X2881" s="6">
        <f t="shared" si="453"/>
        <v>5487.9</v>
      </c>
      <c r="Y2881" s="13">
        <f t="shared" si="447"/>
        <v>0</v>
      </c>
      <c r="Z2881" s="14">
        <v>0</v>
      </c>
      <c r="AA2881" s="6">
        <v>0</v>
      </c>
      <c r="AB2881" s="4">
        <f t="shared" si="448"/>
        <v>5487.9</v>
      </c>
      <c r="AC2881" s="4">
        <f t="shared" si="450"/>
        <v>0</v>
      </c>
      <c r="AD2881" s="6">
        <f t="shared" si="454"/>
        <v>5487.9</v>
      </c>
      <c r="AE2881" s="2">
        <f>VLOOKUP(I2881,[1]媒体政策预估表!A:N,MATCH(O2881,[1]媒体政策预估表!$A$2:$M$2,0),0)</f>
        <v>0.17</v>
      </c>
      <c r="AF2881" s="6">
        <f t="shared" si="451"/>
        <v>932.94299999999998</v>
      </c>
      <c r="AG2881" s="14">
        <v>0</v>
      </c>
      <c r="AH2881" s="64">
        <f t="shared" si="455"/>
        <v>5487.9</v>
      </c>
      <c r="AI2881" s="47"/>
      <c r="AJ2881" s="126" t="e">
        <v>#N/A</v>
      </c>
      <c r="AK2881" s="80">
        <f t="shared" si="449"/>
        <v>0</v>
      </c>
      <c r="AM2881" s="85"/>
    </row>
    <row r="2882" spans="1:39" hidden="1" x14ac:dyDescent="0.3">
      <c r="A2882" s="89" t="s">
        <v>3408</v>
      </c>
      <c r="B2882" s="86" t="s">
        <v>701</v>
      </c>
      <c r="C2882" s="86" t="s">
        <v>164</v>
      </c>
      <c r="D2882" s="86" t="s">
        <v>169</v>
      </c>
      <c r="E2882" s="86" t="s">
        <v>2809</v>
      </c>
      <c r="F2882" s="86" t="s">
        <v>2809</v>
      </c>
      <c r="G2882" s="86" t="s">
        <v>2809</v>
      </c>
      <c r="H2882" s="144">
        <v>83</v>
      </c>
      <c r="I2882" s="86" t="s">
        <v>78</v>
      </c>
      <c r="J2882" s="1" t="s">
        <v>3303</v>
      </c>
      <c r="K2882" s="1" t="s">
        <v>3276</v>
      </c>
      <c r="L2882" s="1" t="s">
        <v>701</v>
      </c>
      <c r="M2882" s="86" t="s">
        <v>2810</v>
      </c>
      <c r="N2882" s="86"/>
      <c r="O2882" s="47" t="s">
        <v>410</v>
      </c>
      <c r="P2882" s="47" t="s">
        <v>46</v>
      </c>
      <c r="Q2882" s="14">
        <v>0.02</v>
      </c>
      <c r="R2882" s="143">
        <v>7574</v>
      </c>
      <c r="S2882" s="47"/>
      <c r="T2882" s="6">
        <v>8769.3000000000029</v>
      </c>
      <c r="U2882" s="6">
        <v>204000</v>
      </c>
      <c r="V2882" s="6">
        <v>51630</v>
      </c>
      <c r="W2882" s="6">
        <f t="shared" si="452"/>
        <v>161139.29999999999</v>
      </c>
      <c r="X2882" s="6">
        <f t="shared" si="453"/>
        <v>50617.647058823532</v>
      </c>
      <c r="Y2882" s="13">
        <f t="shared" si="447"/>
        <v>0</v>
      </c>
      <c r="Z2882" s="14">
        <v>0</v>
      </c>
      <c r="AA2882" s="6">
        <v>0</v>
      </c>
      <c r="AB2882" s="4">
        <f t="shared" si="448"/>
        <v>50617.647058823532</v>
      </c>
      <c r="AC2882" s="4">
        <f t="shared" si="450"/>
        <v>1012.3529411764684</v>
      </c>
      <c r="AD2882" s="6">
        <f t="shared" si="454"/>
        <v>51630</v>
      </c>
      <c r="AE2882" s="2">
        <f>VLOOKUP(I2882,[1]媒体政策预估表!A:N,MATCH(O2882,[1]媒体政策预估表!$A$2:$M$2,0),0)</f>
        <v>0.17</v>
      </c>
      <c r="AF2882" s="6">
        <f t="shared" si="451"/>
        <v>8777.1</v>
      </c>
      <c r="AG2882" s="14">
        <v>0</v>
      </c>
      <c r="AH2882" s="64">
        <f t="shared" si="455"/>
        <v>51630</v>
      </c>
      <c r="AI2882" s="47"/>
      <c r="AJ2882" s="126" t="e">
        <v>#N/A</v>
      </c>
      <c r="AK2882" s="80">
        <f t="shared" si="449"/>
        <v>0</v>
      </c>
      <c r="AM2882" s="85"/>
    </row>
    <row r="2883" spans="1:39" hidden="1" x14ac:dyDescent="0.3">
      <c r="A2883" s="89" t="s">
        <v>3397</v>
      </c>
      <c r="B2883" s="86" t="s">
        <v>701</v>
      </c>
      <c r="C2883" s="86" t="s">
        <v>164</v>
      </c>
      <c r="D2883" s="86" t="s">
        <v>169</v>
      </c>
      <c r="E2883" s="86" t="s">
        <v>1579</v>
      </c>
      <c r="F2883" s="86" t="s">
        <v>1579</v>
      </c>
      <c r="G2883" s="86" t="s">
        <v>1579</v>
      </c>
      <c r="H2883" s="144">
        <v>83</v>
      </c>
      <c r="I2883" s="86" t="s">
        <v>78</v>
      </c>
      <c r="J2883" s="1" t="s">
        <v>3303</v>
      </c>
      <c r="K2883" s="1" t="s">
        <v>3276</v>
      </c>
      <c r="L2883" s="1" t="s">
        <v>701</v>
      </c>
      <c r="M2883" s="86" t="s">
        <v>1579</v>
      </c>
      <c r="N2883" s="86"/>
      <c r="O2883" s="47" t="s">
        <v>410</v>
      </c>
      <c r="P2883" s="47" t="s">
        <v>41</v>
      </c>
      <c r="Q2883" s="14">
        <v>0</v>
      </c>
      <c r="R2883" s="143">
        <v>7145</v>
      </c>
      <c r="S2883" s="47"/>
      <c r="T2883" s="6">
        <v>6864.9999999999945</v>
      </c>
      <c r="U2883" s="6">
        <v>20000</v>
      </c>
      <c r="V2883" s="6">
        <v>14816.899999999998</v>
      </c>
      <c r="W2883" s="6">
        <f t="shared" si="452"/>
        <v>12048.099999999995</v>
      </c>
      <c r="X2883" s="6">
        <f t="shared" si="453"/>
        <v>14816.899999999998</v>
      </c>
      <c r="Y2883" s="13">
        <f t="shared" ref="Y2883:Y2946" si="456">IF(X2883-AD2883&lt;=0,0,IF(P2883="返现",MAX(X2883-AC2883-AD2883,0),MAX(X2883-AD2883)))</f>
        <v>0</v>
      </c>
      <c r="Z2883" s="14">
        <v>0</v>
      </c>
      <c r="AA2883" s="6">
        <v>0</v>
      </c>
      <c r="AB2883" s="4">
        <f t="shared" ref="AB2883:AB2946" si="457">X2883+AA2883</f>
        <v>14816.899999999998</v>
      </c>
      <c r="AC2883" s="4">
        <f t="shared" si="450"/>
        <v>0</v>
      </c>
      <c r="AD2883" s="6">
        <f t="shared" si="454"/>
        <v>14816.899999999998</v>
      </c>
      <c r="AE2883" s="2">
        <f>VLOOKUP(I2883,[1]媒体政策预估表!A:N,MATCH(O2883,[1]媒体政策预估表!$A$2:$M$2,0),0)</f>
        <v>0.17</v>
      </c>
      <c r="AF2883" s="6">
        <f t="shared" si="451"/>
        <v>2518.8729999999996</v>
      </c>
      <c r="AG2883" s="14">
        <v>0</v>
      </c>
      <c r="AH2883" s="64">
        <f t="shared" si="455"/>
        <v>14816.899999999998</v>
      </c>
      <c r="AI2883" s="47"/>
      <c r="AJ2883" s="126" t="e">
        <v>#N/A</v>
      </c>
      <c r="AK2883" s="80">
        <f t="shared" ref="AK2883:AK2946" si="458">X2883+AA2883-AB2883</f>
        <v>0</v>
      </c>
      <c r="AM2883" s="85"/>
    </row>
    <row r="2884" spans="1:39" hidden="1" x14ac:dyDescent="0.3">
      <c r="A2884" s="89" t="s">
        <v>3409</v>
      </c>
      <c r="B2884" s="86" t="s">
        <v>701</v>
      </c>
      <c r="C2884" s="86" t="s">
        <v>164</v>
      </c>
      <c r="D2884" s="86" t="s">
        <v>169</v>
      </c>
      <c r="E2884" s="86" t="s">
        <v>628</v>
      </c>
      <c r="F2884" s="86" t="s">
        <v>628</v>
      </c>
      <c r="G2884" s="86" t="s">
        <v>628</v>
      </c>
      <c r="H2884" s="144">
        <v>83</v>
      </c>
      <c r="I2884" s="86" t="s">
        <v>78</v>
      </c>
      <c r="J2884" s="1" t="s">
        <v>3303</v>
      </c>
      <c r="K2884" s="1" t="s">
        <v>3276</v>
      </c>
      <c r="L2884" s="1" t="s">
        <v>701</v>
      </c>
      <c r="M2884" s="86" t="s">
        <v>628</v>
      </c>
      <c r="N2884" s="86"/>
      <c r="O2884" s="47" t="s">
        <v>410</v>
      </c>
      <c r="P2884" s="47" t="s">
        <v>46</v>
      </c>
      <c r="Q2884" s="14">
        <v>0.01</v>
      </c>
      <c r="R2884" s="143">
        <v>7673</v>
      </c>
      <c r="S2884" s="47"/>
      <c r="T2884" s="6">
        <v>0</v>
      </c>
      <c r="U2884" s="6">
        <v>61000</v>
      </c>
      <c r="V2884" s="6">
        <v>45753.8</v>
      </c>
      <c r="W2884" s="6">
        <f t="shared" si="452"/>
        <v>15246.199999999997</v>
      </c>
      <c r="X2884" s="6">
        <f t="shared" si="453"/>
        <v>45300.792079207924</v>
      </c>
      <c r="Y2884" s="13">
        <f t="shared" si="456"/>
        <v>0</v>
      </c>
      <c r="Z2884" s="14">
        <v>0</v>
      </c>
      <c r="AA2884" s="6">
        <v>0</v>
      </c>
      <c r="AB2884" s="4">
        <f t="shared" si="457"/>
        <v>45300.792079207924</v>
      </c>
      <c r="AC2884" s="4">
        <f t="shared" si="450"/>
        <v>453.00792079207895</v>
      </c>
      <c r="AD2884" s="6">
        <f t="shared" si="454"/>
        <v>45753.8</v>
      </c>
      <c r="AE2884" s="2">
        <f>VLOOKUP(I2884,[1]媒体政策预估表!A:N,MATCH(O2884,[1]媒体政策预估表!$A$2:$M$2,0),0)</f>
        <v>0.17</v>
      </c>
      <c r="AF2884" s="6">
        <f t="shared" si="451"/>
        <v>7778.1460000000006</v>
      </c>
      <c r="AG2884" s="14">
        <v>0</v>
      </c>
      <c r="AH2884" s="64">
        <f t="shared" si="455"/>
        <v>45753.8</v>
      </c>
      <c r="AI2884" s="47"/>
      <c r="AJ2884" s="126" t="e">
        <v>#N/A</v>
      </c>
      <c r="AK2884" s="80">
        <f t="shared" si="458"/>
        <v>0</v>
      </c>
      <c r="AM2884" s="85"/>
    </row>
    <row r="2885" spans="1:39" hidden="1" x14ac:dyDescent="0.3">
      <c r="A2885" s="89" t="s">
        <v>3408</v>
      </c>
      <c r="B2885" s="86" t="s">
        <v>701</v>
      </c>
      <c r="C2885" s="86" t="s">
        <v>164</v>
      </c>
      <c r="D2885" s="86" t="s">
        <v>169</v>
      </c>
      <c r="E2885" s="86" t="s">
        <v>628</v>
      </c>
      <c r="F2885" s="86" t="s">
        <v>628</v>
      </c>
      <c r="G2885" s="86" t="s">
        <v>628</v>
      </c>
      <c r="H2885" s="143">
        <v>83</v>
      </c>
      <c r="I2885" s="86" t="s">
        <v>78</v>
      </c>
      <c r="J2885" s="1" t="s">
        <v>3303</v>
      </c>
      <c r="K2885" s="1" t="s">
        <v>3276</v>
      </c>
      <c r="L2885" s="1" t="s">
        <v>701</v>
      </c>
      <c r="M2885" s="86" t="s">
        <v>628</v>
      </c>
      <c r="N2885" s="86"/>
      <c r="O2885" s="47" t="s">
        <v>410</v>
      </c>
      <c r="P2885" s="47" t="s">
        <v>46</v>
      </c>
      <c r="Q2885" s="14">
        <v>0.02</v>
      </c>
      <c r="R2885" s="143">
        <v>7673</v>
      </c>
      <c r="S2885" s="47"/>
      <c r="T2885" s="6">
        <v>0</v>
      </c>
      <c r="U2885" s="6">
        <v>0</v>
      </c>
      <c r="V2885" s="6">
        <v>0</v>
      </c>
      <c r="W2885" s="6">
        <f t="shared" si="452"/>
        <v>0</v>
      </c>
      <c r="X2885" s="6">
        <f t="shared" si="453"/>
        <v>0</v>
      </c>
      <c r="Y2885" s="13">
        <f t="shared" si="456"/>
        <v>0</v>
      </c>
      <c r="Z2885" s="14">
        <v>0</v>
      </c>
      <c r="AA2885" s="6">
        <v>0</v>
      </c>
      <c r="AB2885" s="4">
        <f t="shared" si="457"/>
        <v>0</v>
      </c>
      <c r="AC2885" s="4">
        <f t="shared" si="450"/>
        <v>0</v>
      </c>
      <c r="AD2885" s="6">
        <f t="shared" si="454"/>
        <v>0</v>
      </c>
      <c r="AE2885" s="2">
        <f>VLOOKUP(I2885,[1]媒体政策预估表!A:N,MATCH(O2885,[1]媒体政策预估表!$A$2:$M$2,0),0)</f>
        <v>0.17</v>
      </c>
      <c r="AF2885" s="6">
        <f t="shared" si="451"/>
        <v>0</v>
      </c>
      <c r="AG2885" s="14">
        <v>0</v>
      </c>
      <c r="AH2885" s="64">
        <f t="shared" si="455"/>
        <v>0</v>
      </c>
      <c r="AI2885" s="47"/>
      <c r="AJ2885" s="126" t="e">
        <v>#N/A</v>
      </c>
      <c r="AK2885" s="80">
        <f t="shared" si="458"/>
        <v>0</v>
      </c>
      <c r="AM2885" s="85"/>
    </row>
    <row r="2886" spans="1:39" hidden="1" x14ac:dyDescent="0.3">
      <c r="A2886" s="89" t="s">
        <v>3408</v>
      </c>
      <c r="B2886" s="86" t="s">
        <v>701</v>
      </c>
      <c r="C2886" s="86" t="s">
        <v>164</v>
      </c>
      <c r="D2886" s="86" t="s">
        <v>174</v>
      </c>
      <c r="E2886" s="86" t="s">
        <v>1608</v>
      </c>
      <c r="F2886" s="86" t="s">
        <v>1608</v>
      </c>
      <c r="G2886" s="86" t="s">
        <v>1608</v>
      </c>
      <c r="H2886" s="144">
        <v>83</v>
      </c>
      <c r="I2886" s="86" t="s">
        <v>78</v>
      </c>
      <c r="J2886" s="1" t="s">
        <v>3303</v>
      </c>
      <c r="K2886" s="1" t="s">
        <v>3276</v>
      </c>
      <c r="L2886" s="1" t="s">
        <v>701</v>
      </c>
      <c r="M2886" s="86" t="s">
        <v>2811</v>
      </c>
      <c r="N2886" s="86"/>
      <c r="O2886" s="47" t="s">
        <v>410</v>
      </c>
      <c r="P2886" s="47" t="s">
        <v>41</v>
      </c>
      <c r="Q2886" s="14">
        <v>0</v>
      </c>
      <c r="R2886" s="143">
        <v>7606</v>
      </c>
      <c r="S2886" s="47"/>
      <c r="T2886" s="6">
        <v>8829.1899999999987</v>
      </c>
      <c r="U2886" s="6">
        <v>10000</v>
      </c>
      <c r="V2886" s="6">
        <v>13368.66</v>
      </c>
      <c r="W2886" s="6">
        <f t="shared" si="452"/>
        <v>5460.5299999999988</v>
      </c>
      <c r="X2886" s="6">
        <f t="shared" si="453"/>
        <v>13368.66</v>
      </c>
      <c r="Y2886" s="13">
        <f t="shared" si="456"/>
        <v>0</v>
      </c>
      <c r="Z2886" s="14">
        <v>0</v>
      </c>
      <c r="AA2886" s="6">
        <v>0</v>
      </c>
      <c r="AB2886" s="4">
        <f t="shared" si="457"/>
        <v>13368.66</v>
      </c>
      <c r="AC2886" s="4">
        <f t="shared" si="450"/>
        <v>0</v>
      </c>
      <c r="AD2886" s="6">
        <f t="shared" si="454"/>
        <v>13368.66</v>
      </c>
      <c r="AE2886" s="2">
        <f>VLOOKUP(I2886,[1]媒体政策预估表!A:N,MATCH(O2886,[1]媒体政策预估表!$A$2:$M$2,0),0)</f>
        <v>0.17</v>
      </c>
      <c r="AF2886" s="6">
        <f t="shared" si="451"/>
        <v>2272.6722</v>
      </c>
      <c r="AG2886" s="14">
        <v>0</v>
      </c>
      <c r="AH2886" s="64">
        <f t="shared" si="455"/>
        <v>13368.66</v>
      </c>
      <c r="AI2886" s="47"/>
      <c r="AJ2886" s="126" t="e">
        <v>#N/A</v>
      </c>
      <c r="AK2886" s="80">
        <f t="shared" si="458"/>
        <v>0</v>
      </c>
      <c r="AM2886" s="85"/>
    </row>
    <row r="2887" spans="1:39" hidden="1" x14ac:dyDescent="0.3">
      <c r="A2887" s="89" t="s">
        <v>3397</v>
      </c>
      <c r="B2887" s="86" t="s">
        <v>701</v>
      </c>
      <c r="C2887" s="86" t="s">
        <v>164</v>
      </c>
      <c r="D2887" s="86" t="s">
        <v>174</v>
      </c>
      <c r="E2887" s="86" t="s">
        <v>1617</v>
      </c>
      <c r="F2887" s="86" t="s">
        <v>1617</v>
      </c>
      <c r="G2887" s="86" t="s">
        <v>1617</v>
      </c>
      <c r="H2887" s="144">
        <v>83</v>
      </c>
      <c r="I2887" s="86" t="s">
        <v>78</v>
      </c>
      <c r="J2887" s="1" t="s">
        <v>3303</v>
      </c>
      <c r="K2887" s="1" t="s">
        <v>3276</v>
      </c>
      <c r="L2887" s="1" t="s">
        <v>701</v>
      </c>
      <c r="M2887" s="86" t="s">
        <v>2814</v>
      </c>
      <c r="N2887" s="86"/>
      <c r="O2887" s="47" t="s">
        <v>410</v>
      </c>
      <c r="P2887" s="47" t="s">
        <v>41</v>
      </c>
      <c r="Q2887" s="14">
        <v>0</v>
      </c>
      <c r="R2887" s="143">
        <v>7457</v>
      </c>
      <c r="S2887" s="47"/>
      <c r="T2887" s="6">
        <v>47950.650000000009</v>
      </c>
      <c r="U2887" s="6">
        <v>100000</v>
      </c>
      <c r="V2887" s="6">
        <v>104171.1</v>
      </c>
      <c r="W2887" s="6">
        <f t="shared" si="452"/>
        <v>43779.550000000017</v>
      </c>
      <c r="X2887" s="6">
        <f t="shared" si="453"/>
        <v>104171.1</v>
      </c>
      <c r="Y2887" s="13">
        <f t="shared" si="456"/>
        <v>0</v>
      </c>
      <c r="Z2887" s="14">
        <v>0</v>
      </c>
      <c r="AA2887" s="6">
        <v>0</v>
      </c>
      <c r="AB2887" s="4">
        <f t="shared" si="457"/>
        <v>104171.1</v>
      </c>
      <c r="AC2887" s="4">
        <f t="shared" si="450"/>
        <v>0</v>
      </c>
      <c r="AD2887" s="6">
        <f t="shared" si="454"/>
        <v>104171.1</v>
      </c>
      <c r="AE2887" s="2">
        <f>VLOOKUP(I2887,[1]媒体政策预估表!A:N,MATCH(O2887,[1]媒体政策预估表!$A$2:$M$2,0),0)</f>
        <v>0.17</v>
      </c>
      <c r="AF2887" s="6">
        <f t="shared" si="451"/>
        <v>17709.087000000003</v>
      </c>
      <c r="AG2887" s="14">
        <v>0</v>
      </c>
      <c r="AH2887" s="64">
        <f t="shared" si="455"/>
        <v>104171.1</v>
      </c>
      <c r="AI2887" s="47"/>
      <c r="AJ2887" s="126" t="e">
        <v>#N/A</v>
      </c>
      <c r="AK2887" s="80">
        <f t="shared" si="458"/>
        <v>0</v>
      </c>
      <c r="AM2887" s="85"/>
    </row>
    <row r="2888" spans="1:39" hidden="1" x14ac:dyDescent="0.3">
      <c r="A2888" s="89" t="s">
        <v>3408</v>
      </c>
      <c r="B2888" s="86" t="s">
        <v>701</v>
      </c>
      <c r="C2888" s="86" t="s">
        <v>164</v>
      </c>
      <c r="D2888" s="86" t="s">
        <v>174</v>
      </c>
      <c r="E2888" s="86" t="s">
        <v>2862</v>
      </c>
      <c r="F2888" s="86" t="s">
        <v>2862</v>
      </c>
      <c r="G2888" s="86" t="s">
        <v>2862</v>
      </c>
      <c r="H2888" s="144">
        <v>83</v>
      </c>
      <c r="I2888" s="86" t="s">
        <v>78</v>
      </c>
      <c r="J2888" s="1" t="s">
        <v>3303</v>
      </c>
      <c r="K2888" s="1" t="s">
        <v>3276</v>
      </c>
      <c r="L2888" s="1" t="s">
        <v>701</v>
      </c>
      <c r="M2888" s="86" t="s">
        <v>2863</v>
      </c>
      <c r="N2888" s="86"/>
      <c r="O2888" s="47" t="s">
        <v>410</v>
      </c>
      <c r="P2888" s="47" t="s">
        <v>41</v>
      </c>
      <c r="Q2888" s="14">
        <v>0</v>
      </c>
      <c r="R2888" s="143">
        <v>7194</v>
      </c>
      <c r="S2888" s="47"/>
      <c r="T2888" s="6">
        <v>0</v>
      </c>
      <c r="U2888" s="6">
        <v>50000</v>
      </c>
      <c r="V2888" s="6">
        <v>5526.07</v>
      </c>
      <c r="W2888" s="6">
        <f t="shared" si="452"/>
        <v>44473.93</v>
      </c>
      <c r="X2888" s="6">
        <f t="shared" si="453"/>
        <v>5526.07</v>
      </c>
      <c r="Y2888" s="13">
        <f t="shared" si="456"/>
        <v>0</v>
      </c>
      <c r="Z2888" s="14">
        <v>0</v>
      </c>
      <c r="AA2888" s="6">
        <v>0</v>
      </c>
      <c r="AB2888" s="4">
        <f t="shared" si="457"/>
        <v>5526.07</v>
      </c>
      <c r="AC2888" s="4">
        <f t="shared" si="450"/>
        <v>0</v>
      </c>
      <c r="AD2888" s="6">
        <f t="shared" si="454"/>
        <v>5526.07</v>
      </c>
      <c r="AE2888" s="2">
        <f>VLOOKUP(I2888,[1]媒体政策预估表!A:N,MATCH(O2888,[1]媒体政策预估表!$A$2:$M$2,0),0)</f>
        <v>0.17</v>
      </c>
      <c r="AF2888" s="6">
        <f t="shared" si="451"/>
        <v>939.43190000000004</v>
      </c>
      <c r="AG2888" s="14">
        <v>0</v>
      </c>
      <c r="AH2888" s="64">
        <f t="shared" si="455"/>
        <v>5526.07</v>
      </c>
      <c r="AI2888" s="47"/>
      <c r="AJ2888" s="126" t="e">
        <v>#N/A</v>
      </c>
      <c r="AK2888" s="80">
        <f t="shared" si="458"/>
        <v>0</v>
      </c>
      <c r="AM2888" s="85"/>
    </row>
    <row r="2889" spans="1:39" hidden="1" x14ac:dyDescent="0.3">
      <c r="A2889" s="89" t="s">
        <v>3408</v>
      </c>
      <c r="B2889" s="86" t="s">
        <v>701</v>
      </c>
      <c r="C2889" s="86" t="s">
        <v>164</v>
      </c>
      <c r="D2889" s="86" t="s">
        <v>174</v>
      </c>
      <c r="E2889" s="86" t="s">
        <v>2815</v>
      </c>
      <c r="F2889" s="86" t="s">
        <v>2815</v>
      </c>
      <c r="G2889" s="86" t="s">
        <v>2815</v>
      </c>
      <c r="H2889" s="144">
        <v>83</v>
      </c>
      <c r="I2889" s="86" t="s">
        <v>78</v>
      </c>
      <c r="J2889" s="1" t="s">
        <v>3303</v>
      </c>
      <c r="K2889" s="1" t="s">
        <v>3276</v>
      </c>
      <c r="L2889" s="1" t="s">
        <v>701</v>
      </c>
      <c r="M2889" s="86" t="s">
        <v>2816</v>
      </c>
      <c r="N2889" s="86"/>
      <c r="O2889" s="47" t="s">
        <v>410</v>
      </c>
      <c r="P2889" s="47" t="s">
        <v>41</v>
      </c>
      <c r="Q2889" s="14">
        <v>0</v>
      </c>
      <c r="R2889" s="143">
        <v>7352</v>
      </c>
      <c r="S2889" s="47"/>
      <c r="T2889" s="6">
        <v>5573.2999999999993</v>
      </c>
      <c r="U2889" s="6">
        <v>5000</v>
      </c>
      <c r="V2889" s="6">
        <v>5266.6900000000005</v>
      </c>
      <c r="W2889" s="6">
        <f t="shared" si="452"/>
        <v>5306.6099999999988</v>
      </c>
      <c r="X2889" s="6">
        <f t="shared" si="453"/>
        <v>5266.6900000000005</v>
      </c>
      <c r="Y2889" s="13">
        <f t="shared" si="456"/>
        <v>0</v>
      </c>
      <c r="Z2889" s="14">
        <v>0</v>
      </c>
      <c r="AA2889" s="6">
        <v>0</v>
      </c>
      <c r="AB2889" s="4">
        <f t="shared" si="457"/>
        <v>5266.6900000000005</v>
      </c>
      <c r="AC2889" s="4">
        <f t="shared" si="450"/>
        <v>0</v>
      </c>
      <c r="AD2889" s="6">
        <f t="shared" si="454"/>
        <v>5266.6900000000005</v>
      </c>
      <c r="AE2889" s="2">
        <f>VLOOKUP(I2889,[1]媒体政策预估表!A:N,MATCH(O2889,[1]媒体政策预估表!$A$2:$M$2,0),0)</f>
        <v>0.17</v>
      </c>
      <c r="AF2889" s="6">
        <f t="shared" si="451"/>
        <v>895.33730000000014</v>
      </c>
      <c r="AG2889" s="14">
        <v>0</v>
      </c>
      <c r="AH2889" s="64">
        <f t="shared" si="455"/>
        <v>5266.6900000000005</v>
      </c>
      <c r="AI2889" s="47"/>
      <c r="AJ2889" s="126" t="e">
        <v>#N/A</v>
      </c>
      <c r="AK2889" s="80">
        <f t="shared" si="458"/>
        <v>0</v>
      </c>
      <c r="AM2889" s="85"/>
    </row>
    <row r="2890" spans="1:39" hidden="1" x14ac:dyDescent="0.3">
      <c r="A2890" s="89" t="s">
        <v>3408</v>
      </c>
      <c r="B2890" s="86" t="s">
        <v>701</v>
      </c>
      <c r="C2890" s="86" t="s">
        <v>164</v>
      </c>
      <c r="D2890" s="86" t="s">
        <v>174</v>
      </c>
      <c r="E2890" s="86" t="s">
        <v>1664</v>
      </c>
      <c r="F2890" s="86" t="s">
        <v>1664</v>
      </c>
      <c r="G2890" s="86" t="s">
        <v>1664</v>
      </c>
      <c r="H2890" s="144">
        <v>83</v>
      </c>
      <c r="I2890" s="86" t="s">
        <v>78</v>
      </c>
      <c r="J2890" s="1" t="s">
        <v>3303</v>
      </c>
      <c r="K2890" s="1" t="s">
        <v>3276</v>
      </c>
      <c r="L2890" s="1" t="s">
        <v>701</v>
      </c>
      <c r="M2890" s="86" t="s">
        <v>2817</v>
      </c>
      <c r="N2890" s="86"/>
      <c r="O2890" s="47" t="s">
        <v>410</v>
      </c>
      <c r="P2890" s="47" t="s">
        <v>41</v>
      </c>
      <c r="Q2890" s="14">
        <v>0</v>
      </c>
      <c r="R2890" s="143">
        <v>7296</v>
      </c>
      <c r="S2890" s="47"/>
      <c r="T2890" s="6">
        <v>10309.259999999998</v>
      </c>
      <c r="U2890" s="6">
        <v>10000</v>
      </c>
      <c r="V2890" s="6">
        <v>11387.5</v>
      </c>
      <c r="W2890" s="6">
        <f t="shared" si="452"/>
        <v>8921.7599999999984</v>
      </c>
      <c r="X2890" s="6">
        <f t="shared" si="453"/>
        <v>11387.5</v>
      </c>
      <c r="Y2890" s="13">
        <f t="shared" si="456"/>
        <v>0</v>
      </c>
      <c r="Z2890" s="14">
        <v>0</v>
      </c>
      <c r="AA2890" s="6">
        <v>0</v>
      </c>
      <c r="AB2890" s="4">
        <f t="shared" si="457"/>
        <v>11387.5</v>
      </c>
      <c r="AC2890" s="4">
        <f t="shared" si="450"/>
        <v>0</v>
      </c>
      <c r="AD2890" s="6">
        <f t="shared" si="454"/>
        <v>11387.5</v>
      </c>
      <c r="AE2890" s="2">
        <f>VLOOKUP(I2890,[1]媒体政策预估表!A:N,MATCH(O2890,[1]媒体政策预估表!$A$2:$M$2,0),0)</f>
        <v>0.17</v>
      </c>
      <c r="AF2890" s="6">
        <f t="shared" si="451"/>
        <v>1935.8750000000002</v>
      </c>
      <c r="AG2890" s="14">
        <v>0</v>
      </c>
      <c r="AH2890" s="64">
        <f t="shared" si="455"/>
        <v>11387.5</v>
      </c>
      <c r="AI2890" s="47"/>
      <c r="AJ2890" s="126" t="e">
        <v>#N/A</v>
      </c>
      <c r="AK2890" s="80">
        <f t="shared" si="458"/>
        <v>0</v>
      </c>
      <c r="AM2890" s="85"/>
    </row>
    <row r="2891" spans="1:39" hidden="1" x14ac:dyDescent="0.3">
      <c r="A2891" s="89" t="s">
        <v>3409</v>
      </c>
      <c r="B2891" s="86" t="s">
        <v>701</v>
      </c>
      <c r="C2891" s="86" t="s">
        <v>164</v>
      </c>
      <c r="D2891" s="86" t="s">
        <v>174</v>
      </c>
      <c r="E2891" s="86" t="s">
        <v>1681</v>
      </c>
      <c r="F2891" s="86" t="s">
        <v>1682</v>
      </c>
      <c r="G2891" s="86" t="s">
        <v>1681</v>
      </c>
      <c r="H2891" s="144">
        <v>83</v>
      </c>
      <c r="I2891" s="86" t="s">
        <v>78</v>
      </c>
      <c r="J2891" s="1" t="s">
        <v>3303</v>
      </c>
      <c r="K2891" s="1" t="s">
        <v>3276</v>
      </c>
      <c r="L2891" s="1" t="s">
        <v>701</v>
      </c>
      <c r="M2891" s="86" t="s">
        <v>1685</v>
      </c>
      <c r="N2891" s="86"/>
      <c r="O2891" s="47" t="s">
        <v>410</v>
      </c>
      <c r="P2891" s="47" t="s">
        <v>41</v>
      </c>
      <c r="Q2891" s="14">
        <v>0</v>
      </c>
      <c r="R2891" s="143">
        <v>7312</v>
      </c>
      <c r="S2891" s="47"/>
      <c r="T2891" s="6">
        <v>944.98000000000138</v>
      </c>
      <c r="U2891" s="6">
        <v>10200</v>
      </c>
      <c r="V2891" s="6">
        <v>8464.98</v>
      </c>
      <c r="W2891" s="6">
        <f t="shared" si="452"/>
        <v>2680.0000000000018</v>
      </c>
      <c r="X2891" s="6">
        <f t="shared" si="453"/>
        <v>8464.98</v>
      </c>
      <c r="Y2891" s="13">
        <f t="shared" si="456"/>
        <v>0</v>
      </c>
      <c r="Z2891" s="14">
        <v>0</v>
      </c>
      <c r="AA2891" s="6">
        <v>0</v>
      </c>
      <c r="AB2891" s="4">
        <f t="shared" si="457"/>
        <v>8464.98</v>
      </c>
      <c r="AC2891" s="4">
        <f t="shared" si="450"/>
        <v>0</v>
      </c>
      <c r="AD2891" s="6">
        <f t="shared" si="454"/>
        <v>8464.98</v>
      </c>
      <c r="AE2891" s="2">
        <f>VLOOKUP(I2891,[1]媒体政策预估表!A:N,MATCH(O2891,[1]媒体政策预估表!$A$2:$M$2,0),0)</f>
        <v>0.17</v>
      </c>
      <c r="AF2891" s="6">
        <f t="shared" si="451"/>
        <v>1439.0466000000001</v>
      </c>
      <c r="AG2891" s="14">
        <v>0</v>
      </c>
      <c r="AH2891" s="64">
        <f t="shared" si="455"/>
        <v>8464.98</v>
      </c>
      <c r="AI2891" s="47"/>
      <c r="AJ2891" s="126" t="e">
        <v>#N/A</v>
      </c>
      <c r="AK2891" s="80">
        <f t="shared" si="458"/>
        <v>0</v>
      </c>
      <c r="AM2891" s="85"/>
    </row>
    <row r="2892" spans="1:39" hidden="1" x14ac:dyDescent="0.3">
      <c r="A2892" s="89" t="s">
        <v>3408</v>
      </c>
      <c r="B2892" s="86" t="s">
        <v>701</v>
      </c>
      <c r="C2892" s="86" t="s">
        <v>164</v>
      </c>
      <c r="D2892" s="86" t="s">
        <v>174</v>
      </c>
      <c r="E2892" s="86" t="s">
        <v>1711</v>
      </c>
      <c r="F2892" s="86" t="s">
        <v>1711</v>
      </c>
      <c r="G2892" s="86" t="s">
        <v>1711</v>
      </c>
      <c r="H2892" s="144">
        <v>83</v>
      </c>
      <c r="I2892" s="86" t="s">
        <v>78</v>
      </c>
      <c r="J2892" s="1" t="s">
        <v>3303</v>
      </c>
      <c r="K2892" s="1" t="s">
        <v>3276</v>
      </c>
      <c r="L2892" s="1" t="s">
        <v>701</v>
      </c>
      <c r="M2892" s="86" t="s">
        <v>2823</v>
      </c>
      <c r="N2892" s="86"/>
      <c r="O2892" s="47" t="s">
        <v>410</v>
      </c>
      <c r="P2892" s="47" t="s">
        <v>41</v>
      </c>
      <c r="Q2892" s="14">
        <v>0</v>
      </c>
      <c r="R2892" s="143">
        <v>7286</v>
      </c>
      <c r="S2892" s="47"/>
      <c r="T2892" s="6">
        <v>811.09999999999809</v>
      </c>
      <c r="U2892" s="6">
        <v>5000</v>
      </c>
      <c r="V2892" s="6">
        <v>2315.1</v>
      </c>
      <c r="W2892" s="6">
        <f t="shared" si="452"/>
        <v>3495.9999999999986</v>
      </c>
      <c r="X2892" s="6">
        <f t="shared" si="453"/>
        <v>2315.1</v>
      </c>
      <c r="Y2892" s="13">
        <f t="shared" si="456"/>
        <v>0</v>
      </c>
      <c r="Z2892" s="14">
        <v>0</v>
      </c>
      <c r="AA2892" s="6">
        <v>0</v>
      </c>
      <c r="AB2892" s="4">
        <f t="shared" si="457"/>
        <v>2315.1</v>
      </c>
      <c r="AC2892" s="4">
        <f t="shared" ref="AC2892:AC2955" si="459">IF(P2892="返现",X2892*Q2892,V2892-X2892)</f>
        <v>0</v>
      </c>
      <c r="AD2892" s="6">
        <f t="shared" si="454"/>
        <v>2315.1</v>
      </c>
      <c r="AE2892" s="2">
        <f>VLOOKUP(I2892,[1]媒体政策预估表!A:N,MATCH(O2892,[1]媒体政策预估表!$A$2:$M$2,0),0)</f>
        <v>0.17</v>
      </c>
      <c r="AF2892" s="6">
        <f t="shared" ref="AF2892:AF2955" si="460">AD2892*AE2892</f>
        <v>393.56700000000001</v>
      </c>
      <c r="AG2892" s="14">
        <v>0</v>
      </c>
      <c r="AH2892" s="64">
        <f t="shared" si="455"/>
        <v>2315.1</v>
      </c>
      <c r="AI2892" s="47"/>
      <c r="AJ2892" s="126" t="e">
        <v>#N/A</v>
      </c>
      <c r="AK2892" s="80">
        <f t="shared" si="458"/>
        <v>0</v>
      </c>
      <c r="AM2892" s="85"/>
    </row>
    <row r="2893" spans="1:39" hidden="1" x14ac:dyDescent="0.3">
      <c r="A2893" s="89" t="s">
        <v>3409</v>
      </c>
      <c r="B2893" s="86" t="s">
        <v>701</v>
      </c>
      <c r="C2893" s="86" t="s">
        <v>164</v>
      </c>
      <c r="D2893" s="86" t="s">
        <v>174</v>
      </c>
      <c r="E2893" s="86" t="s">
        <v>668</v>
      </c>
      <c r="F2893" s="86" t="s">
        <v>668</v>
      </c>
      <c r="G2893" s="86" t="s">
        <v>668</v>
      </c>
      <c r="H2893" s="144">
        <v>83</v>
      </c>
      <c r="I2893" s="86" t="s">
        <v>78</v>
      </c>
      <c r="J2893" s="1" t="s">
        <v>3303</v>
      </c>
      <c r="K2893" s="1" t="s">
        <v>3276</v>
      </c>
      <c r="L2893" s="1" t="s">
        <v>701</v>
      </c>
      <c r="M2893" s="86" t="s">
        <v>2824</v>
      </c>
      <c r="N2893" s="86"/>
      <c r="O2893" s="47" t="s">
        <v>410</v>
      </c>
      <c r="P2893" s="47" t="s">
        <v>46</v>
      </c>
      <c r="Q2893" s="14">
        <v>0.02</v>
      </c>
      <c r="R2893" s="143">
        <v>107</v>
      </c>
      <c r="S2893" s="47"/>
      <c r="T2893" s="6">
        <v>3535.7700000000013</v>
      </c>
      <c r="U2893" s="6">
        <v>10300</v>
      </c>
      <c r="V2893" s="6">
        <v>2780.8</v>
      </c>
      <c r="W2893" s="6">
        <f t="shared" si="452"/>
        <v>11054.970000000001</v>
      </c>
      <c r="X2893" s="6">
        <f t="shared" si="453"/>
        <v>2726.2745098039218</v>
      </c>
      <c r="Y2893" s="13">
        <f t="shared" si="456"/>
        <v>0</v>
      </c>
      <c r="Z2893" s="14">
        <v>0</v>
      </c>
      <c r="AA2893" s="6">
        <v>0</v>
      </c>
      <c r="AB2893" s="4">
        <f t="shared" si="457"/>
        <v>2726.2745098039218</v>
      </c>
      <c r="AC2893" s="4">
        <f t="shared" si="459"/>
        <v>54.525490196078408</v>
      </c>
      <c r="AD2893" s="6">
        <f t="shared" si="454"/>
        <v>2780.8</v>
      </c>
      <c r="AE2893" s="2">
        <f>VLOOKUP(I2893,[1]媒体政策预估表!A:N,MATCH(O2893,[1]媒体政策预估表!$A$2:$M$2,0),0)</f>
        <v>0.17</v>
      </c>
      <c r="AF2893" s="6">
        <f t="shared" si="460"/>
        <v>472.73600000000005</v>
      </c>
      <c r="AG2893" s="14">
        <v>0</v>
      </c>
      <c r="AH2893" s="64">
        <f t="shared" si="455"/>
        <v>2780.8</v>
      </c>
      <c r="AI2893" s="47"/>
      <c r="AJ2893" s="126" t="e">
        <v>#N/A</v>
      </c>
      <c r="AK2893" s="80">
        <f t="shared" si="458"/>
        <v>0</v>
      </c>
      <c r="AM2893" s="85"/>
    </row>
    <row r="2894" spans="1:39" hidden="1" x14ac:dyDescent="0.3">
      <c r="A2894" s="89" t="s">
        <v>3397</v>
      </c>
      <c r="B2894" s="86" t="s">
        <v>701</v>
      </c>
      <c r="C2894" s="86" t="s">
        <v>164</v>
      </c>
      <c r="D2894" s="86" t="s">
        <v>174</v>
      </c>
      <c r="E2894" s="86" t="s">
        <v>1730</v>
      </c>
      <c r="F2894" s="86" t="s">
        <v>1730</v>
      </c>
      <c r="G2894" s="86" t="s">
        <v>1730</v>
      </c>
      <c r="H2894" s="144">
        <v>83</v>
      </c>
      <c r="I2894" s="86" t="s">
        <v>78</v>
      </c>
      <c r="J2894" s="1" t="s">
        <v>3303</v>
      </c>
      <c r="K2894" s="1" t="s">
        <v>3276</v>
      </c>
      <c r="L2894" s="1" t="s">
        <v>701</v>
      </c>
      <c r="M2894" s="86" t="s">
        <v>1730</v>
      </c>
      <c r="N2894" s="86"/>
      <c r="O2894" s="47" t="s">
        <v>410</v>
      </c>
      <c r="P2894" s="47" t="s">
        <v>41</v>
      </c>
      <c r="Q2894" s="14">
        <v>0</v>
      </c>
      <c r="R2894" s="143">
        <v>7208</v>
      </c>
      <c r="S2894" s="47"/>
      <c r="T2894" s="6">
        <v>4104.2000000000007</v>
      </c>
      <c r="U2894" s="6">
        <v>15000</v>
      </c>
      <c r="V2894" s="6">
        <v>13698</v>
      </c>
      <c r="W2894" s="6">
        <f t="shared" si="452"/>
        <v>5406.2000000000007</v>
      </c>
      <c r="X2894" s="6">
        <f t="shared" si="453"/>
        <v>13698</v>
      </c>
      <c r="Y2894" s="13">
        <f t="shared" si="456"/>
        <v>0</v>
      </c>
      <c r="Z2894" s="14">
        <v>0</v>
      </c>
      <c r="AA2894" s="6">
        <v>0</v>
      </c>
      <c r="AB2894" s="4">
        <v>13698</v>
      </c>
      <c r="AC2894" s="4">
        <f t="shared" si="459"/>
        <v>0</v>
      </c>
      <c r="AD2894" s="6">
        <f t="shared" si="454"/>
        <v>13698</v>
      </c>
      <c r="AE2894" s="2">
        <f>VLOOKUP(I2894,[1]媒体政策预估表!A:N,MATCH(O2894,[1]媒体政策预估表!$A$2:$M$2,0),0)</f>
        <v>0.17</v>
      </c>
      <c r="AF2894" s="6">
        <f t="shared" si="460"/>
        <v>2328.6600000000003</v>
      </c>
      <c r="AG2894" s="14">
        <v>0</v>
      </c>
      <c r="AH2894" s="64">
        <f t="shared" si="455"/>
        <v>13698</v>
      </c>
      <c r="AI2894" s="47"/>
      <c r="AJ2894" s="126" t="s">
        <v>4217</v>
      </c>
      <c r="AK2894" s="80">
        <f t="shared" si="458"/>
        <v>0</v>
      </c>
      <c r="AM2894" s="85"/>
    </row>
    <row r="2895" spans="1:39" hidden="1" x14ac:dyDescent="0.3">
      <c r="A2895" s="89" t="s">
        <v>3409</v>
      </c>
      <c r="B2895" s="86" t="s">
        <v>701</v>
      </c>
      <c r="C2895" s="86" t="s">
        <v>164</v>
      </c>
      <c r="D2895" s="86" t="s">
        <v>174</v>
      </c>
      <c r="E2895" s="86" t="s">
        <v>1730</v>
      </c>
      <c r="F2895" s="86" t="s">
        <v>1730</v>
      </c>
      <c r="G2895" s="86" t="s">
        <v>1730</v>
      </c>
      <c r="H2895" s="144">
        <v>83</v>
      </c>
      <c r="I2895" s="86" t="s">
        <v>78</v>
      </c>
      <c r="J2895" s="1" t="s">
        <v>3303</v>
      </c>
      <c r="K2895" s="1" t="s">
        <v>3276</v>
      </c>
      <c r="L2895" s="1" t="s">
        <v>701</v>
      </c>
      <c r="M2895" s="86" t="s">
        <v>2825</v>
      </c>
      <c r="N2895" s="86"/>
      <c r="O2895" s="47" t="s">
        <v>410</v>
      </c>
      <c r="P2895" s="47" t="s">
        <v>41</v>
      </c>
      <c r="Q2895" s="14">
        <v>0</v>
      </c>
      <c r="R2895" s="143">
        <v>7485</v>
      </c>
      <c r="S2895" s="47"/>
      <c r="T2895" s="6">
        <v>2950.5999999999995</v>
      </c>
      <c r="U2895" s="6">
        <v>10000</v>
      </c>
      <c r="V2895" s="6">
        <v>8188.1</v>
      </c>
      <c r="W2895" s="6">
        <f t="shared" si="452"/>
        <v>4762.4999999999982</v>
      </c>
      <c r="X2895" s="6">
        <f t="shared" si="453"/>
        <v>8188.1</v>
      </c>
      <c r="Y2895" s="13">
        <f t="shared" si="456"/>
        <v>0</v>
      </c>
      <c r="Z2895" s="14">
        <v>0</v>
      </c>
      <c r="AA2895" s="6">
        <v>0</v>
      </c>
      <c r="AB2895" s="4">
        <v>8188.1</v>
      </c>
      <c r="AC2895" s="4">
        <f t="shared" si="459"/>
        <v>0</v>
      </c>
      <c r="AD2895" s="6">
        <f t="shared" si="454"/>
        <v>8188.1</v>
      </c>
      <c r="AE2895" s="2">
        <f>VLOOKUP(I2895,[1]媒体政策预估表!A:N,MATCH(O2895,[1]媒体政策预估表!$A$2:$M$2,0),0)</f>
        <v>0.17</v>
      </c>
      <c r="AF2895" s="6">
        <f t="shared" si="460"/>
        <v>1391.9770000000001</v>
      </c>
      <c r="AG2895" s="14">
        <v>0</v>
      </c>
      <c r="AH2895" s="64">
        <f t="shared" si="455"/>
        <v>8188.1</v>
      </c>
      <c r="AI2895" s="47"/>
      <c r="AJ2895" s="126" t="s">
        <v>4217</v>
      </c>
      <c r="AK2895" s="80">
        <f t="shared" si="458"/>
        <v>0</v>
      </c>
      <c r="AM2895" s="85"/>
    </row>
    <row r="2896" spans="1:39" hidden="1" x14ac:dyDescent="0.3">
      <c r="A2896" s="89" t="s">
        <v>3409</v>
      </c>
      <c r="B2896" s="86" t="s">
        <v>3410</v>
      </c>
      <c r="C2896" s="86" t="s">
        <v>164</v>
      </c>
      <c r="D2896" s="86" t="s">
        <v>174</v>
      </c>
      <c r="E2896" s="86" t="s">
        <v>2826</v>
      </c>
      <c r="F2896" s="86" t="s">
        <v>2827</v>
      </c>
      <c r="G2896" s="86" t="s">
        <v>2826</v>
      </c>
      <c r="H2896" s="143">
        <v>83</v>
      </c>
      <c r="I2896" s="86" t="s">
        <v>78</v>
      </c>
      <c r="J2896" s="1" t="s">
        <v>3303</v>
      </c>
      <c r="K2896" s="1" t="s">
        <v>3276</v>
      </c>
      <c r="L2896" s="1" t="s">
        <v>701</v>
      </c>
      <c r="M2896" s="86" t="s">
        <v>2826</v>
      </c>
      <c r="N2896" s="86"/>
      <c r="O2896" s="47" t="s">
        <v>410</v>
      </c>
      <c r="P2896" s="47" t="s">
        <v>46</v>
      </c>
      <c r="Q2896" s="14">
        <v>0.01</v>
      </c>
      <c r="R2896" s="143">
        <v>7556</v>
      </c>
      <c r="S2896" s="47"/>
      <c r="T2896" s="6">
        <v>47123.1</v>
      </c>
      <c r="U2896" s="6">
        <v>-47052.57</v>
      </c>
      <c r="V2896" s="6">
        <v>0</v>
      </c>
      <c r="W2896" s="6">
        <f t="shared" si="452"/>
        <v>70.529999999998836</v>
      </c>
      <c r="X2896" s="6">
        <f t="shared" si="453"/>
        <v>0</v>
      </c>
      <c r="Y2896" s="13">
        <f t="shared" si="456"/>
        <v>0</v>
      </c>
      <c r="Z2896" s="14">
        <v>0</v>
      </c>
      <c r="AA2896" s="6">
        <v>0</v>
      </c>
      <c r="AB2896" s="4">
        <f t="shared" si="457"/>
        <v>0</v>
      </c>
      <c r="AC2896" s="4">
        <f t="shared" si="459"/>
        <v>0</v>
      </c>
      <c r="AD2896" s="6">
        <f t="shared" si="454"/>
        <v>0</v>
      </c>
      <c r="AE2896" s="2">
        <f>VLOOKUP(I2896,[1]媒体政策预估表!A:N,MATCH(O2896,[1]媒体政策预估表!$A$2:$M$2,0),0)</f>
        <v>0.17</v>
      </c>
      <c r="AF2896" s="6">
        <f t="shared" si="460"/>
        <v>0</v>
      </c>
      <c r="AG2896" s="14">
        <v>0</v>
      </c>
      <c r="AH2896" s="64">
        <f t="shared" si="455"/>
        <v>0</v>
      </c>
      <c r="AI2896" s="47"/>
      <c r="AJ2896" s="126" t="e">
        <v>#N/A</v>
      </c>
      <c r="AK2896" s="80">
        <f t="shared" si="458"/>
        <v>0</v>
      </c>
      <c r="AM2896" s="85"/>
    </row>
    <row r="2897" spans="1:39" hidden="1" x14ac:dyDescent="0.3">
      <c r="A2897" s="89" t="s">
        <v>3397</v>
      </c>
      <c r="B2897" s="86" t="s">
        <v>701</v>
      </c>
      <c r="C2897" s="86" t="s">
        <v>164</v>
      </c>
      <c r="D2897" s="86" t="s">
        <v>174</v>
      </c>
      <c r="E2897" s="86" t="s">
        <v>2826</v>
      </c>
      <c r="F2897" s="86" t="s">
        <v>2827</v>
      </c>
      <c r="G2897" s="86" t="s">
        <v>2826</v>
      </c>
      <c r="H2897" s="144">
        <v>83</v>
      </c>
      <c r="I2897" s="86" t="s">
        <v>78</v>
      </c>
      <c r="J2897" s="1" t="s">
        <v>3303</v>
      </c>
      <c r="K2897" s="1" t="s">
        <v>3276</v>
      </c>
      <c r="L2897" s="1" t="s">
        <v>701</v>
      </c>
      <c r="M2897" s="86" t="s">
        <v>2826</v>
      </c>
      <c r="N2897" s="86"/>
      <c r="O2897" s="47" t="s">
        <v>410</v>
      </c>
      <c r="P2897" s="47" t="s">
        <v>41</v>
      </c>
      <c r="Q2897" s="14">
        <v>0</v>
      </c>
      <c r="R2897" s="143">
        <v>7556</v>
      </c>
      <c r="S2897" s="47"/>
      <c r="T2897" s="6">
        <v>-33701.75</v>
      </c>
      <c r="U2897" s="6">
        <v>97052.57</v>
      </c>
      <c r="V2897" s="6">
        <v>52949.549999999996</v>
      </c>
      <c r="W2897" s="6">
        <f t="shared" si="452"/>
        <v>10401.270000000011</v>
      </c>
      <c r="X2897" s="6">
        <f t="shared" si="453"/>
        <v>52949.549999999996</v>
      </c>
      <c r="Y2897" s="13">
        <f t="shared" si="456"/>
        <v>0</v>
      </c>
      <c r="Z2897" s="14">
        <v>0</v>
      </c>
      <c r="AA2897" s="6">
        <v>0</v>
      </c>
      <c r="AB2897" s="4">
        <f t="shared" si="457"/>
        <v>52949.549999999996</v>
      </c>
      <c r="AC2897" s="4">
        <f t="shared" si="459"/>
        <v>0</v>
      </c>
      <c r="AD2897" s="6">
        <f t="shared" si="454"/>
        <v>52949.549999999996</v>
      </c>
      <c r="AE2897" s="2">
        <f>VLOOKUP(I2897,[1]媒体政策预估表!A:N,MATCH(O2897,[1]媒体政策预估表!$A$2:$M$2,0),0)</f>
        <v>0.17</v>
      </c>
      <c r="AF2897" s="6">
        <f t="shared" si="460"/>
        <v>9001.4235000000008</v>
      </c>
      <c r="AG2897" s="14">
        <v>0</v>
      </c>
      <c r="AH2897" s="64">
        <f t="shared" si="455"/>
        <v>52949.549999999996</v>
      </c>
      <c r="AI2897" s="47"/>
      <c r="AJ2897" s="126" t="e">
        <v>#N/A</v>
      </c>
      <c r="AK2897" s="80">
        <f t="shared" si="458"/>
        <v>0</v>
      </c>
      <c r="AM2897" s="85"/>
    </row>
    <row r="2898" spans="1:39" hidden="1" x14ac:dyDescent="0.3">
      <c r="A2898" s="89" t="s">
        <v>3408</v>
      </c>
      <c r="B2898" s="86" t="s">
        <v>701</v>
      </c>
      <c r="C2898" s="86" t="s">
        <v>164</v>
      </c>
      <c r="D2898" s="86" t="s">
        <v>174</v>
      </c>
      <c r="E2898" s="86" t="s">
        <v>681</v>
      </c>
      <c r="F2898" s="86" t="s">
        <v>681</v>
      </c>
      <c r="G2898" s="86" t="s">
        <v>681</v>
      </c>
      <c r="H2898" s="144">
        <v>83</v>
      </c>
      <c r="I2898" s="86" t="s">
        <v>78</v>
      </c>
      <c r="J2898" s="1" t="s">
        <v>3303</v>
      </c>
      <c r="K2898" s="1" t="s">
        <v>3276</v>
      </c>
      <c r="L2898" s="1" t="s">
        <v>701</v>
      </c>
      <c r="M2898" s="86" t="s">
        <v>2828</v>
      </c>
      <c r="N2898" s="86"/>
      <c r="O2898" s="47" t="s">
        <v>410</v>
      </c>
      <c r="P2898" s="47" t="s">
        <v>46</v>
      </c>
      <c r="Q2898" s="14">
        <v>0.03</v>
      </c>
      <c r="R2898" s="143">
        <v>109</v>
      </c>
      <c r="S2898" s="47"/>
      <c r="T2898" s="6">
        <v>32619.810000000027</v>
      </c>
      <c r="U2898" s="6">
        <v>70000</v>
      </c>
      <c r="V2898" s="6">
        <v>63140.890000000007</v>
      </c>
      <c r="W2898" s="6">
        <f t="shared" si="452"/>
        <v>39478.92000000002</v>
      </c>
      <c r="X2898" s="6">
        <f t="shared" si="453"/>
        <v>61301.834951456316</v>
      </c>
      <c r="Y2898" s="13">
        <f t="shared" si="456"/>
        <v>0</v>
      </c>
      <c r="Z2898" s="14">
        <v>0</v>
      </c>
      <c r="AA2898" s="6">
        <v>0</v>
      </c>
      <c r="AB2898" s="4">
        <f t="shared" si="457"/>
        <v>61301.834951456316</v>
      </c>
      <c r="AC2898" s="4">
        <f t="shared" si="459"/>
        <v>1839.0550485436906</v>
      </c>
      <c r="AD2898" s="6">
        <f t="shared" si="454"/>
        <v>63140.890000000007</v>
      </c>
      <c r="AE2898" s="2">
        <f>VLOOKUP(I2898,[1]媒体政策预估表!A:N,MATCH(O2898,[1]媒体政策预估表!$A$2:$M$2,0),0)</f>
        <v>0.17</v>
      </c>
      <c r="AF2898" s="6">
        <f t="shared" si="460"/>
        <v>10733.951300000002</v>
      </c>
      <c r="AG2898" s="14">
        <v>0</v>
      </c>
      <c r="AH2898" s="64">
        <f t="shared" si="455"/>
        <v>63140.890000000007</v>
      </c>
      <c r="AI2898" s="47"/>
      <c r="AJ2898" s="126" t="e">
        <v>#N/A</v>
      </c>
      <c r="AK2898" s="80">
        <f t="shared" si="458"/>
        <v>0</v>
      </c>
      <c r="AM2898" s="85"/>
    </row>
    <row r="2899" spans="1:39" hidden="1" x14ac:dyDescent="0.3">
      <c r="A2899" s="89" t="s">
        <v>3408</v>
      </c>
      <c r="B2899" s="86" t="s">
        <v>35</v>
      </c>
      <c r="C2899" s="86" t="s">
        <v>36</v>
      </c>
      <c r="D2899" s="86" t="s">
        <v>37</v>
      </c>
      <c r="E2899" s="86" t="s">
        <v>285</v>
      </c>
      <c r="F2899" s="86" t="s">
        <v>2698</v>
      </c>
      <c r="G2899" s="86" t="s">
        <v>1845</v>
      </c>
      <c r="H2899" s="144">
        <v>83</v>
      </c>
      <c r="I2899" s="86" t="s">
        <v>78</v>
      </c>
      <c r="J2899" s="1" t="s">
        <v>3303</v>
      </c>
      <c r="K2899" s="1" t="s">
        <v>3276</v>
      </c>
      <c r="L2899" s="1" t="s">
        <v>701</v>
      </c>
      <c r="M2899" s="86" t="s">
        <v>285</v>
      </c>
      <c r="N2899" s="86"/>
      <c r="O2899" s="47" t="s">
        <v>410</v>
      </c>
      <c r="P2899" s="47" t="s">
        <v>41</v>
      </c>
      <c r="Q2899" s="14">
        <v>0</v>
      </c>
      <c r="R2899" s="143">
        <v>7654</v>
      </c>
      <c r="S2899" s="47"/>
      <c r="T2899" s="6">
        <v>4972.8500000000004</v>
      </c>
      <c r="U2899" s="6"/>
      <c r="V2899" s="6">
        <v>137.56</v>
      </c>
      <c r="W2899" s="6">
        <f t="shared" si="452"/>
        <v>4835.29</v>
      </c>
      <c r="X2899" s="6">
        <f t="shared" si="453"/>
        <v>137.56</v>
      </c>
      <c r="Y2899" s="13">
        <f t="shared" si="456"/>
        <v>0</v>
      </c>
      <c r="Z2899" s="14">
        <v>0</v>
      </c>
      <c r="AA2899" s="6">
        <v>0</v>
      </c>
      <c r="AB2899" s="4">
        <f t="shared" si="457"/>
        <v>137.56</v>
      </c>
      <c r="AC2899" s="4">
        <f t="shared" si="459"/>
        <v>0</v>
      </c>
      <c r="AD2899" s="6">
        <f t="shared" si="454"/>
        <v>137.56</v>
      </c>
      <c r="AE2899" s="2">
        <f>VLOOKUP(I2899,[1]媒体政策预估表!A:N,MATCH(O2899,[1]媒体政策预估表!$A$2:$M$2,0),0)</f>
        <v>0.17</v>
      </c>
      <c r="AF2899" s="6">
        <f t="shared" si="460"/>
        <v>23.385200000000001</v>
      </c>
      <c r="AG2899" s="14">
        <v>0</v>
      </c>
      <c r="AH2899" s="64">
        <f t="shared" si="455"/>
        <v>137.56</v>
      </c>
      <c r="AI2899" s="47"/>
      <c r="AJ2899" s="126" t="e">
        <v>#N/A</v>
      </c>
      <c r="AK2899" s="80">
        <f t="shared" si="458"/>
        <v>0</v>
      </c>
      <c r="AM2899" s="85"/>
    </row>
    <row r="2900" spans="1:39" hidden="1" x14ac:dyDescent="0.3">
      <c r="A2900" s="89" t="s">
        <v>3409</v>
      </c>
      <c r="B2900" s="86" t="s">
        <v>35</v>
      </c>
      <c r="C2900" s="86" t="s">
        <v>36</v>
      </c>
      <c r="D2900" s="86" t="s">
        <v>37</v>
      </c>
      <c r="E2900" s="86" t="s">
        <v>285</v>
      </c>
      <c r="F2900" s="86" t="s">
        <v>2698</v>
      </c>
      <c r="G2900" s="86" t="s">
        <v>1845</v>
      </c>
      <c r="H2900" s="144">
        <v>83</v>
      </c>
      <c r="I2900" s="86" t="s">
        <v>78</v>
      </c>
      <c r="J2900" s="1" t="s">
        <v>3303</v>
      </c>
      <c r="K2900" s="1" t="s">
        <v>3276</v>
      </c>
      <c r="L2900" s="1" t="s">
        <v>701</v>
      </c>
      <c r="M2900" s="86" t="s">
        <v>2699</v>
      </c>
      <c r="N2900" s="86"/>
      <c r="O2900" s="47" t="s">
        <v>410</v>
      </c>
      <c r="P2900" s="47" t="s">
        <v>41</v>
      </c>
      <c r="Q2900" s="14">
        <v>0</v>
      </c>
      <c r="R2900" s="143">
        <v>7174</v>
      </c>
      <c r="S2900" s="47"/>
      <c r="T2900" s="6">
        <v>8715.2900000000009</v>
      </c>
      <c r="U2900" s="6"/>
      <c r="V2900" s="6">
        <v>1848.48</v>
      </c>
      <c r="W2900" s="6">
        <f t="shared" si="452"/>
        <v>6866.8100000000013</v>
      </c>
      <c r="X2900" s="6">
        <f t="shared" si="453"/>
        <v>1848.48</v>
      </c>
      <c r="Y2900" s="13">
        <f t="shared" si="456"/>
        <v>0</v>
      </c>
      <c r="Z2900" s="14">
        <v>0</v>
      </c>
      <c r="AA2900" s="6">
        <v>0</v>
      </c>
      <c r="AB2900" s="4">
        <f t="shared" si="457"/>
        <v>1848.48</v>
      </c>
      <c r="AC2900" s="4">
        <f t="shared" si="459"/>
        <v>0</v>
      </c>
      <c r="AD2900" s="6">
        <f t="shared" si="454"/>
        <v>1848.48</v>
      </c>
      <c r="AE2900" s="2">
        <f>VLOOKUP(I2900,[1]媒体政策预估表!A:N,MATCH(O2900,[1]媒体政策预估表!$A$2:$M$2,0),0)</f>
        <v>0.17</v>
      </c>
      <c r="AF2900" s="6">
        <f t="shared" si="460"/>
        <v>314.24160000000001</v>
      </c>
      <c r="AG2900" s="14">
        <v>0</v>
      </c>
      <c r="AH2900" s="64">
        <f t="shared" si="455"/>
        <v>1848.48</v>
      </c>
      <c r="AI2900" s="47"/>
      <c r="AJ2900" s="126" t="e">
        <v>#N/A</v>
      </c>
      <c r="AK2900" s="80">
        <f t="shared" si="458"/>
        <v>0</v>
      </c>
      <c r="AM2900" s="85"/>
    </row>
    <row r="2901" spans="1:39" hidden="1" x14ac:dyDescent="0.3">
      <c r="A2901" s="89" t="s">
        <v>3397</v>
      </c>
      <c r="B2901" s="86" t="s">
        <v>35</v>
      </c>
      <c r="C2901" s="86" t="s">
        <v>144</v>
      </c>
      <c r="D2901" s="86" t="s">
        <v>161</v>
      </c>
      <c r="E2901" s="86" t="s">
        <v>163</v>
      </c>
      <c r="F2901" s="86" t="s">
        <v>2713</v>
      </c>
      <c r="G2901" s="86" t="s">
        <v>1845</v>
      </c>
      <c r="H2901" s="144">
        <v>83</v>
      </c>
      <c r="I2901" s="86" t="s">
        <v>78</v>
      </c>
      <c r="J2901" s="1" t="s">
        <v>3303</v>
      </c>
      <c r="K2901" s="1" t="s">
        <v>3276</v>
      </c>
      <c r="L2901" s="1" t="s">
        <v>701</v>
      </c>
      <c r="M2901" s="86" t="s">
        <v>2714</v>
      </c>
      <c r="N2901" s="86"/>
      <c r="O2901" s="47" t="s">
        <v>410</v>
      </c>
      <c r="P2901" s="47" t="s">
        <v>41</v>
      </c>
      <c r="Q2901" s="14">
        <v>0</v>
      </c>
      <c r="R2901" s="143">
        <v>7135</v>
      </c>
      <c r="S2901" s="47"/>
      <c r="T2901" s="6">
        <v>4342.119999999999</v>
      </c>
      <c r="U2901" s="6"/>
      <c r="V2901" s="6">
        <v>1696.6999999999998</v>
      </c>
      <c r="W2901" s="6">
        <f t="shared" si="452"/>
        <v>2645.4199999999992</v>
      </c>
      <c r="X2901" s="6">
        <f t="shared" si="453"/>
        <v>1696.6999999999998</v>
      </c>
      <c r="Y2901" s="13">
        <f t="shared" si="456"/>
        <v>0</v>
      </c>
      <c r="Z2901" s="14">
        <v>0</v>
      </c>
      <c r="AA2901" s="6">
        <v>0</v>
      </c>
      <c r="AB2901" s="4">
        <f t="shared" si="457"/>
        <v>1696.6999999999998</v>
      </c>
      <c r="AC2901" s="4">
        <f t="shared" si="459"/>
        <v>0</v>
      </c>
      <c r="AD2901" s="6">
        <f t="shared" si="454"/>
        <v>1696.6999999999998</v>
      </c>
      <c r="AE2901" s="2">
        <f>VLOOKUP(I2901,[1]媒体政策预估表!A:N,MATCH(O2901,[1]媒体政策预估表!$A$2:$M$2,0),0)</f>
        <v>0.17</v>
      </c>
      <c r="AF2901" s="6">
        <f t="shared" si="460"/>
        <v>288.43899999999996</v>
      </c>
      <c r="AG2901" s="14">
        <v>0</v>
      </c>
      <c r="AH2901" s="64">
        <f t="shared" si="455"/>
        <v>1696.6999999999998</v>
      </c>
      <c r="AI2901" s="47"/>
      <c r="AJ2901" s="126" t="e">
        <v>#N/A</v>
      </c>
      <c r="AK2901" s="80">
        <f t="shared" si="458"/>
        <v>0</v>
      </c>
      <c r="AM2901" s="85"/>
    </row>
    <row r="2902" spans="1:39" hidden="1" x14ac:dyDescent="0.3">
      <c r="A2902" s="89" t="s">
        <v>3397</v>
      </c>
      <c r="B2902" s="86" t="s">
        <v>35</v>
      </c>
      <c r="C2902" s="86" t="s">
        <v>164</v>
      </c>
      <c r="D2902" s="86" t="s">
        <v>169</v>
      </c>
      <c r="E2902" s="86" t="s">
        <v>2695</v>
      </c>
      <c r="F2902" s="86" t="s">
        <v>2717</v>
      </c>
      <c r="G2902" s="86" t="s">
        <v>1845</v>
      </c>
      <c r="H2902" s="144">
        <v>83</v>
      </c>
      <c r="I2902" s="86" t="s">
        <v>78</v>
      </c>
      <c r="J2902" s="1" t="s">
        <v>3303</v>
      </c>
      <c r="K2902" s="1" t="s">
        <v>3276</v>
      </c>
      <c r="L2902" s="1" t="s">
        <v>701</v>
      </c>
      <c r="M2902" s="86" t="s">
        <v>2718</v>
      </c>
      <c r="N2902" s="86"/>
      <c r="O2902" s="47" t="s">
        <v>410</v>
      </c>
      <c r="P2902" s="47" t="s">
        <v>41</v>
      </c>
      <c r="Q2902" s="14">
        <v>0</v>
      </c>
      <c r="R2902" s="143">
        <v>7095</v>
      </c>
      <c r="S2902" s="47"/>
      <c r="T2902" s="6">
        <v>71813.100000000035</v>
      </c>
      <c r="U2902" s="6"/>
      <c r="V2902" s="6">
        <v>33445.199999999997</v>
      </c>
      <c r="W2902" s="6">
        <f t="shared" si="452"/>
        <v>38367.900000000038</v>
      </c>
      <c r="X2902" s="6">
        <f t="shared" si="453"/>
        <v>33445.199999999997</v>
      </c>
      <c r="Y2902" s="13">
        <f t="shared" si="456"/>
        <v>0</v>
      </c>
      <c r="Z2902" s="14">
        <v>0</v>
      </c>
      <c r="AA2902" s="6">
        <v>0</v>
      </c>
      <c r="AB2902" s="4">
        <f t="shared" si="457"/>
        <v>33445.199999999997</v>
      </c>
      <c r="AC2902" s="4">
        <f t="shared" si="459"/>
        <v>0</v>
      </c>
      <c r="AD2902" s="6">
        <f t="shared" si="454"/>
        <v>33445.199999999997</v>
      </c>
      <c r="AE2902" s="2">
        <f>VLOOKUP(I2902,[1]媒体政策预估表!A:N,MATCH(O2902,[1]媒体政策预估表!$A$2:$M$2,0),0)</f>
        <v>0.17</v>
      </c>
      <c r="AF2902" s="6">
        <f t="shared" si="460"/>
        <v>5685.6840000000002</v>
      </c>
      <c r="AG2902" s="14">
        <v>0</v>
      </c>
      <c r="AH2902" s="64">
        <f t="shared" si="455"/>
        <v>33445.199999999997</v>
      </c>
      <c r="AI2902" s="47"/>
      <c r="AJ2902" s="126" t="e">
        <v>#N/A</v>
      </c>
      <c r="AK2902" s="80">
        <f t="shared" si="458"/>
        <v>0</v>
      </c>
      <c r="AM2902" s="85"/>
    </row>
    <row r="2903" spans="1:39" hidden="1" x14ac:dyDescent="0.3">
      <c r="A2903" s="89" t="s">
        <v>3409</v>
      </c>
      <c r="B2903" s="86" t="s">
        <v>35</v>
      </c>
      <c r="C2903" s="86" t="s">
        <v>164</v>
      </c>
      <c r="D2903" s="86" t="s">
        <v>169</v>
      </c>
      <c r="E2903" s="86" t="s">
        <v>2695</v>
      </c>
      <c r="F2903" s="86" t="s">
        <v>2717</v>
      </c>
      <c r="G2903" s="86" t="s">
        <v>1845</v>
      </c>
      <c r="H2903" s="144">
        <v>83</v>
      </c>
      <c r="I2903" s="86" t="s">
        <v>78</v>
      </c>
      <c r="J2903" s="1" t="s">
        <v>3303</v>
      </c>
      <c r="K2903" s="1" t="s">
        <v>3276</v>
      </c>
      <c r="L2903" s="1" t="s">
        <v>701</v>
      </c>
      <c r="M2903" s="86" t="s">
        <v>2720</v>
      </c>
      <c r="N2903" s="86"/>
      <c r="O2903" s="47" t="s">
        <v>410</v>
      </c>
      <c r="P2903" s="47" t="s">
        <v>46</v>
      </c>
      <c r="Q2903" s="14">
        <v>0.03</v>
      </c>
      <c r="R2903" s="143">
        <v>7169</v>
      </c>
      <c r="S2903" s="47"/>
      <c r="T2903" s="6">
        <v>3444.2000000000262</v>
      </c>
      <c r="U2903" s="6"/>
      <c r="V2903" s="6">
        <v>3444.2000000000262</v>
      </c>
      <c r="W2903" s="6">
        <f t="shared" si="452"/>
        <v>0</v>
      </c>
      <c r="X2903" s="6">
        <f t="shared" si="453"/>
        <v>3343.8834951456565</v>
      </c>
      <c r="Y2903" s="13">
        <f t="shared" si="456"/>
        <v>0</v>
      </c>
      <c r="Z2903" s="14">
        <v>0</v>
      </c>
      <c r="AA2903" s="6">
        <v>0</v>
      </c>
      <c r="AB2903" s="4">
        <f t="shared" si="457"/>
        <v>3343.8834951456565</v>
      </c>
      <c r="AC2903" s="4">
        <f t="shared" si="459"/>
        <v>100.31650485436967</v>
      </c>
      <c r="AD2903" s="6">
        <f t="shared" si="454"/>
        <v>3444.2000000000262</v>
      </c>
      <c r="AE2903" s="2">
        <f>VLOOKUP(I2903,[1]媒体政策预估表!A:N,MATCH(O2903,[1]媒体政策预估表!$A$2:$M$2,0),0)</f>
        <v>0.17</v>
      </c>
      <c r="AF2903" s="6">
        <f t="shared" si="460"/>
        <v>585.51400000000444</v>
      </c>
      <c r="AG2903" s="14">
        <v>0</v>
      </c>
      <c r="AH2903" s="64">
        <f t="shared" si="455"/>
        <v>3444.2000000000262</v>
      </c>
      <c r="AI2903" s="47"/>
      <c r="AJ2903" s="126" t="e">
        <v>#N/A</v>
      </c>
      <c r="AK2903" s="80">
        <f t="shared" si="458"/>
        <v>0</v>
      </c>
      <c r="AM2903" s="85"/>
    </row>
    <row r="2904" spans="1:39" hidden="1" x14ac:dyDescent="0.3">
      <c r="A2904" s="89" t="s">
        <v>3409</v>
      </c>
      <c r="B2904" s="86" t="s">
        <v>35</v>
      </c>
      <c r="C2904" s="86" t="s">
        <v>164</v>
      </c>
      <c r="D2904" s="86" t="s">
        <v>169</v>
      </c>
      <c r="E2904" s="86" t="s">
        <v>2695</v>
      </c>
      <c r="F2904" s="86" t="s">
        <v>2717</v>
      </c>
      <c r="G2904" s="86" t="s">
        <v>1845</v>
      </c>
      <c r="H2904" s="144">
        <v>83</v>
      </c>
      <c r="I2904" s="86" t="s">
        <v>78</v>
      </c>
      <c r="J2904" s="1" t="s">
        <v>3303</v>
      </c>
      <c r="K2904" s="1" t="s">
        <v>3276</v>
      </c>
      <c r="L2904" s="1" t="s">
        <v>701</v>
      </c>
      <c r="M2904" s="86" t="s">
        <v>2720</v>
      </c>
      <c r="N2904" s="86"/>
      <c r="O2904" s="47" t="s">
        <v>410</v>
      </c>
      <c r="P2904" s="47" t="s">
        <v>41</v>
      </c>
      <c r="Q2904" s="14">
        <v>0</v>
      </c>
      <c r="R2904" s="143">
        <v>7169</v>
      </c>
      <c r="S2904" s="47"/>
      <c r="T2904" s="6">
        <v>50000</v>
      </c>
      <c r="U2904" s="6"/>
      <c r="V2904" s="6">
        <v>25187.299999999974</v>
      </c>
      <c r="W2904" s="6">
        <f t="shared" si="452"/>
        <v>24812.700000000026</v>
      </c>
      <c r="X2904" s="6">
        <f t="shared" si="453"/>
        <v>25187.299999999974</v>
      </c>
      <c r="Y2904" s="13">
        <f t="shared" si="456"/>
        <v>0</v>
      </c>
      <c r="Z2904" s="14">
        <v>0</v>
      </c>
      <c r="AA2904" s="6">
        <v>0</v>
      </c>
      <c r="AB2904" s="4">
        <f t="shared" si="457"/>
        <v>25187.299999999974</v>
      </c>
      <c r="AC2904" s="4">
        <f t="shared" si="459"/>
        <v>0</v>
      </c>
      <c r="AD2904" s="6">
        <f t="shared" si="454"/>
        <v>25187.299999999974</v>
      </c>
      <c r="AE2904" s="2">
        <f>VLOOKUP(I2904,[1]媒体政策预估表!A:N,MATCH(O2904,[1]媒体政策预估表!$A$2:$M$2,0),0)</f>
        <v>0.17</v>
      </c>
      <c r="AF2904" s="6">
        <f t="shared" si="460"/>
        <v>4281.8409999999958</v>
      </c>
      <c r="AG2904" s="14">
        <v>0</v>
      </c>
      <c r="AH2904" s="64">
        <f t="shared" si="455"/>
        <v>25187.299999999974</v>
      </c>
      <c r="AI2904" s="47"/>
      <c r="AJ2904" s="126" t="e">
        <v>#N/A</v>
      </c>
      <c r="AK2904" s="80">
        <f t="shared" si="458"/>
        <v>0</v>
      </c>
      <c r="AM2904" s="85"/>
    </row>
    <row r="2905" spans="1:39" hidden="1" x14ac:dyDescent="0.3">
      <c r="A2905" s="89" t="s">
        <v>3409</v>
      </c>
      <c r="B2905" s="86" t="s">
        <v>35</v>
      </c>
      <c r="C2905" s="86" t="s">
        <v>164</v>
      </c>
      <c r="D2905" s="86" t="s">
        <v>181</v>
      </c>
      <c r="E2905" s="86" t="s">
        <v>182</v>
      </c>
      <c r="F2905" s="86" t="s">
        <v>2721</v>
      </c>
      <c r="G2905" s="86" t="s">
        <v>1845</v>
      </c>
      <c r="H2905" s="144">
        <v>83</v>
      </c>
      <c r="I2905" s="86" t="s">
        <v>78</v>
      </c>
      <c r="J2905" s="1" t="s">
        <v>3303</v>
      </c>
      <c r="K2905" s="1" t="s">
        <v>3276</v>
      </c>
      <c r="L2905" s="1" t="s">
        <v>701</v>
      </c>
      <c r="M2905" s="86" t="s">
        <v>182</v>
      </c>
      <c r="N2905" s="86"/>
      <c r="O2905" s="47" t="s">
        <v>410</v>
      </c>
      <c r="P2905" s="47" t="s">
        <v>41</v>
      </c>
      <c r="Q2905" s="14">
        <v>0</v>
      </c>
      <c r="R2905" s="143">
        <v>7121</v>
      </c>
      <c r="S2905" s="47"/>
      <c r="T2905" s="6">
        <v>8704.6000000000131</v>
      </c>
      <c r="U2905" s="6"/>
      <c r="V2905" s="6">
        <v>8164.4000000000005</v>
      </c>
      <c r="W2905" s="6">
        <f t="shared" si="452"/>
        <v>540.20000000001255</v>
      </c>
      <c r="X2905" s="6">
        <f t="shared" si="453"/>
        <v>8164.4000000000005</v>
      </c>
      <c r="Y2905" s="13">
        <f t="shared" si="456"/>
        <v>0</v>
      </c>
      <c r="Z2905" s="14">
        <v>0.02</v>
      </c>
      <c r="AA2905" s="6">
        <f>X2905/(1-Z2905)*Z2905</f>
        <v>166.62040816326532</v>
      </c>
      <c r="AB2905" s="4">
        <f t="shared" si="457"/>
        <v>8331.0204081632655</v>
      </c>
      <c r="AC2905" s="4">
        <f t="shared" si="459"/>
        <v>0</v>
      </c>
      <c r="AD2905" s="6">
        <f t="shared" si="454"/>
        <v>8164.4000000000005</v>
      </c>
      <c r="AE2905" s="2">
        <f>VLOOKUP(I2905,[1]媒体政策预估表!A:N,MATCH(O2905,[1]媒体政策预估表!$A$2:$M$2,0),0)</f>
        <v>0.17</v>
      </c>
      <c r="AF2905" s="6">
        <f t="shared" si="460"/>
        <v>1387.9480000000001</v>
      </c>
      <c r="AG2905" s="14">
        <v>0</v>
      </c>
      <c r="AH2905" s="64">
        <f t="shared" si="455"/>
        <v>8164.4000000000005</v>
      </c>
      <c r="AI2905" s="47"/>
      <c r="AJ2905" s="126" t="e">
        <v>#N/A</v>
      </c>
      <c r="AK2905" s="80">
        <f t="shared" si="458"/>
        <v>0</v>
      </c>
      <c r="AM2905" s="85"/>
    </row>
    <row r="2906" spans="1:39" hidden="1" x14ac:dyDescent="0.3">
      <c r="A2906" s="89" t="s">
        <v>3397</v>
      </c>
      <c r="B2906" s="86" t="s">
        <v>701</v>
      </c>
      <c r="C2906" s="86" t="s">
        <v>59</v>
      </c>
      <c r="D2906" s="86" t="s">
        <v>60</v>
      </c>
      <c r="E2906" s="86" t="s">
        <v>758</v>
      </c>
      <c r="F2906" s="86" t="s">
        <v>757</v>
      </c>
      <c r="G2906" s="86" t="s">
        <v>758</v>
      </c>
      <c r="H2906" s="144">
        <v>83</v>
      </c>
      <c r="I2906" s="86" t="s">
        <v>78</v>
      </c>
      <c r="J2906" s="1" t="s">
        <v>3303</v>
      </c>
      <c r="K2906" s="1" t="s">
        <v>3276</v>
      </c>
      <c r="L2906" s="1" t="s">
        <v>701</v>
      </c>
      <c r="M2906" s="86" t="s">
        <v>2732</v>
      </c>
      <c r="N2906" s="86"/>
      <c r="O2906" s="47" t="s">
        <v>410</v>
      </c>
      <c r="P2906" s="47" t="s">
        <v>46</v>
      </c>
      <c r="Q2906" s="14">
        <v>0.02</v>
      </c>
      <c r="R2906" s="143">
        <v>102</v>
      </c>
      <c r="S2906" s="47"/>
      <c r="T2906" s="6">
        <v>67266.38</v>
      </c>
      <c r="U2906" s="6"/>
      <c r="V2906" s="6">
        <v>31609.399999999998</v>
      </c>
      <c r="W2906" s="6">
        <f t="shared" si="452"/>
        <v>35656.98000000001</v>
      </c>
      <c r="X2906" s="6">
        <f t="shared" si="453"/>
        <v>30989.607843137252</v>
      </c>
      <c r="Y2906" s="13">
        <f t="shared" si="456"/>
        <v>0</v>
      </c>
      <c r="Z2906" s="14">
        <v>0</v>
      </c>
      <c r="AA2906" s="6">
        <v>0</v>
      </c>
      <c r="AB2906" s="4">
        <f t="shared" si="457"/>
        <v>30989.607843137252</v>
      </c>
      <c r="AC2906" s="4">
        <f t="shared" si="459"/>
        <v>619.7921568627462</v>
      </c>
      <c r="AD2906" s="6">
        <f t="shared" si="454"/>
        <v>31609.399999999998</v>
      </c>
      <c r="AE2906" s="2">
        <f>VLOOKUP(I2906,[1]媒体政策预估表!A:N,MATCH(O2906,[1]媒体政策预估表!$A$2:$M$2,0),0)</f>
        <v>0.17</v>
      </c>
      <c r="AF2906" s="6">
        <f t="shared" si="460"/>
        <v>5373.598</v>
      </c>
      <c r="AG2906" s="14">
        <v>0</v>
      </c>
      <c r="AH2906" s="64">
        <f t="shared" si="455"/>
        <v>31609.399999999998</v>
      </c>
      <c r="AI2906" s="47"/>
      <c r="AJ2906" s="126" t="e">
        <v>#N/A</v>
      </c>
      <c r="AK2906" s="80">
        <f t="shared" si="458"/>
        <v>0</v>
      </c>
      <c r="AM2906" s="85"/>
    </row>
    <row r="2907" spans="1:39" hidden="1" x14ac:dyDescent="0.3">
      <c r="A2907" s="89" t="s">
        <v>3397</v>
      </c>
      <c r="B2907" s="86" t="s">
        <v>701</v>
      </c>
      <c r="C2907" s="86" t="s">
        <v>36</v>
      </c>
      <c r="D2907" s="86" t="s">
        <v>224</v>
      </c>
      <c r="E2907" s="86" t="s">
        <v>2734</v>
      </c>
      <c r="F2907" s="86" t="s">
        <v>2734</v>
      </c>
      <c r="G2907" s="86" t="s">
        <v>2734</v>
      </c>
      <c r="H2907" s="144">
        <v>83</v>
      </c>
      <c r="I2907" s="86" t="s">
        <v>78</v>
      </c>
      <c r="J2907" s="1" t="s">
        <v>3303</v>
      </c>
      <c r="K2907" s="1" t="s">
        <v>3276</v>
      </c>
      <c r="L2907" s="1" t="s">
        <v>701</v>
      </c>
      <c r="M2907" s="86" t="s">
        <v>2735</v>
      </c>
      <c r="N2907" s="86"/>
      <c r="O2907" s="47" t="s">
        <v>410</v>
      </c>
      <c r="P2907" s="47" t="s">
        <v>41</v>
      </c>
      <c r="Q2907" s="14">
        <v>0</v>
      </c>
      <c r="R2907" s="143">
        <v>7647</v>
      </c>
      <c r="S2907" s="47"/>
      <c r="T2907" s="6">
        <v>19568.16</v>
      </c>
      <c r="U2907" s="6"/>
      <c r="V2907" s="6">
        <v>25.05</v>
      </c>
      <c r="W2907" s="6">
        <f t="shared" si="452"/>
        <v>19543.11</v>
      </c>
      <c r="X2907" s="6">
        <f t="shared" si="453"/>
        <v>25.05</v>
      </c>
      <c r="Y2907" s="13">
        <f t="shared" si="456"/>
        <v>0</v>
      </c>
      <c r="Z2907" s="14">
        <v>0</v>
      </c>
      <c r="AA2907" s="6">
        <v>0</v>
      </c>
      <c r="AB2907" s="4">
        <f t="shared" si="457"/>
        <v>25.05</v>
      </c>
      <c r="AC2907" s="4">
        <f t="shared" si="459"/>
        <v>0</v>
      </c>
      <c r="AD2907" s="6">
        <f t="shared" si="454"/>
        <v>25.05</v>
      </c>
      <c r="AE2907" s="2">
        <f>VLOOKUP(I2907,[1]媒体政策预估表!A:N,MATCH(O2907,[1]媒体政策预估表!$A$2:$M$2,0),0)</f>
        <v>0.17</v>
      </c>
      <c r="AF2907" s="6">
        <f t="shared" si="460"/>
        <v>4.2585000000000006</v>
      </c>
      <c r="AG2907" s="14">
        <v>0</v>
      </c>
      <c r="AH2907" s="64">
        <f t="shared" si="455"/>
        <v>25.05</v>
      </c>
      <c r="AI2907" s="47"/>
      <c r="AJ2907" s="126" t="e">
        <v>#N/A</v>
      </c>
      <c r="AK2907" s="80">
        <f t="shared" si="458"/>
        <v>0</v>
      </c>
      <c r="AM2907" s="85"/>
    </row>
    <row r="2908" spans="1:39" hidden="1" x14ac:dyDescent="0.3">
      <c r="A2908" s="89" t="s">
        <v>3408</v>
      </c>
      <c r="B2908" s="86" t="s">
        <v>701</v>
      </c>
      <c r="C2908" s="86" t="s">
        <v>36</v>
      </c>
      <c r="D2908" s="86" t="s">
        <v>224</v>
      </c>
      <c r="E2908" s="86" t="s">
        <v>2736</v>
      </c>
      <c r="F2908" s="86" t="s">
        <v>2736</v>
      </c>
      <c r="G2908" s="86" t="s">
        <v>2736</v>
      </c>
      <c r="H2908" s="144">
        <v>83</v>
      </c>
      <c r="I2908" s="86" t="s">
        <v>78</v>
      </c>
      <c r="J2908" s="1" t="s">
        <v>3303</v>
      </c>
      <c r="K2908" s="1" t="s">
        <v>3276</v>
      </c>
      <c r="L2908" s="1" t="s">
        <v>701</v>
      </c>
      <c r="M2908" s="86" t="s">
        <v>2737</v>
      </c>
      <c r="N2908" s="86"/>
      <c r="O2908" s="47" t="s">
        <v>410</v>
      </c>
      <c r="P2908" s="47" t="s">
        <v>41</v>
      </c>
      <c r="Q2908" s="14">
        <v>0</v>
      </c>
      <c r="R2908" s="143">
        <v>7454</v>
      </c>
      <c r="S2908" s="47"/>
      <c r="T2908" s="6">
        <v>9589.5000999999993</v>
      </c>
      <c r="U2908" s="6"/>
      <c r="V2908" s="6">
        <v>2599.1999999999998</v>
      </c>
      <c r="W2908" s="6">
        <f t="shared" si="452"/>
        <v>6990.3000999999995</v>
      </c>
      <c r="X2908" s="6">
        <f t="shared" si="453"/>
        <v>2599.1999999999998</v>
      </c>
      <c r="Y2908" s="13">
        <f t="shared" si="456"/>
        <v>0</v>
      </c>
      <c r="Z2908" s="14">
        <v>0</v>
      </c>
      <c r="AA2908" s="6">
        <v>0</v>
      </c>
      <c r="AB2908" s="4">
        <f t="shared" si="457"/>
        <v>2599.1999999999998</v>
      </c>
      <c r="AC2908" s="4">
        <f t="shared" si="459"/>
        <v>0</v>
      </c>
      <c r="AD2908" s="6">
        <f t="shared" si="454"/>
        <v>2599.1999999999998</v>
      </c>
      <c r="AE2908" s="2">
        <f>VLOOKUP(I2908,[1]媒体政策预估表!A:N,MATCH(O2908,[1]媒体政策预估表!$A$2:$M$2,0),0)</f>
        <v>0.17</v>
      </c>
      <c r="AF2908" s="6">
        <f t="shared" si="460"/>
        <v>441.86399999999998</v>
      </c>
      <c r="AG2908" s="14">
        <v>0</v>
      </c>
      <c r="AH2908" s="64">
        <f t="shared" si="455"/>
        <v>2599.1999999999998</v>
      </c>
      <c r="AI2908" s="47"/>
      <c r="AJ2908" s="126" t="e">
        <v>#N/A</v>
      </c>
      <c r="AK2908" s="80">
        <f t="shared" si="458"/>
        <v>0</v>
      </c>
      <c r="AM2908" s="85"/>
    </row>
    <row r="2909" spans="1:39" hidden="1" x14ac:dyDescent="0.3">
      <c r="A2909" s="89" t="s">
        <v>3408</v>
      </c>
      <c r="B2909" s="86" t="s">
        <v>701</v>
      </c>
      <c r="C2909" s="86" t="s">
        <v>65</v>
      </c>
      <c r="D2909" s="86" t="s">
        <v>66</v>
      </c>
      <c r="E2909" s="86" t="s">
        <v>2385</v>
      </c>
      <c r="F2909" s="86" t="s">
        <v>2385</v>
      </c>
      <c r="G2909" s="86" t="s">
        <v>2385</v>
      </c>
      <c r="H2909" s="144">
        <v>83</v>
      </c>
      <c r="I2909" s="86" t="s">
        <v>78</v>
      </c>
      <c r="J2909" s="1" t="s">
        <v>3303</v>
      </c>
      <c r="K2909" s="1" t="s">
        <v>3276</v>
      </c>
      <c r="L2909" s="1" t="s">
        <v>701</v>
      </c>
      <c r="M2909" s="86" t="s">
        <v>2385</v>
      </c>
      <c r="N2909" s="86"/>
      <c r="O2909" s="47" t="s">
        <v>410</v>
      </c>
      <c r="P2909" s="47" t="s">
        <v>41</v>
      </c>
      <c r="Q2909" s="14">
        <v>0</v>
      </c>
      <c r="R2909" s="143">
        <v>7092</v>
      </c>
      <c r="S2909" s="47"/>
      <c r="T2909" s="6">
        <v>41820.000000000015</v>
      </c>
      <c r="U2909" s="6"/>
      <c r="V2909" s="6">
        <v>13978.4</v>
      </c>
      <c r="W2909" s="6">
        <f t="shared" si="452"/>
        <v>27841.600000000013</v>
      </c>
      <c r="X2909" s="6">
        <f t="shared" si="453"/>
        <v>13978.4</v>
      </c>
      <c r="Y2909" s="13">
        <f t="shared" si="456"/>
        <v>0</v>
      </c>
      <c r="Z2909" s="14">
        <v>0</v>
      </c>
      <c r="AA2909" s="6">
        <v>0</v>
      </c>
      <c r="AB2909" s="4">
        <f t="shared" si="457"/>
        <v>13978.4</v>
      </c>
      <c r="AC2909" s="4">
        <f t="shared" si="459"/>
        <v>0</v>
      </c>
      <c r="AD2909" s="6">
        <f t="shared" si="454"/>
        <v>13978.4</v>
      </c>
      <c r="AE2909" s="2">
        <f>VLOOKUP(I2909,[1]媒体政策预估表!A:N,MATCH(O2909,[1]媒体政策预估表!$A$2:$M$2,0),0)</f>
        <v>0.17</v>
      </c>
      <c r="AF2909" s="6">
        <f t="shared" si="460"/>
        <v>2376.328</v>
      </c>
      <c r="AG2909" s="14">
        <v>0</v>
      </c>
      <c r="AH2909" s="64">
        <f t="shared" si="455"/>
        <v>13978.4</v>
      </c>
      <c r="AI2909" s="47"/>
      <c r="AJ2909" s="126" t="e">
        <v>#N/A</v>
      </c>
      <c r="AK2909" s="80">
        <f t="shared" si="458"/>
        <v>0</v>
      </c>
      <c r="AM2909" s="85"/>
    </row>
    <row r="2910" spans="1:39" hidden="1" x14ac:dyDescent="0.3">
      <c r="A2910" s="89" t="s">
        <v>3409</v>
      </c>
      <c r="B2910" s="86" t="s">
        <v>701</v>
      </c>
      <c r="C2910" s="86" t="s">
        <v>65</v>
      </c>
      <c r="D2910" s="86" t="s">
        <v>66</v>
      </c>
      <c r="E2910" s="86" t="s">
        <v>2752</v>
      </c>
      <c r="F2910" s="86" t="s">
        <v>2752</v>
      </c>
      <c r="G2910" s="86" t="s">
        <v>2752</v>
      </c>
      <c r="H2910" s="143">
        <v>83</v>
      </c>
      <c r="I2910" s="86" t="s">
        <v>78</v>
      </c>
      <c r="J2910" s="1" t="s">
        <v>3303</v>
      </c>
      <c r="K2910" s="1" t="s">
        <v>3276</v>
      </c>
      <c r="L2910" s="1" t="s">
        <v>701</v>
      </c>
      <c r="M2910" s="86" t="s">
        <v>2753</v>
      </c>
      <c r="N2910" s="86"/>
      <c r="O2910" s="47" t="s">
        <v>410</v>
      </c>
      <c r="P2910" s="47" t="s">
        <v>41</v>
      </c>
      <c r="Q2910" s="14">
        <v>0</v>
      </c>
      <c r="R2910" s="143">
        <v>7593</v>
      </c>
      <c r="S2910" s="47"/>
      <c r="T2910" s="6">
        <v>49355.8</v>
      </c>
      <c r="U2910" s="6"/>
      <c r="V2910" s="6">
        <v>0</v>
      </c>
      <c r="W2910" s="6">
        <f t="shared" si="452"/>
        <v>49355.8</v>
      </c>
      <c r="X2910" s="6">
        <f t="shared" si="453"/>
        <v>0</v>
      </c>
      <c r="Y2910" s="13">
        <f t="shared" si="456"/>
        <v>0</v>
      </c>
      <c r="Z2910" s="14">
        <v>0</v>
      </c>
      <c r="AA2910" s="6">
        <v>0</v>
      </c>
      <c r="AB2910" s="4">
        <f t="shared" si="457"/>
        <v>0</v>
      </c>
      <c r="AC2910" s="4">
        <f t="shared" si="459"/>
        <v>0</v>
      </c>
      <c r="AD2910" s="6">
        <f t="shared" si="454"/>
        <v>0</v>
      </c>
      <c r="AE2910" s="2">
        <f>VLOOKUP(I2910,[1]媒体政策预估表!A:N,MATCH(O2910,[1]媒体政策预估表!$A$2:$M$2,0),0)</f>
        <v>0.17</v>
      </c>
      <c r="AF2910" s="6">
        <f t="shared" si="460"/>
        <v>0</v>
      </c>
      <c r="AG2910" s="14">
        <v>0</v>
      </c>
      <c r="AH2910" s="64">
        <f t="shared" si="455"/>
        <v>0</v>
      </c>
      <c r="AI2910" s="47"/>
      <c r="AJ2910" s="126" t="e">
        <v>#N/A</v>
      </c>
      <c r="AK2910" s="80">
        <f t="shared" si="458"/>
        <v>0</v>
      </c>
      <c r="AM2910" s="85"/>
    </row>
    <row r="2911" spans="1:39" hidden="1" x14ac:dyDescent="0.3">
      <c r="A2911" s="89" t="s">
        <v>3408</v>
      </c>
      <c r="B2911" s="86" t="s">
        <v>701</v>
      </c>
      <c r="C2911" s="86" t="s">
        <v>65</v>
      </c>
      <c r="D2911" s="86" t="s">
        <v>122</v>
      </c>
      <c r="E2911" s="86" t="s">
        <v>1266</v>
      </c>
      <c r="F2911" s="86" t="s">
        <v>1266</v>
      </c>
      <c r="G2911" s="86" t="s">
        <v>1266</v>
      </c>
      <c r="H2911" s="144">
        <v>83</v>
      </c>
      <c r="I2911" s="86" t="s">
        <v>78</v>
      </c>
      <c r="J2911" s="1" t="s">
        <v>3303</v>
      </c>
      <c r="K2911" s="1" t="s">
        <v>3276</v>
      </c>
      <c r="L2911" s="1" t="s">
        <v>701</v>
      </c>
      <c r="M2911" s="86" t="s">
        <v>2762</v>
      </c>
      <c r="N2911" s="86"/>
      <c r="O2911" s="47" t="s">
        <v>410</v>
      </c>
      <c r="P2911" s="47" t="s">
        <v>41</v>
      </c>
      <c r="Q2911" s="14">
        <v>0</v>
      </c>
      <c r="R2911" s="143">
        <v>7635</v>
      </c>
      <c r="S2911" s="47"/>
      <c r="T2911" s="6">
        <v>17989.400000000001</v>
      </c>
      <c r="U2911" s="6"/>
      <c r="V2911" s="6">
        <v>3861</v>
      </c>
      <c r="W2911" s="6">
        <f t="shared" si="452"/>
        <v>14128.400000000001</v>
      </c>
      <c r="X2911" s="6">
        <f t="shared" si="453"/>
        <v>3861</v>
      </c>
      <c r="Y2911" s="13">
        <f t="shared" si="456"/>
        <v>0</v>
      </c>
      <c r="Z2911" s="14">
        <v>0</v>
      </c>
      <c r="AA2911" s="6">
        <v>0</v>
      </c>
      <c r="AB2911" s="4">
        <f t="shared" si="457"/>
        <v>3861</v>
      </c>
      <c r="AC2911" s="4">
        <f t="shared" si="459"/>
        <v>0</v>
      </c>
      <c r="AD2911" s="6">
        <f t="shared" si="454"/>
        <v>3861</v>
      </c>
      <c r="AE2911" s="2">
        <f>VLOOKUP(I2911,[1]媒体政策预估表!A:N,MATCH(O2911,[1]媒体政策预估表!$A$2:$M$2,0),0)</f>
        <v>0.17</v>
      </c>
      <c r="AF2911" s="6">
        <f t="shared" si="460"/>
        <v>656.37</v>
      </c>
      <c r="AG2911" s="14">
        <v>0</v>
      </c>
      <c r="AH2911" s="64">
        <f t="shared" si="455"/>
        <v>3861</v>
      </c>
      <c r="AI2911" s="47"/>
      <c r="AJ2911" s="126" t="e">
        <v>#N/A</v>
      </c>
      <c r="AK2911" s="80">
        <f t="shared" si="458"/>
        <v>0</v>
      </c>
      <c r="AM2911" s="85"/>
    </row>
    <row r="2912" spans="1:39" hidden="1" x14ac:dyDescent="0.3">
      <c r="A2912" s="89" t="s">
        <v>3408</v>
      </c>
      <c r="B2912" s="86" t="s">
        <v>701</v>
      </c>
      <c r="C2912" s="86" t="s">
        <v>65</v>
      </c>
      <c r="D2912" s="86" t="s">
        <v>122</v>
      </c>
      <c r="E2912" s="86" t="s">
        <v>1266</v>
      </c>
      <c r="F2912" s="86" t="s">
        <v>1266</v>
      </c>
      <c r="G2912" s="86" t="s">
        <v>1266</v>
      </c>
      <c r="H2912" s="144">
        <v>83</v>
      </c>
      <c r="I2912" s="86" t="s">
        <v>78</v>
      </c>
      <c r="J2912" s="1" t="s">
        <v>3303</v>
      </c>
      <c r="K2912" s="1" t="s">
        <v>3276</v>
      </c>
      <c r="L2912" s="1" t="s">
        <v>701</v>
      </c>
      <c r="M2912" s="86" t="s">
        <v>2764</v>
      </c>
      <c r="N2912" s="86"/>
      <c r="O2912" s="47" t="s">
        <v>410</v>
      </c>
      <c r="P2912" s="47" t="s">
        <v>41</v>
      </c>
      <c r="Q2912" s="14">
        <v>0</v>
      </c>
      <c r="R2912" s="143">
        <v>7637</v>
      </c>
      <c r="S2912" s="47"/>
      <c r="T2912" s="6">
        <v>18471.8</v>
      </c>
      <c r="U2912" s="6"/>
      <c r="V2912" s="6">
        <v>2210.1</v>
      </c>
      <c r="W2912" s="6">
        <f t="shared" si="452"/>
        <v>16261.699999999999</v>
      </c>
      <c r="X2912" s="6">
        <f t="shared" si="453"/>
        <v>2210.1</v>
      </c>
      <c r="Y2912" s="13">
        <f t="shared" si="456"/>
        <v>0</v>
      </c>
      <c r="Z2912" s="14">
        <v>0</v>
      </c>
      <c r="AA2912" s="6">
        <v>0</v>
      </c>
      <c r="AB2912" s="4">
        <f t="shared" si="457"/>
        <v>2210.1</v>
      </c>
      <c r="AC2912" s="4">
        <f t="shared" si="459"/>
        <v>0</v>
      </c>
      <c r="AD2912" s="6">
        <f t="shared" si="454"/>
        <v>2210.1</v>
      </c>
      <c r="AE2912" s="2">
        <f>VLOOKUP(I2912,[1]媒体政策预估表!A:N,MATCH(O2912,[1]媒体政策预估表!$A$2:$M$2,0),0)</f>
        <v>0.17</v>
      </c>
      <c r="AF2912" s="6">
        <f t="shared" si="460"/>
        <v>375.71699999999998</v>
      </c>
      <c r="AG2912" s="14">
        <v>0</v>
      </c>
      <c r="AH2912" s="64">
        <f t="shared" si="455"/>
        <v>2210.1</v>
      </c>
      <c r="AI2912" s="47"/>
      <c r="AJ2912" s="126" t="e">
        <v>#N/A</v>
      </c>
      <c r="AK2912" s="80">
        <f t="shared" si="458"/>
        <v>0</v>
      </c>
      <c r="AM2912" s="85"/>
    </row>
    <row r="2913" spans="1:39" hidden="1" x14ac:dyDescent="0.3">
      <c r="A2913" s="89" t="s">
        <v>3397</v>
      </c>
      <c r="B2913" s="86" t="s">
        <v>701</v>
      </c>
      <c r="C2913" s="86" t="s">
        <v>47</v>
      </c>
      <c r="D2913" s="86" t="s">
        <v>63</v>
      </c>
      <c r="E2913" s="86" t="s">
        <v>2409</v>
      </c>
      <c r="F2913" s="86" t="s">
        <v>2776</v>
      </c>
      <c r="G2913" s="86" t="s">
        <v>2409</v>
      </c>
      <c r="H2913" s="143">
        <v>83</v>
      </c>
      <c r="I2913" s="86" t="s">
        <v>78</v>
      </c>
      <c r="J2913" s="1" t="s">
        <v>3303</v>
      </c>
      <c r="K2913" s="1" t="s">
        <v>3276</v>
      </c>
      <c r="L2913" s="1" t="s">
        <v>701</v>
      </c>
      <c r="M2913" s="86" t="s">
        <v>2781</v>
      </c>
      <c r="N2913" s="86"/>
      <c r="O2913" s="47" t="s">
        <v>410</v>
      </c>
      <c r="P2913" s="47" t="s">
        <v>46</v>
      </c>
      <c r="Q2913" s="14">
        <v>7.0000000000000007E-2</v>
      </c>
      <c r="R2913" s="143">
        <v>7611</v>
      </c>
      <c r="S2913" s="47"/>
      <c r="T2913" s="6">
        <v>164848.75</v>
      </c>
      <c r="U2913" s="6"/>
      <c r="V2913" s="6">
        <v>0</v>
      </c>
      <c r="W2913" s="6">
        <f t="shared" si="452"/>
        <v>164848.75</v>
      </c>
      <c r="X2913" s="6">
        <f t="shared" si="453"/>
        <v>0</v>
      </c>
      <c r="Y2913" s="13">
        <f t="shared" si="456"/>
        <v>0</v>
      </c>
      <c r="Z2913" s="14">
        <v>0</v>
      </c>
      <c r="AA2913" s="6">
        <v>0</v>
      </c>
      <c r="AB2913" s="4">
        <f t="shared" si="457"/>
        <v>0</v>
      </c>
      <c r="AC2913" s="4">
        <f t="shared" si="459"/>
        <v>0</v>
      </c>
      <c r="AD2913" s="6">
        <f t="shared" si="454"/>
        <v>0</v>
      </c>
      <c r="AE2913" s="2">
        <f>VLOOKUP(I2913,[1]媒体政策预估表!A:N,MATCH(O2913,[1]媒体政策预估表!$A$2:$M$2,0),0)</f>
        <v>0.17</v>
      </c>
      <c r="AF2913" s="6">
        <f t="shared" si="460"/>
        <v>0</v>
      </c>
      <c r="AG2913" s="14">
        <v>0</v>
      </c>
      <c r="AH2913" s="64">
        <f t="shared" si="455"/>
        <v>0</v>
      </c>
      <c r="AI2913" s="47"/>
      <c r="AJ2913" s="126" t="e">
        <v>#N/A</v>
      </c>
      <c r="AK2913" s="80">
        <f t="shared" si="458"/>
        <v>0</v>
      </c>
      <c r="AM2913" s="85"/>
    </row>
    <row r="2914" spans="1:39" hidden="1" x14ac:dyDescent="0.3">
      <c r="A2914" s="89" t="s">
        <v>3409</v>
      </c>
      <c r="B2914" s="86" t="s">
        <v>701</v>
      </c>
      <c r="C2914" s="86" t="s">
        <v>47</v>
      </c>
      <c r="D2914" s="86" t="s">
        <v>48</v>
      </c>
      <c r="E2914" s="86" t="s">
        <v>2789</v>
      </c>
      <c r="F2914" s="86" t="s">
        <v>2789</v>
      </c>
      <c r="G2914" s="86" t="s">
        <v>2789</v>
      </c>
      <c r="H2914" s="144">
        <v>83</v>
      </c>
      <c r="I2914" s="86" t="s">
        <v>78</v>
      </c>
      <c r="J2914" s="1" t="s">
        <v>3303</v>
      </c>
      <c r="K2914" s="1" t="s">
        <v>3276</v>
      </c>
      <c r="L2914" s="1" t="s">
        <v>701</v>
      </c>
      <c r="M2914" s="86" t="s">
        <v>2789</v>
      </c>
      <c r="N2914" s="86"/>
      <c r="O2914" s="47" t="s">
        <v>410</v>
      </c>
      <c r="P2914" s="47" t="s">
        <v>41</v>
      </c>
      <c r="Q2914" s="14">
        <v>0</v>
      </c>
      <c r="R2914" s="143">
        <v>7610</v>
      </c>
      <c r="S2914" s="47"/>
      <c r="T2914" s="6">
        <v>50000</v>
      </c>
      <c r="U2914" s="6"/>
      <c r="V2914" s="6">
        <v>172.12</v>
      </c>
      <c r="W2914" s="6">
        <f t="shared" si="452"/>
        <v>49827.88</v>
      </c>
      <c r="X2914" s="6">
        <f t="shared" si="453"/>
        <v>172.12</v>
      </c>
      <c r="Y2914" s="13">
        <f t="shared" si="456"/>
        <v>0</v>
      </c>
      <c r="Z2914" s="14">
        <v>0</v>
      </c>
      <c r="AA2914" s="6">
        <v>0</v>
      </c>
      <c r="AB2914" s="4">
        <f t="shared" si="457"/>
        <v>172.12</v>
      </c>
      <c r="AC2914" s="4">
        <f t="shared" si="459"/>
        <v>0</v>
      </c>
      <c r="AD2914" s="6">
        <f t="shared" si="454"/>
        <v>172.12</v>
      </c>
      <c r="AE2914" s="2">
        <f>VLOOKUP(I2914,[1]媒体政策预估表!A:N,MATCH(O2914,[1]媒体政策预估表!$A$2:$M$2,0),0)</f>
        <v>0.17</v>
      </c>
      <c r="AF2914" s="6">
        <f t="shared" si="460"/>
        <v>29.260400000000004</v>
      </c>
      <c r="AG2914" s="14">
        <v>0</v>
      </c>
      <c r="AH2914" s="64">
        <f t="shared" si="455"/>
        <v>172.12</v>
      </c>
      <c r="AI2914" s="47"/>
      <c r="AJ2914" s="126" t="e">
        <v>#N/A</v>
      </c>
      <c r="AK2914" s="80">
        <f t="shared" si="458"/>
        <v>0</v>
      </c>
      <c r="AM2914" s="85"/>
    </row>
    <row r="2915" spans="1:39" hidden="1" x14ac:dyDescent="0.3">
      <c r="A2915" s="89" t="s">
        <v>3408</v>
      </c>
      <c r="B2915" s="86" t="s">
        <v>701</v>
      </c>
      <c r="C2915" s="86" t="s">
        <v>144</v>
      </c>
      <c r="D2915" s="86" t="s">
        <v>145</v>
      </c>
      <c r="E2915" s="86" t="s">
        <v>149</v>
      </c>
      <c r="F2915" s="86" t="s">
        <v>149</v>
      </c>
      <c r="G2915" s="86" t="s">
        <v>149</v>
      </c>
      <c r="H2915" s="144">
        <v>83</v>
      </c>
      <c r="I2915" s="86" t="s">
        <v>78</v>
      </c>
      <c r="J2915" s="1" t="s">
        <v>3303</v>
      </c>
      <c r="K2915" s="1" t="s">
        <v>3276</v>
      </c>
      <c r="L2915" s="1" t="s">
        <v>701</v>
      </c>
      <c r="M2915" s="86" t="s">
        <v>2791</v>
      </c>
      <c r="N2915" s="86"/>
      <c r="O2915" s="47" t="s">
        <v>410</v>
      </c>
      <c r="P2915" s="47" t="s">
        <v>41</v>
      </c>
      <c r="Q2915" s="14">
        <v>0</v>
      </c>
      <c r="R2915" s="143">
        <v>7653</v>
      </c>
      <c r="S2915" s="47"/>
      <c r="T2915" s="6">
        <v>48824</v>
      </c>
      <c r="U2915" s="6"/>
      <c r="V2915" s="6">
        <v>8442.9000000000015</v>
      </c>
      <c r="W2915" s="6">
        <f t="shared" si="452"/>
        <v>40381.1</v>
      </c>
      <c r="X2915" s="6">
        <f t="shared" si="453"/>
        <v>8442.9000000000015</v>
      </c>
      <c r="Y2915" s="13">
        <f t="shared" si="456"/>
        <v>0</v>
      </c>
      <c r="Z2915" s="14">
        <v>0</v>
      </c>
      <c r="AA2915" s="6">
        <v>0</v>
      </c>
      <c r="AB2915" s="4">
        <f t="shared" si="457"/>
        <v>8442.9000000000015</v>
      </c>
      <c r="AC2915" s="4">
        <f t="shared" si="459"/>
        <v>0</v>
      </c>
      <c r="AD2915" s="6">
        <f t="shared" si="454"/>
        <v>8442.9000000000015</v>
      </c>
      <c r="AE2915" s="2">
        <f>VLOOKUP(I2915,[1]媒体政策预估表!A:N,MATCH(O2915,[1]媒体政策预估表!$A$2:$M$2,0),0)</f>
        <v>0.17</v>
      </c>
      <c r="AF2915" s="6">
        <f t="shared" si="460"/>
        <v>1435.2930000000003</v>
      </c>
      <c r="AG2915" s="14">
        <v>0</v>
      </c>
      <c r="AH2915" s="64">
        <f t="shared" si="455"/>
        <v>8442.9000000000015</v>
      </c>
      <c r="AI2915" s="47"/>
      <c r="AJ2915" s="126" t="e">
        <v>#N/A</v>
      </c>
      <c r="AK2915" s="80">
        <f t="shared" si="458"/>
        <v>0</v>
      </c>
      <c r="AM2915" s="85"/>
    </row>
    <row r="2916" spans="1:39" hidden="1" x14ac:dyDescent="0.3">
      <c r="A2916" s="89" t="s">
        <v>3397</v>
      </c>
      <c r="B2916" s="86" t="s">
        <v>701</v>
      </c>
      <c r="C2916" s="86" t="s">
        <v>144</v>
      </c>
      <c r="D2916" s="86" t="s">
        <v>145</v>
      </c>
      <c r="E2916" s="86" t="s">
        <v>150</v>
      </c>
      <c r="F2916" s="86" t="s">
        <v>151</v>
      </c>
      <c r="G2916" s="86" t="s">
        <v>150</v>
      </c>
      <c r="H2916" s="144">
        <v>83</v>
      </c>
      <c r="I2916" s="86" t="s">
        <v>78</v>
      </c>
      <c r="J2916" s="1" t="s">
        <v>3303</v>
      </c>
      <c r="K2916" s="1" t="s">
        <v>3276</v>
      </c>
      <c r="L2916" s="1" t="s">
        <v>701</v>
      </c>
      <c r="M2916" s="86" t="s">
        <v>2794</v>
      </c>
      <c r="N2916" s="86"/>
      <c r="O2916" s="47" t="s">
        <v>410</v>
      </c>
      <c r="P2916" s="47" t="s">
        <v>41</v>
      </c>
      <c r="Q2916" s="14">
        <v>0</v>
      </c>
      <c r="R2916" s="143">
        <v>7105</v>
      </c>
      <c r="S2916" s="47"/>
      <c r="T2916" s="6">
        <v>509268.02000000008</v>
      </c>
      <c r="U2916" s="6"/>
      <c r="V2916" s="6">
        <v>280990.42000000004</v>
      </c>
      <c r="W2916" s="6">
        <f t="shared" si="452"/>
        <v>228277.60000000003</v>
      </c>
      <c r="X2916" s="6">
        <f t="shared" si="453"/>
        <v>280990.42000000004</v>
      </c>
      <c r="Y2916" s="13">
        <f t="shared" si="456"/>
        <v>0</v>
      </c>
      <c r="Z2916" s="14">
        <v>0</v>
      </c>
      <c r="AA2916" s="6">
        <v>0</v>
      </c>
      <c r="AB2916" s="4">
        <f t="shared" si="457"/>
        <v>280990.42000000004</v>
      </c>
      <c r="AC2916" s="4">
        <f t="shared" si="459"/>
        <v>0</v>
      </c>
      <c r="AD2916" s="6">
        <f t="shared" si="454"/>
        <v>280990.42000000004</v>
      </c>
      <c r="AE2916" s="2">
        <f>VLOOKUP(I2916,[1]媒体政策预估表!A:N,MATCH(O2916,[1]媒体政策预估表!$A$2:$M$2,0),0)</f>
        <v>0.17</v>
      </c>
      <c r="AF2916" s="6">
        <f t="shared" si="460"/>
        <v>47768.371400000011</v>
      </c>
      <c r="AG2916" s="14">
        <v>0</v>
      </c>
      <c r="AH2916" s="64">
        <f t="shared" si="455"/>
        <v>280990.42000000004</v>
      </c>
      <c r="AI2916" s="47"/>
      <c r="AJ2916" s="126" t="e">
        <v>#N/A</v>
      </c>
      <c r="AK2916" s="80">
        <f t="shared" si="458"/>
        <v>0</v>
      </c>
      <c r="AM2916" s="85"/>
    </row>
    <row r="2917" spans="1:39" hidden="1" x14ac:dyDescent="0.3">
      <c r="A2917" s="89" t="s">
        <v>3397</v>
      </c>
      <c r="B2917" s="86" t="s">
        <v>701</v>
      </c>
      <c r="C2917" s="86" t="s">
        <v>144</v>
      </c>
      <c r="D2917" s="86" t="s">
        <v>152</v>
      </c>
      <c r="E2917" s="86" t="s">
        <v>2795</v>
      </c>
      <c r="F2917" s="86" t="s">
        <v>2795</v>
      </c>
      <c r="G2917" s="86" t="s">
        <v>2795</v>
      </c>
      <c r="H2917" s="143">
        <v>83</v>
      </c>
      <c r="I2917" s="86" t="s">
        <v>78</v>
      </c>
      <c r="J2917" s="1" t="s">
        <v>3303</v>
      </c>
      <c r="K2917" s="1" t="s">
        <v>3276</v>
      </c>
      <c r="L2917" s="1" t="s">
        <v>701</v>
      </c>
      <c r="M2917" s="86" t="s">
        <v>2797</v>
      </c>
      <c r="N2917" s="86"/>
      <c r="O2917" s="47" t="s">
        <v>410</v>
      </c>
      <c r="P2917" s="47" t="s">
        <v>41</v>
      </c>
      <c r="Q2917" s="14">
        <v>0</v>
      </c>
      <c r="R2917" s="143">
        <v>7510</v>
      </c>
      <c r="S2917" s="47"/>
      <c r="T2917" s="6">
        <v>2543.2999999999997</v>
      </c>
      <c r="U2917" s="6"/>
      <c r="V2917" s="6">
        <v>2044.5</v>
      </c>
      <c r="W2917" s="6">
        <f t="shared" si="452"/>
        <v>498.79999999999973</v>
      </c>
      <c r="X2917" s="6">
        <f t="shared" si="453"/>
        <v>2044.5</v>
      </c>
      <c r="Y2917" s="13">
        <f t="shared" si="456"/>
        <v>0</v>
      </c>
      <c r="Z2917" s="14">
        <v>0</v>
      </c>
      <c r="AA2917" s="6">
        <v>0</v>
      </c>
      <c r="AB2917" s="4"/>
      <c r="AC2917" s="4">
        <f t="shared" si="459"/>
        <v>0</v>
      </c>
      <c r="AD2917" s="6">
        <f t="shared" si="454"/>
        <v>2044.5</v>
      </c>
      <c r="AE2917" s="2">
        <f>VLOOKUP(I2917,[1]媒体政策预估表!A:N,MATCH(O2917,[1]媒体政策预估表!$A$2:$M$2,0),0)</f>
        <v>0.17</v>
      </c>
      <c r="AF2917" s="6">
        <f t="shared" si="460"/>
        <v>347.565</v>
      </c>
      <c r="AG2917" s="14">
        <v>0</v>
      </c>
      <c r="AH2917" s="64">
        <f t="shared" si="455"/>
        <v>2044.5</v>
      </c>
      <c r="AI2917" s="47"/>
      <c r="AJ2917" s="126">
        <v>93</v>
      </c>
      <c r="AK2917" s="80">
        <f t="shared" si="458"/>
        <v>2044.5</v>
      </c>
      <c r="AM2917" s="85"/>
    </row>
    <row r="2918" spans="1:39" hidden="1" x14ac:dyDescent="0.3">
      <c r="A2918" s="89" t="s">
        <v>3408</v>
      </c>
      <c r="B2918" s="86" t="s">
        <v>701</v>
      </c>
      <c r="C2918" s="86" t="s">
        <v>164</v>
      </c>
      <c r="D2918" s="86" t="s">
        <v>169</v>
      </c>
      <c r="E2918" s="86" t="s">
        <v>1573</v>
      </c>
      <c r="F2918" s="86" t="s">
        <v>1573</v>
      </c>
      <c r="G2918" s="86" t="s">
        <v>1573</v>
      </c>
      <c r="H2918" s="144">
        <v>83</v>
      </c>
      <c r="I2918" s="86" t="s">
        <v>78</v>
      </c>
      <c r="J2918" s="1" t="s">
        <v>3303</v>
      </c>
      <c r="K2918" s="1" t="s">
        <v>3276</v>
      </c>
      <c r="L2918" s="1" t="s">
        <v>701</v>
      </c>
      <c r="M2918" s="86" t="s">
        <v>2808</v>
      </c>
      <c r="N2918" s="86"/>
      <c r="O2918" s="47" t="s">
        <v>410</v>
      </c>
      <c r="P2918" s="47" t="s">
        <v>41</v>
      </c>
      <c r="Q2918" s="14">
        <v>0</v>
      </c>
      <c r="R2918" s="143">
        <v>7644</v>
      </c>
      <c r="S2918" s="47"/>
      <c r="T2918" s="6">
        <v>5395.9</v>
      </c>
      <c r="U2918" s="6"/>
      <c r="V2918" s="6">
        <v>3491.3</v>
      </c>
      <c r="W2918" s="6">
        <f t="shared" ref="W2918:W2981" si="461">T2918+U2918-V2918</f>
        <v>1904.5999999999995</v>
      </c>
      <c r="X2918" s="6">
        <f t="shared" ref="X2918:X2981" si="462">IF(P2918="折扣",V2918*Q2918,IF(P2918="返现",V2918,V2918/(1+Q2918)))</f>
        <v>3491.3</v>
      </c>
      <c r="Y2918" s="13">
        <f t="shared" si="456"/>
        <v>0</v>
      </c>
      <c r="Z2918" s="14">
        <v>0</v>
      </c>
      <c r="AA2918" s="6">
        <v>0</v>
      </c>
      <c r="AB2918" s="4">
        <f t="shared" si="457"/>
        <v>3491.3</v>
      </c>
      <c r="AC2918" s="4">
        <f t="shared" si="459"/>
        <v>0</v>
      </c>
      <c r="AD2918" s="6">
        <f t="shared" ref="AD2918:AD2981" si="463">V2918</f>
        <v>3491.3</v>
      </c>
      <c r="AE2918" s="2">
        <f>VLOOKUP(I2918,[1]媒体政策预估表!A:N,MATCH(O2918,[1]媒体政策预估表!$A$2:$M$2,0),0)</f>
        <v>0.17</v>
      </c>
      <c r="AF2918" s="6">
        <f t="shared" si="460"/>
        <v>593.52100000000007</v>
      </c>
      <c r="AG2918" s="14">
        <v>0</v>
      </c>
      <c r="AH2918" s="64">
        <f t="shared" ref="AH2918:AH2981" si="464">V2918</f>
        <v>3491.3</v>
      </c>
      <c r="AI2918" s="47"/>
      <c r="AJ2918" s="126" t="e">
        <v>#N/A</v>
      </c>
      <c r="AK2918" s="80">
        <f t="shared" si="458"/>
        <v>0</v>
      </c>
      <c r="AM2918" s="85"/>
    </row>
    <row r="2919" spans="1:39" hidden="1" x14ac:dyDescent="0.3">
      <c r="A2919" s="89" t="s">
        <v>3397</v>
      </c>
      <c r="B2919" s="86" t="s">
        <v>701</v>
      </c>
      <c r="C2919" s="86" t="s">
        <v>164</v>
      </c>
      <c r="D2919" s="86" t="s">
        <v>174</v>
      </c>
      <c r="E2919" s="86" t="s">
        <v>2812</v>
      </c>
      <c r="F2919" s="86" t="s">
        <v>2812</v>
      </c>
      <c r="G2919" s="86" t="s">
        <v>2812</v>
      </c>
      <c r="H2919" s="144">
        <v>83</v>
      </c>
      <c r="I2919" s="86" t="s">
        <v>78</v>
      </c>
      <c r="J2919" s="1" t="s">
        <v>3303</v>
      </c>
      <c r="K2919" s="1" t="s">
        <v>3276</v>
      </c>
      <c r="L2919" s="1" t="s">
        <v>701</v>
      </c>
      <c r="M2919" s="86" t="s">
        <v>2813</v>
      </c>
      <c r="N2919" s="86"/>
      <c r="O2919" s="47" t="s">
        <v>410</v>
      </c>
      <c r="P2919" s="47" t="s">
        <v>41</v>
      </c>
      <c r="Q2919" s="14">
        <v>0</v>
      </c>
      <c r="R2919" s="143">
        <v>7280</v>
      </c>
      <c r="S2919" s="47"/>
      <c r="T2919" s="6">
        <v>34277.660000000003</v>
      </c>
      <c r="U2919" s="6"/>
      <c r="V2919" s="6">
        <v>27962.3</v>
      </c>
      <c r="W2919" s="6">
        <f t="shared" si="461"/>
        <v>6315.3600000000042</v>
      </c>
      <c r="X2919" s="6">
        <f t="shared" si="462"/>
        <v>27962.3</v>
      </c>
      <c r="Y2919" s="13">
        <f t="shared" si="456"/>
        <v>0</v>
      </c>
      <c r="Z2919" s="14">
        <v>0</v>
      </c>
      <c r="AA2919" s="6">
        <v>0</v>
      </c>
      <c r="AB2919" s="4">
        <f t="shared" si="457"/>
        <v>27962.3</v>
      </c>
      <c r="AC2919" s="4">
        <f t="shared" si="459"/>
        <v>0</v>
      </c>
      <c r="AD2919" s="6">
        <f t="shared" si="463"/>
        <v>27962.3</v>
      </c>
      <c r="AE2919" s="2">
        <f>VLOOKUP(I2919,[1]媒体政策预估表!A:N,MATCH(O2919,[1]媒体政策预估表!$A$2:$M$2,0),0)</f>
        <v>0.17</v>
      </c>
      <c r="AF2919" s="6">
        <f t="shared" si="460"/>
        <v>4753.5910000000003</v>
      </c>
      <c r="AG2919" s="14">
        <v>0</v>
      </c>
      <c r="AH2919" s="64">
        <f t="shared" si="464"/>
        <v>27962.3</v>
      </c>
      <c r="AI2919" s="47"/>
      <c r="AJ2919" s="126" t="e">
        <v>#N/A</v>
      </c>
      <c r="AK2919" s="80">
        <f t="shared" si="458"/>
        <v>0</v>
      </c>
      <c r="AM2919" s="85"/>
    </row>
    <row r="2920" spans="1:39" hidden="1" x14ac:dyDescent="0.3">
      <c r="A2920" s="89" t="s">
        <v>3397</v>
      </c>
      <c r="B2920" s="86" t="s">
        <v>701</v>
      </c>
      <c r="C2920" s="86" t="s">
        <v>164</v>
      </c>
      <c r="D2920" s="86" t="s">
        <v>174</v>
      </c>
      <c r="E2920" s="86" t="s">
        <v>1661</v>
      </c>
      <c r="F2920" s="86" t="s">
        <v>1661</v>
      </c>
      <c r="G2920" s="86" t="s">
        <v>1661</v>
      </c>
      <c r="H2920" s="144">
        <v>83</v>
      </c>
      <c r="I2920" s="86" t="s">
        <v>78</v>
      </c>
      <c r="J2920" s="1" t="s">
        <v>3303</v>
      </c>
      <c r="K2920" s="1" t="s">
        <v>3276</v>
      </c>
      <c r="L2920" s="1" t="s">
        <v>701</v>
      </c>
      <c r="M2920" s="86" t="s">
        <v>1661</v>
      </c>
      <c r="N2920" s="86"/>
      <c r="O2920" s="47" t="s">
        <v>410</v>
      </c>
      <c r="P2920" s="47" t="s">
        <v>41</v>
      </c>
      <c r="Q2920" s="14">
        <v>0</v>
      </c>
      <c r="R2920" s="143">
        <v>7565</v>
      </c>
      <c r="S2920" s="47"/>
      <c r="T2920" s="6">
        <v>4857.5</v>
      </c>
      <c r="U2920" s="6"/>
      <c r="V2920" s="6">
        <v>291.60000000000002</v>
      </c>
      <c r="W2920" s="6">
        <f t="shared" si="461"/>
        <v>4565.8999999999996</v>
      </c>
      <c r="X2920" s="6">
        <f t="shared" si="462"/>
        <v>291.60000000000002</v>
      </c>
      <c r="Y2920" s="13">
        <f t="shared" si="456"/>
        <v>0</v>
      </c>
      <c r="Z2920" s="14">
        <v>0</v>
      </c>
      <c r="AA2920" s="6">
        <v>0</v>
      </c>
      <c r="AB2920" s="4">
        <f t="shared" si="457"/>
        <v>291.60000000000002</v>
      </c>
      <c r="AC2920" s="4">
        <f t="shared" si="459"/>
        <v>0</v>
      </c>
      <c r="AD2920" s="6">
        <f t="shared" si="463"/>
        <v>291.60000000000002</v>
      </c>
      <c r="AE2920" s="2">
        <f>VLOOKUP(I2920,[1]媒体政策预估表!A:N,MATCH(O2920,[1]媒体政策预估表!$A$2:$M$2,0),0)</f>
        <v>0.17</v>
      </c>
      <c r="AF2920" s="6">
        <f t="shared" si="460"/>
        <v>49.57200000000001</v>
      </c>
      <c r="AG2920" s="14">
        <v>0</v>
      </c>
      <c r="AH2920" s="64">
        <f t="shared" si="464"/>
        <v>291.60000000000002</v>
      </c>
      <c r="AI2920" s="47"/>
      <c r="AJ2920" s="126" t="e">
        <v>#N/A</v>
      </c>
      <c r="AK2920" s="80">
        <f t="shared" si="458"/>
        <v>0</v>
      </c>
      <c r="AM2920" s="85"/>
    </row>
    <row r="2921" spans="1:39" hidden="1" x14ac:dyDescent="0.3">
      <c r="A2921" s="89" t="s">
        <v>3397</v>
      </c>
      <c r="B2921" s="86" t="s">
        <v>701</v>
      </c>
      <c r="C2921" s="86" t="s">
        <v>164</v>
      </c>
      <c r="D2921" s="86" t="s">
        <v>174</v>
      </c>
      <c r="E2921" s="86" t="s">
        <v>2818</v>
      </c>
      <c r="F2921" s="86" t="s">
        <v>2818</v>
      </c>
      <c r="G2921" s="86" t="s">
        <v>2818</v>
      </c>
      <c r="H2921" s="144">
        <v>83</v>
      </c>
      <c r="I2921" s="86" t="s">
        <v>78</v>
      </c>
      <c r="J2921" s="1" t="s">
        <v>3303</v>
      </c>
      <c r="K2921" s="1" t="s">
        <v>3276</v>
      </c>
      <c r="L2921" s="1" t="s">
        <v>701</v>
      </c>
      <c r="M2921" s="86" t="s">
        <v>2819</v>
      </c>
      <c r="N2921" s="86"/>
      <c r="O2921" s="47" t="s">
        <v>410</v>
      </c>
      <c r="P2921" s="47" t="s">
        <v>41</v>
      </c>
      <c r="Q2921" s="14">
        <v>0</v>
      </c>
      <c r="R2921" s="143">
        <v>7550</v>
      </c>
      <c r="S2921" s="47"/>
      <c r="T2921" s="6">
        <v>1806.3899999999994</v>
      </c>
      <c r="U2921" s="6"/>
      <c r="V2921" s="6">
        <v>1806.3899999999999</v>
      </c>
      <c r="W2921" s="6">
        <f t="shared" si="461"/>
        <v>0</v>
      </c>
      <c r="X2921" s="6">
        <f t="shared" si="462"/>
        <v>1806.3899999999999</v>
      </c>
      <c r="Y2921" s="13">
        <f t="shared" si="456"/>
        <v>0</v>
      </c>
      <c r="Z2921" s="14">
        <v>0</v>
      </c>
      <c r="AA2921" s="6">
        <v>0</v>
      </c>
      <c r="AB2921" s="4">
        <f t="shared" si="457"/>
        <v>1806.3899999999999</v>
      </c>
      <c r="AC2921" s="4">
        <f t="shared" si="459"/>
        <v>0</v>
      </c>
      <c r="AD2921" s="6">
        <f t="shared" si="463"/>
        <v>1806.3899999999999</v>
      </c>
      <c r="AE2921" s="2">
        <f>VLOOKUP(I2921,[1]媒体政策预估表!A:N,MATCH(O2921,[1]媒体政策预估表!$A$2:$M$2,0),0)</f>
        <v>0.17</v>
      </c>
      <c r="AF2921" s="6">
        <f t="shared" si="460"/>
        <v>307.08629999999999</v>
      </c>
      <c r="AG2921" s="14">
        <v>0</v>
      </c>
      <c r="AH2921" s="64">
        <f t="shared" si="464"/>
        <v>1806.3899999999999</v>
      </c>
      <c r="AI2921" s="47"/>
      <c r="AJ2921" s="126" t="e">
        <v>#N/A</v>
      </c>
      <c r="AK2921" s="80">
        <f t="shared" si="458"/>
        <v>0</v>
      </c>
      <c r="AM2921" s="85"/>
    </row>
    <row r="2922" spans="1:39" hidden="1" x14ac:dyDescent="0.3">
      <c r="A2922" s="89" t="s">
        <v>3397</v>
      </c>
      <c r="B2922" s="86" t="s">
        <v>701</v>
      </c>
      <c r="C2922" s="86" t="s">
        <v>164</v>
      </c>
      <c r="D2922" s="86" t="s">
        <v>174</v>
      </c>
      <c r="E2922" s="86" t="s">
        <v>2820</v>
      </c>
      <c r="F2922" s="86" t="s">
        <v>2820</v>
      </c>
      <c r="G2922" s="86" t="s">
        <v>2820</v>
      </c>
      <c r="H2922" s="143">
        <v>83</v>
      </c>
      <c r="I2922" s="86" t="s">
        <v>78</v>
      </c>
      <c r="J2922" s="1" t="s">
        <v>3303</v>
      </c>
      <c r="K2922" s="1" t="s">
        <v>3276</v>
      </c>
      <c r="L2922" s="1" t="s">
        <v>701</v>
      </c>
      <c r="M2922" s="86" t="s">
        <v>2821</v>
      </c>
      <c r="N2922" s="86"/>
      <c r="O2922" s="47" t="s">
        <v>410</v>
      </c>
      <c r="P2922" s="47" t="s">
        <v>41</v>
      </c>
      <c r="Q2922" s="14">
        <v>0</v>
      </c>
      <c r="R2922" s="143">
        <v>7609</v>
      </c>
      <c r="S2922" s="47"/>
      <c r="T2922" s="6">
        <v>7158.9500000000007</v>
      </c>
      <c r="U2922" s="6"/>
      <c r="V2922" s="6">
        <v>0</v>
      </c>
      <c r="W2922" s="6">
        <f t="shared" si="461"/>
        <v>7158.9500000000007</v>
      </c>
      <c r="X2922" s="6">
        <f t="shared" si="462"/>
        <v>0</v>
      </c>
      <c r="Y2922" s="13">
        <f t="shared" si="456"/>
        <v>0</v>
      </c>
      <c r="Z2922" s="14">
        <v>0</v>
      </c>
      <c r="AA2922" s="6">
        <v>0</v>
      </c>
      <c r="AB2922" s="4">
        <f t="shared" si="457"/>
        <v>0</v>
      </c>
      <c r="AC2922" s="4">
        <f t="shared" si="459"/>
        <v>0</v>
      </c>
      <c r="AD2922" s="6">
        <f t="shared" si="463"/>
        <v>0</v>
      </c>
      <c r="AE2922" s="2">
        <f>VLOOKUP(I2922,[1]媒体政策预估表!A:N,MATCH(O2922,[1]媒体政策预估表!$A$2:$M$2,0),0)</f>
        <v>0.17</v>
      </c>
      <c r="AF2922" s="6">
        <f t="shared" si="460"/>
        <v>0</v>
      </c>
      <c r="AG2922" s="14">
        <v>0</v>
      </c>
      <c r="AH2922" s="64">
        <f t="shared" si="464"/>
        <v>0</v>
      </c>
      <c r="AI2922" s="47"/>
      <c r="AJ2922" s="126" t="e">
        <v>#N/A</v>
      </c>
      <c r="AK2922" s="80">
        <f t="shared" si="458"/>
        <v>0</v>
      </c>
      <c r="AM2922" s="85"/>
    </row>
    <row r="2923" spans="1:39" hidden="1" x14ac:dyDescent="0.3">
      <c r="A2923" s="89" t="s">
        <v>3408</v>
      </c>
      <c r="B2923" s="86" t="s">
        <v>701</v>
      </c>
      <c r="C2923" s="86" t="s">
        <v>164</v>
      </c>
      <c r="D2923" s="86" t="s">
        <v>174</v>
      </c>
      <c r="E2923" s="86" t="s">
        <v>694</v>
      </c>
      <c r="F2923" s="86" t="s">
        <v>694</v>
      </c>
      <c r="G2923" s="86" t="s">
        <v>694</v>
      </c>
      <c r="H2923" s="144">
        <v>83</v>
      </c>
      <c r="I2923" s="86" t="s">
        <v>78</v>
      </c>
      <c r="J2923" s="1" t="s">
        <v>3303</v>
      </c>
      <c r="K2923" s="1" t="s">
        <v>3276</v>
      </c>
      <c r="L2923" s="1" t="s">
        <v>701</v>
      </c>
      <c r="M2923" s="86" t="s">
        <v>694</v>
      </c>
      <c r="N2923" s="86"/>
      <c r="O2923" s="47" t="s">
        <v>410</v>
      </c>
      <c r="P2923" s="47" t="s">
        <v>41</v>
      </c>
      <c r="Q2923" s="14">
        <v>0</v>
      </c>
      <c r="R2923" s="143">
        <v>7202</v>
      </c>
      <c r="S2923" s="47"/>
      <c r="T2923" s="6">
        <v>20000</v>
      </c>
      <c r="U2923" s="6"/>
      <c r="V2923" s="6">
        <v>7776.1600000000053</v>
      </c>
      <c r="W2923" s="6">
        <f t="shared" si="461"/>
        <v>12223.839999999995</v>
      </c>
      <c r="X2923" s="6">
        <f t="shared" si="462"/>
        <v>7776.1600000000053</v>
      </c>
      <c r="Y2923" s="13">
        <f t="shared" si="456"/>
        <v>0</v>
      </c>
      <c r="Z2923" s="14">
        <v>0</v>
      </c>
      <c r="AA2923" s="6">
        <v>0</v>
      </c>
      <c r="AB2923" s="4">
        <f t="shared" si="457"/>
        <v>7776.1600000000053</v>
      </c>
      <c r="AC2923" s="4">
        <f t="shared" si="459"/>
        <v>0</v>
      </c>
      <c r="AD2923" s="6">
        <f t="shared" si="463"/>
        <v>7776.1600000000053</v>
      </c>
      <c r="AE2923" s="2">
        <f>VLOOKUP(I2923,[1]媒体政策预估表!A:N,MATCH(O2923,[1]媒体政策预估表!$A$2:$M$2,0),0)</f>
        <v>0.17</v>
      </c>
      <c r="AF2923" s="6">
        <f t="shared" si="460"/>
        <v>1321.947200000001</v>
      </c>
      <c r="AG2923" s="14">
        <v>0</v>
      </c>
      <c r="AH2923" s="64">
        <f t="shared" si="464"/>
        <v>7776.1600000000053</v>
      </c>
      <c r="AI2923" s="47"/>
      <c r="AJ2923" s="126" t="e">
        <v>#N/A</v>
      </c>
      <c r="AK2923" s="80">
        <f t="shared" si="458"/>
        <v>0</v>
      </c>
      <c r="AM2923" s="85"/>
    </row>
    <row r="2924" spans="1:39" hidden="1" x14ac:dyDescent="0.3">
      <c r="A2924" s="89" t="s">
        <v>3408</v>
      </c>
      <c r="B2924" s="86" t="s">
        <v>701</v>
      </c>
      <c r="C2924" s="86" t="s">
        <v>187</v>
      </c>
      <c r="D2924" s="86" t="s">
        <v>2829</v>
      </c>
      <c r="E2924" s="86" t="s">
        <v>2830</v>
      </c>
      <c r="F2924" s="86" t="s">
        <v>2830</v>
      </c>
      <c r="G2924" s="86" t="s">
        <v>2830</v>
      </c>
      <c r="H2924" s="144">
        <v>83</v>
      </c>
      <c r="I2924" s="86" t="s">
        <v>78</v>
      </c>
      <c r="J2924" s="1" t="s">
        <v>3303</v>
      </c>
      <c r="K2924" s="1" t="s">
        <v>3276</v>
      </c>
      <c r="L2924" s="1" t="s">
        <v>701</v>
      </c>
      <c r="M2924" s="86" t="s">
        <v>2830</v>
      </c>
      <c r="N2924" s="86"/>
      <c r="O2924" s="47" t="s">
        <v>410</v>
      </c>
      <c r="P2924" s="47" t="s">
        <v>41</v>
      </c>
      <c r="Q2924" s="14">
        <v>0</v>
      </c>
      <c r="R2924" s="143">
        <v>7658</v>
      </c>
      <c r="S2924" s="47"/>
      <c r="T2924" s="6">
        <v>8453.11</v>
      </c>
      <c r="U2924" s="6"/>
      <c r="V2924" s="6">
        <v>5070.57</v>
      </c>
      <c r="W2924" s="6">
        <f t="shared" si="461"/>
        <v>3382.5400000000009</v>
      </c>
      <c r="X2924" s="6">
        <f t="shared" si="462"/>
        <v>5070.57</v>
      </c>
      <c r="Y2924" s="13">
        <f t="shared" si="456"/>
        <v>0</v>
      </c>
      <c r="Z2924" s="14">
        <v>0</v>
      </c>
      <c r="AA2924" s="6">
        <v>0</v>
      </c>
      <c r="AB2924" s="4">
        <f t="shared" si="457"/>
        <v>5070.57</v>
      </c>
      <c r="AC2924" s="4">
        <f t="shared" si="459"/>
        <v>0</v>
      </c>
      <c r="AD2924" s="6">
        <f t="shared" si="463"/>
        <v>5070.57</v>
      </c>
      <c r="AE2924" s="2">
        <f>VLOOKUP(I2924,[1]媒体政策预估表!A:N,MATCH(O2924,[1]媒体政策预估表!$A$2:$M$2,0),0)</f>
        <v>0.17</v>
      </c>
      <c r="AF2924" s="6">
        <f t="shared" si="460"/>
        <v>861.99689999999998</v>
      </c>
      <c r="AG2924" s="14">
        <v>0</v>
      </c>
      <c r="AH2924" s="64">
        <f t="shared" si="464"/>
        <v>5070.57</v>
      </c>
      <c r="AI2924" s="47"/>
      <c r="AJ2924" s="126" t="e">
        <v>#N/A</v>
      </c>
      <c r="AK2924" s="80">
        <f t="shared" si="458"/>
        <v>0</v>
      </c>
      <c r="AM2924" s="85"/>
    </row>
    <row r="2925" spans="1:39" hidden="1" x14ac:dyDescent="0.3">
      <c r="A2925" s="89" t="s">
        <v>3397</v>
      </c>
      <c r="B2925" s="86" t="s">
        <v>35</v>
      </c>
      <c r="C2925" s="86" t="s">
        <v>36</v>
      </c>
      <c r="D2925" s="86" t="s">
        <v>54</v>
      </c>
      <c r="E2925" s="86" t="s">
        <v>55</v>
      </c>
      <c r="F2925" s="86" t="s">
        <v>2831</v>
      </c>
      <c r="G2925" s="86" t="s">
        <v>1845</v>
      </c>
      <c r="H2925" s="144">
        <v>83</v>
      </c>
      <c r="I2925" s="86" t="s">
        <v>78</v>
      </c>
      <c r="J2925" s="1" t="s">
        <v>3303</v>
      </c>
      <c r="K2925" s="1" t="s">
        <v>3276</v>
      </c>
      <c r="L2925" s="1" t="s">
        <v>701</v>
      </c>
      <c r="M2925" s="86" t="s">
        <v>2832</v>
      </c>
      <c r="N2925" s="86"/>
      <c r="O2925" s="47" t="s">
        <v>410</v>
      </c>
      <c r="P2925" s="47" t="s">
        <v>41</v>
      </c>
      <c r="Q2925" s="14">
        <v>0</v>
      </c>
      <c r="R2925" s="143">
        <v>7265</v>
      </c>
      <c r="S2925" s="47"/>
      <c r="T2925" s="6">
        <v>27604.760000000017</v>
      </c>
      <c r="U2925" s="6"/>
      <c r="V2925" s="6">
        <v>5498.65</v>
      </c>
      <c r="W2925" s="6">
        <f t="shared" si="461"/>
        <v>22106.110000000015</v>
      </c>
      <c r="X2925" s="6">
        <f t="shared" si="462"/>
        <v>5498.65</v>
      </c>
      <c r="Y2925" s="13">
        <f t="shared" si="456"/>
        <v>0</v>
      </c>
      <c r="Z2925" s="14">
        <v>0</v>
      </c>
      <c r="AA2925" s="6">
        <v>0</v>
      </c>
      <c r="AB2925" s="4">
        <f t="shared" si="457"/>
        <v>5498.65</v>
      </c>
      <c r="AC2925" s="4">
        <f t="shared" si="459"/>
        <v>0</v>
      </c>
      <c r="AD2925" s="6">
        <f t="shared" si="463"/>
        <v>5498.65</v>
      </c>
      <c r="AE2925" s="2">
        <f>VLOOKUP(I2925,[1]媒体政策预估表!A:N,MATCH(O2925,[1]媒体政策预估表!$A$2:$M$2,0),0)</f>
        <v>0.17</v>
      </c>
      <c r="AF2925" s="6">
        <f t="shared" si="460"/>
        <v>934.77049999999997</v>
      </c>
      <c r="AG2925" s="14">
        <v>0</v>
      </c>
      <c r="AH2925" s="64">
        <f t="shared" si="464"/>
        <v>5498.65</v>
      </c>
      <c r="AI2925" s="47"/>
      <c r="AJ2925" s="126" t="e">
        <v>#N/A</v>
      </c>
      <c r="AK2925" s="80">
        <f t="shared" si="458"/>
        <v>0</v>
      </c>
      <c r="AM2925" s="85"/>
    </row>
    <row r="2926" spans="1:39" hidden="1" x14ac:dyDescent="0.3">
      <c r="A2926" s="89" t="s">
        <v>3397</v>
      </c>
      <c r="B2926" s="86" t="s">
        <v>35</v>
      </c>
      <c r="C2926" s="86" t="s">
        <v>47</v>
      </c>
      <c r="D2926" s="86" t="s">
        <v>63</v>
      </c>
      <c r="E2926" s="86" t="s">
        <v>127</v>
      </c>
      <c r="F2926" s="86" t="s">
        <v>2833</v>
      </c>
      <c r="G2926" s="86" t="s">
        <v>1845</v>
      </c>
      <c r="H2926" s="144">
        <v>83</v>
      </c>
      <c r="I2926" s="86" t="s">
        <v>78</v>
      </c>
      <c r="J2926" s="1" t="s">
        <v>3303</v>
      </c>
      <c r="K2926" s="1" t="s">
        <v>3276</v>
      </c>
      <c r="L2926" s="1" t="s">
        <v>701</v>
      </c>
      <c r="M2926" s="86" t="s">
        <v>127</v>
      </c>
      <c r="N2926" s="86"/>
      <c r="O2926" s="47" t="s">
        <v>410</v>
      </c>
      <c r="P2926" s="47" t="s">
        <v>41</v>
      </c>
      <c r="Q2926" s="14">
        <v>0</v>
      </c>
      <c r="R2926" s="143">
        <v>7545</v>
      </c>
      <c r="S2926" s="47"/>
      <c r="T2926" s="6">
        <v>31823.899999999994</v>
      </c>
      <c r="U2926" s="6"/>
      <c r="V2926" s="6">
        <v>16827.21</v>
      </c>
      <c r="W2926" s="6">
        <f t="shared" si="461"/>
        <v>14996.689999999995</v>
      </c>
      <c r="X2926" s="6">
        <f t="shared" si="462"/>
        <v>16827.21</v>
      </c>
      <c r="Y2926" s="13">
        <f t="shared" si="456"/>
        <v>0</v>
      </c>
      <c r="Z2926" s="14">
        <v>0</v>
      </c>
      <c r="AA2926" s="6">
        <v>0</v>
      </c>
      <c r="AB2926" s="4">
        <f t="shared" si="457"/>
        <v>16827.21</v>
      </c>
      <c r="AC2926" s="4">
        <f t="shared" si="459"/>
        <v>0</v>
      </c>
      <c r="AD2926" s="6">
        <f t="shared" si="463"/>
        <v>16827.21</v>
      </c>
      <c r="AE2926" s="2">
        <f>VLOOKUP(I2926,[1]媒体政策预估表!A:N,MATCH(O2926,[1]媒体政策预估表!$A$2:$M$2,0),0)</f>
        <v>0.17</v>
      </c>
      <c r="AF2926" s="6">
        <f t="shared" si="460"/>
        <v>2860.6257000000001</v>
      </c>
      <c r="AG2926" s="14">
        <v>0</v>
      </c>
      <c r="AH2926" s="64">
        <f t="shared" si="464"/>
        <v>16827.21</v>
      </c>
      <c r="AI2926" s="47"/>
      <c r="AJ2926" s="126" t="e">
        <v>#N/A</v>
      </c>
      <c r="AK2926" s="80">
        <f t="shared" si="458"/>
        <v>0</v>
      </c>
      <c r="AM2926" s="85"/>
    </row>
    <row r="2927" spans="1:39" hidden="1" x14ac:dyDescent="0.3">
      <c r="A2927" s="89" t="s">
        <v>3409</v>
      </c>
      <c r="B2927" s="86" t="s">
        <v>35</v>
      </c>
      <c r="C2927" s="86" t="s">
        <v>164</v>
      </c>
      <c r="D2927" s="86" t="s">
        <v>174</v>
      </c>
      <c r="E2927" s="86" t="s">
        <v>1966</v>
      </c>
      <c r="F2927" s="86" t="s">
        <v>2834</v>
      </c>
      <c r="G2927" s="86" t="s">
        <v>1845</v>
      </c>
      <c r="H2927" s="143">
        <v>83</v>
      </c>
      <c r="I2927" s="86" t="s">
        <v>78</v>
      </c>
      <c r="J2927" s="1" t="s">
        <v>3303</v>
      </c>
      <c r="K2927" s="1" t="s">
        <v>3276</v>
      </c>
      <c r="L2927" s="1" t="s">
        <v>701</v>
      </c>
      <c r="M2927" s="86" t="s">
        <v>2835</v>
      </c>
      <c r="N2927" s="86"/>
      <c r="O2927" s="47" t="s">
        <v>410</v>
      </c>
      <c r="P2927" s="47" t="s">
        <v>41</v>
      </c>
      <c r="Q2927" s="14">
        <v>0</v>
      </c>
      <c r="R2927" s="143">
        <v>7115</v>
      </c>
      <c r="S2927" s="47"/>
      <c r="T2927" s="6">
        <v>35663.439999999995</v>
      </c>
      <c r="U2927" s="6"/>
      <c r="V2927" s="6">
        <v>0</v>
      </c>
      <c r="W2927" s="6">
        <f t="shared" si="461"/>
        <v>35663.439999999995</v>
      </c>
      <c r="X2927" s="6">
        <f t="shared" si="462"/>
        <v>0</v>
      </c>
      <c r="Y2927" s="13">
        <f t="shared" si="456"/>
        <v>0</v>
      </c>
      <c r="Z2927" s="14">
        <v>0</v>
      </c>
      <c r="AA2927" s="6">
        <v>0</v>
      </c>
      <c r="AB2927" s="4">
        <f t="shared" si="457"/>
        <v>0</v>
      </c>
      <c r="AC2927" s="4">
        <f t="shared" si="459"/>
        <v>0</v>
      </c>
      <c r="AD2927" s="6">
        <f t="shared" si="463"/>
        <v>0</v>
      </c>
      <c r="AE2927" s="2">
        <f>VLOOKUP(I2927,[1]媒体政策预估表!A:N,MATCH(O2927,[1]媒体政策预估表!$A$2:$M$2,0),0)</f>
        <v>0.17</v>
      </c>
      <c r="AF2927" s="6">
        <f t="shared" si="460"/>
        <v>0</v>
      </c>
      <c r="AG2927" s="14">
        <v>0</v>
      </c>
      <c r="AH2927" s="64">
        <f t="shared" si="464"/>
        <v>0</v>
      </c>
      <c r="AI2927" s="47"/>
      <c r="AJ2927" s="126" t="e">
        <v>#N/A</v>
      </c>
      <c r="AK2927" s="80">
        <f t="shared" si="458"/>
        <v>0</v>
      </c>
      <c r="AM2927" s="85"/>
    </row>
    <row r="2928" spans="1:39" hidden="1" x14ac:dyDescent="0.3">
      <c r="A2928" s="89" t="s">
        <v>3408</v>
      </c>
      <c r="B2928" s="86" t="s">
        <v>701</v>
      </c>
      <c r="C2928" s="86" t="s">
        <v>59</v>
      </c>
      <c r="D2928" s="86" t="s">
        <v>60</v>
      </c>
      <c r="E2928" s="86" t="s">
        <v>2836</v>
      </c>
      <c r="F2928" s="86" t="s">
        <v>2836</v>
      </c>
      <c r="G2928" s="86" t="s">
        <v>2836</v>
      </c>
      <c r="H2928" s="144">
        <v>83</v>
      </c>
      <c r="I2928" s="86" t="s">
        <v>78</v>
      </c>
      <c r="J2928" s="1" t="s">
        <v>3303</v>
      </c>
      <c r="K2928" s="1" t="s">
        <v>3276</v>
      </c>
      <c r="L2928" s="1" t="s">
        <v>701</v>
      </c>
      <c r="M2928" s="86" t="s">
        <v>2837</v>
      </c>
      <c r="N2928" s="86"/>
      <c r="O2928" s="47" t="s">
        <v>410</v>
      </c>
      <c r="P2928" s="47" t="s">
        <v>46</v>
      </c>
      <c r="Q2928" s="14">
        <v>7.0000000000000007E-2</v>
      </c>
      <c r="R2928" s="143">
        <v>7481</v>
      </c>
      <c r="S2928" s="47"/>
      <c r="T2928" s="6">
        <v>59317.499999999884</v>
      </c>
      <c r="U2928" s="6"/>
      <c r="V2928" s="6">
        <v>59317.499999999884</v>
      </c>
      <c r="W2928" s="6">
        <f t="shared" si="461"/>
        <v>0</v>
      </c>
      <c r="X2928" s="6">
        <f t="shared" si="462"/>
        <v>55436.915887850359</v>
      </c>
      <c r="Y2928" s="13">
        <f t="shared" si="456"/>
        <v>0</v>
      </c>
      <c r="Z2928" s="14">
        <v>0</v>
      </c>
      <c r="AA2928" s="6">
        <v>0</v>
      </c>
      <c r="AB2928" s="4">
        <f t="shared" si="457"/>
        <v>55436.915887850359</v>
      </c>
      <c r="AC2928" s="4">
        <f t="shared" si="459"/>
        <v>3880.584112149525</v>
      </c>
      <c r="AD2928" s="6">
        <f t="shared" si="463"/>
        <v>59317.499999999884</v>
      </c>
      <c r="AE2928" s="2">
        <f>VLOOKUP(I2928,[1]媒体政策预估表!A:N,MATCH(O2928,[1]媒体政策预估表!$A$2:$M$2,0),0)</f>
        <v>0.17</v>
      </c>
      <c r="AF2928" s="6">
        <f t="shared" si="460"/>
        <v>10083.97499999998</v>
      </c>
      <c r="AG2928" s="14">
        <v>0</v>
      </c>
      <c r="AH2928" s="64">
        <f t="shared" si="464"/>
        <v>59317.499999999884</v>
      </c>
      <c r="AI2928" s="47"/>
      <c r="AJ2928" s="126" t="e">
        <v>#N/A</v>
      </c>
      <c r="AK2928" s="80">
        <f t="shared" si="458"/>
        <v>0</v>
      </c>
      <c r="AM2928" s="85"/>
    </row>
    <row r="2929" spans="1:39" hidden="1" x14ac:dyDescent="0.3">
      <c r="A2929" s="89" t="s">
        <v>3408</v>
      </c>
      <c r="B2929" s="86" t="s">
        <v>701</v>
      </c>
      <c r="C2929" s="86" t="s">
        <v>36</v>
      </c>
      <c r="D2929" s="86" t="s">
        <v>224</v>
      </c>
      <c r="E2929" s="86" t="s">
        <v>2839</v>
      </c>
      <c r="F2929" s="86" t="s">
        <v>2839</v>
      </c>
      <c r="G2929" s="86" t="s">
        <v>2839</v>
      </c>
      <c r="H2929" s="144">
        <v>83</v>
      </c>
      <c r="I2929" s="86" t="s">
        <v>78</v>
      </c>
      <c r="J2929" s="1" t="s">
        <v>3303</v>
      </c>
      <c r="K2929" s="1" t="s">
        <v>3276</v>
      </c>
      <c r="L2929" s="1" t="s">
        <v>701</v>
      </c>
      <c r="M2929" s="86" t="s">
        <v>2839</v>
      </c>
      <c r="N2929" s="86"/>
      <c r="O2929" s="47" t="s">
        <v>410</v>
      </c>
      <c r="P2929" s="47" t="s">
        <v>41</v>
      </c>
      <c r="Q2929" s="14">
        <v>0</v>
      </c>
      <c r="R2929" s="143">
        <v>7544</v>
      </c>
      <c r="S2929" s="47"/>
      <c r="T2929" s="6">
        <v>5542.8499999999995</v>
      </c>
      <c r="U2929" s="6"/>
      <c r="V2929" s="6">
        <v>3541.2</v>
      </c>
      <c r="W2929" s="6">
        <f t="shared" si="461"/>
        <v>2001.6499999999996</v>
      </c>
      <c r="X2929" s="6">
        <f t="shared" si="462"/>
        <v>3541.2</v>
      </c>
      <c r="Y2929" s="13">
        <f t="shared" si="456"/>
        <v>0</v>
      </c>
      <c r="Z2929" s="14">
        <v>0</v>
      </c>
      <c r="AA2929" s="6">
        <v>0</v>
      </c>
      <c r="AB2929" s="4">
        <f t="shared" si="457"/>
        <v>3541.2</v>
      </c>
      <c r="AC2929" s="4">
        <f t="shared" si="459"/>
        <v>0</v>
      </c>
      <c r="AD2929" s="6">
        <f t="shared" si="463"/>
        <v>3541.2</v>
      </c>
      <c r="AE2929" s="2">
        <f>VLOOKUP(I2929,[1]媒体政策预估表!A:N,MATCH(O2929,[1]媒体政策预估表!$A$2:$M$2,0),0)</f>
        <v>0.17</v>
      </c>
      <c r="AF2929" s="6">
        <f t="shared" si="460"/>
        <v>602.00400000000002</v>
      </c>
      <c r="AG2929" s="14">
        <v>0</v>
      </c>
      <c r="AH2929" s="64">
        <f t="shared" si="464"/>
        <v>3541.2</v>
      </c>
      <c r="AI2929" s="47"/>
      <c r="AJ2929" s="126" t="e">
        <v>#N/A</v>
      </c>
      <c r="AK2929" s="80">
        <f t="shared" si="458"/>
        <v>0</v>
      </c>
      <c r="AM2929" s="85"/>
    </row>
    <row r="2930" spans="1:39" hidden="1" x14ac:dyDescent="0.3">
      <c r="A2930" s="89" t="s">
        <v>3397</v>
      </c>
      <c r="B2930" s="86" t="s">
        <v>701</v>
      </c>
      <c r="C2930" s="86" t="s">
        <v>36</v>
      </c>
      <c r="D2930" s="86" t="s">
        <v>224</v>
      </c>
      <c r="E2930" s="86" t="s">
        <v>2840</v>
      </c>
      <c r="F2930" s="86" t="s">
        <v>2840</v>
      </c>
      <c r="G2930" s="86" t="s">
        <v>2840</v>
      </c>
      <c r="H2930" s="144">
        <v>83</v>
      </c>
      <c r="I2930" s="86" t="s">
        <v>78</v>
      </c>
      <c r="J2930" s="1" t="s">
        <v>3303</v>
      </c>
      <c r="K2930" s="1" t="s">
        <v>3276</v>
      </c>
      <c r="L2930" s="1" t="s">
        <v>701</v>
      </c>
      <c r="M2930" s="86" t="s">
        <v>2841</v>
      </c>
      <c r="N2930" s="86"/>
      <c r="O2930" s="47" t="s">
        <v>410</v>
      </c>
      <c r="P2930" s="47" t="s">
        <v>41</v>
      </c>
      <c r="Q2930" s="14">
        <v>0</v>
      </c>
      <c r="R2930" s="143">
        <v>7444</v>
      </c>
      <c r="S2930" s="47"/>
      <c r="T2930" s="6">
        <v>5564.35</v>
      </c>
      <c r="U2930" s="6"/>
      <c r="V2930" s="6">
        <v>1160.1400000000001</v>
      </c>
      <c r="W2930" s="6">
        <f t="shared" si="461"/>
        <v>4404.21</v>
      </c>
      <c r="X2930" s="6">
        <f t="shared" si="462"/>
        <v>1160.1400000000001</v>
      </c>
      <c r="Y2930" s="13">
        <f t="shared" si="456"/>
        <v>0</v>
      </c>
      <c r="Z2930" s="14">
        <v>0</v>
      </c>
      <c r="AA2930" s="6">
        <v>0</v>
      </c>
      <c r="AB2930" s="4">
        <f t="shared" si="457"/>
        <v>1160.1400000000001</v>
      </c>
      <c r="AC2930" s="4">
        <f t="shared" si="459"/>
        <v>0</v>
      </c>
      <c r="AD2930" s="6">
        <f t="shared" si="463"/>
        <v>1160.1400000000001</v>
      </c>
      <c r="AE2930" s="2">
        <f>VLOOKUP(I2930,[1]媒体政策预估表!A:N,MATCH(O2930,[1]媒体政策预估表!$A$2:$M$2,0),0)</f>
        <v>0.17</v>
      </c>
      <c r="AF2930" s="6">
        <f t="shared" si="460"/>
        <v>197.22380000000004</v>
      </c>
      <c r="AG2930" s="14">
        <v>0</v>
      </c>
      <c r="AH2930" s="64">
        <f t="shared" si="464"/>
        <v>1160.1400000000001</v>
      </c>
      <c r="AI2930" s="47"/>
      <c r="AJ2930" s="126" t="e">
        <v>#N/A</v>
      </c>
      <c r="AK2930" s="80">
        <f t="shared" si="458"/>
        <v>0</v>
      </c>
      <c r="AM2930" s="85"/>
    </row>
    <row r="2931" spans="1:39" hidden="1" x14ac:dyDescent="0.3">
      <c r="A2931" s="89" t="s">
        <v>3409</v>
      </c>
      <c r="B2931" s="86" t="s">
        <v>701</v>
      </c>
      <c r="C2931" s="86" t="s">
        <v>36</v>
      </c>
      <c r="D2931" s="86" t="s">
        <v>54</v>
      </c>
      <c r="E2931" s="86" t="s">
        <v>2846</v>
      </c>
      <c r="F2931" s="86" t="s">
        <v>2846</v>
      </c>
      <c r="G2931" s="86" t="s">
        <v>2846</v>
      </c>
      <c r="H2931" s="144">
        <v>83</v>
      </c>
      <c r="I2931" s="86" t="s">
        <v>78</v>
      </c>
      <c r="J2931" s="1" t="s">
        <v>3303</v>
      </c>
      <c r="K2931" s="1" t="s">
        <v>3276</v>
      </c>
      <c r="L2931" s="1" t="s">
        <v>701</v>
      </c>
      <c r="M2931" s="86" t="s">
        <v>2847</v>
      </c>
      <c r="N2931" s="86"/>
      <c r="O2931" s="47" t="s">
        <v>410</v>
      </c>
      <c r="P2931" s="47" t="s">
        <v>41</v>
      </c>
      <c r="Q2931" s="14">
        <v>0</v>
      </c>
      <c r="R2931" s="143">
        <v>7166</v>
      </c>
      <c r="S2931" s="47"/>
      <c r="T2931" s="6">
        <v>15774.400000000001</v>
      </c>
      <c r="U2931" s="6"/>
      <c r="V2931" s="6">
        <v>15636.900000000001</v>
      </c>
      <c r="W2931" s="6">
        <f t="shared" si="461"/>
        <v>137.5</v>
      </c>
      <c r="X2931" s="6">
        <f t="shared" si="462"/>
        <v>15636.900000000001</v>
      </c>
      <c r="Y2931" s="13">
        <f t="shared" si="456"/>
        <v>0</v>
      </c>
      <c r="Z2931" s="14">
        <v>0</v>
      </c>
      <c r="AA2931" s="6">
        <v>0</v>
      </c>
      <c r="AB2931" s="4">
        <f t="shared" si="457"/>
        <v>15636.900000000001</v>
      </c>
      <c r="AC2931" s="4">
        <f t="shared" si="459"/>
        <v>0</v>
      </c>
      <c r="AD2931" s="6">
        <f t="shared" si="463"/>
        <v>15636.900000000001</v>
      </c>
      <c r="AE2931" s="2">
        <f>VLOOKUP(I2931,[1]媒体政策预估表!A:N,MATCH(O2931,[1]媒体政策预估表!$A$2:$M$2,0),0)</f>
        <v>0.17</v>
      </c>
      <c r="AF2931" s="6">
        <f t="shared" si="460"/>
        <v>2658.2730000000006</v>
      </c>
      <c r="AG2931" s="14">
        <v>0</v>
      </c>
      <c r="AH2931" s="64">
        <f t="shared" si="464"/>
        <v>15636.900000000001</v>
      </c>
      <c r="AI2931" s="47"/>
      <c r="AJ2931" s="126" t="e">
        <v>#N/A</v>
      </c>
      <c r="AK2931" s="80">
        <f t="shared" si="458"/>
        <v>0</v>
      </c>
      <c r="AM2931" s="85"/>
    </row>
    <row r="2932" spans="1:39" hidden="1" x14ac:dyDescent="0.3">
      <c r="A2932" s="89" t="s">
        <v>3408</v>
      </c>
      <c r="B2932" s="86" t="s">
        <v>701</v>
      </c>
      <c r="C2932" s="86" t="s">
        <v>36</v>
      </c>
      <c r="D2932" s="86" t="s">
        <v>37</v>
      </c>
      <c r="E2932" s="86" t="s">
        <v>2848</v>
      </c>
      <c r="F2932" s="86" t="s">
        <v>2848</v>
      </c>
      <c r="G2932" s="86" t="s">
        <v>2848</v>
      </c>
      <c r="H2932" s="144">
        <v>83</v>
      </c>
      <c r="I2932" s="86" t="s">
        <v>78</v>
      </c>
      <c r="J2932" s="1" t="s">
        <v>3303</v>
      </c>
      <c r="K2932" s="1" t="s">
        <v>3276</v>
      </c>
      <c r="L2932" s="1" t="s">
        <v>701</v>
      </c>
      <c r="M2932" s="86" t="s">
        <v>2848</v>
      </c>
      <c r="N2932" s="86"/>
      <c r="O2932" s="47" t="s">
        <v>410</v>
      </c>
      <c r="P2932" s="47" t="s">
        <v>41</v>
      </c>
      <c r="Q2932" s="14">
        <v>0</v>
      </c>
      <c r="R2932" s="143">
        <v>7197</v>
      </c>
      <c r="S2932" s="47"/>
      <c r="T2932" s="6">
        <v>80083.72</v>
      </c>
      <c r="U2932" s="6"/>
      <c r="V2932" s="6">
        <v>24496.15</v>
      </c>
      <c r="W2932" s="6">
        <f t="shared" si="461"/>
        <v>55587.57</v>
      </c>
      <c r="X2932" s="6">
        <f t="shared" si="462"/>
        <v>24496.15</v>
      </c>
      <c r="Y2932" s="13">
        <f t="shared" si="456"/>
        <v>0</v>
      </c>
      <c r="Z2932" s="14">
        <v>0</v>
      </c>
      <c r="AA2932" s="6">
        <v>0</v>
      </c>
      <c r="AB2932" s="4">
        <f t="shared" si="457"/>
        <v>24496.15</v>
      </c>
      <c r="AC2932" s="4">
        <f t="shared" si="459"/>
        <v>0</v>
      </c>
      <c r="AD2932" s="6">
        <f t="shared" si="463"/>
        <v>24496.15</v>
      </c>
      <c r="AE2932" s="2">
        <f>VLOOKUP(I2932,[1]媒体政策预估表!A:N,MATCH(O2932,[1]媒体政策预估表!$A$2:$M$2,0),0)</f>
        <v>0.17</v>
      </c>
      <c r="AF2932" s="6">
        <f t="shared" si="460"/>
        <v>4164.3455000000004</v>
      </c>
      <c r="AG2932" s="14">
        <v>0</v>
      </c>
      <c r="AH2932" s="64">
        <f t="shared" si="464"/>
        <v>24496.15</v>
      </c>
      <c r="AI2932" s="47"/>
      <c r="AJ2932" s="126" t="e">
        <v>#N/A</v>
      </c>
      <c r="AK2932" s="80">
        <f t="shared" si="458"/>
        <v>0</v>
      </c>
      <c r="AM2932" s="85"/>
    </row>
    <row r="2933" spans="1:39" hidden="1" x14ac:dyDescent="0.3">
      <c r="A2933" s="89" t="s">
        <v>3408</v>
      </c>
      <c r="B2933" s="86" t="s">
        <v>701</v>
      </c>
      <c r="C2933" s="86" t="s">
        <v>65</v>
      </c>
      <c r="D2933" s="86" t="s">
        <v>66</v>
      </c>
      <c r="E2933" s="86" t="s">
        <v>2849</v>
      </c>
      <c r="F2933" s="86" t="s">
        <v>2849</v>
      </c>
      <c r="G2933" s="86" t="s">
        <v>2849</v>
      </c>
      <c r="H2933" s="143">
        <v>83</v>
      </c>
      <c r="I2933" s="86" t="s">
        <v>78</v>
      </c>
      <c r="J2933" s="1" t="s">
        <v>3303</v>
      </c>
      <c r="K2933" s="1" t="s">
        <v>3276</v>
      </c>
      <c r="L2933" s="1" t="s">
        <v>701</v>
      </c>
      <c r="M2933" s="86" t="s">
        <v>2850</v>
      </c>
      <c r="N2933" s="86"/>
      <c r="O2933" s="47" t="s">
        <v>410</v>
      </c>
      <c r="P2933" s="47" t="s">
        <v>46</v>
      </c>
      <c r="Q2933" s="14">
        <v>0.02</v>
      </c>
      <c r="R2933" s="143">
        <v>7263</v>
      </c>
      <c r="S2933" s="47"/>
      <c r="T2933" s="6">
        <v>25105.22</v>
      </c>
      <c r="U2933" s="6"/>
      <c r="V2933" s="6">
        <v>0</v>
      </c>
      <c r="W2933" s="6">
        <f t="shared" si="461"/>
        <v>25105.22</v>
      </c>
      <c r="X2933" s="6">
        <f t="shared" si="462"/>
        <v>0</v>
      </c>
      <c r="Y2933" s="13">
        <f t="shared" si="456"/>
        <v>0</v>
      </c>
      <c r="Z2933" s="14">
        <v>0</v>
      </c>
      <c r="AA2933" s="6">
        <v>0</v>
      </c>
      <c r="AB2933" s="4">
        <f t="shared" si="457"/>
        <v>0</v>
      </c>
      <c r="AC2933" s="4">
        <f t="shared" si="459"/>
        <v>0</v>
      </c>
      <c r="AD2933" s="6">
        <f t="shared" si="463"/>
        <v>0</v>
      </c>
      <c r="AE2933" s="2">
        <f>VLOOKUP(I2933,[1]媒体政策预估表!A:N,MATCH(O2933,[1]媒体政策预估表!$A$2:$M$2,0),0)</f>
        <v>0.17</v>
      </c>
      <c r="AF2933" s="6">
        <f t="shared" si="460"/>
        <v>0</v>
      </c>
      <c r="AG2933" s="14">
        <v>0</v>
      </c>
      <c r="AH2933" s="64">
        <f t="shared" si="464"/>
        <v>0</v>
      </c>
      <c r="AI2933" s="47"/>
      <c r="AJ2933" s="126" t="e">
        <v>#N/A</v>
      </c>
      <c r="AK2933" s="80">
        <f t="shared" si="458"/>
        <v>0</v>
      </c>
      <c r="AM2933" s="85"/>
    </row>
    <row r="2934" spans="1:39" hidden="1" x14ac:dyDescent="0.3">
      <c r="A2934" s="89" t="s">
        <v>3397</v>
      </c>
      <c r="B2934" s="86" t="s">
        <v>701</v>
      </c>
      <c r="C2934" s="86" t="s">
        <v>65</v>
      </c>
      <c r="D2934" s="86" t="s">
        <v>66</v>
      </c>
      <c r="E2934" s="86" t="s">
        <v>2755</v>
      </c>
      <c r="F2934" s="86" t="s">
        <v>2755</v>
      </c>
      <c r="G2934" s="86" t="s">
        <v>2755</v>
      </c>
      <c r="H2934" s="143">
        <v>83</v>
      </c>
      <c r="I2934" s="86" t="s">
        <v>78</v>
      </c>
      <c r="J2934" s="1" t="s">
        <v>3303</v>
      </c>
      <c r="K2934" s="1" t="s">
        <v>3276</v>
      </c>
      <c r="L2934" s="1" t="s">
        <v>701</v>
      </c>
      <c r="M2934" s="86" t="s">
        <v>2755</v>
      </c>
      <c r="N2934" s="86"/>
      <c r="O2934" s="47" t="s">
        <v>410</v>
      </c>
      <c r="P2934" s="47" t="s">
        <v>41</v>
      </c>
      <c r="Q2934" s="14">
        <v>0</v>
      </c>
      <c r="R2934" s="143">
        <v>7157</v>
      </c>
      <c r="S2934" s="47"/>
      <c r="T2934" s="6">
        <v>28853.400000000009</v>
      </c>
      <c r="U2934" s="6"/>
      <c r="V2934" s="6">
        <v>0</v>
      </c>
      <c r="W2934" s="6">
        <f t="shared" si="461"/>
        <v>28853.400000000009</v>
      </c>
      <c r="X2934" s="6">
        <f t="shared" si="462"/>
        <v>0</v>
      </c>
      <c r="Y2934" s="13">
        <f t="shared" si="456"/>
        <v>0</v>
      </c>
      <c r="Z2934" s="14">
        <v>0</v>
      </c>
      <c r="AA2934" s="6">
        <v>0</v>
      </c>
      <c r="AB2934" s="4">
        <f t="shared" si="457"/>
        <v>0</v>
      </c>
      <c r="AC2934" s="4">
        <f t="shared" si="459"/>
        <v>0</v>
      </c>
      <c r="AD2934" s="6">
        <f t="shared" si="463"/>
        <v>0</v>
      </c>
      <c r="AE2934" s="2">
        <f>VLOOKUP(I2934,[1]媒体政策预估表!A:N,MATCH(O2934,[1]媒体政策预估表!$A$2:$M$2,0),0)</f>
        <v>0.17</v>
      </c>
      <c r="AF2934" s="6">
        <f t="shared" si="460"/>
        <v>0</v>
      </c>
      <c r="AG2934" s="14">
        <v>0</v>
      </c>
      <c r="AH2934" s="64">
        <f t="shared" si="464"/>
        <v>0</v>
      </c>
      <c r="AI2934" s="47"/>
      <c r="AJ2934" s="126" t="e">
        <v>#N/A</v>
      </c>
      <c r="AK2934" s="80">
        <f t="shared" si="458"/>
        <v>0</v>
      </c>
      <c r="AM2934" s="85"/>
    </row>
    <row r="2935" spans="1:39" hidden="1" x14ac:dyDescent="0.3">
      <c r="A2935" s="89" t="s">
        <v>3397</v>
      </c>
      <c r="B2935" s="86" t="s">
        <v>701</v>
      </c>
      <c r="C2935" s="86" t="s">
        <v>65</v>
      </c>
      <c r="D2935" s="86" t="s">
        <v>66</v>
      </c>
      <c r="E2935" s="86" t="s">
        <v>2757</v>
      </c>
      <c r="F2935" s="86" t="s">
        <v>2758</v>
      </c>
      <c r="G2935" s="86" t="s">
        <v>2757</v>
      </c>
      <c r="H2935" s="144">
        <v>83</v>
      </c>
      <c r="I2935" s="86" t="s">
        <v>78</v>
      </c>
      <c r="J2935" s="1" t="s">
        <v>3303</v>
      </c>
      <c r="K2935" s="1" t="s">
        <v>3276</v>
      </c>
      <c r="L2935" s="1" t="s">
        <v>701</v>
      </c>
      <c r="M2935" s="86" t="s">
        <v>2757</v>
      </c>
      <c r="N2935" s="86"/>
      <c r="O2935" s="47" t="s">
        <v>410</v>
      </c>
      <c r="P2935" s="47" t="s">
        <v>46</v>
      </c>
      <c r="Q2935" s="14">
        <v>0.02</v>
      </c>
      <c r="R2935" s="143">
        <v>7162</v>
      </c>
      <c r="S2935" s="47"/>
      <c r="T2935" s="6">
        <v>4159.7000000000044</v>
      </c>
      <c r="U2935" s="6"/>
      <c r="V2935" s="6">
        <v>4159.7000000000071</v>
      </c>
      <c r="W2935" s="6">
        <f t="shared" si="461"/>
        <v>0</v>
      </c>
      <c r="X2935" s="6">
        <f t="shared" si="462"/>
        <v>4078.1372549019675</v>
      </c>
      <c r="Y2935" s="13">
        <f t="shared" si="456"/>
        <v>0</v>
      </c>
      <c r="Z2935" s="14">
        <v>0</v>
      </c>
      <c r="AA2935" s="6">
        <v>0</v>
      </c>
      <c r="AB2935" s="4">
        <f t="shared" si="457"/>
        <v>4078.1372549019675</v>
      </c>
      <c r="AC2935" s="4">
        <f t="shared" si="459"/>
        <v>81.562745098039613</v>
      </c>
      <c r="AD2935" s="6">
        <f t="shared" si="463"/>
        <v>4159.7000000000071</v>
      </c>
      <c r="AE2935" s="2">
        <f>VLOOKUP(I2935,[1]媒体政策预估表!A:N,MATCH(O2935,[1]媒体政策预估表!$A$2:$M$2,0),0)</f>
        <v>0.17</v>
      </c>
      <c r="AF2935" s="6">
        <f t="shared" si="460"/>
        <v>707.14900000000125</v>
      </c>
      <c r="AG2935" s="14">
        <v>0</v>
      </c>
      <c r="AH2935" s="64">
        <f t="shared" si="464"/>
        <v>4159.7000000000071</v>
      </c>
      <c r="AI2935" s="47"/>
      <c r="AJ2935" s="126" t="e">
        <v>#N/A</v>
      </c>
      <c r="AK2935" s="80">
        <f t="shared" si="458"/>
        <v>0</v>
      </c>
      <c r="AM2935" s="85"/>
    </row>
    <row r="2936" spans="1:39" hidden="1" x14ac:dyDescent="0.3">
      <c r="A2936" s="89" t="s">
        <v>3409</v>
      </c>
      <c r="B2936" s="86" t="s">
        <v>701</v>
      </c>
      <c r="C2936" s="86" t="s">
        <v>65</v>
      </c>
      <c r="D2936" s="86" t="s">
        <v>122</v>
      </c>
      <c r="E2936" s="86" t="s">
        <v>2856</v>
      </c>
      <c r="F2936" s="86" t="s">
        <v>2856</v>
      </c>
      <c r="G2936" s="86" t="s">
        <v>2856</v>
      </c>
      <c r="H2936" s="144">
        <v>83</v>
      </c>
      <c r="I2936" s="86" t="s">
        <v>78</v>
      </c>
      <c r="J2936" s="1" t="s">
        <v>3303</v>
      </c>
      <c r="K2936" s="1" t="s">
        <v>3276</v>
      </c>
      <c r="L2936" s="1" t="s">
        <v>701</v>
      </c>
      <c r="M2936" s="86" t="s">
        <v>2857</v>
      </c>
      <c r="N2936" s="86"/>
      <c r="O2936" s="47" t="s">
        <v>410</v>
      </c>
      <c r="P2936" s="47" t="s">
        <v>41</v>
      </c>
      <c r="Q2936" s="14">
        <v>0</v>
      </c>
      <c r="R2936" s="143">
        <v>7591</v>
      </c>
      <c r="S2936" s="47"/>
      <c r="T2936" s="6">
        <v>4268.6000000000004</v>
      </c>
      <c r="U2936" s="6"/>
      <c r="V2936" s="6">
        <v>637</v>
      </c>
      <c r="W2936" s="6">
        <f t="shared" si="461"/>
        <v>3631.6000000000004</v>
      </c>
      <c r="X2936" s="6">
        <f t="shared" si="462"/>
        <v>637</v>
      </c>
      <c r="Y2936" s="13">
        <f t="shared" si="456"/>
        <v>0</v>
      </c>
      <c r="Z2936" s="14">
        <v>0</v>
      </c>
      <c r="AA2936" s="6">
        <v>0</v>
      </c>
      <c r="AB2936" s="4">
        <f t="shared" si="457"/>
        <v>637</v>
      </c>
      <c r="AC2936" s="4">
        <f t="shared" si="459"/>
        <v>0</v>
      </c>
      <c r="AD2936" s="6">
        <f t="shared" si="463"/>
        <v>637</v>
      </c>
      <c r="AE2936" s="2">
        <f>VLOOKUP(I2936,[1]媒体政策预估表!A:N,MATCH(O2936,[1]媒体政策预估表!$A$2:$M$2,0),0)</f>
        <v>0.17</v>
      </c>
      <c r="AF2936" s="6">
        <f t="shared" si="460"/>
        <v>108.29</v>
      </c>
      <c r="AG2936" s="14">
        <v>0</v>
      </c>
      <c r="AH2936" s="64">
        <f t="shared" si="464"/>
        <v>637</v>
      </c>
      <c r="AI2936" s="47"/>
      <c r="AJ2936" s="126" t="e">
        <v>#N/A</v>
      </c>
      <c r="AK2936" s="80">
        <f t="shared" si="458"/>
        <v>0</v>
      </c>
      <c r="AM2936" s="85"/>
    </row>
    <row r="2937" spans="1:39" hidden="1" x14ac:dyDescent="0.3">
      <c r="A2937" s="89" t="s">
        <v>3397</v>
      </c>
      <c r="B2937" s="86" t="s">
        <v>701</v>
      </c>
      <c r="C2937" s="86" t="s">
        <v>47</v>
      </c>
      <c r="D2937" s="86" t="s">
        <v>63</v>
      </c>
      <c r="E2937" s="86" t="s">
        <v>896</v>
      </c>
      <c r="F2937" s="86" t="s">
        <v>896</v>
      </c>
      <c r="G2937" s="86" t="s">
        <v>896</v>
      </c>
      <c r="H2937" s="144">
        <v>83</v>
      </c>
      <c r="I2937" s="86" t="s">
        <v>78</v>
      </c>
      <c r="J2937" s="1" t="s">
        <v>3303</v>
      </c>
      <c r="K2937" s="1" t="s">
        <v>3276</v>
      </c>
      <c r="L2937" s="1" t="s">
        <v>701</v>
      </c>
      <c r="M2937" s="86" t="s">
        <v>2858</v>
      </c>
      <c r="N2937" s="86"/>
      <c r="O2937" s="47" t="s">
        <v>410</v>
      </c>
      <c r="P2937" s="47" t="s">
        <v>46</v>
      </c>
      <c r="Q2937" s="14">
        <v>0.02</v>
      </c>
      <c r="R2937" s="143">
        <v>105</v>
      </c>
      <c r="S2937" s="47"/>
      <c r="T2937" s="6">
        <v>20447.499999999978</v>
      </c>
      <c r="U2937" s="6"/>
      <c r="V2937" s="6">
        <v>4755</v>
      </c>
      <c r="W2937" s="6">
        <f t="shared" si="461"/>
        <v>15692.499999999978</v>
      </c>
      <c r="X2937" s="6">
        <f t="shared" si="462"/>
        <v>4661.7647058823532</v>
      </c>
      <c r="Y2937" s="13">
        <f t="shared" si="456"/>
        <v>0</v>
      </c>
      <c r="Z2937" s="14">
        <v>0</v>
      </c>
      <c r="AA2937" s="6">
        <v>0</v>
      </c>
      <c r="AB2937" s="4">
        <f t="shared" si="457"/>
        <v>4661.7647058823532</v>
      </c>
      <c r="AC2937" s="4">
        <f t="shared" si="459"/>
        <v>93.235294117646845</v>
      </c>
      <c r="AD2937" s="6">
        <f t="shared" si="463"/>
        <v>4755</v>
      </c>
      <c r="AE2937" s="2">
        <f>VLOOKUP(I2937,[1]媒体政策预估表!A:N,MATCH(O2937,[1]媒体政策预估表!$A$2:$M$2,0),0)</f>
        <v>0.17</v>
      </c>
      <c r="AF2937" s="6">
        <f t="shared" si="460"/>
        <v>808.35</v>
      </c>
      <c r="AG2937" s="14">
        <v>0</v>
      </c>
      <c r="AH2937" s="64">
        <f t="shared" si="464"/>
        <v>4755</v>
      </c>
      <c r="AI2937" s="47"/>
      <c r="AJ2937" s="126" t="e">
        <v>#N/A</v>
      </c>
      <c r="AK2937" s="80">
        <f t="shared" si="458"/>
        <v>0</v>
      </c>
      <c r="AM2937" s="85"/>
    </row>
    <row r="2938" spans="1:39" hidden="1" x14ac:dyDescent="0.3">
      <c r="A2938" s="89" t="s">
        <v>3408</v>
      </c>
      <c r="B2938" s="86" t="s">
        <v>701</v>
      </c>
      <c r="C2938" s="86" t="s">
        <v>47</v>
      </c>
      <c r="D2938" s="86" t="s">
        <v>48</v>
      </c>
      <c r="E2938" s="86" t="s">
        <v>49</v>
      </c>
      <c r="F2938" s="86" t="s">
        <v>49</v>
      </c>
      <c r="G2938" s="86" t="s">
        <v>49</v>
      </c>
      <c r="H2938" s="144">
        <v>83</v>
      </c>
      <c r="I2938" s="86" t="s">
        <v>78</v>
      </c>
      <c r="J2938" s="1" t="s">
        <v>3303</v>
      </c>
      <c r="K2938" s="1" t="s">
        <v>3276</v>
      </c>
      <c r="L2938" s="1" t="s">
        <v>701</v>
      </c>
      <c r="M2938" s="86" t="s">
        <v>49</v>
      </c>
      <c r="N2938" s="86"/>
      <c r="O2938" s="47" t="s">
        <v>410</v>
      </c>
      <c r="P2938" s="47" t="s">
        <v>41</v>
      </c>
      <c r="Q2938" s="14">
        <v>0</v>
      </c>
      <c r="R2938" s="143">
        <v>7150</v>
      </c>
      <c r="S2938" s="47"/>
      <c r="T2938" s="6">
        <v>17765.259999999998</v>
      </c>
      <c r="U2938" s="6"/>
      <c r="V2938" s="6">
        <v>2812</v>
      </c>
      <c r="W2938" s="6">
        <f t="shared" si="461"/>
        <v>14953.259999999998</v>
      </c>
      <c r="X2938" s="6">
        <f t="shared" si="462"/>
        <v>2812</v>
      </c>
      <c r="Y2938" s="13">
        <f t="shared" si="456"/>
        <v>0</v>
      </c>
      <c r="Z2938" s="14">
        <v>0</v>
      </c>
      <c r="AA2938" s="6">
        <v>0</v>
      </c>
      <c r="AB2938" s="4">
        <f t="shared" si="457"/>
        <v>2812</v>
      </c>
      <c r="AC2938" s="4">
        <f t="shared" si="459"/>
        <v>0</v>
      </c>
      <c r="AD2938" s="6">
        <f t="shared" si="463"/>
        <v>2812</v>
      </c>
      <c r="AE2938" s="2">
        <f>VLOOKUP(I2938,[1]媒体政策预估表!A:N,MATCH(O2938,[1]媒体政策预估表!$A$2:$M$2,0),0)</f>
        <v>0.17</v>
      </c>
      <c r="AF2938" s="6">
        <f t="shared" si="460"/>
        <v>478.04</v>
      </c>
      <c r="AG2938" s="14">
        <v>0</v>
      </c>
      <c r="AH2938" s="64">
        <f t="shared" si="464"/>
        <v>2812</v>
      </c>
      <c r="AI2938" s="47"/>
      <c r="AJ2938" s="126" t="e">
        <v>#N/A</v>
      </c>
      <c r="AK2938" s="80">
        <f t="shared" si="458"/>
        <v>0</v>
      </c>
      <c r="AM2938" s="85"/>
    </row>
    <row r="2939" spans="1:39" hidden="1" x14ac:dyDescent="0.3">
      <c r="A2939" s="89" t="s">
        <v>3397</v>
      </c>
      <c r="B2939" s="86" t="s">
        <v>701</v>
      </c>
      <c r="C2939" s="86" t="s">
        <v>144</v>
      </c>
      <c r="D2939" s="86" t="s">
        <v>152</v>
      </c>
      <c r="E2939" s="86" t="s">
        <v>2860</v>
      </c>
      <c r="F2939" s="86" t="s">
        <v>2860</v>
      </c>
      <c r="G2939" s="86" t="s">
        <v>2860</v>
      </c>
      <c r="H2939" s="144">
        <v>83</v>
      </c>
      <c r="I2939" s="86" t="s">
        <v>78</v>
      </c>
      <c r="J2939" s="1" t="s">
        <v>3303</v>
      </c>
      <c r="K2939" s="1" t="s">
        <v>3276</v>
      </c>
      <c r="L2939" s="1" t="s">
        <v>701</v>
      </c>
      <c r="M2939" s="86" t="s">
        <v>2861</v>
      </c>
      <c r="N2939" s="86"/>
      <c r="O2939" s="47" t="s">
        <v>410</v>
      </c>
      <c r="P2939" s="47" t="s">
        <v>46</v>
      </c>
      <c r="Q2939" s="14">
        <v>0.03</v>
      </c>
      <c r="R2939" s="143">
        <v>108</v>
      </c>
      <c r="S2939" s="47"/>
      <c r="T2939" s="6">
        <v>2634.6</v>
      </c>
      <c r="U2939" s="6"/>
      <c r="V2939" s="6">
        <v>520.20000000000005</v>
      </c>
      <c r="W2939" s="6">
        <f t="shared" si="461"/>
        <v>2114.3999999999996</v>
      </c>
      <c r="X2939" s="6">
        <f t="shared" si="462"/>
        <v>505.04854368932041</v>
      </c>
      <c r="Y2939" s="13">
        <f t="shared" si="456"/>
        <v>0</v>
      </c>
      <c r="Z2939" s="14">
        <v>0</v>
      </c>
      <c r="AA2939" s="6">
        <v>0</v>
      </c>
      <c r="AB2939" s="4">
        <f t="shared" si="457"/>
        <v>505.04854368932041</v>
      </c>
      <c r="AC2939" s="4">
        <f t="shared" si="459"/>
        <v>15.151456310679634</v>
      </c>
      <c r="AD2939" s="6">
        <f t="shared" si="463"/>
        <v>520.20000000000005</v>
      </c>
      <c r="AE2939" s="2">
        <f>VLOOKUP(I2939,[1]媒体政策预估表!A:N,MATCH(O2939,[1]媒体政策预估表!$A$2:$M$2,0),0)</f>
        <v>0.17</v>
      </c>
      <c r="AF2939" s="6">
        <f t="shared" si="460"/>
        <v>88.434000000000012</v>
      </c>
      <c r="AG2939" s="14">
        <v>0</v>
      </c>
      <c r="AH2939" s="64">
        <f t="shared" si="464"/>
        <v>520.20000000000005</v>
      </c>
      <c r="AI2939" s="47"/>
      <c r="AJ2939" s="126" t="e">
        <v>#N/A</v>
      </c>
      <c r="AK2939" s="80">
        <f t="shared" si="458"/>
        <v>0</v>
      </c>
      <c r="AM2939" s="85"/>
    </row>
    <row r="2940" spans="1:39" hidden="1" x14ac:dyDescent="0.3">
      <c r="A2940" s="89" t="s">
        <v>3409</v>
      </c>
      <c r="B2940" s="86" t="s">
        <v>701</v>
      </c>
      <c r="C2940" s="86" t="s">
        <v>164</v>
      </c>
      <c r="D2940" s="86" t="s">
        <v>174</v>
      </c>
      <c r="E2940" s="86" t="s">
        <v>2862</v>
      </c>
      <c r="F2940" s="86" t="s">
        <v>2862</v>
      </c>
      <c r="G2940" s="86" t="s">
        <v>2862</v>
      </c>
      <c r="H2940" s="144">
        <v>83</v>
      </c>
      <c r="I2940" s="86" t="s">
        <v>78</v>
      </c>
      <c r="J2940" s="1" t="s">
        <v>3303</v>
      </c>
      <c r="K2940" s="1" t="s">
        <v>3276</v>
      </c>
      <c r="L2940" s="1" t="s">
        <v>701</v>
      </c>
      <c r="M2940" s="86" t="s">
        <v>2863</v>
      </c>
      <c r="N2940" s="86"/>
      <c r="O2940" s="47" t="s">
        <v>410</v>
      </c>
      <c r="P2940" s="47" t="s">
        <v>46</v>
      </c>
      <c r="Q2940" s="14">
        <v>0.02</v>
      </c>
      <c r="R2940" s="143">
        <v>7194</v>
      </c>
      <c r="S2940" s="47"/>
      <c r="T2940" s="6">
        <v>7072.130000000001</v>
      </c>
      <c r="U2940" s="6"/>
      <c r="V2940" s="6">
        <v>7072.130000000001</v>
      </c>
      <c r="W2940" s="6">
        <f t="shared" si="461"/>
        <v>0</v>
      </c>
      <c r="X2940" s="6">
        <f t="shared" si="462"/>
        <v>6933.4607843137264</v>
      </c>
      <c r="Y2940" s="13">
        <f t="shared" si="456"/>
        <v>0</v>
      </c>
      <c r="Z2940" s="14">
        <v>0</v>
      </c>
      <c r="AA2940" s="6">
        <v>0</v>
      </c>
      <c r="AB2940" s="4">
        <f t="shared" si="457"/>
        <v>6933.4607843137264</v>
      </c>
      <c r="AC2940" s="4">
        <f t="shared" si="459"/>
        <v>138.66921568627458</v>
      </c>
      <c r="AD2940" s="6">
        <f t="shared" si="463"/>
        <v>7072.130000000001</v>
      </c>
      <c r="AE2940" s="2">
        <f>VLOOKUP(I2940,[1]媒体政策预估表!A:N,MATCH(O2940,[1]媒体政策预估表!$A$2:$M$2,0),0)</f>
        <v>0.17</v>
      </c>
      <c r="AF2940" s="6">
        <f t="shared" si="460"/>
        <v>1202.2621000000004</v>
      </c>
      <c r="AG2940" s="14">
        <v>0</v>
      </c>
      <c r="AH2940" s="64">
        <f t="shared" si="464"/>
        <v>7072.130000000001</v>
      </c>
      <c r="AI2940" s="47"/>
      <c r="AJ2940" s="126" t="e">
        <v>#N/A</v>
      </c>
      <c r="AK2940" s="80">
        <f t="shared" si="458"/>
        <v>0</v>
      </c>
      <c r="AM2940" s="85"/>
    </row>
    <row r="2941" spans="1:39" hidden="1" x14ac:dyDescent="0.3">
      <c r="A2941" s="89" t="s">
        <v>3397</v>
      </c>
      <c r="B2941" s="86" t="s">
        <v>701</v>
      </c>
      <c r="C2941" s="86" t="s">
        <v>164</v>
      </c>
      <c r="D2941" s="86" t="s">
        <v>174</v>
      </c>
      <c r="E2941" s="86" t="s">
        <v>2820</v>
      </c>
      <c r="F2941" s="86" t="s">
        <v>2820</v>
      </c>
      <c r="G2941" s="86" t="s">
        <v>2820</v>
      </c>
      <c r="H2941" s="143">
        <v>83</v>
      </c>
      <c r="I2941" s="86" t="s">
        <v>78</v>
      </c>
      <c r="J2941" s="1" t="s">
        <v>3303</v>
      </c>
      <c r="K2941" s="1" t="s">
        <v>3276</v>
      </c>
      <c r="L2941" s="1" t="s">
        <v>701</v>
      </c>
      <c r="M2941" s="86" t="s">
        <v>2360</v>
      </c>
      <c r="N2941" s="86"/>
      <c r="O2941" s="47" t="s">
        <v>410</v>
      </c>
      <c r="P2941" s="47" t="s">
        <v>41</v>
      </c>
      <c r="Q2941" s="14">
        <v>0</v>
      </c>
      <c r="R2941" s="143">
        <v>7515</v>
      </c>
      <c r="S2941" s="47"/>
      <c r="T2941" s="6">
        <v>3787.7999999999993</v>
      </c>
      <c r="U2941" s="6"/>
      <c r="V2941" s="6">
        <v>0</v>
      </c>
      <c r="W2941" s="6">
        <f t="shared" si="461"/>
        <v>3787.7999999999993</v>
      </c>
      <c r="X2941" s="6">
        <f t="shared" si="462"/>
        <v>0</v>
      </c>
      <c r="Y2941" s="13">
        <f t="shared" si="456"/>
        <v>0</v>
      </c>
      <c r="Z2941" s="14">
        <v>0</v>
      </c>
      <c r="AA2941" s="6">
        <v>0</v>
      </c>
      <c r="AB2941" s="4">
        <f t="shared" si="457"/>
        <v>0</v>
      </c>
      <c r="AC2941" s="4">
        <f t="shared" si="459"/>
        <v>0</v>
      </c>
      <c r="AD2941" s="6">
        <f t="shared" si="463"/>
        <v>0</v>
      </c>
      <c r="AE2941" s="2">
        <f>VLOOKUP(I2941,[1]媒体政策预估表!A:N,MATCH(O2941,[1]媒体政策预估表!$A$2:$M$2,0),0)</f>
        <v>0.17</v>
      </c>
      <c r="AF2941" s="6">
        <f t="shared" si="460"/>
        <v>0</v>
      </c>
      <c r="AG2941" s="14">
        <v>0</v>
      </c>
      <c r="AH2941" s="64">
        <f t="shared" si="464"/>
        <v>0</v>
      </c>
      <c r="AI2941" s="47"/>
      <c r="AJ2941" s="126" t="e">
        <v>#N/A</v>
      </c>
      <c r="AK2941" s="80">
        <f t="shared" si="458"/>
        <v>0</v>
      </c>
      <c r="AM2941" s="85"/>
    </row>
    <row r="2942" spans="1:39" hidden="1" x14ac:dyDescent="0.3">
      <c r="A2942" s="89" t="s">
        <v>3397</v>
      </c>
      <c r="B2942" s="86" t="s">
        <v>701</v>
      </c>
      <c r="C2942" s="86" t="s">
        <v>164</v>
      </c>
      <c r="D2942" s="86" t="s">
        <v>174</v>
      </c>
      <c r="E2942" s="86" t="s">
        <v>2864</v>
      </c>
      <c r="F2942" s="86" t="s">
        <v>2864</v>
      </c>
      <c r="G2942" s="86" t="s">
        <v>2864</v>
      </c>
      <c r="H2942" s="143">
        <v>83</v>
      </c>
      <c r="I2942" s="86" t="s">
        <v>78</v>
      </c>
      <c r="J2942" s="1" t="s">
        <v>3303</v>
      </c>
      <c r="K2942" s="1" t="s">
        <v>3276</v>
      </c>
      <c r="L2942" s="1" t="s">
        <v>701</v>
      </c>
      <c r="M2942" s="86" t="s">
        <v>2864</v>
      </c>
      <c r="N2942" s="86"/>
      <c r="O2942" s="47" t="s">
        <v>410</v>
      </c>
      <c r="P2942" s="47" t="s">
        <v>41</v>
      </c>
      <c r="Q2942" s="14">
        <v>0</v>
      </c>
      <c r="R2942" s="143">
        <v>7568</v>
      </c>
      <c r="S2942" s="47"/>
      <c r="T2942" s="6">
        <v>4927.25</v>
      </c>
      <c r="U2942" s="6"/>
      <c r="V2942" s="6">
        <v>0</v>
      </c>
      <c r="W2942" s="6">
        <f t="shared" si="461"/>
        <v>4927.25</v>
      </c>
      <c r="X2942" s="6">
        <f t="shared" si="462"/>
        <v>0</v>
      </c>
      <c r="Y2942" s="13">
        <f t="shared" si="456"/>
        <v>0</v>
      </c>
      <c r="Z2942" s="14">
        <v>0</v>
      </c>
      <c r="AA2942" s="6">
        <v>0</v>
      </c>
      <c r="AB2942" s="4">
        <f t="shared" si="457"/>
        <v>0</v>
      </c>
      <c r="AC2942" s="4">
        <f t="shared" si="459"/>
        <v>0</v>
      </c>
      <c r="AD2942" s="6">
        <f t="shared" si="463"/>
        <v>0</v>
      </c>
      <c r="AE2942" s="2">
        <f>VLOOKUP(I2942,[1]媒体政策预估表!A:N,MATCH(O2942,[1]媒体政策预估表!$A$2:$M$2,0),0)</f>
        <v>0.17</v>
      </c>
      <c r="AF2942" s="6">
        <f t="shared" si="460"/>
        <v>0</v>
      </c>
      <c r="AG2942" s="14">
        <v>0</v>
      </c>
      <c r="AH2942" s="64">
        <f t="shared" si="464"/>
        <v>0</v>
      </c>
      <c r="AI2942" s="47"/>
      <c r="AJ2942" s="126" t="e">
        <v>#N/A</v>
      </c>
      <c r="AK2942" s="80">
        <f t="shared" si="458"/>
        <v>0</v>
      </c>
      <c r="AM2942" s="85"/>
    </row>
    <row r="2943" spans="1:39" hidden="1" x14ac:dyDescent="0.3">
      <c r="A2943" s="89" t="s">
        <v>3397</v>
      </c>
      <c r="B2943" s="86" t="s">
        <v>701</v>
      </c>
      <c r="C2943" s="86" t="s">
        <v>164</v>
      </c>
      <c r="D2943" s="86" t="s">
        <v>174</v>
      </c>
      <c r="E2943" s="86" t="s">
        <v>694</v>
      </c>
      <c r="F2943" s="86" t="s">
        <v>694</v>
      </c>
      <c r="G2943" s="86" t="s">
        <v>694</v>
      </c>
      <c r="H2943" s="144">
        <v>83</v>
      </c>
      <c r="I2943" s="86" t="s">
        <v>78</v>
      </c>
      <c r="J2943" s="1" t="s">
        <v>3303</v>
      </c>
      <c r="K2943" s="1" t="s">
        <v>3276</v>
      </c>
      <c r="L2943" s="1" t="s">
        <v>701</v>
      </c>
      <c r="M2943" s="86" t="s">
        <v>694</v>
      </c>
      <c r="N2943" s="86"/>
      <c r="O2943" s="47" t="s">
        <v>410</v>
      </c>
      <c r="P2943" s="47" t="s">
        <v>46</v>
      </c>
      <c r="Q2943" s="14">
        <v>0.02</v>
      </c>
      <c r="R2943" s="143">
        <v>7202</v>
      </c>
      <c r="S2943" s="47"/>
      <c r="T2943" s="6">
        <v>2719.4399999999951</v>
      </c>
      <c r="U2943" s="6"/>
      <c r="V2943" s="6">
        <v>2719.4399999999951</v>
      </c>
      <c r="W2943" s="6">
        <f t="shared" si="461"/>
        <v>0</v>
      </c>
      <c r="X2943" s="6">
        <f t="shared" si="462"/>
        <v>2666.1176470588184</v>
      </c>
      <c r="Y2943" s="13">
        <f t="shared" si="456"/>
        <v>0</v>
      </c>
      <c r="Z2943" s="14">
        <v>0</v>
      </c>
      <c r="AA2943" s="6">
        <v>0</v>
      </c>
      <c r="AB2943" s="4">
        <f t="shared" si="457"/>
        <v>2666.1176470588184</v>
      </c>
      <c r="AC2943" s="4">
        <f t="shared" si="459"/>
        <v>53.322352941176632</v>
      </c>
      <c r="AD2943" s="6">
        <f t="shared" si="463"/>
        <v>2719.4399999999951</v>
      </c>
      <c r="AE2943" s="2">
        <f>VLOOKUP(I2943,[1]媒体政策预估表!A:N,MATCH(O2943,[1]媒体政策预估表!$A$2:$M$2,0),0)</f>
        <v>0.17</v>
      </c>
      <c r="AF2943" s="6">
        <f t="shared" si="460"/>
        <v>462.3047999999992</v>
      </c>
      <c r="AG2943" s="14">
        <v>0</v>
      </c>
      <c r="AH2943" s="64">
        <f t="shared" si="464"/>
        <v>2719.4399999999951</v>
      </c>
      <c r="AI2943" s="47"/>
      <c r="AJ2943" s="126" t="e">
        <v>#N/A</v>
      </c>
      <c r="AK2943" s="80">
        <f t="shared" si="458"/>
        <v>0</v>
      </c>
      <c r="AM2943" s="85"/>
    </row>
    <row r="2944" spans="1:39" hidden="1" x14ac:dyDescent="0.3">
      <c r="A2944" s="89" t="s">
        <v>3397</v>
      </c>
      <c r="B2944" s="86" t="s">
        <v>35</v>
      </c>
      <c r="C2944" s="86" t="s">
        <v>36</v>
      </c>
      <c r="D2944" s="86" t="s">
        <v>54</v>
      </c>
      <c r="E2944" s="86" t="s">
        <v>2695</v>
      </c>
      <c r="F2944" s="86" t="s">
        <v>2696</v>
      </c>
      <c r="G2944" s="86" t="s">
        <v>1845</v>
      </c>
      <c r="H2944" s="144">
        <v>83</v>
      </c>
      <c r="I2944" s="86" t="s">
        <v>78</v>
      </c>
      <c r="J2944" s="1" t="s">
        <v>3303</v>
      </c>
      <c r="K2944" s="1" t="s">
        <v>3276</v>
      </c>
      <c r="L2944" s="1" t="s">
        <v>701</v>
      </c>
      <c r="M2944" s="86" t="s">
        <v>2865</v>
      </c>
      <c r="N2944" s="86"/>
      <c r="O2944" s="47" t="s">
        <v>410</v>
      </c>
      <c r="P2944" s="47" t="s">
        <v>46</v>
      </c>
      <c r="Q2944" s="14">
        <v>0.03</v>
      </c>
      <c r="R2944" s="143">
        <v>7523</v>
      </c>
      <c r="S2944" s="47"/>
      <c r="T2944" s="6">
        <v>18708.090000000026</v>
      </c>
      <c r="U2944" s="6"/>
      <c r="V2944" s="6">
        <v>18708.090000000026</v>
      </c>
      <c r="W2944" s="6">
        <f t="shared" si="461"/>
        <v>0</v>
      </c>
      <c r="X2944" s="6">
        <f t="shared" si="462"/>
        <v>18163.194174757307</v>
      </c>
      <c r="Y2944" s="13">
        <f t="shared" si="456"/>
        <v>0</v>
      </c>
      <c r="Z2944" s="14">
        <v>0</v>
      </c>
      <c r="AA2944" s="6">
        <v>0</v>
      </c>
      <c r="AB2944" s="4">
        <f t="shared" si="457"/>
        <v>18163.194174757307</v>
      </c>
      <c r="AC2944" s="4">
        <f t="shared" si="459"/>
        <v>544.89582524271827</v>
      </c>
      <c r="AD2944" s="6">
        <f t="shared" si="463"/>
        <v>18708.090000000026</v>
      </c>
      <c r="AE2944" s="2">
        <f>VLOOKUP(I2944,[1]媒体政策预估表!A:N,MATCH(O2944,[1]媒体政策预估表!$A$2:$M$2,0),0)</f>
        <v>0.17</v>
      </c>
      <c r="AF2944" s="6">
        <f t="shared" si="460"/>
        <v>3180.3753000000047</v>
      </c>
      <c r="AG2944" s="14">
        <v>0</v>
      </c>
      <c r="AH2944" s="64">
        <f t="shared" si="464"/>
        <v>18708.090000000026</v>
      </c>
      <c r="AI2944" s="47"/>
      <c r="AJ2944" s="126" t="e">
        <v>#N/A</v>
      </c>
      <c r="AK2944" s="80">
        <f t="shared" si="458"/>
        <v>0</v>
      </c>
      <c r="AM2944" s="85"/>
    </row>
    <row r="2945" spans="1:39" hidden="1" x14ac:dyDescent="0.3">
      <c r="A2945" s="89" t="s">
        <v>3397</v>
      </c>
      <c r="B2945" s="86" t="s">
        <v>701</v>
      </c>
      <c r="C2945" s="86" t="s">
        <v>65</v>
      </c>
      <c r="D2945" s="86" t="s">
        <v>66</v>
      </c>
      <c r="E2945" s="86" t="s">
        <v>2866</v>
      </c>
      <c r="F2945" s="86" t="s">
        <v>2866</v>
      </c>
      <c r="G2945" s="86" t="s">
        <v>2866</v>
      </c>
      <c r="H2945" s="144">
        <v>83</v>
      </c>
      <c r="I2945" s="86" t="s">
        <v>78</v>
      </c>
      <c r="J2945" s="1" t="s">
        <v>3303</v>
      </c>
      <c r="K2945" s="1" t="s">
        <v>3276</v>
      </c>
      <c r="L2945" s="1" t="s">
        <v>701</v>
      </c>
      <c r="M2945" s="86" t="s">
        <v>2866</v>
      </c>
      <c r="N2945" s="86"/>
      <c r="O2945" s="47" t="s">
        <v>410</v>
      </c>
      <c r="P2945" s="47" t="s">
        <v>41</v>
      </c>
      <c r="Q2945" s="14">
        <v>0</v>
      </c>
      <c r="R2945" s="143">
        <v>7181</v>
      </c>
      <c r="S2945" s="47"/>
      <c r="T2945" s="6">
        <v>273339.73</v>
      </c>
      <c r="U2945" s="6"/>
      <c r="V2945" s="6">
        <v>27872.579999999998</v>
      </c>
      <c r="W2945" s="6">
        <f t="shared" si="461"/>
        <v>245467.15</v>
      </c>
      <c r="X2945" s="6">
        <f t="shared" si="462"/>
        <v>27872.579999999998</v>
      </c>
      <c r="Y2945" s="13">
        <f t="shared" si="456"/>
        <v>0</v>
      </c>
      <c r="Z2945" s="14">
        <v>0</v>
      </c>
      <c r="AA2945" s="6">
        <v>0</v>
      </c>
      <c r="AB2945" s="4">
        <f t="shared" si="457"/>
        <v>27872.579999999998</v>
      </c>
      <c r="AC2945" s="4">
        <f t="shared" si="459"/>
        <v>0</v>
      </c>
      <c r="AD2945" s="6">
        <f t="shared" si="463"/>
        <v>27872.579999999998</v>
      </c>
      <c r="AE2945" s="2">
        <f>VLOOKUP(I2945,[1]媒体政策预估表!A:N,MATCH(O2945,[1]媒体政策预估表!$A$2:$M$2,0),0)</f>
        <v>0.17</v>
      </c>
      <c r="AF2945" s="6">
        <f t="shared" si="460"/>
        <v>4738.3386</v>
      </c>
      <c r="AG2945" s="14">
        <v>0</v>
      </c>
      <c r="AH2945" s="64">
        <f t="shared" si="464"/>
        <v>27872.579999999998</v>
      </c>
      <c r="AI2945" s="47"/>
      <c r="AJ2945" s="126" t="e">
        <v>#N/A</v>
      </c>
      <c r="AK2945" s="80">
        <f t="shared" si="458"/>
        <v>0</v>
      </c>
      <c r="AM2945" s="85"/>
    </row>
    <row r="2946" spans="1:39" hidden="1" x14ac:dyDescent="0.3">
      <c r="A2946" s="89" t="s">
        <v>3397</v>
      </c>
      <c r="B2946" s="86" t="s">
        <v>701</v>
      </c>
      <c r="C2946" s="86" t="s">
        <v>47</v>
      </c>
      <c r="D2946" s="86" t="s">
        <v>63</v>
      </c>
      <c r="E2946" s="86" t="s">
        <v>1323</v>
      </c>
      <c r="F2946" s="86" t="s">
        <v>1323</v>
      </c>
      <c r="G2946" s="86" t="s">
        <v>1323</v>
      </c>
      <c r="H2946" s="143">
        <v>83</v>
      </c>
      <c r="I2946" s="86" t="s">
        <v>78</v>
      </c>
      <c r="J2946" s="1" t="s">
        <v>3303</v>
      </c>
      <c r="K2946" s="1" t="s">
        <v>3276</v>
      </c>
      <c r="L2946" s="1" t="s">
        <v>701</v>
      </c>
      <c r="M2946" s="86" t="s">
        <v>2869</v>
      </c>
      <c r="N2946" s="86"/>
      <c r="O2946" s="47" t="s">
        <v>410</v>
      </c>
      <c r="P2946" s="47" t="s">
        <v>46</v>
      </c>
      <c r="Q2946" s="14">
        <v>0.02</v>
      </c>
      <c r="R2946" s="143">
        <v>112</v>
      </c>
      <c r="S2946" s="47"/>
      <c r="T2946" s="6">
        <v>7764.1100000000024</v>
      </c>
      <c r="U2946" s="6"/>
      <c r="V2946" s="6">
        <v>0</v>
      </c>
      <c r="W2946" s="6">
        <f t="shared" si="461"/>
        <v>7764.1100000000024</v>
      </c>
      <c r="X2946" s="6">
        <f t="shared" si="462"/>
        <v>0</v>
      </c>
      <c r="Y2946" s="13">
        <f t="shared" si="456"/>
        <v>0</v>
      </c>
      <c r="Z2946" s="14">
        <v>0</v>
      </c>
      <c r="AA2946" s="6">
        <v>0</v>
      </c>
      <c r="AB2946" s="4">
        <f t="shared" si="457"/>
        <v>0</v>
      </c>
      <c r="AC2946" s="4">
        <f t="shared" si="459"/>
        <v>0</v>
      </c>
      <c r="AD2946" s="6">
        <f t="shared" si="463"/>
        <v>0</v>
      </c>
      <c r="AE2946" s="2">
        <f>VLOOKUP(I2946,[1]媒体政策预估表!A:N,MATCH(O2946,[1]媒体政策预估表!$A$2:$M$2,0),0)</f>
        <v>0.17</v>
      </c>
      <c r="AF2946" s="6">
        <f t="shared" si="460"/>
        <v>0</v>
      </c>
      <c r="AG2946" s="14">
        <v>0</v>
      </c>
      <c r="AH2946" s="64">
        <f t="shared" si="464"/>
        <v>0</v>
      </c>
      <c r="AI2946" s="47"/>
      <c r="AJ2946" s="126" t="e">
        <v>#N/A</v>
      </c>
      <c r="AK2946" s="80">
        <f t="shared" si="458"/>
        <v>0</v>
      </c>
      <c r="AM2946" s="85"/>
    </row>
    <row r="2947" spans="1:39" hidden="1" x14ac:dyDescent="0.3">
      <c r="A2947" s="89" t="s">
        <v>3408</v>
      </c>
      <c r="B2947" s="86" t="s">
        <v>701</v>
      </c>
      <c r="C2947" s="86" t="s">
        <v>47</v>
      </c>
      <c r="D2947" s="86" t="s">
        <v>63</v>
      </c>
      <c r="E2947" s="86" t="s">
        <v>2870</v>
      </c>
      <c r="F2947" s="86" t="s">
        <v>2870</v>
      </c>
      <c r="G2947" s="86" t="s">
        <v>2870</v>
      </c>
      <c r="H2947" s="144">
        <v>83</v>
      </c>
      <c r="I2947" s="86" t="s">
        <v>78</v>
      </c>
      <c r="J2947" s="1" t="s">
        <v>3303</v>
      </c>
      <c r="K2947" s="1" t="s">
        <v>3276</v>
      </c>
      <c r="L2947" s="1" t="s">
        <v>701</v>
      </c>
      <c r="M2947" s="86" t="s">
        <v>2871</v>
      </c>
      <c r="N2947" s="86"/>
      <c r="O2947" s="47" t="s">
        <v>410</v>
      </c>
      <c r="P2947" s="47" t="s">
        <v>46</v>
      </c>
      <c r="Q2947" s="14">
        <v>0.03</v>
      </c>
      <c r="R2947" s="143">
        <v>7381</v>
      </c>
      <c r="S2947" s="47"/>
      <c r="T2947" s="6">
        <v>14048</v>
      </c>
      <c r="U2947" s="6"/>
      <c r="V2947" s="6">
        <v>3096</v>
      </c>
      <c r="W2947" s="6">
        <f t="shared" si="461"/>
        <v>10952</v>
      </c>
      <c r="X2947" s="6">
        <f t="shared" si="462"/>
        <v>3005.8252427184466</v>
      </c>
      <c r="Y2947" s="13">
        <f t="shared" ref="Y2947:Y3010" si="465">IF(X2947-AD2947&lt;=0,0,IF(P2947="返现",MAX(X2947-AC2947-AD2947,0),MAX(X2947-AD2947)))</f>
        <v>0</v>
      </c>
      <c r="Z2947" s="14">
        <v>0</v>
      </c>
      <c r="AA2947" s="6">
        <v>0</v>
      </c>
      <c r="AB2947" s="4">
        <f t="shared" ref="AB2947:AB3010" si="466">X2947+AA2947</f>
        <v>3005.8252427184466</v>
      </c>
      <c r="AC2947" s="4">
        <f t="shared" si="459"/>
        <v>90.174757281553411</v>
      </c>
      <c r="AD2947" s="6">
        <f t="shared" si="463"/>
        <v>3096</v>
      </c>
      <c r="AE2947" s="2">
        <f>VLOOKUP(I2947,[1]媒体政策预估表!A:N,MATCH(O2947,[1]媒体政策预估表!$A$2:$M$2,0),0)</f>
        <v>0.17</v>
      </c>
      <c r="AF2947" s="6">
        <f t="shared" si="460"/>
        <v>526.32000000000005</v>
      </c>
      <c r="AG2947" s="14">
        <v>0</v>
      </c>
      <c r="AH2947" s="64">
        <f t="shared" si="464"/>
        <v>3096</v>
      </c>
      <c r="AI2947" s="47"/>
      <c r="AJ2947" s="126" t="e">
        <v>#N/A</v>
      </c>
      <c r="AK2947" s="80">
        <f t="shared" ref="AK2947:AK3010" si="467">X2947+AA2947-AB2947</f>
        <v>0</v>
      </c>
      <c r="AM2947" s="85"/>
    </row>
    <row r="2948" spans="1:39" hidden="1" x14ac:dyDescent="0.3">
      <c r="A2948" s="89" t="s">
        <v>3397</v>
      </c>
      <c r="B2948" s="86" t="s">
        <v>701</v>
      </c>
      <c r="C2948" s="86" t="s">
        <v>144</v>
      </c>
      <c r="D2948" s="86" t="s">
        <v>145</v>
      </c>
      <c r="E2948" s="86" t="s">
        <v>2872</v>
      </c>
      <c r="F2948" s="86" t="s">
        <v>2872</v>
      </c>
      <c r="G2948" s="86" t="s">
        <v>2872</v>
      </c>
      <c r="H2948" s="144">
        <v>83</v>
      </c>
      <c r="I2948" s="86" t="s">
        <v>78</v>
      </c>
      <c r="J2948" s="1" t="s">
        <v>3303</v>
      </c>
      <c r="K2948" s="1" t="s">
        <v>3276</v>
      </c>
      <c r="L2948" s="1" t="s">
        <v>701</v>
      </c>
      <c r="M2948" s="86" t="s">
        <v>2873</v>
      </c>
      <c r="N2948" s="86"/>
      <c r="O2948" s="47" t="s">
        <v>410</v>
      </c>
      <c r="P2948" s="47" t="s">
        <v>46</v>
      </c>
      <c r="Q2948" s="14">
        <v>0.02</v>
      </c>
      <c r="R2948" s="143">
        <v>100</v>
      </c>
      <c r="S2948" s="47"/>
      <c r="T2948" s="6">
        <v>17846.800000000003</v>
      </c>
      <c r="U2948" s="6"/>
      <c r="V2948" s="6">
        <v>2200.3900000000003</v>
      </c>
      <c r="W2948" s="6">
        <f t="shared" si="461"/>
        <v>15646.410000000003</v>
      </c>
      <c r="X2948" s="6">
        <f t="shared" si="462"/>
        <v>2157.2450980392159</v>
      </c>
      <c r="Y2948" s="13">
        <f t="shared" si="465"/>
        <v>0</v>
      </c>
      <c r="Z2948" s="14">
        <v>0</v>
      </c>
      <c r="AA2948" s="6">
        <v>0</v>
      </c>
      <c r="AB2948" s="4">
        <f t="shared" si="466"/>
        <v>2157.2450980392159</v>
      </c>
      <c r="AC2948" s="4">
        <f t="shared" si="459"/>
        <v>43.144901960784409</v>
      </c>
      <c r="AD2948" s="6">
        <f t="shared" si="463"/>
        <v>2200.3900000000003</v>
      </c>
      <c r="AE2948" s="2">
        <f>VLOOKUP(I2948,[1]媒体政策预估表!A:N,MATCH(O2948,[1]媒体政策预估表!$A$2:$M$2,0),0)</f>
        <v>0.17</v>
      </c>
      <c r="AF2948" s="6">
        <f t="shared" si="460"/>
        <v>374.06630000000007</v>
      </c>
      <c r="AG2948" s="14">
        <v>0</v>
      </c>
      <c r="AH2948" s="64">
        <f t="shared" si="464"/>
        <v>2200.3900000000003</v>
      </c>
      <c r="AI2948" s="47"/>
      <c r="AJ2948" s="126" t="e">
        <v>#N/A</v>
      </c>
      <c r="AK2948" s="80">
        <f t="shared" si="467"/>
        <v>0</v>
      </c>
      <c r="AM2948" s="85"/>
    </row>
    <row r="2949" spans="1:39" hidden="1" x14ac:dyDescent="0.3">
      <c r="A2949" s="89" t="s">
        <v>3397</v>
      </c>
      <c r="B2949" s="86" t="s">
        <v>701</v>
      </c>
      <c r="C2949" s="86" t="s">
        <v>144</v>
      </c>
      <c r="D2949" s="86" t="s">
        <v>152</v>
      </c>
      <c r="E2949" s="86" t="s">
        <v>155</v>
      </c>
      <c r="F2949" s="86" t="s">
        <v>1465</v>
      </c>
      <c r="G2949" s="86" t="s">
        <v>155</v>
      </c>
      <c r="H2949" s="144">
        <v>83</v>
      </c>
      <c r="I2949" s="86" t="s">
        <v>78</v>
      </c>
      <c r="J2949" s="1" t="s">
        <v>3303</v>
      </c>
      <c r="K2949" s="1" t="s">
        <v>3276</v>
      </c>
      <c r="L2949" s="1" t="s">
        <v>701</v>
      </c>
      <c r="M2949" s="86" t="s">
        <v>2874</v>
      </c>
      <c r="N2949" s="86"/>
      <c r="O2949" s="47" t="s">
        <v>410</v>
      </c>
      <c r="P2949" s="47" t="s">
        <v>46</v>
      </c>
      <c r="Q2949" s="14">
        <v>0.02</v>
      </c>
      <c r="R2949" s="143">
        <v>7446</v>
      </c>
      <c r="S2949" s="47"/>
      <c r="T2949" s="6">
        <v>12440.610000000006</v>
      </c>
      <c r="U2949" s="6"/>
      <c r="V2949" s="6">
        <v>3954.18</v>
      </c>
      <c r="W2949" s="6">
        <f t="shared" si="461"/>
        <v>8486.4300000000057</v>
      </c>
      <c r="X2949" s="6">
        <f t="shared" si="462"/>
        <v>3876.6470588235293</v>
      </c>
      <c r="Y2949" s="13">
        <f t="shared" si="465"/>
        <v>0</v>
      </c>
      <c r="Z2949" s="14">
        <v>0</v>
      </c>
      <c r="AA2949" s="6">
        <v>0</v>
      </c>
      <c r="AB2949" s="4">
        <f t="shared" si="466"/>
        <v>3876.6470588235293</v>
      </c>
      <c r="AC2949" s="4">
        <f t="shared" si="459"/>
        <v>77.532941176470558</v>
      </c>
      <c r="AD2949" s="6">
        <f t="shared" si="463"/>
        <v>3954.18</v>
      </c>
      <c r="AE2949" s="2">
        <f>VLOOKUP(I2949,[1]媒体政策预估表!A:N,MATCH(O2949,[1]媒体政策预估表!$A$2:$M$2,0),0)</f>
        <v>0.17</v>
      </c>
      <c r="AF2949" s="6">
        <f t="shared" si="460"/>
        <v>672.2106</v>
      </c>
      <c r="AG2949" s="14">
        <v>0</v>
      </c>
      <c r="AH2949" s="64">
        <f t="shared" si="464"/>
        <v>3954.18</v>
      </c>
      <c r="AI2949" s="47"/>
      <c r="AJ2949" s="126" t="e">
        <v>#N/A</v>
      </c>
      <c r="AK2949" s="80">
        <f t="shared" si="467"/>
        <v>0</v>
      </c>
      <c r="AM2949" s="85"/>
    </row>
    <row r="2950" spans="1:39" hidden="1" x14ac:dyDescent="0.3">
      <c r="A2950" s="89" t="s">
        <v>3408</v>
      </c>
      <c r="B2950" s="86" t="s">
        <v>701</v>
      </c>
      <c r="C2950" s="86" t="s">
        <v>144</v>
      </c>
      <c r="D2950" s="86" t="s">
        <v>152</v>
      </c>
      <c r="E2950" s="86" t="s">
        <v>2877</v>
      </c>
      <c r="F2950" s="86" t="s">
        <v>2877</v>
      </c>
      <c r="G2950" s="86" t="s">
        <v>2877</v>
      </c>
      <c r="H2950" s="144">
        <v>83</v>
      </c>
      <c r="I2950" s="86" t="s">
        <v>78</v>
      </c>
      <c r="J2950" s="1" t="s">
        <v>3303</v>
      </c>
      <c r="K2950" s="1" t="s">
        <v>3276</v>
      </c>
      <c r="L2950" s="1" t="s">
        <v>701</v>
      </c>
      <c r="M2950" s="86" t="s">
        <v>2878</v>
      </c>
      <c r="N2950" s="86"/>
      <c r="O2950" s="47" t="s">
        <v>410</v>
      </c>
      <c r="P2950" s="47" t="s">
        <v>46</v>
      </c>
      <c r="Q2950" s="14">
        <v>0.02</v>
      </c>
      <c r="R2950" s="143">
        <v>7547</v>
      </c>
      <c r="S2950" s="47"/>
      <c r="T2950" s="6">
        <v>2755.4399999999996</v>
      </c>
      <c r="U2950" s="6"/>
      <c r="V2950" s="6">
        <v>2755.44</v>
      </c>
      <c r="W2950" s="6">
        <f t="shared" si="461"/>
        <v>0</v>
      </c>
      <c r="X2950" s="6">
        <f t="shared" si="462"/>
        <v>2701.4117647058824</v>
      </c>
      <c r="Y2950" s="13">
        <f t="shared" si="465"/>
        <v>0</v>
      </c>
      <c r="Z2950" s="14">
        <v>0</v>
      </c>
      <c r="AA2950" s="6">
        <v>0</v>
      </c>
      <c r="AB2950" s="4">
        <f t="shared" si="466"/>
        <v>2701.4117647058824</v>
      </c>
      <c r="AC2950" s="4">
        <f t="shared" si="459"/>
        <v>54.028235294117621</v>
      </c>
      <c r="AD2950" s="6">
        <f t="shared" si="463"/>
        <v>2755.44</v>
      </c>
      <c r="AE2950" s="2">
        <f>VLOOKUP(I2950,[1]媒体政策预估表!A:N,MATCH(O2950,[1]媒体政策预估表!$A$2:$M$2,0),0)</f>
        <v>0.17</v>
      </c>
      <c r="AF2950" s="6">
        <f t="shared" si="460"/>
        <v>468.42480000000006</v>
      </c>
      <c r="AG2950" s="14">
        <v>0</v>
      </c>
      <c r="AH2950" s="64">
        <f t="shared" si="464"/>
        <v>2755.44</v>
      </c>
      <c r="AI2950" s="47"/>
      <c r="AJ2950" s="126" t="e">
        <v>#N/A</v>
      </c>
      <c r="AK2950" s="80">
        <f t="shared" si="467"/>
        <v>0</v>
      </c>
      <c r="AM2950" s="85"/>
    </row>
    <row r="2951" spans="1:39" hidden="1" x14ac:dyDescent="0.3">
      <c r="A2951" s="89" t="s">
        <v>3408</v>
      </c>
      <c r="B2951" s="86" t="s">
        <v>701</v>
      </c>
      <c r="C2951" s="86" t="s">
        <v>144</v>
      </c>
      <c r="D2951" s="86" t="s">
        <v>161</v>
      </c>
      <c r="E2951" s="86" t="s">
        <v>1935</v>
      </c>
      <c r="F2951" s="86" t="s">
        <v>1935</v>
      </c>
      <c r="G2951" s="86" t="s">
        <v>1935</v>
      </c>
      <c r="H2951" s="143">
        <v>83</v>
      </c>
      <c r="I2951" s="86" t="s">
        <v>78</v>
      </c>
      <c r="J2951" s="1" t="s">
        <v>3303</v>
      </c>
      <c r="K2951" s="1" t="s">
        <v>3276</v>
      </c>
      <c r="L2951" s="1" t="s">
        <v>701</v>
      </c>
      <c r="M2951" s="86" t="s">
        <v>1935</v>
      </c>
      <c r="N2951" s="86"/>
      <c r="O2951" s="47" t="s">
        <v>410</v>
      </c>
      <c r="P2951" s="47" t="s">
        <v>46</v>
      </c>
      <c r="Q2951" s="14">
        <v>0.02</v>
      </c>
      <c r="R2951" s="143">
        <v>7451</v>
      </c>
      <c r="S2951" s="47"/>
      <c r="T2951" s="6">
        <v>20400.000000000004</v>
      </c>
      <c r="U2951" s="6"/>
      <c r="V2951" s="6">
        <v>0</v>
      </c>
      <c r="W2951" s="6">
        <f t="shared" si="461"/>
        <v>20400.000000000004</v>
      </c>
      <c r="X2951" s="6">
        <f t="shared" si="462"/>
        <v>0</v>
      </c>
      <c r="Y2951" s="13">
        <f t="shared" si="465"/>
        <v>0</v>
      </c>
      <c r="Z2951" s="14">
        <v>0</v>
      </c>
      <c r="AA2951" s="6">
        <v>0</v>
      </c>
      <c r="AB2951" s="4">
        <f t="shared" si="466"/>
        <v>0</v>
      </c>
      <c r="AC2951" s="4">
        <f t="shared" si="459"/>
        <v>0</v>
      </c>
      <c r="AD2951" s="6">
        <f t="shared" si="463"/>
        <v>0</v>
      </c>
      <c r="AE2951" s="2">
        <f>VLOOKUP(I2951,[1]媒体政策预估表!A:N,MATCH(O2951,[1]媒体政策预估表!$A$2:$M$2,0),0)</f>
        <v>0.17</v>
      </c>
      <c r="AF2951" s="6">
        <f t="shared" si="460"/>
        <v>0</v>
      </c>
      <c r="AG2951" s="14">
        <v>0</v>
      </c>
      <c r="AH2951" s="64">
        <f t="shared" si="464"/>
        <v>0</v>
      </c>
      <c r="AI2951" s="47"/>
      <c r="AJ2951" s="126" t="e">
        <v>#N/A</v>
      </c>
      <c r="AK2951" s="80">
        <f t="shared" si="467"/>
        <v>0</v>
      </c>
      <c r="AM2951" s="85"/>
    </row>
    <row r="2952" spans="1:39" hidden="1" x14ac:dyDescent="0.3">
      <c r="A2952" s="89" t="s">
        <v>3397</v>
      </c>
      <c r="B2952" s="86" t="s">
        <v>701</v>
      </c>
      <c r="C2952" s="86" t="s">
        <v>164</v>
      </c>
      <c r="D2952" s="86" t="s">
        <v>174</v>
      </c>
      <c r="E2952" s="86" t="s">
        <v>2879</v>
      </c>
      <c r="F2952" s="86" t="s">
        <v>2879</v>
      </c>
      <c r="G2952" s="86" t="s">
        <v>2879</v>
      </c>
      <c r="H2952" s="143">
        <v>83</v>
      </c>
      <c r="I2952" s="86" t="s">
        <v>78</v>
      </c>
      <c r="J2952" s="1" t="s">
        <v>3303</v>
      </c>
      <c r="K2952" s="1" t="s">
        <v>3276</v>
      </c>
      <c r="L2952" s="1" t="s">
        <v>701</v>
      </c>
      <c r="M2952" s="86" t="s">
        <v>2880</v>
      </c>
      <c r="N2952" s="86"/>
      <c r="O2952" s="47" t="s">
        <v>410</v>
      </c>
      <c r="P2952" s="47" t="s">
        <v>41</v>
      </c>
      <c r="Q2952" s="14">
        <v>0</v>
      </c>
      <c r="R2952" s="143">
        <v>7433</v>
      </c>
      <c r="S2952" s="47"/>
      <c r="T2952" s="6">
        <v>817</v>
      </c>
      <c r="U2952" s="6"/>
      <c r="V2952" s="6">
        <v>0</v>
      </c>
      <c r="W2952" s="6">
        <f t="shared" si="461"/>
        <v>817</v>
      </c>
      <c r="X2952" s="6">
        <f t="shared" si="462"/>
        <v>0</v>
      </c>
      <c r="Y2952" s="13">
        <f t="shared" si="465"/>
        <v>0</v>
      </c>
      <c r="Z2952" s="14">
        <v>0</v>
      </c>
      <c r="AA2952" s="6">
        <v>0</v>
      </c>
      <c r="AB2952" s="4"/>
      <c r="AC2952" s="4">
        <f t="shared" si="459"/>
        <v>0</v>
      </c>
      <c r="AD2952" s="6">
        <f t="shared" si="463"/>
        <v>0</v>
      </c>
      <c r="AE2952" s="2">
        <f>VLOOKUP(I2952,[1]媒体政策预估表!A:N,MATCH(O2952,[1]媒体政策预估表!$A$2:$M$2,0),0)</f>
        <v>0.17</v>
      </c>
      <c r="AF2952" s="6">
        <f t="shared" si="460"/>
        <v>0</v>
      </c>
      <c r="AG2952" s="14">
        <v>0</v>
      </c>
      <c r="AH2952" s="64">
        <f t="shared" si="464"/>
        <v>0</v>
      </c>
      <c r="AI2952" s="47"/>
      <c r="AJ2952" s="126">
        <v>40</v>
      </c>
      <c r="AK2952" s="80">
        <f t="shared" si="467"/>
        <v>0</v>
      </c>
      <c r="AM2952" s="85"/>
    </row>
    <row r="2953" spans="1:39" hidden="1" x14ac:dyDescent="0.3">
      <c r="A2953" s="89" t="s">
        <v>3408</v>
      </c>
      <c r="B2953" s="86" t="s">
        <v>701</v>
      </c>
      <c r="C2953" s="86" t="s">
        <v>36</v>
      </c>
      <c r="D2953" s="86" t="s">
        <v>54</v>
      </c>
      <c r="E2953" s="86" t="s">
        <v>2881</v>
      </c>
      <c r="F2953" s="86" t="s">
        <v>2881</v>
      </c>
      <c r="G2953" s="86" t="s">
        <v>2881</v>
      </c>
      <c r="H2953" s="144">
        <v>83</v>
      </c>
      <c r="I2953" s="86" t="s">
        <v>78</v>
      </c>
      <c r="J2953" s="1" t="s">
        <v>3303</v>
      </c>
      <c r="K2953" s="1" t="s">
        <v>3276</v>
      </c>
      <c r="L2953" s="1" t="s">
        <v>701</v>
      </c>
      <c r="M2953" s="86" t="s">
        <v>2882</v>
      </c>
      <c r="N2953" s="86"/>
      <c r="O2953" s="47" t="s">
        <v>410</v>
      </c>
      <c r="P2953" s="47" t="s">
        <v>41</v>
      </c>
      <c r="Q2953" s="14">
        <v>0</v>
      </c>
      <c r="R2953" s="143">
        <v>7189</v>
      </c>
      <c r="S2953" s="47"/>
      <c r="T2953" s="6">
        <v>2493.2999999999997</v>
      </c>
      <c r="U2953" s="6"/>
      <c r="V2953" s="6">
        <v>2371.3000000000002</v>
      </c>
      <c r="W2953" s="6">
        <f t="shared" si="461"/>
        <v>121.99999999999955</v>
      </c>
      <c r="X2953" s="6">
        <f t="shared" si="462"/>
        <v>2371.3000000000002</v>
      </c>
      <c r="Y2953" s="13">
        <f t="shared" si="465"/>
        <v>0</v>
      </c>
      <c r="Z2953" s="14">
        <v>0</v>
      </c>
      <c r="AA2953" s="6">
        <v>0</v>
      </c>
      <c r="AB2953" s="4">
        <f t="shared" si="466"/>
        <v>2371.3000000000002</v>
      </c>
      <c r="AC2953" s="4">
        <f t="shared" si="459"/>
        <v>0</v>
      </c>
      <c r="AD2953" s="6">
        <f t="shared" si="463"/>
        <v>2371.3000000000002</v>
      </c>
      <c r="AE2953" s="2">
        <f>VLOOKUP(I2953,[1]媒体政策预估表!A:N,MATCH(O2953,[1]媒体政策预估表!$A$2:$M$2,0),0)</f>
        <v>0.17</v>
      </c>
      <c r="AF2953" s="6">
        <f t="shared" si="460"/>
        <v>403.12100000000004</v>
      </c>
      <c r="AG2953" s="14">
        <v>0</v>
      </c>
      <c r="AH2953" s="64">
        <f t="shared" si="464"/>
        <v>2371.3000000000002</v>
      </c>
      <c r="AI2953" s="47"/>
      <c r="AJ2953" s="126" t="e">
        <v>#N/A</v>
      </c>
      <c r="AK2953" s="80">
        <f t="shared" si="467"/>
        <v>0</v>
      </c>
      <c r="AM2953" s="85"/>
    </row>
    <row r="2954" spans="1:39" hidden="1" x14ac:dyDescent="0.3">
      <c r="A2954" s="89" t="s">
        <v>3408</v>
      </c>
      <c r="B2954" s="86" t="s">
        <v>701</v>
      </c>
      <c r="C2954" s="86" t="s">
        <v>144</v>
      </c>
      <c r="D2954" s="86" t="s">
        <v>152</v>
      </c>
      <c r="E2954" s="86" t="s">
        <v>2886</v>
      </c>
      <c r="F2954" s="86" t="s">
        <v>2886</v>
      </c>
      <c r="G2954" s="86" t="s">
        <v>2886</v>
      </c>
      <c r="H2954" s="143">
        <v>83</v>
      </c>
      <c r="I2954" s="86" t="s">
        <v>78</v>
      </c>
      <c r="J2954" s="1" t="s">
        <v>3303</v>
      </c>
      <c r="K2954" s="1" t="s">
        <v>3276</v>
      </c>
      <c r="L2954" s="1" t="s">
        <v>701</v>
      </c>
      <c r="M2954" s="86" t="s">
        <v>2886</v>
      </c>
      <c r="N2954" s="86"/>
      <c r="O2954" s="47" t="s">
        <v>410</v>
      </c>
      <c r="P2954" s="47" t="s">
        <v>46</v>
      </c>
      <c r="Q2954" s="14">
        <v>0.02</v>
      </c>
      <c r="R2954" s="143">
        <v>7482</v>
      </c>
      <c r="S2954" s="47"/>
      <c r="T2954" s="6">
        <v>6854</v>
      </c>
      <c r="U2954" s="6"/>
      <c r="V2954" s="6">
        <v>6854</v>
      </c>
      <c r="W2954" s="6">
        <f t="shared" si="461"/>
        <v>0</v>
      </c>
      <c r="X2954" s="6">
        <f t="shared" si="462"/>
        <v>6719.6078431372543</v>
      </c>
      <c r="Y2954" s="13">
        <f t="shared" si="465"/>
        <v>0</v>
      </c>
      <c r="Z2954" s="14">
        <v>0</v>
      </c>
      <c r="AA2954" s="6">
        <v>0</v>
      </c>
      <c r="AB2954" s="4"/>
      <c r="AC2954" s="4">
        <f t="shared" si="459"/>
        <v>134.39215686274565</v>
      </c>
      <c r="AD2954" s="6">
        <f t="shared" si="463"/>
        <v>6854</v>
      </c>
      <c r="AE2954" s="2">
        <f>VLOOKUP(I2954,[1]媒体政策预估表!A:N,MATCH(O2954,[1]媒体政策预估表!$A$2:$M$2,0),0)</f>
        <v>0.17</v>
      </c>
      <c r="AF2954" s="6">
        <f t="shared" si="460"/>
        <v>1165.18</v>
      </c>
      <c r="AG2954" s="14">
        <v>0</v>
      </c>
      <c r="AH2954" s="64">
        <f t="shared" si="464"/>
        <v>6854</v>
      </c>
      <c r="AI2954" s="47"/>
      <c r="AJ2954" s="126">
        <v>104</v>
      </c>
      <c r="AK2954" s="80">
        <f t="shared" si="467"/>
        <v>6719.6078431372543</v>
      </c>
      <c r="AM2954" s="85"/>
    </row>
    <row r="2955" spans="1:39" hidden="1" x14ac:dyDescent="0.3">
      <c r="A2955" s="89" t="s">
        <v>3408</v>
      </c>
      <c r="B2955" s="86" t="s">
        <v>701</v>
      </c>
      <c r="C2955" s="86" t="s">
        <v>164</v>
      </c>
      <c r="D2955" s="86" t="s">
        <v>169</v>
      </c>
      <c r="E2955" s="86" t="s">
        <v>1579</v>
      </c>
      <c r="F2955" s="86" t="s">
        <v>1579</v>
      </c>
      <c r="G2955" s="86" t="s">
        <v>1579</v>
      </c>
      <c r="H2955" s="143">
        <v>83</v>
      </c>
      <c r="I2955" s="86" t="s">
        <v>78</v>
      </c>
      <c r="J2955" s="1" t="s">
        <v>3303</v>
      </c>
      <c r="K2955" s="1" t="s">
        <v>3276</v>
      </c>
      <c r="L2955" s="1" t="s">
        <v>701</v>
      </c>
      <c r="M2955" s="86" t="s">
        <v>2887</v>
      </c>
      <c r="N2955" s="86"/>
      <c r="O2955" s="47" t="s">
        <v>410</v>
      </c>
      <c r="P2955" s="47" t="s">
        <v>41</v>
      </c>
      <c r="Q2955" s="14">
        <v>0</v>
      </c>
      <c r="R2955" s="143">
        <v>7524</v>
      </c>
      <c r="S2955" s="47"/>
      <c r="T2955" s="6">
        <v>4446.7000000000007</v>
      </c>
      <c r="U2955" s="6"/>
      <c r="V2955" s="6">
        <v>0</v>
      </c>
      <c r="W2955" s="6">
        <f t="shared" si="461"/>
        <v>4446.7000000000007</v>
      </c>
      <c r="X2955" s="6">
        <f t="shared" si="462"/>
        <v>0</v>
      </c>
      <c r="Y2955" s="13">
        <f t="shared" si="465"/>
        <v>0</v>
      </c>
      <c r="Z2955" s="14">
        <v>0</v>
      </c>
      <c r="AA2955" s="6">
        <v>0</v>
      </c>
      <c r="AB2955" s="4">
        <f t="shared" si="466"/>
        <v>0</v>
      </c>
      <c r="AC2955" s="4">
        <f t="shared" si="459"/>
        <v>0</v>
      </c>
      <c r="AD2955" s="6">
        <f t="shared" si="463"/>
        <v>0</v>
      </c>
      <c r="AE2955" s="2">
        <f>VLOOKUP(I2955,[1]媒体政策预估表!A:N,MATCH(O2955,[1]媒体政策预估表!$A$2:$M$2,0),0)</f>
        <v>0.17</v>
      </c>
      <c r="AF2955" s="6">
        <f t="shared" si="460"/>
        <v>0</v>
      </c>
      <c r="AG2955" s="14">
        <v>0</v>
      </c>
      <c r="AH2955" s="64">
        <f t="shared" si="464"/>
        <v>0</v>
      </c>
      <c r="AI2955" s="47"/>
      <c r="AJ2955" s="126" t="e">
        <v>#N/A</v>
      </c>
      <c r="AK2955" s="80">
        <f t="shared" si="467"/>
        <v>0</v>
      </c>
      <c r="AM2955" s="85"/>
    </row>
    <row r="2956" spans="1:39" hidden="1" x14ac:dyDescent="0.3">
      <c r="A2956" s="89" t="s">
        <v>3397</v>
      </c>
      <c r="B2956" s="86" t="s">
        <v>701</v>
      </c>
      <c r="C2956" s="86" t="s">
        <v>164</v>
      </c>
      <c r="D2956" s="86" t="s">
        <v>174</v>
      </c>
      <c r="E2956" s="86" t="s">
        <v>112</v>
      </c>
      <c r="F2956" s="86" t="s">
        <v>112</v>
      </c>
      <c r="G2956" s="86" t="s">
        <v>112</v>
      </c>
      <c r="H2956" s="143">
        <v>83</v>
      </c>
      <c r="I2956" s="86" t="s">
        <v>78</v>
      </c>
      <c r="J2956" s="1" t="s">
        <v>3303</v>
      </c>
      <c r="K2956" s="1" t="s">
        <v>3276</v>
      </c>
      <c r="L2956" s="1" t="s">
        <v>701</v>
      </c>
      <c r="M2956" s="86" t="s">
        <v>2888</v>
      </c>
      <c r="N2956" s="86"/>
      <c r="O2956" s="47" t="s">
        <v>410</v>
      </c>
      <c r="P2956" s="47" t="s">
        <v>46</v>
      </c>
      <c r="Q2956" s="14">
        <v>0.01</v>
      </c>
      <c r="R2956" s="143">
        <v>7117</v>
      </c>
      <c r="S2956" s="47"/>
      <c r="T2956" s="6">
        <v>321.42000000000417</v>
      </c>
      <c r="U2956" s="6"/>
      <c r="V2956" s="6">
        <v>0</v>
      </c>
      <c r="W2956" s="6">
        <f t="shared" si="461"/>
        <v>321.42000000000417</v>
      </c>
      <c r="X2956" s="6">
        <f t="shared" si="462"/>
        <v>0</v>
      </c>
      <c r="Y2956" s="13">
        <f t="shared" si="465"/>
        <v>0</v>
      </c>
      <c r="Z2956" s="14">
        <v>0</v>
      </c>
      <c r="AA2956" s="6">
        <v>0</v>
      </c>
      <c r="AB2956" s="4">
        <f t="shared" si="466"/>
        <v>0</v>
      </c>
      <c r="AC2956" s="4">
        <f t="shared" ref="AC2956:AC3019" si="468">IF(P2956="返现",X2956*Q2956,V2956-X2956)</f>
        <v>0</v>
      </c>
      <c r="AD2956" s="6">
        <f t="shared" si="463"/>
        <v>0</v>
      </c>
      <c r="AE2956" s="2">
        <f>VLOOKUP(I2956,[1]媒体政策预估表!A:N,MATCH(O2956,[1]媒体政策预估表!$A$2:$M$2,0),0)</f>
        <v>0.17</v>
      </c>
      <c r="AF2956" s="6">
        <f t="shared" ref="AF2956:AF3019" si="469">AD2956*AE2956</f>
        <v>0</v>
      </c>
      <c r="AG2956" s="14">
        <v>0</v>
      </c>
      <c r="AH2956" s="64">
        <f t="shared" si="464"/>
        <v>0</v>
      </c>
      <c r="AI2956" s="47"/>
      <c r="AJ2956" s="126" t="e">
        <v>#N/A</v>
      </c>
      <c r="AK2956" s="80">
        <f t="shared" si="467"/>
        <v>0</v>
      </c>
      <c r="AM2956" s="85"/>
    </row>
    <row r="2957" spans="1:39" hidden="1" x14ac:dyDescent="0.3">
      <c r="A2957" s="89" t="s">
        <v>3397</v>
      </c>
      <c r="B2957" s="86" t="s">
        <v>701</v>
      </c>
      <c r="C2957" s="86" t="s">
        <v>36</v>
      </c>
      <c r="D2957" s="86" t="s">
        <v>54</v>
      </c>
      <c r="E2957" s="86" t="s">
        <v>2846</v>
      </c>
      <c r="F2957" s="86" t="s">
        <v>2846</v>
      </c>
      <c r="G2957" s="86" t="s">
        <v>2846</v>
      </c>
      <c r="H2957" s="144">
        <v>83</v>
      </c>
      <c r="I2957" s="86" t="s">
        <v>78</v>
      </c>
      <c r="J2957" s="1" t="s">
        <v>3303</v>
      </c>
      <c r="K2957" s="1" t="s">
        <v>3276</v>
      </c>
      <c r="L2957" s="1" t="s">
        <v>701</v>
      </c>
      <c r="M2957" s="86" t="s">
        <v>2889</v>
      </c>
      <c r="N2957" s="86"/>
      <c r="O2957" s="47" t="s">
        <v>410</v>
      </c>
      <c r="P2957" s="47" t="s">
        <v>41</v>
      </c>
      <c r="Q2957" s="14">
        <v>0</v>
      </c>
      <c r="R2957" s="143">
        <v>7435</v>
      </c>
      <c r="S2957" s="47"/>
      <c r="T2957" s="6">
        <v>5680.2000000000007</v>
      </c>
      <c r="U2957" s="6"/>
      <c r="V2957" s="6">
        <v>5680.2000000000007</v>
      </c>
      <c r="W2957" s="6">
        <f t="shared" si="461"/>
        <v>0</v>
      </c>
      <c r="X2957" s="6">
        <f t="shared" si="462"/>
        <v>5680.2000000000007</v>
      </c>
      <c r="Y2957" s="13">
        <f t="shared" si="465"/>
        <v>0</v>
      </c>
      <c r="Z2957" s="14">
        <v>0</v>
      </c>
      <c r="AA2957" s="6">
        <v>0</v>
      </c>
      <c r="AB2957" s="4">
        <f t="shared" si="466"/>
        <v>5680.2000000000007</v>
      </c>
      <c r="AC2957" s="4">
        <f t="shared" si="468"/>
        <v>0</v>
      </c>
      <c r="AD2957" s="6">
        <f t="shared" si="463"/>
        <v>5680.2000000000007</v>
      </c>
      <c r="AE2957" s="2">
        <f>VLOOKUP(I2957,[1]媒体政策预估表!A:N,MATCH(O2957,[1]媒体政策预估表!$A$2:$M$2,0),0)</f>
        <v>0.17</v>
      </c>
      <c r="AF2957" s="6">
        <f t="shared" si="469"/>
        <v>965.63400000000024</v>
      </c>
      <c r="AG2957" s="14">
        <v>0</v>
      </c>
      <c r="AH2957" s="64">
        <f t="shared" si="464"/>
        <v>5680.2000000000007</v>
      </c>
      <c r="AI2957" s="47"/>
      <c r="AJ2957" s="126" t="e">
        <v>#N/A</v>
      </c>
      <c r="AK2957" s="80">
        <f t="shared" si="467"/>
        <v>0</v>
      </c>
      <c r="AM2957" s="85"/>
    </row>
    <row r="2958" spans="1:39" hidden="1" x14ac:dyDescent="0.3">
      <c r="A2958" s="89" t="s">
        <v>3397</v>
      </c>
      <c r="B2958" s="86" t="s">
        <v>701</v>
      </c>
      <c r="C2958" s="86" t="s">
        <v>59</v>
      </c>
      <c r="D2958" s="86" t="s">
        <v>60</v>
      </c>
      <c r="E2958" s="86" t="s">
        <v>2722</v>
      </c>
      <c r="F2958" s="86" t="s">
        <v>2722</v>
      </c>
      <c r="G2958" s="86" t="s">
        <v>2722</v>
      </c>
      <c r="H2958" s="143">
        <v>83</v>
      </c>
      <c r="I2958" s="86" t="s">
        <v>78</v>
      </c>
      <c r="J2958" s="1" t="s">
        <v>3303</v>
      </c>
      <c r="K2958" s="1" t="s">
        <v>3276</v>
      </c>
      <c r="L2958" s="1" t="s">
        <v>701</v>
      </c>
      <c r="M2958" s="86" t="s">
        <v>2891</v>
      </c>
      <c r="N2958" s="86"/>
      <c r="O2958" s="47" t="s">
        <v>410</v>
      </c>
      <c r="P2958" s="47" t="s">
        <v>92</v>
      </c>
      <c r="Q2958" s="14">
        <v>0.9</v>
      </c>
      <c r="R2958" s="143">
        <v>7498</v>
      </c>
      <c r="S2958" s="47"/>
      <c r="T2958" s="6">
        <v>13322.84</v>
      </c>
      <c r="U2958" s="6"/>
      <c r="V2958" s="6">
        <v>0</v>
      </c>
      <c r="W2958" s="6">
        <f t="shared" si="461"/>
        <v>13322.84</v>
      </c>
      <c r="X2958" s="6">
        <f t="shared" si="462"/>
        <v>0</v>
      </c>
      <c r="Y2958" s="13">
        <f t="shared" si="465"/>
        <v>0</v>
      </c>
      <c r="Z2958" s="14">
        <v>0</v>
      </c>
      <c r="AA2958" s="6">
        <v>0</v>
      </c>
      <c r="AB2958" s="4">
        <f t="shared" si="466"/>
        <v>0</v>
      </c>
      <c r="AC2958" s="4">
        <f t="shared" si="468"/>
        <v>0</v>
      </c>
      <c r="AD2958" s="6">
        <f t="shared" si="463"/>
        <v>0</v>
      </c>
      <c r="AE2958" s="2">
        <f>VLOOKUP(I2958,[1]媒体政策预估表!A:N,MATCH(O2958,[1]媒体政策预估表!$A$2:$M$2,0),0)</f>
        <v>0.17</v>
      </c>
      <c r="AF2958" s="6">
        <f t="shared" si="469"/>
        <v>0</v>
      </c>
      <c r="AG2958" s="14">
        <v>0</v>
      </c>
      <c r="AH2958" s="64">
        <f t="shared" si="464"/>
        <v>0</v>
      </c>
      <c r="AI2958" s="47"/>
      <c r="AJ2958" s="126" t="e">
        <v>#N/A</v>
      </c>
      <c r="AK2958" s="80">
        <f t="shared" si="467"/>
        <v>0</v>
      </c>
      <c r="AM2958" s="85"/>
    </row>
    <row r="2959" spans="1:39" hidden="1" x14ac:dyDescent="0.3">
      <c r="A2959" s="89" t="s">
        <v>3397</v>
      </c>
      <c r="B2959" s="86" t="s">
        <v>701</v>
      </c>
      <c r="C2959" s="86" t="s">
        <v>59</v>
      </c>
      <c r="D2959" s="86" t="s">
        <v>60</v>
      </c>
      <c r="E2959" s="86" t="s">
        <v>2893</v>
      </c>
      <c r="F2959" s="86" t="s">
        <v>2894</v>
      </c>
      <c r="G2959" s="86" t="s">
        <v>2893</v>
      </c>
      <c r="H2959" s="143">
        <v>83</v>
      </c>
      <c r="I2959" s="86" t="s">
        <v>78</v>
      </c>
      <c r="J2959" s="1" t="s">
        <v>3303</v>
      </c>
      <c r="K2959" s="1" t="s">
        <v>3276</v>
      </c>
      <c r="L2959" s="1" t="s">
        <v>701</v>
      </c>
      <c r="M2959" s="86" t="s">
        <v>2895</v>
      </c>
      <c r="N2959" s="86"/>
      <c r="O2959" s="47" t="s">
        <v>410</v>
      </c>
      <c r="P2959" s="47" t="s">
        <v>46</v>
      </c>
      <c r="Q2959" s="14">
        <v>0.02</v>
      </c>
      <c r="R2959" s="143">
        <v>119</v>
      </c>
      <c r="S2959" s="47"/>
      <c r="T2959" s="6">
        <v>7310.2999999999993</v>
      </c>
      <c r="U2959" s="6"/>
      <c r="V2959" s="6">
        <v>0</v>
      </c>
      <c r="W2959" s="6">
        <f t="shared" si="461"/>
        <v>7310.2999999999993</v>
      </c>
      <c r="X2959" s="6">
        <f t="shared" si="462"/>
        <v>0</v>
      </c>
      <c r="Y2959" s="13">
        <f t="shared" si="465"/>
        <v>0</v>
      </c>
      <c r="Z2959" s="14">
        <v>0</v>
      </c>
      <c r="AA2959" s="6">
        <v>0</v>
      </c>
      <c r="AB2959" s="4">
        <f t="shared" si="466"/>
        <v>0</v>
      </c>
      <c r="AC2959" s="4">
        <f t="shared" si="468"/>
        <v>0</v>
      </c>
      <c r="AD2959" s="6">
        <f t="shared" si="463"/>
        <v>0</v>
      </c>
      <c r="AE2959" s="2">
        <f>VLOOKUP(I2959,[1]媒体政策预估表!A:N,MATCH(O2959,[1]媒体政策预估表!$A$2:$M$2,0),0)</f>
        <v>0.17</v>
      </c>
      <c r="AF2959" s="6">
        <f t="shared" si="469"/>
        <v>0</v>
      </c>
      <c r="AG2959" s="14">
        <v>0</v>
      </c>
      <c r="AH2959" s="64">
        <f t="shared" si="464"/>
        <v>0</v>
      </c>
      <c r="AI2959" s="47"/>
      <c r="AJ2959" s="126" t="e">
        <v>#N/A</v>
      </c>
      <c r="AK2959" s="80">
        <f t="shared" si="467"/>
        <v>0</v>
      </c>
      <c r="AM2959" s="85"/>
    </row>
    <row r="2960" spans="1:39" hidden="1" x14ac:dyDescent="0.3">
      <c r="A2960" s="89" t="s">
        <v>3397</v>
      </c>
      <c r="B2960" s="86" t="s">
        <v>701</v>
      </c>
      <c r="C2960" s="86" t="s">
        <v>65</v>
      </c>
      <c r="D2960" s="86" t="s">
        <v>125</v>
      </c>
      <c r="E2960" s="86" t="s">
        <v>2896</v>
      </c>
      <c r="F2960" s="86" t="s">
        <v>2896</v>
      </c>
      <c r="G2960" s="86" t="s">
        <v>2896</v>
      </c>
      <c r="H2960" s="143">
        <v>83</v>
      </c>
      <c r="I2960" s="86" t="s">
        <v>78</v>
      </c>
      <c r="J2960" s="1" t="s">
        <v>3303</v>
      </c>
      <c r="K2960" s="1" t="s">
        <v>3276</v>
      </c>
      <c r="L2960" s="1" t="s">
        <v>701</v>
      </c>
      <c r="M2960" s="86" t="s">
        <v>2896</v>
      </c>
      <c r="N2960" s="86"/>
      <c r="O2960" s="47" t="s">
        <v>410</v>
      </c>
      <c r="P2960" s="47" t="s">
        <v>41</v>
      </c>
      <c r="Q2960" s="14">
        <v>0</v>
      </c>
      <c r="R2960" s="143">
        <v>7513</v>
      </c>
      <c r="S2960" s="47"/>
      <c r="T2960" s="6">
        <v>15.720000000000027</v>
      </c>
      <c r="U2960" s="6"/>
      <c r="V2960" s="6">
        <v>0</v>
      </c>
      <c r="W2960" s="6">
        <f t="shared" si="461"/>
        <v>15.720000000000027</v>
      </c>
      <c r="X2960" s="6">
        <f t="shared" si="462"/>
        <v>0</v>
      </c>
      <c r="Y2960" s="13">
        <f t="shared" si="465"/>
        <v>0</v>
      </c>
      <c r="Z2960" s="14">
        <v>0</v>
      </c>
      <c r="AA2960" s="6">
        <v>0</v>
      </c>
      <c r="AB2960" s="4">
        <f t="shared" si="466"/>
        <v>0</v>
      </c>
      <c r="AC2960" s="4">
        <f t="shared" si="468"/>
        <v>0</v>
      </c>
      <c r="AD2960" s="6">
        <f t="shared" si="463"/>
        <v>0</v>
      </c>
      <c r="AE2960" s="2">
        <f>VLOOKUP(I2960,[1]媒体政策预估表!A:N,MATCH(O2960,[1]媒体政策预估表!$A$2:$M$2,0),0)</f>
        <v>0.17</v>
      </c>
      <c r="AF2960" s="6">
        <f t="shared" si="469"/>
        <v>0</v>
      </c>
      <c r="AG2960" s="14">
        <v>0</v>
      </c>
      <c r="AH2960" s="64">
        <f t="shared" si="464"/>
        <v>0</v>
      </c>
      <c r="AI2960" s="47"/>
      <c r="AJ2960" s="126" t="e">
        <v>#N/A</v>
      </c>
      <c r="AK2960" s="80">
        <f t="shared" si="467"/>
        <v>0</v>
      </c>
      <c r="AM2960" s="85"/>
    </row>
    <row r="2961" spans="1:39" hidden="1" x14ac:dyDescent="0.3">
      <c r="A2961" s="89" t="s">
        <v>3408</v>
      </c>
      <c r="B2961" s="86" t="s">
        <v>701</v>
      </c>
      <c r="C2961" s="86" t="s">
        <v>36</v>
      </c>
      <c r="D2961" s="86" t="s">
        <v>224</v>
      </c>
      <c r="E2961" s="86" t="s">
        <v>2897</v>
      </c>
      <c r="F2961" s="86" t="s">
        <v>2897</v>
      </c>
      <c r="G2961" s="86" t="s">
        <v>2897</v>
      </c>
      <c r="H2961" s="144">
        <v>83</v>
      </c>
      <c r="I2961" s="86" t="s">
        <v>78</v>
      </c>
      <c r="J2961" s="1" t="s">
        <v>3303</v>
      </c>
      <c r="K2961" s="1" t="s">
        <v>3276</v>
      </c>
      <c r="L2961" s="1" t="s">
        <v>701</v>
      </c>
      <c r="M2961" s="86" t="s">
        <v>2898</v>
      </c>
      <c r="N2961" s="86"/>
      <c r="O2961" s="47" t="s">
        <v>410</v>
      </c>
      <c r="P2961" s="47" t="s">
        <v>41</v>
      </c>
      <c r="Q2961" s="14">
        <v>0</v>
      </c>
      <c r="R2961" s="143">
        <v>7306</v>
      </c>
      <c r="S2961" s="47"/>
      <c r="T2961" s="6">
        <v>7145.2</v>
      </c>
      <c r="U2961" s="6"/>
      <c r="V2961" s="6">
        <v>525.6</v>
      </c>
      <c r="W2961" s="6">
        <f t="shared" si="461"/>
        <v>6619.5999999999995</v>
      </c>
      <c r="X2961" s="6">
        <f t="shared" si="462"/>
        <v>525.6</v>
      </c>
      <c r="Y2961" s="13">
        <f t="shared" si="465"/>
        <v>0</v>
      </c>
      <c r="Z2961" s="14">
        <v>0</v>
      </c>
      <c r="AA2961" s="6">
        <v>0</v>
      </c>
      <c r="AB2961" s="4">
        <f t="shared" si="466"/>
        <v>525.6</v>
      </c>
      <c r="AC2961" s="4">
        <f t="shared" si="468"/>
        <v>0</v>
      </c>
      <c r="AD2961" s="6">
        <f t="shared" si="463"/>
        <v>525.6</v>
      </c>
      <c r="AE2961" s="2">
        <f>VLOOKUP(I2961,[1]媒体政策预估表!A:N,MATCH(O2961,[1]媒体政策预估表!$A$2:$M$2,0),0)</f>
        <v>0.17</v>
      </c>
      <c r="AF2961" s="6">
        <f t="shared" si="469"/>
        <v>89.352000000000004</v>
      </c>
      <c r="AG2961" s="14">
        <v>0</v>
      </c>
      <c r="AH2961" s="64">
        <f t="shared" si="464"/>
        <v>525.6</v>
      </c>
      <c r="AI2961" s="47"/>
      <c r="AJ2961" s="126" t="e">
        <v>#N/A</v>
      </c>
      <c r="AK2961" s="80">
        <f t="shared" si="467"/>
        <v>0</v>
      </c>
      <c r="AM2961" s="85"/>
    </row>
    <row r="2962" spans="1:39" hidden="1" x14ac:dyDescent="0.3">
      <c r="A2962" s="89" t="s">
        <v>3397</v>
      </c>
      <c r="B2962" s="86" t="s">
        <v>701</v>
      </c>
      <c r="C2962" s="86" t="s">
        <v>144</v>
      </c>
      <c r="D2962" s="86" t="s">
        <v>152</v>
      </c>
      <c r="E2962" s="86" t="s">
        <v>2899</v>
      </c>
      <c r="F2962" s="86" t="s">
        <v>2899</v>
      </c>
      <c r="G2962" s="86" t="s">
        <v>2899</v>
      </c>
      <c r="H2962" s="143">
        <v>83</v>
      </c>
      <c r="I2962" s="86" t="s">
        <v>78</v>
      </c>
      <c r="J2962" s="1" t="s">
        <v>3303</v>
      </c>
      <c r="K2962" s="1" t="s">
        <v>3276</v>
      </c>
      <c r="L2962" s="1" t="s">
        <v>701</v>
      </c>
      <c r="M2962" s="86" t="s">
        <v>2900</v>
      </c>
      <c r="N2962" s="86"/>
      <c r="O2962" s="47" t="s">
        <v>410</v>
      </c>
      <c r="P2962" s="47" t="s">
        <v>46</v>
      </c>
      <c r="Q2962" s="14">
        <v>0.01</v>
      </c>
      <c r="R2962" s="143">
        <v>7182</v>
      </c>
      <c r="S2962" s="47"/>
      <c r="T2962" s="6">
        <v>2.2999999999935881</v>
      </c>
      <c r="U2962" s="6"/>
      <c r="V2962" s="6">
        <v>0</v>
      </c>
      <c r="W2962" s="6">
        <f t="shared" si="461"/>
        <v>2.2999999999935881</v>
      </c>
      <c r="X2962" s="6">
        <f t="shared" si="462"/>
        <v>0</v>
      </c>
      <c r="Y2962" s="13">
        <f t="shared" si="465"/>
        <v>0</v>
      </c>
      <c r="Z2962" s="14">
        <v>0</v>
      </c>
      <c r="AA2962" s="6">
        <v>0</v>
      </c>
      <c r="AB2962" s="4">
        <f t="shared" si="466"/>
        <v>0</v>
      </c>
      <c r="AC2962" s="4">
        <f t="shared" si="468"/>
        <v>0</v>
      </c>
      <c r="AD2962" s="6">
        <f t="shared" si="463"/>
        <v>0</v>
      </c>
      <c r="AE2962" s="2">
        <f>VLOOKUP(I2962,[1]媒体政策预估表!A:N,MATCH(O2962,[1]媒体政策预估表!$A$2:$M$2,0),0)</f>
        <v>0.17</v>
      </c>
      <c r="AF2962" s="6">
        <f t="shared" si="469"/>
        <v>0</v>
      </c>
      <c r="AG2962" s="14">
        <v>0</v>
      </c>
      <c r="AH2962" s="64">
        <f t="shared" si="464"/>
        <v>0</v>
      </c>
      <c r="AI2962" s="47"/>
      <c r="AJ2962" s="126" t="e">
        <v>#N/A</v>
      </c>
      <c r="AK2962" s="80">
        <f t="shared" si="467"/>
        <v>0</v>
      </c>
      <c r="AM2962" s="85"/>
    </row>
    <row r="2963" spans="1:39" hidden="1" x14ac:dyDescent="0.3">
      <c r="A2963" s="89" t="s">
        <v>3408</v>
      </c>
      <c r="B2963" s="86" t="s">
        <v>701</v>
      </c>
      <c r="C2963" s="86" t="s">
        <v>65</v>
      </c>
      <c r="D2963" s="86" t="s">
        <v>122</v>
      </c>
      <c r="E2963" s="86" t="s">
        <v>2901</v>
      </c>
      <c r="F2963" s="86" t="s">
        <v>2901</v>
      </c>
      <c r="G2963" s="86" t="s">
        <v>2901</v>
      </c>
      <c r="H2963" s="143">
        <v>83</v>
      </c>
      <c r="I2963" s="86" t="s">
        <v>78</v>
      </c>
      <c r="J2963" s="1" t="s">
        <v>3303</v>
      </c>
      <c r="K2963" s="1" t="s">
        <v>3276</v>
      </c>
      <c r="L2963" s="1" t="s">
        <v>701</v>
      </c>
      <c r="M2963" s="86" t="s">
        <v>2901</v>
      </c>
      <c r="N2963" s="86"/>
      <c r="O2963" s="47" t="s">
        <v>410</v>
      </c>
      <c r="P2963" s="47" t="s">
        <v>41</v>
      </c>
      <c r="Q2963" s="14">
        <v>0</v>
      </c>
      <c r="R2963" s="143">
        <v>7168</v>
      </c>
      <c r="S2963" s="47"/>
      <c r="T2963" s="6">
        <v>5033.8</v>
      </c>
      <c r="U2963" s="6"/>
      <c r="V2963" s="6">
        <v>0</v>
      </c>
      <c r="W2963" s="6">
        <f t="shared" si="461"/>
        <v>5033.8</v>
      </c>
      <c r="X2963" s="6">
        <f t="shared" si="462"/>
        <v>0</v>
      </c>
      <c r="Y2963" s="13">
        <f t="shared" si="465"/>
        <v>0</v>
      </c>
      <c r="Z2963" s="14">
        <v>0</v>
      </c>
      <c r="AA2963" s="6">
        <v>0</v>
      </c>
      <c r="AB2963" s="4">
        <f t="shared" si="466"/>
        <v>0</v>
      </c>
      <c r="AC2963" s="4">
        <f t="shared" si="468"/>
        <v>0</v>
      </c>
      <c r="AD2963" s="6">
        <f t="shared" si="463"/>
        <v>0</v>
      </c>
      <c r="AE2963" s="2">
        <f>VLOOKUP(I2963,[1]媒体政策预估表!A:N,MATCH(O2963,[1]媒体政策预估表!$A$2:$M$2,0),0)</f>
        <v>0.17</v>
      </c>
      <c r="AF2963" s="6">
        <f t="shared" si="469"/>
        <v>0</v>
      </c>
      <c r="AG2963" s="14">
        <v>0</v>
      </c>
      <c r="AH2963" s="64">
        <f t="shared" si="464"/>
        <v>0</v>
      </c>
      <c r="AI2963" s="47"/>
      <c r="AJ2963" s="126" t="e">
        <v>#N/A</v>
      </c>
      <c r="AK2963" s="80">
        <f t="shared" si="467"/>
        <v>0</v>
      </c>
      <c r="AM2963" s="85"/>
    </row>
    <row r="2964" spans="1:39" hidden="1" x14ac:dyDescent="0.3">
      <c r="A2964" s="89" t="s">
        <v>3397</v>
      </c>
      <c r="B2964" s="86" t="s">
        <v>701</v>
      </c>
      <c r="C2964" s="86" t="s">
        <v>65</v>
      </c>
      <c r="D2964" s="86" t="s">
        <v>122</v>
      </c>
      <c r="E2964" s="86" t="s">
        <v>2901</v>
      </c>
      <c r="F2964" s="86" t="s">
        <v>2901</v>
      </c>
      <c r="G2964" s="86" t="s">
        <v>2901</v>
      </c>
      <c r="H2964" s="143">
        <v>83</v>
      </c>
      <c r="I2964" s="86" t="s">
        <v>78</v>
      </c>
      <c r="J2964" s="1" t="s">
        <v>3303</v>
      </c>
      <c r="K2964" s="1" t="s">
        <v>3276</v>
      </c>
      <c r="L2964" s="1" t="s">
        <v>701</v>
      </c>
      <c r="M2964" s="86" t="s">
        <v>2902</v>
      </c>
      <c r="N2964" s="86"/>
      <c r="O2964" s="47" t="s">
        <v>410</v>
      </c>
      <c r="P2964" s="47" t="s">
        <v>41</v>
      </c>
      <c r="Q2964" s="14">
        <v>0</v>
      </c>
      <c r="R2964" s="143">
        <v>7442</v>
      </c>
      <c r="S2964" s="47"/>
      <c r="T2964" s="6">
        <v>5582.6</v>
      </c>
      <c r="U2964" s="6"/>
      <c r="V2964" s="6">
        <v>0</v>
      </c>
      <c r="W2964" s="6">
        <f t="shared" si="461"/>
        <v>5582.6</v>
      </c>
      <c r="X2964" s="6">
        <f t="shared" si="462"/>
        <v>0</v>
      </c>
      <c r="Y2964" s="13">
        <f t="shared" si="465"/>
        <v>0</v>
      </c>
      <c r="Z2964" s="14">
        <v>0</v>
      </c>
      <c r="AA2964" s="6">
        <v>0</v>
      </c>
      <c r="AB2964" s="4">
        <f t="shared" si="466"/>
        <v>0</v>
      </c>
      <c r="AC2964" s="4">
        <f t="shared" si="468"/>
        <v>0</v>
      </c>
      <c r="AD2964" s="6">
        <f t="shared" si="463"/>
        <v>0</v>
      </c>
      <c r="AE2964" s="2">
        <f>VLOOKUP(I2964,[1]媒体政策预估表!A:N,MATCH(O2964,[1]媒体政策预估表!$A$2:$M$2,0),0)</f>
        <v>0.17</v>
      </c>
      <c r="AF2964" s="6">
        <f t="shared" si="469"/>
        <v>0</v>
      </c>
      <c r="AG2964" s="14">
        <v>0</v>
      </c>
      <c r="AH2964" s="64">
        <f t="shared" si="464"/>
        <v>0</v>
      </c>
      <c r="AI2964" s="47"/>
      <c r="AJ2964" s="126" t="e">
        <v>#N/A</v>
      </c>
      <c r="AK2964" s="80">
        <f t="shared" si="467"/>
        <v>0</v>
      </c>
      <c r="AM2964" s="85"/>
    </row>
    <row r="2965" spans="1:39" hidden="1" x14ac:dyDescent="0.3">
      <c r="A2965" s="89" t="s">
        <v>3408</v>
      </c>
      <c r="B2965" s="86" t="s">
        <v>701</v>
      </c>
      <c r="C2965" s="86" t="s">
        <v>144</v>
      </c>
      <c r="D2965" s="86" t="s">
        <v>145</v>
      </c>
      <c r="E2965" s="86" t="s">
        <v>1416</v>
      </c>
      <c r="F2965" s="86" t="s">
        <v>1416</v>
      </c>
      <c r="G2965" s="86" t="s">
        <v>1416</v>
      </c>
      <c r="H2965" s="143">
        <v>83</v>
      </c>
      <c r="I2965" s="86" t="s">
        <v>78</v>
      </c>
      <c r="J2965" s="1" t="s">
        <v>3303</v>
      </c>
      <c r="K2965" s="1" t="s">
        <v>3276</v>
      </c>
      <c r="L2965" s="1" t="s">
        <v>701</v>
      </c>
      <c r="M2965" s="86" t="s">
        <v>2903</v>
      </c>
      <c r="N2965" s="86"/>
      <c r="O2965" s="47" t="s">
        <v>410</v>
      </c>
      <c r="P2965" s="47" t="s">
        <v>46</v>
      </c>
      <c r="Q2965" s="14">
        <v>0.02</v>
      </c>
      <c r="R2965" s="143">
        <v>7295</v>
      </c>
      <c r="S2965" s="47"/>
      <c r="T2965" s="6">
        <v>18957.150000000001</v>
      </c>
      <c r="U2965" s="6"/>
      <c r="V2965" s="6">
        <v>0</v>
      </c>
      <c r="W2965" s="6">
        <f t="shared" si="461"/>
        <v>18957.150000000001</v>
      </c>
      <c r="X2965" s="6">
        <f t="shared" si="462"/>
        <v>0</v>
      </c>
      <c r="Y2965" s="13">
        <f t="shared" si="465"/>
        <v>0</v>
      </c>
      <c r="Z2965" s="14">
        <v>0</v>
      </c>
      <c r="AA2965" s="6">
        <v>0</v>
      </c>
      <c r="AB2965" s="4">
        <f t="shared" si="466"/>
        <v>0</v>
      </c>
      <c r="AC2965" s="4">
        <f t="shared" si="468"/>
        <v>0</v>
      </c>
      <c r="AD2965" s="6">
        <f t="shared" si="463"/>
        <v>0</v>
      </c>
      <c r="AE2965" s="2">
        <f>VLOOKUP(I2965,[1]媒体政策预估表!A:N,MATCH(O2965,[1]媒体政策预估表!$A$2:$M$2,0),0)</f>
        <v>0.17</v>
      </c>
      <c r="AF2965" s="6">
        <f t="shared" si="469"/>
        <v>0</v>
      </c>
      <c r="AG2965" s="14">
        <v>0</v>
      </c>
      <c r="AH2965" s="64">
        <f t="shared" si="464"/>
        <v>0</v>
      </c>
      <c r="AI2965" s="47"/>
      <c r="AJ2965" s="126" t="e">
        <v>#N/A</v>
      </c>
      <c r="AK2965" s="80">
        <f t="shared" si="467"/>
        <v>0</v>
      </c>
      <c r="AM2965" s="85"/>
    </row>
    <row r="2966" spans="1:39" hidden="1" x14ac:dyDescent="0.3">
      <c r="A2966" s="89" t="s">
        <v>3408</v>
      </c>
      <c r="B2966" s="86" t="s">
        <v>35</v>
      </c>
      <c r="C2966" s="86" t="s">
        <v>65</v>
      </c>
      <c r="D2966" s="86" t="s">
        <v>125</v>
      </c>
      <c r="E2966" s="86" t="s">
        <v>2904</v>
      </c>
      <c r="F2966" s="86" t="s">
        <v>2905</v>
      </c>
      <c r="G2966" s="86" t="s">
        <v>1845</v>
      </c>
      <c r="H2966" s="143">
        <v>83</v>
      </c>
      <c r="I2966" s="86" t="s">
        <v>78</v>
      </c>
      <c r="J2966" s="1" t="s">
        <v>3303</v>
      </c>
      <c r="K2966" s="1" t="s">
        <v>3276</v>
      </c>
      <c r="L2966" s="1" t="s">
        <v>701</v>
      </c>
      <c r="M2966" s="86" t="s">
        <v>2906</v>
      </c>
      <c r="N2966" s="86"/>
      <c r="O2966" s="47" t="s">
        <v>410</v>
      </c>
      <c r="P2966" s="47" t="s">
        <v>41</v>
      </c>
      <c r="Q2966" s="14">
        <v>0</v>
      </c>
      <c r="R2966" s="143">
        <v>7190</v>
      </c>
      <c r="S2966" s="47"/>
      <c r="T2966" s="6">
        <v>384.57999999999811</v>
      </c>
      <c r="U2966" s="6"/>
      <c r="V2966" s="6">
        <v>0</v>
      </c>
      <c r="W2966" s="6">
        <f t="shared" si="461"/>
        <v>384.57999999999811</v>
      </c>
      <c r="X2966" s="6">
        <f t="shared" si="462"/>
        <v>0</v>
      </c>
      <c r="Y2966" s="13">
        <f t="shared" si="465"/>
        <v>0</v>
      </c>
      <c r="Z2966" s="14">
        <v>0</v>
      </c>
      <c r="AA2966" s="6">
        <v>0</v>
      </c>
      <c r="AB2966" s="4">
        <f t="shared" si="466"/>
        <v>0</v>
      </c>
      <c r="AC2966" s="4">
        <f t="shared" si="468"/>
        <v>0</v>
      </c>
      <c r="AD2966" s="6">
        <f t="shared" si="463"/>
        <v>0</v>
      </c>
      <c r="AE2966" s="2">
        <f>VLOOKUP(I2966,[1]媒体政策预估表!A:N,MATCH(O2966,[1]媒体政策预估表!$A$2:$M$2,0),0)</f>
        <v>0.17</v>
      </c>
      <c r="AF2966" s="6">
        <f t="shared" si="469"/>
        <v>0</v>
      </c>
      <c r="AG2966" s="14">
        <v>0</v>
      </c>
      <c r="AH2966" s="64">
        <f t="shared" si="464"/>
        <v>0</v>
      </c>
      <c r="AI2966" s="47"/>
      <c r="AJ2966" s="126" t="e">
        <v>#N/A</v>
      </c>
      <c r="AK2966" s="80">
        <f t="shared" si="467"/>
        <v>0</v>
      </c>
      <c r="AM2966" s="85"/>
    </row>
    <row r="2967" spans="1:39" hidden="1" x14ac:dyDescent="0.3">
      <c r="A2967" s="89" t="s">
        <v>3408</v>
      </c>
      <c r="B2967" s="86" t="s">
        <v>701</v>
      </c>
      <c r="C2967" s="86" t="s">
        <v>65</v>
      </c>
      <c r="D2967" s="86" t="s">
        <v>66</v>
      </c>
      <c r="E2967" s="86" t="s">
        <v>1241</v>
      </c>
      <c r="F2967" s="86" t="s">
        <v>1241</v>
      </c>
      <c r="G2967" s="86" t="s">
        <v>1241</v>
      </c>
      <c r="H2967" s="143">
        <v>83</v>
      </c>
      <c r="I2967" s="86" t="s">
        <v>78</v>
      </c>
      <c r="J2967" s="1" t="s">
        <v>3303</v>
      </c>
      <c r="K2967" s="1" t="s">
        <v>3276</v>
      </c>
      <c r="L2967" s="1" t="s">
        <v>701</v>
      </c>
      <c r="M2967" s="86" t="s">
        <v>1241</v>
      </c>
      <c r="N2967" s="86"/>
      <c r="O2967" s="47" t="s">
        <v>410</v>
      </c>
      <c r="P2967" s="47" t="s">
        <v>41</v>
      </c>
      <c r="Q2967" s="14">
        <v>0</v>
      </c>
      <c r="R2967" s="143">
        <v>7358</v>
      </c>
      <c r="S2967" s="47"/>
      <c r="T2967" s="6">
        <v>13704.699999999986</v>
      </c>
      <c r="U2967" s="6"/>
      <c r="V2967" s="6">
        <v>0</v>
      </c>
      <c r="W2967" s="6">
        <f t="shared" si="461"/>
        <v>13704.699999999986</v>
      </c>
      <c r="X2967" s="6">
        <f t="shared" si="462"/>
        <v>0</v>
      </c>
      <c r="Y2967" s="13">
        <f t="shared" si="465"/>
        <v>0</v>
      </c>
      <c r="Z2967" s="14">
        <v>0</v>
      </c>
      <c r="AA2967" s="6">
        <v>0</v>
      </c>
      <c r="AB2967" s="4">
        <f t="shared" si="466"/>
        <v>0</v>
      </c>
      <c r="AC2967" s="4">
        <f t="shared" si="468"/>
        <v>0</v>
      </c>
      <c r="AD2967" s="6">
        <f t="shared" si="463"/>
        <v>0</v>
      </c>
      <c r="AE2967" s="2">
        <f>VLOOKUP(I2967,[1]媒体政策预估表!A:N,MATCH(O2967,[1]媒体政策预估表!$A$2:$M$2,0),0)</f>
        <v>0.17</v>
      </c>
      <c r="AF2967" s="6">
        <f t="shared" si="469"/>
        <v>0</v>
      </c>
      <c r="AG2967" s="14">
        <v>0</v>
      </c>
      <c r="AH2967" s="64">
        <f t="shared" si="464"/>
        <v>0</v>
      </c>
      <c r="AI2967" s="47"/>
      <c r="AJ2967" s="126" t="e">
        <v>#N/A</v>
      </c>
      <c r="AK2967" s="80">
        <f t="shared" si="467"/>
        <v>0</v>
      </c>
      <c r="AM2967" s="85"/>
    </row>
    <row r="2968" spans="1:39" hidden="1" x14ac:dyDescent="0.3">
      <c r="A2968" s="89" t="s">
        <v>3408</v>
      </c>
      <c r="B2968" s="86" t="s">
        <v>701</v>
      </c>
      <c r="C2968" s="86" t="s">
        <v>164</v>
      </c>
      <c r="D2968" s="86" t="s">
        <v>174</v>
      </c>
      <c r="E2968" s="86" t="s">
        <v>2907</v>
      </c>
      <c r="F2968" s="86" t="s">
        <v>2907</v>
      </c>
      <c r="G2968" s="86" t="s">
        <v>2907</v>
      </c>
      <c r="H2968" s="143">
        <v>83</v>
      </c>
      <c r="I2968" s="86" t="s">
        <v>78</v>
      </c>
      <c r="J2968" s="1" t="s">
        <v>3303</v>
      </c>
      <c r="K2968" s="1" t="s">
        <v>3276</v>
      </c>
      <c r="L2968" s="1" t="s">
        <v>701</v>
      </c>
      <c r="M2968" s="86" t="s">
        <v>2908</v>
      </c>
      <c r="N2968" s="86"/>
      <c r="O2968" s="47" t="s">
        <v>410</v>
      </c>
      <c r="P2968" s="47" t="s">
        <v>46</v>
      </c>
      <c r="Q2968" s="14">
        <v>0.02</v>
      </c>
      <c r="R2968" s="143">
        <v>7475</v>
      </c>
      <c r="S2968" s="47"/>
      <c r="T2968" s="6">
        <v>738.29999999999973</v>
      </c>
      <c r="U2968" s="6"/>
      <c r="V2968" s="6">
        <v>0</v>
      </c>
      <c r="W2968" s="6">
        <f t="shared" si="461"/>
        <v>738.29999999999973</v>
      </c>
      <c r="X2968" s="6">
        <f t="shared" si="462"/>
        <v>0</v>
      </c>
      <c r="Y2968" s="13">
        <f t="shared" si="465"/>
        <v>0</v>
      </c>
      <c r="Z2968" s="14">
        <v>0</v>
      </c>
      <c r="AA2968" s="6">
        <v>0</v>
      </c>
      <c r="AB2968" s="4">
        <f t="shared" si="466"/>
        <v>0</v>
      </c>
      <c r="AC2968" s="4">
        <f t="shared" si="468"/>
        <v>0</v>
      </c>
      <c r="AD2968" s="6">
        <f t="shared" si="463"/>
        <v>0</v>
      </c>
      <c r="AE2968" s="2">
        <f>VLOOKUP(I2968,[1]媒体政策预估表!A:N,MATCH(O2968,[1]媒体政策预估表!$A$2:$M$2,0),0)</f>
        <v>0.17</v>
      </c>
      <c r="AF2968" s="6">
        <f t="shared" si="469"/>
        <v>0</v>
      </c>
      <c r="AG2968" s="14">
        <v>0</v>
      </c>
      <c r="AH2968" s="64">
        <f t="shared" si="464"/>
        <v>0</v>
      </c>
      <c r="AI2968" s="47"/>
      <c r="AJ2968" s="126" t="e">
        <v>#N/A</v>
      </c>
      <c r="AK2968" s="80">
        <f t="shared" si="467"/>
        <v>0</v>
      </c>
      <c r="AM2968" s="85"/>
    </row>
    <row r="2969" spans="1:39" hidden="1" x14ac:dyDescent="0.3">
      <c r="A2969" s="89" t="s">
        <v>3397</v>
      </c>
      <c r="B2969" s="86" t="s">
        <v>701</v>
      </c>
      <c r="C2969" s="86" t="s">
        <v>47</v>
      </c>
      <c r="D2969" s="86" t="s">
        <v>48</v>
      </c>
      <c r="E2969" s="86" t="s">
        <v>2909</v>
      </c>
      <c r="F2969" s="86" t="s">
        <v>2909</v>
      </c>
      <c r="G2969" s="86" t="s">
        <v>2909</v>
      </c>
      <c r="H2969" s="143">
        <v>83</v>
      </c>
      <c r="I2969" s="86" t="s">
        <v>78</v>
      </c>
      <c r="J2969" s="1" t="s">
        <v>3303</v>
      </c>
      <c r="K2969" s="1" t="s">
        <v>3276</v>
      </c>
      <c r="L2969" s="1" t="s">
        <v>701</v>
      </c>
      <c r="M2969" s="86" t="s">
        <v>2909</v>
      </c>
      <c r="N2969" s="86"/>
      <c r="O2969" s="47" t="s">
        <v>410</v>
      </c>
      <c r="P2969" s="47" t="s">
        <v>41</v>
      </c>
      <c r="Q2969" s="14">
        <v>0</v>
      </c>
      <c r="R2969" s="143">
        <v>7340</v>
      </c>
      <c r="S2969" s="47"/>
      <c r="T2969" s="6">
        <v>18701.7</v>
      </c>
      <c r="U2969" s="6"/>
      <c r="V2969" s="6">
        <v>0</v>
      </c>
      <c r="W2969" s="6">
        <f t="shared" si="461"/>
        <v>18701.7</v>
      </c>
      <c r="X2969" s="6">
        <f t="shared" si="462"/>
        <v>0</v>
      </c>
      <c r="Y2969" s="13">
        <f t="shared" si="465"/>
        <v>0</v>
      </c>
      <c r="Z2969" s="14">
        <v>0</v>
      </c>
      <c r="AA2969" s="6">
        <v>0</v>
      </c>
      <c r="AB2969" s="4">
        <f t="shared" si="466"/>
        <v>0</v>
      </c>
      <c r="AC2969" s="4">
        <f t="shared" si="468"/>
        <v>0</v>
      </c>
      <c r="AD2969" s="6">
        <f t="shared" si="463"/>
        <v>0</v>
      </c>
      <c r="AE2969" s="2">
        <f>VLOOKUP(I2969,[1]媒体政策预估表!A:N,MATCH(O2969,[1]媒体政策预估表!$A$2:$M$2,0),0)</f>
        <v>0.17</v>
      </c>
      <c r="AF2969" s="6">
        <f t="shared" si="469"/>
        <v>0</v>
      </c>
      <c r="AG2969" s="14">
        <v>0</v>
      </c>
      <c r="AH2969" s="64">
        <f t="shared" si="464"/>
        <v>0</v>
      </c>
      <c r="AI2969" s="47"/>
      <c r="AJ2969" s="126" t="e">
        <v>#N/A</v>
      </c>
      <c r="AK2969" s="80">
        <f t="shared" si="467"/>
        <v>0</v>
      </c>
      <c r="AM2969" s="85"/>
    </row>
    <row r="2970" spans="1:39" hidden="1" x14ac:dyDescent="0.3">
      <c r="A2970" s="89" t="s">
        <v>3408</v>
      </c>
      <c r="B2970" s="86" t="s">
        <v>701</v>
      </c>
      <c r="C2970" s="86" t="s">
        <v>144</v>
      </c>
      <c r="D2970" s="86" t="s">
        <v>145</v>
      </c>
      <c r="E2970" s="86" t="s">
        <v>2910</v>
      </c>
      <c r="F2970" s="86" t="s">
        <v>2910</v>
      </c>
      <c r="G2970" s="86" t="s">
        <v>2910</v>
      </c>
      <c r="H2970" s="144">
        <v>83</v>
      </c>
      <c r="I2970" s="86" t="s">
        <v>78</v>
      </c>
      <c r="J2970" s="1" t="s">
        <v>3303</v>
      </c>
      <c r="K2970" s="1" t="s">
        <v>3276</v>
      </c>
      <c r="L2970" s="1" t="s">
        <v>701</v>
      </c>
      <c r="M2970" s="86" t="s">
        <v>2911</v>
      </c>
      <c r="N2970" s="86"/>
      <c r="O2970" s="47" t="s">
        <v>410</v>
      </c>
      <c r="P2970" s="47" t="s">
        <v>41</v>
      </c>
      <c r="Q2970" s="14">
        <v>0</v>
      </c>
      <c r="R2970" s="143">
        <v>7164</v>
      </c>
      <c r="S2970" s="47"/>
      <c r="T2970" s="6">
        <v>8416.59</v>
      </c>
      <c r="U2970" s="6"/>
      <c r="V2970" s="6">
        <v>1123.2</v>
      </c>
      <c r="W2970" s="6">
        <f t="shared" si="461"/>
        <v>7293.39</v>
      </c>
      <c r="X2970" s="6">
        <f t="shared" si="462"/>
        <v>1123.2</v>
      </c>
      <c r="Y2970" s="13">
        <f t="shared" si="465"/>
        <v>0</v>
      </c>
      <c r="Z2970" s="14">
        <v>0</v>
      </c>
      <c r="AA2970" s="6">
        <v>0</v>
      </c>
      <c r="AB2970" s="4">
        <f t="shared" si="466"/>
        <v>1123.2</v>
      </c>
      <c r="AC2970" s="4">
        <f t="shared" si="468"/>
        <v>0</v>
      </c>
      <c r="AD2970" s="6">
        <f t="shared" si="463"/>
        <v>1123.2</v>
      </c>
      <c r="AE2970" s="2">
        <f>VLOOKUP(I2970,[1]媒体政策预估表!A:N,MATCH(O2970,[1]媒体政策预估表!$A$2:$M$2,0),0)</f>
        <v>0.17</v>
      </c>
      <c r="AF2970" s="6">
        <f t="shared" si="469"/>
        <v>190.94400000000002</v>
      </c>
      <c r="AG2970" s="14">
        <v>0</v>
      </c>
      <c r="AH2970" s="64">
        <f t="shared" si="464"/>
        <v>1123.2</v>
      </c>
      <c r="AI2970" s="47"/>
      <c r="AJ2970" s="126" t="e">
        <v>#N/A</v>
      </c>
      <c r="AK2970" s="80">
        <f t="shared" si="467"/>
        <v>0</v>
      </c>
      <c r="AM2970" s="85"/>
    </row>
    <row r="2971" spans="1:39" hidden="1" x14ac:dyDescent="0.3">
      <c r="A2971" s="89" t="s">
        <v>3408</v>
      </c>
      <c r="B2971" s="86" t="s">
        <v>701</v>
      </c>
      <c r="C2971" s="86" t="s">
        <v>36</v>
      </c>
      <c r="D2971" s="86" t="s">
        <v>54</v>
      </c>
      <c r="E2971" s="86" t="s">
        <v>2912</v>
      </c>
      <c r="F2971" s="86" t="s">
        <v>2912</v>
      </c>
      <c r="G2971" s="86" t="s">
        <v>2912</v>
      </c>
      <c r="H2971" s="143">
        <v>83</v>
      </c>
      <c r="I2971" s="86" t="s">
        <v>78</v>
      </c>
      <c r="J2971" s="1" t="s">
        <v>3303</v>
      </c>
      <c r="K2971" s="1" t="s">
        <v>3276</v>
      </c>
      <c r="L2971" s="1" t="s">
        <v>701</v>
      </c>
      <c r="M2971" s="86" t="s">
        <v>2913</v>
      </c>
      <c r="N2971" s="86"/>
      <c r="O2971" s="47" t="s">
        <v>410</v>
      </c>
      <c r="P2971" s="47" t="s">
        <v>41</v>
      </c>
      <c r="Q2971" s="14">
        <v>0</v>
      </c>
      <c r="R2971" s="143">
        <v>7449</v>
      </c>
      <c r="S2971" s="47"/>
      <c r="T2971" s="6">
        <v>12629.5</v>
      </c>
      <c r="U2971" s="6"/>
      <c r="V2971" s="6">
        <v>0</v>
      </c>
      <c r="W2971" s="6">
        <f t="shared" si="461"/>
        <v>12629.5</v>
      </c>
      <c r="X2971" s="6">
        <f t="shared" si="462"/>
        <v>0</v>
      </c>
      <c r="Y2971" s="13">
        <f t="shared" si="465"/>
        <v>0</v>
      </c>
      <c r="Z2971" s="14">
        <v>0</v>
      </c>
      <c r="AA2971" s="6">
        <v>0</v>
      </c>
      <c r="AB2971" s="4"/>
      <c r="AC2971" s="4">
        <f t="shared" si="468"/>
        <v>0</v>
      </c>
      <c r="AD2971" s="6">
        <f t="shared" si="463"/>
        <v>0</v>
      </c>
      <c r="AE2971" s="2">
        <f>VLOOKUP(I2971,[1]媒体政策预估表!A:N,MATCH(O2971,[1]媒体政策预估表!$A$2:$M$2,0),0)</f>
        <v>0.17</v>
      </c>
      <c r="AF2971" s="6">
        <f t="shared" si="469"/>
        <v>0</v>
      </c>
      <c r="AG2971" s="14">
        <v>0</v>
      </c>
      <c r="AH2971" s="64">
        <f t="shared" si="464"/>
        <v>0</v>
      </c>
      <c r="AI2971" s="47"/>
      <c r="AJ2971" s="126" t="s">
        <v>4226</v>
      </c>
      <c r="AK2971" s="80">
        <f t="shared" si="467"/>
        <v>0</v>
      </c>
      <c r="AM2971" s="85"/>
    </row>
    <row r="2972" spans="1:39" hidden="1" x14ac:dyDescent="0.3">
      <c r="A2972" s="89" t="s">
        <v>3397</v>
      </c>
      <c r="B2972" s="86" t="s">
        <v>701</v>
      </c>
      <c r="C2972" s="86" t="s">
        <v>164</v>
      </c>
      <c r="D2972" s="86" t="s">
        <v>174</v>
      </c>
      <c r="E2972" s="86" t="s">
        <v>946</v>
      </c>
      <c r="F2972" s="86" t="s">
        <v>946</v>
      </c>
      <c r="G2972" s="86" t="s">
        <v>946</v>
      </c>
      <c r="H2972" s="143">
        <v>83</v>
      </c>
      <c r="I2972" s="86" t="s">
        <v>78</v>
      </c>
      <c r="J2972" s="1" t="s">
        <v>3303</v>
      </c>
      <c r="K2972" s="1" t="s">
        <v>3276</v>
      </c>
      <c r="L2972" s="1" t="s">
        <v>701</v>
      </c>
      <c r="M2972" s="86" t="s">
        <v>2914</v>
      </c>
      <c r="N2972" s="86"/>
      <c r="O2972" s="47" t="s">
        <v>410</v>
      </c>
      <c r="P2972" s="47" t="s">
        <v>46</v>
      </c>
      <c r="Q2972" s="14">
        <v>0.02</v>
      </c>
      <c r="R2972" s="143">
        <v>7426</v>
      </c>
      <c r="S2972" s="47"/>
      <c r="T2972" s="6">
        <v>3619.8499999999995</v>
      </c>
      <c r="U2972" s="6"/>
      <c r="V2972" s="6">
        <v>0</v>
      </c>
      <c r="W2972" s="6">
        <f t="shared" si="461"/>
        <v>3619.8499999999995</v>
      </c>
      <c r="X2972" s="6">
        <f t="shared" si="462"/>
        <v>0</v>
      </c>
      <c r="Y2972" s="13">
        <f t="shared" si="465"/>
        <v>0</v>
      </c>
      <c r="Z2972" s="14">
        <v>0</v>
      </c>
      <c r="AA2972" s="6">
        <v>0</v>
      </c>
      <c r="AB2972" s="4">
        <f t="shared" si="466"/>
        <v>0</v>
      </c>
      <c r="AC2972" s="4">
        <f t="shared" si="468"/>
        <v>0</v>
      </c>
      <c r="AD2972" s="6">
        <f t="shared" si="463"/>
        <v>0</v>
      </c>
      <c r="AE2972" s="2">
        <f>VLOOKUP(I2972,[1]媒体政策预估表!A:N,MATCH(O2972,[1]媒体政策预估表!$A$2:$M$2,0),0)</f>
        <v>0.17</v>
      </c>
      <c r="AF2972" s="6">
        <f t="shared" si="469"/>
        <v>0</v>
      </c>
      <c r="AG2972" s="14">
        <v>0</v>
      </c>
      <c r="AH2972" s="64">
        <f t="shared" si="464"/>
        <v>0</v>
      </c>
      <c r="AI2972" s="47"/>
      <c r="AJ2972" s="126" t="e">
        <v>#N/A</v>
      </c>
      <c r="AK2972" s="80">
        <f t="shared" si="467"/>
        <v>0</v>
      </c>
      <c r="AM2972" s="85"/>
    </row>
    <row r="2973" spans="1:39" hidden="1" x14ac:dyDescent="0.3">
      <c r="A2973" s="89" t="s">
        <v>3397</v>
      </c>
      <c r="B2973" s="86" t="s">
        <v>35</v>
      </c>
      <c r="C2973" s="86" t="s">
        <v>164</v>
      </c>
      <c r="D2973" s="86" t="s">
        <v>169</v>
      </c>
      <c r="E2973" s="86" t="s">
        <v>2695</v>
      </c>
      <c r="F2973" s="86" t="s">
        <v>2717</v>
      </c>
      <c r="G2973" s="86" t="s">
        <v>1845</v>
      </c>
      <c r="H2973" s="143">
        <v>83</v>
      </c>
      <c r="I2973" s="86" t="s">
        <v>78</v>
      </c>
      <c r="J2973" s="1" t="s">
        <v>3303</v>
      </c>
      <c r="K2973" s="1" t="s">
        <v>3276</v>
      </c>
      <c r="L2973" s="1" t="s">
        <v>701</v>
      </c>
      <c r="M2973" s="86" t="s">
        <v>2915</v>
      </c>
      <c r="N2973" s="86"/>
      <c r="O2973" s="47" t="s">
        <v>410</v>
      </c>
      <c r="P2973" s="47" t="s">
        <v>41</v>
      </c>
      <c r="Q2973" s="14">
        <v>0</v>
      </c>
      <c r="R2973" s="143">
        <v>7276</v>
      </c>
      <c r="S2973" s="47"/>
      <c r="T2973" s="6">
        <v>42157.11</v>
      </c>
      <c r="U2973" s="6"/>
      <c r="V2973" s="6">
        <v>0</v>
      </c>
      <c r="W2973" s="6">
        <f t="shared" si="461"/>
        <v>42157.11</v>
      </c>
      <c r="X2973" s="6">
        <f t="shared" si="462"/>
        <v>0</v>
      </c>
      <c r="Y2973" s="13">
        <f t="shared" si="465"/>
        <v>0</v>
      </c>
      <c r="Z2973" s="14">
        <v>0</v>
      </c>
      <c r="AA2973" s="6">
        <v>0</v>
      </c>
      <c r="AB2973" s="4">
        <f t="shared" si="466"/>
        <v>0</v>
      </c>
      <c r="AC2973" s="4">
        <f t="shared" si="468"/>
        <v>0</v>
      </c>
      <c r="AD2973" s="6">
        <f t="shared" si="463"/>
        <v>0</v>
      </c>
      <c r="AE2973" s="2">
        <f>VLOOKUP(I2973,[1]媒体政策预估表!A:N,MATCH(O2973,[1]媒体政策预估表!$A$2:$M$2,0),0)</f>
        <v>0.17</v>
      </c>
      <c r="AF2973" s="6">
        <f t="shared" si="469"/>
        <v>0</v>
      </c>
      <c r="AG2973" s="14">
        <v>0</v>
      </c>
      <c r="AH2973" s="64">
        <f t="shared" si="464"/>
        <v>0</v>
      </c>
      <c r="AI2973" s="47"/>
      <c r="AJ2973" s="126" t="e">
        <v>#N/A</v>
      </c>
      <c r="AK2973" s="80">
        <f t="shared" si="467"/>
        <v>0</v>
      </c>
      <c r="AM2973" s="85"/>
    </row>
    <row r="2974" spans="1:39" hidden="1" x14ac:dyDescent="0.3">
      <c r="A2974" s="89" t="s">
        <v>3397</v>
      </c>
      <c r="B2974" s="86" t="s">
        <v>701</v>
      </c>
      <c r="C2974" s="86" t="s">
        <v>59</v>
      </c>
      <c r="D2974" s="86" t="s">
        <v>60</v>
      </c>
      <c r="E2974" s="86" t="s">
        <v>2722</v>
      </c>
      <c r="F2974" s="86" t="s">
        <v>2722</v>
      </c>
      <c r="G2974" s="86" t="s">
        <v>2722</v>
      </c>
      <c r="H2974" s="143">
        <v>83</v>
      </c>
      <c r="I2974" s="86" t="s">
        <v>78</v>
      </c>
      <c r="J2974" s="1" t="s">
        <v>3303</v>
      </c>
      <c r="K2974" s="1" t="s">
        <v>3276</v>
      </c>
      <c r="L2974" s="1" t="s">
        <v>701</v>
      </c>
      <c r="M2974" s="86" t="s">
        <v>2916</v>
      </c>
      <c r="N2974" s="86"/>
      <c r="O2974" s="47" t="s">
        <v>410</v>
      </c>
      <c r="P2974" s="47" t="s">
        <v>92</v>
      </c>
      <c r="Q2974" s="14">
        <v>0.9</v>
      </c>
      <c r="R2974" s="143">
        <v>7391</v>
      </c>
      <c r="S2974" s="47"/>
      <c r="T2974" s="6">
        <v>6563.5</v>
      </c>
      <c r="U2974" s="6"/>
      <c r="V2974" s="6">
        <v>0</v>
      </c>
      <c r="W2974" s="6">
        <f t="shared" si="461"/>
        <v>6563.5</v>
      </c>
      <c r="X2974" s="6">
        <f t="shared" si="462"/>
        <v>0</v>
      </c>
      <c r="Y2974" s="13">
        <f t="shared" si="465"/>
        <v>0</v>
      </c>
      <c r="Z2974" s="14">
        <v>0</v>
      </c>
      <c r="AA2974" s="6">
        <v>0</v>
      </c>
      <c r="AB2974" s="4">
        <f t="shared" si="466"/>
        <v>0</v>
      </c>
      <c r="AC2974" s="4">
        <f t="shared" si="468"/>
        <v>0</v>
      </c>
      <c r="AD2974" s="6">
        <f t="shared" si="463"/>
        <v>0</v>
      </c>
      <c r="AE2974" s="2">
        <f>VLOOKUP(I2974,[1]媒体政策预估表!A:N,MATCH(O2974,[1]媒体政策预估表!$A$2:$M$2,0),0)</f>
        <v>0.17</v>
      </c>
      <c r="AF2974" s="6">
        <f t="shared" si="469"/>
        <v>0</v>
      </c>
      <c r="AG2974" s="14">
        <v>0</v>
      </c>
      <c r="AH2974" s="64">
        <f t="shared" si="464"/>
        <v>0</v>
      </c>
      <c r="AI2974" s="47"/>
      <c r="AJ2974" s="126" t="e">
        <v>#N/A</v>
      </c>
      <c r="AK2974" s="80">
        <f t="shared" si="467"/>
        <v>0</v>
      </c>
      <c r="AM2974" s="85"/>
    </row>
    <row r="2975" spans="1:39" hidden="1" x14ac:dyDescent="0.3">
      <c r="A2975" s="89" t="s">
        <v>3397</v>
      </c>
      <c r="B2975" s="86" t="s">
        <v>701</v>
      </c>
      <c r="C2975" s="86" t="s">
        <v>59</v>
      </c>
      <c r="D2975" s="86" t="s">
        <v>60</v>
      </c>
      <c r="E2975" s="86" t="s">
        <v>2722</v>
      </c>
      <c r="F2975" s="86" t="s">
        <v>2722</v>
      </c>
      <c r="G2975" s="86" t="s">
        <v>2722</v>
      </c>
      <c r="H2975" s="143">
        <v>83</v>
      </c>
      <c r="I2975" s="86" t="s">
        <v>78</v>
      </c>
      <c r="J2975" s="1" t="s">
        <v>3303</v>
      </c>
      <c r="K2975" s="1" t="s">
        <v>3276</v>
      </c>
      <c r="L2975" s="1" t="s">
        <v>701</v>
      </c>
      <c r="M2975" s="86" t="s">
        <v>2917</v>
      </c>
      <c r="N2975" s="86"/>
      <c r="O2975" s="47" t="s">
        <v>410</v>
      </c>
      <c r="P2975" s="47" t="s">
        <v>92</v>
      </c>
      <c r="Q2975" s="14">
        <v>0.9</v>
      </c>
      <c r="R2975" s="143">
        <v>7417</v>
      </c>
      <c r="S2975" s="47"/>
      <c r="T2975" s="6">
        <v>1808.5</v>
      </c>
      <c r="U2975" s="6"/>
      <c r="V2975" s="6">
        <v>0</v>
      </c>
      <c r="W2975" s="6">
        <f t="shared" si="461"/>
        <v>1808.5</v>
      </c>
      <c r="X2975" s="6">
        <f t="shared" si="462"/>
        <v>0</v>
      </c>
      <c r="Y2975" s="13">
        <f t="shared" si="465"/>
        <v>0</v>
      </c>
      <c r="Z2975" s="14">
        <v>0</v>
      </c>
      <c r="AA2975" s="6">
        <v>0</v>
      </c>
      <c r="AB2975" s="4">
        <f t="shared" si="466"/>
        <v>0</v>
      </c>
      <c r="AC2975" s="4">
        <f t="shared" si="468"/>
        <v>0</v>
      </c>
      <c r="AD2975" s="6">
        <f t="shared" si="463"/>
        <v>0</v>
      </c>
      <c r="AE2975" s="2">
        <f>VLOOKUP(I2975,[1]媒体政策预估表!A:N,MATCH(O2975,[1]媒体政策预估表!$A$2:$M$2,0),0)</f>
        <v>0.17</v>
      </c>
      <c r="AF2975" s="6">
        <f t="shared" si="469"/>
        <v>0</v>
      </c>
      <c r="AG2975" s="14">
        <v>0</v>
      </c>
      <c r="AH2975" s="64">
        <f t="shared" si="464"/>
        <v>0</v>
      </c>
      <c r="AI2975" s="47"/>
      <c r="AJ2975" s="126" t="e">
        <v>#N/A</v>
      </c>
      <c r="AK2975" s="80">
        <f t="shared" si="467"/>
        <v>0</v>
      </c>
      <c r="AM2975" s="85"/>
    </row>
    <row r="2976" spans="1:39" hidden="1" x14ac:dyDescent="0.3">
      <c r="A2976" s="89" t="s">
        <v>3397</v>
      </c>
      <c r="B2976" s="86" t="s">
        <v>701</v>
      </c>
      <c r="C2976" s="86" t="s">
        <v>144</v>
      </c>
      <c r="D2976" s="86" t="s">
        <v>152</v>
      </c>
      <c r="E2976" s="86" t="s">
        <v>2795</v>
      </c>
      <c r="F2976" s="86" t="s">
        <v>2795</v>
      </c>
      <c r="G2976" s="86" t="s">
        <v>2795</v>
      </c>
      <c r="H2976" s="143">
        <v>83</v>
      </c>
      <c r="I2976" s="86" t="s">
        <v>78</v>
      </c>
      <c r="J2976" s="1" t="s">
        <v>3303</v>
      </c>
      <c r="K2976" s="1" t="s">
        <v>3276</v>
      </c>
      <c r="L2976" s="1" t="s">
        <v>701</v>
      </c>
      <c r="M2976" s="86" t="s">
        <v>2918</v>
      </c>
      <c r="N2976" s="86"/>
      <c r="O2976" s="47" t="s">
        <v>410</v>
      </c>
      <c r="P2976" s="47" t="s">
        <v>41</v>
      </c>
      <c r="Q2976" s="14">
        <v>0</v>
      </c>
      <c r="R2976" s="143">
        <v>7324</v>
      </c>
      <c r="S2976" s="47"/>
      <c r="T2976" s="6">
        <v>6915.4</v>
      </c>
      <c r="U2976" s="6"/>
      <c r="V2976" s="6">
        <v>0</v>
      </c>
      <c r="W2976" s="6">
        <f t="shared" si="461"/>
        <v>6915.4</v>
      </c>
      <c r="X2976" s="6">
        <f t="shared" si="462"/>
        <v>0</v>
      </c>
      <c r="Y2976" s="13">
        <f t="shared" si="465"/>
        <v>0</v>
      </c>
      <c r="Z2976" s="14">
        <v>0</v>
      </c>
      <c r="AA2976" s="6">
        <v>0</v>
      </c>
      <c r="AB2976" s="4"/>
      <c r="AC2976" s="4">
        <f t="shared" si="468"/>
        <v>0</v>
      </c>
      <c r="AD2976" s="6">
        <f t="shared" si="463"/>
        <v>0</v>
      </c>
      <c r="AE2976" s="2">
        <f>VLOOKUP(I2976,[1]媒体政策预估表!A:N,MATCH(O2976,[1]媒体政策预估表!$A$2:$M$2,0),0)</f>
        <v>0.17</v>
      </c>
      <c r="AF2976" s="6">
        <f t="shared" si="469"/>
        <v>0</v>
      </c>
      <c r="AG2976" s="14">
        <v>0</v>
      </c>
      <c r="AH2976" s="64">
        <f t="shared" si="464"/>
        <v>0</v>
      </c>
      <c r="AI2976" s="47"/>
      <c r="AJ2976" s="126">
        <v>93</v>
      </c>
      <c r="AK2976" s="80">
        <f t="shared" si="467"/>
        <v>0</v>
      </c>
      <c r="AM2976" s="85"/>
    </row>
    <row r="2977" spans="1:39" hidden="1" x14ac:dyDescent="0.3">
      <c r="A2977" s="89" t="s">
        <v>3397</v>
      </c>
      <c r="B2977" s="86" t="s">
        <v>701</v>
      </c>
      <c r="C2977" s="86" t="s">
        <v>164</v>
      </c>
      <c r="D2977" s="86" t="s">
        <v>174</v>
      </c>
      <c r="E2977" s="86" t="s">
        <v>2012</v>
      </c>
      <c r="F2977" s="86" t="s">
        <v>2012</v>
      </c>
      <c r="G2977" s="86" t="s">
        <v>2012</v>
      </c>
      <c r="H2977" s="143">
        <v>83</v>
      </c>
      <c r="I2977" s="86" t="s">
        <v>78</v>
      </c>
      <c r="J2977" s="1" t="s">
        <v>3303</v>
      </c>
      <c r="K2977" s="1" t="s">
        <v>3276</v>
      </c>
      <c r="L2977" s="1" t="s">
        <v>701</v>
      </c>
      <c r="M2977" s="86" t="s">
        <v>2012</v>
      </c>
      <c r="N2977" s="86"/>
      <c r="O2977" s="47" t="s">
        <v>410</v>
      </c>
      <c r="P2977" s="47" t="s">
        <v>46</v>
      </c>
      <c r="Q2977" s="14">
        <v>0.02</v>
      </c>
      <c r="R2977" s="143">
        <v>7112</v>
      </c>
      <c r="S2977" s="47"/>
      <c r="T2977" s="6">
        <v>4443.1799999999994</v>
      </c>
      <c r="U2977" s="6"/>
      <c r="V2977" s="6">
        <v>0</v>
      </c>
      <c r="W2977" s="6">
        <f t="shared" si="461"/>
        <v>4443.1799999999994</v>
      </c>
      <c r="X2977" s="6">
        <f t="shared" si="462"/>
        <v>0</v>
      </c>
      <c r="Y2977" s="13">
        <f t="shared" si="465"/>
        <v>0</v>
      </c>
      <c r="Z2977" s="14">
        <v>0</v>
      </c>
      <c r="AA2977" s="6">
        <v>0</v>
      </c>
      <c r="AB2977" s="4">
        <f t="shared" si="466"/>
        <v>0</v>
      </c>
      <c r="AC2977" s="4">
        <f t="shared" si="468"/>
        <v>0</v>
      </c>
      <c r="AD2977" s="6">
        <f t="shared" si="463"/>
        <v>0</v>
      </c>
      <c r="AE2977" s="2">
        <f>VLOOKUP(I2977,[1]媒体政策预估表!A:N,MATCH(O2977,[1]媒体政策预估表!$A$2:$M$2,0),0)</f>
        <v>0.17</v>
      </c>
      <c r="AF2977" s="6">
        <f t="shared" si="469"/>
        <v>0</v>
      </c>
      <c r="AG2977" s="14">
        <v>0</v>
      </c>
      <c r="AH2977" s="64">
        <f t="shared" si="464"/>
        <v>0</v>
      </c>
      <c r="AI2977" s="47"/>
      <c r="AJ2977" s="126" t="e">
        <v>#N/A</v>
      </c>
      <c r="AK2977" s="80">
        <f t="shared" si="467"/>
        <v>0</v>
      </c>
      <c r="AM2977" s="85"/>
    </row>
    <row r="2978" spans="1:39" hidden="1" x14ac:dyDescent="0.3">
      <c r="A2978" s="89" t="s">
        <v>3408</v>
      </c>
      <c r="B2978" s="86" t="s">
        <v>701</v>
      </c>
      <c r="C2978" s="86" t="s">
        <v>65</v>
      </c>
      <c r="D2978" s="86" t="s">
        <v>66</v>
      </c>
      <c r="E2978" s="86" t="s">
        <v>2756</v>
      </c>
      <c r="F2978" s="86" t="s">
        <v>2756</v>
      </c>
      <c r="G2978" s="86" t="s">
        <v>2756</v>
      </c>
      <c r="H2978" s="143">
        <v>83</v>
      </c>
      <c r="I2978" s="86" t="s">
        <v>78</v>
      </c>
      <c r="J2978" s="1" t="s">
        <v>3303</v>
      </c>
      <c r="K2978" s="1" t="s">
        <v>3276</v>
      </c>
      <c r="L2978" s="1" t="s">
        <v>701</v>
      </c>
      <c r="M2978" s="86" t="s">
        <v>2919</v>
      </c>
      <c r="N2978" s="86"/>
      <c r="O2978" s="47" t="s">
        <v>410</v>
      </c>
      <c r="P2978" s="47" t="s">
        <v>46</v>
      </c>
      <c r="Q2978" s="14">
        <v>0.02</v>
      </c>
      <c r="R2978" s="143">
        <v>7176</v>
      </c>
      <c r="S2978" s="47"/>
      <c r="T2978" s="6">
        <v>29390.959999999999</v>
      </c>
      <c r="U2978" s="6"/>
      <c r="V2978" s="6">
        <v>0</v>
      </c>
      <c r="W2978" s="6">
        <f t="shared" si="461"/>
        <v>29390.959999999999</v>
      </c>
      <c r="X2978" s="6">
        <f t="shared" si="462"/>
        <v>0</v>
      </c>
      <c r="Y2978" s="13">
        <f t="shared" si="465"/>
        <v>0</v>
      </c>
      <c r="Z2978" s="14">
        <v>0</v>
      </c>
      <c r="AA2978" s="6">
        <v>0</v>
      </c>
      <c r="AB2978" s="4">
        <f t="shared" si="466"/>
        <v>0</v>
      </c>
      <c r="AC2978" s="4">
        <f t="shared" si="468"/>
        <v>0</v>
      </c>
      <c r="AD2978" s="6">
        <f t="shared" si="463"/>
        <v>0</v>
      </c>
      <c r="AE2978" s="2">
        <f>VLOOKUP(I2978,[1]媒体政策预估表!A:N,MATCH(O2978,[1]媒体政策预估表!$A$2:$M$2,0),0)</f>
        <v>0.17</v>
      </c>
      <c r="AF2978" s="6">
        <f t="shared" si="469"/>
        <v>0</v>
      </c>
      <c r="AG2978" s="14">
        <v>0</v>
      </c>
      <c r="AH2978" s="64">
        <f t="shared" si="464"/>
        <v>0</v>
      </c>
      <c r="AI2978" s="47"/>
      <c r="AJ2978" s="126" t="e">
        <v>#N/A</v>
      </c>
      <c r="AK2978" s="80">
        <f t="shared" si="467"/>
        <v>0</v>
      </c>
      <c r="AM2978" s="85"/>
    </row>
    <row r="2979" spans="1:39" hidden="1" x14ac:dyDescent="0.3">
      <c r="A2979" s="89" t="s">
        <v>3408</v>
      </c>
      <c r="B2979" s="86" t="s">
        <v>701</v>
      </c>
      <c r="C2979" s="86" t="s">
        <v>47</v>
      </c>
      <c r="D2979" s="86" t="s">
        <v>48</v>
      </c>
      <c r="E2979" s="86" t="s">
        <v>2920</v>
      </c>
      <c r="F2979" s="86" t="s">
        <v>2920</v>
      </c>
      <c r="G2979" s="86" t="s">
        <v>2920</v>
      </c>
      <c r="H2979" s="143">
        <v>83</v>
      </c>
      <c r="I2979" s="86" t="s">
        <v>78</v>
      </c>
      <c r="J2979" s="1" t="s">
        <v>3303</v>
      </c>
      <c r="K2979" s="1" t="s">
        <v>3276</v>
      </c>
      <c r="L2979" s="1" t="s">
        <v>701</v>
      </c>
      <c r="M2979" s="86" t="s">
        <v>2921</v>
      </c>
      <c r="N2979" s="86"/>
      <c r="O2979" s="47" t="s">
        <v>410</v>
      </c>
      <c r="P2979" s="47" t="s">
        <v>46</v>
      </c>
      <c r="Q2979" s="14">
        <v>0.03</v>
      </c>
      <c r="R2979" s="143">
        <v>7290</v>
      </c>
      <c r="S2979" s="47"/>
      <c r="T2979" s="6">
        <v>2349.0300000000002</v>
      </c>
      <c r="U2979" s="6"/>
      <c r="V2979" s="6">
        <v>0</v>
      </c>
      <c r="W2979" s="6">
        <f t="shared" si="461"/>
        <v>2349.0300000000002</v>
      </c>
      <c r="X2979" s="6">
        <f t="shared" si="462"/>
        <v>0</v>
      </c>
      <c r="Y2979" s="13">
        <f t="shared" si="465"/>
        <v>0</v>
      </c>
      <c r="Z2979" s="14">
        <v>0</v>
      </c>
      <c r="AA2979" s="6">
        <v>0</v>
      </c>
      <c r="AB2979" s="4">
        <f t="shared" si="466"/>
        <v>0</v>
      </c>
      <c r="AC2979" s="4">
        <f t="shared" si="468"/>
        <v>0</v>
      </c>
      <c r="AD2979" s="6">
        <f t="shared" si="463"/>
        <v>0</v>
      </c>
      <c r="AE2979" s="2">
        <f>VLOOKUP(I2979,[1]媒体政策预估表!A:N,MATCH(O2979,[1]媒体政策预估表!$A$2:$M$2,0),0)</f>
        <v>0.17</v>
      </c>
      <c r="AF2979" s="6">
        <f t="shared" si="469"/>
        <v>0</v>
      </c>
      <c r="AG2979" s="14">
        <v>0</v>
      </c>
      <c r="AH2979" s="64">
        <f t="shared" si="464"/>
        <v>0</v>
      </c>
      <c r="AI2979" s="47"/>
      <c r="AJ2979" s="126" t="e">
        <v>#N/A</v>
      </c>
      <c r="AK2979" s="80">
        <f t="shared" si="467"/>
        <v>0</v>
      </c>
      <c r="AM2979" s="85"/>
    </row>
    <row r="2980" spans="1:39" hidden="1" x14ac:dyDescent="0.3">
      <c r="A2980" s="89" t="s">
        <v>3397</v>
      </c>
      <c r="B2980" s="86" t="s">
        <v>701</v>
      </c>
      <c r="C2980" s="86" t="s">
        <v>144</v>
      </c>
      <c r="D2980" s="86" t="s">
        <v>303</v>
      </c>
      <c r="E2980" s="86" t="s">
        <v>2922</v>
      </c>
      <c r="F2980" s="86" t="s">
        <v>2922</v>
      </c>
      <c r="G2980" s="86" t="s">
        <v>2922</v>
      </c>
      <c r="H2980" s="143">
        <v>83</v>
      </c>
      <c r="I2980" s="86" t="s">
        <v>78</v>
      </c>
      <c r="J2980" s="1" t="s">
        <v>3303</v>
      </c>
      <c r="K2980" s="1" t="s">
        <v>3276</v>
      </c>
      <c r="L2980" s="1" t="s">
        <v>701</v>
      </c>
      <c r="M2980" s="86" t="s">
        <v>2922</v>
      </c>
      <c r="N2980" s="86"/>
      <c r="O2980" s="47" t="s">
        <v>410</v>
      </c>
      <c r="P2980" s="47" t="s">
        <v>46</v>
      </c>
      <c r="Q2980" s="14">
        <v>0.08</v>
      </c>
      <c r="R2980" s="143">
        <v>7179</v>
      </c>
      <c r="S2980" s="47"/>
      <c r="T2980" s="6">
        <v>5882.26</v>
      </c>
      <c r="U2980" s="6"/>
      <c r="V2980" s="6">
        <v>0</v>
      </c>
      <c r="W2980" s="6">
        <f t="shared" si="461"/>
        <v>5882.26</v>
      </c>
      <c r="X2980" s="6">
        <f t="shared" si="462"/>
        <v>0</v>
      </c>
      <c r="Y2980" s="13">
        <f t="shared" si="465"/>
        <v>0</v>
      </c>
      <c r="Z2980" s="14">
        <v>0</v>
      </c>
      <c r="AA2980" s="6">
        <v>0</v>
      </c>
      <c r="AB2980" s="4">
        <f t="shared" si="466"/>
        <v>0</v>
      </c>
      <c r="AC2980" s="4">
        <f t="shared" si="468"/>
        <v>0</v>
      </c>
      <c r="AD2980" s="6">
        <f t="shared" si="463"/>
        <v>0</v>
      </c>
      <c r="AE2980" s="2">
        <f>VLOOKUP(I2980,[1]媒体政策预估表!A:N,MATCH(O2980,[1]媒体政策预估表!$A$2:$M$2,0),0)</f>
        <v>0.17</v>
      </c>
      <c r="AF2980" s="6">
        <f t="shared" si="469"/>
        <v>0</v>
      </c>
      <c r="AG2980" s="14">
        <v>0</v>
      </c>
      <c r="AH2980" s="64">
        <f t="shared" si="464"/>
        <v>0</v>
      </c>
      <c r="AI2980" s="47"/>
      <c r="AJ2980" s="126" t="e">
        <v>#N/A</v>
      </c>
      <c r="AK2980" s="80">
        <f t="shared" si="467"/>
        <v>0</v>
      </c>
      <c r="AM2980" s="85"/>
    </row>
    <row r="2981" spans="1:39" hidden="1" x14ac:dyDescent="0.3">
      <c r="A2981" s="89" t="s">
        <v>3408</v>
      </c>
      <c r="B2981" s="86" t="s">
        <v>701</v>
      </c>
      <c r="C2981" s="86" t="s">
        <v>164</v>
      </c>
      <c r="D2981" s="86" t="s">
        <v>174</v>
      </c>
      <c r="E2981" s="86" t="s">
        <v>1174</v>
      </c>
      <c r="F2981" s="86" t="s">
        <v>1174</v>
      </c>
      <c r="G2981" s="86" t="s">
        <v>1174</v>
      </c>
      <c r="H2981" s="143">
        <v>83</v>
      </c>
      <c r="I2981" s="86" t="s">
        <v>78</v>
      </c>
      <c r="J2981" s="1" t="s">
        <v>3303</v>
      </c>
      <c r="K2981" s="1" t="s">
        <v>3276</v>
      </c>
      <c r="L2981" s="1" t="s">
        <v>701</v>
      </c>
      <c r="M2981" s="86" t="s">
        <v>1174</v>
      </c>
      <c r="N2981" s="86"/>
      <c r="O2981" s="47" t="s">
        <v>410</v>
      </c>
      <c r="P2981" s="47" t="s">
        <v>46</v>
      </c>
      <c r="Q2981" s="14">
        <v>0.02</v>
      </c>
      <c r="R2981" s="143">
        <v>7377</v>
      </c>
      <c r="S2981" s="47"/>
      <c r="T2981" s="6">
        <v>2878.16</v>
      </c>
      <c r="U2981" s="6"/>
      <c r="V2981" s="6">
        <v>0</v>
      </c>
      <c r="W2981" s="6">
        <f t="shared" si="461"/>
        <v>2878.16</v>
      </c>
      <c r="X2981" s="6">
        <f t="shared" si="462"/>
        <v>0</v>
      </c>
      <c r="Y2981" s="13">
        <f t="shared" si="465"/>
        <v>0</v>
      </c>
      <c r="Z2981" s="14">
        <v>0</v>
      </c>
      <c r="AA2981" s="6">
        <v>0</v>
      </c>
      <c r="AB2981" s="4">
        <f t="shared" si="466"/>
        <v>0</v>
      </c>
      <c r="AC2981" s="4">
        <f t="shared" si="468"/>
        <v>0</v>
      </c>
      <c r="AD2981" s="6">
        <f t="shared" si="463"/>
        <v>0</v>
      </c>
      <c r="AE2981" s="2">
        <f>VLOOKUP(I2981,[1]媒体政策预估表!A:N,MATCH(O2981,[1]媒体政策预估表!$A$2:$M$2,0),0)</f>
        <v>0.17</v>
      </c>
      <c r="AF2981" s="6">
        <f t="shared" si="469"/>
        <v>0</v>
      </c>
      <c r="AG2981" s="14">
        <v>0</v>
      </c>
      <c r="AH2981" s="64">
        <f t="shared" si="464"/>
        <v>0</v>
      </c>
      <c r="AI2981" s="47"/>
      <c r="AJ2981" s="126" t="s">
        <v>4221</v>
      </c>
      <c r="AK2981" s="80">
        <f t="shared" si="467"/>
        <v>0</v>
      </c>
      <c r="AL2981" s="150"/>
      <c r="AM2981" s="85"/>
    </row>
    <row r="2982" spans="1:39" hidden="1" x14ac:dyDescent="0.3">
      <c r="A2982" s="89" t="s">
        <v>3408</v>
      </c>
      <c r="B2982" s="86" t="s">
        <v>701</v>
      </c>
      <c r="C2982" s="86" t="s">
        <v>36</v>
      </c>
      <c r="D2982" s="86" t="s">
        <v>224</v>
      </c>
      <c r="E2982" s="86" t="s">
        <v>2923</v>
      </c>
      <c r="F2982" s="86" t="s">
        <v>2923</v>
      </c>
      <c r="G2982" s="86" t="s">
        <v>2923</v>
      </c>
      <c r="H2982" s="143">
        <v>83</v>
      </c>
      <c r="I2982" s="86" t="s">
        <v>78</v>
      </c>
      <c r="J2982" s="1" t="s">
        <v>3303</v>
      </c>
      <c r="K2982" s="1" t="s">
        <v>3276</v>
      </c>
      <c r="L2982" s="1" t="s">
        <v>701</v>
      </c>
      <c r="M2982" s="86" t="s">
        <v>2923</v>
      </c>
      <c r="N2982" s="86"/>
      <c r="O2982" s="47" t="s">
        <v>410</v>
      </c>
      <c r="P2982" s="47" t="s">
        <v>41</v>
      </c>
      <c r="Q2982" s="14">
        <v>0</v>
      </c>
      <c r="R2982" s="143">
        <v>7196</v>
      </c>
      <c r="S2982" s="47"/>
      <c r="T2982" s="6">
        <v>1148.67</v>
      </c>
      <c r="U2982" s="6"/>
      <c r="V2982" s="6">
        <v>0</v>
      </c>
      <c r="W2982" s="6">
        <f t="shared" ref="W2982:W3045" si="470">T2982+U2982-V2982</f>
        <v>1148.67</v>
      </c>
      <c r="X2982" s="6">
        <f t="shared" ref="X2982:X3017" si="471">IF(P2982="折扣",V2982*Q2982,IF(P2982="返现",V2982,V2982/(1+Q2982)))</f>
        <v>0</v>
      </c>
      <c r="Y2982" s="13">
        <f t="shared" si="465"/>
        <v>0</v>
      </c>
      <c r="Z2982" s="14">
        <v>0</v>
      </c>
      <c r="AA2982" s="6">
        <v>0</v>
      </c>
      <c r="AB2982" s="4">
        <f t="shared" si="466"/>
        <v>0</v>
      </c>
      <c r="AC2982" s="4">
        <f t="shared" si="468"/>
        <v>0</v>
      </c>
      <c r="AD2982" s="6">
        <f t="shared" ref="AD2982:AD3017" si="472">V2982</f>
        <v>0</v>
      </c>
      <c r="AE2982" s="2">
        <f>VLOOKUP(I2982,[1]媒体政策预估表!A:N,MATCH(O2982,[1]媒体政策预估表!$A$2:$M$2,0),0)</f>
        <v>0.17</v>
      </c>
      <c r="AF2982" s="6">
        <f t="shared" si="469"/>
        <v>0</v>
      </c>
      <c r="AG2982" s="14">
        <v>0</v>
      </c>
      <c r="AH2982" s="64">
        <f t="shared" ref="AH2982:AH3017" si="473">V2982</f>
        <v>0</v>
      </c>
      <c r="AI2982" s="47"/>
      <c r="AJ2982" s="126" t="e">
        <v>#N/A</v>
      </c>
      <c r="AK2982" s="80">
        <f t="shared" si="467"/>
        <v>0</v>
      </c>
      <c r="AM2982" s="85"/>
    </row>
    <row r="2983" spans="1:39" hidden="1" x14ac:dyDescent="0.3">
      <c r="A2983" s="89" t="s">
        <v>3397</v>
      </c>
      <c r="B2983" s="86" t="s">
        <v>701</v>
      </c>
      <c r="C2983" s="86" t="s">
        <v>36</v>
      </c>
      <c r="D2983" s="86" t="s">
        <v>54</v>
      </c>
      <c r="E2983" s="86" t="s">
        <v>2378</v>
      </c>
      <c r="F2983" s="86" t="s">
        <v>2379</v>
      </c>
      <c r="G2983" s="86" t="s">
        <v>2378</v>
      </c>
      <c r="H2983" s="143">
        <v>83</v>
      </c>
      <c r="I2983" s="86" t="s">
        <v>78</v>
      </c>
      <c r="J2983" s="1" t="s">
        <v>3303</v>
      </c>
      <c r="K2983" s="1" t="s">
        <v>3276</v>
      </c>
      <c r="L2983" s="1" t="s">
        <v>701</v>
      </c>
      <c r="M2983" s="86" t="s">
        <v>2924</v>
      </c>
      <c r="N2983" s="86"/>
      <c r="O2983" s="47" t="s">
        <v>410</v>
      </c>
      <c r="P2983" s="47" t="s">
        <v>46</v>
      </c>
      <c r="Q2983" s="14">
        <v>0.02</v>
      </c>
      <c r="R2983" s="143">
        <v>7278</v>
      </c>
      <c r="S2983" s="47"/>
      <c r="T2983" s="6">
        <v>84538.4</v>
      </c>
      <c r="U2983" s="6"/>
      <c r="V2983" s="6">
        <v>0</v>
      </c>
      <c r="W2983" s="6">
        <f t="shared" si="470"/>
        <v>84538.4</v>
      </c>
      <c r="X2983" s="6">
        <f t="shared" si="471"/>
        <v>0</v>
      </c>
      <c r="Y2983" s="13">
        <f t="shared" si="465"/>
        <v>0</v>
      </c>
      <c r="Z2983" s="14">
        <v>0</v>
      </c>
      <c r="AA2983" s="6">
        <v>0</v>
      </c>
      <c r="AB2983" s="4">
        <f t="shared" si="466"/>
        <v>0</v>
      </c>
      <c r="AC2983" s="4">
        <f t="shared" si="468"/>
        <v>0</v>
      </c>
      <c r="AD2983" s="6">
        <f t="shared" si="472"/>
        <v>0</v>
      </c>
      <c r="AE2983" s="2">
        <f>VLOOKUP(I2983,[1]媒体政策预估表!A:N,MATCH(O2983,[1]媒体政策预估表!$A$2:$M$2,0),0)</f>
        <v>0.17</v>
      </c>
      <c r="AF2983" s="6">
        <f t="shared" si="469"/>
        <v>0</v>
      </c>
      <c r="AG2983" s="14">
        <v>0</v>
      </c>
      <c r="AH2983" s="64">
        <f t="shared" si="473"/>
        <v>0</v>
      </c>
      <c r="AI2983" s="47"/>
      <c r="AJ2983" s="126" t="e">
        <v>#N/A</v>
      </c>
      <c r="AK2983" s="80">
        <f t="shared" si="467"/>
        <v>0</v>
      </c>
      <c r="AM2983" s="85"/>
    </row>
    <row r="2984" spans="1:39" hidden="1" x14ac:dyDescent="0.3">
      <c r="A2984" s="89" t="s">
        <v>3397</v>
      </c>
      <c r="B2984" s="86" t="s">
        <v>701</v>
      </c>
      <c r="C2984" s="86" t="s">
        <v>36</v>
      </c>
      <c r="D2984" s="86" t="s">
        <v>54</v>
      </c>
      <c r="E2984" s="86" t="s">
        <v>2843</v>
      </c>
      <c r="F2984" s="86" t="s">
        <v>2843</v>
      </c>
      <c r="G2984" s="86" t="s">
        <v>2843</v>
      </c>
      <c r="H2984" s="143">
        <v>83</v>
      </c>
      <c r="I2984" s="86" t="s">
        <v>78</v>
      </c>
      <c r="J2984" s="1" t="s">
        <v>3303</v>
      </c>
      <c r="K2984" s="1" t="s">
        <v>3276</v>
      </c>
      <c r="L2984" s="1" t="s">
        <v>701</v>
      </c>
      <c r="M2984" s="86" t="s">
        <v>2925</v>
      </c>
      <c r="N2984" s="86"/>
      <c r="O2984" s="47" t="s">
        <v>410</v>
      </c>
      <c r="P2984" s="47" t="s">
        <v>41</v>
      </c>
      <c r="Q2984" s="14">
        <v>0</v>
      </c>
      <c r="R2984" s="143">
        <v>7338</v>
      </c>
      <c r="S2984" s="47"/>
      <c r="T2984" s="6">
        <v>1661.5</v>
      </c>
      <c r="U2984" s="6"/>
      <c r="V2984" s="6">
        <v>0</v>
      </c>
      <c r="W2984" s="6">
        <f t="shared" si="470"/>
        <v>1661.5</v>
      </c>
      <c r="X2984" s="6">
        <f t="shared" si="471"/>
        <v>0</v>
      </c>
      <c r="Y2984" s="13">
        <f t="shared" si="465"/>
        <v>0</v>
      </c>
      <c r="Z2984" s="14">
        <v>0</v>
      </c>
      <c r="AA2984" s="6">
        <v>0</v>
      </c>
      <c r="AB2984" s="4">
        <f t="shared" si="466"/>
        <v>0</v>
      </c>
      <c r="AC2984" s="4">
        <f t="shared" si="468"/>
        <v>0</v>
      </c>
      <c r="AD2984" s="6">
        <f t="shared" si="472"/>
        <v>0</v>
      </c>
      <c r="AE2984" s="2">
        <f>VLOOKUP(I2984,[1]媒体政策预估表!A:N,MATCH(O2984,[1]媒体政策预估表!$A$2:$M$2,0),0)</f>
        <v>0.17</v>
      </c>
      <c r="AF2984" s="6">
        <f t="shared" si="469"/>
        <v>0</v>
      </c>
      <c r="AG2984" s="14">
        <v>0</v>
      </c>
      <c r="AH2984" s="64">
        <f t="shared" si="473"/>
        <v>0</v>
      </c>
      <c r="AI2984" s="47"/>
      <c r="AJ2984" s="126" t="e">
        <v>#N/A</v>
      </c>
      <c r="AK2984" s="80">
        <f t="shared" si="467"/>
        <v>0</v>
      </c>
      <c r="AM2984" s="85"/>
    </row>
    <row r="2985" spans="1:39" hidden="1" x14ac:dyDescent="0.3">
      <c r="A2985" s="89" t="s">
        <v>3397</v>
      </c>
      <c r="B2985" s="86" t="s">
        <v>701</v>
      </c>
      <c r="C2985" s="86" t="s">
        <v>36</v>
      </c>
      <c r="D2985" s="86" t="s">
        <v>54</v>
      </c>
      <c r="E2985" s="86" t="s">
        <v>2926</v>
      </c>
      <c r="F2985" s="86" t="s">
        <v>2927</v>
      </c>
      <c r="G2985" s="86" t="s">
        <v>2926</v>
      </c>
      <c r="H2985" s="143">
        <v>83</v>
      </c>
      <c r="I2985" s="86" t="s">
        <v>78</v>
      </c>
      <c r="J2985" s="1" t="s">
        <v>3303</v>
      </c>
      <c r="K2985" s="1" t="s">
        <v>3276</v>
      </c>
      <c r="L2985" s="1" t="s">
        <v>701</v>
      </c>
      <c r="M2985" s="86" t="s">
        <v>2928</v>
      </c>
      <c r="N2985" s="86"/>
      <c r="O2985" s="47" t="s">
        <v>410</v>
      </c>
      <c r="P2985" s="47" t="s">
        <v>46</v>
      </c>
      <c r="Q2985" s="14">
        <v>0.08</v>
      </c>
      <c r="R2985" s="143">
        <v>7153</v>
      </c>
      <c r="S2985" s="47"/>
      <c r="T2985" s="6">
        <v>9588.6499999999978</v>
      </c>
      <c r="U2985" s="6"/>
      <c r="V2985" s="6">
        <v>0</v>
      </c>
      <c r="W2985" s="6">
        <f t="shared" si="470"/>
        <v>9588.6499999999978</v>
      </c>
      <c r="X2985" s="6">
        <f t="shared" si="471"/>
        <v>0</v>
      </c>
      <c r="Y2985" s="13">
        <f t="shared" si="465"/>
        <v>0</v>
      </c>
      <c r="Z2985" s="14">
        <v>0</v>
      </c>
      <c r="AA2985" s="6">
        <v>0</v>
      </c>
      <c r="AB2985" s="4">
        <f t="shared" si="466"/>
        <v>0</v>
      </c>
      <c r="AC2985" s="4">
        <f t="shared" si="468"/>
        <v>0</v>
      </c>
      <c r="AD2985" s="6">
        <f t="shared" si="472"/>
        <v>0</v>
      </c>
      <c r="AE2985" s="2">
        <f>VLOOKUP(I2985,[1]媒体政策预估表!A:N,MATCH(O2985,[1]媒体政策预估表!$A$2:$M$2,0),0)</f>
        <v>0.17</v>
      </c>
      <c r="AF2985" s="6">
        <f t="shared" si="469"/>
        <v>0</v>
      </c>
      <c r="AG2985" s="14">
        <v>0</v>
      </c>
      <c r="AH2985" s="64">
        <f t="shared" si="473"/>
        <v>0</v>
      </c>
      <c r="AI2985" s="47"/>
      <c r="AJ2985" s="126" t="e">
        <v>#N/A</v>
      </c>
      <c r="AK2985" s="80">
        <f t="shared" si="467"/>
        <v>0</v>
      </c>
      <c r="AM2985" s="85"/>
    </row>
    <row r="2986" spans="1:39" hidden="1" x14ac:dyDescent="0.3">
      <c r="A2986" s="89" t="s">
        <v>3397</v>
      </c>
      <c r="B2986" s="86" t="s">
        <v>35</v>
      </c>
      <c r="C2986" s="86" t="s">
        <v>184</v>
      </c>
      <c r="D2986" s="86" t="s">
        <v>298</v>
      </c>
      <c r="E2986" s="86" t="s">
        <v>2127</v>
      </c>
      <c r="F2986" s="86" t="s">
        <v>2929</v>
      </c>
      <c r="G2986" s="86" t="s">
        <v>2127</v>
      </c>
      <c r="H2986" s="143">
        <v>83</v>
      </c>
      <c r="I2986" s="86" t="s">
        <v>78</v>
      </c>
      <c r="J2986" s="1" t="s">
        <v>3303</v>
      </c>
      <c r="K2986" s="1" t="s">
        <v>3276</v>
      </c>
      <c r="L2986" s="1" t="s">
        <v>701</v>
      </c>
      <c r="M2986" s="86" t="s">
        <v>2127</v>
      </c>
      <c r="N2986" s="86"/>
      <c r="O2986" s="47" t="s">
        <v>410</v>
      </c>
      <c r="P2986" s="47" t="s">
        <v>46</v>
      </c>
      <c r="Q2986" s="14">
        <v>0.05</v>
      </c>
      <c r="R2986" s="143">
        <v>7322</v>
      </c>
      <c r="S2986" s="47"/>
      <c r="T2986" s="6">
        <v>13407.61</v>
      </c>
      <c r="U2986" s="6"/>
      <c r="V2986" s="6">
        <v>0</v>
      </c>
      <c r="W2986" s="6">
        <f t="shared" si="470"/>
        <v>13407.61</v>
      </c>
      <c r="X2986" s="6">
        <f t="shared" si="471"/>
        <v>0</v>
      </c>
      <c r="Y2986" s="13">
        <f t="shared" si="465"/>
        <v>0</v>
      </c>
      <c r="Z2986" s="14">
        <v>0</v>
      </c>
      <c r="AA2986" s="6">
        <v>0</v>
      </c>
      <c r="AB2986" s="4">
        <f t="shared" si="466"/>
        <v>0</v>
      </c>
      <c r="AC2986" s="4">
        <f t="shared" si="468"/>
        <v>0</v>
      </c>
      <c r="AD2986" s="6">
        <f t="shared" si="472"/>
        <v>0</v>
      </c>
      <c r="AE2986" s="2">
        <f>VLOOKUP(I2986,[1]媒体政策预估表!A:N,MATCH(O2986,[1]媒体政策预估表!$A$2:$M$2,0),0)</f>
        <v>0.17</v>
      </c>
      <c r="AF2986" s="6">
        <f t="shared" si="469"/>
        <v>0</v>
      </c>
      <c r="AG2986" s="14">
        <v>0</v>
      </c>
      <c r="AH2986" s="64">
        <f t="shared" si="473"/>
        <v>0</v>
      </c>
      <c r="AI2986" s="47"/>
      <c r="AJ2986" s="126" t="e">
        <v>#N/A</v>
      </c>
      <c r="AK2986" s="80">
        <f t="shared" si="467"/>
        <v>0</v>
      </c>
      <c r="AM2986" s="85"/>
    </row>
    <row r="2987" spans="1:39" hidden="1" x14ac:dyDescent="0.3">
      <c r="A2987" s="89" t="s">
        <v>3397</v>
      </c>
      <c r="B2987" s="86" t="s">
        <v>701</v>
      </c>
      <c r="C2987" s="86" t="s">
        <v>65</v>
      </c>
      <c r="D2987" s="86" t="s">
        <v>66</v>
      </c>
      <c r="E2987" s="86" t="s">
        <v>2385</v>
      </c>
      <c r="F2987" s="86" t="s">
        <v>2385</v>
      </c>
      <c r="G2987" s="86" t="s">
        <v>2385</v>
      </c>
      <c r="H2987" s="144">
        <v>83</v>
      </c>
      <c r="I2987" s="86" t="s">
        <v>78</v>
      </c>
      <c r="J2987" s="1" t="s">
        <v>3303</v>
      </c>
      <c r="K2987" s="1" t="s">
        <v>3276</v>
      </c>
      <c r="L2987" s="1" t="s">
        <v>701</v>
      </c>
      <c r="M2987" s="86" t="s">
        <v>2385</v>
      </c>
      <c r="N2987" s="86"/>
      <c r="O2987" s="47" t="s">
        <v>941</v>
      </c>
      <c r="P2987" s="47" t="s">
        <v>41</v>
      </c>
      <c r="Q2987" s="14">
        <v>0</v>
      </c>
      <c r="R2987" s="143">
        <v>7092</v>
      </c>
      <c r="S2987" s="47"/>
      <c r="T2987" s="6">
        <v>-1200</v>
      </c>
      <c r="U2987" s="6"/>
      <c r="V2987" s="6">
        <v>1137</v>
      </c>
      <c r="W2987" s="6">
        <f t="shared" si="470"/>
        <v>-2337</v>
      </c>
      <c r="X2987" s="6">
        <f t="shared" si="471"/>
        <v>1137</v>
      </c>
      <c r="Y2987" s="13">
        <f t="shared" si="465"/>
        <v>0</v>
      </c>
      <c r="Z2987" s="14">
        <v>0</v>
      </c>
      <c r="AA2987" s="6">
        <v>0</v>
      </c>
      <c r="AB2987" s="4">
        <f t="shared" si="466"/>
        <v>1137</v>
      </c>
      <c r="AC2987" s="4">
        <f t="shared" si="468"/>
        <v>0</v>
      </c>
      <c r="AD2987" s="6">
        <f t="shared" si="472"/>
        <v>1137</v>
      </c>
      <c r="AE2987" s="2">
        <f>VLOOKUP(I2987,[1]媒体政策预估表!A:N,MATCH(O2987,[1]媒体政策预估表!$A$2:$M$2,0),0)</f>
        <v>0</v>
      </c>
      <c r="AF2987" s="6">
        <f t="shared" si="469"/>
        <v>0</v>
      </c>
      <c r="AG2987" s="14">
        <v>0</v>
      </c>
      <c r="AH2987" s="64">
        <f t="shared" si="473"/>
        <v>1137</v>
      </c>
      <c r="AI2987" s="47"/>
      <c r="AJ2987" s="126" t="e">
        <v>#N/A</v>
      </c>
      <c r="AK2987" s="80">
        <f t="shared" si="467"/>
        <v>0</v>
      </c>
      <c r="AM2987" s="85"/>
    </row>
    <row r="2988" spans="1:39" hidden="1" x14ac:dyDescent="0.3">
      <c r="A2988" s="89" t="s">
        <v>3397</v>
      </c>
      <c r="B2988" s="86" t="s">
        <v>701</v>
      </c>
      <c r="C2988" s="86" t="s">
        <v>144</v>
      </c>
      <c r="D2988" s="86" t="s">
        <v>161</v>
      </c>
      <c r="E2988" s="86" t="s">
        <v>1903</v>
      </c>
      <c r="F2988" s="86" t="s">
        <v>1903</v>
      </c>
      <c r="G2988" s="86" t="s">
        <v>1903</v>
      </c>
      <c r="H2988" s="143">
        <v>83</v>
      </c>
      <c r="I2988" s="86" t="s">
        <v>78</v>
      </c>
      <c r="J2988" s="1" t="s">
        <v>3303</v>
      </c>
      <c r="K2988" s="1" t="s">
        <v>3276</v>
      </c>
      <c r="L2988" s="1" t="s">
        <v>701</v>
      </c>
      <c r="M2988" s="86" t="s">
        <v>2148</v>
      </c>
      <c r="N2988" s="86"/>
      <c r="O2988" s="47" t="s">
        <v>941</v>
      </c>
      <c r="P2988" s="47" t="s">
        <v>46</v>
      </c>
      <c r="Q2988" s="14">
        <v>0.02</v>
      </c>
      <c r="R2988" s="143">
        <v>7096</v>
      </c>
      <c r="S2988" s="47"/>
      <c r="T2988" s="6">
        <v>-1309</v>
      </c>
      <c r="U2988" s="6"/>
      <c r="V2988" s="6">
        <v>0</v>
      </c>
      <c r="W2988" s="6">
        <f t="shared" si="470"/>
        <v>-1309</v>
      </c>
      <c r="X2988" s="6">
        <f t="shared" si="471"/>
        <v>0</v>
      </c>
      <c r="Y2988" s="13">
        <f t="shared" si="465"/>
        <v>0</v>
      </c>
      <c r="Z2988" s="14">
        <v>0</v>
      </c>
      <c r="AA2988" s="6">
        <v>0</v>
      </c>
      <c r="AB2988" s="4">
        <f t="shared" si="466"/>
        <v>0</v>
      </c>
      <c r="AC2988" s="4">
        <f t="shared" si="468"/>
        <v>0</v>
      </c>
      <c r="AD2988" s="6">
        <f t="shared" si="472"/>
        <v>0</v>
      </c>
      <c r="AE2988" s="2">
        <f>VLOOKUP(I2988,[1]媒体政策预估表!A:N,MATCH(O2988,[1]媒体政策预估表!$A$2:$M$2,0),0)</f>
        <v>0</v>
      </c>
      <c r="AF2988" s="6">
        <f t="shared" si="469"/>
        <v>0</v>
      </c>
      <c r="AG2988" s="14">
        <v>0</v>
      </c>
      <c r="AH2988" s="64">
        <f t="shared" si="473"/>
        <v>0</v>
      </c>
      <c r="AI2988" s="47"/>
      <c r="AJ2988" s="126" t="e">
        <v>#N/A</v>
      </c>
      <c r="AK2988" s="80">
        <f t="shared" si="467"/>
        <v>0</v>
      </c>
      <c r="AM2988" s="85"/>
    </row>
    <row r="2989" spans="1:39" hidden="1" x14ac:dyDescent="0.3">
      <c r="A2989" s="89" t="s">
        <v>3408</v>
      </c>
      <c r="B2989" s="86" t="s">
        <v>701</v>
      </c>
      <c r="C2989" s="86" t="s">
        <v>65</v>
      </c>
      <c r="D2989" s="86" t="s">
        <v>66</v>
      </c>
      <c r="E2989" s="86" t="s">
        <v>494</v>
      </c>
      <c r="F2989" s="86" t="s">
        <v>494</v>
      </c>
      <c r="G2989" s="86" t="s">
        <v>494</v>
      </c>
      <c r="H2989" s="144">
        <v>83</v>
      </c>
      <c r="I2989" s="86" t="s">
        <v>78</v>
      </c>
      <c r="J2989" s="1" t="s">
        <v>3303</v>
      </c>
      <c r="K2989" s="1" t="s">
        <v>3276</v>
      </c>
      <c r="L2989" s="1" t="s">
        <v>701</v>
      </c>
      <c r="M2989" s="86" t="s">
        <v>495</v>
      </c>
      <c r="N2989" s="86"/>
      <c r="O2989" s="47" t="s">
        <v>941</v>
      </c>
      <c r="P2989" s="47" t="s">
        <v>41</v>
      </c>
      <c r="Q2989" s="14">
        <v>0</v>
      </c>
      <c r="R2989" s="143">
        <v>7097</v>
      </c>
      <c r="S2989" s="47"/>
      <c r="T2989" s="6">
        <v>-2000</v>
      </c>
      <c r="U2989" s="6"/>
      <c r="V2989" s="6">
        <v>4200</v>
      </c>
      <c r="W2989" s="6">
        <f t="shared" si="470"/>
        <v>-6200</v>
      </c>
      <c r="X2989" s="6">
        <f t="shared" si="471"/>
        <v>4200</v>
      </c>
      <c r="Y2989" s="13">
        <f t="shared" si="465"/>
        <v>0</v>
      </c>
      <c r="Z2989" s="14">
        <v>0</v>
      </c>
      <c r="AA2989" s="6">
        <v>0</v>
      </c>
      <c r="AB2989" s="4">
        <f t="shared" si="466"/>
        <v>4200</v>
      </c>
      <c r="AC2989" s="4">
        <f t="shared" si="468"/>
        <v>0</v>
      </c>
      <c r="AD2989" s="6">
        <f t="shared" si="472"/>
        <v>4200</v>
      </c>
      <c r="AE2989" s="2">
        <f>VLOOKUP(I2989,[1]媒体政策预估表!A:N,MATCH(O2989,[1]媒体政策预估表!$A$2:$M$2,0),0)</f>
        <v>0</v>
      </c>
      <c r="AF2989" s="6">
        <f t="shared" si="469"/>
        <v>0</v>
      </c>
      <c r="AG2989" s="14">
        <v>0</v>
      </c>
      <c r="AH2989" s="64">
        <f t="shared" si="473"/>
        <v>4200</v>
      </c>
      <c r="AI2989" s="47"/>
      <c r="AJ2989" s="126" t="e">
        <v>#N/A</v>
      </c>
      <c r="AK2989" s="80">
        <f t="shared" si="467"/>
        <v>0</v>
      </c>
      <c r="AM2989" s="85"/>
    </row>
    <row r="2990" spans="1:39" hidden="1" x14ac:dyDescent="0.3">
      <c r="A2990" s="89" t="s">
        <v>3397</v>
      </c>
      <c r="B2990" s="86" t="s">
        <v>701</v>
      </c>
      <c r="C2990" s="86" t="s">
        <v>3411</v>
      </c>
      <c r="D2990" s="86" t="s">
        <v>3412</v>
      </c>
      <c r="E2990" s="86" t="s">
        <v>2787</v>
      </c>
      <c r="F2990" s="86" t="s">
        <v>2787</v>
      </c>
      <c r="G2990" s="86" t="s">
        <v>2787</v>
      </c>
      <c r="H2990" s="144">
        <v>83</v>
      </c>
      <c r="I2990" s="86" t="s">
        <v>78</v>
      </c>
      <c r="J2990" s="1" t="s">
        <v>3303</v>
      </c>
      <c r="K2990" s="1" t="s">
        <v>3276</v>
      </c>
      <c r="L2990" s="1" t="s">
        <v>701</v>
      </c>
      <c r="M2990" s="86" t="s">
        <v>2788</v>
      </c>
      <c r="N2990" s="86"/>
      <c r="O2990" s="47" t="s">
        <v>941</v>
      </c>
      <c r="P2990" s="47" t="s">
        <v>41</v>
      </c>
      <c r="Q2990" s="14">
        <v>0</v>
      </c>
      <c r="R2990" s="143">
        <v>7102</v>
      </c>
      <c r="S2990" s="47"/>
      <c r="T2990" s="6">
        <v>-3182.28</v>
      </c>
      <c r="U2990" s="6"/>
      <c r="V2990" s="6">
        <v>15361.6</v>
      </c>
      <c r="W2990" s="6">
        <f t="shared" si="470"/>
        <v>-18543.88</v>
      </c>
      <c r="X2990" s="6">
        <f t="shared" si="471"/>
        <v>15361.6</v>
      </c>
      <c r="Y2990" s="13">
        <f t="shared" si="465"/>
        <v>0</v>
      </c>
      <c r="Z2990" s="14">
        <v>0</v>
      </c>
      <c r="AA2990" s="6">
        <v>0</v>
      </c>
      <c r="AB2990" s="4">
        <f t="shared" si="466"/>
        <v>15361.6</v>
      </c>
      <c r="AC2990" s="4">
        <f t="shared" si="468"/>
        <v>0</v>
      </c>
      <c r="AD2990" s="6">
        <f t="shared" si="472"/>
        <v>15361.6</v>
      </c>
      <c r="AE2990" s="2">
        <f>VLOOKUP(I2990,[1]媒体政策预估表!A:N,MATCH(O2990,[1]媒体政策预估表!$A$2:$M$2,0),0)</f>
        <v>0</v>
      </c>
      <c r="AF2990" s="6">
        <f t="shared" si="469"/>
        <v>0</v>
      </c>
      <c r="AG2990" s="14">
        <v>0</v>
      </c>
      <c r="AH2990" s="64">
        <f t="shared" si="473"/>
        <v>15361.6</v>
      </c>
      <c r="AI2990" s="47"/>
      <c r="AJ2990" s="126" t="e">
        <v>#N/A</v>
      </c>
      <c r="AK2990" s="80">
        <f t="shared" si="467"/>
        <v>0</v>
      </c>
      <c r="AM2990" s="85"/>
    </row>
    <row r="2991" spans="1:39" hidden="1" x14ac:dyDescent="0.3">
      <c r="A2991" s="89" t="s">
        <v>3408</v>
      </c>
      <c r="B2991" s="86" t="s">
        <v>701</v>
      </c>
      <c r="C2991" s="86" t="s">
        <v>144</v>
      </c>
      <c r="D2991" s="86" t="s">
        <v>145</v>
      </c>
      <c r="E2991" s="86" t="s">
        <v>150</v>
      </c>
      <c r="F2991" s="86" t="s">
        <v>151</v>
      </c>
      <c r="G2991" s="86" t="s">
        <v>150</v>
      </c>
      <c r="H2991" s="144">
        <v>83</v>
      </c>
      <c r="I2991" s="86" t="s">
        <v>78</v>
      </c>
      <c r="J2991" s="1" t="s">
        <v>3303</v>
      </c>
      <c r="K2991" s="1" t="s">
        <v>3276</v>
      </c>
      <c r="L2991" s="1" t="s">
        <v>701</v>
      </c>
      <c r="M2991" s="86" t="s">
        <v>2794</v>
      </c>
      <c r="N2991" s="86"/>
      <c r="O2991" s="47" t="s">
        <v>941</v>
      </c>
      <c r="P2991" s="47" t="s">
        <v>41</v>
      </c>
      <c r="Q2991" s="14">
        <v>0</v>
      </c>
      <c r="R2991" s="143">
        <v>7105</v>
      </c>
      <c r="S2991" s="47"/>
      <c r="T2991" s="6">
        <v>-25648.5</v>
      </c>
      <c r="U2991" s="6"/>
      <c r="V2991" s="6">
        <v>27821.3</v>
      </c>
      <c r="W2991" s="6">
        <f t="shared" si="470"/>
        <v>-53469.8</v>
      </c>
      <c r="X2991" s="6">
        <f t="shared" si="471"/>
        <v>27821.3</v>
      </c>
      <c r="Y2991" s="13">
        <f t="shared" si="465"/>
        <v>0</v>
      </c>
      <c r="Z2991" s="14">
        <v>0</v>
      </c>
      <c r="AA2991" s="6">
        <v>0</v>
      </c>
      <c r="AB2991" s="4">
        <f t="shared" si="466"/>
        <v>27821.3</v>
      </c>
      <c r="AC2991" s="4">
        <f t="shared" si="468"/>
        <v>0</v>
      </c>
      <c r="AD2991" s="6">
        <f t="shared" si="472"/>
        <v>27821.3</v>
      </c>
      <c r="AE2991" s="2">
        <f>VLOOKUP(I2991,[1]媒体政策预估表!A:N,MATCH(O2991,[1]媒体政策预估表!$A$2:$M$2,0),0)</f>
        <v>0</v>
      </c>
      <c r="AF2991" s="6">
        <f t="shared" si="469"/>
        <v>0</v>
      </c>
      <c r="AG2991" s="14">
        <v>0</v>
      </c>
      <c r="AH2991" s="64">
        <f t="shared" si="473"/>
        <v>27821.3</v>
      </c>
      <c r="AI2991" s="47"/>
      <c r="AJ2991" s="126" t="e">
        <v>#N/A</v>
      </c>
      <c r="AK2991" s="80">
        <f t="shared" si="467"/>
        <v>0</v>
      </c>
      <c r="AM2991" s="85"/>
    </row>
    <row r="2992" spans="1:39" hidden="1" x14ac:dyDescent="0.3">
      <c r="A2992" s="89" t="s">
        <v>3408</v>
      </c>
      <c r="B2992" s="86" t="s">
        <v>35</v>
      </c>
      <c r="C2992" s="86" t="s">
        <v>65</v>
      </c>
      <c r="D2992" s="86" t="s">
        <v>66</v>
      </c>
      <c r="E2992" s="86" t="s">
        <v>2354</v>
      </c>
      <c r="F2992" s="86" t="s">
        <v>2700</v>
      </c>
      <c r="G2992" s="86" t="s">
        <v>1845</v>
      </c>
      <c r="H2992" s="144">
        <v>83</v>
      </c>
      <c r="I2992" s="86" t="s">
        <v>78</v>
      </c>
      <c r="J2992" s="1" t="s">
        <v>3303</v>
      </c>
      <c r="K2992" s="1" t="s">
        <v>3276</v>
      </c>
      <c r="L2992" s="1" t="s">
        <v>701</v>
      </c>
      <c r="M2992" s="86" t="s">
        <v>2354</v>
      </c>
      <c r="N2992" s="86"/>
      <c r="O2992" s="47" t="s">
        <v>941</v>
      </c>
      <c r="P2992" s="47" t="s">
        <v>41</v>
      </c>
      <c r="Q2992" s="14">
        <v>0</v>
      </c>
      <c r="R2992" s="143">
        <v>7109</v>
      </c>
      <c r="S2992" s="47"/>
      <c r="T2992" s="6">
        <v>-694</v>
      </c>
      <c r="U2992" s="6"/>
      <c r="V2992" s="6">
        <v>4354</v>
      </c>
      <c r="W2992" s="6">
        <f t="shared" si="470"/>
        <v>-5048</v>
      </c>
      <c r="X2992" s="6">
        <f t="shared" si="471"/>
        <v>4354</v>
      </c>
      <c r="Y2992" s="13">
        <f t="shared" si="465"/>
        <v>0</v>
      </c>
      <c r="Z2992" s="14">
        <v>0</v>
      </c>
      <c r="AA2992" s="6">
        <v>0</v>
      </c>
      <c r="AB2992" s="4">
        <f t="shared" si="466"/>
        <v>4354</v>
      </c>
      <c r="AC2992" s="4">
        <f t="shared" si="468"/>
        <v>0</v>
      </c>
      <c r="AD2992" s="6">
        <f t="shared" si="472"/>
        <v>4354</v>
      </c>
      <c r="AE2992" s="2">
        <f>VLOOKUP(I2992,[1]媒体政策预估表!A:N,MATCH(O2992,[1]媒体政策预估表!$A$2:$M$2,0),0)</f>
        <v>0</v>
      </c>
      <c r="AF2992" s="6">
        <f t="shared" si="469"/>
        <v>0</v>
      </c>
      <c r="AG2992" s="14">
        <v>0</v>
      </c>
      <c r="AH2992" s="64">
        <f t="shared" si="473"/>
        <v>4354</v>
      </c>
      <c r="AI2992" s="47"/>
      <c r="AJ2992" s="126" t="e">
        <v>#N/A</v>
      </c>
      <c r="AK2992" s="80">
        <f t="shared" si="467"/>
        <v>0</v>
      </c>
      <c r="AM2992" s="85"/>
    </row>
    <row r="2993" spans="1:39" hidden="1" x14ac:dyDescent="0.3">
      <c r="A2993" s="89" t="s">
        <v>3397</v>
      </c>
      <c r="B2993" s="86" t="s">
        <v>701</v>
      </c>
      <c r="C2993" s="86" t="s">
        <v>36</v>
      </c>
      <c r="D2993" s="86" t="s">
        <v>54</v>
      </c>
      <c r="E2993" s="86" t="s">
        <v>2846</v>
      </c>
      <c r="F2993" s="86" t="s">
        <v>2846</v>
      </c>
      <c r="G2993" s="86" t="s">
        <v>2846</v>
      </c>
      <c r="H2993" s="144">
        <v>83</v>
      </c>
      <c r="I2993" s="86" t="s">
        <v>78</v>
      </c>
      <c r="J2993" s="1" t="s">
        <v>3303</v>
      </c>
      <c r="K2993" s="1" t="s">
        <v>3276</v>
      </c>
      <c r="L2993" s="1" t="s">
        <v>701</v>
      </c>
      <c r="M2993" s="86" t="s">
        <v>2846</v>
      </c>
      <c r="N2993" s="86"/>
      <c r="O2993" s="47" t="s">
        <v>941</v>
      </c>
      <c r="P2993" s="47" t="s">
        <v>41</v>
      </c>
      <c r="Q2993" s="14">
        <v>0</v>
      </c>
      <c r="R2993" s="143">
        <v>7119</v>
      </c>
      <c r="S2993" s="47"/>
      <c r="T2993" s="6">
        <v>-1505</v>
      </c>
      <c r="U2993" s="6"/>
      <c r="V2993" s="6">
        <v>2212</v>
      </c>
      <c r="W2993" s="6">
        <f t="shared" si="470"/>
        <v>-3717</v>
      </c>
      <c r="X2993" s="6">
        <f t="shared" si="471"/>
        <v>2212</v>
      </c>
      <c r="Y2993" s="13">
        <f t="shared" si="465"/>
        <v>0</v>
      </c>
      <c r="Z2993" s="14">
        <v>0</v>
      </c>
      <c r="AA2993" s="6">
        <v>0</v>
      </c>
      <c r="AB2993" s="4">
        <f t="shared" si="466"/>
        <v>2212</v>
      </c>
      <c r="AC2993" s="4">
        <f t="shared" si="468"/>
        <v>0</v>
      </c>
      <c r="AD2993" s="6">
        <f t="shared" si="472"/>
        <v>2212</v>
      </c>
      <c r="AE2993" s="2">
        <f>VLOOKUP(I2993,[1]媒体政策预估表!A:N,MATCH(O2993,[1]媒体政策预估表!$A$2:$M$2,0),0)</f>
        <v>0</v>
      </c>
      <c r="AF2993" s="6">
        <f t="shared" si="469"/>
        <v>0</v>
      </c>
      <c r="AG2993" s="14">
        <v>0</v>
      </c>
      <c r="AH2993" s="64">
        <f t="shared" si="473"/>
        <v>2212</v>
      </c>
      <c r="AI2993" s="47"/>
      <c r="AJ2993" s="126" t="e">
        <v>#N/A</v>
      </c>
      <c r="AK2993" s="80">
        <f t="shared" si="467"/>
        <v>0</v>
      </c>
      <c r="AM2993" s="85"/>
    </row>
    <row r="2994" spans="1:39" hidden="1" x14ac:dyDescent="0.3">
      <c r="A2994" s="89" t="s">
        <v>3397</v>
      </c>
      <c r="B2994" s="86" t="s">
        <v>701</v>
      </c>
      <c r="C2994" s="86" t="s">
        <v>36</v>
      </c>
      <c r="D2994" s="86" t="s">
        <v>54</v>
      </c>
      <c r="E2994" s="86" t="s">
        <v>2740</v>
      </c>
      <c r="F2994" s="86" t="s">
        <v>2740</v>
      </c>
      <c r="G2994" s="86" t="s">
        <v>2740</v>
      </c>
      <c r="H2994" s="144">
        <v>83</v>
      </c>
      <c r="I2994" s="86" t="s">
        <v>78</v>
      </c>
      <c r="J2994" s="1" t="s">
        <v>3303</v>
      </c>
      <c r="K2994" s="1" t="s">
        <v>3276</v>
      </c>
      <c r="L2994" s="1" t="s">
        <v>701</v>
      </c>
      <c r="M2994" s="86" t="s">
        <v>2741</v>
      </c>
      <c r="N2994" s="86"/>
      <c r="O2994" s="47" t="s">
        <v>941</v>
      </c>
      <c r="P2994" s="47" t="s">
        <v>41</v>
      </c>
      <c r="Q2994" s="14">
        <v>0</v>
      </c>
      <c r="R2994" s="143">
        <v>7120</v>
      </c>
      <c r="S2994" s="47"/>
      <c r="T2994" s="6">
        <v>-2600</v>
      </c>
      <c r="U2994" s="6"/>
      <c r="V2994" s="6">
        <v>5720</v>
      </c>
      <c r="W2994" s="6">
        <f t="shared" si="470"/>
        <v>-8320</v>
      </c>
      <c r="X2994" s="6">
        <f t="shared" si="471"/>
        <v>5720</v>
      </c>
      <c r="Y2994" s="13">
        <f t="shared" si="465"/>
        <v>0</v>
      </c>
      <c r="Z2994" s="14">
        <v>0</v>
      </c>
      <c r="AA2994" s="6">
        <v>0</v>
      </c>
      <c r="AB2994" s="4">
        <f t="shared" si="466"/>
        <v>5720</v>
      </c>
      <c r="AC2994" s="4">
        <f t="shared" si="468"/>
        <v>0</v>
      </c>
      <c r="AD2994" s="6">
        <f t="shared" si="472"/>
        <v>5720</v>
      </c>
      <c r="AE2994" s="2">
        <f>VLOOKUP(I2994,[1]媒体政策预估表!A:N,MATCH(O2994,[1]媒体政策预估表!$A$2:$M$2,0),0)</f>
        <v>0</v>
      </c>
      <c r="AF2994" s="6">
        <f t="shared" si="469"/>
        <v>0</v>
      </c>
      <c r="AG2994" s="14">
        <v>0</v>
      </c>
      <c r="AH2994" s="64">
        <f t="shared" si="473"/>
        <v>5720</v>
      </c>
      <c r="AI2994" s="47"/>
      <c r="AJ2994" s="126" t="e">
        <v>#N/A</v>
      </c>
      <c r="AK2994" s="80">
        <f t="shared" si="467"/>
        <v>0</v>
      </c>
      <c r="AM2994" s="85"/>
    </row>
    <row r="2995" spans="1:39" hidden="1" x14ac:dyDescent="0.3">
      <c r="A2995" s="89" t="s">
        <v>3397</v>
      </c>
      <c r="B2995" s="86" t="s">
        <v>701</v>
      </c>
      <c r="C2995" s="86" t="s">
        <v>36</v>
      </c>
      <c r="D2995" s="86" t="s">
        <v>54</v>
      </c>
      <c r="E2995" s="86" t="s">
        <v>887</v>
      </c>
      <c r="F2995" s="86" t="s">
        <v>2739</v>
      </c>
      <c r="G2995" s="86" t="s">
        <v>887</v>
      </c>
      <c r="H2995" s="143">
        <v>83</v>
      </c>
      <c r="I2995" s="86" t="s">
        <v>78</v>
      </c>
      <c r="J2995" s="1" t="s">
        <v>3303</v>
      </c>
      <c r="K2995" s="1" t="s">
        <v>3276</v>
      </c>
      <c r="L2995" s="1" t="s">
        <v>701</v>
      </c>
      <c r="M2995" s="86" t="s">
        <v>1858</v>
      </c>
      <c r="N2995" s="86"/>
      <c r="O2995" s="47" t="s">
        <v>941</v>
      </c>
      <c r="P2995" s="47" t="s">
        <v>41</v>
      </c>
      <c r="Q2995" s="14">
        <v>0</v>
      </c>
      <c r="R2995" s="143">
        <v>7127</v>
      </c>
      <c r="S2995" s="47"/>
      <c r="T2995" s="6">
        <v>-9948.5</v>
      </c>
      <c r="U2995" s="6"/>
      <c r="V2995" s="6">
        <v>0</v>
      </c>
      <c r="W2995" s="6">
        <f t="shared" si="470"/>
        <v>-9948.5</v>
      </c>
      <c r="X2995" s="6">
        <f t="shared" si="471"/>
        <v>0</v>
      </c>
      <c r="Y2995" s="13">
        <f t="shared" si="465"/>
        <v>0</v>
      </c>
      <c r="Z2995" s="14">
        <v>0</v>
      </c>
      <c r="AA2995" s="6">
        <v>0</v>
      </c>
      <c r="AB2995" s="4">
        <f t="shared" si="466"/>
        <v>0</v>
      </c>
      <c r="AC2995" s="4">
        <f t="shared" si="468"/>
        <v>0</v>
      </c>
      <c r="AD2995" s="6">
        <f t="shared" si="472"/>
        <v>0</v>
      </c>
      <c r="AE2995" s="2">
        <f>VLOOKUP(I2995,[1]媒体政策预估表!A:N,MATCH(O2995,[1]媒体政策预估表!$A$2:$M$2,0),0)</f>
        <v>0</v>
      </c>
      <c r="AF2995" s="6">
        <f t="shared" si="469"/>
        <v>0</v>
      </c>
      <c r="AG2995" s="14">
        <v>0</v>
      </c>
      <c r="AH2995" s="64">
        <f t="shared" si="473"/>
        <v>0</v>
      </c>
      <c r="AI2995" s="47"/>
      <c r="AJ2995" s="126" t="e">
        <v>#N/A</v>
      </c>
      <c r="AK2995" s="80">
        <f t="shared" si="467"/>
        <v>0</v>
      </c>
      <c r="AM2995" s="85"/>
    </row>
    <row r="2996" spans="1:39" hidden="1" x14ac:dyDescent="0.3">
      <c r="A2996" s="89" t="s">
        <v>3408</v>
      </c>
      <c r="B2996" s="86" t="s">
        <v>701</v>
      </c>
      <c r="C2996" s="86" t="s">
        <v>36</v>
      </c>
      <c r="D2996" s="86" t="s">
        <v>54</v>
      </c>
      <c r="E2996" s="86" t="s">
        <v>887</v>
      </c>
      <c r="F2996" s="86" t="s">
        <v>2739</v>
      </c>
      <c r="G2996" s="86" t="s">
        <v>887</v>
      </c>
      <c r="H2996" s="143">
        <v>83</v>
      </c>
      <c r="I2996" s="86" t="s">
        <v>78</v>
      </c>
      <c r="J2996" s="1" t="s">
        <v>3303</v>
      </c>
      <c r="K2996" s="1" t="s">
        <v>3276</v>
      </c>
      <c r="L2996" s="1" t="s">
        <v>701</v>
      </c>
      <c r="M2996" s="86" t="s">
        <v>73</v>
      </c>
      <c r="N2996" s="86"/>
      <c r="O2996" s="47" t="s">
        <v>941</v>
      </c>
      <c r="P2996" s="47" t="s">
        <v>41</v>
      </c>
      <c r="Q2996" s="14">
        <v>0</v>
      </c>
      <c r="R2996" s="143">
        <v>7130</v>
      </c>
      <c r="S2996" s="47"/>
      <c r="T2996" s="6">
        <v>-11408</v>
      </c>
      <c r="U2996" s="6"/>
      <c r="V2996" s="6">
        <v>0</v>
      </c>
      <c r="W2996" s="6">
        <f t="shared" si="470"/>
        <v>-11408</v>
      </c>
      <c r="X2996" s="6">
        <f t="shared" si="471"/>
        <v>0</v>
      </c>
      <c r="Y2996" s="13">
        <f t="shared" si="465"/>
        <v>0</v>
      </c>
      <c r="Z2996" s="14">
        <v>0</v>
      </c>
      <c r="AA2996" s="6">
        <v>0</v>
      </c>
      <c r="AB2996" s="4">
        <f t="shared" si="466"/>
        <v>0</v>
      </c>
      <c r="AC2996" s="4">
        <f t="shared" si="468"/>
        <v>0</v>
      </c>
      <c r="AD2996" s="6">
        <f t="shared" si="472"/>
        <v>0</v>
      </c>
      <c r="AE2996" s="2">
        <f>VLOOKUP(I2996,[1]媒体政策预估表!A:N,MATCH(O2996,[1]媒体政策预估表!$A$2:$M$2,0),0)</f>
        <v>0</v>
      </c>
      <c r="AF2996" s="6">
        <f t="shared" si="469"/>
        <v>0</v>
      </c>
      <c r="AG2996" s="14">
        <v>0</v>
      </c>
      <c r="AH2996" s="64">
        <f t="shared" si="473"/>
        <v>0</v>
      </c>
      <c r="AI2996" s="47"/>
      <c r="AJ2996" s="126" t="e">
        <v>#N/A</v>
      </c>
      <c r="AK2996" s="80">
        <f t="shared" si="467"/>
        <v>0</v>
      </c>
      <c r="AM2996" s="85"/>
    </row>
    <row r="2997" spans="1:39" hidden="1" x14ac:dyDescent="0.3">
      <c r="A2997" s="89" t="s">
        <v>3397</v>
      </c>
      <c r="B2997" s="86" t="s">
        <v>701</v>
      </c>
      <c r="C2997" s="86" t="s">
        <v>164</v>
      </c>
      <c r="D2997" s="86" t="s">
        <v>169</v>
      </c>
      <c r="E2997" s="86" t="s">
        <v>1579</v>
      </c>
      <c r="F2997" s="86" t="s">
        <v>1579</v>
      </c>
      <c r="G2997" s="86" t="s">
        <v>1579</v>
      </c>
      <c r="H2997" s="143">
        <v>83</v>
      </c>
      <c r="I2997" s="86" t="s">
        <v>78</v>
      </c>
      <c r="J2997" s="1" t="s">
        <v>3303</v>
      </c>
      <c r="K2997" s="1" t="s">
        <v>3276</v>
      </c>
      <c r="L2997" s="1" t="s">
        <v>701</v>
      </c>
      <c r="M2997" s="86" t="s">
        <v>1579</v>
      </c>
      <c r="N2997" s="86"/>
      <c r="O2997" s="47" t="s">
        <v>941</v>
      </c>
      <c r="P2997" s="47" t="s">
        <v>41</v>
      </c>
      <c r="Q2997" s="14">
        <v>0</v>
      </c>
      <c r="R2997" s="143">
        <v>7145</v>
      </c>
      <c r="S2997" s="47"/>
      <c r="T2997" s="6">
        <v>-507</v>
      </c>
      <c r="U2997" s="6"/>
      <c r="V2997" s="6">
        <v>0</v>
      </c>
      <c r="W2997" s="6">
        <f t="shared" si="470"/>
        <v>-507</v>
      </c>
      <c r="X2997" s="6">
        <f t="shared" si="471"/>
        <v>0</v>
      </c>
      <c r="Y2997" s="13">
        <f t="shared" si="465"/>
        <v>0</v>
      </c>
      <c r="Z2997" s="14">
        <v>0</v>
      </c>
      <c r="AA2997" s="6">
        <v>0</v>
      </c>
      <c r="AB2997" s="4">
        <f t="shared" si="466"/>
        <v>0</v>
      </c>
      <c r="AC2997" s="4">
        <f t="shared" si="468"/>
        <v>0</v>
      </c>
      <c r="AD2997" s="6">
        <f t="shared" si="472"/>
        <v>0</v>
      </c>
      <c r="AE2997" s="2">
        <f>VLOOKUP(I2997,[1]媒体政策预估表!A:N,MATCH(O2997,[1]媒体政策预估表!$A$2:$M$2,0),0)</f>
        <v>0</v>
      </c>
      <c r="AF2997" s="6">
        <f t="shared" si="469"/>
        <v>0</v>
      </c>
      <c r="AG2997" s="14">
        <v>0</v>
      </c>
      <c r="AH2997" s="64">
        <f t="shared" si="473"/>
        <v>0</v>
      </c>
      <c r="AI2997" s="47"/>
      <c r="AJ2997" s="126" t="e">
        <v>#N/A</v>
      </c>
      <c r="AK2997" s="80">
        <f t="shared" si="467"/>
        <v>0</v>
      </c>
      <c r="AM2997" s="85"/>
    </row>
    <row r="2998" spans="1:39" hidden="1" x14ac:dyDescent="0.3">
      <c r="A2998" s="89" t="s">
        <v>3408</v>
      </c>
      <c r="B2998" s="86" t="s">
        <v>35</v>
      </c>
      <c r="C2998" s="86" t="s">
        <v>65</v>
      </c>
      <c r="D2998" s="86" t="s">
        <v>66</v>
      </c>
      <c r="E2998" s="86" t="s">
        <v>2678</v>
      </c>
      <c r="F2998" s="86" t="s">
        <v>2701</v>
      </c>
      <c r="G2998" s="86" t="s">
        <v>1845</v>
      </c>
      <c r="H2998" s="144">
        <v>83</v>
      </c>
      <c r="I2998" s="86" t="s">
        <v>78</v>
      </c>
      <c r="J2998" s="1" t="s">
        <v>3303</v>
      </c>
      <c r="K2998" s="1" t="s">
        <v>3276</v>
      </c>
      <c r="L2998" s="1" t="s">
        <v>701</v>
      </c>
      <c r="M2998" s="86" t="s">
        <v>2702</v>
      </c>
      <c r="N2998" s="86"/>
      <c r="O2998" s="47" t="s">
        <v>941</v>
      </c>
      <c r="P2998" s="47" t="s">
        <v>41</v>
      </c>
      <c r="Q2998" s="14">
        <v>0</v>
      </c>
      <c r="R2998" s="143">
        <v>7152</v>
      </c>
      <c r="S2998" s="47"/>
      <c r="T2998" s="6">
        <v>-11047</v>
      </c>
      <c r="U2998" s="6"/>
      <c r="V2998" s="6">
        <v>45588</v>
      </c>
      <c r="W2998" s="6">
        <f t="shared" si="470"/>
        <v>-56635</v>
      </c>
      <c r="X2998" s="6">
        <f t="shared" si="471"/>
        <v>45588</v>
      </c>
      <c r="Y2998" s="13">
        <f t="shared" si="465"/>
        <v>0</v>
      </c>
      <c r="Z2998" s="14">
        <v>0</v>
      </c>
      <c r="AA2998" s="6">
        <v>0</v>
      </c>
      <c r="AB2998" s="4">
        <f t="shared" si="466"/>
        <v>45588</v>
      </c>
      <c r="AC2998" s="4">
        <f t="shared" si="468"/>
        <v>0</v>
      </c>
      <c r="AD2998" s="6">
        <f t="shared" si="472"/>
        <v>45588</v>
      </c>
      <c r="AE2998" s="2">
        <f>VLOOKUP(I2998,[1]媒体政策预估表!A:N,MATCH(O2998,[1]媒体政策预估表!$A$2:$M$2,0),0)</f>
        <v>0</v>
      </c>
      <c r="AF2998" s="6">
        <f t="shared" si="469"/>
        <v>0</v>
      </c>
      <c r="AG2998" s="14">
        <v>0</v>
      </c>
      <c r="AH2998" s="64">
        <f t="shared" si="473"/>
        <v>45588</v>
      </c>
      <c r="AI2998" s="47"/>
      <c r="AJ2998" s="126" t="e">
        <v>#N/A</v>
      </c>
      <c r="AK2998" s="80">
        <f t="shared" si="467"/>
        <v>0</v>
      </c>
      <c r="AM2998" s="85"/>
    </row>
    <row r="2999" spans="1:39" hidden="1" x14ac:dyDescent="0.3">
      <c r="A2999" s="89" t="s">
        <v>3397</v>
      </c>
      <c r="B2999" s="86" t="s">
        <v>701</v>
      </c>
      <c r="C2999" s="86" t="s">
        <v>65</v>
      </c>
      <c r="D2999" s="86" t="s">
        <v>66</v>
      </c>
      <c r="E2999" s="86" t="s">
        <v>2755</v>
      </c>
      <c r="F2999" s="86" t="s">
        <v>2755</v>
      </c>
      <c r="G2999" s="86" t="s">
        <v>2755</v>
      </c>
      <c r="H2999" s="143">
        <v>83</v>
      </c>
      <c r="I2999" s="86" t="s">
        <v>78</v>
      </c>
      <c r="J2999" s="1" t="s">
        <v>3303</v>
      </c>
      <c r="K2999" s="1" t="s">
        <v>3276</v>
      </c>
      <c r="L2999" s="1" t="s">
        <v>701</v>
      </c>
      <c r="M2999" s="86" t="s">
        <v>2755</v>
      </c>
      <c r="N2999" s="86"/>
      <c r="O2999" s="47" t="s">
        <v>941</v>
      </c>
      <c r="P2999" s="47" t="s">
        <v>41</v>
      </c>
      <c r="Q2999" s="14">
        <v>0</v>
      </c>
      <c r="R2999" s="143">
        <v>7157</v>
      </c>
      <c r="S2999" s="47"/>
      <c r="T2999" s="6">
        <v>-989</v>
      </c>
      <c r="U2999" s="6"/>
      <c r="V2999" s="6">
        <v>0</v>
      </c>
      <c r="W2999" s="6">
        <f t="shared" si="470"/>
        <v>-989</v>
      </c>
      <c r="X2999" s="6">
        <f t="shared" si="471"/>
        <v>0</v>
      </c>
      <c r="Y2999" s="13">
        <f t="shared" si="465"/>
        <v>0</v>
      </c>
      <c r="Z2999" s="14">
        <v>0</v>
      </c>
      <c r="AA2999" s="6">
        <v>0</v>
      </c>
      <c r="AB2999" s="4">
        <f t="shared" si="466"/>
        <v>0</v>
      </c>
      <c r="AC2999" s="4">
        <f t="shared" si="468"/>
        <v>0</v>
      </c>
      <c r="AD2999" s="6">
        <f t="shared" si="472"/>
        <v>0</v>
      </c>
      <c r="AE2999" s="2">
        <f>VLOOKUP(I2999,[1]媒体政策预估表!A:N,MATCH(O2999,[1]媒体政策预估表!$A$2:$M$2,0),0)</f>
        <v>0</v>
      </c>
      <c r="AF2999" s="6">
        <f t="shared" si="469"/>
        <v>0</v>
      </c>
      <c r="AG2999" s="14">
        <v>0</v>
      </c>
      <c r="AH2999" s="64">
        <f t="shared" si="473"/>
        <v>0</v>
      </c>
      <c r="AI2999" s="47"/>
      <c r="AJ2999" s="126" t="e">
        <v>#N/A</v>
      </c>
      <c r="AK2999" s="80">
        <f t="shared" si="467"/>
        <v>0</v>
      </c>
      <c r="AM2999" s="85"/>
    </row>
    <row r="3000" spans="1:39" hidden="1" x14ac:dyDescent="0.3">
      <c r="A3000" s="89" t="s">
        <v>3397</v>
      </c>
      <c r="B3000" s="86" t="s">
        <v>35</v>
      </c>
      <c r="C3000" s="86" t="s">
        <v>36</v>
      </c>
      <c r="D3000" s="86" t="s">
        <v>37</v>
      </c>
      <c r="E3000" s="86" t="s">
        <v>285</v>
      </c>
      <c r="F3000" s="86" t="s">
        <v>2698</v>
      </c>
      <c r="G3000" s="86" t="s">
        <v>1845</v>
      </c>
      <c r="H3000" s="143">
        <v>83</v>
      </c>
      <c r="I3000" s="86" t="s">
        <v>78</v>
      </c>
      <c r="J3000" s="1" t="s">
        <v>3303</v>
      </c>
      <c r="K3000" s="1" t="s">
        <v>3276</v>
      </c>
      <c r="L3000" s="1" t="s">
        <v>701</v>
      </c>
      <c r="M3000" s="86" t="s">
        <v>2699</v>
      </c>
      <c r="N3000" s="86"/>
      <c r="O3000" s="47" t="s">
        <v>941</v>
      </c>
      <c r="P3000" s="47" t="s">
        <v>41</v>
      </c>
      <c r="Q3000" s="14">
        <v>0</v>
      </c>
      <c r="R3000" s="143">
        <v>7174</v>
      </c>
      <c r="S3000" s="47"/>
      <c r="T3000" s="6">
        <v>-400</v>
      </c>
      <c r="U3000" s="6"/>
      <c r="V3000" s="6">
        <v>0</v>
      </c>
      <c r="W3000" s="6">
        <f t="shared" si="470"/>
        <v>-400</v>
      </c>
      <c r="X3000" s="6">
        <f t="shared" si="471"/>
        <v>0</v>
      </c>
      <c r="Y3000" s="13">
        <f t="shared" si="465"/>
        <v>0</v>
      </c>
      <c r="Z3000" s="14">
        <v>0</v>
      </c>
      <c r="AA3000" s="6">
        <v>0</v>
      </c>
      <c r="AB3000" s="4">
        <f t="shared" si="466"/>
        <v>0</v>
      </c>
      <c r="AC3000" s="4">
        <f t="shared" si="468"/>
        <v>0</v>
      </c>
      <c r="AD3000" s="6">
        <f t="shared" si="472"/>
        <v>0</v>
      </c>
      <c r="AE3000" s="2">
        <f>VLOOKUP(I3000,[1]媒体政策预估表!A:N,MATCH(O3000,[1]媒体政策预估表!$A$2:$M$2,0),0)</f>
        <v>0</v>
      </c>
      <c r="AF3000" s="6">
        <f t="shared" si="469"/>
        <v>0</v>
      </c>
      <c r="AG3000" s="14">
        <v>0</v>
      </c>
      <c r="AH3000" s="64">
        <f t="shared" si="473"/>
        <v>0</v>
      </c>
      <c r="AI3000" s="47"/>
      <c r="AJ3000" s="126" t="e">
        <v>#N/A</v>
      </c>
      <c r="AK3000" s="80">
        <f t="shared" si="467"/>
        <v>0</v>
      </c>
      <c r="AM3000" s="85"/>
    </row>
    <row r="3001" spans="1:39" hidden="1" x14ac:dyDescent="0.3">
      <c r="A3001" s="89" t="s">
        <v>3397</v>
      </c>
      <c r="B3001" s="86" t="s">
        <v>701</v>
      </c>
      <c r="C3001" s="86" t="s">
        <v>65</v>
      </c>
      <c r="D3001" s="86" t="s">
        <v>66</v>
      </c>
      <c r="E3001" s="86" t="s">
        <v>2866</v>
      </c>
      <c r="F3001" s="86" t="s">
        <v>2866</v>
      </c>
      <c r="G3001" s="86" t="s">
        <v>2866</v>
      </c>
      <c r="H3001" s="144">
        <v>83</v>
      </c>
      <c r="I3001" s="86" t="s">
        <v>78</v>
      </c>
      <c r="J3001" s="1" t="s">
        <v>3303</v>
      </c>
      <c r="K3001" s="1" t="s">
        <v>3276</v>
      </c>
      <c r="L3001" s="1" t="s">
        <v>701</v>
      </c>
      <c r="M3001" s="86" t="s">
        <v>2866</v>
      </c>
      <c r="N3001" s="86"/>
      <c r="O3001" s="47" t="s">
        <v>941</v>
      </c>
      <c r="P3001" s="47" t="s">
        <v>41</v>
      </c>
      <c r="Q3001" s="14">
        <v>0</v>
      </c>
      <c r="R3001" s="143">
        <v>7181</v>
      </c>
      <c r="S3001" s="47"/>
      <c r="T3001" s="6">
        <v>-1182</v>
      </c>
      <c r="U3001" s="6"/>
      <c r="V3001" s="6">
        <v>3325</v>
      </c>
      <c r="W3001" s="6">
        <f t="shared" si="470"/>
        <v>-4507</v>
      </c>
      <c r="X3001" s="6">
        <f t="shared" si="471"/>
        <v>3325</v>
      </c>
      <c r="Y3001" s="13">
        <f t="shared" si="465"/>
        <v>0</v>
      </c>
      <c r="Z3001" s="14">
        <v>0</v>
      </c>
      <c r="AA3001" s="6">
        <v>0</v>
      </c>
      <c r="AB3001" s="4">
        <f t="shared" si="466"/>
        <v>3325</v>
      </c>
      <c r="AC3001" s="4">
        <f t="shared" si="468"/>
        <v>0</v>
      </c>
      <c r="AD3001" s="6">
        <f t="shared" si="472"/>
        <v>3325</v>
      </c>
      <c r="AE3001" s="2">
        <f>VLOOKUP(I3001,[1]媒体政策预估表!A:N,MATCH(O3001,[1]媒体政策预估表!$A$2:$M$2,0),0)</f>
        <v>0</v>
      </c>
      <c r="AF3001" s="6">
        <f t="shared" si="469"/>
        <v>0</v>
      </c>
      <c r="AG3001" s="14">
        <v>0</v>
      </c>
      <c r="AH3001" s="64">
        <f t="shared" si="473"/>
        <v>3325</v>
      </c>
      <c r="AI3001" s="47"/>
      <c r="AJ3001" s="126" t="e">
        <v>#N/A</v>
      </c>
      <c r="AK3001" s="80">
        <f t="shared" si="467"/>
        <v>0</v>
      </c>
      <c r="AM3001" s="85"/>
    </row>
    <row r="3002" spans="1:39" hidden="1" x14ac:dyDescent="0.3">
      <c r="A3002" s="89" t="s">
        <v>3397</v>
      </c>
      <c r="B3002" s="86" t="s">
        <v>701</v>
      </c>
      <c r="C3002" s="86" t="s">
        <v>164</v>
      </c>
      <c r="D3002" s="86" t="s">
        <v>174</v>
      </c>
      <c r="E3002" s="86" t="s">
        <v>694</v>
      </c>
      <c r="F3002" s="86" t="s">
        <v>694</v>
      </c>
      <c r="G3002" s="86" t="s">
        <v>694</v>
      </c>
      <c r="H3002" s="144">
        <v>83</v>
      </c>
      <c r="I3002" s="86" t="s">
        <v>78</v>
      </c>
      <c r="J3002" s="1" t="s">
        <v>3303</v>
      </c>
      <c r="K3002" s="1" t="s">
        <v>3276</v>
      </c>
      <c r="L3002" s="1" t="s">
        <v>701</v>
      </c>
      <c r="M3002" s="86" t="s">
        <v>694</v>
      </c>
      <c r="N3002" s="86"/>
      <c r="O3002" s="47" t="s">
        <v>941</v>
      </c>
      <c r="P3002" s="47" t="s">
        <v>41</v>
      </c>
      <c r="Q3002" s="14">
        <v>0</v>
      </c>
      <c r="R3002" s="143">
        <v>7202</v>
      </c>
      <c r="S3002" s="47"/>
      <c r="T3002" s="6">
        <v>-2600</v>
      </c>
      <c r="U3002" s="6"/>
      <c r="V3002" s="6">
        <v>5692</v>
      </c>
      <c r="W3002" s="6">
        <f t="shared" si="470"/>
        <v>-8292</v>
      </c>
      <c r="X3002" s="6">
        <f t="shared" si="471"/>
        <v>5692</v>
      </c>
      <c r="Y3002" s="13">
        <f t="shared" si="465"/>
        <v>0</v>
      </c>
      <c r="Z3002" s="14">
        <v>0</v>
      </c>
      <c r="AA3002" s="6">
        <v>0</v>
      </c>
      <c r="AB3002" s="4">
        <f t="shared" si="466"/>
        <v>5692</v>
      </c>
      <c r="AC3002" s="4">
        <f t="shared" si="468"/>
        <v>0</v>
      </c>
      <c r="AD3002" s="6">
        <f t="shared" si="472"/>
        <v>5692</v>
      </c>
      <c r="AE3002" s="2">
        <f>VLOOKUP(I3002,[1]媒体政策预估表!A:N,MATCH(O3002,[1]媒体政策预估表!$A$2:$M$2,0),0)</f>
        <v>0</v>
      </c>
      <c r="AF3002" s="6">
        <f t="shared" si="469"/>
        <v>0</v>
      </c>
      <c r="AG3002" s="14">
        <v>0</v>
      </c>
      <c r="AH3002" s="64">
        <f t="shared" si="473"/>
        <v>5692</v>
      </c>
      <c r="AI3002" s="47"/>
      <c r="AJ3002" s="126" t="e">
        <v>#N/A</v>
      </c>
      <c r="AK3002" s="80">
        <f t="shared" si="467"/>
        <v>0</v>
      </c>
      <c r="AM3002" s="85"/>
    </row>
    <row r="3003" spans="1:39" hidden="1" x14ac:dyDescent="0.3">
      <c r="A3003" s="89" t="s">
        <v>3397</v>
      </c>
      <c r="B3003" s="86" t="s">
        <v>701</v>
      </c>
      <c r="C3003" s="86" t="s">
        <v>36</v>
      </c>
      <c r="D3003" s="86" t="s">
        <v>54</v>
      </c>
      <c r="E3003" s="86" t="s">
        <v>2843</v>
      </c>
      <c r="F3003" s="86" t="s">
        <v>2843</v>
      </c>
      <c r="G3003" s="86" t="s">
        <v>2843</v>
      </c>
      <c r="H3003" s="143">
        <v>83</v>
      </c>
      <c r="I3003" s="86" t="s">
        <v>78</v>
      </c>
      <c r="J3003" s="1" t="s">
        <v>3303</v>
      </c>
      <c r="K3003" s="1" t="s">
        <v>3276</v>
      </c>
      <c r="L3003" s="1" t="s">
        <v>701</v>
      </c>
      <c r="M3003" s="86" t="s">
        <v>2845</v>
      </c>
      <c r="N3003" s="86"/>
      <c r="O3003" s="47" t="s">
        <v>941</v>
      </c>
      <c r="P3003" s="47" t="s">
        <v>41</v>
      </c>
      <c r="Q3003" s="14">
        <v>0</v>
      </c>
      <c r="R3003" s="143">
        <v>7244</v>
      </c>
      <c r="S3003" s="47"/>
      <c r="T3003" s="6">
        <v>-1800</v>
      </c>
      <c r="U3003" s="6"/>
      <c r="V3003" s="6">
        <v>0</v>
      </c>
      <c r="W3003" s="6">
        <f t="shared" si="470"/>
        <v>-1800</v>
      </c>
      <c r="X3003" s="6">
        <f t="shared" si="471"/>
        <v>0</v>
      </c>
      <c r="Y3003" s="13">
        <f t="shared" si="465"/>
        <v>0</v>
      </c>
      <c r="Z3003" s="14">
        <v>0</v>
      </c>
      <c r="AA3003" s="6">
        <v>0</v>
      </c>
      <c r="AB3003" s="4">
        <f t="shared" si="466"/>
        <v>0</v>
      </c>
      <c r="AC3003" s="4">
        <f t="shared" si="468"/>
        <v>0</v>
      </c>
      <c r="AD3003" s="6">
        <f t="shared" si="472"/>
        <v>0</v>
      </c>
      <c r="AE3003" s="2">
        <f>VLOOKUP(I3003,[1]媒体政策预估表!A:N,MATCH(O3003,[1]媒体政策预估表!$A$2:$M$2,0),0)</f>
        <v>0</v>
      </c>
      <c r="AF3003" s="6">
        <f t="shared" si="469"/>
        <v>0</v>
      </c>
      <c r="AG3003" s="14">
        <v>0</v>
      </c>
      <c r="AH3003" s="64">
        <f t="shared" si="473"/>
        <v>0</v>
      </c>
      <c r="AI3003" s="47"/>
      <c r="AJ3003" s="126" t="e">
        <v>#N/A</v>
      </c>
      <c r="AK3003" s="80">
        <f t="shared" si="467"/>
        <v>0</v>
      </c>
      <c r="AM3003" s="85"/>
    </row>
    <row r="3004" spans="1:39" hidden="1" x14ac:dyDescent="0.3">
      <c r="A3004" s="89" t="s">
        <v>3397</v>
      </c>
      <c r="B3004" s="86" t="s">
        <v>701</v>
      </c>
      <c r="C3004" s="86" t="s">
        <v>59</v>
      </c>
      <c r="D3004" s="86" t="s">
        <v>60</v>
      </c>
      <c r="E3004" s="86" t="s">
        <v>85</v>
      </c>
      <c r="F3004" s="86" t="s">
        <v>2730</v>
      </c>
      <c r="G3004" s="86" t="s">
        <v>85</v>
      </c>
      <c r="H3004" s="143">
        <v>83</v>
      </c>
      <c r="I3004" s="86" t="s">
        <v>78</v>
      </c>
      <c r="J3004" s="1" t="s">
        <v>3303</v>
      </c>
      <c r="K3004" s="1" t="s">
        <v>3276</v>
      </c>
      <c r="L3004" s="1" t="s">
        <v>701</v>
      </c>
      <c r="M3004" s="86" t="s">
        <v>2731</v>
      </c>
      <c r="N3004" s="86"/>
      <c r="O3004" s="47" t="s">
        <v>941</v>
      </c>
      <c r="P3004" s="47" t="s">
        <v>75</v>
      </c>
      <c r="Q3004" s="14">
        <v>0.1</v>
      </c>
      <c r="R3004" s="143">
        <v>7481</v>
      </c>
      <c r="S3004" s="47"/>
      <c r="T3004" s="6">
        <v>-195169</v>
      </c>
      <c r="U3004" s="6"/>
      <c r="V3004" s="6">
        <v>0</v>
      </c>
      <c r="W3004" s="6">
        <f t="shared" si="470"/>
        <v>-195169</v>
      </c>
      <c r="X3004" s="6">
        <f t="shared" si="471"/>
        <v>0</v>
      </c>
      <c r="Y3004" s="13">
        <f t="shared" si="465"/>
        <v>0</v>
      </c>
      <c r="Z3004" s="14">
        <v>0</v>
      </c>
      <c r="AA3004" s="6">
        <v>0</v>
      </c>
      <c r="AB3004" s="4">
        <f t="shared" si="466"/>
        <v>0</v>
      </c>
      <c r="AC3004" s="4">
        <f t="shared" si="468"/>
        <v>0</v>
      </c>
      <c r="AD3004" s="6">
        <f t="shared" si="472"/>
        <v>0</v>
      </c>
      <c r="AE3004" s="2">
        <f>VLOOKUP(I3004,[1]媒体政策预估表!A:N,MATCH(O3004,[1]媒体政策预估表!$A$2:$M$2,0),0)</f>
        <v>0</v>
      </c>
      <c r="AF3004" s="6">
        <f t="shared" si="469"/>
        <v>0</v>
      </c>
      <c r="AG3004" s="14">
        <v>0</v>
      </c>
      <c r="AH3004" s="64">
        <f t="shared" si="473"/>
        <v>0</v>
      </c>
      <c r="AI3004" s="47"/>
      <c r="AJ3004" s="126" t="e">
        <v>#N/A</v>
      </c>
      <c r="AK3004" s="80">
        <f t="shared" si="467"/>
        <v>0</v>
      </c>
      <c r="AM3004" s="85"/>
    </row>
    <row r="3005" spans="1:39" hidden="1" x14ac:dyDescent="0.3">
      <c r="A3005" s="89" t="s">
        <v>3408</v>
      </c>
      <c r="B3005" s="86" t="s">
        <v>701</v>
      </c>
      <c r="C3005" s="86" t="s">
        <v>164</v>
      </c>
      <c r="D3005" s="86" t="s">
        <v>174</v>
      </c>
      <c r="E3005" s="86" t="s">
        <v>1730</v>
      </c>
      <c r="F3005" s="86" t="s">
        <v>1730</v>
      </c>
      <c r="G3005" s="86" t="s">
        <v>1730</v>
      </c>
      <c r="H3005" s="143">
        <v>83</v>
      </c>
      <c r="I3005" s="86" t="s">
        <v>78</v>
      </c>
      <c r="J3005" s="1" t="s">
        <v>3303</v>
      </c>
      <c r="K3005" s="1" t="s">
        <v>3276</v>
      </c>
      <c r="L3005" s="1" t="s">
        <v>701</v>
      </c>
      <c r="M3005" s="86" t="s">
        <v>2825</v>
      </c>
      <c r="N3005" s="86"/>
      <c r="O3005" s="47" t="s">
        <v>941</v>
      </c>
      <c r="P3005" s="47" t="s">
        <v>41</v>
      </c>
      <c r="Q3005" s="14">
        <v>0</v>
      </c>
      <c r="R3005" s="143">
        <v>7485</v>
      </c>
      <c r="S3005" s="47"/>
      <c r="T3005" s="6">
        <v>-400</v>
      </c>
      <c r="U3005" s="6"/>
      <c r="V3005" s="6">
        <v>0</v>
      </c>
      <c r="W3005" s="6">
        <f t="shared" si="470"/>
        <v>-400</v>
      </c>
      <c r="X3005" s="6">
        <f t="shared" si="471"/>
        <v>0</v>
      </c>
      <c r="Y3005" s="13">
        <f t="shared" si="465"/>
        <v>0</v>
      </c>
      <c r="Z3005" s="14">
        <v>0</v>
      </c>
      <c r="AA3005" s="6">
        <v>0</v>
      </c>
      <c r="AB3005" s="4"/>
      <c r="AC3005" s="4">
        <f t="shared" si="468"/>
        <v>0</v>
      </c>
      <c r="AD3005" s="6">
        <f t="shared" si="472"/>
        <v>0</v>
      </c>
      <c r="AE3005" s="2">
        <f>VLOOKUP(I3005,[1]媒体政策预估表!A:N,MATCH(O3005,[1]媒体政策预估表!$A$2:$M$2,0),0)</f>
        <v>0</v>
      </c>
      <c r="AF3005" s="6">
        <f t="shared" si="469"/>
        <v>0</v>
      </c>
      <c r="AG3005" s="14">
        <v>0</v>
      </c>
      <c r="AH3005" s="64">
        <f t="shared" si="473"/>
        <v>0</v>
      </c>
      <c r="AI3005" s="47"/>
      <c r="AJ3005" s="126" t="s">
        <v>4217</v>
      </c>
      <c r="AK3005" s="80">
        <f t="shared" si="467"/>
        <v>0</v>
      </c>
      <c r="AM3005" s="85"/>
    </row>
    <row r="3006" spans="1:39" hidden="1" x14ac:dyDescent="0.3">
      <c r="A3006" s="89" t="s">
        <v>3408</v>
      </c>
      <c r="B3006" s="86" t="s">
        <v>701</v>
      </c>
      <c r="C3006" s="86" t="s">
        <v>164</v>
      </c>
      <c r="D3006" s="86" t="s">
        <v>165</v>
      </c>
      <c r="E3006" s="86" t="s">
        <v>2805</v>
      </c>
      <c r="F3006" s="86" t="s">
        <v>2805</v>
      </c>
      <c r="G3006" s="86" t="s">
        <v>2805</v>
      </c>
      <c r="H3006" s="143">
        <v>83</v>
      </c>
      <c r="I3006" s="86" t="s">
        <v>78</v>
      </c>
      <c r="J3006" s="1" t="s">
        <v>3303</v>
      </c>
      <c r="K3006" s="1" t="s">
        <v>3276</v>
      </c>
      <c r="L3006" s="1" t="s">
        <v>701</v>
      </c>
      <c r="M3006" s="86" t="s">
        <v>2805</v>
      </c>
      <c r="N3006" s="86"/>
      <c r="O3006" s="47" t="s">
        <v>941</v>
      </c>
      <c r="P3006" s="47" t="s">
        <v>41</v>
      </c>
      <c r="Q3006" s="14">
        <v>0</v>
      </c>
      <c r="R3006" s="143">
        <v>7507</v>
      </c>
      <c r="S3006" s="47"/>
      <c r="T3006" s="6">
        <v>-1586</v>
      </c>
      <c r="U3006" s="6"/>
      <c r="V3006" s="6">
        <v>0</v>
      </c>
      <c r="W3006" s="6">
        <f t="shared" si="470"/>
        <v>-1586</v>
      </c>
      <c r="X3006" s="6">
        <f t="shared" si="471"/>
        <v>0</v>
      </c>
      <c r="Y3006" s="13">
        <f t="shared" si="465"/>
        <v>0</v>
      </c>
      <c r="Z3006" s="14">
        <v>0</v>
      </c>
      <c r="AA3006" s="6">
        <v>0</v>
      </c>
      <c r="AB3006" s="4">
        <f t="shared" si="466"/>
        <v>0</v>
      </c>
      <c r="AC3006" s="4">
        <f t="shared" si="468"/>
        <v>0</v>
      </c>
      <c r="AD3006" s="6">
        <f t="shared" si="472"/>
        <v>0</v>
      </c>
      <c r="AE3006" s="2">
        <f>VLOOKUP(I3006,[1]媒体政策预估表!A:N,MATCH(O3006,[1]媒体政策预估表!$A$2:$M$2,0),0)</f>
        <v>0</v>
      </c>
      <c r="AF3006" s="6">
        <f t="shared" si="469"/>
        <v>0</v>
      </c>
      <c r="AG3006" s="14">
        <v>0</v>
      </c>
      <c r="AH3006" s="64">
        <f t="shared" si="473"/>
        <v>0</v>
      </c>
      <c r="AI3006" s="47"/>
      <c r="AJ3006" s="126" t="e">
        <v>#N/A</v>
      </c>
      <c r="AK3006" s="80">
        <f t="shared" si="467"/>
        <v>0</v>
      </c>
      <c r="AM3006" s="85"/>
    </row>
    <row r="3007" spans="1:39" hidden="1" x14ac:dyDescent="0.3">
      <c r="A3007" s="89" t="s">
        <v>3397</v>
      </c>
      <c r="B3007" s="86" t="s">
        <v>701</v>
      </c>
      <c r="C3007" s="86" t="s">
        <v>36</v>
      </c>
      <c r="D3007" s="86" t="s">
        <v>54</v>
      </c>
      <c r="E3007" s="86" t="s">
        <v>1204</v>
      </c>
      <c r="F3007" s="86" t="s">
        <v>1204</v>
      </c>
      <c r="G3007" s="86" t="s">
        <v>1204</v>
      </c>
      <c r="H3007" s="143">
        <v>83</v>
      </c>
      <c r="I3007" s="86" t="s">
        <v>78</v>
      </c>
      <c r="J3007" s="1" t="s">
        <v>3303</v>
      </c>
      <c r="K3007" s="1" t="s">
        <v>3276</v>
      </c>
      <c r="L3007" s="1" t="s">
        <v>701</v>
      </c>
      <c r="M3007" s="86" t="s">
        <v>1204</v>
      </c>
      <c r="N3007" s="86"/>
      <c r="O3007" s="47" t="s">
        <v>941</v>
      </c>
      <c r="P3007" s="47" t="s">
        <v>41</v>
      </c>
      <c r="Q3007" s="14">
        <v>0</v>
      </c>
      <c r="R3007" s="143">
        <v>7521</v>
      </c>
      <c r="S3007" s="47"/>
      <c r="T3007" s="6">
        <v>-1000</v>
      </c>
      <c r="U3007" s="6"/>
      <c r="V3007" s="6">
        <v>0</v>
      </c>
      <c r="W3007" s="6">
        <f t="shared" si="470"/>
        <v>-1000</v>
      </c>
      <c r="X3007" s="6">
        <f t="shared" si="471"/>
        <v>0</v>
      </c>
      <c r="Y3007" s="13">
        <f t="shared" si="465"/>
        <v>0</v>
      </c>
      <c r="Z3007" s="14">
        <v>0</v>
      </c>
      <c r="AA3007" s="6">
        <v>0</v>
      </c>
      <c r="AB3007" s="4">
        <f t="shared" si="466"/>
        <v>0</v>
      </c>
      <c r="AC3007" s="4">
        <f t="shared" si="468"/>
        <v>0</v>
      </c>
      <c r="AD3007" s="6">
        <f t="shared" si="472"/>
        <v>0</v>
      </c>
      <c r="AE3007" s="2">
        <f>VLOOKUP(I3007,[1]媒体政策预估表!A:N,MATCH(O3007,[1]媒体政策预估表!$A$2:$M$2,0),0)</f>
        <v>0</v>
      </c>
      <c r="AF3007" s="6">
        <f t="shared" si="469"/>
        <v>0</v>
      </c>
      <c r="AG3007" s="14">
        <v>0</v>
      </c>
      <c r="AH3007" s="64">
        <f t="shared" si="473"/>
        <v>0</v>
      </c>
      <c r="AI3007" s="47"/>
      <c r="AJ3007" s="126" t="e">
        <v>#N/A</v>
      </c>
      <c r="AK3007" s="80">
        <f t="shared" si="467"/>
        <v>0</v>
      </c>
      <c r="AM3007" s="85"/>
    </row>
    <row r="3008" spans="1:39" hidden="1" x14ac:dyDescent="0.3">
      <c r="A3008" s="89" t="s">
        <v>3408</v>
      </c>
      <c r="B3008" s="86" t="s">
        <v>701</v>
      </c>
      <c r="C3008" s="86" t="s">
        <v>36</v>
      </c>
      <c r="D3008" s="86" t="s">
        <v>224</v>
      </c>
      <c r="E3008" s="86" t="s">
        <v>2734</v>
      </c>
      <c r="F3008" s="86" t="s">
        <v>2734</v>
      </c>
      <c r="G3008" s="86" t="s">
        <v>2734</v>
      </c>
      <c r="H3008" s="144">
        <v>83</v>
      </c>
      <c r="I3008" s="86" t="s">
        <v>78</v>
      </c>
      <c r="J3008" s="1" t="s">
        <v>3303</v>
      </c>
      <c r="K3008" s="1" t="s">
        <v>3276</v>
      </c>
      <c r="L3008" s="1" t="s">
        <v>701</v>
      </c>
      <c r="M3008" s="86" t="s">
        <v>2734</v>
      </c>
      <c r="N3008" s="86"/>
      <c r="O3008" s="47" t="s">
        <v>941</v>
      </c>
      <c r="P3008" s="47" t="s">
        <v>41</v>
      </c>
      <c r="Q3008" s="14">
        <v>0</v>
      </c>
      <c r="R3008" s="143">
        <v>7569</v>
      </c>
      <c r="S3008" s="47"/>
      <c r="T3008" s="6">
        <v>-1287</v>
      </c>
      <c r="U3008" s="6"/>
      <c r="V3008" s="6">
        <v>3988.1</v>
      </c>
      <c r="W3008" s="6">
        <f t="shared" si="470"/>
        <v>-5275.1</v>
      </c>
      <c r="X3008" s="6">
        <f t="shared" si="471"/>
        <v>3988.1</v>
      </c>
      <c r="Y3008" s="13">
        <f t="shared" si="465"/>
        <v>0</v>
      </c>
      <c r="Z3008" s="14">
        <v>0</v>
      </c>
      <c r="AA3008" s="6">
        <v>0</v>
      </c>
      <c r="AB3008" s="4">
        <f t="shared" si="466"/>
        <v>3988.1</v>
      </c>
      <c r="AC3008" s="4">
        <f t="shared" si="468"/>
        <v>0</v>
      </c>
      <c r="AD3008" s="6">
        <f t="shared" si="472"/>
        <v>3988.1</v>
      </c>
      <c r="AE3008" s="2">
        <f>VLOOKUP(I3008,[1]媒体政策预估表!A:N,MATCH(O3008,[1]媒体政策预估表!$A$2:$M$2,0),0)</f>
        <v>0</v>
      </c>
      <c r="AF3008" s="6">
        <f t="shared" si="469"/>
        <v>0</v>
      </c>
      <c r="AG3008" s="14">
        <v>0</v>
      </c>
      <c r="AH3008" s="64">
        <f t="shared" si="473"/>
        <v>3988.1</v>
      </c>
      <c r="AI3008" s="47"/>
      <c r="AJ3008" s="126" t="e">
        <v>#N/A</v>
      </c>
      <c r="AK3008" s="80">
        <f t="shared" si="467"/>
        <v>0</v>
      </c>
      <c r="AM3008" s="85"/>
    </row>
    <row r="3009" spans="1:39" hidden="1" x14ac:dyDescent="0.3">
      <c r="A3009" s="89" t="s">
        <v>3397</v>
      </c>
      <c r="B3009" s="86" t="s">
        <v>701</v>
      </c>
      <c r="C3009" s="86" t="s">
        <v>65</v>
      </c>
      <c r="D3009" s="86" t="s">
        <v>122</v>
      </c>
      <c r="E3009" s="86" t="s">
        <v>2856</v>
      </c>
      <c r="F3009" s="86" t="s">
        <v>2856</v>
      </c>
      <c r="G3009" s="86" t="s">
        <v>2856</v>
      </c>
      <c r="H3009" s="143">
        <v>83</v>
      </c>
      <c r="I3009" s="86" t="s">
        <v>78</v>
      </c>
      <c r="J3009" s="1" t="s">
        <v>3303</v>
      </c>
      <c r="K3009" s="1" t="s">
        <v>3276</v>
      </c>
      <c r="L3009" s="1" t="s">
        <v>701</v>
      </c>
      <c r="M3009" s="86" t="s">
        <v>2857</v>
      </c>
      <c r="N3009" s="86"/>
      <c r="O3009" s="47" t="s">
        <v>941</v>
      </c>
      <c r="P3009" s="47" t="s">
        <v>41</v>
      </c>
      <c r="Q3009" s="14">
        <v>0</v>
      </c>
      <c r="R3009" s="143">
        <v>7591</v>
      </c>
      <c r="S3009" s="47"/>
      <c r="T3009" s="6">
        <v>-3500</v>
      </c>
      <c r="U3009" s="6"/>
      <c r="V3009" s="6">
        <v>0</v>
      </c>
      <c r="W3009" s="6">
        <f t="shared" si="470"/>
        <v>-3500</v>
      </c>
      <c r="X3009" s="6">
        <f t="shared" si="471"/>
        <v>0</v>
      </c>
      <c r="Y3009" s="13">
        <f t="shared" si="465"/>
        <v>0</v>
      </c>
      <c r="Z3009" s="14">
        <v>0</v>
      </c>
      <c r="AA3009" s="6">
        <v>0</v>
      </c>
      <c r="AB3009" s="4">
        <f t="shared" si="466"/>
        <v>0</v>
      </c>
      <c r="AC3009" s="4">
        <f t="shared" si="468"/>
        <v>0</v>
      </c>
      <c r="AD3009" s="6">
        <f t="shared" si="472"/>
        <v>0</v>
      </c>
      <c r="AE3009" s="2">
        <f>VLOOKUP(I3009,[1]媒体政策预估表!A:N,MATCH(O3009,[1]媒体政策预估表!$A$2:$M$2,0),0)</f>
        <v>0</v>
      </c>
      <c r="AF3009" s="6">
        <f t="shared" si="469"/>
        <v>0</v>
      </c>
      <c r="AG3009" s="14">
        <v>0</v>
      </c>
      <c r="AH3009" s="64">
        <f t="shared" si="473"/>
        <v>0</v>
      </c>
      <c r="AI3009" s="47"/>
      <c r="AJ3009" s="126" t="e">
        <v>#N/A</v>
      </c>
      <c r="AK3009" s="80">
        <f t="shared" si="467"/>
        <v>0</v>
      </c>
      <c r="AM3009" s="85"/>
    </row>
    <row r="3010" spans="1:39" hidden="1" x14ac:dyDescent="0.3">
      <c r="A3010" s="89" t="s">
        <v>3408</v>
      </c>
      <c r="B3010" s="86" t="s">
        <v>701</v>
      </c>
      <c r="C3010" s="86" t="s">
        <v>47</v>
      </c>
      <c r="D3010" s="86" t="s">
        <v>48</v>
      </c>
      <c r="E3010" s="86" t="s">
        <v>2482</v>
      </c>
      <c r="F3010" s="86" t="s">
        <v>2483</v>
      </c>
      <c r="G3010" s="86" t="s">
        <v>2482</v>
      </c>
      <c r="H3010" s="143">
        <v>83</v>
      </c>
      <c r="I3010" s="86" t="s">
        <v>78</v>
      </c>
      <c r="J3010" s="1" t="s">
        <v>3303</v>
      </c>
      <c r="K3010" s="1" t="s">
        <v>3276</v>
      </c>
      <c r="L3010" s="1" t="s">
        <v>701</v>
      </c>
      <c r="M3010" s="86" t="s">
        <v>2482</v>
      </c>
      <c r="N3010" s="86"/>
      <c r="O3010" s="47" t="s">
        <v>941</v>
      </c>
      <c r="P3010" s="47" t="s">
        <v>41</v>
      </c>
      <c r="Q3010" s="14">
        <v>0</v>
      </c>
      <c r="R3010" s="143">
        <v>7592</v>
      </c>
      <c r="S3010" s="47"/>
      <c r="T3010" s="6">
        <v>-1010.5</v>
      </c>
      <c r="U3010" s="6"/>
      <c r="V3010" s="6">
        <v>0</v>
      </c>
      <c r="W3010" s="6">
        <f t="shared" si="470"/>
        <v>-1010.5</v>
      </c>
      <c r="X3010" s="6">
        <f t="shared" si="471"/>
        <v>0</v>
      </c>
      <c r="Y3010" s="13">
        <f t="shared" si="465"/>
        <v>0</v>
      </c>
      <c r="Z3010" s="14">
        <v>0</v>
      </c>
      <c r="AA3010" s="6">
        <v>0</v>
      </c>
      <c r="AB3010" s="4">
        <f t="shared" si="466"/>
        <v>0</v>
      </c>
      <c r="AC3010" s="4">
        <f t="shared" si="468"/>
        <v>0</v>
      </c>
      <c r="AD3010" s="6">
        <f t="shared" si="472"/>
        <v>0</v>
      </c>
      <c r="AE3010" s="2">
        <f>VLOOKUP(I3010,[1]媒体政策预估表!A:N,MATCH(O3010,[1]媒体政策预估表!$A$2:$M$2,0),0)</f>
        <v>0</v>
      </c>
      <c r="AF3010" s="6">
        <f t="shared" si="469"/>
        <v>0</v>
      </c>
      <c r="AG3010" s="14">
        <v>0</v>
      </c>
      <c r="AH3010" s="64">
        <f t="shared" si="473"/>
        <v>0</v>
      </c>
      <c r="AI3010" s="47"/>
      <c r="AJ3010" s="126" t="e">
        <v>#N/A</v>
      </c>
      <c r="AK3010" s="80">
        <f t="shared" si="467"/>
        <v>0</v>
      </c>
      <c r="AM3010" s="85"/>
    </row>
    <row r="3011" spans="1:39" hidden="1" x14ac:dyDescent="0.3">
      <c r="A3011" s="89" t="s">
        <v>3408</v>
      </c>
      <c r="B3011" s="86" t="s">
        <v>701</v>
      </c>
      <c r="C3011" s="86" t="s">
        <v>47</v>
      </c>
      <c r="D3011" s="86" t="s">
        <v>63</v>
      </c>
      <c r="E3011" s="86" t="s">
        <v>2409</v>
      </c>
      <c r="F3011" s="86" t="s">
        <v>2776</v>
      </c>
      <c r="G3011" s="86" t="s">
        <v>2409</v>
      </c>
      <c r="H3011" s="143">
        <v>83</v>
      </c>
      <c r="I3011" s="86" t="s">
        <v>78</v>
      </c>
      <c r="J3011" s="1" t="s">
        <v>3303</v>
      </c>
      <c r="K3011" s="1" t="s">
        <v>3276</v>
      </c>
      <c r="L3011" s="1" t="s">
        <v>701</v>
      </c>
      <c r="M3011" s="86" t="s">
        <v>2781</v>
      </c>
      <c r="N3011" s="86"/>
      <c r="O3011" s="47" t="s">
        <v>941</v>
      </c>
      <c r="P3011" s="47" t="s">
        <v>46</v>
      </c>
      <c r="Q3011" s="14">
        <v>7.0000000000000007E-2</v>
      </c>
      <c r="R3011" s="143">
        <v>7611</v>
      </c>
      <c r="S3011" s="47"/>
      <c r="T3011" s="6">
        <v>-12669</v>
      </c>
      <c r="U3011" s="6"/>
      <c r="V3011" s="6">
        <v>0</v>
      </c>
      <c r="W3011" s="6">
        <f t="shared" si="470"/>
        <v>-12669</v>
      </c>
      <c r="X3011" s="6">
        <f t="shared" si="471"/>
        <v>0</v>
      </c>
      <c r="Y3011" s="13">
        <f t="shared" ref="Y3011:Y3074" si="474">IF(X3011-AD3011&lt;=0,0,IF(P3011="返现",MAX(X3011-AC3011-AD3011,0),MAX(X3011-AD3011)))</f>
        <v>0</v>
      </c>
      <c r="Z3011" s="14">
        <v>0</v>
      </c>
      <c r="AA3011" s="6">
        <v>0</v>
      </c>
      <c r="AB3011" s="4">
        <f t="shared" ref="AB3011:AB3074" si="475">X3011+AA3011</f>
        <v>0</v>
      </c>
      <c r="AC3011" s="4">
        <f t="shared" si="468"/>
        <v>0</v>
      </c>
      <c r="AD3011" s="6">
        <f t="shared" si="472"/>
        <v>0</v>
      </c>
      <c r="AE3011" s="2">
        <f>VLOOKUP(I3011,[1]媒体政策预估表!A:N,MATCH(O3011,[1]媒体政策预估表!$A$2:$M$2,0),0)</f>
        <v>0</v>
      </c>
      <c r="AF3011" s="6">
        <f t="shared" si="469"/>
        <v>0</v>
      </c>
      <c r="AG3011" s="14">
        <v>0</v>
      </c>
      <c r="AH3011" s="64">
        <f t="shared" si="473"/>
        <v>0</v>
      </c>
      <c r="AI3011" s="47"/>
      <c r="AJ3011" s="126" t="e">
        <v>#N/A</v>
      </c>
      <c r="AK3011" s="80">
        <f t="shared" ref="AK3011:AK3074" si="476">X3011+AA3011-AB3011</f>
        <v>0</v>
      </c>
      <c r="AM3011" s="85"/>
    </row>
    <row r="3012" spans="1:39" hidden="1" x14ac:dyDescent="0.3">
      <c r="A3012" s="89" t="s">
        <v>3408</v>
      </c>
      <c r="B3012" s="86" t="s">
        <v>701</v>
      </c>
      <c r="C3012" s="86" t="s">
        <v>47</v>
      </c>
      <c r="D3012" s="86" t="s">
        <v>63</v>
      </c>
      <c r="E3012" s="86" t="s">
        <v>2772</v>
      </c>
      <c r="F3012" s="86" t="s">
        <v>2772</v>
      </c>
      <c r="G3012" s="86" t="s">
        <v>2772</v>
      </c>
      <c r="H3012" s="144">
        <v>83</v>
      </c>
      <c r="I3012" s="86" t="s">
        <v>78</v>
      </c>
      <c r="J3012" s="1" t="s">
        <v>3303</v>
      </c>
      <c r="K3012" s="1" t="s">
        <v>3276</v>
      </c>
      <c r="L3012" s="1" t="s">
        <v>701</v>
      </c>
      <c r="M3012" s="86" t="s">
        <v>2773</v>
      </c>
      <c r="N3012" s="86"/>
      <c r="O3012" s="47" t="s">
        <v>941</v>
      </c>
      <c r="P3012" s="47" t="s">
        <v>41</v>
      </c>
      <c r="Q3012" s="14">
        <v>0</v>
      </c>
      <c r="R3012" s="143">
        <v>7613</v>
      </c>
      <c r="S3012" s="47"/>
      <c r="T3012" s="6">
        <v>-93721.91</v>
      </c>
      <c r="U3012" s="6"/>
      <c r="V3012" s="6">
        <v>66186.92</v>
      </c>
      <c r="W3012" s="6">
        <f t="shared" si="470"/>
        <v>-159908.83000000002</v>
      </c>
      <c r="X3012" s="6">
        <f t="shared" si="471"/>
        <v>66186.92</v>
      </c>
      <c r="Y3012" s="13">
        <f t="shared" si="474"/>
        <v>0</v>
      </c>
      <c r="Z3012" s="14">
        <v>0</v>
      </c>
      <c r="AA3012" s="6">
        <v>0</v>
      </c>
      <c r="AB3012" s="4">
        <f t="shared" si="475"/>
        <v>66186.92</v>
      </c>
      <c r="AC3012" s="4">
        <f t="shared" si="468"/>
        <v>0</v>
      </c>
      <c r="AD3012" s="6">
        <f t="shared" si="472"/>
        <v>66186.92</v>
      </c>
      <c r="AE3012" s="2">
        <f>VLOOKUP(I3012,[1]媒体政策预估表!A:N,MATCH(O3012,[1]媒体政策预估表!$A$2:$M$2,0),0)</f>
        <v>0</v>
      </c>
      <c r="AF3012" s="6">
        <f t="shared" si="469"/>
        <v>0</v>
      </c>
      <c r="AG3012" s="14">
        <v>0</v>
      </c>
      <c r="AH3012" s="64">
        <f t="shared" si="473"/>
        <v>66186.92</v>
      </c>
      <c r="AI3012" s="47"/>
      <c r="AJ3012" s="126" t="e">
        <v>#N/A</v>
      </c>
      <c r="AK3012" s="80">
        <f t="shared" si="476"/>
        <v>0</v>
      </c>
      <c r="AM3012" s="85"/>
    </row>
    <row r="3013" spans="1:39" hidden="1" x14ac:dyDescent="0.3">
      <c r="A3013" s="89" t="s">
        <v>3408</v>
      </c>
      <c r="B3013" s="86" t="s">
        <v>701</v>
      </c>
      <c r="C3013" s="86" t="s">
        <v>164</v>
      </c>
      <c r="D3013" s="86" t="s">
        <v>165</v>
      </c>
      <c r="E3013" s="86" t="s">
        <v>2806</v>
      </c>
      <c r="F3013" s="86" t="s">
        <v>2806</v>
      </c>
      <c r="G3013" s="86" t="s">
        <v>2806</v>
      </c>
      <c r="H3013" s="143">
        <v>83</v>
      </c>
      <c r="I3013" s="86" t="s">
        <v>78</v>
      </c>
      <c r="J3013" s="1" t="s">
        <v>3303</v>
      </c>
      <c r="K3013" s="1" t="s">
        <v>3276</v>
      </c>
      <c r="L3013" s="1" t="s">
        <v>701</v>
      </c>
      <c r="M3013" s="86" t="s">
        <v>2806</v>
      </c>
      <c r="N3013" s="86"/>
      <c r="O3013" s="47" t="s">
        <v>941</v>
      </c>
      <c r="P3013" s="47" t="s">
        <v>46</v>
      </c>
      <c r="Q3013" s="14">
        <v>0.01</v>
      </c>
      <c r="R3013" s="143">
        <v>7614</v>
      </c>
      <c r="S3013" s="47"/>
      <c r="T3013" s="6">
        <v>-1910</v>
      </c>
      <c r="U3013" s="6"/>
      <c r="V3013" s="6">
        <v>0</v>
      </c>
      <c r="W3013" s="6">
        <f t="shared" si="470"/>
        <v>-1910</v>
      </c>
      <c r="X3013" s="6">
        <f t="shared" si="471"/>
        <v>0</v>
      </c>
      <c r="Y3013" s="13">
        <f t="shared" si="474"/>
        <v>0</v>
      </c>
      <c r="Z3013" s="14">
        <v>0</v>
      </c>
      <c r="AA3013" s="6">
        <v>0</v>
      </c>
      <c r="AB3013" s="4">
        <f t="shared" si="475"/>
        <v>0</v>
      </c>
      <c r="AC3013" s="4">
        <f t="shared" si="468"/>
        <v>0</v>
      </c>
      <c r="AD3013" s="6">
        <f t="shared" si="472"/>
        <v>0</v>
      </c>
      <c r="AE3013" s="2">
        <f>VLOOKUP(I3013,[1]媒体政策预估表!A:N,MATCH(O3013,[1]媒体政策预估表!$A$2:$M$2,0),0)</f>
        <v>0</v>
      </c>
      <c r="AF3013" s="6">
        <f t="shared" si="469"/>
        <v>0</v>
      </c>
      <c r="AG3013" s="14">
        <v>0</v>
      </c>
      <c r="AH3013" s="64">
        <f t="shared" si="473"/>
        <v>0</v>
      </c>
      <c r="AI3013" s="47"/>
      <c r="AJ3013" s="126" t="e">
        <v>#N/A</v>
      </c>
      <c r="AK3013" s="80">
        <f t="shared" si="476"/>
        <v>0</v>
      </c>
      <c r="AM3013" s="85"/>
    </row>
    <row r="3014" spans="1:39" hidden="1" x14ac:dyDescent="0.3">
      <c r="A3014" s="89" t="s">
        <v>3397</v>
      </c>
      <c r="B3014" s="86" t="s">
        <v>701</v>
      </c>
      <c r="C3014" s="86" t="s">
        <v>144</v>
      </c>
      <c r="D3014" s="86" t="s">
        <v>145</v>
      </c>
      <c r="E3014" s="86" t="s">
        <v>2872</v>
      </c>
      <c r="F3014" s="86" t="s">
        <v>2872</v>
      </c>
      <c r="G3014" s="86" t="s">
        <v>2872</v>
      </c>
      <c r="H3014" s="143">
        <v>83</v>
      </c>
      <c r="I3014" s="86" t="s">
        <v>78</v>
      </c>
      <c r="J3014" s="1" t="s">
        <v>3303</v>
      </c>
      <c r="K3014" s="1" t="s">
        <v>3276</v>
      </c>
      <c r="L3014" s="1" t="s">
        <v>701</v>
      </c>
      <c r="M3014" s="86" t="s">
        <v>2873</v>
      </c>
      <c r="N3014" s="86"/>
      <c r="O3014" s="47" t="s">
        <v>941</v>
      </c>
      <c r="P3014" s="47" t="s">
        <v>46</v>
      </c>
      <c r="Q3014" s="14">
        <v>0.02</v>
      </c>
      <c r="R3014" s="143">
        <v>100</v>
      </c>
      <c r="S3014" s="47"/>
      <c r="T3014" s="6">
        <v>-200</v>
      </c>
      <c r="U3014" s="6"/>
      <c r="V3014" s="6">
        <v>0</v>
      </c>
      <c r="W3014" s="6">
        <f t="shared" si="470"/>
        <v>-200</v>
      </c>
      <c r="X3014" s="6">
        <f t="shared" si="471"/>
        <v>0</v>
      </c>
      <c r="Y3014" s="13">
        <f t="shared" si="474"/>
        <v>0</v>
      </c>
      <c r="Z3014" s="14">
        <v>0</v>
      </c>
      <c r="AA3014" s="6">
        <v>0</v>
      </c>
      <c r="AB3014" s="4">
        <f t="shared" si="475"/>
        <v>0</v>
      </c>
      <c r="AC3014" s="4">
        <f t="shared" si="468"/>
        <v>0</v>
      </c>
      <c r="AD3014" s="6">
        <f t="shared" si="472"/>
        <v>0</v>
      </c>
      <c r="AE3014" s="2">
        <f>VLOOKUP(I3014,[1]媒体政策预估表!A:N,MATCH(O3014,[1]媒体政策预估表!$A$2:$M$2,0),0)</f>
        <v>0</v>
      </c>
      <c r="AF3014" s="6">
        <f t="shared" si="469"/>
        <v>0</v>
      </c>
      <c r="AG3014" s="14">
        <v>0</v>
      </c>
      <c r="AH3014" s="64">
        <f t="shared" si="473"/>
        <v>0</v>
      </c>
      <c r="AI3014" s="47"/>
      <c r="AJ3014" s="126" t="e">
        <v>#N/A</v>
      </c>
      <c r="AK3014" s="80">
        <f t="shared" si="476"/>
        <v>0</v>
      </c>
      <c r="AM3014" s="85"/>
    </row>
    <row r="3015" spans="1:39" hidden="1" x14ac:dyDescent="0.3">
      <c r="A3015" s="89" t="s">
        <v>3408</v>
      </c>
      <c r="B3015" s="86" t="s">
        <v>35</v>
      </c>
      <c r="C3015" s="86" t="s">
        <v>47</v>
      </c>
      <c r="D3015" s="86" t="s">
        <v>48</v>
      </c>
      <c r="E3015" s="86" t="s">
        <v>542</v>
      </c>
      <c r="F3015" s="86" t="s">
        <v>2707</v>
      </c>
      <c r="G3015" s="86" t="s">
        <v>1845</v>
      </c>
      <c r="H3015" s="144">
        <v>83</v>
      </c>
      <c r="I3015" s="86" t="s">
        <v>78</v>
      </c>
      <c r="J3015" s="1" t="s">
        <v>3303</v>
      </c>
      <c r="K3015" s="1" t="s">
        <v>3276</v>
      </c>
      <c r="L3015" s="1" t="s">
        <v>701</v>
      </c>
      <c r="M3015" s="86" t="s">
        <v>2708</v>
      </c>
      <c r="N3015" s="86"/>
      <c r="O3015" s="47" t="s">
        <v>3413</v>
      </c>
      <c r="P3015" s="47" t="s">
        <v>46</v>
      </c>
      <c r="Q3015" s="14">
        <v>0.02</v>
      </c>
      <c r="R3015" s="143">
        <v>7148</v>
      </c>
      <c r="S3015" s="47"/>
      <c r="T3015" s="6">
        <v>0</v>
      </c>
      <c r="U3015" s="6">
        <v>0</v>
      </c>
      <c r="V3015" s="6">
        <v>257.41000000000003</v>
      </c>
      <c r="W3015" s="6">
        <f t="shared" si="470"/>
        <v>-257.41000000000003</v>
      </c>
      <c r="X3015" s="6">
        <f t="shared" si="471"/>
        <v>252.36274509803923</v>
      </c>
      <c r="Y3015" s="13">
        <f t="shared" si="474"/>
        <v>0</v>
      </c>
      <c r="Z3015" s="14">
        <v>0</v>
      </c>
      <c r="AA3015" s="6">
        <v>0</v>
      </c>
      <c r="AB3015" s="4">
        <f t="shared" si="475"/>
        <v>252.36274509803923</v>
      </c>
      <c r="AC3015" s="4">
        <f t="shared" si="468"/>
        <v>5.0472549019607982</v>
      </c>
      <c r="AD3015" s="6">
        <f t="shared" si="472"/>
        <v>257.41000000000003</v>
      </c>
      <c r="AE3015" s="2">
        <f>VLOOKUP(I3015,[1]媒体政策预估表!A:N,MATCH(O3015,[1]媒体政策预估表!$A$2:$M$2,0),0)</f>
        <v>0</v>
      </c>
      <c r="AF3015" s="6">
        <f t="shared" si="469"/>
        <v>0</v>
      </c>
      <c r="AG3015" s="14">
        <v>0</v>
      </c>
      <c r="AH3015" s="64">
        <f t="shared" si="473"/>
        <v>257.41000000000003</v>
      </c>
      <c r="AI3015" s="47"/>
      <c r="AJ3015" s="126" t="e">
        <v>#N/A</v>
      </c>
      <c r="AK3015" s="80">
        <f t="shared" si="476"/>
        <v>0</v>
      </c>
      <c r="AM3015" s="85"/>
    </row>
    <row r="3016" spans="1:39" hidden="1" x14ac:dyDescent="0.3">
      <c r="A3016" s="89" t="s">
        <v>3408</v>
      </c>
      <c r="B3016" s="86" t="s">
        <v>35</v>
      </c>
      <c r="C3016" s="86" t="s">
        <v>36</v>
      </c>
      <c r="D3016" s="86" t="s">
        <v>54</v>
      </c>
      <c r="E3016" s="86" t="s">
        <v>55</v>
      </c>
      <c r="F3016" s="86" t="s">
        <v>2831</v>
      </c>
      <c r="G3016" s="86" t="s">
        <v>1845</v>
      </c>
      <c r="H3016" s="144">
        <v>83</v>
      </c>
      <c r="I3016" s="86" t="s">
        <v>78</v>
      </c>
      <c r="J3016" s="1" t="s">
        <v>3303</v>
      </c>
      <c r="K3016" s="1" t="s">
        <v>3276</v>
      </c>
      <c r="L3016" s="1" t="s">
        <v>701</v>
      </c>
      <c r="M3016" s="86" t="s">
        <v>2832</v>
      </c>
      <c r="N3016" s="86"/>
      <c r="O3016" s="47" t="s">
        <v>1058</v>
      </c>
      <c r="P3016" s="47" t="s">
        <v>41</v>
      </c>
      <c r="Q3016" s="14">
        <v>0</v>
      </c>
      <c r="R3016" s="143">
        <v>7265</v>
      </c>
      <c r="S3016" s="47"/>
      <c r="T3016" s="6">
        <v>0</v>
      </c>
      <c r="U3016" s="6"/>
      <c r="V3016" s="6">
        <v>1400</v>
      </c>
      <c r="W3016" s="6">
        <f t="shared" si="470"/>
        <v>-1400</v>
      </c>
      <c r="X3016" s="6">
        <f t="shared" si="471"/>
        <v>1400</v>
      </c>
      <c r="Y3016" s="13">
        <f t="shared" si="474"/>
        <v>0</v>
      </c>
      <c r="Z3016" s="14">
        <v>0</v>
      </c>
      <c r="AA3016" s="6">
        <v>0</v>
      </c>
      <c r="AB3016" s="4">
        <f t="shared" si="475"/>
        <v>1400</v>
      </c>
      <c r="AC3016" s="4">
        <f t="shared" si="468"/>
        <v>0</v>
      </c>
      <c r="AD3016" s="6">
        <f t="shared" si="472"/>
        <v>1400</v>
      </c>
      <c r="AE3016" s="2">
        <f>VLOOKUP(I3016,[1]媒体政策预估表!A:N,MATCH(O3016,[1]媒体政策预估表!$A$2:$M$2,0),0)</f>
        <v>0</v>
      </c>
      <c r="AF3016" s="6">
        <f t="shared" si="469"/>
        <v>0</v>
      </c>
      <c r="AG3016" s="14">
        <v>0</v>
      </c>
      <c r="AH3016" s="64">
        <f t="shared" si="473"/>
        <v>1400</v>
      </c>
      <c r="AI3016" s="47"/>
      <c r="AJ3016" s="126" t="e">
        <v>#N/A</v>
      </c>
      <c r="AK3016" s="80">
        <f t="shared" si="476"/>
        <v>0</v>
      </c>
      <c r="AM3016" s="85"/>
    </row>
    <row r="3017" spans="1:39" hidden="1" x14ac:dyDescent="0.3">
      <c r="A3017" s="89" t="s">
        <v>3397</v>
      </c>
      <c r="B3017" s="86" t="s">
        <v>701</v>
      </c>
      <c r="C3017" s="86" t="s">
        <v>144</v>
      </c>
      <c r="D3017" s="86" t="s">
        <v>152</v>
      </c>
      <c r="E3017" s="86" t="s">
        <v>2860</v>
      </c>
      <c r="F3017" s="86" t="s">
        <v>2860</v>
      </c>
      <c r="G3017" s="86" t="s">
        <v>2860</v>
      </c>
      <c r="H3017" s="144">
        <v>83</v>
      </c>
      <c r="I3017" s="86" t="s">
        <v>78</v>
      </c>
      <c r="J3017" s="1" t="s">
        <v>3303</v>
      </c>
      <c r="K3017" s="1" t="s">
        <v>3276</v>
      </c>
      <c r="L3017" s="1" t="s">
        <v>701</v>
      </c>
      <c r="M3017" s="86" t="s">
        <v>2861</v>
      </c>
      <c r="N3017" s="86"/>
      <c r="O3017" s="47" t="s">
        <v>1058</v>
      </c>
      <c r="P3017" s="47" t="s">
        <v>46</v>
      </c>
      <c r="Q3017" s="14">
        <v>0.03</v>
      </c>
      <c r="R3017" s="143">
        <v>108</v>
      </c>
      <c r="S3017" s="47"/>
      <c r="T3017" s="6">
        <v>0</v>
      </c>
      <c r="U3017" s="6"/>
      <c r="V3017" s="6">
        <v>2114.4</v>
      </c>
      <c r="W3017" s="6">
        <f t="shared" si="470"/>
        <v>-2114.4</v>
      </c>
      <c r="X3017" s="6">
        <f t="shared" si="471"/>
        <v>2052.8155339805826</v>
      </c>
      <c r="Y3017" s="13">
        <f t="shared" si="474"/>
        <v>0</v>
      </c>
      <c r="Z3017" s="14">
        <v>0</v>
      </c>
      <c r="AA3017" s="6">
        <v>0</v>
      </c>
      <c r="AB3017" s="4">
        <f t="shared" si="475"/>
        <v>2052.8155339805826</v>
      </c>
      <c r="AC3017" s="4">
        <f t="shared" si="468"/>
        <v>61.584466019417505</v>
      </c>
      <c r="AD3017" s="6">
        <f t="shared" si="472"/>
        <v>2114.4</v>
      </c>
      <c r="AE3017" s="2">
        <f>VLOOKUP(I3017,[1]媒体政策预估表!A:N,MATCH(O3017,[1]媒体政策预估表!$A$2:$M$2,0),0)</f>
        <v>0</v>
      </c>
      <c r="AF3017" s="6">
        <f t="shared" si="469"/>
        <v>0</v>
      </c>
      <c r="AG3017" s="14">
        <v>0</v>
      </c>
      <c r="AH3017" s="64">
        <f t="shared" si="473"/>
        <v>2114.4</v>
      </c>
      <c r="AI3017" s="47"/>
      <c r="AJ3017" s="126" t="e">
        <v>#N/A</v>
      </c>
      <c r="AK3017" s="80">
        <f t="shared" si="476"/>
        <v>0</v>
      </c>
      <c r="AM3017" s="85"/>
    </row>
    <row r="3018" spans="1:39" hidden="1" x14ac:dyDescent="0.3">
      <c r="A3018" s="89" t="s">
        <v>3408</v>
      </c>
      <c r="B3018" s="86" t="s">
        <v>35</v>
      </c>
      <c r="C3018" s="86" t="s">
        <v>59</v>
      </c>
      <c r="D3018" s="86" t="s">
        <v>60</v>
      </c>
      <c r="E3018" s="86" t="s">
        <v>82</v>
      </c>
      <c r="F3018" s="86" t="s">
        <v>83</v>
      </c>
      <c r="G3018" s="86" t="s">
        <v>82</v>
      </c>
      <c r="H3018" s="144">
        <v>237</v>
      </c>
      <c r="I3018" s="86" t="s">
        <v>2374</v>
      </c>
      <c r="J3018" s="1" t="s">
        <v>3322</v>
      </c>
      <c r="K3018" s="1" t="s">
        <v>3269</v>
      </c>
      <c r="L3018" s="1" t="s">
        <v>35</v>
      </c>
      <c r="M3018" s="86" t="s">
        <v>2375</v>
      </c>
      <c r="N3018" s="86"/>
      <c r="O3018" s="47" t="s">
        <v>40</v>
      </c>
      <c r="P3018" s="47" t="s">
        <v>75</v>
      </c>
      <c r="Q3018" s="14">
        <v>0.06</v>
      </c>
      <c r="R3018" s="143"/>
      <c r="S3018" s="47"/>
      <c r="T3018" s="6">
        <v>25935.509999999995</v>
      </c>
      <c r="U3018" s="6">
        <v>200000</v>
      </c>
      <c r="V3018" s="6">
        <v>71959.37999999999</v>
      </c>
      <c r="W3018" s="6">
        <f t="shared" si="470"/>
        <v>153976.13</v>
      </c>
      <c r="X3018" s="6">
        <f>IF(P3018="折扣",V3018*Q3018,IF(P3018="返现",V3018,V3018/(1+Q3018+AG3018)))</f>
        <v>71959.37999999999</v>
      </c>
      <c r="Y3018" s="13">
        <f t="shared" si="474"/>
        <v>0</v>
      </c>
      <c r="Z3018" s="14">
        <v>0</v>
      </c>
      <c r="AA3018" s="6">
        <v>0</v>
      </c>
      <c r="AB3018" s="4">
        <f t="shared" si="475"/>
        <v>71959.37999999999</v>
      </c>
      <c r="AC3018" s="4">
        <f t="shared" si="468"/>
        <v>4317.5627999999997</v>
      </c>
      <c r="AD3018" s="6">
        <v>71959.37999999999</v>
      </c>
      <c r="AE3018" s="2">
        <f>VLOOKUP(I3018,[1]媒体政策预估表!A:N,MATCH(O3018,[1]媒体政策预估表!$A$2:$M$2,0),0)</f>
        <v>7.0000000000000007E-2</v>
      </c>
      <c r="AF3018" s="6">
        <f t="shared" si="469"/>
        <v>5037.1565999999993</v>
      </c>
      <c r="AG3018" s="14">
        <v>0</v>
      </c>
      <c r="AH3018" s="6">
        <f>V3018/(1+AG3018)</f>
        <v>71959.37999999999</v>
      </c>
      <c r="AI3018" s="47"/>
      <c r="AJ3018" s="126" t="e">
        <v>#N/A</v>
      </c>
      <c r="AK3018" s="80">
        <f t="shared" si="476"/>
        <v>0</v>
      </c>
      <c r="AM3018" s="85"/>
    </row>
    <row r="3019" spans="1:39" hidden="1" x14ac:dyDescent="0.3">
      <c r="A3019" s="89" t="s">
        <v>3397</v>
      </c>
      <c r="B3019" s="86" t="s">
        <v>35</v>
      </c>
      <c r="C3019" s="86" t="s">
        <v>36</v>
      </c>
      <c r="D3019" s="86" t="s">
        <v>224</v>
      </c>
      <c r="E3019" s="86" t="s">
        <v>2377</v>
      </c>
      <c r="F3019" s="86" t="s">
        <v>2377</v>
      </c>
      <c r="G3019" s="86" t="s">
        <v>2377</v>
      </c>
      <c r="H3019" s="144">
        <v>237</v>
      </c>
      <c r="I3019" s="86" t="s">
        <v>2374</v>
      </c>
      <c r="J3019" s="1" t="s">
        <v>3322</v>
      </c>
      <c r="K3019" s="1" t="s">
        <v>3269</v>
      </c>
      <c r="L3019" s="1" t="s">
        <v>35</v>
      </c>
      <c r="M3019" s="86" t="s">
        <v>2377</v>
      </c>
      <c r="N3019" s="86"/>
      <c r="O3019" s="47" t="s">
        <v>45</v>
      </c>
      <c r="P3019" s="47" t="s">
        <v>41</v>
      </c>
      <c r="Q3019" s="14">
        <v>0</v>
      </c>
      <c r="R3019" s="143"/>
      <c r="S3019" s="47"/>
      <c r="T3019" s="6">
        <v>668397.07000000565</v>
      </c>
      <c r="U3019" s="6">
        <v>2700000</v>
      </c>
      <c r="V3019" s="6">
        <v>2553958.6699999976</v>
      </c>
      <c r="W3019" s="6">
        <f t="shared" si="470"/>
        <v>814438.40000000829</v>
      </c>
      <c r="X3019" s="6">
        <f t="shared" ref="X3019:X3082" si="477">IF(P3019="折扣",V3019*Q3019,IF(P3019="返现",V3019,V3019/(1+Q3019+AG3019)))</f>
        <v>2553958.6699999976</v>
      </c>
      <c r="Y3019" s="13">
        <f t="shared" si="474"/>
        <v>0</v>
      </c>
      <c r="Z3019" s="14">
        <v>0</v>
      </c>
      <c r="AA3019" s="6">
        <v>0</v>
      </c>
      <c r="AB3019" s="4">
        <f t="shared" si="475"/>
        <v>2553958.6699999976</v>
      </c>
      <c r="AC3019" s="4">
        <f t="shared" si="468"/>
        <v>0</v>
      </c>
      <c r="AD3019" s="6">
        <v>2553958.6699999976</v>
      </c>
      <c r="AE3019" s="2">
        <f>VLOOKUP(I3019,[1]媒体政策预估表!A:N,MATCH(O3019,[1]媒体政策预估表!$A$2:$M$2,0),0)</f>
        <v>0.06</v>
      </c>
      <c r="AF3019" s="6">
        <f t="shared" si="469"/>
        <v>153237.52019999985</v>
      </c>
      <c r="AG3019" s="14">
        <v>0</v>
      </c>
      <c r="AH3019" s="6">
        <f t="shared" ref="AH3019:AH3082" si="478">V3019/(1+AG3019)</f>
        <v>2553958.6699999976</v>
      </c>
      <c r="AI3019" s="47"/>
      <c r="AJ3019" s="126" t="s">
        <v>4223</v>
      </c>
      <c r="AK3019" s="80">
        <f t="shared" si="476"/>
        <v>0</v>
      </c>
      <c r="AL3019" s="150"/>
      <c r="AM3019" s="85"/>
    </row>
    <row r="3020" spans="1:39" hidden="1" x14ac:dyDescent="0.3">
      <c r="A3020" s="89" t="s">
        <v>3397</v>
      </c>
      <c r="B3020" s="86" t="s">
        <v>35</v>
      </c>
      <c r="C3020" s="86" t="s">
        <v>36</v>
      </c>
      <c r="D3020" s="86" t="s">
        <v>54</v>
      </c>
      <c r="E3020" s="86" t="s">
        <v>2378</v>
      </c>
      <c r="F3020" s="86" t="s">
        <v>2379</v>
      </c>
      <c r="G3020" s="86" t="s">
        <v>2378</v>
      </c>
      <c r="H3020" s="143">
        <v>237</v>
      </c>
      <c r="I3020" s="86" t="s">
        <v>2374</v>
      </c>
      <c r="J3020" s="1" t="s">
        <v>3322</v>
      </c>
      <c r="K3020" s="1" t="s">
        <v>3269</v>
      </c>
      <c r="L3020" s="1" t="s">
        <v>35</v>
      </c>
      <c r="M3020" s="86" t="s">
        <v>2378</v>
      </c>
      <c r="N3020" s="86"/>
      <c r="O3020" s="47" t="s">
        <v>45</v>
      </c>
      <c r="P3020" s="47" t="s">
        <v>46</v>
      </c>
      <c r="Q3020" s="14">
        <v>-0.04</v>
      </c>
      <c r="R3020" s="143"/>
      <c r="S3020" s="47"/>
      <c r="T3020" s="6">
        <v>0</v>
      </c>
      <c r="U3020" s="6">
        <v>-122.264</v>
      </c>
      <c r="V3020" s="6">
        <v>0</v>
      </c>
      <c r="W3020" s="6">
        <f t="shared" si="470"/>
        <v>-122.264</v>
      </c>
      <c r="X3020" s="6">
        <f t="shared" si="477"/>
        <v>0</v>
      </c>
      <c r="Y3020" s="13">
        <f t="shared" si="474"/>
        <v>0</v>
      </c>
      <c r="Z3020" s="14">
        <v>0</v>
      </c>
      <c r="AA3020" s="6">
        <v>0</v>
      </c>
      <c r="AB3020" s="4">
        <f t="shared" si="475"/>
        <v>0</v>
      </c>
      <c r="AC3020" s="4">
        <f t="shared" ref="AC3020:AC3083" si="479">IF(P3020="返现",X3020*Q3020,V3020-X3020)</f>
        <v>0</v>
      </c>
      <c r="AD3020" s="6">
        <v>938221.28999999992</v>
      </c>
      <c r="AE3020" s="2">
        <f>VLOOKUP(I3020,[1]媒体政策预估表!A:N,MATCH(O3020,[1]媒体政策预估表!$A$2:$M$2,0),0)</f>
        <v>0.06</v>
      </c>
      <c r="AF3020" s="6">
        <f t="shared" ref="AF3020:AF3083" si="480">AD3020*AE3020</f>
        <v>56293.277399999992</v>
      </c>
      <c r="AG3020" s="14">
        <v>0.24</v>
      </c>
      <c r="AH3020" s="6">
        <f t="shared" si="478"/>
        <v>0</v>
      </c>
      <c r="AI3020" s="47"/>
      <c r="AJ3020" s="126" t="e">
        <v>#N/A</v>
      </c>
      <c r="AK3020" s="80">
        <f t="shared" si="476"/>
        <v>0</v>
      </c>
      <c r="AM3020" s="85"/>
    </row>
    <row r="3021" spans="1:39" hidden="1" x14ac:dyDescent="0.3">
      <c r="A3021" s="89" t="s">
        <v>3397</v>
      </c>
      <c r="B3021" s="86" t="s">
        <v>35</v>
      </c>
      <c r="C3021" s="86" t="s">
        <v>36</v>
      </c>
      <c r="D3021" s="86" t="s">
        <v>54</v>
      </c>
      <c r="E3021" s="86" t="s">
        <v>2378</v>
      </c>
      <c r="F3021" s="86" t="s">
        <v>2379</v>
      </c>
      <c r="G3021" s="86" t="s">
        <v>2378</v>
      </c>
      <c r="H3021" s="143">
        <v>237</v>
      </c>
      <c r="I3021" s="86" t="s">
        <v>2374</v>
      </c>
      <c r="J3021" s="1" t="s">
        <v>3322</v>
      </c>
      <c r="K3021" s="1" t="s">
        <v>3269</v>
      </c>
      <c r="L3021" s="1" t="s">
        <v>35</v>
      </c>
      <c r="M3021" s="86" t="s">
        <v>2378</v>
      </c>
      <c r="N3021" s="86"/>
      <c r="O3021" s="47" t="s">
        <v>45</v>
      </c>
      <c r="P3021" s="47" t="s">
        <v>46</v>
      </c>
      <c r="Q3021" s="14">
        <v>0.04</v>
      </c>
      <c r="R3021" s="143"/>
      <c r="S3021" s="47"/>
      <c r="T3021" s="6">
        <v>0</v>
      </c>
      <c r="U3021" s="6">
        <v>-526223.29130000004</v>
      </c>
      <c r="V3021" s="6">
        <v>0</v>
      </c>
      <c r="W3021" s="6">
        <f t="shared" si="470"/>
        <v>-526223.29130000004</v>
      </c>
      <c r="X3021" s="6">
        <f t="shared" si="477"/>
        <v>0</v>
      </c>
      <c r="Y3021" s="13">
        <f t="shared" si="474"/>
        <v>0</v>
      </c>
      <c r="Z3021" s="14">
        <v>0</v>
      </c>
      <c r="AA3021" s="6">
        <v>0</v>
      </c>
      <c r="AB3021" s="4">
        <f t="shared" si="475"/>
        <v>0</v>
      </c>
      <c r="AC3021" s="4">
        <f t="shared" si="479"/>
        <v>0</v>
      </c>
      <c r="AD3021" s="6">
        <v>0</v>
      </c>
      <c r="AE3021" s="2">
        <f>VLOOKUP(I3021,[1]媒体政策预估表!A:N,MATCH(O3021,[1]媒体政策预估表!$A$2:$M$2,0),0)</f>
        <v>0.06</v>
      </c>
      <c r="AF3021" s="6">
        <f t="shared" si="480"/>
        <v>0</v>
      </c>
      <c r="AG3021" s="14">
        <v>0.33</v>
      </c>
      <c r="AH3021" s="6">
        <f t="shared" si="478"/>
        <v>0</v>
      </c>
      <c r="AI3021" s="47"/>
      <c r="AJ3021" s="126" t="e">
        <v>#N/A</v>
      </c>
      <c r="AK3021" s="80">
        <f t="shared" si="476"/>
        <v>0</v>
      </c>
      <c r="AM3021" s="85"/>
    </row>
    <row r="3022" spans="1:39" hidden="1" x14ac:dyDescent="0.3">
      <c r="A3022" s="89" t="s">
        <v>3397</v>
      </c>
      <c r="B3022" s="86" t="s">
        <v>35</v>
      </c>
      <c r="C3022" s="86" t="s">
        <v>36</v>
      </c>
      <c r="D3022" s="86" t="s">
        <v>54</v>
      </c>
      <c r="E3022" s="86" t="s">
        <v>2378</v>
      </c>
      <c r="F3022" s="86" t="s">
        <v>2379</v>
      </c>
      <c r="G3022" s="86" t="s">
        <v>2378</v>
      </c>
      <c r="H3022" s="144">
        <v>237</v>
      </c>
      <c r="I3022" s="86" t="s">
        <v>2374</v>
      </c>
      <c r="J3022" s="1" t="s">
        <v>3322</v>
      </c>
      <c r="K3022" s="1" t="s">
        <v>3269</v>
      </c>
      <c r="L3022" s="1" t="s">
        <v>35</v>
      </c>
      <c r="M3022" s="86" t="s">
        <v>2378</v>
      </c>
      <c r="N3022" s="86"/>
      <c r="O3022" s="47" t="s">
        <v>45</v>
      </c>
      <c r="P3022" s="47" t="s">
        <v>46</v>
      </c>
      <c r="Q3022" s="14">
        <v>0.04</v>
      </c>
      <c r="R3022" s="143"/>
      <c r="S3022" s="47" t="s">
        <v>3414</v>
      </c>
      <c r="T3022" s="6">
        <v>3345635.0323999701</v>
      </c>
      <c r="U3022" s="6">
        <v>-854772.84450000001</v>
      </c>
      <c r="V3022" s="6">
        <v>1269744.2</v>
      </c>
      <c r="W3022" s="6">
        <f t="shared" si="470"/>
        <v>1221117.98789997</v>
      </c>
      <c r="X3022" s="6">
        <f>IF(P3022="折扣",V3022*Q3022,IF(P3022="返现",V3022,V3022/(1+Q3022+AG3022)))+8706.32</f>
        <v>922191.35597122286</v>
      </c>
      <c r="Y3022" s="13">
        <f t="shared" si="474"/>
        <v>922191.35597122286</v>
      </c>
      <c r="Z3022" s="14">
        <v>0</v>
      </c>
      <c r="AA3022" s="6">
        <v>0</v>
      </c>
      <c r="AB3022" s="4">
        <f t="shared" si="475"/>
        <v>922191.35597122286</v>
      </c>
      <c r="AC3022" s="4">
        <f t="shared" si="479"/>
        <v>347552.84402877709</v>
      </c>
      <c r="AD3022" s="6">
        <v>0</v>
      </c>
      <c r="AE3022" s="2">
        <f>VLOOKUP(I3022,[1]媒体政策预估表!A:N,MATCH(O3022,[1]媒体政策预估表!$A$2:$M$2,0),0)</f>
        <v>0.06</v>
      </c>
      <c r="AF3022" s="6">
        <f t="shared" si="480"/>
        <v>0</v>
      </c>
      <c r="AG3022" s="14">
        <v>0.35</v>
      </c>
      <c r="AH3022" s="6">
        <f t="shared" si="478"/>
        <v>940551.25925925921</v>
      </c>
      <c r="AI3022" s="47"/>
      <c r="AJ3022" s="126" t="e">
        <v>#N/A</v>
      </c>
      <c r="AK3022" s="80">
        <f t="shared" si="476"/>
        <v>0</v>
      </c>
      <c r="AM3022" s="85"/>
    </row>
    <row r="3023" spans="1:39" hidden="1" x14ac:dyDescent="0.3">
      <c r="A3023" s="89" t="s">
        <v>3408</v>
      </c>
      <c r="B3023" s="86" t="s">
        <v>35</v>
      </c>
      <c r="C3023" s="86" t="s">
        <v>36</v>
      </c>
      <c r="D3023" s="86" t="s">
        <v>54</v>
      </c>
      <c r="E3023" s="86" t="s">
        <v>2378</v>
      </c>
      <c r="F3023" s="86" t="s">
        <v>2379</v>
      </c>
      <c r="G3023" s="86" t="s">
        <v>2378</v>
      </c>
      <c r="H3023" s="144">
        <v>237</v>
      </c>
      <c r="I3023" s="86" t="s">
        <v>2374</v>
      </c>
      <c r="J3023" s="1" t="s">
        <v>3322</v>
      </c>
      <c r="K3023" s="1" t="s">
        <v>3269</v>
      </c>
      <c r="L3023" s="1" t="s">
        <v>35</v>
      </c>
      <c r="M3023" s="86" t="s">
        <v>2378</v>
      </c>
      <c r="N3023" s="86"/>
      <c r="O3023" s="47" t="s">
        <v>40</v>
      </c>
      <c r="P3023" s="47" t="s">
        <v>46</v>
      </c>
      <c r="Q3023" s="14">
        <v>0.04</v>
      </c>
      <c r="R3023" s="143"/>
      <c r="S3023" s="47"/>
      <c r="T3023" s="6">
        <v>263794.71960000019</v>
      </c>
      <c r="U3023" s="6">
        <v>-266802.67800000001</v>
      </c>
      <c r="V3023" s="6">
        <v>238622.05999999997</v>
      </c>
      <c r="W3023" s="6">
        <f t="shared" si="470"/>
        <v>-241630.0183999998</v>
      </c>
      <c r="X3023" s="6">
        <f t="shared" si="477"/>
        <v>186423.48437499997</v>
      </c>
      <c r="Y3023" s="13">
        <f t="shared" si="474"/>
        <v>0</v>
      </c>
      <c r="Z3023" s="14">
        <v>0</v>
      </c>
      <c r="AA3023" s="6">
        <v>0</v>
      </c>
      <c r="AB3023" s="4">
        <f t="shared" si="475"/>
        <v>186423.48437499997</v>
      </c>
      <c r="AC3023" s="4">
        <f t="shared" si="479"/>
        <v>52198.575624999998</v>
      </c>
      <c r="AD3023" s="6">
        <v>192377.64999999997</v>
      </c>
      <c r="AE3023" s="2">
        <f>VLOOKUP(I3023,[1]媒体政策预估表!A:N,MATCH(O3023,[1]媒体政策预估表!$A$2:$M$2,0),0)</f>
        <v>7.0000000000000007E-2</v>
      </c>
      <c r="AF3023" s="6">
        <f t="shared" si="480"/>
        <v>13466.4355</v>
      </c>
      <c r="AG3023" s="14">
        <v>0.24</v>
      </c>
      <c r="AH3023" s="6">
        <f t="shared" si="478"/>
        <v>192437.1451612903</v>
      </c>
      <c r="AI3023" s="47"/>
      <c r="AJ3023" s="126" t="e">
        <v>#N/A</v>
      </c>
      <c r="AK3023" s="80">
        <f t="shared" si="476"/>
        <v>0</v>
      </c>
      <c r="AM3023" s="85"/>
    </row>
    <row r="3024" spans="1:39" hidden="1" x14ac:dyDescent="0.3">
      <c r="A3024" s="89" t="s">
        <v>3408</v>
      </c>
      <c r="B3024" s="86" t="s">
        <v>35</v>
      </c>
      <c r="C3024" s="86" t="s">
        <v>36</v>
      </c>
      <c r="D3024" s="86" t="s">
        <v>54</v>
      </c>
      <c r="E3024" s="86" t="s">
        <v>1349</v>
      </c>
      <c r="F3024" s="86" t="s">
        <v>2431</v>
      </c>
      <c r="G3024" s="86" t="s">
        <v>1349</v>
      </c>
      <c r="H3024" s="144">
        <v>237</v>
      </c>
      <c r="I3024" s="86" t="s">
        <v>2374</v>
      </c>
      <c r="J3024" s="1" t="s">
        <v>3322</v>
      </c>
      <c r="K3024" s="1" t="s">
        <v>3269</v>
      </c>
      <c r="L3024" s="1" t="s">
        <v>35</v>
      </c>
      <c r="M3024" s="86" t="s">
        <v>627</v>
      </c>
      <c r="N3024" s="86"/>
      <c r="O3024" s="47" t="s">
        <v>45</v>
      </c>
      <c r="P3024" s="47" t="s">
        <v>41</v>
      </c>
      <c r="Q3024" s="14">
        <v>0</v>
      </c>
      <c r="R3024" s="143"/>
      <c r="S3024" s="47"/>
      <c r="T3024" s="6">
        <v>475405.3899999992</v>
      </c>
      <c r="U3024" s="6">
        <v>1300000</v>
      </c>
      <c r="V3024" s="6">
        <v>945759.97000000009</v>
      </c>
      <c r="W3024" s="6">
        <f t="shared" si="470"/>
        <v>829645.41999999911</v>
      </c>
      <c r="X3024" s="6">
        <f t="shared" si="477"/>
        <v>945759.97000000009</v>
      </c>
      <c r="Y3024" s="13">
        <f t="shared" si="474"/>
        <v>0</v>
      </c>
      <c r="Z3024" s="14">
        <v>0</v>
      </c>
      <c r="AA3024" s="6">
        <v>0</v>
      </c>
      <c r="AB3024" s="4">
        <f t="shared" si="475"/>
        <v>945759.97000000009</v>
      </c>
      <c r="AC3024" s="4">
        <f t="shared" si="479"/>
        <v>0</v>
      </c>
      <c r="AD3024" s="6">
        <v>945759.97000000009</v>
      </c>
      <c r="AE3024" s="2">
        <f>VLOOKUP(I3024,[1]媒体政策预估表!A:N,MATCH(O3024,[1]媒体政策预估表!$A$2:$M$2,0),0)</f>
        <v>0.06</v>
      </c>
      <c r="AF3024" s="6">
        <f t="shared" si="480"/>
        <v>56745.5982</v>
      </c>
      <c r="AG3024" s="14">
        <v>0</v>
      </c>
      <c r="AH3024" s="6">
        <f t="shared" si="478"/>
        <v>945759.97000000009</v>
      </c>
      <c r="AI3024" s="47"/>
      <c r="AJ3024" s="126" t="e">
        <v>#N/A</v>
      </c>
      <c r="AK3024" s="80">
        <f t="shared" si="476"/>
        <v>0</v>
      </c>
      <c r="AM3024" s="85"/>
    </row>
    <row r="3025" spans="1:39" hidden="1" x14ac:dyDescent="0.3">
      <c r="A3025" s="89" t="s">
        <v>3397</v>
      </c>
      <c r="B3025" s="86" t="s">
        <v>35</v>
      </c>
      <c r="C3025" s="86" t="s">
        <v>36</v>
      </c>
      <c r="D3025" s="86" t="s">
        <v>54</v>
      </c>
      <c r="E3025" s="86" t="s">
        <v>2743</v>
      </c>
      <c r="F3025" s="86" t="s">
        <v>2743</v>
      </c>
      <c r="G3025" s="86" t="s">
        <v>2743</v>
      </c>
      <c r="H3025" s="144">
        <v>237</v>
      </c>
      <c r="I3025" s="86" t="s">
        <v>2374</v>
      </c>
      <c r="J3025" s="1" t="s">
        <v>3322</v>
      </c>
      <c r="K3025" s="1" t="s">
        <v>3269</v>
      </c>
      <c r="L3025" s="1" t="s">
        <v>35</v>
      </c>
      <c r="M3025" s="86" t="s">
        <v>2744</v>
      </c>
      <c r="N3025" s="86"/>
      <c r="O3025" s="47" t="s">
        <v>45</v>
      </c>
      <c r="P3025" s="47" t="s">
        <v>46</v>
      </c>
      <c r="Q3025" s="14">
        <v>0.05</v>
      </c>
      <c r="R3025" s="143"/>
      <c r="S3025" s="47"/>
      <c r="T3025" s="6">
        <v>0</v>
      </c>
      <c r="U3025" s="6">
        <v>30000</v>
      </c>
      <c r="V3025" s="6">
        <v>10639.88</v>
      </c>
      <c r="W3025" s="6">
        <f t="shared" si="470"/>
        <v>19360.120000000003</v>
      </c>
      <c r="X3025" s="6">
        <f t="shared" si="477"/>
        <v>10133.219047619046</v>
      </c>
      <c r="Y3025" s="13">
        <f t="shared" si="474"/>
        <v>0</v>
      </c>
      <c r="Z3025" s="14">
        <v>0</v>
      </c>
      <c r="AA3025" s="6">
        <v>0</v>
      </c>
      <c r="AB3025" s="4">
        <f t="shared" si="475"/>
        <v>10133.219047619046</v>
      </c>
      <c r="AC3025" s="4">
        <f t="shared" si="479"/>
        <v>506.66095238095295</v>
      </c>
      <c r="AD3025" s="6">
        <v>10639.88</v>
      </c>
      <c r="AE3025" s="2">
        <f>VLOOKUP(I3025,[1]媒体政策预估表!A:N,MATCH(O3025,[1]媒体政策预估表!$A$2:$M$2,0),0)</f>
        <v>0.06</v>
      </c>
      <c r="AF3025" s="6">
        <f t="shared" si="480"/>
        <v>638.39279999999997</v>
      </c>
      <c r="AG3025" s="14">
        <v>0</v>
      </c>
      <c r="AH3025" s="6">
        <f t="shared" si="478"/>
        <v>10639.88</v>
      </c>
      <c r="AI3025" s="47"/>
      <c r="AJ3025" s="126" t="e">
        <v>#N/A</v>
      </c>
      <c r="AK3025" s="80">
        <f t="shared" si="476"/>
        <v>0</v>
      </c>
      <c r="AM3025" s="85"/>
    </row>
    <row r="3026" spans="1:39" hidden="1" x14ac:dyDescent="0.3">
      <c r="A3026" s="89" t="s">
        <v>3408</v>
      </c>
      <c r="B3026" s="86" t="s">
        <v>35</v>
      </c>
      <c r="C3026" s="86" t="s">
        <v>36</v>
      </c>
      <c r="D3026" s="86" t="s">
        <v>54</v>
      </c>
      <c r="E3026" s="86" t="s">
        <v>2380</v>
      </c>
      <c r="F3026" s="86" t="s">
        <v>2380</v>
      </c>
      <c r="G3026" s="86" t="s">
        <v>2380</v>
      </c>
      <c r="H3026" s="144">
        <v>237</v>
      </c>
      <c r="I3026" s="86" t="s">
        <v>2374</v>
      </c>
      <c r="J3026" s="1" t="s">
        <v>3322</v>
      </c>
      <c r="K3026" s="1" t="s">
        <v>3269</v>
      </c>
      <c r="L3026" s="1" t="s">
        <v>35</v>
      </c>
      <c r="M3026" s="86" t="s">
        <v>2381</v>
      </c>
      <c r="N3026" s="86"/>
      <c r="O3026" s="47" t="s">
        <v>45</v>
      </c>
      <c r="P3026" s="47" t="s">
        <v>41</v>
      </c>
      <c r="Q3026" s="14">
        <v>0</v>
      </c>
      <c r="R3026" s="143"/>
      <c r="S3026" s="47"/>
      <c r="T3026" s="6">
        <v>154108.59999999998</v>
      </c>
      <c r="U3026" s="6">
        <v>300000</v>
      </c>
      <c r="V3026" s="6">
        <v>206382.63</v>
      </c>
      <c r="W3026" s="6">
        <f t="shared" si="470"/>
        <v>247725.96999999997</v>
      </c>
      <c r="X3026" s="6">
        <f t="shared" si="477"/>
        <v>206382.63</v>
      </c>
      <c r="Y3026" s="13">
        <f t="shared" si="474"/>
        <v>0</v>
      </c>
      <c r="Z3026" s="14">
        <v>0</v>
      </c>
      <c r="AA3026" s="6">
        <v>0</v>
      </c>
      <c r="AB3026" s="4">
        <f t="shared" si="475"/>
        <v>206382.63</v>
      </c>
      <c r="AC3026" s="4">
        <f t="shared" si="479"/>
        <v>0</v>
      </c>
      <c r="AD3026" s="6">
        <v>206382.63</v>
      </c>
      <c r="AE3026" s="2">
        <f>VLOOKUP(I3026,[1]媒体政策预估表!A:N,MATCH(O3026,[1]媒体政策预估表!$A$2:$M$2,0),0)</f>
        <v>0.06</v>
      </c>
      <c r="AF3026" s="6">
        <f t="shared" si="480"/>
        <v>12382.9578</v>
      </c>
      <c r="AG3026" s="14">
        <v>0</v>
      </c>
      <c r="AH3026" s="6">
        <f t="shared" si="478"/>
        <v>206382.63</v>
      </c>
      <c r="AI3026" s="47"/>
      <c r="AJ3026" s="126" t="e">
        <v>#N/A</v>
      </c>
      <c r="AK3026" s="80">
        <f t="shared" si="476"/>
        <v>0</v>
      </c>
      <c r="AM3026" s="85"/>
    </row>
    <row r="3027" spans="1:39" hidden="1" x14ac:dyDescent="0.3">
      <c r="A3027" s="89" t="s">
        <v>3397</v>
      </c>
      <c r="B3027" s="86" t="s">
        <v>35</v>
      </c>
      <c r="C3027" s="86" t="s">
        <v>36</v>
      </c>
      <c r="D3027" s="86" t="s">
        <v>54</v>
      </c>
      <c r="E3027" s="86" t="s">
        <v>265</v>
      </c>
      <c r="F3027" s="86" t="s">
        <v>265</v>
      </c>
      <c r="G3027" s="86" t="s">
        <v>265</v>
      </c>
      <c r="H3027" s="144">
        <v>237</v>
      </c>
      <c r="I3027" s="86" t="s">
        <v>2374</v>
      </c>
      <c r="J3027" s="1" t="s">
        <v>3322</v>
      </c>
      <c r="K3027" s="1" t="s">
        <v>3269</v>
      </c>
      <c r="L3027" s="1" t="s">
        <v>35</v>
      </c>
      <c r="M3027" s="86" t="s">
        <v>2473</v>
      </c>
      <c r="N3027" s="86"/>
      <c r="O3027" s="47" t="s">
        <v>40</v>
      </c>
      <c r="P3027" s="47" t="s">
        <v>41</v>
      </c>
      <c r="Q3027" s="14">
        <v>0</v>
      </c>
      <c r="R3027" s="143"/>
      <c r="S3027" s="47"/>
      <c r="T3027" s="6">
        <v>0</v>
      </c>
      <c r="U3027" s="6">
        <v>100000</v>
      </c>
      <c r="V3027" s="6">
        <v>19407.14</v>
      </c>
      <c r="W3027" s="6">
        <f t="shared" si="470"/>
        <v>80592.86</v>
      </c>
      <c r="X3027" s="6">
        <f t="shared" si="477"/>
        <v>19407.14</v>
      </c>
      <c r="Y3027" s="13">
        <f t="shared" si="474"/>
        <v>0</v>
      </c>
      <c r="Z3027" s="14">
        <v>0</v>
      </c>
      <c r="AA3027" s="6">
        <v>0</v>
      </c>
      <c r="AB3027" s="4">
        <f t="shared" si="475"/>
        <v>19407.14</v>
      </c>
      <c r="AC3027" s="4">
        <f t="shared" si="479"/>
        <v>0</v>
      </c>
      <c r="AD3027" s="6">
        <v>107906.92999999998</v>
      </c>
      <c r="AE3027" s="2">
        <f>VLOOKUP(I3027,[1]媒体政策预估表!A:N,MATCH(O3027,[1]媒体政策预估表!$A$2:$M$2,0),0)</f>
        <v>7.0000000000000007E-2</v>
      </c>
      <c r="AF3027" s="6">
        <f t="shared" si="480"/>
        <v>7553.485099999999</v>
      </c>
      <c r="AG3027" s="14">
        <v>0</v>
      </c>
      <c r="AH3027" s="6">
        <f t="shared" si="478"/>
        <v>19407.14</v>
      </c>
      <c r="AI3027" s="47"/>
      <c r="AJ3027" s="126" t="e">
        <v>#N/A</v>
      </c>
      <c r="AK3027" s="80">
        <f t="shared" si="476"/>
        <v>0</v>
      </c>
      <c r="AM3027" s="85"/>
    </row>
    <row r="3028" spans="1:39" hidden="1" x14ac:dyDescent="0.3">
      <c r="A3028" s="89" t="s">
        <v>3397</v>
      </c>
      <c r="B3028" s="86" t="s">
        <v>35</v>
      </c>
      <c r="C3028" s="86" t="s">
        <v>65</v>
      </c>
      <c r="D3028" s="86" t="s">
        <v>66</v>
      </c>
      <c r="E3028" s="86" t="s">
        <v>2386</v>
      </c>
      <c r="F3028" s="86" t="s">
        <v>2386</v>
      </c>
      <c r="G3028" s="86" t="s">
        <v>2386</v>
      </c>
      <c r="H3028" s="144">
        <v>237</v>
      </c>
      <c r="I3028" s="86" t="s">
        <v>2374</v>
      </c>
      <c r="J3028" s="1" t="s">
        <v>3322</v>
      </c>
      <c r="K3028" s="1" t="s">
        <v>3269</v>
      </c>
      <c r="L3028" s="1" t="s">
        <v>35</v>
      </c>
      <c r="M3028" s="86" t="s">
        <v>2387</v>
      </c>
      <c r="N3028" s="86"/>
      <c r="O3028" s="47" t="s">
        <v>45</v>
      </c>
      <c r="P3028" s="47" t="s">
        <v>46</v>
      </c>
      <c r="Q3028" s="14">
        <v>2.5000000000000001E-2</v>
      </c>
      <c r="R3028" s="143"/>
      <c r="S3028" s="47"/>
      <c r="T3028" s="6">
        <v>55359.069999999963</v>
      </c>
      <c r="U3028" s="6">
        <v>153750</v>
      </c>
      <c r="V3028" s="6">
        <v>162885.95999999996</v>
      </c>
      <c r="W3028" s="6">
        <f t="shared" si="470"/>
        <v>46223.109999999986</v>
      </c>
      <c r="X3028" s="6">
        <f t="shared" si="477"/>
        <v>158913.13170731705</v>
      </c>
      <c r="Y3028" s="13">
        <f t="shared" si="474"/>
        <v>0</v>
      </c>
      <c r="Z3028" s="14">
        <v>0</v>
      </c>
      <c r="AA3028" s="6">
        <v>0</v>
      </c>
      <c r="AB3028" s="4">
        <f t="shared" si="475"/>
        <v>158913.13170731705</v>
      </c>
      <c r="AC3028" s="4">
        <f t="shared" si="479"/>
        <v>3972.8282926829124</v>
      </c>
      <c r="AD3028" s="6">
        <v>162885.95999999996</v>
      </c>
      <c r="AE3028" s="2">
        <f>VLOOKUP(I3028,[1]媒体政策预估表!A:N,MATCH(O3028,[1]媒体政策预估表!$A$2:$M$2,0),0)</f>
        <v>0.06</v>
      </c>
      <c r="AF3028" s="6">
        <f t="shared" si="480"/>
        <v>9773.1575999999968</v>
      </c>
      <c r="AG3028" s="14">
        <v>0</v>
      </c>
      <c r="AH3028" s="6">
        <f t="shared" si="478"/>
        <v>162885.95999999996</v>
      </c>
      <c r="AI3028" s="47"/>
      <c r="AJ3028" s="126" t="e">
        <v>#N/A</v>
      </c>
      <c r="AK3028" s="80">
        <f t="shared" si="476"/>
        <v>0</v>
      </c>
      <c r="AM3028" s="85"/>
    </row>
    <row r="3029" spans="1:39" hidden="1" x14ac:dyDescent="0.3">
      <c r="A3029" s="89" t="s">
        <v>3408</v>
      </c>
      <c r="B3029" s="86" t="s">
        <v>35</v>
      </c>
      <c r="C3029" s="86" t="s">
        <v>65</v>
      </c>
      <c r="D3029" s="86" t="s">
        <v>66</v>
      </c>
      <c r="E3029" s="86" t="s">
        <v>2474</v>
      </c>
      <c r="F3029" s="86" t="s">
        <v>2474</v>
      </c>
      <c r="G3029" s="86" t="s">
        <v>2474</v>
      </c>
      <c r="H3029" s="144">
        <v>237</v>
      </c>
      <c r="I3029" s="86" t="s">
        <v>2374</v>
      </c>
      <c r="J3029" s="1" t="s">
        <v>3322</v>
      </c>
      <c r="K3029" s="1" t="s">
        <v>3269</v>
      </c>
      <c r="L3029" s="1" t="s">
        <v>35</v>
      </c>
      <c r="M3029" s="86" t="s">
        <v>2474</v>
      </c>
      <c r="N3029" s="86"/>
      <c r="O3029" s="47" t="s">
        <v>45</v>
      </c>
      <c r="P3029" s="47" t="s">
        <v>41</v>
      </c>
      <c r="Q3029" s="14">
        <v>0</v>
      </c>
      <c r="R3029" s="143"/>
      <c r="S3029" s="47"/>
      <c r="T3029" s="6">
        <v>10273.809999999976</v>
      </c>
      <c r="U3029" s="6">
        <v>50000</v>
      </c>
      <c r="V3029" s="6">
        <v>13664.070000000002</v>
      </c>
      <c r="W3029" s="6">
        <f t="shared" si="470"/>
        <v>46609.739999999976</v>
      </c>
      <c r="X3029" s="6">
        <f t="shared" si="477"/>
        <v>13664.070000000002</v>
      </c>
      <c r="Y3029" s="13">
        <f t="shared" si="474"/>
        <v>26.480000000001382</v>
      </c>
      <c r="Z3029" s="14">
        <v>0</v>
      </c>
      <c r="AA3029" s="6">
        <v>0</v>
      </c>
      <c r="AB3029" s="4">
        <f t="shared" si="475"/>
        <v>13664.070000000002</v>
      </c>
      <c r="AC3029" s="4">
        <f t="shared" si="479"/>
        <v>0</v>
      </c>
      <c r="AD3029" s="6">
        <v>13637.59</v>
      </c>
      <c r="AE3029" s="2">
        <f>VLOOKUP(I3029,[1]媒体政策预估表!A:N,MATCH(O3029,[1]媒体政策预估表!$A$2:$M$2,0),0)</f>
        <v>0.06</v>
      </c>
      <c r="AF3029" s="6">
        <f t="shared" si="480"/>
        <v>818.25540000000001</v>
      </c>
      <c r="AG3029" s="14">
        <v>0</v>
      </c>
      <c r="AH3029" s="6">
        <f t="shared" si="478"/>
        <v>13664.070000000002</v>
      </c>
      <c r="AI3029" s="47"/>
      <c r="AJ3029" s="126" t="e">
        <v>#N/A</v>
      </c>
      <c r="AK3029" s="80">
        <f t="shared" si="476"/>
        <v>0</v>
      </c>
      <c r="AM3029" s="85"/>
    </row>
    <row r="3030" spans="1:39" hidden="1" x14ac:dyDescent="0.3">
      <c r="A3030" s="89" t="s">
        <v>3397</v>
      </c>
      <c r="B3030" s="86" t="s">
        <v>35</v>
      </c>
      <c r="C3030" s="86" t="s">
        <v>65</v>
      </c>
      <c r="D3030" s="86" t="s">
        <v>122</v>
      </c>
      <c r="E3030" s="86" t="s">
        <v>2393</v>
      </c>
      <c r="F3030" s="86" t="s">
        <v>3151</v>
      </c>
      <c r="G3030" s="86" t="s">
        <v>2393</v>
      </c>
      <c r="H3030" s="144">
        <v>237</v>
      </c>
      <c r="I3030" s="86" t="s">
        <v>2374</v>
      </c>
      <c r="J3030" s="1" t="s">
        <v>3322</v>
      </c>
      <c r="K3030" s="1" t="s">
        <v>3269</v>
      </c>
      <c r="L3030" s="1" t="s">
        <v>35</v>
      </c>
      <c r="M3030" s="86" t="s">
        <v>3415</v>
      </c>
      <c r="N3030" s="86"/>
      <c r="O3030" s="47" t="s">
        <v>45</v>
      </c>
      <c r="P3030" s="47" t="s">
        <v>75</v>
      </c>
      <c r="Q3030" s="14">
        <v>0.06</v>
      </c>
      <c r="R3030" s="143"/>
      <c r="S3030" s="47"/>
      <c r="T3030" s="6">
        <v>0</v>
      </c>
      <c r="U3030" s="6">
        <v>20000</v>
      </c>
      <c r="V3030" s="6">
        <v>2233.6399999999994</v>
      </c>
      <c r="W3030" s="6">
        <f t="shared" si="470"/>
        <v>17766.36</v>
      </c>
      <c r="X3030" s="6">
        <f t="shared" si="477"/>
        <v>2233.6399999999994</v>
      </c>
      <c r="Y3030" s="13">
        <f t="shared" si="474"/>
        <v>0</v>
      </c>
      <c r="Z3030" s="14">
        <v>0</v>
      </c>
      <c r="AA3030" s="6">
        <v>0</v>
      </c>
      <c r="AB3030" s="4">
        <f t="shared" si="475"/>
        <v>2233.6399999999994</v>
      </c>
      <c r="AC3030" s="4">
        <f t="shared" si="479"/>
        <v>134.01839999999996</v>
      </c>
      <c r="AD3030" s="6">
        <v>2233.6399999999994</v>
      </c>
      <c r="AE3030" s="2">
        <f>VLOOKUP(I3030,[1]媒体政策预估表!A:N,MATCH(O3030,[1]媒体政策预估表!$A$2:$M$2,0),0)</f>
        <v>0.06</v>
      </c>
      <c r="AF3030" s="6">
        <f t="shared" si="480"/>
        <v>134.01839999999996</v>
      </c>
      <c r="AG3030" s="14">
        <v>0</v>
      </c>
      <c r="AH3030" s="6">
        <f t="shared" si="478"/>
        <v>2233.6399999999994</v>
      </c>
      <c r="AI3030" s="47"/>
      <c r="AJ3030" s="126" t="e">
        <v>#N/A</v>
      </c>
      <c r="AK3030" s="80">
        <f t="shared" si="476"/>
        <v>0</v>
      </c>
      <c r="AM3030" s="85"/>
    </row>
    <row r="3031" spans="1:39" hidden="1" x14ac:dyDescent="0.3">
      <c r="A3031" s="89" t="s">
        <v>3397</v>
      </c>
      <c r="B3031" s="86" t="s">
        <v>35</v>
      </c>
      <c r="C3031" s="86" t="s">
        <v>65</v>
      </c>
      <c r="D3031" s="86" t="s">
        <v>122</v>
      </c>
      <c r="E3031" s="86" t="s">
        <v>2393</v>
      </c>
      <c r="F3031" s="86" t="s">
        <v>3151</v>
      </c>
      <c r="G3031" s="86" t="s">
        <v>2393</v>
      </c>
      <c r="H3031" s="144">
        <v>237</v>
      </c>
      <c r="I3031" s="86" t="s">
        <v>2374</v>
      </c>
      <c r="J3031" s="1" t="s">
        <v>3322</v>
      </c>
      <c r="K3031" s="1" t="s">
        <v>3269</v>
      </c>
      <c r="L3031" s="1" t="s">
        <v>35</v>
      </c>
      <c r="M3031" s="86" t="s">
        <v>3415</v>
      </c>
      <c r="N3031" s="86"/>
      <c r="O3031" s="47" t="s">
        <v>40</v>
      </c>
      <c r="P3031" s="47" t="s">
        <v>75</v>
      </c>
      <c r="Q3031" s="14">
        <v>0.06</v>
      </c>
      <c r="R3031" s="143"/>
      <c r="S3031" s="47"/>
      <c r="T3031" s="6">
        <v>0</v>
      </c>
      <c r="U3031" s="6">
        <v>18766.36</v>
      </c>
      <c r="V3031" s="6">
        <v>1534.8999999999999</v>
      </c>
      <c r="W3031" s="6">
        <f t="shared" si="470"/>
        <v>17231.46</v>
      </c>
      <c r="X3031" s="6">
        <f t="shared" si="477"/>
        <v>1534.8999999999999</v>
      </c>
      <c r="Y3031" s="13">
        <f t="shared" si="474"/>
        <v>0</v>
      </c>
      <c r="Z3031" s="14">
        <v>0</v>
      </c>
      <c r="AA3031" s="6">
        <v>0</v>
      </c>
      <c r="AB3031" s="4">
        <f t="shared" si="475"/>
        <v>1534.8999999999999</v>
      </c>
      <c r="AC3031" s="4">
        <f t="shared" si="479"/>
        <v>92.093999999999994</v>
      </c>
      <c r="AD3031" s="6">
        <v>1534.8999999999999</v>
      </c>
      <c r="AE3031" s="2">
        <f>VLOOKUP(I3031,[1]媒体政策预估表!A:N,MATCH(O3031,[1]媒体政策预估表!$A$2:$M$2,0),0)</f>
        <v>7.0000000000000007E-2</v>
      </c>
      <c r="AF3031" s="6">
        <f t="shared" si="480"/>
        <v>107.443</v>
      </c>
      <c r="AG3031" s="14">
        <v>0</v>
      </c>
      <c r="AH3031" s="6">
        <f t="shared" si="478"/>
        <v>1534.8999999999999</v>
      </c>
      <c r="AI3031" s="47"/>
      <c r="AJ3031" s="126" t="e">
        <v>#N/A</v>
      </c>
      <c r="AK3031" s="80">
        <f t="shared" si="476"/>
        <v>0</v>
      </c>
      <c r="AM3031" s="85"/>
    </row>
    <row r="3032" spans="1:39" hidden="1" x14ac:dyDescent="0.3">
      <c r="A3032" s="89" t="s">
        <v>3397</v>
      </c>
      <c r="B3032" s="86" t="s">
        <v>35</v>
      </c>
      <c r="C3032" s="86" t="s">
        <v>47</v>
      </c>
      <c r="D3032" s="86" t="s">
        <v>63</v>
      </c>
      <c r="E3032" s="86" t="s">
        <v>2388</v>
      </c>
      <c r="F3032" s="86" t="s">
        <v>2389</v>
      </c>
      <c r="G3032" s="86" t="s">
        <v>2388</v>
      </c>
      <c r="H3032" s="144">
        <v>237</v>
      </c>
      <c r="I3032" s="86" t="s">
        <v>2374</v>
      </c>
      <c r="J3032" s="1" t="s">
        <v>3322</v>
      </c>
      <c r="K3032" s="1" t="s">
        <v>3269</v>
      </c>
      <c r="L3032" s="1" t="s">
        <v>35</v>
      </c>
      <c r="M3032" s="86" t="s">
        <v>2390</v>
      </c>
      <c r="N3032" s="86"/>
      <c r="O3032" s="47" t="s">
        <v>40</v>
      </c>
      <c r="P3032" s="47" t="s">
        <v>46</v>
      </c>
      <c r="Q3032" s="14">
        <v>9.0800000000000006E-2</v>
      </c>
      <c r="R3032" s="143"/>
      <c r="S3032" s="47"/>
      <c r="T3032" s="6">
        <v>1410084.9328000061</v>
      </c>
      <c r="U3032" s="6">
        <v>49680199.980810001</v>
      </c>
      <c r="V3032" s="6">
        <v>20757861.970000003</v>
      </c>
      <c r="W3032" s="6">
        <f t="shared" si="470"/>
        <v>30332422.943610009</v>
      </c>
      <c r="X3032" s="6">
        <f t="shared" si="477"/>
        <v>13024132.243694318</v>
      </c>
      <c r="Y3032" s="13">
        <f t="shared" si="474"/>
        <v>0</v>
      </c>
      <c r="Z3032" s="14">
        <v>0</v>
      </c>
      <c r="AA3032" s="6">
        <v>0</v>
      </c>
      <c r="AB3032" s="4">
        <f t="shared" si="475"/>
        <v>13024132.243694318</v>
      </c>
      <c r="AC3032" s="4">
        <f t="shared" si="479"/>
        <v>7733729.7263056841</v>
      </c>
      <c r="AD3032" s="6">
        <v>13809544.020000007</v>
      </c>
      <c r="AE3032" s="2">
        <f>VLOOKUP(I3032,[1]媒体政策预估表!A:N,MATCH(O3032,[1]媒体政策预估表!$A$2:$M$2,0),0)</f>
        <v>7.0000000000000007E-2</v>
      </c>
      <c r="AF3032" s="6">
        <f t="shared" si="480"/>
        <v>966668.08140000061</v>
      </c>
      <c r="AG3032" s="14">
        <v>0.503</v>
      </c>
      <c r="AH3032" s="6">
        <f t="shared" si="478"/>
        <v>13810952.741184298</v>
      </c>
      <c r="AI3032" s="47"/>
      <c r="AJ3032" s="126" t="e">
        <v>#N/A</v>
      </c>
      <c r="AK3032" s="80">
        <f t="shared" si="476"/>
        <v>0</v>
      </c>
      <c r="AM3032" s="85"/>
    </row>
    <row r="3033" spans="1:39" hidden="1" x14ac:dyDescent="0.3">
      <c r="A3033" s="89" t="s">
        <v>3397</v>
      </c>
      <c r="B3033" s="86" t="s">
        <v>35</v>
      </c>
      <c r="C3033" s="86" t="s">
        <v>47</v>
      </c>
      <c r="D3033" s="86" t="s">
        <v>63</v>
      </c>
      <c r="E3033" s="86" t="s">
        <v>3416</v>
      </c>
      <c r="F3033" s="86" t="s">
        <v>2478</v>
      </c>
      <c r="G3033" s="86" t="s">
        <v>2409</v>
      </c>
      <c r="H3033" s="143">
        <v>237</v>
      </c>
      <c r="I3033" s="86" t="s">
        <v>2374</v>
      </c>
      <c r="J3033" s="1" t="s">
        <v>3322</v>
      </c>
      <c r="K3033" s="1" t="s">
        <v>3269</v>
      </c>
      <c r="L3033" s="1" t="s">
        <v>35</v>
      </c>
      <c r="M3033" s="86" t="s">
        <v>2479</v>
      </c>
      <c r="N3033" s="86"/>
      <c r="O3033" s="47" t="s">
        <v>45</v>
      </c>
      <c r="P3033" s="47" t="s">
        <v>46</v>
      </c>
      <c r="Q3033" s="14">
        <v>5.5E-2</v>
      </c>
      <c r="R3033" s="143"/>
      <c r="S3033" s="47"/>
      <c r="T3033" s="18">
        <v>71837.400000000256</v>
      </c>
      <c r="U3033" s="6">
        <v>-71837.42</v>
      </c>
      <c r="V3033" s="6">
        <v>0</v>
      </c>
      <c r="W3033" s="6">
        <v>0</v>
      </c>
      <c r="X3033" s="6">
        <f t="shared" si="477"/>
        <v>0</v>
      </c>
      <c r="Y3033" s="13">
        <f t="shared" si="474"/>
        <v>0</v>
      </c>
      <c r="Z3033" s="14">
        <v>0</v>
      </c>
      <c r="AA3033" s="6">
        <v>0</v>
      </c>
      <c r="AB3033" s="4">
        <f t="shared" si="475"/>
        <v>0</v>
      </c>
      <c r="AC3033" s="4">
        <f t="shared" si="479"/>
        <v>0</v>
      </c>
      <c r="AD3033" s="6">
        <v>0</v>
      </c>
      <c r="AE3033" s="2">
        <f>VLOOKUP(I3033,[1]媒体政策预估表!A:N,MATCH(O3033,[1]媒体政策预估表!$A$2:$M$2,0),0)</f>
        <v>0.06</v>
      </c>
      <c r="AF3033" s="6">
        <f t="shared" si="480"/>
        <v>0</v>
      </c>
      <c r="AG3033" s="14">
        <v>0</v>
      </c>
      <c r="AH3033" s="6">
        <f t="shared" si="478"/>
        <v>0</v>
      </c>
      <c r="AI3033" s="47"/>
      <c r="AJ3033" s="126" t="e">
        <v>#N/A</v>
      </c>
      <c r="AK3033" s="80">
        <f t="shared" si="476"/>
        <v>0</v>
      </c>
      <c r="AM3033" s="85"/>
    </row>
    <row r="3034" spans="1:39" hidden="1" x14ac:dyDescent="0.3">
      <c r="A3034" s="89" t="s">
        <v>3397</v>
      </c>
      <c r="B3034" s="86" t="s">
        <v>35</v>
      </c>
      <c r="C3034" s="86" t="s">
        <v>47</v>
      </c>
      <c r="D3034" s="86" t="s">
        <v>63</v>
      </c>
      <c r="E3034" s="86" t="s">
        <v>528</v>
      </c>
      <c r="F3034" s="86" t="s">
        <v>528</v>
      </c>
      <c r="G3034" s="86" t="s">
        <v>528</v>
      </c>
      <c r="H3034" s="144">
        <v>237</v>
      </c>
      <c r="I3034" s="86" t="s">
        <v>2374</v>
      </c>
      <c r="J3034" s="1" t="s">
        <v>3322</v>
      </c>
      <c r="K3034" s="1" t="s">
        <v>3269</v>
      </c>
      <c r="L3034" s="1" t="s">
        <v>35</v>
      </c>
      <c r="M3034" s="86" t="s">
        <v>2391</v>
      </c>
      <c r="N3034" s="86"/>
      <c r="O3034" s="47" t="s">
        <v>45</v>
      </c>
      <c r="P3034" s="47" t="s">
        <v>41</v>
      </c>
      <c r="Q3034" s="14">
        <v>0</v>
      </c>
      <c r="R3034" s="143"/>
      <c r="S3034" s="47"/>
      <c r="T3034" s="6">
        <v>2980191.3546200031</v>
      </c>
      <c r="U3034" s="6">
        <v>7300000</v>
      </c>
      <c r="V3034" s="6">
        <v>4077264.4100000015</v>
      </c>
      <c r="W3034" s="6">
        <f t="shared" si="470"/>
        <v>6202926.9446200002</v>
      </c>
      <c r="X3034" s="6">
        <f t="shared" si="477"/>
        <v>4077264.4100000015</v>
      </c>
      <c r="Y3034" s="13">
        <f t="shared" si="474"/>
        <v>0</v>
      </c>
      <c r="Z3034" s="14">
        <v>0</v>
      </c>
      <c r="AA3034" s="6">
        <v>0</v>
      </c>
      <c r="AB3034" s="4">
        <f t="shared" si="475"/>
        <v>4077264.4100000015</v>
      </c>
      <c r="AC3034" s="4">
        <f t="shared" si="479"/>
        <v>0</v>
      </c>
      <c r="AD3034" s="6">
        <v>4077264.4100000015</v>
      </c>
      <c r="AE3034" s="2">
        <f>VLOOKUP(I3034,[1]媒体政策预估表!A:N,MATCH(O3034,[1]媒体政策预估表!$A$2:$M$2,0),0)</f>
        <v>0.06</v>
      </c>
      <c r="AF3034" s="6">
        <f t="shared" si="480"/>
        <v>244635.86460000009</v>
      </c>
      <c r="AG3034" s="14">
        <v>0</v>
      </c>
      <c r="AH3034" s="6">
        <f t="shared" si="478"/>
        <v>4077264.4100000015</v>
      </c>
      <c r="AI3034" s="47"/>
      <c r="AJ3034" s="126" t="e">
        <v>#N/A</v>
      </c>
      <c r="AK3034" s="80">
        <f t="shared" si="476"/>
        <v>0</v>
      </c>
      <c r="AM3034" s="85"/>
    </row>
    <row r="3035" spans="1:39" hidden="1" x14ac:dyDescent="0.3">
      <c r="A3035" s="89" t="s">
        <v>3408</v>
      </c>
      <c r="B3035" s="86" t="s">
        <v>35</v>
      </c>
      <c r="C3035" s="86" t="s">
        <v>47</v>
      </c>
      <c r="D3035" s="86" t="s">
        <v>63</v>
      </c>
      <c r="E3035" s="86" t="s">
        <v>528</v>
      </c>
      <c r="F3035" s="86" t="s">
        <v>528</v>
      </c>
      <c r="G3035" s="86" t="s">
        <v>528</v>
      </c>
      <c r="H3035" s="144">
        <v>237</v>
      </c>
      <c r="I3035" s="86" t="s">
        <v>2374</v>
      </c>
      <c r="J3035" s="1" t="s">
        <v>3322</v>
      </c>
      <c r="K3035" s="1" t="s">
        <v>3269</v>
      </c>
      <c r="L3035" s="1" t="s">
        <v>35</v>
      </c>
      <c r="M3035" s="86" t="s">
        <v>2391</v>
      </c>
      <c r="N3035" s="86"/>
      <c r="O3035" s="47" t="s">
        <v>40</v>
      </c>
      <c r="P3035" s="47" t="s">
        <v>41</v>
      </c>
      <c r="Q3035" s="14">
        <v>0</v>
      </c>
      <c r="R3035" s="143"/>
      <c r="S3035" s="47"/>
      <c r="T3035" s="6">
        <v>2420656.7699999996</v>
      </c>
      <c r="U3035" s="6">
        <v>3200000</v>
      </c>
      <c r="V3035" s="6">
        <v>1642078.6600000001</v>
      </c>
      <c r="W3035" s="6">
        <f t="shared" si="470"/>
        <v>3978578.1099999994</v>
      </c>
      <c r="X3035" s="6">
        <f t="shared" si="477"/>
        <v>1642078.6600000001</v>
      </c>
      <c r="Y3035" s="13">
        <f t="shared" si="474"/>
        <v>0</v>
      </c>
      <c r="Z3035" s="14">
        <v>0</v>
      </c>
      <c r="AA3035" s="6">
        <v>0</v>
      </c>
      <c r="AB3035" s="4">
        <f t="shared" si="475"/>
        <v>1642078.6600000001</v>
      </c>
      <c r="AC3035" s="4">
        <f t="shared" si="479"/>
        <v>0</v>
      </c>
      <c r="AD3035" s="6">
        <v>1642078.6600000001</v>
      </c>
      <c r="AE3035" s="2">
        <f>VLOOKUP(I3035,[1]媒体政策预估表!A:N,MATCH(O3035,[1]媒体政策预估表!$A$2:$M$2,0),0)</f>
        <v>7.0000000000000007E-2</v>
      </c>
      <c r="AF3035" s="6">
        <f t="shared" si="480"/>
        <v>114945.50620000002</v>
      </c>
      <c r="AG3035" s="14">
        <v>0</v>
      </c>
      <c r="AH3035" s="6">
        <f t="shared" si="478"/>
        <v>1642078.6600000001</v>
      </c>
      <c r="AI3035" s="47"/>
      <c r="AJ3035" s="126" t="e">
        <v>#N/A</v>
      </c>
      <c r="AK3035" s="80">
        <f t="shared" si="476"/>
        <v>0</v>
      </c>
      <c r="AM3035" s="85"/>
    </row>
    <row r="3036" spans="1:39" hidden="1" x14ac:dyDescent="0.3">
      <c r="A3036" s="89" t="s">
        <v>3397</v>
      </c>
      <c r="B3036" s="86" t="s">
        <v>35</v>
      </c>
      <c r="C3036" s="86" t="s">
        <v>47</v>
      </c>
      <c r="D3036" s="86" t="s">
        <v>63</v>
      </c>
      <c r="E3036" s="86" t="s">
        <v>528</v>
      </c>
      <c r="F3036" s="86" t="s">
        <v>2392</v>
      </c>
      <c r="G3036" s="86" t="s">
        <v>528</v>
      </c>
      <c r="H3036" s="144">
        <v>237</v>
      </c>
      <c r="I3036" s="86" t="s">
        <v>2374</v>
      </c>
      <c r="J3036" s="1" t="s">
        <v>3322</v>
      </c>
      <c r="K3036" s="1" t="s">
        <v>3269</v>
      </c>
      <c r="L3036" s="1" t="s">
        <v>35</v>
      </c>
      <c r="M3036" s="86" t="s">
        <v>2391</v>
      </c>
      <c r="N3036" s="86"/>
      <c r="O3036" s="47" t="s">
        <v>40</v>
      </c>
      <c r="P3036" s="47" t="s">
        <v>41</v>
      </c>
      <c r="Q3036" s="14">
        <v>0</v>
      </c>
      <c r="R3036" s="143"/>
      <c r="S3036" s="47"/>
      <c r="T3036" s="6">
        <v>191851.60446000006</v>
      </c>
      <c r="U3036" s="6">
        <v>1050000</v>
      </c>
      <c r="V3036" s="6">
        <v>344126.96000000008</v>
      </c>
      <c r="W3036" s="6">
        <f t="shared" si="470"/>
        <v>897724.64445999998</v>
      </c>
      <c r="X3036" s="6">
        <f t="shared" si="477"/>
        <v>344126.96000000008</v>
      </c>
      <c r="Y3036" s="13">
        <f t="shared" si="474"/>
        <v>0</v>
      </c>
      <c r="Z3036" s="14">
        <v>0</v>
      </c>
      <c r="AA3036" s="6">
        <v>0</v>
      </c>
      <c r="AB3036" s="4">
        <f t="shared" si="475"/>
        <v>344126.96000000008</v>
      </c>
      <c r="AC3036" s="4">
        <f t="shared" si="479"/>
        <v>0</v>
      </c>
      <c r="AD3036" s="6">
        <v>344126.96000000008</v>
      </c>
      <c r="AE3036" s="2">
        <f>VLOOKUP(I3036,[1]媒体政策预估表!A:N,MATCH(O3036,[1]媒体政策预估表!$A$2:$M$2,0),0)</f>
        <v>7.0000000000000007E-2</v>
      </c>
      <c r="AF3036" s="6">
        <f t="shared" si="480"/>
        <v>24088.887200000008</v>
      </c>
      <c r="AG3036" s="14">
        <v>0</v>
      </c>
      <c r="AH3036" s="6">
        <f t="shared" si="478"/>
        <v>344126.96000000008</v>
      </c>
      <c r="AI3036" s="47"/>
      <c r="AJ3036" s="126" t="e">
        <v>#N/A</v>
      </c>
      <c r="AK3036" s="80">
        <f t="shared" si="476"/>
        <v>0</v>
      </c>
      <c r="AM3036" s="85"/>
    </row>
    <row r="3037" spans="1:39" hidden="1" x14ac:dyDescent="0.3">
      <c r="A3037" s="89" t="s">
        <v>3408</v>
      </c>
      <c r="B3037" s="86" t="s">
        <v>35</v>
      </c>
      <c r="C3037" s="86" t="s">
        <v>47</v>
      </c>
      <c r="D3037" s="86" t="s">
        <v>63</v>
      </c>
      <c r="E3037" s="86" t="s">
        <v>2393</v>
      </c>
      <c r="F3037" s="86" t="s">
        <v>2394</v>
      </c>
      <c r="G3037" s="86" t="s">
        <v>2393</v>
      </c>
      <c r="H3037" s="143">
        <v>237</v>
      </c>
      <c r="I3037" s="86" t="s">
        <v>2374</v>
      </c>
      <c r="J3037" s="1" t="s">
        <v>3322</v>
      </c>
      <c r="K3037" s="1" t="s">
        <v>3269</v>
      </c>
      <c r="L3037" s="1" t="s">
        <v>35</v>
      </c>
      <c r="M3037" s="86" t="s">
        <v>2404</v>
      </c>
      <c r="N3037" s="86"/>
      <c r="O3037" s="47" t="s">
        <v>45</v>
      </c>
      <c r="P3037" s="47" t="s">
        <v>46</v>
      </c>
      <c r="Q3037" s="14">
        <v>5.5E-2</v>
      </c>
      <c r="R3037" s="143"/>
      <c r="S3037" s="47"/>
      <c r="T3037" s="18">
        <v>212325.64000000028</v>
      </c>
      <c r="U3037" s="6">
        <v>-212335.44</v>
      </c>
      <c r="V3037" s="6">
        <v>0</v>
      </c>
      <c r="W3037" s="6">
        <v>0</v>
      </c>
      <c r="X3037" s="6">
        <f t="shared" si="477"/>
        <v>0</v>
      </c>
      <c r="Y3037" s="13">
        <f t="shared" si="474"/>
        <v>0</v>
      </c>
      <c r="Z3037" s="14">
        <v>0</v>
      </c>
      <c r="AA3037" s="6">
        <v>0</v>
      </c>
      <c r="AB3037" s="4">
        <f t="shared" si="475"/>
        <v>0</v>
      </c>
      <c r="AC3037" s="4">
        <f t="shared" si="479"/>
        <v>0</v>
      </c>
      <c r="AD3037" s="6">
        <v>3896037.6899999972</v>
      </c>
      <c r="AE3037" s="2">
        <f>VLOOKUP(I3037,[1]媒体政策预估表!A:N,MATCH(O3037,[1]媒体政策预估表!$A$2:$M$2,0),0)</f>
        <v>0.06</v>
      </c>
      <c r="AF3037" s="6">
        <f t="shared" si="480"/>
        <v>233762.26139999981</v>
      </c>
      <c r="AG3037" s="14">
        <v>0</v>
      </c>
      <c r="AH3037" s="6">
        <f t="shared" si="478"/>
        <v>0</v>
      </c>
      <c r="AI3037" s="47"/>
      <c r="AJ3037" s="126" t="e">
        <v>#N/A</v>
      </c>
      <c r="AK3037" s="80">
        <f t="shared" si="476"/>
        <v>0</v>
      </c>
      <c r="AM3037" s="85"/>
    </row>
    <row r="3038" spans="1:39" hidden="1" x14ac:dyDescent="0.3">
      <c r="A3038" s="89" t="s">
        <v>3397</v>
      </c>
      <c r="B3038" s="86" t="s">
        <v>35</v>
      </c>
      <c r="C3038" s="86" t="s">
        <v>47</v>
      </c>
      <c r="D3038" s="86" t="s">
        <v>63</v>
      </c>
      <c r="E3038" s="86" t="s">
        <v>2393</v>
      </c>
      <c r="F3038" s="86" t="s">
        <v>2398</v>
      </c>
      <c r="G3038" s="86" t="s">
        <v>2393</v>
      </c>
      <c r="H3038" s="144">
        <v>237</v>
      </c>
      <c r="I3038" s="86" t="s">
        <v>2374</v>
      </c>
      <c r="J3038" s="1" t="s">
        <v>3322</v>
      </c>
      <c r="K3038" s="1" t="s">
        <v>3269</v>
      </c>
      <c r="L3038" s="1" t="s">
        <v>35</v>
      </c>
      <c r="M3038" s="86" t="s">
        <v>2395</v>
      </c>
      <c r="N3038" s="86"/>
      <c r="O3038" s="47" t="s">
        <v>45</v>
      </c>
      <c r="P3038" s="47" t="s">
        <v>46</v>
      </c>
      <c r="Q3038" s="14">
        <v>5.5E-2</v>
      </c>
      <c r="R3038" s="143"/>
      <c r="S3038" s="47"/>
      <c r="T3038" s="6">
        <v>12335445.378799999</v>
      </c>
      <c r="U3038" s="6">
        <v>2112549.9989000005</v>
      </c>
      <c r="V3038" s="6">
        <v>4913668.3299999991</v>
      </c>
      <c r="W3038" s="6">
        <f t="shared" si="470"/>
        <v>9534327.0476999991</v>
      </c>
      <c r="X3038" s="6">
        <f t="shared" si="477"/>
        <v>3884322.7905138335</v>
      </c>
      <c r="Y3038" s="13">
        <f t="shared" si="474"/>
        <v>0</v>
      </c>
      <c r="Z3038" s="14">
        <v>0</v>
      </c>
      <c r="AA3038" s="6">
        <v>0</v>
      </c>
      <c r="AB3038" s="4">
        <f t="shared" si="475"/>
        <v>3884322.7905138335</v>
      </c>
      <c r="AC3038" s="4">
        <f t="shared" si="479"/>
        <v>1029345.5394861656</v>
      </c>
      <c r="AD3038" s="6">
        <v>4607928.6399999987</v>
      </c>
      <c r="AE3038" s="2">
        <f>VLOOKUP(I3038,[1]媒体政策预估表!A:N,MATCH(O3038,[1]媒体政策预估表!$A$2:$M$2,0),0)</f>
        <v>0.06</v>
      </c>
      <c r="AF3038" s="6">
        <f t="shared" si="480"/>
        <v>276475.7183999999</v>
      </c>
      <c r="AG3038" s="14">
        <v>0.21</v>
      </c>
      <c r="AH3038" s="6">
        <f t="shared" si="478"/>
        <v>4060882.9173553712</v>
      </c>
      <c r="AI3038" s="47"/>
      <c r="AJ3038" s="126" t="e">
        <v>#N/A</v>
      </c>
      <c r="AK3038" s="80">
        <f t="shared" si="476"/>
        <v>0</v>
      </c>
      <c r="AM3038" s="85"/>
    </row>
    <row r="3039" spans="1:39" hidden="1" x14ac:dyDescent="0.3">
      <c r="A3039" s="89" t="s">
        <v>3408</v>
      </c>
      <c r="B3039" s="86" t="s">
        <v>35</v>
      </c>
      <c r="C3039" s="86" t="s">
        <v>47</v>
      </c>
      <c r="D3039" s="86" t="s">
        <v>63</v>
      </c>
      <c r="E3039" s="86" t="s">
        <v>2393</v>
      </c>
      <c r="F3039" s="86" t="s">
        <v>2398</v>
      </c>
      <c r="G3039" s="86" t="s">
        <v>2393</v>
      </c>
      <c r="H3039" s="144">
        <v>237</v>
      </c>
      <c r="I3039" s="86" t="s">
        <v>2374</v>
      </c>
      <c r="J3039" s="1" t="s">
        <v>3322</v>
      </c>
      <c r="K3039" s="1" t="s">
        <v>3269</v>
      </c>
      <c r="L3039" s="1" t="s">
        <v>35</v>
      </c>
      <c r="M3039" s="86" t="s">
        <v>2395</v>
      </c>
      <c r="N3039" s="86"/>
      <c r="O3039" s="47" t="s">
        <v>40</v>
      </c>
      <c r="P3039" s="47" t="s">
        <v>46</v>
      </c>
      <c r="Q3039" s="14">
        <v>5.5E-2</v>
      </c>
      <c r="R3039" s="143"/>
      <c r="S3039" s="47"/>
      <c r="T3039" s="6">
        <v>1126793.2704</v>
      </c>
      <c r="U3039" s="6">
        <v>4856250.0060000001</v>
      </c>
      <c r="V3039" s="6">
        <v>2356684.9900000002</v>
      </c>
      <c r="W3039" s="6">
        <f t="shared" si="470"/>
        <v>3626358.2863999996</v>
      </c>
      <c r="X3039" s="6">
        <f t="shared" si="477"/>
        <v>1819833.9691119695</v>
      </c>
      <c r="Y3039" s="13">
        <f t="shared" si="474"/>
        <v>0</v>
      </c>
      <c r="Z3039" s="14">
        <v>0</v>
      </c>
      <c r="AA3039" s="6">
        <v>0</v>
      </c>
      <c r="AB3039" s="4">
        <f t="shared" si="475"/>
        <v>1819833.9691119695</v>
      </c>
      <c r="AC3039" s="4">
        <f t="shared" si="479"/>
        <v>536851.02088803076</v>
      </c>
      <c r="AD3039" s="6">
        <v>2190415.4599999995</v>
      </c>
      <c r="AE3039" s="2">
        <f>VLOOKUP(I3039,[1]媒体政策预估表!A:N,MATCH(O3039,[1]媒体政策预估表!$A$2:$M$2,0),0)</f>
        <v>7.0000000000000007E-2</v>
      </c>
      <c r="AF3039" s="6">
        <f t="shared" si="480"/>
        <v>153329.08219999998</v>
      </c>
      <c r="AG3039" s="14">
        <v>0.24</v>
      </c>
      <c r="AH3039" s="6">
        <f t="shared" si="478"/>
        <v>1900552.4112903227</v>
      </c>
      <c r="AI3039" s="47"/>
      <c r="AJ3039" s="126" t="e">
        <v>#N/A</v>
      </c>
      <c r="AK3039" s="80">
        <f t="shared" si="476"/>
        <v>0</v>
      </c>
      <c r="AM3039" s="85"/>
    </row>
    <row r="3040" spans="1:39" hidden="1" x14ac:dyDescent="0.3">
      <c r="A3040" s="89" t="s">
        <v>3397</v>
      </c>
      <c r="B3040" s="86" t="s">
        <v>35</v>
      </c>
      <c r="C3040" s="86" t="s">
        <v>47</v>
      </c>
      <c r="D3040" s="86" t="s">
        <v>63</v>
      </c>
      <c r="E3040" s="86" t="s">
        <v>2393</v>
      </c>
      <c r="F3040" s="86" t="s">
        <v>2399</v>
      </c>
      <c r="G3040" s="86" t="s">
        <v>2393</v>
      </c>
      <c r="H3040" s="144">
        <v>237</v>
      </c>
      <c r="I3040" s="86" t="s">
        <v>2374</v>
      </c>
      <c r="J3040" s="1" t="s">
        <v>3322</v>
      </c>
      <c r="K3040" s="1" t="s">
        <v>3269</v>
      </c>
      <c r="L3040" s="1" t="s">
        <v>35</v>
      </c>
      <c r="M3040" s="86" t="s">
        <v>2401</v>
      </c>
      <c r="N3040" s="86"/>
      <c r="O3040" s="47" t="s">
        <v>45</v>
      </c>
      <c r="P3040" s="47" t="s">
        <v>46</v>
      </c>
      <c r="Q3040" s="14">
        <v>5.5E-2</v>
      </c>
      <c r="R3040" s="143"/>
      <c r="S3040" s="47"/>
      <c r="T3040" s="6">
        <v>18990.120000000017</v>
      </c>
      <c r="U3040" s="6">
        <v>29540</v>
      </c>
      <c r="V3040" s="6">
        <v>14612.710000000003</v>
      </c>
      <c r="W3040" s="6">
        <f t="shared" si="470"/>
        <v>33917.410000000018</v>
      </c>
      <c r="X3040" s="6">
        <f t="shared" si="477"/>
        <v>13850.909952606638</v>
      </c>
      <c r="Y3040" s="13">
        <f t="shared" si="474"/>
        <v>0</v>
      </c>
      <c r="Z3040" s="14">
        <v>0</v>
      </c>
      <c r="AA3040" s="6">
        <v>0</v>
      </c>
      <c r="AB3040" s="4">
        <f t="shared" si="475"/>
        <v>13850.909952606638</v>
      </c>
      <c r="AC3040" s="4">
        <f t="shared" si="479"/>
        <v>761.80004739336437</v>
      </c>
      <c r="AD3040" s="6">
        <v>14612.710000000003</v>
      </c>
      <c r="AE3040" s="2">
        <f>VLOOKUP(I3040,[1]媒体政策预估表!A:N,MATCH(O3040,[1]媒体政策预估表!$A$2:$M$2,0),0)</f>
        <v>0.06</v>
      </c>
      <c r="AF3040" s="6">
        <f t="shared" si="480"/>
        <v>876.76260000000013</v>
      </c>
      <c r="AG3040" s="14">
        <v>0</v>
      </c>
      <c r="AH3040" s="6">
        <f t="shared" si="478"/>
        <v>14612.710000000003</v>
      </c>
      <c r="AI3040" s="47"/>
      <c r="AJ3040" s="126" t="e">
        <v>#N/A</v>
      </c>
      <c r="AK3040" s="80">
        <f t="shared" si="476"/>
        <v>0</v>
      </c>
      <c r="AM3040" s="85"/>
    </row>
    <row r="3041" spans="1:39" hidden="1" x14ac:dyDescent="0.3">
      <c r="A3041" s="89" t="s">
        <v>3408</v>
      </c>
      <c r="B3041" s="86" t="s">
        <v>35</v>
      </c>
      <c r="C3041" s="86" t="s">
        <v>47</v>
      </c>
      <c r="D3041" s="86" t="s">
        <v>63</v>
      </c>
      <c r="E3041" s="86" t="s">
        <v>2393</v>
      </c>
      <c r="F3041" s="86" t="s">
        <v>2399</v>
      </c>
      <c r="G3041" s="86" t="s">
        <v>2393</v>
      </c>
      <c r="H3041" s="144">
        <v>237</v>
      </c>
      <c r="I3041" s="86" t="s">
        <v>2374</v>
      </c>
      <c r="J3041" s="1" t="s">
        <v>3322</v>
      </c>
      <c r="K3041" s="1" t="s">
        <v>3269</v>
      </c>
      <c r="L3041" s="1" t="s">
        <v>35</v>
      </c>
      <c r="M3041" s="86" t="s">
        <v>2395</v>
      </c>
      <c r="N3041" s="86"/>
      <c r="O3041" s="47" t="s">
        <v>45</v>
      </c>
      <c r="P3041" s="47" t="s">
        <v>46</v>
      </c>
      <c r="Q3041" s="14">
        <v>5.5E-2</v>
      </c>
      <c r="R3041" s="143"/>
      <c r="S3041" s="47"/>
      <c r="T3041" s="6">
        <v>0</v>
      </c>
      <c r="U3041" s="6">
        <v>2775705</v>
      </c>
      <c r="V3041" s="6">
        <v>547000.6400000006</v>
      </c>
      <c r="W3041" s="6">
        <f t="shared" si="470"/>
        <v>2228704.3599999994</v>
      </c>
      <c r="X3041" s="6">
        <f t="shared" si="477"/>
        <v>518484.01895734656</v>
      </c>
      <c r="Y3041" s="13">
        <f t="shared" si="474"/>
        <v>518484.01895734656</v>
      </c>
      <c r="Z3041" s="14">
        <v>0</v>
      </c>
      <c r="AA3041" s="6">
        <v>0</v>
      </c>
      <c r="AB3041" s="4">
        <f t="shared" si="475"/>
        <v>518484.01895734656</v>
      </c>
      <c r="AC3041" s="4">
        <f t="shared" si="479"/>
        <v>28516.621042654035</v>
      </c>
      <c r="AD3041" s="6">
        <v>0</v>
      </c>
      <c r="AE3041" s="2">
        <f>VLOOKUP(I3041,[1]媒体政策预估表!A:N,MATCH(O3041,[1]媒体政策预估表!$A$2:$M$2,0),0)</f>
        <v>0.06</v>
      </c>
      <c r="AF3041" s="6">
        <f t="shared" si="480"/>
        <v>0</v>
      </c>
      <c r="AG3041" s="14">
        <v>0</v>
      </c>
      <c r="AH3041" s="6">
        <f t="shared" si="478"/>
        <v>547000.6400000006</v>
      </c>
      <c r="AI3041" s="47"/>
      <c r="AJ3041" s="126" t="e">
        <v>#N/A</v>
      </c>
      <c r="AK3041" s="80">
        <f t="shared" si="476"/>
        <v>0</v>
      </c>
      <c r="AM3041" s="85"/>
    </row>
    <row r="3042" spans="1:39" hidden="1" x14ac:dyDescent="0.3">
      <c r="A3042" s="89" t="s">
        <v>3397</v>
      </c>
      <c r="B3042" s="86" t="s">
        <v>35</v>
      </c>
      <c r="C3042" s="86" t="s">
        <v>47</v>
      </c>
      <c r="D3042" s="86" t="s">
        <v>63</v>
      </c>
      <c r="E3042" s="86" t="s">
        <v>2393</v>
      </c>
      <c r="F3042" s="86" t="s">
        <v>2399</v>
      </c>
      <c r="G3042" s="86" t="s">
        <v>2393</v>
      </c>
      <c r="H3042" s="144">
        <v>237</v>
      </c>
      <c r="I3042" s="86" t="s">
        <v>2374</v>
      </c>
      <c r="J3042" s="1" t="s">
        <v>3322</v>
      </c>
      <c r="K3042" s="1" t="s">
        <v>3269</v>
      </c>
      <c r="L3042" s="1" t="s">
        <v>35</v>
      </c>
      <c r="M3042" s="86" t="s">
        <v>2395</v>
      </c>
      <c r="N3042" s="86"/>
      <c r="O3042" s="47" t="s">
        <v>40</v>
      </c>
      <c r="P3042" s="47" t="s">
        <v>46</v>
      </c>
      <c r="Q3042" s="14">
        <v>5.5E-2</v>
      </c>
      <c r="R3042" s="143"/>
      <c r="S3042" s="47"/>
      <c r="T3042" s="6">
        <v>0</v>
      </c>
      <c r="U3042" s="6">
        <v>4283300</v>
      </c>
      <c r="V3042" s="6">
        <v>290285.20999999996</v>
      </c>
      <c r="W3042" s="6">
        <f t="shared" si="470"/>
        <v>3993014.79</v>
      </c>
      <c r="X3042" s="6">
        <f t="shared" si="477"/>
        <v>275151.85781990521</v>
      </c>
      <c r="Y3042" s="13">
        <f t="shared" si="474"/>
        <v>275151.85781990521</v>
      </c>
      <c r="Z3042" s="14">
        <v>0</v>
      </c>
      <c r="AA3042" s="6">
        <v>0</v>
      </c>
      <c r="AB3042" s="4">
        <f t="shared" si="475"/>
        <v>275151.85781990521</v>
      </c>
      <c r="AC3042" s="4">
        <f t="shared" si="479"/>
        <v>15133.352180094749</v>
      </c>
      <c r="AD3042" s="6">
        <v>0</v>
      </c>
      <c r="AE3042" s="2">
        <f>VLOOKUP(I3042,[1]媒体政策预估表!A:N,MATCH(O3042,[1]媒体政策预估表!$A$2:$M$2,0),0)</f>
        <v>7.0000000000000007E-2</v>
      </c>
      <c r="AF3042" s="6">
        <f t="shared" si="480"/>
        <v>0</v>
      </c>
      <c r="AG3042" s="14">
        <v>0</v>
      </c>
      <c r="AH3042" s="6">
        <f t="shared" si="478"/>
        <v>290285.20999999996</v>
      </c>
      <c r="AI3042" s="47"/>
      <c r="AJ3042" s="126" t="e">
        <v>#N/A</v>
      </c>
      <c r="AK3042" s="80">
        <f t="shared" si="476"/>
        <v>0</v>
      </c>
      <c r="AM3042" s="85"/>
    </row>
    <row r="3043" spans="1:39" hidden="1" x14ac:dyDescent="0.3">
      <c r="A3043" s="89" t="s">
        <v>3397</v>
      </c>
      <c r="B3043" s="86" t="s">
        <v>35</v>
      </c>
      <c r="C3043" s="86" t="s">
        <v>47</v>
      </c>
      <c r="D3043" s="86" t="s">
        <v>63</v>
      </c>
      <c r="E3043" s="86" t="s">
        <v>2393</v>
      </c>
      <c r="F3043" s="86" t="s">
        <v>2399</v>
      </c>
      <c r="G3043" s="86" t="s">
        <v>2393</v>
      </c>
      <c r="H3043" s="143">
        <v>237</v>
      </c>
      <c r="I3043" s="86" t="s">
        <v>2374</v>
      </c>
      <c r="J3043" s="1" t="s">
        <v>3322</v>
      </c>
      <c r="K3043" s="1" t="s">
        <v>3269</v>
      </c>
      <c r="L3043" s="1" t="s">
        <v>35</v>
      </c>
      <c r="M3043" s="86" t="s">
        <v>2396</v>
      </c>
      <c r="N3043" s="86"/>
      <c r="O3043" s="47" t="s">
        <v>45</v>
      </c>
      <c r="P3043" s="47" t="s">
        <v>46</v>
      </c>
      <c r="Q3043" s="14">
        <v>5.5E-2</v>
      </c>
      <c r="R3043" s="143"/>
      <c r="S3043" s="47"/>
      <c r="T3043" s="6">
        <v>30933.549999999974</v>
      </c>
      <c r="U3043" s="6">
        <v>42200</v>
      </c>
      <c r="V3043" s="6">
        <v>0</v>
      </c>
      <c r="W3043" s="6">
        <f t="shared" si="470"/>
        <v>73133.549999999974</v>
      </c>
      <c r="X3043" s="6">
        <f t="shared" si="477"/>
        <v>0</v>
      </c>
      <c r="Y3043" s="13">
        <f t="shared" si="474"/>
        <v>0</v>
      </c>
      <c r="Z3043" s="14">
        <v>0</v>
      </c>
      <c r="AA3043" s="6">
        <v>0</v>
      </c>
      <c r="AB3043" s="4">
        <f t="shared" si="475"/>
        <v>0</v>
      </c>
      <c r="AC3043" s="4">
        <f t="shared" si="479"/>
        <v>0</v>
      </c>
      <c r="AD3043" s="6">
        <v>0</v>
      </c>
      <c r="AE3043" s="2">
        <f>VLOOKUP(I3043,[1]媒体政策预估表!A:N,MATCH(O3043,[1]媒体政策预估表!$A$2:$M$2,0),0)</f>
        <v>0.06</v>
      </c>
      <c r="AF3043" s="6">
        <f t="shared" si="480"/>
        <v>0</v>
      </c>
      <c r="AG3043" s="14">
        <v>0</v>
      </c>
      <c r="AH3043" s="6">
        <f t="shared" si="478"/>
        <v>0</v>
      </c>
      <c r="AI3043" s="47"/>
      <c r="AJ3043" s="126" t="e">
        <v>#N/A</v>
      </c>
      <c r="AK3043" s="80">
        <f t="shared" si="476"/>
        <v>0</v>
      </c>
      <c r="AM3043" s="85"/>
    </row>
    <row r="3044" spans="1:39" hidden="1" x14ac:dyDescent="0.3">
      <c r="A3044" s="89" t="s">
        <v>3408</v>
      </c>
      <c r="B3044" s="86" t="s">
        <v>35</v>
      </c>
      <c r="C3044" s="86" t="s">
        <v>47</v>
      </c>
      <c r="D3044" s="86" t="s">
        <v>63</v>
      </c>
      <c r="E3044" s="86" t="s">
        <v>2393</v>
      </c>
      <c r="F3044" s="86" t="s">
        <v>2399</v>
      </c>
      <c r="G3044" s="86" t="s">
        <v>2393</v>
      </c>
      <c r="H3044" s="144">
        <v>237</v>
      </c>
      <c r="I3044" s="86" t="s">
        <v>2374</v>
      </c>
      <c r="J3044" s="1" t="s">
        <v>3322</v>
      </c>
      <c r="K3044" s="1" t="s">
        <v>3269</v>
      </c>
      <c r="L3044" s="1" t="s">
        <v>35</v>
      </c>
      <c r="M3044" s="86" t="s">
        <v>2402</v>
      </c>
      <c r="N3044" s="86"/>
      <c r="O3044" s="47" t="s">
        <v>45</v>
      </c>
      <c r="P3044" s="47" t="s">
        <v>46</v>
      </c>
      <c r="Q3044" s="14">
        <v>5.5E-2</v>
      </c>
      <c r="R3044" s="143"/>
      <c r="S3044" s="47"/>
      <c r="T3044" s="6">
        <v>129032.33999999985</v>
      </c>
      <c r="U3044" s="6">
        <v>506400</v>
      </c>
      <c r="V3044" s="6">
        <v>214640.83000000002</v>
      </c>
      <c r="W3044" s="6">
        <f t="shared" si="470"/>
        <v>420791.50999999983</v>
      </c>
      <c r="X3044" s="6">
        <f t="shared" si="477"/>
        <v>203451.0236966825</v>
      </c>
      <c r="Y3044" s="13">
        <f t="shared" si="474"/>
        <v>0</v>
      </c>
      <c r="Z3044" s="14">
        <v>0</v>
      </c>
      <c r="AA3044" s="6">
        <v>0</v>
      </c>
      <c r="AB3044" s="4">
        <f t="shared" si="475"/>
        <v>203451.0236966825</v>
      </c>
      <c r="AC3044" s="4">
        <f t="shared" si="479"/>
        <v>11189.806303317513</v>
      </c>
      <c r="AD3044" s="6">
        <v>214640.83000000002</v>
      </c>
      <c r="AE3044" s="2">
        <f>VLOOKUP(I3044,[1]媒体政策预估表!A:N,MATCH(O3044,[1]媒体政策预估表!$A$2:$M$2,0),0)</f>
        <v>0.06</v>
      </c>
      <c r="AF3044" s="6">
        <f t="shared" si="480"/>
        <v>12878.4498</v>
      </c>
      <c r="AG3044" s="14">
        <v>0</v>
      </c>
      <c r="AH3044" s="6">
        <f t="shared" si="478"/>
        <v>214640.83000000002</v>
      </c>
      <c r="AI3044" s="47"/>
      <c r="AJ3044" s="126" t="e">
        <v>#N/A</v>
      </c>
      <c r="AK3044" s="80">
        <f t="shared" si="476"/>
        <v>0</v>
      </c>
      <c r="AM3044" s="85"/>
    </row>
    <row r="3045" spans="1:39" hidden="1" x14ac:dyDescent="0.3">
      <c r="A3045" s="89" t="s">
        <v>3408</v>
      </c>
      <c r="B3045" s="86" t="s">
        <v>35</v>
      </c>
      <c r="C3045" s="86" t="s">
        <v>47</v>
      </c>
      <c r="D3045" s="86" t="s">
        <v>63</v>
      </c>
      <c r="E3045" s="86" t="s">
        <v>2393</v>
      </c>
      <c r="F3045" s="86" t="s">
        <v>2399</v>
      </c>
      <c r="G3045" s="86" t="s">
        <v>2393</v>
      </c>
      <c r="H3045" s="144">
        <v>237</v>
      </c>
      <c r="I3045" s="86" t="s">
        <v>2374</v>
      </c>
      <c r="J3045" s="1" t="s">
        <v>3322</v>
      </c>
      <c r="K3045" s="1" t="s">
        <v>3269</v>
      </c>
      <c r="L3045" s="1" t="s">
        <v>35</v>
      </c>
      <c r="M3045" s="86" t="s">
        <v>2404</v>
      </c>
      <c r="N3045" s="86"/>
      <c r="O3045" s="47" t="s">
        <v>45</v>
      </c>
      <c r="P3045" s="47" t="s">
        <v>46</v>
      </c>
      <c r="Q3045" s="14">
        <v>5.5E-2</v>
      </c>
      <c r="R3045" s="143"/>
      <c r="S3045" s="47"/>
      <c r="T3045" s="6">
        <v>0</v>
      </c>
      <c r="U3045" s="6">
        <v>4165140</v>
      </c>
      <c r="V3045" s="6">
        <v>615123.38000000035</v>
      </c>
      <c r="W3045" s="6">
        <f t="shared" si="470"/>
        <v>3550016.6199999996</v>
      </c>
      <c r="X3045" s="6">
        <f t="shared" si="477"/>
        <v>583055.33649289131</v>
      </c>
      <c r="Y3045" s="13">
        <f t="shared" si="474"/>
        <v>583055.33649289131</v>
      </c>
      <c r="Z3045" s="14">
        <v>0</v>
      </c>
      <c r="AA3045" s="6">
        <v>0</v>
      </c>
      <c r="AB3045" s="4">
        <f t="shared" si="475"/>
        <v>583055.33649289131</v>
      </c>
      <c r="AC3045" s="4">
        <f t="shared" si="479"/>
        <v>32068.043507109047</v>
      </c>
      <c r="AD3045" s="6">
        <v>0</v>
      </c>
      <c r="AE3045" s="2">
        <f>VLOOKUP(I3045,[1]媒体政策预估表!A:N,MATCH(O3045,[1]媒体政策预估表!$A$2:$M$2,0),0)</f>
        <v>0.06</v>
      </c>
      <c r="AF3045" s="6">
        <f t="shared" si="480"/>
        <v>0</v>
      </c>
      <c r="AG3045" s="14">
        <v>0</v>
      </c>
      <c r="AH3045" s="6">
        <f t="shared" si="478"/>
        <v>615123.38000000035</v>
      </c>
      <c r="AI3045" s="47"/>
      <c r="AJ3045" s="126" t="e">
        <v>#N/A</v>
      </c>
      <c r="AK3045" s="80">
        <f t="shared" si="476"/>
        <v>0</v>
      </c>
      <c r="AM3045" s="85"/>
    </row>
    <row r="3046" spans="1:39" hidden="1" x14ac:dyDescent="0.3">
      <c r="A3046" s="89" t="s">
        <v>3397</v>
      </c>
      <c r="B3046" s="86" t="s">
        <v>35</v>
      </c>
      <c r="C3046" s="86" t="s">
        <v>47</v>
      </c>
      <c r="D3046" s="86" t="s">
        <v>63</v>
      </c>
      <c r="E3046" s="86" t="s">
        <v>2393</v>
      </c>
      <c r="F3046" s="86" t="s">
        <v>3706</v>
      </c>
      <c r="G3046" s="86" t="s">
        <v>2393</v>
      </c>
      <c r="H3046" s="144">
        <v>237</v>
      </c>
      <c r="I3046" s="86" t="s">
        <v>2374</v>
      </c>
      <c r="J3046" s="1" t="s">
        <v>3322</v>
      </c>
      <c r="K3046" s="1" t="s">
        <v>3269</v>
      </c>
      <c r="L3046" s="1" t="s">
        <v>35</v>
      </c>
      <c r="M3046" s="86" t="s">
        <v>2404</v>
      </c>
      <c r="N3046" s="86"/>
      <c r="O3046" s="47" t="s">
        <v>40</v>
      </c>
      <c r="P3046" s="47" t="s">
        <v>46</v>
      </c>
      <c r="Q3046" s="14">
        <v>5.5E-2</v>
      </c>
      <c r="R3046" s="143"/>
      <c r="S3046" s="47"/>
      <c r="T3046" s="6">
        <v>0</v>
      </c>
      <c r="U3046" s="6">
        <v>2215500</v>
      </c>
      <c r="V3046" s="6">
        <v>539615.87000000011</v>
      </c>
      <c r="W3046" s="6">
        <f t="shared" ref="W3046:W3109" si="481">T3046+U3046-V3046</f>
        <v>1675884.13</v>
      </c>
      <c r="X3046" s="6">
        <f t="shared" si="477"/>
        <v>511484.2369668248</v>
      </c>
      <c r="Y3046" s="13">
        <f t="shared" si="474"/>
        <v>0</v>
      </c>
      <c r="Z3046" s="14">
        <v>0</v>
      </c>
      <c r="AA3046" s="6">
        <v>0</v>
      </c>
      <c r="AB3046" s="4">
        <f t="shared" si="475"/>
        <v>511484.2369668248</v>
      </c>
      <c r="AC3046" s="4">
        <f t="shared" si="479"/>
        <v>28131.633033175312</v>
      </c>
      <c r="AD3046" s="6">
        <v>2903658.6800000016</v>
      </c>
      <c r="AE3046" s="2">
        <f>VLOOKUP(I3046,[1]媒体政策预估表!A:N,MATCH(O3046,[1]媒体政策预估表!$A$2:$M$2,0),0)</f>
        <v>7.0000000000000007E-2</v>
      </c>
      <c r="AF3046" s="6">
        <f t="shared" si="480"/>
        <v>203256.10760000013</v>
      </c>
      <c r="AG3046" s="14">
        <v>0</v>
      </c>
      <c r="AH3046" s="6">
        <f t="shared" si="478"/>
        <v>539615.87000000011</v>
      </c>
      <c r="AI3046" s="47"/>
      <c r="AJ3046" s="126" t="e">
        <v>#N/A</v>
      </c>
      <c r="AK3046" s="80">
        <f t="shared" si="476"/>
        <v>0</v>
      </c>
      <c r="AM3046" s="85"/>
    </row>
    <row r="3047" spans="1:39" hidden="1" x14ac:dyDescent="0.3">
      <c r="A3047" s="89" t="s">
        <v>3408</v>
      </c>
      <c r="B3047" s="86" t="s">
        <v>35</v>
      </c>
      <c r="C3047" s="86" t="s">
        <v>47</v>
      </c>
      <c r="D3047" s="86" t="s">
        <v>63</v>
      </c>
      <c r="E3047" s="86" t="s">
        <v>2393</v>
      </c>
      <c r="F3047" s="86" t="s">
        <v>2403</v>
      </c>
      <c r="G3047" s="86" t="s">
        <v>2393</v>
      </c>
      <c r="H3047" s="143">
        <v>237</v>
      </c>
      <c r="I3047" s="86" t="s">
        <v>2374</v>
      </c>
      <c r="J3047" s="1" t="s">
        <v>3322</v>
      </c>
      <c r="K3047" s="1" t="s">
        <v>3269</v>
      </c>
      <c r="L3047" s="1" t="s">
        <v>35</v>
      </c>
      <c r="M3047" s="86" t="s">
        <v>2404</v>
      </c>
      <c r="N3047" s="86"/>
      <c r="O3047" s="47" t="s">
        <v>45</v>
      </c>
      <c r="P3047" s="47" t="s">
        <v>46</v>
      </c>
      <c r="Q3047" s="14">
        <v>5.5E-2</v>
      </c>
      <c r="R3047" s="143"/>
      <c r="S3047" s="47"/>
      <c r="T3047" s="6">
        <v>1110922.5099999993</v>
      </c>
      <c r="U3047" s="6">
        <v>-42343.004000000008</v>
      </c>
      <c r="V3047" s="6">
        <v>0</v>
      </c>
      <c r="W3047" s="6">
        <f t="shared" si="481"/>
        <v>1068579.5059999994</v>
      </c>
      <c r="X3047" s="6">
        <f t="shared" si="477"/>
        <v>0</v>
      </c>
      <c r="Y3047" s="13">
        <f t="shared" si="474"/>
        <v>0</v>
      </c>
      <c r="Z3047" s="14">
        <v>0</v>
      </c>
      <c r="AA3047" s="6">
        <v>0</v>
      </c>
      <c r="AB3047" s="4">
        <f t="shared" si="475"/>
        <v>0</v>
      </c>
      <c r="AC3047" s="4">
        <f t="shared" si="479"/>
        <v>0</v>
      </c>
      <c r="AD3047" s="6">
        <v>0</v>
      </c>
      <c r="AE3047" s="2">
        <f>VLOOKUP(I3047,[1]媒体政策预估表!A:N,MATCH(O3047,[1]媒体政策预估表!$A$2:$M$2,0),0)</f>
        <v>0.06</v>
      </c>
      <c r="AF3047" s="6">
        <f t="shared" si="480"/>
        <v>0</v>
      </c>
      <c r="AG3047" s="14">
        <v>0.1</v>
      </c>
      <c r="AH3047" s="6">
        <f t="shared" si="478"/>
        <v>0</v>
      </c>
      <c r="AI3047" s="47"/>
      <c r="AJ3047" s="126" t="e">
        <v>#N/A</v>
      </c>
      <c r="AK3047" s="80">
        <f t="shared" si="476"/>
        <v>0</v>
      </c>
      <c r="AM3047" s="85"/>
    </row>
    <row r="3048" spans="1:39" hidden="1" x14ac:dyDescent="0.3">
      <c r="A3048" s="89" t="s">
        <v>3408</v>
      </c>
      <c r="B3048" s="86" t="s">
        <v>35</v>
      </c>
      <c r="C3048" s="86" t="s">
        <v>47</v>
      </c>
      <c r="D3048" s="86" t="s">
        <v>63</v>
      </c>
      <c r="E3048" s="86" t="s">
        <v>2393</v>
      </c>
      <c r="F3048" s="86" t="s">
        <v>2403</v>
      </c>
      <c r="G3048" s="86" t="s">
        <v>2393</v>
      </c>
      <c r="H3048" s="144">
        <v>237</v>
      </c>
      <c r="I3048" s="86" t="s">
        <v>2374</v>
      </c>
      <c r="J3048" s="1" t="s">
        <v>3322</v>
      </c>
      <c r="K3048" s="1" t="s">
        <v>3269</v>
      </c>
      <c r="L3048" s="1" t="s">
        <v>35</v>
      </c>
      <c r="M3048" s="86" t="s">
        <v>2404</v>
      </c>
      <c r="N3048" s="86"/>
      <c r="O3048" s="47" t="s">
        <v>45</v>
      </c>
      <c r="P3048" s="47" t="s">
        <v>46</v>
      </c>
      <c r="Q3048" s="14">
        <v>5.5E-2</v>
      </c>
      <c r="R3048" s="143"/>
      <c r="S3048" s="47"/>
      <c r="T3048" s="6">
        <v>1244461.8046000008</v>
      </c>
      <c r="U3048" s="6">
        <v>-1244615.0640000002</v>
      </c>
      <c r="V3048" s="6">
        <v>2.16</v>
      </c>
      <c r="W3048" s="6">
        <v>0</v>
      </c>
      <c r="X3048" s="6">
        <f t="shared" si="477"/>
        <v>1.8075313807531384</v>
      </c>
      <c r="Y3048" s="13">
        <f t="shared" si="474"/>
        <v>1.8075313807531384</v>
      </c>
      <c r="Z3048" s="14">
        <v>0</v>
      </c>
      <c r="AA3048" s="6">
        <v>0</v>
      </c>
      <c r="AB3048" s="4">
        <f t="shared" si="475"/>
        <v>1.8075313807531384</v>
      </c>
      <c r="AC3048" s="4">
        <f t="shared" si="479"/>
        <v>0.35246861924686179</v>
      </c>
      <c r="AD3048" s="6">
        <v>0</v>
      </c>
      <c r="AE3048" s="2">
        <f>VLOOKUP(I3048,[1]媒体政策预估表!A:N,MATCH(O3048,[1]媒体政策预估表!$A$2:$M$2,0),0)</f>
        <v>0.06</v>
      </c>
      <c r="AF3048" s="6">
        <f t="shared" si="480"/>
        <v>0</v>
      </c>
      <c r="AG3048" s="14">
        <v>0.14000000000000001</v>
      </c>
      <c r="AH3048" s="6">
        <f t="shared" si="478"/>
        <v>1.8947368421052631</v>
      </c>
      <c r="AI3048" s="47"/>
      <c r="AJ3048" s="126" t="e">
        <v>#N/A</v>
      </c>
      <c r="AK3048" s="80">
        <f t="shared" si="476"/>
        <v>0</v>
      </c>
      <c r="AM3048" s="85"/>
    </row>
    <row r="3049" spans="1:39" hidden="1" x14ac:dyDescent="0.3">
      <c r="A3049" s="89" t="s">
        <v>3397</v>
      </c>
      <c r="B3049" s="86" t="s">
        <v>35</v>
      </c>
      <c r="C3049" s="86" t="s">
        <v>47</v>
      </c>
      <c r="D3049" s="86" t="s">
        <v>63</v>
      </c>
      <c r="E3049" s="86" t="s">
        <v>2393</v>
      </c>
      <c r="F3049" s="86" t="s">
        <v>2403</v>
      </c>
      <c r="G3049" s="86" t="s">
        <v>2393</v>
      </c>
      <c r="H3049" s="144">
        <v>237</v>
      </c>
      <c r="I3049" s="86" t="s">
        <v>2374</v>
      </c>
      <c r="J3049" s="1" t="s">
        <v>3322</v>
      </c>
      <c r="K3049" s="1" t="s">
        <v>3269</v>
      </c>
      <c r="L3049" s="1" t="s">
        <v>35</v>
      </c>
      <c r="M3049" s="86" t="s">
        <v>2404</v>
      </c>
      <c r="N3049" s="86"/>
      <c r="O3049" s="47" t="s">
        <v>45</v>
      </c>
      <c r="P3049" s="47" t="s">
        <v>46</v>
      </c>
      <c r="Q3049" s="14">
        <v>5.5E-2</v>
      </c>
      <c r="R3049" s="143"/>
      <c r="S3049" s="47"/>
      <c r="T3049" s="6">
        <v>1516302.7611999998</v>
      </c>
      <c r="U3049" s="6">
        <v>3734999.9855</v>
      </c>
      <c r="V3049" s="6">
        <v>3904410.32</v>
      </c>
      <c r="W3049" s="6">
        <f t="shared" si="481"/>
        <v>1346892.4267000002</v>
      </c>
      <c r="X3049" s="6">
        <f t="shared" si="477"/>
        <v>3136072.5461847391</v>
      </c>
      <c r="Y3049" s="13">
        <f t="shared" si="474"/>
        <v>3136072.5461847391</v>
      </c>
      <c r="Z3049" s="14">
        <v>0</v>
      </c>
      <c r="AA3049" s="6">
        <v>0</v>
      </c>
      <c r="AB3049" s="4">
        <f t="shared" si="475"/>
        <v>3136072.5461847391</v>
      </c>
      <c r="AC3049" s="4">
        <f t="shared" si="479"/>
        <v>768337.77381526073</v>
      </c>
      <c r="AD3049" s="6">
        <v>0</v>
      </c>
      <c r="AE3049" s="2">
        <f>VLOOKUP(I3049,[1]媒体政策预估表!A:N,MATCH(O3049,[1]媒体政策预估表!$A$2:$M$2,0),0)</f>
        <v>0.06</v>
      </c>
      <c r="AF3049" s="6">
        <f t="shared" si="480"/>
        <v>0</v>
      </c>
      <c r="AG3049" s="14">
        <v>0.19</v>
      </c>
      <c r="AH3049" s="6">
        <f t="shared" si="478"/>
        <v>3281017.0756302522</v>
      </c>
      <c r="AI3049" s="47"/>
      <c r="AJ3049" s="126" t="e">
        <v>#N/A</v>
      </c>
      <c r="AK3049" s="80">
        <f t="shared" si="476"/>
        <v>0</v>
      </c>
      <c r="AM3049" s="85"/>
    </row>
    <row r="3050" spans="1:39" hidden="1" x14ac:dyDescent="0.3">
      <c r="A3050" s="89" t="s">
        <v>3408</v>
      </c>
      <c r="B3050" s="86" t="s">
        <v>35</v>
      </c>
      <c r="C3050" s="86" t="s">
        <v>47</v>
      </c>
      <c r="D3050" s="86" t="s">
        <v>63</v>
      </c>
      <c r="E3050" s="86" t="s">
        <v>2393</v>
      </c>
      <c r="F3050" s="86" t="s">
        <v>2403</v>
      </c>
      <c r="G3050" s="86" t="s">
        <v>2393</v>
      </c>
      <c r="H3050" s="143">
        <v>237</v>
      </c>
      <c r="I3050" s="86" t="s">
        <v>2374</v>
      </c>
      <c r="J3050" s="1" t="s">
        <v>3322</v>
      </c>
      <c r="K3050" s="1" t="s">
        <v>3269</v>
      </c>
      <c r="L3050" s="1" t="s">
        <v>35</v>
      </c>
      <c r="M3050" s="86" t="s">
        <v>2404</v>
      </c>
      <c r="N3050" s="86"/>
      <c r="O3050" s="47" t="s">
        <v>40</v>
      </c>
      <c r="P3050" s="47" t="s">
        <v>46</v>
      </c>
      <c r="Q3050" s="14">
        <v>5.5E-2</v>
      </c>
      <c r="R3050" s="143"/>
      <c r="S3050" s="47"/>
      <c r="T3050" s="6">
        <v>2872380.838</v>
      </c>
      <c r="U3050" s="6">
        <v>-2649246.0499999998</v>
      </c>
      <c r="V3050" s="6">
        <v>0</v>
      </c>
      <c r="W3050" s="6">
        <f t="shared" si="481"/>
        <v>223134.78800000018</v>
      </c>
      <c r="X3050" s="6">
        <f t="shared" si="477"/>
        <v>0</v>
      </c>
      <c r="Y3050" s="13">
        <f t="shared" si="474"/>
        <v>0</v>
      </c>
      <c r="Z3050" s="14">
        <v>0</v>
      </c>
      <c r="AA3050" s="6">
        <v>0</v>
      </c>
      <c r="AB3050" s="4">
        <f t="shared" si="475"/>
        <v>0</v>
      </c>
      <c r="AC3050" s="4">
        <f t="shared" si="479"/>
        <v>0</v>
      </c>
      <c r="AD3050" s="6">
        <v>0</v>
      </c>
      <c r="AE3050" s="2">
        <f>VLOOKUP(I3050,[1]媒体政策预估表!A:N,MATCH(O3050,[1]媒体政策预估表!$A$2:$M$2,0),0)</f>
        <v>7.0000000000000007E-2</v>
      </c>
      <c r="AF3050" s="6">
        <f t="shared" si="480"/>
        <v>0</v>
      </c>
      <c r="AG3050" s="14">
        <v>0.24</v>
      </c>
      <c r="AH3050" s="6">
        <f t="shared" si="478"/>
        <v>0</v>
      </c>
      <c r="AI3050" s="47"/>
      <c r="AJ3050" s="126" t="e">
        <v>#N/A</v>
      </c>
      <c r="AK3050" s="80">
        <f t="shared" si="476"/>
        <v>0</v>
      </c>
      <c r="AM3050" s="85"/>
    </row>
    <row r="3051" spans="1:39" hidden="1" x14ac:dyDescent="0.3">
      <c r="A3051" s="89" t="s">
        <v>3408</v>
      </c>
      <c r="B3051" s="86" t="s">
        <v>35</v>
      </c>
      <c r="C3051" s="86" t="s">
        <v>47</v>
      </c>
      <c r="D3051" s="86" t="s">
        <v>63</v>
      </c>
      <c r="E3051" s="86" t="s">
        <v>2393</v>
      </c>
      <c r="F3051" s="86" t="s">
        <v>2403</v>
      </c>
      <c r="G3051" s="86" t="s">
        <v>2393</v>
      </c>
      <c r="H3051" s="143">
        <v>237</v>
      </c>
      <c r="I3051" s="86" t="s">
        <v>2374</v>
      </c>
      <c r="J3051" s="1" t="s">
        <v>3322</v>
      </c>
      <c r="K3051" s="1" t="s">
        <v>3269</v>
      </c>
      <c r="L3051" s="1" t="s">
        <v>35</v>
      </c>
      <c r="M3051" s="86" t="s">
        <v>2404</v>
      </c>
      <c r="N3051" s="86"/>
      <c r="O3051" s="47" t="s">
        <v>40</v>
      </c>
      <c r="P3051" s="47" t="s">
        <v>46</v>
      </c>
      <c r="Q3051" s="14">
        <v>5.5E-2</v>
      </c>
      <c r="R3051" s="143"/>
      <c r="S3051" s="47"/>
      <c r="T3051" s="6">
        <v>1513630.8875999991</v>
      </c>
      <c r="U3051" s="6">
        <v>-1514329.9919999999</v>
      </c>
      <c r="V3051" s="6">
        <v>0</v>
      </c>
      <c r="W3051" s="6">
        <v>0</v>
      </c>
      <c r="X3051" s="6">
        <f t="shared" si="477"/>
        <v>0</v>
      </c>
      <c r="Y3051" s="13">
        <f t="shared" si="474"/>
        <v>0</v>
      </c>
      <c r="Z3051" s="14">
        <v>0</v>
      </c>
      <c r="AA3051" s="6">
        <v>0</v>
      </c>
      <c r="AB3051" s="4">
        <f t="shared" si="475"/>
        <v>0</v>
      </c>
      <c r="AC3051" s="4">
        <f t="shared" si="479"/>
        <v>0</v>
      </c>
      <c r="AD3051" s="6">
        <v>0</v>
      </c>
      <c r="AE3051" s="2">
        <f>VLOOKUP(I3051,[1]媒体政策预估表!A:N,MATCH(O3051,[1]媒体政策预估表!$A$2:$M$2,0),0)</f>
        <v>7.0000000000000007E-2</v>
      </c>
      <c r="AF3051" s="6">
        <f t="shared" si="480"/>
        <v>0</v>
      </c>
      <c r="AG3051" s="14">
        <v>0.26</v>
      </c>
      <c r="AH3051" s="6">
        <f t="shared" si="478"/>
        <v>0</v>
      </c>
      <c r="AI3051" s="47"/>
      <c r="AJ3051" s="126" t="e">
        <v>#N/A</v>
      </c>
      <c r="AK3051" s="80">
        <f t="shared" si="476"/>
        <v>0</v>
      </c>
      <c r="AM3051" s="85"/>
    </row>
    <row r="3052" spans="1:39" hidden="1" x14ac:dyDescent="0.3">
      <c r="A3052" s="89" t="s">
        <v>3408</v>
      </c>
      <c r="B3052" s="86" t="s">
        <v>35</v>
      </c>
      <c r="C3052" s="86" t="s">
        <v>47</v>
      </c>
      <c r="D3052" s="86" t="s">
        <v>63</v>
      </c>
      <c r="E3052" s="86" t="s">
        <v>2393</v>
      </c>
      <c r="F3052" s="86" t="s">
        <v>2403</v>
      </c>
      <c r="G3052" s="86" t="s">
        <v>2393</v>
      </c>
      <c r="H3052" s="144">
        <v>237</v>
      </c>
      <c r="I3052" s="86" t="s">
        <v>2374</v>
      </c>
      <c r="J3052" s="1" t="s">
        <v>3322</v>
      </c>
      <c r="K3052" s="1" t="s">
        <v>3269</v>
      </c>
      <c r="L3052" s="1" t="s">
        <v>35</v>
      </c>
      <c r="M3052" s="86" t="s">
        <v>2404</v>
      </c>
      <c r="N3052" s="86"/>
      <c r="O3052" s="47" t="s">
        <v>40</v>
      </c>
      <c r="P3052" s="47" t="s">
        <v>46</v>
      </c>
      <c r="Q3052" s="14">
        <v>5.5E-2</v>
      </c>
      <c r="R3052" s="143"/>
      <c r="S3052" s="47"/>
      <c r="T3052" s="6">
        <v>2857157.1228</v>
      </c>
      <c r="U3052" s="6">
        <v>4178550.0032000002</v>
      </c>
      <c r="V3052" s="6">
        <v>3025740.32</v>
      </c>
      <c r="W3052" s="6">
        <f t="shared" si="481"/>
        <v>4009966.8060000003</v>
      </c>
      <c r="X3052" s="6">
        <f t="shared" si="477"/>
        <v>2266472.1498127342</v>
      </c>
      <c r="Y3052" s="13">
        <f t="shared" si="474"/>
        <v>2266472.1498127342</v>
      </c>
      <c r="Z3052" s="14">
        <v>0</v>
      </c>
      <c r="AA3052" s="6">
        <v>0</v>
      </c>
      <c r="AB3052" s="4">
        <f t="shared" si="475"/>
        <v>2266472.1498127342</v>
      </c>
      <c r="AC3052" s="4">
        <f t="shared" si="479"/>
        <v>759268.17018726561</v>
      </c>
      <c r="AD3052" s="6">
        <v>0</v>
      </c>
      <c r="AE3052" s="2">
        <f>VLOOKUP(I3052,[1]媒体政策预估表!A:N,MATCH(O3052,[1]媒体政策预估表!$A$2:$M$2,0),0)</f>
        <v>7.0000000000000007E-2</v>
      </c>
      <c r="AF3052" s="6">
        <f t="shared" si="480"/>
        <v>0</v>
      </c>
      <c r="AG3052" s="14">
        <v>0.28000000000000003</v>
      </c>
      <c r="AH3052" s="6">
        <f t="shared" si="478"/>
        <v>2363859.625</v>
      </c>
      <c r="AI3052" s="47"/>
      <c r="AJ3052" s="126" t="e">
        <v>#N/A</v>
      </c>
      <c r="AK3052" s="80">
        <f t="shared" si="476"/>
        <v>0</v>
      </c>
      <c r="AM3052" s="85"/>
    </row>
    <row r="3053" spans="1:39" hidden="1" x14ac:dyDescent="0.3">
      <c r="A3053" s="89" t="s">
        <v>3408</v>
      </c>
      <c r="B3053" s="86" t="s">
        <v>35</v>
      </c>
      <c r="C3053" s="86" t="s">
        <v>47</v>
      </c>
      <c r="D3053" s="86" t="s">
        <v>63</v>
      </c>
      <c r="E3053" s="86" t="s">
        <v>2393</v>
      </c>
      <c r="F3053" s="86" t="s">
        <v>2405</v>
      </c>
      <c r="G3053" s="86" t="s">
        <v>2393</v>
      </c>
      <c r="H3053" s="144">
        <v>237</v>
      </c>
      <c r="I3053" s="86" t="s">
        <v>2374</v>
      </c>
      <c r="J3053" s="1" t="s">
        <v>3322</v>
      </c>
      <c r="K3053" s="1" t="s">
        <v>3269</v>
      </c>
      <c r="L3053" s="1" t="s">
        <v>35</v>
      </c>
      <c r="M3053" s="86" t="s">
        <v>2406</v>
      </c>
      <c r="N3053" s="86"/>
      <c r="O3053" s="47" t="s">
        <v>45</v>
      </c>
      <c r="P3053" s="47" t="s">
        <v>46</v>
      </c>
      <c r="Q3053" s="14">
        <v>5.5E-2</v>
      </c>
      <c r="R3053" s="143"/>
      <c r="S3053" s="47"/>
      <c r="T3053" s="6">
        <v>21080.599999999933</v>
      </c>
      <c r="U3053" s="6">
        <v>52750</v>
      </c>
      <c r="V3053" s="6">
        <v>56281.500000000015</v>
      </c>
      <c r="W3053" s="6">
        <f t="shared" si="481"/>
        <v>17549.099999999919</v>
      </c>
      <c r="X3053" s="6">
        <f t="shared" si="477"/>
        <v>53347.393364928925</v>
      </c>
      <c r="Y3053" s="13">
        <f t="shared" si="474"/>
        <v>0</v>
      </c>
      <c r="Z3053" s="14">
        <v>0</v>
      </c>
      <c r="AA3053" s="6">
        <v>0</v>
      </c>
      <c r="AB3053" s="4">
        <f t="shared" si="475"/>
        <v>53347.393364928925</v>
      </c>
      <c r="AC3053" s="4">
        <f t="shared" si="479"/>
        <v>2934.1066350710898</v>
      </c>
      <c r="AD3053" s="6">
        <v>56281.500000000015</v>
      </c>
      <c r="AE3053" s="2">
        <f>VLOOKUP(I3053,[1]媒体政策预估表!A:N,MATCH(O3053,[1]媒体政策预估表!$A$2:$M$2,0),0)</f>
        <v>0.06</v>
      </c>
      <c r="AF3053" s="6">
        <f t="shared" si="480"/>
        <v>3376.8900000000008</v>
      </c>
      <c r="AG3053" s="14">
        <v>0</v>
      </c>
      <c r="AH3053" s="6">
        <f t="shared" si="478"/>
        <v>56281.500000000015</v>
      </c>
      <c r="AI3053" s="47"/>
      <c r="AJ3053" s="126" t="e">
        <v>#N/A</v>
      </c>
      <c r="AK3053" s="80">
        <f t="shared" si="476"/>
        <v>0</v>
      </c>
      <c r="AM3053" s="85"/>
    </row>
    <row r="3054" spans="1:39" hidden="1" x14ac:dyDescent="0.3">
      <c r="A3054" s="89" t="s">
        <v>3397</v>
      </c>
      <c r="B3054" s="86" t="s">
        <v>35</v>
      </c>
      <c r="C3054" s="86" t="s">
        <v>47</v>
      </c>
      <c r="D3054" s="86" t="s">
        <v>63</v>
      </c>
      <c r="E3054" s="86" t="s">
        <v>2393</v>
      </c>
      <c r="F3054" s="86" t="s">
        <v>2407</v>
      </c>
      <c r="G3054" s="86" t="s">
        <v>2393</v>
      </c>
      <c r="H3054" s="143">
        <v>237</v>
      </c>
      <c r="I3054" s="86" t="s">
        <v>2374</v>
      </c>
      <c r="J3054" s="1" t="s">
        <v>3322</v>
      </c>
      <c r="K3054" s="1" t="s">
        <v>3269</v>
      </c>
      <c r="L3054" s="1" t="s">
        <v>35</v>
      </c>
      <c r="M3054" s="86" t="s">
        <v>2408</v>
      </c>
      <c r="N3054" s="86"/>
      <c r="O3054" s="47" t="s">
        <v>45</v>
      </c>
      <c r="P3054" s="47" t="s">
        <v>46</v>
      </c>
      <c r="Q3054" s="14">
        <v>5.5E-2</v>
      </c>
      <c r="R3054" s="143"/>
      <c r="S3054" s="47"/>
      <c r="T3054" s="6">
        <v>3213968.64</v>
      </c>
      <c r="U3054" s="6">
        <v>-3213968.64</v>
      </c>
      <c r="V3054" s="6">
        <v>0</v>
      </c>
      <c r="W3054" s="6">
        <f t="shared" si="481"/>
        <v>0</v>
      </c>
      <c r="X3054" s="6">
        <f t="shared" si="477"/>
        <v>0</v>
      </c>
      <c r="Y3054" s="13">
        <f t="shared" si="474"/>
        <v>0</v>
      </c>
      <c r="Z3054" s="14">
        <v>0</v>
      </c>
      <c r="AA3054" s="6">
        <v>0</v>
      </c>
      <c r="AB3054" s="4">
        <f t="shared" si="475"/>
        <v>0</v>
      </c>
      <c r="AC3054" s="4">
        <f t="shared" si="479"/>
        <v>0</v>
      </c>
      <c r="AD3054" s="6">
        <v>254367.02000000002</v>
      </c>
      <c r="AE3054" s="2">
        <f>VLOOKUP(I3054,[1]媒体政策预估表!A:N,MATCH(O3054,[1]媒体政策预估表!$A$2:$M$2,0),0)</f>
        <v>0.06</v>
      </c>
      <c r="AF3054" s="6">
        <f t="shared" si="480"/>
        <v>15262.021200000001</v>
      </c>
      <c r="AG3054" s="14">
        <v>0.1</v>
      </c>
      <c r="AH3054" s="6">
        <f t="shared" si="478"/>
        <v>0</v>
      </c>
      <c r="AI3054" s="47"/>
      <c r="AJ3054" s="126" t="e">
        <v>#N/A</v>
      </c>
      <c r="AK3054" s="80">
        <f t="shared" si="476"/>
        <v>0</v>
      </c>
      <c r="AM3054" s="85"/>
    </row>
    <row r="3055" spans="1:39" hidden="1" x14ac:dyDescent="0.3">
      <c r="A3055" s="89" t="s">
        <v>3408</v>
      </c>
      <c r="B3055" s="86" t="s">
        <v>35</v>
      </c>
      <c r="C3055" s="86" t="s">
        <v>47</v>
      </c>
      <c r="D3055" s="86" t="s">
        <v>63</v>
      </c>
      <c r="E3055" s="86" t="s">
        <v>2393</v>
      </c>
      <c r="F3055" s="86" t="s">
        <v>2407</v>
      </c>
      <c r="G3055" s="86" t="s">
        <v>2393</v>
      </c>
      <c r="H3055" s="144">
        <v>237</v>
      </c>
      <c r="I3055" s="86" t="s">
        <v>2374</v>
      </c>
      <c r="J3055" s="1" t="s">
        <v>3322</v>
      </c>
      <c r="K3055" s="1" t="s">
        <v>3269</v>
      </c>
      <c r="L3055" s="1" t="s">
        <v>35</v>
      </c>
      <c r="M3055" s="86" t="s">
        <v>2408</v>
      </c>
      <c r="N3055" s="86"/>
      <c r="O3055" s="47" t="s">
        <v>45</v>
      </c>
      <c r="P3055" s="47" t="s">
        <v>46</v>
      </c>
      <c r="Q3055" s="14">
        <v>5.5E-2</v>
      </c>
      <c r="R3055" s="143"/>
      <c r="S3055" s="47"/>
      <c r="T3055" s="6">
        <v>1005178.2965000001</v>
      </c>
      <c r="U3055" s="6">
        <v>373500.00449999998</v>
      </c>
      <c r="V3055" s="6">
        <v>302695.70000000007</v>
      </c>
      <c r="W3055" s="6">
        <f t="shared" si="481"/>
        <v>1075982.6009999998</v>
      </c>
      <c r="X3055" s="6">
        <f t="shared" si="477"/>
        <v>243129.07630522095</v>
      </c>
      <c r="Y3055" s="13">
        <f t="shared" si="474"/>
        <v>243129.07630522095</v>
      </c>
      <c r="Z3055" s="14">
        <v>0</v>
      </c>
      <c r="AA3055" s="6">
        <v>0</v>
      </c>
      <c r="AB3055" s="4">
        <f t="shared" si="475"/>
        <v>243129.07630522095</v>
      </c>
      <c r="AC3055" s="4">
        <f t="shared" si="479"/>
        <v>59566.623694779119</v>
      </c>
      <c r="AD3055" s="6">
        <v>0</v>
      </c>
      <c r="AE3055" s="2">
        <f>VLOOKUP(I3055,[1]媒体政策预估表!A:N,MATCH(O3055,[1]媒体政策预估表!$A$2:$M$2,0),0)</f>
        <v>0.06</v>
      </c>
      <c r="AF3055" s="6">
        <f t="shared" si="480"/>
        <v>0</v>
      </c>
      <c r="AG3055" s="14">
        <v>0.19</v>
      </c>
      <c r="AH3055" s="6">
        <f t="shared" si="478"/>
        <v>254366.13445378159</v>
      </c>
      <c r="AI3055" s="47"/>
      <c r="AJ3055" s="126" t="e">
        <v>#N/A</v>
      </c>
      <c r="AK3055" s="80">
        <f t="shared" si="476"/>
        <v>0</v>
      </c>
      <c r="AM3055" s="85"/>
    </row>
    <row r="3056" spans="1:39" hidden="1" x14ac:dyDescent="0.3">
      <c r="A3056" s="89" t="s">
        <v>3408</v>
      </c>
      <c r="B3056" s="86" t="s">
        <v>35</v>
      </c>
      <c r="C3056" s="86" t="s">
        <v>47</v>
      </c>
      <c r="D3056" s="86" t="s">
        <v>63</v>
      </c>
      <c r="E3056" s="86" t="s">
        <v>2393</v>
      </c>
      <c r="F3056" s="86" t="s">
        <v>2407</v>
      </c>
      <c r="G3056" s="86" t="s">
        <v>2393</v>
      </c>
      <c r="H3056" s="143">
        <v>237</v>
      </c>
      <c r="I3056" s="86" t="s">
        <v>2374</v>
      </c>
      <c r="J3056" s="1" t="s">
        <v>3322</v>
      </c>
      <c r="K3056" s="1" t="s">
        <v>3269</v>
      </c>
      <c r="L3056" s="1" t="s">
        <v>35</v>
      </c>
      <c r="M3056" s="86" t="s">
        <v>2408</v>
      </c>
      <c r="N3056" s="86"/>
      <c r="O3056" s="47" t="s">
        <v>40</v>
      </c>
      <c r="P3056" s="47" t="s">
        <v>46</v>
      </c>
      <c r="Q3056" s="14">
        <v>5.5E-2</v>
      </c>
      <c r="R3056" s="143"/>
      <c r="S3056" s="47"/>
      <c r="T3056" s="6">
        <v>0</v>
      </c>
      <c r="U3056" s="6">
        <v>0</v>
      </c>
      <c r="V3056" s="6">
        <v>0</v>
      </c>
      <c r="W3056" s="6">
        <f t="shared" si="481"/>
        <v>0</v>
      </c>
      <c r="X3056" s="6">
        <f t="shared" si="477"/>
        <v>0</v>
      </c>
      <c r="Y3056" s="13">
        <f t="shared" si="474"/>
        <v>0</v>
      </c>
      <c r="Z3056" s="14">
        <v>0</v>
      </c>
      <c r="AA3056" s="6">
        <v>0</v>
      </c>
      <c r="AB3056" s="4">
        <f t="shared" si="475"/>
        <v>0</v>
      </c>
      <c r="AC3056" s="4">
        <f t="shared" si="479"/>
        <v>0</v>
      </c>
      <c r="AD3056" s="6">
        <v>116490.65000000002</v>
      </c>
      <c r="AE3056" s="2">
        <f>VLOOKUP(I3056,[1]媒体政策预估表!A:N,MATCH(O3056,[1]媒体政策预估表!$A$2:$M$2,0),0)</f>
        <v>7.0000000000000007E-2</v>
      </c>
      <c r="AF3056" s="6">
        <f t="shared" si="480"/>
        <v>8154.3455000000022</v>
      </c>
      <c r="AG3056" s="14">
        <v>0.24</v>
      </c>
      <c r="AH3056" s="6">
        <f t="shared" si="478"/>
        <v>0</v>
      </c>
      <c r="AI3056" s="47"/>
      <c r="AJ3056" s="126" t="e">
        <v>#N/A</v>
      </c>
      <c r="AK3056" s="80">
        <f t="shared" si="476"/>
        <v>0</v>
      </c>
      <c r="AM3056" s="85"/>
    </row>
    <row r="3057" spans="1:39" hidden="1" x14ac:dyDescent="0.3">
      <c r="A3057" s="89" t="s">
        <v>3408</v>
      </c>
      <c r="B3057" s="86" t="s">
        <v>35</v>
      </c>
      <c r="C3057" s="86" t="s">
        <v>47</v>
      </c>
      <c r="D3057" s="86" t="s">
        <v>63</v>
      </c>
      <c r="E3057" s="86" t="s">
        <v>2409</v>
      </c>
      <c r="F3057" s="86" t="s">
        <v>2412</v>
      </c>
      <c r="G3057" s="86" t="s">
        <v>2409</v>
      </c>
      <c r="H3057" s="143">
        <v>237</v>
      </c>
      <c r="I3057" s="86" t="s">
        <v>2374</v>
      </c>
      <c r="J3057" s="1" t="s">
        <v>3322</v>
      </c>
      <c r="K3057" s="1" t="s">
        <v>3269</v>
      </c>
      <c r="L3057" s="1" t="s">
        <v>35</v>
      </c>
      <c r="M3057" s="86" t="s">
        <v>2479</v>
      </c>
      <c r="N3057" s="86"/>
      <c r="O3057" s="47" t="s">
        <v>45</v>
      </c>
      <c r="P3057" s="47" t="s">
        <v>46</v>
      </c>
      <c r="Q3057" s="14">
        <v>5.5E-2</v>
      </c>
      <c r="R3057" s="143"/>
      <c r="S3057" s="47"/>
      <c r="T3057" s="6">
        <v>200450</v>
      </c>
      <c r="U3057" s="6">
        <v>-200450</v>
      </c>
      <c r="V3057" s="6">
        <v>0</v>
      </c>
      <c r="W3057" s="6">
        <f t="shared" si="481"/>
        <v>0</v>
      </c>
      <c r="X3057" s="6">
        <f t="shared" si="477"/>
        <v>0</v>
      </c>
      <c r="Y3057" s="13">
        <f t="shared" si="474"/>
        <v>0</v>
      </c>
      <c r="Z3057" s="14">
        <v>0</v>
      </c>
      <c r="AA3057" s="6">
        <v>0</v>
      </c>
      <c r="AB3057" s="4">
        <f t="shared" si="475"/>
        <v>0</v>
      </c>
      <c r="AC3057" s="4">
        <f t="shared" si="479"/>
        <v>0</v>
      </c>
      <c r="AD3057" s="6">
        <v>0</v>
      </c>
      <c r="AE3057" s="2">
        <f>VLOOKUP(I3057,[1]媒体政策预估表!A:N,MATCH(O3057,[1]媒体政策预估表!$A$2:$M$2,0),0)</f>
        <v>0.06</v>
      </c>
      <c r="AF3057" s="6">
        <f t="shared" si="480"/>
        <v>0</v>
      </c>
      <c r="AG3057" s="14">
        <v>0</v>
      </c>
      <c r="AH3057" s="6">
        <f t="shared" si="478"/>
        <v>0</v>
      </c>
      <c r="AI3057" s="47"/>
      <c r="AJ3057" s="126" t="e">
        <v>#N/A</v>
      </c>
      <c r="AK3057" s="80">
        <f t="shared" si="476"/>
        <v>0</v>
      </c>
      <c r="AM3057" s="85"/>
    </row>
    <row r="3058" spans="1:39" hidden="1" x14ac:dyDescent="0.3">
      <c r="A3058" s="89" t="s">
        <v>3397</v>
      </c>
      <c r="B3058" s="86" t="s">
        <v>35</v>
      </c>
      <c r="C3058" s="86" t="s">
        <v>47</v>
      </c>
      <c r="D3058" s="86" t="s">
        <v>63</v>
      </c>
      <c r="E3058" s="86" t="s">
        <v>2409</v>
      </c>
      <c r="F3058" s="86" t="s">
        <v>2412</v>
      </c>
      <c r="G3058" s="86" t="s">
        <v>2409</v>
      </c>
      <c r="H3058" s="144">
        <v>237</v>
      </c>
      <c r="I3058" s="86" t="s">
        <v>2374</v>
      </c>
      <c r="J3058" s="1" t="s">
        <v>3322</v>
      </c>
      <c r="K3058" s="1" t="s">
        <v>3269</v>
      </c>
      <c r="L3058" s="1" t="s">
        <v>35</v>
      </c>
      <c r="M3058" s="86" t="s">
        <v>2413</v>
      </c>
      <c r="N3058" s="86"/>
      <c r="O3058" s="47" t="s">
        <v>45</v>
      </c>
      <c r="P3058" s="47" t="s">
        <v>46</v>
      </c>
      <c r="Q3058" s="14">
        <v>5.5E-2</v>
      </c>
      <c r="R3058" s="143"/>
      <c r="S3058" s="47"/>
      <c r="T3058" s="6">
        <v>106575.59999999986</v>
      </c>
      <c r="U3058" s="6">
        <v>483190</v>
      </c>
      <c r="V3058" s="6">
        <v>317700.72000000015</v>
      </c>
      <c r="W3058" s="6">
        <f t="shared" si="481"/>
        <v>272064.87999999971</v>
      </c>
      <c r="X3058" s="6">
        <f t="shared" si="477"/>
        <v>301138.12322274898</v>
      </c>
      <c r="Y3058" s="13">
        <f t="shared" si="474"/>
        <v>0</v>
      </c>
      <c r="Z3058" s="14">
        <v>0</v>
      </c>
      <c r="AA3058" s="6">
        <v>0</v>
      </c>
      <c r="AB3058" s="4">
        <f t="shared" si="475"/>
        <v>301138.12322274898</v>
      </c>
      <c r="AC3058" s="4">
        <f t="shared" si="479"/>
        <v>16562.596777251165</v>
      </c>
      <c r="AD3058" s="6">
        <v>317700.72000000015</v>
      </c>
      <c r="AE3058" s="2">
        <f>VLOOKUP(I3058,[1]媒体政策预估表!A:N,MATCH(O3058,[1]媒体政策预估表!$A$2:$M$2,0),0)</f>
        <v>0.06</v>
      </c>
      <c r="AF3058" s="6">
        <f t="shared" si="480"/>
        <v>19062.043200000007</v>
      </c>
      <c r="AG3058" s="14">
        <v>0</v>
      </c>
      <c r="AH3058" s="6">
        <f t="shared" si="478"/>
        <v>317700.72000000015</v>
      </c>
      <c r="AI3058" s="47"/>
      <c r="AJ3058" s="126" t="e">
        <v>#N/A</v>
      </c>
      <c r="AK3058" s="80">
        <f t="shared" si="476"/>
        <v>0</v>
      </c>
      <c r="AM3058" s="85"/>
    </row>
    <row r="3059" spans="1:39" hidden="1" x14ac:dyDescent="0.3">
      <c r="A3059" s="89" t="s">
        <v>3397</v>
      </c>
      <c r="B3059" s="86" t="s">
        <v>35</v>
      </c>
      <c r="C3059" s="86" t="s">
        <v>47</v>
      </c>
      <c r="D3059" s="86" t="s">
        <v>63</v>
      </c>
      <c r="E3059" s="86" t="s">
        <v>2409</v>
      </c>
      <c r="F3059" s="86" t="s">
        <v>2412</v>
      </c>
      <c r="G3059" s="86" t="s">
        <v>2409</v>
      </c>
      <c r="H3059" s="144">
        <v>237</v>
      </c>
      <c r="I3059" s="86" t="s">
        <v>2374</v>
      </c>
      <c r="J3059" s="1" t="s">
        <v>3322</v>
      </c>
      <c r="K3059" s="1" t="s">
        <v>3269</v>
      </c>
      <c r="L3059" s="1" t="s">
        <v>35</v>
      </c>
      <c r="M3059" s="86" t="s">
        <v>2409</v>
      </c>
      <c r="N3059" s="86"/>
      <c r="O3059" s="47" t="s">
        <v>45</v>
      </c>
      <c r="P3059" s="47" t="s">
        <v>46</v>
      </c>
      <c r="Q3059" s="14">
        <v>5.5E-2</v>
      </c>
      <c r="R3059" s="143"/>
      <c r="S3059" s="47"/>
      <c r="T3059" s="6">
        <v>20738.140000000134</v>
      </c>
      <c r="U3059" s="6">
        <v>464200</v>
      </c>
      <c r="V3059" s="6">
        <v>244017.88999999998</v>
      </c>
      <c r="W3059" s="6">
        <f t="shared" si="481"/>
        <v>240920.25000000015</v>
      </c>
      <c r="X3059" s="6">
        <f t="shared" si="477"/>
        <v>231296.57819905214</v>
      </c>
      <c r="Y3059" s="13">
        <f t="shared" si="474"/>
        <v>0</v>
      </c>
      <c r="Z3059" s="14">
        <v>0</v>
      </c>
      <c r="AA3059" s="6">
        <v>0</v>
      </c>
      <c r="AB3059" s="4">
        <f t="shared" si="475"/>
        <v>231296.57819905214</v>
      </c>
      <c r="AC3059" s="4">
        <f t="shared" si="479"/>
        <v>12721.311800947849</v>
      </c>
      <c r="AD3059" s="6">
        <v>244017.88999999998</v>
      </c>
      <c r="AE3059" s="2">
        <f>VLOOKUP(I3059,[1]媒体政策预估表!A:N,MATCH(O3059,[1]媒体政策预估表!$A$2:$M$2,0),0)</f>
        <v>0.06</v>
      </c>
      <c r="AF3059" s="6">
        <f t="shared" si="480"/>
        <v>14641.073399999999</v>
      </c>
      <c r="AG3059" s="14">
        <v>0</v>
      </c>
      <c r="AH3059" s="6">
        <f t="shared" si="478"/>
        <v>244017.88999999998</v>
      </c>
      <c r="AI3059" s="47"/>
      <c r="AJ3059" s="126" t="e">
        <v>#N/A</v>
      </c>
      <c r="AK3059" s="80">
        <f t="shared" si="476"/>
        <v>0</v>
      </c>
      <c r="AM3059" s="85"/>
    </row>
    <row r="3060" spans="1:39" hidden="1" x14ac:dyDescent="0.3">
      <c r="A3060" s="89" t="s">
        <v>3397</v>
      </c>
      <c r="B3060" s="86" t="s">
        <v>35</v>
      </c>
      <c r="C3060" s="86" t="s">
        <v>47</v>
      </c>
      <c r="D3060" s="86" t="s">
        <v>63</v>
      </c>
      <c r="E3060" s="86" t="s">
        <v>2409</v>
      </c>
      <c r="F3060" s="86" t="s">
        <v>2412</v>
      </c>
      <c r="G3060" s="86" t="s">
        <v>2409</v>
      </c>
      <c r="H3060" s="144">
        <v>237</v>
      </c>
      <c r="I3060" s="86" t="s">
        <v>2374</v>
      </c>
      <c r="J3060" s="1" t="s">
        <v>3322</v>
      </c>
      <c r="K3060" s="1" t="s">
        <v>3269</v>
      </c>
      <c r="L3060" s="1" t="s">
        <v>35</v>
      </c>
      <c r="M3060" s="86" t="s">
        <v>2414</v>
      </c>
      <c r="N3060" s="86"/>
      <c r="O3060" s="47" t="s">
        <v>45</v>
      </c>
      <c r="P3060" s="47" t="s">
        <v>46</v>
      </c>
      <c r="Q3060" s="14">
        <v>5.5E-2</v>
      </c>
      <c r="R3060" s="143"/>
      <c r="S3060" s="47"/>
      <c r="T3060" s="6">
        <v>4399.6799999999967</v>
      </c>
      <c r="U3060" s="6">
        <v>31650</v>
      </c>
      <c r="V3060" s="6">
        <v>31421.3</v>
      </c>
      <c r="W3060" s="6">
        <f t="shared" si="481"/>
        <v>4628.3799999999937</v>
      </c>
      <c r="X3060" s="6">
        <f t="shared" si="477"/>
        <v>29783.222748815166</v>
      </c>
      <c r="Y3060" s="13">
        <f t="shared" si="474"/>
        <v>0</v>
      </c>
      <c r="Z3060" s="14">
        <v>0</v>
      </c>
      <c r="AA3060" s="6">
        <v>0</v>
      </c>
      <c r="AB3060" s="4">
        <f t="shared" si="475"/>
        <v>29783.222748815166</v>
      </c>
      <c r="AC3060" s="4">
        <f t="shared" si="479"/>
        <v>1638.0772511848336</v>
      </c>
      <c r="AD3060" s="6">
        <v>31421.3</v>
      </c>
      <c r="AE3060" s="2">
        <f>VLOOKUP(I3060,[1]媒体政策预估表!A:N,MATCH(O3060,[1]媒体政策预估表!$A$2:$M$2,0),0)</f>
        <v>0.06</v>
      </c>
      <c r="AF3060" s="6">
        <f t="shared" si="480"/>
        <v>1885.2779999999998</v>
      </c>
      <c r="AG3060" s="14">
        <v>0</v>
      </c>
      <c r="AH3060" s="6">
        <f t="shared" si="478"/>
        <v>31421.3</v>
      </c>
      <c r="AI3060" s="47"/>
      <c r="AJ3060" s="126" t="e">
        <v>#N/A</v>
      </c>
      <c r="AK3060" s="80">
        <f t="shared" si="476"/>
        <v>0</v>
      </c>
      <c r="AM3060" s="85"/>
    </row>
    <row r="3061" spans="1:39" hidden="1" x14ac:dyDescent="0.3">
      <c r="A3061" s="89" t="s">
        <v>3408</v>
      </c>
      <c r="B3061" s="86" t="s">
        <v>35</v>
      </c>
      <c r="C3061" s="86" t="s">
        <v>47</v>
      </c>
      <c r="D3061" s="86" t="s">
        <v>63</v>
      </c>
      <c r="E3061" s="86" t="s">
        <v>2409</v>
      </c>
      <c r="F3061" s="86" t="s">
        <v>2412</v>
      </c>
      <c r="G3061" s="86" t="s">
        <v>2409</v>
      </c>
      <c r="H3061" s="143">
        <v>237</v>
      </c>
      <c r="I3061" s="86" t="s">
        <v>2374</v>
      </c>
      <c r="J3061" s="1" t="s">
        <v>3322</v>
      </c>
      <c r="K3061" s="1" t="s">
        <v>3269</v>
      </c>
      <c r="L3061" s="1" t="s">
        <v>35</v>
      </c>
      <c r="M3061" s="86" t="s">
        <v>2417</v>
      </c>
      <c r="N3061" s="86"/>
      <c r="O3061" s="47" t="s">
        <v>45</v>
      </c>
      <c r="P3061" s="47" t="s">
        <v>46</v>
      </c>
      <c r="Q3061" s="14">
        <v>5.5E-2</v>
      </c>
      <c r="R3061" s="143"/>
      <c r="S3061" s="47"/>
      <c r="T3061" s="6">
        <v>0</v>
      </c>
      <c r="U3061" s="6">
        <v>886200</v>
      </c>
      <c r="V3061" s="6">
        <v>0</v>
      </c>
      <c r="W3061" s="6">
        <f t="shared" si="481"/>
        <v>886200</v>
      </c>
      <c r="X3061" s="6">
        <f t="shared" si="477"/>
        <v>0</v>
      </c>
      <c r="Y3061" s="13">
        <f t="shared" si="474"/>
        <v>0</v>
      </c>
      <c r="Z3061" s="14">
        <v>0</v>
      </c>
      <c r="AA3061" s="6">
        <v>0</v>
      </c>
      <c r="AB3061" s="4">
        <f t="shared" si="475"/>
        <v>0</v>
      </c>
      <c r="AC3061" s="4">
        <f t="shared" si="479"/>
        <v>0</v>
      </c>
      <c r="AD3061" s="6">
        <v>1315522.19</v>
      </c>
      <c r="AE3061" s="2">
        <f>VLOOKUP(I3061,[1]媒体政策预估表!A:N,MATCH(O3061,[1]媒体政策预估表!$A$2:$M$2,0),0)</f>
        <v>0.06</v>
      </c>
      <c r="AF3061" s="6">
        <f t="shared" si="480"/>
        <v>78931.331399999995</v>
      </c>
      <c r="AG3061" s="14">
        <v>0</v>
      </c>
      <c r="AH3061" s="6">
        <f t="shared" si="478"/>
        <v>0</v>
      </c>
      <c r="AI3061" s="47"/>
      <c r="AJ3061" s="126" t="e">
        <v>#N/A</v>
      </c>
      <c r="AK3061" s="80">
        <f t="shared" si="476"/>
        <v>0</v>
      </c>
      <c r="AM3061" s="85"/>
    </row>
    <row r="3062" spans="1:39" hidden="1" x14ac:dyDescent="0.3">
      <c r="A3062" s="89" t="s">
        <v>3397</v>
      </c>
      <c r="B3062" s="86" t="s">
        <v>35</v>
      </c>
      <c r="C3062" s="86" t="s">
        <v>47</v>
      </c>
      <c r="D3062" s="86" t="s">
        <v>63</v>
      </c>
      <c r="E3062" s="86" t="s">
        <v>2409</v>
      </c>
      <c r="F3062" s="86" t="s">
        <v>2415</v>
      </c>
      <c r="G3062" s="86" t="s">
        <v>2409</v>
      </c>
      <c r="H3062" s="144">
        <v>237</v>
      </c>
      <c r="I3062" s="86" t="s">
        <v>2374</v>
      </c>
      <c r="J3062" s="1" t="s">
        <v>3322</v>
      </c>
      <c r="K3062" s="1" t="s">
        <v>3269</v>
      </c>
      <c r="L3062" s="1" t="s">
        <v>35</v>
      </c>
      <c r="M3062" s="86" t="s">
        <v>2411</v>
      </c>
      <c r="N3062" s="86"/>
      <c r="O3062" s="47" t="s">
        <v>45</v>
      </c>
      <c r="P3062" s="47" t="s">
        <v>46</v>
      </c>
      <c r="Q3062" s="14">
        <v>5.5E-2</v>
      </c>
      <c r="R3062" s="143"/>
      <c r="S3062" s="47"/>
      <c r="T3062" s="6">
        <v>1369594.9351000013</v>
      </c>
      <c r="U3062" s="6">
        <v>9897750.0061999988</v>
      </c>
      <c r="V3062" s="6">
        <v>6780611.8400000008</v>
      </c>
      <c r="W3062" s="6">
        <f t="shared" si="481"/>
        <v>4486733.1013000002</v>
      </c>
      <c r="X3062" s="6">
        <f t="shared" si="477"/>
        <v>5446274.5702811256</v>
      </c>
      <c r="Y3062" s="13">
        <f t="shared" si="474"/>
        <v>0</v>
      </c>
      <c r="Z3062" s="14">
        <v>0</v>
      </c>
      <c r="AA3062" s="6">
        <v>0</v>
      </c>
      <c r="AB3062" s="4">
        <f t="shared" si="475"/>
        <v>5446274.5702811256</v>
      </c>
      <c r="AC3062" s="4">
        <f t="shared" si="479"/>
        <v>1334337.2697188752</v>
      </c>
      <c r="AD3062" s="6">
        <v>5698042.4900000012</v>
      </c>
      <c r="AE3062" s="2">
        <f>VLOOKUP(I3062,[1]媒体政策预估表!A:N,MATCH(O3062,[1]媒体政策预估表!$A$2:$M$2,0),0)</f>
        <v>0.06</v>
      </c>
      <c r="AF3062" s="6">
        <f t="shared" si="480"/>
        <v>341882.54940000008</v>
      </c>
      <c r="AG3062" s="14">
        <v>0.19</v>
      </c>
      <c r="AH3062" s="6">
        <f t="shared" si="478"/>
        <v>5697993.1428571437</v>
      </c>
      <c r="AI3062" s="47"/>
      <c r="AJ3062" s="126" t="e">
        <v>#N/A</v>
      </c>
      <c r="AK3062" s="80">
        <f t="shared" si="476"/>
        <v>0</v>
      </c>
      <c r="AM3062" s="85"/>
    </row>
    <row r="3063" spans="1:39" hidden="1" x14ac:dyDescent="0.3">
      <c r="A3063" s="89" t="s">
        <v>3397</v>
      </c>
      <c r="B3063" s="86" t="s">
        <v>35</v>
      </c>
      <c r="C3063" s="86" t="s">
        <v>47</v>
      </c>
      <c r="D3063" s="86" t="s">
        <v>63</v>
      </c>
      <c r="E3063" s="86" t="s">
        <v>2409</v>
      </c>
      <c r="F3063" s="86" t="s">
        <v>2415</v>
      </c>
      <c r="G3063" s="86" t="s">
        <v>2409</v>
      </c>
      <c r="H3063" s="144">
        <v>237</v>
      </c>
      <c r="I3063" s="86" t="s">
        <v>2374</v>
      </c>
      <c r="J3063" s="1" t="s">
        <v>3322</v>
      </c>
      <c r="K3063" s="1" t="s">
        <v>3269</v>
      </c>
      <c r="L3063" s="1" t="s">
        <v>35</v>
      </c>
      <c r="M3063" s="86" t="s">
        <v>2411</v>
      </c>
      <c r="N3063" s="86"/>
      <c r="O3063" s="47" t="s">
        <v>40</v>
      </c>
      <c r="P3063" s="47" t="s">
        <v>46</v>
      </c>
      <c r="Q3063" s="14">
        <v>5.5E-2</v>
      </c>
      <c r="R3063" s="143"/>
      <c r="S3063" s="47"/>
      <c r="T3063" s="6">
        <v>76017.850800000015</v>
      </c>
      <c r="U3063" s="6">
        <v>841600.00260000001</v>
      </c>
      <c r="V3063" s="6">
        <v>458354.02</v>
      </c>
      <c r="W3063" s="6">
        <f t="shared" si="481"/>
        <v>459263.8334</v>
      </c>
      <c r="X3063" s="6">
        <f t="shared" si="477"/>
        <v>348558.19011406845</v>
      </c>
      <c r="Y3063" s="13">
        <f t="shared" si="474"/>
        <v>0</v>
      </c>
      <c r="Z3063" s="14">
        <v>0</v>
      </c>
      <c r="AA3063" s="6">
        <v>0</v>
      </c>
      <c r="AB3063" s="4">
        <f t="shared" si="475"/>
        <v>348558.19011406845</v>
      </c>
      <c r="AC3063" s="4">
        <f t="shared" si="479"/>
        <v>109795.82988593157</v>
      </c>
      <c r="AD3063" s="6">
        <v>363934.58000000013</v>
      </c>
      <c r="AE3063" s="2">
        <f>VLOOKUP(I3063,[1]媒体政策预估表!A:N,MATCH(O3063,[1]媒体政策预估表!$A$2:$M$2,0),0)</f>
        <v>7.0000000000000007E-2</v>
      </c>
      <c r="AF3063" s="6">
        <f t="shared" si="480"/>
        <v>25475.420600000012</v>
      </c>
      <c r="AG3063" s="14">
        <v>0.26</v>
      </c>
      <c r="AH3063" s="6">
        <f t="shared" si="478"/>
        <v>363773.03174603177</v>
      </c>
      <c r="AI3063" s="47"/>
      <c r="AJ3063" s="126" t="e">
        <v>#N/A</v>
      </c>
      <c r="AK3063" s="80">
        <f t="shared" si="476"/>
        <v>0</v>
      </c>
      <c r="AM3063" s="85"/>
    </row>
    <row r="3064" spans="1:39" hidden="1" x14ac:dyDescent="0.3">
      <c r="A3064" s="89" t="s">
        <v>3397</v>
      </c>
      <c r="B3064" s="86" t="s">
        <v>35</v>
      </c>
      <c r="C3064" s="86" t="s">
        <v>47</v>
      </c>
      <c r="D3064" s="86" t="s">
        <v>63</v>
      </c>
      <c r="E3064" s="86" t="s">
        <v>2409</v>
      </c>
      <c r="F3064" s="86" t="s">
        <v>2416</v>
      </c>
      <c r="G3064" s="86" t="s">
        <v>2409</v>
      </c>
      <c r="H3064" s="144">
        <v>237</v>
      </c>
      <c r="I3064" s="86" t="s">
        <v>2374</v>
      </c>
      <c r="J3064" s="1" t="s">
        <v>3322</v>
      </c>
      <c r="K3064" s="1" t="s">
        <v>3269</v>
      </c>
      <c r="L3064" s="1" t="s">
        <v>35</v>
      </c>
      <c r="M3064" s="86" t="s">
        <v>2417</v>
      </c>
      <c r="N3064" s="86"/>
      <c r="O3064" s="47" t="s">
        <v>45</v>
      </c>
      <c r="P3064" s="47" t="s">
        <v>46</v>
      </c>
      <c r="Q3064" s="14">
        <v>5.5E-2</v>
      </c>
      <c r="R3064" s="143"/>
      <c r="S3064" s="47"/>
      <c r="T3064" s="6">
        <v>442465.03020000039</v>
      </c>
      <c r="U3064" s="6">
        <v>1138499.9989</v>
      </c>
      <c r="V3064" s="6">
        <v>1551965.2899999996</v>
      </c>
      <c r="W3064" s="6">
        <f t="shared" si="481"/>
        <v>28999.739100000821</v>
      </c>
      <c r="X3064" s="6">
        <f t="shared" si="477"/>
        <v>1226850.0316205532</v>
      </c>
      <c r="Y3064" s="13">
        <f t="shared" si="474"/>
        <v>1226850.0316205532</v>
      </c>
      <c r="Z3064" s="14">
        <v>0</v>
      </c>
      <c r="AA3064" s="6">
        <v>0</v>
      </c>
      <c r="AB3064" s="4">
        <f t="shared" si="475"/>
        <v>1226850.0316205532</v>
      </c>
      <c r="AC3064" s="4">
        <f t="shared" si="479"/>
        <v>325115.25837944634</v>
      </c>
      <c r="AD3064" s="6">
        <v>0</v>
      </c>
      <c r="AE3064" s="2">
        <f>VLOOKUP(I3064,[1]媒体政策预估表!A:N,MATCH(O3064,[1]媒体政策预估表!$A$2:$M$2,0),0)</f>
        <v>0.06</v>
      </c>
      <c r="AF3064" s="6">
        <f t="shared" si="480"/>
        <v>0</v>
      </c>
      <c r="AG3064" s="14">
        <v>0.21</v>
      </c>
      <c r="AH3064" s="6">
        <f t="shared" si="478"/>
        <v>1282615.94214876</v>
      </c>
      <c r="AI3064" s="47"/>
      <c r="AJ3064" s="126" t="e">
        <v>#N/A</v>
      </c>
      <c r="AK3064" s="80">
        <f t="shared" si="476"/>
        <v>0</v>
      </c>
      <c r="AM3064" s="85"/>
    </row>
    <row r="3065" spans="1:39" hidden="1" x14ac:dyDescent="0.3">
      <c r="A3065" s="89" t="s">
        <v>3397</v>
      </c>
      <c r="B3065" s="86" t="s">
        <v>35</v>
      </c>
      <c r="C3065" s="86" t="s">
        <v>47</v>
      </c>
      <c r="D3065" s="86" t="s">
        <v>63</v>
      </c>
      <c r="E3065" s="86" t="s">
        <v>2418</v>
      </c>
      <c r="F3065" s="86" t="s">
        <v>2419</v>
      </c>
      <c r="G3065" s="86" t="s">
        <v>2418</v>
      </c>
      <c r="H3065" s="144">
        <v>237</v>
      </c>
      <c r="I3065" s="86" t="s">
        <v>2374</v>
      </c>
      <c r="J3065" s="1" t="s">
        <v>3322</v>
      </c>
      <c r="K3065" s="1" t="s">
        <v>3269</v>
      </c>
      <c r="L3065" s="1" t="s">
        <v>35</v>
      </c>
      <c r="M3065" s="86" t="s">
        <v>2420</v>
      </c>
      <c r="N3065" s="86"/>
      <c r="O3065" s="47" t="s">
        <v>45</v>
      </c>
      <c r="P3065" s="47" t="s">
        <v>46</v>
      </c>
      <c r="Q3065" s="14">
        <v>5.5E-2</v>
      </c>
      <c r="R3065" s="143"/>
      <c r="S3065" s="47"/>
      <c r="T3065" s="6">
        <v>1593340.5569999851</v>
      </c>
      <c r="U3065" s="6">
        <v>19530000.005800001</v>
      </c>
      <c r="V3065" s="6">
        <v>21123340.562799986</v>
      </c>
      <c r="W3065" s="6">
        <f t="shared" si="481"/>
        <v>0</v>
      </c>
      <c r="X3065" s="6">
        <f t="shared" si="477"/>
        <v>15142179.614910385</v>
      </c>
      <c r="Y3065" s="13">
        <f t="shared" si="474"/>
        <v>0</v>
      </c>
      <c r="Z3065" s="14">
        <v>0</v>
      </c>
      <c r="AA3065" s="6">
        <v>0</v>
      </c>
      <c r="AB3065" s="4">
        <f t="shared" si="475"/>
        <v>15142179.614910385</v>
      </c>
      <c r="AC3065" s="4">
        <f t="shared" si="479"/>
        <v>5981160.9478896018</v>
      </c>
      <c r="AD3065" s="6">
        <v>17707299.419999998</v>
      </c>
      <c r="AE3065" s="2">
        <f>VLOOKUP(I3065,[1]媒体政策预估表!A:N,MATCH(O3065,[1]媒体政策预估表!$A$2:$M$2,0),0)</f>
        <v>0.06</v>
      </c>
      <c r="AF3065" s="6">
        <f t="shared" si="480"/>
        <v>1062437.9651999997</v>
      </c>
      <c r="AG3065" s="14">
        <v>0.34</v>
      </c>
      <c r="AH3065" s="6">
        <f t="shared" si="478"/>
        <v>15763686.987164168</v>
      </c>
      <c r="AI3065" s="47"/>
      <c r="AJ3065" s="126" t="e">
        <v>#N/A</v>
      </c>
      <c r="AK3065" s="80">
        <f t="shared" si="476"/>
        <v>0</v>
      </c>
      <c r="AM3065" s="85"/>
    </row>
    <row r="3066" spans="1:39" hidden="1" x14ac:dyDescent="0.3">
      <c r="A3066" s="89" t="s">
        <v>3397</v>
      </c>
      <c r="B3066" s="86" t="s">
        <v>35</v>
      </c>
      <c r="C3066" s="86" t="s">
        <v>47</v>
      </c>
      <c r="D3066" s="86" t="s">
        <v>63</v>
      </c>
      <c r="E3066" s="86" t="s">
        <v>2418</v>
      </c>
      <c r="F3066" s="86" t="s">
        <v>2421</v>
      </c>
      <c r="G3066" s="86" t="s">
        <v>2418</v>
      </c>
      <c r="H3066" s="144">
        <v>237</v>
      </c>
      <c r="I3066" s="86" t="s">
        <v>2374</v>
      </c>
      <c r="J3066" s="1" t="s">
        <v>3322</v>
      </c>
      <c r="K3066" s="1" t="s">
        <v>3269</v>
      </c>
      <c r="L3066" s="1" t="s">
        <v>35</v>
      </c>
      <c r="M3066" s="86" t="s">
        <v>2420</v>
      </c>
      <c r="N3066" s="86"/>
      <c r="O3066" s="47" t="s">
        <v>40</v>
      </c>
      <c r="P3066" s="47" t="s">
        <v>46</v>
      </c>
      <c r="Q3066" s="14">
        <v>5.5E-2</v>
      </c>
      <c r="R3066" s="143"/>
      <c r="S3066" s="47"/>
      <c r="T3066" s="6">
        <v>3812921.3632000005</v>
      </c>
      <c r="U3066" s="6">
        <v>8677500.0064000003</v>
      </c>
      <c r="V3066" s="6">
        <v>5093830.4300000016</v>
      </c>
      <c r="W3066" s="6">
        <f t="shared" si="481"/>
        <v>7396590.9396000002</v>
      </c>
      <c r="X3066" s="6">
        <f t="shared" si="477"/>
        <v>3815603.3183520613</v>
      </c>
      <c r="Y3066" s="13">
        <f t="shared" si="474"/>
        <v>0</v>
      </c>
      <c r="Z3066" s="14">
        <v>0</v>
      </c>
      <c r="AA3066" s="6">
        <v>0</v>
      </c>
      <c r="AB3066" s="4">
        <f t="shared" si="475"/>
        <v>3815603.3183520613</v>
      </c>
      <c r="AC3066" s="4">
        <f t="shared" si="479"/>
        <v>1278227.1116479402</v>
      </c>
      <c r="AD3066" s="6">
        <v>4101161.0100000026</v>
      </c>
      <c r="AE3066" s="2">
        <f>VLOOKUP(I3066,[1]媒体政策预估表!A:N,MATCH(O3066,[1]媒体政策预估表!$A$2:$M$2,0),0)</f>
        <v>7.0000000000000007E-2</v>
      </c>
      <c r="AF3066" s="6">
        <f t="shared" si="480"/>
        <v>287081.27070000023</v>
      </c>
      <c r="AG3066" s="14">
        <v>0.28000000000000003</v>
      </c>
      <c r="AH3066" s="6">
        <f t="shared" si="478"/>
        <v>3979555.0234375009</v>
      </c>
      <c r="AI3066" s="47"/>
      <c r="AJ3066" s="126" t="e">
        <v>#N/A</v>
      </c>
      <c r="AK3066" s="80">
        <f t="shared" si="476"/>
        <v>0</v>
      </c>
      <c r="AM3066" s="85"/>
    </row>
    <row r="3067" spans="1:39" hidden="1" x14ac:dyDescent="0.3">
      <c r="A3067" s="89" t="s">
        <v>3408</v>
      </c>
      <c r="B3067" s="86" t="s">
        <v>35</v>
      </c>
      <c r="C3067" s="86" t="s">
        <v>47</v>
      </c>
      <c r="D3067" s="86" t="s">
        <v>63</v>
      </c>
      <c r="E3067" s="86" t="s">
        <v>2418</v>
      </c>
      <c r="F3067" s="86" t="s">
        <v>2422</v>
      </c>
      <c r="G3067" s="86" t="s">
        <v>2418</v>
      </c>
      <c r="H3067" s="143">
        <v>237</v>
      </c>
      <c r="I3067" s="86" t="s">
        <v>2374</v>
      </c>
      <c r="J3067" s="1" t="s">
        <v>3322</v>
      </c>
      <c r="K3067" s="1" t="s">
        <v>3269</v>
      </c>
      <c r="L3067" s="1" t="s">
        <v>35</v>
      </c>
      <c r="M3067" s="86" t="s">
        <v>2428</v>
      </c>
      <c r="N3067" s="86"/>
      <c r="O3067" s="47" t="s">
        <v>45</v>
      </c>
      <c r="P3067" s="47" t="s">
        <v>46</v>
      </c>
      <c r="Q3067" s="14">
        <v>5.5E-2</v>
      </c>
      <c r="R3067" s="143"/>
      <c r="S3067" s="47"/>
      <c r="T3067" s="6">
        <v>0</v>
      </c>
      <c r="U3067" s="6">
        <v>2318890</v>
      </c>
      <c r="V3067" s="6">
        <v>0</v>
      </c>
      <c r="W3067" s="6">
        <f t="shared" si="481"/>
        <v>2318890</v>
      </c>
      <c r="X3067" s="6">
        <f t="shared" si="477"/>
        <v>0</v>
      </c>
      <c r="Y3067" s="13">
        <f t="shared" si="474"/>
        <v>0</v>
      </c>
      <c r="Z3067" s="14">
        <v>0</v>
      </c>
      <c r="AA3067" s="6">
        <v>0</v>
      </c>
      <c r="AB3067" s="4">
        <f t="shared" si="475"/>
        <v>0</v>
      </c>
      <c r="AC3067" s="4">
        <f t="shared" si="479"/>
        <v>0</v>
      </c>
      <c r="AD3067" s="6">
        <v>1671032.4900000005</v>
      </c>
      <c r="AE3067" s="2">
        <f>VLOOKUP(I3067,[1]媒体政策预估表!A:N,MATCH(O3067,[1]媒体政策预估表!$A$2:$M$2,0),0)</f>
        <v>0.06</v>
      </c>
      <c r="AF3067" s="6">
        <f t="shared" si="480"/>
        <v>100261.94940000003</v>
      </c>
      <c r="AG3067" s="14">
        <v>0</v>
      </c>
      <c r="AH3067" s="6">
        <f t="shared" si="478"/>
        <v>0</v>
      </c>
      <c r="AI3067" s="47"/>
      <c r="AJ3067" s="126" t="e">
        <v>#N/A</v>
      </c>
      <c r="AK3067" s="80">
        <f t="shared" si="476"/>
        <v>0</v>
      </c>
      <c r="AM3067" s="85"/>
    </row>
    <row r="3068" spans="1:39" hidden="1" x14ac:dyDescent="0.3">
      <c r="A3068" s="89" t="s">
        <v>3397</v>
      </c>
      <c r="B3068" s="86" t="s">
        <v>35</v>
      </c>
      <c r="C3068" s="86" t="s">
        <v>47</v>
      </c>
      <c r="D3068" s="86" t="s">
        <v>63</v>
      </c>
      <c r="E3068" s="86" t="s">
        <v>2418</v>
      </c>
      <c r="F3068" s="86" t="s">
        <v>2422</v>
      </c>
      <c r="G3068" s="86" t="s">
        <v>2418</v>
      </c>
      <c r="H3068" s="144">
        <v>237</v>
      </c>
      <c r="I3068" s="86" t="s">
        <v>2374</v>
      </c>
      <c r="J3068" s="1" t="s">
        <v>3322</v>
      </c>
      <c r="K3068" s="1" t="s">
        <v>3269</v>
      </c>
      <c r="L3068" s="1" t="s">
        <v>35</v>
      </c>
      <c r="M3068" s="86" t="s">
        <v>2420</v>
      </c>
      <c r="N3068" s="86"/>
      <c r="O3068" s="47" t="s">
        <v>45</v>
      </c>
      <c r="P3068" s="47" t="s">
        <v>46</v>
      </c>
      <c r="Q3068" s="14">
        <v>5.5E-2</v>
      </c>
      <c r="R3068" s="143"/>
      <c r="S3068" s="47"/>
      <c r="T3068" s="6">
        <v>0</v>
      </c>
      <c r="U3068" s="6">
        <v>10191300</v>
      </c>
      <c r="V3068" s="6">
        <v>1966107.3572000153</v>
      </c>
      <c r="W3068" s="6">
        <f t="shared" si="481"/>
        <v>8225192.6427999847</v>
      </c>
      <c r="X3068" s="6">
        <f t="shared" si="477"/>
        <v>1863608.8693839009</v>
      </c>
      <c r="Y3068" s="13">
        <f t="shared" si="474"/>
        <v>1863608.8693839009</v>
      </c>
      <c r="Z3068" s="14">
        <v>0</v>
      </c>
      <c r="AA3068" s="6">
        <v>0</v>
      </c>
      <c r="AB3068" s="4">
        <f t="shared" si="475"/>
        <v>1863608.8693839009</v>
      </c>
      <c r="AC3068" s="4">
        <f t="shared" si="479"/>
        <v>102498.48781611444</v>
      </c>
      <c r="AD3068" s="6">
        <v>0</v>
      </c>
      <c r="AE3068" s="2">
        <f>VLOOKUP(I3068,[1]媒体政策预估表!A:N,MATCH(O3068,[1]媒体政策预估表!$A$2:$M$2,0),0)</f>
        <v>0.06</v>
      </c>
      <c r="AF3068" s="6">
        <f t="shared" si="480"/>
        <v>0</v>
      </c>
      <c r="AG3068" s="14">
        <v>0</v>
      </c>
      <c r="AH3068" s="6">
        <f t="shared" si="478"/>
        <v>1966107.3572000153</v>
      </c>
      <c r="AI3068" s="47"/>
      <c r="AJ3068" s="126" t="e">
        <v>#N/A</v>
      </c>
      <c r="AK3068" s="80">
        <f t="shared" si="476"/>
        <v>0</v>
      </c>
      <c r="AM3068" s="85"/>
    </row>
    <row r="3069" spans="1:39" hidden="1" x14ac:dyDescent="0.3">
      <c r="A3069" s="89" t="s">
        <v>3397</v>
      </c>
      <c r="B3069" s="86" t="s">
        <v>35</v>
      </c>
      <c r="C3069" s="86" t="s">
        <v>47</v>
      </c>
      <c r="D3069" s="86" t="s">
        <v>63</v>
      </c>
      <c r="E3069" s="86" t="s">
        <v>2418</v>
      </c>
      <c r="F3069" s="86" t="s">
        <v>2422</v>
      </c>
      <c r="G3069" s="86" t="s">
        <v>2418</v>
      </c>
      <c r="H3069" s="143">
        <v>237</v>
      </c>
      <c r="I3069" s="86" t="s">
        <v>2374</v>
      </c>
      <c r="J3069" s="1" t="s">
        <v>3322</v>
      </c>
      <c r="K3069" s="1" t="s">
        <v>3269</v>
      </c>
      <c r="L3069" s="1" t="s">
        <v>35</v>
      </c>
      <c r="M3069" s="86" t="s">
        <v>2420</v>
      </c>
      <c r="N3069" s="86"/>
      <c r="O3069" s="47" t="s">
        <v>40</v>
      </c>
      <c r="P3069" s="47" t="s">
        <v>46</v>
      </c>
      <c r="Q3069" s="14">
        <v>5.5E-2</v>
      </c>
      <c r="R3069" s="143"/>
      <c r="S3069" s="47"/>
      <c r="T3069" s="6">
        <v>0</v>
      </c>
      <c r="U3069" s="6">
        <v>4283300</v>
      </c>
      <c r="V3069" s="6">
        <v>0</v>
      </c>
      <c r="W3069" s="6">
        <f t="shared" si="481"/>
        <v>4283300</v>
      </c>
      <c r="X3069" s="6">
        <f t="shared" si="477"/>
        <v>0</v>
      </c>
      <c r="Y3069" s="13">
        <f t="shared" si="474"/>
        <v>0</v>
      </c>
      <c r="Z3069" s="14">
        <v>0</v>
      </c>
      <c r="AA3069" s="6">
        <v>0</v>
      </c>
      <c r="AB3069" s="4">
        <f t="shared" si="475"/>
        <v>0</v>
      </c>
      <c r="AC3069" s="4">
        <f t="shared" si="479"/>
        <v>0</v>
      </c>
      <c r="AD3069" s="6">
        <v>0</v>
      </c>
      <c r="AE3069" s="2">
        <f>VLOOKUP(I3069,[1]媒体政策预估表!A:N,MATCH(O3069,[1]媒体政策预估表!$A$2:$M$2,0),0)</f>
        <v>7.0000000000000007E-2</v>
      </c>
      <c r="AF3069" s="6">
        <f t="shared" si="480"/>
        <v>0</v>
      </c>
      <c r="AG3069" s="14">
        <v>0</v>
      </c>
      <c r="AH3069" s="6">
        <f t="shared" si="478"/>
        <v>0</v>
      </c>
      <c r="AI3069" s="47"/>
      <c r="AJ3069" s="126" t="e">
        <v>#N/A</v>
      </c>
      <c r="AK3069" s="80">
        <f t="shared" si="476"/>
        <v>0</v>
      </c>
      <c r="AM3069" s="85"/>
    </row>
    <row r="3070" spans="1:39" hidden="1" x14ac:dyDescent="0.3">
      <c r="A3070" s="89" t="s">
        <v>3397</v>
      </c>
      <c r="B3070" s="86" t="s">
        <v>35</v>
      </c>
      <c r="C3070" s="86" t="s">
        <v>47</v>
      </c>
      <c r="D3070" s="86" t="s">
        <v>63</v>
      </c>
      <c r="E3070" s="86" t="s">
        <v>2418</v>
      </c>
      <c r="F3070" s="86" t="s">
        <v>2427</v>
      </c>
      <c r="G3070" s="86" t="s">
        <v>2418</v>
      </c>
      <c r="H3070" s="144">
        <v>237</v>
      </c>
      <c r="I3070" s="86" t="s">
        <v>2374</v>
      </c>
      <c r="J3070" s="1" t="s">
        <v>3322</v>
      </c>
      <c r="K3070" s="1" t="s">
        <v>3269</v>
      </c>
      <c r="L3070" s="1" t="s">
        <v>35</v>
      </c>
      <c r="M3070" s="86" t="s">
        <v>2428</v>
      </c>
      <c r="N3070" s="86"/>
      <c r="O3070" s="47" t="s">
        <v>45</v>
      </c>
      <c r="P3070" s="47" t="s">
        <v>46</v>
      </c>
      <c r="Q3070" s="14">
        <v>5.5E-2</v>
      </c>
      <c r="R3070" s="143"/>
      <c r="S3070" s="47"/>
      <c r="T3070" s="6">
        <v>1708543.8620000025</v>
      </c>
      <c r="U3070" s="6">
        <v>312199.99800000002</v>
      </c>
      <c r="V3070" s="6">
        <v>1754438.9899999995</v>
      </c>
      <c r="W3070" s="6">
        <f t="shared" si="481"/>
        <v>266304.87000000314</v>
      </c>
      <c r="X3070" s="6">
        <f t="shared" si="477"/>
        <v>1573487.8834080712</v>
      </c>
      <c r="Y3070" s="13">
        <f t="shared" si="474"/>
        <v>1573487.8834080712</v>
      </c>
      <c r="Z3070" s="14">
        <v>0</v>
      </c>
      <c r="AA3070" s="6">
        <v>0</v>
      </c>
      <c r="AB3070" s="4">
        <f t="shared" si="475"/>
        <v>1573487.8834080712</v>
      </c>
      <c r="AC3070" s="4">
        <f t="shared" si="479"/>
        <v>180951.10659192828</v>
      </c>
      <c r="AD3070" s="6">
        <v>0</v>
      </c>
      <c r="AE3070" s="2">
        <f>VLOOKUP(I3070,[1]媒体政策预估表!A:N,MATCH(O3070,[1]媒体政策预估表!$A$2:$M$2,0),0)</f>
        <v>0.06</v>
      </c>
      <c r="AF3070" s="6">
        <f t="shared" si="480"/>
        <v>0</v>
      </c>
      <c r="AG3070" s="14">
        <v>0.06</v>
      </c>
      <c r="AH3070" s="6">
        <f t="shared" si="478"/>
        <v>1655131.1226415089</v>
      </c>
      <c r="AI3070" s="47"/>
      <c r="AJ3070" s="126" t="e">
        <v>#N/A</v>
      </c>
      <c r="AK3070" s="80">
        <f t="shared" si="476"/>
        <v>0</v>
      </c>
      <c r="AM3070" s="85"/>
    </row>
    <row r="3071" spans="1:39" hidden="1" x14ac:dyDescent="0.3">
      <c r="A3071" s="89" t="s">
        <v>3408</v>
      </c>
      <c r="B3071" s="86" t="s">
        <v>35</v>
      </c>
      <c r="C3071" s="86" t="s">
        <v>47</v>
      </c>
      <c r="D3071" s="86" t="s">
        <v>63</v>
      </c>
      <c r="E3071" s="86" t="s">
        <v>2480</v>
      </c>
      <c r="F3071" s="86" t="s">
        <v>2480</v>
      </c>
      <c r="G3071" s="86" t="s">
        <v>2480</v>
      </c>
      <c r="H3071" s="144">
        <v>237</v>
      </c>
      <c r="I3071" s="86" t="s">
        <v>2374</v>
      </c>
      <c r="J3071" s="1" t="s">
        <v>3322</v>
      </c>
      <c r="K3071" s="1" t="s">
        <v>3269</v>
      </c>
      <c r="L3071" s="1" t="s">
        <v>35</v>
      </c>
      <c r="M3071" s="86" t="s">
        <v>2481</v>
      </c>
      <c r="N3071" s="86"/>
      <c r="O3071" s="47" t="s">
        <v>45</v>
      </c>
      <c r="P3071" s="47" t="s">
        <v>41</v>
      </c>
      <c r="Q3071" s="14">
        <v>0</v>
      </c>
      <c r="R3071" s="143"/>
      <c r="S3071" s="47"/>
      <c r="T3071" s="6">
        <v>32588.840000000026</v>
      </c>
      <c r="U3071" s="6">
        <v>-29537.87</v>
      </c>
      <c r="V3071" s="6">
        <v>3052.27</v>
      </c>
      <c r="W3071" s="6">
        <f t="shared" si="481"/>
        <v>-1.2999999999733518</v>
      </c>
      <c r="X3071" s="6">
        <f t="shared" si="477"/>
        <v>3052.27</v>
      </c>
      <c r="Y3071" s="13">
        <f t="shared" si="474"/>
        <v>0</v>
      </c>
      <c r="Z3071" s="14">
        <v>0</v>
      </c>
      <c r="AA3071" s="6">
        <v>0</v>
      </c>
      <c r="AB3071" s="4">
        <f t="shared" si="475"/>
        <v>3052.27</v>
      </c>
      <c r="AC3071" s="4">
        <f t="shared" si="479"/>
        <v>0</v>
      </c>
      <c r="AD3071" s="6">
        <v>3052.27</v>
      </c>
      <c r="AE3071" s="2">
        <f>VLOOKUP(I3071,[1]媒体政策预估表!A:N,MATCH(O3071,[1]媒体政策预估表!$A$2:$M$2,0),0)</f>
        <v>0.06</v>
      </c>
      <c r="AF3071" s="6">
        <f t="shared" si="480"/>
        <v>183.1362</v>
      </c>
      <c r="AG3071" s="14">
        <v>0</v>
      </c>
      <c r="AH3071" s="6">
        <f t="shared" si="478"/>
        <v>3052.27</v>
      </c>
      <c r="AI3071" s="47"/>
      <c r="AJ3071" s="126" t="e">
        <v>#N/A</v>
      </c>
      <c r="AK3071" s="80">
        <f t="shared" si="476"/>
        <v>0</v>
      </c>
      <c r="AM3071" s="85"/>
    </row>
    <row r="3072" spans="1:39" hidden="1" x14ac:dyDescent="0.3">
      <c r="A3072" s="89" t="s">
        <v>3397</v>
      </c>
      <c r="B3072" s="86" t="s">
        <v>35</v>
      </c>
      <c r="C3072" s="86" t="s">
        <v>47</v>
      </c>
      <c r="D3072" s="86" t="s">
        <v>63</v>
      </c>
      <c r="E3072" s="86" t="s">
        <v>134</v>
      </c>
      <c r="F3072" s="86" t="s">
        <v>134</v>
      </c>
      <c r="G3072" s="86" t="s">
        <v>134</v>
      </c>
      <c r="H3072" s="144">
        <v>237</v>
      </c>
      <c r="I3072" s="86" t="s">
        <v>2374</v>
      </c>
      <c r="J3072" s="1" t="s">
        <v>3322</v>
      </c>
      <c r="K3072" s="1" t="s">
        <v>3269</v>
      </c>
      <c r="L3072" s="1" t="s">
        <v>35</v>
      </c>
      <c r="M3072" s="86" t="s">
        <v>134</v>
      </c>
      <c r="N3072" s="86"/>
      <c r="O3072" s="47" t="s">
        <v>45</v>
      </c>
      <c r="P3072" s="47" t="s">
        <v>41</v>
      </c>
      <c r="Q3072" s="14">
        <v>0</v>
      </c>
      <c r="R3072" s="143"/>
      <c r="S3072" s="47"/>
      <c r="T3072" s="6">
        <v>6384.2539000003162</v>
      </c>
      <c r="U3072" s="6">
        <v>50000</v>
      </c>
      <c r="V3072" s="6">
        <v>64537.909999999989</v>
      </c>
      <c r="W3072" s="6">
        <f t="shared" si="481"/>
        <v>-8153.6560999996727</v>
      </c>
      <c r="X3072" s="6">
        <f t="shared" si="477"/>
        <v>64537.909999999989</v>
      </c>
      <c r="Y3072" s="13">
        <f t="shared" si="474"/>
        <v>311.27000000000407</v>
      </c>
      <c r="Z3072" s="14">
        <v>0</v>
      </c>
      <c r="AA3072" s="6">
        <v>0</v>
      </c>
      <c r="AB3072" s="4">
        <f t="shared" si="475"/>
        <v>64537.909999999989</v>
      </c>
      <c r="AC3072" s="4">
        <f t="shared" si="479"/>
        <v>0</v>
      </c>
      <c r="AD3072" s="6">
        <v>64226.639999999985</v>
      </c>
      <c r="AE3072" s="2">
        <f>VLOOKUP(I3072,[1]媒体政策预估表!A:N,MATCH(O3072,[1]媒体政策预估表!$A$2:$M$2,0),0)</f>
        <v>0.06</v>
      </c>
      <c r="AF3072" s="6">
        <f t="shared" si="480"/>
        <v>3853.5983999999989</v>
      </c>
      <c r="AG3072" s="14">
        <v>0</v>
      </c>
      <c r="AH3072" s="6">
        <f t="shared" si="478"/>
        <v>64537.909999999989</v>
      </c>
      <c r="AI3072" s="47"/>
      <c r="AJ3072" s="126" t="e">
        <v>#N/A</v>
      </c>
      <c r="AK3072" s="80">
        <f t="shared" si="476"/>
        <v>0</v>
      </c>
      <c r="AM3072" s="85"/>
    </row>
    <row r="3073" spans="1:39" hidden="1" x14ac:dyDescent="0.3">
      <c r="A3073" s="89" t="s">
        <v>3408</v>
      </c>
      <c r="B3073" s="86" t="s">
        <v>35</v>
      </c>
      <c r="C3073" s="86" t="s">
        <v>47</v>
      </c>
      <c r="D3073" s="86" t="s">
        <v>48</v>
      </c>
      <c r="E3073" s="86" t="s">
        <v>3417</v>
      </c>
      <c r="F3073" s="86" t="s">
        <v>3417</v>
      </c>
      <c r="G3073" s="86" t="s">
        <v>3417</v>
      </c>
      <c r="H3073" s="144">
        <v>237</v>
      </c>
      <c r="I3073" s="86" t="s">
        <v>2374</v>
      </c>
      <c r="J3073" s="1" t="s">
        <v>3322</v>
      </c>
      <c r="K3073" s="1" t="s">
        <v>3269</v>
      </c>
      <c r="L3073" s="1" t="s">
        <v>35</v>
      </c>
      <c r="M3073" s="86" t="s">
        <v>919</v>
      </c>
      <c r="N3073" s="86"/>
      <c r="O3073" s="47" t="s">
        <v>45</v>
      </c>
      <c r="P3073" s="47" t="s">
        <v>41</v>
      </c>
      <c r="Q3073" s="14">
        <v>0</v>
      </c>
      <c r="R3073" s="143"/>
      <c r="S3073" s="47"/>
      <c r="T3073" s="6">
        <v>0</v>
      </c>
      <c r="U3073" s="6">
        <v>300100</v>
      </c>
      <c r="V3073" s="6">
        <v>121664.62</v>
      </c>
      <c r="W3073" s="6">
        <f t="shared" si="481"/>
        <v>178435.38</v>
      </c>
      <c r="X3073" s="6">
        <f t="shared" si="477"/>
        <v>121664.62</v>
      </c>
      <c r="Y3073" s="13">
        <f t="shared" si="474"/>
        <v>0</v>
      </c>
      <c r="Z3073" s="14">
        <v>0</v>
      </c>
      <c r="AA3073" s="6">
        <v>0</v>
      </c>
      <c r="AB3073" s="4">
        <f t="shared" si="475"/>
        <v>121664.62</v>
      </c>
      <c r="AC3073" s="4">
        <f t="shared" si="479"/>
        <v>0</v>
      </c>
      <c r="AD3073" s="6">
        <v>121664.62</v>
      </c>
      <c r="AE3073" s="2">
        <f>VLOOKUP(I3073,[1]媒体政策预估表!A:N,MATCH(O3073,[1]媒体政策预估表!$A$2:$M$2,0),0)</f>
        <v>0.06</v>
      </c>
      <c r="AF3073" s="6">
        <f t="shared" si="480"/>
        <v>7299.8771999999999</v>
      </c>
      <c r="AG3073" s="14">
        <v>0</v>
      </c>
      <c r="AH3073" s="6">
        <f t="shared" si="478"/>
        <v>121664.62</v>
      </c>
      <c r="AI3073" s="47"/>
      <c r="AJ3073" s="126" t="e">
        <v>#N/A</v>
      </c>
      <c r="AK3073" s="80">
        <f t="shared" si="476"/>
        <v>0</v>
      </c>
      <c r="AM3073" s="85"/>
    </row>
    <row r="3074" spans="1:39" hidden="1" x14ac:dyDescent="0.3">
      <c r="A3074" s="89" t="s">
        <v>3397</v>
      </c>
      <c r="B3074" s="86" t="s">
        <v>35</v>
      </c>
      <c r="C3074" s="86" t="s">
        <v>47</v>
      </c>
      <c r="D3074" s="86" t="s">
        <v>48</v>
      </c>
      <c r="E3074" s="86" t="s">
        <v>3417</v>
      </c>
      <c r="F3074" s="86" t="s">
        <v>3417</v>
      </c>
      <c r="G3074" s="86" t="s">
        <v>3417</v>
      </c>
      <c r="H3074" s="144">
        <v>237</v>
      </c>
      <c r="I3074" s="86" t="s">
        <v>2374</v>
      </c>
      <c r="J3074" s="1" t="s">
        <v>3322</v>
      </c>
      <c r="K3074" s="1" t="s">
        <v>3269</v>
      </c>
      <c r="L3074" s="1" t="s">
        <v>35</v>
      </c>
      <c r="M3074" s="86" t="s">
        <v>919</v>
      </c>
      <c r="N3074" s="86"/>
      <c r="O3074" s="47" t="s">
        <v>40</v>
      </c>
      <c r="P3074" s="47" t="s">
        <v>41</v>
      </c>
      <c r="Q3074" s="14">
        <v>0</v>
      </c>
      <c r="R3074" s="143"/>
      <c r="S3074" s="47"/>
      <c r="T3074" s="6">
        <v>0</v>
      </c>
      <c r="U3074" s="6">
        <v>200100</v>
      </c>
      <c r="V3074" s="6">
        <v>74808.679999999993</v>
      </c>
      <c r="W3074" s="6">
        <f t="shared" si="481"/>
        <v>125291.32</v>
      </c>
      <c r="X3074" s="6">
        <f t="shared" si="477"/>
        <v>74808.679999999993</v>
      </c>
      <c r="Y3074" s="13">
        <f t="shared" si="474"/>
        <v>0</v>
      </c>
      <c r="Z3074" s="14">
        <v>0</v>
      </c>
      <c r="AA3074" s="6">
        <v>0</v>
      </c>
      <c r="AB3074" s="4">
        <f t="shared" si="475"/>
        <v>74808.679999999993</v>
      </c>
      <c r="AC3074" s="4">
        <f t="shared" si="479"/>
        <v>0</v>
      </c>
      <c r="AD3074" s="6">
        <v>74808.679999999993</v>
      </c>
      <c r="AE3074" s="2">
        <f>VLOOKUP(I3074,[1]媒体政策预估表!A:N,MATCH(O3074,[1]媒体政策预估表!$A$2:$M$2,0),0)</f>
        <v>7.0000000000000007E-2</v>
      </c>
      <c r="AF3074" s="6">
        <f t="shared" si="480"/>
        <v>5236.6076000000003</v>
      </c>
      <c r="AG3074" s="14">
        <v>0</v>
      </c>
      <c r="AH3074" s="6">
        <f t="shared" si="478"/>
        <v>74808.679999999993</v>
      </c>
      <c r="AI3074" s="47"/>
      <c r="AJ3074" s="126" t="e">
        <v>#N/A</v>
      </c>
      <c r="AK3074" s="80">
        <f t="shared" si="476"/>
        <v>0</v>
      </c>
      <c r="AM3074" s="85"/>
    </row>
    <row r="3075" spans="1:39" hidden="1" x14ac:dyDescent="0.3">
      <c r="A3075" s="89" t="s">
        <v>3408</v>
      </c>
      <c r="B3075" s="86" t="s">
        <v>35</v>
      </c>
      <c r="C3075" s="86" t="s">
        <v>144</v>
      </c>
      <c r="D3075" s="86" t="s">
        <v>145</v>
      </c>
      <c r="E3075" s="86" t="s">
        <v>3418</v>
      </c>
      <c r="F3075" s="86" t="s">
        <v>3418</v>
      </c>
      <c r="G3075" s="86" t="s">
        <v>3418</v>
      </c>
      <c r="H3075" s="144">
        <v>237</v>
      </c>
      <c r="I3075" s="86" t="s">
        <v>2374</v>
      </c>
      <c r="J3075" s="1" t="s">
        <v>3322</v>
      </c>
      <c r="K3075" s="1" t="s">
        <v>3269</v>
      </c>
      <c r="L3075" s="1" t="s">
        <v>35</v>
      </c>
      <c r="M3075" s="86" t="s">
        <v>2434</v>
      </c>
      <c r="N3075" s="86"/>
      <c r="O3075" s="47" t="s">
        <v>45</v>
      </c>
      <c r="P3075" s="47" t="s">
        <v>41</v>
      </c>
      <c r="Q3075" s="14">
        <v>0</v>
      </c>
      <c r="R3075" s="143"/>
      <c r="S3075" s="47"/>
      <c r="T3075" s="6">
        <v>0</v>
      </c>
      <c r="U3075" s="6">
        <v>50000</v>
      </c>
      <c r="V3075" s="6">
        <v>10291.810000000005</v>
      </c>
      <c r="W3075" s="6">
        <f t="shared" si="481"/>
        <v>39708.189999999995</v>
      </c>
      <c r="X3075" s="6">
        <f t="shared" si="477"/>
        <v>10291.810000000005</v>
      </c>
      <c r="Y3075" s="13">
        <f t="shared" ref="Y3075:Y3138" si="482">IF(X3075-AD3075&lt;=0,0,IF(P3075="返现",MAX(X3075-AC3075-AD3075,0),MAX(X3075-AD3075)))</f>
        <v>0</v>
      </c>
      <c r="Z3075" s="14">
        <v>0</v>
      </c>
      <c r="AA3075" s="6">
        <v>0</v>
      </c>
      <c r="AB3075" s="4">
        <f t="shared" ref="AB3075:AB3138" si="483">X3075+AA3075</f>
        <v>10291.810000000005</v>
      </c>
      <c r="AC3075" s="4">
        <f t="shared" si="479"/>
        <v>0</v>
      </c>
      <c r="AD3075" s="6">
        <v>12886.839999999998</v>
      </c>
      <c r="AE3075" s="2">
        <f>VLOOKUP(I3075,[1]媒体政策预估表!A:N,MATCH(O3075,[1]媒体政策预估表!$A$2:$M$2,0),0)</f>
        <v>0.06</v>
      </c>
      <c r="AF3075" s="6">
        <f t="shared" si="480"/>
        <v>773.21039999999982</v>
      </c>
      <c r="AG3075" s="14">
        <v>0</v>
      </c>
      <c r="AH3075" s="6">
        <f t="shared" si="478"/>
        <v>10291.810000000005</v>
      </c>
      <c r="AI3075" s="47"/>
      <c r="AJ3075" s="126" t="e">
        <v>#N/A</v>
      </c>
      <c r="AK3075" s="80">
        <f t="shared" ref="AK3075:AK3138" si="484">X3075+AA3075-AB3075</f>
        <v>0</v>
      </c>
      <c r="AM3075" s="85"/>
    </row>
    <row r="3076" spans="1:39" hidden="1" x14ac:dyDescent="0.3">
      <c r="A3076" s="89" t="s">
        <v>3408</v>
      </c>
      <c r="B3076" s="86" t="s">
        <v>35</v>
      </c>
      <c r="C3076" s="86" t="s">
        <v>144</v>
      </c>
      <c r="D3076" s="86" t="s">
        <v>145</v>
      </c>
      <c r="E3076" s="86" t="s">
        <v>146</v>
      </c>
      <c r="F3076" s="86" t="s">
        <v>146</v>
      </c>
      <c r="G3076" s="86" t="s">
        <v>146</v>
      </c>
      <c r="H3076" s="144">
        <v>237</v>
      </c>
      <c r="I3076" s="86" t="s">
        <v>2374</v>
      </c>
      <c r="J3076" s="1" t="s">
        <v>3322</v>
      </c>
      <c r="K3076" s="1" t="s">
        <v>3269</v>
      </c>
      <c r="L3076" s="1" t="s">
        <v>35</v>
      </c>
      <c r="M3076" s="86" t="s">
        <v>2433</v>
      </c>
      <c r="N3076" s="86"/>
      <c r="O3076" s="47" t="s">
        <v>45</v>
      </c>
      <c r="P3076" s="47" t="s">
        <v>41</v>
      </c>
      <c r="Q3076" s="14">
        <v>0</v>
      </c>
      <c r="R3076" s="143"/>
      <c r="S3076" s="47"/>
      <c r="T3076" s="6">
        <v>18223.559999999998</v>
      </c>
      <c r="U3076" s="6">
        <v>100000</v>
      </c>
      <c r="V3076" s="6">
        <v>64784.460000000006</v>
      </c>
      <c r="W3076" s="6">
        <f t="shared" si="481"/>
        <v>53439.099999999991</v>
      </c>
      <c r="X3076" s="6">
        <f t="shared" si="477"/>
        <v>64784.460000000006</v>
      </c>
      <c r="Y3076" s="13">
        <f t="shared" si="482"/>
        <v>0</v>
      </c>
      <c r="Z3076" s="14">
        <v>0</v>
      </c>
      <c r="AA3076" s="6">
        <v>0</v>
      </c>
      <c r="AB3076" s="4">
        <f t="shared" si="483"/>
        <v>64784.460000000006</v>
      </c>
      <c r="AC3076" s="4">
        <f t="shared" si="479"/>
        <v>0</v>
      </c>
      <c r="AD3076" s="6">
        <v>64784.460000000006</v>
      </c>
      <c r="AE3076" s="2">
        <f>VLOOKUP(I3076,[1]媒体政策预估表!A:N,MATCH(O3076,[1]媒体政策预估表!$A$2:$M$2,0),0)</f>
        <v>0.06</v>
      </c>
      <c r="AF3076" s="6">
        <f t="shared" si="480"/>
        <v>3887.0676000000003</v>
      </c>
      <c r="AG3076" s="14">
        <v>0</v>
      </c>
      <c r="AH3076" s="6">
        <f t="shared" si="478"/>
        <v>64784.460000000006</v>
      </c>
      <c r="AI3076" s="47"/>
      <c r="AJ3076" s="126" t="e">
        <v>#N/A</v>
      </c>
      <c r="AK3076" s="80">
        <f t="shared" si="484"/>
        <v>0</v>
      </c>
      <c r="AM3076" s="85"/>
    </row>
    <row r="3077" spans="1:39" hidden="1" x14ac:dyDescent="0.3">
      <c r="A3077" s="89" t="s">
        <v>3408</v>
      </c>
      <c r="B3077" s="86" t="s">
        <v>35</v>
      </c>
      <c r="C3077" s="86" t="s">
        <v>144</v>
      </c>
      <c r="D3077" s="86" t="s">
        <v>152</v>
      </c>
      <c r="E3077" s="86" t="s">
        <v>157</v>
      </c>
      <c r="F3077" s="86" t="s">
        <v>157</v>
      </c>
      <c r="G3077" s="86" t="s">
        <v>157</v>
      </c>
      <c r="H3077" s="144">
        <v>237</v>
      </c>
      <c r="I3077" s="86" t="s">
        <v>2374</v>
      </c>
      <c r="J3077" s="1" t="s">
        <v>3322</v>
      </c>
      <c r="K3077" s="1" t="s">
        <v>3269</v>
      </c>
      <c r="L3077" s="1" t="s">
        <v>35</v>
      </c>
      <c r="M3077" s="86" t="s">
        <v>157</v>
      </c>
      <c r="N3077" s="86"/>
      <c r="O3077" s="47" t="s">
        <v>45</v>
      </c>
      <c r="P3077" s="47" t="s">
        <v>41</v>
      </c>
      <c r="Q3077" s="14">
        <v>0</v>
      </c>
      <c r="R3077" s="143"/>
      <c r="S3077" s="47"/>
      <c r="T3077" s="6">
        <v>754823.80109999841</v>
      </c>
      <c r="U3077" s="6">
        <v>3570000</v>
      </c>
      <c r="V3077" s="6">
        <v>2886153.9100000011</v>
      </c>
      <c r="W3077" s="6">
        <f t="shared" si="481"/>
        <v>1438669.8910999978</v>
      </c>
      <c r="X3077" s="6">
        <f t="shared" si="477"/>
        <v>2886153.9100000011</v>
      </c>
      <c r="Y3077" s="13">
        <f t="shared" si="482"/>
        <v>0</v>
      </c>
      <c r="Z3077" s="14">
        <v>0</v>
      </c>
      <c r="AA3077" s="6">
        <v>0</v>
      </c>
      <c r="AB3077" s="4">
        <f t="shared" si="483"/>
        <v>2886153.9100000011</v>
      </c>
      <c r="AC3077" s="4">
        <f t="shared" si="479"/>
        <v>0</v>
      </c>
      <c r="AD3077" s="6">
        <v>2886153.9100000011</v>
      </c>
      <c r="AE3077" s="2">
        <f>VLOOKUP(I3077,[1]媒体政策预估表!A:N,MATCH(O3077,[1]媒体政策预估表!$A$2:$M$2,0),0)</f>
        <v>0.06</v>
      </c>
      <c r="AF3077" s="6">
        <f t="shared" si="480"/>
        <v>173169.23460000005</v>
      </c>
      <c r="AG3077" s="14">
        <v>0</v>
      </c>
      <c r="AH3077" s="6">
        <f t="shared" si="478"/>
        <v>2886153.9100000011</v>
      </c>
      <c r="AI3077" s="47"/>
      <c r="AJ3077" s="126" t="e">
        <v>#N/A</v>
      </c>
      <c r="AK3077" s="80">
        <f t="shared" si="484"/>
        <v>0</v>
      </c>
      <c r="AM3077" s="85"/>
    </row>
    <row r="3078" spans="1:39" hidden="1" x14ac:dyDescent="0.3">
      <c r="A3078" s="89" t="s">
        <v>3408</v>
      </c>
      <c r="B3078" s="86" t="s">
        <v>35</v>
      </c>
      <c r="C3078" s="86" t="s">
        <v>164</v>
      </c>
      <c r="D3078" s="86" t="s">
        <v>165</v>
      </c>
      <c r="E3078" s="86" t="s">
        <v>2436</v>
      </c>
      <c r="F3078" s="3" t="s">
        <v>3756</v>
      </c>
      <c r="G3078" s="86" t="s">
        <v>2436</v>
      </c>
      <c r="H3078" s="144">
        <v>237</v>
      </c>
      <c r="I3078" s="86" t="s">
        <v>2374</v>
      </c>
      <c r="J3078" s="1" t="s">
        <v>3322</v>
      </c>
      <c r="K3078" s="1" t="s">
        <v>3269</v>
      </c>
      <c r="L3078" s="1" t="s">
        <v>35</v>
      </c>
      <c r="M3078" s="86" t="s">
        <v>2436</v>
      </c>
      <c r="N3078" s="86"/>
      <c r="O3078" s="47" t="s">
        <v>40</v>
      </c>
      <c r="P3078" s="47" t="s">
        <v>46</v>
      </c>
      <c r="Q3078" s="14">
        <v>0.03</v>
      </c>
      <c r="R3078" s="143"/>
      <c r="S3078" s="47" t="s">
        <v>3699</v>
      </c>
      <c r="T3078" s="6">
        <v>19870.600000000006</v>
      </c>
      <c r="U3078" s="6">
        <v>412000</v>
      </c>
      <c r="V3078" s="6">
        <f>316321.46-15530.31</f>
        <v>300791.15000000002</v>
      </c>
      <c r="W3078" s="6">
        <f t="shared" si="481"/>
        <v>131079.44999999995</v>
      </c>
      <c r="X3078" s="6">
        <f t="shared" si="477"/>
        <v>292030.24271844659</v>
      </c>
      <c r="Y3078" s="13">
        <f t="shared" si="482"/>
        <v>1921.4827184465248</v>
      </c>
      <c r="Z3078" s="14">
        <v>0</v>
      </c>
      <c r="AA3078" s="6">
        <v>0</v>
      </c>
      <c r="AB3078" s="4">
        <f t="shared" si="483"/>
        <v>292030.24271844659</v>
      </c>
      <c r="AC3078" s="4">
        <f t="shared" si="479"/>
        <v>8760.9072815534309</v>
      </c>
      <c r="AD3078" s="6">
        <v>290108.76000000007</v>
      </c>
      <c r="AE3078" s="2">
        <v>7.0000000000000007E-2</v>
      </c>
      <c r="AF3078" s="6">
        <f t="shared" si="480"/>
        <v>20307.613200000007</v>
      </c>
      <c r="AG3078" s="14">
        <v>0</v>
      </c>
      <c r="AH3078" s="6">
        <f t="shared" si="478"/>
        <v>300791.15000000002</v>
      </c>
      <c r="AI3078" s="47"/>
      <c r="AJ3078" s="126" t="e">
        <v>#N/A</v>
      </c>
      <c r="AK3078" s="80">
        <f t="shared" si="484"/>
        <v>0</v>
      </c>
      <c r="AM3078" s="85"/>
    </row>
    <row r="3079" spans="1:39" hidden="1" x14ac:dyDescent="0.3">
      <c r="A3079" s="89" t="s">
        <v>3408</v>
      </c>
      <c r="B3079" s="86" t="s">
        <v>35</v>
      </c>
      <c r="C3079" s="86" t="s">
        <v>164</v>
      </c>
      <c r="D3079" s="86" t="s">
        <v>169</v>
      </c>
      <c r="E3079" s="86" t="s">
        <v>2518</v>
      </c>
      <c r="F3079" s="86" t="s">
        <v>2518</v>
      </c>
      <c r="G3079" s="86" t="s">
        <v>2518</v>
      </c>
      <c r="H3079" s="144">
        <v>237</v>
      </c>
      <c r="I3079" s="86" t="s">
        <v>2374</v>
      </c>
      <c r="J3079" s="1" t="s">
        <v>3322</v>
      </c>
      <c r="K3079" s="1" t="s">
        <v>3269</v>
      </c>
      <c r="L3079" s="1" t="s">
        <v>35</v>
      </c>
      <c r="M3079" s="86" t="s">
        <v>2519</v>
      </c>
      <c r="N3079" s="86"/>
      <c r="O3079" s="47" t="s">
        <v>40</v>
      </c>
      <c r="P3079" s="47" t="s">
        <v>41</v>
      </c>
      <c r="Q3079" s="14">
        <v>0</v>
      </c>
      <c r="R3079" s="143"/>
      <c r="S3079" s="47"/>
      <c r="T3079" s="6">
        <v>-4683882.1199999992</v>
      </c>
      <c r="U3079" s="6">
        <v>50000</v>
      </c>
      <c r="V3079" s="6">
        <v>24946.52</v>
      </c>
      <c r="W3079" s="6">
        <f t="shared" si="481"/>
        <v>-4658828.6399999987</v>
      </c>
      <c r="X3079" s="6">
        <f t="shared" si="477"/>
        <v>24946.52</v>
      </c>
      <c r="Y3079" s="13">
        <f t="shared" si="482"/>
        <v>0</v>
      </c>
      <c r="Z3079" s="14">
        <v>0</v>
      </c>
      <c r="AA3079" s="6">
        <v>0</v>
      </c>
      <c r="AB3079" s="4">
        <f t="shared" si="483"/>
        <v>24946.52</v>
      </c>
      <c r="AC3079" s="4">
        <f t="shared" si="479"/>
        <v>0</v>
      </c>
      <c r="AD3079" s="6">
        <v>24946.52</v>
      </c>
      <c r="AE3079" s="2">
        <f>VLOOKUP(I3079,[1]媒体政策预估表!A:N,MATCH(O3079,[1]媒体政策预估表!$A$2:$M$2,0),0)</f>
        <v>7.0000000000000007E-2</v>
      </c>
      <c r="AF3079" s="6">
        <f t="shared" si="480"/>
        <v>1746.2564000000002</v>
      </c>
      <c r="AG3079" s="14">
        <v>0</v>
      </c>
      <c r="AH3079" s="6">
        <f t="shared" si="478"/>
        <v>24946.52</v>
      </c>
      <c r="AI3079" s="47"/>
      <c r="AJ3079" s="126" t="e">
        <v>#N/A</v>
      </c>
      <c r="AK3079" s="80">
        <f t="shared" si="484"/>
        <v>0</v>
      </c>
      <c r="AM3079" s="85"/>
    </row>
    <row r="3080" spans="1:39" hidden="1" x14ac:dyDescent="0.3">
      <c r="A3080" s="89" t="s">
        <v>3397</v>
      </c>
      <c r="B3080" s="86" t="s">
        <v>35</v>
      </c>
      <c r="C3080" s="86" t="s">
        <v>164</v>
      </c>
      <c r="D3080" s="86" t="s">
        <v>169</v>
      </c>
      <c r="E3080" s="86" t="s">
        <v>2518</v>
      </c>
      <c r="F3080" s="86" t="s">
        <v>2518</v>
      </c>
      <c r="G3080" s="86" t="s">
        <v>2518</v>
      </c>
      <c r="H3080" s="144">
        <v>237</v>
      </c>
      <c r="I3080" s="86" t="s">
        <v>2374</v>
      </c>
      <c r="J3080" s="1" t="s">
        <v>3322</v>
      </c>
      <c r="K3080" s="1" t="s">
        <v>3269</v>
      </c>
      <c r="L3080" s="1" t="s">
        <v>35</v>
      </c>
      <c r="M3080" s="86" t="s">
        <v>3419</v>
      </c>
      <c r="N3080" s="86"/>
      <c r="O3080" s="47" t="s">
        <v>40</v>
      </c>
      <c r="P3080" s="47" t="s">
        <v>41</v>
      </c>
      <c r="Q3080" s="14">
        <v>0</v>
      </c>
      <c r="R3080" s="143"/>
      <c r="S3080" s="47"/>
      <c r="T3080" s="6">
        <v>0</v>
      </c>
      <c r="U3080" s="6">
        <v>50000</v>
      </c>
      <c r="V3080" s="6">
        <v>19921.59</v>
      </c>
      <c r="W3080" s="6">
        <f t="shared" si="481"/>
        <v>30078.41</v>
      </c>
      <c r="X3080" s="6">
        <f t="shared" si="477"/>
        <v>19921.59</v>
      </c>
      <c r="Y3080" s="13">
        <f t="shared" si="482"/>
        <v>0</v>
      </c>
      <c r="Z3080" s="14">
        <v>0</v>
      </c>
      <c r="AA3080" s="6">
        <v>0</v>
      </c>
      <c r="AB3080" s="4">
        <f t="shared" si="483"/>
        <v>19921.59</v>
      </c>
      <c r="AC3080" s="4">
        <f t="shared" si="479"/>
        <v>0</v>
      </c>
      <c r="AD3080" s="6">
        <v>19921.59</v>
      </c>
      <c r="AE3080" s="2">
        <f>VLOOKUP(I3080,[1]媒体政策预估表!A:N,MATCH(O3080,[1]媒体政策预估表!$A$2:$M$2,0),0)</f>
        <v>7.0000000000000007E-2</v>
      </c>
      <c r="AF3080" s="6">
        <f t="shared" si="480"/>
        <v>1394.5113000000001</v>
      </c>
      <c r="AG3080" s="14">
        <v>0</v>
      </c>
      <c r="AH3080" s="6">
        <f t="shared" si="478"/>
        <v>19921.59</v>
      </c>
      <c r="AI3080" s="47"/>
      <c r="AJ3080" s="126" t="e">
        <v>#N/A</v>
      </c>
      <c r="AK3080" s="80">
        <f t="shared" si="484"/>
        <v>0</v>
      </c>
      <c r="AM3080" s="85"/>
    </row>
    <row r="3081" spans="1:39" hidden="1" x14ac:dyDescent="0.3">
      <c r="A3081" s="89" t="s">
        <v>3408</v>
      </c>
      <c r="B3081" s="86" t="s">
        <v>35</v>
      </c>
      <c r="C3081" s="86" t="s">
        <v>164</v>
      </c>
      <c r="D3081" s="86" t="s">
        <v>174</v>
      </c>
      <c r="E3081" s="86" t="s">
        <v>644</v>
      </c>
      <c r="F3081" s="86" t="s">
        <v>644</v>
      </c>
      <c r="G3081" s="86" t="s">
        <v>644</v>
      </c>
      <c r="H3081" s="143">
        <v>237</v>
      </c>
      <c r="I3081" s="86" t="s">
        <v>2374</v>
      </c>
      <c r="J3081" s="1" t="s">
        <v>3322</v>
      </c>
      <c r="K3081" s="1" t="s">
        <v>3269</v>
      </c>
      <c r="L3081" s="1" t="s">
        <v>35</v>
      </c>
      <c r="M3081" s="86" t="s">
        <v>3420</v>
      </c>
      <c r="N3081" s="86"/>
      <c r="O3081" s="47" t="s">
        <v>40</v>
      </c>
      <c r="P3081" s="47" t="s">
        <v>46</v>
      </c>
      <c r="Q3081" s="14">
        <v>0.05</v>
      </c>
      <c r="R3081" s="143"/>
      <c r="S3081" s="47"/>
      <c r="T3081" s="6">
        <v>0</v>
      </c>
      <c r="U3081" s="6">
        <v>0</v>
      </c>
      <c r="V3081" s="6">
        <v>0</v>
      </c>
      <c r="W3081" s="6">
        <f t="shared" si="481"/>
        <v>0</v>
      </c>
      <c r="X3081" s="6">
        <f t="shared" si="477"/>
        <v>0</v>
      </c>
      <c r="Y3081" s="13">
        <f t="shared" si="482"/>
        <v>0</v>
      </c>
      <c r="Z3081" s="14">
        <v>0</v>
      </c>
      <c r="AA3081" s="6">
        <v>0</v>
      </c>
      <c r="AB3081" s="4">
        <f t="shared" si="483"/>
        <v>0</v>
      </c>
      <c r="AC3081" s="4">
        <f t="shared" si="479"/>
        <v>0</v>
      </c>
      <c r="AD3081" s="6">
        <v>0</v>
      </c>
      <c r="AE3081" s="2">
        <f>VLOOKUP(I3081,[1]媒体政策预估表!A:N,MATCH(O3081,[1]媒体政策预估表!$A$2:$M$2,0),0)</f>
        <v>7.0000000000000007E-2</v>
      </c>
      <c r="AF3081" s="6">
        <f t="shared" si="480"/>
        <v>0</v>
      </c>
      <c r="AG3081" s="14">
        <v>0</v>
      </c>
      <c r="AH3081" s="6">
        <f t="shared" si="478"/>
        <v>0</v>
      </c>
      <c r="AI3081" s="47"/>
      <c r="AJ3081" s="126" t="e">
        <v>#N/A</v>
      </c>
      <c r="AK3081" s="80">
        <f t="shared" si="484"/>
        <v>0</v>
      </c>
      <c r="AM3081" s="85"/>
    </row>
    <row r="3082" spans="1:39" hidden="1" x14ac:dyDescent="0.3">
      <c r="A3082" s="89" t="s">
        <v>3408</v>
      </c>
      <c r="B3082" s="86" t="s">
        <v>35</v>
      </c>
      <c r="C3082" s="86" t="s">
        <v>187</v>
      </c>
      <c r="D3082" s="86" t="s">
        <v>188</v>
      </c>
      <c r="E3082" s="86" t="s">
        <v>2437</v>
      </c>
      <c r="F3082" s="86" t="s">
        <v>2437</v>
      </c>
      <c r="G3082" s="86" t="s">
        <v>2437</v>
      </c>
      <c r="H3082" s="144">
        <v>237</v>
      </c>
      <c r="I3082" s="86" t="s">
        <v>2374</v>
      </c>
      <c r="J3082" s="1" t="s">
        <v>3322</v>
      </c>
      <c r="K3082" s="1" t="s">
        <v>3269</v>
      </c>
      <c r="L3082" s="1" t="s">
        <v>35</v>
      </c>
      <c r="M3082" s="86" t="s">
        <v>2438</v>
      </c>
      <c r="N3082" s="86"/>
      <c r="O3082" s="47" t="s">
        <v>40</v>
      </c>
      <c r="P3082" s="47" t="s">
        <v>46</v>
      </c>
      <c r="Q3082" s="14">
        <v>0.02</v>
      </c>
      <c r="R3082" s="143"/>
      <c r="S3082" s="47"/>
      <c r="T3082" s="6">
        <v>351898.23600000027</v>
      </c>
      <c r="U3082" s="6">
        <v>567999.99199999997</v>
      </c>
      <c r="V3082" s="6">
        <v>461050.93999999983</v>
      </c>
      <c r="W3082" s="6">
        <f t="shared" si="481"/>
        <v>458847.28800000041</v>
      </c>
      <c r="X3082" s="6">
        <f t="shared" si="477"/>
        <v>324683.7605633802</v>
      </c>
      <c r="Y3082" s="13">
        <f t="shared" si="482"/>
        <v>0</v>
      </c>
      <c r="Z3082" s="14">
        <v>0</v>
      </c>
      <c r="AA3082" s="6">
        <v>0</v>
      </c>
      <c r="AB3082" s="4">
        <f t="shared" si="483"/>
        <v>324683.7605633802</v>
      </c>
      <c r="AC3082" s="4">
        <f t="shared" si="479"/>
        <v>136367.17943661963</v>
      </c>
      <c r="AD3082" s="6">
        <v>327920.50000000006</v>
      </c>
      <c r="AE3082" s="2">
        <f>VLOOKUP(I3082,[1]媒体政策预估表!A:N,MATCH(O3082,[1]媒体政策预估表!$A$2:$M$2,0),0)</f>
        <v>7.0000000000000007E-2</v>
      </c>
      <c r="AF3082" s="6">
        <f t="shared" si="480"/>
        <v>22954.435000000005</v>
      </c>
      <c r="AG3082" s="14">
        <v>0.4</v>
      </c>
      <c r="AH3082" s="6">
        <f t="shared" si="478"/>
        <v>329322.09999999992</v>
      </c>
      <c r="AI3082" s="47"/>
      <c r="AJ3082" s="126" t="e">
        <v>#N/A</v>
      </c>
      <c r="AK3082" s="80">
        <f t="shared" si="484"/>
        <v>0</v>
      </c>
      <c r="AM3082" s="85"/>
    </row>
    <row r="3083" spans="1:39" hidden="1" x14ac:dyDescent="0.3">
      <c r="A3083" s="89" t="s">
        <v>3397</v>
      </c>
      <c r="B3083" s="86" t="s">
        <v>35</v>
      </c>
      <c r="C3083" s="86" t="s">
        <v>187</v>
      </c>
      <c r="D3083" s="86" t="s">
        <v>188</v>
      </c>
      <c r="E3083" s="86" t="s">
        <v>2438</v>
      </c>
      <c r="F3083" s="86" t="s">
        <v>2438</v>
      </c>
      <c r="G3083" s="86" t="s">
        <v>2438</v>
      </c>
      <c r="H3083" s="144">
        <v>237</v>
      </c>
      <c r="I3083" s="86" t="s">
        <v>2374</v>
      </c>
      <c r="J3083" s="1" t="s">
        <v>3322</v>
      </c>
      <c r="K3083" s="1" t="s">
        <v>3269</v>
      </c>
      <c r="L3083" s="1" t="s">
        <v>35</v>
      </c>
      <c r="M3083" s="86" t="s">
        <v>2438</v>
      </c>
      <c r="N3083" s="86"/>
      <c r="O3083" s="47" t="s">
        <v>40</v>
      </c>
      <c r="P3083" s="47" t="s">
        <v>46</v>
      </c>
      <c r="Q3083" s="14">
        <v>0.08</v>
      </c>
      <c r="R3083" s="143"/>
      <c r="S3083" s="47"/>
      <c r="T3083" s="6">
        <v>-528575.62380000786</v>
      </c>
      <c r="U3083" s="6">
        <v>10069955.013999999</v>
      </c>
      <c r="V3083" s="6">
        <v>4193789.0099999974</v>
      </c>
      <c r="W3083" s="6">
        <f t="shared" si="481"/>
        <v>5347590.380199993</v>
      </c>
      <c r="X3083" s="6">
        <f t="shared" ref="X3083:X3146" si="485">IF(P3083="折扣",V3083*Q3083,IF(P3083="返现",V3083,V3083/(1+Q3083+AG3083)))</f>
        <v>2833641.2229729714</v>
      </c>
      <c r="Y3083" s="13">
        <f t="shared" si="482"/>
        <v>0</v>
      </c>
      <c r="Z3083" s="14">
        <v>0</v>
      </c>
      <c r="AA3083" s="6">
        <v>0</v>
      </c>
      <c r="AB3083" s="4">
        <f t="shared" si="483"/>
        <v>2833641.2229729714</v>
      </c>
      <c r="AC3083" s="4">
        <f t="shared" si="479"/>
        <v>1360147.7870270261</v>
      </c>
      <c r="AD3083" s="6">
        <v>3000215.069999998</v>
      </c>
      <c r="AE3083" s="2">
        <f>VLOOKUP(I3083,[1]媒体政策预估表!A:N,MATCH(O3083,[1]媒体政策预估表!$A$2:$M$2,0),0)</f>
        <v>7.0000000000000007E-2</v>
      </c>
      <c r="AF3083" s="6">
        <f t="shared" si="480"/>
        <v>210015.05489999987</v>
      </c>
      <c r="AG3083" s="14">
        <v>0.4</v>
      </c>
      <c r="AH3083" s="6">
        <f t="shared" ref="AH3083:AH3146" si="486">V3083/(1+AG3083)</f>
        <v>2995563.5785714271</v>
      </c>
      <c r="AI3083" s="47"/>
      <c r="AJ3083" s="126" t="e">
        <v>#N/A</v>
      </c>
      <c r="AK3083" s="80">
        <f t="shared" si="484"/>
        <v>0</v>
      </c>
      <c r="AM3083" s="85"/>
    </row>
    <row r="3084" spans="1:39" hidden="1" x14ac:dyDescent="0.3">
      <c r="A3084" s="89" t="s">
        <v>3397</v>
      </c>
      <c r="B3084" s="86" t="s">
        <v>35</v>
      </c>
      <c r="C3084" s="86" t="s">
        <v>187</v>
      </c>
      <c r="D3084" s="86" t="s">
        <v>188</v>
      </c>
      <c r="E3084" s="86" t="s">
        <v>2440</v>
      </c>
      <c r="F3084" s="86" t="s">
        <v>2440</v>
      </c>
      <c r="G3084" s="86" t="s">
        <v>2440</v>
      </c>
      <c r="H3084" s="144">
        <v>237</v>
      </c>
      <c r="I3084" s="86" t="s">
        <v>2374</v>
      </c>
      <c r="J3084" s="1" t="s">
        <v>3322</v>
      </c>
      <c r="K3084" s="1" t="s">
        <v>3269</v>
      </c>
      <c r="L3084" s="1" t="s">
        <v>35</v>
      </c>
      <c r="M3084" s="86" t="s">
        <v>2438</v>
      </c>
      <c r="N3084" s="86"/>
      <c r="O3084" s="47" t="s">
        <v>45</v>
      </c>
      <c r="P3084" s="47" t="s">
        <v>46</v>
      </c>
      <c r="Q3084" s="14">
        <v>0.03</v>
      </c>
      <c r="R3084" s="143"/>
      <c r="S3084" s="47"/>
      <c r="T3084" s="6">
        <v>0</v>
      </c>
      <c r="U3084" s="6">
        <v>7000.0012999999999</v>
      </c>
      <c r="V3084" s="6">
        <v>1352.11</v>
      </c>
      <c r="W3084" s="6">
        <f t="shared" si="481"/>
        <v>5647.8913000000002</v>
      </c>
      <c r="X3084" s="6">
        <f t="shared" si="485"/>
        <v>965.79285714285709</v>
      </c>
      <c r="Y3084" s="13">
        <f t="shared" si="482"/>
        <v>0</v>
      </c>
      <c r="Z3084" s="14">
        <v>0</v>
      </c>
      <c r="AA3084" s="6">
        <v>0</v>
      </c>
      <c r="AB3084" s="4">
        <f t="shared" si="483"/>
        <v>965.79285714285709</v>
      </c>
      <c r="AC3084" s="4">
        <f t="shared" ref="AC3084:AC3147" si="487">IF(P3084="返现",X3084*Q3084,V3084-X3084)</f>
        <v>386.31714285714281</v>
      </c>
      <c r="AD3084" s="6">
        <v>986.95</v>
      </c>
      <c r="AE3084" s="2">
        <f>VLOOKUP(I3084,[1]媒体政策预估表!A:N,MATCH(O3084,[1]媒体政策预估表!$A$2:$M$2,0),0)</f>
        <v>0.06</v>
      </c>
      <c r="AF3084" s="6">
        <f t="shared" ref="AF3084:AF3147" si="488">AD3084*AE3084</f>
        <v>59.216999999999999</v>
      </c>
      <c r="AG3084" s="14">
        <v>0.37</v>
      </c>
      <c r="AH3084" s="6">
        <f t="shared" si="486"/>
        <v>986.94160583941596</v>
      </c>
      <c r="AI3084" s="47"/>
      <c r="AJ3084" s="126" t="e">
        <v>#N/A</v>
      </c>
      <c r="AK3084" s="80">
        <f t="shared" si="484"/>
        <v>0</v>
      </c>
      <c r="AM3084" s="85"/>
    </row>
    <row r="3085" spans="1:39" hidden="1" x14ac:dyDescent="0.3">
      <c r="A3085" s="89" t="s">
        <v>3397</v>
      </c>
      <c r="B3085" s="86" t="s">
        <v>35</v>
      </c>
      <c r="C3085" s="86" t="s">
        <v>187</v>
      </c>
      <c r="D3085" s="86" t="s">
        <v>188</v>
      </c>
      <c r="E3085" s="86" t="s">
        <v>2440</v>
      </c>
      <c r="F3085" s="86" t="s">
        <v>2440</v>
      </c>
      <c r="G3085" s="86" t="s">
        <v>2440</v>
      </c>
      <c r="H3085" s="144">
        <v>237</v>
      </c>
      <c r="I3085" s="86" t="s">
        <v>2374</v>
      </c>
      <c r="J3085" s="1" t="s">
        <v>3322</v>
      </c>
      <c r="K3085" s="1" t="s">
        <v>3269</v>
      </c>
      <c r="L3085" s="1" t="s">
        <v>35</v>
      </c>
      <c r="M3085" s="86" t="s">
        <v>2438</v>
      </c>
      <c r="N3085" s="86"/>
      <c r="O3085" s="47" t="s">
        <v>40</v>
      </c>
      <c r="P3085" s="47" t="s">
        <v>46</v>
      </c>
      <c r="Q3085" s="14">
        <v>0.01</v>
      </c>
      <c r="R3085" s="143"/>
      <c r="S3085" s="47"/>
      <c r="T3085" s="6">
        <v>23961.871846351132</v>
      </c>
      <c r="U3085" s="6">
        <v>366599.99599999998</v>
      </c>
      <c r="V3085" s="6">
        <v>228915.38000000003</v>
      </c>
      <c r="W3085" s="6">
        <f t="shared" si="481"/>
        <v>161646.48784635108</v>
      </c>
      <c r="X3085" s="6">
        <f t="shared" si="485"/>
        <v>162351.33333333334</v>
      </c>
      <c r="Y3085" s="13">
        <f t="shared" si="482"/>
        <v>0</v>
      </c>
      <c r="Z3085" s="14">
        <v>0</v>
      </c>
      <c r="AA3085" s="6">
        <v>0</v>
      </c>
      <c r="AB3085" s="4">
        <f t="shared" si="483"/>
        <v>162351.33333333334</v>
      </c>
      <c r="AC3085" s="4">
        <f t="shared" si="487"/>
        <v>66564.046666666691</v>
      </c>
      <c r="AD3085" s="6">
        <v>163510.96000000002</v>
      </c>
      <c r="AE3085" s="2">
        <f>VLOOKUP(I3085,[1]媒体政策预估表!A:N,MATCH(O3085,[1]媒体政策预估表!$A$2:$M$2,0),0)</f>
        <v>7.0000000000000007E-2</v>
      </c>
      <c r="AF3085" s="6">
        <f t="shared" si="488"/>
        <v>11445.767200000002</v>
      </c>
      <c r="AG3085" s="14">
        <v>0.4</v>
      </c>
      <c r="AH3085" s="6">
        <f t="shared" si="486"/>
        <v>163510.98571428575</v>
      </c>
      <c r="AI3085" s="47"/>
      <c r="AJ3085" s="126" t="e">
        <v>#N/A</v>
      </c>
      <c r="AK3085" s="80">
        <f t="shared" si="484"/>
        <v>0</v>
      </c>
      <c r="AM3085" s="85"/>
    </row>
    <row r="3086" spans="1:39" hidden="1" x14ac:dyDescent="0.3">
      <c r="A3086" s="89" t="s">
        <v>3408</v>
      </c>
      <c r="B3086" s="86" t="s">
        <v>35</v>
      </c>
      <c r="C3086" s="86" t="s">
        <v>187</v>
      </c>
      <c r="D3086" s="86" t="s">
        <v>188</v>
      </c>
      <c r="E3086" s="86" t="s">
        <v>2444</v>
      </c>
      <c r="F3086" s="86" t="s">
        <v>2444</v>
      </c>
      <c r="G3086" s="86" t="s">
        <v>2444</v>
      </c>
      <c r="H3086" s="144">
        <v>237</v>
      </c>
      <c r="I3086" s="86" t="s">
        <v>2374</v>
      </c>
      <c r="J3086" s="1" t="s">
        <v>3322</v>
      </c>
      <c r="K3086" s="1" t="s">
        <v>3269</v>
      </c>
      <c r="L3086" s="1" t="s">
        <v>35</v>
      </c>
      <c r="M3086" s="86" t="s">
        <v>2438</v>
      </c>
      <c r="N3086" s="86"/>
      <c r="O3086" s="47" t="s">
        <v>45</v>
      </c>
      <c r="P3086" s="47" t="s">
        <v>46</v>
      </c>
      <c r="Q3086" s="14">
        <v>0.03</v>
      </c>
      <c r="R3086" s="143"/>
      <c r="S3086" s="47"/>
      <c r="T3086" s="6">
        <v>84747.522692700091</v>
      </c>
      <c r="U3086" s="6">
        <v>144025.6066</v>
      </c>
      <c r="V3086" s="6">
        <v>184922.56999999998</v>
      </c>
      <c r="W3086" s="6">
        <f t="shared" si="481"/>
        <v>43850.559292700113</v>
      </c>
      <c r="X3086" s="6">
        <f t="shared" si="485"/>
        <v>132087.54999999999</v>
      </c>
      <c r="Y3086" s="13">
        <f t="shared" si="482"/>
        <v>0</v>
      </c>
      <c r="Z3086" s="14">
        <v>0</v>
      </c>
      <c r="AA3086" s="6">
        <v>0</v>
      </c>
      <c r="AB3086" s="4">
        <f t="shared" si="483"/>
        <v>132087.54999999999</v>
      </c>
      <c r="AC3086" s="4">
        <f t="shared" si="487"/>
        <v>52835.01999999999</v>
      </c>
      <c r="AD3086" s="6">
        <v>134979.95999999996</v>
      </c>
      <c r="AE3086" s="2">
        <f>VLOOKUP(I3086,[1]媒体政策预估表!A:N,MATCH(O3086,[1]媒体政策预估表!$A$2:$M$2,0),0)</f>
        <v>0.06</v>
      </c>
      <c r="AF3086" s="6">
        <f t="shared" si="488"/>
        <v>8098.7975999999971</v>
      </c>
      <c r="AG3086" s="14">
        <v>0.37</v>
      </c>
      <c r="AH3086" s="6">
        <f t="shared" si="486"/>
        <v>134979.97810218975</v>
      </c>
      <c r="AI3086" s="47"/>
      <c r="AJ3086" s="126" t="e">
        <v>#N/A</v>
      </c>
      <c r="AK3086" s="80">
        <f t="shared" si="484"/>
        <v>0</v>
      </c>
      <c r="AM3086" s="85"/>
    </row>
    <row r="3087" spans="1:39" hidden="1" x14ac:dyDescent="0.3">
      <c r="A3087" s="89" t="s">
        <v>3397</v>
      </c>
      <c r="B3087" s="86" t="s">
        <v>35</v>
      </c>
      <c r="C3087" s="86" t="s">
        <v>187</v>
      </c>
      <c r="D3087" s="86" t="s">
        <v>188</v>
      </c>
      <c r="E3087" s="86" t="s">
        <v>2444</v>
      </c>
      <c r="F3087" s="86" t="s">
        <v>2444</v>
      </c>
      <c r="G3087" s="86" t="s">
        <v>2444</v>
      </c>
      <c r="H3087" s="144">
        <v>237</v>
      </c>
      <c r="I3087" s="86" t="s">
        <v>2374</v>
      </c>
      <c r="J3087" s="1" t="s">
        <v>3322</v>
      </c>
      <c r="K3087" s="1" t="s">
        <v>3269</v>
      </c>
      <c r="L3087" s="1" t="s">
        <v>35</v>
      </c>
      <c r="M3087" s="86" t="s">
        <v>2438</v>
      </c>
      <c r="N3087" s="86"/>
      <c r="O3087" s="47" t="s">
        <v>40</v>
      </c>
      <c r="P3087" s="47" t="s">
        <v>46</v>
      </c>
      <c r="Q3087" s="14">
        <v>0.05</v>
      </c>
      <c r="R3087" s="143"/>
      <c r="S3087" s="47"/>
      <c r="T3087" s="6">
        <v>149373.63249999972</v>
      </c>
      <c r="U3087" s="6">
        <v>435000.00599999994</v>
      </c>
      <c r="V3087" s="6">
        <v>371234.24000000005</v>
      </c>
      <c r="W3087" s="6">
        <f t="shared" si="481"/>
        <v>213139.3984999996</v>
      </c>
      <c r="X3087" s="6">
        <f t="shared" si="485"/>
        <v>256023.61379310346</v>
      </c>
      <c r="Y3087" s="13">
        <f t="shared" si="482"/>
        <v>0</v>
      </c>
      <c r="Z3087" s="14">
        <v>0</v>
      </c>
      <c r="AA3087" s="6">
        <v>0</v>
      </c>
      <c r="AB3087" s="4">
        <f t="shared" si="483"/>
        <v>256023.61379310346</v>
      </c>
      <c r="AC3087" s="4">
        <f t="shared" si="487"/>
        <v>115210.62620689659</v>
      </c>
      <c r="AD3087" s="6">
        <v>265167.08</v>
      </c>
      <c r="AE3087" s="2">
        <f>VLOOKUP(I3087,[1]媒体政策预估表!A:N,MATCH(O3087,[1]媒体政策预估表!$A$2:$M$2,0),0)</f>
        <v>7.0000000000000007E-2</v>
      </c>
      <c r="AF3087" s="6">
        <f t="shared" si="488"/>
        <v>18561.695600000003</v>
      </c>
      <c r="AG3087" s="14">
        <v>0.4</v>
      </c>
      <c r="AH3087" s="6">
        <f t="shared" si="486"/>
        <v>265167.31428571435</v>
      </c>
      <c r="AI3087" s="47"/>
      <c r="AJ3087" s="126" t="e">
        <v>#N/A</v>
      </c>
      <c r="AK3087" s="80">
        <f t="shared" si="484"/>
        <v>0</v>
      </c>
      <c r="AM3087" s="85"/>
    </row>
    <row r="3088" spans="1:39" hidden="1" x14ac:dyDescent="0.3">
      <c r="A3088" s="89" t="s">
        <v>3408</v>
      </c>
      <c r="B3088" s="86" t="s">
        <v>35</v>
      </c>
      <c r="C3088" s="86" t="s">
        <v>187</v>
      </c>
      <c r="D3088" s="86" t="s">
        <v>188</v>
      </c>
      <c r="E3088" s="86" t="s">
        <v>2514</v>
      </c>
      <c r="F3088" s="86" t="s">
        <v>2514</v>
      </c>
      <c r="G3088" s="86" t="s">
        <v>2514</v>
      </c>
      <c r="H3088" s="143">
        <v>237</v>
      </c>
      <c r="I3088" s="86" t="s">
        <v>2374</v>
      </c>
      <c r="J3088" s="1" t="s">
        <v>3322</v>
      </c>
      <c r="K3088" s="1" t="s">
        <v>3269</v>
      </c>
      <c r="L3088" s="1" t="s">
        <v>35</v>
      </c>
      <c r="M3088" s="86" t="s">
        <v>2438</v>
      </c>
      <c r="N3088" s="86"/>
      <c r="O3088" s="47" t="s">
        <v>40</v>
      </c>
      <c r="P3088" s="47" t="s">
        <v>46</v>
      </c>
      <c r="Q3088" s="14">
        <v>7.0000000000000007E-2</v>
      </c>
      <c r="R3088" s="143"/>
      <c r="S3088" s="47"/>
      <c r="T3088" s="6">
        <v>0</v>
      </c>
      <c r="U3088" s="6">
        <v>441000</v>
      </c>
      <c r="V3088" s="6">
        <v>0</v>
      </c>
      <c r="W3088" s="6">
        <f t="shared" si="481"/>
        <v>441000</v>
      </c>
      <c r="X3088" s="6">
        <f t="shared" si="485"/>
        <v>0</v>
      </c>
      <c r="Y3088" s="13">
        <f t="shared" si="482"/>
        <v>0</v>
      </c>
      <c r="Z3088" s="14">
        <v>0</v>
      </c>
      <c r="AA3088" s="6">
        <v>0</v>
      </c>
      <c r="AB3088" s="4">
        <f t="shared" si="483"/>
        <v>0</v>
      </c>
      <c r="AC3088" s="4">
        <f t="shared" si="487"/>
        <v>0</v>
      </c>
      <c r="AD3088" s="6">
        <v>0</v>
      </c>
      <c r="AE3088" s="2">
        <f>VLOOKUP(I3088,[1]媒体政策预估表!A:N,MATCH(O3088,[1]媒体政策预估表!$A$2:$M$2,0),0)</f>
        <v>7.0000000000000007E-2</v>
      </c>
      <c r="AF3088" s="6">
        <f t="shared" si="488"/>
        <v>0</v>
      </c>
      <c r="AG3088" s="14">
        <v>0.4</v>
      </c>
      <c r="AH3088" s="6">
        <f t="shared" si="486"/>
        <v>0</v>
      </c>
      <c r="AI3088" s="47"/>
      <c r="AJ3088" s="126" t="e">
        <v>#N/A</v>
      </c>
      <c r="AK3088" s="80">
        <f t="shared" si="484"/>
        <v>0</v>
      </c>
      <c r="AM3088" s="85"/>
    </row>
    <row r="3089" spans="1:39" hidden="1" x14ac:dyDescent="0.3">
      <c r="A3089" s="89" t="s">
        <v>3397</v>
      </c>
      <c r="B3089" s="86" t="s">
        <v>35</v>
      </c>
      <c r="C3089" s="86" t="s">
        <v>187</v>
      </c>
      <c r="D3089" s="86" t="s">
        <v>188</v>
      </c>
      <c r="E3089" s="86" t="s">
        <v>199</v>
      </c>
      <c r="F3089" s="86" t="s">
        <v>199</v>
      </c>
      <c r="G3089" s="86" t="s">
        <v>199</v>
      </c>
      <c r="H3089" s="144">
        <v>237</v>
      </c>
      <c r="I3089" s="86" t="s">
        <v>2374</v>
      </c>
      <c r="J3089" s="1" t="s">
        <v>3322</v>
      </c>
      <c r="K3089" s="1" t="s">
        <v>3269</v>
      </c>
      <c r="L3089" s="1" t="s">
        <v>35</v>
      </c>
      <c r="M3089" s="86" t="s">
        <v>2438</v>
      </c>
      <c r="N3089" s="86"/>
      <c r="O3089" s="47" t="s">
        <v>45</v>
      </c>
      <c r="P3089" s="47" t="s">
        <v>46</v>
      </c>
      <c r="Q3089" s="14">
        <v>7.0000000000000007E-2</v>
      </c>
      <c r="R3089" s="143"/>
      <c r="S3089" s="47"/>
      <c r="T3089" s="6">
        <v>193549.2837999998</v>
      </c>
      <c r="U3089" s="6">
        <v>202014.69259999998</v>
      </c>
      <c r="V3089" s="6">
        <v>261770.36</v>
      </c>
      <c r="W3089" s="6">
        <f t="shared" si="481"/>
        <v>133793.61639999982</v>
      </c>
      <c r="X3089" s="6">
        <f t="shared" si="485"/>
        <v>181784.97222222222</v>
      </c>
      <c r="Y3089" s="13">
        <f t="shared" si="482"/>
        <v>0</v>
      </c>
      <c r="Z3089" s="14">
        <v>0</v>
      </c>
      <c r="AA3089" s="6">
        <v>0</v>
      </c>
      <c r="AB3089" s="4">
        <f t="shared" si="483"/>
        <v>181784.97222222222</v>
      </c>
      <c r="AC3089" s="4">
        <f t="shared" si="487"/>
        <v>79985.387777777767</v>
      </c>
      <c r="AD3089" s="6">
        <v>190784.44999999992</v>
      </c>
      <c r="AE3089" s="2">
        <f>VLOOKUP(I3089,[1]媒体政策预估表!A:N,MATCH(O3089,[1]媒体政策预估表!$A$2:$M$2,0),0)</f>
        <v>0.06</v>
      </c>
      <c r="AF3089" s="6">
        <f t="shared" si="488"/>
        <v>11447.066999999995</v>
      </c>
      <c r="AG3089" s="14">
        <v>0.37</v>
      </c>
      <c r="AH3089" s="6">
        <f t="shared" si="486"/>
        <v>191073.25547445254</v>
      </c>
      <c r="AI3089" s="47"/>
      <c r="AJ3089" s="126" t="e">
        <v>#N/A</v>
      </c>
      <c r="AK3089" s="80">
        <f t="shared" si="484"/>
        <v>0</v>
      </c>
      <c r="AM3089" s="85"/>
    </row>
    <row r="3090" spans="1:39" hidden="1" x14ac:dyDescent="0.3">
      <c r="A3090" s="89" t="s">
        <v>3397</v>
      </c>
      <c r="B3090" s="86" t="s">
        <v>35</v>
      </c>
      <c r="C3090" s="86" t="s">
        <v>187</v>
      </c>
      <c r="D3090" s="86" t="s">
        <v>188</v>
      </c>
      <c r="E3090" s="86" t="s">
        <v>199</v>
      </c>
      <c r="F3090" s="86" t="s">
        <v>199</v>
      </c>
      <c r="G3090" s="86" t="s">
        <v>199</v>
      </c>
      <c r="H3090" s="144">
        <v>237</v>
      </c>
      <c r="I3090" s="86" t="s">
        <v>2374</v>
      </c>
      <c r="J3090" s="1" t="s">
        <v>3322</v>
      </c>
      <c r="K3090" s="1" t="s">
        <v>3269</v>
      </c>
      <c r="L3090" s="1" t="s">
        <v>35</v>
      </c>
      <c r="M3090" s="86" t="s">
        <v>2438</v>
      </c>
      <c r="N3090" s="86"/>
      <c r="O3090" s="47" t="s">
        <v>40</v>
      </c>
      <c r="P3090" s="47" t="s">
        <v>46</v>
      </c>
      <c r="Q3090" s="14">
        <v>0.08</v>
      </c>
      <c r="R3090" s="143"/>
      <c r="S3090" s="47"/>
      <c r="T3090" s="6">
        <v>692312.71134913375</v>
      </c>
      <c r="U3090" s="6">
        <v>992826.08599999989</v>
      </c>
      <c r="V3090" s="6">
        <v>1129493.2999999998</v>
      </c>
      <c r="W3090" s="6">
        <f t="shared" si="481"/>
        <v>555645.49734913372</v>
      </c>
      <c r="X3090" s="6">
        <f t="shared" si="485"/>
        <v>763171.14864864852</v>
      </c>
      <c r="Y3090" s="13">
        <f t="shared" si="482"/>
        <v>0</v>
      </c>
      <c r="Z3090" s="14">
        <v>0</v>
      </c>
      <c r="AA3090" s="6">
        <v>0</v>
      </c>
      <c r="AB3090" s="4">
        <f t="shared" si="483"/>
        <v>763171.14864864852</v>
      </c>
      <c r="AC3090" s="4">
        <f t="shared" si="487"/>
        <v>366322.15135135129</v>
      </c>
      <c r="AD3090" s="6">
        <v>799860.01999999979</v>
      </c>
      <c r="AE3090" s="2">
        <f>VLOOKUP(I3090,[1]媒体政策预估表!A:N,MATCH(O3090,[1]媒体政策预估表!$A$2:$M$2,0),0)</f>
        <v>7.0000000000000007E-2</v>
      </c>
      <c r="AF3090" s="6">
        <f t="shared" si="488"/>
        <v>55990.201399999991</v>
      </c>
      <c r="AG3090" s="14">
        <v>0.4</v>
      </c>
      <c r="AH3090" s="6">
        <f t="shared" si="486"/>
        <v>806780.92857142852</v>
      </c>
      <c r="AI3090" s="47"/>
      <c r="AJ3090" s="126" t="e">
        <v>#N/A</v>
      </c>
      <c r="AK3090" s="80">
        <f t="shared" si="484"/>
        <v>0</v>
      </c>
      <c r="AM3090" s="85"/>
    </row>
    <row r="3091" spans="1:39" hidden="1" x14ac:dyDescent="0.3">
      <c r="A3091" s="89" t="s">
        <v>3397</v>
      </c>
      <c r="B3091" s="86" t="s">
        <v>35</v>
      </c>
      <c r="C3091" s="86" t="s">
        <v>187</v>
      </c>
      <c r="D3091" s="86" t="s">
        <v>188</v>
      </c>
      <c r="E3091" s="86" t="s">
        <v>202</v>
      </c>
      <c r="F3091" s="86" t="s">
        <v>202</v>
      </c>
      <c r="G3091" s="86" t="s">
        <v>202</v>
      </c>
      <c r="H3091" s="144">
        <v>237</v>
      </c>
      <c r="I3091" s="86" t="s">
        <v>2374</v>
      </c>
      <c r="J3091" s="1" t="s">
        <v>3322</v>
      </c>
      <c r="K3091" s="1" t="s">
        <v>3269</v>
      </c>
      <c r="L3091" s="1" t="s">
        <v>35</v>
      </c>
      <c r="M3091" s="86" t="s">
        <v>2438</v>
      </c>
      <c r="N3091" s="86"/>
      <c r="O3091" s="47" t="s">
        <v>45</v>
      </c>
      <c r="P3091" s="47" t="s">
        <v>46</v>
      </c>
      <c r="Q3091" s="14">
        <v>0.05</v>
      </c>
      <c r="R3091" s="143"/>
      <c r="S3091" s="47"/>
      <c r="T3091" s="6">
        <v>184516.97990000009</v>
      </c>
      <c r="U3091" s="6">
        <v>426000.00669999997</v>
      </c>
      <c r="V3091" s="6">
        <v>274864.11000000004</v>
      </c>
      <c r="W3091" s="6">
        <f t="shared" si="481"/>
        <v>335652.87660000002</v>
      </c>
      <c r="X3091" s="6">
        <f t="shared" si="485"/>
        <v>193566.27464788736</v>
      </c>
      <c r="Y3091" s="13">
        <f t="shared" si="482"/>
        <v>0</v>
      </c>
      <c r="Z3091" s="14">
        <v>0</v>
      </c>
      <c r="AA3091" s="6">
        <v>0</v>
      </c>
      <c r="AB3091" s="4">
        <f t="shared" si="483"/>
        <v>193566.27464788736</v>
      </c>
      <c r="AC3091" s="4">
        <f t="shared" si="487"/>
        <v>81297.835352112685</v>
      </c>
      <c r="AD3091" s="6">
        <v>200124.41999999995</v>
      </c>
      <c r="AE3091" s="2">
        <f>VLOOKUP(I3091,[1]媒体政策预估表!A:N,MATCH(O3091,[1]媒体政策预估表!$A$2:$M$2,0),0)</f>
        <v>0.06</v>
      </c>
      <c r="AF3091" s="6">
        <f t="shared" si="488"/>
        <v>12007.465199999997</v>
      </c>
      <c r="AG3091" s="14">
        <v>0.37</v>
      </c>
      <c r="AH3091" s="6">
        <f t="shared" si="486"/>
        <v>200630.73722627739</v>
      </c>
      <c r="AI3091" s="47"/>
      <c r="AJ3091" s="126" t="e">
        <v>#N/A</v>
      </c>
      <c r="AK3091" s="80">
        <f t="shared" si="484"/>
        <v>0</v>
      </c>
      <c r="AM3091" s="85"/>
    </row>
    <row r="3092" spans="1:39" hidden="1" x14ac:dyDescent="0.3">
      <c r="A3092" s="89" t="s">
        <v>3408</v>
      </c>
      <c r="B3092" s="86" t="s">
        <v>35</v>
      </c>
      <c r="C3092" s="86" t="s">
        <v>187</v>
      </c>
      <c r="D3092" s="86" t="s">
        <v>188</v>
      </c>
      <c r="E3092" s="86" t="s">
        <v>202</v>
      </c>
      <c r="F3092" s="86" t="s">
        <v>202</v>
      </c>
      <c r="G3092" s="86" t="s">
        <v>202</v>
      </c>
      <c r="H3092" s="143">
        <v>237</v>
      </c>
      <c r="I3092" s="86" t="s">
        <v>2374</v>
      </c>
      <c r="J3092" s="1" t="s">
        <v>3322</v>
      </c>
      <c r="K3092" s="1" t="s">
        <v>3269</v>
      </c>
      <c r="L3092" s="1" t="s">
        <v>35</v>
      </c>
      <c r="M3092" s="86" t="s">
        <v>2438</v>
      </c>
      <c r="N3092" s="86"/>
      <c r="O3092" s="47" t="s">
        <v>40</v>
      </c>
      <c r="P3092" s="47" t="s">
        <v>46</v>
      </c>
      <c r="Q3092" s="14">
        <v>0.05</v>
      </c>
      <c r="R3092" s="143"/>
      <c r="S3092" s="47"/>
      <c r="T3092" s="6">
        <v>709839.84600000014</v>
      </c>
      <c r="U3092" s="6">
        <v>-709839.87199999997</v>
      </c>
      <c r="V3092" s="6">
        <v>0</v>
      </c>
      <c r="W3092" s="6">
        <f t="shared" si="481"/>
        <v>-2.5999999837949872E-2</v>
      </c>
      <c r="X3092" s="6">
        <f t="shared" si="485"/>
        <v>0</v>
      </c>
      <c r="Y3092" s="13">
        <f t="shared" si="482"/>
        <v>0</v>
      </c>
      <c r="Z3092" s="14">
        <v>0</v>
      </c>
      <c r="AA3092" s="6">
        <v>0</v>
      </c>
      <c r="AB3092" s="4">
        <f t="shared" si="483"/>
        <v>0</v>
      </c>
      <c r="AC3092" s="4">
        <f t="shared" si="487"/>
        <v>0</v>
      </c>
      <c r="AD3092" s="6">
        <v>0</v>
      </c>
      <c r="AE3092" s="2">
        <f>VLOOKUP(I3092,[1]媒体政策预估表!A:N,MATCH(O3092,[1]媒体政策预估表!$A$2:$M$2,0),0)</f>
        <v>7.0000000000000007E-2</v>
      </c>
      <c r="AF3092" s="6">
        <f t="shared" si="488"/>
        <v>0</v>
      </c>
      <c r="AG3092" s="14">
        <v>0.4</v>
      </c>
      <c r="AH3092" s="6">
        <f t="shared" si="486"/>
        <v>0</v>
      </c>
      <c r="AI3092" s="47"/>
      <c r="AJ3092" s="126" t="e">
        <v>#N/A</v>
      </c>
      <c r="AK3092" s="80">
        <f t="shared" si="484"/>
        <v>0</v>
      </c>
      <c r="AM3092" s="85"/>
    </row>
    <row r="3093" spans="1:39" hidden="1" x14ac:dyDescent="0.3">
      <c r="A3093" s="89" t="s">
        <v>3408</v>
      </c>
      <c r="B3093" s="86" t="s">
        <v>35</v>
      </c>
      <c r="C3093" s="86" t="s">
        <v>187</v>
      </c>
      <c r="D3093" s="86" t="s">
        <v>188</v>
      </c>
      <c r="E3093" s="86" t="s">
        <v>2445</v>
      </c>
      <c r="F3093" s="86" t="s">
        <v>2445</v>
      </c>
      <c r="G3093" s="86" t="s">
        <v>2445</v>
      </c>
      <c r="H3093" s="144">
        <v>237</v>
      </c>
      <c r="I3093" s="86" t="s">
        <v>2374</v>
      </c>
      <c r="J3093" s="1" t="s">
        <v>3322</v>
      </c>
      <c r="K3093" s="1" t="s">
        <v>3269</v>
      </c>
      <c r="L3093" s="1" t="s">
        <v>35</v>
      </c>
      <c r="M3093" s="86" t="s">
        <v>2438</v>
      </c>
      <c r="N3093" s="86"/>
      <c r="O3093" s="47" t="s">
        <v>45</v>
      </c>
      <c r="P3093" s="47" t="s">
        <v>46</v>
      </c>
      <c r="Q3093" s="14">
        <v>0.08</v>
      </c>
      <c r="R3093" s="143"/>
      <c r="S3093" s="47"/>
      <c r="T3093" s="6">
        <v>0</v>
      </c>
      <c r="U3093" s="6">
        <v>72500.002699999997</v>
      </c>
      <c r="V3093" s="6">
        <v>18721.809999999998</v>
      </c>
      <c r="W3093" s="6">
        <f t="shared" si="481"/>
        <v>53778.1927</v>
      </c>
      <c r="X3093" s="6">
        <f t="shared" si="485"/>
        <v>12911.593103448273</v>
      </c>
      <c r="Y3093" s="13">
        <f t="shared" si="482"/>
        <v>0</v>
      </c>
      <c r="Z3093" s="14">
        <v>0</v>
      </c>
      <c r="AA3093" s="6">
        <v>0</v>
      </c>
      <c r="AB3093" s="4">
        <f t="shared" si="483"/>
        <v>12911.593103448273</v>
      </c>
      <c r="AC3093" s="4">
        <f t="shared" si="487"/>
        <v>5810.2168965517249</v>
      </c>
      <c r="AD3093" s="6">
        <v>13665.46</v>
      </c>
      <c r="AE3093" s="2">
        <f>VLOOKUP(I3093,[1]媒体政策预估表!A:N,MATCH(O3093,[1]媒体政策预估表!$A$2:$M$2,0),0)</f>
        <v>0.06</v>
      </c>
      <c r="AF3093" s="6">
        <f t="shared" si="488"/>
        <v>819.92759999999987</v>
      </c>
      <c r="AG3093" s="14">
        <v>0.37</v>
      </c>
      <c r="AH3093" s="6">
        <f t="shared" si="486"/>
        <v>13665.554744525545</v>
      </c>
      <c r="AI3093" s="47"/>
      <c r="AJ3093" s="126" t="e">
        <v>#N/A</v>
      </c>
      <c r="AK3093" s="80">
        <f t="shared" si="484"/>
        <v>0</v>
      </c>
      <c r="AM3093" s="85"/>
    </row>
    <row r="3094" spans="1:39" hidden="1" x14ac:dyDescent="0.3">
      <c r="A3094" s="89" t="s">
        <v>3408</v>
      </c>
      <c r="B3094" s="86" t="s">
        <v>35</v>
      </c>
      <c r="C3094" s="86" t="s">
        <v>187</v>
      </c>
      <c r="D3094" s="86" t="s">
        <v>188</v>
      </c>
      <c r="E3094" s="86" t="s">
        <v>2445</v>
      </c>
      <c r="F3094" s="86" t="s">
        <v>2445</v>
      </c>
      <c r="G3094" s="86" t="s">
        <v>2445</v>
      </c>
      <c r="H3094" s="144">
        <v>237</v>
      </c>
      <c r="I3094" s="86" t="s">
        <v>2374</v>
      </c>
      <c r="J3094" s="1" t="s">
        <v>3322</v>
      </c>
      <c r="K3094" s="1" t="s">
        <v>3269</v>
      </c>
      <c r="L3094" s="1" t="s">
        <v>35</v>
      </c>
      <c r="M3094" s="86" t="s">
        <v>2438</v>
      </c>
      <c r="N3094" s="86"/>
      <c r="O3094" s="47" t="s">
        <v>40</v>
      </c>
      <c r="P3094" s="47" t="s">
        <v>46</v>
      </c>
      <c r="Q3094" s="14">
        <v>0.08</v>
      </c>
      <c r="R3094" s="143"/>
      <c r="S3094" s="47"/>
      <c r="T3094" s="6">
        <v>699529.09356999397</v>
      </c>
      <c r="U3094" s="6">
        <v>740000.00199999998</v>
      </c>
      <c r="V3094" s="6">
        <v>680540.43000000028</v>
      </c>
      <c r="W3094" s="6">
        <f t="shared" si="481"/>
        <v>758988.66556999355</v>
      </c>
      <c r="X3094" s="6">
        <f t="shared" si="485"/>
        <v>459824.61486486509</v>
      </c>
      <c r="Y3094" s="13">
        <f t="shared" si="482"/>
        <v>0</v>
      </c>
      <c r="Z3094" s="14">
        <v>0</v>
      </c>
      <c r="AA3094" s="6">
        <v>0</v>
      </c>
      <c r="AB3094" s="4">
        <f t="shared" si="483"/>
        <v>459824.61486486509</v>
      </c>
      <c r="AC3094" s="4">
        <f t="shared" si="487"/>
        <v>220715.8151351352</v>
      </c>
      <c r="AD3094" s="6">
        <v>485299.97000000003</v>
      </c>
      <c r="AE3094" s="2">
        <f>VLOOKUP(I3094,[1]媒体政策预估表!A:N,MATCH(O3094,[1]媒体政策预估表!$A$2:$M$2,0),0)</f>
        <v>7.0000000000000007E-2</v>
      </c>
      <c r="AF3094" s="6">
        <f t="shared" si="488"/>
        <v>33970.997900000002</v>
      </c>
      <c r="AG3094" s="14">
        <v>0.4</v>
      </c>
      <c r="AH3094" s="6">
        <f t="shared" si="486"/>
        <v>486100.3071428574</v>
      </c>
      <c r="AI3094" s="47"/>
      <c r="AJ3094" s="126" t="e">
        <v>#N/A</v>
      </c>
      <c r="AK3094" s="80">
        <f t="shared" si="484"/>
        <v>0</v>
      </c>
      <c r="AM3094" s="85"/>
    </row>
    <row r="3095" spans="1:39" hidden="1" x14ac:dyDescent="0.3">
      <c r="A3095" s="89" t="s">
        <v>3397</v>
      </c>
      <c r="B3095" s="86" t="s">
        <v>35</v>
      </c>
      <c r="C3095" s="86" t="s">
        <v>187</v>
      </c>
      <c r="D3095" s="86" t="s">
        <v>188</v>
      </c>
      <c r="E3095" s="86" t="s">
        <v>2446</v>
      </c>
      <c r="F3095" s="86" t="s">
        <v>2446</v>
      </c>
      <c r="G3095" s="86" t="s">
        <v>2446</v>
      </c>
      <c r="H3095" s="144">
        <v>237</v>
      </c>
      <c r="I3095" s="86" t="s">
        <v>2374</v>
      </c>
      <c r="J3095" s="1" t="s">
        <v>3322</v>
      </c>
      <c r="K3095" s="1" t="s">
        <v>3269</v>
      </c>
      <c r="L3095" s="1" t="s">
        <v>35</v>
      </c>
      <c r="M3095" s="86" t="s">
        <v>2438</v>
      </c>
      <c r="N3095" s="86"/>
      <c r="O3095" s="47" t="s">
        <v>45</v>
      </c>
      <c r="P3095" s="47" t="s">
        <v>46</v>
      </c>
      <c r="Q3095" s="14">
        <v>0.03</v>
      </c>
      <c r="R3095" s="143"/>
      <c r="S3095" s="47"/>
      <c r="T3095" s="6">
        <v>33774.994100000004</v>
      </c>
      <c r="U3095" s="6">
        <v>69999.99930000001</v>
      </c>
      <c r="V3095" s="6">
        <v>49958.060000000012</v>
      </c>
      <c r="W3095" s="6">
        <f t="shared" si="481"/>
        <v>53816.933399999994</v>
      </c>
      <c r="X3095" s="6">
        <f t="shared" si="485"/>
        <v>35684.328571428581</v>
      </c>
      <c r="Y3095" s="13">
        <f t="shared" si="482"/>
        <v>0</v>
      </c>
      <c r="Z3095" s="14">
        <v>0</v>
      </c>
      <c r="AA3095" s="6">
        <v>0</v>
      </c>
      <c r="AB3095" s="4">
        <f t="shared" si="483"/>
        <v>35684.328571428581</v>
      </c>
      <c r="AC3095" s="4">
        <f t="shared" si="487"/>
        <v>14273.731428571431</v>
      </c>
      <c r="AD3095" s="6">
        <v>36465.500000000007</v>
      </c>
      <c r="AE3095" s="2">
        <f>VLOOKUP(I3095,[1]媒体政策预估表!A:N,MATCH(O3095,[1]媒体政策预估表!$A$2:$M$2,0),0)</f>
        <v>0.06</v>
      </c>
      <c r="AF3095" s="6">
        <f t="shared" si="488"/>
        <v>2187.9300000000003</v>
      </c>
      <c r="AG3095" s="14">
        <v>0.37</v>
      </c>
      <c r="AH3095" s="6">
        <f t="shared" si="486"/>
        <v>36465.737226277379</v>
      </c>
      <c r="AI3095" s="47"/>
      <c r="AJ3095" s="126" t="e">
        <v>#N/A</v>
      </c>
      <c r="AK3095" s="80">
        <f t="shared" si="484"/>
        <v>0</v>
      </c>
      <c r="AM3095" s="85"/>
    </row>
    <row r="3096" spans="1:39" hidden="1" x14ac:dyDescent="0.3">
      <c r="A3096" s="89" t="s">
        <v>3408</v>
      </c>
      <c r="B3096" s="86" t="s">
        <v>35</v>
      </c>
      <c r="C3096" s="86" t="s">
        <v>187</v>
      </c>
      <c r="D3096" s="86" t="s">
        <v>188</v>
      </c>
      <c r="E3096" s="86" t="s">
        <v>203</v>
      </c>
      <c r="F3096" s="86" t="s">
        <v>203</v>
      </c>
      <c r="G3096" s="86" t="s">
        <v>203</v>
      </c>
      <c r="H3096" s="144">
        <v>237</v>
      </c>
      <c r="I3096" s="86" t="s">
        <v>2374</v>
      </c>
      <c r="J3096" s="1" t="s">
        <v>3322</v>
      </c>
      <c r="K3096" s="1" t="s">
        <v>3269</v>
      </c>
      <c r="L3096" s="1" t="s">
        <v>35</v>
      </c>
      <c r="M3096" s="86" t="s">
        <v>2438</v>
      </c>
      <c r="N3096" s="86"/>
      <c r="O3096" s="47" t="s">
        <v>40</v>
      </c>
      <c r="P3096" s="47" t="s">
        <v>46</v>
      </c>
      <c r="Q3096" s="14">
        <v>0.08</v>
      </c>
      <c r="R3096" s="143"/>
      <c r="S3096" s="47" t="s">
        <v>3421</v>
      </c>
      <c r="T3096" s="6">
        <v>918313.21200000192</v>
      </c>
      <c r="U3096" s="6">
        <f>2781523.598+4777.14</f>
        <v>2786300.7380000004</v>
      </c>
      <c r="V3096" s="6">
        <v>2295471.0300000003</v>
      </c>
      <c r="W3096" s="6">
        <f t="shared" si="481"/>
        <v>1409142.9200000018</v>
      </c>
      <c r="X3096" s="6">
        <f>IF(P3096="折扣",V3096*Q3096,IF(P3096="返现",V3096,(V3096-4777.14)/(1+Q3096+AG3096)))</f>
        <v>1547766.1418918921</v>
      </c>
      <c r="Y3096" s="13">
        <f t="shared" si="482"/>
        <v>0</v>
      </c>
      <c r="Z3096" s="14">
        <v>0</v>
      </c>
      <c r="AA3096" s="6">
        <v>0</v>
      </c>
      <c r="AB3096" s="4">
        <f t="shared" si="483"/>
        <v>1547766.1418918921</v>
      </c>
      <c r="AC3096" s="4">
        <f t="shared" si="487"/>
        <v>747704.88810810819</v>
      </c>
      <c r="AD3096" s="6">
        <v>1636201.2899999979</v>
      </c>
      <c r="AE3096" s="2">
        <f>VLOOKUP(I3096,[1]媒体政策预估表!A:N,MATCH(O3096,[1]媒体政策预估表!$A$2:$M$2,0),0)</f>
        <v>7.0000000000000007E-2</v>
      </c>
      <c r="AF3096" s="6">
        <f t="shared" si="488"/>
        <v>114534.09029999987</v>
      </c>
      <c r="AG3096" s="14">
        <v>0.4</v>
      </c>
      <c r="AH3096" s="6">
        <f t="shared" si="486"/>
        <v>1639622.1642857145</v>
      </c>
      <c r="AI3096" s="47"/>
      <c r="AJ3096" s="126" t="e">
        <v>#N/A</v>
      </c>
      <c r="AK3096" s="80">
        <f t="shared" si="484"/>
        <v>0</v>
      </c>
      <c r="AM3096" s="85"/>
    </row>
    <row r="3097" spans="1:39" hidden="1" x14ac:dyDescent="0.3">
      <c r="A3097" s="89" t="s">
        <v>3408</v>
      </c>
      <c r="B3097" s="86" t="s">
        <v>35</v>
      </c>
      <c r="C3097" s="86" t="s">
        <v>187</v>
      </c>
      <c r="D3097" s="86" t="s">
        <v>188</v>
      </c>
      <c r="E3097" s="86" t="s">
        <v>2447</v>
      </c>
      <c r="F3097" s="86" t="s">
        <v>2447</v>
      </c>
      <c r="G3097" s="86" t="s">
        <v>2447</v>
      </c>
      <c r="H3097" s="143">
        <v>237</v>
      </c>
      <c r="I3097" s="86" t="s">
        <v>2374</v>
      </c>
      <c r="J3097" s="1" t="s">
        <v>3322</v>
      </c>
      <c r="K3097" s="1" t="s">
        <v>3269</v>
      </c>
      <c r="L3097" s="1" t="s">
        <v>35</v>
      </c>
      <c r="M3097" s="86" t="s">
        <v>2438</v>
      </c>
      <c r="N3097" s="86"/>
      <c r="O3097" s="47" t="s">
        <v>40</v>
      </c>
      <c r="P3097" s="47" t="s">
        <v>46</v>
      </c>
      <c r="Q3097" s="14">
        <v>0.08</v>
      </c>
      <c r="R3097" s="143"/>
      <c r="S3097" s="47"/>
      <c r="T3097" s="6">
        <v>965394.29600000032</v>
      </c>
      <c r="U3097" s="6">
        <v>-319140.48599999998</v>
      </c>
      <c r="V3097" s="6">
        <v>0</v>
      </c>
      <c r="W3097" s="6">
        <f t="shared" si="481"/>
        <v>646253.81000000029</v>
      </c>
      <c r="X3097" s="6">
        <f t="shared" si="485"/>
        <v>0</v>
      </c>
      <c r="Y3097" s="13">
        <f t="shared" si="482"/>
        <v>0</v>
      </c>
      <c r="Z3097" s="14">
        <v>0</v>
      </c>
      <c r="AA3097" s="6">
        <v>0</v>
      </c>
      <c r="AB3097" s="4">
        <f t="shared" si="483"/>
        <v>0</v>
      </c>
      <c r="AC3097" s="4">
        <f t="shared" si="487"/>
        <v>0</v>
      </c>
      <c r="AD3097" s="6">
        <v>0</v>
      </c>
      <c r="AE3097" s="2">
        <f>VLOOKUP(I3097,[1]媒体政策预估表!A:N,MATCH(O3097,[1]媒体政策预估表!$A$2:$M$2,0),0)</f>
        <v>7.0000000000000007E-2</v>
      </c>
      <c r="AF3097" s="6">
        <f t="shared" si="488"/>
        <v>0</v>
      </c>
      <c r="AG3097" s="14">
        <v>0.4</v>
      </c>
      <c r="AH3097" s="6">
        <f t="shared" si="486"/>
        <v>0</v>
      </c>
      <c r="AI3097" s="47"/>
      <c r="AJ3097" s="126" t="e">
        <v>#N/A</v>
      </c>
      <c r="AK3097" s="80">
        <f t="shared" si="484"/>
        <v>0</v>
      </c>
      <c r="AM3097" s="85"/>
    </row>
    <row r="3098" spans="1:39" hidden="1" x14ac:dyDescent="0.3">
      <c r="A3098" s="89" t="s">
        <v>3408</v>
      </c>
      <c r="B3098" s="86" t="s">
        <v>35</v>
      </c>
      <c r="C3098" s="86" t="s">
        <v>187</v>
      </c>
      <c r="D3098" s="86" t="s">
        <v>188</v>
      </c>
      <c r="E3098" s="86" t="s">
        <v>2448</v>
      </c>
      <c r="F3098" s="86" t="s">
        <v>2448</v>
      </c>
      <c r="G3098" s="86" t="s">
        <v>2448</v>
      </c>
      <c r="H3098" s="144">
        <v>237</v>
      </c>
      <c r="I3098" s="86" t="s">
        <v>2374</v>
      </c>
      <c r="J3098" s="1" t="s">
        <v>3322</v>
      </c>
      <c r="K3098" s="1" t="s">
        <v>3269</v>
      </c>
      <c r="L3098" s="1" t="s">
        <v>35</v>
      </c>
      <c r="M3098" s="86" t="s">
        <v>2438</v>
      </c>
      <c r="N3098" s="86"/>
      <c r="O3098" s="47" t="s">
        <v>40</v>
      </c>
      <c r="P3098" s="47" t="s">
        <v>46</v>
      </c>
      <c r="Q3098" s="14">
        <v>0.05</v>
      </c>
      <c r="R3098" s="143"/>
      <c r="S3098" s="47"/>
      <c r="T3098" s="6">
        <v>333701.2159999999</v>
      </c>
      <c r="U3098" s="6">
        <v>1087499.9939999999</v>
      </c>
      <c r="V3098" s="6">
        <v>434437.43</v>
      </c>
      <c r="W3098" s="6">
        <f t="shared" si="481"/>
        <v>986763.78</v>
      </c>
      <c r="X3098" s="6">
        <f t="shared" si="485"/>
        <v>299612.02068965515</v>
      </c>
      <c r="Y3098" s="13">
        <f t="shared" si="482"/>
        <v>0</v>
      </c>
      <c r="Z3098" s="14">
        <v>0</v>
      </c>
      <c r="AA3098" s="6">
        <v>0</v>
      </c>
      <c r="AB3098" s="4">
        <f t="shared" si="483"/>
        <v>299612.02068965515</v>
      </c>
      <c r="AC3098" s="4">
        <f t="shared" si="487"/>
        <v>134825.40931034484</v>
      </c>
      <c r="AD3098" s="6">
        <v>310309.1100000001</v>
      </c>
      <c r="AE3098" s="2">
        <f>VLOOKUP(I3098,[1]媒体政策预估表!A:N,MATCH(O3098,[1]媒体政策预估表!$A$2:$M$2,0),0)</f>
        <v>7.0000000000000007E-2</v>
      </c>
      <c r="AF3098" s="6">
        <f t="shared" si="488"/>
        <v>21721.63770000001</v>
      </c>
      <c r="AG3098" s="14">
        <v>0.4</v>
      </c>
      <c r="AH3098" s="6">
        <f t="shared" si="486"/>
        <v>310312.45</v>
      </c>
      <c r="AI3098" s="47"/>
      <c r="AJ3098" s="126" t="e">
        <v>#N/A</v>
      </c>
      <c r="AK3098" s="80">
        <f t="shared" si="484"/>
        <v>0</v>
      </c>
      <c r="AM3098" s="85"/>
    </row>
    <row r="3099" spans="1:39" hidden="1" x14ac:dyDescent="0.3">
      <c r="A3099" s="89" t="s">
        <v>3408</v>
      </c>
      <c r="B3099" s="86" t="s">
        <v>35</v>
      </c>
      <c r="C3099" s="86" t="s">
        <v>187</v>
      </c>
      <c r="D3099" s="86" t="s">
        <v>188</v>
      </c>
      <c r="E3099" s="86" t="s">
        <v>2450</v>
      </c>
      <c r="F3099" s="86" t="s">
        <v>2450</v>
      </c>
      <c r="G3099" s="86" t="s">
        <v>2450</v>
      </c>
      <c r="H3099" s="144">
        <v>237</v>
      </c>
      <c r="I3099" s="86" t="s">
        <v>2374</v>
      </c>
      <c r="J3099" s="1" t="s">
        <v>3322</v>
      </c>
      <c r="K3099" s="1" t="s">
        <v>3269</v>
      </c>
      <c r="L3099" s="1" t="s">
        <v>35</v>
      </c>
      <c r="M3099" s="86" t="s">
        <v>2450</v>
      </c>
      <c r="N3099" s="86"/>
      <c r="O3099" s="47" t="s">
        <v>40</v>
      </c>
      <c r="P3099" s="47" t="s">
        <v>41</v>
      </c>
      <c r="Q3099" s="14">
        <v>0</v>
      </c>
      <c r="R3099" s="143"/>
      <c r="S3099" s="47"/>
      <c r="T3099" s="6">
        <v>1124917.28</v>
      </c>
      <c r="U3099" s="6">
        <v>141285.81000000006</v>
      </c>
      <c r="V3099" s="6">
        <v>953648.45999999961</v>
      </c>
      <c r="W3099" s="6">
        <f t="shared" si="481"/>
        <v>312554.63000000047</v>
      </c>
      <c r="X3099" s="6">
        <f t="shared" si="485"/>
        <v>953648.45999999961</v>
      </c>
      <c r="Y3099" s="13">
        <f t="shared" si="482"/>
        <v>0</v>
      </c>
      <c r="Z3099" s="14">
        <v>0</v>
      </c>
      <c r="AA3099" s="6">
        <v>0</v>
      </c>
      <c r="AB3099" s="4">
        <f t="shared" si="483"/>
        <v>953648.45999999961</v>
      </c>
      <c r="AC3099" s="4">
        <f t="shared" si="487"/>
        <v>0</v>
      </c>
      <c r="AD3099" s="6">
        <v>953648.45999999961</v>
      </c>
      <c r="AE3099" s="2">
        <f>VLOOKUP(I3099,[1]媒体政策预估表!A:N,MATCH(O3099,[1]媒体政策预估表!$A$2:$M$2,0),0)</f>
        <v>7.0000000000000007E-2</v>
      </c>
      <c r="AF3099" s="6">
        <f t="shared" si="488"/>
        <v>66755.392199999973</v>
      </c>
      <c r="AG3099" s="14">
        <v>0</v>
      </c>
      <c r="AH3099" s="6">
        <f t="shared" si="486"/>
        <v>953648.45999999961</v>
      </c>
      <c r="AI3099" s="47"/>
      <c r="AJ3099" s="126" t="e">
        <v>#N/A</v>
      </c>
      <c r="AK3099" s="80">
        <f t="shared" si="484"/>
        <v>0</v>
      </c>
      <c r="AM3099" s="85"/>
    </row>
    <row r="3100" spans="1:39" hidden="1" x14ac:dyDescent="0.3">
      <c r="A3100" s="89" t="s">
        <v>3408</v>
      </c>
      <c r="B3100" s="86" t="s">
        <v>35</v>
      </c>
      <c r="C3100" s="86" t="s">
        <v>187</v>
      </c>
      <c r="D3100" s="86" t="s">
        <v>188</v>
      </c>
      <c r="E3100" s="86" t="s">
        <v>205</v>
      </c>
      <c r="F3100" s="86" t="s">
        <v>205</v>
      </c>
      <c r="G3100" s="86" t="s">
        <v>205</v>
      </c>
      <c r="H3100" s="143">
        <v>237</v>
      </c>
      <c r="I3100" s="86" t="s">
        <v>2374</v>
      </c>
      <c r="J3100" s="1" t="s">
        <v>3322</v>
      </c>
      <c r="K3100" s="1" t="s">
        <v>3269</v>
      </c>
      <c r="L3100" s="1" t="s">
        <v>35</v>
      </c>
      <c r="M3100" s="86" t="s">
        <v>2438</v>
      </c>
      <c r="N3100" s="86"/>
      <c r="O3100" s="47" t="s">
        <v>40</v>
      </c>
      <c r="P3100" s="47" t="s">
        <v>46</v>
      </c>
      <c r="Q3100" s="14">
        <v>-0.01</v>
      </c>
      <c r="R3100" s="143"/>
      <c r="S3100" s="47"/>
      <c r="T3100" s="6">
        <v>0</v>
      </c>
      <c r="U3100" s="6">
        <v>-3642.9189999999999</v>
      </c>
      <c r="V3100" s="6">
        <v>0</v>
      </c>
      <c r="W3100" s="6">
        <f t="shared" si="481"/>
        <v>-3642.9189999999999</v>
      </c>
      <c r="X3100" s="6">
        <f t="shared" si="485"/>
        <v>0</v>
      </c>
      <c r="Y3100" s="13">
        <f t="shared" si="482"/>
        <v>0</v>
      </c>
      <c r="Z3100" s="14">
        <v>0</v>
      </c>
      <c r="AA3100" s="6">
        <v>0</v>
      </c>
      <c r="AB3100" s="4">
        <f t="shared" si="483"/>
        <v>0</v>
      </c>
      <c r="AC3100" s="4">
        <f t="shared" si="487"/>
        <v>0</v>
      </c>
      <c r="AD3100" s="6">
        <v>1430265.28</v>
      </c>
      <c r="AE3100" s="2">
        <f>VLOOKUP(I3100,[1]媒体政策预估表!A:N,MATCH(O3100,[1]媒体政策预估表!$A$2:$M$2,0),0)</f>
        <v>7.0000000000000007E-2</v>
      </c>
      <c r="AF3100" s="6">
        <f t="shared" si="488"/>
        <v>100118.56960000002</v>
      </c>
      <c r="AG3100" s="14">
        <v>0.46</v>
      </c>
      <c r="AH3100" s="6">
        <f t="shared" si="486"/>
        <v>0</v>
      </c>
      <c r="AI3100" s="47"/>
      <c r="AJ3100" s="126" t="e">
        <v>#N/A</v>
      </c>
      <c r="AK3100" s="80">
        <f t="shared" si="484"/>
        <v>0</v>
      </c>
      <c r="AM3100" s="85"/>
    </row>
    <row r="3101" spans="1:39" hidden="1" x14ac:dyDescent="0.3">
      <c r="A3101" s="89" t="s">
        <v>3397</v>
      </c>
      <c r="B3101" s="86" t="s">
        <v>35</v>
      </c>
      <c r="C3101" s="86" t="s">
        <v>187</v>
      </c>
      <c r="D3101" s="86" t="s">
        <v>188</v>
      </c>
      <c r="E3101" s="86" t="s">
        <v>205</v>
      </c>
      <c r="F3101" s="86" t="s">
        <v>205</v>
      </c>
      <c r="G3101" s="86" t="s">
        <v>205</v>
      </c>
      <c r="H3101" s="144">
        <v>237</v>
      </c>
      <c r="I3101" s="86" t="s">
        <v>2374</v>
      </c>
      <c r="J3101" s="1" t="s">
        <v>3322</v>
      </c>
      <c r="K3101" s="1" t="s">
        <v>3269</v>
      </c>
      <c r="L3101" s="1" t="s">
        <v>35</v>
      </c>
      <c r="M3101" s="86" t="s">
        <v>2438</v>
      </c>
      <c r="N3101" s="86"/>
      <c r="O3101" s="47" t="s">
        <v>40</v>
      </c>
      <c r="P3101" s="47" t="s">
        <v>46</v>
      </c>
      <c r="Q3101" s="14">
        <v>0.1</v>
      </c>
      <c r="R3101" s="143"/>
      <c r="S3101" s="47"/>
      <c r="T3101" s="6">
        <v>963434.52199999988</v>
      </c>
      <c r="U3101" s="6">
        <v>1096238.5419999999</v>
      </c>
      <c r="V3101" s="6">
        <v>2071384.9799999988</v>
      </c>
      <c r="W3101" s="6">
        <f t="shared" si="481"/>
        <v>-11711.915999999037</v>
      </c>
      <c r="X3101" s="6">
        <f t="shared" si="485"/>
        <v>1380923.3199999991</v>
      </c>
      <c r="Y3101" s="13">
        <f t="shared" si="482"/>
        <v>1380923.3199999991</v>
      </c>
      <c r="Z3101" s="14">
        <v>0</v>
      </c>
      <c r="AA3101" s="6">
        <v>0</v>
      </c>
      <c r="AB3101" s="4">
        <f t="shared" si="483"/>
        <v>1380923.3199999991</v>
      </c>
      <c r="AC3101" s="4">
        <f t="shared" si="487"/>
        <v>690461.65999999968</v>
      </c>
      <c r="AD3101" s="6">
        <v>0</v>
      </c>
      <c r="AE3101" s="2">
        <f>VLOOKUP(I3101,[1]媒体政策预估表!A:N,MATCH(O3101,[1]媒体政策预估表!$A$2:$M$2,0),0)</f>
        <v>7.0000000000000007E-2</v>
      </c>
      <c r="AF3101" s="6">
        <f t="shared" si="488"/>
        <v>0</v>
      </c>
      <c r="AG3101" s="14">
        <v>0.4</v>
      </c>
      <c r="AH3101" s="6">
        <f t="shared" si="486"/>
        <v>1479560.6999999993</v>
      </c>
      <c r="AI3101" s="47"/>
      <c r="AJ3101" s="126" t="e">
        <v>#N/A</v>
      </c>
      <c r="AK3101" s="80">
        <f t="shared" si="484"/>
        <v>0</v>
      </c>
      <c r="AM3101" s="85"/>
    </row>
    <row r="3102" spans="1:39" hidden="1" x14ac:dyDescent="0.3">
      <c r="A3102" s="89" t="s">
        <v>3408</v>
      </c>
      <c r="B3102" s="86" t="s">
        <v>35</v>
      </c>
      <c r="C3102" s="86" t="s">
        <v>187</v>
      </c>
      <c r="D3102" s="86" t="s">
        <v>188</v>
      </c>
      <c r="E3102" s="86" t="s">
        <v>2451</v>
      </c>
      <c r="F3102" s="86" t="s">
        <v>2451</v>
      </c>
      <c r="G3102" s="86" t="s">
        <v>2451</v>
      </c>
      <c r="H3102" s="144">
        <v>237</v>
      </c>
      <c r="I3102" s="86" t="s">
        <v>2374</v>
      </c>
      <c r="J3102" s="1" t="s">
        <v>3322</v>
      </c>
      <c r="K3102" s="1" t="s">
        <v>3269</v>
      </c>
      <c r="L3102" s="1" t="s">
        <v>35</v>
      </c>
      <c r="M3102" s="86" t="s">
        <v>2451</v>
      </c>
      <c r="N3102" s="86"/>
      <c r="O3102" s="47" t="s">
        <v>45</v>
      </c>
      <c r="P3102" s="47" t="s">
        <v>46</v>
      </c>
      <c r="Q3102" s="14">
        <v>7.4399999999999994E-2</v>
      </c>
      <c r="R3102" s="143"/>
      <c r="S3102" s="47"/>
      <c r="T3102" s="6">
        <v>124324.65160000185</v>
      </c>
      <c r="U3102" s="6">
        <v>3943200</v>
      </c>
      <c r="V3102" s="6">
        <v>2300852.540000001</v>
      </c>
      <c r="W3102" s="6">
        <f t="shared" si="481"/>
        <v>1766672.1116000009</v>
      </c>
      <c r="X3102" s="6">
        <f t="shared" si="485"/>
        <v>1750496.4546561176</v>
      </c>
      <c r="Y3102" s="13">
        <f t="shared" si="482"/>
        <v>0</v>
      </c>
      <c r="Z3102" s="14">
        <v>0</v>
      </c>
      <c r="AA3102" s="6">
        <v>0</v>
      </c>
      <c r="AB3102" s="4">
        <f t="shared" si="483"/>
        <v>1750496.4546561176</v>
      </c>
      <c r="AC3102" s="4">
        <f t="shared" si="487"/>
        <v>550356.08534388337</v>
      </c>
      <c r="AD3102" s="6">
        <v>1855530.8499999999</v>
      </c>
      <c r="AE3102" s="2">
        <f>VLOOKUP(I3102,[1]媒体政策预估表!A:N,MATCH(O3102,[1]媒体政策预估表!$A$2:$M$2,0),0)</f>
        <v>0.06</v>
      </c>
      <c r="AF3102" s="6">
        <f t="shared" si="488"/>
        <v>111331.85099999998</v>
      </c>
      <c r="AG3102" s="14">
        <v>0.24</v>
      </c>
      <c r="AH3102" s="6">
        <f t="shared" si="486"/>
        <v>1855526.2419354846</v>
      </c>
      <c r="AI3102" s="47"/>
      <c r="AJ3102" s="126" t="e">
        <v>#N/A</v>
      </c>
      <c r="AK3102" s="80">
        <f t="shared" si="484"/>
        <v>0</v>
      </c>
      <c r="AM3102" s="85"/>
    </row>
    <row r="3103" spans="1:39" hidden="1" x14ac:dyDescent="0.3">
      <c r="A3103" s="89" t="s">
        <v>3397</v>
      </c>
      <c r="B3103" s="86" t="s">
        <v>35</v>
      </c>
      <c r="C3103" s="86" t="s">
        <v>187</v>
      </c>
      <c r="D3103" s="86" t="s">
        <v>188</v>
      </c>
      <c r="E3103" s="86" t="s">
        <v>2489</v>
      </c>
      <c r="F3103" s="86" t="s">
        <v>2489</v>
      </c>
      <c r="G3103" s="86" t="s">
        <v>2489</v>
      </c>
      <c r="H3103" s="144">
        <v>237</v>
      </c>
      <c r="I3103" s="86" t="s">
        <v>2374</v>
      </c>
      <c r="J3103" s="1" t="s">
        <v>3322</v>
      </c>
      <c r="K3103" s="1" t="s">
        <v>3269</v>
      </c>
      <c r="L3103" s="1" t="s">
        <v>35</v>
      </c>
      <c r="M3103" s="86" t="s">
        <v>2438</v>
      </c>
      <c r="N3103" s="86"/>
      <c r="O3103" s="47" t="s">
        <v>40</v>
      </c>
      <c r="P3103" s="47" t="s">
        <v>46</v>
      </c>
      <c r="Q3103" s="14">
        <v>7.0000000000000007E-2</v>
      </c>
      <c r="R3103" s="143"/>
      <c r="S3103" s="47"/>
      <c r="T3103" s="6">
        <v>-2202.9299999997602</v>
      </c>
      <c r="U3103" s="6">
        <v>220500</v>
      </c>
      <c r="V3103" s="6">
        <v>138592.48000000001</v>
      </c>
      <c r="W3103" s="6">
        <f t="shared" si="481"/>
        <v>79704.590000000229</v>
      </c>
      <c r="X3103" s="6">
        <f t="shared" si="485"/>
        <v>94280.598639455784</v>
      </c>
      <c r="Y3103" s="13">
        <f t="shared" si="482"/>
        <v>0</v>
      </c>
      <c r="Z3103" s="14">
        <v>0</v>
      </c>
      <c r="AA3103" s="6">
        <v>0</v>
      </c>
      <c r="AB3103" s="4">
        <f t="shared" si="483"/>
        <v>94280.598639455784</v>
      </c>
      <c r="AC3103" s="4">
        <f t="shared" si="487"/>
        <v>44311.881360544226</v>
      </c>
      <c r="AD3103" s="6">
        <v>98993.64</v>
      </c>
      <c r="AE3103" s="2">
        <f>VLOOKUP(I3103,[1]媒体政策预估表!A:N,MATCH(O3103,[1]媒体政策预估表!$A$2:$M$2,0),0)</f>
        <v>7.0000000000000007E-2</v>
      </c>
      <c r="AF3103" s="6">
        <f t="shared" si="488"/>
        <v>6929.5548000000008</v>
      </c>
      <c r="AG3103" s="14">
        <v>0.4</v>
      </c>
      <c r="AH3103" s="6">
        <f t="shared" si="486"/>
        <v>98994.628571428591</v>
      </c>
      <c r="AI3103" s="47"/>
      <c r="AJ3103" s="126" t="e">
        <v>#N/A</v>
      </c>
      <c r="AK3103" s="80">
        <f t="shared" si="484"/>
        <v>0</v>
      </c>
      <c r="AM3103" s="85"/>
    </row>
    <row r="3104" spans="1:39" hidden="1" x14ac:dyDescent="0.3">
      <c r="A3104" s="89" t="s">
        <v>3408</v>
      </c>
      <c r="B3104" s="86" t="s">
        <v>35</v>
      </c>
      <c r="C3104" s="86" t="s">
        <v>187</v>
      </c>
      <c r="D3104" s="86" t="s">
        <v>188</v>
      </c>
      <c r="E3104" s="86" t="s">
        <v>2452</v>
      </c>
      <c r="F3104" s="86" t="s">
        <v>2452</v>
      </c>
      <c r="G3104" s="86" t="s">
        <v>2452</v>
      </c>
      <c r="H3104" s="144">
        <v>237</v>
      </c>
      <c r="I3104" s="86" t="s">
        <v>2374</v>
      </c>
      <c r="J3104" s="1" t="s">
        <v>3322</v>
      </c>
      <c r="K3104" s="1" t="s">
        <v>3269</v>
      </c>
      <c r="L3104" s="1" t="s">
        <v>35</v>
      </c>
      <c r="M3104" s="86" t="s">
        <v>2438</v>
      </c>
      <c r="N3104" s="86"/>
      <c r="O3104" s="47" t="s">
        <v>45</v>
      </c>
      <c r="P3104" s="47" t="s">
        <v>46</v>
      </c>
      <c r="Q3104" s="14">
        <v>5.04E-2</v>
      </c>
      <c r="R3104" s="143"/>
      <c r="S3104" s="47"/>
      <c r="T3104" s="6">
        <v>0</v>
      </c>
      <c r="U3104" s="6">
        <v>80937.990000000005</v>
      </c>
      <c r="V3104" s="6">
        <v>40470.256800000017</v>
      </c>
      <c r="W3104" s="6">
        <f t="shared" si="481"/>
        <v>40467.733199999988</v>
      </c>
      <c r="X3104" s="6">
        <f t="shared" si="485"/>
        <v>28492.154885947635</v>
      </c>
      <c r="Y3104" s="13">
        <f t="shared" si="482"/>
        <v>0</v>
      </c>
      <c r="Z3104" s="14">
        <v>0</v>
      </c>
      <c r="AA3104" s="6">
        <v>0</v>
      </c>
      <c r="AB3104" s="4">
        <f t="shared" si="483"/>
        <v>28492.154885947635</v>
      </c>
      <c r="AC3104" s="4">
        <f t="shared" si="487"/>
        <v>11978.101914052382</v>
      </c>
      <c r="AD3104" s="6">
        <v>31017.18</v>
      </c>
      <c r="AE3104" s="2">
        <f>VLOOKUP(I3104,[1]媒体政策预估表!A:N,MATCH(O3104,[1]媒体政策预估表!$A$2:$M$2,0),0)</f>
        <v>0.06</v>
      </c>
      <c r="AF3104" s="6">
        <f t="shared" si="488"/>
        <v>1861.0308</v>
      </c>
      <c r="AG3104" s="14">
        <v>0.37</v>
      </c>
      <c r="AH3104" s="6">
        <f t="shared" si="486"/>
        <v>29540.333430656945</v>
      </c>
      <c r="AI3104" s="47"/>
      <c r="AJ3104" s="126" t="e">
        <v>#N/A</v>
      </c>
      <c r="AK3104" s="80">
        <f t="shared" si="484"/>
        <v>0</v>
      </c>
      <c r="AM3104" s="85"/>
    </row>
    <row r="3105" spans="1:39" hidden="1" x14ac:dyDescent="0.3">
      <c r="A3105" s="89" t="s">
        <v>3397</v>
      </c>
      <c r="B3105" s="86" t="s">
        <v>35</v>
      </c>
      <c r="C3105" s="86" t="s">
        <v>187</v>
      </c>
      <c r="D3105" s="86" t="s">
        <v>188</v>
      </c>
      <c r="E3105" s="86" t="s">
        <v>2452</v>
      </c>
      <c r="F3105" s="86" t="s">
        <v>2452</v>
      </c>
      <c r="G3105" s="86" t="s">
        <v>2452</v>
      </c>
      <c r="H3105" s="144">
        <v>237</v>
      </c>
      <c r="I3105" s="86" t="s">
        <v>2374</v>
      </c>
      <c r="J3105" s="1" t="s">
        <v>3322</v>
      </c>
      <c r="K3105" s="1" t="s">
        <v>3269</v>
      </c>
      <c r="L3105" s="1" t="s">
        <v>35</v>
      </c>
      <c r="M3105" s="86" t="s">
        <v>2438</v>
      </c>
      <c r="N3105" s="86"/>
      <c r="O3105" s="47" t="s">
        <v>40</v>
      </c>
      <c r="P3105" s="47" t="s">
        <v>46</v>
      </c>
      <c r="Q3105" s="14">
        <v>5.2200000000000003E-2</v>
      </c>
      <c r="R3105" s="143"/>
      <c r="S3105" s="47"/>
      <c r="T3105" s="6">
        <v>0</v>
      </c>
      <c r="U3105" s="6">
        <v>947902.24</v>
      </c>
      <c r="V3105" s="6">
        <v>517694.93600000127</v>
      </c>
      <c r="W3105" s="6">
        <f t="shared" si="481"/>
        <v>430207.30399999872</v>
      </c>
      <c r="X3105" s="6">
        <f t="shared" si="485"/>
        <v>356490.10880044161</v>
      </c>
      <c r="Y3105" s="13">
        <f t="shared" si="482"/>
        <v>0</v>
      </c>
      <c r="Z3105" s="14">
        <v>0</v>
      </c>
      <c r="AA3105" s="6">
        <v>0</v>
      </c>
      <c r="AB3105" s="4">
        <f t="shared" si="483"/>
        <v>356490.10880044161</v>
      </c>
      <c r="AC3105" s="4">
        <f t="shared" si="487"/>
        <v>161204.82719955966</v>
      </c>
      <c r="AD3105" s="6">
        <v>515714.31000000023</v>
      </c>
      <c r="AE3105" s="2">
        <f>VLOOKUP(I3105,[1]媒体政策预估表!A:N,MATCH(O3105,[1]媒体政策预估表!$A$2:$M$2,0),0)</f>
        <v>7.0000000000000007E-2</v>
      </c>
      <c r="AF3105" s="6">
        <f t="shared" si="488"/>
        <v>36100.001700000023</v>
      </c>
      <c r="AG3105" s="14">
        <v>0.4</v>
      </c>
      <c r="AH3105" s="6">
        <f t="shared" si="486"/>
        <v>369782.09714285808</v>
      </c>
      <c r="AI3105" s="47"/>
      <c r="AJ3105" s="126" t="e">
        <v>#N/A</v>
      </c>
      <c r="AK3105" s="80">
        <f t="shared" si="484"/>
        <v>0</v>
      </c>
      <c r="AM3105" s="85"/>
    </row>
    <row r="3106" spans="1:39" hidden="1" x14ac:dyDescent="0.3">
      <c r="A3106" s="89" t="s">
        <v>3397</v>
      </c>
      <c r="B3106" s="86" t="s">
        <v>35</v>
      </c>
      <c r="C3106" s="86" t="s">
        <v>187</v>
      </c>
      <c r="D3106" s="86" t="s">
        <v>188</v>
      </c>
      <c r="E3106" s="86" t="s">
        <v>2453</v>
      </c>
      <c r="F3106" s="86" t="s">
        <v>2453</v>
      </c>
      <c r="G3106" s="86" t="s">
        <v>2453</v>
      </c>
      <c r="H3106" s="144">
        <v>237</v>
      </c>
      <c r="I3106" s="86" t="s">
        <v>2374</v>
      </c>
      <c r="J3106" s="1" t="s">
        <v>3322</v>
      </c>
      <c r="K3106" s="1" t="s">
        <v>3269</v>
      </c>
      <c r="L3106" s="1" t="s">
        <v>35</v>
      </c>
      <c r="M3106" s="86" t="s">
        <v>2438</v>
      </c>
      <c r="N3106" s="86"/>
      <c r="O3106" s="47" t="s">
        <v>45</v>
      </c>
      <c r="P3106" s="47" t="s">
        <v>46</v>
      </c>
      <c r="Q3106" s="14">
        <v>0.03</v>
      </c>
      <c r="R3106" s="143"/>
      <c r="S3106" s="47"/>
      <c r="T3106" s="6">
        <v>18789.415199999996</v>
      </c>
      <c r="U3106" s="6">
        <v>7000.0012999999999</v>
      </c>
      <c r="V3106" s="6">
        <v>2989.63</v>
      </c>
      <c r="W3106" s="6">
        <f t="shared" si="481"/>
        <v>22799.786499999995</v>
      </c>
      <c r="X3106" s="6">
        <f t="shared" si="485"/>
        <v>2135.4500000000003</v>
      </c>
      <c r="Y3106" s="13">
        <f t="shared" si="482"/>
        <v>0</v>
      </c>
      <c r="Z3106" s="14">
        <v>0</v>
      </c>
      <c r="AA3106" s="6">
        <v>0</v>
      </c>
      <c r="AB3106" s="4">
        <f t="shared" si="483"/>
        <v>2135.4500000000003</v>
      </c>
      <c r="AC3106" s="4">
        <f t="shared" si="487"/>
        <v>854.17999999999984</v>
      </c>
      <c r="AD3106" s="6">
        <v>2182.21</v>
      </c>
      <c r="AE3106" s="2">
        <f>VLOOKUP(I3106,[1]媒体政策预估表!A:N,MATCH(O3106,[1]媒体政策预估表!$A$2:$M$2,0),0)</f>
        <v>0.06</v>
      </c>
      <c r="AF3106" s="6">
        <f t="shared" si="488"/>
        <v>130.93260000000001</v>
      </c>
      <c r="AG3106" s="14">
        <v>0.37</v>
      </c>
      <c r="AH3106" s="6">
        <f t="shared" si="486"/>
        <v>2182.2116788321168</v>
      </c>
      <c r="AI3106" s="47"/>
      <c r="AJ3106" s="126" t="e">
        <v>#N/A</v>
      </c>
      <c r="AK3106" s="80">
        <f t="shared" si="484"/>
        <v>0</v>
      </c>
      <c r="AM3106" s="85"/>
    </row>
    <row r="3107" spans="1:39" hidden="1" x14ac:dyDescent="0.3">
      <c r="A3107" s="89" t="s">
        <v>3408</v>
      </c>
      <c r="B3107" s="86" t="s">
        <v>35</v>
      </c>
      <c r="C3107" s="86" t="s">
        <v>187</v>
      </c>
      <c r="D3107" s="86" t="s">
        <v>188</v>
      </c>
      <c r="E3107" s="86" t="s">
        <v>2454</v>
      </c>
      <c r="F3107" s="86" t="s">
        <v>2454</v>
      </c>
      <c r="G3107" s="86" t="s">
        <v>2454</v>
      </c>
      <c r="H3107" s="144">
        <v>237</v>
      </c>
      <c r="I3107" s="86" t="s">
        <v>2374</v>
      </c>
      <c r="J3107" s="1" t="s">
        <v>3322</v>
      </c>
      <c r="K3107" s="1" t="s">
        <v>3269</v>
      </c>
      <c r="L3107" s="1" t="s">
        <v>35</v>
      </c>
      <c r="M3107" s="86" t="s">
        <v>2438</v>
      </c>
      <c r="N3107" s="86"/>
      <c r="O3107" s="47" t="s">
        <v>45</v>
      </c>
      <c r="P3107" s="47" t="s">
        <v>46</v>
      </c>
      <c r="Q3107" s="14">
        <v>0.08</v>
      </c>
      <c r="R3107" s="143"/>
      <c r="S3107" s="47"/>
      <c r="T3107" s="6">
        <v>571536.05650000018</v>
      </c>
      <c r="U3107" s="6">
        <v>1087500.0131000001</v>
      </c>
      <c r="V3107" s="6">
        <v>788233.74999999977</v>
      </c>
      <c r="W3107" s="6">
        <f t="shared" si="481"/>
        <v>870802.31960000051</v>
      </c>
      <c r="X3107" s="6">
        <f t="shared" si="485"/>
        <v>543609.4827586204</v>
      </c>
      <c r="Y3107" s="13">
        <f t="shared" si="482"/>
        <v>0</v>
      </c>
      <c r="Z3107" s="14">
        <v>0</v>
      </c>
      <c r="AA3107" s="6">
        <v>0</v>
      </c>
      <c r="AB3107" s="4">
        <f t="shared" si="483"/>
        <v>543609.4827586204</v>
      </c>
      <c r="AC3107" s="4">
        <f t="shared" si="487"/>
        <v>244624.26724137936</v>
      </c>
      <c r="AD3107" s="6">
        <v>575350.17999999982</v>
      </c>
      <c r="AE3107" s="2">
        <f>VLOOKUP(I3107,[1]媒体政策预估表!A:N,MATCH(O3107,[1]媒体政策预估表!$A$2:$M$2,0),0)</f>
        <v>0.06</v>
      </c>
      <c r="AF3107" s="6">
        <f t="shared" si="488"/>
        <v>34521.010799999989</v>
      </c>
      <c r="AG3107" s="14">
        <v>0.37</v>
      </c>
      <c r="AH3107" s="6">
        <f t="shared" si="486"/>
        <v>575353.1021897808</v>
      </c>
      <c r="AI3107" s="47"/>
      <c r="AJ3107" s="126" t="e">
        <v>#N/A</v>
      </c>
      <c r="AK3107" s="80">
        <f t="shared" si="484"/>
        <v>0</v>
      </c>
      <c r="AM3107" s="85"/>
    </row>
    <row r="3108" spans="1:39" hidden="1" x14ac:dyDescent="0.3">
      <c r="A3108" s="89" t="s">
        <v>3408</v>
      </c>
      <c r="B3108" s="86" t="s">
        <v>35</v>
      </c>
      <c r="C3108" s="86" t="s">
        <v>187</v>
      </c>
      <c r="D3108" s="86" t="s">
        <v>208</v>
      </c>
      <c r="E3108" s="86" t="s">
        <v>210</v>
      </c>
      <c r="F3108" s="86" t="s">
        <v>210</v>
      </c>
      <c r="G3108" s="86" t="s">
        <v>210</v>
      </c>
      <c r="H3108" s="144">
        <v>237</v>
      </c>
      <c r="I3108" s="86" t="s">
        <v>2374</v>
      </c>
      <c r="J3108" s="1" t="s">
        <v>3322</v>
      </c>
      <c r="K3108" s="1" t="s">
        <v>3269</v>
      </c>
      <c r="L3108" s="1" t="s">
        <v>35</v>
      </c>
      <c r="M3108" s="86" t="s">
        <v>2438</v>
      </c>
      <c r="N3108" s="86"/>
      <c r="O3108" s="47" t="s">
        <v>40</v>
      </c>
      <c r="P3108" s="47" t="s">
        <v>46</v>
      </c>
      <c r="Q3108" s="14">
        <v>0.01</v>
      </c>
      <c r="R3108" s="143"/>
      <c r="S3108" s="47"/>
      <c r="T3108" s="6">
        <v>41319.581999999762</v>
      </c>
      <c r="U3108" s="6">
        <v>141000.00599999999</v>
      </c>
      <c r="V3108" s="6">
        <v>135243.9</v>
      </c>
      <c r="W3108" s="6">
        <f t="shared" si="481"/>
        <v>47075.687999999762</v>
      </c>
      <c r="X3108" s="6">
        <f t="shared" si="485"/>
        <v>95917.659574468067</v>
      </c>
      <c r="Y3108" s="13">
        <f t="shared" si="482"/>
        <v>0</v>
      </c>
      <c r="Z3108" s="14">
        <v>0</v>
      </c>
      <c r="AA3108" s="6">
        <v>0</v>
      </c>
      <c r="AB3108" s="4">
        <f t="shared" si="483"/>
        <v>95917.659574468067</v>
      </c>
      <c r="AC3108" s="4">
        <f t="shared" si="487"/>
        <v>39326.240425531927</v>
      </c>
      <c r="AD3108" s="6">
        <v>96603.380000000034</v>
      </c>
      <c r="AE3108" s="2">
        <f>VLOOKUP(I3108,[1]媒体政策预估表!A:N,MATCH(O3108,[1]媒体政策预估表!$A$2:$M$2,0),0)</f>
        <v>7.0000000000000007E-2</v>
      </c>
      <c r="AF3108" s="6">
        <f t="shared" si="488"/>
        <v>6762.2366000000029</v>
      </c>
      <c r="AG3108" s="14">
        <v>0.4</v>
      </c>
      <c r="AH3108" s="6">
        <f t="shared" si="486"/>
        <v>96602.78571428571</v>
      </c>
      <c r="AI3108" s="47"/>
      <c r="AJ3108" s="126" t="e">
        <v>#N/A</v>
      </c>
      <c r="AK3108" s="80">
        <f t="shared" si="484"/>
        <v>0</v>
      </c>
      <c r="AM3108" s="85"/>
    </row>
    <row r="3109" spans="1:39" hidden="1" x14ac:dyDescent="0.3">
      <c r="A3109" s="89" t="s">
        <v>3397</v>
      </c>
      <c r="B3109" s="86" t="s">
        <v>35</v>
      </c>
      <c r="C3109" s="86" t="s">
        <v>187</v>
      </c>
      <c r="D3109" s="86" t="s">
        <v>208</v>
      </c>
      <c r="E3109" s="86" t="s">
        <v>2455</v>
      </c>
      <c r="F3109" s="86" t="s">
        <v>2455</v>
      </c>
      <c r="G3109" s="86" t="s">
        <v>2455</v>
      </c>
      <c r="H3109" s="144">
        <v>237</v>
      </c>
      <c r="I3109" s="86" t="s">
        <v>2374</v>
      </c>
      <c r="J3109" s="1" t="s">
        <v>3322</v>
      </c>
      <c r="K3109" s="1" t="s">
        <v>3269</v>
      </c>
      <c r="L3109" s="1" t="s">
        <v>35</v>
      </c>
      <c r="M3109" s="86" t="s">
        <v>2438</v>
      </c>
      <c r="N3109" s="86"/>
      <c r="O3109" s="47" t="s">
        <v>45</v>
      </c>
      <c r="P3109" s="47" t="s">
        <v>46</v>
      </c>
      <c r="Q3109" s="14">
        <v>7.0000000000000007E-2</v>
      </c>
      <c r="R3109" s="143"/>
      <c r="S3109" s="47"/>
      <c r="T3109" s="6">
        <v>947891.05840000045</v>
      </c>
      <c r="U3109" s="6">
        <v>3744000.0064000008</v>
      </c>
      <c r="V3109" s="6">
        <v>3701573.0500000007</v>
      </c>
      <c r="W3109" s="6">
        <f t="shared" si="481"/>
        <v>990318.01480000094</v>
      </c>
      <c r="X3109" s="6">
        <f t="shared" si="485"/>
        <v>2570536.8402777785</v>
      </c>
      <c r="Y3109" s="13">
        <f t="shared" si="482"/>
        <v>0</v>
      </c>
      <c r="Z3109" s="14">
        <v>0</v>
      </c>
      <c r="AA3109" s="6">
        <v>0</v>
      </c>
      <c r="AB3109" s="4">
        <f t="shared" si="483"/>
        <v>2570536.8402777785</v>
      </c>
      <c r="AC3109" s="4">
        <f t="shared" si="487"/>
        <v>1131036.2097222223</v>
      </c>
      <c r="AD3109" s="6">
        <v>2679094.5699999994</v>
      </c>
      <c r="AE3109" s="2">
        <f>VLOOKUP(I3109,[1]媒体政策预估表!A:N,MATCH(O3109,[1]媒体政策预估表!$A$2:$M$2,0),0)</f>
        <v>0.06</v>
      </c>
      <c r="AF3109" s="6">
        <f t="shared" si="488"/>
        <v>160745.67419999995</v>
      </c>
      <c r="AG3109" s="14">
        <v>0.37</v>
      </c>
      <c r="AH3109" s="6">
        <f t="shared" si="486"/>
        <v>2701878.1386861317</v>
      </c>
      <c r="AI3109" s="47"/>
      <c r="AJ3109" s="126" t="e">
        <v>#N/A</v>
      </c>
      <c r="AK3109" s="80">
        <f t="shared" si="484"/>
        <v>0</v>
      </c>
      <c r="AM3109" s="85"/>
    </row>
    <row r="3110" spans="1:39" hidden="1" x14ac:dyDescent="0.3">
      <c r="A3110" s="89" t="s">
        <v>3408</v>
      </c>
      <c r="B3110" s="86" t="s">
        <v>35</v>
      </c>
      <c r="C3110" s="86" t="s">
        <v>187</v>
      </c>
      <c r="D3110" s="86" t="s">
        <v>208</v>
      </c>
      <c r="E3110" s="86" t="s">
        <v>2455</v>
      </c>
      <c r="F3110" s="86" t="s">
        <v>2455</v>
      </c>
      <c r="G3110" s="86" t="s">
        <v>2455</v>
      </c>
      <c r="H3110" s="144">
        <v>237</v>
      </c>
      <c r="I3110" s="86" t="s">
        <v>2374</v>
      </c>
      <c r="J3110" s="1" t="s">
        <v>3322</v>
      </c>
      <c r="K3110" s="1" t="s">
        <v>3269</v>
      </c>
      <c r="L3110" s="1" t="s">
        <v>35</v>
      </c>
      <c r="M3110" s="86" t="s">
        <v>2438</v>
      </c>
      <c r="N3110" s="86"/>
      <c r="O3110" s="47" t="s">
        <v>40</v>
      </c>
      <c r="P3110" s="47" t="s">
        <v>46</v>
      </c>
      <c r="Q3110" s="14">
        <v>0.06</v>
      </c>
      <c r="R3110" s="143"/>
      <c r="S3110" s="47"/>
      <c r="T3110" s="6">
        <v>605776.58600000036</v>
      </c>
      <c r="U3110" s="6">
        <v>1897999.9919999996</v>
      </c>
      <c r="V3110" s="6">
        <v>2048775.6400000011</v>
      </c>
      <c r="W3110" s="6">
        <f t="shared" ref="W3110:W3173" si="489">T3110+U3110-V3110</f>
        <v>455000.93799999868</v>
      </c>
      <c r="X3110" s="6">
        <f t="shared" si="485"/>
        <v>1403270.9863013707</v>
      </c>
      <c r="Y3110" s="13">
        <f t="shared" si="482"/>
        <v>0</v>
      </c>
      <c r="Z3110" s="14">
        <v>0</v>
      </c>
      <c r="AA3110" s="6">
        <v>0</v>
      </c>
      <c r="AB3110" s="4">
        <f t="shared" si="483"/>
        <v>1403270.9863013707</v>
      </c>
      <c r="AC3110" s="4">
        <f t="shared" si="487"/>
        <v>645504.6536986304</v>
      </c>
      <c r="AD3110" s="6">
        <v>1463398.8300000003</v>
      </c>
      <c r="AE3110" s="2">
        <f>VLOOKUP(I3110,[1]媒体政策预估表!A:N,MATCH(O3110,[1]媒体政策预估表!$A$2:$M$2,0),0)</f>
        <v>7.0000000000000007E-2</v>
      </c>
      <c r="AF3110" s="6">
        <f t="shared" si="488"/>
        <v>102437.91810000002</v>
      </c>
      <c r="AG3110" s="14">
        <v>0.4</v>
      </c>
      <c r="AH3110" s="6">
        <f t="shared" si="486"/>
        <v>1463411.1714285724</v>
      </c>
      <c r="AI3110" s="47"/>
      <c r="AJ3110" s="126" t="e">
        <v>#N/A</v>
      </c>
      <c r="AK3110" s="80">
        <f t="shared" si="484"/>
        <v>0</v>
      </c>
      <c r="AM3110" s="85"/>
    </row>
    <row r="3111" spans="1:39" hidden="1" x14ac:dyDescent="0.3">
      <c r="A3111" s="89" t="s">
        <v>3397</v>
      </c>
      <c r="B3111" s="86" t="s">
        <v>35</v>
      </c>
      <c r="C3111" s="86" t="s">
        <v>187</v>
      </c>
      <c r="D3111" s="86" t="s">
        <v>208</v>
      </c>
      <c r="E3111" s="86" t="s">
        <v>2456</v>
      </c>
      <c r="F3111" s="86" t="s">
        <v>2456</v>
      </c>
      <c r="G3111" s="86" t="s">
        <v>2456</v>
      </c>
      <c r="H3111" s="144">
        <v>237</v>
      </c>
      <c r="I3111" s="86" t="s">
        <v>2374</v>
      </c>
      <c r="J3111" s="1" t="s">
        <v>3322</v>
      </c>
      <c r="K3111" s="1" t="s">
        <v>3269</v>
      </c>
      <c r="L3111" s="1" t="s">
        <v>35</v>
      </c>
      <c r="M3111" s="86" t="s">
        <v>2438</v>
      </c>
      <c r="N3111" s="86"/>
      <c r="O3111" s="47" t="s">
        <v>45</v>
      </c>
      <c r="P3111" s="47" t="s">
        <v>46</v>
      </c>
      <c r="Q3111" s="14">
        <v>0.06</v>
      </c>
      <c r="R3111" s="143"/>
      <c r="S3111" s="47"/>
      <c r="T3111" s="6">
        <v>28996.004600000007</v>
      </c>
      <c r="U3111" s="6">
        <v>67500.009600000005</v>
      </c>
      <c r="V3111" s="6">
        <v>44768.630000000005</v>
      </c>
      <c r="W3111" s="6">
        <f t="shared" si="489"/>
        <v>51727.3842</v>
      </c>
      <c r="X3111" s="6">
        <f t="shared" si="485"/>
        <v>31306.734265734267</v>
      </c>
      <c r="Y3111" s="13">
        <f t="shared" si="482"/>
        <v>0</v>
      </c>
      <c r="Z3111" s="14">
        <v>0</v>
      </c>
      <c r="AA3111" s="6">
        <v>0</v>
      </c>
      <c r="AB3111" s="4">
        <f t="shared" si="483"/>
        <v>31306.734265734267</v>
      </c>
      <c r="AC3111" s="4">
        <f t="shared" si="487"/>
        <v>13461.895734265738</v>
      </c>
      <c r="AD3111" s="6">
        <v>32677.789999999997</v>
      </c>
      <c r="AE3111" s="2">
        <f>VLOOKUP(I3111,[1]媒体政策预估表!A:N,MATCH(O3111,[1]媒体政策预估表!$A$2:$M$2,0),0)</f>
        <v>0.06</v>
      </c>
      <c r="AF3111" s="6">
        <f t="shared" si="488"/>
        <v>1960.6673999999998</v>
      </c>
      <c r="AG3111" s="14">
        <v>0.37</v>
      </c>
      <c r="AH3111" s="6">
        <f t="shared" si="486"/>
        <v>32677.832116788322</v>
      </c>
      <c r="AI3111" s="47"/>
      <c r="AJ3111" s="126" t="e">
        <v>#N/A</v>
      </c>
      <c r="AK3111" s="80">
        <f t="shared" si="484"/>
        <v>0</v>
      </c>
      <c r="AM3111" s="85"/>
    </row>
    <row r="3112" spans="1:39" hidden="1" x14ac:dyDescent="0.3">
      <c r="A3112" s="89" t="s">
        <v>3397</v>
      </c>
      <c r="B3112" s="86" t="s">
        <v>35</v>
      </c>
      <c r="C3112" s="86" t="s">
        <v>187</v>
      </c>
      <c r="D3112" s="86" t="s">
        <v>208</v>
      </c>
      <c r="E3112" s="86" t="s">
        <v>2457</v>
      </c>
      <c r="F3112" s="86" t="s">
        <v>2457</v>
      </c>
      <c r="G3112" s="86" t="s">
        <v>2457</v>
      </c>
      <c r="H3112" s="144">
        <v>237</v>
      </c>
      <c r="I3112" s="86" t="s">
        <v>2374</v>
      </c>
      <c r="J3112" s="1" t="s">
        <v>3322</v>
      </c>
      <c r="K3112" s="1" t="s">
        <v>3269</v>
      </c>
      <c r="L3112" s="1" t="s">
        <v>35</v>
      </c>
      <c r="M3112" s="86" t="s">
        <v>2438</v>
      </c>
      <c r="N3112" s="86"/>
      <c r="O3112" s="47" t="s">
        <v>45</v>
      </c>
      <c r="P3112" s="47" t="s">
        <v>46</v>
      </c>
      <c r="Q3112" s="14">
        <v>0.03</v>
      </c>
      <c r="R3112" s="143"/>
      <c r="S3112" s="47"/>
      <c r="T3112" s="6">
        <v>54216.126100000052</v>
      </c>
      <c r="U3112" s="6">
        <v>699999.99300000013</v>
      </c>
      <c r="V3112" s="6">
        <v>624603.11</v>
      </c>
      <c r="W3112" s="6">
        <f t="shared" si="489"/>
        <v>129613.00910000026</v>
      </c>
      <c r="X3112" s="6">
        <f t="shared" si="485"/>
        <v>446145.0785714286</v>
      </c>
      <c r="Y3112" s="13">
        <f t="shared" si="482"/>
        <v>0</v>
      </c>
      <c r="Z3112" s="14">
        <v>0</v>
      </c>
      <c r="AA3112" s="6">
        <v>0</v>
      </c>
      <c r="AB3112" s="4">
        <f t="shared" si="483"/>
        <v>446145.0785714286</v>
      </c>
      <c r="AC3112" s="4">
        <f t="shared" si="487"/>
        <v>178458.03142857138</v>
      </c>
      <c r="AD3112" s="6">
        <v>455915.25</v>
      </c>
      <c r="AE3112" s="2">
        <f>VLOOKUP(I3112,[1]媒体政策预估表!A:N,MATCH(O3112,[1]媒体政策预估表!$A$2:$M$2,0),0)</f>
        <v>0.06</v>
      </c>
      <c r="AF3112" s="6">
        <f t="shared" si="488"/>
        <v>27354.914999999997</v>
      </c>
      <c r="AG3112" s="14">
        <v>0.37</v>
      </c>
      <c r="AH3112" s="6">
        <f t="shared" si="486"/>
        <v>455914.67883211677</v>
      </c>
      <c r="AI3112" s="47"/>
      <c r="AJ3112" s="126" t="e">
        <v>#N/A</v>
      </c>
      <c r="AK3112" s="80">
        <f t="shared" si="484"/>
        <v>0</v>
      </c>
      <c r="AM3112" s="85"/>
    </row>
    <row r="3113" spans="1:39" hidden="1" x14ac:dyDescent="0.3">
      <c r="A3113" s="89" t="s">
        <v>3397</v>
      </c>
      <c r="B3113" s="86" t="s">
        <v>35</v>
      </c>
      <c r="C3113" s="86" t="s">
        <v>187</v>
      </c>
      <c r="D3113" s="86" t="s">
        <v>208</v>
      </c>
      <c r="E3113" s="86" t="s">
        <v>211</v>
      </c>
      <c r="F3113" s="86" t="s">
        <v>211</v>
      </c>
      <c r="G3113" s="86" t="s">
        <v>211</v>
      </c>
      <c r="H3113" s="144">
        <v>237</v>
      </c>
      <c r="I3113" s="86" t="s">
        <v>2374</v>
      </c>
      <c r="J3113" s="1" t="s">
        <v>3322</v>
      </c>
      <c r="K3113" s="1" t="s">
        <v>3269</v>
      </c>
      <c r="L3113" s="1" t="s">
        <v>35</v>
      </c>
      <c r="M3113" s="86" t="s">
        <v>2438</v>
      </c>
      <c r="N3113" s="86"/>
      <c r="O3113" s="47" t="s">
        <v>40</v>
      </c>
      <c r="P3113" s="47" t="s">
        <v>46</v>
      </c>
      <c r="Q3113" s="14">
        <v>0.01</v>
      </c>
      <c r="R3113" s="143"/>
      <c r="S3113" s="47"/>
      <c r="T3113" s="6">
        <v>8.0000000079962774E-3</v>
      </c>
      <c r="U3113" s="6">
        <v>1483.1879999999974</v>
      </c>
      <c r="V3113" s="6">
        <v>1483.18</v>
      </c>
      <c r="W3113" s="6">
        <f t="shared" si="489"/>
        <v>1.6000000005305992E-2</v>
      </c>
      <c r="X3113" s="6">
        <f t="shared" si="485"/>
        <v>1051.9007092198581</v>
      </c>
      <c r="Y3113" s="13">
        <f t="shared" si="482"/>
        <v>0</v>
      </c>
      <c r="Z3113" s="14">
        <v>0</v>
      </c>
      <c r="AA3113" s="6">
        <v>0</v>
      </c>
      <c r="AB3113" s="4">
        <f t="shared" si="483"/>
        <v>1051.9007092198581</v>
      </c>
      <c r="AC3113" s="4">
        <f t="shared" si="487"/>
        <v>431.27929078014199</v>
      </c>
      <c r="AD3113" s="6">
        <v>1058.8699999999999</v>
      </c>
      <c r="AE3113" s="2">
        <f>VLOOKUP(I3113,[1]媒体政策预估表!A:N,MATCH(O3113,[1]媒体政策预估表!$A$2:$M$2,0),0)</f>
        <v>7.0000000000000007E-2</v>
      </c>
      <c r="AF3113" s="6">
        <f t="shared" si="488"/>
        <v>74.120900000000006</v>
      </c>
      <c r="AG3113" s="14">
        <v>0.4</v>
      </c>
      <c r="AH3113" s="6">
        <f t="shared" si="486"/>
        <v>1059.4142857142858</v>
      </c>
      <c r="AI3113" s="47"/>
      <c r="AJ3113" s="126" t="e">
        <v>#N/A</v>
      </c>
      <c r="AK3113" s="80">
        <f t="shared" si="484"/>
        <v>0</v>
      </c>
      <c r="AM3113" s="85"/>
    </row>
    <row r="3114" spans="1:39" hidden="1" x14ac:dyDescent="0.3">
      <c r="A3114" s="89" t="s">
        <v>3408</v>
      </c>
      <c r="B3114" s="86" t="s">
        <v>35</v>
      </c>
      <c r="C3114" s="86" t="s">
        <v>187</v>
      </c>
      <c r="D3114" s="86" t="s">
        <v>208</v>
      </c>
      <c r="E3114" s="86" t="s">
        <v>2458</v>
      </c>
      <c r="F3114" s="86" t="s">
        <v>2459</v>
      </c>
      <c r="G3114" s="86" t="s">
        <v>2458</v>
      </c>
      <c r="H3114" s="144">
        <v>237</v>
      </c>
      <c r="I3114" s="86" t="s">
        <v>2374</v>
      </c>
      <c r="J3114" s="1" t="s">
        <v>3322</v>
      </c>
      <c r="K3114" s="1" t="s">
        <v>3269</v>
      </c>
      <c r="L3114" s="1" t="s">
        <v>35</v>
      </c>
      <c r="M3114" s="86" t="s">
        <v>2460</v>
      </c>
      <c r="N3114" s="86"/>
      <c r="O3114" s="47" t="s">
        <v>40</v>
      </c>
      <c r="P3114" s="47" t="s">
        <v>46</v>
      </c>
      <c r="Q3114" s="14">
        <v>0.05</v>
      </c>
      <c r="R3114" s="143"/>
      <c r="S3114" s="47"/>
      <c r="T3114" s="6">
        <v>18877.320399999764</v>
      </c>
      <c r="U3114" s="6">
        <v>386999.99480000004</v>
      </c>
      <c r="V3114" s="6">
        <v>247061.59999999998</v>
      </c>
      <c r="W3114" s="6">
        <f t="shared" si="489"/>
        <v>158815.71519999986</v>
      </c>
      <c r="X3114" s="6">
        <f t="shared" si="485"/>
        <v>191520.62015503875</v>
      </c>
      <c r="Y3114" s="13">
        <f t="shared" si="482"/>
        <v>0</v>
      </c>
      <c r="Z3114" s="14">
        <v>0</v>
      </c>
      <c r="AA3114" s="6">
        <v>0</v>
      </c>
      <c r="AB3114" s="4">
        <f t="shared" si="483"/>
        <v>191520.62015503875</v>
      </c>
      <c r="AC3114" s="4">
        <f t="shared" si="487"/>
        <v>55540.979844961228</v>
      </c>
      <c r="AD3114" s="6">
        <v>199239.59000000003</v>
      </c>
      <c r="AE3114" s="2">
        <f>VLOOKUP(I3114,[1]媒体政策预估表!A:N,MATCH(O3114,[1]媒体政策预估表!$A$2:$M$2,0),0)</f>
        <v>7.0000000000000007E-2</v>
      </c>
      <c r="AF3114" s="6">
        <f t="shared" si="488"/>
        <v>13946.771300000004</v>
      </c>
      <c r="AG3114" s="14">
        <v>0.24</v>
      </c>
      <c r="AH3114" s="6">
        <f t="shared" si="486"/>
        <v>199243.22580645161</v>
      </c>
      <c r="AI3114" s="47"/>
      <c r="AJ3114" s="126" t="e">
        <v>#N/A</v>
      </c>
      <c r="AK3114" s="80">
        <f t="shared" si="484"/>
        <v>0</v>
      </c>
      <c r="AM3114" s="85"/>
    </row>
    <row r="3115" spans="1:39" hidden="1" x14ac:dyDescent="0.3">
      <c r="A3115" s="89" t="s">
        <v>3397</v>
      </c>
      <c r="B3115" s="86" t="s">
        <v>35</v>
      </c>
      <c r="C3115" s="86" t="s">
        <v>187</v>
      </c>
      <c r="D3115" s="86" t="s">
        <v>208</v>
      </c>
      <c r="E3115" s="86" t="s">
        <v>2461</v>
      </c>
      <c r="F3115" s="86" t="s">
        <v>2461</v>
      </c>
      <c r="G3115" s="86" t="s">
        <v>2461</v>
      </c>
      <c r="H3115" s="144">
        <v>237</v>
      </c>
      <c r="I3115" s="86" t="s">
        <v>2374</v>
      </c>
      <c r="J3115" s="1" t="s">
        <v>3322</v>
      </c>
      <c r="K3115" s="1" t="s">
        <v>3269</v>
      </c>
      <c r="L3115" s="1" t="s">
        <v>35</v>
      </c>
      <c r="M3115" s="86" t="s">
        <v>2438</v>
      </c>
      <c r="N3115" s="86"/>
      <c r="O3115" s="47" t="s">
        <v>45</v>
      </c>
      <c r="P3115" s="47" t="s">
        <v>46</v>
      </c>
      <c r="Q3115" s="14">
        <v>0.01</v>
      </c>
      <c r="R3115" s="143"/>
      <c r="S3115" s="47"/>
      <c r="T3115" s="6">
        <v>28689.046459849051</v>
      </c>
      <c r="U3115" s="6">
        <v>372600.00970000005</v>
      </c>
      <c r="V3115" s="6">
        <v>355921.96000000008</v>
      </c>
      <c r="W3115" s="6">
        <f t="shared" si="489"/>
        <v>45367.096159849025</v>
      </c>
      <c r="X3115" s="6">
        <f t="shared" si="485"/>
        <v>257914.46376811602</v>
      </c>
      <c r="Y3115" s="13">
        <f t="shared" si="482"/>
        <v>0</v>
      </c>
      <c r="Z3115" s="14">
        <v>0</v>
      </c>
      <c r="AA3115" s="6">
        <v>0</v>
      </c>
      <c r="AB3115" s="4">
        <f t="shared" si="483"/>
        <v>257914.46376811602</v>
      </c>
      <c r="AC3115" s="4">
        <f t="shared" si="487"/>
        <v>98007.496231884055</v>
      </c>
      <c r="AD3115" s="6">
        <v>259796.73999999993</v>
      </c>
      <c r="AE3115" s="2">
        <f>VLOOKUP(I3115,[1]媒体政策预估表!A:N,MATCH(O3115,[1]媒体政策预估表!$A$2:$M$2,0),0)</f>
        <v>0.06</v>
      </c>
      <c r="AF3115" s="6">
        <f t="shared" si="488"/>
        <v>15587.804399999995</v>
      </c>
      <c r="AG3115" s="14">
        <v>0.37</v>
      </c>
      <c r="AH3115" s="6">
        <f t="shared" si="486"/>
        <v>259797.05109489054</v>
      </c>
      <c r="AI3115" s="47"/>
      <c r="AJ3115" s="126" t="e">
        <v>#N/A</v>
      </c>
      <c r="AK3115" s="80">
        <f t="shared" si="484"/>
        <v>0</v>
      </c>
      <c r="AM3115" s="85"/>
    </row>
    <row r="3116" spans="1:39" hidden="1" x14ac:dyDescent="0.3">
      <c r="A3116" s="89" t="s">
        <v>3397</v>
      </c>
      <c r="B3116" s="86" t="s">
        <v>35</v>
      </c>
      <c r="C3116" s="86" t="s">
        <v>187</v>
      </c>
      <c r="D3116" s="86" t="s">
        <v>208</v>
      </c>
      <c r="E3116" s="86" t="s">
        <v>2462</v>
      </c>
      <c r="F3116" s="86" t="s">
        <v>2462</v>
      </c>
      <c r="G3116" s="86" t="s">
        <v>2462</v>
      </c>
      <c r="H3116" s="144">
        <v>237</v>
      </c>
      <c r="I3116" s="86" t="s">
        <v>2374</v>
      </c>
      <c r="J3116" s="1" t="s">
        <v>3322</v>
      </c>
      <c r="K3116" s="1" t="s">
        <v>3269</v>
      </c>
      <c r="L3116" s="1" t="s">
        <v>35</v>
      </c>
      <c r="M3116" s="86" t="s">
        <v>2462</v>
      </c>
      <c r="N3116" s="86"/>
      <c r="O3116" s="47" t="s">
        <v>40</v>
      </c>
      <c r="P3116" s="47" t="s">
        <v>46</v>
      </c>
      <c r="Q3116" s="14">
        <v>0.06</v>
      </c>
      <c r="R3116" s="143"/>
      <c r="S3116" s="47"/>
      <c r="T3116" s="6">
        <v>351776.04840000009</v>
      </c>
      <c r="U3116" s="6">
        <v>454999.99519999995</v>
      </c>
      <c r="V3116" s="6">
        <v>141566.50999999998</v>
      </c>
      <c r="W3116" s="6">
        <f t="shared" si="489"/>
        <v>665209.53359999997</v>
      </c>
      <c r="X3116" s="6">
        <f t="shared" si="485"/>
        <v>108897.31538461537</v>
      </c>
      <c r="Y3116" s="13">
        <f t="shared" si="482"/>
        <v>0</v>
      </c>
      <c r="Z3116" s="14">
        <v>0</v>
      </c>
      <c r="AA3116" s="6">
        <v>0</v>
      </c>
      <c r="AB3116" s="4">
        <f t="shared" si="483"/>
        <v>108897.31538461537</v>
      </c>
      <c r="AC3116" s="4">
        <f t="shared" si="487"/>
        <v>32669.194615384607</v>
      </c>
      <c r="AD3116" s="6">
        <v>110139.20000000003</v>
      </c>
      <c r="AE3116" s="2">
        <f>VLOOKUP(I3116,[1]媒体政策预估表!A:N,MATCH(O3116,[1]媒体政策预估表!$A$2:$M$2,0),0)</f>
        <v>7.0000000000000007E-2</v>
      </c>
      <c r="AF3116" s="6">
        <f t="shared" si="488"/>
        <v>7709.7440000000024</v>
      </c>
      <c r="AG3116" s="14">
        <v>0.24</v>
      </c>
      <c r="AH3116" s="6">
        <f t="shared" si="486"/>
        <v>114166.54032258064</v>
      </c>
      <c r="AI3116" s="47"/>
      <c r="AJ3116" s="126" t="e">
        <v>#N/A</v>
      </c>
      <c r="AK3116" s="80">
        <f t="shared" si="484"/>
        <v>0</v>
      </c>
      <c r="AM3116" s="85"/>
    </row>
    <row r="3117" spans="1:39" hidden="1" x14ac:dyDescent="0.3">
      <c r="A3117" s="89" t="s">
        <v>3397</v>
      </c>
      <c r="B3117" s="86" t="s">
        <v>35</v>
      </c>
      <c r="C3117" s="86" t="s">
        <v>187</v>
      </c>
      <c r="D3117" s="86" t="s">
        <v>208</v>
      </c>
      <c r="E3117" s="86" t="s">
        <v>2463</v>
      </c>
      <c r="F3117" s="86" t="s">
        <v>2463</v>
      </c>
      <c r="G3117" s="86" t="s">
        <v>2463</v>
      </c>
      <c r="H3117" s="144">
        <v>237</v>
      </c>
      <c r="I3117" s="86" t="s">
        <v>2374</v>
      </c>
      <c r="J3117" s="1" t="s">
        <v>3322</v>
      </c>
      <c r="K3117" s="1" t="s">
        <v>3269</v>
      </c>
      <c r="L3117" s="1" t="s">
        <v>35</v>
      </c>
      <c r="M3117" s="86" t="s">
        <v>2438</v>
      </c>
      <c r="N3117" s="86"/>
      <c r="O3117" s="47" t="s">
        <v>45</v>
      </c>
      <c r="P3117" s="47" t="s">
        <v>41</v>
      </c>
      <c r="Q3117" s="14">
        <v>0</v>
      </c>
      <c r="R3117" s="143"/>
      <c r="S3117" s="47"/>
      <c r="T3117" s="6">
        <v>17004.451599999986</v>
      </c>
      <c r="U3117" s="6">
        <v>68500</v>
      </c>
      <c r="V3117" s="6">
        <v>60763.350000000006</v>
      </c>
      <c r="W3117" s="6">
        <f t="shared" si="489"/>
        <v>24741.10159999998</v>
      </c>
      <c r="X3117" s="6">
        <f t="shared" si="485"/>
        <v>44352.810218978106</v>
      </c>
      <c r="Y3117" s="13">
        <f t="shared" si="482"/>
        <v>0.39021897810744122</v>
      </c>
      <c r="Z3117" s="14">
        <v>0</v>
      </c>
      <c r="AA3117" s="6">
        <v>0</v>
      </c>
      <c r="AB3117" s="4">
        <f t="shared" si="483"/>
        <v>44352.810218978106</v>
      </c>
      <c r="AC3117" s="4">
        <f t="shared" si="487"/>
        <v>16410.5397810219</v>
      </c>
      <c r="AD3117" s="6">
        <v>44352.42</v>
      </c>
      <c r="AE3117" s="2">
        <f>VLOOKUP(I3117,[1]媒体政策预估表!A:N,MATCH(O3117,[1]媒体政策预估表!$A$2:$M$2,0),0)</f>
        <v>0.06</v>
      </c>
      <c r="AF3117" s="6">
        <f t="shared" si="488"/>
        <v>2661.1451999999999</v>
      </c>
      <c r="AG3117" s="14">
        <v>0.37</v>
      </c>
      <c r="AH3117" s="6">
        <f t="shared" si="486"/>
        <v>44352.810218978106</v>
      </c>
      <c r="AI3117" s="47"/>
      <c r="AJ3117" s="126" t="e">
        <v>#N/A</v>
      </c>
      <c r="AK3117" s="80">
        <f t="shared" si="484"/>
        <v>0</v>
      </c>
      <c r="AM3117" s="85"/>
    </row>
    <row r="3118" spans="1:39" hidden="1" x14ac:dyDescent="0.3">
      <c r="A3118" s="89" t="s">
        <v>3397</v>
      </c>
      <c r="B3118" s="86" t="s">
        <v>35</v>
      </c>
      <c r="C3118" s="86" t="s">
        <v>187</v>
      </c>
      <c r="D3118" s="86" t="s">
        <v>208</v>
      </c>
      <c r="E3118" s="86" t="s">
        <v>2463</v>
      </c>
      <c r="F3118" s="86" t="s">
        <v>2463</v>
      </c>
      <c r="G3118" s="86" t="s">
        <v>2463</v>
      </c>
      <c r="H3118" s="144">
        <v>237</v>
      </c>
      <c r="I3118" s="86" t="s">
        <v>2374</v>
      </c>
      <c r="J3118" s="1" t="s">
        <v>3322</v>
      </c>
      <c r="K3118" s="1" t="s">
        <v>3269</v>
      </c>
      <c r="L3118" s="1" t="s">
        <v>35</v>
      </c>
      <c r="M3118" s="86" t="s">
        <v>2438</v>
      </c>
      <c r="N3118" s="86"/>
      <c r="O3118" s="47" t="s">
        <v>40</v>
      </c>
      <c r="P3118" s="47" t="s">
        <v>46</v>
      </c>
      <c r="Q3118" s="14">
        <v>0.05</v>
      </c>
      <c r="R3118" s="143"/>
      <c r="S3118" s="47"/>
      <c r="T3118" s="6">
        <v>0</v>
      </c>
      <c r="U3118" s="6">
        <v>612398.91999999993</v>
      </c>
      <c r="V3118" s="6">
        <v>520899.91526549618</v>
      </c>
      <c r="W3118" s="6">
        <f t="shared" si="489"/>
        <v>91499.004734503746</v>
      </c>
      <c r="X3118" s="6">
        <f t="shared" si="485"/>
        <v>359241.32087275595</v>
      </c>
      <c r="Y3118" s="13">
        <f t="shared" si="482"/>
        <v>0</v>
      </c>
      <c r="Z3118" s="14">
        <v>0</v>
      </c>
      <c r="AA3118" s="6">
        <v>0</v>
      </c>
      <c r="AB3118" s="4">
        <f t="shared" si="483"/>
        <v>359241.32087275595</v>
      </c>
      <c r="AC3118" s="4">
        <f t="shared" si="487"/>
        <v>161658.59439274023</v>
      </c>
      <c r="AD3118" s="6">
        <v>372074.28</v>
      </c>
      <c r="AE3118" s="2">
        <f>VLOOKUP(I3118,[1]媒体政策预估表!A:N,MATCH(O3118,[1]媒体政策预估表!$A$2:$M$2,0),0)</f>
        <v>7.0000000000000007E-2</v>
      </c>
      <c r="AF3118" s="6">
        <f t="shared" si="488"/>
        <v>26045.199600000004</v>
      </c>
      <c r="AG3118" s="14">
        <v>0.4</v>
      </c>
      <c r="AH3118" s="6">
        <f t="shared" si="486"/>
        <v>372071.36804678303</v>
      </c>
      <c r="AI3118" s="47"/>
      <c r="AJ3118" s="126" t="e">
        <v>#N/A</v>
      </c>
      <c r="AK3118" s="80">
        <f t="shared" si="484"/>
        <v>0</v>
      </c>
      <c r="AM3118" s="85"/>
    </row>
    <row r="3119" spans="1:39" hidden="1" x14ac:dyDescent="0.3">
      <c r="A3119" s="89" t="s">
        <v>3397</v>
      </c>
      <c r="B3119" s="86" t="s">
        <v>35</v>
      </c>
      <c r="C3119" s="86" t="s">
        <v>187</v>
      </c>
      <c r="D3119" s="86" t="s">
        <v>208</v>
      </c>
      <c r="E3119" s="86" t="s">
        <v>3422</v>
      </c>
      <c r="F3119" s="86" t="s">
        <v>3422</v>
      </c>
      <c r="G3119" s="86" t="s">
        <v>3422</v>
      </c>
      <c r="H3119" s="144">
        <v>237</v>
      </c>
      <c r="I3119" s="86" t="s">
        <v>2374</v>
      </c>
      <c r="J3119" s="1" t="s">
        <v>3322</v>
      </c>
      <c r="K3119" s="1" t="s">
        <v>3269</v>
      </c>
      <c r="L3119" s="1" t="s">
        <v>35</v>
      </c>
      <c r="M3119" s="86" t="s">
        <v>2438</v>
      </c>
      <c r="N3119" s="86"/>
      <c r="O3119" s="47" t="s">
        <v>40</v>
      </c>
      <c r="P3119" s="47" t="s">
        <v>41</v>
      </c>
      <c r="Q3119" s="14">
        <v>0</v>
      </c>
      <c r="R3119" s="143"/>
      <c r="S3119" s="47"/>
      <c r="T3119" s="6">
        <v>0</v>
      </c>
      <c r="U3119" s="6">
        <v>112000</v>
      </c>
      <c r="V3119" s="6">
        <v>88249.930000000008</v>
      </c>
      <c r="W3119" s="6">
        <f t="shared" si="489"/>
        <v>23750.069999999992</v>
      </c>
      <c r="X3119" s="6">
        <f t="shared" si="485"/>
        <v>63035.664285714294</v>
      </c>
      <c r="Y3119" s="13">
        <f t="shared" si="482"/>
        <v>0.2842857142968569</v>
      </c>
      <c r="Z3119" s="14">
        <v>0</v>
      </c>
      <c r="AA3119" s="6">
        <v>0</v>
      </c>
      <c r="AB3119" s="4">
        <f t="shared" si="483"/>
        <v>63035.664285714294</v>
      </c>
      <c r="AC3119" s="4">
        <f t="shared" si="487"/>
        <v>25214.265714285713</v>
      </c>
      <c r="AD3119" s="6">
        <v>63035.38</v>
      </c>
      <c r="AE3119" s="2">
        <f>VLOOKUP(I3119,[1]媒体政策预估表!A:N,MATCH(O3119,[1]媒体政策预估表!$A$2:$M$2,0),0)</f>
        <v>7.0000000000000007E-2</v>
      </c>
      <c r="AF3119" s="6">
        <f t="shared" si="488"/>
        <v>4412.4766</v>
      </c>
      <c r="AG3119" s="14">
        <v>0.4</v>
      </c>
      <c r="AH3119" s="6">
        <f t="shared" si="486"/>
        <v>63035.664285714294</v>
      </c>
      <c r="AI3119" s="47"/>
      <c r="AJ3119" s="126" t="e">
        <v>#N/A</v>
      </c>
      <c r="AK3119" s="80">
        <f t="shared" si="484"/>
        <v>0</v>
      </c>
      <c r="AM3119" s="85"/>
    </row>
    <row r="3120" spans="1:39" hidden="1" x14ac:dyDescent="0.3">
      <c r="A3120" s="89" t="s">
        <v>3397</v>
      </c>
      <c r="B3120" s="86" t="s">
        <v>35</v>
      </c>
      <c r="C3120" s="86" t="s">
        <v>187</v>
      </c>
      <c r="D3120" s="86" t="s">
        <v>208</v>
      </c>
      <c r="E3120" s="86" t="s">
        <v>2465</v>
      </c>
      <c r="F3120" s="86" t="s">
        <v>2466</v>
      </c>
      <c r="G3120" s="86" t="s">
        <v>2465</v>
      </c>
      <c r="H3120" s="144">
        <v>237</v>
      </c>
      <c r="I3120" s="86" t="s">
        <v>2374</v>
      </c>
      <c r="J3120" s="1" t="s">
        <v>3322</v>
      </c>
      <c r="K3120" s="1" t="s">
        <v>3269</v>
      </c>
      <c r="L3120" s="1" t="s">
        <v>35</v>
      </c>
      <c r="M3120" s="86" t="s">
        <v>2465</v>
      </c>
      <c r="N3120" s="86"/>
      <c r="O3120" s="47" t="s">
        <v>45</v>
      </c>
      <c r="P3120" s="47" t="s">
        <v>46</v>
      </c>
      <c r="Q3120" s="14">
        <v>6.4799999999999996E-2</v>
      </c>
      <c r="R3120" s="143"/>
      <c r="S3120" s="47"/>
      <c r="T3120" s="6">
        <v>8030.772800000268</v>
      </c>
      <c r="U3120" s="6">
        <v>572400</v>
      </c>
      <c r="V3120" s="6">
        <v>544392.11999999976</v>
      </c>
      <c r="W3120" s="6">
        <f t="shared" si="489"/>
        <v>36038.652800000506</v>
      </c>
      <c r="X3120" s="6">
        <f t="shared" si="485"/>
        <v>475534.69601677125</v>
      </c>
      <c r="Y3120" s="13">
        <f t="shared" si="482"/>
        <v>0</v>
      </c>
      <c r="Z3120" s="14">
        <v>0</v>
      </c>
      <c r="AA3120" s="6">
        <v>0</v>
      </c>
      <c r="AB3120" s="4">
        <f t="shared" si="483"/>
        <v>475534.69601677125</v>
      </c>
      <c r="AC3120" s="4">
        <f t="shared" si="487"/>
        <v>68857.423983228509</v>
      </c>
      <c r="AD3120" s="6">
        <v>503934.48999999982</v>
      </c>
      <c r="AE3120" s="2">
        <f>VLOOKUP(I3120,[1]媒体政策预估表!A:N,MATCH(O3120,[1]媒体政策预估表!$A$2:$M$2,0),0)</f>
        <v>0.06</v>
      </c>
      <c r="AF3120" s="6">
        <f t="shared" si="488"/>
        <v>30236.069399999989</v>
      </c>
      <c r="AG3120" s="14">
        <v>0.08</v>
      </c>
      <c r="AH3120" s="6">
        <f t="shared" si="486"/>
        <v>504066.77777777752</v>
      </c>
      <c r="AI3120" s="47"/>
      <c r="AJ3120" s="126" t="e">
        <v>#N/A</v>
      </c>
      <c r="AK3120" s="80">
        <f t="shared" si="484"/>
        <v>0</v>
      </c>
      <c r="AM3120" s="85"/>
    </row>
    <row r="3121" spans="1:39" hidden="1" x14ac:dyDescent="0.3">
      <c r="A3121" s="89" t="s">
        <v>3408</v>
      </c>
      <c r="B3121" s="86" t="s">
        <v>35</v>
      </c>
      <c r="C3121" s="86" t="s">
        <v>187</v>
      </c>
      <c r="D3121" s="86" t="s">
        <v>208</v>
      </c>
      <c r="E3121" s="86" t="s">
        <v>3698</v>
      </c>
      <c r="F3121" s="86" t="s">
        <v>3698</v>
      </c>
      <c r="G3121" s="86" t="s">
        <v>3698</v>
      </c>
      <c r="H3121" s="144">
        <v>237</v>
      </c>
      <c r="I3121" s="86" t="s">
        <v>2374</v>
      </c>
      <c r="J3121" s="1" t="s">
        <v>3322</v>
      </c>
      <c r="K3121" s="1" t="s">
        <v>3269</v>
      </c>
      <c r="L3121" s="1" t="s">
        <v>35</v>
      </c>
      <c r="M3121" s="86" t="s">
        <v>3423</v>
      </c>
      <c r="N3121" s="86"/>
      <c r="O3121" s="47" t="s">
        <v>40</v>
      </c>
      <c r="P3121" s="47" t="s">
        <v>46</v>
      </c>
      <c r="Q3121" s="14">
        <v>0.04</v>
      </c>
      <c r="R3121" s="143"/>
      <c r="S3121" s="47"/>
      <c r="T3121" s="6">
        <v>0</v>
      </c>
      <c r="U3121" s="6">
        <v>528000</v>
      </c>
      <c r="V3121" s="6">
        <v>99585.569999999992</v>
      </c>
      <c r="W3121" s="6">
        <f t="shared" si="489"/>
        <v>428414.43</v>
      </c>
      <c r="X3121" s="6">
        <f t="shared" si="485"/>
        <v>75443.613636363632</v>
      </c>
      <c r="Y3121" s="13">
        <f t="shared" si="482"/>
        <v>0</v>
      </c>
      <c r="Z3121" s="14">
        <v>0</v>
      </c>
      <c r="AA3121" s="6">
        <v>0</v>
      </c>
      <c r="AB3121" s="4">
        <f t="shared" si="483"/>
        <v>75443.613636363632</v>
      </c>
      <c r="AC3121" s="4">
        <f t="shared" si="487"/>
        <v>24141.95636363636</v>
      </c>
      <c r="AD3121" s="6">
        <v>77802.569999999992</v>
      </c>
      <c r="AE3121" s="2">
        <f>VLOOKUP(I3121,[1]媒体政策预估表!A:N,MATCH(O3121,[1]媒体政策预估表!$A$2:$M$2,0),0)</f>
        <v>7.0000000000000007E-2</v>
      </c>
      <c r="AF3121" s="6">
        <f t="shared" si="488"/>
        <v>5446.1799000000001</v>
      </c>
      <c r="AG3121" s="14">
        <v>0.28000000000000003</v>
      </c>
      <c r="AH3121" s="6">
        <f t="shared" si="486"/>
        <v>77801.226562499985</v>
      </c>
      <c r="AI3121" s="47"/>
      <c r="AJ3121" s="126" t="e">
        <v>#N/A</v>
      </c>
      <c r="AK3121" s="80">
        <f t="shared" si="484"/>
        <v>0</v>
      </c>
      <c r="AM3121" s="85"/>
    </row>
    <row r="3122" spans="1:39" hidden="1" x14ac:dyDescent="0.3">
      <c r="A3122" s="89" t="s">
        <v>3408</v>
      </c>
      <c r="B3122" s="86" t="s">
        <v>35</v>
      </c>
      <c r="C3122" s="86" t="s">
        <v>187</v>
      </c>
      <c r="D3122" s="86" t="s">
        <v>208</v>
      </c>
      <c r="E3122" s="86" t="s">
        <v>2468</v>
      </c>
      <c r="F3122" s="86" t="s">
        <v>2468</v>
      </c>
      <c r="G3122" s="86" t="s">
        <v>2468</v>
      </c>
      <c r="H3122" s="144">
        <v>237</v>
      </c>
      <c r="I3122" s="86" t="s">
        <v>2374</v>
      </c>
      <c r="J3122" s="1" t="s">
        <v>3322</v>
      </c>
      <c r="K3122" s="1" t="s">
        <v>3269</v>
      </c>
      <c r="L3122" s="1" t="s">
        <v>35</v>
      </c>
      <c r="M3122" s="86" t="s">
        <v>2438</v>
      </c>
      <c r="N3122" s="86"/>
      <c r="O3122" s="47" t="s">
        <v>40</v>
      </c>
      <c r="P3122" s="47" t="s">
        <v>46</v>
      </c>
      <c r="Q3122" s="14">
        <v>0.03</v>
      </c>
      <c r="R3122" s="143"/>
      <c r="S3122" s="47"/>
      <c r="T3122" s="6">
        <v>32105.748000000007</v>
      </c>
      <c r="U3122" s="6">
        <v>285999.99399999995</v>
      </c>
      <c r="V3122" s="6">
        <v>14436.42</v>
      </c>
      <c r="W3122" s="6">
        <f t="shared" si="489"/>
        <v>303669.32199999999</v>
      </c>
      <c r="X3122" s="6">
        <f t="shared" si="485"/>
        <v>10095.3986013986</v>
      </c>
      <c r="Y3122" s="13">
        <f t="shared" si="482"/>
        <v>0</v>
      </c>
      <c r="Z3122" s="14">
        <v>0</v>
      </c>
      <c r="AA3122" s="6">
        <v>0</v>
      </c>
      <c r="AB3122" s="4">
        <f t="shared" si="483"/>
        <v>10095.3986013986</v>
      </c>
      <c r="AC3122" s="4">
        <f t="shared" si="487"/>
        <v>4341.0213986014005</v>
      </c>
      <c r="AD3122" s="6">
        <v>10308.550000000001</v>
      </c>
      <c r="AE3122" s="2">
        <f>VLOOKUP(I3122,[1]媒体政策预估表!A:N,MATCH(O3122,[1]媒体政策预估表!$A$2:$M$2,0),0)</f>
        <v>7.0000000000000007E-2</v>
      </c>
      <c r="AF3122" s="6">
        <f t="shared" si="488"/>
        <v>721.59850000000017</v>
      </c>
      <c r="AG3122" s="14">
        <v>0.4</v>
      </c>
      <c r="AH3122" s="6">
        <f t="shared" si="486"/>
        <v>10311.728571428572</v>
      </c>
      <c r="AI3122" s="47"/>
      <c r="AJ3122" s="126" t="e">
        <v>#N/A</v>
      </c>
      <c r="AK3122" s="80">
        <f t="shared" si="484"/>
        <v>0</v>
      </c>
      <c r="AM3122" s="85"/>
    </row>
    <row r="3123" spans="1:39" hidden="1" x14ac:dyDescent="0.3">
      <c r="A3123" s="89" t="s">
        <v>3408</v>
      </c>
      <c r="B3123" s="86" t="s">
        <v>35</v>
      </c>
      <c r="C3123" s="86" t="s">
        <v>187</v>
      </c>
      <c r="D3123" s="86" t="s">
        <v>208</v>
      </c>
      <c r="E3123" s="86" t="s">
        <v>2469</v>
      </c>
      <c r="F3123" s="86" t="s">
        <v>2469</v>
      </c>
      <c r="G3123" s="86" t="s">
        <v>2469</v>
      </c>
      <c r="H3123" s="144">
        <v>237</v>
      </c>
      <c r="I3123" s="86" t="s">
        <v>2374</v>
      </c>
      <c r="J3123" s="1" t="s">
        <v>3322</v>
      </c>
      <c r="K3123" s="1" t="s">
        <v>3269</v>
      </c>
      <c r="L3123" s="1" t="s">
        <v>35</v>
      </c>
      <c r="M3123" s="86" t="s">
        <v>2438</v>
      </c>
      <c r="N3123" s="86"/>
      <c r="O3123" s="47" t="s">
        <v>45</v>
      </c>
      <c r="P3123" s="47" t="s">
        <v>46</v>
      </c>
      <c r="Q3123" s="14">
        <v>0.03</v>
      </c>
      <c r="R3123" s="143"/>
      <c r="S3123" s="47"/>
      <c r="T3123" s="6">
        <v>16211.783199999991</v>
      </c>
      <c r="U3123" s="6">
        <v>38999.995500000005</v>
      </c>
      <c r="V3123" s="6">
        <v>37272.94</v>
      </c>
      <c r="W3123" s="6">
        <f t="shared" si="489"/>
        <v>17938.838699999993</v>
      </c>
      <c r="X3123" s="6">
        <f t="shared" si="485"/>
        <v>26623.528571428575</v>
      </c>
      <c r="Y3123" s="13">
        <f t="shared" si="482"/>
        <v>0</v>
      </c>
      <c r="Z3123" s="14">
        <v>0</v>
      </c>
      <c r="AA3123" s="6">
        <v>0</v>
      </c>
      <c r="AB3123" s="4">
        <f t="shared" si="483"/>
        <v>26623.528571428575</v>
      </c>
      <c r="AC3123" s="4">
        <f t="shared" si="487"/>
        <v>10649.411428571428</v>
      </c>
      <c r="AD3123" s="6">
        <v>27206.289999999997</v>
      </c>
      <c r="AE3123" s="2">
        <f>VLOOKUP(I3123,[1]媒体政策预估表!A:N,MATCH(O3123,[1]媒体政策预估表!$A$2:$M$2,0),0)</f>
        <v>0.06</v>
      </c>
      <c r="AF3123" s="6">
        <f t="shared" si="488"/>
        <v>1632.3773999999999</v>
      </c>
      <c r="AG3123" s="14">
        <v>0.37</v>
      </c>
      <c r="AH3123" s="6">
        <f t="shared" si="486"/>
        <v>27206.525547445253</v>
      </c>
      <c r="AI3123" s="47"/>
      <c r="AJ3123" s="126" t="e">
        <v>#N/A</v>
      </c>
      <c r="AK3123" s="80">
        <f t="shared" si="484"/>
        <v>0</v>
      </c>
      <c r="AM3123" s="85"/>
    </row>
    <row r="3124" spans="1:39" hidden="1" x14ac:dyDescent="0.3">
      <c r="A3124" s="89" t="s">
        <v>3397</v>
      </c>
      <c r="B3124" s="86" t="s">
        <v>35</v>
      </c>
      <c r="C3124" s="86" t="s">
        <v>36</v>
      </c>
      <c r="D3124" s="86" t="s">
        <v>54</v>
      </c>
      <c r="E3124" s="86" t="s">
        <v>2382</v>
      </c>
      <c r="F3124" s="86" t="s">
        <v>2382</v>
      </c>
      <c r="G3124" s="86" t="s">
        <v>2382</v>
      </c>
      <c r="H3124" s="144">
        <v>237</v>
      </c>
      <c r="I3124" s="86" t="s">
        <v>2374</v>
      </c>
      <c r="J3124" s="1" t="s">
        <v>3322</v>
      </c>
      <c r="K3124" s="1" t="s">
        <v>3269</v>
      </c>
      <c r="L3124" s="1" t="s">
        <v>35</v>
      </c>
      <c r="M3124" s="86" t="s">
        <v>2383</v>
      </c>
      <c r="N3124" s="86"/>
      <c r="O3124" s="47" t="s">
        <v>45</v>
      </c>
      <c r="P3124" s="47" t="s">
        <v>41</v>
      </c>
      <c r="Q3124" s="14">
        <v>0</v>
      </c>
      <c r="R3124" s="143"/>
      <c r="S3124" s="47"/>
      <c r="T3124" s="6">
        <v>18795.429999999989</v>
      </c>
      <c r="U3124" s="6"/>
      <c r="V3124" s="6">
        <v>7733.66</v>
      </c>
      <c r="W3124" s="6">
        <f t="shared" si="489"/>
        <v>11061.76999999999</v>
      </c>
      <c r="X3124" s="6">
        <f t="shared" si="485"/>
        <v>7733.66</v>
      </c>
      <c r="Y3124" s="13">
        <f t="shared" si="482"/>
        <v>0</v>
      </c>
      <c r="Z3124" s="14">
        <v>0</v>
      </c>
      <c r="AA3124" s="6">
        <v>0</v>
      </c>
      <c r="AB3124" s="4">
        <f t="shared" si="483"/>
        <v>7733.66</v>
      </c>
      <c r="AC3124" s="4">
        <f t="shared" si="487"/>
        <v>0</v>
      </c>
      <c r="AD3124" s="6">
        <v>7733.66</v>
      </c>
      <c r="AE3124" s="2">
        <f>VLOOKUP(I3124,[1]媒体政策预估表!A:N,MATCH(O3124,[1]媒体政策预估表!$A$2:$M$2,0),0)</f>
        <v>0.06</v>
      </c>
      <c r="AF3124" s="6">
        <f t="shared" si="488"/>
        <v>464.01959999999997</v>
      </c>
      <c r="AG3124" s="14">
        <v>0</v>
      </c>
      <c r="AH3124" s="6">
        <f t="shared" si="486"/>
        <v>7733.66</v>
      </c>
      <c r="AI3124" s="47"/>
      <c r="AJ3124" s="126" t="e">
        <v>#N/A</v>
      </c>
      <c r="AK3124" s="80">
        <f t="shared" si="484"/>
        <v>0</v>
      </c>
      <c r="AM3124" s="85"/>
    </row>
    <row r="3125" spans="1:39" hidden="1" x14ac:dyDescent="0.3">
      <c r="A3125" s="89" t="s">
        <v>3408</v>
      </c>
      <c r="B3125" s="86" t="s">
        <v>35</v>
      </c>
      <c r="C3125" s="86" t="s">
        <v>65</v>
      </c>
      <c r="D3125" s="86" t="s">
        <v>66</v>
      </c>
      <c r="E3125" s="86" t="s">
        <v>2386</v>
      </c>
      <c r="F3125" s="86" t="s">
        <v>2386</v>
      </c>
      <c r="G3125" s="86" t="s">
        <v>2386</v>
      </c>
      <c r="H3125" s="143">
        <v>237</v>
      </c>
      <c r="I3125" s="86" t="s">
        <v>2374</v>
      </c>
      <c r="J3125" s="1" t="s">
        <v>3322</v>
      </c>
      <c r="K3125" s="1" t="s">
        <v>3269</v>
      </c>
      <c r="L3125" s="1" t="s">
        <v>35</v>
      </c>
      <c r="M3125" s="86" t="s">
        <v>2387</v>
      </c>
      <c r="N3125" s="86"/>
      <c r="O3125" s="47" t="s">
        <v>40</v>
      </c>
      <c r="P3125" s="47" t="s">
        <v>46</v>
      </c>
      <c r="Q3125" s="14">
        <v>2.5000000000000001E-2</v>
      </c>
      <c r="R3125" s="143"/>
      <c r="S3125" s="47"/>
      <c r="T3125" s="6">
        <v>51250</v>
      </c>
      <c r="U3125" s="6"/>
      <c r="V3125" s="6">
        <v>0</v>
      </c>
      <c r="W3125" s="6">
        <f t="shared" si="489"/>
        <v>51250</v>
      </c>
      <c r="X3125" s="6">
        <f t="shared" si="485"/>
        <v>0</v>
      </c>
      <c r="Y3125" s="13">
        <f t="shared" si="482"/>
        <v>0</v>
      </c>
      <c r="Z3125" s="14">
        <v>0</v>
      </c>
      <c r="AA3125" s="6">
        <v>0</v>
      </c>
      <c r="AB3125" s="4">
        <f t="shared" si="483"/>
        <v>0</v>
      </c>
      <c r="AC3125" s="4">
        <f t="shared" si="487"/>
        <v>0</v>
      </c>
      <c r="AD3125" s="6">
        <v>0</v>
      </c>
      <c r="AE3125" s="2">
        <f>VLOOKUP(I3125,[1]媒体政策预估表!A:N,MATCH(O3125,[1]媒体政策预估表!$A$2:$M$2,0),0)</f>
        <v>7.0000000000000007E-2</v>
      </c>
      <c r="AF3125" s="6">
        <f t="shared" si="488"/>
        <v>0</v>
      </c>
      <c r="AG3125" s="14">
        <v>0</v>
      </c>
      <c r="AH3125" s="6">
        <f t="shared" si="486"/>
        <v>0</v>
      </c>
      <c r="AI3125" s="47"/>
      <c r="AJ3125" s="126" t="e">
        <v>#N/A</v>
      </c>
      <c r="AK3125" s="80">
        <f t="shared" si="484"/>
        <v>0</v>
      </c>
      <c r="AM3125" s="85"/>
    </row>
    <row r="3126" spans="1:39" hidden="1" x14ac:dyDescent="0.3">
      <c r="A3126" s="89" t="s">
        <v>3408</v>
      </c>
      <c r="B3126" s="86" t="s">
        <v>35</v>
      </c>
      <c r="C3126" s="86" t="s">
        <v>65</v>
      </c>
      <c r="D3126" s="86" t="s">
        <v>66</v>
      </c>
      <c r="E3126" s="86" t="s">
        <v>2385</v>
      </c>
      <c r="F3126" s="86" t="s">
        <v>2385</v>
      </c>
      <c r="G3126" s="86" t="s">
        <v>2385</v>
      </c>
      <c r="H3126" s="144">
        <v>237</v>
      </c>
      <c r="I3126" s="86" t="s">
        <v>2374</v>
      </c>
      <c r="J3126" s="1" t="s">
        <v>3322</v>
      </c>
      <c r="K3126" s="1" t="s">
        <v>3269</v>
      </c>
      <c r="L3126" s="1" t="s">
        <v>35</v>
      </c>
      <c r="M3126" s="86" t="s">
        <v>2385</v>
      </c>
      <c r="N3126" s="86"/>
      <c r="O3126" s="47" t="s">
        <v>45</v>
      </c>
      <c r="P3126" s="47" t="s">
        <v>41</v>
      </c>
      <c r="Q3126" s="14">
        <v>0</v>
      </c>
      <c r="R3126" s="143"/>
      <c r="S3126" s="47"/>
      <c r="T3126" s="6">
        <v>13750.690000000002</v>
      </c>
      <c r="U3126" s="6"/>
      <c r="V3126" s="6">
        <v>5676.04</v>
      </c>
      <c r="W3126" s="6">
        <f t="shared" si="489"/>
        <v>8074.6500000000024</v>
      </c>
      <c r="X3126" s="6">
        <f t="shared" si="485"/>
        <v>5676.04</v>
      </c>
      <c r="Y3126" s="13">
        <f t="shared" si="482"/>
        <v>0</v>
      </c>
      <c r="Z3126" s="14">
        <v>0</v>
      </c>
      <c r="AA3126" s="6">
        <v>0</v>
      </c>
      <c r="AB3126" s="4">
        <f t="shared" si="483"/>
        <v>5676.04</v>
      </c>
      <c r="AC3126" s="4">
        <f t="shared" si="487"/>
        <v>0</v>
      </c>
      <c r="AD3126" s="6">
        <v>5676.04</v>
      </c>
      <c r="AE3126" s="2">
        <f>VLOOKUP(I3126,[1]媒体政策预估表!A:N,MATCH(O3126,[1]媒体政策预估表!$A$2:$M$2,0),0)</f>
        <v>0.06</v>
      </c>
      <c r="AF3126" s="6">
        <f t="shared" si="488"/>
        <v>340.56239999999997</v>
      </c>
      <c r="AG3126" s="14">
        <v>0</v>
      </c>
      <c r="AH3126" s="6">
        <f t="shared" si="486"/>
        <v>5676.04</v>
      </c>
      <c r="AI3126" s="47"/>
      <c r="AJ3126" s="126" t="e">
        <v>#N/A</v>
      </c>
      <c r="AK3126" s="80">
        <f t="shared" si="484"/>
        <v>0</v>
      </c>
      <c r="AM3126" s="85"/>
    </row>
    <row r="3127" spans="1:39" hidden="1" x14ac:dyDescent="0.3">
      <c r="A3127" s="89" t="s">
        <v>3397</v>
      </c>
      <c r="B3127" s="86" t="s">
        <v>35</v>
      </c>
      <c r="C3127" s="86" t="s">
        <v>47</v>
      </c>
      <c r="D3127" s="86" t="s">
        <v>63</v>
      </c>
      <c r="E3127" s="86" t="s">
        <v>2393</v>
      </c>
      <c r="F3127" s="86" t="s">
        <v>2394</v>
      </c>
      <c r="G3127" s="86" t="s">
        <v>2393</v>
      </c>
      <c r="H3127" s="143">
        <v>237</v>
      </c>
      <c r="I3127" s="86" t="s">
        <v>2374</v>
      </c>
      <c r="J3127" s="1" t="s">
        <v>3322</v>
      </c>
      <c r="K3127" s="1" t="s">
        <v>3269</v>
      </c>
      <c r="L3127" s="1" t="s">
        <v>35</v>
      </c>
      <c r="M3127" s="86" t="s">
        <v>2395</v>
      </c>
      <c r="N3127" s="86"/>
      <c r="O3127" s="47" t="s">
        <v>45</v>
      </c>
      <c r="P3127" s="47" t="s">
        <v>46</v>
      </c>
      <c r="Q3127" s="14">
        <v>5.5E-2</v>
      </c>
      <c r="R3127" s="143"/>
      <c r="S3127" s="47" t="s">
        <v>3752</v>
      </c>
      <c r="T3127" s="6">
        <f>-105.040000000449+8697.85</f>
        <v>8592.809999999552</v>
      </c>
      <c r="U3127" s="6"/>
      <c r="V3127" s="6">
        <v>0</v>
      </c>
      <c r="W3127" s="6">
        <f t="shared" si="489"/>
        <v>8592.809999999552</v>
      </c>
      <c r="X3127" s="6">
        <f t="shared" si="485"/>
        <v>0</v>
      </c>
      <c r="Y3127" s="13">
        <f t="shared" si="482"/>
        <v>0</v>
      </c>
      <c r="Z3127" s="14">
        <v>0</v>
      </c>
      <c r="AA3127" s="6">
        <v>0</v>
      </c>
      <c r="AB3127" s="4">
        <f t="shared" si="483"/>
        <v>0</v>
      </c>
      <c r="AC3127" s="4">
        <f t="shared" si="487"/>
        <v>0</v>
      </c>
      <c r="AD3127" s="6">
        <v>0</v>
      </c>
      <c r="AE3127" s="2">
        <f>VLOOKUP(I3127,[1]媒体政策预估表!A:N,MATCH(O3127,[1]媒体政策预估表!$A$2:$M$2,0),0)</f>
        <v>0.06</v>
      </c>
      <c r="AF3127" s="6">
        <f t="shared" si="488"/>
        <v>0</v>
      </c>
      <c r="AG3127" s="14">
        <v>0</v>
      </c>
      <c r="AH3127" s="6">
        <f t="shared" si="486"/>
        <v>0</v>
      </c>
      <c r="AI3127" s="47"/>
      <c r="AJ3127" s="126" t="e">
        <v>#N/A</v>
      </c>
      <c r="AK3127" s="80">
        <f t="shared" si="484"/>
        <v>0</v>
      </c>
      <c r="AM3127" s="85"/>
    </row>
    <row r="3128" spans="1:39" hidden="1" x14ac:dyDescent="0.3">
      <c r="A3128" s="89" t="s">
        <v>3397</v>
      </c>
      <c r="B3128" s="86" t="s">
        <v>35</v>
      </c>
      <c r="C3128" s="86" t="s">
        <v>47</v>
      </c>
      <c r="D3128" s="86" t="s">
        <v>63</v>
      </c>
      <c r="E3128" s="86" t="s">
        <v>2393</v>
      </c>
      <c r="F3128" s="86" t="s">
        <v>2394</v>
      </c>
      <c r="G3128" s="86" t="s">
        <v>2393</v>
      </c>
      <c r="H3128" s="143">
        <v>237</v>
      </c>
      <c r="I3128" s="86" t="s">
        <v>2374</v>
      </c>
      <c r="J3128" s="1" t="s">
        <v>3322</v>
      </c>
      <c r="K3128" s="1" t="s">
        <v>3269</v>
      </c>
      <c r="L3128" s="1" t="s">
        <v>35</v>
      </c>
      <c r="M3128" s="86" t="s">
        <v>2396</v>
      </c>
      <c r="N3128" s="86"/>
      <c r="O3128" s="47" t="s">
        <v>45</v>
      </c>
      <c r="P3128" s="47" t="s">
        <v>46</v>
      </c>
      <c r="Q3128" s="14">
        <v>5.5E-2</v>
      </c>
      <c r="R3128" s="143"/>
      <c r="S3128" s="47"/>
      <c r="T3128" s="6">
        <v>0</v>
      </c>
      <c r="U3128" s="6"/>
      <c r="V3128" s="6">
        <v>0</v>
      </c>
      <c r="W3128" s="6">
        <f t="shared" si="489"/>
        <v>0</v>
      </c>
      <c r="X3128" s="6">
        <f t="shared" si="485"/>
        <v>0</v>
      </c>
      <c r="Y3128" s="13">
        <f t="shared" si="482"/>
        <v>0</v>
      </c>
      <c r="Z3128" s="14">
        <v>0</v>
      </c>
      <c r="AA3128" s="6">
        <v>0</v>
      </c>
      <c r="AB3128" s="4">
        <f t="shared" si="483"/>
        <v>0</v>
      </c>
      <c r="AC3128" s="4">
        <f t="shared" si="487"/>
        <v>0</v>
      </c>
      <c r="AD3128" s="6">
        <v>0</v>
      </c>
      <c r="AE3128" s="2">
        <f>VLOOKUP(I3128,[1]媒体政策预估表!A:N,MATCH(O3128,[1]媒体政策预估表!$A$2:$M$2,0),0)</f>
        <v>0.06</v>
      </c>
      <c r="AF3128" s="6">
        <f t="shared" si="488"/>
        <v>0</v>
      </c>
      <c r="AG3128" s="14">
        <v>0</v>
      </c>
      <c r="AH3128" s="6">
        <f t="shared" si="486"/>
        <v>0</v>
      </c>
      <c r="AI3128" s="47"/>
      <c r="AJ3128" s="126" t="e">
        <v>#N/A</v>
      </c>
      <c r="AK3128" s="80">
        <f t="shared" si="484"/>
        <v>0</v>
      </c>
      <c r="AM3128" s="85"/>
    </row>
    <row r="3129" spans="1:39" hidden="1" x14ac:dyDescent="0.3">
      <c r="A3129" s="89" t="s">
        <v>3408</v>
      </c>
      <c r="B3129" s="86" t="s">
        <v>35</v>
      </c>
      <c r="C3129" s="86" t="s">
        <v>47</v>
      </c>
      <c r="D3129" s="86" t="s">
        <v>63</v>
      </c>
      <c r="E3129" s="86" t="s">
        <v>2393</v>
      </c>
      <c r="F3129" s="86" t="s">
        <v>2394</v>
      </c>
      <c r="G3129" s="86" t="s">
        <v>2393</v>
      </c>
      <c r="H3129" s="143">
        <v>237</v>
      </c>
      <c r="I3129" s="86" t="s">
        <v>2374</v>
      </c>
      <c r="J3129" s="1" t="s">
        <v>3322</v>
      </c>
      <c r="K3129" s="1" t="s">
        <v>3269</v>
      </c>
      <c r="L3129" s="1" t="s">
        <v>35</v>
      </c>
      <c r="M3129" s="86" t="s">
        <v>2397</v>
      </c>
      <c r="N3129" s="86"/>
      <c r="O3129" s="47" t="s">
        <v>45</v>
      </c>
      <c r="P3129" s="47" t="s">
        <v>46</v>
      </c>
      <c r="Q3129" s="14">
        <v>5.5E-2</v>
      </c>
      <c r="R3129" s="143"/>
      <c r="S3129" s="47"/>
      <c r="T3129" s="6">
        <v>285686.96000000008</v>
      </c>
      <c r="U3129" s="6"/>
      <c r="V3129" s="6">
        <v>0</v>
      </c>
      <c r="W3129" s="6">
        <f t="shared" si="489"/>
        <v>285686.96000000008</v>
      </c>
      <c r="X3129" s="6">
        <f t="shared" si="485"/>
        <v>0</v>
      </c>
      <c r="Y3129" s="13">
        <f t="shared" si="482"/>
        <v>0</v>
      </c>
      <c r="Z3129" s="14">
        <v>0</v>
      </c>
      <c r="AA3129" s="6">
        <v>0</v>
      </c>
      <c r="AB3129" s="4">
        <f t="shared" si="483"/>
        <v>0</v>
      </c>
      <c r="AC3129" s="4">
        <f t="shared" si="487"/>
        <v>0</v>
      </c>
      <c r="AD3129" s="6">
        <v>0</v>
      </c>
      <c r="AE3129" s="2">
        <f>VLOOKUP(I3129,[1]媒体政策预估表!A:N,MATCH(O3129,[1]媒体政策预估表!$A$2:$M$2,0),0)</f>
        <v>0.06</v>
      </c>
      <c r="AF3129" s="6">
        <f t="shared" si="488"/>
        <v>0</v>
      </c>
      <c r="AG3129" s="14">
        <v>0</v>
      </c>
      <c r="AH3129" s="6">
        <f t="shared" si="486"/>
        <v>0</v>
      </c>
      <c r="AI3129" s="47"/>
      <c r="AJ3129" s="126" t="e">
        <v>#N/A</v>
      </c>
      <c r="AK3129" s="80">
        <f t="shared" si="484"/>
        <v>0</v>
      </c>
      <c r="AM3129" s="85"/>
    </row>
    <row r="3130" spans="1:39" hidden="1" x14ac:dyDescent="0.3">
      <c r="A3130" s="89" t="s">
        <v>3397</v>
      </c>
      <c r="B3130" s="86" t="s">
        <v>35</v>
      </c>
      <c r="C3130" s="86" t="s">
        <v>47</v>
      </c>
      <c r="D3130" s="86" t="s">
        <v>63</v>
      </c>
      <c r="E3130" s="86" t="s">
        <v>2393</v>
      </c>
      <c r="F3130" s="86" t="s">
        <v>2399</v>
      </c>
      <c r="G3130" s="86" t="s">
        <v>2393</v>
      </c>
      <c r="H3130" s="143">
        <v>237</v>
      </c>
      <c r="I3130" s="86" t="s">
        <v>2374</v>
      </c>
      <c r="J3130" s="1" t="s">
        <v>3322</v>
      </c>
      <c r="K3130" s="1" t="s">
        <v>3269</v>
      </c>
      <c r="L3130" s="1" t="s">
        <v>35</v>
      </c>
      <c r="M3130" s="86" t="s">
        <v>2400</v>
      </c>
      <c r="N3130" s="86"/>
      <c r="O3130" s="47" t="s">
        <v>45</v>
      </c>
      <c r="P3130" s="47" t="s">
        <v>46</v>
      </c>
      <c r="Q3130" s="14">
        <v>5.5E-2</v>
      </c>
      <c r="R3130" s="143"/>
      <c r="S3130" s="47"/>
      <c r="T3130" s="6">
        <v>76634.570000000007</v>
      </c>
      <c r="U3130" s="6"/>
      <c r="V3130" s="6">
        <v>0</v>
      </c>
      <c r="W3130" s="6">
        <f t="shared" si="489"/>
        <v>76634.570000000007</v>
      </c>
      <c r="X3130" s="6">
        <f t="shared" si="485"/>
        <v>0</v>
      </c>
      <c r="Y3130" s="13">
        <f t="shared" si="482"/>
        <v>0</v>
      </c>
      <c r="Z3130" s="14">
        <v>0</v>
      </c>
      <c r="AA3130" s="6">
        <v>0</v>
      </c>
      <c r="AB3130" s="4">
        <f t="shared" si="483"/>
        <v>0</v>
      </c>
      <c r="AC3130" s="4">
        <f t="shared" si="487"/>
        <v>0</v>
      </c>
      <c r="AD3130" s="6">
        <v>0</v>
      </c>
      <c r="AE3130" s="2">
        <f>VLOOKUP(I3130,[1]媒体政策预估表!A:N,MATCH(O3130,[1]媒体政策预估表!$A$2:$M$2,0),0)</f>
        <v>0.06</v>
      </c>
      <c r="AF3130" s="6">
        <f t="shared" si="488"/>
        <v>0</v>
      </c>
      <c r="AG3130" s="14">
        <v>0</v>
      </c>
      <c r="AH3130" s="6">
        <f t="shared" si="486"/>
        <v>0</v>
      </c>
      <c r="AI3130" s="47"/>
      <c r="AJ3130" s="126" t="e">
        <v>#N/A</v>
      </c>
      <c r="AK3130" s="80">
        <f t="shared" si="484"/>
        <v>0</v>
      </c>
      <c r="AM3130" s="85"/>
    </row>
    <row r="3131" spans="1:39" hidden="1" x14ac:dyDescent="0.3">
      <c r="A3131" s="89" t="s">
        <v>3408</v>
      </c>
      <c r="B3131" s="86" t="s">
        <v>35</v>
      </c>
      <c r="C3131" s="86" t="s">
        <v>47</v>
      </c>
      <c r="D3131" s="86" t="s">
        <v>63</v>
      </c>
      <c r="E3131" s="86" t="s">
        <v>2409</v>
      </c>
      <c r="F3131" s="86" t="s">
        <v>2410</v>
      </c>
      <c r="G3131" s="86" t="s">
        <v>2409</v>
      </c>
      <c r="H3131" s="143">
        <v>237</v>
      </c>
      <c r="I3131" s="86" t="s">
        <v>2374</v>
      </c>
      <c r="J3131" s="1" t="s">
        <v>3322</v>
      </c>
      <c r="K3131" s="1" t="s">
        <v>3269</v>
      </c>
      <c r="L3131" s="1" t="s">
        <v>35</v>
      </c>
      <c r="M3131" s="86" t="s">
        <v>2411</v>
      </c>
      <c r="N3131" s="86"/>
      <c r="O3131" s="47" t="s">
        <v>45</v>
      </c>
      <c r="P3131" s="47" t="s">
        <v>46</v>
      </c>
      <c r="Q3131" s="14">
        <v>5.5E-2</v>
      </c>
      <c r="R3131" s="143"/>
      <c r="S3131" s="47"/>
      <c r="T3131" s="6">
        <v>-2.4899999999602733</v>
      </c>
      <c r="U3131" s="6"/>
      <c r="V3131" s="6">
        <v>0</v>
      </c>
      <c r="W3131" s="6">
        <v>0</v>
      </c>
      <c r="X3131" s="6">
        <f t="shared" si="485"/>
        <v>0</v>
      </c>
      <c r="Y3131" s="13">
        <f t="shared" si="482"/>
        <v>0</v>
      </c>
      <c r="Z3131" s="14">
        <v>0</v>
      </c>
      <c r="AA3131" s="6">
        <v>0</v>
      </c>
      <c r="AB3131" s="4">
        <f t="shared" si="483"/>
        <v>0</v>
      </c>
      <c r="AC3131" s="4">
        <f t="shared" si="487"/>
        <v>0</v>
      </c>
      <c r="AD3131" s="6">
        <v>0</v>
      </c>
      <c r="AE3131" s="2">
        <f>VLOOKUP(I3131,[1]媒体政策预估表!A:N,MATCH(O3131,[1]媒体政策预估表!$A$2:$M$2,0),0)</f>
        <v>0.06</v>
      </c>
      <c r="AF3131" s="6">
        <f t="shared" si="488"/>
        <v>0</v>
      </c>
      <c r="AG3131" s="14">
        <v>0</v>
      </c>
      <c r="AH3131" s="6">
        <f t="shared" si="486"/>
        <v>0</v>
      </c>
      <c r="AI3131" s="47"/>
      <c r="AJ3131" s="126" t="e">
        <v>#N/A</v>
      </c>
      <c r="AK3131" s="80">
        <f t="shared" si="484"/>
        <v>0</v>
      </c>
      <c r="AM3131" s="85"/>
    </row>
    <row r="3132" spans="1:39" hidden="1" x14ac:dyDescent="0.3">
      <c r="A3132" s="89" t="s">
        <v>3397</v>
      </c>
      <c r="B3132" s="86" t="s">
        <v>35</v>
      </c>
      <c r="C3132" s="86" t="s">
        <v>47</v>
      </c>
      <c r="D3132" s="86" t="s">
        <v>63</v>
      </c>
      <c r="E3132" s="86" t="s">
        <v>2409</v>
      </c>
      <c r="F3132" s="86" t="s">
        <v>2415</v>
      </c>
      <c r="G3132" s="86" t="s">
        <v>2409</v>
      </c>
      <c r="H3132" s="143">
        <v>237</v>
      </c>
      <c r="I3132" s="86" t="s">
        <v>2374</v>
      </c>
      <c r="J3132" s="1" t="s">
        <v>3322</v>
      </c>
      <c r="K3132" s="1" t="s">
        <v>3269</v>
      </c>
      <c r="L3132" s="1" t="s">
        <v>35</v>
      </c>
      <c r="M3132" s="86" t="s">
        <v>2411</v>
      </c>
      <c r="N3132" s="86"/>
      <c r="O3132" s="47" t="s">
        <v>45</v>
      </c>
      <c r="P3132" s="47" t="s">
        <v>46</v>
      </c>
      <c r="Q3132" s="14">
        <v>5.5E-2</v>
      </c>
      <c r="R3132" s="143"/>
      <c r="S3132" s="47"/>
      <c r="T3132" s="6">
        <v>0</v>
      </c>
      <c r="U3132" s="6"/>
      <c r="V3132" s="6">
        <v>0</v>
      </c>
      <c r="W3132" s="6">
        <f t="shared" si="489"/>
        <v>0</v>
      </c>
      <c r="X3132" s="6">
        <f t="shared" si="485"/>
        <v>0</v>
      </c>
      <c r="Y3132" s="13">
        <f t="shared" si="482"/>
        <v>0</v>
      </c>
      <c r="Z3132" s="14">
        <v>0</v>
      </c>
      <c r="AA3132" s="6">
        <v>0</v>
      </c>
      <c r="AB3132" s="4">
        <f t="shared" si="483"/>
        <v>0</v>
      </c>
      <c r="AC3132" s="4">
        <f t="shared" si="487"/>
        <v>0</v>
      </c>
      <c r="AD3132" s="6">
        <v>0</v>
      </c>
      <c r="AE3132" s="2">
        <f>VLOOKUP(I3132,[1]媒体政策预估表!A:N,MATCH(O3132,[1]媒体政策预估表!$A$2:$M$2,0),0)</f>
        <v>0.06</v>
      </c>
      <c r="AF3132" s="6">
        <f t="shared" si="488"/>
        <v>0</v>
      </c>
      <c r="AG3132" s="14">
        <v>0</v>
      </c>
      <c r="AH3132" s="6">
        <f t="shared" si="486"/>
        <v>0</v>
      </c>
      <c r="AI3132" s="47"/>
      <c r="AJ3132" s="126" t="e">
        <v>#N/A</v>
      </c>
      <c r="AK3132" s="80">
        <f t="shared" si="484"/>
        <v>0</v>
      </c>
      <c r="AM3132" s="85"/>
    </row>
    <row r="3133" spans="1:39" hidden="1" x14ac:dyDescent="0.3">
      <c r="A3133" s="89" t="s">
        <v>3397</v>
      </c>
      <c r="B3133" s="86" t="s">
        <v>35</v>
      </c>
      <c r="C3133" s="86" t="s">
        <v>47</v>
      </c>
      <c r="D3133" s="86" t="s">
        <v>63</v>
      </c>
      <c r="E3133" s="86" t="s">
        <v>2418</v>
      </c>
      <c r="F3133" s="86" t="s">
        <v>2421</v>
      </c>
      <c r="G3133" s="86" t="s">
        <v>2418</v>
      </c>
      <c r="H3133" s="143">
        <v>237</v>
      </c>
      <c r="I3133" s="86" t="s">
        <v>2374</v>
      </c>
      <c r="J3133" s="1" t="s">
        <v>3322</v>
      </c>
      <c r="K3133" s="1" t="s">
        <v>3269</v>
      </c>
      <c r="L3133" s="1" t="s">
        <v>35</v>
      </c>
      <c r="M3133" s="86" t="s">
        <v>2420</v>
      </c>
      <c r="N3133" s="86"/>
      <c r="O3133" s="47" t="s">
        <v>40</v>
      </c>
      <c r="P3133" s="47" t="s">
        <v>46</v>
      </c>
      <c r="Q3133" s="14">
        <v>5.5E-2</v>
      </c>
      <c r="R3133" s="143"/>
      <c r="S3133" s="47"/>
      <c r="T3133" s="6">
        <v>-75465.168399998918</v>
      </c>
      <c r="U3133" s="6"/>
      <c r="V3133" s="6">
        <v>0</v>
      </c>
      <c r="W3133" s="6">
        <f t="shared" si="489"/>
        <v>-75465.168399998918</v>
      </c>
      <c r="X3133" s="6">
        <f t="shared" si="485"/>
        <v>0</v>
      </c>
      <c r="Y3133" s="13">
        <f t="shared" si="482"/>
        <v>0</v>
      </c>
      <c r="Z3133" s="14">
        <v>0</v>
      </c>
      <c r="AA3133" s="6">
        <v>0</v>
      </c>
      <c r="AB3133" s="4">
        <f t="shared" si="483"/>
        <v>0</v>
      </c>
      <c r="AC3133" s="4">
        <f t="shared" si="487"/>
        <v>0</v>
      </c>
      <c r="AD3133" s="6">
        <v>0</v>
      </c>
      <c r="AE3133" s="2">
        <f>VLOOKUP(I3133,[1]媒体政策预估表!A:N,MATCH(O3133,[1]媒体政策预估表!$A$2:$M$2,0),0)</f>
        <v>7.0000000000000007E-2</v>
      </c>
      <c r="AF3133" s="6">
        <f t="shared" si="488"/>
        <v>0</v>
      </c>
      <c r="AG3133" s="14">
        <v>0.24</v>
      </c>
      <c r="AH3133" s="6">
        <f t="shared" si="486"/>
        <v>0</v>
      </c>
      <c r="AI3133" s="47"/>
      <c r="AJ3133" s="126" t="e">
        <v>#N/A</v>
      </c>
      <c r="AK3133" s="80">
        <f t="shared" si="484"/>
        <v>0</v>
      </c>
      <c r="AM3133" s="85"/>
    </row>
    <row r="3134" spans="1:39" hidden="1" x14ac:dyDescent="0.3">
      <c r="A3134" s="89" t="s">
        <v>3408</v>
      </c>
      <c r="B3134" s="86" t="s">
        <v>35</v>
      </c>
      <c r="C3134" s="86" t="s">
        <v>47</v>
      </c>
      <c r="D3134" s="86" t="s">
        <v>63</v>
      </c>
      <c r="E3134" s="86" t="s">
        <v>2418</v>
      </c>
      <c r="F3134" s="86" t="s">
        <v>2422</v>
      </c>
      <c r="G3134" s="86" t="s">
        <v>2418</v>
      </c>
      <c r="H3134" s="144">
        <v>237</v>
      </c>
      <c r="I3134" s="86" t="s">
        <v>2374</v>
      </c>
      <c r="J3134" s="1" t="s">
        <v>3322</v>
      </c>
      <c r="K3134" s="1" t="s">
        <v>3269</v>
      </c>
      <c r="L3134" s="1" t="s">
        <v>35</v>
      </c>
      <c r="M3134" s="86" t="s">
        <v>2423</v>
      </c>
      <c r="N3134" s="86"/>
      <c r="O3134" s="47" t="s">
        <v>45</v>
      </c>
      <c r="P3134" s="47" t="s">
        <v>46</v>
      </c>
      <c r="Q3134" s="14">
        <v>5.5E-2</v>
      </c>
      <c r="R3134" s="143"/>
      <c r="S3134" s="47"/>
      <c r="T3134" s="6">
        <v>222216.04000000007</v>
      </c>
      <c r="U3134" s="6"/>
      <c r="V3134" s="6">
        <v>146478.03999999992</v>
      </c>
      <c r="W3134" s="6">
        <f t="shared" si="489"/>
        <v>75738.000000000146</v>
      </c>
      <c r="X3134" s="6">
        <f t="shared" si="485"/>
        <v>138841.74407582931</v>
      </c>
      <c r="Y3134" s="13">
        <f t="shared" si="482"/>
        <v>0</v>
      </c>
      <c r="Z3134" s="14">
        <v>0</v>
      </c>
      <c r="AA3134" s="6">
        <v>0</v>
      </c>
      <c r="AB3134" s="4">
        <f t="shared" si="483"/>
        <v>138841.74407582931</v>
      </c>
      <c r="AC3134" s="4">
        <f t="shared" si="487"/>
        <v>7636.2959241706121</v>
      </c>
      <c r="AD3134" s="6">
        <v>146478.03999999992</v>
      </c>
      <c r="AE3134" s="2">
        <f>VLOOKUP(I3134,[1]媒体政策预估表!A:N,MATCH(O3134,[1]媒体政策预估表!$A$2:$M$2,0),0)</f>
        <v>0.06</v>
      </c>
      <c r="AF3134" s="6">
        <f t="shared" si="488"/>
        <v>8788.6823999999942</v>
      </c>
      <c r="AG3134" s="14">
        <v>0</v>
      </c>
      <c r="AH3134" s="6">
        <f t="shared" si="486"/>
        <v>146478.03999999992</v>
      </c>
      <c r="AI3134" s="47"/>
      <c r="AJ3134" s="126" t="e">
        <v>#N/A</v>
      </c>
      <c r="AK3134" s="80">
        <f t="shared" si="484"/>
        <v>0</v>
      </c>
      <c r="AM3134" s="85"/>
    </row>
    <row r="3135" spans="1:39" hidden="1" x14ac:dyDescent="0.3">
      <c r="A3135" s="89" t="s">
        <v>3397</v>
      </c>
      <c r="B3135" s="86" t="s">
        <v>35</v>
      </c>
      <c r="C3135" s="86" t="s">
        <v>47</v>
      </c>
      <c r="D3135" s="86" t="s">
        <v>63</v>
      </c>
      <c r="E3135" s="86" t="s">
        <v>2429</v>
      </c>
      <c r="F3135" s="86" t="s">
        <v>2429</v>
      </c>
      <c r="G3135" s="86" t="s">
        <v>2429</v>
      </c>
      <c r="H3135" s="144">
        <v>237</v>
      </c>
      <c r="I3135" s="86" t="s">
        <v>2374</v>
      </c>
      <c r="J3135" s="1" t="s">
        <v>3322</v>
      </c>
      <c r="K3135" s="1" t="s">
        <v>3269</v>
      </c>
      <c r="L3135" s="1" t="s">
        <v>35</v>
      </c>
      <c r="M3135" s="86" t="s">
        <v>2430</v>
      </c>
      <c r="N3135" s="86"/>
      <c r="O3135" s="47" t="s">
        <v>45</v>
      </c>
      <c r="P3135" s="47" t="s">
        <v>41</v>
      </c>
      <c r="Q3135" s="14">
        <v>0</v>
      </c>
      <c r="R3135" s="143"/>
      <c r="S3135" s="47"/>
      <c r="T3135" s="6">
        <v>337503.47</v>
      </c>
      <c r="U3135" s="6"/>
      <c r="V3135" s="6">
        <v>217278.84000000003</v>
      </c>
      <c r="W3135" s="6">
        <f t="shared" si="489"/>
        <v>120224.62999999995</v>
      </c>
      <c r="X3135" s="6">
        <f t="shared" si="485"/>
        <v>204980.03773584907</v>
      </c>
      <c r="Y3135" s="13">
        <f t="shared" si="482"/>
        <v>2.7677358491055202</v>
      </c>
      <c r="Z3135" s="14">
        <v>0</v>
      </c>
      <c r="AA3135" s="6">
        <v>0</v>
      </c>
      <c r="AB3135" s="4">
        <f t="shared" si="483"/>
        <v>204980.03773584907</v>
      </c>
      <c r="AC3135" s="4">
        <f t="shared" si="487"/>
        <v>12298.80226415096</v>
      </c>
      <c r="AD3135" s="6">
        <v>204977.26999999996</v>
      </c>
      <c r="AE3135" s="2">
        <f>VLOOKUP(I3135,[1]媒体政策预估表!A:N,MATCH(O3135,[1]媒体政策预估表!$A$2:$M$2,0),0)</f>
        <v>0.06</v>
      </c>
      <c r="AF3135" s="6">
        <f t="shared" si="488"/>
        <v>12298.636199999997</v>
      </c>
      <c r="AG3135" s="14">
        <v>0.06</v>
      </c>
      <c r="AH3135" s="6">
        <f t="shared" si="486"/>
        <v>204980.03773584907</v>
      </c>
      <c r="AI3135" s="47"/>
      <c r="AJ3135" s="126" t="e">
        <v>#N/A</v>
      </c>
      <c r="AK3135" s="80">
        <f t="shared" si="484"/>
        <v>0</v>
      </c>
      <c r="AM3135" s="85"/>
    </row>
    <row r="3136" spans="1:39" hidden="1" x14ac:dyDescent="0.3">
      <c r="A3136" s="89" t="s">
        <v>3397</v>
      </c>
      <c r="B3136" s="86" t="s">
        <v>35</v>
      </c>
      <c r="C3136" s="86" t="s">
        <v>47</v>
      </c>
      <c r="D3136" s="86" t="s">
        <v>63</v>
      </c>
      <c r="E3136" s="86" t="s">
        <v>132</v>
      </c>
      <c r="F3136" s="86" t="s">
        <v>132</v>
      </c>
      <c r="G3136" s="86" t="s">
        <v>132</v>
      </c>
      <c r="H3136" s="144">
        <v>237</v>
      </c>
      <c r="I3136" s="86" t="s">
        <v>2374</v>
      </c>
      <c r="J3136" s="1" t="s">
        <v>3322</v>
      </c>
      <c r="K3136" s="1" t="s">
        <v>3269</v>
      </c>
      <c r="L3136" s="1" t="s">
        <v>35</v>
      </c>
      <c r="M3136" s="86" t="s">
        <v>132</v>
      </c>
      <c r="N3136" s="86"/>
      <c r="O3136" s="47" t="s">
        <v>45</v>
      </c>
      <c r="P3136" s="47" t="s">
        <v>46</v>
      </c>
      <c r="Q3136" s="14">
        <v>4.7E-2</v>
      </c>
      <c r="R3136" s="143"/>
      <c r="S3136" s="47" t="s">
        <v>3701</v>
      </c>
      <c r="T3136" s="6">
        <f>1848766.5433+22218.34</f>
        <v>1870984.8833000001</v>
      </c>
      <c r="U3136" s="6">
        <v>91.03</v>
      </c>
      <c r="V3136" s="6">
        <v>915914.72000000032</v>
      </c>
      <c r="W3136" s="6">
        <f t="shared" si="489"/>
        <v>955161.19329999981</v>
      </c>
      <c r="X3136" s="6">
        <f>IF(P3136="折扣",V3136*Q3136,IF(P3136="返现",V3136,(V3136-91.03)/(1+Q3136+AG3136)))</f>
        <v>740358.68229587749</v>
      </c>
      <c r="Y3136" s="13">
        <f t="shared" si="482"/>
        <v>0</v>
      </c>
      <c r="Z3136" s="14">
        <v>0</v>
      </c>
      <c r="AA3136" s="6">
        <v>0</v>
      </c>
      <c r="AB3136" s="4">
        <f t="shared" si="483"/>
        <v>740358.68229587749</v>
      </c>
      <c r="AC3136" s="4">
        <f t="shared" si="487"/>
        <v>175556.03770412283</v>
      </c>
      <c r="AD3136" s="6">
        <v>769678.06000000029</v>
      </c>
      <c r="AE3136" s="2">
        <f>VLOOKUP(I3136,[1]媒体政策预估表!A:N,MATCH(O3136,[1]媒体政策预估表!$A$2:$M$2,0),0)</f>
        <v>0.06</v>
      </c>
      <c r="AF3136" s="6">
        <f t="shared" si="488"/>
        <v>46180.683600000018</v>
      </c>
      <c r="AG3136" s="14">
        <v>0.19</v>
      </c>
      <c r="AH3136" s="6">
        <f t="shared" si="486"/>
        <v>769676.23529411794</v>
      </c>
      <c r="AI3136" s="47"/>
      <c r="AJ3136" s="126" t="e">
        <v>#N/A</v>
      </c>
      <c r="AK3136" s="80">
        <f t="shared" si="484"/>
        <v>0</v>
      </c>
      <c r="AM3136" s="85"/>
    </row>
    <row r="3137" spans="1:39" hidden="1" x14ac:dyDescent="0.3">
      <c r="A3137" s="89" t="s">
        <v>3408</v>
      </c>
      <c r="B3137" s="86" t="s">
        <v>35</v>
      </c>
      <c r="C3137" s="86" t="s">
        <v>47</v>
      </c>
      <c r="D3137" s="86" t="s">
        <v>48</v>
      </c>
      <c r="E3137" s="86" t="s">
        <v>50</v>
      </c>
      <c r="F3137" s="86" t="s">
        <v>50</v>
      </c>
      <c r="G3137" s="86" t="s">
        <v>50</v>
      </c>
      <c r="H3137" s="143">
        <v>237</v>
      </c>
      <c r="I3137" s="86" t="s">
        <v>2374</v>
      </c>
      <c r="J3137" s="1" t="s">
        <v>3322</v>
      </c>
      <c r="K3137" s="1" t="s">
        <v>3269</v>
      </c>
      <c r="L3137" s="1" t="s">
        <v>35</v>
      </c>
      <c r="M3137" s="86" t="s">
        <v>2432</v>
      </c>
      <c r="N3137" s="86"/>
      <c r="O3137" s="47" t="s">
        <v>45</v>
      </c>
      <c r="P3137" s="1" t="s">
        <v>3753</v>
      </c>
      <c r="Q3137" s="2">
        <v>0.02</v>
      </c>
      <c r="R3137" s="143"/>
      <c r="S3137" s="47"/>
      <c r="T3137" s="6">
        <v>50000</v>
      </c>
      <c r="U3137" s="6"/>
      <c r="V3137" s="6">
        <v>0</v>
      </c>
      <c r="W3137" s="6">
        <f t="shared" si="489"/>
        <v>50000</v>
      </c>
      <c r="X3137" s="6">
        <f t="shared" si="485"/>
        <v>0</v>
      </c>
      <c r="Y3137" s="13">
        <f t="shared" si="482"/>
        <v>0</v>
      </c>
      <c r="Z3137" s="14">
        <v>0</v>
      </c>
      <c r="AA3137" s="6">
        <v>0</v>
      </c>
      <c r="AB3137" s="4">
        <f t="shared" si="483"/>
        <v>0</v>
      </c>
      <c r="AC3137" s="4">
        <f t="shared" si="487"/>
        <v>0</v>
      </c>
      <c r="AD3137" s="6">
        <v>0</v>
      </c>
      <c r="AE3137" s="2">
        <f>VLOOKUP(I3137,[1]媒体政策预估表!A:N,MATCH(O3137,[1]媒体政策预估表!$A$2:$M$2,0),0)</f>
        <v>0.06</v>
      </c>
      <c r="AF3137" s="6">
        <f t="shared" si="488"/>
        <v>0</v>
      </c>
      <c r="AG3137" s="14">
        <v>0</v>
      </c>
      <c r="AH3137" s="6">
        <f t="shared" si="486"/>
        <v>0</v>
      </c>
      <c r="AI3137" s="47"/>
      <c r="AJ3137" s="126" t="e">
        <v>#N/A</v>
      </c>
      <c r="AK3137" s="80">
        <f t="shared" si="484"/>
        <v>0</v>
      </c>
      <c r="AM3137" s="85"/>
    </row>
    <row r="3138" spans="1:39" hidden="1" x14ac:dyDescent="0.3">
      <c r="A3138" s="89" t="s">
        <v>3397</v>
      </c>
      <c r="B3138" s="86" t="s">
        <v>35</v>
      </c>
      <c r="C3138" s="86" t="s">
        <v>47</v>
      </c>
      <c r="D3138" s="86" t="s">
        <v>48</v>
      </c>
      <c r="E3138" s="86" t="s">
        <v>50</v>
      </c>
      <c r="F3138" s="86" t="s">
        <v>50</v>
      </c>
      <c r="G3138" s="86" t="s">
        <v>50</v>
      </c>
      <c r="H3138" s="144">
        <v>237</v>
      </c>
      <c r="I3138" s="86" t="s">
        <v>2374</v>
      </c>
      <c r="J3138" s="1" t="s">
        <v>3322</v>
      </c>
      <c r="K3138" s="1" t="s">
        <v>3269</v>
      </c>
      <c r="L3138" s="1" t="s">
        <v>35</v>
      </c>
      <c r="M3138" s="86" t="s">
        <v>2432</v>
      </c>
      <c r="N3138" s="86"/>
      <c r="O3138" s="47" t="s">
        <v>40</v>
      </c>
      <c r="P3138" s="1" t="s">
        <v>3754</v>
      </c>
      <c r="Q3138" s="2">
        <v>0.03</v>
      </c>
      <c r="R3138" s="143"/>
      <c r="S3138" s="47"/>
      <c r="T3138" s="6">
        <v>358564.49</v>
      </c>
      <c r="U3138" s="6"/>
      <c r="V3138" s="6">
        <v>103345.46</v>
      </c>
      <c r="W3138" s="6">
        <f t="shared" si="489"/>
        <v>255219.02999999997</v>
      </c>
      <c r="X3138" s="6">
        <f t="shared" si="485"/>
        <v>100335.39805825242</v>
      </c>
      <c r="Y3138" s="13">
        <f t="shared" si="482"/>
        <v>0</v>
      </c>
      <c r="Z3138" s="14">
        <v>0</v>
      </c>
      <c r="AA3138" s="6">
        <v>0</v>
      </c>
      <c r="AB3138" s="4">
        <f t="shared" si="483"/>
        <v>100335.39805825242</v>
      </c>
      <c r="AC3138" s="4">
        <f t="shared" si="487"/>
        <v>3010.0619417475828</v>
      </c>
      <c r="AD3138" s="6">
        <v>103345.46</v>
      </c>
      <c r="AE3138" s="2">
        <f>VLOOKUP(I3138,[1]媒体政策预估表!A:N,MATCH(O3138,[1]媒体政策预估表!$A$2:$M$2,0),0)</f>
        <v>7.0000000000000007E-2</v>
      </c>
      <c r="AF3138" s="6">
        <f t="shared" si="488"/>
        <v>7234.1822000000011</v>
      </c>
      <c r="AG3138" s="14">
        <v>0</v>
      </c>
      <c r="AH3138" s="6">
        <f t="shared" si="486"/>
        <v>103345.46</v>
      </c>
      <c r="AI3138" s="47"/>
      <c r="AJ3138" s="126" t="e">
        <v>#N/A</v>
      </c>
      <c r="AK3138" s="80">
        <f t="shared" si="484"/>
        <v>0</v>
      </c>
      <c r="AM3138" s="85"/>
    </row>
    <row r="3139" spans="1:39" hidden="1" x14ac:dyDescent="0.3">
      <c r="A3139" s="89" t="s">
        <v>3397</v>
      </c>
      <c r="B3139" s="86" t="s">
        <v>35</v>
      </c>
      <c r="C3139" s="86" t="s">
        <v>144</v>
      </c>
      <c r="D3139" s="86" t="s">
        <v>145</v>
      </c>
      <c r="E3139" s="86" t="s">
        <v>2434</v>
      </c>
      <c r="F3139" s="86" t="s">
        <v>2434</v>
      </c>
      <c r="G3139" s="86" t="s">
        <v>2434</v>
      </c>
      <c r="H3139" s="144">
        <v>237</v>
      </c>
      <c r="I3139" s="86" t="s">
        <v>2374</v>
      </c>
      <c r="J3139" s="1" t="s">
        <v>3322</v>
      </c>
      <c r="K3139" s="1" t="s">
        <v>3269</v>
      </c>
      <c r="L3139" s="1" t="s">
        <v>35</v>
      </c>
      <c r="M3139" s="86" t="s">
        <v>2434</v>
      </c>
      <c r="N3139" s="86"/>
      <c r="O3139" s="47" t="s">
        <v>45</v>
      </c>
      <c r="P3139" s="47" t="s">
        <v>46</v>
      </c>
      <c r="Q3139" s="14">
        <v>0.03</v>
      </c>
      <c r="R3139" s="143"/>
      <c r="S3139" s="47"/>
      <c r="T3139" s="6">
        <v>2595.0299999999952</v>
      </c>
      <c r="U3139" s="6"/>
      <c r="V3139" s="6">
        <v>2595.0299999999952</v>
      </c>
      <c r="W3139" s="6">
        <f t="shared" si="489"/>
        <v>0</v>
      </c>
      <c r="X3139" s="6">
        <f t="shared" si="485"/>
        <v>2519.4466019417428</v>
      </c>
      <c r="Y3139" s="13">
        <f t="shared" ref="Y3139:Y3202" si="490">IF(X3139-AD3139&lt;=0,0,IF(P3139="返现",MAX(X3139-AC3139-AD3139,0),MAX(X3139-AD3139)))</f>
        <v>2519.4466019417428</v>
      </c>
      <c r="Z3139" s="14">
        <v>0</v>
      </c>
      <c r="AA3139" s="6">
        <v>0</v>
      </c>
      <c r="AB3139" s="4">
        <f t="shared" ref="AB3139:AB3202" si="491">X3139+AA3139</f>
        <v>2519.4466019417428</v>
      </c>
      <c r="AC3139" s="4">
        <f t="shared" si="487"/>
        <v>75.583398058252442</v>
      </c>
      <c r="AD3139" s="6">
        <v>0</v>
      </c>
      <c r="AE3139" s="2">
        <f>VLOOKUP(I3139,[1]媒体政策预估表!A:N,MATCH(O3139,[1]媒体政策预估表!$A$2:$M$2,0),0)</f>
        <v>0.06</v>
      </c>
      <c r="AF3139" s="6">
        <f t="shared" si="488"/>
        <v>0</v>
      </c>
      <c r="AG3139" s="14">
        <v>0</v>
      </c>
      <c r="AH3139" s="6">
        <f t="shared" si="486"/>
        <v>2595.0299999999952</v>
      </c>
      <c r="AI3139" s="47"/>
      <c r="AJ3139" s="126" t="e">
        <v>#N/A</v>
      </c>
      <c r="AK3139" s="80">
        <f t="shared" ref="AK3139:AK3202" si="492">X3139+AA3139-AB3139</f>
        <v>0</v>
      </c>
      <c r="AM3139" s="85"/>
    </row>
    <row r="3140" spans="1:39" hidden="1" x14ac:dyDescent="0.3">
      <c r="A3140" s="89" t="s">
        <v>3408</v>
      </c>
      <c r="B3140" s="86" t="s">
        <v>35</v>
      </c>
      <c r="C3140" s="86" t="s">
        <v>144</v>
      </c>
      <c r="D3140" s="86" t="s">
        <v>161</v>
      </c>
      <c r="E3140" s="86" t="s">
        <v>1903</v>
      </c>
      <c r="F3140" s="86" t="s">
        <v>1903</v>
      </c>
      <c r="G3140" s="86" t="s">
        <v>1903</v>
      </c>
      <c r="H3140" s="144">
        <v>237</v>
      </c>
      <c r="I3140" s="86" t="s">
        <v>2374</v>
      </c>
      <c r="J3140" s="1" t="s">
        <v>3322</v>
      </c>
      <c r="K3140" s="1" t="s">
        <v>3269</v>
      </c>
      <c r="L3140" s="1" t="s">
        <v>35</v>
      </c>
      <c r="M3140" s="86" t="s">
        <v>2148</v>
      </c>
      <c r="N3140" s="86"/>
      <c r="O3140" s="47" t="s">
        <v>45</v>
      </c>
      <c r="P3140" s="47" t="s">
        <v>41</v>
      </c>
      <c r="Q3140" s="14">
        <v>0</v>
      </c>
      <c r="R3140" s="143"/>
      <c r="S3140" s="47"/>
      <c r="T3140" s="6">
        <v>24798.23000000001</v>
      </c>
      <c r="U3140" s="6"/>
      <c r="V3140" s="6">
        <v>15060.000000000002</v>
      </c>
      <c r="W3140" s="6">
        <f t="shared" si="489"/>
        <v>9738.2300000000087</v>
      </c>
      <c r="X3140" s="6">
        <f t="shared" si="485"/>
        <v>15060.000000000002</v>
      </c>
      <c r="Y3140" s="13">
        <f t="shared" si="490"/>
        <v>0</v>
      </c>
      <c r="Z3140" s="14">
        <v>0</v>
      </c>
      <c r="AA3140" s="6">
        <v>0</v>
      </c>
      <c r="AB3140" s="4">
        <f t="shared" si="491"/>
        <v>15060.000000000002</v>
      </c>
      <c r="AC3140" s="4">
        <f t="shared" si="487"/>
        <v>0</v>
      </c>
      <c r="AD3140" s="6">
        <v>15060.000000000002</v>
      </c>
      <c r="AE3140" s="2">
        <f>VLOOKUP(I3140,[1]媒体政策预估表!A:N,MATCH(O3140,[1]媒体政策预估表!$A$2:$M$2,0),0)</f>
        <v>0.06</v>
      </c>
      <c r="AF3140" s="6">
        <f t="shared" si="488"/>
        <v>903.6</v>
      </c>
      <c r="AG3140" s="14">
        <v>0</v>
      </c>
      <c r="AH3140" s="6">
        <f t="shared" si="486"/>
        <v>15060.000000000002</v>
      </c>
      <c r="AI3140" s="47"/>
      <c r="AJ3140" s="126" t="e">
        <v>#N/A</v>
      </c>
      <c r="AK3140" s="80">
        <f t="shared" si="492"/>
        <v>0</v>
      </c>
      <c r="AM3140" s="85"/>
    </row>
    <row r="3141" spans="1:39" hidden="1" x14ac:dyDescent="0.3">
      <c r="A3141" s="89" t="s">
        <v>3408</v>
      </c>
      <c r="B3141" s="86" t="s">
        <v>35</v>
      </c>
      <c r="C3141" s="86" t="s">
        <v>187</v>
      </c>
      <c r="D3141" s="86" t="s">
        <v>188</v>
      </c>
      <c r="E3141" s="86" t="s">
        <v>2439</v>
      </c>
      <c r="F3141" s="86" t="s">
        <v>2439</v>
      </c>
      <c r="G3141" s="86" t="s">
        <v>2439</v>
      </c>
      <c r="H3141" s="143">
        <v>237</v>
      </c>
      <c r="I3141" s="86" t="s">
        <v>2374</v>
      </c>
      <c r="J3141" s="1" t="s">
        <v>3322</v>
      </c>
      <c r="K3141" s="1" t="s">
        <v>3269</v>
      </c>
      <c r="L3141" s="1" t="s">
        <v>35</v>
      </c>
      <c r="M3141" s="86" t="s">
        <v>2438</v>
      </c>
      <c r="N3141" s="86"/>
      <c r="O3141" s="47" t="s">
        <v>45</v>
      </c>
      <c r="P3141" s="47" t="s">
        <v>46</v>
      </c>
      <c r="Q3141" s="14">
        <v>0.05</v>
      </c>
      <c r="R3141" s="143"/>
      <c r="S3141" s="47"/>
      <c r="T3141" s="6">
        <v>17803.209500000055</v>
      </c>
      <c r="U3141" s="6"/>
      <c r="V3141" s="6">
        <v>0</v>
      </c>
      <c r="W3141" s="6">
        <f t="shared" si="489"/>
        <v>17803.209500000055</v>
      </c>
      <c r="X3141" s="6">
        <f t="shared" si="485"/>
        <v>0</v>
      </c>
      <c r="Y3141" s="13">
        <f t="shared" si="490"/>
        <v>0</v>
      </c>
      <c r="Z3141" s="14">
        <v>0</v>
      </c>
      <c r="AA3141" s="6">
        <v>0</v>
      </c>
      <c r="AB3141" s="4">
        <f t="shared" si="491"/>
        <v>0</v>
      </c>
      <c r="AC3141" s="4">
        <f t="shared" si="487"/>
        <v>0</v>
      </c>
      <c r="AD3141" s="6">
        <v>0</v>
      </c>
      <c r="AE3141" s="2">
        <f>VLOOKUP(I3141,[1]媒体政策预估表!A:N,MATCH(O3141,[1]媒体政策预估表!$A$2:$M$2,0),0)</f>
        <v>0.06</v>
      </c>
      <c r="AF3141" s="6">
        <f t="shared" si="488"/>
        <v>0</v>
      </c>
      <c r="AG3141" s="14">
        <v>0.37</v>
      </c>
      <c r="AH3141" s="6">
        <f t="shared" si="486"/>
        <v>0</v>
      </c>
      <c r="AI3141" s="47"/>
      <c r="AJ3141" s="126" t="e">
        <v>#N/A</v>
      </c>
      <c r="AK3141" s="80">
        <f t="shared" si="492"/>
        <v>0</v>
      </c>
      <c r="AM3141" s="85"/>
    </row>
    <row r="3142" spans="1:39" hidden="1" x14ac:dyDescent="0.3">
      <c r="A3142" s="89" t="s">
        <v>3408</v>
      </c>
      <c r="B3142" s="86" t="s">
        <v>35</v>
      </c>
      <c r="C3142" s="86" t="s">
        <v>187</v>
      </c>
      <c r="D3142" s="86" t="s">
        <v>188</v>
      </c>
      <c r="E3142" s="86" t="s">
        <v>2441</v>
      </c>
      <c r="F3142" s="86" t="s">
        <v>2441</v>
      </c>
      <c r="G3142" s="86" t="s">
        <v>2441</v>
      </c>
      <c r="H3142" s="143">
        <v>237</v>
      </c>
      <c r="I3142" s="86" t="s">
        <v>2374</v>
      </c>
      <c r="J3142" s="1" t="s">
        <v>3322</v>
      </c>
      <c r="K3142" s="1" t="s">
        <v>3269</v>
      </c>
      <c r="L3142" s="1" t="s">
        <v>35</v>
      </c>
      <c r="M3142" s="86" t="s">
        <v>2438</v>
      </c>
      <c r="N3142" s="86"/>
      <c r="O3142" s="47" t="s">
        <v>45</v>
      </c>
      <c r="P3142" s="47" t="s">
        <v>46</v>
      </c>
      <c r="Q3142" s="14">
        <v>0.01</v>
      </c>
      <c r="R3142" s="143"/>
      <c r="S3142" s="47"/>
      <c r="T3142" s="6">
        <v>138973.15797153162</v>
      </c>
      <c r="U3142" s="6"/>
      <c r="V3142" s="6">
        <v>0</v>
      </c>
      <c r="W3142" s="6">
        <f t="shared" si="489"/>
        <v>138973.15797153162</v>
      </c>
      <c r="X3142" s="6">
        <f t="shared" si="485"/>
        <v>0</v>
      </c>
      <c r="Y3142" s="13">
        <f t="shared" si="490"/>
        <v>0</v>
      </c>
      <c r="Z3142" s="14">
        <v>0</v>
      </c>
      <c r="AA3142" s="6">
        <v>0</v>
      </c>
      <c r="AB3142" s="4">
        <f t="shared" si="491"/>
        <v>0</v>
      </c>
      <c r="AC3142" s="4">
        <f t="shared" si="487"/>
        <v>0</v>
      </c>
      <c r="AD3142" s="6">
        <v>0</v>
      </c>
      <c r="AE3142" s="2">
        <f>VLOOKUP(I3142,[1]媒体政策预估表!A:N,MATCH(O3142,[1]媒体政策预估表!$A$2:$M$2,0),0)</f>
        <v>0.06</v>
      </c>
      <c r="AF3142" s="6">
        <f t="shared" si="488"/>
        <v>0</v>
      </c>
      <c r="AG3142" s="14">
        <v>0.37</v>
      </c>
      <c r="AH3142" s="6">
        <f t="shared" si="486"/>
        <v>0</v>
      </c>
      <c r="AI3142" s="47"/>
      <c r="AJ3142" s="126" t="e">
        <v>#N/A</v>
      </c>
      <c r="AK3142" s="80">
        <f t="shared" si="492"/>
        <v>0</v>
      </c>
      <c r="AM3142" s="85"/>
    </row>
    <row r="3143" spans="1:39" hidden="1" x14ac:dyDescent="0.3">
      <c r="A3143" s="89" t="s">
        <v>3397</v>
      </c>
      <c r="B3143" s="86" t="s">
        <v>35</v>
      </c>
      <c r="C3143" s="86" t="s">
        <v>187</v>
      </c>
      <c r="D3143" s="86" t="s">
        <v>188</v>
      </c>
      <c r="E3143" s="86" t="s">
        <v>2442</v>
      </c>
      <c r="F3143" s="86" t="s">
        <v>2443</v>
      </c>
      <c r="G3143" s="86" t="s">
        <v>2442</v>
      </c>
      <c r="H3143" s="144">
        <v>237</v>
      </c>
      <c r="I3143" s="86" t="s">
        <v>2374</v>
      </c>
      <c r="J3143" s="1" t="s">
        <v>3322</v>
      </c>
      <c r="K3143" s="1" t="s">
        <v>3269</v>
      </c>
      <c r="L3143" s="1" t="s">
        <v>35</v>
      </c>
      <c r="M3143" s="86" t="s">
        <v>2438</v>
      </c>
      <c r="N3143" s="86"/>
      <c r="O3143" s="47" t="s">
        <v>45</v>
      </c>
      <c r="P3143" s="47" t="s">
        <v>41</v>
      </c>
      <c r="Q3143" s="14">
        <v>0</v>
      </c>
      <c r="R3143" s="143"/>
      <c r="S3143" s="47"/>
      <c r="T3143" s="6">
        <v>125702.18339999999</v>
      </c>
      <c r="U3143" s="6"/>
      <c r="V3143" s="6">
        <v>70927.540000000037</v>
      </c>
      <c r="W3143" s="6">
        <f t="shared" si="489"/>
        <v>54774.643399999957</v>
      </c>
      <c r="X3143" s="6">
        <f t="shared" si="485"/>
        <v>51771.927007299295</v>
      </c>
      <c r="Y3143" s="13">
        <f t="shared" si="490"/>
        <v>9.7007299300457817E-2</v>
      </c>
      <c r="Z3143" s="14">
        <v>0</v>
      </c>
      <c r="AA3143" s="6">
        <v>0</v>
      </c>
      <c r="AB3143" s="4">
        <f t="shared" si="491"/>
        <v>51771.927007299295</v>
      </c>
      <c r="AC3143" s="4">
        <f t="shared" si="487"/>
        <v>19155.612992700742</v>
      </c>
      <c r="AD3143" s="6">
        <v>51771.829999999994</v>
      </c>
      <c r="AE3143" s="2">
        <f>VLOOKUP(I3143,[1]媒体政策预估表!A:N,MATCH(O3143,[1]媒体政策预估表!$A$2:$M$2,0),0)</f>
        <v>0.06</v>
      </c>
      <c r="AF3143" s="6">
        <f t="shared" si="488"/>
        <v>3106.3097999999995</v>
      </c>
      <c r="AG3143" s="14">
        <v>0.37</v>
      </c>
      <c r="AH3143" s="6">
        <f t="shared" si="486"/>
        <v>51771.927007299295</v>
      </c>
      <c r="AI3143" s="47"/>
      <c r="AJ3143" s="126" t="e">
        <v>#N/A</v>
      </c>
      <c r="AK3143" s="80">
        <f t="shared" si="492"/>
        <v>0</v>
      </c>
      <c r="AM3143" s="85"/>
    </row>
    <row r="3144" spans="1:39" hidden="1" x14ac:dyDescent="0.3">
      <c r="A3144" s="89" t="s">
        <v>3397</v>
      </c>
      <c r="B3144" s="86" t="s">
        <v>35</v>
      </c>
      <c r="C3144" s="86" t="s">
        <v>187</v>
      </c>
      <c r="D3144" s="86" t="s">
        <v>188</v>
      </c>
      <c r="E3144" s="86" t="s">
        <v>2442</v>
      </c>
      <c r="F3144" s="86" t="s">
        <v>2443</v>
      </c>
      <c r="G3144" s="86" t="s">
        <v>2442</v>
      </c>
      <c r="H3144" s="143">
        <v>237</v>
      </c>
      <c r="I3144" s="86" t="s">
        <v>2374</v>
      </c>
      <c r="J3144" s="1" t="s">
        <v>3322</v>
      </c>
      <c r="K3144" s="1" t="s">
        <v>3269</v>
      </c>
      <c r="L3144" s="1" t="s">
        <v>35</v>
      </c>
      <c r="M3144" s="86" t="s">
        <v>2438</v>
      </c>
      <c r="N3144" s="86"/>
      <c r="O3144" s="47" t="s">
        <v>40</v>
      </c>
      <c r="P3144" s="47" t="s">
        <v>41</v>
      </c>
      <c r="Q3144" s="14">
        <v>0</v>
      </c>
      <c r="R3144" s="143"/>
      <c r="S3144" s="47"/>
      <c r="T3144" s="6">
        <v>19895.781699998079</v>
      </c>
      <c r="U3144" s="6"/>
      <c r="V3144" s="6">
        <v>0</v>
      </c>
      <c r="W3144" s="6">
        <f t="shared" si="489"/>
        <v>19895.781699998079</v>
      </c>
      <c r="X3144" s="6">
        <f t="shared" si="485"/>
        <v>0</v>
      </c>
      <c r="Y3144" s="13">
        <f t="shared" si="490"/>
        <v>0</v>
      </c>
      <c r="Z3144" s="14">
        <v>0</v>
      </c>
      <c r="AA3144" s="6">
        <v>0</v>
      </c>
      <c r="AB3144" s="4">
        <f t="shared" si="491"/>
        <v>0</v>
      </c>
      <c r="AC3144" s="4">
        <f t="shared" si="487"/>
        <v>0</v>
      </c>
      <c r="AD3144" s="6">
        <v>0</v>
      </c>
      <c r="AE3144" s="2">
        <f>VLOOKUP(I3144,[1]媒体政策预估表!A:N,MATCH(O3144,[1]媒体政策预估表!$A$2:$M$2,0),0)</f>
        <v>7.0000000000000007E-2</v>
      </c>
      <c r="AF3144" s="6">
        <f t="shared" si="488"/>
        <v>0</v>
      </c>
      <c r="AG3144" s="14">
        <v>0.4</v>
      </c>
      <c r="AH3144" s="6">
        <f t="shared" si="486"/>
        <v>0</v>
      </c>
      <c r="AI3144" s="47"/>
      <c r="AJ3144" s="126" t="e">
        <v>#N/A</v>
      </c>
      <c r="AK3144" s="80">
        <f t="shared" si="492"/>
        <v>0</v>
      </c>
      <c r="AM3144" s="85"/>
    </row>
    <row r="3145" spans="1:39" hidden="1" x14ac:dyDescent="0.3">
      <c r="A3145" s="89" t="s">
        <v>3408</v>
      </c>
      <c r="B3145" s="86" t="s">
        <v>35</v>
      </c>
      <c r="C3145" s="86" t="s">
        <v>187</v>
      </c>
      <c r="D3145" s="86" t="s">
        <v>188</v>
      </c>
      <c r="E3145" s="86" t="s">
        <v>201</v>
      </c>
      <c r="F3145" s="86" t="s">
        <v>201</v>
      </c>
      <c r="G3145" s="86" t="s">
        <v>201</v>
      </c>
      <c r="H3145" s="144">
        <v>237</v>
      </c>
      <c r="I3145" s="86" t="s">
        <v>2374</v>
      </c>
      <c r="J3145" s="1" t="s">
        <v>3322</v>
      </c>
      <c r="K3145" s="1" t="s">
        <v>3269</v>
      </c>
      <c r="L3145" s="1" t="s">
        <v>35</v>
      </c>
      <c r="M3145" s="86" t="s">
        <v>2438</v>
      </c>
      <c r="N3145" s="86"/>
      <c r="O3145" s="47" t="s">
        <v>40</v>
      </c>
      <c r="P3145" s="47" t="s">
        <v>46</v>
      </c>
      <c r="Q3145" s="14">
        <v>0.02</v>
      </c>
      <c r="R3145" s="143"/>
      <c r="S3145" s="47" t="s">
        <v>3424</v>
      </c>
      <c r="T3145" s="6">
        <v>112637.17999999993</v>
      </c>
      <c r="U3145" s="6">
        <v>50858.62</v>
      </c>
      <c r="V3145" s="6">
        <v>163109.21</v>
      </c>
      <c r="W3145" s="6">
        <f t="shared" si="489"/>
        <v>386.5899999999383</v>
      </c>
      <c r="X3145" s="6">
        <f>IF(P3145="折扣",V3145*Q3145,IF(P3145="返现",V3145,(V3145-U3145)/(1+Q3145+AG3145)))</f>
        <v>79049.711267605642</v>
      </c>
      <c r="Y3145" s="13">
        <f t="shared" si="490"/>
        <v>0</v>
      </c>
      <c r="Z3145" s="14">
        <v>0</v>
      </c>
      <c r="AA3145" s="6">
        <v>0</v>
      </c>
      <c r="AB3145" s="4">
        <f t="shared" si="491"/>
        <v>79049.711267605642</v>
      </c>
      <c r="AC3145" s="4">
        <f t="shared" si="487"/>
        <v>84059.49873239435</v>
      </c>
      <c r="AD3145" s="6">
        <v>114454.94000000002</v>
      </c>
      <c r="AE3145" s="2">
        <f>VLOOKUP(I3145,[1]媒体政策预估表!A:N,MATCH(O3145,[1]媒体政策预估表!$A$2:$M$2,0),0)</f>
        <v>7.0000000000000007E-2</v>
      </c>
      <c r="AF3145" s="6">
        <f t="shared" si="488"/>
        <v>8011.8458000000019</v>
      </c>
      <c r="AG3145" s="14">
        <v>0.4</v>
      </c>
      <c r="AH3145" s="6">
        <f>(V3145-U3145)/(1+AG3145)</f>
        <v>80178.992857142861</v>
      </c>
      <c r="AI3145" s="47"/>
      <c r="AJ3145" s="126" t="e">
        <v>#N/A</v>
      </c>
      <c r="AK3145" s="80">
        <f t="shared" si="492"/>
        <v>0</v>
      </c>
      <c r="AM3145" s="85"/>
    </row>
    <row r="3146" spans="1:39" hidden="1" x14ac:dyDescent="0.3">
      <c r="A3146" s="89" t="s">
        <v>3397</v>
      </c>
      <c r="B3146" s="86" t="s">
        <v>35</v>
      </c>
      <c r="C3146" s="86" t="s">
        <v>187</v>
      </c>
      <c r="D3146" s="86" t="s">
        <v>188</v>
      </c>
      <c r="E3146" s="86" t="s">
        <v>202</v>
      </c>
      <c r="F3146" s="86" t="s">
        <v>202</v>
      </c>
      <c r="G3146" s="86" t="s">
        <v>202</v>
      </c>
      <c r="H3146" s="143">
        <v>237</v>
      </c>
      <c r="I3146" s="86" t="s">
        <v>2374</v>
      </c>
      <c r="J3146" s="1" t="s">
        <v>3322</v>
      </c>
      <c r="K3146" s="1" t="s">
        <v>3269</v>
      </c>
      <c r="L3146" s="1" t="s">
        <v>35</v>
      </c>
      <c r="M3146" s="86" t="s">
        <v>2438</v>
      </c>
      <c r="N3146" s="86"/>
      <c r="O3146" s="47" t="s">
        <v>45</v>
      </c>
      <c r="P3146" s="47" t="s">
        <v>46</v>
      </c>
      <c r="Q3146" s="14">
        <v>0.03</v>
      </c>
      <c r="R3146" s="143"/>
      <c r="S3146" s="47"/>
      <c r="T3146" s="6">
        <v>515805.10739999986</v>
      </c>
      <c r="U3146" s="6"/>
      <c r="V3146" s="6">
        <v>0</v>
      </c>
      <c r="W3146" s="6">
        <f t="shared" si="489"/>
        <v>515805.10739999986</v>
      </c>
      <c r="X3146" s="6">
        <f t="shared" si="485"/>
        <v>0</v>
      </c>
      <c r="Y3146" s="13">
        <f t="shared" si="490"/>
        <v>0</v>
      </c>
      <c r="Z3146" s="14">
        <v>0</v>
      </c>
      <c r="AA3146" s="6">
        <v>0</v>
      </c>
      <c r="AB3146" s="4">
        <f t="shared" si="491"/>
        <v>0</v>
      </c>
      <c r="AC3146" s="4">
        <f t="shared" si="487"/>
        <v>0</v>
      </c>
      <c r="AD3146" s="6">
        <v>0</v>
      </c>
      <c r="AE3146" s="2">
        <f>VLOOKUP(I3146,[1]媒体政策预估表!A:N,MATCH(O3146,[1]媒体政策预估表!$A$2:$M$2,0),0)</f>
        <v>0.06</v>
      </c>
      <c r="AF3146" s="6">
        <f t="shared" si="488"/>
        <v>0</v>
      </c>
      <c r="AG3146" s="14">
        <v>0.37</v>
      </c>
      <c r="AH3146" s="6">
        <f t="shared" si="486"/>
        <v>0</v>
      </c>
      <c r="AI3146" s="47"/>
      <c r="AJ3146" s="126" t="e">
        <v>#N/A</v>
      </c>
      <c r="AK3146" s="80">
        <f t="shared" si="492"/>
        <v>0</v>
      </c>
      <c r="AM3146" s="85"/>
    </row>
    <row r="3147" spans="1:39" hidden="1" x14ac:dyDescent="0.3">
      <c r="A3147" s="89" t="s">
        <v>3408</v>
      </c>
      <c r="B3147" s="86" t="s">
        <v>35</v>
      </c>
      <c r="C3147" s="86" t="s">
        <v>187</v>
      </c>
      <c r="D3147" s="86" t="s">
        <v>188</v>
      </c>
      <c r="E3147" s="86" t="s">
        <v>2452</v>
      </c>
      <c r="F3147" s="86" t="s">
        <v>2452</v>
      </c>
      <c r="G3147" s="86" t="s">
        <v>2452</v>
      </c>
      <c r="H3147" s="144">
        <v>237</v>
      </c>
      <c r="I3147" s="86" t="s">
        <v>2374</v>
      </c>
      <c r="J3147" s="1" t="s">
        <v>3322</v>
      </c>
      <c r="K3147" s="1" t="s">
        <v>3269</v>
      </c>
      <c r="L3147" s="1" t="s">
        <v>35</v>
      </c>
      <c r="M3147" s="86" t="s">
        <v>2438</v>
      </c>
      <c r="N3147" s="86"/>
      <c r="O3147" s="47" t="s">
        <v>45</v>
      </c>
      <c r="P3147" s="47" t="s">
        <v>46</v>
      </c>
      <c r="Q3147" s="14">
        <v>5.04E-2</v>
      </c>
      <c r="R3147" s="143"/>
      <c r="S3147" s="47"/>
      <c r="T3147" s="6">
        <v>2023.4731999999858</v>
      </c>
      <c r="U3147" s="6"/>
      <c r="V3147" s="6">
        <v>2023.4731999999858</v>
      </c>
      <c r="W3147" s="6">
        <f t="shared" si="489"/>
        <v>0</v>
      </c>
      <c r="X3147" s="6">
        <f t="shared" ref="X3147:X3210" si="493">IF(P3147="折扣",V3147*Q3147,IF(P3147="返现",V3147,V3147/(1+Q3147+AG3147)))</f>
        <v>1424.5798366657182</v>
      </c>
      <c r="Y3147" s="13">
        <f t="shared" si="490"/>
        <v>1424.5798366657182</v>
      </c>
      <c r="Z3147" s="14">
        <v>0</v>
      </c>
      <c r="AA3147" s="6">
        <v>0</v>
      </c>
      <c r="AB3147" s="4">
        <f t="shared" si="491"/>
        <v>1424.5798366657182</v>
      </c>
      <c r="AC3147" s="4">
        <f t="shared" si="487"/>
        <v>598.89336333426763</v>
      </c>
      <c r="AD3147" s="6">
        <v>0</v>
      </c>
      <c r="AE3147" s="2">
        <f>VLOOKUP(I3147,[1]媒体政策预估表!A:N,MATCH(O3147,[1]媒体政策预估表!$A$2:$M$2,0),0)</f>
        <v>0.06</v>
      </c>
      <c r="AF3147" s="6">
        <f t="shared" si="488"/>
        <v>0</v>
      </c>
      <c r="AG3147" s="14">
        <v>0.37</v>
      </c>
      <c r="AH3147" s="6">
        <f t="shared" ref="AH3147:AH3210" si="494">V3147/(1+AG3147)</f>
        <v>1476.987737226267</v>
      </c>
      <c r="AI3147" s="47"/>
      <c r="AJ3147" s="126" t="e">
        <v>#N/A</v>
      </c>
      <c r="AK3147" s="80">
        <f t="shared" si="492"/>
        <v>0</v>
      </c>
      <c r="AM3147" s="85"/>
    </row>
    <row r="3148" spans="1:39" hidden="1" x14ac:dyDescent="0.3">
      <c r="A3148" s="89" t="s">
        <v>3397</v>
      </c>
      <c r="B3148" s="86" t="s">
        <v>35</v>
      </c>
      <c r="C3148" s="86" t="s">
        <v>187</v>
      </c>
      <c r="D3148" s="86" t="s">
        <v>188</v>
      </c>
      <c r="E3148" s="86" t="s">
        <v>2452</v>
      </c>
      <c r="F3148" s="86" t="s">
        <v>2452</v>
      </c>
      <c r="G3148" s="86" t="s">
        <v>2452</v>
      </c>
      <c r="H3148" s="144">
        <v>237</v>
      </c>
      <c r="I3148" s="86" t="s">
        <v>2374</v>
      </c>
      <c r="J3148" s="1" t="s">
        <v>3322</v>
      </c>
      <c r="K3148" s="1" t="s">
        <v>3269</v>
      </c>
      <c r="L3148" s="1" t="s">
        <v>35</v>
      </c>
      <c r="M3148" s="86" t="s">
        <v>2438</v>
      </c>
      <c r="N3148" s="86"/>
      <c r="O3148" s="47" t="s">
        <v>40</v>
      </c>
      <c r="P3148" s="47" t="s">
        <v>46</v>
      </c>
      <c r="Q3148" s="14">
        <v>5.2200000000000003E-2</v>
      </c>
      <c r="R3148" s="143"/>
      <c r="S3148" s="47"/>
      <c r="T3148" s="6">
        <v>204630.62399999972</v>
      </c>
      <c r="U3148" s="6"/>
      <c r="V3148" s="6">
        <v>204630.62399999972</v>
      </c>
      <c r="W3148" s="6">
        <f t="shared" si="489"/>
        <v>0</v>
      </c>
      <c r="X3148" s="6">
        <f t="shared" si="493"/>
        <v>140910.77262085094</v>
      </c>
      <c r="Y3148" s="13">
        <f t="shared" si="490"/>
        <v>140910.77262085094</v>
      </c>
      <c r="Z3148" s="14">
        <v>0</v>
      </c>
      <c r="AA3148" s="6">
        <v>0</v>
      </c>
      <c r="AB3148" s="4">
        <f t="shared" si="491"/>
        <v>140910.77262085094</v>
      </c>
      <c r="AC3148" s="4">
        <f t="shared" ref="AC3148:AC3211" si="495">IF(P3148="返现",X3148*Q3148,V3148-X3148)</f>
        <v>63719.851379148779</v>
      </c>
      <c r="AD3148" s="6">
        <v>0</v>
      </c>
      <c r="AE3148" s="2">
        <f>VLOOKUP(I3148,[1]媒体政策预估表!A:N,MATCH(O3148,[1]媒体政策预估表!$A$2:$M$2,0),0)</f>
        <v>7.0000000000000007E-2</v>
      </c>
      <c r="AF3148" s="6">
        <f t="shared" ref="AF3148:AF3211" si="496">AD3148*AE3148</f>
        <v>0</v>
      </c>
      <c r="AG3148" s="14">
        <v>0.4</v>
      </c>
      <c r="AH3148" s="6">
        <f t="shared" si="494"/>
        <v>146164.73142857125</v>
      </c>
      <c r="AI3148" s="47"/>
      <c r="AJ3148" s="126" t="e">
        <v>#N/A</v>
      </c>
      <c r="AK3148" s="80">
        <f t="shared" si="492"/>
        <v>0</v>
      </c>
      <c r="AM3148" s="85"/>
    </row>
    <row r="3149" spans="1:39" hidden="1" x14ac:dyDescent="0.3">
      <c r="A3149" s="89" t="s">
        <v>3397</v>
      </c>
      <c r="B3149" s="86" t="s">
        <v>35</v>
      </c>
      <c r="C3149" s="86" t="s">
        <v>187</v>
      </c>
      <c r="D3149" s="86" t="s">
        <v>188</v>
      </c>
      <c r="E3149" s="86" t="s">
        <v>2453</v>
      </c>
      <c r="F3149" s="86" t="s">
        <v>2453</v>
      </c>
      <c r="G3149" s="86" t="s">
        <v>2453</v>
      </c>
      <c r="H3149" s="143">
        <v>237</v>
      </c>
      <c r="I3149" s="86" t="s">
        <v>2374</v>
      </c>
      <c r="J3149" s="1" t="s">
        <v>3322</v>
      </c>
      <c r="K3149" s="1" t="s">
        <v>3269</v>
      </c>
      <c r="L3149" s="1" t="s">
        <v>35</v>
      </c>
      <c r="M3149" s="86" t="s">
        <v>2438</v>
      </c>
      <c r="N3149" s="86"/>
      <c r="O3149" s="47" t="s">
        <v>40</v>
      </c>
      <c r="P3149" s="47" t="s">
        <v>46</v>
      </c>
      <c r="Q3149" s="14">
        <v>0.01</v>
      </c>
      <c r="R3149" s="143"/>
      <c r="S3149" s="47"/>
      <c r="T3149" s="6">
        <v>86131.845999999932</v>
      </c>
      <c r="U3149" s="6"/>
      <c r="V3149" s="6">
        <v>0</v>
      </c>
      <c r="W3149" s="6">
        <f t="shared" si="489"/>
        <v>86131.845999999932</v>
      </c>
      <c r="X3149" s="6">
        <f t="shared" si="493"/>
        <v>0</v>
      </c>
      <c r="Y3149" s="13">
        <f t="shared" si="490"/>
        <v>0</v>
      </c>
      <c r="Z3149" s="14">
        <v>0</v>
      </c>
      <c r="AA3149" s="6">
        <v>0</v>
      </c>
      <c r="AB3149" s="4">
        <f t="shared" si="491"/>
        <v>0</v>
      </c>
      <c r="AC3149" s="4">
        <f t="shared" si="495"/>
        <v>0</v>
      </c>
      <c r="AD3149" s="6">
        <v>0</v>
      </c>
      <c r="AE3149" s="2">
        <f>VLOOKUP(I3149,[1]媒体政策预估表!A:N,MATCH(O3149,[1]媒体政策预估表!$A$2:$M$2,0),0)</f>
        <v>7.0000000000000007E-2</v>
      </c>
      <c r="AF3149" s="6">
        <f t="shared" si="496"/>
        <v>0</v>
      </c>
      <c r="AG3149" s="14">
        <v>0.4</v>
      </c>
      <c r="AH3149" s="6">
        <f t="shared" si="494"/>
        <v>0</v>
      </c>
      <c r="AI3149" s="47"/>
      <c r="AJ3149" s="126" t="e">
        <v>#N/A</v>
      </c>
      <c r="AK3149" s="80">
        <f t="shared" si="492"/>
        <v>0</v>
      </c>
      <c r="AM3149" s="85"/>
    </row>
    <row r="3150" spans="1:39" hidden="1" x14ac:dyDescent="0.3">
      <c r="A3150" s="89" t="s">
        <v>3397</v>
      </c>
      <c r="B3150" s="86" t="s">
        <v>35</v>
      </c>
      <c r="C3150" s="86" t="s">
        <v>187</v>
      </c>
      <c r="D3150" s="86" t="s">
        <v>188</v>
      </c>
      <c r="E3150" s="86" t="s">
        <v>2454</v>
      </c>
      <c r="F3150" s="86" t="s">
        <v>2454</v>
      </c>
      <c r="G3150" s="86" t="s">
        <v>2454</v>
      </c>
      <c r="H3150" s="144">
        <v>237</v>
      </c>
      <c r="I3150" s="86" t="s">
        <v>2374</v>
      </c>
      <c r="J3150" s="1" t="s">
        <v>3322</v>
      </c>
      <c r="K3150" s="1" t="s">
        <v>3269</v>
      </c>
      <c r="L3150" s="1" t="s">
        <v>35</v>
      </c>
      <c r="M3150" s="86" t="s">
        <v>2438</v>
      </c>
      <c r="N3150" s="86"/>
      <c r="O3150" s="47" t="s">
        <v>40</v>
      </c>
      <c r="P3150" s="47" t="s">
        <v>46</v>
      </c>
      <c r="Q3150" s="14">
        <v>0.08</v>
      </c>
      <c r="R3150" s="143"/>
      <c r="S3150" s="47"/>
      <c r="T3150" s="6">
        <v>482738.92999999993</v>
      </c>
      <c r="U3150" s="6"/>
      <c r="V3150" s="6">
        <v>20815.149999999994</v>
      </c>
      <c r="W3150" s="6">
        <f t="shared" si="489"/>
        <v>461923.77999999991</v>
      </c>
      <c r="X3150" s="6">
        <f t="shared" si="493"/>
        <v>14064.290540540536</v>
      </c>
      <c r="Y3150" s="13">
        <f t="shared" si="490"/>
        <v>0</v>
      </c>
      <c r="Z3150" s="14">
        <v>0</v>
      </c>
      <c r="AA3150" s="6">
        <v>0</v>
      </c>
      <c r="AB3150" s="4">
        <f t="shared" si="491"/>
        <v>14064.290540540536</v>
      </c>
      <c r="AC3150" s="4">
        <f t="shared" si="495"/>
        <v>6750.8594594594579</v>
      </c>
      <c r="AD3150" s="6">
        <v>14864.96</v>
      </c>
      <c r="AE3150" s="2">
        <f>VLOOKUP(I3150,[1]媒体政策预估表!A:N,MATCH(O3150,[1]媒体政策预估表!$A$2:$M$2,0),0)</f>
        <v>7.0000000000000007E-2</v>
      </c>
      <c r="AF3150" s="6">
        <f t="shared" si="496"/>
        <v>1040.5472</v>
      </c>
      <c r="AG3150" s="14">
        <v>0.4</v>
      </c>
      <c r="AH3150" s="6">
        <f t="shared" si="494"/>
        <v>14867.964285714283</v>
      </c>
      <c r="AI3150" s="47"/>
      <c r="AJ3150" s="126" t="e">
        <v>#N/A</v>
      </c>
      <c r="AK3150" s="80">
        <f t="shared" si="492"/>
        <v>0</v>
      </c>
      <c r="AM3150" s="85"/>
    </row>
    <row r="3151" spans="1:39" hidden="1" x14ac:dyDescent="0.3">
      <c r="A3151" s="89" t="s">
        <v>3408</v>
      </c>
      <c r="B3151" s="86" t="s">
        <v>35</v>
      </c>
      <c r="C3151" s="86" t="s">
        <v>187</v>
      </c>
      <c r="D3151" s="86" t="s">
        <v>208</v>
      </c>
      <c r="E3151" s="86" t="s">
        <v>2462</v>
      </c>
      <c r="F3151" s="86" t="s">
        <v>2462</v>
      </c>
      <c r="G3151" s="86" t="s">
        <v>2462</v>
      </c>
      <c r="H3151" s="144">
        <v>237</v>
      </c>
      <c r="I3151" s="86" t="s">
        <v>2374</v>
      </c>
      <c r="J3151" s="1" t="s">
        <v>3322</v>
      </c>
      <c r="K3151" s="1" t="s">
        <v>3269</v>
      </c>
      <c r="L3151" s="1" t="s">
        <v>35</v>
      </c>
      <c r="M3151" s="86" t="s">
        <v>2462</v>
      </c>
      <c r="N3151" s="86"/>
      <c r="O3151" s="47" t="s">
        <v>45</v>
      </c>
      <c r="P3151" s="47" t="s">
        <v>46</v>
      </c>
      <c r="Q3151" s="14">
        <v>0.05</v>
      </c>
      <c r="R3151" s="143"/>
      <c r="S3151" s="47"/>
      <c r="T3151" s="6">
        <v>15787.455000000002</v>
      </c>
      <c r="U3151" s="6"/>
      <c r="V3151" s="6">
        <v>15781.980000000001</v>
      </c>
      <c r="W3151" s="6">
        <f t="shared" si="489"/>
        <v>5.4750000000003638</v>
      </c>
      <c r="X3151" s="6">
        <f t="shared" si="493"/>
        <v>13723.460869565217</v>
      </c>
      <c r="Y3151" s="13">
        <f t="shared" si="490"/>
        <v>0</v>
      </c>
      <c r="Z3151" s="14">
        <v>0</v>
      </c>
      <c r="AA3151" s="6">
        <v>0</v>
      </c>
      <c r="AB3151" s="4">
        <f t="shared" si="491"/>
        <v>13723.460869565217</v>
      </c>
      <c r="AC3151" s="4">
        <f t="shared" si="495"/>
        <v>2058.5191304347845</v>
      </c>
      <c r="AD3151" s="6">
        <v>14347.240000000002</v>
      </c>
      <c r="AE3151" s="2">
        <f>VLOOKUP(I3151,[1]媒体政策预估表!A:N,MATCH(O3151,[1]媒体政策预估表!$A$2:$M$2,0),0)</f>
        <v>0.06</v>
      </c>
      <c r="AF3151" s="6">
        <f t="shared" si="496"/>
        <v>860.83440000000007</v>
      </c>
      <c r="AG3151" s="14">
        <v>0.1</v>
      </c>
      <c r="AH3151" s="6">
        <f t="shared" si="494"/>
        <v>14347.254545454545</v>
      </c>
      <c r="AI3151" s="47"/>
      <c r="AJ3151" s="126" t="e">
        <v>#N/A</v>
      </c>
      <c r="AK3151" s="80">
        <f t="shared" si="492"/>
        <v>0</v>
      </c>
      <c r="AM3151" s="85"/>
    </row>
    <row r="3152" spans="1:39" hidden="1" x14ac:dyDescent="0.3">
      <c r="A3152" s="89" t="s">
        <v>3408</v>
      </c>
      <c r="B3152" s="86" t="s">
        <v>35</v>
      </c>
      <c r="C3152" s="86" t="s">
        <v>187</v>
      </c>
      <c r="D3152" s="86" t="s">
        <v>208</v>
      </c>
      <c r="E3152" s="86" t="s">
        <v>202</v>
      </c>
      <c r="F3152" s="86" t="s">
        <v>2464</v>
      </c>
      <c r="G3152" s="86" t="s">
        <v>202</v>
      </c>
      <c r="H3152" s="143">
        <v>237</v>
      </c>
      <c r="I3152" s="86" t="s">
        <v>2374</v>
      </c>
      <c r="J3152" s="1" t="s">
        <v>3322</v>
      </c>
      <c r="K3152" s="1" t="s">
        <v>3269</v>
      </c>
      <c r="L3152" s="1" t="s">
        <v>35</v>
      </c>
      <c r="M3152" s="86" t="s">
        <v>2438</v>
      </c>
      <c r="N3152" s="86"/>
      <c r="O3152" s="47" t="s">
        <v>45</v>
      </c>
      <c r="P3152" s="47" t="s">
        <v>46</v>
      </c>
      <c r="Q3152" s="14">
        <v>0.05</v>
      </c>
      <c r="R3152" s="143"/>
      <c r="S3152" s="47"/>
      <c r="T3152" s="6">
        <v>55994.777000000002</v>
      </c>
      <c r="U3152" s="6"/>
      <c r="V3152" s="6">
        <v>0</v>
      </c>
      <c r="W3152" s="6">
        <f t="shared" si="489"/>
        <v>55994.777000000002</v>
      </c>
      <c r="X3152" s="6">
        <f t="shared" si="493"/>
        <v>0</v>
      </c>
      <c r="Y3152" s="13">
        <f t="shared" si="490"/>
        <v>0</v>
      </c>
      <c r="Z3152" s="14">
        <v>0</v>
      </c>
      <c r="AA3152" s="6">
        <v>0</v>
      </c>
      <c r="AB3152" s="4">
        <f t="shared" si="491"/>
        <v>0</v>
      </c>
      <c r="AC3152" s="4">
        <f t="shared" si="495"/>
        <v>0</v>
      </c>
      <c r="AD3152" s="6">
        <v>0</v>
      </c>
      <c r="AE3152" s="2">
        <f>VLOOKUP(I3152,[1]媒体政策预估表!A:N,MATCH(O3152,[1]媒体政策预估表!$A$2:$M$2,0),0)</f>
        <v>0.06</v>
      </c>
      <c r="AF3152" s="6">
        <f t="shared" si="496"/>
        <v>0</v>
      </c>
      <c r="AG3152" s="14">
        <v>0.37</v>
      </c>
      <c r="AH3152" s="6">
        <f t="shared" si="494"/>
        <v>0</v>
      </c>
      <c r="AI3152" s="47"/>
      <c r="AJ3152" s="126" t="e">
        <v>#N/A</v>
      </c>
      <c r="AK3152" s="80">
        <f t="shared" si="492"/>
        <v>0</v>
      </c>
      <c r="AM3152" s="85"/>
    </row>
    <row r="3153" spans="1:39" hidden="1" x14ac:dyDescent="0.3">
      <c r="A3153" s="89" t="s">
        <v>3397</v>
      </c>
      <c r="B3153" s="86" t="s">
        <v>35</v>
      </c>
      <c r="C3153" s="86" t="s">
        <v>187</v>
      </c>
      <c r="D3153" s="86" t="s">
        <v>208</v>
      </c>
      <c r="E3153" s="86" t="s">
        <v>2467</v>
      </c>
      <c r="F3153" s="86" t="s">
        <v>2467</v>
      </c>
      <c r="G3153" s="86" t="s">
        <v>2467</v>
      </c>
      <c r="H3153" s="144">
        <v>237</v>
      </c>
      <c r="I3153" s="86" t="s">
        <v>2374</v>
      </c>
      <c r="J3153" s="1" t="s">
        <v>3322</v>
      </c>
      <c r="K3153" s="1" t="s">
        <v>3269</v>
      </c>
      <c r="L3153" s="1" t="s">
        <v>35</v>
      </c>
      <c r="M3153" s="86" t="s">
        <v>2438</v>
      </c>
      <c r="N3153" s="86"/>
      <c r="O3153" s="47" t="s">
        <v>45</v>
      </c>
      <c r="P3153" s="47" t="s">
        <v>46</v>
      </c>
      <c r="Q3153" s="14">
        <v>0.05</v>
      </c>
      <c r="R3153" s="143"/>
      <c r="S3153" s="47"/>
      <c r="T3153" s="6">
        <v>26553.028200000008</v>
      </c>
      <c r="U3153" s="6"/>
      <c r="V3153" s="6">
        <v>15127.939999999999</v>
      </c>
      <c r="W3153" s="6">
        <f t="shared" si="489"/>
        <v>11425.088200000009</v>
      </c>
      <c r="X3153" s="6">
        <f t="shared" si="493"/>
        <v>10653.478873239435</v>
      </c>
      <c r="Y3153" s="13">
        <f t="shared" si="490"/>
        <v>0</v>
      </c>
      <c r="Z3153" s="14">
        <v>0</v>
      </c>
      <c r="AA3153" s="6">
        <v>0</v>
      </c>
      <c r="AB3153" s="4">
        <f t="shared" si="491"/>
        <v>10653.478873239435</v>
      </c>
      <c r="AC3153" s="4">
        <f t="shared" si="495"/>
        <v>4474.4611267605633</v>
      </c>
      <c r="AD3153" s="6">
        <v>11042.28</v>
      </c>
      <c r="AE3153" s="2">
        <f>VLOOKUP(I3153,[1]媒体政策预估表!A:N,MATCH(O3153,[1]媒体政策预估表!$A$2:$M$2,0),0)</f>
        <v>0.06</v>
      </c>
      <c r="AF3153" s="6">
        <f t="shared" si="496"/>
        <v>662.53679999999997</v>
      </c>
      <c r="AG3153" s="14">
        <v>0.37</v>
      </c>
      <c r="AH3153" s="6">
        <f t="shared" si="494"/>
        <v>11042.291970802919</v>
      </c>
      <c r="AI3153" s="47"/>
      <c r="AJ3153" s="126" t="e">
        <v>#N/A</v>
      </c>
      <c r="AK3153" s="80">
        <f t="shared" si="492"/>
        <v>0</v>
      </c>
      <c r="AM3153" s="85"/>
    </row>
    <row r="3154" spans="1:39" hidden="1" x14ac:dyDescent="0.3">
      <c r="A3154" s="89" t="s">
        <v>3397</v>
      </c>
      <c r="B3154" s="86" t="s">
        <v>35</v>
      </c>
      <c r="C3154" s="86" t="s">
        <v>59</v>
      </c>
      <c r="D3154" s="86" t="s">
        <v>60</v>
      </c>
      <c r="E3154" s="86" t="s">
        <v>2470</v>
      </c>
      <c r="F3154" s="86" t="s">
        <v>2470</v>
      </c>
      <c r="G3154" s="86" t="s">
        <v>2470</v>
      </c>
      <c r="H3154" s="144">
        <v>237</v>
      </c>
      <c r="I3154" s="86" t="s">
        <v>2374</v>
      </c>
      <c r="J3154" s="1" t="s">
        <v>3322</v>
      </c>
      <c r="K3154" s="1" t="s">
        <v>3269</v>
      </c>
      <c r="L3154" s="1" t="s">
        <v>35</v>
      </c>
      <c r="M3154" s="86" t="s">
        <v>2471</v>
      </c>
      <c r="N3154" s="86"/>
      <c r="O3154" s="47" t="s">
        <v>45</v>
      </c>
      <c r="P3154" s="47" t="s">
        <v>41</v>
      </c>
      <c r="Q3154" s="14">
        <v>0</v>
      </c>
      <c r="R3154" s="143"/>
      <c r="S3154" s="47"/>
      <c r="T3154" s="6">
        <v>67103.360000000015</v>
      </c>
      <c r="U3154" s="6"/>
      <c r="V3154" s="6">
        <v>67106.580000000016</v>
      </c>
      <c r="W3154" s="6">
        <f t="shared" si="489"/>
        <v>-3.2200000000011642</v>
      </c>
      <c r="X3154" s="6">
        <f t="shared" si="493"/>
        <v>67106.580000000016</v>
      </c>
      <c r="Y3154" s="13">
        <f t="shared" si="490"/>
        <v>0</v>
      </c>
      <c r="Z3154" s="14">
        <v>0</v>
      </c>
      <c r="AA3154" s="6">
        <v>0</v>
      </c>
      <c r="AB3154" s="4">
        <f t="shared" si="491"/>
        <v>67106.580000000016</v>
      </c>
      <c r="AC3154" s="4">
        <f t="shared" si="495"/>
        <v>0</v>
      </c>
      <c r="AD3154" s="6">
        <v>67106.580000000016</v>
      </c>
      <c r="AE3154" s="2">
        <f>VLOOKUP(I3154,[1]媒体政策预估表!A:N,MATCH(O3154,[1]媒体政策预估表!$A$2:$M$2,0),0)</f>
        <v>0.06</v>
      </c>
      <c r="AF3154" s="6">
        <f t="shared" si="496"/>
        <v>4026.3948000000009</v>
      </c>
      <c r="AG3154" s="9">
        <v>0</v>
      </c>
      <c r="AH3154" s="6">
        <f t="shared" si="494"/>
        <v>67106.580000000016</v>
      </c>
      <c r="AI3154" s="47"/>
      <c r="AJ3154" s="126" t="e">
        <v>#N/A</v>
      </c>
      <c r="AK3154" s="80">
        <f t="shared" si="492"/>
        <v>0</v>
      </c>
      <c r="AM3154" s="85"/>
    </row>
    <row r="3155" spans="1:39" hidden="1" x14ac:dyDescent="0.3">
      <c r="A3155" s="89" t="s">
        <v>3408</v>
      </c>
      <c r="B3155" s="86" t="s">
        <v>35</v>
      </c>
      <c r="C3155" s="86" t="s">
        <v>36</v>
      </c>
      <c r="D3155" s="86" t="s">
        <v>224</v>
      </c>
      <c r="E3155" s="86" t="s">
        <v>2377</v>
      </c>
      <c r="F3155" s="86" t="s">
        <v>2377</v>
      </c>
      <c r="G3155" s="86" t="s">
        <v>2377</v>
      </c>
      <c r="H3155" s="143">
        <v>237</v>
      </c>
      <c r="I3155" s="86" t="s">
        <v>2374</v>
      </c>
      <c r="J3155" s="1" t="s">
        <v>3322</v>
      </c>
      <c r="K3155" s="1" t="s">
        <v>3269</v>
      </c>
      <c r="L3155" s="1" t="s">
        <v>35</v>
      </c>
      <c r="M3155" s="86" t="s">
        <v>2377</v>
      </c>
      <c r="N3155" s="86"/>
      <c r="O3155" s="47" t="s">
        <v>40</v>
      </c>
      <c r="P3155" s="47" t="s">
        <v>41</v>
      </c>
      <c r="Q3155" s="14">
        <v>0</v>
      </c>
      <c r="R3155" s="143"/>
      <c r="S3155" s="47"/>
      <c r="T3155" s="6">
        <v>-277.01999999991676</v>
      </c>
      <c r="U3155" s="6"/>
      <c r="V3155" s="6">
        <v>0</v>
      </c>
      <c r="W3155" s="6">
        <f t="shared" si="489"/>
        <v>-277.01999999991676</v>
      </c>
      <c r="X3155" s="6">
        <f t="shared" si="493"/>
        <v>0</v>
      </c>
      <c r="Y3155" s="13">
        <f t="shared" si="490"/>
        <v>0</v>
      </c>
      <c r="Z3155" s="14">
        <v>0</v>
      </c>
      <c r="AA3155" s="6">
        <v>0</v>
      </c>
      <c r="AB3155" s="4">
        <f t="shared" si="491"/>
        <v>0</v>
      </c>
      <c r="AC3155" s="4">
        <f t="shared" si="495"/>
        <v>0</v>
      </c>
      <c r="AD3155" s="6">
        <v>0</v>
      </c>
      <c r="AE3155" s="2">
        <f>VLOOKUP(I3155,[1]媒体政策预估表!A:N,MATCH(O3155,[1]媒体政策预估表!$A$2:$M$2,0),0)</f>
        <v>7.0000000000000007E-2</v>
      </c>
      <c r="AF3155" s="6">
        <f t="shared" si="496"/>
        <v>0</v>
      </c>
      <c r="AG3155" s="9">
        <v>0</v>
      </c>
      <c r="AH3155" s="6">
        <f t="shared" si="494"/>
        <v>0</v>
      </c>
      <c r="AI3155" s="47"/>
      <c r="AJ3155" s="126" t="s">
        <v>4223</v>
      </c>
      <c r="AK3155" s="80">
        <f t="shared" si="492"/>
        <v>0</v>
      </c>
      <c r="AL3155" s="150"/>
      <c r="AM3155" s="85"/>
    </row>
    <row r="3156" spans="1:39" hidden="1" x14ac:dyDescent="0.3">
      <c r="A3156" s="89" t="s">
        <v>3397</v>
      </c>
      <c r="B3156" s="86" t="s">
        <v>35</v>
      </c>
      <c r="C3156" s="86" t="s">
        <v>36</v>
      </c>
      <c r="D3156" s="86" t="s">
        <v>54</v>
      </c>
      <c r="E3156" s="86" t="s">
        <v>2472</v>
      </c>
      <c r="F3156" s="86" t="s">
        <v>2472</v>
      </c>
      <c r="G3156" s="86" t="s">
        <v>2472</v>
      </c>
      <c r="H3156" s="143">
        <v>237</v>
      </c>
      <c r="I3156" s="86" t="s">
        <v>2374</v>
      </c>
      <c r="J3156" s="1" t="s">
        <v>3322</v>
      </c>
      <c r="K3156" s="1" t="s">
        <v>3269</v>
      </c>
      <c r="L3156" s="1" t="s">
        <v>35</v>
      </c>
      <c r="M3156" s="86" t="s">
        <v>2472</v>
      </c>
      <c r="N3156" s="86"/>
      <c r="O3156" s="47" t="s">
        <v>40</v>
      </c>
      <c r="P3156" s="47" t="s">
        <v>46</v>
      </c>
      <c r="Q3156" s="14">
        <v>0.03</v>
      </c>
      <c r="R3156" s="143"/>
      <c r="S3156" s="47"/>
      <c r="T3156" s="6">
        <v>54073.930000000058</v>
      </c>
      <c r="U3156" s="6"/>
      <c r="V3156" s="6">
        <v>0</v>
      </c>
      <c r="W3156" s="6">
        <f t="shared" si="489"/>
        <v>54073.930000000058</v>
      </c>
      <c r="X3156" s="6">
        <f t="shared" si="493"/>
        <v>0</v>
      </c>
      <c r="Y3156" s="13">
        <f t="shared" si="490"/>
        <v>0</v>
      </c>
      <c r="Z3156" s="14">
        <v>0</v>
      </c>
      <c r="AA3156" s="6">
        <v>0</v>
      </c>
      <c r="AB3156" s="4">
        <f t="shared" si="491"/>
        <v>0</v>
      </c>
      <c r="AC3156" s="4">
        <f t="shared" si="495"/>
        <v>0</v>
      </c>
      <c r="AD3156" s="6">
        <v>0</v>
      </c>
      <c r="AE3156" s="2">
        <f>VLOOKUP(I3156,[1]媒体政策预估表!A:N,MATCH(O3156,[1]媒体政策预估表!$A$2:$M$2,0),0)</f>
        <v>7.0000000000000007E-2</v>
      </c>
      <c r="AF3156" s="6">
        <f t="shared" si="496"/>
        <v>0</v>
      </c>
      <c r="AG3156" s="9">
        <v>0</v>
      </c>
      <c r="AH3156" s="6">
        <f t="shared" si="494"/>
        <v>0</v>
      </c>
      <c r="AI3156" s="47"/>
      <c r="AJ3156" s="126" t="e">
        <v>#N/A</v>
      </c>
      <c r="AK3156" s="80">
        <f t="shared" si="492"/>
        <v>0</v>
      </c>
      <c r="AM3156" s="85"/>
    </row>
    <row r="3157" spans="1:39" hidden="1" x14ac:dyDescent="0.3">
      <c r="A3157" s="89" t="s">
        <v>3397</v>
      </c>
      <c r="B3157" s="86" t="s">
        <v>35</v>
      </c>
      <c r="C3157" s="86" t="s">
        <v>36</v>
      </c>
      <c r="D3157" s="86" t="s">
        <v>54</v>
      </c>
      <c r="E3157" s="86" t="s">
        <v>265</v>
      </c>
      <c r="F3157" s="86" t="s">
        <v>265</v>
      </c>
      <c r="G3157" s="86" t="s">
        <v>265</v>
      </c>
      <c r="H3157" s="144">
        <v>237</v>
      </c>
      <c r="I3157" s="86" t="s">
        <v>2374</v>
      </c>
      <c r="J3157" s="1" t="s">
        <v>3322</v>
      </c>
      <c r="K3157" s="1" t="s">
        <v>3269</v>
      </c>
      <c r="L3157" s="1" t="s">
        <v>35</v>
      </c>
      <c r="M3157" s="86" t="s">
        <v>2473</v>
      </c>
      <c r="N3157" s="86"/>
      <c r="O3157" s="47" t="s">
        <v>40</v>
      </c>
      <c r="P3157" s="47" t="s">
        <v>46</v>
      </c>
      <c r="Q3157" s="14">
        <v>0.03</v>
      </c>
      <c r="R3157" s="143"/>
      <c r="S3157" s="47"/>
      <c r="T3157" s="6">
        <v>122690.31540000005</v>
      </c>
      <c r="U3157" s="6"/>
      <c r="V3157" s="6">
        <v>122093.26999999995</v>
      </c>
      <c r="W3157" s="6">
        <f t="shared" si="489"/>
        <v>597.04540000010456</v>
      </c>
      <c r="X3157" s="6">
        <f t="shared" si="493"/>
        <v>86590.971631205626</v>
      </c>
      <c r="Y3157" s="13">
        <f t="shared" si="490"/>
        <v>86590.971631205626</v>
      </c>
      <c r="Z3157" s="14">
        <v>0</v>
      </c>
      <c r="AA3157" s="6">
        <v>0</v>
      </c>
      <c r="AB3157" s="4">
        <f t="shared" si="491"/>
        <v>86590.971631205626</v>
      </c>
      <c r="AC3157" s="4">
        <f t="shared" si="495"/>
        <v>35502.29836879432</v>
      </c>
      <c r="AD3157" s="6">
        <v>0</v>
      </c>
      <c r="AE3157" s="2">
        <f>VLOOKUP(I3157,[1]媒体政策预估表!A:N,MATCH(O3157,[1]媒体政策预估表!$A$2:$M$2,0),0)</f>
        <v>7.0000000000000007E-2</v>
      </c>
      <c r="AF3157" s="6">
        <f t="shared" si="496"/>
        <v>0</v>
      </c>
      <c r="AG3157" s="9">
        <v>0.38</v>
      </c>
      <c r="AH3157" s="6">
        <f t="shared" si="494"/>
        <v>88473.384057970979</v>
      </c>
      <c r="AI3157" s="47"/>
      <c r="AJ3157" s="126" t="e">
        <v>#N/A</v>
      </c>
      <c r="AK3157" s="80">
        <f t="shared" si="492"/>
        <v>0</v>
      </c>
      <c r="AM3157" s="85"/>
    </row>
    <row r="3158" spans="1:39" hidden="1" x14ac:dyDescent="0.3">
      <c r="A3158" s="89" t="s">
        <v>3408</v>
      </c>
      <c r="B3158" s="86" t="s">
        <v>35</v>
      </c>
      <c r="C3158" s="86" t="s">
        <v>65</v>
      </c>
      <c r="D3158" s="86" t="s">
        <v>122</v>
      </c>
      <c r="E3158" s="86" t="s">
        <v>2475</v>
      </c>
      <c r="F3158" s="86" t="s">
        <v>2475</v>
      </c>
      <c r="G3158" s="86" t="s">
        <v>2475</v>
      </c>
      <c r="H3158" s="144">
        <v>237</v>
      </c>
      <c r="I3158" s="86" t="s">
        <v>2374</v>
      </c>
      <c r="J3158" s="1" t="s">
        <v>3322</v>
      </c>
      <c r="K3158" s="1" t="s">
        <v>3269</v>
      </c>
      <c r="L3158" s="1" t="s">
        <v>35</v>
      </c>
      <c r="M3158" s="86" t="s">
        <v>2475</v>
      </c>
      <c r="N3158" s="86"/>
      <c r="O3158" s="47" t="s">
        <v>45</v>
      </c>
      <c r="P3158" s="47" t="s">
        <v>3425</v>
      </c>
      <c r="Q3158" s="14">
        <v>0</v>
      </c>
      <c r="R3158" s="143"/>
      <c r="S3158" s="47"/>
      <c r="T3158" s="6">
        <v>2282.9800000000023</v>
      </c>
      <c r="U3158" s="6"/>
      <c r="V3158" s="6">
        <v>2289.42</v>
      </c>
      <c r="W3158" s="6">
        <f t="shared" si="489"/>
        <v>-6.4399999999977808</v>
      </c>
      <c r="X3158" s="6">
        <f t="shared" si="493"/>
        <v>2289.42</v>
      </c>
      <c r="Y3158" s="13">
        <f t="shared" si="490"/>
        <v>0</v>
      </c>
      <c r="Z3158" s="14">
        <v>0</v>
      </c>
      <c r="AA3158" s="6">
        <v>0</v>
      </c>
      <c r="AB3158" s="4">
        <f t="shared" si="491"/>
        <v>2289.42</v>
      </c>
      <c r="AC3158" s="4">
        <f t="shared" si="495"/>
        <v>0</v>
      </c>
      <c r="AD3158" s="6">
        <v>2289.42</v>
      </c>
      <c r="AE3158" s="2">
        <f>VLOOKUP(I3158,[1]媒体政策预估表!A:N,MATCH(O3158,[1]媒体政策预估表!$A$2:$M$2,0),0)</f>
        <v>0.06</v>
      </c>
      <c r="AF3158" s="6">
        <f t="shared" si="496"/>
        <v>137.36519999999999</v>
      </c>
      <c r="AG3158" s="9">
        <v>0</v>
      </c>
      <c r="AH3158" s="6">
        <f t="shared" si="494"/>
        <v>2289.42</v>
      </c>
      <c r="AI3158" s="47"/>
      <c r="AJ3158" s="126" t="e">
        <v>#N/A</v>
      </c>
      <c r="AK3158" s="80">
        <f t="shared" si="492"/>
        <v>0</v>
      </c>
      <c r="AM3158" s="85"/>
    </row>
    <row r="3159" spans="1:39" hidden="1" x14ac:dyDescent="0.3">
      <c r="A3159" s="89" t="s">
        <v>3397</v>
      </c>
      <c r="B3159" s="86" t="s">
        <v>35</v>
      </c>
      <c r="C3159" s="86" t="s">
        <v>65</v>
      </c>
      <c r="D3159" s="86" t="s">
        <v>1291</v>
      </c>
      <c r="E3159" s="86" t="s">
        <v>2476</v>
      </c>
      <c r="F3159" s="86" t="s">
        <v>2476</v>
      </c>
      <c r="G3159" s="86" t="s">
        <v>2476</v>
      </c>
      <c r="H3159" s="144">
        <v>237</v>
      </c>
      <c r="I3159" s="86" t="s">
        <v>2374</v>
      </c>
      <c r="J3159" s="1" t="s">
        <v>3322</v>
      </c>
      <c r="K3159" s="1" t="s">
        <v>3269</v>
      </c>
      <c r="L3159" s="1" t="s">
        <v>35</v>
      </c>
      <c r="M3159" s="86" t="s">
        <v>2476</v>
      </c>
      <c r="N3159" s="86"/>
      <c r="O3159" s="47" t="s">
        <v>40</v>
      </c>
      <c r="P3159" s="47" t="s">
        <v>41</v>
      </c>
      <c r="Q3159" s="14">
        <v>0</v>
      </c>
      <c r="R3159" s="143"/>
      <c r="S3159" s="47"/>
      <c r="T3159" s="6">
        <v>30000</v>
      </c>
      <c r="U3159" s="6"/>
      <c r="V3159" s="6">
        <v>513.95000000000005</v>
      </c>
      <c r="W3159" s="6">
        <f t="shared" si="489"/>
        <v>29486.05</v>
      </c>
      <c r="X3159" s="6">
        <f t="shared" si="493"/>
        <v>513.95000000000005</v>
      </c>
      <c r="Y3159" s="13">
        <f t="shared" si="490"/>
        <v>0</v>
      </c>
      <c r="Z3159" s="14">
        <v>0</v>
      </c>
      <c r="AA3159" s="6">
        <v>0</v>
      </c>
      <c r="AB3159" s="4">
        <f t="shared" si="491"/>
        <v>513.95000000000005</v>
      </c>
      <c r="AC3159" s="4">
        <f t="shared" si="495"/>
        <v>0</v>
      </c>
      <c r="AD3159" s="6">
        <v>513.95000000000005</v>
      </c>
      <c r="AE3159" s="2">
        <f>VLOOKUP(I3159,[1]媒体政策预估表!A:N,MATCH(O3159,[1]媒体政策预估表!$A$2:$M$2,0),0)</f>
        <v>7.0000000000000007E-2</v>
      </c>
      <c r="AF3159" s="6">
        <f t="shared" si="496"/>
        <v>35.976500000000009</v>
      </c>
      <c r="AG3159" s="9">
        <v>0</v>
      </c>
      <c r="AH3159" s="6">
        <f t="shared" si="494"/>
        <v>513.95000000000005</v>
      </c>
      <c r="AI3159" s="47"/>
      <c r="AJ3159" s="126" t="e">
        <v>#N/A</v>
      </c>
      <c r="AK3159" s="80">
        <f t="shared" si="492"/>
        <v>0</v>
      </c>
      <c r="AM3159" s="85"/>
    </row>
    <row r="3160" spans="1:39" hidden="1" x14ac:dyDescent="0.3">
      <c r="A3160" s="89" t="s">
        <v>3408</v>
      </c>
      <c r="B3160" s="86" t="s">
        <v>35</v>
      </c>
      <c r="C3160" s="86" t="s">
        <v>47</v>
      </c>
      <c r="D3160" s="86" t="s">
        <v>63</v>
      </c>
      <c r="E3160" s="86" t="s">
        <v>2393</v>
      </c>
      <c r="F3160" s="86" t="s">
        <v>2394</v>
      </c>
      <c r="G3160" s="86" t="s">
        <v>2393</v>
      </c>
      <c r="H3160" s="143">
        <v>237</v>
      </c>
      <c r="I3160" s="86" t="s">
        <v>2374</v>
      </c>
      <c r="J3160" s="1" t="s">
        <v>3322</v>
      </c>
      <c r="K3160" s="1" t="s">
        <v>3269</v>
      </c>
      <c r="L3160" s="1" t="s">
        <v>35</v>
      </c>
      <c r="M3160" s="86" t="s">
        <v>2408</v>
      </c>
      <c r="N3160" s="86"/>
      <c r="O3160" s="47" t="s">
        <v>45</v>
      </c>
      <c r="P3160" s="47" t="s">
        <v>46</v>
      </c>
      <c r="Q3160" s="14">
        <v>5.5E-2</v>
      </c>
      <c r="R3160" s="143"/>
      <c r="S3160" s="47"/>
      <c r="T3160" s="6">
        <v>0</v>
      </c>
      <c r="U3160" s="6"/>
      <c r="V3160" s="6">
        <v>0</v>
      </c>
      <c r="W3160" s="6">
        <f t="shared" si="489"/>
        <v>0</v>
      </c>
      <c r="X3160" s="6">
        <f t="shared" si="493"/>
        <v>0</v>
      </c>
      <c r="Y3160" s="13">
        <f t="shared" si="490"/>
        <v>0</v>
      </c>
      <c r="Z3160" s="14">
        <v>0</v>
      </c>
      <c r="AA3160" s="6">
        <v>0</v>
      </c>
      <c r="AB3160" s="4">
        <f t="shared" si="491"/>
        <v>0</v>
      </c>
      <c r="AC3160" s="4">
        <f t="shared" si="495"/>
        <v>0</v>
      </c>
      <c r="AD3160" s="6">
        <v>0</v>
      </c>
      <c r="AE3160" s="2">
        <f>VLOOKUP(I3160,[1]媒体政策预估表!A:N,MATCH(O3160,[1]媒体政策预估表!$A$2:$M$2,0),0)</f>
        <v>0.06</v>
      </c>
      <c r="AF3160" s="6">
        <f t="shared" si="496"/>
        <v>0</v>
      </c>
      <c r="AG3160" s="9">
        <v>0</v>
      </c>
      <c r="AH3160" s="6">
        <f t="shared" si="494"/>
        <v>0</v>
      </c>
      <c r="AI3160" s="47"/>
      <c r="AJ3160" s="126" t="e">
        <v>#N/A</v>
      </c>
      <c r="AK3160" s="80">
        <f t="shared" si="492"/>
        <v>0</v>
      </c>
      <c r="AM3160" s="85"/>
    </row>
    <row r="3161" spans="1:39" hidden="1" x14ac:dyDescent="0.3">
      <c r="A3161" s="89" t="s">
        <v>3397</v>
      </c>
      <c r="B3161" s="86" t="s">
        <v>35</v>
      </c>
      <c r="C3161" s="86" t="s">
        <v>47</v>
      </c>
      <c r="D3161" s="86" t="s">
        <v>63</v>
      </c>
      <c r="E3161" s="86" t="s">
        <v>2393</v>
      </c>
      <c r="F3161" s="86" t="s">
        <v>2407</v>
      </c>
      <c r="G3161" s="86" t="s">
        <v>2393</v>
      </c>
      <c r="H3161" s="144">
        <v>237</v>
      </c>
      <c r="I3161" s="86" t="s">
        <v>2374</v>
      </c>
      <c r="J3161" s="1" t="s">
        <v>3322</v>
      </c>
      <c r="K3161" s="1" t="s">
        <v>3269</v>
      </c>
      <c r="L3161" s="1" t="s">
        <v>35</v>
      </c>
      <c r="M3161" s="86" t="s">
        <v>2408</v>
      </c>
      <c r="N3161" s="86"/>
      <c r="O3161" s="47" t="s">
        <v>40</v>
      </c>
      <c r="P3161" s="47" t="s">
        <v>46</v>
      </c>
      <c r="Q3161" s="14">
        <v>5.5E-2</v>
      </c>
      <c r="R3161" s="143"/>
      <c r="S3161" s="47"/>
      <c r="T3161" s="6">
        <v>492487.08800000045</v>
      </c>
      <c r="U3161" s="6"/>
      <c r="V3161" s="6">
        <v>149100.54</v>
      </c>
      <c r="W3161" s="6">
        <f t="shared" si="489"/>
        <v>343386.54800000042</v>
      </c>
      <c r="X3161" s="6">
        <f t="shared" si="493"/>
        <v>111685.797752809</v>
      </c>
      <c r="Y3161" s="13">
        <f t="shared" si="490"/>
        <v>111685.797752809</v>
      </c>
      <c r="Z3161" s="14">
        <v>0</v>
      </c>
      <c r="AA3161" s="6">
        <v>0</v>
      </c>
      <c r="AB3161" s="4">
        <f t="shared" si="491"/>
        <v>111685.797752809</v>
      </c>
      <c r="AC3161" s="4">
        <f t="shared" si="495"/>
        <v>37414.74224719101</v>
      </c>
      <c r="AD3161" s="6">
        <v>0</v>
      </c>
      <c r="AE3161" s="2">
        <f>VLOOKUP(I3161,[1]媒体政策预估表!A:N,MATCH(O3161,[1]媒体政策预估表!$A$2:$M$2,0),0)</f>
        <v>7.0000000000000007E-2</v>
      </c>
      <c r="AF3161" s="6">
        <f t="shared" si="496"/>
        <v>0</v>
      </c>
      <c r="AG3161" s="9">
        <v>0.28000000000000003</v>
      </c>
      <c r="AH3161" s="6">
        <f t="shared" si="494"/>
        <v>116484.796875</v>
      </c>
      <c r="AI3161" s="47"/>
      <c r="AJ3161" s="126" t="e">
        <v>#N/A</v>
      </c>
      <c r="AK3161" s="80">
        <f t="shared" si="492"/>
        <v>0</v>
      </c>
      <c r="AM3161" s="85"/>
    </row>
    <row r="3162" spans="1:39" hidden="1" x14ac:dyDescent="0.3">
      <c r="A3162" s="89" t="s">
        <v>3408</v>
      </c>
      <c r="B3162" s="86" t="s">
        <v>35</v>
      </c>
      <c r="C3162" s="86" t="s">
        <v>47</v>
      </c>
      <c r="D3162" s="86" t="s">
        <v>63</v>
      </c>
      <c r="E3162" s="86" t="s">
        <v>538</v>
      </c>
      <c r="F3162" s="86" t="s">
        <v>538</v>
      </c>
      <c r="G3162" s="86" t="s">
        <v>538</v>
      </c>
      <c r="H3162" s="144">
        <v>237</v>
      </c>
      <c r="I3162" s="86" t="s">
        <v>2374</v>
      </c>
      <c r="J3162" s="1" t="s">
        <v>3322</v>
      </c>
      <c r="K3162" s="1" t="s">
        <v>3269</v>
      </c>
      <c r="L3162" s="1" t="s">
        <v>35</v>
      </c>
      <c r="M3162" s="86" t="s">
        <v>538</v>
      </c>
      <c r="N3162" s="86"/>
      <c r="O3162" s="47" t="s">
        <v>45</v>
      </c>
      <c r="P3162" s="47" t="s">
        <v>41</v>
      </c>
      <c r="Q3162" s="14">
        <v>0</v>
      </c>
      <c r="R3162" s="143"/>
      <c r="S3162" s="47"/>
      <c r="T3162" s="6">
        <v>8352.83</v>
      </c>
      <c r="U3162" s="6"/>
      <c r="V3162" s="6">
        <v>3218.23</v>
      </c>
      <c r="W3162" s="6">
        <f t="shared" si="489"/>
        <v>5134.6000000000004</v>
      </c>
      <c r="X3162" s="6">
        <f t="shared" si="493"/>
        <v>3218.23</v>
      </c>
      <c r="Y3162" s="13">
        <f t="shared" si="490"/>
        <v>0</v>
      </c>
      <c r="Z3162" s="14">
        <v>0</v>
      </c>
      <c r="AA3162" s="6">
        <v>0</v>
      </c>
      <c r="AB3162" s="4">
        <f t="shared" si="491"/>
        <v>3218.23</v>
      </c>
      <c r="AC3162" s="4">
        <f t="shared" si="495"/>
        <v>0</v>
      </c>
      <c r="AD3162" s="6">
        <v>3218.23</v>
      </c>
      <c r="AE3162" s="2">
        <f>VLOOKUP(I3162,[1]媒体政策预估表!A:N,MATCH(O3162,[1]媒体政策预估表!$A$2:$M$2,0),0)</f>
        <v>0.06</v>
      </c>
      <c r="AF3162" s="6">
        <f t="shared" si="496"/>
        <v>193.09379999999999</v>
      </c>
      <c r="AG3162" s="9">
        <v>0</v>
      </c>
      <c r="AH3162" s="6">
        <f t="shared" si="494"/>
        <v>3218.23</v>
      </c>
      <c r="AI3162" s="47"/>
      <c r="AJ3162" s="126" t="e">
        <v>#N/A</v>
      </c>
      <c r="AK3162" s="80">
        <f t="shared" si="492"/>
        <v>0</v>
      </c>
      <c r="AM3162" s="85"/>
    </row>
    <row r="3163" spans="1:39" hidden="1" x14ac:dyDescent="0.3">
      <c r="A3163" s="89" t="s">
        <v>3397</v>
      </c>
      <c r="B3163" s="86" t="s">
        <v>35</v>
      </c>
      <c r="C3163" s="86" t="s">
        <v>47</v>
      </c>
      <c r="D3163" s="86" t="s">
        <v>48</v>
      </c>
      <c r="E3163" s="86" t="s">
        <v>2482</v>
      </c>
      <c r="F3163" s="86" t="s">
        <v>2483</v>
      </c>
      <c r="G3163" s="86" t="s">
        <v>2482</v>
      </c>
      <c r="H3163" s="143">
        <v>237</v>
      </c>
      <c r="I3163" s="86" t="s">
        <v>2374</v>
      </c>
      <c r="J3163" s="1" t="s">
        <v>3322</v>
      </c>
      <c r="K3163" s="1" t="s">
        <v>3269</v>
      </c>
      <c r="L3163" s="1" t="s">
        <v>35</v>
      </c>
      <c r="M3163" s="86" t="s">
        <v>2482</v>
      </c>
      <c r="N3163" s="86"/>
      <c r="O3163" s="47" t="s">
        <v>45</v>
      </c>
      <c r="P3163" s="47" t="s">
        <v>41</v>
      </c>
      <c r="Q3163" s="14">
        <v>0</v>
      </c>
      <c r="R3163" s="143"/>
      <c r="S3163" s="47"/>
      <c r="T3163" s="6">
        <v>26160.120000000014</v>
      </c>
      <c r="U3163" s="6"/>
      <c r="V3163" s="6">
        <v>0</v>
      </c>
      <c r="W3163" s="6">
        <f t="shared" si="489"/>
        <v>26160.120000000014</v>
      </c>
      <c r="X3163" s="6">
        <f t="shared" si="493"/>
        <v>0</v>
      </c>
      <c r="Y3163" s="13">
        <f t="shared" si="490"/>
        <v>0</v>
      </c>
      <c r="Z3163" s="14">
        <v>0</v>
      </c>
      <c r="AA3163" s="6">
        <v>0</v>
      </c>
      <c r="AB3163" s="4">
        <f t="shared" si="491"/>
        <v>0</v>
      </c>
      <c r="AC3163" s="4">
        <f t="shared" si="495"/>
        <v>0</v>
      </c>
      <c r="AD3163" s="6">
        <v>0</v>
      </c>
      <c r="AE3163" s="2">
        <f>VLOOKUP(I3163,[1]媒体政策预估表!A:N,MATCH(O3163,[1]媒体政策预估表!$A$2:$M$2,0),0)</f>
        <v>0.06</v>
      </c>
      <c r="AF3163" s="6">
        <f t="shared" si="496"/>
        <v>0</v>
      </c>
      <c r="AG3163" s="9">
        <v>0</v>
      </c>
      <c r="AH3163" s="6">
        <f t="shared" si="494"/>
        <v>0</v>
      </c>
      <c r="AI3163" s="47"/>
      <c r="AJ3163" s="126" t="e">
        <v>#N/A</v>
      </c>
      <c r="AK3163" s="80">
        <f t="shared" si="492"/>
        <v>0</v>
      </c>
      <c r="AM3163" s="85"/>
    </row>
    <row r="3164" spans="1:39" hidden="1" x14ac:dyDescent="0.3">
      <c r="A3164" s="89" t="s">
        <v>3408</v>
      </c>
      <c r="B3164" s="86" t="s">
        <v>35</v>
      </c>
      <c r="C3164" s="86" t="s">
        <v>144</v>
      </c>
      <c r="D3164" s="86" t="s">
        <v>145</v>
      </c>
      <c r="E3164" s="86" t="s">
        <v>236</v>
      </c>
      <c r="F3164" s="86" t="s">
        <v>236</v>
      </c>
      <c r="G3164" s="86" t="s">
        <v>236</v>
      </c>
      <c r="H3164" s="143">
        <v>237</v>
      </c>
      <c r="I3164" s="86" t="s">
        <v>2374</v>
      </c>
      <c r="J3164" s="1" t="s">
        <v>3322</v>
      </c>
      <c r="K3164" s="1" t="s">
        <v>3269</v>
      </c>
      <c r="L3164" s="1" t="s">
        <v>35</v>
      </c>
      <c r="M3164" s="86" t="s">
        <v>2433</v>
      </c>
      <c r="N3164" s="86"/>
      <c r="O3164" s="47" t="s">
        <v>45</v>
      </c>
      <c r="P3164" s="47" t="s">
        <v>46</v>
      </c>
      <c r="Q3164" s="14">
        <v>0.02</v>
      </c>
      <c r="R3164" s="143"/>
      <c r="S3164" s="47"/>
      <c r="T3164" s="6">
        <v>1482.75</v>
      </c>
      <c r="U3164" s="6"/>
      <c r="V3164" s="6">
        <v>0</v>
      </c>
      <c r="W3164" s="6">
        <f t="shared" si="489"/>
        <v>1482.75</v>
      </c>
      <c r="X3164" s="6">
        <f t="shared" si="493"/>
        <v>0</v>
      </c>
      <c r="Y3164" s="13">
        <f t="shared" si="490"/>
        <v>0</v>
      </c>
      <c r="Z3164" s="14">
        <v>0</v>
      </c>
      <c r="AA3164" s="6">
        <v>0</v>
      </c>
      <c r="AB3164" s="4">
        <f t="shared" si="491"/>
        <v>0</v>
      </c>
      <c r="AC3164" s="4">
        <f t="shared" si="495"/>
        <v>0</v>
      </c>
      <c r="AD3164" s="6">
        <v>0</v>
      </c>
      <c r="AE3164" s="2">
        <f>VLOOKUP(I3164,[1]媒体政策预估表!A:N,MATCH(O3164,[1]媒体政策预估表!$A$2:$M$2,0),0)</f>
        <v>0.06</v>
      </c>
      <c r="AF3164" s="6">
        <f t="shared" si="496"/>
        <v>0</v>
      </c>
      <c r="AG3164" s="9">
        <v>0.3</v>
      </c>
      <c r="AH3164" s="6">
        <f t="shared" si="494"/>
        <v>0</v>
      </c>
      <c r="AI3164" s="47"/>
      <c r="AJ3164" s="126" t="e">
        <v>#N/A</v>
      </c>
      <c r="AK3164" s="80">
        <f t="shared" si="492"/>
        <v>0</v>
      </c>
      <c r="AM3164" s="85"/>
    </row>
    <row r="3165" spans="1:39" hidden="1" x14ac:dyDescent="0.3">
      <c r="A3165" s="89" t="s">
        <v>3408</v>
      </c>
      <c r="B3165" s="86" t="s">
        <v>35</v>
      </c>
      <c r="C3165" s="86" t="s">
        <v>144</v>
      </c>
      <c r="D3165" s="86" t="s">
        <v>145</v>
      </c>
      <c r="E3165" s="86" t="s">
        <v>2484</v>
      </c>
      <c r="F3165" s="86" t="s">
        <v>2484</v>
      </c>
      <c r="G3165" s="86" t="s">
        <v>2484</v>
      </c>
      <c r="H3165" s="144">
        <v>237</v>
      </c>
      <c r="I3165" s="86" t="s">
        <v>2374</v>
      </c>
      <c r="J3165" s="1" t="s">
        <v>3322</v>
      </c>
      <c r="K3165" s="1" t="s">
        <v>3269</v>
      </c>
      <c r="L3165" s="1" t="s">
        <v>35</v>
      </c>
      <c r="M3165" s="86" t="s">
        <v>2485</v>
      </c>
      <c r="N3165" s="86"/>
      <c r="O3165" s="47" t="s">
        <v>45</v>
      </c>
      <c r="P3165" s="47" t="s">
        <v>41</v>
      </c>
      <c r="Q3165" s="14">
        <v>0</v>
      </c>
      <c r="R3165" s="143"/>
      <c r="S3165" s="47"/>
      <c r="T3165" s="6">
        <v>58933.820000000022</v>
      </c>
      <c r="U3165" s="6"/>
      <c r="V3165" s="6">
        <v>10357.859999999999</v>
      </c>
      <c r="W3165" s="6">
        <f t="shared" si="489"/>
        <v>48575.960000000021</v>
      </c>
      <c r="X3165" s="6">
        <f t="shared" si="493"/>
        <v>10357.859999999999</v>
      </c>
      <c r="Y3165" s="13">
        <f t="shared" si="490"/>
        <v>0</v>
      </c>
      <c r="Z3165" s="14">
        <v>0</v>
      </c>
      <c r="AA3165" s="6">
        <v>0</v>
      </c>
      <c r="AB3165" s="4">
        <f t="shared" si="491"/>
        <v>10357.859999999999</v>
      </c>
      <c r="AC3165" s="4">
        <f t="shared" si="495"/>
        <v>0</v>
      </c>
      <c r="AD3165" s="6">
        <v>10357.859999999999</v>
      </c>
      <c r="AE3165" s="2">
        <f>VLOOKUP(I3165,[1]媒体政策预估表!A:N,MATCH(O3165,[1]媒体政策预估表!$A$2:$M$2,0),0)</f>
        <v>0.06</v>
      </c>
      <c r="AF3165" s="6">
        <f t="shared" si="496"/>
        <v>621.47159999999985</v>
      </c>
      <c r="AG3165" s="9">
        <v>0</v>
      </c>
      <c r="AH3165" s="6">
        <f t="shared" si="494"/>
        <v>10357.859999999999</v>
      </c>
      <c r="AI3165" s="47"/>
      <c r="AJ3165" s="126" t="e">
        <v>#N/A</v>
      </c>
      <c r="AK3165" s="80">
        <f t="shared" si="492"/>
        <v>0</v>
      </c>
      <c r="AM3165" s="85"/>
    </row>
    <row r="3166" spans="1:39" hidden="1" x14ac:dyDescent="0.3">
      <c r="A3166" s="89" t="s">
        <v>3397</v>
      </c>
      <c r="B3166" s="86" t="s">
        <v>35</v>
      </c>
      <c r="C3166" s="86" t="s">
        <v>144</v>
      </c>
      <c r="D3166" s="86" t="s">
        <v>161</v>
      </c>
      <c r="E3166" s="86" t="s">
        <v>1903</v>
      </c>
      <c r="F3166" s="86" t="s">
        <v>1903</v>
      </c>
      <c r="G3166" s="86" t="s">
        <v>1903</v>
      </c>
      <c r="H3166" s="143">
        <v>237</v>
      </c>
      <c r="I3166" s="86" t="s">
        <v>2374</v>
      </c>
      <c r="J3166" s="1" t="s">
        <v>3322</v>
      </c>
      <c r="K3166" s="1" t="s">
        <v>3269</v>
      </c>
      <c r="L3166" s="1" t="s">
        <v>35</v>
      </c>
      <c r="M3166" s="86" t="s">
        <v>2148</v>
      </c>
      <c r="N3166" s="86"/>
      <c r="O3166" s="47" t="s">
        <v>45</v>
      </c>
      <c r="P3166" s="47" t="s">
        <v>46</v>
      </c>
      <c r="Q3166" s="14">
        <v>0.03</v>
      </c>
      <c r="R3166" s="143"/>
      <c r="S3166" s="47"/>
      <c r="T3166" s="6">
        <v>-27682.880000000081</v>
      </c>
      <c r="U3166" s="6"/>
      <c r="V3166" s="6">
        <v>0</v>
      </c>
      <c r="W3166" s="6">
        <f t="shared" si="489"/>
        <v>-27682.880000000081</v>
      </c>
      <c r="X3166" s="6">
        <f t="shared" si="493"/>
        <v>0</v>
      </c>
      <c r="Y3166" s="13">
        <f t="shared" si="490"/>
        <v>0</v>
      </c>
      <c r="Z3166" s="14">
        <v>0</v>
      </c>
      <c r="AA3166" s="6">
        <v>0</v>
      </c>
      <c r="AB3166" s="4">
        <f t="shared" si="491"/>
        <v>0</v>
      </c>
      <c r="AC3166" s="4">
        <f t="shared" si="495"/>
        <v>0</v>
      </c>
      <c r="AD3166" s="6">
        <v>0</v>
      </c>
      <c r="AE3166" s="2">
        <f>VLOOKUP(I3166,[1]媒体政策预估表!A:N,MATCH(O3166,[1]媒体政策预估表!$A$2:$M$2,0),0)</f>
        <v>0.06</v>
      </c>
      <c r="AF3166" s="6">
        <f t="shared" si="496"/>
        <v>0</v>
      </c>
      <c r="AG3166" s="9">
        <v>0</v>
      </c>
      <c r="AH3166" s="6">
        <f t="shared" si="494"/>
        <v>0</v>
      </c>
      <c r="AI3166" s="47"/>
      <c r="AJ3166" s="126" t="e">
        <v>#N/A</v>
      </c>
      <c r="AK3166" s="80">
        <f t="shared" si="492"/>
        <v>0</v>
      </c>
      <c r="AM3166" s="85"/>
    </row>
    <row r="3167" spans="1:39" hidden="1" x14ac:dyDescent="0.3">
      <c r="A3167" s="89" t="s">
        <v>3408</v>
      </c>
      <c r="B3167" s="86" t="s">
        <v>35</v>
      </c>
      <c r="C3167" s="86" t="s">
        <v>187</v>
      </c>
      <c r="D3167" s="86" t="s">
        <v>188</v>
      </c>
      <c r="E3167" s="86" t="s">
        <v>2486</v>
      </c>
      <c r="F3167" s="86" t="s">
        <v>2486</v>
      </c>
      <c r="G3167" s="86" t="s">
        <v>2486</v>
      </c>
      <c r="H3167" s="144">
        <v>237</v>
      </c>
      <c r="I3167" s="86" t="s">
        <v>2374</v>
      </c>
      <c r="J3167" s="1" t="s">
        <v>3322</v>
      </c>
      <c r="K3167" s="1" t="s">
        <v>3269</v>
      </c>
      <c r="L3167" s="1" t="s">
        <v>35</v>
      </c>
      <c r="M3167" s="86" t="s">
        <v>2438</v>
      </c>
      <c r="N3167" s="86"/>
      <c r="O3167" s="47" t="s">
        <v>40</v>
      </c>
      <c r="P3167" s="47" t="s">
        <v>46</v>
      </c>
      <c r="Q3167" s="14">
        <v>0.01</v>
      </c>
      <c r="R3167" s="143"/>
      <c r="S3167" s="47"/>
      <c r="T3167" s="6">
        <v>-3427.0218191787135</v>
      </c>
      <c r="U3167" s="6">
        <v>7755.49</v>
      </c>
      <c r="V3167" s="6">
        <v>4325.9799999999996</v>
      </c>
      <c r="W3167" s="6">
        <f t="shared" si="489"/>
        <v>2.4881808212867327</v>
      </c>
      <c r="X3167" s="6">
        <f t="shared" si="493"/>
        <v>3068.0709219858149</v>
      </c>
      <c r="Y3167" s="13">
        <f t="shared" si="490"/>
        <v>0</v>
      </c>
      <c r="Z3167" s="14">
        <v>0</v>
      </c>
      <c r="AA3167" s="6">
        <v>0</v>
      </c>
      <c r="AB3167" s="4">
        <f t="shared" si="491"/>
        <v>3068.0709219858149</v>
      </c>
      <c r="AC3167" s="4">
        <f t="shared" si="495"/>
        <v>1257.9090780141846</v>
      </c>
      <c r="AD3167" s="6">
        <v>3089.99</v>
      </c>
      <c r="AE3167" s="2">
        <f>VLOOKUP(I3167,[1]媒体政策预估表!A:N,MATCH(O3167,[1]媒体政策预估表!$A$2:$M$2,0),0)</f>
        <v>7.0000000000000007E-2</v>
      </c>
      <c r="AF3167" s="6">
        <f t="shared" si="496"/>
        <v>216.29930000000002</v>
      </c>
      <c r="AG3167" s="9">
        <v>0.4</v>
      </c>
      <c r="AH3167" s="6">
        <f t="shared" si="494"/>
        <v>3089.985714285714</v>
      </c>
      <c r="AI3167" s="47"/>
      <c r="AJ3167" s="126" t="e">
        <v>#N/A</v>
      </c>
      <c r="AK3167" s="80">
        <f t="shared" si="492"/>
        <v>0</v>
      </c>
      <c r="AM3167" s="85"/>
    </row>
    <row r="3168" spans="1:39" hidden="1" x14ac:dyDescent="0.3">
      <c r="A3168" s="89" t="s">
        <v>3397</v>
      </c>
      <c r="B3168" s="86" t="s">
        <v>35</v>
      </c>
      <c r="C3168" s="86" t="s">
        <v>187</v>
      </c>
      <c r="D3168" s="86" t="s">
        <v>188</v>
      </c>
      <c r="E3168" s="86" t="s">
        <v>2487</v>
      </c>
      <c r="F3168" s="86" t="s">
        <v>2487</v>
      </c>
      <c r="G3168" s="86" t="s">
        <v>2487</v>
      </c>
      <c r="H3168" s="143">
        <v>237</v>
      </c>
      <c r="I3168" s="86" t="s">
        <v>2374</v>
      </c>
      <c r="J3168" s="1" t="s">
        <v>3322</v>
      </c>
      <c r="K3168" s="1" t="s">
        <v>3269</v>
      </c>
      <c r="L3168" s="1" t="s">
        <v>35</v>
      </c>
      <c r="M3168" s="86" t="s">
        <v>2438</v>
      </c>
      <c r="N3168" s="86"/>
      <c r="O3168" s="47" t="s">
        <v>40</v>
      </c>
      <c r="P3168" s="47" t="s">
        <v>46</v>
      </c>
      <c r="Q3168" s="14">
        <v>7.0000000000000007E-2</v>
      </c>
      <c r="R3168" s="143"/>
      <c r="S3168" s="47"/>
      <c r="T3168" s="6">
        <v>-5.8385726027881901</v>
      </c>
      <c r="U3168" s="6"/>
      <c r="V3168" s="6">
        <v>0</v>
      </c>
      <c r="W3168" s="6">
        <f t="shared" si="489"/>
        <v>-5.8385726027881901</v>
      </c>
      <c r="X3168" s="6">
        <f t="shared" si="493"/>
        <v>0</v>
      </c>
      <c r="Y3168" s="13">
        <f t="shared" si="490"/>
        <v>0</v>
      </c>
      <c r="Z3168" s="14">
        <v>0</v>
      </c>
      <c r="AA3168" s="6">
        <v>0</v>
      </c>
      <c r="AB3168" s="4">
        <f t="shared" si="491"/>
        <v>0</v>
      </c>
      <c r="AC3168" s="4">
        <f t="shared" si="495"/>
        <v>0</v>
      </c>
      <c r="AD3168" s="6">
        <v>0</v>
      </c>
      <c r="AE3168" s="2">
        <f>VLOOKUP(I3168,[1]媒体政策预估表!A:N,MATCH(O3168,[1]媒体政策预估表!$A$2:$M$2,0),0)</f>
        <v>7.0000000000000007E-2</v>
      </c>
      <c r="AF3168" s="6">
        <f t="shared" si="496"/>
        <v>0</v>
      </c>
      <c r="AG3168" s="9">
        <v>0.46</v>
      </c>
      <c r="AH3168" s="6">
        <f t="shared" si="494"/>
        <v>0</v>
      </c>
      <c r="AI3168" s="47"/>
      <c r="AJ3168" s="126" t="e">
        <v>#N/A</v>
      </c>
      <c r="AK3168" s="80">
        <f t="shared" si="492"/>
        <v>0</v>
      </c>
      <c r="AM3168" s="85"/>
    </row>
    <row r="3169" spans="1:39" hidden="1" x14ac:dyDescent="0.3">
      <c r="A3169" s="89" t="s">
        <v>3397</v>
      </c>
      <c r="B3169" s="86" t="s">
        <v>35</v>
      </c>
      <c r="C3169" s="86" t="s">
        <v>187</v>
      </c>
      <c r="D3169" s="86" t="s">
        <v>188</v>
      </c>
      <c r="E3169" s="86" t="s">
        <v>2458</v>
      </c>
      <c r="F3169" s="86" t="s">
        <v>2458</v>
      </c>
      <c r="G3169" s="86" t="s">
        <v>2458</v>
      </c>
      <c r="H3169" s="143">
        <v>237</v>
      </c>
      <c r="I3169" s="86" t="s">
        <v>2374</v>
      </c>
      <c r="J3169" s="1" t="s">
        <v>3322</v>
      </c>
      <c r="K3169" s="1" t="s">
        <v>3269</v>
      </c>
      <c r="L3169" s="1" t="s">
        <v>35</v>
      </c>
      <c r="M3169" s="86" t="s">
        <v>2438</v>
      </c>
      <c r="N3169" s="86"/>
      <c r="O3169" s="47" t="s">
        <v>40</v>
      </c>
      <c r="P3169" s="47" t="s">
        <v>46</v>
      </c>
      <c r="Q3169" s="14">
        <v>0.04</v>
      </c>
      <c r="R3169" s="143"/>
      <c r="S3169" s="47" t="s">
        <v>3424</v>
      </c>
      <c r="T3169" s="6">
        <v>-2154.914000000218</v>
      </c>
      <c r="U3169" s="6">
        <v>2301.3000000000002</v>
      </c>
      <c r="V3169" s="6">
        <v>0</v>
      </c>
      <c r="W3169" s="6">
        <f t="shared" si="489"/>
        <v>146.38599999978214</v>
      </c>
      <c r="X3169" s="6">
        <f t="shared" si="493"/>
        <v>0</v>
      </c>
      <c r="Y3169" s="13">
        <f t="shared" si="490"/>
        <v>0</v>
      </c>
      <c r="Z3169" s="14">
        <v>0</v>
      </c>
      <c r="AA3169" s="6">
        <v>0</v>
      </c>
      <c r="AB3169" s="4">
        <f t="shared" si="491"/>
        <v>0</v>
      </c>
      <c r="AC3169" s="4">
        <f t="shared" si="495"/>
        <v>0</v>
      </c>
      <c r="AD3169" s="6">
        <v>0</v>
      </c>
      <c r="AE3169" s="2">
        <f>VLOOKUP(I3169,[1]媒体政策预估表!A:N,MATCH(O3169,[1]媒体政策预估表!$A$2:$M$2,0),0)</f>
        <v>7.0000000000000007E-2</v>
      </c>
      <c r="AF3169" s="6">
        <f t="shared" si="496"/>
        <v>0</v>
      </c>
      <c r="AG3169" s="9">
        <v>0.4</v>
      </c>
      <c r="AH3169" s="6">
        <f t="shared" si="494"/>
        <v>0</v>
      </c>
      <c r="AI3169" s="47"/>
      <c r="AJ3169" s="126" t="e">
        <v>#N/A</v>
      </c>
      <c r="AK3169" s="80">
        <f t="shared" si="492"/>
        <v>0</v>
      </c>
      <c r="AM3169" s="85"/>
    </row>
    <row r="3170" spans="1:39" hidden="1" x14ac:dyDescent="0.3">
      <c r="A3170" s="89" t="s">
        <v>3408</v>
      </c>
      <c r="B3170" s="86" t="s">
        <v>35</v>
      </c>
      <c r="C3170" s="86" t="s">
        <v>187</v>
      </c>
      <c r="D3170" s="86" t="s">
        <v>188</v>
      </c>
      <c r="E3170" s="86" t="s">
        <v>2488</v>
      </c>
      <c r="F3170" s="86" t="s">
        <v>2488</v>
      </c>
      <c r="G3170" s="86" t="s">
        <v>2488</v>
      </c>
      <c r="H3170" s="143">
        <v>237</v>
      </c>
      <c r="I3170" s="86" t="s">
        <v>2374</v>
      </c>
      <c r="J3170" s="1" t="s">
        <v>3322</v>
      </c>
      <c r="K3170" s="1" t="s">
        <v>3269</v>
      </c>
      <c r="L3170" s="1" t="s">
        <v>35</v>
      </c>
      <c r="M3170" s="86" t="s">
        <v>2438</v>
      </c>
      <c r="N3170" s="86"/>
      <c r="O3170" s="47" t="s">
        <v>45</v>
      </c>
      <c r="P3170" s="47" t="s">
        <v>46</v>
      </c>
      <c r="Q3170" s="14">
        <v>0.08</v>
      </c>
      <c r="R3170" s="143"/>
      <c r="S3170" s="47"/>
      <c r="T3170" s="6">
        <v>-5.2999999998064595E-3</v>
      </c>
      <c r="U3170" s="6"/>
      <c r="V3170" s="6">
        <v>0</v>
      </c>
      <c r="W3170" s="6">
        <f t="shared" si="489"/>
        <v>-5.2999999998064595E-3</v>
      </c>
      <c r="X3170" s="6">
        <f t="shared" si="493"/>
        <v>0</v>
      </c>
      <c r="Y3170" s="13">
        <f t="shared" si="490"/>
        <v>0</v>
      </c>
      <c r="Z3170" s="14">
        <v>0</v>
      </c>
      <c r="AA3170" s="6">
        <v>0</v>
      </c>
      <c r="AB3170" s="4">
        <f t="shared" si="491"/>
        <v>0</v>
      </c>
      <c r="AC3170" s="4">
        <f t="shared" si="495"/>
        <v>0</v>
      </c>
      <c r="AD3170" s="6">
        <v>0</v>
      </c>
      <c r="AE3170" s="2">
        <f>VLOOKUP(I3170,[1]媒体政策预估表!A:N,MATCH(O3170,[1]媒体政策预估表!$A$2:$M$2,0),0)</f>
        <v>0.06</v>
      </c>
      <c r="AF3170" s="6">
        <f t="shared" si="496"/>
        <v>0</v>
      </c>
      <c r="AG3170" s="9">
        <v>0.37</v>
      </c>
      <c r="AH3170" s="6">
        <f t="shared" si="494"/>
        <v>0</v>
      </c>
      <c r="AI3170" s="47"/>
      <c r="AJ3170" s="126" t="e">
        <v>#N/A</v>
      </c>
      <c r="AK3170" s="80">
        <f t="shared" si="492"/>
        <v>0</v>
      </c>
      <c r="AM3170" s="85"/>
    </row>
    <row r="3171" spans="1:39" hidden="1" x14ac:dyDescent="0.3">
      <c r="A3171" s="89" t="s">
        <v>3397</v>
      </c>
      <c r="B3171" s="86" t="s">
        <v>35</v>
      </c>
      <c r="C3171" s="86" t="s">
        <v>187</v>
      </c>
      <c r="D3171" s="86" t="s">
        <v>188</v>
      </c>
      <c r="E3171" s="86" t="s">
        <v>206</v>
      </c>
      <c r="F3171" s="86" t="s">
        <v>206</v>
      </c>
      <c r="G3171" s="86" t="s">
        <v>206</v>
      </c>
      <c r="H3171" s="143">
        <v>237</v>
      </c>
      <c r="I3171" s="86" t="s">
        <v>2374</v>
      </c>
      <c r="J3171" s="1" t="s">
        <v>3322</v>
      </c>
      <c r="K3171" s="1" t="s">
        <v>3269</v>
      </c>
      <c r="L3171" s="1" t="s">
        <v>35</v>
      </c>
      <c r="M3171" s="86" t="s">
        <v>2438</v>
      </c>
      <c r="N3171" s="86"/>
      <c r="O3171" s="47" t="s">
        <v>40</v>
      </c>
      <c r="P3171" s="47" t="s">
        <v>46</v>
      </c>
      <c r="Q3171" s="14">
        <v>0.08</v>
      </c>
      <c r="R3171" s="143"/>
      <c r="S3171" s="47"/>
      <c r="T3171" s="6">
        <v>1868.9399999999641</v>
      </c>
      <c r="U3171" s="6"/>
      <c r="V3171" s="6">
        <v>0</v>
      </c>
      <c r="W3171" s="6">
        <f t="shared" si="489"/>
        <v>1868.9399999999641</v>
      </c>
      <c r="X3171" s="6">
        <f t="shared" si="493"/>
        <v>0</v>
      </c>
      <c r="Y3171" s="13">
        <f t="shared" si="490"/>
        <v>0</v>
      </c>
      <c r="Z3171" s="14">
        <v>0</v>
      </c>
      <c r="AA3171" s="6">
        <v>0</v>
      </c>
      <c r="AB3171" s="4">
        <f t="shared" si="491"/>
        <v>0</v>
      </c>
      <c r="AC3171" s="4">
        <f t="shared" si="495"/>
        <v>0</v>
      </c>
      <c r="AD3171" s="6">
        <v>0</v>
      </c>
      <c r="AE3171" s="2">
        <f>VLOOKUP(I3171,[1]媒体政策预估表!A:N,MATCH(O3171,[1]媒体政策预估表!$A$2:$M$2,0),0)</f>
        <v>7.0000000000000007E-2</v>
      </c>
      <c r="AF3171" s="6">
        <f t="shared" si="496"/>
        <v>0</v>
      </c>
      <c r="AG3171" s="9">
        <v>0.4</v>
      </c>
      <c r="AH3171" s="6">
        <f t="shared" si="494"/>
        <v>0</v>
      </c>
      <c r="AI3171" s="47"/>
      <c r="AJ3171" s="126" t="s">
        <v>4218</v>
      </c>
      <c r="AK3171" s="80">
        <f t="shared" si="492"/>
        <v>0</v>
      </c>
      <c r="AL3171" s="150"/>
      <c r="AM3171" s="85"/>
    </row>
    <row r="3172" spans="1:39" hidden="1" x14ac:dyDescent="0.3">
      <c r="A3172" s="89" t="s">
        <v>3408</v>
      </c>
      <c r="B3172" s="86" t="s">
        <v>35</v>
      </c>
      <c r="C3172" s="86" t="s">
        <v>187</v>
      </c>
      <c r="D3172" s="86" t="s">
        <v>188</v>
      </c>
      <c r="E3172" s="86" t="s">
        <v>2489</v>
      </c>
      <c r="F3172" s="86" t="s">
        <v>2489</v>
      </c>
      <c r="G3172" s="86" t="s">
        <v>2489</v>
      </c>
      <c r="H3172" s="143">
        <v>237</v>
      </c>
      <c r="I3172" s="86" t="s">
        <v>2374</v>
      </c>
      <c r="J3172" s="1" t="s">
        <v>3322</v>
      </c>
      <c r="K3172" s="1" t="s">
        <v>3269</v>
      </c>
      <c r="L3172" s="1" t="s">
        <v>35</v>
      </c>
      <c r="M3172" s="86" t="s">
        <v>2438</v>
      </c>
      <c r="N3172" s="86"/>
      <c r="O3172" s="47" t="s">
        <v>45</v>
      </c>
      <c r="P3172" s="47" t="s">
        <v>46</v>
      </c>
      <c r="Q3172" s="14">
        <v>0.03</v>
      </c>
      <c r="R3172" s="143"/>
      <c r="S3172" s="47"/>
      <c r="T3172" s="6">
        <v>6.2000000011721568E-3</v>
      </c>
      <c r="U3172" s="6"/>
      <c r="V3172" s="6">
        <v>0</v>
      </c>
      <c r="W3172" s="6">
        <f t="shared" si="489"/>
        <v>6.2000000011721568E-3</v>
      </c>
      <c r="X3172" s="6">
        <f t="shared" si="493"/>
        <v>0</v>
      </c>
      <c r="Y3172" s="13">
        <f t="shared" si="490"/>
        <v>0</v>
      </c>
      <c r="Z3172" s="14">
        <v>0</v>
      </c>
      <c r="AA3172" s="6">
        <v>0</v>
      </c>
      <c r="AB3172" s="4">
        <f t="shared" si="491"/>
        <v>0</v>
      </c>
      <c r="AC3172" s="4">
        <f t="shared" si="495"/>
        <v>0</v>
      </c>
      <c r="AD3172" s="6">
        <v>0</v>
      </c>
      <c r="AE3172" s="2">
        <f>VLOOKUP(I3172,[1]媒体政策预估表!A:N,MATCH(O3172,[1]媒体政策预估表!$A$2:$M$2,0),0)</f>
        <v>0.06</v>
      </c>
      <c r="AF3172" s="6">
        <f t="shared" si="496"/>
        <v>0</v>
      </c>
      <c r="AG3172" s="9">
        <v>0.37</v>
      </c>
      <c r="AH3172" s="6">
        <f t="shared" si="494"/>
        <v>0</v>
      </c>
      <c r="AI3172" s="47"/>
      <c r="AJ3172" s="126" t="e">
        <v>#N/A</v>
      </c>
      <c r="AK3172" s="80">
        <f t="shared" si="492"/>
        <v>0</v>
      </c>
      <c r="AM3172" s="85"/>
    </row>
    <row r="3173" spans="1:39" hidden="1" x14ac:dyDescent="0.3">
      <c r="A3173" s="89" t="s">
        <v>3397</v>
      </c>
      <c r="B3173" s="86" t="s">
        <v>35</v>
      </c>
      <c r="C3173" s="86" t="s">
        <v>187</v>
      </c>
      <c r="D3173" s="86" t="s">
        <v>208</v>
      </c>
      <c r="E3173" s="86" t="s">
        <v>2455</v>
      </c>
      <c r="F3173" s="86" t="s">
        <v>2455</v>
      </c>
      <c r="G3173" s="86" t="s">
        <v>2455</v>
      </c>
      <c r="H3173" s="143">
        <v>237</v>
      </c>
      <c r="I3173" s="86" t="s">
        <v>2374</v>
      </c>
      <c r="J3173" s="1" t="s">
        <v>3322</v>
      </c>
      <c r="K3173" s="1" t="s">
        <v>3269</v>
      </c>
      <c r="L3173" s="1" t="s">
        <v>35</v>
      </c>
      <c r="M3173" s="86" t="s">
        <v>2438</v>
      </c>
      <c r="N3173" s="86"/>
      <c r="O3173" s="47" t="s">
        <v>45</v>
      </c>
      <c r="P3173" s="47" t="s">
        <v>46</v>
      </c>
      <c r="Q3173" s="14">
        <v>0.05</v>
      </c>
      <c r="R3173" s="143"/>
      <c r="S3173" s="47"/>
      <c r="T3173" s="6">
        <v>-830131.6571000003</v>
      </c>
      <c r="U3173" s="6"/>
      <c r="V3173" s="6">
        <v>0</v>
      </c>
      <c r="W3173" s="6">
        <f t="shared" si="489"/>
        <v>-830131.6571000003</v>
      </c>
      <c r="X3173" s="6">
        <f t="shared" si="493"/>
        <v>0</v>
      </c>
      <c r="Y3173" s="13">
        <f t="shared" si="490"/>
        <v>0</v>
      </c>
      <c r="Z3173" s="14">
        <v>0</v>
      </c>
      <c r="AA3173" s="6">
        <v>0</v>
      </c>
      <c r="AB3173" s="4">
        <f t="shared" si="491"/>
        <v>0</v>
      </c>
      <c r="AC3173" s="4">
        <f t="shared" si="495"/>
        <v>0</v>
      </c>
      <c r="AD3173" s="6">
        <v>0</v>
      </c>
      <c r="AE3173" s="2">
        <f>VLOOKUP(I3173,[1]媒体政策预估表!A:N,MATCH(O3173,[1]媒体政策预估表!$A$2:$M$2,0),0)</f>
        <v>0.06</v>
      </c>
      <c r="AF3173" s="6">
        <f t="shared" si="496"/>
        <v>0</v>
      </c>
      <c r="AG3173" s="9">
        <v>0.37</v>
      </c>
      <c r="AH3173" s="6">
        <f t="shared" si="494"/>
        <v>0</v>
      </c>
      <c r="AI3173" s="47"/>
      <c r="AJ3173" s="126" t="e">
        <v>#N/A</v>
      </c>
      <c r="AK3173" s="80">
        <f t="shared" si="492"/>
        <v>0</v>
      </c>
      <c r="AM3173" s="85"/>
    </row>
    <row r="3174" spans="1:39" hidden="1" x14ac:dyDescent="0.3">
      <c r="A3174" s="89" t="s">
        <v>3397</v>
      </c>
      <c r="B3174" s="86" t="s">
        <v>35</v>
      </c>
      <c r="C3174" s="86" t="s">
        <v>187</v>
      </c>
      <c r="D3174" s="86" t="s">
        <v>208</v>
      </c>
      <c r="E3174" s="86" t="s">
        <v>293</v>
      </c>
      <c r="F3174" s="86" t="s">
        <v>293</v>
      </c>
      <c r="G3174" s="86" t="s">
        <v>293</v>
      </c>
      <c r="H3174" s="144">
        <v>237</v>
      </c>
      <c r="I3174" s="86" t="s">
        <v>2374</v>
      </c>
      <c r="J3174" s="1" t="s">
        <v>3322</v>
      </c>
      <c r="K3174" s="1" t="s">
        <v>3269</v>
      </c>
      <c r="L3174" s="1" t="s">
        <v>35</v>
      </c>
      <c r="M3174" s="86" t="s">
        <v>2438</v>
      </c>
      <c r="N3174" s="86"/>
      <c r="O3174" s="47" t="s">
        <v>45</v>
      </c>
      <c r="P3174" s="47" t="s">
        <v>46</v>
      </c>
      <c r="Q3174" s="14">
        <v>0.03</v>
      </c>
      <c r="R3174" s="143"/>
      <c r="S3174" s="47"/>
      <c r="T3174" s="6">
        <v>9981.5777999999955</v>
      </c>
      <c r="U3174" s="6"/>
      <c r="V3174" s="6">
        <v>3755.2799999999997</v>
      </c>
      <c r="W3174" s="6">
        <f t="shared" ref="W3174:W3237" si="497">T3174+U3174-V3174</f>
        <v>6226.2977999999957</v>
      </c>
      <c r="X3174" s="6">
        <f t="shared" si="493"/>
        <v>2682.3428571428572</v>
      </c>
      <c r="Y3174" s="13">
        <f t="shared" si="490"/>
        <v>0</v>
      </c>
      <c r="Z3174" s="14">
        <v>0</v>
      </c>
      <c r="AA3174" s="6">
        <v>0</v>
      </c>
      <c r="AB3174" s="4">
        <f t="shared" si="491"/>
        <v>2682.3428571428572</v>
      </c>
      <c r="AC3174" s="4">
        <f t="shared" si="495"/>
        <v>1072.9371428571426</v>
      </c>
      <c r="AD3174" s="6">
        <v>2741.0499999999993</v>
      </c>
      <c r="AE3174" s="2">
        <f>VLOOKUP(I3174,[1]媒体政策预估表!A:N,MATCH(O3174,[1]媒体政策预估表!$A$2:$M$2,0),0)</f>
        <v>0.06</v>
      </c>
      <c r="AF3174" s="6">
        <f t="shared" si="496"/>
        <v>164.46299999999994</v>
      </c>
      <c r="AG3174" s="9">
        <v>0.37</v>
      </c>
      <c r="AH3174" s="6">
        <f t="shared" si="494"/>
        <v>2741.0802919708026</v>
      </c>
      <c r="AI3174" s="47"/>
      <c r="AJ3174" s="126" t="e">
        <v>#N/A</v>
      </c>
      <c r="AK3174" s="80">
        <f t="shared" si="492"/>
        <v>0</v>
      </c>
      <c r="AM3174" s="85"/>
    </row>
    <row r="3175" spans="1:39" hidden="1" x14ac:dyDescent="0.3">
      <c r="A3175" s="89" t="s">
        <v>3408</v>
      </c>
      <c r="B3175" s="86" t="s">
        <v>35</v>
      </c>
      <c r="C3175" s="86" t="s">
        <v>187</v>
      </c>
      <c r="D3175" s="86" t="s">
        <v>208</v>
      </c>
      <c r="E3175" s="86" t="s">
        <v>2490</v>
      </c>
      <c r="F3175" s="86" t="s">
        <v>2490</v>
      </c>
      <c r="G3175" s="86" t="s">
        <v>2490</v>
      </c>
      <c r="H3175" s="143">
        <v>237</v>
      </c>
      <c r="I3175" s="86" t="s">
        <v>2374</v>
      </c>
      <c r="J3175" s="1" t="s">
        <v>3322</v>
      </c>
      <c r="K3175" s="1" t="s">
        <v>3269</v>
      </c>
      <c r="L3175" s="1" t="s">
        <v>35</v>
      </c>
      <c r="M3175" s="86" t="s">
        <v>2438</v>
      </c>
      <c r="N3175" s="86"/>
      <c r="O3175" s="47" t="s">
        <v>45</v>
      </c>
      <c r="P3175" s="47" t="s">
        <v>46</v>
      </c>
      <c r="Q3175" s="14">
        <v>0.08</v>
      </c>
      <c r="R3175" s="143"/>
      <c r="S3175" s="47"/>
      <c r="T3175" s="6">
        <v>3055.029500000001</v>
      </c>
      <c r="U3175" s="6"/>
      <c r="V3175" s="6">
        <v>0</v>
      </c>
      <c r="W3175" s="6">
        <f t="shared" si="497"/>
        <v>3055.029500000001</v>
      </c>
      <c r="X3175" s="6">
        <f t="shared" si="493"/>
        <v>0</v>
      </c>
      <c r="Y3175" s="13">
        <f t="shared" si="490"/>
        <v>0</v>
      </c>
      <c r="Z3175" s="14">
        <v>0</v>
      </c>
      <c r="AA3175" s="6">
        <v>0</v>
      </c>
      <c r="AB3175" s="4">
        <f t="shared" si="491"/>
        <v>0</v>
      </c>
      <c r="AC3175" s="4">
        <f t="shared" si="495"/>
        <v>0</v>
      </c>
      <c r="AD3175" s="6">
        <v>0</v>
      </c>
      <c r="AE3175" s="2">
        <f>VLOOKUP(I3175,[1]媒体政策预估表!A:N,MATCH(O3175,[1]媒体政策预估表!$A$2:$M$2,0),0)</f>
        <v>0.06</v>
      </c>
      <c r="AF3175" s="6">
        <f t="shared" si="496"/>
        <v>0</v>
      </c>
      <c r="AG3175" s="9">
        <v>0.37</v>
      </c>
      <c r="AH3175" s="6">
        <f t="shared" si="494"/>
        <v>0</v>
      </c>
      <c r="AI3175" s="47"/>
      <c r="AJ3175" s="126" t="e">
        <v>#N/A</v>
      </c>
      <c r="AK3175" s="80">
        <f t="shared" si="492"/>
        <v>0</v>
      </c>
      <c r="AM3175" s="85"/>
    </row>
    <row r="3176" spans="1:39" hidden="1" x14ac:dyDescent="0.3">
      <c r="A3176" s="89" t="s">
        <v>3397</v>
      </c>
      <c r="B3176" s="86" t="s">
        <v>35</v>
      </c>
      <c r="C3176" s="86" t="s">
        <v>59</v>
      </c>
      <c r="D3176" s="86" t="s">
        <v>60</v>
      </c>
      <c r="E3176" s="86" t="s">
        <v>2491</v>
      </c>
      <c r="F3176" s="86" t="s">
        <v>2492</v>
      </c>
      <c r="G3176" s="86" t="s">
        <v>2491</v>
      </c>
      <c r="H3176" s="143">
        <v>237</v>
      </c>
      <c r="I3176" s="86" t="s">
        <v>2374</v>
      </c>
      <c r="J3176" s="1" t="s">
        <v>3322</v>
      </c>
      <c r="K3176" s="1" t="s">
        <v>3269</v>
      </c>
      <c r="L3176" s="1" t="s">
        <v>35</v>
      </c>
      <c r="M3176" s="86" t="s">
        <v>2493</v>
      </c>
      <c r="N3176" s="86"/>
      <c r="O3176" s="47" t="s">
        <v>45</v>
      </c>
      <c r="P3176" s="47" t="s">
        <v>46</v>
      </c>
      <c r="Q3176" s="14">
        <v>0.04</v>
      </c>
      <c r="R3176" s="143"/>
      <c r="S3176" s="47"/>
      <c r="T3176" s="6">
        <v>-1.0999999999985448</v>
      </c>
      <c r="U3176" s="6"/>
      <c r="V3176" s="6">
        <v>0</v>
      </c>
      <c r="W3176" s="6">
        <f t="shared" si="497"/>
        <v>-1.0999999999985448</v>
      </c>
      <c r="X3176" s="6">
        <f t="shared" si="493"/>
        <v>0</v>
      </c>
      <c r="Y3176" s="13">
        <f t="shared" si="490"/>
        <v>0</v>
      </c>
      <c r="Z3176" s="14">
        <v>0</v>
      </c>
      <c r="AA3176" s="6">
        <v>0</v>
      </c>
      <c r="AB3176" s="4">
        <f t="shared" si="491"/>
        <v>0</v>
      </c>
      <c r="AC3176" s="4">
        <f t="shared" si="495"/>
        <v>0</v>
      </c>
      <c r="AD3176" s="6">
        <v>0</v>
      </c>
      <c r="AE3176" s="2">
        <f>VLOOKUP(I3176,[1]媒体政策预估表!A:N,MATCH(O3176,[1]媒体政策预估表!$A$2:$M$2,0),0)</f>
        <v>0.06</v>
      </c>
      <c r="AF3176" s="6">
        <f t="shared" si="496"/>
        <v>0</v>
      </c>
      <c r="AG3176" s="9">
        <v>0</v>
      </c>
      <c r="AH3176" s="6">
        <f t="shared" si="494"/>
        <v>0</v>
      </c>
      <c r="AI3176" s="47"/>
      <c r="AJ3176" s="126" t="e">
        <v>#N/A</v>
      </c>
      <c r="AK3176" s="80">
        <f t="shared" si="492"/>
        <v>0</v>
      </c>
      <c r="AM3176" s="85"/>
    </row>
    <row r="3177" spans="1:39" hidden="1" x14ac:dyDescent="0.3">
      <c r="A3177" s="89" t="s">
        <v>3397</v>
      </c>
      <c r="B3177" s="86" t="s">
        <v>35</v>
      </c>
      <c r="C3177" s="86" t="s">
        <v>65</v>
      </c>
      <c r="D3177" s="86" t="s">
        <v>2494</v>
      </c>
      <c r="E3177" s="86" t="s">
        <v>2385</v>
      </c>
      <c r="F3177" s="86" t="s">
        <v>2385</v>
      </c>
      <c r="G3177" s="86" t="s">
        <v>2385</v>
      </c>
      <c r="H3177" s="143">
        <v>237</v>
      </c>
      <c r="I3177" s="86" t="s">
        <v>2374</v>
      </c>
      <c r="J3177" s="1" t="s">
        <v>3322</v>
      </c>
      <c r="K3177" s="1" t="s">
        <v>3269</v>
      </c>
      <c r="L3177" s="1" t="s">
        <v>35</v>
      </c>
      <c r="M3177" s="86" t="s">
        <v>2385</v>
      </c>
      <c r="N3177" s="86"/>
      <c r="O3177" s="47" t="s">
        <v>410</v>
      </c>
      <c r="P3177" s="47" t="s">
        <v>46</v>
      </c>
      <c r="Q3177" s="14">
        <v>0.03</v>
      </c>
      <c r="R3177" s="143"/>
      <c r="S3177" s="47"/>
      <c r="T3177" s="6">
        <v>1.4300000000033322</v>
      </c>
      <c r="U3177" s="6"/>
      <c r="V3177" s="6">
        <v>0</v>
      </c>
      <c r="W3177" s="6">
        <f t="shared" si="497"/>
        <v>1.4300000000033322</v>
      </c>
      <c r="X3177" s="6">
        <f t="shared" si="493"/>
        <v>0</v>
      </c>
      <c r="Y3177" s="13">
        <f t="shared" si="490"/>
        <v>0</v>
      </c>
      <c r="Z3177" s="14">
        <v>0</v>
      </c>
      <c r="AA3177" s="6">
        <v>0</v>
      </c>
      <c r="AB3177" s="4">
        <f t="shared" si="491"/>
        <v>0</v>
      </c>
      <c r="AC3177" s="4">
        <f t="shared" si="495"/>
        <v>0</v>
      </c>
      <c r="AD3177" s="6">
        <v>0</v>
      </c>
      <c r="AE3177" s="2">
        <f>VLOOKUP(I3177,[1]媒体政策预估表!A:N,MATCH(O3177,[1]媒体政策预估表!$A$2:$M$2,0),0)</f>
        <v>0</v>
      </c>
      <c r="AF3177" s="6">
        <f t="shared" si="496"/>
        <v>0</v>
      </c>
      <c r="AG3177" s="9">
        <v>0</v>
      </c>
      <c r="AH3177" s="6">
        <f t="shared" si="494"/>
        <v>0</v>
      </c>
      <c r="AI3177" s="47"/>
      <c r="AJ3177" s="126" t="e">
        <v>#N/A</v>
      </c>
      <c r="AK3177" s="80">
        <f t="shared" si="492"/>
        <v>0</v>
      </c>
      <c r="AM3177" s="85"/>
    </row>
    <row r="3178" spans="1:39" hidden="1" x14ac:dyDescent="0.3">
      <c r="A3178" s="89" t="s">
        <v>3408</v>
      </c>
      <c r="B3178" s="86" t="s">
        <v>35</v>
      </c>
      <c r="C3178" s="86" t="s">
        <v>47</v>
      </c>
      <c r="D3178" s="86" t="s">
        <v>63</v>
      </c>
      <c r="E3178" s="86" t="s">
        <v>127</v>
      </c>
      <c r="F3178" s="86" t="s">
        <v>127</v>
      </c>
      <c r="G3178" s="86" t="s">
        <v>127</v>
      </c>
      <c r="H3178" s="143">
        <v>237</v>
      </c>
      <c r="I3178" s="86" t="s">
        <v>2374</v>
      </c>
      <c r="J3178" s="1" t="s">
        <v>3322</v>
      </c>
      <c r="K3178" s="1" t="s">
        <v>3269</v>
      </c>
      <c r="L3178" s="1" t="s">
        <v>35</v>
      </c>
      <c r="M3178" s="86" t="s">
        <v>127</v>
      </c>
      <c r="N3178" s="86"/>
      <c r="O3178" s="47" t="s">
        <v>40</v>
      </c>
      <c r="P3178" s="47" t="s">
        <v>46</v>
      </c>
      <c r="Q3178" s="14">
        <v>0.05</v>
      </c>
      <c r="R3178" s="143"/>
      <c r="S3178" s="47"/>
      <c r="T3178" s="6">
        <v>-1.2399999999615829E-2</v>
      </c>
      <c r="U3178" s="6"/>
      <c r="V3178" s="6">
        <v>0</v>
      </c>
      <c r="W3178" s="6">
        <f t="shared" si="497"/>
        <v>-1.2399999999615829E-2</v>
      </c>
      <c r="X3178" s="6">
        <f t="shared" si="493"/>
        <v>0</v>
      </c>
      <c r="Y3178" s="13">
        <f t="shared" si="490"/>
        <v>0</v>
      </c>
      <c r="Z3178" s="14">
        <v>0</v>
      </c>
      <c r="AA3178" s="6">
        <v>0</v>
      </c>
      <c r="AB3178" s="4">
        <f t="shared" si="491"/>
        <v>0</v>
      </c>
      <c r="AC3178" s="4">
        <f t="shared" si="495"/>
        <v>0</v>
      </c>
      <c r="AD3178" s="6">
        <v>0</v>
      </c>
      <c r="AE3178" s="2">
        <f>VLOOKUP(I3178,[1]媒体政策预估表!A:N,MATCH(O3178,[1]媒体政策预估表!$A$2:$M$2,0),0)</f>
        <v>7.0000000000000007E-2</v>
      </c>
      <c r="AF3178" s="6">
        <f t="shared" si="496"/>
        <v>0</v>
      </c>
      <c r="AG3178" s="9">
        <v>0.28000000000000003</v>
      </c>
      <c r="AH3178" s="6">
        <f t="shared" si="494"/>
        <v>0</v>
      </c>
      <c r="AI3178" s="47"/>
      <c r="AJ3178" s="126" t="e">
        <v>#N/A</v>
      </c>
      <c r="AK3178" s="80">
        <f t="shared" si="492"/>
        <v>0</v>
      </c>
      <c r="AM3178" s="85"/>
    </row>
    <row r="3179" spans="1:39" hidden="1" x14ac:dyDescent="0.3">
      <c r="A3179" s="89" t="s">
        <v>3408</v>
      </c>
      <c r="B3179" s="86" t="s">
        <v>35</v>
      </c>
      <c r="C3179" s="86" t="s">
        <v>47</v>
      </c>
      <c r="D3179" s="86" t="s">
        <v>63</v>
      </c>
      <c r="E3179" s="86" t="s">
        <v>2393</v>
      </c>
      <c r="F3179" s="86" t="s">
        <v>2394</v>
      </c>
      <c r="G3179" s="86" t="s">
        <v>2393</v>
      </c>
      <c r="H3179" s="143">
        <v>237</v>
      </c>
      <c r="I3179" s="86" t="s">
        <v>2374</v>
      </c>
      <c r="J3179" s="1" t="s">
        <v>3322</v>
      </c>
      <c r="K3179" s="1" t="s">
        <v>3269</v>
      </c>
      <c r="L3179" s="1" t="s">
        <v>35</v>
      </c>
      <c r="M3179" s="86" t="s">
        <v>2408</v>
      </c>
      <c r="N3179" s="86"/>
      <c r="O3179" s="47" t="s">
        <v>40</v>
      </c>
      <c r="P3179" s="47" t="s">
        <v>46</v>
      </c>
      <c r="Q3179" s="14">
        <v>5.5E-2</v>
      </c>
      <c r="R3179" s="143"/>
      <c r="S3179" s="47"/>
      <c r="T3179" s="6">
        <v>0</v>
      </c>
      <c r="U3179" s="6"/>
      <c r="V3179" s="6">
        <v>0</v>
      </c>
      <c r="W3179" s="6">
        <f t="shared" si="497"/>
        <v>0</v>
      </c>
      <c r="X3179" s="6">
        <f t="shared" si="493"/>
        <v>0</v>
      </c>
      <c r="Y3179" s="13">
        <f t="shared" si="490"/>
        <v>0</v>
      </c>
      <c r="Z3179" s="14">
        <v>0</v>
      </c>
      <c r="AA3179" s="6">
        <v>0</v>
      </c>
      <c r="AB3179" s="4">
        <f t="shared" si="491"/>
        <v>0</v>
      </c>
      <c r="AC3179" s="4">
        <f t="shared" si="495"/>
        <v>0</v>
      </c>
      <c r="AD3179" s="6">
        <v>0</v>
      </c>
      <c r="AE3179" s="2">
        <f>VLOOKUP(I3179,[1]媒体政策预估表!A:N,MATCH(O3179,[1]媒体政策预估表!$A$2:$M$2,0),0)</f>
        <v>7.0000000000000007E-2</v>
      </c>
      <c r="AF3179" s="6">
        <f t="shared" si="496"/>
        <v>0</v>
      </c>
      <c r="AG3179" s="9">
        <v>0</v>
      </c>
      <c r="AH3179" s="6">
        <f t="shared" si="494"/>
        <v>0</v>
      </c>
      <c r="AI3179" s="47"/>
      <c r="AJ3179" s="126" t="e">
        <v>#N/A</v>
      </c>
      <c r="AK3179" s="80">
        <f t="shared" si="492"/>
        <v>0</v>
      </c>
      <c r="AM3179" s="85"/>
    </row>
    <row r="3180" spans="1:39" hidden="1" x14ac:dyDescent="0.3">
      <c r="A3180" s="89" t="s">
        <v>3408</v>
      </c>
      <c r="B3180" s="86" t="s">
        <v>35</v>
      </c>
      <c r="C3180" s="86" t="s">
        <v>47</v>
      </c>
      <c r="D3180" s="86" t="s">
        <v>63</v>
      </c>
      <c r="E3180" s="86" t="s">
        <v>2393</v>
      </c>
      <c r="F3180" s="86" t="s">
        <v>2394</v>
      </c>
      <c r="G3180" s="86" t="s">
        <v>2393</v>
      </c>
      <c r="H3180" s="143">
        <v>237</v>
      </c>
      <c r="I3180" s="86" t="s">
        <v>2374</v>
      </c>
      <c r="J3180" s="1" t="s">
        <v>3322</v>
      </c>
      <c r="K3180" s="1" t="s">
        <v>3269</v>
      </c>
      <c r="L3180" s="1" t="s">
        <v>35</v>
      </c>
      <c r="M3180" s="86" t="s">
        <v>2404</v>
      </c>
      <c r="N3180" s="86"/>
      <c r="O3180" s="47" t="s">
        <v>40</v>
      </c>
      <c r="P3180" s="47" t="s">
        <v>46</v>
      </c>
      <c r="Q3180" s="14">
        <v>5.5E-2</v>
      </c>
      <c r="R3180" s="143"/>
      <c r="S3180" s="47"/>
      <c r="T3180" s="18">
        <v>100.03</v>
      </c>
      <c r="U3180" s="6"/>
      <c r="V3180" s="6">
        <v>0</v>
      </c>
      <c r="W3180" s="6">
        <f t="shared" si="497"/>
        <v>100.03</v>
      </c>
      <c r="X3180" s="6">
        <f t="shared" si="493"/>
        <v>0</v>
      </c>
      <c r="Y3180" s="13">
        <f t="shared" si="490"/>
        <v>0</v>
      </c>
      <c r="Z3180" s="14">
        <v>0</v>
      </c>
      <c r="AA3180" s="6">
        <v>0</v>
      </c>
      <c r="AB3180" s="4">
        <f t="shared" si="491"/>
        <v>0</v>
      </c>
      <c r="AC3180" s="4">
        <f t="shared" si="495"/>
        <v>0</v>
      </c>
      <c r="AD3180" s="6">
        <v>0</v>
      </c>
      <c r="AE3180" s="2">
        <f>VLOOKUP(I3180,[1]媒体政策预估表!A:N,MATCH(O3180,[1]媒体政策预估表!$A$2:$M$2,0),0)</f>
        <v>7.0000000000000007E-2</v>
      </c>
      <c r="AF3180" s="6">
        <f t="shared" si="496"/>
        <v>0</v>
      </c>
      <c r="AG3180" s="9">
        <v>0</v>
      </c>
      <c r="AH3180" s="6">
        <f t="shared" si="494"/>
        <v>0</v>
      </c>
      <c r="AI3180" s="47"/>
      <c r="AJ3180" s="126" t="e">
        <v>#N/A</v>
      </c>
      <c r="AK3180" s="80">
        <f t="shared" si="492"/>
        <v>0</v>
      </c>
      <c r="AM3180" s="85"/>
    </row>
    <row r="3181" spans="1:39" hidden="1" x14ac:dyDescent="0.3">
      <c r="A3181" s="89" t="s">
        <v>3397</v>
      </c>
      <c r="B3181" s="86" t="s">
        <v>35</v>
      </c>
      <c r="C3181" s="86" t="s">
        <v>47</v>
      </c>
      <c r="D3181" s="86" t="s">
        <v>63</v>
      </c>
      <c r="E3181" s="86" t="s">
        <v>2393</v>
      </c>
      <c r="F3181" s="86" t="s">
        <v>2407</v>
      </c>
      <c r="G3181" s="86" t="s">
        <v>2393</v>
      </c>
      <c r="H3181" s="143">
        <v>237</v>
      </c>
      <c r="I3181" s="86" t="s">
        <v>2374</v>
      </c>
      <c r="J3181" s="1" t="s">
        <v>3322</v>
      </c>
      <c r="K3181" s="1" t="s">
        <v>3269</v>
      </c>
      <c r="L3181" s="1" t="s">
        <v>35</v>
      </c>
      <c r="M3181" s="86" t="s">
        <v>2408</v>
      </c>
      <c r="N3181" s="86"/>
      <c r="O3181" s="47" t="s">
        <v>45</v>
      </c>
      <c r="P3181" s="47" t="s">
        <v>46</v>
      </c>
      <c r="Q3181" s="14">
        <v>5.5E-2</v>
      </c>
      <c r="R3181" s="143"/>
      <c r="S3181" s="47"/>
      <c r="T3181" s="6">
        <v>0</v>
      </c>
      <c r="U3181" s="6"/>
      <c r="V3181" s="6">
        <v>0</v>
      </c>
      <c r="W3181" s="6">
        <f t="shared" si="497"/>
        <v>0</v>
      </c>
      <c r="X3181" s="6">
        <f t="shared" si="493"/>
        <v>0</v>
      </c>
      <c r="Y3181" s="13">
        <f t="shared" si="490"/>
        <v>0</v>
      </c>
      <c r="Z3181" s="14">
        <v>0</v>
      </c>
      <c r="AA3181" s="6">
        <v>0</v>
      </c>
      <c r="AB3181" s="4">
        <f t="shared" si="491"/>
        <v>0</v>
      </c>
      <c r="AC3181" s="4">
        <f t="shared" si="495"/>
        <v>0</v>
      </c>
      <c r="AD3181" s="6">
        <v>0</v>
      </c>
      <c r="AE3181" s="2">
        <f>VLOOKUP(I3181,[1]媒体政策预估表!A:N,MATCH(O3181,[1]媒体政策预估表!$A$2:$M$2,0),0)</f>
        <v>0.06</v>
      </c>
      <c r="AF3181" s="6">
        <f t="shared" si="496"/>
        <v>0</v>
      </c>
      <c r="AG3181" s="9">
        <v>0.06</v>
      </c>
      <c r="AH3181" s="6">
        <f t="shared" si="494"/>
        <v>0</v>
      </c>
      <c r="AI3181" s="47"/>
      <c r="AJ3181" s="126" t="e">
        <v>#N/A</v>
      </c>
      <c r="AK3181" s="80">
        <f t="shared" si="492"/>
        <v>0</v>
      </c>
      <c r="AM3181" s="85"/>
    </row>
    <row r="3182" spans="1:39" hidden="1" x14ac:dyDescent="0.3">
      <c r="A3182" s="89" t="s">
        <v>3408</v>
      </c>
      <c r="B3182" s="86" t="s">
        <v>35</v>
      </c>
      <c r="C3182" s="86" t="s">
        <v>47</v>
      </c>
      <c r="D3182" s="86" t="s">
        <v>63</v>
      </c>
      <c r="E3182" s="86" t="s">
        <v>2409</v>
      </c>
      <c r="F3182" s="86" t="s">
        <v>2416</v>
      </c>
      <c r="G3182" s="86" t="s">
        <v>2409</v>
      </c>
      <c r="H3182" s="143">
        <v>237</v>
      </c>
      <c r="I3182" s="86" t="s">
        <v>2374</v>
      </c>
      <c r="J3182" s="1" t="s">
        <v>3322</v>
      </c>
      <c r="K3182" s="1" t="s">
        <v>3269</v>
      </c>
      <c r="L3182" s="1" t="s">
        <v>35</v>
      </c>
      <c r="M3182" s="86" t="s">
        <v>2417</v>
      </c>
      <c r="N3182" s="86"/>
      <c r="O3182" s="47" t="s">
        <v>45</v>
      </c>
      <c r="P3182" s="47" t="s">
        <v>46</v>
      </c>
      <c r="Q3182" s="14">
        <v>5.5E-2</v>
      </c>
      <c r="R3182" s="143"/>
      <c r="S3182" s="47"/>
      <c r="T3182" s="6">
        <v>-66434.08500000037</v>
      </c>
      <c r="U3182" s="6"/>
      <c r="V3182" s="6">
        <v>0</v>
      </c>
      <c r="W3182" s="6">
        <f t="shared" si="497"/>
        <v>-66434.08500000037</v>
      </c>
      <c r="X3182" s="6">
        <f t="shared" si="493"/>
        <v>0</v>
      </c>
      <c r="Y3182" s="13">
        <f t="shared" si="490"/>
        <v>0</v>
      </c>
      <c r="Z3182" s="14">
        <v>0</v>
      </c>
      <c r="AA3182" s="6">
        <v>0</v>
      </c>
      <c r="AB3182" s="4">
        <f t="shared" si="491"/>
        <v>0</v>
      </c>
      <c r="AC3182" s="4">
        <f t="shared" si="495"/>
        <v>0</v>
      </c>
      <c r="AD3182" s="6">
        <v>0</v>
      </c>
      <c r="AE3182" s="2">
        <f>VLOOKUP(I3182,[1]媒体政策预估表!A:N,MATCH(O3182,[1]媒体政策预估表!$A$2:$M$2,0),0)</f>
        <v>0.06</v>
      </c>
      <c r="AF3182" s="6">
        <f t="shared" si="496"/>
        <v>0</v>
      </c>
      <c r="AG3182" s="9">
        <v>0.1</v>
      </c>
      <c r="AH3182" s="6">
        <f t="shared" si="494"/>
        <v>0</v>
      </c>
      <c r="AI3182" s="47"/>
      <c r="AJ3182" s="126" t="e">
        <v>#N/A</v>
      </c>
      <c r="AK3182" s="80">
        <f t="shared" si="492"/>
        <v>0</v>
      </c>
      <c r="AM3182" s="85"/>
    </row>
    <row r="3183" spans="1:39" hidden="1" x14ac:dyDescent="0.3">
      <c r="A3183" s="89" t="s">
        <v>3408</v>
      </c>
      <c r="B3183" s="86" t="s">
        <v>35</v>
      </c>
      <c r="C3183" s="86" t="s">
        <v>47</v>
      </c>
      <c r="D3183" s="86" t="s">
        <v>63</v>
      </c>
      <c r="E3183" s="86" t="s">
        <v>2409</v>
      </c>
      <c r="F3183" s="86" t="s">
        <v>2416</v>
      </c>
      <c r="G3183" s="86" t="s">
        <v>2409</v>
      </c>
      <c r="H3183" s="143">
        <v>237</v>
      </c>
      <c r="I3183" s="86" t="s">
        <v>2374</v>
      </c>
      <c r="J3183" s="1" t="s">
        <v>3322</v>
      </c>
      <c r="K3183" s="1" t="s">
        <v>3269</v>
      </c>
      <c r="L3183" s="1" t="s">
        <v>35</v>
      </c>
      <c r="M3183" s="86" t="s">
        <v>2417</v>
      </c>
      <c r="N3183" s="86"/>
      <c r="O3183" s="47" t="s">
        <v>410</v>
      </c>
      <c r="P3183" s="47" t="s">
        <v>46</v>
      </c>
      <c r="Q3183" s="14">
        <v>5.5E-2</v>
      </c>
      <c r="R3183" s="143"/>
      <c r="S3183" s="47"/>
      <c r="T3183" s="6">
        <v>-5.0000000337604433E-3</v>
      </c>
      <c r="U3183" s="6"/>
      <c r="V3183" s="6">
        <v>0</v>
      </c>
      <c r="W3183" s="6">
        <f t="shared" si="497"/>
        <v>-5.0000000337604433E-3</v>
      </c>
      <c r="X3183" s="6">
        <f t="shared" si="493"/>
        <v>0</v>
      </c>
      <c r="Y3183" s="13">
        <f t="shared" si="490"/>
        <v>0</v>
      </c>
      <c r="Z3183" s="14">
        <v>0</v>
      </c>
      <c r="AA3183" s="6">
        <v>0</v>
      </c>
      <c r="AB3183" s="4">
        <f t="shared" si="491"/>
        <v>0</v>
      </c>
      <c r="AC3183" s="4">
        <f t="shared" si="495"/>
        <v>0</v>
      </c>
      <c r="AD3183" s="6">
        <v>0</v>
      </c>
      <c r="AE3183" s="2">
        <f>VLOOKUP(I3183,[1]媒体政策预估表!A:N,MATCH(O3183,[1]媒体政策预估表!$A$2:$M$2,0),0)</f>
        <v>0</v>
      </c>
      <c r="AF3183" s="6">
        <f t="shared" si="496"/>
        <v>0</v>
      </c>
      <c r="AG3183" s="9">
        <v>0.1</v>
      </c>
      <c r="AH3183" s="6">
        <f t="shared" si="494"/>
        <v>0</v>
      </c>
      <c r="AI3183" s="47"/>
      <c r="AJ3183" s="126" t="e">
        <v>#N/A</v>
      </c>
      <c r="AK3183" s="80">
        <f t="shared" si="492"/>
        <v>0</v>
      </c>
      <c r="AM3183" s="85"/>
    </row>
    <row r="3184" spans="1:39" hidden="1" x14ac:dyDescent="0.3">
      <c r="A3184" s="89" t="s">
        <v>3408</v>
      </c>
      <c r="B3184" s="86" t="s">
        <v>35</v>
      </c>
      <c r="C3184" s="86" t="s">
        <v>144</v>
      </c>
      <c r="D3184" s="86" t="s">
        <v>145</v>
      </c>
      <c r="E3184" s="86" t="s">
        <v>236</v>
      </c>
      <c r="F3184" s="86" t="s">
        <v>236</v>
      </c>
      <c r="G3184" s="86" t="s">
        <v>236</v>
      </c>
      <c r="H3184" s="143">
        <v>237</v>
      </c>
      <c r="I3184" s="86" t="s">
        <v>2374</v>
      </c>
      <c r="J3184" s="1" t="s">
        <v>3322</v>
      </c>
      <c r="K3184" s="1" t="s">
        <v>3269</v>
      </c>
      <c r="L3184" s="1" t="s">
        <v>35</v>
      </c>
      <c r="M3184" s="86" t="s">
        <v>2433</v>
      </c>
      <c r="N3184" s="86"/>
      <c r="O3184" s="47" t="s">
        <v>40</v>
      </c>
      <c r="P3184" s="47" t="s">
        <v>46</v>
      </c>
      <c r="Q3184" s="14">
        <v>0.02</v>
      </c>
      <c r="R3184" s="143"/>
      <c r="S3184" s="47"/>
      <c r="T3184" s="6">
        <v>-74839.461799999946</v>
      </c>
      <c r="U3184" s="6"/>
      <c r="V3184" s="6">
        <v>0</v>
      </c>
      <c r="W3184" s="6">
        <f t="shared" si="497"/>
        <v>-74839.461799999946</v>
      </c>
      <c r="X3184" s="6">
        <f t="shared" si="493"/>
        <v>0</v>
      </c>
      <c r="Y3184" s="13">
        <f t="shared" si="490"/>
        <v>0</v>
      </c>
      <c r="Z3184" s="14">
        <v>0</v>
      </c>
      <c r="AA3184" s="6">
        <v>0</v>
      </c>
      <c r="AB3184" s="4">
        <f t="shared" si="491"/>
        <v>0</v>
      </c>
      <c r="AC3184" s="4">
        <f t="shared" si="495"/>
        <v>0</v>
      </c>
      <c r="AD3184" s="6">
        <v>0</v>
      </c>
      <c r="AE3184" s="2">
        <f>VLOOKUP(I3184,[1]媒体政策预估表!A:N,MATCH(O3184,[1]媒体政策预估表!$A$2:$M$2,0),0)</f>
        <v>7.0000000000000007E-2</v>
      </c>
      <c r="AF3184" s="6">
        <f t="shared" si="496"/>
        <v>0</v>
      </c>
      <c r="AG3184" s="9">
        <v>0.38</v>
      </c>
      <c r="AH3184" s="6">
        <f t="shared" si="494"/>
        <v>0</v>
      </c>
      <c r="AI3184" s="47"/>
      <c r="AJ3184" s="126" t="e">
        <v>#N/A</v>
      </c>
      <c r="AK3184" s="80">
        <f t="shared" si="492"/>
        <v>0</v>
      </c>
      <c r="AM3184" s="85"/>
    </row>
    <row r="3185" spans="1:39" hidden="1" x14ac:dyDescent="0.3">
      <c r="A3185" s="89" t="s">
        <v>3397</v>
      </c>
      <c r="B3185" s="86" t="s">
        <v>35</v>
      </c>
      <c r="C3185" s="86" t="s">
        <v>144</v>
      </c>
      <c r="D3185" s="86" t="s">
        <v>145</v>
      </c>
      <c r="E3185" s="86" t="s">
        <v>236</v>
      </c>
      <c r="F3185" s="86" t="s">
        <v>2495</v>
      </c>
      <c r="G3185" s="86" t="s">
        <v>236</v>
      </c>
      <c r="H3185" s="143">
        <v>237</v>
      </c>
      <c r="I3185" s="86" t="s">
        <v>2374</v>
      </c>
      <c r="J3185" s="1" t="s">
        <v>3322</v>
      </c>
      <c r="K3185" s="1" t="s">
        <v>3269</v>
      </c>
      <c r="L3185" s="1" t="s">
        <v>35</v>
      </c>
      <c r="M3185" s="86" t="s">
        <v>2433</v>
      </c>
      <c r="N3185" s="86"/>
      <c r="O3185" s="47" t="s">
        <v>40</v>
      </c>
      <c r="P3185" s="47" t="s">
        <v>46</v>
      </c>
      <c r="Q3185" s="14">
        <v>0.03</v>
      </c>
      <c r="R3185" s="143"/>
      <c r="S3185" s="47"/>
      <c r="T3185" s="6">
        <v>14839.55639999999</v>
      </c>
      <c r="U3185" s="6"/>
      <c r="V3185" s="6">
        <v>0</v>
      </c>
      <c r="W3185" s="6">
        <f t="shared" si="497"/>
        <v>14839.55639999999</v>
      </c>
      <c r="X3185" s="6">
        <f t="shared" si="493"/>
        <v>0</v>
      </c>
      <c r="Y3185" s="13">
        <f t="shared" si="490"/>
        <v>0</v>
      </c>
      <c r="Z3185" s="14">
        <v>0</v>
      </c>
      <c r="AA3185" s="6">
        <v>0</v>
      </c>
      <c r="AB3185" s="4">
        <f t="shared" si="491"/>
        <v>0</v>
      </c>
      <c r="AC3185" s="4">
        <f t="shared" si="495"/>
        <v>0</v>
      </c>
      <c r="AD3185" s="6">
        <v>0</v>
      </c>
      <c r="AE3185" s="2">
        <f>VLOOKUP(I3185,[1]媒体政策预估表!A:N,MATCH(O3185,[1]媒体政策预估表!$A$2:$M$2,0),0)</f>
        <v>7.0000000000000007E-2</v>
      </c>
      <c r="AF3185" s="6">
        <f t="shared" si="496"/>
        <v>0</v>
      </c>
      <c r="AG3185" s="9">
        <v>0.38</v>
      </c>
      <c r="AH3185" s="6">
        <f t="shared" si="494"/>
        <v>0</v>
      </c>
      <c r="AI3185" s="47"/>
      <c r="AJ3185" s="126" t="e">
        <v>#N/A</v>
      </c>
      <c r="AK3185" s="80">
        <f t="shared" si="492"/>
        <v>0</v>
      </c>
      <c r="AM3185" s="85"/>
    </row>
    <row r="3186" spans="1:39" hidden="1" x14ac:dyDescent="0.3">
      <c r="A3186" s="89" t="s">
        <v>3397</v>
      </c>
      <c r="B3186" s="86" t="s">
        <v>35</v>
      </c>
      <c r="C3186" s="86" t="s">
        <v>53</v>
      </c>
      <c r="D3186" s="86" t="s">
        <v>54</v>
      </c>
      <c r="E3186" s="86" t="s">
        <v>2472</v>
      </c>
      <c r="F3186" s="86" t="s">
        <v>2472</v>
      </c>
      <c r="G3186" s="86" t="s">
        <v>2472</v>
      </c>
      <c r="H3186" s="144">
        <v>237</v>
      </c>
      <c r="I3186" s="86" t="s">
        <v>2374</v>
      </c>
      <c r="J3186" s="1" t="s">
        <v>3322</v>
      </c>
      <c r="K3186" s="1" t="s">
        <v>3269</v>
      </c>
      <c r="L3186" s="1" t="s">
        <v>35</v>
      </c>
      <c r="M3186" s="86" t="s">
        <v>2472</v>
      </c>
      <c r="N3186" s="86"/>
      <c r="O3186" s="47" t="s">
        <v>45</v>
      </c>
      <c r="P3186" s="47" t="s">
        <v>46</v>
      </c>
      <c r="Q3186" s="14">
        <v>0.03</v>
      </c>
      <c r="R3186" s="143"/>
      <c r="S3186" s="47"/>
      <c r="T3186" s="6">
        <v>124432.62000000005</v>
      </c>
      <c r="U3186" s="6"/>
      <c r="V3186" s="6">
        <v>7732.8199999999906</v>
      </c>
      <c r="W3186" s="6">
        <f t="shared" si="497"/>
        <v>116699.80000000006</v>
      </c>
      <c r="X3186" s="6">
        <f t="shared" si="493"/>
        <v>7507.5922330096992</v>
      </c>
      <c r="Y3186" s="13">
        <f t="shared" si="490"/>
        <v>0</v>
      </c>
      <c r="Z3186" s="14">
        <v>0</v>
      </c>
      <c r="AA3186" s="6">
        <v>0</v>
      </c>
      <c r="AB3186" s="4">
        <f t="shared" si="491"/>
        <v>7507.5922330096992</v>
      </c>
      <c r="AC3186" s="4">
        <f t="shared" si="495"/>
        <v>225.22776699029146</v>
      </c>
      <c r="AD3186" s="6">
        <v>7588.130000000001</v>
      </c>
      <c r="AE3186" s="2">
        <f>VLOOKUP(I3186,[1]媒体政策预估表!A:N,MATCH(O3186,[1]媒体政策预估表!$A$2:$M$2,0),0)</f>
        <v>0.06</v>
      </c>
      <c r="AF3186" s="6">
        <f t="shared" si="496"/>
        <v>455.28780000000006</v>
      </c>
      <c r="AG3186" s="9">
        <v>0</v>
      </c>
      <c r="AH3186" s="6">
        <f t="shared" si="494"/>
        <v>7732.8199999999906</v>
      </c>
      <c r="AI3186" s="47"/>
      <c r="AJ3186" s="126" t="e">
        <v>#N/A</v>
      </c>
      <c r="AK3186" s="80">
        <f t="shared" si="492"/>
        <v>0</v>
      </c>
      <c r="AM3186" s="85"/>
    </row>
    <row r="3187" spans="1:39" hidden="1" x14ac:dyDescent="0.3">
      <c r="A3187" s="89" t="s">
        <v>3397</v>
      </c>
      <c r="B3187" s="86" t="s">
        <v>35</v>
      </c>
      <c r="C3187" s="86" t="s">
        <v>187</v>
      </c>
      <c r="D3187" s="86" t="s">
        <v>188</v>
      </c>
      <c r="E3187" s="86" t="s">
        <v>202</v>
      </c>
      <c r="F3187" s="86" t="s">
        <v>202</v>
      </c>
      <c r="G3187" s="86" t="s">
        <v>202</v>
      </c>
      <c r="H3187" s="143">
        <v>237</v>
      </c>
      <c r="I3187" s="86" t="s">
        <v>2374</v>
      </c>
      <c r="J3187" s="1" t="s">
        <v>3322</v>
      </c>
      <c r="K3187" s="1" t="s">
        <v>3269</v>
      </c>
      <c r="L3187" s="1" t="s">
        <v>35</v>
      </c>
      <c r="M3187" s="86" t="s">
        <v>2438</v>
      </c>
      <c r="N3187" s="86"/>
      <c r="O3187" s="47" t="s">
        <v>45</v>
      </c>
      <c r="P3187" s="47" t="s">
        <v>3426</v>
      </c>
      <c r="Q3187" s="14">
        <v>-0.02</v>
      </c>
      <c r="R3187" s="143"/>
      <c r="S3187" s="47"/>
      <c r="T3187" s="6">
        <v>-515592.65</v>
      </c>
      <c r="U3187" s="6"/>
      <c r="V3187" s="6">
        <v>0</v>
      </c>
      <c r="W3187" s="6">
        <f t="shared" si="497"/>
        <v>-515592.65</v>
      </c>
      <c r="X3187" s="6">
        <f t="shared" si="493"/>
        <v>0</v>
      </c>
      <c r="Y3187" s="13">
        <f t="shared" si="490"/>
        <v>0</v>
      </c>
      <c r="Z3187" s="14">
        <v>0</v>
      </c>
      <c r="AA3187" s="6">
        <v>0</v>
      </c>
      <c r="AB3187" s="4">
        <f t="shared" si="491"/>
        <v>0</v>
      </c>
      <c r="AC3187" s="4">
        <f t="shared" si="495"/>
        <v>0</v>
      </c>
      <c r="AD3187" s="6">
        <v>0</v>
      </c>
      <c r="AE3187" s="2">
        <f>VLOOKUP(I3187,[1]媒体政策预估表!A:N,MATCH(O3187,[1]媒体政策预估表!$A$2:$M$2,0),0)</f>
        <v>0.06</v>
      </c>
      <c r="AF3187" s="6">
        <f t="shared" si="496"/>
        <v>0</v>
      </c>
      <c r="AG3187" s="9">
        <v>0.37</v>
      </c>
      <c r="AH3187" s="6">
        <f t="shared" si="494"/>
        <v>0</v>
      </c>
      <c r="AI3187" s="47"/>
      <c r="AJ3187" s="126" t="e">
        <v>#N/A</v>
      </c>
      <c r="AK3187" s="80">
        <f t="shared" si="492"/>
        <v>0</v>
      </c>
      <c r="AM3187" s="85"/>
    </row>
    <row r="3188" spans="1:39" hidden="1" x14ac:dyDescent="0.3">
      <c r="A3188" s="89" t="s">
        <v>3397</v>
      </c>
      <c r="B3188" s="86" t="s">
        <v>35</v>
      </c>
      <c r="C3188" s="86" t="s">
        <v>187</v>
      </c>
      <c r="D3188" s="86" t="s">
        <v>188</v>
      </c>
      <c r="E3188" s="86" t="s">
        <v>2496</v>
      </c>
      <c r="F3188" s="86" t="s">
        <v>2496</v>
      </c>
      <c r="G3188" s="86" t="s">
        <v>2496</v>
      </c>
      <c r="H3188" s="143">
        <v>237</v>
      </c>
      <c r="I3188" s="86" t="s">
        <v>2374</v>
      </c>
      <c r="J3188" s="1" t="s">
        <v>3322</v>
      </c>
      <c r="K3188" s="1" t="s">
        <v>3269</v>
      </c>
      <c r="L3188" s="1" t="s">
        <v>35</v>
      </c>
      <c r="M3188" s="86" t="s">
        <v>2438</v>
      </c>
      <c r="N3188" s="86"/>
      <c r="O3188" s="47" t="s">
        <v>40</v>
      </c>
      <c r="P3188" s="47" t="s">
        <v>46</v>
      </c>
      <c r="Q3188" s="14">
        <v>0.05</v>
      </c>
      <c r="R3188" s="143"/>
      <c r="S3188" s="47"/>
      <c r="T3188" s="6">
        <v>30886.428000000004</v>
      </c>
      <c r="U3188" s="6"/>
      <c r="V3188" s="6">
        <v>0</v>
      </c>
      <c r="W3188" s="6">
        <f t="shared" si="497"/>
        <v>30886.428000000004</v>
      </c>
      <c r="X3188" s="6">
        <f t="shared" si="493"/>
        <v>0</v>
      </c>
      <c r="Y3188" s="13">
        <f t="shared" si="490"/>
        <v>0</v>
      </c>
      <c r="Z3188" s="14">
        <v>0</v>
      </c>
      <c r="AA3188" s="6">
        <v>0</v>
      </c>
      <c r="AB3188" s="4">
        <f t="shared" si="491"/>
        <v>0</v>
      </c>
      <c r="AC3188" s="4">
        <f t="shared" si="495"/>
        <v>0</v>
      </c>
      <c r="AD3188" s="6">
        <v>0</v>
      </c>
      <c r="AE3188" s="2">
        <f>VLOOKUP(I3188,[1]媒体政策预估表!A:N,MATCH(O3188,[1]媒体政策预估表!$A$2:$M$2,0),0)</f>
        <v>7.0000000000000007E-2</v>
      </c>
      <c r="AF3188" s="6">
        <f t="shared" si="496"/>
        <v>0</v>
      </c>
      <c r="AG3188" s="9">
        <v>0.4</v>
      </c>
      <c r="AH3188" s="6">
        <f t="shared" si="494"/>
        <v>0</v>
      </c>
      <c r="AI3188" s="47"/>
      <c r="AJ3188" s="126" t="e">
        <v>#N/A</v>
      </c>
      <c r="AK3188" s="80">
        <f t="shared" si="492"/>
        <v>0</v>
      </c>
      <c r="AM3188" s="85"/>
    </row>
    <row r="3189" spans="1:39" hidden="1" x14ac:dyDescent="0.3">
      <c r="A3189" s="89" t="s">
        <v>3408</v>
      </c>
      <c r="B3189" s="86" t="s">
        <v>35</v>
      </c>
      <c r="C3189" s="86" t="s">
        <v>187</v>
      </c>
      <c r="D3189" s="86" t="s">
        <v>188</v>
      </c>
      <c r="E3189" s="86" t="s">
        <v>2496</v>
      </c>
      <c r="F3189" s="86" t="s">
        <v>2496</v>
      </c>
      <c r="G3189" s="86" t="s">
        <v>2496</v>
      </c>
      <c r="H3189" s="143">
        <v>237</v>
      </c>
      <c r="I3189" s="86" t="s">
        <v>2374</v>
      </c>
      <c r="J3189" s="1" t="s">
        <v>3322</v>
      </c>
      <c r="K3189" s="1" t="s">
        <v>3269</v>
      </c>
      <c r="L3189" s="1" t="s">
        <v>35</v>
      </c>
      <c r="M3189" s="86" t="s">
        <v>2438</v>
      </c>
      <c r="N3189" s="86"/>
      <c r="O3189" s="47" t="s">
        <v>40</v>
      </c>
      <c r="P3189" s="47" t="s">
        <v>41</v>
      </c>
      <c r="Q3189" s="14">
        <v>0</v>
      </c>
      <c r="R3189" s="143"/>
      <c r="S3189" s="47"/>
      <c r="T3189" s="6">
        <v>0.13395915713044815</v>
      </c>
      <c r="U3189" s="6"/>
      <c r="V3189" s="6">
        <v>0</v>
      </c>
      <c r="W3189" s="6">
        <f t="shared" si="497"/>
        <v>0.13395915713044815</v>
      </c>
      <c r="X3189" s="6">
        <f t="shared" si="493"/>
        <v>0</v>
      </c>
      <c r="Y3189" s="13">
        <f t="shared" si="490"/>
        <v>0</v>
      </c>
      <c r="Z3189" s="14">
        <v>0</v>
      </c>
      <c r="AA3189" s="6">
        <v>0</v>
      </c>
      <c r="AB3189" s="4">
        <f t="shared" si="491"/>
        <v>0</v>
      </c>
      <c r="AC3189" s="4">
        <f t="shared" si="495"/>
        <v>0</v>
      </c>
      <c r="AD3189" s="6">
        <v>0</v>
      </c>
      <c r="AE3189" s="2">
        <f>VLOOKUP(I3189,[1]媒体政策预估表!A:N,MATCH(O3189,[1]媒体政策预估表!$A$2:$M$2,0),0)</f>
        <v>7.0000000000000007E-2</v>
      </c>
      <c r="AF3189" s="6">
        <f t="shared" si="496"/>
        <v>0</v>
      </c>
      <c r="AG3189" s="9">
        <v>0.4</v>
      </c>
      <c r="AH3189" s="6">
        <f t="shared" si="494"/>
        <v>0</v>
      </c>
      <c r="AI3189" s="47"/>
      <c r="AJ3189" s="126" t="e">
        <v>#N/A</v>
      </c>
      <c r="AK3189" s="80">
        <f t="shared" si="492"/>
        <v>0</v>
      </c>
      <c r="AM3189" s="85"/>
    </row>
    <row r="3190" spans="1:39" hidden="1" x14ac:dyDescent="0.3">
      <c r="A3190" s="89" t="s">
        <v>3408</v>
      </c>
      <c r="B3190" s="86" t="s">
        <v>35</v>
      </c>
      <c r="C3190" s="86" t="s">
        <v>187</v>
      </c>
      <c r="D3190" s="86" t="s">
        <v>188</v>
      </c>
      <c r="E3190" s="86" t="s">
        <v>2497</v>
      </c>
      <c r="F3190" s="86" t="s">
        <v>2497</v>
      </c>
      <c r="G3190" s="86" t="s">
        <v>2497</v>
      </c>
      <c r="H3190" s="143">
        <v>237</v>
      </c>
      <c r="I3190" s="86" t="s">
        <v>2374</v>
      </c>
      <c r="J3190" s="1" t="s">
        <v>3322</v>
      </c>
      <c r="K3190" s="1" t="s">
        <v>3269</v>
      </c>
      <c r="L3190" s="1" t="s">
        <v>35</v>
      </c>
      <c r="M3190" s="86" t="s">
        <v>2438</v>
      </c>
      <c r="N3190" s="86"/>
      <c r="O3190" s="47" t="s">
        <v>40</v>
      </c>
      <c r="P3190" s="47" t="s">
        <v>46</v>
      </c>
      <c r="Q3190" s="14">
        <v>0.08</v>
      </c>
      <c r="R3190" s="143"/>
      <c r="S3190" s="47"/>
      <c r="T3190" s="6">
        <v>178230.13199999923</v>
      </c>
      <c r="U3190" s="6"/>
      <c r="V3190" s="6">
        <v>0</v>
      </c>
      <c r="W3190" s="6">
        <f t="shared" si="497"/>
        <v>178230.13199999923</v>
      </c>
      <c r="X3190" s="6">
        <f t="shared" si="493"/>
        <v>0</v>
      </c>
      <c r="Y3190" s="13">
        <f t="shared" si="490"/>
        <v>0</v>
      </c>
      <c r="Z3190" s="14">
        <v>0</v>
      </c>
      <c r="AA3190" s="6">
        <v>0</v>
      </c>
      <c r="AB3190" s="4">
        <f t="shared" si="491"/>
        <v>0</v>
      </c>
      <c r="AC3190" s="4">
        <f t="shared" si="495"/>
        <v>0</v>
      </c>
      <c r="AD3190" s="6">
        <v>0</v>
      </c>
      <c r="AE3190" s="2">
        <f>VLOOKUP(I3190,[1]媒体政策预估表!A:N,MATCH(O3190,[1]媒体政策预估表!$A$2:$M$2,0),0)</f>
        <v>7.0000000000000007E-2</v>
      </c>
      <c r="AF3190" s="6">
        <f t="shared" si="496"/>
        <v>0</v>
      </c>
      <c r="AG3190" s="9">
        <v>0.4</v>
      </c>
      <c r="AH3190" s="6">
        <f t="shared" si="494"/>
        <v>0</v>
      </c>
      <c r="AI3190" s="47"/>
      <c r="AJ3190" s="126" t="e">
        <v>#N/A</v>
      </c>
      <c r="AK3190" s="80">
        <f t="shared" si="492"/>
        <v>0</v>
      </c>
      <c r="AM3190" s="85"/>
    </row>
    <row r="3191" spans="1:39" hidden="1" x14ac:dyDescent="0.3">
      <c r="A3191" s="89" t="s">
        <v>3408</v>
      </c>
      <c r="B3191" s="86" t="s">
        <v>35</v>
      </c>
      <c r="C3191" s="86" t="s">
        <v>187</v>
      </c>
      <c r="D3191" s="86" t="s">
        <v>188</v>
      </c>
      <c r="E3191" s="86" t="s">
        <v>2498</v>
      </c>
      <c r="F3191" s="86" t="s">
        <v>2498</v>
      </c>
      <c r="G3191" s="86" t="s">
        <v>2498</v>
      </c>
      <c r="H3191" s="143">
        <v>237</v>
      </c>
      <c r="I3191" s="86" t="s">
        <v>2374</v>
      </c>
      <c r="J3191" s="1" t="s">
        <v>3322</v>
      </c>
      <c r="K3191" s="1" t="s">
        <v>3269</v>
      </c>
      <c r="L3191" s="1" t="s">
        <v>35</v>
      </c>
      <c r="M3191" s="86" t="s">
        <v>2438</v>
      </c>
      <c r="N3191" s="86"/>
      <c r="O3191" s="47" t="s">
        <v>45</v>
      </c>
      <c r="P3191" s="47" t="s">
        <v>46</v>
      </c>
      <c r="Q3191" s="14">
        <v>0.05</v>
      </c>
      <c r="R3191" s="143"/>
      <c r="S3191" s="47"/>
      <c r="T3191" s="6">
        <v>-7.5000000019826984E-3</v>
      </c>
      <c r="U3191" s="6"/>
      <c r="V3191" s="6">
        <v>0</v>
      </c>
      <c r="W3191" s="6">
        <f t="shared" si="497"/>
        <v>-7.5000000019826984E-3</v>
      </c>
      <c r="X3191" s="6">
        <f t="shared" si="493"/>
        <v>0</v>
      </c>
      <c r="Y3191" s="13">
        <f t="shared" si="490"/>
        <v>0</v>
      </c>
      <c r="Z3191" s="14">
        <v>0</v>
      </c>
      <c r="AA3191" s="6">
        <v>0</v>
      </c>
      <c r="AB3191" s="4">
        <f t="shared" si="491"/>
        <v>0</v>
      </c>
      <c r="AC3191" s="4">
        <f t="shared" si="495"/>
        <v>0</v>
      </c>
      <c r="AD3191" s="6">
        <v>0</v>
      </c>
      <c r="AE3191" s="2">
        <f>VLOOKUP(I3191,[1]媒体政策预估表!A:N,MATCH(O3191,[1]媒体政策预估表!$A$2:$M$2,0),0)</f>
        <v>0.06</v>
      </c>
      <c r="AF3191" s="6">
        <f t="shared" si="496"/>
        <v>0</v>
      </c>
      <c r="AG3191" s="9">
        <v>0.37</v>
      </c>
      <c r="AH3191" s="6">
        <f t="shared" si="494"/>
        <v>0</v>
      </c>
      <c r="AI3191" s="47"/>
      <c r="AJ3191" s="126" t="e">
        <v>#N/A</v>
      </c>
      <c r="AK3191" s="80">
        <f t="shared" si="492"/>
        <v>0</v>
      </c>
      <c r="AM3191" s="85"/>
    </row>
    <row r="3192" spans="1:39" hidden="1" x14ac:dyDescent="0.3">
      <c r="A3192" s="89" t="s">
        <v>3397</v>
      </c>
      <c r="B3192" s="86" t="s">
        <v>35</v>
      </c>
      <c r="C3192" s="86" t="s">
        <v>187</v>
      </c>
      <c r="D3192" s="86" t="s">
        <v>188</v>
      </c>
      <c r="E3192" s="86" t="s">
        <v>2499</v>
      </c>
      <c r="F3192" s="86" t="s">
        <v>2499</v>
      </c>
      <c r="G3192" s="86" t="s">
        <v>2499</v>
      </c>
      <c r="H3192" s="143">
        <v>237</v>
      </c>
      <c r="I3192" s="86" t="s">
        <v>2374</v>
      </c>
      <c r="J3192" s="1" t="s">
        <v>3322</v>
      </c>
      <c r="K3192" s="1" t="s">
        <v>3269</v>
      </c>
      <c r="L3192" s="1" t="s">
        <v>35</v>
      </c>
      <c r="M3192" s="86" t="s">
        <v>2500</v>
      </c>
      <c r="N3192" s="86"/>
      <c r="O3192" s="47" t="s">
        <v>45</v>
      </c>
      <c r="P3192" s="47" t="s">
        <v>46</v>
      </c>
      <c r="Q3192" s="14">
        <v>0.03</v>
      </c>
      <c r="R3192" s="143"/>
      <c r="S3192" s="47"/>
      <c r="T3192" s="6">
        <v>1106.1799999999998</v>
      </c>
      <c r="U3192" s="6"/>
      <c r="V3192" s="6">
        <v>0</v>
      </c>
      <c r="W3192" s="6">
        <f t="shared" si="497"/>
        <v>1106.1799999999998</v>
      </c>
      <c r="X3192" s="6">
        <f t="shared" si="493"/>
        <v>0</v>
      </c>
      <c r="Y3192" s="13">
        <f t="shared" si="490"/>
        <v>0</v>
      </c>
      <c r="Z3192" s="14">
        <v>0</v>
      </c>
      <c r="AA3192" s="6">
        <v>0</v>
      </c>
      <c r="AB3192" s="4">
        <f t="shared" si="491"/>
        <v>0</v>
      </c>
      <c r="AC3192" s="4">
        <f t="shared" si="495"/>
        <v>0</v>
      </c>
      <c r="AD3192" s="6">
        <v>0</v>
      </c>
      <c r="AE3192" s="2">
        <f>VLOOKUP(I3192,[1]媒体政策预估表!A:N,MATCH(O3192,[1]媒体政策预估表!$A$2:$M$2,0),0)</f>
        <v>0.06</v>
      </c>
      <c r="AF3192" s="6">
        <f t="shared" si="496"/>
        <v>0</v>
      </c>
      <c r="AG3192" s="9">
        <v>0</v>
      </c>
      <c r="AH3192" s="6">
        <f t="shared" si="494"/>
        <v>0</v>
      </c>
      <c r="AI3192" s="47"/>
      <c r="AJ3192" s="126" t="e">
        <v>#N/A</v>
      </c>
      <c r="AK3192" s="80">
        <f t="shared" si="492"/>
        <v>0</v>
      </c>
      <c r="AM3192" s="85"/>
    </row>
    <row r="3193" spans="1:39" hidden="1" x14ac:dyDescent="0.3">
      <c r="A3193" s="89" t="s">
        <v>3408</v>
      </c>
      <c r="B3193" s="86" t="s">
        <v>35</v>
      </c>
      <c r="C3193" s="86" t="s">
        <v>187</v>
      </c>
      <c r="D3193" s="86" t="s">
        <v>208</v>
      </c>
      <c r="E3193" s="86" t="s">
        <v>2457</v>
      </c>
      <c r="F3193" s="86" t="s">
        <v>2457</v>
      </c>
      <c r="G3193" s="86" t="s">
        <v>2457</v>
      </c>
      <c r="H3193" s="143">
        <v>237</v>
      </c>
      <c r="I3193" s="86" t="s">
        <v>2374</v>
      </c>
      <c r="J3193" s="1" t="s">
        <v>3322</v>
      </c>
      <c r="K3193" s="1" t="s">
        <v>3269</v>
      </c>
      <c r="L3193" s="1" t="s">
        <v>35</v>
      </c>
      <c r="M3193" s="86" t="s">
        <v>2438</v>
      </c>
      <c r="N3193" s="86"/>
      <c r="O3193" s="47" t="s">
        <v>40</v>
      </c>
      <c r="P3193" s="47" t="s">
        <v>46</v>
      </c>
      <c r="Q3193" s="14">
        <v>0.03</v>
      </c>
      <c r="R3193" s="143"/>
      <c r="S3193" s="47"/>
      <c r="T3193" s="6">
        <v>-6.0000000157742761E-3</v>
      </c>
      <c r="U3193" s="6"/>
      <c r="V3193" s="6">
        <v>0</v>
      </c>
      <c r="W3193" s="6">
        <f t="shared" si="497"/>
        <v>-6.0000000157742761E-3</v>
      </c>
      <c r="X3193" s="6">
        <f t="shared" si="493"/>
        <v>0</v>
      </c>
      <c r="Y3193" s="13">
        <f t="shared" si="490"/>
        <v>0</v>
      </c>
      <c r="Z3193" s="14">
        <v>0</v>
      </c>
      <c r="AA3193" s="6">
        <v>0</v>
      </c>
      <c r="AB3193" s="4">
        <f t="shared" si="491"/>
        <v>0</v>
      </c>
      <c r="AC3193" s="4">
        <f t="shared" si="495"/>
        <v>0</v>
      </c>
      <c r="AD3193" s="6">
        <v>0</v>
      </c>
      <c r="AE3193" s="2">
        <f>VLOOKUP(I3193,[1]媒体政策预估表!A:N,MATCH(O3193,[1]媒体政策预估表!$A$2:$M$2,0),0)</f>
        <v>7.0000000000000007E-2</v>
      </c>
      <c r="AF3193" s="6">
        <f t="shared" si="496"/>
        <v>0</v>
      </c>
      <c r="AG3193" s="9">
        <v>0.4</v>
      </c>
      <c r="AH3193" s="6">
        <f t="shared" si="494"/>
        <v>0</v>
      </c>
      <c r="AI3193" s="47"/>
      <c r="AJ3193" s="126" t="e">
        <v>#N/A</v>
      </c>
      <c r="AK3193" s="80">
        <f t="shared" si="492"/>
        <v>0</v>
      </c>
      <c r="AM3193" s="85"/>
    </row>
    <row r="3194" spans="1:39" hidden="1" x14ac:dyDescent="0.3">
      <c r="A3194" s="89" t="s">
        <v>3408</v>
      </c>
      <c r="B3194" s="86" t="s">
        <v>35</v>
      </c>
      <c r="C3194" s="86" t="s">
        <v>187</v>
      </c>
      <c r="D3194" s="86" t="s">
        <v>208</v>
      </c>
      <c r="E3194" s="86" t="s">
        <v>202</v>
      </c>
      <c r="F3194" s="86" t="s">
        <v>2464</v>
      </c>
      <c r="G3194" s="86" t="s">
        <v>202</v>
      </c>
      <c r="H3194" s="143">
        <v>237</v>
      </c>
      <c r="I3194" s="86" t="s">
        <v>2374</v>
      </c>
      <c r="J3194" s="1" t="s">
        <v>3322</v>
      </c>
      <c r="K3194" s="1" t="s">
        <v>3269</v>
      </c>
      <c r="L3194" s="1" t="s">
        <v>35</v>
      </c>
      <c r="M3194" s="86" t="s">
        <v>2438</v>
      </c>
      <c r="N3194" s="86"/>
      <c r="O3194" s="47" t="s">
        <v>40</v>
      </c>
      <c r="P3194" s="47" t="s">
        <v>46</v>
      </c>
      <c r="Q3194" s="14">
        <v>0.05</v>
      </c>
      <c r="R3194" s="143"/>
      <c r="S3194" s="47"/>
      <c r="T3194" s="6">
        <v>1050881.8134847868</v>
      </c>
      <c r="U3194" s="6"/>
      <c r="V3194" s="6">
        <v>0</v>
      </c>
      <c r="W3194" s="6">
        <f t="shared" si="497"/>
        <v>1050881.8134847868</v>
      </c>
      <c r="X3194" s="6">
        <f t="shared" si="493"/>
        <v>0</v>
      </c>
      <c r="Y3194" s="13">
        <f t="shared" si="490"/>
        <v>0</v>
      </c>
      <c r="Z3194" s="14">
        <v>0</v>
      </c>
      <c r="AA3194" s="6">
        <v>0</v>
      </c>
      <c r="AB3194" s="4">
        <f t="shared" si="491"/>
        <v>0</v>
      </c>
      <c r="AC3194" s="4">
        <f t="shared" si="495"/>
        <v>0</v>
      </c>
      <c r="AD3194" s="6">
        <v>0</v>
      </c>
      <c r="AE3194" s="2">
        <f>VLOOKUP(I3194,[1]媒体政策预估表!A:N,MATCH(O3194,[1]媒体政策预估表!$A$2:$M$2,0),0)</f>
        <v>7.0000000000000007E-2</v>
      </c>
      <c r="AF3194" s="6">
        <f t="shared" si="496"/>
        <v>0</v>
      </c>
      <c r="AG3194" s="9">
        <v>0.4</v>
      </c>
      <c r="AH3194" s="6">
        <f t="shared" si="494"/>
        <v>0</v>
      </c>
      <c r="AI3194" s="47"/>
      <c r="AJ3194" s="126" t="e">
        <v>#N/A</v>
      </c>
      <c r="AK3194" s="80">
        <f t="shared" si="492"/>
        <v>0</v>
      </c>
      <c r="AM3194" s="85"/>
    </row>
    <row r="3195" spans="1:39" hidden="1" x14ac:dyDescent="0.3">
      <c r="A3195" s="89" t="s">
        <v>3408</v>
      </c>
      <c r="B3195" s="86" t="s">
        <v>35</v>
      </c>
      <c r="C3195" s="86" t="s">
        <v>187</v>
      </c>
      <c r="D3195" s="86" t="s">
        <v>208</v>
      </c>
      <c r="E3195" s="86" t="s">
        <v>202</v>
      </c>
      <c r="F3195" s="86" t="s">
        <v>2464</v>
      </c>
      <c r="G3195" s="86" t="s">
        <v>202</v>
      </c>
      <c r="H3195" s="143">
        <v>237</v>
      </c>
      <c r="I3195" s="86" t="s">
        <v>2374</v>
      </c>
      <c r="J3195" s="1" t="s">
        <v>3322</v>
      </c>
      <c r="K3195" s="1" t="s">
        <v>3269</v>
      </c>
      <c r="L3195" s="1" t="s">
        <v>35</v>
      </c>
      <c r="M3195" s="86" t="s">
        <v>2438</v>
      </c>
      <c r="N3195" s="86"/>
      <c r="O3195" s="47" t="s">
        <v>40</v>
      </c>
      <c r="P3195" s="47" t="s">
        <v>41</v>
      </c>
      <c r="Q3195" s="14">
        <v>0</v>
      </c>
      <c r="R3195" s="143"/>
      <c r="S3195" s="47"/>
      <c r="T3195" s="6">
        <v>-633233.87399999995</v>
      </c>
      <c r="U3195" s="6"/>
      <c r="V3195" s="6">
        <v>0</v>
      </c>
      <c r="W3195" s="6">
        <f t="shared" si="497"/>
        <v>-633233.87399999995</v>
      </c>
      <c r="X3195" s="6">
        <f t="shared" si="493"/>
        <v>0</v>
      </c>
      <c r="Y3195" s="13">
        <f t="shared" si="490"/>
        <v>0</v>
      </c>
      <c r="Z3195" s="14">
        <v>0</v>
      </c>
      <c r="AA3195" s="6">
        <v>0</v>
      </c>
      <c r="AB3195" s="4">
        <f t="shared" si="491"/>
        <v>0</v>
      </c>
      <c r="AC3195" s="4">
        <f t="shared" si="495"/>
        <v>0</v>
      </c>
      <c r="AD3195" s="6">
        <v>0</v>
      </c>
      <c r="AE3195" s="2">
        <f>VLOOKUP(I3195,[1]媒体政策预估表!A:N,MATCH(O3195,[1]媒体政策预估表!$A$2:$M$2,0),0)</f>
        <v>7.0000000000000007E-2</v>
      </c>
      <c r="AF3195" s="6">
        <f t="shared" si="496"/>
        <v>0</v>
      </c>
      <c r="AG3195" s="9">
        <v>0.4</v>
      </c>
      <c r="AH3195" s="6">
        <f t="shared" si="494"/>
        <v>0</v>
      </c>
      <c r="AI3195" s="47"/>
      <c r="AJ3195" s="126" t="e">
        <v>#N/A</v>
      </c>
      <c r="AK3195" s="80">
        <f t="shared" si="492"/>
        <v>0</v>
      </c>
      <c r="AM3195" s="85"/>
    </row>
    <row r="3196" spans="1:39" hidden="1" x14ac:dyDescent="0.3">
      <c r="A3196" s="89" t="s">
        <v>3408</v>
      </c>
      <c r="B3196" s="86" t="s">
        <v>35</v>
      </c>
      <c r="C3196" s="86" t="s">
        <v>187</v>
      </c>
      <c r="D3196" s="86" t="s">
        <v>208</v>
      </c>
      <c r="E3196" s="86" t="s">
        <v>213</v>
      </c>
      <c r="F3196" s="86" t="s">
        <v>213</v>
      </c>
      <c r="G3196" s="86" t="s">
        <v>213</v>
      </c>
      <c r="H3196" s="143">
        <v>237</v>
      </c>
      <c r="I3196" s="86" t="s">
        <v>2374</v>
      </c>
      <c r="J3196" s="1" t="s">
        <v>3322</v>
      </c>
      <c r="K3196" s="1" t="s">
        <v>3269</v>
      </c>
      <c r="L3196" s="1" t="s">
        <v>35</v>
      </c>
      <c r="M3196" s="86" t="s">
        <v>2438</v>
      </c>
      <c r="N3196" s="86"/>
      <c r="O3196" s="47" t="s">
        <v>45</v>
      </c>
      <c r="P3196" s="47" t="s">
        <v>46</v>
      </c>
      <c r="Q3196" s="14">
        <v>0.01</v>
      </c>
      <c r="R3196" s="143"/>
      <c r="S3196" s="47"/>
      <c r="T3196" s="6">
        <v>1242.0009</v>
      </c>
      <c r="U3196" s="6"/>
      <c r="V3196" s="6">
        <v>0</v>
      </c>
      <c r="W3196" s="6">
        <f t="shared" si="497"/>
        <v>1242.0009</v>
      </c>
      <c r="X3196" s="6">
        <f t="shared" si="493"/>
        <v>0</v>
      </c>
      <c r="Y3196" s="13">
        <f t="shared" si="490"/>
        <v>0</v>
      </c>
      <c r="Z3196" s="14">
        <v>0</v>
      </c>
      <c r="AA3196" s="6">
        <v>0</v>
      </c>
      <c r="AB3196" s="4">
        <f t="shared" si="491"/>
        <v>0</v>
      </c>
      <c r="AC3196" s="4">
        <f t="shared" si="495"/>
        <v>0</v>
      </c>
      <c r="AD3196" s="6">
        <v>0</v>
      </c>
      <c r="AE3196" s="2">
        <f>VLOOKUP(I3196,[1]媒体政策预估表!A:N,MATCH(O3196,[1]媒体政策预估表!$A$2:$M$2,0),0)</f>
        <v>0.06</v>
      </c>
      <c r="AF3196" s="6">
        <f t="shared" si="496"/>
        <v>0</v>
      </c>
      <c r="AG3196" s="9">
        <v>0.37</v>
      </c>
      <c r="AH3196" s="6">
        <f t="shared" si="494"/>
        <v>0</v>
      </c>
      <c r="AI3196" s="47"/>
      <c r="AJ3196" s="126" t="e">
        <v>#N/A</v>
      </c>
      <c r="AK3196" s="80">
        <f t="shared" si="492"/>
        <v>0</v>
      </c>
      <c r="AM3196" s="85"/>
    </row>
    <row r="3197" spans="1:39" hidden="1" x14ac:dyDescent="0.3">
      <c r="A3197" s="89" t="s">
        <v>3397</v>
      </c>
      <c r="B3197" s="86" t="s">
        <v>35</v>
      </c>
      <c r="C3197" s="86" t="s">
        <v>187</v>
      </c>
      <c r="D3197" s="86" t="s">
        <v>208</v>
      </c>
      <c r="E3197" s="86" t="s">
        <v>2501</v>
      </c>
      <c r="F3197" s="86" t="s">
        <v>2502</v>
      </c>
      <c r="G3197" s="86" t="s">
        <v>2501</v>
      </c>
      <c r="H3197" s="143">
        <v>237</v>
      </c>
      <c r="I3197" s="86" t="s">
        <v>2374</v>
      </c>
      <c r="J3197" s="1" t="s">
        <v>3322</v>
      </c>
      <c r="K3197" s="1" t="s">
        <v>3269</v>
      </c>
      <c r="L3197" s="1" t="s">
        <v>35</v>
      </c>
      <c r="M3197" s="86" t="s">
        <v>2501</v>
      </c>
      <c r="N3197" s="86"/>
      <c r="O3197" s="47" t="s">
        <v>40</v>
      </c>
      <c r="P3197" s="47" t="s">
        <v>46</v>
      </c>
      <c r="Q3197" s="14">
        <v>0.12</v>
      </c>
      <c r="R3197" s="143"/>
      <c r="S3197" s="47"/>
      <c r="T3197" s="6">
        <v>179793.86138219805</v>
      </c>
      <c r="U3197" s="6"/>
      <c r="V3197" s="6">
        <v>0</v>
      </c>
      <c r="W3197" s="6">
        <f t="shared" si="497"/>
        <v>179793.86138219805</v>
      </c>
      <c r="X3197" s="6">
        <f t="shared" si="493"/>
        <v>0</v>
      </c>
      <c r="Y3197" s="13">
        <f t="shared" si="490"/>
        <v>0</v>
      </c>
      <c r="Z3197" s="14">
        <v>0</v>
      </c>
      <c r="AA3197" s="6">
        <v>0</v>
      </c>
      <c r="AB3197" s="4">
        <f t="shared" si="491"/>
        <v>0</v>
      </c>
      <c r="AC3197" s="4">
        <f t="shared" si="495"/>
        <v>0</v>
      </c>
      <c r="AD3197" s="6">
        <v>0</v>
      </c>
      <c r="AE3197" s="2">
        <f>VLOOKUP(I3197,[1]媒体政策预估表!A:N,MATCH(O3197,[1]媒体政策预估表!$A$2:$M$2,0),0)</f>
        <v>7.0000000000000007E-2</v>
      </c>
      <c r="AF3197" s="6">
        <f t="shared" si="496"/>
        <v>0</v>
      </c>
      <c r="AG3197" s="9">
        <v>0.41</v>
      </c>
      <c r="AH3197" s="6">
        <f t="shared" si="494"/>
        <v>0</v>
      </c>
      <c r="AI3197" s="47"/>
      <c r="AJ3197" s="126" t="e">
        <v>#N/A</v>
      </c>
      <c r="AK3197" s="80">
        <f t="shared" si="492"/>
        <v>0</v>
      </c>
      <c r="AM3197" s="85"/>
    </row>
    <row r="3198" spans="1:39" hidden="1" x14ac:dyDescent="0.3">
      <c r="A3198" s="89" t="s">
        <v>3408</v>
      </c>
      <c r="B3198" s="86" t="s">
        <v>35</v>
      </c>
      <c r="C3198" s="86" t="s">
        <v>187</v>
      </c>
      <c r="D3198" s="86" t="s">
        <v>208</v>
      </c>
      <c r="E3198" s="86" t="s">
        <v>2501</v>
      </c>
      <c r="F3198" s="86" t="s">
        <v>2502</v>
      </c>
      <c r="G3198" s="86" t="s">
        <v>2501</v>
      </c>
      <c r="H3198" s="143">
        <v>237</v>
      </c>
      <c r="I3198" s="86" t="s">
        <v>2374</v>
      </c>
      <c r="J3198" s="1" t="s">
        <v>3322</v>
      </c>
      <c r="K3198" s="1" t="s">
        <v>3269</v>
      </c>
      <c r="L3198" s="1" t="s">
        <v>35</v>
      </c>
      <c r="M3198" s="86" t="s">
        <v>2501</v>
      </c>
      <c r="N3198" s="86"/>
      <c r="O3198" s="47" t="s">
        <v>40</v>
      </c>
      <c r="P3198" s="47" t="s">
        <v>46</v>
      </c>
      <c r="Q3198" s="14">
        <v>0.12</v>
      </c>
      <c r="R3198" s="143"/>
      <c r="S3198" s="47"/>
      <c r="T3198" s="6">
        <v>-244103.99919999999</v>
      </c>
      <c r="U3198" s="6"/>
      <c r="V3198" s="6">
        <v>0</v>
      </c>
      <c r="W3198" s="6">
        <f t="shared" si="497"/>
        <v>-244103.99919999999</v>
      </c>
      <c r="X3198" s="6">
        <f t="shared" si="493"/>
        <v>0</v>
      </c>
      <c r="Y3198" s="13">
        <f t="shared" si="490"/>
        <v>0</v>
      </c>
      <c r="Z3198" s="14">
        <v>0</v>
      </c>
      <c r="AA3198" s="6">
        <v>0</v>
      </c>
      <c r="AB3198" s="4">
        <f t="shared" si="491"/>
        <v>0</v>
      </c>
      <c r="AC3198" s="4">
        <f t="shared" si="495"/>
        <v>0</v>
      </c>
      <c r="AD3198" s="6">
        <v>0</v>
      </c>
      <c r="AE3198" s="2">
        <f>VLOOKUP(I3198,[1]媒体政策预估表!A:N,MATCH(O3198,[1]媒体政策预估表!$A$2:$M$2,0),0)</f>
        <v>7.0000000000000007E-2</v>
      </c>
      <c r="AF3198" s="6">
        <f t="shared" si="496"/>
        <v>0</v>
      </c>
      <c r="AG3198" s="9">
        <v>0.46</v>
      </c>
      <c r="AH3198" s="6">
        <f t="shared" si="494"/>
        <v>0</v>
      </c>
      <c r="AI3198" s="47"/>
      <c r="AJ3198" s="126" t="e">
        <v>#N/A</v>
      </c>
      <c r="AK3198" s="80">
        <f t="shared" si="492"/>
        <v>0</v>
      </c>
      <c r="AM3198" s="85"/>
    </row>
    <row r="3199" spans="1:39" hidden="1" x14ac:dyDescent="0.3">
      <c r="A3199" s="89" t="s">
        <v>3408</v>
      </c>
      <c r="B3199" s="86" t="s">
        <v>35</v>
      </c>
      <c r="C3199" s="86" t="s">
        <v>47</v>
      </c>
      <c r="D3199" s="86" t="s">
        <v>878</v>
      </c>
      <c r="E3199" s="86" t="s">
        <v>2503</v>
      </c>
      <c r="F3199" s="86" t="s">
        <v>2503</v>
      </c>
      <c r="G3199" s="86" t="s">
        <v>2503</v>
      </c>
      <c r="H3199" s="144">
        <v>237</v>
      </c>
      <c r="I3199" s="86" t="s">
        <v>2374</v>
      </c>
      <c r="J3199" s="1" t="s">
        <v>3322</v>
      </c>
      <c r="K3199" s="1" t="s">
        <v>3269</v>
      </c>
      <c r="L3199" s="1" t="s">
        <v>35</v>
      </c>
      <c r="M3199" s="86" t="s">
        <v>2503</v>
      </c>
      <c r="N3199" s="86"/>
      <c r="O3199" s="47" t="s">
        <v>45</v>
      </c>
      <c r="P3199" s="47" t="s">
        <v>46</v>
      </c>
      <c r="Q3199" s="14">
        <v>0.03</v>
      </c>
      <c r="R3199" s="143"/>
      <c r="S3199" s="47"/>
      <c r="T3199" s="6">
        <v>32125.830000000042</v>
      </c>
      <c r="U3199" s="6"/>
      <c r="V3199" s="6">
        <v>16276.299999999996</v>
      </c>
      <c r="W3199" s="6">
        <f t="shared" si="497"/>
        <v>15849.530000000046</v>
      </c>
      <c r="X3199" s="6">
        <f t="shared" si="493"/>
        <v>15802.233009708732</v>
      </c>
      <c r="Y3199" s="13">
        <f t="shared" si="490"/>
        <v>0</v>
      </c>
      <c r="Z3199" s="14">
        <v>0</v>
      </c>
      <c r="AA3199" s="6">
        <v>0</v>
      </c>
      <c r="AB3199" s="4">
        <f t="shared" si="491"/>
        <v>15802.233009708732</v>
      </c>
      <c r="AC3199" s="4">
        <f t="shared" si="495"/>
        <v>474.06699029126321</v>
      </c>
      <c r="AD3199" s="6">
        <v>16276.299999999996</v>
      </c>
      <c r="AE3199" s="2">
        <f>VLOOKUP(I3199,[1]媒体政策预估表!A:N,MATCH(O3199,[1]媒体政策预估表!$A$2:$M$2,0),0)</f>
        <v>0.06</v>
      </c>
      <c r="AF3199" s="6">
        <f t="shared" si="496"/>
        <v>976.57799999999975</v>
      </c>
      <c r="AG3199" s="9">
        <v>0</v>
      </c>
      <c r="AH3199" s="6">
        <f t="shared" si="494"/>
        <v>16276.299999999996</v>
      </c>
      <c r="AI3199" s="47"/>
      <c r="AJ3199" s="126" t="e">
        <v>#N/A</v>
      </c>
      <c r="AK3199" s="80">
        <f t="shared" si="492"/>
        <v>0</v>
      </c>
      <c r="AM3199" s="85"/>
    </row>
    <row r="3200" spans="1:39" hidden="1" x14ac:dyDescent="0.3">
      <c r="A3200" s="89" t="s">
        <v>3397</v>
      </c>
      <c r="B3200" s="86" t="s">
        <v>35</v>
      </c>
      <c r="C3200" s="86" t="s">
        <v>47</v>
      </c>
      <c r="D3200" s="86" t="s">
        <v>63</v>
      </c>
      <c r="E3200" s="86" t="s">
        <v>2393</v>
      </c>
      <c r="F3200" s="86" t="s">
        <v>2405</v>
      </c>
      <c r="G3200" s="86" t="s">
        <v>2393</v>
      </c>
      <c r="H3200" s="143">
        <v>237</v>
      </c>
      <c r="I3200" s="86" t="s">
        <v>2374</v>
      </c>
      <c r="J3200" s="1" t="s">
        <v>3322</v>
      </c>
      <c r="K3200" s="1" t="s">
        <v>3269</v>
      </c>
      <c r="L3200" s="1" t="s">
        <v>35</v>
      </c>
      <c r="M3200" s="86" t="s">
        <v>2406</v>
      </c>
      <c r="N3200" s="86"/>
      <c r="O3200" s="47" t="s">
        <v>40</v>
      </c>
      <c r="P3200" s="47" t="s">
        <v>46</v>
      </c>
      <c r="Q3200" s="14">
        <v>5.5E-2</v>
      </c>
      <c r="R3200" s="143"/>
      <c r="S3200" s="47"/>
      <c r="T3200" s="6">
        <v>0</v>
      </c>
      <c r="U3200" s="6"/>
      <c r="V3200" s="6">
        <v>0</v>
      </c>
      <c r="W3200" s="6">
        <f t="shared" si="497"/>
        <v>0</v>
      </c>
      <c r="X3200" s="6">
        <f t="shared" si="493"/>
        <v>0</v>
      </c>
      <c r="Y3200" s="13">
        <f t="shared" si="490"/>
        <v>0</v>
      </c>
      <c r="Z3200" s="14">
        <v>0</v>
      </c>
      <c r="AA3200" s="6">
        <v>0</v>
      </c>
      <c r="AB3200" s="4">
        <f t="shared" si="491"/>
        <v>0</v>
      </c>
      <c r="AC3200" s="4">
        <f t="shared" si="495"/>
        <v>0</v>
      </c>
      <c r="AD3200" s="6">
        <v>0</v>
      </c>
      <c r="AE3200" s="2">
        <f>VLOOKUP(I3200,[1]媒体政策预估表!A:N,MATCH(O3200,[1]媒体政策预估表!$A$2:$M$2,0),0)</f>
        <v>7.0000000000000007E-2</v>
      </c>
      <c r="AF3200" s="6">
        <f t="shared" si="496"/>
        <v>0</v>
      </c>
      <c r="AG3200" s="9">
        <v>0</v>
      </c>
      <c r="AH3200" s="6">
        <f t="shared" si="494"/>
        <v>0</v>
      </c>
      <c r="AI3200" s="47"/>
      <c r="AJ3200" s="126" t="e">
        <v>#N/A</v>
      </c>
      <c r="AK3200" s="80">
        <f t="shared" si="492"/>
        <v>0</v>
      </c>
      <c r="AM3200" s="85"/>
    </row>
    <row r="3201" spans="1:39" hidden="1" x14ac:dyDescent="0.3">
      <c r="A3201" s="89" t="s">
        <v>3397</v>
      </c>
      <c r="B3201" s="86" t="s">
        <v>35</v>
      </c>
      <c r="C3201" s="86" t="s">
        <v>47</v>
      </c>
      <c r="D3201" s="86" t="s">
        <v>63</v>
      </c>
      <c r="E3201" s="86" t="s">
        <v>538</v>
      </c>
      <c r="F3201" s="86" t="s">
        <v>538</v>
      </c>
      <c r="G3201" s="86" t="s">
        <v>538</v>
      </c>
      <c r="H3201" s="143">
        <v>237</v>
      </c>
      <c r="I3201" s="86" t="s">
        <v>2374</v>
      </c>
      <c r="J3201" s="1" t="s">
        <v>3322</v>
      </c>
      <c r="K3201" s="1" t="s">
        <v>3269</v>
      </c>
      <c r="L3201" s="1" t="s">
        <v>35</v>
      </c>
      <c r="M3201" s="86" t="s">
        <v>538</v>
      </c>
      <c r="N3201" s="86"/>
      <c r="O3201" s="47" t="s">
        <v>45</v>
      </c>
      <c r="P3201" s="47" t="s">
        <v>46</v>
      </c>
      <c r="Q3201" s="14">
        <v>0.03</v>
      </c>
      <c r="R3201" s="143"/>
      <c r="S3201" s="47"/>
      <c r="T3201" s="6">
        <v>1067.8328000000383</v>
      </c>
      <c r="U3201" s="6"/>
      <c r="V3201" s="6">
        <v>0</v>
      </c>
      <c r="W3201" s="6">
        <f t="shared" si="497"/>
        <v>1067.8328000000383</v>
      </c>
      <c r="X3201" s="6">
        <f t="shared" si="493"/>
        <v>0</v>
      </c>
      <c r="Y3201" s="13">
        <f t="shared" si="490"/>
        <v>0</v>
      </c>
      <c r="Z3201" s="14">
        <v>0</v>
      </c>
      <c r="AA3201" s="6">
        <v>0</v>
      </c>
      <c r="AB3201" s="4">
        <f t="shared" si="491"/>
        <v>0</v>
      </c>
      <c r="AC3201" s="4">
        <f t="shared" si="495"/>
        <v>0</v>
      </c>
      <c r="AD3201" s="6">
        <v>0</v>
      </c>
      <c r="AE3201" s="2">
        <f>VLOOKUP(I3201,[1]媒体政策预估表!A:N,MATCH(O3201,[1]媒体政策预估表!$A$2:$M$2,0),0)</f>
        <v>0.06</v>
      </c>
      <c r="AF3201" s="6">
        <f t="shared" si="496"/>
        <v>0</v>
      </c>
      <c r="AG3201" s="9">
        <v>0</v>
      </c>
      <c r="AH3201" s="6">
        <f t="shared" si="494"/>
        <v>0</v>
      </c>
      <c r="AI3201" s="47"/>
      <c r="AJ3201" s="126" t="e">
        <v>#N/A</v>
      </c>
      <c r="AK3201" s="80">
        <f t="shared" si="492"/>
        <v>0</v>
      </c>
      <c r="AM3201" s="85"/>
    </row>
    <row r="3202" spans="1:39" hidden="1" x14ac:dyDescent="0.3">
      <c r="A3202" s="89" t="s">
        <v>3397</v>
      </c>
      <c r="B3202" s="86" t="s">
        <v>35</v>
      </c>
      <c r="C3202" s="86" t="s">
        <v>187</v>
      </c>
      <c r="D3202" s="86" t="s">
        <v>188</v>
      </c>
      <c r="E3202" s="86" t="s">
        <v>2504</v>
      </c>
      <c r="F3202" s="86" t="s">
        <v>2505</v>
      </c>
      <c r="G3202" s="86" t="s">
        <v>2504</v>
      </c>
      <c r="H3202" s="143">
        <v>237</v>
      </c>
      <c r="I3202" s="86" t="s">
        <v>2374</v>
      </c>
      <c r="J3202" s="1" t="s">
        <v>3322</v>
      </c>
      <c r="K3202" s="1" t="s">
        <v>3269</v>
      </c>
      <c r="L3202" s="1" t="s">
        <v>35</v>
      </c>
      <c r="M3202" s="86" t="s">
        <v>2504</v>
      </c>
      <c r="N3202" s="86"/>
      <c r="O3202" s="47" t="s">
        <v>40</v>
      </c>
      <c r="P3202" s="47" t="s">
        <v>46</v>
      </c>
      <c r="Q3202" s="14">
        <v>0.03</v>
      </c>
      <c r="R3202" s="143"/>
      <c r="S3202" s="47" t="s">
        <v>3427</v>
      </c>
      <c r="T3202" s="6">
        <v>-1108111.05</v>
      </c>
      <c r="U3202" s="6">
        <v>1097143.3</v>
      </c>
      <c r="V3202" s="6">
        <v>0</v>
      </c>
      <c r="W3202" s="6">
        <f t="shared" si="497"/>
        <v>-10967.75</v>
      </c>
      <c r="X3202" s="6">
        <f t="shared" si="493"/>
        <v>0</v>
      </c>
      <c r="Y3202" s="13">
        <f t="shared" si="490"/>
        <v>0</v>
      </c>
      <c r="Z3202" s="14">
        <v>0</v>
      </c>
      <c r="AA3202" s="6">
        <v>0</v>
      </c>
      <c r="AB3202" s="4">
        <f t="shared" si="491"/>
        <v>0</v>
      </c>
      <c r="AC3202" s="4">
        <f t="shared" si="495"/>
        <v>0</v>
      </c>
      <c r="AD3202" s="6">
        <v>0</v>
      </c>
      <c r="AE3202" s="2">
        <f>VLOOKUP(I3202,[1]媒体政策预估表!A:N,MATCH(O3202,[1]媒体政策预估表!$A$2:$M$2,0),0)</f>
        <v>7.0000000000000007E-2</v>
      </c>
      <c r="AF3202" s="6">
        <f t="shared" si="496"/>
        <v>0</v>
      </c>
      <c r="AG3202" s="9">
        <v>0.25</v>
      </c>
      <c r="AH3202" s="6">
        <f t="shared" si="494"/>
        <v>0</v>
      </c>
      <c r="AI3202" s="47"/>
      <c r="AJ3202" s="126" t="e">
        <v>#N/A</v>
      </c>
      <c r="AK3202" s="80">
        <f t="shared" si="492"/>
        <v>0</v>
      </c>
      <c r="AM3202" s="85"/>
    </row>
    <row r="3203" spans="1:39" hidden="1" x14ac:dyDescent="0.3">
      <c r="A3203" s="89" t="s">
        <v>3408</v>
      </c>
      <c r="B3203" s="86" t="s">
        <v>35</v>
      </c>
      <c r="C3203" s="86" t="s">
        <v>187</v>
      </c>
      <c r="D3203" s="86" t="s">
        <v>188</v>
      </c>
      <c r="E3203" s="86" t="s">
        <v>2438</v>
      </c>
      <c r="F3203" s="86" t="s">
        <v>2438</v>
      </c>
      <c r="G3203" s="86" t="s">
        <v>2438</v>
      </c>
      <c r="H3203" s="143">
        <v>237</v>
      </c>
      <c r="I3203" s="86" t="s">
        <v>2374</v>
      </c>
      <c r="J3203" s="1" t="s">
        <v>3322</v>
      </c>
      <c r="K3203" s="1" t="s">
        <v>3269</v>
      </c>
      <c r="L3203" s="1" t="s">
        <v>35</v>
      </c>
      <c r="M3203" s="86" t="s">
        <v>2438</v>
      </c>
      <c r="N3203" s="86"/>
      <c r="O3203" s="47" t="s">
        <v>45</v>
      </c>
      <c r="P3203" s="47" t="s">
        <v>46</v>
      </c>
      <c r="Q3203" s="14">
        <v>0.08</v>
      </c>
      <c r="R3203" s="143"/>
      <c r="S3203" s="47"/>
      <c r="T3203" s="6">
        <v>136109.06239343219</v>
      </c>
      <c r="U3203" s="6"/>
      <c r="V3203" s="6">
        <v>0</v>
      </c>
      <c r="W3203" s="6">
        <f t="shared" si="497"/>
        <v>136109.06239343219</v>
      </c>
      <c r="X3203" s="6">
        <f t="shared" si="493"/>
        <v>0</v>
      </c>
      <c r="Y3203" s="13">
        <f t="shared" ref="Y3203:Y3266" si="498">IF(X3203-AD3203&lt;=0,0,IF(P3203="返现",MAX(X3203-AC3203-AD3203,0),MAX(X3203-AD3203)))</f>
        <v>0</v>
      </c>
      <c r="Z3203" s="14">
        <v>0</v>
      </c>
      <c r="AA3203" s="6">
        <v>0</v>
      </c>
      <c r="AB3203" s="4">
        <f t="shared" ref="AB3203:AB3266" si="499">X3203+AA3203</f>
        <v>0</v>
      </c>
      <c r="AC3203" s="4">
        <f t="shared" si="495"/>
        <v>0</v>
      </c>
      <c r="AD3203" s="6">
        <v>0</v>
      </c>
      <c r="AE3203" s="2">
        <f>VLOOKUP(I3203,[1]媒体政策预估表!A:N,MATCH(O3203,[1]媒体政策预估表!$A$2:$M$2,0),0)</f>
        <v>0.06</v>
      </c>
      <c r="AF3203" s="6">
        <f t="shared" si="496"/>
        <v>0</v>
      </c>
      <c r="AG3203" s="9">
        <v>0.37</v>
      </c>
      <c r="AH3203" s="6">
        <f t="shared" si="494"/>
        <v>0</v>
      </c>
      <c r="AI3203" s="47"/>
      <c r="AJ3203" s="126" t="e">
        <v>#N/A</v>
      </c>
      <c r="AK3203" s="80">
        <f t="shared" ref="AK3203:AK3266" si="500">X3203+AA3203-AB3203</f>
        <v>0</v>
      </c>
      <c r="AM3203" s="85"/>
    </row>
    <row r="3204" spans="1:39" hidden="1" x14ac:dyDescent="0.3">
      <c r="A3204" s="89" t="s">
        <v>3397</v>
      </c>
      <c r="B3204" s="86" t="s">
        <v>35</v>
      </c>
      <c r="C3204" s="86" t="s">
        <v>187</v>
      </c>
      <c r="D3204" s="86" t="s">
        <v>188</v>
      </c>
      <c r="E3204" s="86" t="s">
        <v>2445</v>
      </c>
      <c r="F3204" s="86" t="s">
        <v>2445</v>
      </c>
      <c r="G3204" s="86" t="s">
        <v>2445</v>
      </c>
      <c r="H3204" s="143">
        <v>237</v>
      </c>
      <c r="I3204" s="86" t="s">
        <v>2374</v>
      </c>
      <c r="J3204" s="1" t="s">
        <v>3322</v>
      </c>
      <c r="K3204" s="1" t="s">
        <v>3269</v>
      </c>
      <c r="L3204" s="1" t="s">
        <v>35</v>
      </c>
      <c r="M3204" s="86" t="s">
        <v>2438</v>
      </c>
      <c r="N3204" s="86"/>
      <c r="O3204" s="47" t="s">
        <v>40</v>
      </c>
      <c r="P3204" s="47" t="s">
        <v>46</v>
      </c>
      <c r="Q3204" s="14">
        <v>0.04</v>
      </c>
      <c r="R3204" s="143"/>
      <c r="S3204" s="47"/>
      <c r="T3204" s="6">
        <v>-31672.181400000001</v>
      </c>
      <c r="U3204" s="6"/>
      <c r="V3204" s="6">
        <v>0</v>
      </c>
      <c r="W3204" s="6">
        <f t="shared" si="497"/>
        <v>-31672.181400000001</v>
      </c>
      <c r="X3204" s="6">
        <f t="shared" si="493"/>
        <v>0</v>
      </c>
      <c r="Y3204" s="13">
        <f t="shared" si="498"/>
        <v>0</v>
      </c>
      <c r="Z3204" s="14">
        <v>0</v>
      </c>
      <c r="AA3204" s="6">
        <v>0</v>
      </c>
      <c r="AB3204" s="4">
        <f t="shared" si="499"/>
        <v>0</v>
      </c>
      <c r="AC3204" s="4">
        <f t="shared" si="495"/>
        <v>0</v>
      </c>
      <c r="AD3204" s="6">
        <v>0</v>
      </c>
      <c r="AE3204" s="2">
        <f>VLOOKUP(I3204,[1]媒体政策预估表!A:N,MATCH(O3204,[1]媒体政策预估表!$A$2:$M$2,0),0)</f>
        <v>7.0000000000000007E-2</v>
      </c>
      <c r="AF3204" s="6">
        <f t="shared" si="496"/>
        <v>0</v>
      </c>
      <c r="AG3204" s="9">
        <v>0.41</v>
      </c>
      <c r="AH3204" s="6">
        <f t="shared" si="494"/>
        <v>0</v>
      </c>
      <c r="AI3204" s="47"/>
      <c r="AJ3204" s="126" t="e">
        <v>#N/A</v>
      </c>
      <c r="AK3204" s="80">
        <f t="shared" si="500"/>
        <v>0</v>
      </c>
      <c r="AM3204" s="85"/>
    </row>
    <row r="3205" spans="1:39" hidden="1" x14ac:dyDescent="0.3">
      <c r="A3205" s="89" t="s">
        <v>3397</v>
      </c>
      <c r="B3205" s="86" t="s">
        <v>35</v>
      </c>
      <c r="C3205" s="86" t="s">
        <v>187</v>
      </c>
      <c r="D3205" s="86" t="s">
        <v>188</v>
      </c>
      <c r="E3205" s="86" t="s">
        <v>2506</v>
      </c>
      <c r="F3205" s="86" t="s">
        <v>2506</v>
      </c>
      <c r="G3205" s="86" t="s">
        <v>2506</v>
      </c>
      <c r="H3205" s="143">
        <v>237</v>
      </c>
      <c r="I3205" s="86" t="s">
        <v>2374</v>
      </c>
      <c r="J3205" s="1" t="s">
        <v>3322</v>
      </c>
      <c r="K3205" s="1" t="s">
        <v>3269</v>
      </c>
      <c r="L3205" s="1" t="s">
        <v>35</v>
      </c>
      <c r="M3205" s="86" t="s">
        <v>2438</v>
      </c>
      <c r="N3205" s="86"/>
      <c r="O3205" s="47" t="s">
        <v>40</v>
      </c>
      <c r="P3205" s="47" t="s">
        <v>41</v>
      </c>
      <c r="Q3205" s="14">
        <v>0</v>
      </c>
      <c r="R3205" s="143"/>
      <c r="S3205" s="47"/>
      <c r="T3205" s="6">
        <v>6.0000000021318556E-3</v>
      </c>
      <c r="U3205" s="6"/>
      <c r="V3205" s="6">
        <v>0</v>
      </c>
      <c r="W3205" s="6">
        <f t="shared" si="497"/>
        <v>6.0000000021318556E-3</v>
      </c>
      <c r="X3205" s="6">
        <f t="shared" si="493"/>
        <v>0</v>
      </c>
      <c r="Y3205" s="13">
        <f t="shared" si="498"/>
        <v>0</v>
      </c>
      <c r="Z3205" s="14">
        <v>0</v>
      </c>
      <c r="AA3205" s="6">
        <v>0</v>
      </c>
      <c r="AB3205" s="4">
        <f t="shared" si="499"/>
        <v>0</v>
      </c>
      <c r="AC3205" s="4">
        <f t="shared" si="495"/>
        <v>0</v>
      </c>
      <c r="AD3205" s="6">
        <v>0</v>
      </c>
      <c r="AE3205" s="2">
        <f>VLOOKUP(I3205,[1]媒体政策预估表!A:N,MATCH(O3205,[1]媒体政策预估表!$A$2:$M$2,0),0)</f>
        <v>7.0000000000000007E-2</v>
      </c>
      <c r="AF3205" s="6">
        <f t="shared" si="496"/>
        <v>0</v>
      </c>
      <c r="AG3205" s="9">
        <v>0.4</v>
      </c>
      <c r="AH3205" s="6">
        <f t="shared" si="494"/>
        <v>0</v>
      </c>
      <c r="AI3205" s="47"/>
      <c r="AJ3205" s="126" t="e">
        <v>#N/A</v>
      </c>
      <c r="AK3205" s="80">
        <f t="shared" si="500"/>
        <v>0</v>
      </c>
      <c r="AM3205" s="85"/>
    </row>
    <row r="3206" spans="1:39" hidden="1" x14ac:dyDescent="0.3">
      <c r="A3206" s="89" t="s">
        <v>3397</v>
      </c>
      <c r="B3206" s="86" t="s">
        <v>35</v>
      </c>
      <c r="C3206" s="86" t="s">
        <v>187</v>
      </c>
      <c r="D3206" s="86" t="s">
        <v>188</v>
      </c>
      <c r="E3206" s="86" t="s">
        <v>2507</v>
      </c>
      <c r="F3206" s="86" t="s">
        <v>2507</v>
      </c>
      <c r="G3206" s="86" t="s">
        <v>2507</v>
      </c>
      <c r="H3206" s="143">
        <v>237</v>
      </c>
      <c r="I3206" s="86" t="s">
        <v>2374</v>
      </c>
      <c r="J3206" s="1" t="s">
        <v>3322</v>
      </c>
      <c r="K3206" s="1" t="s">
        <v>3269</v>
      </c>
      <c r="L3206" s="1" t="s">
        <v>35</v>
      </c>
      <c r="M3206" s="86" t="s">
        <v>2438</v>
      </c>
      <c r="N3206" s="86"/>
      <c r="O3206" s="47" t="s">
        <v>45</v>
      </c>
      <c r="P3206" s="47" t="s">
        <v>46</v>
      </c>
      <c r="Q3206" s="14">
        <v>0.04</v>
      </c>
      <c r="R3206" s="143"/>
      <c r="S3206" s="47"/>
      <c r="T3206" s="6">
        <v>12422.418899999999</v>
      </c>
      <c r="U3206" s="6"/>
      <c r="V3206" s="6">
        <v>0</v>
      </c>
      <c r="W3206" s="6">
        <f t="shared" si="497"/>
        <v>12422.418899999999</v>
      </c>
      <c r="X3206" s="6">
        <f t="shared" si="493"/>
        <v>0</v>
      </c>
      <c r="Y3206" s="13">
        <f t="shared" si="498"/>
        <v>0</v>
      </c>
      <c r="Z3206" s="14">
        <v>0</v>
      </c>
      <c r="AA3206" s="6">
        <v>0</v>
      </c>
      <c r="AB3206" s="4">
        <f t="shared" si="499"/>
        <v>0</v>
      </c>
      <c r="AC3206" s="4">
        <f t="shared" si="495"/>
        <v>0</v>
      </c>
      <c r="AD3206" s="6">
        <v>0</v>
      </c>
      <c r="AE3206" s="2">
        <f>VLOOKUP(I3206,[1]媒体政策预估表!A:N,MATCH(O3206,[1]媒体政策预估表!$A$2:$M$2,0),0)</f>
        <v>0.06</v>
      </c>
      <c r="AF3206" s="6">
        <f t="shared" si="496"/>
        <v>0</v>
      </c>
      <c r="AG3206" s="9">
        <v>0.37</v>
      </c>
      <c r="AH3206" s="6">
        <f t="shared" si="494"/>
        <v>0</v>
      </c>
      <c r="AI3206" s="47"/>
      <c r="AJ3206" s="126" t="e">
        <v>#N/A</v>
      </c>
      <c r="AK3206" s="80">
        <f t="shared" si="500"/>
        <v>0</v>
      </c>
      <c r="AM3206" s="85"/>
    </row>
    <row r="3207" spans="1:39" hidden="1" x14ac:dyDescent="0.3">
      <c r="A3207" s="89" t="s">
        <v>3397</v>
      </c>
      <c r="B3207" s="86" t="s">
        <v>35</v>
      </c>
      <c r="C3207" s="86" t="s">
        <v>187</v>
      </c>
      <c r="D3207" s="86" t="s">
        <v>188</v>
      </c>
      <c r="E3207" s="86" t="s">
        <v>2507</v>
      </c>
      <c r="F3207" s="86" t="s">
        <v>2507</v>
      </c>
      <c r="G3207" s="86" t="s">
        <v>2507</v>
      </c>
      <c r="H3207" s="143">
        <v>237</v>
      </c>
      <c r="I3207" s="86" t="s">
        <v>2374</v>
      </c>
      <c r="J3207" s="1" t="s">
        <v>3322</v>
      </c>
      <c r="K3207" s="1" t="s">
        <v>3269</v>
      </c>
      <c r="L3207" s="1" t="s">
        <v>35</v>
      </c>
      <c r="M3207" s="86" t="s">
        <v>2438</v>
      </c>
      <c r="N3207" s="86"/>
      <c r="O3207" s="47" t="s">
        <v>40</v>
      </c>
      <c r="P3207" s="47" t="s">
        <v>46</v>
      </c>
      <c r="Q3207" s="14">
        <v>0.05</v>
      </c>
      <c r="R3207" s="143"/>
      <c r="S3207" s="47"/>
      <c r="T3207" s="6">
        <v>4315.6180000000031</v>
      </c>
      <c r="U3207" s="6"/>
      <c r="V3207" s="6">
        <v>0</v>
      </c>
      <c r="W3207" s="6">
        <f t="shared" si="497"/>
        <v>4315.6180000000031</v>
      </c>
      <c r="X3207" s="6">
        <f t="shared" si="493"/>
        <v>0</v>
      </c>
      <c r="Y3207" s="13">
        <f t="shared" si="498"/>
        <v>0</v>
      </c>
      <c r="Z3207" s="14">
        <v>0</v>
      </c>
      <c r="AA3207" s="6">
        <v>0</v>
      </c>
      <c r="AB3207" s="4">
        <f t="shared" si="499"/>
        <v>0</v>
      </c>
      <c r="AC3207" s="4">
        <f t="shared" si="495"/>
        <v>0</v>
      </c>
      <c r="AD3207" s="6">
        <v>0</v>
      </c>
      <c r="AE3207" s="2">
        <f>VLOOKUP(I3207,[1]媒体政策预估表!A:N,MATCH(O3207,[1]媒体政策预估表!$A$2:$M$2,0),0)</f>
        <v>7.0000000000000007E-2</v>
      </c>
      <c r="AF3207" s="6">
        <f t="shared" si="496"/>
        <v>0</v>
      </c>
      <c r="AG3207" s="9">
        <v>0.4</v>
      </c>
      <c r="AH3207" s="6">
        <f t="shared" si="494"/>
        <v>0</v>
      </c>
      <c r="AI3207" s="47"/>
      <c r="AJ3207" s="126" t="e">
        <v>#N/A</v>
      </c>
      <c r="AK3207" s="80">
        <f t="shared" si="500"/>
        <v>0</v>
      </c>
      <c r="AM3207" s="85"/>
    </row>
    <row r="3208" spans="1:39" hidden="1" x14ac:dyDescent="0.3">
      <c r="A3208" s="89" t="s">
        <v>3397</v>
      </c>
      <c r="B3208" s="86" t="s">
        <v>35</v>
      </c>
      <c r="C3208" s="86" t="s">
        <v>187</v>
      </c>
      <c r="D3208" s="86" t="s">
        <v>188</v>
      </c>
      <c r="E3208" s="86" t="s">
        <v>2508</v>
      </c>
      <c r="F3208" s="86" t="s">
        <v>2508</v>
      </c>
      <c r="G3208" s="86" t="s">
        <v>2508</v>
      </c>
      <c r="H3208" s="143">
        <v>237</v>
      </c>
      <c r="I3208" s="86" t="s">
        <v>2374</v>
      </c>
      <c r="J3208" s="1" t="s">
        <v>3322</v>
      </c>
      <c r="K3208" s="1" t="s">
        <v>3269</v>
      </c>
      <c r="L3208" s="1" t="s">
        <v>35</v>
      </c>
      <c r="M3208" s="86" t="s">
        <v>2438</v>
      </c>
      <c r="N3208" s="86"/>
      <c r="O3208" s="47" t="s">
        <v>40</v>
      </c>
      <c r="P3208" s="47" t="s">
        <v>41</v>
      </c>
      <c r="Q3208" s="14">
        <v>0</v>
      </c>
      <c r="R3208" s="143"/>
      <c r="S3208" s="47" t="s">
        <v>3427</v>
      </c>
      <c r="T3208" s="6">
        <v>-536.93690000008792</v>
      </c>
      <c r="U3208" s="6">
        <v>536.99</v>
      </c>
      <c r="V3208" s="6">
        <v>0</v>
      </c>
      <c r="W3208" s="6">
        <f t="shared" si="497"/>
        <v>5.3099999912092244E-2</v>
      </c>
      <c r="X3208" s="6">
        <f t="shared" si="493"/>
        <v>0</v>
      </c>
      <c r="Y3208" s="13">
        <f t="shared" si="498"/>
        <v>0</v>
      </c>
      <c r="Z3208" s="14">
        <v>0</v>
      </c>
      <c r="AA3208" s="6">
        <v>0</v>
      </c>
      <c r="AB3208" s="4">
        <f t="shared" si="499"/>
        <v>0</v>
      </c>
      <c r="AC3208" s="4">
        <f t="shared" si="495"/>
        <v>0</v>
      </c>
      <c r="AD3208" s="6">
        <v>0</v>
      </c>
      <c r="AE3208" s="2">
        <f>VLOOKUP(I3208,[1]媒体政策预估表!A:N,MATCH(O3208,[1]媒体政策预估表!$A$2:$M$2,0),0)</f>
        <v>7.0000000000000007E-2</v>
      </c>
      <c r="AF3208" s="6">
        <f t="shared" si="496"/>
        <v>0</v>
      </c>
      <c r="AG3208" s="9">
        <v>0.4</v>
      </c>
      <c r="AH3208" s="6">
        <f t="shared" si="494"/>
        <v>0</v>
      </c>
      <c r="AI3208" s="47"/>
      <c r="AJ3208" s="126" t="e">
        <v>#N/A</v>
      </c>
      <c r="AK3208" s="80">
        <f t="shared" si="500"/>
        <v>0</v>
      </c>
      <c r="AM3208" s="85"/>
    </row>
    <row r="3209" spans="1:39" hidden="1" x14ac:dyDescent="0.3">
      <c r="A3209" s="89" t="s">
        <v>3408</v>
      </c>
      <c r="B3209" s="86" t="s">
        <v>35</v>
      </c>
      <c r="C3209" s="86" t="s">
        <v>47</v>
      </c>
      <c r="D3209" s="86" t="s">
        <v>63</v>
      </c>
      <c r="E3209" s="86" t="s">
        <v>2388</v>
      </c>
      <c r="F3209" s="86" t="s">
        <v>2509</v>
      </c>
      <c r="G3209" s="86" t="s">
        <v>2388</v>
      </c>
      <c r="H3209" s="143">
        <v>237</v>
      </c>
      <c r="I3209" s="86" t="s">
        <v>2374</v>
      </c>
      <c r="J3209" s="1" t="s">
        <v>3322</v>
      </c>
      <c r="K3209" s="1" t="s">
        <v>3269</v>
      </c>
      <c r="L3209" s="1" t="s">
        <v>35</v>
      </c>
      <c r="M3209" s="86" t="s">
        <v>2390</v>
      </c>
      <c r="N3209" s="86"/>
      <c r="O3209" s="47" t="s">
        <v>410</v>
      </c>
      <c r="P3209" s="47" t="s">
        <v>46</v>
      </c>
      <c r="Q3209" s="14">
        <v>0.06</v>
      </c>
      <c r="R3209" s="143"/>
      <c r="S3209" s="47"/>
      <c r="T3209" s="6">
        <v>52779.029999999329</v>
      </c>
      <c r="U3209" s="6"/>
      <c r="V3209" s="6">
        <v>0</v>
      </c>
      <c r="W3209" s="6">
        <f t="shared" si="497"/>
        <v>52779.029999999329</v>
      </c>
      <c r="X3209" s="6">
        <f t="shared" si="493"/>
        <v>0</v>
      </c>
      <c r="Y3209" s="13">
        <f t="shared" si="498"/>
        <v>0</v>
      </c>
      <c r="Z3209" s="14">
        <v>0</v>
      </c>
      <c r="AA3209" s="6">
        <v>0</v>
      </c>
      <c r="AB3209" s="4">
        <f t="shared" si="499"/>
        <v>0</v>
      </c>
      <c r="AC3209" s="4">
        <f t="shared" si="495"/>
        <v>0</v>
      </c>
      <c r="AD3209" s="6">
        <v>0</v>
      </c>
      <c r="AE3209" s="2">
        <f>VLOOKUP(I3209,[1]媒体政策预估表!A:N,MATCH(O3209,[1]媒体政策预估表!$A$2:$M$2,0),0)</f>
        <v>0</v>
      </c>
      <c r="AF3209" s="6">
        <f t="shared" si="496"/>
        <v>0</v>
      </c>
      <c r="AG3209" s="9">
        <v>0.16</v>
      </c>
      <c r="AH3209" s="6">
        <f t="shared" si="494"/>
        <v>0</v>
      </c>
      <c r="AI3209" s="47"/>
      <c r="AJ3209" s="126" t="e">
        <v>#N/A</v>
      </c>
      <c r="AK3209" s="80">
        <f t="shared" si="500"/>
        <v>0</v>
      </c>
      <c r="AM3209" s="85"/>
    </row>
    <row r="3210" spans="1:39" hidden="1" x14ac:dyDescent="0.3">
      <c r="A3210" s="89" t="s">
        <v>3397</v>
      </c>
      <c r="B3210" s="86" t="s">
        <v>35</v>
      </c>
      <c r="C3210" s="86" t="s">
        <v>47</v>
      </c>
      <c r="D3210" s="86" t="s">
        <v>63</v>
      </c>
      <c r="E3210" s="86" t="s">
        <v>2388</v>
      </c>
      <c r="F3210" s="86" t="s">
        <v>2510</v>
      </c>
      <c r="G3210" s="86" t="s">
        <v>2388</v>
      </c>
      <c r="H3210" s="143">
        <v>237</v>
      </c>
      <c r="I3210" s="86" t="s">
        <v>2374</v>
      </c>
      <c r="J3210" s="1" t="s">
        <v>3322</v>
      </c>
      <c r="K3210" s="1" t="s">
        <v>3269</v>
      </c>
      <c r="L3210" s="1" t="s">
        <v>35</v>
      </c>
      <c r="M3210" s="86" t="s">
        <v>2390</v>
      </c>
      <c r="N3210" s="86"/>
      <c r="O3210" s="47" t="s">
        <v>45</v>
      </c>
      <c r="P3210" s="47" t="s">
        <v>41</v>
      </c>
      <c r="Q3210" s="14">
        <v>0</v>
      </c>
      <c r="R3210" s="143"/>
      <c r="S3210" s="47"/>
      <c r="T3210" s="6">
        <v>-20003231.118000001</v>
      </c>
      <c r="U3210" s="6"/>
      <c r="V3210" s="6">
        <v>0</v>
      </c>
      <c r="W3210" s="6">
        <f t="shared" si="497"/>
        <v>-20003231.118000001</v>
      </c>
      <c r="X3210" s="6">
        <f t="shared" si="493"/>
        <v>0</v>
      </c>
      <c r="Y3210" s="13">
        <f t="shared" si="498"/>
        <v>0</v>
      </c>
      <c r="Z3210" s="14">
        <v>0</v>
      </c>
      <c r="AA3210" s="6">
        <v>0</v>
      </c>
      <c r="AB3210" s="4">
        <f t="shared" si="499"/>
        <v>0</v>
      </c>
      <c r="AC3210" s="4">
        <f t="shared" si="495"/>
        <v>0</v>
      </c>
      <c r="AD3210" s="6">
        <v>0</v>
      </c>
      <c r="AE3210" s="2">
        <f>VLOOKUP(I3210,[1]媒体政策预估表!A:N,MATCH(O3210,[1]媒体政策预估表!$A$2:$M$2,0),0)</f>
        <v>0.06</v>
      </c>
      <c r="AF3210" s="6">
        <f t="shared" si="496"/>
        <v>0</v>
      </c>
      <c r="AG3210" s="9">
        <v>0.3</v>
      </c>
      <c r="AH3210" s="6">
        <f t="shared" si="494"/>
        <v>0</v>
      </c>
      <c r="AI3210" s="47"/>
      <c r="AJ3210" s="126" t="e">
        <v>#N/A</v>
      </c>
      <c r="AK3210" s="80">
        <f t="shared" si="500"/>
        <v>0</v>
      </c>
      <c r="AM3210" s="85"/>
    </row>
    <row r="3211" spans="1:39" hidden="1" x14ac:dyDescent="0.3">
      <c r="A3211" s="89" t="s">
        <v>3408</v>
      </c>
      <c r="B3211" s="86" t="s">
        <v>35</v>
      </c>
      <c r="C3211" s="86" t="s">
        <v>47</v>
      </c>
      <c r="D3211" s="86" t="s">
        <v>63</v>
      </c>
      <c r="E3211" s="86" t="s">
        <v>2511</v>
      </c>
      <c r="F3211" s="86" t="s">
        <v>2511</v>
      </c>
      <c r="G3211" s="86" t="s">
        <v>2511</v>
      </c>
      <c r="H3211" s="143">
        <v>237</v>
      </c>
      <c r="I3211" s="86" t="s">
        <v>2374</v>
      </c>
      <c r="J3211" s="1" t="s">
        <v>3322</v>
      </c>
      <c r="K3211" s="1" t="s">
        <v>3269</v>
      </c>
      <c r="L3211" s="1" t="s">
        <v>35</v>
      </c>
      <c r="M3211" s="86" t="s">
        <v>2390</v>
      </c>
      <c r="N3211" s="86"/>
      <c r="O3211" s="47" t="s">
        <v>45</v>
      </c>
      <c r="P3211" s="47" t="s">
        <v>46</v>
      </c>
      <c r="Q3211" s="14">
        <v>5.2600000000000001E-2</v>
      </c>
      <c r="R3211" s="143"/>
      <c r="S3211" s="47"/>
      <c r="T3211" s="6">
        <v>877.33400000000245</v>
      </c>
      <c r="U3211" s="6"/>
      <c r="V3211" s="6">
        <v>0</v>
      </c>
      <c r="W3211" s="6">
        <f t="shared" si="497"/>
        <v>877.33400000000245</v>
      </c>
      <c r="X3211" s="6">
        <f t="shared" ref="X3211:X3274" si="501">IF(P3211="折扣",V3211*Q3211,IF(P3211="返现",V3211,V3211/(1+Q3211+AG3211)))</f>
        <v>0</v>
      </c>
      <c r="Y3211" s="13">
        <f t="shared" si="498"/>
        <v>0</v>
      </c>
      <c r="Z3211" s="14">
        <v>0</v>
      </c>
      <c r="AA3211" s="6">
        <v>0</v>
      </c>
      <c r="AB3211" s="4">
        <f t="shared" si="499"/>
        <v>0</v>
      </c>
      <c r="AC3211" s="4">
        <f t="shared" si="495"/>
        <v>0</v>
      </c>
      <c r="AD3211" s="6">
        <v>0</v>
      </c>
      <c r="AE3211" s="2">
        <f>VLOOKUP(I3211,[1]媒体政策预估表!A:N,MATCH(O3211,[1]媒体政策预估表!$A$2:$M$2,0),0)</f>
        <v>0.06</v>
      </c>
      <c r="AF3211" s="6">
        <f t="shared" si="496"/>
        <v>0</v>
      </c>
      <c r="AG3211" s="9">
        <v>0.3</v>
      </c>
      <c r="AH3211" s="6">
        <f t="shared" ref="AH3211:AH3274" si="502">V3211/(1+AG3211)</f>
        <v>0</v>
      </c>
      <c r="AI3211" s="47"/>
      <c r="AJ3211" s="126" t="e">
        <v>#N/A</v>
      </c>
      <c r="AK3211" s="80">
        <f t="shared" si="500"/>
        <v>0</v>
      </c>
      <c r="AM3211" s="85"/>
    </row>
    <row r="3212" spans="1:39" hidden="1" x14ac:dyDescent="0.3">
      <c r="A3212" s="89" t="s">
        <v>3397</v>
      </c>
      <c r="B3212" s="86" t="s">
        <v>35</v>
      </c>
      <c r="C3212" s="86" t="s">
        <v>47</v>
      </c>
      <c r="D3212" s="86" t="s">
        <v>63</v>
      </c>
      <c r="E3212" s="86" t="s">
        <v>2418</v>
      </c>
      <c r="F3212" s="86" t="s">
        <v>2512</v>
      </c>
      <c r="G3212" s="86" t="s">
        <v>2418</v>
      </c>
      <c r="H3212" s="143">
        <v>237</v>
      </c>
      <c r="I3212" s="86" t="s">
        <v>2374</v>
      </c>
      <c r="J3212" s="1" t="s">
        <v>3322</v>
      </c>
      <c r="K3212" s="1" t="s">
        <v>3269</v>
      </c>
      <c r="L3212" s="1" t="s">
        <v>35</v>
      </c>
      <c r="M3212" s="86" t="s">
        <v>2504</v>
      </c>
      <c r="N3212" s="86"/>
      <c r="O3212" s="47" t="s">
        <v>45</v>
      </c>
      <c r="P3212" s="47" t="s">
        <v>46</v>
      </c>
      <c r="Q3212" s="14">
        <v>5.5E-2</v>
      </c>
      <c r="R3212" s="143"/>
      <c r="S3212" s="47"/>
      <c r="T3212" s="6">
        <v>19288.310000000001</v>
      </c>
      <c r="U3212" s="6"/>
      <c r="V3212" s="6">
        <v>0</v>
      </c>
      <c r="W3212" s="6">
        <f t="shared" si="497"/>
        <v>19288.310000000001</v>
      </c>
      <c r="X3212" s="6">
        <f t="shared" si="501"/>
        <v>0</v>
      </c>
      <c r="Y3212" s="13">
        <f t="shared" si="498"/>
        <v>0</v>
      </c>
      <c r="Z3212" s="14">
        <v>0</v>
      </c>
      <c r="AA3212" s="6">
        <v>0</v>
      </c>
      <c r="AB3212" s="4">
        <f t="shared" si="499"/>
        <v>0</v>
      </c>
      <c r="AC3212" s="4">
        <f t="shared" ref="AC3212:AC3275" si="503">IF(P3212="返现",X3212*Q3212,V3212-X3212)</f>
        <v>0</v>
      </c>
      <c r="AD3212" s="6">
        <v>0</v>
      </c>
      <c r="AE3212" s="2">
        <f>VLOOKUP(I3212,[1]媒体政策预估表!A:N,MATCH(O3212,[1]媒体政策预估表!$A$2:$M$2,0),0)</f>
        <v>0.06</v>
      </c>
      <c r="AF3212" s="6">
        <f t="shared" ref="AF3212:AF3275" si="504">AD3212*AE3212</f>
        <v>0</v>
      </c>
      <c r="AG3212" s="9">
        <v>0.1</v>
      </c>
      <c r="AH3212" s="6">
        <f t="shared" si="502"/>
        <v>0</v>
      </c>
      <c r="AI3212" s="47"/>
      <c r="AJ3212" s="126" t="e">
        <v>#N/A</v>
      </c>
      <c r="AK3212" s="80">
        <f t="shared" si="500"/>
        <v>0</v>
      </c>
      <c r="AM3212" s="85"/>
    </row>
    <row r="3213" spans="1:39" hidden="1" x14ac:dyDescent="0.3">
      <c r="A3213" s="89" t="s">
        <v>3397</v>
      </c>
      <c r="B3213" s="86" t="s">
        <v>35</v>
      </c>
      <c r="C3213" s="86" t="s">
        <v>47</v>
      </c>
      <c r="D3213" s="86" t="s">
        <v>63</v>
      </c>
      <c r="E3213" s="86" t="s">
        <v>2418</v>
      </c>
      <c r="F3213" s="86" t="s">
        <v>2512</v>
      </c>
      <c r="G3213" s="86" t="s">
        <v>2418</v>
      </c>
      <c r="H3213" s="143">
        <v>237</v>
      </c>
      <c r="I3213" s="86" t="s">
        <v>2374</v>
      </c>
      <c r="J3213" s="1" t="s">
        <v>3322</v>
      </c>
      <c r="K3213" s="1" t="s">
        <v>3269</v>
      </c>
      <c r="L3213" s="1" t="s">
        <v>35</v>
      </c>
      <c r="M3213" s="86" t="s">
        <v>2504</v>
      </c>
      <c r="N3213" s="86"/>
      <c r="O3213" s="47" t="s">
        <v>40</v>
      </c>
      <c r="P3213" s="47" t="s">
        <v>46</v>
      </c>
      <c r="Q3213" s="14">
        <v>5.5E-2</v>
      </c>
      <c r="R3213" s="143"/>
      <c r="S3213" s="47"/>
      <c r="T3213" s="6">
        <v>13050</v>
      </c>
      <c r="U3213" s="6"/>
      <c r="V3213" s="6">
        <v>0</v>
      </c>
      <c r="W3213" s="6">
        <f t="shared" si="497"/>
        <v>13050</v>
      </c>
      <c r="X3213" s="6">
        <f t="shared" si="501"/>
        <v>0</v>
      </c>
      <c r="Y3213" s="13">
        <f t="shared" si="498"/>
        <v>0</v>
      </c>
      <c r="Z3213" s="14">
        <v>0</v>
      </c>
      <c r="AA3213" s="6">
        <v>0</v>
      </c>
      <c r="AB3213" s="4">
        <f t="shared" si="499"/>
        <v>0</v>
      </c>
      <c r="AC3213" s="4">
        <f t="shared" si="503"/>
        <v>0</v>
      </c>
      <c r="AD3213" s="6">
        <v>0</v>
      </c>
      <c r="AE3213" s="2">
        <f>VLOOKUP(I3213,[1]媒体政策预估表!A:N,MATCH(O3213,[1]媒体政策预估表!$A$2:$M$2,0),0)</f>
        <v>7.0000000000000007E-2</v>
      </c>
      <c r="AF3213" s="6">
        <f t="shared" si="504"/>
        <v>0</v>
      </c>
      <c r="AG3213" s="9">
        <v>0.25</v>
      </c>
      <c r="AH3213" s="6">
        <f t="shared" si="502"/>
        <v>0</v>
      </c>
      <c r="AI3213" s="47"/>
      <c r="AJ3213" s="126" t="e">
        <v>#N/A</v>
      </c>
      <c r="AK3213" s="80">
        <f t="shared" si="500"/>
        <v>0</v>
      </c>
      <c r="AM3213" s="85"/>
    </row>
    <row r="3214" spans="1:39" hidden="1" x14ac:dyDescent="0.3">
      <c r="A3214" s="89" t="s">
        <v>3408</v>
      </c>
      <c r="B3214" s="86" t="s">
        <v>35</v>
      </c>
      <c r="C3214" s="86" t="s">
        <v>47</v>
      </c>
      <c r="D3214" s="86" t="s">
        <v>63</v>
      </c>
      <c r="E3214" s="86" t="s">
        <v>134</v>
      </c>
      <c r="F3214" s="86" t="s">
        <v>134</v>
      </c>
      <c r="G3214" s="86" t="s">
        <v>134</v>
      </c>
      <c r="H3214" s="144">
        <v>237</v>
      </c>
      <c r="I3214" s="86" t="s">
        <v>2374</v>
      </c>
      <c r="J3214" s="1" t="s">
        <v>3322</v>
      </c>
      <c r="K3214" s="1" t="s">
        <v>3269</v>
      </c>
      <c r="L3214" s="1" t="s">
        <v>35</v>
      </c>
      <c r="M3214" s="86" t="s">
        <v>134</v>
      </c>
      <c r="N3214" s="86"/>
      <c r="O3214" s="47" t="s">
        <v>40</v>
      </c>
      <c r="P3214" s="47" t="s">
        <v>46</v>
      </c>
      <c r="Q3214" s="14">
        <v>0.03</v>
      </c>
      <c r="R3214" s="143"/>
      <c r="S3214" s="47"/>
      <c r="T3214" s="6">
        <v>308886.03000000009</v>
      </c>
      <c r="U3214" s="6"/>
      <c r="V3214" s="6">
        <v>630.58000000000004</v>
      </c>
      <c r="W3214" s="6">
        <f t="shared" si="497"/>
        <v>308255.45000000007</v>
      </c>
      <c r="X3214" s="6">
        <f t="shared" si="501"/>
        <v>612.21359223300976</v>
      </c>
      <c r="Y3214" s="13">
        <f t="shared" si="498"/>
        <v>612.21359223300976</v>
      </c>
      <c r="Z3214" s="14">
        <v>0</v>
      </c>
      <c r="AA3214" s="6">
        <v>0</v>
      </c>
      <c r="AB3214" s="4">
        <f t="shared" si="499"/>
        <v>612.21359223300976</v>
      </c>
      <c r="AC3214" s="4">
        <f t="shared" si="503"/>
        <v>18.366407766990278</v>
      </c>
      <c r="AD3214" s="6">
        <v>0</v>
      </c>
      <c r="AE3214" s="2">
        <f>VLOOKUP(I3214,[1]媒体政策预估表!A:N,MATCH(O3214,[1]媒体政策预估表!$A$2:$M$2,0),0)</f>
        <v>7.0000000000000007E-2</v>
      </c>
      <c r="AF3214" s="6">
        <f t="shared" si="504"/>
        <v>0</v>
      </c>
      <c r="AG3214" s="9">
        <v>0</v>
      </c>
      <c r="AH3214" s="6">
        <f t="shared" si="502"/>
        <v>630.58000000000004</v>
      </c>
      <c r="AI3214" s="47"/>
      <c r="AJ3214" s="126" t="e">
        <v>#N/A</v>
      </c>
      <c r="AK3214" s="80">
        <f t="shared" si="500"/>
        <v>0</v>
      </c>
      <c r="AM3214" s="85"/>
    </row>
    <row r="3215" spans="1:39" hidden="1" x14ac:dyDescent="0.3">
      <c r="A3215" s="89" t="s">
        <v>3397</v>
      </c>
      <c r="B3215" s="86" t="s">
        <v>35</v>
      </c>
      <c r="C3215" s="86" t="s">
        <v>47</v>
      </c>
      <c r="D3215" s="86" t="s">
        <v>48</v>
      </c>
      <c r="E3215" s="86" t="s">
        <v>2482</v>
      </c>
      <c r="F3215" s="86" t="s">
        <v>2483</v>
      </c>
      <c r="G3215" s="86" t="s">
        <v>2482</v>
      </c>
      <c r="H3215" s="143">
        <v>237</v>
      </c>
      <c r="I3215" s="86" t="s">
        <v>2374</v>
      </c>
      <c r="J3215" s="1" t="s">
        <v>3322</v>
      </c>
      <c r="K3215" s="1" t="s">
        <v>3269</v>
      </c>
      <c r="L3215" s="1" t="s">
        <v>35</v>
      </c>
      <c r="M3215" s="86" t="s">
        <v>2482</v>
      </c>
      <c r="N3215" s="86"/>
      <c r="O3215" s="47" t="s">
        <v>40</v>
      </c>
      <c r="P3215" s="47" t="s">
        <v>41</v>
      </c>
      <c r="Q3215" s="14">
        <v>0</v>
      </c>
      <c r="R3215" s="143"/>
      <c r="S3215" s="47"/>
      <c r="T3215" s="6">
        <v>2747.1099999999988</v>
      </c>
      <c r="U3215" s="6"/>
      <c r="V3215" s="6">
        <v>0</v>
      </c>
      <c r="W3215" s="6">
        <f t="shared" si="497"/>
        <v>2747.1099999999988</v>
      </c>
      <c r="X3215" s="6">
        <f t="shared" si="501"/>
        <v>0</v>
      </c>
      <c r="Y3215" s="13">
        <f t="shared" si="498"/>
        <v>0</v>
      </c>
      <c r="Z3215" s="14">
        <v>0</v>
      </c>
      <c r="AA3215" s="6">
        <v>0</v>
      </c>
      <c r="AB3215" s="4">
        <f t="shared" si="499"/>
        <v>0</v>
      </c>
      <c r="AC3215" s="4">
        <f t="shared" si="503"/>
        <v>0</v>
      </c>
      <c r="AD3215" s="6">
        <v>0</v>
      </c>
      <c r="AE3215" s="2">
        <f>VLOOKUP(I3215,[1]媒体政策预估表!A:N,MATCH(O3215,[1]媒体政策预估表!$A$2:$M$2,0),0)</f>
        <v>7.0000000000000007E-2</v>
      </c>
      <c r="AF3215" s="6">
        <f t="shared" si="504"/>
        <v>0</v>
      </c>
      <c r="AG3215" s="9">
        <v>0</v>
      </c>
      <c r="AH3215" s="6">
        <f t="shared" si="502"/>
        <v>0</v>
      </c>
      <c r="AI3215" s="47"/>
      <c r="AJ3215" s="126" t="e">
        <v>#N/A</v>
      </c>
      <c r="AK3215" s="80">
        <f t="shared" si="500"/>
        <v>0</v>
      </c>
      <c r="AM3215" s="85"/>
    </row>
    <row r="3216" spans="1:39" hidden="1" x14ac:dyDescent="0.3">
      <c r="A3216" s="89" t="s">
        <v>3408</v>
      </c>
      <c r="B3216" s="86" t="s">
        <v>35</v>
      </c>
      <c r="C3216" s="86" t="s">
        <v>187</v>
      </c>
      <c r="D3216" s="86" t="s">
        <v>188</v>
      </c>
      <c r="E3216" s="86" t="s">
        <v>2439</v>
      </c>
      <c r="F3216" s="86" t="s">
        <v>2439</v>
      </c>
      <c r="G3216" s="86" t="s">
        <v>2439</v>
      </c>
      <c r="H3216" s="143">
        <v>237</v>
      </c>
      <c r="I3216" s="86" t="s">
        <v>2374</v>
      </c>
      <c r="J3216" s="1" t="s">
        <v>3322</v>
      </c>
      <c r="K3216" s="1" t="s">
        <v>3269</v>
      </c>
      <c r="L3216" s="1" t="s">
        <v>35</v>
      </c>
      <c r="M3216" s="86" t="s">
        <v>2438</v>
      </c>
      <c r="N3216" s="86"/>
      <c r="O3216" s="47" t="s">
        <v>40</v>
      </c>
      <c r="P3216" s="47" t="s">
        <v>46</v>
      </c>
      <c r="Q3216" s="14">
        <v>0.06</v>
      </c>
      <c r="R3216" s="143"/>
      <c r="S3216" s="47" t="s">
        <v>3427</v>
      </c>
      <c r="T3216" s="6">
        <v>37388.965999999986</v>
      </c>
      <c r="U3216" s="6">
        <v>2204.89</v>
      </c>
      <c r="V3216" s="6">
        <v>0</v>
      </c>
      <c r="W3216" s="6">
        <f t="shared" si="497"/>
        <v>39593.855999999985</v>
      </c>
      <c r="X3216" s="6">
        <f t="shared" si="501"/>
        <v>0</v>
      </c>
      <c r="Y3216" s="13">
        <f t="shared" si="498"/>
        <v>0</v>
      </c>
      <c r="Z3216" s="14">
        <v>0</v>
      </c>
      <c r="AA3216" s="6">
        <v>0</v>
      </c>
      <c r="AB3216" s="4">
        <f t="shared" si="499"/>
        <v>0</v>
      </c>
      <c r="AC3216" s="4">
        <f t="shared" si="503"/>
        <v>0</v>
      </c>
      <c r="AD3216" s="6">
        <v>0</v>
      </c>
      <c r="AE3216" s="2">
        <f>VLOOKUP(I3216,[1]媒体政策预估表!A:N,MATCH(O3216,[1]媒体政策预估表!$A$2:$M$2,0),0)</f>
        <v>7.0000000000000007E-2</v>
      </c>
      <c r="AF3216" s="6">
        <f t="shared" si="504"/>
        <v>0</v>
      </c>
      <c r="AG3216" s="9">
        <v>0.4</v>
      </c>
      <c r="AH3216" s="6">
        <f t="shared" si="502"/>
        <v>0</v>
      </c>
      <c r="AI3216" s="47"/>
      <c r="AJ3216" s="126" t="e">
        <v>#N/A</v>
      </c>
      <c r="AK3216" s="80">
        <f t="shared" si="500"/>
        <v>0</v>
      </c>
      <c r="AM3216" s="85"/>
    </row>
    <row r="3217" spans="1:39" hidden="1" x14ac:dyDescent="0.3">
      <c r="A3217" s="89" t="s">
        <v>3397</v>
      </c>
      <c r="B3217" s="86" t="s">
        <v>35</v>
      </c>
      <c r="C3217" s="86" t="s">
        <v>187</v>
      </c>
      <c r="D3217" s="86" t="s">
        <v>188</v>
      </c>
      <c r="E3217" s="86" t="s">
        <v>2513</v>
      </c>
      <c r="F3217" s="86" t="s">
        <v>2513</v>
      </c>
      <c r="G3217" s="86" t="s">
        <v>2513</v>
      </c>
      <c r="H3217" s="143">
        <v>237</v>
      </c>
      <c r="I3217" s="86" t="s">
        <v>2374</v>
      </c>
      <c r="J3217" s="1" t="s">
        <v>3322</v>
      </c>
      <c r="K3217" s="1" t="s">
        <v>3269</v>
      </c>
      <c r="L3217" s="1" t="s">
        <v>35</v>
      </c>
      <c r="M3217" s="86" t="s">
        <v>2438</v>
      </c>
      <c r="N3217" s="86"/>
      <c r="O3217" s="47" t="s">
        <v>40</v>
      </c>
      <c r="P3217" s="47" t="s">
        <v>46</v>
      </c>
      <c r="Q3217" s="14">
        <v>0.01</v>
      </c>
      <c r="R3217" s="143"/>
      <c r="S3217" s="47"/>
      <c r="T3217" s="6">
        <v>58070.141999999985</v>
      </c>
      <c r="U3217" s="6"/>
      <c r="V3217" s="6">
        <v>0</v>
      </c>
      <c r="W3217" s="6">
        <f t="shared" si="497"/>
        <v>58070.141999999985</v>
      </c>
      <c r="X3217" s="6">
        <f t="shared" si="501"/>
        <v>0</v>
      </c>
      <c r="Y3217" s="13">
        <f t="shared" si="498"/>
        <v>0</v>
      </c>
      <c r="Z3217" s="14">
        <v>0</v>
      </c>
      <c r="AA3217" s="6">
        <v>0</v>
      </c>
      <c r="AB3217" s="4">
        <f t="shared" si="499"/>
        <v>0</v>
      </c>
      <c r="AC3217" s="4">
        <f t="shared" si="503"/>
        <v>0</v>
      </c>
      <c r="AD3217" s="6">
        <v>0</v>
      </c>
      <c r="AE3217" s="2">
        <f>VLOOKUP(I3217,[1]媒体政策预估表!A:N,MATCH(O3217,[1]媒体政策预估表!$A$2:$M$2,0),0)</f>
        <v>7.0000000000000007E-2</v>
      </c>
      <c r="AF3217" s="6">
        <f t="shared" si="504"/>
        <v>0</v>
      </c>
      <c r="AG3217" s="9">
        <v>0.4</v>
      </c>
      <c r="AH3217" s="6">
        <f t="shared" si="502"/>
        <v>0</v>
      </c>
      <c r="AI3217" s="47"/>
      <c r="AJ3217" s="126" t="e">
        <v>#N/A</v>
      </c>
      <c r="AK3217" s="80">
        <f t="shared" si="500"/>
        <v>0</v>
      </c>
      <c r="AM3217" s="85"/>
    </row>
    <row r="3218" spans="1:39" hidden="1" x14ac:dyDescent="0.3">
      <c r="A3218" s="89" t="s">
        <v>3408</v>
      </c>
      <c r="B3218" s="86" t="s">
        <v>35</v>
      </c>
      <c r="C3218" s="86" t="s">
        <v>187</v>
      </c>
      <c r="D3218" s="86" t="s">
        <v>188</v>
      </c>
      <c r="E3218" s="86" t="s">
        <v>2460</v>
      </c>
      <c r="F3218" s="86" t="s">
        <v>2460</v>
      </c>
      <c r="G3218" s="86" t="s">
        <v>2460</v>
      </c>
      <c r="H3218" s="143">
        <v>237</v>
      </c>
      <c r="I3218" s="86" t="s">
        <v>2374</v>
      </c>
      <c r="J3218" s="1" t="s">
        <v>3322</v>
      </c>
      <c r="K3218" s="1" t="s">
        <v>3269</v>
      </c>
      <c r="L3218" s="1" t="s">
        <v>35</v>
      </c>
      <c r="M3218" s="86" t="s">
        <v>2438</v>
      </c>
      <c r="N3218" s="86"/>
      <c r="O3218" s="47" t="s">
        <v>40</v>
      </c>
      <c r="P3218" s="47" t="s">
        <v>46</v>
      </c>
      <c r="Q3218" s="14">
        <v>0.03</v>
      </c>
      <c r="R3218" s="143"/>
      <c r="S3218" s="47"/>
      <c r="T3218" s="6">
        <v>64050.65330780053</v>
      </c>
      <c r="U3218" s="6"/>
      <c r="V3218" s="6">
        <v>0</v>
      </c>
      <c r="W3218" s="6">
        <f t="shared" si="497"/>
        <v>64050.65330780053</v>
      </c>
      <c r="X3218" s="6">
        <f t="shared" si="501"/>
        <v>0</v>
      </c>
      <c r="Y3218" s="13">
        <f t="shared" si="498"/>
        <v>0</v>
      </c>
      <c r="Z3218" s="14">
        <v>0</v>
      </c>
      <c r="AA3218" s="6">
        <v>0</v>
      </c>
      <c r="AB3218" s="4">
        <f t="shared" si="499"/>
        <v>0</v>
      </c>
      <c r="AC3218" s="4">
        <f t="shared" si="503"/>
        <v>0</v>
      </c>
      <c r="AD3218" s="6">
        <v>0</v>
      </c>
      <c r="AE3218" s="2">
        <f>VLOOKUP(I3218,[1]媒体政策预估表!A:N,MATCH(O3218,[1]媒体政策预估表!$A$2:$M$2,0),0)</f>
        <v>7.0000000000000007E-2</v>
      </c>
      <c r="AF3218" s="6">
        <f t="shared" si="504"/>
        <v>0</v>
      </c>
      <c r="AG3218" s="9">
        <v>0.4</v>
      </c>
      <c r="AH3218" s="6">
        <f t="shared" si="502"/>
        <v>0</v>
      </c>
      <c r="AI3218" s="47"/>
      <c r="AJ3218" s="126" t="e">
        <v>#N/A</v>
      </c>
      <c r="AK3218" s="80">
        <f t="shared" si="500"/>
        <v>0</v>
      </c>
      <c r="AM3218" s="85"/>
    </row>
    <row r="3219" spans="1:39" hidden="1" x14ac:dyDescent="0.3">
      <c r="A3219" s="89" t="s">
        <v>3397</v>
      </c>
      <c r="B3219" s="86" t="s">
        <v>35</v>
      </c>
      <c r="C3219" s="86" t="s">
        <v>187</v>
      </c>
      <c r="D3219" s="86" t="s">
        <v>188</v>
      </c>
      <c r="E3219" s="86" t="s">
        <v>2460</v>
      </c>
      <c r="F3219" s="86" t="s">
        <v>2460</v>
      </c>
      <c r="G3219" s="86" t="s">
        <v>2460</v>
      </c>
      <c r="H3219" s="143">
        <v>237</v>
      </c>
      <c r="I3219" s="86" t="s">
        <v>2374</v>
      </c>
      <c r="J3219" s="1" t="s">
        <v>3322</v>
      </c>
      <c r="K3219" s="1" t="s">
        <v>3269</v>
      </c>
      <c r="L3219" s="1" t="s">
        <v>35</v>
      </c>
      <c r="M3219" s="86" t="s">
        <v>2438</v>
      </c>
      <c r="N3219" s="86"/>
      <c r="O3219" s="47" t="s">
        <v>40</v>
      </c>
      <c r="P3219" s="47" t="s">
        <v>41</v>
      </c>
      <c r="Q3219" s="14">
        <v>0</v>
      </c>
      <c r="R3219" s="143"/>
      <c r="S3219" s="47"/>
      <c r="T3219" s="6">
        <v>-75791.59</v>
      </c>
      <c r="U3219" s="6"/>
      <c r="V3219" s="6">
        <v>0</v>
      </c>
      <c r="W3219" s="6">
        <f t="shared" si="497"/>
        <v>-75791.59</v>
      </c>
      <c r="X3219" s="6">
        <f t="shared" si="501"/>
        <v>0</v>
      </c>
      <c r="Y3219" s="13">
        <f t="shared" si="498"/>
        <v>0</v>
      </c>
      <c r="Z3219" s="14">
        <v>0</v>
      </c>
      <c r="AA3219" s="6">
        <v>0</v>
      </c>
      <c r="AB3219" s="4">
        <f t="shared" si="499"/>
        <v>0</v>
      </c>
      <c r="AC3219" s="4">
        <f t="shared" si="503"/>
        <v>0</v>
      </c>
      <c r="AD3219" s="6">
        <v>0</v>
      </c>
      <c r="AE3219" s="2">
        <f>VLOOKUP(I3219,[1]媒体政策预估表!A:N,MATCH(O3219,[1]媒体政策预估表!$A$2:$M$2,0),0)</f>
        <v>7.0000000000000007E-2</v>
      </c>
      <c r="AF3219" s="6">
        <f t="shared" si="504"/>
        <v>0</v>
      </c>
      <c r="AG3219" s="9">
        <v>0.4</v>
      </c>
      <c r="AH3219" s="6">
        <f t="shared" si="502"/>
        <v>0</v>
      </c>
      <c r="AI3219" s="47"/>
      <c r="AJ3219" s="126" t="e">
        <v>#N/A</v>
      </c>
      <c r="AK3219" s="80">
        <f t="shared" si="500"/>
        <v>0</v>
      </c>
      <c r="AM3219" s="85"/>
    </row>
    <row r="3220" spans="1:39" hidden="1" x14ac:dyDescent="0.3">
      <c r="A3220" s="89" t="s">
        <v>3408</v>
      </c>
      <c r="B3220" s="86" t="s">
        <v>35</v>
      </c>
      <c r="C3220" s="86" t="s">
        <v>187</v>
      </c>
      <c r="D3220" s="86" t="s">
        <v>188</v>
      </c>
      <c r="E3220" s="86" t="s">
        <v>2514</v>
      </c>
      <c r="F3220" s="86" t="s">
        <v>2514</v>
      </c>
      <c r="G3220" s="86" t="s">
        <v>2514</v>
      </c>
      <c r="H3220" s="143">
        <v>237</v>
      </c>
      <c r="I3220" s="86" t="s">
        <v>2374</v>
      </c>
      <c r="J3220" s="1" t="s">
        <v>3322</v>
      </c>
      <c r="K3220" s="1" t="s">
        <v>3269</v>
      </c>
      <c r="L3220" s="1" t="s">
        <v>35</v>
      </c>
      <c r="M3220" s="86" t="s">
        <v>2438</v>
      </c>
      <c r="N3220" s="86"/>
      <c r="O3220" s="47" t="s">
        <v>45</v>
      </c>
      <c r="P3220" s="47" t="s">
        <v>46</v>
      </c>
      <c r="Q3220" s="14">
        <v>7.0000000000000007E-2</v>
      </c>
      <c r="R3220" s="143"/>
      <c r="S3220" s="47"/>
      <c r="T3220" s="6">
        <v>44543.499000000003</v>
      </c>
      <c r="U3220" s="6"/>
      <c r="V3220" s="6">
        <v>0</v>
      </c>
      <c r="W3220" s="6">
        <f t="shared" si="497"/>
        <v>44543.499000000003</v>
      </c>
      <c r="X3220" s="6">
        <f t="shared" si="501"/>
        <v>0</v>
      </c>
      <c r="Y3220" s="13">
        <f t="shared" si="498"/>
        <v>0</v>
      </c>
      <c r="Z3220" s="14">
        <v>0</v>
      </c>
      <c r="AA3220" s="6">
        <v>0</v>
      </c>
      <c r="AB3220" s="4">
        <f t="shared" si="499"/>
        <v>0</v>
      </c>
      <c r="AC3220" s="4">
        <f t="shared" si="503"/>
        <v>0</v>
      </c>
      <c r="AD3220" s="6">
        <v>0</v>
      </c>
      <c r="AE3220" s="2">
        <f>VLOOKUP(I3220,[1]媒体政策预估表!A:N,MATCH(O3220,[1]媒体政策预估表!$A$2:$M$2,0),0)</f>
        <v>0.06</v>
      </c>
      <c r="AF3220" s="6">
        <f t="shared" si="504"/>
        <v>0</v>
      </c>
      <c r="AG3220" s="9">
        <v>0.37</v>
      </c>
      <c r="AH3220" s="6">
        <f t="shared" si="502"/>
        <v>0</v>
      </c>
      <c r="AI3220" s="47"/>
      <c r="AJ3220" s="126" t="e">
        <v>#N/A</v>
      </c>
      <c r="AK3220" s="80">
        <f t="shared" si="500"/>
        <v>0</v>
      </c>
      <c r="AM3220" s="85"/>
    </row>
    <row r="3221" spans="1:39" hidden="1" x14ac:dyDescent="0.3">
      <c r="A3221" s="89" t="s">
        <v>3397</v>
      </c>
      <c r="B3221" s="86" t="s">
        <v>35</v>
      </c>
      <c r="C3221" s="86" t="s">
        <v>47</v>
      </c>
      <c r="D3221" s="86" t="s">
        <v>63</v>
      </c>
      <c r="E3221" s="15" t="s">
        <v>3702</v>
      </c>
      <c r="F3221" s="15" t="s">
        <v>3702</v>
      </c>
      <c r="G3221" s="86" t="s">
        <v>3702</v>
      </c>
      <c r="H3221" s="144">
        <v>237</v>
      </c>
      <c r="I3221" s="86" t="s">
        <v>2374</v>
      </c>
      <c r="J3221" s="1" t="s">
        <v>3322</v>
      </c>
      <c r="K3221" s="1" t="s">
        <v>3269</v>
      </c>
      <c r="L3221" s="1" t="s">
        <v>35</v>
      </c>
      <c r="M3221" s="86" t="s">
        <v>2515</v>
      </c>
      <c r="N3221" s="86"/>
      <c r="O3221" s="47" t="s">
        <v>45</v>
      </c>
      <c r="P3221" s="47" t="s">
        <v>46</v>
      </c>
      <c r="Q3221" s="14">
        <v>0.03</v>
      </c>
      <c r="R3221" s="143"/>
      <c r="S3221" s="47"/>
      <c r="T3221" s="6">
        <v>32626.959999999999</v>
      </c>
      <c r="U3221" s="6"/>
      <c r="V3221" s="6">
        <v>5681.6699999999983</v>
      </c>
      <c r="W3221" s="6">
        <f t="shared" si="497"/>
        <v>26945.29</v>
      </c>
      <c r="X3221" s="6">
        <f t="shared" si="501"/>
        <v>5516.1844660194156</v>
      </c>
      <c r="Y3221" s="13">
        <f t="shared" si="498"/>
        <v>0</v>
      </c>
      <c r="Z3221" s="14">
        <v>0</v>
      </c>
      <c r="AA3221" s="6">
        <v>0</v>
      </c>
      <c r="AB3221" s="4">
        <f t="shared" si="499"/>
        <v>5516.1844660194156</v>
      </c>
      <c r="AC3221" s="4">
        <f t="shared" si="503"/>
        <v>165.48553398058266</v>
      </c>
      <c r="AD3221" s="6">
        <v>5681.6699999999983</v>
      </c>
      <c r="AE3221" s="2">
        <f>VLOOKUP(I3221,[1]媒体政策预估表!A:N,MATCH(O3221,[1]媒体政策预估表!$A$2:$M$2,0),0)</f>
        <v>0.06</v>
      </c>
      <c r="AF3221" s="6">
        <f t="shared" si="504"/>
        <v>340.90019999999987</v>
      </c>
      <c r="AG3221" s="9">
        <v>0</v>
      </c>
      <c r="AH3221" s="6">
        <f t="shared" si="502"/>
        <v>5681.6699999999983</v>
      </c>
      <c r="AI3221" s="47"/>
      <c r="AJ3221" s="126" t="e">
        <v>#N/A</v>
      </c>
      <c r="AK3221" s="80">
        <f t="shared" si="500"/>
        <v>0</v>
      </c>
      <c r="AM3221" s="85"/>
    </row>
    <row r="3222" spans="1:39" hidden="1" x14ac:dyDescent="0.3">
      <c r="A3222" s="89" t="s">
        <v>3397</v>
      </c>
      <c r="B3222" s="86" t="s">
        <v>35</v>
      </c>
      <c r="C3222" s="86" t="s">
        <v>47</v>
      </c>
      <c r="D3222" s="86" t="s">
        <v>63</v>
      </c>
      <c r="E3222" s="86" t="s">
        <v>2477</v>
      </c>
      <c r="F3222" s="86" t="s">
        <v>2516</v>
      </c>
      <c r="G3222" s="86" t="s">
        <v>2477</v>
      </c>
      <c r="H3222" s="143">
        <v>237</v>
      </c>
      <c r="I3222" s="86" t="s">
        <v>2374</v>
      </c>
      <c r="J3222" s="1" t="s">
        <v>3322</v>
      </c>
      <c r="K3222" s="1" t="s">
        <v>3269</v>
      </c>
      <c r="L3222" s="1" t="s">
        <v>35</v>
      </c>
      <c r="M3222" s="86" t="s">
        <v>2479</v>
      </c>
      <c r="N3222" s="86"/>
      <c r="O3222" s="47" t="s">
        <v>45</v>
      </c>
      <c r="P3222" s="47" t="s">
        <v>46</v>
      </c>
      <c r="Q3222" s="14">
        <v>0.05</v>
      </c>
      <c r="R3222" s="143"/>
      <c r="S3222" s="47"/>
      <c r="T3222" s="18">
        <v>0.63999999994848622</v>
      </c>
      <c r="U3222" s="6"/>
      <c r="V3222" s="6">
        <v>0</v>
      </c>
      <c r="W3222" s="6">
        <f t="shared" si="497"/>
        <v>0.63999999994848622</v>
      </c>
      <c r="X3222" s="6">
        <f t="shared" si="501"/>
        <v>0</v>
      </c>
      <c r="Y3222" s="13">
        <f t="shared" si="498"/>
        <v>0</v>
      </c>
      <c r="Z3222" s="14">
        <v>0</v>
      </c>
      <c r="AA3222" s="6">
        <v>0</v>
      </c>
      <c r="AB3222" s="4">
        <f t="shared" si="499"/>
        <v>0</v>
      </c>
      <c r="AC3222" s="4">
        <f t="shared" si="503"/>
        <v>0</v>
      </c>
      <c r="AD3222" s="6">
        <v>0</v>
      </c>
      <c r="AE3222" s="2">
        <f>VLOOKUP(I3222,[1]媒体政策预估表!A:N,MATCH(O3222,[1]媒体政策预估表!$A$2:$M$2,0),0)</f>
        <v>0.06</v>
      </c>
      <c r="AF3222" s="6">
        <f t="shared" si="504"/>
        <v>0</v>
      </c>
      <c r="AG3222" s="9">
        <v>0</v>
      </c>
      <c r="AH3222" s="6">
        <f t="shared" si="502"/>
        <v>0</v>
      </c>
      <c r="AI3222" s="47"/>
      <c r="AJ3222" s="126" t="e">
        <v>#N/A</v>
      </c>
      <c r="AK3222" s="80">
        <f t="shared" si="500"/>
        <v>0</v>
      </c>
      <c r="AM3222" s="85"/>
    </row>
    <row r="3223" spans="1:39" hidden="1" x14ac:dyDescent="0.3">
      <c r="A3223" s="89" t="s">
        <v>3397</v>
      </c>
      <c r="B3223" s="86" t="s">
        <v>35</v>
      </c>
      <c r="C3223" s="86" t="s">
        <v>47</v>
      </c>
      <c r="D3223" s="86" t="s">
        <v>63</v>
      </c>
      <c r="E3223" s="86" t="s">
        <v>132</v>
      </c>
      <c r="F3223" s="86" t="s">
        <v>132</v>
      </c>
      <c r="G3223" s="86" t="s">
        <v>132</v>
      </c>
      <c r="H3223" s="143">
        <v>237</v>
      </c>
      <c r="I3223" s="86" t="s">
        <v>2374</v>
      </c>
      <c r="J3223" s="1" t="s">
        <v>3322</v>
      </c>
      <c r="K3223" s="1" t="s">
        <v>3269</v>
      </c>
      <c r="L3223" s="1" t="s">
        <v>35</v>
      </c>
      <c r="M3223" s="86" t="s">
        <v>894</v>
      </c>
      <c r="N3223" s="86"/>
      <c r="O3223" s="47" t="s">
        <v>45</v>
      </c>
      <c r="P3223" s="47" t="s">
        <v>41</v>
      </c>
      <c r="Q3223" s="14">
        <v>0</v>
      </c>
      <c r="R3223" s="143"/>
      <c r="S3223" s="47"/>
      <c r="T3223" s="6">
        <v>-73.039199996477691</v>
      </c>
      <c r="U3223" s="6"/>
      <c r="V3223" s="6">
        <v>0</v>
      </c>
      <c r="W3223" s="6">
        <f t="shared" si="497"/>
        <v>-73.039199996477691</v>
      </c>
      <c r="X3223" s="6">
        <f t="shared" si="501"/>
        <v>0</v>
      </c>
      <c r="Y3223" s="13">
        <f t="shared" si="498"/>
        <v>0</v>
      </c>
      <c r="Z3223" s="14">
        <v>0</v>
      </c>
      <c r="AA3223" s="6">
        <v>0</v>
      </c>
      <c r="AB3223" s="4">
        <f t="shared" si="499"/>
        <v>0</v>
      </c>
      <c r="AC3223" s="4">
        <f t="shared" si="503"/>
        <v>0</v>
      </c>
      <c r="AD3223" s="6">
        <v>0</v>
      </c>
      <c r="AE3223" s="2">
        <f>VLOOKUP(I3223,[1]媒体政策预估表!A:N,MATCH(O3223,[1]媒体政策预估表!$A$2:$M$2,0),0)</f>
        <v>0.06</v>
      </c>
      <c r="AF3223" s="6">
        <f t="shared" si="504"/>
        <v>0</v>
      </c>
      <c r="AG3223" s="9">
        <v>0.24</v>
      </c>
      <c r="AH3223" s="6">
        <f t="shared" si="502"/>
        <v>0</v>
      </c>
      <c r="AI3223" s="47"/>
      <c r="AJ3223" s="126" t="e">
        <v>#N/A</v>
      </c>
      <c r="AK3223" s="80">
        <f t="shared" si="500"/>
        <v>0</v>
      </c>
      <c r="AM3223" s="85"/>
    </row>
    <row r="3224" spans="1:39" hidden="1" x14ac:dyDescent="0.3">
      <c r="A3224" s="89" t="s">
        <v>3397</v>
      </c>
      <c r="B3224" s="86" t="s">
        <v>35</v>
      </c>
      <c r="C3224" s="86" t="s">
        <v>187</v>
      </c>
      <c r="D3224" s="86" t="s">
        <v>188</v>
      </c>
      <c r="E3224" s="86" t="s">
        <v>280</v>
      </c>
      <c r="F3224" s="86" t="s">
        <v>280</v>
      </c>
      <c r="G3224" s="86" t="s">
        <v>280</v>
      </c>
      <c r="H3224" s="143">
        <v>237</v>
      </c>
      <c r="I3224" s="86" t="s">
        <v>2374</v>
      </c>
      <c r="J3224" s="1" t="s">
        <v>3322</v>
      </c>
      <c r="K3224" s="1" t="s">
        <v>3269</v>
      </c>
      <c r="L3224" s="1" t="s">
        <v>35</v>
      </c>
      <c r="M3224" s="86" t="s">
        <v>2438</v>
      </c>
      <c r="N3224" s="86"/>
      <c r="O3224" s="47" t="s">
        <v>40</v>
      </c>
      <c r="P3224" s="47" t="s">
        <v>46</v>
      </c>
      <c r="Q3224" s="14">
        <v>0.01</v>
      </c>
      <c r="R3224" s="143"/>
      <c r="S3224" s="47"/>
      <c r="T3224" s="6">
        <v>3.19999999992433E-2</v>
      </c>
      <c r="U3224" s="6"/>
      <c r="V3224" s="6">
        <v>0</v>
      </c>
      <c r="W3224" s="6">
        <f t="shared" si="497"/>
        <v>3.19999999992433E-2</v>
      </c>
      <c r="X3224" s="6">
        <f t="shared" si="501"/>
        <v>0</v>
      </c>
      <c r="Y3224" s="13">
        <f t="shared" si="498"/>
        <v>0</v>
      </c>
      <c r="Z3224" s="14">
        <v>0</v>
      </c>
      <c r="AA3224" s="6">
        <v>0</v>
      </c>
      <c r="AB3224" s="4">
        <f t="shared" si="499"/>
        <v>0</v>
      </c>
      <c r="AC3224" s="4">
        <f t="shared" si="503"/>
        <v>0</v>
      </c>
      <c r="AD3224" s="6">
        <v>0</v>
      </c>
      <c r="AE3224" s="2">
        <f>VLOOKUP(I3224,[1]媒体政策预估表!A:N,MATCH(O3224,[1]媒体政策预估表!$A$2:$M$2,0),0)</f>
        <v>7.0000000000000007E-2</v>
      </c>
      <c r="AF3224" s="6">
        <f t="shared" si="504"/>
        <v>0</v>
      </c>
      <c r="AG3224" s="9">
        <v>0.4</v>
      </c>
      <c r="AH3224" s="6">
        <f t="shared" si="502"/>
        <v>0</v>
      </c>
      <c r="AI3224" s="47"/>
      <c r="AJ3224" s="126" t="e">
        <v>#N/A</v>
      </c>
      <c r="AK3224" s="80">
        <f t="shared" si="500"/>
        <v>0</v>
      </c>
      <c r="AM3224" s="85"/>
    </row>
    <row r="3225" spans="1:39" hidden="1" x14ac:dyDescent="0.3">
      <c r="A3225" s="89" t="s">
        <v>3408</v>
      </c>
      <c r="B3225" s="86" t="s">
        <v>35</v>
      </c>
      <c r="C3225" s="86" t="s">
        <v>187</v>
      </c>
      <c r="D3225" s="86" t="s">
        <v>188</v>
      </c>
      <c r="E3225" s="86" t="s">
        <v>2517</v>
      </c>
      <c r="F3225" s="86" t="s">
        <v>2517</v>
      </c>
      <c r="G3225" s="86" t="s">
        <v>2517</v>
      </c>
      <c r="H3225" s="143">
        <v>237</v>
      </c>
      <c r="I3225" s="86" t="s">
        <v>2374</v>
      </c>
      <c r="J3225" s="1" t="s">
        <v>3322</v>
      </c>
      <c r="K3225" s="1" t="s">
        <v>3269</v>
      </c>
      <c r="L3225" s="1" t="s">
        <v>35</v>
      </c>
      <c r="M3225" s="86" t="s">
        <v>2438</v>
      </c>
      <c r="N3225" s="86"/>
      <c r="O3225" s="47" t="s">
        <v>40</v>
      </c>
      <c r="P3225" s="47" t="s">
        <v>46</v>
      </c>
      <c r="Q3225" s="14">
        <v>7.0000000000000007E-2</v>
      </c>
      <c r="R3225" s="143"/>
      <c r="S3225" s="47"/>
      <c r="T3225" s="6">
        <v>112948.92999999998</v>
      </c>
      <c r="U3225" s="6"/>
      <c r="V3225" s="6">
        <v>0</v>
      </c>
      <c r="W3225" s="6">
        <f t="shared" si="497"/>
        <v>112948.92999999998</v>
      </c>
      <c r="X3225" s="6">
        <f t="shared" si="501"/>
        <v>0</v>
      </c>
      <c r="Y3225" s="13">
        <f t="shared" si="498"/>
        <v>0</v>
      </c>
      <c r="Z3225" s="14">
        <v>0</v>
      </c>
      <c r="AA3225" s="6">
        <v>0</v>
      </c>
      <c r="AB3225" s="4">
        <f t="shared" si="499"/>
        <v>0</v>
      </c>
      <c r="AC3225" s="4">
        <f t="shared" si="503"/>
        <v>0</v>
      </c>
      <c r="AD3225" s="6">
        <v>0</v>
      </c>
      <c r="AE3225" s="2">
        <f>VLOOKUP(I3225,[1]媒体政策预估表!A:N,MATCH(O3225,[1]媒体政策预估表!$A$2:$M$2,0),0)</f>
        <v>7.0000000000000007E-2</v>
      </c>
      <c r="AF3225" s="6">
        <f t="shared" si="504"/>
        <v>0</v>
      </c>
      <c r="AG3225" s="9">
        <v>0.4</v>
      </c>
      <c r="AH3225" s="6">
        <f t="shared" si="502"/>
        <v>0</v>
      </c>
      <c r="AI3225" s="47"/>
      <c r="AJ3225" s="126" t="e">
        <v>#N/A</v>
      </c>
      <c r="AK3225" s="80">
        <f t="shared" si="500"/>
        <v>0</v>
      </c>
      <c r="AM3225" s="85"/>
    </row>
    <row r="3226" spans="1:39" hidden="1" x14ac:dyDescent="0.3">
      <c r="A3226" s="89" t="s">
        <v>3408</v>
      </c>
      <c r="B3226" s="86" t="s">
        <v>35</v>
      </c>
      <c r="C3226" s="86" t="s">
        <v>187</v>
      </c>
      <c r="D3226" s="86" t="s">
        <v>208</v>
      </c>
      <c r="E3226" s="86" t="s">
        <v>2463</v>
      </c>
      <c r="F3226" s="86" t="s">
        <v>2463</v>
      </c>
      <c r="G3226" s="86" t="s">
        <v>2463</v>
      </c>
      <c r="H3226" s="144">
        <v>237</v>
      </c>
      <c r="I3226" s="86" t="s">
        <v>2374</v>
      </c>
      <c r="J3226" s="1" t="s">
        <v>3322</v>
      </c>
      <c r="K3226" s="1" t="s">
        <v>3269</v>
      </c>
      <c r="L3226" s="1" t="s">
        <v>35</v>
      </c>
      <c r="M3226" s="86" t="s">
        <v>2438</v>
      </c>
      <c r="N3226" s="86"/>
      <c r="O3226" s="47" t="s">
        <v>40</v>
      </c>
      <c r="P3226" s="47" t="s">
        <v>46</v>
      </c>
      <c r="Q3226" s="14">
        <v>0.03</v>
      </c>
      <c r="R3226" s="143"/>
      <c r="S3226" s="47"/>
      <c r="T3226" s="6">
        <v>5.234734503832442</v>
      </c>
      <c r="U3226" s="6"/>
      <c r="V3226" s="6">
        <v>5.234734503832442</v>
      </c>
      <c r="W3226" s="6">
        <f t="shared" si="497"/>
        <v>0</v>
      </c>
      <c r="X3226" s="6">
        <f t="shared" si="501"/>
        <v>3.6606534991835256</v>
      </c>
      <c r="Y3226" s="13">
        <f t="shared" si="498"/>
        <v>3.6606534991835256</v>
      </c>
      <c r="Z3226" s="14">
        <v>0</v>
      </c>
      <c r="AA3226" s="6">
        <v>0</v>
      </c>
      <c r="AB3226" s="4">
        <f t="shared" si="499"/>
        <v>3.6606534991835256</v>
      </c>
      <c r="AC3226" s="4">
        <f t="shared" si="503"/>
        <v>1.5740810046489164</v>
      </c>
      <c r="AD3226" s="6">
        <v>0</v>
      </c>
      <c r="AE3226" s="2">
        <f>VLOOKUP(I3226,[1]媒体政策预估表!A:N,MATCH(O3226,[1]媒体政策预估表!$A$2:$M$2,0),0)</f>
        <v>7.0000000000000007E-2</v>
      </c>
      <c r="AF3226" s="6">
        <f t="shared" si="504"/>
        <v>0</v>
      </c>
      <c r="AG3226" s="9">
        <v>0.4</v>
      </c>
      <c r="AH3226" s="6">
        <f t="shared" si="502"/>
        <v>3.7390960741660302</v>
      </c>
      <c r="AI3226" s="47"/>
      <c r="AJ3226" s="126" t="e">
        <v>#N/A</v>
      </c>
      <c r="AK3226" s="80">
        <f t="shared" si="500"/>
        <v>0</v>
      </c>
      <c r="AM3226" s="85"/>
    </row>
    <row r="3227" spans="1:39" hidden="1" x14ac:dyDescent="0.3">
      <c r="A3227" s="89" t="s">
        <v>3397</v>
      </c>
      <c r="B3227" s="86" t="s">
        <v>35</v>
      </c>
      <c r="C3227" s="86" t="s">
        <v>187</v>
      </c>
      <c r="D3227" s="86" t="s">
        <v>188</v>
      </c>
      <c r="E3227" s="86" t="s">
        <v>2504</v>
      </c>
      <c r="F3227" s="86" t="s">
        <v>2505</v>
      </c>
      <c r="G3227" s="86" t="s">
        <v>2504</v>
      </c>
      <c r="H3227" s="143">
        <v>237</v>
      </c>
      <c r="I3227" s="86" t="s">
        <v>2374</v>
      </c>
      <c r="J3227" s="1" t="s">
        <v>3322</v>
      </c>
      <c r="K3227" s="1" t="s">
        <v>3269</v>
      </c>
      <c r="L3227" s="1" t="s">
        <v>35</v>
      </c>
      <c r="M3227" s="86" t="s">
        <v>2504</v>
      </c>
      <c r="N3227" s="86"/>
      <c r="O3227" s="47" t="s">
        <v>45</v>
      </c>
      <c r="P3227" s="47" t="s">
        <v>46</v>
      </c>
      <c r="Q3227" s="14">
        <v>0.03</v>
      </c>
      <c r="R3227" s="143"/>
      <c r="S3227" s="47"/>
      <c r="T3227" s="6">
        <v>48080.9</v>
      </c>
      <c r="U3227" s="6"/>
      <c r="V3227" s="6">
        <v>0</v>
      </c>
      <c r="W3227" s="6">
        <f t="shared" si="497"/>
        <v>48080.9</v>
      </c>
      <c r="X3227" s="6">
        <f t="shared" si="501"/>
        <v>0</v>
      </c>
      <c r="Y3227" s="13">
        <f t="shared" si="498"/>
        <v>0</v>
      </c>
      <c r="Z3227" s="14">
        <v>0</v>
      </c>
      <c r="AA3227" s="6">
        <v>0</v>
      </c>
      <c r="AB3227" s="4">
        <f t="shared" si="499"/>
        <v>0</v>
      </c>
      <c r="AC3227" s="4">
        <f t="shared" si="503"/>
        <v>0</v>
      </c>
      <c r="AD3227" s="6">
        <v>0</v>
      </c>
      <c r="AE3227" s="2">
        <f>VLOOKUP(I3227,[1]媒体政策预估表!A:N,MATCH(O3227,[1]媒体政策预估表!$A$2:$M$2,0),0)</f>
        <v>0.06</v>
      </c>
      <c r="AF3227" s="6">
        <f t="shared" si="504"/>
        <v>0</v>
      </c>
      <c r="AG3227" s="9">
        <v>0.1</v>
      </c>
      <c r="AH3227" s="6">
        <f t="shared" si="502"/>
        <v>0</v>
      </c>
      <c r="AI3227" s="47"/>
      <c r="AJ3227" s="126" t="e">
        <v>#N/A</v>
      </c>
      <c r="AK3227" s="80">
        <f t="shared" si="500"/>
        <v>0</v>
      </c>
      <c r="AM3227" s="85"/>
    </row>
    <row r="3228" spans="1:39" hidden="1" x14ac:dyDescent="0.3">
      <c r="A3228" s="89" t="s">
        <v>3408</v>
      </c>
      <c r="B3228" s="86" t="s">
        <v>35</v>
      </c>
      <c r="C3228" s="86" t="s">
        <v>47</v>
      </c>
      <c r="D3228" s="86" t="s">
        <v>63</v>
      </c>
      <c r="E3228" s="86" t="s">
        <v>2429</v>
      </c>
      <c r="F3228" s="86" t="s">
        <v>2429</v>
      </c>
      <c r="G3228" s="86" t="s">
        <v>2429</v>
      </c>
      <c r="H3228" s="143">
        <v>237</v>
      </c>
      <c r="I3228" s="86" t="s">
        <v>2374</v>
      </c>
      <c r="J3228" s="1" t="s">
        <v>3322</v>
      </c>
      <c r="K3228" s="1" t="s">
        <v>3269</v>
      </c>
      <c r="L3228" s="1" t="s">
        <v>35</v>
      </c>
      <c r="M3228" s="86" t="s">
        <v>2430</v>
      </c>
      <c r="N3228" s="86"/>
      <c r="O3228" s="47" t="s">
        <v>410</v>
      </c>
      <c r="P3228" s="47" t="s">
        <v>41</v>
      </c>
      <c r="Q3228" s="14">
        <v>0</v>
      </c>
      <c r="R3228" s="143"/>
      <c r="S3228" s="47"/>
      <c r="T3228" s="6">
        <v>0.56000000005587935</v>
      </c>
      <c r="U3228" s="6"/>
      <c r="V3228" s="6">
        <v>0</v>
      </c>
      <c r="W3228" s="6">
        <f t="shared" si="497"/>
        <v>0.56000000005587935</v>
      </c>
      <c r="X3228" s="6">
        <f t="shared" si="501"/>
        <v>0</v>
      </c>
      <c r="Y3228" s="13">
        <f t="shared" si="498"/>
        <v>0</v>
      </c>
      <c r="Z3228" s="14">
        <v>0</v>
      </c>
      <c r="AA3228" s="6">
        <v>0</v>
      </c>
      <c r="AB3228" s="4">
        <f t="shared" si="499"/>
        <v>0</v>
      </c>
      <c r="AC3228" s="4">
        <f t="shared" si="503"/>
        <v>0</v>
      </c>
      <c r="AD3228" s="6">
        <v>0</v>
      </c>
      <c r="AE3228" s="2">
        <f>VLOOKUP(I3228,[1]媒体政策预估表!A:N,MATCH(O3228,[1]媒体政策预估表!$A$2:$M$2,0),0)</f>
        <v>0</v>
      </c>
      <c r="AF3228" s="6">
        <f t="shared" si="504"/>
        <v>0</v>
      </c>
      <c r="AG3228" s="9">
        <v>0.06</v>
      </c>
      <c r="AH3228" s="6">
        <f t="shared" si="502"/>
        <v>0</v>
      </c>
      <c r="AI3228" s="47"/>
      <c r="AJ3228" s="126" t="e">
        <v>#N/A</v>
      </c>
      <c r="AK3228" s="80">
        <f t="shared" si="500"/>
        <v>0</v>
      </c>
      <c r="AM3228" s="85"/>
    </row>
    <row r="3229" spans="1:39" hidden="1" x14ac:dyDescent="0.3">
      <c r="A3229" s="89" t="s">
        <v>3408</v>
      </c>
      <c r="B3229" s="86" t="s">
        <v>35</v>
      </c>
      <c r="C3229" s="86" t="s">
        <v>164</v>
      </c>
      <c r="D3229" s="86" t="s">
        <v>169</v>
      </c>
      <c r="E3229" s="86" t="s">
        <v>2518</v>
      </c>
      <c r="F3229" s="86" t="s">
        <v>2518</v>
      </c>
      <c r="G3229" s="86" t="s">
        <v>2518</v>
      </c>
      <c r="H3229" s="143">
        <v>237</v>
      </c>
      <c r="I3229" s="86" t="s">
        <v>2374</v>
      </c>
      <c r="J3229" s="1" t="s">
        <v>3322</v>
      </c>
      <c r="K3229" s="1" t="s">
        <v>3269</v>
      </c>
      <c r="L3229" s="1" t="s">
        <v>35</v>
      </c>
      <c r="M3229" s="86" t="s">
        <v>2519</v>
      </c>
      <c r="N3229" s="86"/>
      <c r="O3229" s="47" t="s">
        <v>45</v>
      </c>
      <c r="P3229" s="47" t="s">
        <v>41</v>
      </c>
      <c r="Q3229" s="14">
        <v>0</v>
      </c>
      <c r="R3229" s="143"/>
      <c r="S3229" s="47"/>
      <c r="T3229" s="6">
        <v>-121533.92000000003</v>
      </c>
      <c r="U3229" s="6"/>
      <c r="V3229" s="6">
        <v>0</v>
      </c>
      <c r="W3229" s="6">
        <f t="shared" si="497"/>
        <v>-121533.92000000003</v>
      </c>
      <c r="X3229" s="6">
        <f t="shared" si="501"/>
        <v>0</v>
      </c>
      <c r="Y3229" s="13">
        <f t="shared" si="498"/>
        <v>0</v>
      </c>
      <c r="Z3229" s="14">
        <v>0</v>
      </c>
      <c r="AA3229" s="6">
        <v>0</v>
      </c>
      <c r="AB3229" s="4">
        <f t="shared" si="499"/>
        <v>0</v>
      </c>
      <c r="AC3229" s="4">
        <f t="shared" si="503"/>
        <v>0</v>
      </c>
      <c r="AD3229" s="6">
        <v>0</v>
      </c>
      <c r="AE3229" s="2">
        <f>VLOOKUP(I3229,[1]媒体政策预估表!A:N,MATCH(O3229,[1]媒体政策预估表!$A$2:$M$2,0),0)</f>
        <v>0.06</v>
      </c>
      <c r="AF3229" s="6">
        <f t="shared" si="504"/>
        <v>0</v>
      </c>
      <c r="AG3229" s="9">
        <v>0</v>
      </c>
      <c r="AH3229" s="6">
        <f t="shared" si="502"/>
        <v>0</v>
      </c>
      <c r="AI3229" s="47"/>
      <c r="AJ3229" s="126" t="e">
        <v>#N/A</v>
      </c>
      <c r="AK3229" s="80">
        <f t="shared" si="500"/>
        <v>0</v>
      </c>
      <c r="AM3229" s="85"/>
    </row>
    <row r="3230" spans="1:39" hidden="1" x14ac:dyDescent="0.3">
      <c r="A3230" s="89" t="s">
        <v>3408</v>
      </c>
      <c r="B3230" s="86" t="s">
        <v>35</v>
      </c>
      <c r="C3230" s="86" t="s">
        <v>65</v>
      </c>
      <c r="D3230" s="86" t="s">
        <v>66</v>
      </c>
      <c r="E3230" s="86" t="s">
        <v>2474</v>
      </c>
      <c r="F3230" s="86" t="s">
        <v>2520</v>
      </c>
      <c r="G3230" s="86" t="s">
        <v>2520</v>
      </c>
      <c r="H3230" s="144">
        <v>237</v>
      </c>
      <c r="I3230" s="86" t="s">
        <v>2374</v>
      </c>
      <c r="J3230" s="1" t="s">
        <v>3322</v>
      </c>
      <c r="K3230" s="1" t="s">
        <v>3269</v>
      </c>
      <c r="L3230" s="1" t="s">
        <v>35</v>
      </c>
      <c r="M3230" s="86" t="s">
        <v>2520</v>
      </c>
      <c r="N3230" s="86"/>
      <c r="O3230" s="47" t="s">
        <v>45</v>
      </c>
      <c r="P3230" s="47" t="s">
        <v>41</v>
      </c>
      <c r="Q3230" s="14">
        <v>0</v>
      </c>
      <c r="R3230" s="143"/>
      <c r="S3230" s="47"/>
      <c r="T3230" s="6">
        <v>49338.349999999991</v>
      </c>
      <c r="U3230" s="6"/>
      <c r="V3230" s="6">
        <v>6238.7100000000009</v>
      </c>
      <c r="W3230" s="6">
        <f t="shared" si="497"/>
        <v>43099.639999999992</v>
      </c>
      <c r="X3230" s="6">
        <f t="shared" si="501"/>
        <v>6238.7100000000009</v>
      </c>
      <c r="Y3230" s="13">
        <f t="shared" si="498"/>
        <v>0</v>
      </c>
      <c r="Z3230" s="14">
        <v>0</v>
      </c>
      <c r="AA3230" s="6">
        <v>0</v>
      </c>
      <c r="AB3230" s="4">
        <f t="shared" si="499"/>
        <v>6238.7100000000009</v>
      </c>
      <c r="AC3230" s="4">
        <f t="shared" si="503"/>
        <v>0</v>
      </c>
      <c r="AD3230" s="6">
        <v>6238.7100000000009</v>
      </c>
      <c r="AE3230" s="2">
        <f>VLOOKUP(I3230,[1]媒体政策预估表!A:N,MATCH(O3230,[1]媒体政策预估表!$A$2:$M$2,0),0)</f>
        <v>0.06</v>
      </c>
      <c r="AF3230" s="6">
        <f t="shared" si="504"/>
        <v>374.32260000000002</v>
      </c>
      <c r="AG3230" s="9">
        <v>0</v>
      </c>
      <c r="AH3230" s="6">
        <f t="shared" si="502"/>
        <v>6238.7100000000009</v>
      </c>
      <c r="AI3230" s="47"/>
      <c r="AJ3230" s="126" t="e">
        <v>#N/A</v>
      </c>
      <c r="AK3230" s="80">
        <f t="shared" si="500"/>
        <v>0</v>
      </c>
      <c r="AM3230" s="85"/>
    </row>
    <row r="3231" spans="1:39" hidden="1" x14ac:dyDescent="0.3">
      <c r="A3231" s="89" t="s">
        <v>3397</v>
      </c>
      <c r="B3231" s="86" t="s">
        <v>35</v>
      </c>
      <c r="C3231" s="86" t="s">
        <v>47</v>
      </c>
      <c r="D3231" s="86" t="s">
        <v>63</v>
      </c>
      <c r="E3231" s="86" t="s">
        <v>2393</v>
      </c>
      <c r="F3231" s="86" t="s">
        <v>2394</v>
      </c>
      <c r="G3231" s="86" t="s">
        <v>2393</v>
      </c>
      <c r="H3231" s="143">
        <v>237</v>
      </c>
      <c r="I3231" s="86" t="s">
        <v>2374</v>
      </c>
      <c r="J3231" s="1" t="s">
        <v>3322</v>
      </c>
      <c r="K3231" s="1" t="s">
        <v>3269</v>
      </c>
      <c r="L3231" s="1" t="s">
        <v>35</v>
      </c>
      <c r="M3231" s="86" t="s">
        <v>2396</v>
      </c>
      <c r="N3231" s="86"/>
      <c r="O3231" s="47" t="s">
        <v>40</v>
      </c>
      <c r="P3231" s="47" t="s">
        <v>46</v>
      </c>
      <c r="Q3231" s="14">
        <v>5.5E-2</v>
      </c>
      <c r="R3231" s="143"/>
      <c r="S3231" s="47"/>
      <c r="T3231" s="6">
        <v>52750</v>
      </c>
      <c r="U3231" s="6"/>
      <c r="V3231" s="6">
        <v>0</v>
      </c>
      <c r="W3231" s="6">
        <f t="shared" si="497"/>
        <v>52750</v>
      </c>
      <c r="X3231" s="6">
        <f t="shared" si="501"/>
        <v>0</v>
      </c>
      <c r="Y3231" s="13">
        <f t="shared" si="498"/>
        <v>0</v>
      </c>
      <c r="Z3231" s="14">
        <v>0</v>
      </c>
      <c r="AA3231" s="6">
        <v>0</v>
      </c>
      <c r="AB3231" s="4">
        <f t="shared" si="499"/>
        <v>0</v>
      </c>
      <c r="AC3231" s="4">
        <f t="shared" si="503"/>
        <v>0</v>
      </c>
      <c r="AD3231" s="6">
        <v>0</v>
      </c>
      <c r="AE3231" s="2">
        <f>VLOOKUP(I3231,[1]媒体政策预估表!A:N,MATCH(O3231,[1]媒体政策预估表!$A$2:$M$2,0),0)</f>
        <v>7.0000000000000007E-2</v>
      </c>
      <c r="AF3231" s="6">
        <f t="shared" si="504"/>
        <v>0</v>
      </c>
      <c r="AG3231" s="9">
        <v>0</v>
      </c>
      <c r="AH3231" s="6">
        <f t="shared" si="502"/>
        <v>0</v>
      </c>
      <c r="AI3231" s="47"/>
      <c r="AJ3231" s="126" t="e">
        <v>#N/A</v>
      </c>
      <c r="AK3231" s="80">
        <f t="shared" si="500"/>
        <v>0</v>
      </c>
      <c r="AM3231" s="85"/>
    </row>
    <row r="3232" spans="1:39" hidden="1" x14ac:dyDescent="0.3">
      <c r="A3232" s="89" t="s">
        <v>3397</v>
      </c>
      <c r="B3232" s="86" t="s">
        <v>35</v>
      </c>
      <c r="C3232" s="86" t="s">
        <v>47</v>
      </c>
      <c r="D3232" s="86" t="s">
        <v>63</v>
      </c>
      <c r="E3232" s="86" t="s">
        <v>2418</v>
      </c>
      <c r="F3232" s="86" t="s">
        <v>2419</v>
      </c>
      <c r="G3232" s="86" t="s">
        <v>2418</v>
      </c>
      <c r="H3232" s="143">
        <v>237</v>
      </c>
      <c r="I3232" s="86" t="s">
        <v>2374</v>
      </c>
      <c r="J3232" s="1" t="s">
        <v>3322</v>
      </c>
      <c r="K3232" s="1" t="s">
        <v>3269</v>
      </c>
      <c r="L3232" s="1" t="s">
        <v>35</v>
      </c>
      <c r="M3232" s="86" t="s">
        <v>2420</v>
      </c>
      <c r="N3232" s="86"/>
      <c r="O3232" s="47" t="s">
        <v>410</v>
      </c>
      <c r="P3232" s="47" t="s">
        <v>46</v>
      </c>
      <c r="Q3232" s="14">
        <v>5.5E-2</v>
      </c>
      <c r="R3232" s="143"/>
      <c r="S3232" s="47"/>
      <c r="T3232" s="6">
        <v>-1129904.6889999984</v>
      </c>
      <c r="U3232" s="6"/>
      <c r="V3232" s="6">
        <v>0</v>
      </c>
      <c r="W3232" s="6">
        <f t="shared" si="497"/>
        <v>-1129904.6889999984</v>
      </c>
      <c r="X3232" s="6">
        <f t="shared" si="501"/>
        <v>0</v>
      </c>
      <c r="Y3232" s="13">
        <f t="shared" si="498"/>
        <v>0</v>
      </c>
      <c r="Z3232" s="14">
        <v>0</v>
      </c>
      <c r="AA3232" s="6">
        <v>0</v>
      </c>
      <c r="AB3232" s="4">
        <f t="shared" si="499"/>
        <v>0</v>
      </c>
      <c r="AC3232" s="4">
        <f t="shared" si="503"/>
        <v>0</v>
      </c>
      <c r="AD3232" s="6">
        <v>0</v>
      </c>
      <c r="AE3232" s="2">
        <f>VLOOKUP(I3232,[1]媒体政策预估表!A:N,MATCH(O3232,[1]媒体政策预估表!$A$2:$M$2,0),0)</f>
        <v>0</v>
      </c>
      <c r="AF3232" s="6">
        <f t="shared" si="504"/>
        <v>0</v>
      </c>
      <c r="AG3232" s="9">
        <v>0.3</v>
      </c>
      <c r="AH3232" s="6">
        <f t="shared" si="502"/>
        <v>0</v>
      </c>
      <c r="AI3232" s="47"/>
      <c r="AJ3232" s="126" t="e">
        <v>#N/A</v>
      </c>
      <c r="AK3232" s="80">
        <f t="shared" si="500"/>
        <v>0</v>
      </c>
      <c r="AM3232" s="85"/>
    </row>
    <row r="3233" spans="1:39" hidden="1" x14ac:dyDescent="0.3">
      <c r="A3233" s="89" t="s">
        <v>3397</v>
      </c>
      <c r="B3233" s="86" t="s">
        <v>35</v>
      </c>
      <c r="C3233" s="86" t="s">
        <v>47</v>
      </c>
      <c r="D3233" s="86" t="s">
        <v>63</v>
      </c>
      <c r="E3233" s="86" t="s">
        <v>132</v>
      </c>
      <c r="F3233" s="86" t="s">
        <v>132</v>
      </c>
      <c r="G3233" s="86" t="s">
        <v>132</v>
      </c>
      <c r="H3233" s="143">
        <v>237</v>
      </c>
      <c r="I3233" s="86" t="s">
        <v>2374</v>
      </c>
      <c r="J3233" s="1" t="s">
        <v>3322</v>
      </c>
      <c r="K3233" s="1" t="s">
        <v>3269</v>
      </c>
      <c r="L3233" s="1" t="s">
        <v>35</v>
      </c>
      <c r="M3233" s="86" t="s">
        <v>894</v>
      </c>
      <c r="N3233" s="86"/>
      <c r="O3233" s="47" t="s">
        <v>410</v>
      </c>
      <c r="P3233" s="47" t="s">
        <v>41</v>
      </c>
      <c r="Q3233" s="14">
        <v>0</v>
      </c>
      <c r="R3233" s="143"/>
      <c r="S3233" s="47"/>
      <c r="T3233" s="6">
        <v>39643.97159999999</v>
      </c>
      <c r="U3233" s="6"/>
      <c r="V3233" s="6">
        <v>0</v>
      </c>
      <c r="W3233" s="6">
        <f t="shared" si="497"/>
        <v>39643.97159999999</v>
      </c>
      <c r="X3233" s="6">
        <f t="shared" si="501"/>
        <v>0</v>
      </c>
      <c r="Y3233" s="13">
        <f t="shared" si="498"/>
        <v>0</v>
      </c>
      <c r="Z3233" s="14">
        <v>0</v>
      </c>
      <c r="AA3233" s="6">
        <v>0</v>
      </c>
      <c r="AB3233" s="4">
        <f t="shared" si="499"/>
        <v>0</v>
      </c>
      <c r="AC3233" s="4">
        <f t="shared" si="503"/>
        <v>0</v>
      </c>
      <c r="AD3233" s="6">
        <v>0</v>
      </c>
      <c r="AE3233" s="2">
        <f>VLOOKUP(I3233,[1]媒体政策预估表!A:N,MATCH(O3233,[1]媒体政策预估表!$A$2:$M$2,0),0)</f>
        <v>0</v>
      </c>
      <c r="AF3233" s="6">
        <f t="shared" si="504"/>
        <v>0</v>
      </c>
      <c r="AG3233" s="9">
        <v>0.24</v>
      </c>
      <c r="AH3233" s="6">
        <f t="shared" si="502"/>
        <v>0</v>
      </c>
      <c r="AI3233" s="47"/>
      <c r="AJ3233" s="126" t="e">
        <v>#N/A</v>
      </c>
      <c r="AK3233" s="80">
        <f t="shared" si="500"/>
        <v>0</v>
      </c>
      <c r="AM3233" s="85"/>
    </row>
    <row r="3234" spans="1:39" hidden="1" x14ac:dyDescent="0.3">
      <c r="A3234" s="89" t="s">
        <v>3397</v>
      </c>
      <c r="B3234" s="86" t="s">
        <v>35</v>
      </c>
      <c r="C3234" s="86" t="s">
        <v>144</v>
      </c>
      <c r="D3234" s="86" t="s">
        <v>145</v>
      </c>
      <c r="E3234" s="86" t="s">
        <v>2521</v>
      </c>
      <c r="F3234" s="86" t="s">
        <v>2521</v>
      </c>
      <c r="G3234" s="86" t="s">
        <v>2521</v>
      </c>
      <c r="H3234" s="143">
        <v>237</v>
      </c>
      <c r="I3234" s="86" t="s">
        <v>2374</v>
      </c>
      <c r="J3234" s="1" t="s">
        <v>3322</v>
      </c>
      <c r="K3234" s="1" t="s">
        <v>3269</v>
      </c>
      <c r="L3234" s="1" t="s">
        <v>35</v>
      </c>
      <c r="M3234" s="86" t="s">
        <v>2521</v>
      </c>
      <c r="N3234" s="86"/>
      <c r="O3234" s="47" t="s">
        <v>410</v>
      </c>
      <c r="P3234" s="47" t="s">
        <v>46</v>
      </c>
      <c r="Q3234" s="14">
        <v>0.03</v>
      </c>
      <c r="R3234" s="143"/>
      <c r="S3234" s="47"/>
      <c r="T3234" s="6">
        <v>1985.0600000000118</v>
      </c>
      <c r="U3234" s="6"/>
      <c r="V3234" s="6">
        <v>0</v>
      </c>
      <c r="W3234" s="6">
        <f t="shared" si="497"/>
        <v>1985.0600000000118</v>
      </c>
      <c r="X3234" s="6">
        <f t="shared" si="501"/>
        <v>0</v>
      </c>
      <c r="Y3234" s="13">
        <f t="shared" si="498"/>
        <v>0</v>
      </c>
      <c r="Z3234" s="14">
        <v>0</v>
      </c>
      <c r="AA3234" s="6">
        <v>0</v>
      </c>
      <c r="AB3234" s="4">
        <f t="shared" si="499"/>
        <v>0</v>
      </c>
      <c r="AC3234" s="4">
        <f t="shared" si="503"/>
        <v>0</v>
      </c>
      <c r="AD3234" s="6">
        <v>0</v>
      </c>
      <c r="AE3234" s="2">
        <f>VLOOKUP(I3234,[1]媒体政策预估表!A:N,MATCH(O3234,[1]媒体政策预估表!$A$2:$M$2,0),0)</f>
        <v>0</v>
      </c>
      <c r="AF3234" s="6">
        <f t="shared" si="504"/>
        <v>0</v>
      </c>
      <c r="AG3234" s="9">
        <v>0</v>
      </c>
      <c r="AH3234" s="6">
        <f t="shared" si="502"/>
        <v>0</v>
      </c>
      <c r="AI3234" s="47"/>
      <c r="AJ3234" s="126" t="e">
        <v>#N/A</v>
      </c>
      <c r="AK3234" s="80">
        <f t="shared" si="500"/>
        <v>0</v>
      </c>
      <c r="AM3234" s="85"/>
    </row>
    <row r="3235" spans="1:39" hidden="1" x14ac:dyDescent="0.3">
      <c r="A3235" s="89" t="s">
        <v>3397</v>
      </c>
      <c r="B3235" s="86" t="s">
        <v>35</v>
      </c>
      <c r="C3235" s="86" t="s">
        <v>144</v>
      </c>
      <c r="D3235" s="86" t="s">
        <v>145</v>
      </c>
      <c r="E3235" s="86" t="s">
        <v>565</v>
      </c>
      <c r="F3235" s="86" t="s">
        <v>565</v>
      </c>
      <c r="G3235" s="86" t="s">
        <v>565</v>
      </c>
      <c r="H3235" s="143">
        <v>237</v>
      </c>
      <c r="I3235" s="86" t="s">
        <v>2374</v>
      </c>
      <c r="J3235" s="1" t="s">
        <v>3322</v>
      </c>
      <c r="K3235" s="1" t="s">
        <v>3269</v>
      </c>
      <c r="L3235" s="1" t="s">
        <v>35</v>
      </c>
      <c r="M3235" s="86" t="s">
        <v>2433</v>
      </c>
      <c r="N3235" s="86"/>
      <c r="O3235" s="47" t="s">
        <v>40</v>
      </c>
      <c r="P3235" s="47" t="s">
        <v>46</v>
      </c>
      <c r="Q3235" s="14">
        <v>0.02</v>
      </c>
      <c r="R3235" s="143"/>
      <c r="S3235" s="47"/>
      <c r="T3235" s="6">
        <v>2999.9957999999997</v>
      </c>
      <c r="U3235" s="6"/>
      <c r="V3235" s="6">
        <v>0</v>
      </c>
      <c r="W3235" s="6">
        <f t="shared" si="497"/>
        <v>2999.9957999999997</v>
      </c>
      <c r="X3235" s="6">
        <f t="shared" si="501"/>
        <v>0</v>
      </c>
      <c r="Y3235" s="13">
        <f t="shared" si="498"/>
        <v>0</v>
      </c>
      <c r="Z3235" s="14">
        <v>0</v>
      </c>
      <c r="AA3235" s="6">
        <v>0</v>
      </c>
      <c r="AB3235" s="4">
        <f t="shared" si="499"/>
        <v>0</v>
      </c>
      <c r="AC3235" s="4">
        <f t="shared" si="503"/>
        <v>0</v>
      </c>
      <c r="AD3235" s="6">
        <v>0</v>
      </c>
      <c r="AE3235" s="2">
        <f>VLOOKUP(I3235,[1]媒体政策预估表!A:N,MATCH(O3235,[1]媒体政策预估表!$A$2:$M$2,0),0)</f>
        <v>7.0000000000000007E-2</v>
      </c>
      <c r="AF3235" s="6">
        <f t="shared" si="504"/>
        <v>0</v>
      </c>
      <c r="AG3235" s="9">
        <v>0.38</v>
      </c>
      <c r="AH3235" s="6">
        <f t="shared" si="502"/>
        <v>0</v>
      </c>
      <c r="AI3235" s="47"/>
      <c r="AJ3235" s="126" t="e">
        <v>#N/A</v>
      </c>
      <c r="AK3235" s="80">
        <f t="shared" si="500"/>
        <v>0</v>
      </c>
      <c r="AM3235" s="85"/>
    </row>
    <row r="3236" spans="1:39" hidden="1" x14ac:dyDescent="0.3">
      <c r="A3236" s="89" t="s">
        <v>3397</v>
      </c>
      <c r="B3236" s="86" t="s">
        <v>35</v>
      </c>
      <c r="C3236" s="86" t="s">
        <v>144</v>
      </c>
      <c r="D3236" s="86" t="s">
        <v>161</v>
      </c>
      <c r="E3236" s="86" t="s">
        <v>2522</v>
      </c>
      <c r="F3236" s="86" t="s">
        <v>2522</v>
      </c>
      <c r="G3236" s="86" t="s">
        <v>2522</v>
      </c>
      <c r="H3236" s="143">
        <v>237</v>
      </c>
      <c r="I3236" s="86" t="s">
        <v>2374</v>
      </c>
      <c r="J3236" s="1" t="s">
        <v>3322</v>
      </c>
      <c r="K3236" s="1" t="s">
        <v>3269</v>
      </c>
      <c r="L3236" s="1" t="s">
        <v>35</v>
      </c>
      <c r="M3236" s="86" t="s">
        <v>2433</v>
      </c>
      <c r="N3236" s="86"/>
      <c r="O3236" s="47" t="s">
        <v>45</v>
      </c>
      <c r="P3236" s="47" t="s">
        <v>46</v>
      </c>
      <c r="Q3236" s="14">
        <v>0.02</v>
      </c>
      <c r="R3236" s="143"/>
      <c r="S3236" s="47"/>
      <c r="T3236" s="6">
        <v>9265.39</v>
      </c>
      <c r="U3236" s="6"/>
      <c r="V3236" s="6">
        <v>0</v>
      </c>
      <c r="W3236" s="6">
        <f t="shared" si="497"/>
        <v>9265.39</v>
      </c>
      <c r="X3236" s="6">
        <f t="shared" si="501"/>
        <v>0</v>
      </c>
      <c r="Y3236" s="13">
        <f t="shared" si="498"/>
        <v>0</v>
      </c>
      <c r="Z3236" s="14">
        <v>0</v>
      </c>
      <c r="AA3236" s="6">
        <v>0</v>
      </c>
      <c r="AB3236" s="4">
        <f t="shared" si="499"/>
        <v>0</v>
      </c>
      <c r="AC3236" s="4">
        <f t="shared" si="503"/>
        <v>0</v>
      </c>
      <c r="AD3236" s="6">
        <v>0</v>
      </c>
      <c r="AE3236" s="2">
        <f>VLOOKUP(I3236,[1]媒体政策预估表!A:N,MATCH(O3236,[1]媒体政策预估表!$A$2:$M$2,0),0)</f>
        <v>0.06</v>
      </c>
      <c r="AF3236" s="6">
        <f t="shared" si="504"/>
        <v>0</v>
      </c>
      <c r="AG3236" s="9">
        <v>0</v>
      </c>
      <c r="AH3236" s="6">
        <f t="shared" si="502"/>
        <v>0</v>
      </c>
      <c r="AI3236" s="47"/>
      <c r="AJ3236" s="126" t="e">
        <v>#N/A</v>
      </c>
      <c r="AK3236" s="80">
        <f t="shared" si="500"/>
        <v>0</v>
      </c>
      <c r="AM3236" s="85"/>
    </row>
    <row r="3237" spans="1:39" hidden="1" x14ac:dyDescent="0.3">
      <c r="A3237" s="89" t="s">
        <v>3397</v>
      </c>
      <c r="B3237" s="86" t="s">
        <v>35</v>
      </c>
      <c r="C3237" s="86" t="s">
        <v>144</v>
      </c>
      <c r="D3237" s="86" t="s">
        <v>161</v>
      </c>
      <c r="E3237" s="86" t="s">
        <v>1903</v>
      </c>
      <c r="F3237" s="86" t="s">
        <v>1903</v>
      </c>
      <c r="G3237" s="86" t="s">
        <v>1903</v>
      </c>
      <c r="H3237" s="143">
        <v>237</v>
      </c>
      <c r="I3237" s="86" t="s">
        <v>2374</v>
      </c>
      <c r="J3237" s="1" t="s">
        <v>3322</v>
      </c>
      <c r="K3237" s="1" t="s">
        <v>3269</v>
      </c>
      <c r="L3237" s="1" t="s">
        <v>35</v>
      </c>
      <c r="M3237" s="86" t="s">
        <v>2148</v>
      </c>
      <c r="N3237" s="86"/>
      <c r="O3237" s="47" t="s">
        <v>410</v>
      </c>
      <c r="P3237" s="47" t="s">
        <v>46</v>
      </c>
      <c r="Q3237" s="14">
        <v>0.03</v>
      </c>
      <c r="R3237" s="143"/>
      <c r="S3237" s="47"/>
      <c r="T3237" s="6">
        <v>-6085.3600000000006</v>
      </c>
      <c r="U3237" s="6"/>
      <c r="V3237" s="6">
        <v>0</v>
      </c>
      <c r="W3237" s="6">
        <f t="shared" si="497"/>
        <v>-6085.3600000000006</v>
      </c>
      <c r="X3237" s="6">
        <f t="shared" si="501"/>
        <v>0</v>
      </c>
      <c r="Y3237" s="13">
        <f t="shared" si="498"/>
        <v>0</v>
      </c>
      <c r="Z3237" s="14">
        <v>0</v>
      </c>
      <c r="AA3237" s="6">
        <v>0</v>
      </c>
      <c r="AB3237" s="4">
        <f t="shared" si="499"/>
        <v>0</v>
      </c>
      <c r="AC3237" s="4">
        <f t="shared" si="503"/>
        <v>0</v>
      </c>
      <c r="AD3237" s="6">
        <v>0</v>
      </c>
      <c r="AE3237" s="2">
        <f>VLOOKUP(I3237,[1]媒体政策预估表!A:N,MATCH(O3237,[1]媒体政策预估表!$A$2:$M$2,0),0)</f>
        <v>0</v>
      </c>
      <c r="AF3237" s="6">
        <f t="shared" si="504"/>
        <v>0</v>
      </c>
      <c r="AG3237" s="9">
        <v>0</v>
      </c>
      <c r="AH3237" s="6">
        <f t="shared" si="502"/>
        <v>0</v>
      </c>
      <c r="AI3237" s="47"/>
      <c r="AJ3237" s="126" t="e">
        <v>#N/A</v>
      </c>
      <c r="AK3237" s="80">
        <f t="shared" si="500"/>
        <v>0</v>
      </c>
      <c r="AM3237" s="85"/>
    </row>
    <row r="3238" spans="1:39" hidden="1" x14ac:dyDescent="0.3">
      <c r="A3238" s="89" t="s">
        <v>3397</v>
      </c>
      <c r="B3238" s="86" t="s">
        <v>35</v>
      </c>
      <c r="C3238" s="86" t="s">
        <v>59</v>
      </c>
      <c r="D3238" s="86" t="s">
        <v>60</v>
      </c>
      <c r="E3238" s="86" t="s">
        <v>2523</v>
      </c>
      <c r="F3238" s="86" t="s">
        <v>2523</v>
      </c>
      <c r="G3238" s="86" t="s">
        <v>2523</v>
      </c>
      <c r="H3238" s="143">
        <v>237</v>
      </c>
      <c r="I3238" s="86" t="s">
        <v>2374</v>
      </c>
      <c r="J3238" s="1" t="s">
        <v>3322</v>
      </c>
      <c r="K3238" s="1" t="s">
        <v>3269</v>
      </c>
      <c r="L3238" s="1" t="s">
        <v>35</v>
      </c>
      <c r="M3238" s="86" t="s">
        <v>2524</v>
      </c>
      <c r="N3238" s="86"/>
      <c r="O3238" s="47" t="s">
        <v>45</v>
      </c>
      <c r="P3238" s="47" t="s">
        <v>46</v>
      </c>
      <c r="Q3238" s="14">
        <v>0.04</v>
      </c>
      <c r="R3238" s="143"/>
      <c r="S3238" s="47"/>
      <c r="T3238" s="6">
        <v>583.78000000000009</v>
      </c>
      <c r="U3238" s="6"/>
      <c r="V3238" s="6">
        <v>0</v>
      </c>
      <c r="W3238" s="6">
        <f t="shared" ref="W3238:W3301" si="505">T3238+U3238-V3238</f>
        <v>583.78000000000009</v>
      </c>
      <c r="X3238" s="6">
        <f t="shared" si="501"/>
        <v>0</v>
      </c>
      <c r="Y3238" s="13">
        <f t="shared" si="498"/>
        <v>0</v>
      </c>
      <c r="Z3238" s="14">
        <v>0</v>
      </c>
      <c r="AA3238" s="6">
        <v>0</v>
      </c>
      <c r="AB3238" s="4">
        <f t="shared" si="499"/>
        <v>0</v>
      </c>
      <c r="AC3238" s="4">
        <f t="shared" si="503"/>
        <v>0</v>
      </c>
      <c r="AD3238" s="6">
        <v>0</v>
      </c>
      <c r="AE3238" s="2">
        <f>VLOOKUP(I3238,[1]媒体政策预估表!A:N,MATCH(O3238,[1]媒体政策预估表!$A$2:$M$2,0),0)</f>
        <v>0.06</v>
      </c>
      <c r="AF3238" s="6">
        <f t="shared" si="504"/>
        <v>0</v>
      </c>
      <c r="AG3238" s="9">
        <v>0</v>
      </c>
      <c r="AH3238" s="6">
        <f t="shared" si="502"/>
        <v>0</v>
      </c>
      <c r="AI3238" s="47"/>
      <c r="AJ3238" s="126" t="e">
        <v>#N/A</v>
      </c>
      <c r="AK3238" s="80">
        <f t="shared" si="500"/>
        <v>0</v>
      </c>
      <c r="AM3238" s="85"/>
    </row>
    <row r="3239" spans="1:39" hidden="1" x14ac:dyDescent="0.3">
      <c r="A3239" s="89" t="s">
        <v>3408</v>
      </c>
      <c r="B3239" s="86" t="s">
        <v>35</v>
      </c>
      <c r="C3239" s="86" t="s">
        <v>59</v>
      </c>
      <c r="D3239" s="86" t="s">
        <v>60</v>
      </c>
      <c r="E3239" s="86" t="s">
        <v>2523</v>
      </c>
      <c r="F3239" s="86" t="s">
        <v>2523</v>
      </c>
      <c r="G3239" s="86" t="s">
        <v>2523</v>
      </c>
      <c r="H3239" s="143">
        <v>237</v>
      </c>
      <c r="I3239" s="86" t="s">
        <v>2374</v>
      </c>
      <c r="J3239" s="1" t="s">
        <v>3322</v>
      </c>
      <c r="K3239" s="1" t="s">
        <v>3269</v>
      </c>
      <c r="L3239" s="1" t="s">
        <v>35</v>
      </c>
      <c r="M3239" s="86" t="s">
        <v>2525</v>
      </c>
      <c r="N3239" s="86"/>
      <c r="O3239" s="47" t="s">
        <v>45</v>
      </c>
      <c r="P3239" s="47" t="s">
        <v>46</v>
      </c>
      <c r="Q3239" s="14">
        <v>0.04</v>
      </c>
      <c r="R3239" s="143"/>
      <c r="S3239" s="47"/>
      <c r="T3239" s="6">
        <v>535.6</v>
      </c>
      <c r="U3239" s="6"/>
      <c r="V3239" s="6">
        <v>0</v>
      </c>
      <c r="W3239" s="6">
        <f t="shared" si="505"/>
        <v>535.6</v>
      </c>
      <c r="X3239" s="6">
        <f t="shared" si="501"/>
        <v>0</v>
      </c>
      <c r="Y3239" s="13">
        <f t="shared" si="498"/>
        <v>0</v>
      </c>
      <c r="Z3239" s="14">
        <v>0</v>
      </c>
      <c r="AA3239" s="6">
        <v>0</v>
      </c>
      <c r="AB3239" s="4">
        <f t="shared" si="499"/>
        <v>0</v>
      </c>
      <c r="AC3239" s="4">
        <f t="shared" si="503"/>
        <v>0</v>
      </c>
      <c r="AD3239" s="6">
        <v>0</v>
      </c>
      <c r="AE3239" s="2">
        <f>VLOOKUP(I3239,[1]媒体政策预估表!A:N,MATCH(O3239,[1]媒体政策预估表!$A$2:$M$2,0),0)</f>
        <v>0.06</v>
      </c>
      <c r="AF3239" s="6">
        <f t="shared" si="504"/>
        <v>0</v>
      </c>
      <c r="AG3239" s="9">
        <v>0</v>
      </c>
      <c r="AH3239" s="6">
        <f t="shared" si="502"/>
        <v>0</v>
      </c>
      <c r="AI3239" s="47"/>
      <c r="AJ3239" s="126" t="e">
        <v>#N/A</v>
      </c>
      <c r="AK3239" s="80">
        <f t="shared" si="500"/>
        <v>0</v>
      </c>
      <c r="AM3239" s="85"/>
    </row>
    <row r="3240" spans="1:39" hidden="1" x14ac:dyDescent="0.3">
      <c r="A3240" s="89" t="s">
        <v>3397</v>
      </c>
      <c r="B3240" s="86" t="s">
        <v>35</v>
      </c>
      <c r="C3240" s="86" t="s">
        <v>59</v>
      </c>
      <c r="D3240" s="86" t="s">
        <v>60</v>
      </c>
      <c r="E3240" s="86" t="s">
        <v>2523</v>
      </c>
      <c r="F3240" s="86" t="s">
        <v>2523</v>
      </c>
      <c r="G3240" s="86" t="s">
        <v>2523</v>
      </c>
      <c r="H3240" s="143">
        <v>237</v>
      </c>
      <c r="I3240" s="86" t="s">
        <v>2374</v>
      </c>
      <c r="J3240" s="1" t="s">
        <v>3322</v>
      </c>
      <c r="K3240" s="1" t="s">
        <v>3269</v>
      </c>
      <c r="L3240" s="1" t="s">
        <v>35</v>
      </c>
      <c r="M3240" s="86" t="s">
        <v>2526</v>
      </c>
      <c r="N3240" s="86"/>
      <c r="O3240" s="47" t="s">
        <v>45</v>
      </c>
      <c r="P3240" s="47" t="s">
        <v>46</v>
      </c>
      <c r="Q3240" s="14">
        <v>0.04</v>
      </c>
      <c r="R3240" s="143"/>
      <c r="S3240" s="47"/>
      <c r="T3240" s="6">
        <v>1000</v>
      </c>
      <c r="U3240" s="6"/>
      <c r="V3240" s="6">
        <v>0</v>
      </c>
      <c r="W3240" s="6">
        <f t="shared" si="505"/>
        <v>1000</v>
      </c>
      <c r="X3240" s="6">
        <f t="shared" si="501"/>
        <v>0</v>
      </c>
      <c r="Y3240" s="13">
        <f t="shared" si="498"/>
        <v>0</v>
      </c>
      <c r="Z3240" s="14">
        <v>0</v>
      </c>
      <c r="AA3240" s="6">
        <v>0</v>
      </c>
      <c r="AB3240" s="4">
        <f t="shared" si="499"/>
        <v>0</v>
      </c>
      <c r="AC3240" s="4">
        <f t="shared" si="503"/>
        <v>0</v>
      </c>
      <c r="AD3240" s="6">
        <v>0</v>
      </c>
      <c r="AE3240" s="2">
        <f>VLOOKUP(I3240,[1]媒体政策预估表!A:N,MATCH(O3240,[1]媒体政策预估表!$A$2:$M$2,0),0)</f>
        <v>0.06</v>
      </c>
      <c r="AF3240" s="6">
        <f t="shared" si="504"/>
        <v>0</v>
      </c>
      <c r="AG3240" s="9">
        <v>0</v>
      </c>
      <c r="AH3240" s="6">
        <f t="shared" si="502"/>
        <v>0</v>
      </c>
      <c r="AI3240" s="47"/>
      <c r="AJ3240" s="126" t="e">
        <v>#N/A</v>
      </c>
      <c r="AK3240" s="80">
        <f t="shared" si="500"/>
        <v>0</v>
      </c>
      <c r="AM3240" s="85"/>
    </row>
    <row r="3241" spans="1:39" hidden="1" x14ac:dyDescent="0.3">
      <c r="A3241" s="89" t="s">
        <v>3408</v>
      </c>
      <c r="B3241" s="86" t="s">
        <v>35</v>
      </c>
      <c r="C3241" s="86" t="s">
        <v>59</v>
      </c>
      <c r="D3241" s="86" t="s">
        <v>60</v>
      </c>
      <c r="E3241" s="86" t="s">
        <v>2527</v>
      </c>
      <c r="F3241" s="86" t="s">
        <v>2528</v>
      </c>
      <c r="G3241" s="86" t="s">
        <v>2527</v>
      </c>
      <c r="H3241" s="143">
        <v>237</v>
      </c>
      <c r="I3241" s="86" t="s">
        <v>2374</v>
      </c>
      <c r="J3241" s="1" t="s">
        <v>3322</v>
      </c>
      <c r="K3241" s="1" t="s">
        <v>3269</v>
      </c>
      <c r="L3241" s="1" t="s">
        <v>35</v>
      </c>
      <c r="M3241" s="86" t="s">
        <v>2529</v>
      </c>
      <c r="N3241" s="86"/>
      <c r="O3241" s="47" t="s">
        <v>40</v>
      </c>
      <c r="P3241" s="47" t="s">
        <v>92</v>
      </c>
      <c r="Q3241" s="14">
        <v>0.92</v>
      </c>
      <c r="R3241" s="143"/>
      <c r="S3241" s="47"/>
      <c r="T3241" s="6">
        <v>160473.87</v>
      </c>
      <c r="U3241" s="6"/>
      <c r="V3241" s="6">
        <v>0</v>
      </c>
      <c r="W3241" s="6">
        <f t="shared" si="505"/>
        <v>160473.87</v>
      </c>
      <c r="X3241" s="6">
        <f t="shared" si="501"/>
        <v>0</v>
      </c>
      <c r="Y3241" s="13">
        <f t="shared" si="498"/>
        <v>0</v>
      </c>
      <c r="Z3241" s="14">
        <v>0</v>
      </c>
      <c r="AA3241" s="6">
        <v>0</v>
      </c>
      <c r="AB3241" s="4">
        <f t="shared" si="499"/>
        <v>0</v>
      </c>
      <c r="AC3241" s="4">
        <f t="shared" si="503"/>
        <v>0</v>
      </c>
      <c r="AD3241" s="6">
        <v>0</v>
      </c>
      <c r="AE3241" s="2">
        <f>VLOOKUP(I3241,[1]媒体政策预估表!A:N,MATCH(O3241,[1]媒体政策预估表!$A$2:$M$2,0),0)</f>
        <v>7.0000000000000007E-2</v>
      </c>
      <c r="AF3241" s="6">
        <f t="shared" si="504"/>
        <v>0</v>
      </c>
      <c r="AG3241" s="9">
        <v>0</v>
      </c>
      <c r="AH3241" s="6">
        <f t="shared" si="502"/>
        <v>0</v>
      </c>
      <c r="AI3241" s="47"/>
      <c r="AJ3241" s="126" t="e">
        <v>#N/A</v>
      </c>
      <c r="AK3241" s="80">
        <f t="shared" si="500"/>
        <v>0</v>
      </c>
      <c r="AM3241" s="85"/>
    </row>
    <row r="3242" spans="1:39" hidden="1" x14ac:dyDescent="0.3">
      <c r="A3242" s="89" t="s">
        <v>3397</v>
      </c>
      <c r="B3242" s="86" t="s">
        <v>35</v>
      </c>
      <c r="C3242" s="86" t="s">
        <v>65</v>
      </c>
      <c r="D3242" s="86" t="s">
        <v>66</v>
      </c>
      <c r="E3242" s="86" t="s">
        <v>2530</v>
      </c>
      <c r="F3242" s="86" t="s">
        <v>2530</v>
      </c>
      <c r="G3242" s="86" t="s">
        <v>2530</v>
      </c>
      <c r="H3242" s="143">
        <v>237</v>
      </c>
      <c r="I3242" s="86" t="s">
        <v>2374</v>
      </c>
      <c r="J3242" s="1" t="s">
        <v>3322</v>
      </c>
      <c r="K3242" s="1" t="s">
        <v>3269</v>
      </c>
      <c r="L3242" s="1" t="s">
        <v>35</v>
      </c>
      <c r="M3242" s="86" t="s">
        <v>2530</v>
      </c>
      <c r="N3242" s="86"/>
      <c r="O3242" s="47" t="s">
        <v>45</v>
      </c>
      <c r="P3242" s="47" t="s">
        <v>41</v>
      </c>
      <c r="Q3242" s="14">
        <v>0</v>
      </c>
      <c r="R3242" s="143"/>
      <c r="S3242" s="47"/>
      <c r="T3242" s="6">
        <v>65.160000000002583</v>
      </c>
      <c r="U3242" s="6"/>
      <c r="V3242" s="6">
        <v>0</v>
      </c>
      <c r="W3242" s="6">
        <f t="shared" si="505"/>
        <v>65.160000000002583</v>
      </c>
      <c r="X3242" s="6">
        <f t="shared" si="501"/>
        <v>0</v>
      </c>
      <c r="Y3242" s="13">
        <f t="shared" si="498"/>
        <v>0</v>
      </c>
      <c r="Z3242" s="14">
        <v>0</v>
      </c>
      <c r="AA3242" s="6">
        <v>0</v>
      </c>
      <c r="AB3242" s="4">
        <f t="shared" si="499"/>
        <v>0</v>
      </c>
      <c r="AC3242" s="4">
        <f t="shared" si="503"/>
        <v>0</v>
      </c>
      <c r="AD3242" s="6">
        <v>0</v>
      </c>
      <c r="AE3242" s="2">
        <f>VLOOKUP(I3242,[1]媒体政策预估表!A:N,MATCH(O3242,[1]媒体政策预估表!$A$2:$M$2,0),0)</f>
        <v>0.06</v>
      </c>
      <c r="AF3242" s="6">
        <f t="shared" si="504"/>
        <v>0</v>
      </c>
      <c r="AG3242" s="9">
        <v>0</v>
      </c>
      <c r="AH3242" s="6">
        <f t="shared" si="502"/>
        <v>0</v>
      </c>
      <c r="AI3242" s="47"/>
      <c r="AJ3242" s="126" t="e">
        <v>#N/A</v>
      </c>
      <c r="AK3242" s="80">
        <f t="shared" si="500"/>
        <v>0</v>
      </c>
      <c r="AM3242" s="85"/>
    </row>
    <row r="3243" spans="1:39" hidden="1" x14ac:dyDescent="0.3">
      <c r="A3243" s="89" t="s">
        <v>3397</v>
      </c>
      <c r="B3243" s="86" t="s">
        <v>35</v>
      </c>
      <c r="C3243" s="86" t="s">
        <v>65</v>
      </c>
      <c r="D3243" s="86" t="s">
        <v>122</v>
      </c>
      <c r="E3243" s="86" t="s">
        <v>1894</v>
      </c>
      <c r="F3243" s="86" t="s">
        <v>1894</v>
      </c>
      <c r="G3243" s="86" t="s">
        <v>1894</v>
      </c>
      <c r="H3243" s="143">
        <v>237</v>
      </c>
      <c r="I3243" s="86" t="s">
        <v>2374</v>
      </c>
      <c r="J3243" s="1" t="s">
        <v>3322</v>
      </c>
      <c r="K3243" s="1" t="s">
        <v>3269</v>
      </c>
      <c r="L3243" s="1" t="s">
        <v>35</v>
      </c>
      <c r="M3243" s="86" t="s">
        <v>1894</v>
      </c>
      <c r="N3243" s="86"/>
      <c r="O3243" s="47" t="s">
        <v>45</v>
      </c>
      <c r="P3243" s="47" t="s">
        <v>46</v>
      </c>
      <c r="Q3243" s="14">
        <v>1.0000000000000009E-2</v>
      </c>
      <c r="R3243" s="143"/>
      <c r="S3243" s="47"/>
      <c r="T3243" s="6">
        <v>8035.9300000000021</v>
      </c>
      <c r="U3243" s="6"/>
      <c r="V3243" s="6">
        <v>0</v>
      </c>
      <c r="W3243" s="6">
        <f t="shared" si="505"/>
        <v>8035.9300000000021</v>
      </c>
      <c r="X3243" s="6">
        <f t="shared" si="501"/>
        <v>0</v>
      </c>
      <c r="Y3243" s="13">
        <f t="shared" si="498"/>
        <v>0</v>
      </c>
      <c r="Z3243" s="14">
        <v>0</v>
      </c>
      <c r="AA3243" s="6">
        <v>0</v>
      </c>
      <c r="AB3243" s="4">
        <f t="shared" si="499"/>
        <v>0</v>
      </c>
      <c r="AC3243" s="4">
        <f t="shared" si="503"/>
        <v>0</v>
      </c>
      <c r="AD3243" s="6">
        <v>0</v>
      </c>
      <c r="AE3243" s="2">
        <f>VLOOKUP(I3243,[1]媒体政策预估表!A:N,MATCH(O3243,[1]媒体政策预估表!$A$2:$M$2,0),0)</f>
        <v>0.06</v>
      </c>
      <c r="AF3243" s="6">
        <f t="shared" si="504"/>
        <v>0</v>
      </c>
      <c r="AG3243" s="9">
        <v>0</v>
      </c>
      <c r="AH3243" s="6">
        <f t="shared" si="502"/>
        <v>0</v>
      </c>
      <c r="AI3243" s="47"/>
      <c r="AJ3243" s="126" t="e">
        <v>#N/A</v>
      </c>
      <c r="AK3243" s="80">
        <f t="shared" si="500"/>
        <v>0</v>
      </c>
      <c r="AM3243" s="85"/>
    </row>
    <row r="3244" spans="1:39" hidden="1" x14ac:dyDescent="0.3">
      <c r="A3244" s="89" t="s">
        <v>3408</v>
      </c>
      <c r="B3244" s="86" t="s">
        <v>35</v>
      </c>
      <c r="C3244" s="86" t="s">
        <v>65</v>
      </c>
      <c r="D3244" s="86" t="s">
        <v>125</v>
      </c>
      <c r="E3244" s="86" t="s">
        <v>2531</v>
      </c>
      <c r="F3244" s="86" t="s">
        <v>2531</v>
      </c>
      <c r="G3244" s="86" t="s">
        <v>2531</v>
      </c>
      <c r="H3244" s="143">
        <v>237</v>
      </c>
      <c r="I3244" s="86" t="s">
        <v>2374</v>
      </c>
      <c r="J3244" s="1" t="s">
        <v>3322</v>
      </c>
      <c r="K3244" s="1" t="s">
        <v>3269</v>
      </c>
      <c r="L3244" s="1" t="s">
        <v>35</v>
      </c>
      <c r="M3244" s="86" t="s">
        <v>2532</v>
      </c>
      <c r="N3244" s="86"/>
      <c r="O3244" s="47" t="s">
        <v>45</v>
      </c>
      <c r="P3244" s="47" t="s">
        <v>46</v>
      </c>
      <c r="Q3244" s="14">
        <v>0.03</v>
      </c>
      <c r="R3244" s="143"/>
      <c r="S3244" s="47"/>
      <c r="T3244" s="6">
        <v>6268.48</v>
      </c>
      <c r="U3244" s="6"/>
      <c r="V3244" s="6">
        <v>0</v>
      </c>
      <c r="W3244" s="6">
        <f t="shared" si="505"/>
        <v>6268.48</v>
      </c>
      <c r="X3244" s="6">
        <f t="shared" si="501"/>
        <v>0</v>
      </c>
      <c r="Y3244" s="13">
        <f t="shared" si="498"/>
        <v>0</v>
      </c>
      <c r="Z3244" s="14">
        <v>0</v>
      </c>
      <c r="AA3244" s="6">
        <v>0</v>
      </c>
      <c r="AB3244" s="4">
        <f t="shared" si="499"/>
        <v>0</v>
      </c>
      <c r="AC3244" s="4">
        <f t="shared" si="503"/>
        <v>0</v>
      </c>
      <c r="AD3244" s="6">
        <v>0</v>
      </c>
      <c r="AE3244" s="2">
        <f>VLOOKUP(I3244,[1]媒体政策预估表!A:N,MATCH(O3244,[1]媒体政策预估表!$A$2:$M$2,0),0)</f>
        <v>0.06</v>
      </c>
      <c r="AF3244" s="6">
        <f t="shared" si="504"/>
        <v>0</v>
      </c>
      <c r="AG3244" s="9">
        <v>0</v>
      </c>
      <c r="AH3244" s="6">
        <f t="shared" si="502"/>
        <v>0</v>
      </c>
      <c r="AI3244" s="47"/>
      <c r="AJ3244" s="126" t="e">
        <v>#N/A</v>
      </c>
      <c r="AK3244" s="80">
        <f t="shared" si="500"/>
        <v>0</v>
      </c>
      <c r="AM3244" s="85"/>
    </row>
    <row r="3245" spans="1:39" hidden="1" x14ac:dyDescent="0.3">
      <c r="A3245" s="89" t="s">
        <v>3397</v>
      </c>
      <c r="B3245" s="86" t="s">
        <v>35</v>
      </c>
      <c r="C3245" s="86" t="s">
        <v>47</v>
      </c>
      <c r="D3245" s="86" t="s">
        <v>878</v>
      </c>
      <c r="E3245" s="86" t="s">
        <v>2533</v>
      </c>
      <c r="F3245" s="86" t="s">
        <v>2534</v>
      </c>
      <c r="G3245" s="86" t="s">
        <v>2533</v>
      </c>
      <c r="H3245" s="143">
        <v>237</v>
      </c>
      <c r="I3245" s="86" t="s">
        <v>2374</v>
      </c>
      <c r="J3245" s="1" t="s">
        <v>3322</v>
      </c>
      <c r="K3245" s="1" t="s">
        <v>3269</v>
      </c>
      <c r="L3245" s="1" t="s">
        <v>35</v>
      </c>
      <c r="M3245" s="86" t="s">
        <v>2533</v>
      </c>
      <c r="N3245" s="86"/>
      <c r="O3245" s="47" t="s">
        <v>45</v>
      </c>
      <c r="P3245" s="47" t="s">
        <v>41</v>
      </c>
      <c r="Q3245" s="14">
        <v>0</v>
      </c>
      <c r="R3245" s="143"/>
      <c r="S3245" s="47"/>
      <c r="T3245" s="6">
        <v>2474.6900000000005</v>
      </c>
      <c r="U3245" s="6"/>
      <c r="V3245" s="6">
        <v>0</v>
      </c>
      <c r="W3245" s="6">
        <f t="shared" si="505"/>
        <v>2474.6900000000005</v>
      </c>
      <c r="X3245" s="6">
        <f t="shared" si="501"/>
        <v>0</v>
      </c>
      <c r="Y3245" s="13">
        <f t="shared" si="498"/>
        <v>0</v>
      </c>
      <c r="Z3245" s="14">
        <v>0</v>
      </c>
      <c r="AA3245" s="6">
        <v>0</v>
      </c>
      <c r="AB3245" s="4">
        <f t="shared" si="499"/>
        <v>0</v>
      </c>
      <c r="AC3245" s="4">
        <f t="shared" si="503"/>
        <v>0</v>
      </c>
      <c r="AD3245" s="6">
        <v>0</v>
      </c>
      <c r="AE3245" s="2">
        <f>VLOOKUP(I3245,[1]媒体政策预估表!A:N,MATCH(O3245,[1]媒体政策预估表!$A$2:$M$2,0),0)</f>
        <v>0.06</v>
      </c>
      <c r="AF3245" s="6">
        <f t="shared" si="504"/>
        <v>0</v>
      </c>
      <c r="AG3245" s="9">
        <v>0</v>
      </c>
      <c r="AH3245" s="6">
        <f t="shared" si="502"/>
        <v>0</v>
      </c>
      <c r="AI3245" s="47"/>
      <c r="AJ3245" s="126" t="e">
        <v>#N/A</v>
      </c>
      <c r="AK3245" s="80">
        <f t="shared" si="500"/>
        <v>0</v>
      </c>
      <c r="AM3245" s="85"/>
    </row>
    <row r="3246" spans="1:39" hidden="1" x14ac:dyDescent="0.3">
      <c r="A3246" s="89" t="s">
        <v>3397</v>
      </c>
      <c r="B3246" s="86" t="s">
        <v>35</v>
      </c>
      <c r="C3246" s="86" t="s">
        <v>47</v>
      </c>
      <c r="D3246" s="86" t="s">
        <v>63</v>
      </c>
      <c r="E3246" s="86" t="s">
        <v>2388</v>
      </c>
      <c r="F3246" s="86" t="s">
        <v>2509</v>
      </c>
      <c r="G3246" s="86" t="s">
        <v>2388</v>
      </c>
      <c r="H3246" s="143">
        <v>237</v>
      </c>
      <c r="I3246" s="86" t="s">
        <v>2374</v>
      </c>
      <c r="J3246" s="1" t="s">
        <v>3322</v>
      </c>
      <c r="K3246" s="1" t="s">
        <v>3269</v>
      </c>
      <c r="L3246" s="1" t="s">
        <v>35</v>
      </c>
      <c r="M3246" s="86" t="s">
        <v>2390</v>
      </c>
      <c r="N3246" s="86"/>
      <c r="O3246" s="47" t="s">
        <v>410</v>
      </c>
      <c r="P3246" s="47" t="s">
        <v>46</v>
      </c>
      <c r="Q3246" s="14">
        <v>0.06</v>
      </c>
      <c r="R3246" s="143"/>
      <c r="S3246" s="47"/>
      <c r="T3246" s="6">
        <v>63.465241378988139</v>
      </c>
      <c r="U3246" s="6"/>
      <c r="V3246" s="6">
        <v>0</v>
      </c>
      <c r="W3246" s="6">
        <f t="shared" si="505"/>
        <v>63.465241378988139</v>
      </c>
      <c r="X3246" s="6">
        <f t="shared" si="501"/>
        <v>0</v>
      </c>
      <c r="Y3246" s="13">
        <f t="shared" si="498"/>
        <v>0</v>
      </c>
      <c r="Z3246" s="14">
        <v>0</v>
      </c>
      <c r="AA3246" s="6">
        <v>0</v>
      </c>
      <c r="AB3246" s="4">
        <f t="shared" si="499"/>
        <v>0</v>
      </c>
      <c r="AC3246" s="4">
        <f t="shared" si="503"/>
        <v>0</v>
      </c>
      <c r="AD3246" s="6">
        <v>0</v>
      </c>
      <c r="AE3246" s="2">
        <f>VLOOKUP(I3246,[1]媒体政策预估表!A:N,MATCH(O3246,[1]媒体政策预估表!$A$2:$M$2,0),0)</f>
        <v>0</v>
      </c>
      <c r="AF3246" s="6">
        <f t="shared" si="504"/>
        <v>0</v>
      </c>
      <c r="AG3246" s="9">
        <v>0.3</v>
      </c>
      <c r="AH3246" s="6">
        <f t="shared" si="502"/>
        <v>0</v>
      </c>
      <c r="AI3246" s="47"/>
      <c r="AJ3246" s="126" t="e">
        <v>#N/A</v>
      </c>
      <c r="AK3246" s="80">
        <f t="shared" si="500"/>
        <v>0</v>
      </c>
      <c r="AM3246" s="85"/>
    </row>
    <row r="3247" spans="1:39" hidden="1" x14ac:dyDescent="0.3">
      <c r="A3247" s="89" t="s">
        <v>3397</v>
      </c>
      <c r="B3247" s="86" t="s">
        <v>35</v>
      </c>
      <c r="C3247" s="86" t="s">
        <v>47</v>
      </c>
      <c r="D3247" s="86" t="s">
        <v>63</v>
      </c>
      <c r="E3247" s="86" t="s">
        <v>2388</v>
      </c>
      <c r="F3247" s="86" t="s">
        <v>2510</v>
      </c>
      <c r="G3247" s="86" t="s">
        <v>2388</v>
      </c>
      <c r="H3247" s="143">
        <v>237</v>
      </c>
      <c r="I3247" s="86" t="s">
        <v>2374</v>
      </c>
      <c r="J3247" s="1" t="s">
        <v>3322</v>
      </c>
      <c r="K3247" s="1" t="s">
        <v>3269</v>
      </c>
      <c r="L3247" s="1" t="s">
        <v>35</v>
      </c>
      <c r="M3247" s="86" t="s">
        <v>2390</v>
      </c>
      <c r="N3247" s="86"/>
      <c r="O3247" s="47" t="s">
        <v>45</v>
      </c>
      <c r="P3247" s="47" t="s">
        <v>46</v>
      </c>
      <c r="Q3247" s="14">
        <v>5.2600000000000001E-2</v>
      </c>
      <c r="R3247" s="143"/>
      <c r="S3247" s="47"/>
      <c r="T3247" s="6">
        <v>20006157.745999996</v>
      </c>
      <c r="U3247" s="6"/>
      <c r="V3247" s="6">
        <v>0</v>
      </c>
      <c r="W3247" s="6">
        <f t="shared" si="505"/>
        <v>20006157.745999996</v>
      </c>
      <c r="X3247" s="6">
        <f t="shared" si="501"/>
        <v>0</v>
      </c>
      <c r="Y3247" s="13">
        <f t="shared" si="498"/>
        <v>0</v>
      </c>
      <c r="Z3247" s="14">
        <v>0</v>
      </c>
      <c r="AA3247" s="6">
        <v>0</v>
      </c>
      <c r="AB3247" s="4">
        <f t="shared" si="499"/>
        <v>0</v>
      </c>
      <c r="AC3247" s="4">
        <f t="shared" si="503"/>
        <v>0</v>
      </c>
      <c r="AD3247" s="6">
        <v>0</v>
      </c>
      <c r="AE3247" s="2">
        <f>VLOOKUP(I3247,[1]媒体政策预估表!A:N,MATCH(O3247,[1]媒体政策预估表!$A$2:$M$2,0),0)</f>
        <v>0.06</v>
      </c>
      <c r="AF3247" s="6">
        <f t="shared" si="504"/>
        <v>0</v>
      </c>
      <c r="AG3247" s="9">
        <v>0.3</v>
      </c>
      <c r="AH3247" s="6">
        <f t="shared" si="502"/>
        <v>0</v>
      </c>
      <c r="AI3247" s="47"/>
      <c r="AJ3247" s="126" t="e">
        <v>#N/A</v>
      </c>
      <c r="AK3247" s="80">
        <f t="shared" si="500"/>
        <v>0</v>
      </c>
      <c r="AM3247" s="85"/>
    </row>
    <row r="3248" spans="1:39" hidden="1" x14ac:dyDescent="0.3">
      <c r="A3248" s="89" t="s">
        <v>3408</v>
      </c>
      <c r="B3248" s="86" t="s">
        <v>35</v>
      </c>
      <c r="C3248" s="86" t="s">
        <v>47</v>
      </c>
      <c r="D3248" s="86" t="s">
        <v>63</v>
      </c>
      <c r="E3248" s="86" t="s">
        <v>2388</v>
      </c>
      <c r="F3248" s="86" t="s">
        <v>2389</v>
      </c>
      <c r="G3248" s="86" t="s">
        <v>2388</v>
      </c>
      <c r="H3248" s="143">
        <v>237</v>
      </c>
      <c r="I3248" s="86" t="s">
        <v>2374</v>
      </c>
      <c r="J3248" s="1" t="s">
        <v>3322</v>
      </c>
      <c r="K3248" s="1" t="s">
        <v>3269</v>
      </c>
      <c r="L3248" s="1" t="s">
        <v>35</v>
      </c>
      <c r="M3248" s="86" t="s">
        <v>2390</v>
      </c>
      <c r="N3248" s="86"/>
      <c r="O3248" s="47" t="s">
        <v>40</v>
      </c>
      <c r="P3248" s="47" t="s">
        <v>46</v>
      </c>
      <c r="Q3248" s="14">
        <v>5.2600000000000001E-2</v>
      </c>
      <c r="R3248" s="143"/>
      <c r="S3248" s="47"/>
      <c r="T3248" s="6">
        <v>-1044.9708000000101</v>
      </c>
      <c r="U3248" s="6"/>
      <c r="V3248" s="6">
        <v>0</v>
      </c>
      <c r="W3248" s="6">
        <f t="shared" si="505"/>
        <v>-1044.9708000000101</v>
      </c>
      <c r="X3248" s="6">
        <f t="shared" si="501"/>
        <v>0</v>
      </c>
      <c r="Y3248" s="13">
        <f t="shared" si="498"/>
        <v>0</v>
      </c>
      <c r="Z3248" s="14">
        <v>0</v>
      </c>
      <c r="AA3248" s="6">
        <v>0</v>
      </c>
      <c r="AB3248" s="4">
        <f t="shared" si="499"/>
        <v>0</v>
      </c>
      <c r="AC3248" s="4">
        <f t="shared" si="503"/>
        <v>0</v>
      </c>
      <c r="AD3248" s="6">
        <v>0</v>
      </c>
      <c r="AE3248" s="2">
        <f>VLOOKUP(I3248,[1]媒体政策预估表!A:N,MATCH(O3248,[1]媒体政策预估表!$A$2:$M$2,0),0)</f>
        <v>7.0000000000000007E-2</v>
      </c>
      <c r="AF3248" s="6">
        <f t="shared" si="504"/>
        <v>0</v>
      </c>
      <c r="AG3248" s="9">
        <v>0.36</v>
      </c>
      <c r="AH3248" s="6">
        <f t="shared" si="502"/>
        <v>0</v>
      </c>
      <c r="AI3248" s="47"/>
      <c r="AJ3248" s="126" t="e">
        <v>#N/A</v>
      </c>
      <c r="AK3248" s="80">
        <f t="shared" si="500"/>
        <v>0</v>
      </c>
      <c r="AM3248" s="85"/>
    </row>
    <row r="3249" spans="1:39" hidden="1" x14ac:dyDescent="0.3">
      <c r="A3249" s="89" t="s">
        <v>3397</v>
      </c>
      <c r="B3249" s="86" t="s">
        <v>35</v>
      </c>
      <c r="C3249" s="86" t="s">
        <v>47</v>
      </c>
      <c r="D3249" s="86" t="s">
        <v>63</v>
      </c>
      <c r="E3249" s="86" t="s">
        <v>2393</v>
      </c>
      <c r="F3249" s="86" t="s">
        <v>2394</v>
      </c>
      <c r="G3249" s="86" t="s">
        <v>2393</v>
      </c>
      <c r="H3249" s="143">
        <v>237</v>
      </c>
      <c r="I3249" s="86" t="s">
        <v>2374</v>
      </c>
      <c r="J3249" s="1" t="s">
        <v>3322</v>
      </c>
      <c r="K3249" s="1" t="s">
        <v>3269</v>
      </c>
      <c r="L3249" s="1" t="s">
        <v>35</v>
      </c>
      <c r="M3249" s="86" t="s">
        <v>2400</v>
      </c>
      <c r="N3249" s="86"/>
      <c r="O3249" s="47" t="s">
        <v>40</v>
      </c>
      <c r="P3249" s="47" t="s">
        <v>46</v>
      </c>
      <c r="Q3249" s="14">
        <v>5.5E-2</v>
      </c>
      <c r="R3249" s="143"/>
      <c r="S3249" s="47"/>
      <c r="T3249" s="6">
        <v>115138.81</v>
      </c>
      <c r="U3249" s="6"/>
      <c r="V3249" s="6">
        <v>0</v>
      </c>
      <c r="W3249" s="6">
        <f t="shared" si="505"/>
        <v>115138.81</v>
      </c>
      <c r="X3249" s="6">
        <f t="shared" si="501"/>
        <v>0</v>
      </c>
      <c r="Y3249" s="13">
        <f t="shared" si="498"/>
        <v>0</v>
      </c>
      <c r="Z3249" s="14">
        <v>0</v>
      </c>
      <c r="AA3249" s="6">
        <v>0</v>
      </c>
      <c r="AB3249" s="4">
        <f t="shared" si="499"/>
        <v>0</v>
      </c>
      <c r="AC3249" s="4">
        <f t="shared" si="503"/>
        <v>0</v>
      </c>
      <c r="AD3249" s="6">
        <v>0</v>
      </c>
      <c r="AE3249" s="2">
        <f>VLOOKUP(I3249,[1]媒体政策预估表!A:N,MATCH(O3249,[1]媒体政策预估表!$A$2:$M$2,0),0)</f>
        <v>7.0000000000000007E-2</v>
      </c>
      <c r="AF3249" s="6">
        <f t="shared" si="504"/>
        <v>0</v>
      </c>
      <c r="AG3249" s="9">
        <v>0</v>
      </c>
      <c r="AH3249" s="6">
        <f t="shared" si="502"/>
        <v>0</v>
      </c>
      <c r="AI3249" s="47"/>
      <c r="AJ3249" s="126" t="e">
        <v>#N/A</v>
      </c>
      <c r="AK3249" s="80">
        <f t="shared" si="500"/>
        <v>0</v>
      </c>
      <c r="AM3249" s="85"/>
    </row>
    <row r="3250" spans="1:39" hidden="1" x14ac:dyDescent="0.3">
      <c r="A3250" s="89" t="s">
        <v>3397</v>
      </c>
      <c r="B3250" s="86" t="s">
        <v>35</v>
      </c>
      <c r="C3250" s="86" t="s">
        <v>47</v>
      </c>
      <c r="D3250" s="86" t="s">
        <v>63</v>
      </c>
      <c r="E3250" s="86" t="s">
        <v>2418</v>
      </c>
      <c r="F3250" s="86" t="s">
        <v>2535</v>
      </c>
      <c r="G3250" s="86" t="s">
        <v>2418</v>
      </c>
      <c r="H3250" s="143">
        <v>237</v>
      </c>
      <c r="I3250" s="86" t="s">
        <v>2374</v>
      </c>
      <c r="J3250" s="1" t="s">
        <v>3322</v>
      </c>
      <c r="K3250" s="1" t="s">
        <v>3269</v>
      </c>
      <c r="L3250" s="1" t="s">
        <v>35</v>
      </c>
      <c r="M3250" s="86" t="s">
        <v>2420</v>
      </c>
      <c r="N3250" s="86"/>
      <c r="O3250" s="47" t="s">
        <v>410</v>
      </c>
      <c r="P3250" s="47" t="s">
        <v>46</v>
      </c>
      <c r="Q3250" s="14">
        <v>5.5E-2</v>
      </c>
      <c r="R3250" s="143"/>
      <c r="S3250" s="47"/>
      <c r="T3250" s="6">
        <v>-329218.61920002924</v>
      </c>
      <c r="U3250" s="6"/>
      <c r="V3250" s="6">
        <v>0</v>
      </c>
      <c r="W3250" s="6">
        <f t="shared" si="505"/>
        <v>-329218.61920002924</v>
      </c>
      <c r="X3250" s="6">
        <f t="shared" si="501"/>
        <v>0</v>
      </c>
      <c r="Y3250" s="13">
        <f t="shared" si="498"/>
        <v>0</v>
      </c>
      <c r="Z3250" s="14">
        <v>0</v>
      </c>
      <c r="AA3250" s="6">
        <v>0</v>
      </c>
      <c r="AB3250" s="4">
        <f t="shared" si="499"/>
        <v>0</v>
      </c>
      <c r="AC3250" s="4">
        <f t="shared" si="503"/>
        <v>0</v>
      </c>
      <c r="AD3250" s="6">
        <v>0</v>
      </c>
      <c r="AE3250" s="2">
        <f>VLOOKUP(I3250,[1]媒体政策预估表!A:N,MATCH(O3250,[1]媒体政策预估表!$A$2:$M$2,0),0)</f>
        <v>0</v>
      </c>
      <c r="AF3250" s="6">
        <f t="shared" si="504"/>
        <v>0</v>
      </c>
      <c r="AG3250" s="9">
        <v>0.12</v>
      </c>
      <c r="AH3250" s="6">
        <f t="shared" si="502"/>
        <v>0</v>
      </c>
      <c r="AI3250" s="47"/>
      <c r="AJ3250" s="126" t="e">
        <v>#N/A</v>
      </c>
      <c r="AK3250" s="80">
        <f t="shared" si="500"/>
        <v>0</v>
      </c>
      <c r="AM3250" s="85"/>
    </row>
    <row r="3251" spans="1:39" hidden="1" x14ac:dyDescent="0.3">
      <c r="A3251" s="89" t="s">
        <v>3397</v>
      </c>
      <c r="B3251" s="86" t="s">
        <v>35</v>
      </c>
      <c r="C3251" s="86" t="s">
        <v>47</v>
      </c>
      <c r="D3251" s="86" t="s">
        <v>63</v>
      </c>
      <c r="E3251" s="86" t="s">
        <v>2418</v>
      </c>
      <c r="F3251" s="86" t="s">
        <v>2424</v>
      </c>
      <c r="G3251" s="86" t="s">
        <v>2418</v>
      </c>
      <c r="H3251" s="143">
        <v>237</v>
      </c>
      <c r="I3251" s="86" t="s">
        <v>2374</v>
      </c>
      <c r="J3251" s="1" t="s">
        <v>3322</v>
      </c>
      <c r="K3251" s="1" t="s">
        <v>3269</v>
      </c>
      <c r="L3251" s="1" t="s">
        <v>35</v>
      </c>
      <c r="M3251" s="86" t="s">
        <v>2428</v>
      </c>
      <c r="N3251" s="86"/>
      <c r="O3251" s="47" t="s">
        <v>410</v>
      </c>
      <c r="P3251" s="47" t="s">
        <v>46</v>
      </c>
      <c r="Q3251" s="14">
        <v>5.5E-2</v>
      </c>
      <c r="R3251" s="143"/>
      <c r="S3251" s="47"/>
      <c r="T3251" s="6">
        <v>14770</v>
      </c>
      <c r="U3251" s="6"/>
      <c r="V3251" s="6">
        <v>0</v>
      </c>
      <c r="W3251" s="6">
        <f t="shared" si="505"/>
        <v>14770</v>
      </c>
      <c r="X3251" s="6">
        <f t="shared" si="501"/>
        <v>0</v>
      </c>
      <c r="Y3251" s="13">
        <f t="shared" si="498"/>
        <v>0</v>
      </c>
      <c r="Z3251" s="14">
        <v>0</v>
      </c>
      <c r="AA3251" s="6">
        <v>0</v>
      </c>
      <c r="AB3251" s="4">
        <f t="shared" si="499"/>
        <v>0</v>
      </c>
      <c r="AC3251" s="4">
        <f t="shared" si="503"/>
        <v>0</v>
      </c>
      <c r="AD3251" s="6">
        <v>0</v>
      </c>
      <c r="AE3251" s="2">
        <f>VLOOKUP(I3251,[1]媒体政策预估表!A:N,MATCH(O3251,[1]媒体政策预估表!$A$2:$M$2,0),0)</f>
        <v>0</v>
      </c>
      <c r="AF3251" s="6">
        <f t="shared" si="504"/>
        <v>0</v>
      </c>
      <c r="AG3251" s="9">
        <v>0</v>
      </c>
      <c r="AH3251" s="6">
        <f t="shared" si="502"/>
        <v>0</v>
      </c>
      <c r="AI3251" s="47"/>
      <c r="AJ3251" s="126" t="e">
        <v>#N/A</v>
      </c>
      <c r="AK3251" s="80">
        <f t="shared" si="500"/>
        <v>0</v>
      </c>
      <c r="AM3251" s="85"/>
    </row>
    <row r="3252" spans="1:39" hidden="1" x14ac:dyDescent="0.3">
      <c r="A3252" s="89" t="s">
        <v>3408</v>
      </c>
      <c r="B3252" s="86" t="s">
        <v>35</v>
      </c>
      <c r="C3252" s="86" t="s">
        <v>144</v>
      </c>
      <c r="D3252" s="86" t="s">
        <v>145</v>
      </c>
      <c r="E3252" s="86" t="s">
        <v>2536</v>
      </c>
      <c r="F3252" s="86" t="s">
        <v>2536</v>
      </c>
      <c r="G3252" s="86" t="s">
        <v>2536</v>
      </c>
      <c r="H3252" s="143">
        <v>237</v>
      </c>
      <c r="I3252" s="86" t="s">
        <v>2374</v>
      </c>
      <c r="J3252" s="1" t="s">
        <v>3322</v>
      </c>
      <c r="K3252" s="1" t="s">
        <v>3269</v>
      </c>
      <c r="L3252" s="1" t="s">
        <v>35</v>
      </c>
      <c r="M3252" s="86" t="s">
        <v>2536</v>
      </c>
      <c r="N3252" s="86"/>
      <c r="O3252" s="47" t="s">
        <v>45</v>
      </c>
      <c r="P3252" s="47" t="s">
        <v>41</v>
      </c>
      <c r="Q3252" s="14">
        <v>0</v>
      </c>
      <c r="R3252" s="143"/>
      <c r="S3252" s="47"/>
      <c r="T3252" s="6">
        <v>-12128.130000000107</v>
      </c>
      <c r="U3252" s="6"/>
      <c r="V3252" s="6">
        <v>0</v>
      </c>
      <c r="W3252" s="6">
        <f t="shared" si="505"/>
        <v>-12128.130000000107</v>
      </c>
      <c r="X3252" s="6">
        <f t="shared" si="501"/>
        <v>0</v>
      </c>
      <c r="Y3252" s="13">
        <f t="shared" si="498"/>
        <v>0</v>
      </c>
      <c r="Z3252" s="14">
        <v>0</v>
      </c>
      <c r="AA3252" s="6">
        <v>0</v>
      </c>
      <c r="AB3252" s="4">
        <f t="shared" si="499"/>
        <v>0</v>
      </c>
      <c r="AC3252" s="4">
        <f t="shared" si="503"/>
        <v>0</v>
      </c>
      <c r="AD3252" s="6">
        <v>0</v>
      </c>
      <c r="AE3252" s="2">
        <f>VLOOKUP(I3252,[1]媒体政策预估表!A:N,MATCH(O3252,[1]媒体政策预估表!$A$2:$M$2,0),0)</f>
        <v>0.06</v>
      </c>
      <c r="AF3252" s="6">
        <f t="shared" si="504"/>
        <v>0</v>
      </c>
      <c r="AG3252" s="9">
        <v>0</v>
      </c>
      <c r="AH3252" s="6">
        <f t="shared" si="502"/>
        <v>0</v>
      </c>
      <c r="AI3252" s="47"/>
      <c r="AJ3252" s="126" t="e">
        <v>#N/A</v>
      </c>
      <c r="AK3252" s="80">
        <f t="shared" si="500"/>
        <v>0</v>
      </c>
      <c r="AM3252" s="85"/>
    </row>
    <row r="3253" spans="1:39" hidden="1" x14ac:dyDescent="0.3">
      <c r="A3253" s="89" t="s">
        <v>3397</v>
      </c>
      <c r="B3253" s="86" t="s">
        <v>35</v>
      </c>
      <c r="C3253" s="86" t="s">
        <v>144</v>
      </c>
      <c r="D3253" s="86" t="s">
        <v>145</v>
      </c>
      <c r="E3253" s="86" t="s">
        <v>2537</v>
      </c>
      <c r="F3253" s="86" t="s">
        <v>2537</v>
      </c>
      <c r="G3253" s="86" t="s">
        <v>2537</v>
      </c>
      <c r="H3253" s="143">
        <v>237</v>
      </c>
      <c r="I3253" s="86" t="s">
        <v>2374</v>
      </c>
      <c r="J3253" s="1" t="s">
        <v>3322</v>
      </c>
      <c r="K3253" s="1" t="s">
        <v>3269</v>
      </c>
      <c r="L3253" s="1" t="s">
        <v>35</v>
      </c>
      <c r="M3253" s="86" t="s">
        <v>2538</v>
      </c>
      <c r="N3253" s="86"/>
      <c r="O3253" s="47" t="s">
        <v>45</v>
      </c>
      <c r="P3253" s="47" t="s">
        <v>46</v>
      </c>
      <c r="Q3253" s="14">
        <v>0.02</v>
      </c>
      <c r="R3253" s="143"/>
      <c r="S3253" s="47"/>
      <c r="T3253" s="6">
        <v>5.6086000001450884</v>
      </c>
      <c r="U3253" s="6"/>
      <c r="V3253" s="6">
        <v>0</v>
      </c>
      <c r="W3253" s="6">
        <f t="shared" si="505"/>
        <v>5.6086000001450884</v>
      </c>
      <c r="X3253" s="6">
        <f t="shared" si="501"/>
        <v>0</v>
      </c>
      <c r="Y3253" s="13">
        <f t="shared" si="498"/>
        <v>0</v>
      </c>
      <c r="Z3253" s="14">
        <v>0</v>
      </c>
      <c r="AA3253" s="6">
        <v>0</v>
      </c>
      <c r="AB3253" s="4">
        <f t="shared" si="499"/>
        <v>0</v>
      </c>
      <c r="AC3253" s="4">
        <f t="shared" si="503"/>
        <v>0</v>
      </c>
      <c r="AD3253" s="6">
        <v>0</v>
      </c>
      <c r="AE3253" s="2">
        <f>VLOOKUP(I3253,[1]媒体政策预估表!A:N,MATCH(O3253,[1]媒体政策预估表!$A$2:$M$2,0),0)</f>
        <v>0.06</v>
      </c>
      <c r="AF3253" s="6">
        <f t="shared" si="504"/>
        <v>0</v>
      </c>
      <c r="AG3253" s="9">
        <v>0.02</v>
      </c>
      <c r="AH3253" s="6">
        <f t="shared" si="502"/>
        <v>0</v>
      </c>
      <c r="AI3253" s="47"/>
      <c r="AJ3253" s="126" t="e">
        <v>#N/A</v>
      </c>
      <c r="AK3253" s="80">
        <f t="shared" si="500"/>
        <v>0</v>
      </c>
      <c r="AM3253" s="85"/>
    </row>
    <row r="3254" spans="1:39" hidden="1" x14ac:dyDescent="0.3">
      <c r="A3254" s="89" t="s">
        <v>3397</v>
      </c>
      <c r="B3254" s="86" t="s">
        <v>35</v>
      </c>
      <c r="C3254" s="86" t="s">
        <v>144</v>
      </c>
      <c r="D3254" s="86" t="s">
        <v>152</v>
      </c>
      <c r="E3254" s="86" t="s">
        <v>2539</v>
      </c>
      <c r="F3254" s="86" t="s">
        <v>2539</v>
      </c>
      <c r="G3254" s="86" t="s">
        <v>2539</v>
      </c>
      <c r="H3254" s="143">
        <v>237</v>
      </c>
      <c r="I3254" s="86" t="s">
        <v>2374</v>
      </c>
      <c r="J3254" s="1" t="s">
        <v>3322</v>
      </c>
      <c r="K3254" s="1" t="s">
        <v>3269</v>
      </c>
      <c r="L3254" s="1" t="s">
        <v>35</v>
      </c>
      <c r="M3254" s="86" t="s">
        <v>2539</v>
      </c>
      <c r="N3254" s="86"/>
      <c r="O3254" s="47" t="s">
        <v>410</v>
      </c>
      <c r="P3254" s="47" t="s">
        <v>46</v>
      </c>
      <c r="Q3254" s="14">
        <v>0.02</v>
      </c>
      <c r="R3254" s="143"/>
      <c r="S3254" s="47"/>
      <c r="T3254" s="6">
        <v>22312.19</v>
      </c>
      <c r="U3254" s="6"/>
      <c r="V3254" s="6">
        <v>0</v>
      </c>
      <c r="W3254" s="6">
        <f t="shared" si="505"/>
        <v>22312.19</v>
      </c>
      <c r="X3254" s="6">
        <f t="shared" si="501"/>
        <v>0</v>
      </c>
      <c r="Y3254" s="13">
        <f t="shared" si="498"/>
        <v>0</v>
      </c>
      <c r="Z3254" s="14">
        <v>0</v>
      </c>
      <c r="AA3254" s="6">
        <v>0</v>
      </c>
      <c r="AB3254" s="4">
        <f t="shared" si="499"/>
        <v>0</v>
      </c>
      <c r="AC3254" s="4">
        <f t="shared" si="503"/>
        <v>0</v>
      </c>
      <c r="AD3254" s="6">
        <v>0</v>
      </c>
      <c r="AE3254" s="2">
        <f>VLOOKUP(I3254,[1]媒体政策预估表!A:N,MATCH(O3254,[1]媒体政策预估表!$A$2:$M$2,0),0)</f>
        <v>0</v>
      </c>
      <c r="AF3254" s="6">
        <f t="shared" si="504"/>
        <v>0</v>
      </c>
      <c r="AG3254" s="9">
        <v>0</v>
      </c>
      <c r="AH3254" s="6">
        <f t="shared" si="502"/>
        <v>0</v>
      </c>
      <c r="AI3254" s="47"/>
      <c r="AJ3254" s="126" t="e">
        <v>#N/A</v>
      </c>
      <c r="AK3254" s="80">
        <f t="shared" si="500"/>
        <v>0</v>
      </c>
      <c r="AM3254" s="85"/>
    </row>
    <row r="3255" spans="1:39" hidden="1" x14ac:dyDescent="0.3">
      <c r="A3255" s="89" t="s">
        <v>3397</v>
      </c>
      <c r="B3255" s="86" t="s">
        <v>35</v>
      </c>
      <c r="C3255" s="86" t="s">
        <v>144</v>
      </c>
      <c r="D3255" s="86" t="s">
        <v>152</v>
      </c>
      <c r="E3255" s="86" t="s">
        <v>2540</v>
      </c>
      <c r="F3255" s="86" t="s">
        <v>2541</v>
      </c>
      <c r="G3255" s="86" t="s">
        <v>2540</v>
      </c>
      <c r="H3255" s="143">
        <v>237</v>
      </c>
      <c r="I3255" s="86" t="s">
        <v>2374</v>
      </c>
      <c r="J3255" s="1" t="s">
        <v>3322</v>
      </c>
      <c r="K3255" s="1" t="s">
        <v>3269</v>
      </c>
      <c r="L3255" s="1" t="s">
        <v>35</v>
      </c>
      <c r="M3255" s="86" t="s">
        <v>2540</v>
      </c>
      <c r="N3255" s="86"/>
      <c r="O3255" s="47" t="s">
        <v>45</v>
      </c>
      <c r="P3255" s="47" t="s">
        <v>46</v>
      </c>
      <c r="Q3255" s="14">
        <v>0.02</v>
      </c>
      <c r="R3255" s="143"/>
      <c r="S3255" s="47"/>
      <c r="T3255" s="6">
        <v>6197.05</v>
      </c>
      <c r="U3255" s="6"/>
      <c r="V3255" s="6">
        <v>0</v>
      </c>
      <c r="W3255" s="6">
        <f t="shared" si="505"/>
        <v>6197.05</v>
      </c>
      <c r="X3255" s="6">
        <f t="shared" si="501"/>
        <v>0</v>
      </c>
      <c r="Y3255" s="13">
        <f t="shared" si="498"/>
        <v>0</v>
      </c>
      <c r="Z3255" s="14">
        <v>0</v>
      </c>
      <c r="AA3255" s="6">
        <v>0</v>
      </c>
      <c r="AB3255" s="4">
        <f t="shared" si="499"/>
        <v>0</v>
      </c>
      <c r="AC3255" s="4">
        <f t="shared" si="503"/>
        <v>0</v>
      </c>
      <c r="AD3255" s="6">
        <v>0</v>
      </c>
      <c r="AE3255" s="2">
        <f>VLOOKUP(I3255,[1]媒体政策预估表!A:N,MATCH(O3255,[1]媒体政策预估表!$A$2:$M$2,0),0)</f>
        <v>0.06</v>
      </c>
      <c r="AF3255" s="6">
        <f t="shared" si="504"/>
        <v>0</v>
      </c>
      <c r="AG3255" s="9">
        <v>0</v>
      </c>
      <c r="AH3255" s="6">
        <f t="shared" si="502"/>
        <v>0</v>
      </c>
      <c r="AI3255" s="47"/>
      <c r="AJ3255" s="126" t="e">
        <v>#N/A</v>
      </c>
      <c r="AK3255" s="80">
        <f t="shared" si="500"/>
        <v>0</v>
      </c>
      <c r="AM3255" s="85"/>
    </row>
    <row r="3256" spans="1:39" hidden="1" x14ac:dyDescent="0.3">
      <c r="A3256" s="89" t="s">
        <v>3397</v>
      </c>
      <c r="B3256" s="86" t="s">
        <v>35</v>
      </c>
      <c r="C3256" s="86" t="s">
        <v>144</v>
      </c>
      <c r="D3256" s="86" t="s">
        <v>161</v>
      </c>
      <c r="E3256" s="86" t="s">
        <v>2522</v>
      </c>
      <c r="F3256" s="86" t="s">
        <v>2522</v>
      </c>
      <c r="G3256" s="86" t="s">
        <v>2522</v>
      </c>
      <c r="H3256" s="143">
        <v>237</v>
      </c>
      <c r="I3256" s="86" t="s">
        <v>2374</v>
      </c>
      <c r="J3256" s="1" t="s">
        <v>3322</v>
      </c>
      <c r="K3256" s="1" t="s">
        <v>3269</v>
      </c>
      <c r="L3256" s="1" t="s">
        <v>35</v>
      </c>
      <c r="M3256" s="86" t="s">
        <v>2433</v>
      </c>
      <c r="N3256" s="86"/>
      <c r="O3256" s="47" t="s">
        <v>40</v>
      </c>
      <c r="P3256" s="47" t="s">
        <v>46</v>
      </c>
      <c r="Q3256" s="14">
        <v>0.02</v>
      </c>
      <c r="R3256" s="143"/>
      <c r="S3256" s="47"/>
      <c r="T3256" s="6">
        <v>13256.449999999999</v>
      </c>
      <c r="U3256" s="6"/>
      <c r="V3256" s="6">
        <v>0</v>
      </c>
      <c r="W3256" s="6">
        <f t="shared" si="505"/>
        <v>13256.449999999999</v>
      </c>
      <c r="X3256" s="6">
        <f t="shared" si="501"/>
        <v>0</v>
      </c>
      <c r="Y3256" s="13">
        <f t="shared" si="498"/>
        <v>0</v>
      </c>
      <c r="Z3256" s="14">
        <v>0</v>
      </c>
      <c r="AA3256" s="6">
        <v>0</v>
      </c>
      <c r="AB3256" s="4">
        <f t="shared" si="499"/>
        <v>0</v>
      </c>
      <c r="AC3256" s="4">
        <f t="shared" si="503"/>
        <v>0</v>
      </c>
      <c r="AD3256" s="6">
        <v>0</v>
      </c>
      <c r="AE3256" s="2">
        <f>VLOOKUP(I3256,[1]媒体政策预估表!A:N,MATCH(O3256,[1]媒体政策预估表!$A$2:$M$2,0),0)</f>
        <v>7.0000000000000007E-2</v>
      </c>
      <c r="AF3256" s="6">
        <f t="shared" si="504"/>
        <v>0</v>
      </c>
      <c r="AG3256" s="9">
        <v>0</v>
      </c>
      <c r="AH3256" s="6">
        <f t="shared" si="502"/>
        <v>0</v>
      </c>
      <c r="AI3256" s="47"/>
      <c r="AJ3256" s="126" t="e">
        <v>#N/A</v>
      </c>
      <c r="AK3256" s="80">
        <f t="shared" si="500"/>
        <v>0</v>
      </c>
      <c r="AM3256" s="85"/>
    </row>
    <row r="3257" spans="1:39" hidden="1" x14ac:dyDescent="0.3">
      <c r="A3257" s="89" t="s">
        <v>3397</v>
      </c>
      <c r="B3257" s="86" t="s">
        <v>35</v>
      </c>
      <c r="C3257" s="86" t="s">
        <v>144</v>
      </c>
      <c r="D3257" s="86" t="s">
        <v>161</v>
      </c>
      <c r="E3257" s="86" t="s">
        <v>2542</v>
      </c>
      <c r="F3257" s="86" t="s">
        <v>2542</v>
      </c>
      <c r="G3257" s="86" t="s">
        <v>2542</v>
      </c>
      <c r="H3257" s="143">
        <v>237</v>
      </c>
      <c r="I3257" s="86" t="s">
        <v>2374</v>
      </c>
      <c r="J3257" s="1" t="s">
        <v>3322</v>
      </c>
      <c r="K3257" s="1" t="s">
        <v>3269</v>
      </c>
      <c r="L3257" s="1" t="s">
        <v>35</v>
      </c>
      <c r="M3257" s="86" t="s">
        <v>2148</v>
      </c>
      <c r="N3257" s="86"/>
      <c r="O3257" s="47" t="s">
        <v>410</v>
      </c>
      <c r="P3257" s="47" t="s">
        <v>41</v>
      </c>
      <c r="Q3257" s="14">
        <v>0</v>
      </c>
      <c r="R3257" s="143"/>
      <c r="S3257" s="47"/>
      <c r="T3257" s="6">
        <v>58598.229999999996</v>
      </c>
      <c r="U3257" s="6"/>
      <c r="V3257" s="6">
        <v>0</v>
      </c>
      <c r="W3257" s="6">
        <f t="shared" si="505"/>
        <v>58598.229999999996</v>
      </c>
      <c r="X3257" s="6">
        <f t="shared" si="501"/>
        <v>0</v>
      </c>
      <c r="Y3257" s="13">
        <f t="shared" si="498"/>
        <v>0</v>
      </c>
      <c r="Z3257" s="14">
        <v>0</v>
      </c>
      <c r="AA3257" s="6">
        <v>0</v>
      </c>
      <c r="AB3257" s="4">
        <f t="shared" si="499"/>
        <v>0</v>
      </c>
      <c r="AC3257" s="4">
        <f t="shared" si="503"/>
        <v>0</v>
      </c>
      <c r="AD3257" s="6">
        <v>0</v>
      </c>
      <c r="AE3257" s="2">
        <f>VLOOKUP(I3257,[1]媒体政策预估表!A:N,MATCH(O3257,[1]媒体政策预估表!$A$2:$M$2,0),0)</f>
        <v>0</v>
      </c>
      <c r="AF3257" s="6">
        <f t="shared" si="504"/>
        <v>0</v>
      </c>
      <c r="AG3257" s="9">
        <v>0.02</v>
      </c>
      <c r="AH3257" s="6">
        <f t="shared" si="502"/>
        <v>0</v>
      </c>
      <c r="AI3257" s="47"/>
      <c r="AJ3257" s="126" t="e">
        <v>#N/A</v>
      </c>
      <c r="AK3257" s="80">
        <f t="shared" si="500"/>
        <v>0</v>
      </c>
      <c r="AM3257" s="85"/>
    </row>
    <row r="3258" spans="1:39" hidden="1" x14ac:dyDescent="0.3">
      <c r="A3258" s="89" t="s">
        <v>3408</v>
      </c>
      <c r="B3258" s="86" t="s">
        <v>35</v>
      </c>
      <c r="C3258" s="86" t="s">
        <v>164</v>
      </c>
      <c r="D3258" s="86" t="s">
        <v>305</v>
      </c>
      <c r="E3258" s="86" t="s">
        <v>2543</v>
      </c>
      <c r="F3258" s="86" t="s">
        <v>2544</v>
      </c>
      <c r="G3258" s="86" t="s">
        <v>2543</v>
      </c>
      <c r="H3258" s="143">
        <v>237</v>
      </c>
      <c r="I3258" s="86" t="s">
        <v>2374</v>
      </c>
      <c r="J3258" s="1" t="s">
        <v>3322</v>
      </c>
      <c r="K3258" s="1" t="s">
        <v>3269</v>
      </c>
      <c r="L3258" s="1" t="s">
        <v>35</v>
      </c>
      <c r="M3258" s="86" t="s">
        <v>2543</v>
      </c>
      <c r="N3258" s="86"/>
      <c r="O3258" s="47" t="s">
        <v>45</v>
      </c>
      <c r="P3258" s="47" t="s">
        <v>41</v>
      </c>
      <c r="Q3258" s="14">
        <v>0</v>
      </c>
      <c r="R3258" s="143"/>
      <c r="S3258" s="47"/>
      <c r="T3258" s="6">
        <v>26818.16</v>
      </c>
      <c r="U3258" s="6"/>
      <c r="V3258" s="6">
        <v>0</v>
      </c>
      <c r="W3258" s="6">
        <f t="shared" si="505"/>
        <v>26818.16</v>
      </c>
      <c r="X3258" s="6">
        <f t="shared" si="501"/>
        <v>0</v>
      </c>
      <c r="Y3258" s="13">
        <f t="shared" si="498"/>
        <v>0</v>
      </c>
      <c r="Z3258" s="14">
        <v>0</v>
      </c>
      <c r="AA3258" s="6">
        <v>0</v>
      </c>
      <c r="AB3258" s="4">
        <f t="shared" si="499"/>
        <v>0</v>
      </c>
      <c r="AC3258" s="4">
        <f t="shared" si="503"/>
        <v>0</v>
      </c>
      <c r="AD3258" s="6">
        <v>0</v>
      </c>
      <c r="AE3258" s="2">
        <f>VLOOKUP(I3258,[1]媒体政策预估表!A:N,MATCH(O3258,[1]媒体政策预估表!$A$2:$M$2,0),0)</f>
        <v>0.06</v>
      </c>
      <c r="AF3258" s="6">
        <f t="shared" si="504"/>
        <v>0</v>
      </c>
      <c r="AG3258" s="9">
        <v>0</v>
      </c>
      <c r="AH3258" s="6">
        <f t="shared" si="502"/>
        <v>0</v>
      </c>
      <c r="AI3258" s="47"/>
      <c r="AJ3258" s="126" t="e">
        <v>#N/A</v>
      </c>
      <c r="AK3258" s="80">
        <f t="shared" si="500"/>
        <v>0</v>
      </c>
      <c r="AM3258" s="85"/>
    </row>
    <row r="3259" spans="1:39" hidden="1" x14ac:dyDescent="0.3">
      <c r="A3259" s="89" t="s">
        <v>3397</v>
      </c>
      <c r="B3259" s="86" t="s">
        <v>35</v>
      </c>
      <c r="C3259" s="86" t="s">
        <v>3428</v>
      </c>
      <c r="D3259" s="86" t="s">
        <v>224</v>
      </c>
      <c r="E3259" s="86" t="s">
        <v>2545</v>
      </c>
      <c r="F3259" s="86" t="s">
        <v>2545</v>
      </c>
      <c r="G3259" s="86" t="s">
        <v>2545</v>
      </c>
      <c r="H3259" s="143">
        <v>237</v>
      </c>
      <c r="I3259" s="86" t="s">
        <v>2374</v>
      </c>
      <c r="J3259" s="1" t="s">
        <v>3322</v>
      </c>
      <c r="K3259" s="1" t="s">
        <v>3269</v>
      </c>
      <c r="L3259" s="1" t="s">
        <v>35</v>
      </c>
      <c r="M3259" s="86" t="s">
        <v>2545</v>
      </c>
      <c r="N3259" s="86"/>
      <c r="O3259" s="47" t="s">
        <v>410</v>
      </c>
      <c r="P3259" s="47" t="s">
        <v>46</v>
      </c>
      <c r="Q3259" s="14">
        <v>0.02</v>
      </c>
      <c r="R3259" s="143"/>
      <c r="S3259" s="47"/>
      <c r="T3259" s="6">
        <v>7020</v>
      </c>
      <c r="U3259" s="6"/>
      <c r="V3259" s="6">
        <v>0</v>
      </c>
      <c r="W3259" s="6">
        <f t="shared" si="505"/>
        <v>7020</v>
      </c>
      <c r="X3259" s="6">
        <f t="shared" si="501"/>
        <v>0</v>
      </c>
      <c r="Y3259" s="13">
        <f t="shared" si="498"/>
        <v>0</v>
      </c>
      <c r="Z3259" s="14">
        <v>0</v>
      </c>
      <c r="AA3259" s="6">
        <v>0</v>
      </c>
      <c r="AB3259" s="4">
        <f t="shared" si="499"/>
        <v>0</v>
      </c>
      <c r="AC3259" s="4">
        <f t="shared" si="503"/>
        <v>0</v>
      </c>
      <c r="AD3259" s="6">
        <v>0</v>
      </c>
      <c r="AE3259" s="2">
        <f>VLOOKUP(I3259,[1]媒体政策预估表!A:N,MATCH(O3259,[1]媒体政策预估表!$A$2:$M$2,0),0)</f>
        <v>0</v>
      </c>
      <c r="AF3259" s="6">
        <f t="shared" si="504"/>
        <v>0</v>
      </c>
      <c r="AG3259" s="9">
        <v>0</v>
      </c>
      <c r="AH3259" s="6">
        <f t="shared" si="502"/>
        <v>0</v>
      </c>
      <c r="AI3259" s="47"/>
      <c r="AJ3259" s="126" t="e">
        <v>#N/A</v>
      </c>
      <c r="AK3259" s="80">
        <f t="shared" si="500"/>
        <v>0</v>
      </c>
      <c r="AM3259" s="85"/>
    </row>
    <row r="3260" spans="1:39" hidden="1" x14ac:dyDescent="0.3">
      <c r="A3260" s="89" t="s">
        <v>3408</v>
      </c>
      <c r="B3260" s="86" t="s">
        <v>35</v>
      </c>
      <c r="C3260" s="86" t="s">
        <v>3428</v>
      </c>
      <c r="D3260" s="86" t="s">
        <v>54</v>
      </c>
      <c r="E3260" s="86" t="s">
        <v>2546</v>
      </c>
      <c r="F3260" s="86" t="s">
        <v>2546</v>
      </c>
      <c r="G3260" s="86" t="s">
        <v>2546</v>
      </c>
      <c r="H3260" s="143">
        <v>237</v>
      </c>
      <c r="I3260" s="86" t="s">
        <v>2374</v>
      </c>
      <c r="J3260" s="1" t="s">
        <v>3322</v>
      </c>
      <c r="K3260" s="1" t="s">
        <v>3269</v>
      </c>
      <c r="L3260" s="1" t="s">
        <v>35</v>
      </c>
      <c r="M3260" s="86" t="s">
        <v>2546</v>
      </c>
      <c r="N3260" s="86"/>
      <c r="O3260" s="47" t="s">
        <v>45</v>
      </c>
      <c r="P3260" s="47" t="s">
        <v>41</v>
      </c>
      <c r="Q3260" s="14">
        <v>0</v>
      </c>
      <c r="R3260" s="143"/>
      <c r="S3260" s="47"/>
      <c r="T3260" s="6">
        <v>62133.369999999995</v>
      </c>
      <c r="U3260" s="6"/>
      <c r="V3260" s="6">
        <v>0</v>
      </c>
      <c r="W3260" s="6">
        <f t="shared" si="505"/>
        <v>62133.369999999995</v>
      </c>
      <c r="X3260" s="6">
        <f t="shared" si="501"/>
        <v>0</v>
      </c>
      <c r="Y3260" s="13">
        <f t="shared" si="498"/>
        <v>0</v>
      </c>
      <c r="Z3260" s="14">
        <v>0</v>
      </c>
      <c r="AA3260" s="6">
        <v>0</v>
      </c>
      <c r="AB3260" s="4">
        <f t="shared" si="499"/>
        <v>0</v>
      </c>
      <c r="AC3260" s="4">
        <f t="shared" si="503"/>
        <v>0</v>
      </c>
      <c r="AD3260" s="6">
        <v>0</v>
      </c>
      <c r="AE3260" s="2">
        <f>VLOOKUP(I3260,[1]媒体政策预估表!A:N,MATCH(O3260,[1]媒体政策预估表!$A$2:$M$2,0),0)</f>
        <v>0.06</v>
      </c>
      <c r="AF3260" s="6">
        <f t="shared" si="504"/>
        <v>0</v>
      </c>
      <c r="AG3260" s="9">
        <v>0</v>
      </c>
      <c r="AH3260" s="6">
        <f t="shared" si="502"/>
        <v>0</v>
      </c>
      <c r="AI3260" s="47"/>
      <c r="AJ3260" s="126" t="e">
        <v>#N/A</v>
      </c>
      <c r="AK3260" s="80">
        <f t="shared" si="500"/>
        <v>0</v>
      </c>
      <c r="AM3260" s="85"/>
    </row>
    <row r="3261" spans="1:39" hidden="1" x14ac:dyDescent="0.3">
      <c r="A3261" s="89" t="s">
        <v>3397</v>
      </c>
      <c r="B3261" s="86" t="s">
        <v>35</v>
      </c>
      <c r="C3261" s="86" t="s">
        <v>53</v>
      </c>
      <c r="D3261" s="86" t="s">
        <v>54</v>
      </c>
      <c r="E3261" s="86" t="s">
        <v>2546</v>
      </c>
      <c r="F3261" s="86" t="s">
        <v>2546</v>
      </c>
      <c r="G3261" s="86" t="s">
        <v>2546</v>
      </c>
      <c r="H3261" s="143">
        <v>237</v>
      </c>
      <c r="I3261" s="86" t="s">
        <v>2374</v>
      </c>
      <c r="J3261" s="1" t="s">
        <v>3322</v>
      </c>
      <c r="K3261" s="1" t="s">
        <v>3269</v>
      </c>
      <c r="L3261" s="1" t="s">
        <v>35</v>
      </c>
      <c r="M3261" s="86" t="s">
        <v>2546</v>
      </c>
      <c r="N3261" s="86"/>
      <c r="O3261" s="47" t="s">
        <v>40</v>
      </c>
      <c r="P3261" s="47" t="s">
        <v>41</v>
      </c>
      <c r="Q3261" s="14">
        <v>0</v>
      </c>
      <c r="R3261" s="143"/>
      <c r="S3261" s="47"/>
      <c r="T3261" s="6">
        <v>60000</v>
      </c>
      <c r="U3261" s="6"/>
      <c r="V3261" s="6">
        <v>0</v>
      </c>
      <c r="W3261" s="6">
        <f t="shared" si="505"/>
        <v>60000</v>
      </c>
      <c r="X3261" s="6">
        <f t="shared" si="501"/>
        <v>0</v>
      </c>
      <c r="Y3261" s="13">
        <f t="shared" si="498"/>
        <v>0</v>
      </c>
      <c r="Z3261" s="14">
        <v>0</v>
      </c>
      <c r="AA3261" s="6">
        <v>0</v>
      </c>
      <c r="AB3261" s="4">
        <f t="shared" si="499"/>
        <v>0</v>
      </c>
      <c r="AC3261" s="4">
        <f t="shared" si="503"/>
        <v>0</v>
      </c>
      <c r="AD3261" s="6">
        <v>0</v>
      </c>
      <c r="AE3261" s="2">
        <f>VLOOKUP(I3261,[1]媒体政策预估表!A:N,MATCH(O3261,[1]媒体政策预估表!$A$2:$M$2,0),0)</f>
        <v>7.0000000000000007E-2</v>
      </c>
      <c r="AF3261" s="6">
        <f t="shared" si="504"/>
        <v>0</v>
      </c>
      <c r="AG3261" s="9">
        <v>0</v>
      </c>
      <c r="AH3261" s="6">
        <f t="shared" si="502"/>
        <v>0</v>
      </c>
      <c r="AI3261" s="47"/>
      <c r="AJ3261" s="126" t="e">
        <v>#N/A</v>
      </c>
      <c r="AK3261" s="80">
        <f t="shared" si="500"/>
        <v>0</v>
      </c>
      <c r="AM3261" s="85"/>
    </row>
    <row r="3262" spans="1:39" hidden="1" x14ac:dyDescent="0.3">
      <c r="A3262" s="89" t="s">
        <v>3397</v>
      </c>
      <c r="B3262" s="86" t="s">
        <v>35</v>
      </c>
      <c r="C3262" s="86" t="s">
        <v>3428</v>
      </c>
      <c r="D3262" s="86" t="s">
        <v>54</v>
      </c>
      <c r="E3262" s="86" t="s">
        <v>2547</v>
      </c>
      <c r="F3262" s="86" t="s">
        <v>2547</v>
      </c>
      <c r="G3262" s="86" t="s">
        <v>2547</v>
      </c>
      <c r="H3262" s="143">
        <v>237</v>
      </c>
      <c r="I3262" s="86" t="s">
        <v>2374</v>
      </c>
      <c r="J3262" s="1" t="s">
        <v>3322</v>
      </c>
      <c r="K3262" s="1" t="s">
        <v>3269</v>
      </c>
      <c r="L3262" s="1" t="s">
        <v>35</v>
      </c>
      <c r="M3262" s="86" t="s">
        <v>2472</v>
      </c>
      <c r="N3262" s="86"/>
      <c r="O3262" s="47" t="s">
        <v>45</v>
      </c>
      <c r="P3262" s="47" t="s">
        <v>46</v>
      </c>
      <c r="Q3262" s="14">
        <v>0.05</v>
      </c>
      <c r="R3262" s="143"/>
      <c r="S3262" s="47"/>
      <c r="T3262" s="6">
        <v>124154.45999999973</v>
      </c>
      <c r="U3262" s="6"/>
      <c r="V3262" s="6">
        <v>0</v>
      </c>
      <c r="W3262" s="6">
        <f t="shared" si="505"/>
        <v>124154.45999999973</v>
      </c>
      <c r="X3262" s="6">
        <f t="shared" si="501"/>
        <v>0</v>
      </c>
      <c r="Y3262" s="13">
        <f t="shared" si="498"/>
        <v>0</v>
      </c>
      <c r="Z3262" s="14">
        <v>0</v>
      </c>
      <c r="AA3262" s="6">
        <v>0</v>
      </c>
      <c r="AB3262" s="4">
        <f t="shared" si="499"/>
        <v>0</v>
      </c>
      <c r="AC3262" s="4">
        <f t="shared" si="503"/>
        <v>0</v>
      </c>
      <c r="AD3262" s="6">
        <v>0</v>
      </c>
      <c r="AE3262" s="2">
        <f>VLOOKUP(I3262,[1]媒体政策预估表!A:N,MATCH(O3262,[1]媒体政策预估表!$A$2:$M$2,0),0)</f>
        <v>0.06</v>
      </c>
      <c r="AF3262" s="6">
        <f t="shared" si="504"/>
        <v>0</v>
      </c>
      <c r="AG3262" s="9">
        <v>7.0000000000000007E-2</v>
      </c>
      <c r="AH3262" s="6">
        <f t="shared" si="502"/>
        <v>0</v>
      </c>
      <c r="AI3262" s="47"/>
      <c r="AJ3262" s="126" t="e">
        <v>#N/A</v>
      </c>
      <c r="AK3262" s="80">
        <f t="shared" si="500"/>
        <v>0</v>
      </c>
      <c r="AM3262" s="85"/>
    </row>
    <row r="3263" spans="1:39" hidden="1" x14ac:dyDescent="0.3">
      <c r="A3263" s="89" t="s">
        <v>3408</v>
      </c>
      <c r="B3263" s="86" t="s">
        <v>35</v>
      </c>
      <c r="C3263" s="86" t="s">
        <v>187</v>
      </c>
      <c r="D3263" s="86" t="s">
        <v>188</v>
      </c>
      <c r="E3263" s="86" t="s">
        <v>189</v>
      </c>
      <c r="F3263" s="86" t="s">
        <v>189</v>
      </c>
      <c r="G3263" s="86" t="s">
        <v>189</v>
      </c>
      <c r="H3263" s="143">
        <v>237</v>
      </c>
      <c r="I3263" s="86" t="s">
        <v>2374</v>
      </c>
      <c r="J3263" s="1" t="s">
        <v>3322</v>
      </c>
      <c r="K3263" s="1" t="s">
        <v>3269</v>
      </c>
      <c r="L3263" s="1" t="s">
        <v>35</v>
      </c>
      <c r="M3263" s="86" t="s">
        <v>2501</v>
      </c>
      <c r="N3263" s="86"/>
      <c r="O3263" s="47" t="s">
        <v>40</v>
      </c>
      <c r="P3263" s="47" t="s">
        <v>46</v>
      </c>
      <c r="Q3263" s="14">
        <v>0.09</v>
      </c>
      <c r="R3263" s="143"/>
      <c r="S3263" s="47"/>
      <c r="T3263" s="6">
        <v>-7433.9479452040014</v>
      </c>
      <c r="U3263" s="6"/>
      <c r="V3263" s="6">
        <v>0</v>
      </c>
      <c r="W3263" s="6">
        <f t="shared" si="505"/>
        <v>-7433.9479452040014</v>
      </c>
      <c r="X3263" s="6">
        <f t="shared" si="501"/>
        <v>0</v>
      </c>
      <c r="Y3263" s="13">
        <f t="shared" si="498"/>
        <v>0</v>
      </c>
      <c r="Z3263" s="14">
        <v>0</v>
      </c>
      <c r="AA3263" s="6">
        <v>0</v>
      </c>
      <c r="AB3263" s="4">
        <f t="shared" si="499"/>
        <v>0</v>
      </c>
      <c r="AC3263" s="4">
        <f t="shared" si="503"/>
        <v>0</v>
      </c>
      <c r="AD3263" s="6">
        <v>0</v>
      </c>
      <c r="AE3263" s="2">
        <f>VLOOKUP(I3263,[1]媒体政策预估表!A:N,MATCH(O3263,[1]媒体政策预估表!$A$2:$M$2,0),0)</f>
        <v>7.0000000000000007E-2</v>
      </c>
      <c r="AF3263" s="6">
        <f t="shared" si="504"/>
        <v>0</v>
      </c>
      <c r="AG3263" s="9">
        <v>0.46</v>
      </c>
      <c r="AH3263" s="6">
        <f t="shared" si="502"/>
        <v>0</v>
      </c>
      <c r="AI3263" s="47"/>
      <c r="AJ3263" s="126" t="e">
        <v>#N/A</v>
      </c>
      <c r="AK3263" s="80">
        <f t="shared" si="500"/>
        <v>0</v>
      </c>
      <c r="AM3263" s="85"/>
    </row>
    <row r="3264" spans="1:39" hidden="1" x14ac:dyDescent="0.3">
      <c r="A3264" s="89" t="s">
        <v>3397</v>
      </c>
      <c r="B3264" s="86" t="s">
        <v>35</v>
      </c>
      <c r="C3264" s="86" t="s">
        <v>187</v>
      </c>
      <c r="D3264" s="86" t="s">
        <v>188</v>
      </c>
      <c r="E3264" s="86" t="s">
        <v>2548</v>
      </c>
      <c r="F3264" s="86" t="s">
        <v>2549</v>
      </c>
      <c r="G3264" s="86" t="s">
        <v>2548</v>
      </c>
      <c r="H3264" s="143">
        <v>237</v>
      </c>
      <c r="I3264" s="86" t="s">
        <v>2374</v>
      </c>
      <c r="J3264" s="1" t="s">
        <v>3322</v>
      </c>
      <c r="K3264" s="1" t="s">
        <v>3269</v>
      </c>
      <c r="L3264" s="1" t="s">
        <v>35</v>
      </c>
      <c r="M3264" s="86" t="s">
        <v>2548</v>
      </c>
      <c r="N3264" s="86"/>
      <c r="O3264" s="47" t="s">
        <v>40</v>
      </c>
      <c r="P3264" s="47" t="s">
        <v>46</v>
      </c>
      <c r="Q3264" s="14">
        <v>0.10879999999999999</v>
      </c>
      <c r="R3264" s="143"/>
      <c r="S3264" s="47"/>
      <c r="T3264" s="6">
        <v>468097.95999999996</v>
      </c>
      <c r="U3264" s="6"/>
      <c r="V3264" s="6">
        <v>0</v>
      </c>
      <c r="W3264" s="6">
        <f t="shared" si="505"/>
        <v>468097.95999999996</v>
      </c>
      <c r="X3264" s="6">
        <f t="shared" si="501"/>
        <v>0</v>
      </c>
      <c r="Y3264" s="13">
        <f t="shared" si="498"/>
        <v>0</v>
      </c>
      <c r="Z3264" s="14">
        <v>0</v>
      </c>
      <c r="AA3264" s="6">
        <v>0</v>
      </c>
      <c r="AB3264" s="4">
        <f t="shared" si="499"/>
        <v>0</v>
      </c>
      <c r="AC3264" s="4">
        <f t="shared" si="503"/>
        <v>0</v>
      </c>
      <c r="AD3264" s="6">
        <v>0</v>
      </c>
      <c r="AE3264" s="2">
        <f>VLOOKUP(I3264,[1]媒体政策预估表!A:N,MATCH(O3264,[1]媒体政策预估表!$A$2:$M$2,0),0)</f>
        <v>7.0000000000000007E-2</v>
      </c>
      <c r="AF3264" s="6">
        <f t="shared" si="504"/>
        <v>0</v>
      </c>
      <c r="AG3264" s="9">
        <v>0.36</v>
      </c>
      <c r="AH3264" s="6">
        <f t="shared" si="502"/>
        <v>0</v>
      </c>
      <c r="AI3264" s="47"/>
      <c r="AJ3264" s="126" t="e">
        <v>#N/A</v>
      </c>
      <c r="AK3264" s="80">
        <f t="shared" si="500"/>
        <v>0</v>
      </c>
      <c r="AM3264" s="85"/>
    </row>
    <row r="3265" spans="1:39" hidden="1" x14ac:dyDescent="0.3">
      <c r="A3265" s="89" t="s">
        <v>3397</v>
      </c>
      <c r="B3265" s="86" t="s">
        <v>35</v>
      </c>
      <c r="C3265" s="86" t="s">
        <v>187</v>
      </c>
      <c r="D3265" s="86" t="s">
        <v>188</v>
      </c>
      <c r="E3265" s="86" t="s">
        <v>2550</v>
      </c>
      <c r="F3265" s="86" t="s">
        <v>2550</v>
      </c>
      <c r="G3265" s="86" t="s">
        <v>2550</v>
      </c>
      <c r="H3265" s="143">
        <v>237</v>
      </c>
      <c r="I3265" s="86" t="s">
        <v>2374</v>
      </c>
      <c r="J3265" s="1" t="s">
        <v>3322</v>
      </c>
      <c r="K3265" s="1" t="s">
        <v>3269</v>
      </c>
      <c r="L3265" s="1" t="s">
        <v>35</v>
      </c>
      <c r="M3265" s="86" t="s">
        <v>2501</v>
      </c>
      <c r="N3265" s="86"/>
      <c r="O3265" s="47" t="s">
        <v>40</v>
      </c>
      <c r="P3265" s="47" t="s">
        <v>46</v>
      </c>
      <c r="Q3265" s="14">
        <v>0.12000000000000005</v>
      </c>
      <c r="R3265" s="143"/>
      <c r="S3265" s="47"/>
      <c r="T3265" s="6">
        <v>-21373.010720540897</v>
      </c>
      <c r="U3265" s="6"/>
      <c r="V3265" s="6">
        <v>0</v>
      </c>
      <c r="W3265" s="6">
        <f t="shared" si="505"/>
        <v>-21373.010720540897</v>
      </c>
      <c r="X3265" s="6">
        <f t="shared" si="501"/>
        <v>0</v>
      </c>
      <c r="Y3265" s="13">
        <f t="shared" si="498"/>
        <v>0</v>
      </c>
      <c r="Z3265" s="14">
        <v>0</v>
      </c>
      <c r="AA3265" s="6">
        <v>0</v>
      </c>
      <c r="AB3265" s="4">
        <f t="shared" si="499"/>
        <v>0</v>
      </c>
      <c r="AC3265" s="4">
        <f t="shared" si="503"/>
        <v>0</v>
      </c>
      <c r="AD3265" s="6">
        <v>0</v>
      </c>
      <c r="AE3265" s="2">
        <f>VLOOKUP(I3265,[1]媒体政策预估表!A:N,MATCH(O3265,[1]媒体政策预估表!$A$2:$M$2,0),0)</f>
        <v>7.0000000000000007E-2</v>
      </c>
      <c r="AF3265" s="6">
        <f t="shared" si="504"/>
        <v>0</v>
      </c>
      <c r="AG3265" s="9">
        <v>0.41</v>
      </c>
      <c r="AH3265" s="6">
        <f t="shared" si="502"/>
        <v>0</v>
      </c>
      <c r="AI3265" s="47"/>
      <c r="AJ3265" s="126" t="e">
        <v>#N/A</v>
      </c>
      <c r="AK3265" s="80">
        <f t="shared" si="500"/>
        <v>0</v>
      </c>
      <c r="AM3265" s="85"/>
    </row>
    <row r="3266" spans="1:39" hidden="1" x14ac:dyDescent="0.3">
      <c r="A3266" s="89" t="s">
        <v>3408</v>
      </c>
      <c r="B3266" s="86" t="s">
        <v>35</v>
      </c>
      <c r="C3266" s="86" t="s">
        <v>47</v>
      </c>
      <c r="D3266" s="86" t="s">
        <v>878</v>
      </c>
      <c r="E3266" s="86" t="s">
        <v>2551</v>
      </c>
      <c r="F3266" s="86" t="s">
        <v>2551</v>
      </c>
      <c r="G3266" s="86" t="s">
        <v>2551</v>
      </c>
      <c r="H3266" s="143">
        <v>237</v>
      </c>
      <c r="I3266" s="86" t="s">
        <v>2374</v>
      </c>
      <c r="J3266" s="1" t="s">
        <v>3322</v>
      </c>
      <c r="K3266" s="1" t="s">
        <v>3269</v>
      </c>
      <c r="L3266" s="1" t="s">
        <v>35</v>
      </c>
      <c r="M3266" s="86" t="s">
        <v>2552</v>
      </c>
      <c r="N3266" s="86"/>
      <c r="O3266" s="47" t="s">
        <v>40</v>
      </c>
      <c r="P3266" s="47" t="s">
        <v>46</v>
      </c>
      <c r="Q3266" s="14">
        <v>7.1999999999999995E-2</v>
      </c>
      <c r="R3266" s="143"/>
      <c r="S3266" s="47"/>
      <c r="T3266" s="6">
        <v>5350.3468000004286</v>
      </c>
      <c r="U3266" s="6"/>
      <c r="V3266" s="6">
        <v>0</v>
      </c>
      <c r="W3266" s="6">
        <f t="shared" si="505"/>
        <v>5350.3468000004286</v>
      </c>
      <c r="X3266" s="6">
        <f t="shared" si="501"/>
        <v>0</v>
      </c>
      <c r="Y3266" s="13">
        <f t="shared" si="498"/>
        <v>0</v>
      </c>
      <c r="Z3266" s="14">
        <v>0</v>
      </c>
      <c r="AA3266" s="6">
        <v>0</v>
      </c>
      <c r="AB3266" s="4">
        <f t="shared" si="499"/>
        <v>0</v>
      </c>
      <c r="AC3266" s="4">
        <f t="shared" si="503"/>
        <v>0</v>
      </c>
      <c r="AD3266" s="6">
        <v>0</v>
      </c>
      <c r="AE3266" s="2">
        <f>VLOOKUP(I3266,[1]媒体政策预估表!A:N,MATCH(O3266,[1]媒体政策预估表!$A$2:$M$2,0),0)</f>
        <v>7.0000000000000007E-2</v>
      </c>
      <c r="AF3266" s="6">
        <f t="shared" si="504"/>
        <v>0</v>
      </c>
      <c r="AG3266" s="9">
        <v>0.36</v>
      </c>
      <c r="AH3266" s="6">
        <f t="shared" si="502"/>
        <v>0</v>
      </c>
      <c r="AI3266" s="47"/>
      <c r="AJ3266" s="126" t="e">
        <v>#N/A</v>
      </c>
      <c r="AK3266" s="80">
        <f t="shared" si="500"/>
        <v>0</v>
      </c>
      <c r="AM3266" s="85"/>
    </row>
    <row r="3267" spans="1:39" hidden="1" x14ac:dyDescent="0.3">
      <c r="A3267" s="89" t="s">
        <v>3408</v>
      </c>
      <c r="B3267" s="86" t="s">
        <v>35</v>
      </c>
      <c r="C3267" s="86" t="s">
        <v>47</v>
      </c>
      <c r="D3267" s="86" t="s">
        <v>63</v>
      </c>
      <c r="E3267" s="86" t="s">
        <v>538</v>
      </c>
      <c r="F3267" s="86" t="s">
        <v>538</v>
      </c>
      <c r="G3267" s="86" t="s">
        <v>538</v>
      </c>
      <c r="H3267" s="143">
        <v>237</v>
      </c>
      <c r="I3267" s="86" t="s">
        <v>2374</v>
      </c>
      <c r="J3267" s="1" t="s">
        <v>3322</v>
      </c>
      <c r="K3267" s="1" t="s">
        <v>3269</v>
      </c>
      <c r="L3267" s="1" t="s">
        <v>35</v>
      </c>
      <c r="M3267" s="86" t="s">
        <v>538</v>
      </c>
      <c r="N3267" s="86"/>
      <c r="O3267" s="47" t="s">
        <v>410</v>
      </c>
      <c r="P3267" s="47" t="s">
        <v>46</v>
      </c>
      <c r="Q3267" s="14">
        <v>0.03</v>
      </c>
      <c r="R3267" s="143"/>
      <c r="S3267" s="47"/>
      <c r="T3267" s="6">
        <v>63.648999999915986</v>
      </c>
      <c r="U3267" s="6"/>
      <c r="V3267" s="6">
        <v>0</v>
      </c>
      <c r="W3267" s="6">
        <f t="shared" si="505"/>
        <v>63.648999999915986</v>
      </c>
      <c r="X3267" s="6">
        <f t="shared" si="501"/>
        <v>0</v>
      </c>
      <c r="Y3267" s="13">
        <f t="shared" ref="Y3267:Y3330" si="506">IF(X3267-AD3267&lt;=0,0,IF(P3267="返现",MAX(X3267-AC3267-AD3267,0),MAX(X3267-AD3267)))</f>
        <v>0</v>
      </c>
      <c r="Z3267" s="14">
        <v>0</v>
      </c>
      <c r="AA3267" s="6">
        <v>0</v>
      </c>
      <c r="AB3267" s="4">
        <f t="shared" ref="AB3267:AB3330" si="507">X3267+AA3267</f>
        <v>0</v>
      </c>
      <c r="AC3267" s="4">
        <f t="shared" si="503"/>
        <v>0</v>
      </c>
      <c r="AD3267" s="6">
        <v>0</v>
      </c>
      <c r="AE3267" s="2">
        <f>VLOOKUP(I3267,[1]媒体政策预估表!A:N,MATCH(O3267,[1]媒体政策预估表!$A$2:$M$2,0),0)</f>
        <v>0</v>
      </c>
      <c r="AF3267" s="6">
        <f t="shared" si="504"/>
        <v>0</v>
      </c>
      <c r="AG3267" s="9">
        <v>0</v>
      </c>
      <c r="AH3267" s="6">
        <f t="shared" si="502"/>
        <v>0</v>
      </c>
      <c r="AI3267" s="47"/>
      <c r="AJ3267" s="126" t="e">
        <v>#N/A</v>
      </c>
      <c r="AK3267" s="80">
        <f t="shared" ref="AK3267:AK3330" si="508">X3267+AA3267-AB3267</f>
        <v>0</v>
      </c>
      <c r="AM3267" s="85"/>
    </row>
    <row r="3268" spans="1:39" hidden="1" x14ac:dyDescent="0.3">
      <c r="A3268" s="89" t="s">
        <v>3397</v>
      </c>
      <c r="B3268" s="86" t="s">
        <v>35</v>
      </c>
      <c r="C3268" s="86" t="s">
        <v>187</v>
      </c>
      <c r="D3268" s="86" t="s">
        <v>188</v>
      </c>
      <c r="E3268" s="86" t="s">
        <v>2437</v>
      </c>
      <c r="F3268" s="86" t="s">
        <v>2437</v>
      </c>
      <c r="G3268" s="86" t="s">
        <v>2437</v>
      </c>
      <c r="H3268" s="143">
        <v>237</v>
      </c>
      <c r="I3268" s="86" t="s">
        <v>2374</v>
      </c>
      <c r="J3268" s="1" t="s">
        <v>3322</v>
      </c>
      <c r="K3268" s="1" t="s">
        <v>3269</v>
      </c>
      <c r="L3268" s="1" t="s">
        <v>35</v>
      </c>
      <c r="M3268" s="86" t="s">
        <v>2438</v>
      </c>
      <c r="N3268" s="86"/>
      <c r="O3268" s="47" t="s">
        <v>45</v>
      </c>
      <c r="P3268" s="47" t="s">
        <v>46</v>
      </c>
      <c r="Q3268" s="14">
        <v>0.01</v>
      </c>
      <c r="R3268" s="143"/>
      <c r="S3268" s="47"/>
      <c r="T3268" s="6">
        <v>27534.366300000002</v>
      </c>
      <c r="U3268" s="6"/>
      <c r="V3268" s="6">
        <v>0</v>
      </c>
      <c r="W3268" s="6">
        <f t="shared" si="505"/>
        <v>27534.366300000002</v>
      </c>
      <c r="X3268" s="6">
        <f t="shared" si="501"/>
        <v>0</v>
      </c>
      <c r="Y3268" s="13">
        <f t="shared" si="506"/>
        <v>0</v>
      </c>
      <c r="Z3268" s="14">
        <v>0</v>
      </c>
      <c r="AA3268" s="6">
        <v>0</v>
      </c>
      <c r="AB3268" s="4">
        <f t="shared" si="507"/>
        <v>0</v>
      </c>
      <c r="AC3268" s="4">
        <f t="shared" si="503"/>
        <v>0</v>
      </c>
      <c r="AD3268" s="6">
        <v>0</v>
      </c>
      <c r="AE3268" s="2">
        <f>VLOOKUP(I3268,[1]媒体政策预估表!A:N,MATCH(O3268,[1]媒体政策预估表!$A$2:$M$2,0),0)</f>
        <v>0.06</v>
      </c>
      <c r="AF3268" s="6">
        <f t="shared" si="504"/>
        <v>0</v>
      </c>
      <c r="AG3268" s="9">
        <v>0.37</v>
      </c>
      <c r="AH3268" s="6">
        <f t="shared" si="502"/>
        <v>0</v>
      </c>
      <c r="AI3268" s="47"/>
      <c r="AJ3268" s="126" t="e">
        <v>#N/A</v>
      </c>
      <c r="AK3268" s="80">
        <f t="shared" si="508"/>
        <v>0</v>
      </c>
      <c r="AM3268" s="85"/>
    </row>
    <row r="3269" spans="1:39" hidden="1" x14ac:dyDescent="0.3">
      <c r="A3269" s="89" t="s">
        <v>3408</v>
      </c>
      <c r="B3269" s="86" t="s">
        <v>35</v>
      </c>
      <c r="C3269" s="86" t="s">
        <v>187</v>
      </c>
      <c r="D3269" s="86" t="s">
        <v>188</v>
      </c>
      <c r="E3269" s="86" t="s">
        <v>285</v>
      </c>
      <c r="F3269" s="86" t="s">
        <v>286</v>
      </c>
      <c r="G3269" s="86" t="s">
        <v>285</v>
      </c>
      <c r="H3269" s="143">
        <v>237</v>
      </c>
      <c r="I3269" s="86" t="s">
        <v>2374</v>
      </c>
      <c r="J3269" s="1" t="s">
        <v>3322</v>
      </c>
      <c r="K3269" s="1" t="s">
        <v>3269</v>
      </c>
      <c r="L3269" s="1" t="s">
        <v>35</v>
      </c>
      <c r="M3269" s="86" t="s">
        <v>2438</v>
      </c>
      <c r="N3269" s="86"/>
      <c r="O3269" s="47" t="s">
        <v>40</v>
      </c>
      <c r="P3269" s="47" t="s">
        <v>46</v>
      </c>
      <c r="Q3269" s="14">
        <v>-0.05</v>
      </c>
      <c r="R3269" s="143"/>
      <c r="S3269" s="47"/>
      <c r="T3269" s="6">
        <v>12653.093999999999</v>
      </c>
      <c r="U3269" s="6"/>
      <c r="V3269" s="6">
        <v>0</v>
      </c>
      <c r="W3269" s="6">
        <f t="shared" si="505"/>
        <v>12653.093999999999</v>
      </c>
      <c r="X3269" s="6">
        <f t="shared" si="501"/>
        <v>0</v>
      </c>
      <c r="Y3269" s="13">
        <f t="shared" si="506"/>
        <v>0</v>
      </c>
      <c r="Z3269" s="14">
        <v>0</v>
      </c>
      <c r="AA3269" s="6">
        <v>0</v>
      </c>
      <c r="AB3269" s="4">
        <f t="shared" si="507"/>
        <v>0</v>
      </c>
      <c r="AC3269" s="4">
        <f t="shared" si="503"/>
        <v>0</v>
      </c>
      <c r="AD3269" s="6">
        <v>0</v>
      </c>
      <c r="AE3269" s="2">
        <f>VLOOKUP(I3269,[1]媒体政策预估表!A:N,MATCH(O3269,[1]媒体政策预估表!$A$2:$M$2,0),0)</f>
        <v>7.0000000000000007E-2</v>
      </c>
      <c r="AF3269" s="6">
        <f t="shared" si="504"/>
        <v>0</v>
      </c>
      <c r="AG3269" s="9">
        <v>0.4</v>
      </c>
      <c r="AH3269" s="6">
        <f t="shared" si="502"/>
        <v>0</v>
      </c>
      <c r="AI3269" s="47"/>
      <c r="AJ3269" s="126" t="e">
        <v>#N/A</v>
      </c>
      <c r="AK3269" s="80">
        <f t="shared" si="508"/>
        <v>0</v>
      </c>
      <c r="AM3269" s="85"/>
    </row>
    <row r="3270" spans="1:39" hidden="1" x14ac:dyDescent="0.3">
      <c r="A3270" s="89" t="s">
        <v>3397</v>
      </c>
      <c r="B3270" s="86" t="s">
        <v>35</v>
      </c>
      <c r="C3270" s="86" t="s">
        <v>187</v>
      </c>
      <c r="D3270" s="86" t="s">
        <v>188</v>
      </c>
      <c r="E3270" s="86" t="s">
        <v>279</v>
      </c>
      <c r="F3270" s="86" t="s">
        <v>279</v>
      </c>
      <c r="G3270" s="86" t="s">
        <v>279</v>
      </c>
      <c r="H3270" s="143">
        <v>237</v>
      </c>
      <c r="I3270" s="86" t="s">
        <v>2374</v>
      </c>
      <c r="J3270" s="1" t="s">
        <v>3322</v>
      </c>
      <c r="K3270" s="1" t="s">
        <v>3269</v>
      </c>
      <c r="L3270" s="1" t="s">
        <v>35</v>
      </c>
      <c r="M3270" s="86" t="s">
        <v>2438</v>
      </c>
      <c r="N3270" s="86"/>
      <c r="O3270" s="47" t="s">
        <v>40</v>
      </c>
      <c r="P3270" s="47" t="s">
        <v>46</v>
      </c>
      <c r="Q3270" s="14">
        <v>0.03</v>
      </c>
      <c r="R3270" s="143"/>
      <c r="S3270" s="47"/>
      <c r="T3270" s="6">
        <v>18486.165999999997</v>
      </c>
      <c r="U3270" s="6"/>
      <c r="V3270" s="6">
        <v>0</v>
      </c>
      <c r="W3270" s="6">
        <f t="shared" si="505"/>
        <v>18486.165999999997</v>
      </c>
      <c r="X3270" s="6">
        <f t="shared" si="501"/>
        <v>0</v>
      </c>
      <c r="Y3270" s="13">
        <f t="shared" si="506"/>
        <v>0</v>
      </c>
      <c r="Z3270" s="14">
        <v>0</v>
      </c>
      <c r="AA3270" s="6">
        <v>0</v>
      </c>
      <c r="AB3270" s="4">
        <f t="shared" si="507"/>
        <v>0</v>
      </c>
      <c r="AC3270" s="4">
        <f t="shared" si="503"/>
        <v>0</v>
      </c>
      <c r="AD3270" s="6">
        <v>0</v>
      </c>
      <c r="AE3270" s="2">
        <f>VLOOKUP(I3270,[1]媒体政策预估表!A:N,MATCH(O3270,[1]媒体政策预估表!$A$2:$M$2,0),0)</f>
        <v>7.0000000000000007E-2</v>
      </c>
      <c r="AF3270" s="6">
        <f t="shared" si="504"/>
        <v>0</v>
      </c>
      <c r="AG3270" s="9">
        <v>0.4</v>
      </c>
      <c r="AH3270" s="6">
        <f t="shared" si="502"/>
        <v>0</v>
      </c>
      <c r="AI3270" s="47"/>
      <c r="AJ3270" s="126" t="e">
        <v>#N/A</v>
      </c>
      <c r="AK3270" s="80">
        <f t="shared" si="508"/>
        <v>0</v>
      </c>
      <c r="AM3270" s="85"/>
    </row>
    <row r="3271" spans="1:39" hidden="1" x14ac:dyDescent="0.3">
      <c r="A3271" s="89" t="s">
        <v>3397</v>
      </c>
      <c r="B3271" s="86" t="s">
        <v>35</v>
      </c>
      <c r="C3271" s="86" t="s">
        <v>187</v>
      </c>
      <c r="D3271" s="86" t="s">
        <v>188</v>
      </c>
      <c r="E3271" s="86" t="s">
        <v>279</v>
      </c>
      <c r="F3271" s="86" t="s">
        <v>279</v>
      </c>
      <c r="G3271" s="86" t="s">
        <v>279</v>
      </c>
      <c r="H3271" s="143">
        <v>237</v>
      </c>
      <c r="I3271" s="86" t="s">
        <v>2374</v>
      </c>
      <c r="J3271" s="1" t="s">
        <v>3322</v>
      </c>
      <c r="K3271" s="1" t="s">
        <v>3269</v>
      </c>
      <c r="L3271" s="1" t="s">
        <v>35</v>
      </c>
      <c r="M3271" s="86" t="s">
        <v>2438</v>
      </c>
      <c r="N3271" s="86"/>
      <c r="O3271" s="47" t="s">
        <v>40</v>
      </c>
      <c r="P3271" s="47" t="s">
        <v>46</v>
      </c>
      <c r="Q3271" s="14">
        <v>0.04</v>
      </c>
      <c r="R3271" s="143"/>
      <c r="S3271" s="47"/>
      <c r="T3271" s="6">
        <v>71845.729027397349</v>
      </c>
      <c r="U3271" s="6"/>
      <c r="V3271" s="6">
        <v>0</v>
      </c>
      <c r="W3271" s="6">
        <f t="shared" si="505"/>
        <v>71845.729027397349</v>
      </c>
      <c r="X3271" s="6">
        <f t="shared" si="501"/>
        <v>0</v>
      </c>
      <c r="Y3271" s="13">
        <f t="shared" si="506"/>
        <v>0</v>
      </c>
      <c r="Z3271" s="14">
        <v>0</v>
      </c>
      <c r="AA3271" s="6">
        <v>0</v>
      </c>
      <c r="AB3271" s="4">
        <f t="shared" si="507"/>
        <v>0</v>
      </c>
      <c r="AC3271" s="4">
        <f t="shared" si="503"/>
        <v>0</v>
      </c>
      <c r="AD3271" s="6">
        <v>0</v>
      </c>
      <c r="AE3271" s="2">
        <f>VLOOKUP(I3271,[1]媒体政策预估表!A:N,MATCH(O3271,[1]媒体政策预估表!$A$2:$M$2,0),0)</f>
        <v>7.0000000000000007E-2</v>
      </c>
      <c r="AF3271" s="6">
        <f t="shared" si="504"/>
        <v>0</v>
      </c>
      <c r="AG3271" s="9">
        <v>0.46</v>
      </c>
      <c r="AH3271" s="6">
        <f t="shared" si="502"/>
        <v>0</v>
      </c>
      <c r="AI3271" s="47"/>
      <c r="AJ3271" s="126" t="e">
        <v>#N/A</v>
      </c>
      <c r="AK3271" s="80">
        <f t="shared" si="508"/>
        <v>0</v>
      </c>
      <c r="AM3271" s="85"/>
    </row>
    <row r="3272" spans="1:39" hidden="1" x14ac:dyDescent="0.3">
      <c r="A3272" s="89" t="s">
        <v>3408</v>
      </c>
      <c r="B3272" s="86" t="s">
        <v>35</v>
      </c>
      <c r="C3272" s="86" t="s">
        <v>187</v>
      </c>
      <c r="D3272" s="86" t="s">
        <v>188</v>
      </c>
      <c r="E3272" s="86" t="s">
        <v>279</v>
      </c>
      <c r="F3272" s="86" t="s">
        <v>279</v>
      </c>
      <c r="G3272" s="86" t="s">
        <v>279</v>
      </c>
      <c r="H3272" s="143">
        <v>237</v>
      </c>
      <c r="I3272" s="86" t="s">
        <v>2374</v>
      </c>
      <c r="J3272" s="1" t="s">
        <v>3322</v>
      </c>
      <c r="K3272" s="1" t="s">
        <v>3269</v>
      </c>
      <c r="L3272" s="1" t="s">
        <v>35</v>
      </c>
      <c r="M3272" s="86" t="s">
        <v>2438</v>
      </c>
      <c r="N3272" s="86"/>
      <c r="O3272" s="47" t="s">
        <v>40</v>
      </c>
      <c r="P3272" s="47" t="s">
        <v>46</v>
      </c>
      <c r="Q3272" s="14">
        <v>0.09</v>
      </c>
      <c r="R3272" s="143"/>
      <c r="S3272" s="47"/>
      <c r="T3272" s="6">
        <v>-44999.996399999996</v>
      </c>
      <c r="U3272" s="6"/>
      <c r="V3272" s="6">
        <v>0</v>
      </c>
      <c r="W3272" s="6">
        <f t="shared" si="505"/>
        <v>-44999.996399999996</v>
      </c>
      <c r="X3272" s="6">
        <f t="shared" si="501"/>
        <v>0</v>
      </c>
      <c r="Y3272" s="13">
        <f t="shared" si="506"/>
        <v>0</v>
      </c>
      <c r="Z3272" s="14">
        <v>0</v>
      </c>
      <c r="AA3272" s="6">
        <v>0</v>
      </c>
      <c r="AB3272" s="4">
        <f t="shared" si="507"/>
        <v>0</v>
      </c>
      <c r="AC3272" s="4">
        <f t="shared" si="503"/>
        <v>0</v>
      </c>
      <c r="AD3272" s="6">
        <v>0</v>
      </c>
      <c r="AE3272" s="2">
        <f>VLOOKUP(I3272,[1]媒体政策预估表!A:N,MATCH(O3272,[1]媒体政策预估表!$A$2:$M$2,0),0)</f>
        <v>7.0000000000000007E-2</v>
      </c>
      <c r="AF3272" s="6">
        <f t="shared" si="504"/>
        <v>0</v>
      </c>
      <c r="AG3272" s="9">
        <v>0.41</v>
      </c>
      <c r="AH3272" s="6">
        <f t="shared" si="502"/>
        <v>0</v>
      </c>
      <c r="AI3272" s="47"/>
      <c r="AJ3272" s="126" t="e">
        <v>#N/A</v>
      </c>
      <c r="AK3272" s="80">
        <f t="shared" si="508"/>
        <v>0</v>
      </c>
      <c r="AM3272" s="85"/>
    </row>
    <row r="3273" spans="1:39" hidden="1" x14ac:dyDescent="0.3">
      <c r="A3273" s="89" t="s">
        <v>3397</v>
      </c>
      <c r="B3273" s="86" t="s">
        <v>35</v>
      </c>
      <c r="C3273" s="86" t="s">
        <v>187</v>
      </c>
      <c r="D3273" s="86" t="s">
        <v>188</v>
      </c>
      <c r="E3273" s="86" t="s">
        <v>279</v>
      </c>
      <c r="F3273" s="86" t="s">
        <v>279</v>
      </c>
      <c r="G3273" s="86" t="s">
        <v>279</v>
      </c>
      <c r="H3273" s="143">
        <v>237</v>
      </c>
      <c r="I3273" s="86" t="s">
        <v>2374</v>
      </c>
      <c r="J3273" s="1" t="s">
        <v>3322</v>
      </c>
      <c r="K3273" s="1" t="s">
        <v>3269</v>
      </c>
      <c r="L3273" s="1" t="s">
        <v>35</v>
      </c>
      <c r="M3273" s="86" t="s">
        <v>2438</v>
      </c>
      <c r="N3273" s="86"/>
      <c r="O3273" s="47" t="s">
        <v>40</v>
      </c>
      <c r="P3273" s="47" t="s">
        <v>46</v>
      </c>
      <c r="Q3273" s="14">
        <v>0.09</v>
      </c>
      <c r="R3273" s="143"/>
      <c r="S3273" s="47"/>
      <c r="T3273" s="6">
        <v>-26845.720799999999</v>
      </c>
      <c r="U3273" s="6"/>
      <c r="V3273" s="6">
        <v>0</v>
      </c>
      <c r="W3273" s="6">
        <f t="shared" si="505"/>
        <v>-26845.720799999999</v>
      </c>
      <c r="X3273" s="6">
        <f t="shared" si="501"/>
        <v>0</v>
      </c>
      <c r="Y3273" s="13">
        <f t="shared" si="506"/>
        <v>0</v>
      </c>
      <c r="Z3273" s="14">
        <v>0</v>
      </c>
      <c r="AA3273" s="6">
        <v>0</v>
      </c>
      <c r="AB3273" s="4">
        <f t="shared" si="507"/>
        <v>0</v>
      </c>
      <c r="AC3273" s="4">
        <f t="shared" si="503"/>
        <v>0</v>
      </c>
      <c r="AD3273" s="6">
        <v>0</v>
      </c>
      <c r="AE3273" s="2">
        <f>VLOOKUP(I3273,[1]媒体政策预估表!A:N,MATCH(O3273,[1]媒体政策预估表!$A$2:$M$2,0),0)</f>
        <v>7.0000000000000007E-2</v>
      </c>
      <c r="AF3273" s="6">
        <f t="shared" si="504"/>
        <v>0</v>
      </c>
      <c r="AG3273" s="9">
        <v>0.46</v>
      </c>
      <c r="AH3273" s="6">
        <f t="shared" si="502"/>
        <v>0</v>
      </c>
      <c r="AI3273" s="47"/>
      <c r="AJ3273" s="126" t="e">
        <v>#N/A</v>
      </c>
      <c r="AK3273" s="80">
        <f t="shared" si="508"/>
        <v>0</v>
      </c>
      <c r="AM3273" s="85"/>
    </row>
    <row r="3274" spans="1:39" hidden="1" x14ac:dyDescent="0.3">
      <c r="A3274" s="89" t="s">
        <v>3397</v>
      </c>
      <c r="B3274" s="86" t="s">
        <v>35</v>
      </c>
      <c r="C3274" s="86" t="s">
        <v>187</v>
      </c>
      <c r="D3274" s="86" t="s">
        <v>188</v>
      </c>
      <c r="E3274" s="86" t="s">
        <v>2441</v>
      </c>
      <c r="F3274" s="86" t="s">
        <v>2441</v>
      </c>
      <c r="G3274" s="86" t="s">
        <v>2441</v>
      </c>
      <c r="H3274" s="143">
        <v>237</v>
      </c>
      <c r="I3274" s="86" t="s">
        <v>2374</v>
      </c>
      <c r="J3274" s="1" t="s">
        <v>3322</v>
      </c>
      <c r="K3274" s="1" t="s">
        <v>3269</v>
      </c>
      <c r="L3274" s="1" t="s">
        <v>35</v>
      </c>
      <c r="M3274" s="86" t="s">
        <v>2438</v>
      </c>
      <c r="N3274" s="86"/>
      <c r="O3274" s="47" t="s">
        <v>40</v>
      </c>
      <c r="P3274" s="47" t="s">
        <v>46</v>
      </c>
      <c r="Q3274" s="14">
        <v>0.01</v>
      </c>
      <c r="R3274" s="143"/>
      <c r="S3274" s="47"/>
      <c r="T3274" s="6">
        <v>52448.685070439948</v>
      </c>
      <c r="U3274" s="6"/>
      <c r="V3274" s="6">
        <v>0</v>
      </c>
      <c r="W3274" s="6">
        <f t="shared" si="505"/>
        <v>52448.685070439948</v>
      </c>
      <c r="X3274" s="6">
        <f t="shared" si="501"/>
        <v>0</v>
      </c>
      <c r="Y3274" s="13">
        <f t="shared" si="506"/>
        <v>0</v>
      </c>
      <c r="Z3274" s="14">
        <v>0</v>
      </c>
      <c r="AA3274" s="6">
        <v>0</v>
      </c>
      <c r="AB3274" s="4">
        <f t="shared" si="507"/>
        <v>0</v>
      </c>
      <c r="AC3274" s="4">
        <f t="shared" si="503"/>
        <v>0</v>
      </c>
      <c r="AD3274" s="6">
        <v>0</v>
      </c>
      <c r="AE3274" s="2">
        <f>VLOOKUP(I3274,[1]媒体政策预估表!A:N,MATCH(O3274,[1]媒体政策预估表!$A$2:$M$2,0),0)</f>
        <v>7.0000000000000007E-2</v>
      </c>
      <c r="AF3274" s="6">
        <f t="shared" si="504"/>
        <v>0</v>
      </c>
      <c r="AG3274" s="9">
        <v>0.4</v>
      </c>
      <c r="AH3274" s="6">
        <f t="shared" si="502"/>
        <v>0</v>
      </c>
      <c r="AI3274" s="47"/>
      <c r="AJ3274" s="126" t="e">
        <v>#N/A</v>
      </c>
      <c r="AK3274" s="80">
        <f t="shared" si="508"/>
        <v>0</v>
      </c>
      <c r="AM3274" s="85"/>
    </row>
    <row r="3275" spans="1:39" hidden="1" x14ac:dyDescent="0.3">
      <c r="A3275" s="89" t="s">
        <v>3397</v>
      </c>
      <c r="B3275" s="86" t="s">
        <v>35</v>
      </c>
      <c r="C3275" s="86" t="s">
        <v>187</v>
      </c>
      <c r="D3275" s="86" t="s">
        <v>188</v>
      </c>
      <c r="E3275" s="86" t="s">
        <v>248</v>
      </c>
      <c r="F3275" s="86" t="s">
        <v>248</v>
      </c>
      <c r="G3275" s="86" t="s">
        <v>248</v>
      </c>
      <c r="H3275" s="143">
        <v>237</v>
      </c>
      <c r="I3275" s="86" t="s">
        <v>2374</v>
      </c>
      <c r="J3275" s="1" t="s">
        <v>3322</v>
      </c>
      <c r="K3275" s="1" t="s">
        <v>3269</v>
      </c>
      <c r="L3275" s="1" t="s">
        <v>35</v>
      </c>
      <c r="M3275" s="86" t="s">
        <v>2438</v>
      </c>
      <c r="N3275" s="86"/>
      <c r="O3275" s="47" t="s">
        <v>40</v>
      </c>
      <c r="P3275" s="47" t="s">
        <v>41</v>
      </c>
      <c r="Q3275" s="14">
        <v>0</v>
      </c>
      <c r="R3275" s="143"/>
      <c r="S3275" s="47" t="s">
        <v>3424</v>
      </c>
      <c r="T3275" s="6">
        <v>-3996.9150956944795</v>
      </c>
      <c r="U3275" s="6">
        <v>2085.3000000000002</v>
      </c>
      <c r="V3275" s="6">
        <v>0</v>
      </c>
      <c r="W3275" s="6">
        <f t="shared" si="505"/>
        <v>-1911.6150956944794</v>
      </c>
      <c r="X3275" s="6">
        <f t="shared" ref="X3275:X3302" si="509">IF(P3275="折扣",V3275*Q3275,IF(P3275="返现",V3275,V3275/(1+Q3275+AG3275)))</f>
        <v>0</v>
      </c>
      <c r="Y3275" s="13">
        <f t="shared" si="506"/>
        <v>0</v>
      </c>
      <c r="Z3275" s="14">
        <v>0</v>
      </c>
      <c r="AA3275" s="6">
        <v>0</v>
      </c>
      <c r="AB3275" s="4">
        <f t="shared" si="507"/>
        <v>0</v>
      </c>
      <c r="AC3275" s="4">
        <f t="shared" si="503"/>
        <v>0</v>
      </c>
      <c r="AD3275" s="6">
        <v>0</v>
      </c>
      <c r="AE3275" s="2">
        <f>VLOOKUP(I3275,[1]媒体政策预估表!A:N,MATCH(O3275,[1]媒体政策预估表!$A$2:$M$2,0),0)</f>
        <v>7.0000000000000007E-2</v>
      </c>
      <c r="AF3275" s="6">
        <f t="shared" si="504"/>
        <v>0</v>
      </c>
      <c r="AG3275" s="9">
        <v>0.4</v>
      </c>
      <c r="AH3275" s="6">
        <f t="shared" ref="AH3275:AH3302" si="510">V3275/(1+AG3275)</f>
        <v>0</v>
      </c>
      <c r="AI3275" s="47"/>
      <c r="AJ3275" s="126" t="e">
        <v>#N/A</v>
      </c>
      <c r="AK3275" s="80">
        <f t="shared" si="508"/>
        <v>0</v>
      </c>
      <c r="AM3275" s="85"/>
    </row>
    <row r="3276" spans="1:39" hidden="1" x14ac:dyDescent="0.3">
      <c r="A3276" s="89" t="s">
        <v>3408</v>
      </c>
      <c r="B3276" s="86" t="s">
        <v>35</v>
      </c>
      <c r="C3276" s="86" t="s">
        <v>187</v>
      </c>
      <c r="D3276" s="86" t="s">
        <v>188</v>
      </c>
      <c r="E3276" s="86" t="s">
        <v>2553</v>
      </c>
      <c r="F3276" s="86" t="s">
        <v>2553</v>
      </c>
      <c r="G3276" s="86" t="s">
        <v>2553</v>
      </c>
      <c r="H3276" s="143">
        <v>237</v>
      </c>
      <c r="I3276" s="86" t="s">
        <v>2374</v>
      </c>
      <c r="J3276" s="1" t="s">
        <v>3322</v>
      </c>
      <c r="K3276" s="1" t="s">
        <v>3269</v>
      </c>
      <c r="L3276" s="1" t="s">
        <v>35</v>
      </c>
      <c r="M3276" s="86" t="s">
        <v>2438</v>
      </c>
      <c r="N3276" s="86"/>
      <c r="O3276" s="47" t="s">
        <v>40</v>
      </c>
      <c r="P3276" s="47" t="s">
        <v>46</v>
      </c>
      <c r="Q3276" s="14">
        <v>0.01</v>
      </c>
      <c r="R3276" s="143"/>
      <c r="S3276" s="47"/>
      <c r="T3276" s="6">
        <v>-1.2000000016996637E-2</v>
      </c>
      <c r="U3276" s="6"/>
      <c r="V3276" s="6">
        <v>0</v>
      </c>
      <c r="W3276" s="6">
        <f t="shared" si="505"/>
        <v>-1.2000000016996637E-2</v>
      </c>
      <c r="X3276" s="6">
        <f t="shared" si="509"/>
        <v>0</v>
      </c>
      <c r="Y3276" s="13">
        <f t="shared" si="506"/>
        <v>0</v>
      </c>
      <c r="Z3276" s="14">
        <v>0</v>
      </c>
      <c r="AA3276" s="6">
        <v>0</v>
      </c>
      <c r="AB3276" s="4">
        <f t="shared" si="507"/>
        <v>0</v>
      </c>
      <c r="AC3276" s="4">
        <f t="shared" ref="AC3276:AC3339" si="511">IF(P3276="返现",X3276*Q3276,V3276-X3276)</f>
        <v>0</v>
      </c>
      <c r="AD3276" s="6">
        <v>0</v>
      </c>
      <c r="AE3276" s="2">
        <f>VLOOKUP(I3276,[1]媒体政策预估表!A:N,MATCH(O3276,[1]媒体政策预估表!$A$2:$M$2,0),0)</f>
        <v>7.0000000000000007E-2</v>
      </c>
      <c r="AF3276" s="6">
        <f t="shared" ref="AF3276:AF3339" si="512">AD3276*AE3276</f>
        <v>0</v>
      </c>
      <c r="AG3276" s="9">
        <v>0.4</v>
      </c>
      <c r="AH3276" s="6">
        <f t="shared" si="510"/>
        <v>0</v>
      </c>
      <c r="AI3276" s="47"/>
      <c r="AJ3276" s="126" t="e">
        <v>#N/A</v>
      </c>
      <c r="AK3276" s="80">
        <f t="shared" si="508"/>
        <v>0</v>
      </c>
      <c r="AM3276" s="85"/>
    </row>
    <row r="3277" spans="1:39" hidden="1" x14ac:dyDescent="0.3">
      <c r="A3277" s="89" t="s">
        <v>3397</v>
      </c>
      <c r="B3277" s="86" t="s">
        <v>35</v>
      </c>
      <c r="C3277" s="86" t="s">
        <v>187</v>
      </c>
      <c r="D3277" s="86" t="s">
        <v>208</v>
      </c>
      <c r="E3277" s="86" t="s">
        <v>288</v>
      </c>
      <c r="F3277" s="86" t="s">
        <v>288</v>
      </c>
      <c r="G3277" s="86" t="s">
        <v>288</v>
      </c>
      <c r="H3277" s="143">
        <v>237</v>
      </c>
      <c r="I3277" s="86" t="s">
        <v>2374</v>
      </c>
      <c r="J3277" s="1" t="s">
        <v>3322</v>
      </c>
      <c r="K3277" s="1" t="s">
        <v>3269</v>
      </c>
      <c r="L3277" s="1" t="s">
        <v>35</v>
      </c>
      <c r="M3277" s="86" t="s">
        <v>2438</v>
      </c>
      <c r="N3277" s="86"/>
      <c r="O3277" s="47" t="s">
        <v>40</v>
      </c>
      <c r="P3277" s="47" t="s">
        <v>46</v>
      </c>
      <c r="Q3277" s="14">
        <v>-0.2</v>
      </c>
      <c r="R3277" s="143"/>
      <c r="S3277" s="47"/>
      <c r="T3277" s="6">
        <v>-5.9999999998012754E-3</v>
      </c>
      <c r="U3277" s="6"/>
      <c r="V3277" s="6">
        <v>0</v>
      </c>
      <c r="W3277" s="6">
        <f t="shared" si="505"/>
        <v>-5.9999999998012754E-3</v>
      </c>
      <c r="X3277" s="6">
        <f t="shared" si="509"/>
        <v>0</v>
      </c>
      <c r="Y3277" s="13">
        <f t="shared" si="506"/>
        <v>0</v>
      </c>
      <c r="Z3277" s="14">
        <v>0</v>
      </c>
      <c r="AA3277" s="6">
        <v>0</v>
      </c>
      <c r="AB3277" s="4">
        <f t="shared" si="507"/>
        <v>0</v>
      </c>
      <c r="AC3277" s="4">
        <f t="shared" si="511"/>
        <v>0</v>
      </c>
      <c r="AD3277" s="6">
        <v>0</v>
      </c>
      <c r="AE3277" s="2">
        <f>VLOOKUP(I3277,[1]媒体政策预估表!A:N,MATCH(O3277,[1]媒体政策预估表!$A$2:$M$2,0),0)</f>
        <v>7.0000000000000007E-2</v>
      </c>
      <c r="AF3277" s="6">
        <f t="shared" si="512"/>
        <v>0</v>
      </c>
      <c r="AG3277" s="9">
        <v>0.4</v>
      </c>
      <c r="AH3277" s="6">
        <f t="shared" si="510"/>
        <v>0</v>
      </c>
      <c r="AI3277" s="47"/>
      <c r="AJ3277" s="126" t="e">
        <v>#N/A</v>
      </c>
      <c r="AK3277" s="80">
        <f t="shared" si="508"/>
        <v>0</v>
      </c>
      <c r="AM3277" s="85"/>
    </row>
    <row r="3278" spans="1:39" hidden="1" x14ac:dyDescent="0.3">
      <c r="A3278" s="89" t="s">
        <v>3397</v>
      </c>
      <c r="B3278" s="86" t="s">
        <v>35</v>
      </c>
      <c r="C3278" s="86" t="s">
        <v>187</v>
      </c>
      <c r="D3278" s="86" t="s">
        <v>208</v>
      </c>
      <c r="E3278" s="86" t="s">
        <v>2554</v>
      </c>
      <c r="F3278" s="86" t="s">
        <v>2554</v>
      </c>
      <c r="G3278" s="86" t="s">
        <v>2554</v>
      </c>
      <c r="H3278" s="143">
        <v>237</v>
      </c>
      <c r="I3278" s="86" t="s">
        <v>2374</v>
      </c>
      <c r="J3278" s="1" t="s">
        <v>3322</v>
      </c>
      <c r="K3278" s="1" t="s">
        <v>3269</v>
      </c>
      <c r="L3278" s="1" t="s">
        <v>35</v>
      </c>
      <c r="M3278" s="86" t="s">
        <v>2438</v>
      </c>
      <c r="N3278" s="86"/>
      <c r="O3278" s="47" t="s">
        <v>40</v>
      </c>
      <c r="P3278" s="47" t="s">
        <v>46</v>
      </c>
      <c r="Q3278" s="14">
        <v>0.03</v>
      </c>
      <c r="R3278" s="143"/>
      <c r="S3278" s="47"/>
      <c r="T3278" s="6">
        <v>-13927.29027636251</v>
      </c>
      <c r="U3278" s="6"/>
      <c r="V3278" s="6">
        <v>0</v>
      </c>
      <c r="W3278" s="6">
        <f t="shared" si="505"/>
        <v>-13927.29027636251</v>
      </c>
      <c r="X3278" s="6">
        <f t="shared" si="509"/>
        <v>0</v>
      </c>
      <c r="Y3278" s="13">
        <f t="shared" si="506"/>
        <v>0</v>
      </c>
      <c r="Z3278" s="14">
        <v>0</v>
      </c>
      <c r="AA3278" s="6">
        <v>0</v>
      </c>
      <c r="AB3278" s="4">
        <f t="shared" si="507"/>
        <v>0</v>
      </c>
      <c r="AC3278" s="4">
        <f t="shared" si="511"/>
        <v>0</v>
      </c>
      <c r="AD3278" s="6">
        <v>0</v>
      </c>
      <c r="AE3278" s="2">
        <f>VLOOKUP(I3278,[1]媒体政策预估表!A:N,MATCH(O3278,[1]媒体政策预估表!$A$2:$M$2,0),0)</f>
        <v>7.0000000000000007E-2</v>
      </c>
      <c r="AF3278" s="6">
        <f t="shared" si="512"/>
        <v>0</v>
      </c>
      <c r="AG3278" s="9">
        <v>0.41</v>
      </c>
      <c r="AH3278" s="6">
        <f t="shared" si="510"/>
        <v>0</v>
      </c>
      <c r="AI3278" s="47"/>
      <c r="AJ3278" s="126" t="e">
        <v>#N/A</v>
      </c>
      <c r="AK3278" s="80">
        <f t="shared" si="508"/>
        <v>0</v>
      </c>
      <c r="AM3278" s="85"/>
    </row>
    <row r="3279" spans="1:39" hidden="1" x14ac:dyDescent="0.3">
      <c r="A3279" s="89" t="s">
        <v>3408</v>
      </c>
      <c r="B3279" s="86" t="s">
        <v>35</v>
      </c>
      <c r="C3279" s="86" t="s">
        <v>187</v>
      </c>
      <c r="D3279" s="86" t="s">
        <v>208</v>
      </c>
      <c r="E3279" s="86" t="s">
        <v>2554</v>
      </c>
      <c r="F3279" s="86" t="s">
        <v>2554</v>
      </c>
      <c r="G3279" s="86" t="s">
        <v>2554</v>
      </c>
      <c r="H3279" s="143">
        <v>237</v>
      </c>
      <c r="I3279" s="86" t="s">
        <v>2374</v>
      </c>
      <c r="J3279" s="1" t="s">
        <v>3322</v>
      </c>
      <c r="K3279" s="1" t="s">
        <v>3269</v>
      </c>
      <c r="L3279" s="1" t="s">
        <v>35</v>
      </c>
      <c r="M3279" s="86" t="s">
        <v>2438</v>
      </c>
      <c r="N3279" s="86"/>
      <c r="O3279" s="47" t="s">
        <v>40</v>
      </c>
      <c r="P3279" s="47" t="s">
        <v>41</v>
      </c>
      <c r="Q3279" s="14">
        <v>0</v>
      </c>
      <c r="R3279" s="143"/>
      <c r="S3279" s="47"/>
      <c r="T3279" s="6">
        <v>14000</v>
      </c>
      <c r="U3279" s="6"/>
      <c r="V3279" s="6">
        <v>0</v>
      </c>
      <c r="W3279" s="6">
        <f t="shared" si="505"/>
        <v>14000</v>
      </c>
      <c r="X3279" s="6">
        <f t="shared" si="509"/>
        <v>0</v>
      </c>
      <c r="Y3279" s="13">
        <f t="shared" si="506"/>
        <v>0</v>
      </c>
      <c r="Z3279" s="14">
        <v>0</v>
      </c>
      <c r="AA3279" s="6">
        <v>0</v>
      </c>
      <c r="AB3279" s="4">
        <f t="shared" si="507"/>
        <v>0</v>
      </c>
      <c r="AC3279" s="4">
        <f t="shared" si="511"/>
        <v>0</v>
      </c>
      <c r="AD3279" s="6">
        <v>0</v>
      </c>
      <c r="AE3279" s="2">
        <f>VLOOKUP(I3279,[1]媒体政策预估表!A:N,MATCH(O3279,[1]媒体政策预估表!$A$2:$M$2,0),0)</f>
        <v>7.0000000000000007E-2</v>
      </c>
      <c r="AF3279" s="6">
        <f t="shared" si="512"/>
        <v>0</v>
      </c>
      <c r="AG3279" s="9">
        <v>0.4</v>
      </c>
      <c r="AH3279" s="6">
        <f t="shared" si="510"/>
        <v>0</v>
      </c>
      <c r="AI3279" s="47"/>
      <c r="AJ3279" s="126" t="e">
        <v>#N/A</v>
      </c>
      <c r="AK3279" s="80">
        <f t="shared" si="508"/>
        <v>0</v>
      </c>
      <c r="AM3279" s="85"/>
    </row>
    <row r="3280" spans="1:39" hidden="1" x14ac:dyDescent="0.3">
      <c r="A3280" s="89" t="s">
        <v>3408</v>
      </c>
      <c r="B3280" s="86" t="s">
        <v>35</v>
      </c>
      <c r="C3280" s="86" t="s">
        <v>187</v>
      </c>
      <c r="D3280" s="86" t="s">
        <v>208</v>
      </c>
      <c r="E3280" s="86" t="s">
        <v>2555</v>
      </c>
      <c r="F3280" s="86" t="s">
        <v>2555</v>
      </c>
      <c r="G3280" s="86" t="s">
        <v>2555</v>
      </c>
      <c r="H3280" s="143">
        <v>237</v>
      </c>
      <c r="I3280" s="86" t="s">
        <v>2374</v>
      </c>
      <c r="J3280" s="1" t="s">
        <v>3322</v>
      </c>
      <c r="K3280" s="1" t="s">
        <v>3269</v>
      </c>
      <c r="L3280" s="1" t="s">
        <v>35</v>
      </c>
      <c r="M3280" s="86" t="s">
        <v>2438</v>
      </c>
      <c r="N3280" s="86"/>
      <c r="O3280" s="47" t="s">
        <v>40</v>
      </c>
      <c r="P3280" s="47" t="s">
        <v>41</v>
      </c>
      <c r="Q3280" s="14">
        <v>0</v>
      </c>
      <c r="R3280" s="143"/>
      <c r="S3280" s="47" t="s">
        <v>3424</v>
      </c>
      <c r="T3280" s="6">
        <v>-1427.2399986321689</v>
      </c>
      <c r="U3280" s="6">
        <v>6566.41</v>
      </c>
      <c r="V3280" s="6">
        <v>0</v>
      </c>
      <c r="W3280" s="6">
        <f t="shared" si="505"/>
        <v>5139.170001367831</v>
      </c>
      <c r="X3280" s="6">
        <f t="shared" si="509"/>
        <v>0</v>
      </c>
      <c r="Y3280" s="13">
        <f t="shared" si="506"/>
        <v>0</v>
      </c>
      <c r="Z3280" s="14">
        <v>0</v>
      </c>
      <c r="AA3280" s="6">
        <v>0</v>
      </c>
      <c r="AB3280" s="4">
        <f t="shared" si="507"/>
        <v>0</v>
      </c>
      <c r="AC3280" s="4">
        <f t="shared" si="511"/>
        <v>0</v>
      </c>
      <c r="AD3280" s="6">
        <v>0</v>
      </c>
      <c r="AE3280" s="2">
        <f>VLOOKUP(I3280,[1]媒体政策预估表!A:N,MATCH(O3280,[1]媒体政策预估表!$A$2:$M$2,0),0)</f>
        <v>7.0000000000000007E-2</v>
      </c>
      <c r="AF3280" s="6">
        <f t="shared" si="512"/>
        <v>0</v>
      </c>
      <c r="AG3280" s="9">
        <v>0.4</v>
      </c>
      <c r="AH3280" s="6">
        <f t="shared" si="510"/>
        <v>0</v>
      </c>
      <c r="AI3280" s="47"/>
      <c r="AJ3280" s="126" t="e">
        <v>#N/A</v>
      </c>
      <c r="AK3280" s="80">
        <f t="shared" si="508"/>
        <v>0</v>
      </c>
      <c r="AM3280" s="85"/>
    </row>
    <row r="3281" spans="1:39" hidden="1" x14ac:dyDescent="0.3">
      <c r="A3281" s="89" t="s">
        <v>3397</v>
      </c>
      <c r="B3281" s="86" t="s">
        <v>35</v>
      </c>
      <c r="C3281" s="86" t="s">
        <v>187</v>
      </c>
      <c r="D3281" s="86" t="s">
        <v>188</v>
      </c>
      <c r="E3281" s="86" t="s">
        <v>285</v>
      </c>
      <c r="F3281" s="86" t="s">
        <v>286</v>
      </c>
      <c r="G3281" s="86" t="s">
        <v>285</v>
      </c>
      <c r="H3281" s="143">
        <v>237</v>
      </c>
      <c r="I3281" s="86" t="s">
        <v>2374</v>
      </c>
      <c r="J3281" s="1" t="s">
        <v>3322</v>
      </c>
      <c r="K3281" s="1" t="s">
        <v>3269</v>
      </c>
      <c r="L3281" s="1" t="s">
        <v>35</v>
      </c>
      <c r="M3281" s="86" t="s">
        <v>2438</v>
      </c>
      <c r="N3281" s="86"/>
      <c r="O3281" s="47" t="s">
        <v>45</v>
      </c>
      <c r="P3281" s="47" t="s">
        <v>46</v>
      </c>
      <c r="Q3281" s="14">
        <v>-7.0000000000000007E-2</v>
      </c>
      <c r="R3281" s="143"/>
      <c r="S3281" s="47"/>
      <c r="T3281" s="6">
        <v>242.23590510948313</v>
      </c>
      <c r="U3281" s="6"/>
      <c r="V3281" s="6">
        <v>0</v>
      </c>
      <c r="W3281" s="6">
        <f t="shared" si="505"/>
        <v>242.23590510948313</v>
      </c>
      <c r="X3281" s="6">
        <f t="shared" si="509"/>
        <v>0</v>
      </c>
      <c r="Y3281" s="13">
        <f t="shared" si="506"/>
        <v>0</v>
      </c>
      <c r="Z3281" s="14">
        <v>0</v>
      </c>
      <c r="AA3281" s="6">
        <v>0</v>
      </c>
      <c r="AB3281" s="4">
        <f t="shared" si="507"/>
        <v>0</v>
      </c>
      <c r="AC3281" s="4">
        <f t="shared" si="511"/>
        <v>0</v>
      </c>
      <c r="AD3281" s="6">
        <v>0</v>
      </c>
      <c r="AE3281" s="2">
        <f>VLOOKUP(I3281,[1]媒体政策预估表!A:N,MATCH(O3281,[1]媒体政策预估表!$A$2:$M$2,0),0)</f>
        <v>0.06</v>
      </c>
      <c r="AF3281" s="6">
        <f t="shared" si="512"/>
        <v>0</v>
      </c>
      <c r="AG3281" s="9">
        <v>0.37</v>
      </c>
      <c r="AH3281" s="6">
        <f t="shared" si="510"/>
        <v>0</v>
      </c>
      <c r="AI3281" s="47"/>
      <c r="AJ3281" s="126" t="e">
        <v>#N/A</v>
      </c>
      <c r="AK3281" s="80">
        <f t="shared" si="508"/>
        <v>0</v>
      </c>
      <c r="AM3281" s="85"/>
    </row>
    <row r="3282" spans="1:39" hidden="1" x14ac:dyDescent="0.3">
      <c r="A3282" s="89" t="s">
        <v>3408</v>
      </c>
      <c r="B3282" s="86" t="s">
        <v>35</v>
      </c>
      <c r="C3282" s="86" t="s">
        <v>187</v>
      </c>
      <c r="D3282" s="86" t="s">
        <v>188</v>
      </c>
      <c r="E3282" s="86" t="s">
        <v>2556</v>
      </c>
      <c r="F3282" s="86" t="s">
        <v>2556</v>
      </c>
      <c r="G3282" s="86" t="s">
        <v>2556</v>
      </c>
      <c r="H3282" s="144">
        <v>237</v>
      </c>
      <c r="I3282" s="86" t="s">
        <v>2374</v>
      </c>
      <c r="J3282" s="1" t="s">
        <v>3322</v>
      </c>
      <c r="K3282" s="1" t="s">
        <v>3269</v>
      </c>
      <c r="L3282" s="1" t="s">
        <v>35</v>
      </c>
      <c r="M3282" s="86" t="s">
        <v>2438</v>
      </c>
      <c r="N3282" s="86"/>
      <c r="O3282" s="47" t="s">
        <v>40</v>
      </c>
      <c r="P3282" s="47" t="s">
        <v>46</v>
      </c>
      <c r="Q3282" s="14">
        <v>0.04</v>
      </c>
      <c r="R3282" s="143"/>
      <c r="S3282" s="47"/>
      <c r="T3282" s="6">
        <v>41826.509999999966</v>
      </c>
      <c r="U3282" s="6"/>
      <c r="V3282" s="6">
        <v>22364.670000000006</v>
      </c>
      <c r="W3282" s="6">
        <f t="shared" si="505"/>
        <v>19461.83999999996</v>
      </c>
      <c r="X3282" s="6">
        <f t="shared" si="509"/>
        <v>15423.910344827591</v>
      </c>
      <c r="Y3282" s="13">
        <f t="shared" si="506"/>
        <v>0</v>
      </c>
      <c r="Z3282" s="14">
        <v>0</v>
      </c>
      <c r="AA3282" s="6">
        <v>0</v>
      </c>
      <c r="AB3282" s="4">
        <f t="shared" si="507"/>
        <v>15423.910344827591</v>
      </c>
      <c r="AC3282" s="4">
        <f t="shared" si="511"/>
        <v>6940.7596551724146</v>
      </c>
      <c r="AD3282" s="6">
        <v>15861.450000000003</v>
      </c>
      <c r="AE3282" s="2">
        <f>VLOOKUP(I3282,[1]媒体政策预估表!A:N,MATCH(O3282,[1]媒体政策预估表!$A$2:$M$2,0),0)</f>
        <v>7.0000000000000007E-2</v>
      </c>
      <c r="AF3282" s="6">
        <f t="shared" si="512"/>
        <v>1110.3015000000003</v>
      </c>
      <c r="AG3282" s="9">
        <v>0.41</v>
      </c>
      <c r="AH3282" s="6">
        <f t="shared" si="510"/>
        <v>15861.468085106388</v>
      </c>
      <c r="AI3282" s="47"/>
      <c r="AJ3282" s="126" t="e">
        <v>#N/A</v>
      </c>
      <c r="AK3282" s="80">
        <f t="shared" si="508"/>
        <v>0</v>
      </c>
      <c r="AM3282" s="85"/>
    </row>
    <row r="3283" spans="1:39" hidden="1" x14ac:dyDescent="0.3">
      <c r="A3283" s="89" t="s">
        <v>3408</v>
      </c>
      <c r="B3283" s="86" t="s">
        <v>35</v>
      </c>
      <c r="C3283" s="86" t="s">
        <v>187</v>
      </c>
      <c r="D3283" s="86" t="s">
        <v>188</v>
      </c>
      <c r="E3283" s="86" t="s">
        <v>266</v>
      </c>
      <c r="F3283" s="86" t="s">
        <v>266</v>
      </c>
      <c r="G3283" s="86" t="s">
        <v>266</v>
      </c>
      <c r="H3283" s="143">
        <v>237</v>
      </c>
      <c r="I3283" s="86" t="s">
        <v>2374</v>
      </c>
      <c r="J3283" s="1" t="s">
        <v>3322</v>
      </c>
      <c r="K3283" s="1" t="s">
        <v>3269</v>
      </c>
      <c r="L3283" s="1" t="s">
        <v>35</v>
      </c>
      <c r="M3283" s="86" t="s">
        <v>2438</v>
      </c>
      <c r="N3283" s="86"/>
      <c r="O3283" s="47" t="s">
        <v>40</v>
      </c>
      <c r="P3283" s="47" t="s">
        <v>46</v>
      </c>
      <c r="Q3283" s="14">
        <v>-0.06</v>
      </c>
      <c r="R3283" s="143"/>
      <c r="S3283" s="47"/>
      <c r="T3283" s="6">
        <v>13171.470704793706</v>
      </c>
      <c r="U3283" s="6"/>
      <c r="V3283" s="6">
        <v>0</v>
      </c>
      <c r="W3283" s="6">
        <f t="shared" si="505"/>
        <v>13171.470704793706</v>
      </c>
      <c r="X3283" s="6">
        <f t="shared" si="509"/>
        <v>0</v>
      </c>
      <c r="Y3283" s="13">
        <f t="shared" si="506"/>
        <v>0</v>
      </c>
      <c r="Z3283" s="14">
        <v>0</v>
      </c>
      <c r="AA3283" s="6">
        <v>0</v>
      </c>
      <c r="AB3283" s="4">
        <f t="shared" si="507"/>
        <v>0</v>
      </c>
      <c r="AC3283" s="4">
        <f t="shared" si="511"/>
        <v>0</v>
      </c>
      <c r="AD3283" s="6">
        <v>0</v>
      </c>
      <c r="AE3283" s="2">
        <f>VLOOKUP(I3283,[1]媒体政策预估表!A:N,MATCH(O3283,[1]媒体政策预估表!$A$2:$M$2,0),0)</f>
        <v>7.0000000000000007E-2</v>
      </c>
      <c r="AF3283" s="6">
        <f t="shared" si="512"/>
        <v>0</v>
      </c>
      <c r="AG3283" s="9">
        <v>0.46</v>
      </c>
      <c r="AH3283" s="6">
        <f t="shared" si="510"/>
        <v>0</v>
      </c>
      <c r="AI3283" s="47"/>
      <c r="AJ3283" s="126" t="e">
        <v>#N/A</v>
      </c>
      <c r="AK3283" s="80">
        <f t="shared" si="508"/>
        <v>0</v>
      </c>
      <c r="AM3283" s="85"/>
    </row>
    <row r="3284" spans="1:39" hidden="1" x14ac:dyDescent="0.3">
      <c r="A3284" s="89" t="s">
        <v>3397</v>
      </c>
      <c r="B3284" s="86" t="s">
        <v>35</v>
      </c>
      <c r="C3284" s="86" t="s">
        <v>187</v>
      </c>
      <c r="D3284" s="86" t="s">
        <v>188</v>
      </c>
      <c r="E3284" s="86" t="s">
        <v>189</v>
      </c>
      <c r="F3284" s="86" t="s">
        <v>2557</v>
      </c>
      <c r="G3284" s="86" t="s">
        <v>189</v>
      </c>
      <c r="H3284" s="143">
        <v>237</v>
      </c>
      <c r="I3284" s="86" t="s">
        <v>2374</v>
      </c>
      <c r="J3284" s="1" t="s">
        <v>3322</v>
      </c>
      <c r="K3284" s="1" t="s">
        <v>3269</v>
      </c>
      <c r="L3284" s="1" t="s">
        <v>35</v>
      </c>
      <c r="M3284" s="86" t="s">
        <v>2438</v>
      </c>
      <c r="N3284" s="86"/>
      <c r="O3284" s="47" t="s">
        <v>40</v>
      </c>
      <c r="P3284" s="47" t="s">
        <v>46</v>
      </c>
      <c r="Q3284" s="14">
        <v>0.11</v>
      </c>
      <c r="R3284" s="143"/>
      <c r="S3284" s="47"/>
      <c r="T3284" s="6">
        <v>-1997.87</v>
      </c>
      <c r="U3284" s="6"/>
      <c r="V3284" s="6">
        <v>0</v>
      </c>
      <c r="W3284" s="6">
        <f t="shared" si="505"/>
        <v>-1997.87</v>
      </c>
      <c r="X3284" s="6">
        <f t="shared" si="509"/>
        <v>0</v>
      </c>
      <c r="Y3284" s="13">
        <f t="shared" si="506"/>
        <v>0</v>
      </c>
      <c r="Z3284" s="14">
        <v>0</v>
      </c>
      <c r="AA3284" s="6">
        <v>0</v>
      </c>
      <c r="AB3284" s="4">
        <f t="shared" si="507"/>
        <v>0</v>
      </c>
      <c r="AC3284" s="4">
        <f t="shared" si="511"/>
        <v>0</v>
      </c>
      <c r="AD3284" s="6">
        <v>0</v>
      </c>
      <c r="AE3284" s="2">
        <f>VLOOKUP(I3284,[1]媒体政策预估表!A:N,MATCH(O3284,[1]媒体政策预估表!$A$2:$M$2,0),0)</f>
        <v>7.0000000000000007E-2</v>
      </c>
      <c r="AF3284" s="6">
        <f t="shared" si="512"/>
        <v>0</v>
      </c>
      <c r="AG3284" s="9">
        <v>0.46</v>
      </c>
      <c r="AH3284" s="6">
        <f t="shared" si="510"/>
        <v>0</v>
      </c>
      <c r="AI3284" s="47"/>
      <c r="AJ3284" s="126" t="e">
        <v>#N/A</v>
      </c>
      <c r="AK3284" s="80">
        <f t="shared" si="508"/>
        <v>0</v>
      </c>
      <c r="AM3284" s="85"/>
    </row>
    <row r="3285" spans="1:39" hidden="1" x14ac:dyDescent="0.3">
      <c r="A3285" s="89" t="s">
        <v>3397</v>
      </c>
      <c r="B3285" s="86" t="s">
        <v>35</v>
      </c>
      <c r="C3285" s="86" t="s">
        <v>187</v>
      </c>
      <c r="D3285" s="86" t="s">
        <v>188</v>
      </c>
      <c r="E3285" s="86" t="s">
        <v>2558</v>
      </c>
      <c r="F3285" s="86" t="s">
        <v>2558</v>
      </c>
      <c r="G3285" s="86" t="s">
        <v>2558</v>
      </c>
      <c r="H3285" s="143">
        <v>237</v>
      </c>
      <c r="I3285" s="86" t="s">
        <v>2374</v>
      </c>
      <c r="J3285" s="1" t="s">
        <v>3322</v>
      </c>
      <c r="K3285" s="1" t="s">
        <v>3269</v>
      </c>
      <c r="L3285" s="1" t="s">
        <v>35</v>
      </c>
      <c r="M3285" s="86" t="s">
        <v>2438</v>
      </c>
      <c r="N3285" s="86"/>
      <c r="O3285" s="47" t="s">
        <v>45</v>
      </c>
      <c r="P3285" s="47" t="s">
        <v>46</v>
      </c>
      <c r="Q3285" s="14">
        <v>0.03</v>
      </c>
      <c r="R3285" s="143"/>
      <c r="S3285" s="47"/>
      <c r="T3285" s="6">
        <v>124575.60023211583</v>
      </c>
      <c r="U3285" s="6"/>
      <c r="V3285" s="6">
        <v>0</v>
      </c>
      <c r="W3285" s="6">
        <f t="shared" si="505"/>
        <v>124575.60023211583</v>
      </c>
      <c r="X3285" s="6">
        <f t="shared" si="509"/>
        <v>0</v>
      </c>
      <c r="Y3285" s="13">
        <f t="shared" si="506"/>
        <v>0</v>
      </c>
      <c r="Z3285" s="14">
        <v>0</v>
      </c>
      <c r="AA3285" s="6">
        <v>0</v>
      </c>
      <c r="AB3285" s="4">
        <f t="shared" si="507"/>
        <v>0</v>
      </c>
      <c r="AC3285" s="4">
        <f t="shared" si="511"/>
        <v>0</v>
      </c>
      <c r="AD3285" s="6">
        <v>0</v>
      </c>
      <c r="AE3285" s="2">
        <f>VLOOKUP(I3285,[1]媒体政策预估表!A:N,MATCH(O3285,[1]媒体政策预估表!$A$2:$M$2,0),0)</f>
        <v>0.06</v>
      </c>
      <c r="AF3285" s="6">
        <f t="shared" si="512"/>
        <v>0</v>
      </c>
      <c r="AG3285" s="9">
        <v>0.37</v>
      </c>
      <c r="AH3285" s="6">
        <f t="shared" si="510"/>
        <v>0</v>
      </c>
      <c r="AI3285" s="47"/>
      <c r="AJ3285" s="126" t="e">
        <v>#N/A</v>
      </c>
      <c r="AK3285" s="80">
        <f t="shared" si="508"/>
        <v>0</v>
      </c>
      <c r="AM3285" s="85"/>
    </row>
    <row r="3286" spans="1:39" hidden="1" x14ac:dyDescent="0.3">
      <c r="A3286" s="89" t="s">
        <v>3408</v>
      </c>
      <c r="B3286" s="86" t="s">
        <v>35</v>
      </c>
      <c r="C3286" s="86" t="s">
        <v>187</v>
      </c>
      <c r="D3286" s="86" t="s">
        <v>188</v>
      </c>
      <c r="E3286" s="86" t="s">
        <v>279</v>
      </c>
      <c r="F3286" s="86" t="s">
        <v>279</v>
      </c>
      <c r="G3286" s="86" t="s">
        <v>279</v>
      </c>
      <c r="H3286" s="143">
        <v>237</v>
      </c>
      <c r="I3286" s="86" t="s">
        <v>2374</v>
      </c>
      <c r="J3286" s="1" t="s">
        <v>3322</v>
      </c>
      <c r="K3286" s="1" t="s">
        <v>3269</v>
      </c>
      <c r="L3286" s="1" t="s">
        <v>35</v>
      </c>
      <c r="M3286" s="86" t="s">
        <v>2438</v>
      </c>
      <c r="N3286" s="86"/>
      <c r="O3286" s="47" t="s">
        <v>45</v>
      </c>
      <c r="P3286" s="47" t="s">
        <v>46</v>
      </c>
      <c r="Q3286" s="14">
        <v>-2.0000000000000018E-2</v>
      </c>
      <c r="R3286" s="143"/>
      <c r="S3286" s="47"/>
      <c r="T3286" s="6">
        <v>12.659999999999901</v>
      </c>
      <c r="U3286" s="6"/>
      <c r="V3286" s="6">
        <v>0</v>
      </c>
      <c r="W3286" s="6">
        <f t="shared" si="505"/>
        <v>12.659999999999901</v>
      </c>
      <c r="X3286" s="6">
        <f t="shared" si="509"/>
        <v>0</v>
      </c>
      <c r="Y3286" s="13">
        <f t="shared" si="506"/>
        <v>0</v>
      </c>
      <c r="Z3286" s="14">
        <v>0</v>
      </c>
      <c r="AA3286" s="6">
        <v>0</v>
      </c>
      <c r="AB3286" s="4">
        <f t="shared" si="507"/>
        <v>0</v>
      </c>
      <c r="AC3286" s="4">
        <f t="shared" si="511"/>
        <v>0</v>
      </c>
      <c r="AD3286" s="6">
        <v>0</v>
      </c>
      <c r="AE3286" s="2">
        <f>VLOOKUP(I3286,[1]媒体政策预估表!A:N,MATCH(O3286,[1]媒体政策预估表!$A$2:$M$2,0),0)</f>
        <v>0.06</v>
      </c>
      <c r="AF3286" s="6">
        <f t="shared" si="512"/>
        <v>0</v>
      </c>
      <c r="AG3286" s="9">
        <v>0.37</v>
      </c>
      <c r="AH3286" s="6">
        <f t="shared" si="510"/>
        <v>0</v>
      </c>
      <c r="AI3286" s="47"/>
      <c r="AJ3286" s="126" t="e">
        <v>#N/A</v>
      </c>
      <c r="AK3286" s="80">
        <f t="shared" si="508"/>
        <v>0</v>
      </c>
      <c r="AM3286" s="85"/>
    </row>
    <row r="3287" spans="1:39" hidden="1" x14ac:dyDescent="0.3">
      <c r="A3287" s="89" t="s">
        <v>3397</v>
      </c>
      <c r="B3287" s="86" t="s">
        <v>35</v>
      </c>
      <c r="C3287" s="86" t="s">
        <v>187</v>
      </c>
      <c r="D3287" s="86" t="s">
        <v>188</v>
      </c>
      <c r="E3287" s="86" t="s">
        <v>2559</v>
      </c>
      <c r="F3287" s="86" t="s">
        <v>2559</v>
      </c>
      <c r="G3287" s="86" t="s">
        <v>2559</v>
      </c>
      <c r="H3287" s="143">
        <v>237</v>
      </c>
      <c r="I3287" s="86" t="s">
        <v>2374</v>
      </c>
      <c r="J3287" s="1" t="s">
        <v>3322</v>
      </c>
      <c r="K3287" s="1" t="s">
        <v>3269</v>
      </c>
      <c r="L3287" s="1" t="s">
        <v>35</v>
      </c>
      <c r="M3287" s="86" t="s">
        <v>2438</v>
      </c>
      <c r="N3287" s="86"/>
      <c r="O3287" s="47" t="s">
        <v>40</v>
      </c>
      <c r="P3287" s="47" t="s">
        <v>46</v>
      </c>
      <c r="Q3287" s="14">
        <v>0.09</v>
      </c>
      <c r="R3287" s="143"/>
      <c r="S3287" s="47"/>
      <c r="T3287" s="6">
        <v>77615.606438356161</v>
      </c>
      <c r="U3287" s="6"/>
      <c r="V3287" s="6">
        <v>0</v>
      </c>
      <c r="W3287" s="6">
        <f t="shared" si="505"/>
        <v>77615.606438356161</v>
      </c>
      <c r="X3287" s="6">
        <f t="shared" si="509"/>
        <v>0</v>
      </c>
      <c r="Y3287" s="13">
        <f t="shared" si="506"/>
        <v>0</v>
      </c>
      <c r="Z3287" s="14">
        <v>0</v>
      </c>
      <c r="AA3287" s="6">
        <v>0</v>
      </c>
      <c r="AB3287" s="4">
        <f t="shared" si="507"/>
        <v>0</v>
      </c>
      <c r="AC3287" s="4">
        <f t="shared" si="511"/>
        <v>0</v>
      </c>
      <c r="AD3287" s="6">
        <v>0</v>
      </c>
      <c r="AE3287" s="2">
        <f>VLOOKUP(I3287,[1]媒体政策预估表!A:N,MATCH(O3287,[1]媒体政策预估表!$A$2:$M$2,0),0)</f>
        <v>7.0000000000000007E-2</v>
      </c>
      <c r="AF3287" s="6">
        <f t="shared" si="512"/>
        <v>0</v>
      </c>
      <c r="AG3287" s="9">
        <v>0.46</v>
      </c>
      <c r="AH3287" s="6">
        <f t="shared" si="510"/>
        <v>0</v>
      </c>
      <c r="AI3287" s="47"/>
      <c r="AJ3287" s="126" t="e">
        <v>#N/A</v>
      </c>
      <c r="AK3287" s="80">
        <f t="shared" si="508"/>
        <v>0</v>
      </c>
      <c r="AM3287" s="85"/>
    </row>
    <row r="3288" spans="1:39" hidden="1" x14ac:dyDescent="0.3">
      <c r="A3288" s="89" t="s">
        <v>3408</v>
      </c>
      <c r="B3288" s="86" t="s">
        <v>35</v>
      </c>
      <c r="C3288" s="86" t="s">
        <v>187</v>
      </c>
      <c r="D3288" s="86" t="s">
        <v>188</v>
      </c>
      <c r="E3288" s="86" t="s">
        <v>2560</v>
      </c>
      <c r="F3288" s="86" t="s">
        <v>2560</v>
      </c>
      <c r="G3288" s="86" t="s">
        <v>2560</v>
      </c>
      <c r="H3288" s="143">
        <v>237</v>
      </c>
      <c r="I3288" s="86" t="s">
        <v>2374</v>
      </c>
      <c r="J3288" s="1" t="s">
        <v>3322</v>
      </c>
      <c r="K3288" s="1" t="s">
        <v>3269</v>
      </c>
      <c r="L3288" s="1" t="s">
        <v>35</v>
      </c>
      <c r="M3288" s="86" t="s">
        <v>2438</v>
      </c>
      <c r="N3288" s="86"/>
      <c r="O3288" s="47" t="s">
        <v>45</v>
      </c>
      <c r="P3288" s="47" t="s">
        <v>46</v>
      </c>
      <c r="Q3288" s="14">
        <v>0.03</v>
      </c>
      <c r="R3288" s="143"/>
      <c r="S3288" s="47"/>
      <c r="T3288" s="6">
        <v>2505.8718978102197</v>
      </c>
      <c r="U3288" s="6"/>
      <c r="V3288" s="6">
        <v>0</v>
      </c>
      <c r="W3288" s="6">
        <f t="shared" si="505"/>
        <v>2505.8718978102197</v>
      </c>
      <c r="X3288" s="6">
        <f t="shared" si="509"/>
        <v>0</v>
      </c>
      <c r="Y3288" s="13">
        <f t="shared" si="506"/>
        <v>0</v>
      </c>
      <c r="Z3288" s="14">
        <v>0</v>
      </c>
      <c r="AA3288" s="6">
        <v>0</v>
      </c>
      <c r="AB3288" s="4">
        <f t="shared" si="507"/>
        <v>0</v>
      </c>
      <c r="AC3288" s="4">
        <f t="shared" si="511"/>
        <v>0</v>
      </c>
      <c r="AD3288" s="6">
        <v>0</v>
      </c>
      <c r="AE3288" s="2">
        <f>VLOOKUP(I3288,[1]媒体政策预估表!A:N,MATCH(O3288,[1]媒体政策预估表!$A$2:$M$2,0),0)</f>
        <v>0.06</v>
      </c>
      <c r="AF3288" s="6">
        <f t="shared" si="512"/>
        <v>0</v>
      </c>
      <c r="AG3288" s="9">
        <v>0.37</v>
      </c>
      <c r="AH3288" s="6">
        <f t="shared" si="510"/>
        <v>0</v>
      </c>
      <c r="AI3288" s="47"/>
      <c r="AJ3288" s="126" t="e">
        <v>#N/A</v>
      </c>
      <c r="AK3288" s="80">
        <f t="shared" si="508"/>
        <v>0</v>
      </c>
      <c r="AM3288" s="85"/>
    </row>
    <row r="3289" spans="1:39" hidden="1" x14ac:dyDescent="0.3">
      <c r="A3289" s="89" t="s">
        <v>3397</v>
      </c>
      <c r="B3289" s="86" t="s">
        <v>35</v>
      </c>
      <c r="C3289" s="86" t="s">
        <v>187</v>
      </c>
      <c r="D3289" s="86" t="s">
        <v>188</v>
      </c>
      <c r="E3289" s="86" t="s">
        <v>248</v>
      </c>
      <c r="F3289" s="86" t="s">
        <v>248</v>
      </c>
      <c r="G3289" s="86" t="s">
        <v>248</v>
      </c>
      <c r="H3289" s="143">
        <v>237</v>
      </c>
      <c r="I3289" s="86" t="s">
        <v>2374</v>
      </c>
      <c r="J3289" s="1" t="s">
        <v>3322</v>
      </c>
      <c r="K3289" s="1" t="s">
        <v>3269</v>
      </c>
      <c r="L3289" s="1" t="s">
        <v>35</v>
      </c>
      <c r="M3289" s="86" t="s">
        <v>2438</v>
      </c>
      <c r="N3289" s="86"/>
      <c r="O3289" s="47" t="s">
        <v>45</v>
      </c>
      <c r="P3289" s="47" t="s">
        <v>46</v>
      </c>
      <c r="Q3289" s="14">
        <v>-2.0000000000000018E-2</v>
      </c>
      <c r="R3289" s="143"/>
      <c r="S3289" s="47"/>
      <c r="T3289" s="6">
        <v>45.723699999998644</v>
      </c>
      <c r="U3289" s="6"/>
      <c r="V3289" s="6">
        <v>0</v>
      </c>
      <c r="W3289" s="6">
        <f t="shared" si="505"/>
        <v>45.723699999998644</v>
      </c>
      <c r="X3289" s="6">
        <f t="shared" si="509"/>
        <v>0</v>
      </c>
      <c r="Y3289" s="13">
        <f t="shared" si="506"/>
        <v>0</v>
      </c>
      <c r="Z3289" s="14">
        <v>0</v>
      </c>
      <c r="AA3289" s="6">
        <v>0</v>
      </c>
      <c r="AB3289" s="4">
        <f t="shared" si="507"/>
        <v>0</v>
      </c>
      <c r="AC3289" s="4">
        <f t="shared" si="511"/>
        <v>0</v>
      </c>
      <c r="AD3289" s="6">
        <v>0</v>
      </c>
      <c r="AE3289" s="2">
        <f>VLOOKUP(I3289,[1]媒体政策预估表!A:N,MATCH(O3289,[1]媒体政策预估表!$A$2:$M$2,0),0)</f>
        <v>0.06</v>
      </c>
      <c r="AF3289" s="6">
        <f t="shared" si="512"/>
        <v>0</v>
      </c>
      <c r="AG3289" s="9">
        <v>0.37</v>
      </c>
      <c r="AH3289" s="6">
        <f t="shared" si="510"/>
        <v>0</v>
      </c>
      <c r="AI3289" s="47"/>
      <c r="AJ3289" s="126" t="e">
        <v>#N/A</v>
      </c>
      <c r="AK3289" s="80">
        <f t="shared" si="508"/>
        <v>0</v>
      </c>
      <c r="AM3289" s="85"/>
    </row>
    <row r="3290" spans="1:39" hidden="1" x14ac:dyDescent="0.3">
      <c r="A3290" s="89" t="s">
        <v>3408</v>
      </c>
      <c r="B3290" s="86" t="s">
        <v>35</v>
      </c>
      <c r="C3290" s="86" t="s">
        <v>187</v>
      </c>
      <c r="D3290" s="86" t="s">
        <v>188</v>
      </c>
      <c r="E3290" s="86" t="s">
        <v>248</v>
      </c>
      <c r="F3290" s="86" t="s">
        <v>248</v>
      </c>
      <c r="G3290" s="86" t="s">
        <v>248</v>
      </c>
      <c r="H3290" s="143">
        <v>237</v>
      </c>
      <c r="I3290" s="86" t="s">
        <v>2374</v>
      </c>
      <c r="J3290" s="1" t="s">
        <v>3322</v>
      </c>
      <c r="K3290" s="1" t="s">
        <v>3269</v>
      </c>
      <c r="L3290" s="1" t="s">
        <v>35</v>
      </c>
      <c r="M3290" s="86" t="s">
        <v>2438</v>
      </c>
      <c r="N3290" s="86"/>
      <c r="O3290" s="47" t="s">
        <v>45</v>
      </c>
      <c r="P3290" s="47" t="s">
        <v>46</v>
      </c>
      <c r="Q3290" s="14">
        <v>0.03</v>
      </c>
      <c r="R3290" s="143"/>
      <c r="S3290" s="47"/>
      <c r="T3290" s="6">
        <v>-49.886204379432456</v>
      </c>
      <c r="U3290" s="6"/>
      <c r="V3290" s="6">
        <v>0</v>
      </c>
      <c r="W3290" s="6">
        <f t="shared" si="505"/>
        <v>-49.886204379432456</v>
      </c>
      <c r="X3290" s="6">
        <f t="shared" si="509"/>
        <v>0</v>
      </c>
      <c r="Y3290" s="13">
        <f t="shared" si="506"/>
        <v>0</v>
      </c>
      <c r="Z3290" s="14">
        <v>0</v>
      </c>
      <c r="AA3290" s="6">
        <v>0</v>
      </c>
      <c r="AB3290" s="4">
        <f t="shared" si="507"/>
        <v>0</v>
      </c>
      <c r="AC3290" s="4">
        <f t="shared" si="511"/>
        <v>0</v>
      </c>
      <c r="AD3290" s="6">
        <v>0</v>
      </c>
      <c r="AE3290" s="2">
        <f>VLOOKUP(I3290,[1]媒体政策预估表!A:N,MATCH(O3290,[1]媒体政策预估表!$A$2:$M$2,0),0)</f>
        <v>0.06</v>
      </c>
      <c r="AF3290" s="6">
        <f t="shared" si="512"/>
        <v>0</v>
      </c>
      <c r="AG3290" s="9">
        <v>0.37</v>
      </c>
      <c r="AH3290" s="6">
        <f t="shared" si="510"/>
        <v>0</v>
      </c>
      <c r="AI3290" s="47"/>
      <c r="AJ3290" s="126" t="e">
        <v>#N/A</v>
      </c>
      <c r="AK3290" s="80">
        <f t="shared" si="508"/>
        <v>0</v>
      </c>
      <c r="AM3290" s="85"/>
    </row>
    <row r="3291" spans="1:39" hidden="1" x14ac:dyDescent="0.3">
      <c r="A3291" s="89" t="s">
        <v>3397</v>
      </c>
      <c r="B3291" s="86" t="s">
        <v>35</v>
      </c>
      <c r="C3291" s="86" t="s">
        <v>187</v>
      </c>
      <c r="D3291" s="86" t="s">
        <v>188</v>
      </c>
      <c r="E3291" s="86" t="s">
        <v>2561</v>
      </c>
      <c r="F3291" s="86" t="s">
        <v>2561</v>
      </c>
      <c r="G3291" s="86" t="s">
        <v>2561</v>
      </c>
      <c r="H3291" s="143">
        <v>237</v>
      </c>
      <c r="I3291" s="86" t="s">
        <v>2374</v>
      </c>
      <c r="J3291" s="1" t="s">
        <v>3322</v>
      </c>
      <c r="K3291" s="1" t="s">
        <v>3269</v>
      </c>
      <c r="L3291" s="1" t="s">
        <v>35</v>
      </c>
      <c r="M3291" s="86" t="s">
        <v>2438</v>
      </c>
      <c r="N3291" s="86"/>
      <c r="O3291" s="47" t="s">
        <v>40</v>
      </c>
      <c r="P3291" s="47" t="s">
        <v>46</v>
      </c>
      <c r="Q3291" s="14">
        <v>0.04</v>
      </c>
      <c r="R3291" s="143"/>
      <c r="S3291" s="47"/>
      <c r="T3291" s="6">
        <v>0.05</v>
      </c>
      <c r="U3291" s="6"/>
      <c r="V3291" s="6">
        <v>0</v>
      </c>
      <c r="W3291" s="6">
        <f t="shared" si="505"/>
        <v>0.05</v>
      </c>
      <c r="X3291" s="6">
        <f t="shared" si="509"/>
        <v>0</v>
      </c>
      <c r="Y3291" s="13">
        <f t="shared" si="506"/>
        <v>0</v>
      </c>
      <c r="Z3291" s="14">
        <v>0</v>
      </c>
      <c r="AA3291" s="6">
        <v>0</v>
      </c>
      <c r="AB3291" s="4">
        <f t="shared" si="507"/>
        <v>0</v>
      </c>
      <c r="AC3291" s="4">
        <f t="shared" si="511"/>
        <v>0</v>
      </c>
      <c r="AD3291" s="6">
        <v>0</v>
      </c>
      <c r="AE3291" s="2">
        <f>VLOOKUP(I3291,[1]媒体政策预估表!A:N,MATCH(O3291,[1]媒体政策预估表!$A$2:$M$2,0),0)</f>
        <v>7.0000000000000007E-2</v>
      </c>
      <c r="AF3291" s="6">
        <f t="shared" si="512"/>
        <v>0</v>
      </c>
      <c r="AG3291" s="9">
        <v>0.41</v>
      </c>
      <c r="AH3291" s="6">
        <f t="shared" si="510"/>
        <v>0</v>
      </c>
      <c r="AI3291" s="47"/>
      <c r="AJ3291" s="126" t="e">
        <v>#N/A</v>
      </c>
      <c r="AK3291" s="80">
        <f t="shared" si="508"/>
        <v>0</v>
      </c>
      <c r="AM3291" s="85"/>
    </row>
    <row r="3292" spans="1:39" hidden="1" x14ac:dyDescent="0.3">
      <c r="A3292" s="89" t="s">
        <v>3408</v>
      </c>
      <c r="B3292" s="86" t="s">
        <v>35</v>
      </c>
      <c r="C3292" s="86" t="s">
        <v>187</v>
      </c>
      <c r="D3292" s="86" t="s">
        <v>188</v>
      </c>
      <c r="E3292" s="86" t="s">
        <v>2562</v>
      </c>
      <c r="F3292" s="86" t="s">
        <v>2562</v>
      </c>
      <c r="G3292" s="86" t="s">
        <v>2562</v>
      </c>
      <c r="H3292" s="143">
        <v>237</v>
      </c>
      <c r="I3292" s="86" t="s">
        <v>2374</v>
      </c>
      <c r="J3292" s="1" t="s">
        <v>3322</v>
      </c>
      <c r="K3292" s="1" t="s">
        <v>3269</v>
      </c>
      <c r="L3292" s="1" t="s">
        <v>35</v>
      </c>
      <c r="M3292" s="86" t="s">
        <v>2438</v>
      </c>
      <c r="N3292" s="86"/>
      <c r="O3292" s="47" t="s">
        <v>45</v>
      </c>
      <c r="P3292" s="47" t="s">
        <v>46</v>
      </c>
      <c r="Q3292" s="14">
        <v>0.03</v>
      </c>
      <c r="R3292" s="143"/>
      <c r="S3292" s="47"/>
      <c r="T3292" s="6">
        <v>27969.793795620441</v>
      </c>
      <c r="U3292" s="6"/>
      <c r="V3292" s="6">
        <v>0</v>
      </c>
      <c r="W3292" s="6">
        <f t="shared" si="505"/>
        <v>27969.793795620441</v>
      </c>
      <c r="X3292" s="6">
        <f t="shared" si="509"/>
        <v>0</v>
      </c>
      <c r="Y3292" s="13">
        <f t="shared" si="506"/>
        <v>0</v>
      </c>
      <c r="Z3292" s="14">
        <v>0</v>
      </c>
      <c r="AA3292" s="6">
        <v>0</v>
      </c>
      <c r="AB3292" s="4">
        <f t="shared" si="507"/>
        <v>0</v>
      </c>
      <c r="AC3292" s="4">
        <f t="shared" si="511"/>
        <v>0</v>
      </c>
      <c r="AD3292" s="6">
        <v>0</v>
      </c>
      <c r="AE3292" s="2">
        <f>VLOOKUP(I3292,[1]媒体政策预估表!A:N,MATCH(O3292,[1]媒体政策预估表!$A$2:$M$2,0),0)</f>
        <v>0.06</v>
      </c>
      <c r="AF3292" s="6">
        <f t="shared" si="512"/>
        <v>0</v>
      </c>
      <c r="AG3292" s="9">
        <v>0.37</v>
      </c>
      <c r="AH3292" s="6">
        <f t="shared" si="510"/>
        <v>0</v>
      </c>
      <c r="AI3292" s="47"/>
      <c r="AJ3292" s="126" t="e">
        <v>#N/A</v>
      </c>
      <c r="AK3292" s="80">
        <f t="shared" si="508"/>
        <v>0</v>
      </c>
      <c r="AM3292" s="85"/>
    </row>
    <row r="3293" spans="1:39" hidden="1" x14ac:dyDescent="0.3">
      <c r="A3293" s="89" t="s">
        <v>3397</v>
      </c>
      <c r="B3293" s="86" t="s">
        <v>35</v>
      </c>
      <c r="C3293" s="86" t="s">
        <v>187</v>
      </c>
      <c r="D3293" s="86" t="s">
        <v>208</v>
      </c>
      <c r="E3293" s="86" t="s">
        <v>2563</v>
      </c>
      <c r="F3293" s="86" t="s">
        <v>2563</v>
      </c>
      <c r="G3293" s="86" t="s">
        <v>2563</v>
      </c>
      <c r="H3293" s="143">
        <v>237</v>
      </c>
      <c r="I3293" s="86" t="s">
        <v>2374</v>
      </c>
      <c r="J3293" s="1" t="s">
        <v>3322</v>
      </c>
      <c r="K3293" s="1" t="s">
        <v>3269</v>
      </c>
      <c r="L3293" s="1" t="s">
        <v>35</v>
      </c>
      <c r="M3293" s="86" t="s">
        <v>2438</v>
      </c>
      <c r="N3293" s="86"/>
      <c r="O3293" s="47" t="s">
        <v>40</v>
      </c>
      <c r="P3293" s="47" t="s">
        <v>46</v>
      </c>
      <c r="Q3293" s="14">
        <v>0.01</v>
      </c>
      <c r="R3293" s="143"/>
      <c r="S3293" s="47"/>
      <c r="T3293" s="6">
        <v>-56746.807504651188</v>
      </c>
      <c r="U3293" s="6"/>
      <c r="V3293" s="6">
        <v>0</v>
      </c>
      <c r="W3293" s="6">
        <f t="shared" si="505"/>
        <v>-56746.807504651188</v>
      </c>
      <c r="X3293" s="6">
        <f t="shared" si="509"/>
        <v>0</v>
      </c>
      <c r="Y3293" s="13">
        <f t="shared" si="506"/>
        <v>0</v>
      </c>
      <c r="Z3293" s="14">
        <v>0</v>
      </c>
      <c r="AA3293" s="6">
        <v>0</v>
      </c>
      <c r="AB3293" s="4">
        <f t="shared" si="507"/>
        <v>0</v>
      </c>
      <c r="AC3293" s="4">
        <f t="shared" si="511"/>
        <v>0</v>
      </c>
      <c r="AD3293" s="6">
        <v>0</v>
      </c>
      <c r="AE3293" s="2">
        <f>VLOOKUP(I3293,[1]媒体政策预估表!A:N,MATCH(O3293,[1]媒体政策预估表!$A$2:$M$2,0),0)</f>
        <v>7.0000000000000007E-2</v>
      </c>
      <c r="AF3293" s="6">
        <f t="shared" si="512"/>
        <v>0</v>
      </c>
      <c r="AG3293" s="9">
        <v>0.4</v>
      </c>
      <c r="AH3293" s="6">
        <f t="shared" si="510"/>
        <v>0</v>
      </c>
      <c r="AI3293" s="47"/>
      <c r="AJ3293" s="126" t="e">
        <v>#N/A</v>
      </c>
      <c r="AK3293" s="80">
        <f t="shared" si="508"/>
        <v>0</v>
      </c>
      <c r="AM3293" s="85"/>
    </row>
    <row r="3294" spans="1:39" hidden="1" x14ac:dyDescent="0.3">
      <c r="A3294" s="89" t="s">
        <v>3408</v>
      </c>
      <c r="B3294" s="86" t="s">
        <v>35</v>
      </c>
      <c r="C3294" s="86" t="s">
        <v>187</v>
      </c>
      <c r="D3294" s="86" t="s">
        <v>208</v>
      </c>
      <c r="E3294" s="86" t="s">
        <v>2457</v>
      </c>
      <c r="F3294" s="86" t="s">
        <v>2457</v>
      </c>
      <c r="G3294" s="86" t="s">
        <v>2457</v>
      </c>
      <c r="H3294" s="143">
        <v>237</v>
      </c>
      <c r="I3294" s="86" t="s">
        <v>2374</v>
      </c>
      <c r="J3294" s="1" t="s">
        <v>3322</v>
      </c>
      <c r="K3294" s="1" t="s">
        <v>3269</v>
      </c>
      <c r="L3294" s="1" t="s">
        <v>35</v>
      </c>
      <c r="M3294" s="86" t="s">
        <v>2438</v>
      </c>
      <c r="N3294" s="86"/>
      <c r="O3294" s="47" t="s">
        <v>45</v>
      </c>
      <c r="P3294" s="47" t="s">
        <v>46</v>
      </c>
      <c r="Q3294" s="14">
        <v>-2.0000000000000018E-2</v>
      </c>
      <c r="R3294" s="143"/>
      <c r="S3294" s="47"/>
      <c r="T3294" s="6">
        <v>-3481.5356934388265</v>
      </c>
      <c r="U3294" s="6"/>
      <c r="V3294" s="6">
        <v>0</v>
      </c>
      <c r="W3294" s="6">
        <f t="shared" si="505"/>
        <v>-3481.5356934388265</v>
      </c>
      <c r="X3294" s="6">
        <f t="shared" si="509"/>
        <v>0</v>
      </c>
      <c r="Y3294" s="13">
        <f t="shared" si="506"/>
        <v>0</v>
      </c>
      <c r="Z3294" s="14">
        <v>0</v>
      </c>
      <c r="AA3294" s="6">
        <v>0</v>
      </c>
      <c r="AB3294" s="4">
        <f t="shared" si="507"/>
        <v>0</v>
      </c>
      <c r="AC3294" s="4">
        <f t="shared" si="511"/>
        <v>0</v>
      </c>
      <c r="AD3294" s="6">
        <v>0</v>
      </c>
      <c r="AE3294" s="2">
        <f>VLOOKUP(I3294,[1]媒体政策预估表!A:N,MATCH(O3294,[1]媒体政策预估表!$A$2:$M$2,0),0)</f>
        <v>0.06</v>
      </c>
      <c r="AF3294" s="6">
        <f t="shared" si="512"/>
        <v>0</v>
      </c>
      <c r="AG3294" s="9">
        <v>0.37</v>
      </c>
      <c r="AH3294" s="6">
        <f t="shared" si="510"/>
        <v>0</v>
      </c>
      <c r="AI3294" s="47"/>
      <c r="AJ3294" s="126" t="e">
        <v>#N/A</v>
      </c>
      <c r="AK3294" s="80">
        <f t="shared" si="508"/>
        <v>0</v>
      </c>
      <c r="AM3294" s="85"/>
    </row>
    <row r="3295" spans="1:39" hidden="1" x14ac:dyDescent="0.3">
      <c r="A3295" s="89" t="s">
        <v>3397</v>
      </c>
      <c r="B3295" s="86" t="s">
        <v>35</v>
      </c>
      <c r="C3295" s="86" t="s">
        <v>187</v>
      </c>
      <c r="D3295" s="86" t="s">
        <v>208</v>
      </c>
      <c r="E3295" s="86" t="s">
        <v>2564</v>
      </c>
      <c r="F3295" s="86" t="s">
        <v>2565</v>
      </c>
      <c r="G3295" s="86" t="s">
        <v>2564</v>
      </c>
      <c r="H3295" s="143">
        <v>237</v>
      </c>
      <c r="I3295" s="86" t="s">
        <v>2374</v>
      </c>
      <c r="J3295" s="1" t="s">
        <v>3322</v>
      </c>
      <c r="K3295" s="1" t="s">
        <v>3269</v>
      </c>
      <c r="L3295" s="1" t="s">
        <v>35</v>
      </c>
      <c r="M3295" s="86" t="s">
        <v>2438</v>
      </c>
      <c r="N3295" s="86"/>
      <c r="O3295" s="47" t="s">
        <v>40</v>
      </c>
      <c r="P3295" s="47" t="s">
        <v>46</v>
      </c>
      <c r="Q3295" s="14">
        <v>0.06</v>
      </c>
      <c r="R3295" s="143"/>
      <c r="S3295" s="47"/>
      <c r="T3295" s="6">
        <v>0.16800000070361421</v>
      </c>
      <c r="U3295" s="6"/>
      <c r="V3295" s="6">
        <v>0</v>
      </c>
      <c r="W3295" s="6">
        <f t="shared" si="505"/>
        <v>0.16800000070361421</v>
      </c>
      <c r="X3295" s="6">
        <f t="shared" si="509"/>
        <v>0</v>
      </c>
      <c r="Y3295" s="13">
        <f t="shared" si="506"/>
        <v>0</v>
      </c>
      <c r="Z3295" s="14">
        <v>0</v>
      </c>
      <c r="AA3295" s="6">
        <v>0</v>
      </c>
      <c r="AB3295" s="4">
        <f t="shared" si="507"/>
        <v>0</v>
      </c>
      <c r="AC3295" s="4">
        <f t="shared" si="511"/>
        <v>0</v>
      </c>
      <c r="AD3295" s="6">
        <v>0</v>
      </c>
      <c r="AE3295" s="2">
        <f>VLOOKUP(I3295,[1]媒体政策预估表!A:N,MATCH(O3295,[1]媒体政策预估表!$A$2:$M$2,0),0)</f>
        <v>7.0000000000000007E-2</v>
      </c>
      <c r="AF3295" s="6">
        <f t="shared" si="512"/>
        <v>0</v>
      </c>
      <c r="AG3295" s="9">
        <v>0.46</v>
      </c>
      <c r="AH3295" s="6">
        <f t="shared" si="510"/>
        <v>0</v>
      </c>
      <c r="AI3295" s="47"/>
      <c r="AJ3295" s="126" t="e">
        <v>#N/A</v>
      </c>
      <c r="AK3295" s="80">
        <f t="shared" si="508"/>
        <v>0</v>
      </c>
      <c r="AM3295" s="85"/>
    </row>
    <row r="3296" spans="1:39" hidden="1" x14ac:dyDescent="0.3">
      <c r="A3296" s="89" t="s">
        <v>3397</v>
      </c>
      <c r="B3296" s="86" t="s">
        <v>35</v>
      </c>
      <c r="C3296" s="86" t="s">
        <v>187</v>
      </c>
      <c r="D3296" s="86" t="s">
        <v>208</v>
      </c>
      <c r="E3296" s="86" t="s">
        <v>2461</v>
      </c>
      <c r="F3296" s="86" t="s">
        <v>2461</v>
      </c>
      <c r="G3296" s="86" t="s">
        <v>2461</v>
      </c>
      <c r="H3296" s="143">
        <v>237</v>
      </c>
      <c r="I3296" s="86" t="s">
        <v>2374</v>
      </c>
      <c r="J3296" s="1" t="s">
        <v>3322</v>
      </c>
      <c r="K3296" s="1" t="s">
        <v>3269</v>
      </c>
      <c r="L3296" s="1" t="s">
        <v>35</v>
      </c>
      <c r="M3296" s="86" t="s">
        <v>2438</v>
      </c>
      <c r="N3296" s="86"/>
      <c r="O3296" s="47" t="s">
        <v>40</v>
      </c>
      <c r="P3296" s="47" t="s">
        <v>46</v>
      </c>
      <c r="Q3296" s="14">
        <v>0.09</v>
      </c>
      <c r="R3296" s="143"/>
      <c r="S3296" s="47"/>
      <c r="T3296" s="6">
        <v>61137.986145203991</v>
      </c>
      <c r="U3296" s="6"/>
      <c r="V3296" s="6">
        <v>0</v>
      </c>
      <c r="W3296" s="6">
        <f t="shared" si="505"/>
        <v>61137.986145203991</v>
      </c>
      <c r="X3296" s="6">
        <f t="shared" si="509"/>
        <v>0</v>
      </c>
      <c r="Y3296" s="13">
        <f t="shared" si="506"/>
        <v>0</v>
      </c>
      <c r="Z3296" s="14">
        <v>0</v>
      </c>
      <c r="AA3296" s="6">
        <v>0</v>
      </c>
      <c r="AB3296" s="4">
        <f t="shared" si="507"/>
        <v>0</v>
      </c>
      <c r="AC3296" s="4">
        <f t="shared" si="511"/>
        <v>0</v>
      </c>
      <c r="AD3296" s="6">
        <v>0</v>
      </c>
      <c r="AE3296" s="2">
        <f>VLOOKUP(I3296,[1]媒体政策预估表!A:N,MATCH(O3296,[1]媒体政策预估表!$A$2:$M$2,0),0)</f>
        <v>7.0000000000000007E-2</v>
      </c>
      <c r="AF3296" s="6">
        <f t="shared" si="512"/>
        <v>0</v>
      </c>
      <c r="AG3296" s="9">
        <v>0.46</v>
      </c>
      <c r="AH3296" s="6">
        <f t="shared" si="510"/>
        <v>0</v>
      </c>
      <c r="AI3296" s="47"/>
      <c r="AJ3296" s="126" t="e">
        <v>#N/A</v>
      </c>
      <c r="AK3296" s="80">
        <f t="shared" si="508"/>
        <v>0</v>
      </c>
      <c r="AM3296" s="85"/>
    </row>
    <row r="3297" spans="1:39" hidden="1" x14ac:dyDescent="0.3">
      <c r="A3297" s="89" t="s">
        <v>3397</v>
      </c>
      <c r="B3297" s="86" t="s">
        <v>35</v>
      </c>
      <c r="C3297" s="86" t="s">
        <v>187</v>
      </c>
      <c r="D3297" s="86" t="s">
        <v>208</v>
      </c>
      <c r="E3297" s="86" t="s">
        <v>2554</v>
      </c>
      <c r="F3297" s="86" t="s">
        <v>2554</v>
      </c>
      <c r="G3297" s="86" t="s">
        <v>2554</v>
      </c>
      <c r="H3297" s="143">
        <v>237</v>
      </c>
      <c r="I3297" s="86" t="s">
        <v>2374</v>
      </c>
      <c r="J3297" s="1" t="s">
        <v>3322</v>
      </c>
      <c r="K3297" s="1" t="s">
        <v>3269</v>
      </c>
      <c r="L3297" s="1" t="s">
        <v>35</v>
      </c>
      <c r="M3297" s="86" t="s">
        <v>2438</v>
      </c>
      <c r="N3297" s="86"/>
      <c r="O3297" s="47" t="s">
        <v>40</v>
      </c>
      <c r="P3297" s="47" t="s">
        <v>46</v>
      </c>
      <c r="Q3297" s="14">
        <v>-0.06</v>
      </c>
      <c r="R3297" s="143"/>
      <c r="S3297" s="47"/>
      <c r="T3297" s="6">
        <v>14000</v>
      </c>
      <c r="U3297" s="6"/>
      <c r="V3297" s="6">
        <v>0</v>
      </c>
      <c r="W3297" s="6">
        <f t="shared" si="505"/>
        <v>14000</v>
      </c>
      <c r="X3297" s="6">
        <f t="shared" si="509"/>
        <v>0</v>
      </c>
      <c r="Y3297" s="13">
        <f t="shared" si="506"/>
        <v>0</v>
      </c>
      <c r="Z3297" s="14">
        <v>0</v>
      </c>
      <c r="AA3297" s="6">
        <v>0</v>
      </c>
      <c r="AB3297" s="4">
        <f t="shared" si="507"/>
        <v>0</v>
      </c>
      <c r="AC3297" s="4">
        <f t="shared" si="511"/>
        <v>0</v>
      </c>
      <c r="AD3297" s="6">
        <v>0</v>
      </c>
      <c r="AE3297" s="2">
        <f>VLOOKUP(I3297,[1]媒体政策预估表!A:N,MATCH(O3297,[1]媒体政策预估表!$A$2:$M$2,0),0)</f>
        <v>7.0000000000000007E-2</v>
      </c>
      <c r="AF3297" s="6">
        <f t="shared" si="512"/>
        <v>0</v>
      </c>
      <c r="AG3297" s="9">
        <v>0.46</v>
      </c>
      <c r="AH3297" s="6">
        <f t="shared" si="510"/>
        <v>0</v>
      </c>
      <c r="AI3297" s="47"/>
      <c r="AJ3297" s="126" t="e">
        <v>#N/A</v>
      </c>
      <c r="AK3297" s="80">
        <f t="shared" si="508"/>
        <v>0</v>
      </c>
      <c r="AM3297" s="85"/>
    </row>
    <row r="3298" spans="1:39" hidden="1" x14ac:dyDescent="0.3">
      <c r="A3298" s="89" t="s">
        <v>3408</v>
      </c>
      <c r="B3298" s="86" t="s">
        <v>35</v>
      </c>
      <c r="C3298" s="86" t="s">
        <v>187</v>
      </c>
      <c r="D3298" s="86" t="s">
        <v>208</v>
      </c>
      <c r="E3298" s="86" t="s">
        <v>294</v>
      </c>
      <c r="F3298" s="86" t="s">
        <v>294</v>
      </c>
      <c r="G3298" s="86" t="s">
        <v>294</v>
      </c>
      <c r="H3298" s="143">
        <v>237</v>
      </c>
      <c r="I3298" s="86" t="s">
        <v>2374</v>
      </c>
      <c r="J3298" s="1" t="s">
        <v>3322</v>
      </c>
      <c r="K3298" s="1" t="s">
        <v>3269</v>
      </c>
      <c r="L3298" s="1" t="s">
        <v>35</v>
      </c>
      <c r="M3298" s="86" t="s">
        <v>2438</v>
      </c>
      <c r="N3298" s="86"/>
      <c r="O3298" s="47" t="s">
        <v>40</v>
      </c>
      <c r="P3298" s="47" t="s">
        <v>46</v>
      </c>
      <c r="Q3298" s="14">
        <v>0.06</v>
      </c>
      <c r="R3298" s="143"/>
      <c r="S3298" s="47"/>
      <c r="T3298" s="6">
        <v>22187.300465756074</v>
      </c>
      <c r="U3298" s="6"/>
      <c r="V3298" s="6">
        <v>0</v>
      </c>
      <c r="W3298" s="6">
        <f t="shared" si="505"/>
        <v>22187.300465756074</v>
      </c>
      <c r="X3298" s="6">
        <f t="shared" si="509"/>
        <v>0</v>
      </c>
      <c r="Y3298" s="13">
        <f t="shared" si="506"/>
        <v>0</v>
      </c>
      <c r="Z3298" s="14">
        <v>0</v>
      </c>
      <c r="AA3298" s="6">
        <v>0</v>
      </c>
      <c r="AB3298" s="4">
        <f t="shared" si="507"/>
        <v>0</v>
      </c>
      <c r="AC3298" s="4">
        <f t="shared" si="511"/>
        <v>0</v>
      </c>
      <c r="AD3298" s="6">
        <v>0</v>
      </c>
      <c r="AE3298" s="2">
        <f>VLOOKUP(I3298,[1]媒体政策预估表!A:N,MATCH(O3298,[1]媒体政策预估表!$A$2:$M$2,0),0)</f>
        <v>7.0000000000000007E-2</v>
      </c>
      <c r="AF3298" s="6">
        <f t="shared" si="512"/>
        <v>0</v>
      </c>
      <c r="AG3298" s="9">
        <v>0.46</v>
      </c>
      <c r="AH3298" s="6">
        <f t="shared" si="510"/>
        <v>0</v>
      </c>
      <c r="AI3298" s="47"/>
      <c r="AJ3298" s="126" t="e">
        <v>#N/A</v>
      </c>
      <c r="AK3298" s="80">
        <f t="shared" si="508"/>
        <v>0</v>
      </c>
      <c r="AM3298" s="85"/>
    </row>
    <row r="3299" spans="1:39" hidden="1" x14ac:dyDescent="0.3">
      <c r="A3299" s="89" t="s">
        <v>3397</v>
      </c>
      <c r="B3299" s="86" t="s">
        <v>35</v>
      </c>
      <c r="C3299" s="86" t="s">
        <v>187</v>
      </c>
      <c r="D3299" s="86" t="s">
        <v>208</v>
      </c>
      <c r="E3299" s="86" t="s">
        <v>2566</v>
      </c>
      <c r="F3299" s="86" t="s">
        <v>2566</v>
      </c>
      <c r="G3299" s="86" t="s">
        <v>2566</v>
      </c>
      <c r="H3299" s="143">
        <v>237</v>
      </c>
      <c r="I3299" s="86" t="s">
        <v>2374</v>
      </c>
      <c r="J3299" s="1" t="s">
        <v>3322</v>
      </c>
      <c r="K3299" s="1" t="s">
        <v>3269</v>
      </c>
      <c r="L3299" s="1" t="s">
        <v>35</v>
      </c>
      <c r="M3299" s="86" t="s">
        <v>2438</v>
      </c>
      <c r="N3299" s="86"/>
      <c r="O3299" s="47" t="s">
        <v>40</v>
      </c>
      <c r="P3299" s="47" t="s">
        <v>46</v>
      </c>
      <c r="Q3299" s="14">
        <v>0.09</v>
      </c>
      <c r="R3299" s="143"/>
      <c r="S3299" s="47"/>
      <c r="T3299" s="6">
        <v>4.0000000793952495E-2</v>
      </c>
      <c r="U3299" s="6"/>
      <c r="V3299" s="6">
        <v>0</v>
      </c>
      <c r="W3299" s="6">
        <f t="shared" si="505"/>
        <v>4.0000000793952495E-2</v>
      </c>
      <c r="X3299" s="6">
        <f t="shared" si="509"/>
        <v>0</v>
      </c>
      <c r="Y3299" s="13">
        <f t="shared" si="506"/>
        <v>0</v>
      </c>
      <c r="Z3299" s="14">
        <v>0</v>
      </c>
      <c r="AA3299" s="6">
        <v>0</v>
      </c>
      <c r="AB3299" s="4">
        <f t="shared" si="507"/>
        <v>0</v>
      </c>
      <c r="AC3299" s="4">
        <f t="shared" si="511"/>
        <v>0</v>
      </c>
      <c r="AD3299" s="6">
        <v>0</v>
      </c>
      <c r="AE3299" s="2">
        <f>VLOOKUP(I3299,[1]媒体政策预估表!A:N,MATCH(O3299,[1]媒体政策预估表!$A$2:$M$2,0),0)</f>
        <v>7.0000000000000007E-2</v>
      </c>
      <c r="AF3299" s="6">
        <f t="shared" si="512"/>
        <v>0</v>
      </c>
      <c r="AG3299" s="9">
        <v>0.46</v>
      </c>
      <c r="AH3299" s="6">
        <f t="shared" si="510"/>
        <v>0</v>
      </c>
      <c r="AI3299" s="47"/>
      <c r="AJ3299" s="126" t="e">
        <v>#N/A</v>
      </c>
      <c r="AK3299" s="80">
        <f t="shared" si="508"/>
        <v>0</v>
      </c>
      <c r="AM3299" s="85"/>
    </row>
    <row r="3300" spans="1:39" hidden="1" x14ac:dyDescent="0.3">
      <c r="A3300" s="89" t="s">
        <v>3397</v>
      </c>
      <c r="B3300" s="86" t="s">
        <v>35</v>
      </c>
      <c r="C3300" s="86" t="s">
        <v>164</v>
      </c>
      <c r="D3300" s="86" t="s">
        <v>174</v>
      </c>
      <c r="E3300" s="86" t="s">
        <v>2567</v>
      </c>
      <c r="F3300" s="86" t="s">
        <v>2568</v>
      </c>
      <c r="G3300" s="86" t="s">
        <v>2567</v>
      </c>
      <c r="H3300" s="143">
        <v>237</v>
      </c>
      <c r="I3300" s="86" t="s">
        <v>2374</v>
      </c>
      <c r="J3300" s="1" t="s">
        <v>3322</v>
      </c>
      <c r="K3300" s="1" t="s">
        <v>3269</v>
      </c>
      <c r="L3300" s="1" t="s">
        <v>35</v>
      </c>
      <c r="M3300" s="86" t="s">
        <v>2569</v>
      </c>
      <c r="N3300" s="86"/>
      <c r="O3300" s="47" t="s">
        <v>40</v>
      </c>
      <c r="P3300" s="47" t="s">
        <v>46</v>
      </c>
      <c r="Q3300" s="14">
        <v>4.1399999999999999E-2</v>
      </c>
      <c r="R3300" s="143"/>
      <c r="S3300" s="47"/>
      <c r="T3300" s="6">
        <v>-160156.09419999988</v>
      </c>
      <c r="U3300" s="6"/>
      <c r="V3300" s="6">
        <v>0</v>
      </c>
      <c r="W3300" s="6">
        <f t="shared" si="505"/>
        <v>-160156.09419999988</v>
      </c>
      <c r="X3300" s="6">
        <f t="shared" si="509"/>
        <v>0</v>
      </c>
      <c r="Y3300" s="13">
        <f t="shared" si="506"/>
        <v>0</v>
      </c>
      <c r="Z3300" s="14">
        <v>0</v>
      </c>
      <c r="AA3300" s="6">
        <v>0</v>
      </c>
      <c r="AB3300" s="4">
        <f t="shared" si="507"/>
        <v>0</v>
      </c>
      <c r="AC3300" s="4">
        <f t="shared" si="511"/>
        <v>0</v>
      </c>
      <c r="AD3300" s="6">
        <v>0</v>
      </c>
      <c r="AE3300" s="2">
        <f>VLOOKUP(I3300,[1]媒体政策预估表!A:N,MATCH(O3300,[1]媒体政策预估表!$A$2:$M$2,0),0)</f>
        <v>7.0000000000000007E-2</v>
      </c>
      <c r="AF3300" s="6">
        <f t="shared" si="512"/>
        <v>0</v>
      </c>
      <c r="AG3300" s="9">
        <v>0.38</v>
      </c>
      <c r="AH3300" s="6">
        <f t="shared" si="510"/>
        <v>0</v>
      </c>
      <c r="AI3300" s="47"/>
      <c r="AJ3300" s="126" t="e">
        <v>#N/A</v>
      </c>
      <c r="AK3300" s="80">
        <f t="shared" si="508"/>
        <v>0</v>
      </c>
      <c r="AM3300" s="85"/>
    </row>
    <row r="3301" spans="1:39" hidden="1" x14ac:dyDescent="0.3">
      <c r="A3301" s="89" t="s">
        <v>3397</v>
      </c>
      <c r="B3301" s="86" t="s">
        <v>35</v>
      </c>
      <c r="C3301" s="86" t="s">
        <v>164</v>
      </c>
      <c r="D3301" s="86" t="s">
        <v>169</v>
      </c>
      <c r="E3301" s="86" t="s">
        <v>2518</v>
      </c>
      <c r="F3301" s="86" t="s">
        <v>2518</v>
      </c>
      <c r="G3301" s="86" t="s">
        <v>2518</v>
      </c>
      <c r="H3301" s="143">
        <v>237</v>
      </c>
      <c r="I3301" s="86" t="s">
        <v>2374</v>
      </c>
      <c r="J3301" s="1" t="s">
        <v>3322</v>
      </c>
      <c r="K3301" s="1" t="s">
        <v>3269</v>
      </c>
      <c r="L3301" s="1" t="s">
        <v>35</v>
      </c>
      <c r="M3301" s="86" t="s">
        <v>2519</v>
      </c>
      <c r="N3301" s="86"/>
      <c r="O3301" s="47" t="s">
        <v>45</v>
      </c>
      <c r="P3301" s="47" t="s">
        <v>46</v>
      </c>
      <c r="Q3301" s="14">
        <v>3.8399999999999997E-2</v>
      </c>
      <c r="R3301" s="143"/>
      <c r="S3301" s="47"/>
      <c r="T3301" s="6">
        <v>-141796.72999999978</v>
      </c>
      <c r="U3301" s="6"/>
      <c r="V3301" s="6">
        <v>0</v>
      </c>
      <c r="W3301" s="6">
        <f t="shared" si="505"/>
        <v>-141796.72999999978</v>
      </c>
      <c r="X3301" s="6">
        <f t="shared" si="509"/>
        <v>0</v>
      </c>
      <c r="Y3301" s="13">
        <f t="shared" si="506"/>
        <v>0</v>
      </c>
      <c r="Z3301" s="14">
        <v>0</v>
      </c>
      <c r="AA3301" s="6">
        <v>0</v>
      </c>
      <c r="AB3301" s="4">
        <f t="shared" si="507"/>
        <v>0</v>
      </c>
      <c r="AC3301" s="4">
        <f t="shared" si="511"/>
        <v>0</v>
      </c>
      <c r="AD3301" s="6">
        <v>0</v>
      </c>
      <c r="AE3301" s="2">
        <f>VLOOKUP(I3301,[1]媒体政策预估表!A:N,MATCH(O3301,[1]媒体政策预估表!$A$2:$M$2,0),0)</f>
        <v>0.06</v>
      </c>
      <c r="AF3301" s="6">
        <f t="shared" si="512"/>
        <v>0</v>
      </c>
      <c r="AG3301" s="9">
        <v>0.28000000000000003</v>
      </c>
      <c r="AH3301" s="6">
        <f t="shared" si="510"/>
        <v>0</v>
      </c>
      <c r="AI3301" s="47"/>
      <c r="AJ3301" s="126" t="e">
        <v>#N/A</v>
      </c>
      <c r="AK3301" s="80">
        <f t="shared" si="508"/>
        <v>0</v>
      </c>
      <c r="AM3301" s="85"/>
    </row>
    <row r="3302" spans="1:39" hidden="1" x14ac:dyDescent="0.3">
      <c r="A3302" s="89" t="s">
        <v>3397</v>
      </c>
      <c r="B3302" s="86" t="s">
        <v>35</v>
      </c>
      <c r="C3302" s="86" t="s">
        <v>3429</v>
      </c>
      <c r="D3302" s="86" t="s">
        <v>3430</v>
      </c>
      <c r="E3302" s="86" t="s">
        <v>3246</v>
      </c>
      <c r="F3302" s="86" t="s">
        <v>3246</v>
      </c>
      <c r="G3302" s="86" t="s">
        <v>3246</v>
      </c>
      <c r="H3302" s="143">
        <v>237</v>
      </c>
      <c r="I3302" s="86" t="s">
        <v>2374</v>
      </c>
      <c r="J3302" s="1" t="s">
        <v>3322</v>
      </c>
      <c r="K3302" s="1" t="s">
        <v>3269</v>
      </c>
      <c r="L3302" s="1" t="s">
        <v>35</v>
      </c>
      <c r="M3302" s="86" t="s">
        <v>2381</v>
      </c>
      <c r="N3302" s="86"/>
      <c r="O3302" s="47" t="s">
        <v>45</v>
      </c>
      <c r="P3302" s="47" t="s">
        <v>41</v>
      </c>
      <c r="Q3302" s="14">
        <v>0</v>
      </c>
      <c r="R3302" s="143"/>
      <c r="S3302" s="47"/>
      <c r="T3302" s="6">
        <v>1321.5999999999976</v>
      </c>
      <c r="U3302" s="6"/>
      <c r="V3302" s="6">
        <v>0</v>
      </c>
      <c r="W3302" s="6">
        <f t="shared" ref="W3302:W3365" si="513">T3302+U3302-V3302</f>
        <v>1321.5999999999976</v>
      </c>
      <c r="X3302" s="6">
        <f t="shared" si="509"/>
        <v>0</v>
      </c>
      <c r="Y3302" s="13">
        <f t="shared" si="506"/>
        <v>0</v>
      </c>
      <c r="Z3302" s="14">
        <v>0</v>
      </c>
      <c r="AA3302" s="6">
        <v>0</v>
      </c>
      <c r="AB3302" s="4">
        <f t="shared" si="507"/>
        <v>0</v>
      </c>
      <c r="AC3302" s="4">
        <f t="shared" si="511"/>
        <v>0</v>
      </c>
      <c r="AD3302" s="6">
        <v>0</v>
      </c>
      <c r="AE3302" s="2">
        <f>VLOOKUP(I3302,[1]媒体政策预估表!A:N,MATCH(O3302,[1]媒体政策预估表!$A$2:$M$2,0),0)</f>
        <v>0.06</v>
      </c>
      <c r="AF3302" s="6">
        <f t="shared" si="512"/>
        <v>0</v>
      </c>
      <c r="AG3302" s="9">
        <v>0</v>
      </c>
      <c r="AH3302" s="6">
        <f t="shared" si="510"/>
        <v>0</v>
      </c>
      <c r="AI3302" s="47"/>
      <c r="AJ3302" s="126" t="e">
        <v>#N/A</v>
      </c>
      <c r="AK3302" s="80">
        <f t="shared" si="508"/>
        <v>0</v>
      </c>
      <c r="AM3302" s="85"/>
    </row>
    <row r="3303" spans="1:39" hidden="1" x14ac:dyDescent="0.3">
      <c r="A3303" s="89" t="s">
        <v>3408</v>
      </c>
      <c r="B3303" s="86" t="s">
        <v>35</v>
      </c>
      <c r="C3303" s="86" t="s">
        <v>59</v>
      </c>
      <c r="D3303" s="86" t="s">
        <v>60</v>
      </c>
      <c r="E3303" s="86" t="s">
        <v>2570</v>
      </c>
      <c r="F3303" s="86" t="s">
        <v>2571</v>
      </c>
      <c r="G3303" s="86" t="s">
        <v>2570</v>
      </c>
      <c r="H3303" s="144">
        <v>72</v>
      </c>
      <c r="I3303" s="86" t="s">
        <v>2572</v>
      </c>
      <c r="J3303" s="1" t="s">
        <v>3327</v>
      </c>
      <c r="K3303" s="1" t="s">
        <v>3284</v>
      </c>
      <c r="L3303" s="1" t="s">
        <v>35</v>
      </c>
      <c r="M3303" s="86" t="s">
        <v>3431</v>
      </c>
      <c r="N3303" s="86"/>
      <c r="O3303" s="47" t="s">
        <v>410</v>
      </c>
      <c r="P3303" s="47" t="s">
        <v>41</v>
      </c>
      <c r="Q3303" s="14">
        <v>0</v>
      </c>
      <c r="R3303" s="143">
        <v>600000916</v>
      </c>
      <c r="S3303" s="47"/>
      <c r="T3303" s="6">
        <v>0</v>
      </c>
      <c r="U3303" s="6">
        <v>4042500</v>
      </c>
      <c r="V3303" s="6">
        <v>1539269.0499999989</v>
      </c>
      <c r="W3303" s="6">
        <f t="shared" si="513"/>
        <v>2503230.9500000011</v>
      </c>
      <c r="X3303" s="6">
        <f t="shared" ref="X3303:X3366" si="514">IF(P3303="折扣",V3303*Q3303,IF(P3303="返现",V3303,V3303/(1+Q3303)))</f>
        <v>1539269.0499999989</v>
      </c>
      <c r="Y3303" s="13">
        <f t="shared" si="506"/>
        <v>0</v>
      </c>
      <c r="Z3303" s="14">
        <v>0</v>
      </c>
      <c r="AA3303" s="6">
        <v>0</v>
      </c>
      <c r="AB3303" s="4">
        <f t="shared" si="507"/>
        <v>1539269.0499999989</v>
      </c>
      <c r="AC3303" s="4">
        <f t="shared" si="511"/>
        <v>0</v>
      </c>
      <c r="AD3303" s="6">
        <f>V3303</f>
        <v>1539269.0499999989</v>
      </c>
      <c r="AE3303" s="2">
        <f>VLOOKUP(I3303,[1]媒体政策预估表!A:N,MATCH(O3303,[1]媒体政策预估表!$A$2:$M$2,0),0)</f>
        <v>0</v>
      </c>
      <c r="AF3303" s="6">
        <f t="shared" si="512"/>
        <v>0</v>
      </c>
      <c r="AG3303" s="14">
        <v>0</v>
      </c>
      <c r="AH3303" s="64">
        <f>AD3303</f>
        <v>1539269.0499999989</v>
      </c>
      <c r="AI3303" s="47"/>
      <c r="AJ3303" s="126" t="e">
        <v>#N/A</v>
      </c>
      <c r="AK3303" s="80">
        <f t="shared" si="508"/>
        <v>0</v>
      </c>
      <c r="AM3303" s="85"/>
    </row>
    <row r="3304" spans="1:39" hidden="1" x14ac:dyDescent="0.3">
      <c r="A3304" s="89" t="s">
        <v>3397</v>
      </c>
      <c r="B3304" s="86" t="s">
        <v>35</v>
      </c>
      <c r="C3304" s="86" t="s">
        <v>59</v>
      </c>
      <c r="D3304" s="86" t="s">
        <v>60</v>
      </c>
      <c r="E3304" s="86" t="s">
        <v>2570</v>
      </c>
      <c r="F3304" s="86" t="s">
        <v>2571</v>
      </c>
      <c r="G3304" s="86" t="s">
        <v>2570</v>
      </c>
      <c r="H3304" s="144">
        <v>72</v>
      </c>
      <c r="I3304" s="86" t="s">
        <v>2572</v>
      </c>
      <c r="J3304" s="1" t="s">
        <v>3327</v>
      </c>
      <c r="K3304" s="1" t="s">
        <v>3284</v>
      </c>
      <c r="L3304" s="1" t="s">
        <v>35</v>
      </c>
      <c r="M3304" s="86" t="s">
        <v>896</v>
      </c>
      <c r="N3304" s="86"/>
      <c r="O3304" s="47" t="s">
        <v>410</v>
      </c>
      <c r="P3304" s="47" t="s">
        <v>41</v>
      </c>
      <c r="Q3304" s="14">
        <v>0</v>
      </c>
      <c r="R3304" s="143">
        <v>600000916</v>
      </c>
      <c r="S3304" s="47"/>
      <c r="T3304" s="6">
        <v>2125628.4400000013</v>
      </c>
      <c r="U3304" s="6">
        <v>1577000</v>
      </c>
      <c r="V3304" s="6">
        <v>3702628.4400000013</v>
      </c>
      <c r="W3304" s="6">
        <f t="shared" si="513"/>
        <v>0</v>
      </c>
      <c r="X3304" s="6">
        <f t="shared" si="514"/>
        <v>3702628.4400000013</v>
      </c>
      <c r="Y3304" s="13">
        <f t="shared" si="506"/>
        <v>0</v>
      </c>
      <c r="Z3304" s="14">
        <v>0</v>
      </c>
      <c r="AA3304" s="6">
        <v>0</v>
      </c>
      <c r="AB3304" s="4">
        <f t="shared" si="507"/>
        <v>3702628.4400000013</v>
      </c>
      <c r="AC3304" s="4">
        <f t="shared" si="511"/>
        <v>0</v>
      </c>
      <c r="AD3304" s="6">
        <f t="shared" ref="AD3304:AD3367" si="515">V3304</f>
        <v>3702628.4400000013</v>
      </c>
      <c r="AE3304" s="2">
        <f>VLOOKUP(I3304,[1]媒体政策预估表!A:N,MATCH(O3304,[1]媒体政策预估表!$A$2:$M$2,0),0)</f>
        <v>0</v>
      </c>
      <c r="AF3304" s="6">
        <f t="shared" si="512"/>
        <v>0</v>
      </c>
      <c r="AG3304" s="14">
        <v>0</v>
      </c>
      <c r="AH3304" s="64">
        <f t="shared" ref="AH3304:AH3367" si="516">AD3304</f>
        <v>3702628.4400000013</v>
      </c>
      <c r="AI3304" s="47"/>
      <c r="AJ3304" s="126" t="e">
        <v>#N/A</v>
      </c>
      <c r="AK3304" s="80">
        <f t="shared" si="508"/>
        <v>0</v>
      </c>
      <c r="AM3304" s="85"/>
    </row>
    <row r="3305" spans="1:39" hidden="1" x14ac:dyDescent="0.3">
      <c r="A3305" s="89" t="s">
        <v>3397</v>
      </c>
      <c r="B3305" s="86" t="s">
        <v>35</v>
      </c>
      <c r="C3305" s="86" t="s">
        <v>59</v>
      </c>
      <c r="D3305" s="86" t="s">
        <v>60</v>
      </c>
      <c r="E3305" s="86" t="s">
        <v>77</v>
      </c>
      <c r="F3305" s="86" t="s">
        <v>77</v>
      </c>
      <c r="G3305" s="86" t="s">
        <v>77</v>
      </c>
      <c r="H3305" s="144">
        <v>72</v>
      </c>
      <c r="I3305" s="86" t="s">
        <v>2572</v>
      </c>
      <c r="J3305" s="1" t="s">
        <v>3327</v>
      </c>
      <c r="K3305" s="1" t="s">
        <v>3284</v>
      </c>
      <c r="L3305" s="1" t="s">
        <v>35</v>
      </c>
      <c r="M3305" s="86" t="s">
        <v>307</v>
      </c>
      <c r="N3305" s="86"/>
      <c r="O3305" s="47" t="s">
        <v>410</v>
      </c>
      <c r="P3305" s="47" t="s">
        <v>41</v>
      </c>
      <c r="Q3305" s="14">
        <v>0</v>
      </c>
      <c r="R3305" s="143">
        <v>400003931</v>
      </c>
      <c r="S3305" s="47"/>
      <c r="T3305" s="6">
        <v>788362.30000000028</v>
      </c>
      <c r="U3305" s="6">
        <v>6000000</v>
      </c>
      <c r="V3305" s="6">
        <v>3461686.32</v>
      </c>
      <c r="W3305" s="6">
        <f t="shared" si="513"/>
        <v>3326675.9800000009</v>
      </c>
      <c r="X3305" s="6">
        <f t="shared" si="514"/>
        <v>3461686.32</v>
      </c>
      <c r="Y3305" s="13">
        <f t="shared" si="506"/>
        <v>0</v>
      </c>
      <c r="Z3305" s="14">
        <v>0</v>
      </c>
      <c r="AA3305" s="6">
        <v>0</v>
      </c>
      <c r="AB3305" s="4">
        <f t="shared" si="507"/>
        <v>3461686.32</v>
      </c>
      <c r="AC3305" s="4">
        <f t="shared" si="511"/>
        <v>0</v>
      </c>
      <c r="AD3305" s="6">
        <f t="shared" si="515"/>
        <v>3461686.32</v>
      </c>
      <c r="AE3305" s="2">
        <f>VLOOKUP(I3305,[1]媒体政策预估表!A:N,MATCH(O3305,[1]媒体政策预估表!$A$2:$M$2,0),0)</f>
        <v>0</v>
      </c>
      <c r="AF3305" s="6">
        <f t="shared" si="512"/>
        <v>0</v>
      </c>
      <c r="AG3305" s="14">
        <v>0</v>
      </c>
      <c r="AH3305" s="64">
        <f t="shared" si="516"/>
        <v>3461686.32</v>
      </c>
      <c r="AI3305" s="47"/>
      <c r="AJ3305" s="126" t="e">
        <v>#N/A</v>
      </c>
      <c r="AK3305" s="80">
        <f t="shared" si="508"/>
        <v>0</v>
      </c>
      <c r="AM3305" s="85"/>
    </row>
    <row r="3306" spans="1:39" hidden="1" x14ac:dyDescent="0.3">
      <c r="A3306" s="89" t="s">
        <v>3397</v>
      </c>
      <c r="B3306" s="86" t="s">
        <v>35</v>
      </c>
      <c r="C3306" s="86" t="s">
        <v>36</v>
      </c>
      <c r="D3306" s="86" t="s">
        <v>54</v>
      </c>
      <c r="E3306" s="86" t="s">
        <v>1200</v>
      </c>
      <c r="F3306" s="86" t="s">
        <v>1201</v>
      </c>
      <c r="G3306" s="86" t="s">
        <v>1200</v>
      </c>
      <c r="H3306" s="144">
        <v>72</v>
      </c>
      <c r="I3306" s="86" t="s">
        <v>2572</v>
      </c>
      <c r="J3306" s="1" t="s">
        <v>3327</v>
      </c>
      <c r="K3306" s="1" t="s">
        <v>3284</v>
      </c>
      <c r="L3306" s="1" t="s">
        <v>35</v>
      </c>
      <c r="M3306" s="86" t="s">
        <v>1200</v>
      </c>
      <c r="N3306" s="86"/>
      <c r="O3306" s="47" t="s">
        <v>410</v>
      </c>
      <c r="P3306" s="47" t="s">
        <v>41</v>
      </c>
      <c r="Q3306" s="14">
        <v>0</v>
      </c>
      <c r="R3306" s="143">
        <v>600001337</v>
      </c>
      <c r="S3306" s="47"/>
      <c r="T3306" s="6">
        <v>19807.659999999974</v>
      </c>
      <c r="U3306" s="6">
        <v>60000</v>
      </c>
      <c r="V3306" s="6">
        <v>65759.98</v>
      </c>
      <c r="W3306" s="6">
        <f t="shared" si="513"/>
        <v>14047.679999999978</v>
      </c>
      <c r="X3306" s="6">
        <f t="shared" si="514"/>
        <v>65759.98</v>
      </c>
      <c r="Y3306" s="13">
        <f t="shared" si="506"/>
        <v>0</v>
      </c>
      <c r="Z3306" s="14">
        <v>0</v>
      </c>
      <c r="AA3306" s="6">
        <v>0</v>
      </c>
      <c r="AB3306" s="4">
        <f t="shared" si="507"/>
        <v>65759.98</v>
      </c>
      <c r="AC3306" s="4">
        <f t="shared" si="511"/>
        <v>0</v>
      </c>
      <c r="AD3306" s="6">
        <f t="shared" si="515"/>
        <v>65759.98</v>
      </c>
      <c r="AE3306" s="2">
        <f>VLOOKUP(I3306,[1]媒体政策预估表!A:N,MATCH(O3306,[1]媒体政策预估表!$A$2:$M$2,0),0)</f>
        <v>0</v>
      </c>
      <c r="AF3306" s="6">
        <f t="shared" si="512"/>
        <v>0</v>
      </c>
      <c r="AG3306" s="14">
        <v>0</v>
      </c>
      <c r="AH3306" s="64">
        <f t="shared" si="516"/>
        <v>65759.98</v>
      </c>
      <c r="AI3306" s="47"/>
      <c r="AJ3306" s="126" t="e">
        <v>#N/A</v>
      </c>
      <c r="AK3306" s="80">
        <f t="shared" si="508"/>
        <v>0</v>
      </c>
      <c r="AM3306" s="85"/>
    </row>
    <row r="3307" spans="1:39" hidden="1" x14ac:dyDescent="0.3">
      <c r="A3307" s="89" t="s">
        <v>3397</v>
      </c>
      <c r="B3307" s="86" t="s">
        <v>35</v>
      </c>
      <c r="C3307" s="86" t="s">
        <v>36</v>
      </c>
      <c r="D3307" s="86" t="s">
        <v>54</v>
      </c>
      <c r="E3307" s="86" t="s">
        <v>55</v>
      </c>
      <c r="F3307" s="86" t="s">
        <v>55</v>
      </c>
      <c r="G3307" s="86" t="s">
        <v>55</v>
      </c>
      <c r="H3307" s="144">
        <v>72</v>
      </c>
      <c r="I3307" s="86" t="s">
        <v>2572</v>
      </c>
      <c r="J3307" s="1" t="s">
        <v>3327</v>
      </c>
      <c r="K3307" s="1" t="s">
        <v>3284</v>
      </c>
      <c r="L3307" s="1" t="s">
        <v>35</v>
      </c>
      <c r="M3307" s="86" t="s">
        <v>3432</v>
      </c>
      <c r="N3307" s="86"/>
      <c r="O3307" s="47" t="s">
        <v>410</v>
      </c>
      <c r="P3307" s="47" t="s">
        <v>41</v>
      </c>
      <c r="Q3307" s="14">
        <v>0</v>
      </c>
      <c r="R3307" s="143">
        <v>600005044</v>
      </c>
      <c r="S3307" s="47"/>
      <c r="T3307" s="6">
        <v>0</v>
      </c>
      <c r="U3307" s="6">
        <v>100000</v>
      </c>
      <c r="V3307" s="6">
        <v>21661.64</v>
      </c>
      <c r="W3307" s="6">
        <f t="shared" si="513"/>
        <v>78338.36</v>
      </c>
      <c r="X3307" s="6">
        <f t="shared" si="514"/>
        <v>21661.64</v>
      </c>
      <c r="Y3307" s="13">
        <f t="shared" si="506"/>
        <v>0</v>
      </c>
      <c r="Z3307" s="14">
        <v>0.03</v>
      </c>
      <c r="AA3307" s="6">
        <f>X3307*Z3307</f>
        <v>649.8492</v>
      </c>
      <c r="AB3307" s="4">
        <f t="shared" si="507"/>
        <v>22311.4892</v>
      </c>
      <c r="AC3307" s="4">
        <f t="shared" si="511"/>
        <v>0</v>
      </c>
      <c r="AD3307" s="6">
        <f t="shared" si="515"/>
        <v>21661.64</v>
      </c>
      <c r="AE3307" s="2">
        <f>VLOOKUP(I3307,[1]媒体政策预估表!A:N,MATCH(O3307,[1]媒体政策预估表!$A$2:$M$2,0),0)</f>
        <v>0</v>
      </c>
      <c r="AF3307" s="6">
        <f t="shared" si="512"/>
        <v>0</v>
      </c>
      <c r="AG3307" s="14">
        <v>0</v>
      </c>
      <c r="AH3307" s="64">
        <f t="shared" si="516"/>
        <v>21661.64</v>
      </c>
      <c r="AI3307" s="47"/>
      <c r="AJ3307" s="126" t="e">
        <v>#N/A</v>
      </c>
      <c r="AK3307" s="80">
        <f t="shared" si="508"/>
        <v>0</v>
      </c>
      <c r="AM3307" s="85"/>
    </row>
    <row r="3308" spans="1:39" hidden="1" x14ac:dyDescent="0.3">
      <c r="A3308" s="89" t="s">
        <v>3397</v>
      </c>
      <c r="B3308" s="86" t="s">
        <v>35</v>
      </c>
      <c r="C3308" s="86" t="s">
        <v>36</v>
      </c>
      <c r="D3308" s="86" t="s">
        <v>37</v>
      </c>
      <c r="E3308" s="86" t="s">
        <v>2578</v>
      </c>
      <c r="F3308" s="86" t="s">
        <v>2578</v>
      </c>
      <c r="G3308" s="86" t="s">
        <v>2578</v>
      </c>
      <c r="H3308" s="144">
        <v>72</v>
      </c>
      <c r="I3308" s="86" t="s">
        <v>2572</v>
      </c>
      <c r="J3308" s="1" t="s">
        <v>3327</v>
      </c>
      <c r="K3308" s="1" t="s">
        <v>3284</v>
      </c>
      <c r="L3308" s="1" t="s">
        <v>35</v>
      </c>
      <c r="M3308" s="86" t="s">
        <v>2578</v>
      </c>
      <c r="N3308" s="86"/>
      <c r="O3308" s="47" t="s">
        <v>410</v>
      </c>
      <c r="P3308" s="47" t="s">
        <v>41</v>
      </c>
      <c r="Q3308" s="14">
        <v>0</v>
      </c>
      <c r="R3308" s="143">
        <v>400002075</v>
      </c>
      <c r="S3308" s="47"/>
      <c r="T3308" s="6">
        <v>17166.050000000003</v>
      </c>
      <c r="U3308" s="6">
        <v>20000</v>
      </c>
      <c r="V3308" s="6">
        <v>15663.71</v>
      </c>
      <c r="W3308" s="6">
        <f t="shared" si="513"/>
        <v>21502.340000000004</v>
      </c>
      <c r="X3308" s="6">
        <f t="shared" si="514"/>
        <v>15663.71</v>
      </c>
      <c r="Y3308" s="13">
        <f t="shared" si="506"/>
        <v>0</v>
      </c>
      <c r="Z3308" s="14">
        <v>0</v>
      </c>
      <c r="AA3308" s="6">
        <v>0</v>
      </c>
      <c r="AB3308" s="4">
        <f t="shared" si="507"/>
        <v>15663.71</v>
      </c>
      <c r="AC3308" s="4">
        <f t="shared" si="511"/>
        <v>0</v>
      </c>
      <c r="AD3308" s="6">
        <f t="shared" si="515"/>
        <v>15663.71</v>
      </c>
      <c r="AE3308" s="2">
        <f>VLOOKUP(I3308,[1]媒体政策预估表!A:N,MATCH(O3308,[1]媒体政策预估表!$A$2:$M$2,0),0)</f>
        <v>0</v>
      </c>
      <c r="AF3308" s="6">
        <f t="shared" si="512"/>
        <v>0</v>
      </c>
      <c r="AG3308" s="14">
        <v>0</v>
      </c>
      <c r="AH3308" s="64">
        <f t="shared" si="516"/>
        <v>15663.71</v>
      </c>
      <c r="AI3308" s="47"/>
      <c r="AJ3308" s="126" t="e">
        <v>#N/A</v>
      </c>
      <c r="AK3308" s="80">
        <f t="shared" si="508"/>
        <v>0</v>
      </c>
      <c r="AM3308" s="85"/>
    </row>
    <row r="3309" spans="1:39" hidden="1" x14ac:dyDescent="0.3">
      <c r="A3309" s="89" t="s">
        <v>3408</v>
      </c>
      <c r="B3309" s="86" t="s">
        <v>35</v>
      </c>
      <c r="C3309" s="86" t="s">
        <v>36</v>
      </c>
      <c r="D3309" s="86" t="s">
        <v>37</v>
      </c>
      <c r="E3309" s="86" t="s">
        <v>1870</v>
      </c>
      <c r="F3309" s="86" t="s">
        <v>1871</v>
      </c>
      <c r="G3309" s="86" t="s">
        <v>1870</v>
      </c>
      <c r="H3309" s="144">
        <v>72</v>
      </c>
      <c r="I3309" s="86" t="s">
        <v>2572</v>
      </c>
      <c r="J3309" s="1" t="s">
        <v>3327</v>
      </c>
      <c r="K3309" s="1" t="s">
        <v>3284</v>
      </c>
      <c r="L3309" s="1" t="s">
        <v>35</v>
      </c>
      <c r="M3309" s="86" t="s">
        <v>1870</v>
      </c>
      <c r="N3309" s="86"/>
      <c r="O3309" s="47" t="s">
        <v>410</v>
      </c>
      <c r="P3309" s="47" t="s">
        <v>41</v>
      </c>
      <c r="Q3309" s="14">
        <v>0</v>
      </c>
      <c r="R3309" s="143">
        <v>100000139</v>
      </c>
      <c r="S3309" s="47"/>
      <c r="T3309" s="6">
        <v>18874.789999999979</v>
      </c>
      <c r="U3309" s="6">
        <v>60000</v>
      </c>
      <c r="V3309" s="6">
        <v>57033.84</v>
      </c>
      <c r="W3309" s="6">
        <f t="shared" si="513"/>
        <v>21840.949999999983</v>
      </c>
      <c r="X3309" s="6">
        <f t="shared" si="514"/>
        <v>57033.84</v>
      </c>
      <c r="Y3309" s="13">
        <f t="shared" si="506"/>
        <v>0</v>
      </c>
      <c r="Z3309" s="14">
        <v>0</v>
      </c>
      <c r="AA3309" s="6">
        <v>0</v>
      </c>
      <c r="AB3309" s="4">
        <f t="shared" si="507"/>
        <v>57033.84</v>
      </c>
      <c r="AC3309" s="4">
        <f t="shared" si="511"/>
        <v>0</v>
      </c>
      <c r="AD3309" s="6">
        <f t="shared" si="515"/>
        <v>57033.84</v>
      </c>
      <c r="AE3309" s="2">
        <f>VLOOKUP(I3309,[1]媒体政策预估表!A:N,MATCH(O3309,[1]媒体政策预估表!$A$2:$M$2,0),0)</f>
        <v>0</v>
      </c>
      <c r="AF3309" s="6">
        <f t="shared" si="512"/>
        <v>0</v>
      </c>
      <c r="AG3309" s="14">
        <v>0</v>
      </c>
      <c r="AH3309" s="64">
        <f t="shared" si="516"/>
        <v>57033.84</v>
      </c>
      <c r="AI3309" s="47"/>
      <c r="AJ3309" s="126" t="e">
        <v>#N/A</v>
      </c>
      <c r="AK3309" s="80">
        <f t="shared" si="508"/>
        <v>0</v>
      </c>
      <c r="AM3309" s="85"/>
    </row>
    <row r="3310" spans="1:39" hidden="1" x14ac:dyDescent="0.3">
      <c r="A3310" s="89" t="s">
        <v>3397</v>
      </c>
      <c r="B3310" s="86" t="s">
        <v>35</v>
      </c>
      <c r="C3310" s="86" t="s">
        <v>65</v>
      </c>
      <c r="D3310" s="86" t="s">
        <v>125</v>
      </c>
      <c r="E3310" s="86" t="s">
        <v>2579</v>
      </c>
      <c r="F3310" s="86" t="s">
        <v>2579</v>
      </c>
      <c r="G3310" s="86" t="s">
        <v>2579</v>
      </c>
      <c r="H3310" s="144">
        <v>72</v>
      </c>
      <c r="I3310" s="86" t="s">
        <v>2572</v>
      </c>
      <c r="J3310" s="1" t="s">
        <v>3327</v>
      </c>
      <c r="K3310" s="1" t="s">
        <v>3284</v>
      </c>
      <c r="L3310" s="1" t="s">
        <v>35</v>
      </c>
      <c r="M3310" s="86" t="s">
        <v>2579</v>
      </c>
      <c r="N3310" s="86"/>
      <c r="O3310" s="47" t="s">
        <v>410</v>
      </c>
      <c r="P3310" s="47" t="s">
        <v>41</v>
      </c>
      <c r="Q3310" s="14">
        <v>0</v>
      </c>
      <c r="R3310" s="143">
        <v>600001287</v>
      </c>
      <c r="S3310" s="47"/>
      <c r="T3310" s="6">
        <v>159275.03000000003</v>
      </c>
      <c r="U3310" s="6">
        <v>77669.899999999994</v>
      </c>
      <c r="V3310" s="6">
        <v>80381.98</v>
      </c>
      <c r="W3310" s="6">
        <f t="shared" si="513"/>
        <v>156562.95000000001</v>
      </c>
      <c r="X3310" s="6">
        <f t="shared" si="514"/>
        <v>80381.98</v>
      </c>
      <c r="Y3310" s="13">
        <f t="shared" si="506"/>
        <v>0</v>
      </c>
      <c r="Z3310" s="14">
        <v>0.03</v>
      </c>
      <c r="AA3310" s="6">
        <f t="shared" ref="AA3310:AA3312" si="517">X3310*Z3310</f>
        <v>2411.4593999999997</v>
      </c>
      <c r="AB3310" s="4">
        <f t="shared" si="507"/>
        <v>82793.439400000003</v>
      </c>
      <c r="AC3310" s="4">
        <f t="shared" si="511"/>
        <v>0</v>
      </c>
      <c r="AD3310" s="6">
        <f t="shared" si="515"/>
        <v>80381.98</v>
      </c>
      <c r="AE3310" s="2">
        <f>VLOOKUP(I3310,[1]媒体政策预估表!A:N,MATCH(O3310,[1]媒体政策预估表!$A$2:$M$2,0),0)</f>
        <v>0</v>
      </c>
      <c r="AF3310" s="6">
        <f t="shared" si="512"/>
        <v>0</v>
      </c>
      <c r="AG3310" s="14">
        <v>0</v>
      </c>
      <c r="AH3310" s="64">
        <f t="shared" si="516"/>
        <v>80381.98</v>
      </c>
      <c r="AI3310" s="47"/>
      <c r="AJ3310" s="126" t="e">
        <v>#N/A</v>
      </c>
      <c r="AK3310" s="80">
        <f t="shared" si="508"/>
        <v>0</v>
      </c>
      <c r="AM3310" s="85"/>
    </row>
    <row r="3311" spans="1:39" hidden="1" x14ac:dyDescent="0.3">
      <c r="A3311" s="89" t="s">
        <v>3397</v>
      </c>
      <c r="B3311" s="86" t="s">
        <v>35</v>
      </c>
      <c r="C3311" s="86" t="s">
        <v>65</v>
      </c>
      <c r="D3311" s="86" t="s">
        <v>125</v>
      </c>
      <c r="E3311" s="86" t="s">
        <v>2579</v>
      </c>
      <c r="F3311" s="86" t="s">
        <v>2579</v>
      </c>
      <c r="G3311" s="86" t="s">
        <v>2579</v>
      </c>
      <c r="H3311" s="144">
        <v>72</v>
      </c>
      <c r="I3311" s="86" t="s">
        <v>2572</v>
      </c>
      <c r="J3311" s="1" t="s">
        <v>3327</v>
      </c>
      <c r="K3311" s="1" t="s">
        <v>3284</v>
      </c>
      <c r="L3311" s="1" t="s">
        <v>35</v>
      </c>
      <c r="M3311" s="86" t="s">
        <v>2580</v>
      </c>
      <c r="N3311" s="86"/>
      <c r="O3311" s="47" t="s">
        <v>410</v>
      </c>
      <c r="P3311" s="47" t="s">
        <v>41</v>
      </c>
      <c r="Q3311" s="14">
        <v>0</v>
      </c>
      <c r="R3311" s="143">
        <v>600004415</v>
      </c>
      <c r="S3311" s="47"/>
      <c r="T3311" s="6">
        <v>118455.55999999997</v>
      </c>
      <c r="U3311" s="6">
        <v>67961.17</v>
      </c>
      <c r="V3311" s="6">
        <v>137767.19</v>
      </c>
      <c r="W3311" s="6">
        <f t="shared" si="513"/>
        <v>48649.539999999979</v>
      </c>
      <c r="X3311" s="6">
        <f t="shared" si="514"/>
        <v>137767.19</v>
      </c>
      <c r="Y3311" s="13">
        <f t="shared" si="506"/>
        <v>0</v>
      </c>
      <c r="Z3311" s="14">
        <v>0.03</v>
      </c>
      <c r="AA3311" s="6">
        <f t="shared" si="517"/>
        <v>4133.0156999999999</v>
      </c>
      <c r="AB3311" s="4">
        <f t="shared" si="507"/>
        <v>141900.20569999999</v>
      </c>
      <c r="AC3311" s="4">
        <f t="shared" si="511"/>
        <v>0</v>
      </c>
      <c r="AD3311" s="6">
        <f t="shared" si="515"/>
        <v>137767.19</v>
      </c>
      <c r="AE3311" s="2">
        <f>VLOOKUP(I3311,[1]媒体政策预估表!A:N,MATCH(O3311,[1]媒体政策预估表!$A$2:$M$2,0),0)</f>
        <v>0</v>
      </c>
      <c r="AF3311" s="6">
        <f t="shared" si="512"/>
        <v>0</v>
      </c>
      <c r="AG3311" s="14">
        <v>0</v>
      </c>
      <c r="AH3311" s="64">
        <f t="shared" si="516"/>
        <v>137767.19</v>
      </c>
      <c r="AI3311" s="47"/>
      <c r="AJ3311" s="126" t="e">
        <v>#N/A</v>
      </c>
      <c r="AK3311" s="80">
        <f t="shared" si="508"/>
        <v>0</v>
      </c>
      <c r="AM3311" s="85"/>
    </row>
    <row r="3312" spans="1:39" hidden="1" x14ac:dyDescent="0.3">
      <c r="A3312" s="89" t="s">
        <v>3397</v>
      </c>
      <c r="B3312" s="86" t="s">
        <v>35</v>
      </c>
      <c r="C3312" s="86" t="s">
        <v>65</v>
      </c>
      <c r="D3312" s="86" t="s">
        <v>1291</v>
      </c>
      <c r="E3312" s="86" t="s">
        <v>3433</v>
      </c>
      <c r="F3312" s="86" t="s">
        <v>3433</v>
      </c>
      <c r="G3312" s="86" t="s">
        <v>3433</v>
      </c>
      <c r="H3312" s="143">
        <v>72</v>
      </c>
      <c r="I3312" s="86" t="s">
        <v>2572</v>
      </c>
      <c r="J3312" s="1" t="s">
        <v>3327</v>
      </c>
      <c r="K3312" s="1" t="s">
        <v>3284</v>
      </c>
      <c r="L3312" s="1" t="s">
        <v>35</v>
      </c>
      <c r="M3312" s="86" t="s">
        <v>3433</v>
      </c>
      <c r="N3312" s="86"/>
      <c r="O3312" s="47" t="s">
        <v>410</v>
      </c>
      <c r="P3312" s="47" t="s">
        <v>41</v>
      </c>
      <c r="Q3312" s="14">
        <v>0</v>
      </c>
      <c r="R3312" s="143">
        <v>600004856</v>
      </c>
      <c r="S3312" s="47"/>
      <c r="T3312" s="6">
        <v>0</v>
      </c>
      <c r="U3312" s="6">
        <v>19417.48</v>
      </c>
      <c r="V3312" s="6">
        <v>0</v>
      </c>
      <c r="W3312" s="6">
        <f t="shared" si="513"/>
        <v>19417.48</v>
      </c>
      <c r="X3312" s="6">
        <f t="shared" si="514"/>
        <v>0</v>
      </c>
      <c r="Y3312" s="13">
        <f t="shared" si="506"/>
        <v>0</v>
      </c>
      <c r="Z3312" s="14">
        <v>0.03</v>
      </c>
      <c r="AA3312" s="6">
        <f t="shared" si="517"/>
        <v>0</v>
      </c>
      <c r="AB3312" s="4">
        <f t="shared" si="507"/>
        <v>0</v>
      </c>
      <c r="AC3312" s="4">
        <f t="shared" si="511"/>
        <v>0</v>
      </c>
      <c r="AD3312" s="6">
        <f t="shared" si="515"/>
        <v>0</v>
      </c>
      <c r="AE3312" s="2">
        <f>VLOOKUP(I3312,[1]媒体政策预估表!A:N,MATCH(O3312,[1]媒体政策预估表!$A$2:$M$2,0),0)</f>
        <v>0</v>
      </c>
      <c r="AF3312" s="6">
        <f t="shared" si="512"/>
        <v>0</v>
      </c>
      <c r="AG3312" s="14">
        <v>0</v>
      </c>
      <c r="AH3312" s="64">
        <f t="shared" si="516"/>
        <v>0</v>
      </c>
      <c r="AI3312" s="47"/>
      <c r="AJ3312" s="126" t="e">
        <v>#N/A</v>
      </c>
      <c r="AK3312" s="80">
        <f t="shared" si="508"/>
        <v>0</v>
      </c>
      <c r="AM3312" s="85"/>
    </row>
    <row r="3313" spans="1:39" hidden="1" x14ac:dyDescent="0.3">
      <c r="A3313" s="89" t="s">
        <v>3408</v>
      </c>
      <c r="B3313" s="86" t="s">
        <v>35</v>
      </c>
      <c r="C3313" s="86" t="s">
        <v>47</v>
      </c>
      <c r="D3313" s="86" t="s">
        <v>63</v>
      </c>
      <c r="E3313" s="86" t="s">
        <v>2588</v>
      </c>
      <c r="F3313" s="86" t="s">
        <v>2588</v>
      </c>
      <c r="G3313" s="86" t="s">
        <v>2588</v>
      </c>
      <c r="H3313" s="144">
        <v>72</v>
      </c>
      <c r="I3313" s="86" t="s">
        <v>2572</v>
      </c>
      <c r="J3313" s="1" t="s">
        <v>3327</v>
      </c>
      <c r="K3313" s="1" t="s">
        <v>3284</v>
      </c>
      <c r="L3313" s="1" t="s">
        <v>35</v>
      </c>
      <c r="M3313" s="86" t="s">
        <v>896</v>
      </c>
      <c r="N3313" s="86"/>
      <c r="O3313" s="47" t="s">
        <v>410</v>
      </c>
      <c r="P3313" s="47" t="s">
        <v>41</v>
      </c>
      <c r="Q3313" s="14">
        <v>0</v>
      </c>
      <c r="R3313" s="143">
        <v>600000916</v>
      </c>
      <c r="S3313" s="47"/>
      <c r="T3313" s="6">
        <v>0</v>
      </c>
      <c r="U3313" s="6">
        <v>905000</v>
      </c>
      <c r="V3313" s="6">
        <v>905000</v>
      </c>
      <c r="W3313" s="6">
        <f t="shared" si="513"/>
        <v>0</v>
      </c>
      <c r="X3313" s="6">
        <f t="shared" si="514"/>
        <v>905000</v>
      </c>
      <c r="Y3313" s="13">
        <f t="shared" si="506"/>
        <v>0</v>
      </c>
      <c r="Z3313" s="14">
        <v>0</v>
      </c>
      <c r="AA3313" s="6">
        <v>0</v>
      </c>
      <c r="AB3313" s="4">
        <f t="shared" si="507"/>
        <v>905000</v>
      </c>
      <c r="AC3313" s="4">
        <f t="shared" si="511"/>
        <v>0</v>
      </c>
      <c r="AD3313" s="6">
        <f t="shared" si="515"/>
        <v>905000</v>
      </c>
      <c r="AE3313" s="2">
        <f>VLOOKUP(I3313,[1]媒体政策预估表!A:N,MATCH(O3313,[1]媒体政策预估表!$A$2:$M$2,0),0)</f>
        <v>0</v>
      </c>
      <c r="AF3313" s="6">
        <f t="shared" si="512"/>
        <v>0</v>
      </c>
      <c r="AG3313" s="14">
        <v>0</v>
      </c>
      <c r="AH3313" s="64">
        <f t="shared" si="516"/>
        <v>905000</v>
      </c>
      <c r="AI3313" s="47"/>
      <c r="AJ3313" s="126" t="e">
        <v>#N/A</v>
      </c>
      <c r="AK3313" s="80">
        <f t="shared" si="508"/>
        <v>0</v>
      </c>
      <c r="AM3313" s="85"/>
    </row>
    <row r="3314" spans="1:39" hidden="1" x14ac:dyDescent="0.3">
      <c r="A3314" s="89" t="s">
        <v>3397</v>
      </c>
      <c r="B3314" s="86" t="s">
        <v>35</v>
      </c>
      <c r="C3314" s="86" t="s">
        <v>47</v>
      </c>
      <c r="D3314" s="86" t="s">
        <v>63</v>
      </c>
      <c r="E3314" s="86" t="s">
        <v>2581</v>
      </c>
      <c r="F3314" s="86" t="s">
        <v>2581</v>
      </c>
      <c r="G3314" s="86" t="s">
        <v>2581</v>
      </c>
      <c r="H3314" s="144">
        <v>72</v>
      </c>
      <c r="I3314" s="86" t="s">
        <v>2572</v>
      </c>
      <c r="J3314" s="1" t="s">
        <v>3327</v>
      </c>
      <c r="K3314" s="1" t="s">
        <v>3284</v>
      </c>
      <c r="L3314" s="1" t="s">
        <v>35</v>
      </c>
      <c r="M3314" s="86" t="s">
        <v>70</v>
      </c>
      <c r="N3314" s="86"/>
      <c r="O3314" s="47" t="s">
        <v>410</v>
      </c>
      <c r="P3314" s="47" t="s">
        <v>41</v>
      </c>
      <c r="Q3314" s="14">
        <v>0</v>
      </c>
      <c r="R3314" s="143">
        <v>400001058</v>
      </c>
      <c r="S3314" s="47"/>
      <c r="T3314" s="6">
        <v>1303.8299999999581</v>
      </c>
      <c r="U3314" s="6">
        <v>600000</v>
      </c>
      <c r="V3314" s="6">
        <v>501045.82</v>
      </c>
      <c r="W3314" s="6">
        <f t="shared" si="513"/>
        <v>100258.00999999995</v>
      </c>
      <c r="X3314" s="6">
        <f t="shared" si="514"/>
        <v>501045.82</v>
      </c>
      <c r="Y3314" s="13">
        <f t="shared" si="506"/>
        <v>0</v>
      </c>
      <c r="Z3314" s="14">
        <v>0.03</v>
      </c>
      <c r="AA3314" s="6">
        <f>X3314*Z3314</f>
        <v>15031.374599999999</v>
      </c>
      <c r="AB3314" s="4">
        <f t="shared" si="507"/>
        <v>516077.19459999999</v>
      </c>
      <c r="AC3314" s="4">
        <f t="shared" si="511"/>
        <v>0</v>
      </c>
      <c r="AD3314" s="6">
        <f t="shared" si="515"/>
        <v>501045.82</v>
      </c>
      <c r="AE3314" s="2">
        <f>VLOOKUP(I3314,[1]媒体政策预估表!A:N,MATCH(O3314,[1]媒体政策预估表!$A$2:$M$2,0),0)</f>
        <v>0</v>
      </c>
      <c r="AF3314" s="6">
        <f t="shared" si="512"/>
        <v>0</v>
      </c>
      <c r="AG3314" s="14">
        <v>0</v>
      </c>
      <c r="AH3314" s="64">
        <f t="shared" si="516"/>
        <v>501045.82</v>
      </c>
      <c r="AI3314" s="47"/>
      <c r="AJ3314" s="126" t="e">
        <v>#N/A</v>
      </c>
      <c r="AK3314" s="80">
        <f t="shared" si="508"/>
        <v>0</v>
      </c>
      <c r="AM3314" s="85"/>
    </row>
    <row r="3315" spans="1:39" hidden="1" x14ac:dyDescent="0.3">
      <c r="A3315" s="89" t="s">
        <v>3409</v>
      </c>
      <c r="B3315" s="86" t="s">
        <v>35</v>
      </c>
      <c r="C3315" s="86" t="s">
        <v>47</v>
      </c>
      <c r="D3315" s="86" t="s">
        <v>63</v>
      </c>
      <c r="E3315" s="86" t="s">
        <v>3434</v>
      </c>
      <c r="F3315" s="86" t="s">
        <v>3434</v>
      </c>
      <c r="G3315" s="86" t="s">
        <v>3434</v>
      </c>
      <c r="H3315" s="144">
        <v>72</v>
      </c>
      <c r="I3315" s="86" t="s">
        <v>2572</v>
      </c>
      <c r="J3315" s="1" t="s">
        <v>3327</v>
      </c>
      <c r="K3315" s="1" t="s">
        <v>3284</v>
      </c>
      <c r="L3315" s="1" t="s">
        <v>35</v>
      </c>
      <c r="M3315" s="86" t="s">
        <v>896</v>
      </c>
      <c r="N3315" s="86"/>
      <c r="O3315" s="47" t="s">
        <v>410</v>
      </c>
      <c r="P3315" s="47" t="s">
        <v>41</v>
      </c>
      <c r="Q3315" s="14">
        <v>0</v>
      </c>
      <c r="R3315" s="143">
        <v>600000916</v>
      </c>
      <c r="S3315" s="47"/>
      <c r="T3315" s="6">
        <v>0</v>
      </c>
      <c r="U3315" s="6">
        <v>95000</v>
      </c>
      <c r="V3315" s="6">
        <v>95000</v>
      </c>
      <c r="W3315" s="6">
        <f t="shared" si="513"/>
        <v>0</v>
      </c>
      <c r="X3315" s="6">
        <f t="shared" si="514"/>
        <v>95000</v>
      </c>
      <c r="Y3315" s="13">
        <f t="shared" si="506"/>
        <v>0</v>
      </c>
      <c r="Z3315" s="14">
        <v>0</v>
      </c>
      <c r="AA3315" s="6">
        <v>0</v>
      </c>
      <c r="AB3315" s="4">
        <f t="shared" si="507"/>
        <v>95000</v>
      </c>
      <c r="AC3315" s="4">
        <f t="shared" si="511"/>
        <v>0</v>
      </c>
      <c r="AD3315" s="6">
        <f t="shared" si="515"/>
        <v>95000</v>
      </c>
      <c r="AE3315" s="2">
        <f>VLOOKUP(I3315,[1]媒体政策预估表!A:N,MATCH(O3315,[1]媒体政策预估表!$A$2:$M$2,0),0)</f>
        <v>0</v>
      </c>
      <c r="AF3315" s="6">
        <f t="shared" si="512"/>
        <v>0</v>
      </c>
      <c r="AG3315" s="14">
        <v>0</v>
      </c>
      <c r="AH3315" s="64">
        <f t="shared" si="516"/>
        <v>95000</v>
      </c>
      <c r="AI3315" s="47"/>
      <c r="AJ3315" s="126" t="e">
        <v>#N/A</v>
      </c>
      <c r="AK3315" s="80">
        <f t="shared" si="508"/>
        <v>0</v>
      </c>
      <c r="AM3315" s="85"/>
    </row>
    <row r="3316" spans="1:39" hidden="1" x14ac:dyDescent="0.3">
      <c r="A3316" s="89" t="s">
        <v>3397</v>
      </c>
      <c r="B3316" s="86" t="s">
        <v>35</v>
      </c>
      <c r="C3316" s="86" t="s">
        <v>47</v>
      </c>
      <c r="D3316" s="86" t="s">
        <v>48</v>
      </c>
      <c r="E3316" s="86" t="s">
        <v>49</v>
      </c>
      <c r="F3316" s="86" t="s">
        <v>49</v>
      </c>
      <c r="G3316" s="86" t="s">
        <v>49</v>
      </c>
      <c r="H3316" s="144">
        <v>72</v>
      </c>
      <c r="I3316" s="86" t="s">
        <v>2572</v>
      </c>
      <c r="J3316" s="1" t="s">
        <v>3327</v>
      </c>
      <c r="K3316" s="1" t="s">
        <v>3284</v>
      </c>
      <c r="L3316" s="1" t="s">
        <v>35</v>
      </c>
      <c r="M3316" s="86" t="s">
        <v>49</v>
      </c>
      <c r="N3316" s="86"/>
      <c r="O3316" s="47" t="s">
        <v>410</v>
      </c>
      <c r="P3316" s="47" t="s">
        <v>41</v>
      </c>
      <c r="Q3316" s="14">
        <v>0</v>
      </c>
      <c r="R3316" s="143">
        <v>100000504</v>
      </c>
      <c r="S3316" s="47"/>
      <c r="T3316" s="6">
        <v>30158.470000000016</v>
      </c>
      <c r="U3316" s="6">
        <v>80000</v>
      </c>
      <c r="V3316" s="6">
        <v>97225.98</v>
      </c>
      <c r="W3316" s="6">
        <f t="shared" si="513"/>
        <v>12932.49000000002</v>
      </c>
      <c r="X3316" s="6">
        <f t="shared" si="514"/>
        <v>97225.98</v>
      </c>
      <c r="Y3316" s="13">
        <f t="shared" si="506"/>
        <v>0</v>
      </c>
      <c r="Z3316" s="14">
        <v>0</v>
      </c>
      <c r="AA3316" s="6">
        <v>0</v>
      </c>
      <c r="AB3316" s="4">
        <f t="shared" si="507"/>
        <v>97225.98</v>
      </c>
      <c r="AC3316" s="4">
        <f t="shared" si="511"/>
        <v>0</v>
      </c>
      <c r="AD3316" s="6">
        <f t="shared" si="515"/>
        <v>97225.98</v>
      </c>
      <c r="AE3316" s="2">
        <f>VLOOKUP(I3316,[1]媒体政策预估表!A:N,MATCH(O3316,[1]媒体政策预估表!$A$2:$M$2,0),0)</f>
        <v>0</v>
      </c>
      <c r="AF3316" s="6">
        <f t="shared" si="512"/>
        <v>0</v>
      </c>
      <c r="AG3316" s="14">
        <v>0</v>
      </c>
      <c r="AH3316" s="64">
        <f t="shared" si="516"/>
        <v>97225.98</v>
      </c>
      <c r="AI3316" s="47"/>
      <c r="AJ3316" s="126" t="e">
        <v>#N/A</v>
      </c>
      <c r="AK3316" s="80">
        <f t="shared" si="508"/>
        <v>0</v>
      </c>
      <c r="AM3316" s="85"/>
    </row>
    <row r="3317" spans="1:39" hidden="1" x14ac:dyDescent="0.3">
      <c r="A3317" s="89" t="s">
        <v>3397</v>
      </c>
      <c r="B3317" s="86" t="s">
        <v>35</v>
      </c>
      <c r="C3317" s="86" t="s">
        <v>144</v>
      </c>
      <c r="D3317" s="86" t="s">
        <v>145</v>
      </c>
      <c r="E3317" s="86" t="s">
        <v>1457</v>
      </c>
      <c r="F3317" s="86" t="s">
        <v>1458</v>
      </c>
      <c r="G3317" s="86" t="s">
        <v>1457</v>
      </c>
      <c r="H3317" s="144">
        <v>72</v>
      </c>
      <c r="I3317" s="86" t="s">
        <v>2572</v>
      </c>
      <c r="J3317" s="1" t="s">
        <v>3327</v>
      </c>
      <c r="K3317" s="1" t="s">
        <v>3284</v>
      </c>
      <c r="L3317" s="1" t="s">
        <v>35</v>
      </c>
      <c r="M3317" s="86" t="s">
        <v>1457</v>
      </c>
      <c r="N3317" s="86"/>
      <c r="O3317" s="47" t="s">
        <v>410</v>
      </c>
      <c r="P3317" s="47" t="s">
        <v>41</v>
      </c>
      <c r="Q3317" s="14">
        <v>0</v>
      </c>
      <c r="R3317" s="143">
        <v>400002162</v>
      </c>
      <c r="S3317" s="47"/>
      <c r="T3317" s="6">
        <v>12285.759999999991</v>
      </c>
      <c r="U3317" s="6">
        <v>33250</v>
      </c>
      <c r="V3317" s="6">
        <v>32359.98</v>
      </c>
      <c r="W3317" s="6">
        <f t="shared" si="513"/>
        <v>13175.779999999995</v>
      </c>
      <c r="X3317" s="6">
        <f t="shared" si="514"/>
        <v>32359.98</v>
      </c>
      <c r="Y3317" s="13">
        <f t="shared" si="506"/>
        <v>0</v>
      </c>
      <c r="Z3317" s="14">
        <v>0.05</v>
      </c>
      <c r="AA3317" s="6">
        <f>X3317/(1-Z3317)*Z3317</f>
        <v>1703.1568421052632</v>
      </c>
      <c r="AB3317" s="4">
        <f t="shared" si="507"/>
        <v>34063.136842105261</v>
      </c>
      <c r="AC3317" s="4">
        <f t="shared" si="511"/>
        <v>0</v>
      </c>
      <c r="AD3317" s="6">
        <f t="shared" si="515"/>
        <v>32359.98</v>
      </c>
      <c r="AE3317" s="2">
        <f>VLOOKUP(I3317,[1]媒体政策预估表!A:N,MATCH(O3317,[1]媒体政策预估表!$A$2:$M$2,0),0)</f>
        <v>0</v>
      </c>
      <c r="AF3317" s="6">
        <f t="shared" si="512"/>
        <v>0</v>
      </c>
      <c r="AG3317" s="14">
        <v>0</v>
      </c>
      <c r="AH3317" s="64">
        <f t="shared" si="516"/>
        <v>32359.98</v>
      </c>
      <c r="AI3317" s="47"/>
      <c r="AJ3317" s="126" t="e">
        <v>#N/A</v>
      </c>
      <c r="AK3317" s="80">
        <f t="shared" si="508"/>
        <v>0</v>
      </c>
      <c r="AM3317" s="85"/>
    </row>
    <row r="3318" spans="1:39" hidden="1" x14ac:dyDescent="0.3">
      <c r="A3318" s="89" t="s">
        <v>3408</v>
      </c>
      <c r="B3318" s="86" t="s">
        <v>35</v>
      </c>
      <c r="C3318" s="86" t="s">
        <v>144</v>
      </c>
      <c r="D3318" s="86" t="s">
        <v>152</v>
      </c>
      <c r="E3318" s="86" t="s">
        <v>1468</v>
      </c>
      <c r="F3318" s="86" t="s">
        <v>1468</v>
      </c>
      <c r="G3318" s="86" t="s">
        <v>1468</v>
      </c>
      <c r="H3318" s="144">
        <v>72</v>
      </c>
      <c r="I3318" s="86" t="s">
        <v>2572</v>
      </c>
      <c r="J3318" s="1" t="s">
        <v>3327</v>
      </c>
      <c r="K3318" s="1" t="s">
        <v>3284</v>
      </c>
      <c r="L3318" s="1" t="s">
        <v>35</v>
      </c>
      <c r="M3318" s="86" t="s">
        <v>1468</v>
      </c>
      <c r="N3318" s="86"/>
      <c r="O3318" s="47" t="s">
        <v>410</v>
      </c>
      <c r="P3318" s="47" t="s">
        <v>41</v>
      </c>
      <c r="Q3318" s="14">
        <v>0</v>
      </c>
      <c r="R3318" s="143">
        <v>300000554</v>
      </c>
      <c r="S3318" s="47"/>
      <c r="T3318" s="6">
        <v>25854.180000000037</v>
      </c>
      <c r="U3318" s="6">
        <v>150000</v>
      </c>
      <c r="V3318" s="6">
        <v>61993.16</v>
      </c>
      <c r="W3318" s="6">
        <f t="shared" si="513"/>
        <v>113861.02000000005</v>
      </c>
      <c r="X3318" s="6">
        <f t="shared" si="514"/>
        <v>61993.16</v>
      </c>
      <c r="Y3318" s="13">
        <f t="shared" si="506"/>
        <v>0</v>
      </c>
      <c r="Z3318" s="14">
        <v>0.03</v>
      </c>
      <c r="AA3318" s="6">
        <f>X3318*Z3318</f>
        <v>1859.7948000000001</v>
      </c>
      <c r="AB3318" s="4">
        <f t="shared" si="507"/>
        <v>63852.954800000007</v>
      </c>
      <c r="AC3318" s="4">
        <f t="shared" si="511"/>
        <v>0</v>
      </c>
      <c r="AD3318" s="6">
        <f t="shared" si="515"/>
        <v>61993.16</v>
      </c>
      <c r="AE3318" s="2">
        <f>VLOOKUP(I3318,[1]媒体政策预估表!A:N,MATCH(O3318,[1]媒体政策预估表!$A$2:$M$2,0),0)</f>
        <v>0</v>
      </c>
      <c r="AF3318" s="6">
        <f t="shared" si="512"/>
        <v>0</v>
      </c>
      <c r="AG3318" s="14">
        <v>0</v>
      </c>
      <c r="AH3318" s="64">
        <f t="shared" si="516"/>
        <v>61993.16</v>
      </c>
      <c r="AI3318" s="47"/>
      <c r="AJ3318" s="126" t="e">
        <v>#N/A</v>
      </c>
      <c r="AK3318" s="80">
        <f t="shared" si="508"/>
        <v>0</v>
      </c>
      <c r="AM3318" s="85"/>
    </row>
    <row r="3319" spans="1:39" hidden="1" x14ac:dyDescent="0.3">
      <c r="A3319" s="89" t="s">
        <v>3408</v>
      </c>
      <c r="B3319" s="86" t="s">
        <v>35</v>
      </c>
      <c r="C3319" s="86" t="s">
        <v>184</v>
      </c>
      <c r="D3319" s="86" t="s">
        <v>185</v>
      </c>
      <c r="E3319" s="86" t="s">
        <v>186</v>
      </c>
      <c r="F3319" s="86" t="s">
        <v>186</v>
      </c>
      <c r="G3319" s="86" t="s">
        <v>186</v>
      </c>
      <c r="H3319" s="144">
        <v>72</v>
      </c>
      <c r="I3319" s="86" t="s">
        <v>2572</v>
      </c>
      <c r="J3319" s="1" t="s">
        <v>3327</v>
      </c>
      <c r="K3319" s="1" t="s">
        <v>3284</v>
      </c>
      <c r="L3319" s="1" t="s">
        <v>35</v>
      </c>
      <c r="M3319" s="86" t="s">
        <v>2584</v>
      </c>
      <c r="N3319" s="86"/>
      <c r="O3319" s="47" t="s">
        <v>410</v>
      </c>
      <c r="P3319" s="47" t="s">
        <v>41</v>
      </c>
      <c r="Q3319" s="14">
        <v>0</v>
      </c>
      <c r="R3319" s="143">
        <v>400002932</v>
      </c>
      <c r="S3319" s="47"/>
      <c r="T3319" s="6">
        <v>1439313.9400000032</v>
      </c>
      <c r="U3319" s="6">
        <v>5000000</v>
      </c>
      <c r="V3319" s="6">
        <v>2257749.9700000002</v>
      </c>
      <c r="W3319" s="6">
        <f t="shared" si="513"/>
        <v>4181563.970000003</v>
      </c>
      <c r="X3319" s="6">
        <f t="shared" si="514"/>
        <v>2257749.9700000002</v>
      </c>
      <c r="Y3319" s="13">
        <f t="shared" si="506"/>
        <v>0</v>
      </c>
      <c r="Z3319" s="14">
        <v>0</v>
      </c>
      <c r="AA3319" s="6">
        <v>0</v>
      </c>
      <c r="AB3319" s="4">
        <f t="shared" si="507"/>
        <v>2257749.9700000002</v>
      </c>
      <c r="AC3319" s="4">
        <f t="shared" si="511"/>
        <v>0</v>
      </c>
      <c r="AD3319" s="6">
        <f t="shared" si="515"/>
        <v>2257749.9700000002</v>
      </c>
      <c r="AE3319" s="2">
        <f>VLOOKUP(I3319,[1]媒体政策预估表!A:N,MATCH(O3319,[1]媒体政策预估表!$A$2:$M$2,0),0)</f>
        <v>0</v>
      </c>
      <c r="AF3319" s="6">
        <f t="shared" si="512"/>
        <v>0</v>
      </c>
      <c r="AG3319" s="14">
        <v>0</v>
      </c>
      <c r="AH3319" s="64">
        <f t="shared" si="516"/>
        <v>2257749.9700000002</v>
      </c>
      <c r="AI3319" s="47"/>
      <c r="AJ3319" s="126" t="e">
        <v>#N/A</v>
      </c>
      <c r="AK3319" s="80">
        <f t="shared" si="508"/>
        <v>0</v>
      </c>
      <c r="AM3319" s="85"/>
    </row>
    <row r="3320" spans="1:39" hidden="1" x14ac:dyDescent="0.3">
      <c r="A3320" s="89" t="s">
        <v>3409</v>
      </c>
      <c r="B3320" s="86" t="s">
        <v>701</v>
      </c>
      <c r="C3320" s="86" t="s">
        <v>65</v>
      </c>
      <c r="D3320" s="86" t="s">
        <v>122</v>
      </c>
      <c r="E3320" s="86" t="s">
        <v>702</v>
      </c>
      <c r="F3320" s="86" t="s">
        <v>703</v>
      </c>
      <c r="G3320" s="86" t="s">
        <v>704</v>
      </c>
      <c r="H3320" s="144">
        <v>72</v>
      </c>
      <c r="I3320" s="86" t="s">
        <v>2572</v>
      </c>
      <c r="J3320" s="1" t="s">
        <v>3327</v>
      </c>
      <c r="K3320" s="1" t="s">
        <v>3284</v>
      </c>
      <c r="L3320" s="1" t="s">
        <v>35</v>
      </c>
      <c r="M3320" s="86" t="s">
        <v>702</v>
      </c>
      <c r="N3320" s="86"/>
      <c r="O3320" s="47" t="s">
        <v>410</v>
      </c>
      <c r="P3320" s="47" t="s">
        <v>41</v>
      </c>
      <c r="Q3320" s="14">
        <v>0</v>
      </c>
      <c r="R3320" s="143">
        <v>400001033</v>
      </c>
      <c r="S3320" s="47"/>
      <c r="T3320" s="6">
        <v>81385.200000000012</v>
      </c>
      <c r="U3320" s="6">
        <v>384466.02</v>
      </c>
      <c r="V3320" s="6">
        <v>422620.32</v>
      </c>
      <c r="W3320" s="6">
        <f t="shared" si="513"/>
        <v>43230.900000000023</v>
      </c>
      <c r="X3320" s="6">
        <f t="shared" si="514"/>
        <v>422620.32</v>
      </c>
      <c r="Y3320" s="13">
        <f t="shared" si="506"/>
        <v>0</v>
      </c>
      <c r="Z3320" s="14">
        <v>0.03</v>
      </c>
      <c r="AA3320" s="6">
        <f>X3320*Z3320</f>
        <v>12678.6096</v>
      </c>
      <c r="AB3320" s="4">
        <f t="shared" si="507"/>
        <v>435298.92960000003</v>
      </c>
      <c r="AC3320" s="4">
        <f t="shared" si="511"/>
        <v>0</v>
      </c>
      <c r="AD3320" s="6">
        <f>V3320</f>
        <v>422620.32</v>
      </c>
      <c r="AE3320" s="2">
        <f>VLOOKUP(I3320,[1]媒体政策预估表!A:N,MATCH(O3320,[1]媒体政策预估表!$A$2:$M$2,0),0)</f>
        <v>0</v>
      </c>
      <c r="AF3320" s="6">
        <f t="shared" si="512"/>
        <v>0</v>
      </c>
      <c r="AG3320" s="14">
        <v>0</v>
      </c>
      <c r="AH3320" s="64">
        <f t="shared" si="516"/>
        <v>422620.32</v>
      </c>
      <c r="AI3320" s="47"/>
      <c r="AJ3320" s="126" t="e">
        <v>#N/A</v>
      </c>
      <c r="AK3320" s="80">
        <f t="shared" si="508"/>
        <v>0</v>
      </c>
      <c r="AM3320" s="85"/>
    </row>
    <row r="3321" spans="1:39" hidden="1" x14ac:dyDescent="0.3">
      <c r="A3321" s="89" t="s">
        <v>3397</v>
      </c>
      <c r="B3321" s="86" t="s">
        <v>35</v>
      </c>
      <c r="C3321" s="86" t="s">
        <v>59</v>
      </c>
      <c r="D3321" s="86" t="s">
        <v>60</v>
      </c>
      <c r="E3321" s="86" t="s">
        <v>77</v>
      </c>
      <c r="F3321" s="86" t="s">
        <v>77</v>
      </c>
      <c r="G3321" s="86" t="s">
        <v>77</v>
      </c>
      <c r="H3321" s="144">
        <v>72</v>
      </c>
      <c r="I3321" s="86" t="s">
        <v>2572</v>
      </c>
      <c r="J3321" s="1" t="s">
        <v>3327</v>
      </c>
      <c r="K3321" s="1" t="s">
        <v>3284</v>
      </c>
      <c r="L3321" s="1" t="s">
        <v>35</v>
      </c>
      <c r="M3321" s="86" t="s">
        <v>2573</v>
      </c>
      <c r="N3321" s="86"/>
      <c r="O3321" s="47" t="s">
        <v>410</v>
      </c>
      <c r="P3321" s="47" t="s">
        <v>41</v>
      </c>
      <c r="Q3321" s="14">
        <v>0</v>
      </c>
      <c r="R3321" s="143">
        <v>400002591</v>
      </c>
      <c r="S3321" s="47"/>
      <c r="T3321" s="6">
        <v>200000</v>
      </c>
      <c r="U3321" s="6"/>
      <c r="V3321" s="6">
        <v>87317.540000000066</v>
      </c>
      <c r="W3321" s="6">
        <f t="shared" si="513"/>
        <v>112682.45999999993</v>
      </c>
      <c r="X3321" s="6">
        <f t="shared" si="514"/>
        <v>87317.540000000066</v>
      </c>
      <c r="Y3321" s="13">
        <f t="shared" si="506"/>
        <v>0</v>
      </c>
      <c r="Z3321" s="14">
        <v>0</v>
      </c>
      <c r="AA3321" s="6">
        <v>0</v>
      </c>
      <c r="AB3321" s="4">
        <f t="shared" si="507"/>
        <v>87317.540000000066</v>
      </c>
      <c r="AC3321" s="4">
        <f t="shared" si="511"/>
        <v>0</v>
      </c>
      <c r="AD3321" s="6">
        <f t="shared" si="515"/>
        <v>87317.540000000066</v>
      </c>
      <c r="AE3321" s="2">
        <f>VLOOKUP(I3321,[1]媒体政策预估表!A:N,MATCH(O3321,[1]媒体政策预估表!$A$2:$M$2,0),0)</f>
        <v>0</v>
      </c>
      <c r="AF3321" s="6">
        <f t="shared" si="512"/>
        <v>0</v>
      </c>
      <c r="AG3321" s="14">
        <v>0</v>
      </c>
      <c r="AH3321" s="64">
        <f t="shared" si="516"/>
        <v>87317.540000000066</v>
      </c>
      <c r="AI3321" s="47"/>
      <c r="AJ3321" s="126" t="e">
        <v>#N/A</v>
      </c>
      <c r="AK3321" s="80">
        <f t="shared" si="508"/>
        <v>0</v>
      </c>
      <c r="AM3321" s="85"/>
    </row>
    <row r="3322" spans="1:39" hidden="1" x14ac:dyDescent="0.3">
      <c r="A3322" s="89" t="s">
        <v>3409</v>
      </c>
      <c r="B3322" s="86" t="s">
        <v>35</v>
      </c>
      <c r="C3322" s="86" t="s">
        <v>36</v>
      </c>
      <c r="D3322" s="86" t="s">
        <v>224</v>
      </c>
      <c r="E3322" s="86" t="s">
        <v>2575</v>
      </c>
      <c r="F3322" s="86" t="s">
        <v>2575</v>
      </c>
      <c r="G3322" s="86" t="s">
        <v>2575</v>
      </c>
      <c r="H3322" s="144">
        <v>72</v>
      </c>
      <c r="I3322" s="86" t="s">
        <v>2572</v>
      </c>
      <c r="J3322" s="1" t="s">
        <v>3327</v>
      </c>
      <c r="K3322" s="1" t="s">
        <v>3284</v>
      </c>
      <c r="L3322" s="1" t="s">
        <v>35</v>
      </c>
      <c r="M3322" s="86" t="s">
        <v>2576</v>
      </c>
      <c r="N3322" s="86"/>
      <c r="O3322" s="47" t="s">
        <v>410</v>
      </c>
      <c r="P3322" s="47" t="s">
        <v>41</v>
      </c>
      <c r="Q3322" s="14">
        <v>0</v>
      </c>
      <c r="R3322" s="143">
        <v>400003494</v>
      </c>
      <c r="S3322" s="47"/>
      <c r="T3322" s="6">
        <v>1571.6600000000008</v>
      </c>
      <c r="U3322" s="6"/>
      <c r="V3322" s="6">
        <v>1372.3</v>
      </c>
      <c r="W3322" s="6">
        <f t="shared" si="513"/>
        <v>199.36000000000081</v>
      </c>
      <c r="X3322" s="6">
        <f t="shared" si="514"/>
        <v>1372.3</v>
      </c>
      <c r="Y3322" s="13">
        <f t="shared" si="506"/>
        <v>0</v>
      </c>
      <c r="Z3322" s="14">
        <v>0.03</v>
      </c>
      <c r="AA3322" s="6">
        <f t="shared" ref="AA3322:AA3324" si="518">X3322*Z3322</f>
        <v>41.168999999999997</v>
      </c>
      <c r="AB3322" s="4">
        <f t="shared" si="507"/>
        <v>1413.4690000000001</v>
      </c>
      <c r="AC3322" s="4">
        <f t="shared" si="511"/>
        <v>0</v>
      </c>
      <c r="AD3322" s="6">
        <f t="shared" si="515"/>
        <v>1372.3</v>
      </c>
      <c r="AE3322" s="2">
        <f>VLOOKUP(I3322,[1]媒体政策预估表!A:N,MATCH(O3322,[1]媒体政策预估表!$A$2:$M$2,0),0)</f>
        <v>0</v>
      </c>
      <c r="AF3322" s="6">
        <f t="shared" si="512"/>
        <v>0</v>
      </c>
      <c r="AG3322" s="14">
        <v>0</v>
      </c>
      <c r="AH3322" s="64">
        <f t="shared" si="516"/>
        <v>1372.3</v>
      </c>
      <c r="AI3322" s="47"/>
      <c r="AJ3322" s="126" t="e">
        <v>#N/A</v>
      </c>
      <c r="AK3322" s="80">
        <f t="shared" si="508"/>
        <v>0</v>
      </c>
      <c r="AM3322" s="85"/>
    </row>
    <row r="3323" spans="1:39" hidden="1" x14ac:dyDescent="0.3">
      <c r="A3323" s="89" t="s">
        <v>3408</v>
      </c>
      <c r="B3323" s="86" t="s">
        <v>35</v>
      </c>
      <c r="C3323" s="86" t="s">
        <v>36</v>
      </c>
      <c r="D3323" s="86" t="s">
        <v>54</v>
      </c>
      <c r="E3323" s="86" t="s">
        <v>71</v>
      </c>
      <c r="F3323" s="86" t="s">
        <v>71</v>
      </c>
      <c r="G3323" s="86" t="s">
        <v>71</v>
      </c>
      <c r="H3323" s="143">
        <v>72</v>
      </c>
      <c r="I3323" s="86" t="s">
        <v>2572</v>
      </c>
      <c r="J3323" s="1" t="s">
        <v>3327</v>
      </c>
      <c r="K3323" s="1" t="s">
        <v>3284</v>
      </c>
      <c r="L3323" s="1" t="s">
        <v>35</v>
      </c>
      <c r="M3323" s="86" t="s">
        <v>2577</v>
      </c>
      <c r="N3323" s="86"/>
      <c r="O3323" s="47" t="s">
        <v>410</v>
      </c>
      <c r="P3323" s="47" t="s">
        <v>41</v>
      </c>
      <c r="Q3323" s="14">
        <v>0</v>
      </c>
      <c r="R3323" s="143">
        <v>600001435</v>
      </c>
      <c r="S3323" s="47"/>
      <c r="T3323" s="6">
        <v>-611.86999999856835</v>
      </c>
      <c r="U3323" s="6"/>
      <c r="V3323" s="6">
        <v>0</v>
      </c>
      <c r="W3323" s="6">
        <f t="shared" si="513"/>
        <v>-611.86999999856835</v>
      </c>
      <c r="X3323" s="6">
        <f t="shared" si="514"/>
        <v>0</v>
      </c>
      <c r="Y3323" s="13">
        <f t="shared" si="506"/>
        <v>0</v>
      </c>
      <c r="Z3323" s="14">
        <v>5.5E-2</v>
      </c>
      <c r="AA3323" s="6">
        <f t="shared" si="518"/>
        <v>0</v>
      </c>
      <c r="AB3323" s="4">
        <f t="shared" si="507"/>
        <v>0</v>
      </c>
      <c r="AC3323" s="4">
        <f t="shared" si="511"/>
        <v>0</v>
      </c>
      <c r="AD3323" s="6">
        <f t="shared" si="515"/>
        <v>0</v>
      </c>
      <c r="AE3323" s="2">
        <f>VLOOKUP(I3323,[1]媒体政策预估表!A:N,MATCH(O3323,[1]媒体政策预估表!$A$2:$M$2,0),0)</f>
        <v>0</v>
      </c>
      <c r="AF3323" s="6">
        <f t="shared" si="512"/>
        <v>0</v>
      </c>
      <c r="AG3323" s="14">
        <v>0</v>
      </c>
      <c r="AH3323" s="64">
        <f t="shared" si="516"/>
        <v>0</v>
      </c>
      <c r="AI3323" s="47"/>
      <c r="AJ3323" s="126" t="e">
        <v>#N/A</v>
      </c>
      <c r="AK3323" s="80">
        <f t="shared" si="508"/>
        <v>0</v>
      </c>
      <c r="AM3323" s="85"/>
    </row>
    <row r="3324" spans="1:39" hidden="1" x14ac:dyDescent="0.3">
      <c r="A3324" s="89" t="s">
        <v>3408</v>
      </c>
      <c r="B3324" s="86" t="s">
        <v>35</v>
      </c>
      <c r="C3324" s="86" t="s">
        <v>36</v>
      </c>
      <c r="D3324" s="86" t="s">
        <v>54</v>
      </c>
      <c r="E3324" s="86" t="s">
        <v>71</v>
      </c>
      <c r="F3324" s="86" t="s">
        <v>71</v>
      </c>
      <c r="G3324" s="86" t="s">
        <v>71</v>
      </c>
      <c r="H3324" s="143">
        <v>72</v>
      </c>
      <c r="I3324" s="86" t="s">
        <v>2572</v>
      </c>
      <c r="J3324" s="1" t="s">
        <v>3327</v>
      </c>
      <c r="K3324" s="1" t="s">
        <v>3284</v>
      </c>
      <c r="L3324" s="1" t="s">
        <v>35</v>
      </c>
      <c r="M3324" s="86" t="s">
        <v>73</v>
      </c>
      <c r="N3324" s="86"/>
      <c r="O3324" s="47" t="s">
        <v>410</v>
      </c>
      <c r="P3324" s="47" t="s">
        <v>41</v>
      </c>
      <c r="Q3324" s="14">
        <v>0</v>
      </c>
      <c r="R3324" s="143">
        <v>600001390</v>
      </c>
      <c r="S3324" s="47"/>
      <c r="T3324" s="6">
        <v>515545.09999999567</v>
      </c>
      <c r="U3324" s="6"/>
      <c r="V3324" s="6">
        <v>0</v>
      </c>
      <c r="W3324" s="6">
        <f t="shared" si="513"/>
        <v>515545.09999999567</v>
      </c>
      <c r="X3324" s="6">
        <f t="shared" si="514"/>
        <v>0</v>
      </c>
      <c r="Y3324" s="13">
        <f t="shared" si="506"/>
        <v>0</v>
      </c>
      <c r="Z3324" s="14">
        <v>5.5E-2</v>
      </c>
      <c r="AA3324" s="6">
        <f t="shared" si="518"/>
        <v>0</v>
      </c>
      <c r="AB3324" s="4">
        <f t="shared" si="507"/>
        <v>0</v>
      </c>
      <c r="AC3324" s="4">
        <f t="shared" si="511"/>
        <v>0</v>
      </c>
      <c r="AD3324" s="6">
        <f t="shared" si="515"/>
        <v>0</v>
      </c>
      <c r="AE3324" s="2">
        <f>VLOOKUP(I3324,[1]媒体政策预估表!A:N,MATCH(O3324,[1]媒体政策预估表!$A$2:$M$2,0),0)</f>
        <v>0</v>
      </c>
      <c r="AF3324" s="6">
        <f t="shared" si="512"/>
        <v>0</v>
      </c>
      <c r="AG3324" s="14">
        <v>0</v>
      </c>
      <c r="AH3324" s="64">
        <f t="shared" si="516"/>
        <v>0</v>
      </c>
      <c r="AI3324" s="47"/>
      <c r="AJ3324" s="126" t="e">
        <v>#N/A</v>
      </c>
      <c r="AK3324" s="80">
        <f t="shared" si="508"/>
        <v>0</v>
      </c>
      <c r="AM3324" s="85"/>
    </row>
    <row r="3325" spans="1:39" hidden="1" x14ac:dyDescent="0.3">
      <c r="A3325" s="89" t="s">
        <v>3397</v>
      </c>
      <c r="B3325" s="86" t="s">
        <v>35</v>
      </c>
      <c r="C3325" s="86" t="s">
        <v>164</v>
      </c>
      <c r="D3325" s="86" t="s">
        <v>165</v>
      </c>
      <c r="E3325" s="86" t="s">
        <v>1554</v>
      </c>
      <c r="F3325" s="86" t="s">
        <v>1555</v>
      </c>
      <c r="G3325" s="86" t="s">
        <v>1554</v>
      </c>
      <c r="H3325" s="144">
        <v>72</v>
      </c>
      <c r="I3325" s="86" t="s">
        <v>2572</v>
      </c>
      <c r="J3325" s="1" t="s">
        <v>3327</v>
      </c>
      <c r="K3325" s="1" t="s">
        <v>3284</v>
      </c>
      <c r="L3325" s="1" t="s">
        <v>35</v>
      </c>
      <c r="M3325" s="86" t="s">
        <v>1554</v>
      </c>
      <c r="N3325" s="86"/>
      <c r="O3325" s="47" t="s">
        <v>410</v>
      </c>
      <c r="P3325" s="47" t="s">
        <v>41</v>
      </c>
      <c r="Q3325" s="14">
        <v>0</v>
      </c>
      <c r="R3325" s="143">
        <v>400003597</v>
      </c>
      <c r="S3325" s="47"/>
      <c r="T3325" s="6">
        <v>254549.60000000003</v>
      </c>
      <c r="U3325" s="6"/>
      <c r="V3325" s="6">
        <v>5336</v>
      </c>
      <c r="W3325" s="6">
        <f t="shared" si="513"/>
        <v>249213.60000000003</v>
      </c>
      <c r="X3325" s="6">
        <f t="shared" si="514"/>
        <v>5336</v>
      </c>
      <c r="Y3325" s="13">
        <f t="shared" si="506"/>
        <v>0</v>
      </c>
      <c r="Z3325" s="14">
        <v>0.03</v>
      </c>
      <c r="AA3325" s="6">
        <f>X3325/(1-Z3325)*Z3325</f>
        <v>165.03092783505153</v>
      </c>
      <c r="AB3325" s="4">
        <f t="shared" si="507"/>
        <v>5501.0309278350514</v>
      </c>
      <c r="AC3325" s="4">
        <f t="shared" si="511"/>
        <v>0</v>
      </c>
      <c r="AD3325" s="6">
        <f t="shared" si="515"/>
        <v>5336</v>
      </c>
      <c r="AE3325" s="2">
        <f>VLOOKUP(I3325,[1]媒体政策预估表!A:N,MATCH(O3325,[1]媒体政策预估表!$A$2:$M$2,0),0)</f>
        <v>0</v>
      </c>
      <c r="AF3325" s="6">
        <f t="shared" si="512"/>
        <v>0</v>
      </c>
      <c r="AG3325" s="14">
        <v>0</v>
      </c>
      <c r="AH3325" s="64">
        <f t="shared" si="516"/>
        <v>5336</v>
      </c>
      <c r="AI3325" s="47"/>
      <c r="AJ3325" s="126" t="e">
        <v>#N/A</v>
      </c>
      <c r="AK3325" s="80">
        <f t="shared" si="508"/>
        <v>0</v>
      </c>
      <c r="AM3325" s="85"/>
    </row>
    <row r="3326" spans="1:39" hidden="1" x14ac:dyDescent="0.3">
      <c r="A3326" s="89" t="s">
        <v>3397</v>
      </c>
      <c r="B3326" s="86" t="s">
        <v>35</v>
      </c>
      <c r="C3326" s="86" t="s">
        <v>164</v>
      </c>
      <c r="D3326" s="86" t="s">
        <v>174</v>
      </c>
      <c r="E3326" s="86" t="s">
        <v>1969</v>
      </c>
      <c r="F3326" s="86" t="s">
        <v>1969</v>
      </c>
      <c r="G3326" s="86" t="s">
        <v>1969</v>
      </c>
      <c r="H3326" s="144">
        <v>72</v>
      </c>
      <c r="I3326" s="86" t="s">
        <v>2572</v>
      </c>
      <c r="J3326" s="1" t="s">
        <v>3327</v>
      </c>
      <c r="K3326" s="1" t="s">
        <v>3284</v>
      </c>
      <c r="L3326" s="1" t="s">
        <v>35</v>
      </c>
      <c r="M3326" s="86" t="s">
        <v>1971</v>
      </c>
      <c r="N3326" s="86"/>
      <c r="O3326" s="47" t="s">
        <v>410</v>
      </c>
      <c r="P3326" s="47" t="s">
        <v>41</v>
      </c>
      <c r="Q3326" s="14">
        <v>0</v>
      </c>
      <c r="R3326" s="143">
        <v>400002651</v>
      </c>
      <c r="S3326" s="47"/>
      <c r="T3326" s="6">
        <v>39866.940000000017</v>
      </c>
      <c r="U3326" s="6"/>
      <c r="V3326" s="6">
        <v>22973.61</v>
      </c>
      <c r="W3326" s="6">
        <f t="shared" si="513"/>
        <v>16893.330000000016</v>
      </c>
      <c r="X3326" s="6">
        <f t="shared" si="514"/>
        <v>22973.61</v>
      </c>
      <c r="Y3326" s="13">
        <f t="shared" si="506"/>
        <v>0</v>
      </c>
      <c r="Z3326" s="14">
        <v>0</v>
      </c>
      <c r="AA3326" s="6">
        <v>0</v>
      </c>
      <c r="AB3326" s="4">
        <f t="shared" si="507"/>
        <v>22973.61</v>
      </c>
      <c r="AC3326" s="4">
        <f t="shared" si="511"/>
        <v>0</v>
      </c>
      <c r="AD3326" s="6">
        <f t="shared" si="515"/>
        <v>22973.61</v>
      </c>
      <c r="AE3326" s="2">
        <f>VLOOKUP(I3326,[1]媒体政策预估表!A:N,MATCH(O3326,[1]媒体政策预估表!$A$2:$M$2,0),0)</f>
        <v>0</v>
      </c>
      <c r="AF3326" s="6">
        <f t="shared" si="512"/>
        <v>0</v>
      </c>
      <c r="AG3326" s="14">
        <v>0</v>
      </c>
      <c r="AH3326" s="64">
        <f t="shared" si="516"/>
        <v>22973.61</v>
      </c>
      <c r="AI3326" s="47"/>
      <c r="AJ3326" s="126" t="e">
        <v>#N/A</v>
      </c>
      <c r="AK3326" s="80">
        <f t="shared" si="508"/>
        <v>0</v>
      </c>
      <c r="AM3326" s="85"/>
    </row>
    <row r="3327" spans="1:39" hidden="1" x14ac:dyDescent="0.3">
      <c r="A3327" s="89" t="s">
        <v>3409</v>
      </c>
      <c r="B3327" s="86" t="s">
        <v>35</v>
      </c>
      <c r="C3327" s="86" t="s">
        <v>65</v>
      </c>
      <c r="D3327" s="86" t="s">
        <v>66</v>
      </c>
      <c r="E3327" s="86" t="s">
        <v>713</v>
      </c>
      <c r="F3327" s="86" t="s">
        <v>713</v>
      </c>
      <c r="G3327" s="86" t="s">
        <v>713</v>
      </c>
      <c r="H3327" s="143">
        <v>72</v>
      </c>
      <c r="I3327" s="86" t="s">
        <v>2572</v>
      </c>
      <c r="J3327" s="1" t="s">
        <v>3327</v>
      </c>
      <c r="K3327" s="1" t="s">
        <v>3284</v>
      </c>
      <c r="L3327" s="1" t="s">
        <v>35</v>
      </c>
      <c r="M3327" s="86" t="s">
        <v>1874</v>
      </c>
      <c r="N3327" s="86"/>
      <c r="O3327" s="47" t="s">
        <v>410</v>
      </c>
      <c r="P3327" s="47" t="s">
        <v>41</v>
      </c>
      <c r="Q3327" s="14">
        <v>0</v>
      </c>
      <c r="R3327" s="143">
        <v>600004428</v>
      </c>
      <c r="S3327" s="47"/>
      <c r="T3327" s="6">
        <v>9708.74</v>
      </c>
      <c r="U3327" s="6"/>
      <c r="V3327" s="6">
        <v>0</v>
      </c>
      <c r="W3327" s="6">
        <f t="shared" si="513"/>
        <v>9708.74</v>
      </c>
      <c r="X3327" s="6">
        <f t="shared" si="514"/>
        <v>0</v>
      </c>
      <c r="Y3327" s="13">
        <f t="shared" si="506"/>
        <v>0</v>
      </c>
      <c r="Z3327" s="14">
        <v>0.03</v>
      </c>
      <c r="AA3327" s="6">
        <f>X3327*Z3327</f>
        <v>0</v>
      </c>
      <c r="AB3327" s="4">
        <f t="shared" si="507"/>
        <v>0</v>
      </c>
      <c r="AC3327" s="4">
        <f t="shared" si="511"/>
        <v>0</v>
      </c>
      <c r="AD3327" s="6">
        <f t="shared" si="515"/>
        <v>0</v>
      </c>
      <c r="AE3327" s="2">
        <f>VLOOKUP(I3327,[1]媒体政策预估表!A:N,MATCH(O3327,[1]媒体政策预估表!$A$2:$M$2,0),0)</f>
        <v>0</v>
      </c>
      <c r="AF3327" s="6">
        <f t="shared" si="512"/>
        <v>0</v>
      </c>
      <c r="AG3327" s="14">
        <v>0</v>
      </c>
      <c r="AH3327" s="64">
        <f t="shared" si="516"/>
        <v>0</v>
      </c>
      <c r="AI3327" s="47"/>
      <c r="AJ3327" s="126" t="e">
        <v>#N/A</v>
      </c>
      <c r="AK3327" s="80">
        <f t="shared" si="508"/>
        <v>0</v>
      </c>
      <c r="AM3327" s="85"/>
    </row>
    <row r="3328" spans="1:39" hidden="1" x14ac:dyDescent="0.3">
      <c r="A3328" s="89" t="s">
        <v>3397</v>
      </c>
      <c r="B3328" s="86" t="s">
        <v>35</v>
      </c>
      <c r="C3328" s="86" t="s">
        <v>47</v>
      </c>
      <c r="D3328" s="86" t="s">
        <v>48</v>
      </c>
      <c r="E3328" s="86" t="s">
        <v>1349</v>
      </c>
      <c r="F3328" s="86" t="s">
        <v>2586</v>
      </c>
      <c r="G3328" s="86" t="s">
        <v>1349</v>
      </c>
      <c r="H3328" s="144">
        <v>72</v>
      </c>
      <c r="I3328" s="86" t="s">
        <v>2572</v>
      </c>
      <c r="J3328" s="1" t="s">
        <v>3327</v>
      </c>
      <c r="K3328" s="1" t="s">
        <v>3284</v>
      </c>
      <c r="L3328" s="1" t="s">
        <v>35</v>
      </c>
      <c r="M3328" s="86" t="s">
        <v>627</v>
      </c>
      <c r="N3328" s="86"/>
      <c r="O3328" s="47" t="s">
        <v>410</v>
      </c>
      <c r="P3328" s="47" t="s">
        <v>41</v>
      </c>
      <c r="Q3328" s="14">
        <v>0</v>
      </c>
      <c r="R3328" s="143">
        <v>100000508</v>
      </c>
      <c r="S3328" s="47"/>
      <c r="T3328" s="6">
        <v>894606.69</v>
      </c>
      <c r="U3328" s="6"/>
      <c r="V3328" s="6">
        <v>13.3</v>
      </c>
      <c r="W3328" s="6">
        <f t="shared" si="513"/>
        <v>894593.3899999999</v>
      </c>
      <c r="X3328" s="6">
        <f t="shared" si="514"/>
        <v>13.3</v>
      </c>
      <c r="Y3328" s="13">
        <f t="shared" si="506"/>
        <v>0</v>
      </c>
      <c r="Z3328" s="14">
        <v>0</v>
      </c>
      <c r="AA3328" s="6">
        <v>0</v>
      </c>
      <c r="AB3328" s="4">
        <f t="shared" si="507"/>
        <v>13.3</v>
      </c>
      <c r="AC3328" s="4">
        <f t="shared" si="511"/>
        <v>0</v>
      </c>
      <c r="AD3328" s="6">
        <f t="shared" si="515"/>
        <v>13.3</v>
      </c>
      <c r="AE3328" s="2">
        <f>VLOOKUP(I3328,[1]媒体政策预估表!A:N,MATCH(O3328,[1]媒体政策预估表!$A$2:$M$2,0),0)</f>
        <v>0</v>
      </c>
      <c r="AF3328" s="6">
        <f t="shared" si="512"/>
        <v>0</v>
      </c>
      <c r="AG3328" s="14">
        <v>0</v>
      </c>
      <c r="AH3328" s="64">
        <f t="shared" si="516"/>
        <v>13.3</v>
      </c>
      <c r="AI3328" s="47"/>
      <c r="AJ3328" s="126" t="e">
        <v>#N/A</v>
      </c>
      <c r="AK3328" s="80">
        <f t="shared" si="508"/>
        <v>0</v>
      </c>
      <c r="AM3328" s="85"/>
    </row>
    <row r="3329" spans="1:39" hidden="1" x14ac:dyDescent="0.3">
      <c r="A3329" s="89" t="s">
        <v>3397</v>
      </c>
      <c r="B3329" s="86" t="s">
        <v>35</v>
      </c>
      <c r="C3329" s="86" t="s">
        <v>164</v>
      </c>
      <c r="D3329" s="86" t="s">
        <v>165</v>
      </c>
      <c r="E3329" s="86" t="s">
        <v>2587</v>
      </c>
      <c r="F3329" s="86" t="s">
        <v>2587</v>
      </c>
      <c r="G3329" s="86" t="s">
        <v>2587</v>
      </c>
      <c r="H3329" s="143">
        <v>72</v>
      </c>
      <c r="I3329" s="86" t="s">
        <v>2572</v>
      </c>
      <c r="J3329" s="1" t="s">
        <v>3327</v>
      </c>
      <c r="K3329" s="1" t="s">
        <v>3284</v>
      </c>
      <c r="L3329" s="1" t="s">
        <v>35</v>
      </c>
      <c r="M3329" s="86" t="s">
        <v>2587</v>
      </c>
      <c r="N3329" s="86"/>
      <c r="O3329" s="47" t="s">
        <v>410</v>
      </c>
      <c r="P3329" s="47" t="s">
        <v>41</v>
      </c>
      <c r="Q3329" s="14">
        <v>0</v>
      </c>
      <c r="R3329" s="143">
        <v>600004278</v>
      </c>
      <c r="S3329" s="47"/>
      <c r="T3329" s="6">
        <v>8290.2999999999993</v>
      </c>
      <c r="U3329" s="6"/>
      <c r="V3329" s="6">
        <v>0</v>
      </c>
      <c r="W3329" s="6">
        <f t="shared" si="513"/>
        <v>8290.2999999999993</v>
      </c>
      <c r="X3329" s="6">
        <f t="shared" si="514"/>
        <v>0</v>
      </c>
      <c r="Y3329" s="13">
        <f t="shared" si="506"/>
        <v>0</v>
      </c>
      <c r="Z3329" s="14">
        <v>0.02</v>
      </c>
      <c r="AA3329" s="6">
        <f>X3329/(1-Z3329)*Z3329</f>
        <v>0</v>
      </c>
      <c r="AB3329" s="4">
        <f t="shared" si="507"/>
        <v>0</v>
      </c>
      <c r="AC3329" s="4">
        <f t="shared" si="511"/>
        <v>0</v>
      </c>
      <c r="AD3329" s="6">
        <f t="shared" si="515"/>
        <v>0</v>
      </c>
      <c r="AE3329" s="2">
        <f>VLOOKUP(I3329,[1]媒体政策预估表!A:N,MATCH(O3329,[1]媒体政策预估表!$A$2:$M$2,0),0)</f>
        <v>0</v>
      </c>
      <c r="AF3329" s="6">
        <f t="shared" si="512"/>
        <v>0</v>
      </c>
      <c r="AG3329" s="14">
        <v>0</v>
      </c>
      <c r="AH3329" s="64">
        <f t="shared" si="516"/>
        <v>0</v>
      </c>
      <c r="AI3329" s="47"/>
      <c r="AJ3329" s="126" t="e">
        <v>#N/A</v>
      </c>
      <c r="AK3329" s="80">
        <f t="shared" si="508"/>
        <v>0</v>
      </c>
      <c r="AM3329" s="85"/>
    </row>
    <row r="3330" spans="1:39" hidden="1" x14ac:dyDescent="0.3">
      <c r="A3330" s="89" t="s">
        <v>3397</v>
      </c>
      <c r="B3330" s="86" t="s">
        <v>35</v>
      </c>
      <c r="C3330" s="86" t="s">
        <v>47</v>
      </c>
      <c r="D3330" s="86" t="s">
        <v>63</v>
      </c>
      <c r="E3330" s="86" t="s">
        <v>2588</v>
      </c>
      <c r="F3330" s="86" t="s">
        <v>2588</v>
      </c>
      <c r="G3330" s="86" t="s">
        <v>2588</v>
      </c>
      <c r="H3330" s="143">
        <v>72</v>
      </c>
      <c r="I3330" s="86" t="s">
        <v>2572</v>
      </c>
      <c r="J3330" s="1" t="s">
        <v>3327</v>
      </c>
      <c r="K3330" s="1" t="s">
        <v>3284</v>
      </c>
      <c r="L3330" s="1" t="s">
        <v>35</v>
      </c>
      <c r="M3330" s="86" t="s">
        <v>2169</v>
      </c>
      <c r="N3330" s="86"/>
      <c r="O3330" s="47" t="s">
        <v>410</v>
      </c>
      <c r="P3330" s="47" t="s">
        <v>41</v>
      </c>
      <c r="Q3330" s="14">
        <v>0</v>
      </c>
      <c r="R3330" s="143">
        <v>600000829</v>
      </c>
      <c r="S3330" s="47"/>
      <c r="T3330" s="6">
        <v>37743.599999999627</v>
      </c>
      <c r="U3330" s="6"/>
      <c r="V3330" s="6">
        <v>0</v>
      </c>
      <c r="W3330" s="6">
        <f t="shared" si="513"/>
        <v>37743.599999999627</v>
      </c>
      <c r="X3330" s="6">
        <f t="shared" si="514"/>
        <v>0</v>
      </c>
      <c r="Y3330" s="13">
        <f t="shared" si="506"/>
        <v>0</v>
      </c>
      <c r="Z3330" s="14">
        <v>0</v>
      </c>
      <c r="AA3330" s="6">
        <v>0</v>
      </c>
      <c r="AB3330" s="4">
        <f t="shared" si="507"/>
        <v>0</v>
      </c>
      <c r="AC3330" s="4">
        <f t="shared" si="511"/>
        <v>0</v>
      </c>
      <c r="AD3330" s="6">
        <f t="shared" si="515"/>
        <v>0</v>
      </c>
      <c r="AE3330" s="2">
        <f>VLOOKUP(I3330,[1]媒体政策预估表!A:N,MATCH(O3330,[1]媒体政策预估表!$A$2:$M$2,0),0)</f>
        <v>0</v>
      </c>
      <c r="AF3330" s="6">
        <f t="shared" si="512"/>
        <v>0</v>
      </c>
      <c r="AG3330" s="14">
        <v>0</v>
      </c>
      <c r="AH3330" s="64">
        <f t="shared" si="516"/>
        <v>0</v>
      </c>
      <c r="AI3330" s="47"/>
      <c r="AJ3330" s="126" t="e">
        <v>#N/A</v>
      </c>
      <c r="AK3330" s="80">
        <f t="shared" si="508"/>
        <v>0</v>
      </c>
      <c r="AM3330" s="85"/>
    </row>
    <row r="3331" spans="1:39" hidden="1" x14ac:dyDescent="0.3">
      <c r="A3331" s="89" t="s">
        <v>3397</v>
      </c>
      <c r="B3331" s="86" t="s">
        <v>35</v>
      </c>
      <c r="C3331" s="86" t="s">
        <v>36</v>
      </c>
      <c r="D3331" s="86" t="s">
        <v>54</v>
      </c>
      <c r="E3331" s="86" t="s">
        <v>2589</v>
      </c>
      <c r="F3331" s="86" t="s">
        <v>2589</v>
      </c>
      <c r="G3331" s="86" t="s">
        <v>2589</v>
      </c>
      <c r="H3331" s="143">
        <v>72</v>
      </c>
      <c r="I3331" s="86" t="s">
        <v>2572</v>
      </c>
      <c r="J3331" s="1" t="s">
        <v>3327</v>
      </c>
      <c r="K3331" s="1" t="s">
        <v>3284</v>
      </c>
      <c r="L3331" s="1" t="s">
        <v>35</v>
      </c>
      <c r="M3331" s="86" t="s">
        <v>2590</v>
      </c>
      <c r="N3331" s="86"/>
      <c r="O3331" s="47" t="s">
        <v>410</v>
      </c>
      <c r="P3331" s="47" t="s">
        <v>41</v>
      </c>
      <c r="Q3331" s="14">
        <v>0</v>
      </c>
      <c r="R3331" s="143">
        <v>100000057</v>
      </c>
      <c r="S3331" s="47"/>
      <c r="T3331" s="6">
        <v>27042.07</v>
      </c>
      <c r="U3331" s="6"/>
      <c r="V3331" s="6">
        <v>0</v>
      </c>
      <c r="W3331" s="6">
        <f t="shared" si="513"/>
        <v>27042.07</v>
      </c>
      <c r="X3331" s="6">
        <f t="shared" si="514"/>
        <v>0</v>
      </c>
      <c r="Y3331" s="13">
        <f t="shared" ref="Y3331:Y3394" si="519">IF(X3331-AD3331&lt;=0,0,IF(P3331="返现",MAX(X3331-AC3331-AD3331,0),MAX(X3331-AD3331)))</f>
        <v>0</v>
      </c>
      <c r="Z3331" s="14">
        <v>0.02</v>
      </c>
      <c r="AA3331" s="6">
        <f>X3331*Z3331</f>
        <v>0</v>
      </c>
      <c r="AB3331" s="4">
        <f t="shared" ref="AB3331:AB3394" si="520">X3331+AA3331</f>
        <v>0</v>
      </c>
      <c r="AC3331" s="4">
        <f t="shared" si="511"/>
        <v>0</v>
      </c>
      <c r="AD3331" s="6">
        <f t="shared" si="515"/>
        <v>0</v>
      </c>
      <c r="AE3331" s="2">
        <f>VLOOKUP(I3331,[1]媒体政策预估表!A:N,MATCH(O3331,[1]媒体政策预估表!$A$2:$M$2,0),0)</f>
        <v>0</v>
      </c>
      <c r="AF3331" s="6">
        <f t="shared" si="512"/>
        <v>0</v>
      </c>
      <c r="AG3331" s="14">
        <v>0</v>
      </c>
      <c r="AH3331" s="64">
        <f t="shared" si="516"/>
        <v>0</v>
      </c>
      <c r="AI3331" s="47"/>
      <c r="AJ3331" s="126" t="e">
        <v>#N/A</v>
      </c>
      <c r="AK3331" s="80">
        <f t="shared" ref="AK3331:AK3394" si="521">X3331+AA3331-AB3331</f>
        <v>0</v>
      </c>
      <c r="AM3331" s="85"/>
    </row>
    <row r="3332" spans="1:39" hidden="1" x14ac:dyDescent="0.3">
      <c r="A3332" s="89" t="s">
        <v>3409</v>
      </c>
      <c r="B3332" s="86" t="s">
        <v>35</v>
      </c>
      <c r="C3332" s="86" t="s">
        <v>36</v>
      </c>
      <c r="D3332" s="86" t="s">
        <v>37</v>
      </c>
      <c r="E3332" s="86" t="s">
        <v>285</v>
      </c>
      <c r="F3332" s="86" t="s">
        <v>460</v>
      </c>
      <c r="G3332" s="86" t="s">
        <v>285</v>
      </c>
      <c r="H3332" s="143">
        <v>72</v>
      </c>
      <c r="I3332" s="86" t="s">
        <v>2572</v>
      </c>
      <c r="J3332" s="1" t="s">
        <v>3327</v>
      </c>
      <c r="K3332" s="1" t="s">
        <v>3284</v>
      </c>
      <c r="L3332" s="1" t="s">
        <v>35</v>
      </c>
      <c r="M3332" s="86" t="s">
        <v>285</v>
      </c>
      <c r="N3332" s="86"/>
      <c r="O3332" s="47" t="s">
        <v>410</v>
      </c>
      <c r="P3332" s="47" t="s">
        <v>41</v>
      </c>
      <c r="Q3332" s="14">
        <v>0</v>
      </c>
      <c r="R3332" s="143">
        <v>300000857</v>
      </c>
      <c r="S3332" s="47"/>
      <c r="T3332" s="6">
        <v>2.4699999999955082</v>
      </c>
      <c r="U3332" s="6"/>
      <c r="V3332" s="6">
        <v>0</v>
      </c>
      <c r="W3332" s="6">
        <f t="shared" si="513"/>
        <v>2.4699999999955082</v>
      </c>
      <c r="X3332" s="6">
        <f t="shared" si="514"/>
        <v>0</v>
      </c>
      <c r="Y3332" s="13">
        <f t="shared" si="519"/>
        <v>0</v>
      </c>
      <c r="Z3332" s="14">
        <v>0</v>
      </c>
      <c r="AA3332" s="6">
        <v>0</v>
      </c>
      <c r="AB3332" s="4">
        <f t="shared" si="520"/>
        <v>0</v>
      </c>
      <c r="AC3332" s="4">
        <f t="shared" si="511"/>
        <v>0</v>
      </c>
      <c r="AD3332" s="6">
        <f t="shared" si="515"/>
        <v>0</v>
      </c>
      <c r="AE3332" s="2">
        <f>VLOOKUP(I3332,[1]媒体政策预估表!A:N,MATCH(O3332,[1]媒体政策预估表!$A$2:$M$2,0),0)</f>
        <v>0</v>
      </c>
      <c r="AF3332" s="6">
        <f t="shared" si="512"/>
        <v>0</v>
      </c>
      <c r="AG3332" s="14">
        <v>0</v>
      </c>
      <c r="AH3332" s="64">
        <f t="shared" si="516"/>
        <v>0</v>
      </c>
      <c r="AI3332" s="47"/>
      <c r="AJ3332" s="126" t="e">
        <v>#N/A</v>
      </c>
      <c r="AK3332" s="80">
        <f t="shared" si="521"/>
        <v>0</v>
      </c>
      <c r="AM3332" s="85"/>
    </row>
    <row r="3333" spans="1:39" hidden="1" x14ac:dyDescent="0.3">
      <c r="A3333" s="89" t="s">
        <v>3409</v>
      </c>
      <c r="B3333" s="86" t="s">
        <v>35</v>
      </c>
      <c r="C3333" s="86" t="s">
        <v>65</v>
      </c>
      <c r="D3333" s="86" t="s">
        <v>125</v>
      </c>
      <c r="E3333" s="86" t="s">
        <v>2591</v>
      </c>
      <c r="F3333" s="86" t="s">
        <v>2591</v>
      </c>
      <c r="G3333" s="86" t="s">
        <v>2591</v>
      </c>
      <c r="H3333" s="143">
        <v>72</v>
      </c>
      <c r="I3333" s="86" t="s">
        <v>2572</v>
      </c>
      <c r="J3333" s="1" t="s">
        <v>3327</v>
      </c>
      <c r="K3333" s="1" t="s">
        <v>3284</v>
      </c>
      <c r="L3333" s="1" t="s">
        <v>35</v>
      </c>
      <c r="M3333" s="86" t="s">
        <v>2592</v>
      </c>
      <c r="N3333" s="86"/>
      <c r="O3333" s="47" t="s">
        <v>410</v>
      </c>
      <c r="P3333" s="47" t="s">
        <v>41</v>
      </c>
      <c r="Q3333" s="14">
        <v>0</v>
      </c>
      <c r="R3333" s="143">
        <v>400004008</v>
      </c>
      <c r="S3333" s="47"/>
      <c r="T3333" s="6">
        <v>70.369999999999891</v>
      </c>
      <c r="U3333" s="6"/>
      <c r="V3333" s="6">
        <v>0</v>
      </c>
      <c r="W3333" s="6">
        <f t="shared" si="513"/>
        <v>70.369999999999891</v>
      </c>
      <c r="X3333" s="6">
        <f t="shared" si="514"/>
        <v>0</v>
      </c>
      <c r="Y3333" s="13">
        <f t="shared" si="519"/>
        <v>0</v>
      </c>
      <c r="Z3333" s="14">
        <v>0.03</v>
      </c>
      <c r="AA3333" s="6">
        <f>X3333*Z3333</f>
        <v>0</v>
      </c>
      <c r="AB3333" s="4">
        <f t="shared" si="520"/>
        <v>0</v>
      </c>
      <c r="AC3333" s="4">
        <f t="shared" si="511"/>
        <v>0</v>
      </c>
      <c r="AD3333" s="6">
        <f t="shared" si="515"/>
        <v>0</v>
      </c>
      <c r="AE3333" s="2">
        <f>VLOOKUP(I3333,[1]媒体政策预估表!A:N,MATCH(O3333,[1]媒体政策预估表!$A$2:$M$2,0),0)</f>
        <v>0</v>
      </c>
      <c r="AF3333" s="6">
        <f t="shared" si="512"/>
        <v>0</v>
      </c>
      <c r="AG3333" s="14">
        <v>0</v>
      </c>
      <c r="AH3333" s="64">
        <f t="shared" si="516"/>
        <v>0</v>
      </c>
      <c r="AI3333" s="47"/>
      <c r="AJ3333" s="126" t="e">
        <v>#N/A</v>
      </c>
      <c r="AK3333" s="80">
        <f t="shared" si="521"/>
        <v>0</v>
      </c>
      <c r="AM3333" s="85"/>
    </row>
    <row r="3334" spans="1:39" hidden="1" x14ac:dyDescent="0.3">
      <c r="A3334" s="89" t="s">
        <v>3408</v>
      </c>
      <c r="B3334" s="86" t="s">
        <v>35</v>
      </c>
      <c r="C3334" s="86" t="s">
        <v>144</v>
      </c>
      <c r="D3334" s="86" t="s">
        <v>152</v>
      </c>
      <c r="E3334" s="86" t="s">
        <v>2050</v>
      </c>
      <c r="F3334" s="86" t="s">
        <v>2050</v>
      </c>
      <c r="G3334" s="86" t="s">
        <v>2050</v>
      </c>
      <c r="H3334" s="143">
        <v>72</v>
      </c>
      <c r="I3334" s="86" t="s">
        <v>2572</v>
      </c>
      <c r="J3334" s="1" t="s">
        <v>3327</v>
      </c>
      <c r="K3334" s="1" t="s">
        <v>3284</v>
      </c>
      <c r="L3334" s="1" t="s">
        <v>35</v>
      </c>
      <c r="M3334" s="86" t="s">
        <v>2050</v>
      </c>
      <c r="N3334" s="86"/>
      <c r="O3334" s="47" t="s">
        <v>410</v>
      </c>
      <c r="P3334" s="47" t="s">
        <v>41</v>
      </c>
      <c r="Q3334" s="14">
        <v>0</v>
      </c>
      <c r="R3334" s="143">
        <v>400001643</v>
      </c>
      <c r="S3334" s="47"/>
      <c r="T3334" s="6">
        <v>63847.100000000006</v>
      </c>
      <c r="U3334" s="6"/>
      <c r="V3334" s="6">
        <v>0</v>
      </c>
      <c r="W3334" s="6">
        <f t="shared" si="513"/>
        <v>63847.100000000006</v>
      </c>
      <c r="X3334" s="6">
        <f t="shared" si="514"/>
        <v>0</v>
      </c>
      <c r="Y3334" s="13">
        <f t="shared" si="519"/>
        <v>0</v>
      </c>
      <c r="Z3334" s="14">
        <v>0.03</v>
      </c>
      <c r="AA3334" s="6">
        <f>X3334/(1-Z3334)*Z3334</f>
        <v>0</v>
      </c>
      <c r="AB3334" s="4">
        <f t="shared" si="520"/>
        <v>0</v>
      </c>
      <c r="AC3334" s="4">
        <f t="shared" si="511"/>
        <v>0</v>
      </c>
      <c r="AD3334" s="6">
        <f t="shared" si="515"/>
        <v>0</v>
      </c>
      <c r="AE3334" s="2">
        <f>VLOOKUP(I3334,[1]媒体政策预估表!A:N,MATCH(O3334,[1]媒体政策预估表!$A$2:$M$2,0),0)</f>
        <v>0</v>
      </c>
      <c r="AF3334" s="6">
        <f t="shared" si="512"/>
        <v>0</v>
      </c>
      <c r="AG3334" s="14">
        <v>0</v>
      </c>
      <c r="AH3334" s="64">
        <f t="shared" si="516"/>
        <v>0</v>
      </c>
      <c r="AI3334" s="47"/>
      <c r="AJ3334" s="126" t="e">
        <v>#N/A</v>
      </c>
      <c r="AK3334" s="80">
        <f t="shared" si="521"/>
        <v>0</v>
      </c>
      <c r="AM3334" s="85"/>
    </row>
    <row r="3335" spans="1:39" hidden="1" x14ac:dyDescent="0.3">
      <c r="A3335" s="89" t="s">
        <v>3409</v>
      </c>
      <c r="B3335" s="86" t="s">
        <v>35</v>
      </c>
      <c r="C3335" s="86" t="s">
        <v>36</v>
      </c>
      <c r="D3335" s="86" t="s">
        <v>224</v>
      </c>
      <c r="E3335" s="86" t="s">
        <v>2593</v>
      </c>
      <c r="F3335" s="86" t="s">
        <v>2593</v>
      </c>
      <c r="G3335" s="86" t="s">
        <v>2593</v>
      </c>
      <c r="H3335" s="144">
        <v>72</v>
      </c>
      <c r="I3335" s="86" t="s">
        <v>2572</v>
      </c>
      <c r="J3335" s="1" t="s">
        <v>3327</v>
      </c>
      <c r="K3335" s="1" t="s">
        <v>3284</v>
      </c>
      <c r="L3335" s="1" t="s">
        <v>35</v>
      </c>
      <c r="M3335" s="86" t="s">
        <v>2593</v>
      </c>
      <c r="N3335" s="86"/>
      <c r="O3335" s="47" t="s">
        <v>410</v>
      </c>
      <c r="P3335" s="47" t="s">
        <v>41</v>
      </c>
      <c r="Q3335" s="14">
        <v>0</v>
      </c>
      <c r="R3335" s="143">
        <v>400003715</v>
      </c>
      <c r="S3335" s="47"/>
      <c r="T3335" s="6">
        <v>131.29999999999956</v>
      </c>
      <c r="U3335" s="6"/>
      <c r="V3335" s="6">
        <v>54.12</v>
      </c>
      <c r="W3335" s="6">
        <f t="shared" si="513"/>
        <v>77.179999999999552</v>
      </c>
      <c r="X3335" s="6">
        <f t="shared" si="514"/>
        <v>54.12</v>
      </c>
      <c r="Y3335" s="13">
        <f t="shared" si="519"/>
        <v>0</v>
      </c>
      <c r="Z3335" s="14">
        <v>0.05</v>
      </c>
      <c r="AA3335" s="6">
        <f t="shared" ref="AA3335:AA3336" si="522">X3335*Z3335</f>
        <v>2.706</v>
      </c>
      <c r="AB3335" s="4">
        <f t="shared" si="520"/>
        <v>56.826000000000001</v>
      </c>
      <c r="AC3335" s="4">
        <f t="shared" si="511"/>
        <v>0</v>
      </c>
      <c r="AD3335" s="6">
        <f t="shared" si="515"/>
        <v>54.12</v>
      </c>
      <c r="AE3335" s="2">
        <f>VLOOKUP(I3335,[1]媒体政策预估表!A:N,MATCH(O3335,[1]媒体政策预估表!$A$2:$M$2,0),0)</f>
        <v>0</v>
      </c>
      <c r="AF3335" s="6">
        <f t="shared" si="512"/>
        <v>0</v>
      </c>
      <c r="AG3335" s="14">
        <v>0</v>
      </c>
      <c r="AH3335" s="64">
        <f t="shared" si="516"/>
        <v>54.12</v>
      </c>
      <c r="AI3335" s="47"/>
      <c r="AJ3335" s="126" t="e">
        <v>#N/A</v>
      </c>
      <c r="AK3335" s="80">
        <f t="shared" si="521"/>
        <v>0</v>
      </c>
      <c r="AM3335" s="85"/>
    </row>
    <row r="3336" spans="1:39" hidden="1" x14ac:dyDescent="0.3">
      <c r="A3336" s="89" t="s">
        <v>3397</v>
      </c>
      <c r="B3336" s="86" t="s">
        <v>35</v>
      </c>
      <c r="C3336" s="86" t="s">
        <v>164</v>
      </c>
      <c r="D3336" s="86" t="s">
        <v>165</v>
      </c>
      <c r="E3336" s="86" t="s">
        <v>619</v>
      </c>
      <c r="F3336" s="86" t="s">
        <v>620</v>
      </c>
      <c r="G3336" s="86" t="s">
        <v>619</v>
      </c>
      <c r="H3336" s="143">
        <v>72</v>
      </c>
      <c r="I3336" s="86" t="s">
        <v>2572</v>
      </c>
      <c r="J3336" s="1" t="s">
        <v>3327</v>
      </c>
      <c r="K3336" s="1" t="s">
        <v>3284</v>
      </c>
      <c r="L3336" s="1" t="s">
        <v>35</v>
      </c>
      <c r="M3336" s="86" t="s">
        <v>619</v>
      </c>
      <c r="N3336" s="86"/>
      <c r="O3336" s="47" t="s">
        <v>410</v>
      </c>
      <c r="P3336" s="47" t="s">
        <v>41</v>
      </c>
      <c r="Q3336" s="14">
        <v>0</v>
      </c>
      <c r="R3336" s="143">
        <v>400003413</v>
      </c>
      <c r="S3336" s="47"/>
      <c r="T3336" s="6">
        <v>5786.369999999999</v>
      </c>
      <c r="U3336" s="6"/>
      <c r="V3336" s="6">
        <v>0</v>
      </c>
      <c r="W3336" s="6">
        <f t="shared" si="513"/>
        <v>5786.369999999999</v>
      </c>
      <c r="X3336" s="6">
        <f t="shared" si="514"/>
        <v>0</v>
      </c>
      <c r="Y3336" s="13">
        <f t="shared" si="519"/>
        <v>0</v>
      </c>
      <c r="Z3336" s="14">
        <v>0.03</v>
      </c>
      <c r="AA3336" s="6">
        <f t="shared" si="522"/>
        <v>0</v>
      </c>
      <c r="AB3336" s="4">
        <f t="shared" si="520"/>
        <v>0</v>
      </c>
      <c r="AC3336" s="4">
        <f t="shared" si="511"/>
        <v>0</v>
      </c>
      <c r="AD3336" s="6">
        <f t="shared" si="515"/>
        <v>0</v>
      </c>
      <c r="AE3336" s="2">
        <f>VLOOKUP(I3336,[1]媒体政策预估表!A:N,MATCH(O3336,[1]媒体政策预估表!$A$2:$M$2,0),0)</f>
        <v>0</v>
      </c>
      <c r="AF3336" s="6">
        <f t="shared" si="512"/>
        <v>0</v>
      </c>
      <c r="AG3336" s="14">
        <v>0</v>
      </c>
      <c r="AH3336" s="64">
        <f t="shared" si="516"/>
        <v>0</v>
      </c>
      <c r="AI3336" s="47"/>
      <c r="AJ3336" s="126" t="e">
        <v>#N/A</v>
      </c>
      <c r="AK3336" s="80">
        <f t="shared" si="521"/>
        <v>0</v>
      </c>
      <c r="AM3336" s="85"/>
    </row>
    <row r="3337" spans="1:39" hidden="1" x14ac:dyDescent="0.3">
      <c r="A3337" s="89" t="s">
        <v>3408</v>
      </c>
      <c r="B3337" s="86" t="s">
        <v>35</v>
      </c>
      <c r="C3337" s="86" t="s">
        <v>47</v>
      </c>
      <c r="D3337" s="86" t="s">
        <v>63</v>
      </c>
      <c r="E3337" s="86" t="s">
        <v>521</v>
      </c>
      <c r="F3337" s="86" t="s">
        <v>522</v>
      </c>
      <c r="G3337" s="86" t="s">
        <v>521</v>
      </c>
      <c r="H3337" s="143">
        <v>72</v>
      </c>
      <c r="I3337" s="86" t="s">
        <v>2572</v>
      </c>
      <c r="J3337" s="1" t="s">
        <v>3327</v>
      </c>
      <c r="K3337" s="1" t="s">
        <v>3284</v>
      </c>
      <c r="L3337" s="1" t="s">
        <v>35</v>
      </c>
      <c r="M3337" s="86" t="s">
        <v>521</v>
      </c>
      <c r="N3337" s="86"/>
      <c r="O3337" s="47" t="s">
        <v>410</v>
      </c>
      <c r="P3337" s="47" t="s">
        <v>41</v>
      </c>
      <c r="Q3337" s="14">
        <v>0</v>
      </c>
      <c r="R3337" s="143">
        <v>600001131</v>
      </c>
      <c r="S3337" s="47"/>
      <c r="T3337" s="6">
        <v>-9.7999999999956344</v>
      </c>
      <c r="U3337" s="6"/>
      <c r="V3337" s="6">
        <v>0</v>
      </c>
      <c r="W3337" s="6">
        <f t="shared" si="513"/>
        <v>-9.7999999999956344</v>
      </c>
      <c r="X3337" s="6">
        <f t="shared" si="514"/>
        <v>0</v>
      </c>
      <c r="Y3337" s="13">
        <f t="shared" si="519"/>
        <v>0</v>
      </c>
      <c r="Z3337" s="14">
        <v>0</v>
      </c>
      <c r="AA3337" s="6">
        <v>0</v>
      </c>
      <c r="AB3337" s="4">
        <f t="shared" si="520"/>
        <v>0</v>
      </c>
      <c r="AC3337" s="4">
        <f t="shared" si="511"/>
        <v>0</v>
      </c>
      <c r="AD3337" s="6">
        <f t="shared" si="515"/>
        <v>0</v>
      </c>
      <c r="AE3337" s="2">
        <f>VLOOKUP(I3337,[1]媒体政策预估表!A:N,MATCH(O3337,[1]媒体政策预估表!$A$2:$M$2,0),0)</f>
        <v>0</v>
      </c>
      <c r="AF3337" s="6">
        <f t="shared" si="512"/>
        <v>0</v>
      </c>
      <c r="AG3337" s="14">
        <v>0</v>
      </c>
      <c r="AH3337" s="64">
        <f t="shared" si="516"/>
        <v>0</v>
      </c>
      <c r="AI3337" s="47"/>
      <c r="AJ3337" s="126" t="e">
        <v>#N/A</v>
      </c>
      <c r="AK3337" s="80">
        <f t="shared" si="521"/>
        <v>0</v>
      </c>
      <c r="AM3337" s="85"/>
    </row>
    <row r="3338" spans="1:39" hidden="1" x14ac:dyDescent="0.3">
      <c r="A3338" s="89" t="s">
        <v>3397</v>
      </c>
      <c r="B3338" s="86" t="s">
        <v>35</v>
      </c>
      <c r="C3338" s="86" t="s">
        <v>164</v>
      </c>
      <c r="D3338" s="86" t="s">
        <v>165</v>
      </c>
      <c r="E3338" s="86" t="s">
        <v>1949</v>
      </c>
      <c r="F3338" s="86" t="s">
        <v>1949</v>
      </c>
      <c r="G3338" s="86" t="s">
        <v>1949</v>
      </c>
      <c r="H3338" s="143">
        <v>72</v>
      </c>
      <c r="I3338" s="86" t="s">
        <v>2572</v>
      </c>
      <c r="J3338" s="1" t="s">
        <v>3327</v>
      </c>
      <c r="K3338" s="1" t="s">
        <v>3284</v>
      </c>
      <c r="L3338" s="1" t="s">
        <v>35</v>
      </c>
      <c r="M3338" s="86" t="s">
        <v>1950</v>
      </c>
      <c r="N3338" s="86"/>
      <c r="O3338" s="47" t="s">
        <v>410</v>
      </c>
      <c r="P3338" s="47" t="s">
        <v>41</v>
      </c>
      <c r="Q3338" s="14">
        <v>0</v>
      </c>
      <c r="R3338" s="143">
        <v>400003507</v>
      </c>
      <c r="S3338" s="47"/>
      <c r="T3338" s="6">
        <v>149.69999999999982</v>
      </c>
      <c r="U3338" s="6"/>
      <c r="V3338" s="6">
        <v>0</v>
      </c>
      <c r="W3338" s="6">
        <f t="shared" si="513"/>
        <v>149.69999999999982</v>
      </c>
      <c r="X3338" s="6">
        <f t="shared" si="514"/>
        <v>0</v>
      </c>
      <c r="Y3338" s="13">
        <f t="shared" si="519"/>
        <v>0</v>
      </c>
      <c r="Z3338" s="14">
        <v>0.01</v>
      </c>
      <c r="AA3338" s="6">
        <f>X3338*Z3338</f>
        <v>0</v>
      </c>
      <c r="AB3338" s="4">
        <f t="shared" si="520"/>
        <v>0</v>
      </c>
      <c r="AC3338" s="4">
        <f t="shared" si="511"/>
        <v>0</v>
      </c>
      <c r="AD3338" s="6">
        <f t="shared" si="515"/>
        <v>0</v>
      </c>
      <c r="AE3338" s="2">
        <f>VLOOKUP(I3338,[1]媒体政策预估表!A:N,MATCH(O3338,[1]媒体政策预估表!$A$2:$M$2,0),0)</f>
        <v>0</v>
      </c>
      <c r="AF3338" s="6">
        <f t="shared" si="512"/>
        <v>0</v>
      </c>
      <c r="AG3338" s="14">
        <v>0</v>
      </c>
      <c r="AH3338" s="64">
        <f t="shared" si="516"/>
        <v>0</v>
      </c>
      <c r="AI3338" s="47"/>
      <c r="AJ3338" s="126" t="e">
        <v>#N/A</v>
      </c>
      <c r="AK3338" s="80">
        <f t="shared" si="521"/>
        <v>0</v>
      </c>
      <c r="AM3338" s="85"/>
    </row>
    <row r="3339" spans="1:39" hidden="1" x14ac:dyDescent="0.3">
      <c r="A3339" s="89" t="s">
        <v>3397</v>
      </c>
      <c r="B3339" s="86" t="s">
        <v>35</v>
      </c>
      <c r="C3339" s="86" t="s">
        <v>59</v>
      </c>
      <c r="D3339" s="86" t="s">
        <v>60</v>
      </c>
      <c r="E3339" s="86" t="s">
        <v>2594</v>
      </c>
      <c r="F3339" s="86" t="s">
        <v>2595</v>
      </c>
      <c r="G3339" s="86" t="s">
        <v>2594</v>
      </c>
      <c r="H3339" s="143">
        <v>72</v>
      </c>
      <c r="I3339" s="86" t="s">
        <v>2572</v>
      </c>
      <c r="J3339" s="1" t="s">
        <v>3327</v>
      </c>
      <c r="K3339" s="1" t="s">
        <v>3284</v>
      </c>
      <c r="L3339" s="1" t="s">
        <v>35</v>
      </c>
      <c r="M3339" s="86" t="s">
        <v>786</v>
      </c>
      <c r="N3339" s="86"/>
      <c r="O3339" s="47" t="s">
        <v>410</v>
      </c>
      <c r="P3339" s="47" t="s">
        <v>41</v>
      </c>
      <c r="Q3339" s="14">
        <v>0</v>
      </c>
      <c r="R3339" s="143">
        <v>300000545</v>
      </c>
      <c r="S3339" s="47"/>
      <c r="T3339" s="6">
        <v>36329.809999999983</v>
      </c>
      <c r="U3339" s="6"/>
      <c r="V3339" s="6">
        <v>0</v>
      </c>
      <c r="W3339" s="6">
        <f t="shared" si="513"/>
        <v>36329.809999999983</v>
      </c>
      <c r="X3339" s="6">
        <f t="shared" si="514"/>
        <v>0</v>
      </c>
      <c r="Y3339" s="13">
        <f t="shared" si="519"/>
        <v>0</v>
      </c>
      <c r="Z3339" s="14">
        <v>0</v>
      </c>
      <c r="AA3339" s="6">
        <v>0</v>
      </c>
      <c r="AB3339" s="4">
        <f t="shared" si="520"/>
        <v>0</v>
      </c>
      <c r="AC3339" s="4">
        <f t="shared" si="511"/>
        <v>0</v>
      </c>
      <c r="AD3339" s="6">
        <f t="shared" si="515"/>
        <v>0</v>
      </c>
      <c r="AE3339" s="2">
        <f>VLOOKUP(I3339,[1]媒体政策预估表!A:N,MATCH(O3339,[1]媒体政策预估表!$A$2:$M$2,0),0)</f>
        <v>0</v>
      </c>
      <c r="AF3339" s="6">
        <f t="shared" si="512"/>
        <v>0</v>
      </c>
      <c r="AG3339" s="14">
        <v>0</v>
      </c>
      <c r="AH3339" s="64">
        <f t="shared" si="516"/>
        <v>0</v>
      </c>
      <c r="AI3339" s="47"/>
      <c r="AJ3339" s="126" t="e">
        <v>#N/A</v>
      </c>
      <c r="AK3339" s="80">
        <f t="shared" si="521"/>
        <v>0</v>
      </c>
      <c r="AM3339" s="85"/>
    </row>
    <row r="3340" spans="1:39" hidden="1" x14ac:dyDescent="0.3">
      <c r="A3340" s="89" t="s">
        <v>3397</v>
      </c>
      <c r="B3340" s="86" t="s">
        <v>35</v>
      </c>
      <c r="C3340" s="86" t="s">
        <v>59</v>
      </c>
      <c r="D3340" s="86" t="s">
        <v>60</v>
      </c>
      <c r="E3340" s="86" t="s">
        <v>2596</v>
      </c>
      <c r="F3340" s="86" t="s">
        <v>2596</v>
      </c>
      <c r="G3340" s="86" t="s">
        <v>2596</v>
      </c>
      <c r="H3340" s="143">
        <v>72</v>
      </c>
      <c r="I3340" s="86" t="s">
        <v>2572</v>
      </c>
      <c r="J3340" s="1" t="s">
        <v>3327</v>
      </c>
      <c r="K3340" s="1" t="s">
        <v>3284</v>
      </c>
      <c r="L3340" s="1" t="s">
        <v>35</v>
      </c>
      <c r="M3340" s="86" t="s">
        <v>2597</v>
      </c>
      <c r="N3340" s="86"/>
      <c r="O3340" s="47" t="s">
        <v>410</v>
      </c>
      <c r="P3340" s="47" t="s">
        <v>41</v>
      </c>
      <c r="Q3340" s="14">
        <v>0</v>
      </c>
      <c r="R3340" s="143">
        <v>300000674</v>
      </c>
      <c r="S3340" s="47"/>
      <c r="T3340" s="6">
        <v>12099.5</v>
      </c>
      <c r="U3340" s="6"/>
      <c r="V3340" s="6">
        <v>0</v>
      </c>
      <c r="W3340" s="6">
        <f t="shared" si="513"/>
        <v>12099.5</v>
      </c>
      <c r="X3340" s="6">
        <f t="shared" si="514"/>
        <v>0</v>
      </c>
      <c r="Y3340" s="13">
        <f t="shared" si="519"/>
        <v>0</v>
      </c>
      <c r="Z3340" s="14">
        <v>0</v>
      </c>
      <c r="AA3340" s="6">
        <v>0</v>
      </c>
      <c r="AB3340" s="4">
        <f t="shared" si="520"/>
        <v>0</v>
      </c>
      <c r="AC3340" s="4">
        <f t="shared" ref="AC3340:AC3403" si="523">IF(P3340="返现",X3340*Q3340,V3340-X3340)</f>
        <v>0</v>
      </c>
      <c r="AD3340" s="6">
        <f t="shared" si="515"/>
        <v>0</v>
      </c>
      <c r="AE3340" s="2">
        <f>VLOOKUP(I3340,[1]媒体政策预估表!A:N,MATCH(O3340,[1]媒体政策预估表!$A$2:$M$2,0),0)</f>
        <v>0</v>
      </c>
      <c r="AF3340" s="6">
        <f t="shared" ref="AF3340:AF3403" si="524">AD3340*AE3340</f>
        <v>0</v>
      </c>
      <c r="AG3340" s="14">
        <v>0</v>
      </c>
      <c r="AH3340" s="64">
        <f t="shared" si="516"/>
        <v>0</v>
      </c>
      <c r="AI3340" s="47"/>
      <c r="AJ3340" s="126" t="e">
        <v>#N/A</v>
      </c>
      <c r="AK3340" s="80">
        <f t="shared" si="521"/>
        <v>0</v>
      </c>
      <c r="AM3340" s="85"/>
    </row>
    <row r="3341" spans="1:39" hidden="1" x14ac:dyDescent="0.3">
      <c r="A3341" s="89" t="s">
        <v>3397</v>
      </c>
      <c r="B3341" s="86" t="s">
        <v>35</v>
      </c>
      <c r="C3341" s="86" t="s">
        <v>59</v>
      </c>
      <c r="D3341" s="86" t="s">
        <v>60</v>
      </c>
      <c r="E3341" s="86" t="s">
        <v>2596</v>
      </c>
      <c r="F3341" s="86" t="s">
        <v>2596</v>
      </c>
      <c r="G3341" s="86" t="s">
        <v>2596</v>
      </c>
      <c r="H3341" s="143">
        <v>72</v>
      </c>
      <c r="I3341" s="86" t="s">
        <v>2572</v>
      </c>
      <c r="J3341" s="1" t="s">
        <v>3327</v>
      </c>
      <c r="K3341" s="1" t="s">
        <v>3284</v>
      </c>
      <c r="L3341" s="1" t="s">
        <v>35</v>
      </c>
      <c r="M3341" s="86" t="s">
        <v>2598</v>
      </c>
      <c r="N3341" s="86"/>
      <c r="O3341" s="47" t="s">
        <v>410</v>
      </c>
      <c r="P3341" s="47" t="s">
        <v>41</v>
      </c>
      <c r="Q3341" s="14">
        <v>0</v>
      </c>
      <c r="R3341" s="143">
        <v>600001427</v>
      </c>
      <c r="S3341" s="47"/>
      <c r="T3341" s="6">
        <v>451</v>
      </c>
      <c r="U3341" s="6"/>
      <c r="V3341" s="6">
        <v>0</v>
      </c>
      <c r="W3341" s="6">
        <f t="shared" si="513"/>
        <v>451</v>
      </c>
      <c r="X3341" s="6">
        <f t="shared" si="514"/>
        <v>0</v>
      </c>
      <c r="Y3341" s="13">
        <f t="shared" si="519"/>
        <v>0</v>
      </c>
      <c r="Z3341" s="14">
        <v>0</v>
      </c>
      <c r="AA3341" s="6">
        <v>0</v>
      </c>
      <c r="AB3341" s="4">
        <f t="shared" si="520"/>
        <v>0</v>
      </c>
      <c r="AC3341" s="4">
        <f t="shared" si="523"/>
        <v>0</v>
      </c>
      <c r="AD3341" s="6">
        <f t="shared" si="515"/>
        <v>0</v>
      </c>
      <c r="AE3341" s="2">
        <f>VLOOKUP(I3341,[1]媒体政策预估表!A:N,MATCH(O3341,[1]媒体政策预估表!$A$2:$M$2,0),0)</f>
        <v>0</v>
      </c>
      <c r="AF3341" s="6">
        <f t="shared" si="524"/>
        <v>0</v>
      </c>
      <c r="AG3341" s="14">
        <v>0</v>
      </c>
      <c r="AH3341" s="64">
        <f t="shared" si="516"/>
        <v>0</v>
      </c>
      <c r="AI3341" s="47"/>
      <c r="AJ3341" s="126" t="e">
        <v>#N/A</v>
      </c>
      <c r="AK3341" s="80">
        <f t="shared" si="521"/>
        <v>0</v>
      </c>
      <c r="AM3341" s="85"/>
    </row>
    <row r="3342" spans="1:39" hidden="1" x14ac:dyDescent="0.3">
      <c r="A3342" s="89" t="s">
        <v>3409</v>
      </c>
      <c r="B3342" s="86" t="s">
        <v>35</v>
      </c>
      <c r="C3342" s="86" t="s">
        <v>59</v>
      </c>
      <c r="D3342" s="86" t="s">
        <v>60</v>
      </c>
      <c r="E3342" s="86" t="s">
        <v>2596</v>
      </c>
      <c r="F3342" s="86" t="s">
        <v>2596</v>
      </c>
      <c r="G3342" s="86" t="s">
        <v>2596</v>
      </c>
      <c r="H3342" s="143">
        <v>72</v>
      </c>
      <c r="I3342" s="86" t="s">
        <v>2572</v>
      </c>
      <c r="J3342" s="1" t="s">
        <v>3327</v>
      </c>
      <c r="K3342" s="1" t="s">
        <v>3284</v>
      </c>
      <c r="L3342" s="1" t="s">
        <v>35</v>
      </c>
      <c r="M3342" s="86" t="s">
        <v>2599</v>
      </c>
      <c r="N3342" s="86"/>
      <c r="O3342" s="47" t="s">
        <v>410</v>
      </c>
      <c r="P3342" s="47" t="s">
        <v>41</v>
      </c>
      <c r="Q3342" s="14">
        <v>0</v>
      </c>
      <c r="R3342" s="143">
        <v>300000630</v>
      </c>
      <c r="S3342" s="47"/>
      <c r="T3342" s="6">
        <v>10988.1</v>
      </c>
      <c r="U3342" s="6"/>
      <c r="V3342" s="6">
        <v>0</v>
      </c>
      <c r="W3342" s="6">
        <f t="shared" si="513"/>
        <v>10988.1</v>
      </c>
      <c r="X3342" s="6">
        <f t="shared" si="514"/>
        <v>0</v>
      </c>
      <c r="Y3342" s="13">
        <f t="shared" si="519"/>
        <v>0</v>
      </c>
      <c r="Z3342" s="14">
        <v>0</v>
      </c>
      <c r="AA3342" s="6">
        <v>0</v>
      </c>
      <c r="AB3342" s="4">
        <f t="shared" si="520"/>
        <v>0</v>
      </c>
      <c r="AC3342" s="4">
        <f t="shared" si="523"/>
        <v>0</v>
      </c>
      <c r="AD3342" s="6">
        <f t="shared" si="515"/>
        <v>0</v>
      </c>
      <c r="AE3342" s="2">
        <f>VLOOKUP(I3342,[1]媒体政策预估表!A:N,MATCH(O3342,[1]媒体政策预估表!$A$2:$M$2,0),0)</f>
        <v>0</v>
      </c>
      <c r="AF3342" s="6">
        <f t="shared" si="524"/>
        <v>0</v>
      </c>
      <c r="AG3342" s="14">
        <v>0</v>
      </c>
      <c r="AH3342" s="64">
        <f t="shared" si="516"/>
        <v>0</v>
      </c>
      <c r="AI3342" s="47"/>
      <c r="AJ3342" s="126" t="e">
        <v>#N/A</v>
      </c>
      <c r="AK3342" s="80">
        <f t="shared" si="521"/>
        <v>0</v>
      </c>
      <c r="AM3342" s="85"/>
    </row>
    <row r="3343" spans="1:39" hidden="1" x14ac:dyDescent="0.3">
      <c r="A3343" s="89" t="s">
        <v>3397</v>
      </c>
      <c r="B3343" s="86" t="s">
        <v>35</v>
      </c>
      <c r="C3343" s="86" t="s">
        <v>59</v>
      </c>
      <c r="D3343" s="86" t="s">
        <v>60</v>
      </c>
      <c r="E3343" s="86" t="s">
        <v>2275</v>
      </c>
      <c r="F3343" s="86" t="s">
        <v>2275</v>
      </c>
      <c r="G3343" s="86" t="s">
        <v>2275</v>
      </c>
      <c r="H3343" s="143">
        <v>72</v>
      </c>
      <c r="I3343" s="86" t="s">
        <v>2572</v>
      </c>
      <c r="J3343" s="1" t="s">
        <v>3327</v>
      </c>
      <c r="K3343" s="1" t="s">
        <v>3284</v>
      </c>
      <c r="L3343" s="1" t="s">
        <v>35</v>
      </c>
      <c r="M3343" s="86" t="s">
        <v>1461</v>
      </c>
      <c r="N3343" s="86"/>
      <c r="O3343" s="47" t="s">
        <v>410</v>
      </c>
      <c r="P3343" s="47" t="s">
        <v>41</v>
      </c>
      <c r="Q3343" s="14">
        <v>0</v>
      </c>
      <c r="R3343" s="143">
        <v>400001450</v>
      </c>
      <c r="S3343" s="47"/>
      <c r="T3343" s="6">
        <v>144.20000000000201</v>
      </c>
      <c r="U3343" s="6"/>
      <c r="V3343" s="6">
        <v>0</v>
      </c>
      <c r="W3343" s="6">
        <f t="shared" si="513"/>
        <v>144.20000000000201</v>
      </c>
      <c r="X3343" s="6">
        <f t="shared" si="514"/>
        <v>0</v>
      </c>
      <c r="Y3343" s="13">
        <f t="shared" si="519"/>
        <v>0</v>
      </c>
      <c r="Z3343" s="14">
        <v>0</v>
      </c>
      <c r="AA3343" s="6">
        <v>0</v>
      </c>
      <c r="AB3343" s="4">
        <f t="shared" si="520"/>
        <v>0</v>
      </c>
      <c r="AC3343" s="4">
        <f t="shared" si="523"/>
        <v>0</v>
      </c>
      <c r="AD3343" s="6">
        <f t="shared" si="515"/>
        <v>0</v>
      </c>
      <c r="AE3343" s="2">
        <f>VLOOKUP(I3343,[1]媒体政策预估表!A:N,MATCH(O3343,[1]媒体政策预估表!$A$2:$M$2,0),0)</f>
        <v>0</v>
      </c>
      <c r="AF3343" s="6">
        <f t="shared" si="524"/>
        <v>0</v>
      </c>
      <c r="AG3343" s="14">
        <v>0</v>
      </c>
      <c r="AH3343" s="64">
        <f t="shared" si="516"/>
        <v>0</v>
      </c>
      <c r="AI3343" s="47"/>
      <c r="AJ3343" s="126" t="e">
        <v>#N/A</v>
      </c>
      <c r="AK3343" s="80">
        <f t="shared" si="521"/>
        <v>0</v>
      </c>
      <c r="AM3343" s="85"/>
    </row>
    <row r="3344" spans="1:39" hidden="1" x14ac:dyDescent="0.3">
      <c r="A3344" s="89" t="s">
        <v>3408</v>
      </c>
      <c r="B3344" s="86" t="s">
        <v>35</v>
      </c>
      <c r="C3344" s="86" t="s">
        <v>59</v>
      </c>
      <c r="D3344" s="86" t="s">
        <v>60</v>
      </c>
      <c r="E3344" s="86" t="s">
        <v>2600</v>
      </c>
      <c r="F3344" s="86" t="s">
        <v>2600</v>
      </c>
      <c r="G3344" s="86" t="s">
        <v>2600</v>
      </c>
      <c r="H3344" s="143">
        <v>72</v>
      </c>
      <c r="I3344" s="86" t="s">
        <v>2572</v>
      </c>
      <c r="J3344" s="1" t="s">
        <v>3327</v>
      </c>
      <c r="K3344" s="1" t="s">
        <v>3284</v>
      </c>
      <c r="L3344" s="1" t="s">
        <v>35</v>
      </c>
      <c r="M3344" s="86" t="s">
        <v>778</v>
      </c>
      <c r="N3344" s="86"/>
      <c r="O3344" s="47" t="s">
        <v>410</v>
      </c>
      <c r="P3344" s="47" t="s">
        <v>41</v>
      </c>
      <c r="Q3344" s="14">
        <v>0</v>
      </c>
      <c r="R3344" s="143">
        <v>600001323</v>
      </c>
      <c r="S3344" s="47"/>
      <c r="T3344" s="6">
        <v>-3747.9499999999925</v>
      </c>
      <c r="U3344" s="6"/>
      <c r="V3344" s="6">
        <v>0</v>
      </c>
      <c r="W3344" s="6">
        <f t="shared" si="513"/>
        <v>-3747.9499999999925</v>
      </c>
      <c r="X3344" s="6">
        <f t="shared" si="514"/>
        <v>0</v>
      </c>
      <c r="Y3344" s="13">
        <f t="shared" si="519"/>
        <v>0</v>
      </c>
      <c r="Z3344" s="14">
        <v>0</v>
      </c>
      <c r="AA3344" s="6">
        <v>0</v>
      </c>
      <c r="AB3344" s="4">
        <f t="shared" si="520"/>
        <v>0</v>
      </c>
      <c r="AC3344" s="4">
        <f t="shared" si="523"/>
        <v>0</v>
      </c>
      <c r="AD3344" s="6">
        <f t="shared" si="515"/>
        <v>0</v>
      </c>
      <c r="AE3344" s="2">
        <f>VLOOKUP(I3344,[1]媒体政策预估表!A:N,MATCH(O3344,[1]媒体政策预估表!$A$2:$M$2,0),0)</f>
        <v>0</v>
      </c>
      <c r="AF3344" s="6">
        <f t="shared" si="524"/>
        <v>0</v>
      </c>
      <c r="AG3344" s="14">
        <v>0</v>
      </c>
      <c r="AH3344" s="64">
        <f t="shared" si="516"/>
        <v>0</v>
      </c>
      <c r="AI3344" s="47"/>
      <c r="AJ3344" s="126" t="e">
        <v>#N/A</v>
      </c>
      <c r="AK3344" s="80">
        <f t="shared" si="521"/>
        <v>0</v>
      </c>
      <c r="AM3344" s="85"/>
    </row>
    <row r="3345" spans="1:39" hidden="1" x14ac:dyDescent="0.3">
      <c r="A3345" s="89" t="s">
        <v>3397</v>
      </c>
      <c r="B3345" s="86" t="s">
        <v>35</v>
      </c>
      <c r="C3345" s="86" t="s">
        <v>164</v>
      </c>
      <c r="D3345" s="86" t="s">
        <v>2601</v>
      </c>
      <c r="E3345" s="86" t="s">
        <v>2602</v>
      </c>
      <c r="F3345" s="86" t="s">
        <v>2602</v>
      </c>
      <c r="G3345" s="86" t="s">
        <v>2602</v>
      </c>
      <c r="H3345" s="143">
        <v>72</v>
      </c>
      <c r="I3345" s="86" t="s">
        <v>2572</v>
      </c>
      <c r="J3345" s="1" t="s">
        <v>3327</v>
      </c>
      <c r="K3345" s="1" t="s">
        <v>3284</v>
      </c>
      <c r="L3345" s="1" t="s">
        <v>35</v>
      </c>
      <c r="M3345" s="86" t="s">
        <v>2603</v>
      </c>
      <c r="N3345" s="86"/>
      <c r="O3345" s="47" t="s">
        <v>410</v>
      </c>
      <c r="P3345" s="47" t="s">
        <v>41</v>
      </c>
      <c r="Q3345" s="14">
        <v>0</v>
      </c>
      <c r="R3345" s="143">
        <v>400002312</v>
      </c>
      <c r="S3345" s="47"/>
      <c r="T3345" s="6">
        <v>20003.5</v>
      </c>
      <c r="U3345" s="6"/>
      <c r="V3345" s="6">
        <v>0</v>
      </c>
      <c r="W3345" s="6">
        <f t="shared" si="513"/>
        <v>20003.5</v>
      </c>
      <c r="X3345" s="6">
        <f t="shared" si="514"/>
        <v>0</v>
      </c>
      <c r="Y3345" s="13">
        <f t="shared" si="519"/>
        <v>0</v>
      </c>
      <c r="Z3345" s="14">
        <v>0.01</v>
      </c>
      <c r="AA3345" s="6">
        <f>X3345*Z3345</f>
        <v>0</v>
      </c>
      <c r="AB3345" s="4">
        <f t="shared" si="520"/>
        <v>0</v>
      </c>
      <c r="AC3345" s="4">
        <f t="shared" si="523"/>
        <v>0</v>
      </c>
      <c r="AD3345" s="6">
        <f t="shared" si="515"/>
        <v>0</v>
      </c>
      <c r="AE3345" s="2">
        <f>VLOOKUP(I3345,[1]媒体政策预估表!A:N,MATCH(O3345,[1]媒体政策预估表!$A$2:$M$2,0),0)</f>
        <v>0</v>
      </c>
      <c r="AF3345" s="6">
        <f t="shared" si="524"/>
        <v>0</v>
      </c>
      <c r="AG3345" s="14">
        <v>0</v>
      </c>
      <c r="AH3345" s="64">
        <f t="shared" si="516"/>
        <v>0</v>
      </c>
      <c r="AI3345" s="47"/>
      <c r="AJ3345" s="126" t="e">
        <v>#N/A</v>
      </c>
      <c r="AK3345" s="80">
        <f t="shared" si="521"/>
        <v>0</v>
      </c>
      <c r="AM3345" s="85"/>
    </row>
    <row r="3346" spans="1:39" hidden="1" x14ac:dyDescent="0.3">
      <c r="A3346" s="89" t="s">
        <v>3397</v>
      </c>
      <c r="B3346" s="86" t="s">
        <v>35</v>
      </c>
      <c r="C3346" s="86" t="s">
        <v>164</v>
      </c>
      <c r="D3346" s="86" t="s">
        <v>174</v>
      </c>
      <c r="E3346" s="86" t="s">
        <v>1966</v>
      </c>
      <c r="F3346" s="86" t="s">
        <v>1966</v>
      </c>
      <c r="G3346" s="86" t="s">
        <v>1966</v>
      </c>
      <c r="H3346" s="143">
        <v>72</v>
      </c>
      <c r="I3346" s="86" t="s">
        <v>2572</v>
      </c>
      <c r="J3346" s="1" t="s">
        <v>3327</v>
      </c>
      <c r="K3346" s="1" t="s">
        <v>3284</v>
      </c>
      <c r="L3346" s="1" t="s">
        <v>35</v>
      </c>
      <c r="M3346" s="86" t="s">
        <v>2604</v>
      </c>
      <c r="N3346" s="86"/>
      <c r="O3346" s="47" t="s">
        <v>410</v>
      </c>
      <c r="P3346" s="47" t="s">
        <v>41</v>
      </c>
      <c r="Q3346" s="14">
        <v>0</v>
      </c>
      <c r="R3346" s="143">
        <v>600000828</v>
      </c>
      <c r="S3346" s="47"/>
      <c r="T3346" s="6">
        <v>74654.09</v>
      </c>
      <c r="U3346" s="6"/>
      <c r="V3346" s="6">
        <v>0</v>
      </c>
      <c r="W3346" s="6">
        <f t="shared" si="513"/>
        <v>74654.09</v>
      </c>
      <c r="X3346" s="6">
        <f t="shared" si="514"/>
        <v>0</v>
      </c>
      <c r="Y3346" s="13">
        <f t="shared" si="519"/>
        <v>0</v>
      </c>
      <c r="Z3346" s="14">
        <v>0</v>
      </c>
      <c r="AA3346" s="6">
        <v>0</v>
      </c>
      <c r="AB3346" s="4">
        <f t="shared" si="520"/>
        <v>0</v>
      </c>
      <c r="AC3346" s="4">
        <f t="shared" si="523"/>
        <v>0</v>
      </c>
      <c r="AD3346" s="6">
        <f t="shared" si="515"/>
        <v>0</v>
      </c>
      <c r="AE3346" s="2">
        <f>VLOOKUP(I3346,[1]媒体政策预估表!A:N,MATCH(O3346,[1]媒体政策预估表!$A$2:$M$2,0),0)</f>
        <v>0</v>
      </c>
      <c r="AF3346" s="6">
        <f t="shared" si="524"/>
        <v>0</v>
      </c>
      <c r="AG3346" s="14">
        <v>0</v>
      </c>
      <c r="AH3346" s="64">
        <f t="shared" si="516"/>
        <v>0</v>
      </c>
      <c r="AI3346" s="47"/>
      <c r="AJ3346" s="126" t="e">
        <v>#N/A</v>
      </c>
      <c r="AK3346" s="80">
        <f t="shared" si="521"/>
        <v>0</v>
      </c>
      <c r="AM3346" s="85"/>
    </row>
    <row r="3347" spans="1:39" hidden="1" x14ac:dyDescent="0.3">
      <c r="A3347" s="89" t="s">
        <v>3408</v>
      </c>
      <c r="B3347" s="86" t="s">
        <v>35</v>
      </c>
      <c r="C3347" s="86" t="s">
        <v>184</v>
      </c>
      <c r="D3347" s="86" t="s">
        <v>185</v>
      </c>
      <c r="E3347" s="86" t="s">
        <v>2605</v>
      </c>
      <c r="F3347" s="86" t="s">
        <v>2605</v>
      </c>
      <c r="G3347" s="86" t="s">
        <v>2605</v>
      </c>
      <c r="H3347" s="143">
        <v>72</v>
      </c>
      <c r="I3347" s="86" t="s">
        <v>2572</v>
      </c>
      <c r="J3347" s="1" t="s">
        <v>3327</v>
      </c>
      <c r="K3347" s="1" t="s">
        <v>3284</v>
      </c>
      <c r="L3347" s="1" t="s">
        <v>35</v>
      </c>
      <c r="M3347" s="86" t="s">
        <v>2605</v>
      </c>
      <c r="N3347" s="86"/>
      <c r="O3347" s="47" t="s">
        <v>410</v>
      </c>
      <c r="P3347" s="47" t="s">
        <v>41</v>
      </c>
      <c r="Q3347" s="14">
        <v>0</v>
      </c>
      <c r="R3347" s="143">
        <v>400001040</v>
      </c>
      <c r="S3347" s="47"/>
      <c r="T3347" s="6">
        <v>-62.87</v>
      </c>
      <c r="U3347" s="6"/>
      <c r="V3347" s="6">
        <v>0</v>
      </c>
      <c r="W3347" s="6">
        <f t="shared" si="513"/>
        <v>-62.87</v>
      </c>
      <c r="X3347" s="6">
        <f t="shared" si="514"/>
        <v>0</v>
      </c>
      <c r="Y3347" s="13">
        <f t="shared" si="519"/>
        <v>0</v>
      </c>
      <c r="Z3347" s="14">
        <v>0</v>
      </c>
      <c r="AA3347" s="6">
        <v>0</v>
      </c>
      <c r="AB3347" s="4">
        <f t="shared" si="520"/>
        <v>0</v>
      </c>
      <c r="AC3347" s="4">
        <f t="shared" si="523"/>
        <v>0</v>
      </c>
      <c r="AD3347" s="6">
        <f t="shared" si="515"/>
        <v>0</v>
      </c>
      <c r="AE3347" s="2">
        <f>VLOOKUP(I3347,[1]媒体政策预估表!A:N,MATCH(O3347,[1]媒体政策预估表!$A$2:$M$2,0),0)</f>
        <v>0</v>
      </c>
      <c r="AF3347" s="6">
        <f t="shared" si="524"/>
        <v>0</v>
      </c>
      <c r="AG3347" s="14">
        <v>0</v>
      </c>
      <c r="AH3347" s="64">
        <f t="shared" si="516"/>
        <v>0</v>
      </c>
      <c r="AI3347" s="47"/>
      <c r="AJ3347" s="126" t="e">
        <v>#N/A</v>
      </c>
      <c r="AK3347" s="80">
        <f t="shared" si="521"/>
        <v>0</v>
      </c>
      <c r="AM3347" s="85"/>
    </row>
    <row r="3348" spans="1:39" hidden="1" x14ac:dyDescent="0.3">
      <c r="A3348" s="89" t="s">
        <v>3397</v>
      </c>
      <c r="B3348" s="86" t="s">
        <v>35</v>
      </c>
      <c r="C3348" s="86" t="s">
        <v>184</v>
      </c>
      <c r="D3348" s="86" t="s">
        <v>185</v>
      </c>
      <c r="E3348" s="86" t="s">
        <v>2606</v>
      </c>
      <c r="F3348" s="86" t="s">
        <v>2606</v>
      </c>
      <c r="G3348" s="86" t="s">
        <v>2606</v>
      </c>
      <c r="H3348" s="143">
        <v>72</v>
      </c>
      <c r="I3348" s="86" t="s">
        <v>2572</v>
      </c>
      <c r="J3348" s="1" t="s">
        <v>3327</v>
      </c>
      <c r="K3348" s="1" t="s">
        <v>3284</v>
      </c>
      <c r="L3348" s="1" t="s">
        <v>35</v>
      </c>
      <c r="M3348" s="86" t="s">
        <v>2606</v>
      </c>
      <c r="N3348" s="86"/>
      <c r="O3348" s="47" t="s">
        <v>410</v>
      </c>
      <c r="P3348" s="47" t="s">
        <v>41</v>
      </c>
      <c r="Q3348" s="14">
        <v>0</v>
      </c>
      <c r="R3348" s="143">
        <v>600001031</v>
      </c>
      <c r="S3348" s="47"/>
      <c r="T3348" s="6">
        <v>-81.099999999976703</v>
      </c>
      <c r="U3348" s="6"/>
      <c r="V3348" s="6">
        <v>0</v>
      </c>
      <c r="W3348" s="6">
        <f t="shared" si="513"/>
        <v>-81.099999999976703</v>
      </c>
      <c r="X3348" s="6">
        <f t="shared" si="514"/>
        <v>0</v>
      </c>
      <c r="Y3348" s="13">
        <f t="shared" si="519"/>
        <v>0</v>
      </c>
      <c r="Z3348" s="14">
        <v>0</v>
      </c>
      <c r="AA3348" s="6">
        <v>0</v>
      </c>
      <c r="AB3348" s="4">
        <f t="shared" si="520"/>
        <v>0</v>
      </c>
      <c r="AC3348" s="4">
        <f t="shared" si="523"/>
        <v>0</v>
      </c>
      <c r="AD3348" s="6">
        <f t="shared" si="515"/>
        <v>0</v>
      </c>
      <c r="AE3348" s="2">
        <f>VLOOKUP(I3348,[1]媒体政策预估表!A:N,MATCH(O3348,[1]媒体政策预估表!$A$2:$M$2,0),0)</f>
        <v>0</v>
      </c>
      <c r="AF3348" s="6">
        <f t="shared" si="524"/>
        <v>0</v>
      </c>
      <c r="AG3348" s="14">
        <v>0</v>
      </c>
      <c r="AH3348" s="64">
        <f t="shared" si="516"/>
        <v>0</v>
      </c>
      <c r="AI3348" s="47"/>
      <c r="AJ3348" s="126" t="e">
        <v>#N/A</v>
      </c>
      <c r="AK3348" s="80">
        <f t="shared" si="521"/>
        <v>0</v>
      </c>
      <c r="AM3348" s="85"/>
    </row>
    <row r="3349" spans="1:39" hidden="1" x14ac:dyDescent="0.3">
      <c r="A3349" s="89" t="s">
        <v>3397</v>
      </c>
      <c r="B3349" s="86" t="s">
        <v>35</v>
      </c>
      <c r="C3349" s="86" t="s">
        <v>184</v>
      </c>
      <c r="D3349" s="86" t="s">
        <v>185</v>
      </c>
      <c r="E3349" s="86" t="s">
        <v>2607</v>
      </c>
      <c r="F3349" s="86" t="s">
        <v>2607</v>
      </c>
      <c r="G3349" s="86" t="s">
        <v>2607</v>
      </c>
      <c r="H3349" s="143">
        <v>72</v>
      </c>
      <c r="I3349" s="86" t="s">
        <v>2572</v>
      </c>
      <c r="J3349" s="1" t="s">
        <v>3327</v>
      </c>
      <c r="K3349" s="1" t="s">
        <v>3284</v>
      </c>
      <c r="L3349" s="1" t="s">
        <v>35</v>
      </c>
      <c r="M3349" s="86" t="s">
        <v>2607</v>
      </c>
      <c r="N3349" s="86"/>
      <c r="O3349" s="47" t="s">
        <v>410</v>
      </c>
      <c r="P3349" s="47" t="s">
        <v>41</v>
      </c>
      <c r="Q3349" s="14">
        <v>0</v>
      </c>
      <c r="R3349" s="143">
        <v>400001865</v>
      </c>
      <c r="S3349" s="47"/>
      <c r="T3349" s="6">
        <v>199.9</v>
      </c>
      <c r="U3349" s="6"/>
      <c r="V3349" s="6">
        <v>0</v>
      </c>
      <c r="W3349" s="6">
        <f t="shared" si="513"/>
        <v>199.9</v>
      </c>
      <c r="X3349" s="6">
        <f t="shared" si="514"/>
        <v>0</v>
      </c>
      <c r="Y3349" s="13">
        <f t="shared" si="519"/>
        <v>0</v>
      </c>
      <c r="Z3349" s="14">
        <v>0.03</v>
      </c>
      <c r="AA3349" s="6">
        <f>X3349*Z3349</f>
        <v>0</v>
      </c>
      <c r="AB3349" s="4">
        <f t="shared" si="520"/>
        <v>0</v>
      </c>
      <c r="AC3349" s="4">
        <f t="shared" si="523"/>
        <v>0</v>
      </c>
      <c r="AD3349" s="6">
        <f t="shared" si="515"/>
        <v>0</v>
      </c>
      <c r="AE3349" s="2">
        <f>VLOOKUP(I3349,[1]媒体政策预估表!A:N,MATCH(O3349,[1]媒体政策预估表!$A$2:$M$2,0),0)</f>
        <v>0</v>
      </c>
      <c r="AF3349" s="6">
        <f t="shared" si="524"/>
        <v>0</v>
      </c>
      <c r="AG3349" s="14">
        <v>0</v>
      </c>
      <c r="AH3349" s="64">
        <f t="shared" si="516"/>
        <v>0</v>
      </c>
      <c r="AI3349" s="47"/>
      <c r="AJ3349" s="126" t="e">
        <v>#N/A</v>
      </c>
      <c r="AK3349" s="80">
        <f t="shared" si="521"/>
        <v>0</v>
      </c>
      <c r="AM3349" s="85"/>
    </row>
    <row r="3350" spans="1:39" hidden="1" x14ac:dyDescent="0.3">
      <c r="A3350" s="89" t="s">
        <v>3408</v>
      </c>
      <c r="B3350" s="86" t="s">
        <v>35</v>
      </c>
      <c r="C3350" s="86" t="s">
        <v>184</v>
      </c>
      <c r="D3350" s="86" t="s">
        <v>185</v>
      </c>
      <c r="E3350" s="86" t="s">
        <v>2608</v>
      </c>
      <c r="F3350" s="86" t="s">
        <v>2608</v>
      </c>
      <c r="G3350" s="86" t="s">
        <v>2608</v>
      </c>
      <c r="H3350" s="143">
        <v>72</v>
      </c>
      <c r="I3350" s="86" t="s">
        <v>2572</v>
      </c>
      <c r="J3350" s="1" t="s">
        <v>3327</v>
      </c>
      <c r="K3350" s="1" t="s">
        <v>3284</v>
      </c>
      <c r="L3350" s="1" t="s">
        <v>35</v>
      </c>
      <c r="M3350" s="86" t="s">
        <v>2609</v>
      </c>
      <c r="N3350" s="86"/>
      <c r="O3350" s="47" t="s">
        <v>410</v>
      </c>
      <c r="P3350" s="47" t="s">
        <v>41</v>
      </c>
      <c r="Q3350" s="14">
        <v>0</v>
      </c>
      <c r="R3350" s="143">
        <v>400001707</v>
      </c>
      <c r="S3350" s="47"/>
      <c r="T3350" s="6">
        <v>4.5</v>
      </c>
      <c r="U3350" s="6"/>
      <c r="V3350" s="6">
        <v>0</v>
      </c>
      <c r="W3350" s="6">
        <f t="shared" si="513"/>
        <v>4.5</v>
      </c>
      <c r="X3350" s="6">
        <f t="shared" si="514"/>
        <v>0</v>
      </c>
      <c r="Y3350" s="13">
        <f t="shared" si="519"/>
        <v>0</v>
      </c>
      <c r="Z3350" s="14">
        <v>0</v>
      </c>
      <c r="AA3350" s="6">
        <v>0</v>
      </c>
      <c r="AB3350" s="4">
        <f t="shared" si="520"/>
        <v>0</v>
      </c>
      <c r="AC3350" s="4">
        <f t="shared" si="523"/>
        <v>0</v>
      </c>
      <c r="AD3350" s="6">
        <f t="shared" si="515"/>
        <v>0</v>
      </c>
      <c r="AE3350" s="2">
        <f>VLOOKUP(I3350,[1]媒体政策预估表!A:N,MATCH(O3350,[1]媒体政策预估表!$A$2:$M$2,0),0)</f>
        <v>0</v>
      </c>
      <c r="AF3350" s="6">
        <f t="shared" si="524"/>
        <v>0</v>
      </c>
      <c r="AG3350" s="14">
        <v>0</v>
      </c>
      <c r="AH3350" s="64">
        <f t="shared" si="516"/>
        <v>0</v>
      </c>
      <c r="AI3350" s="47"/>
      <c r="AJ3350" s="126" t="e">
        <v>#N/A</v>
      </c>
      <c r="AK3350" s="80">
        <f t="shared" si="521"/>
        <v>0</v>
      </c>
      <c r="AM3350" s="85"/>
    </row>
    <row r="3351" spans="1:39" hidden="1" x14ac:dyDescent="0.3">
      <c r="A3351" s="89" t="s">
        <v>3397</v>
      </c>
      <c r="B3351" s="86" t="s">
        <v>35</v>
      </c>
      <c r="C3351" s="86" t="s">
        <v>184</v>
      </c>
      <c r="D3351" s="86" t="s">
        <v>185</v>
      </c>
      <c r="E3351" s="86" t="s">
        <v>2610</v>
      </c>
      <c r="F3351" s="86" t="s">
        <v>2610</v>
      </c>
      <c r="G3351" s="86" t="s">
        <v>2610</v>
      </c>
      <c r="H3351" s="143">
        <v>72</v>
      </c>
      <c r="I3351" s="86" t="s">
        <v>2572</v>
      </c>
      <c r="J3351" s="1" t="s">
        <v>3327</v>
      </c>
      <c r="K3351" s="1" t="s">
        <v>3284</v>
      </c>
      <c r="L3351" s="1" t="s">
        <v>35</v>
      </c>
      <c r="M3351" s="86" t="s">
        <v>2610</v>
      </c>
      <c r="N3351" s="86"/>
      <c r="O3351" s="47" t="s">
        <v>410</v>
      </c>
      <c r="P3351" s="47" t="s">
        <v>41</v>
      </c>
      <c r="Q3351" s="14">
        <v>0</v>
      </c>
      <c r="R3351" s="143">
        <v>100000130</v>
      </c>
      <c r="S3351" s="47"/>
      <c r="T3351" s="6">
        <v>150.11000000000101</v>
      </c>
      <c r="U3351" s="6"/>
      <c r="V3351" s="6">
        <v>0</v>
      </c>
      <c r="W3351" s="6">
        <f t="shared" si="513"/>
        <v>150.11000000000101</v>
      </c>
      <c r="X3351" s="6">
        <f t="shared" si="514"/>
        <v>0</v>
      </c>
      <c r="Y3351" s="13">
        <f t="shared" si="519"/>
        <v>0</v>
      </c>
      <c r="Z3351" s="14">
        <v>0</v>
      </c>
      <c r="AA3351" s="6">
        <v>0</v>
      </c>
      <c r="AB3351" s="4">
        <f t="shared" si="520"/>
        <v>0</v>
      </c>
      <c r="AC3351" s="4">
        <f t="shared" si="523"/>
        <v>0</v>
      </c>
      <c r="AD3351" s="6">
        <f t="shared" si="515"/>
        <v>0</v>
      </c>
      <c r="AE3351" s="2">
        <f>VLOOKUP(I3351,[1]媒体政策预估表!A:N,MATCH(O3351,[1]媒体政策预估表!$A$2:$M$2,0),0)</f>
        <v>0</v>
      </c>
      <c r="AF3351" s="6">
        <f t="shared" si="524"/>
        <v>0</v>
      </c>
      <c r="AG3351" s="14">
        <v>0</v>
      </c>
      <c r="AH3351" s="64">
        <f t="shared" si="516"/>
        <v>0</v>
      </c>
      <c r="AI3351" s="47"/>
      <c r="AJ3351" s="126" t="e">
        <v>#N/A</v>
      </c>
      <c r="AK3351" s="80">
        <f t="shared" si="521"/>
        <v>0</v>
      </c>
      <c r="AM3351" s="85"/>
    </row>
    <row r="3352" spans="1:39" hidden="1" x14ac:dyDescent="0.3">
      <c r="A3352" s="89" t="s">
        <v>3397</v>
      </c>
      <c r="B3352" s="86" t="s">
        <v>35</v>
      </c>
      <c r="C3352" s="86" t="s">
        <v>184</v>
      </c>
      <c r="D3352" s="86" t="s">
        <v>185</v>
      </c>
      <c r="E3352" s="86" t="s">
        <v>2611</v>
      </c>
      <c r="F3352" s="86" t="s">
        <v>2611</v>
      </c>
      <c r="G3352" s="86" t="s">
        <v>2611</v>
      </c>
      <c r="H3352" s="143">
        <v>72</v>
      </c>
      <c r="I3352" s="86" t="s">
        <v>2572</v>
      </c>
      <c r="J3352" s="1" t="s">
        <v>3327</v>
      </c>
      <c r="K3352" s="1" t="s">
        <v>3284</v>
      </c>
      <c r="L3352" s="1" t="s">
        <v>35</v>
      </c>
      <c r="M3352" s="86" t="s">
        <v>2611</v>
      </c>
      <c r="N3352" s="86"/>
      <c r="O3352" s="47" t="s">
        <v>410</v>
      </c>
      <c r="P3352" s="47" t="s">
        <v>41</v>
      </c>
      <c r="Q3352" s="14">
        <v>0</v>
      </c>
      <c r="R3352" s="143">
        <v>400001159</v>
      </c>
      <c r="S3352" s="47"/>
      <c r="T3352" s="6">
        <v>0.22999999999999701</v>
      </c>
      <c r="U3352" s="6"/>
      <c r="V3352" s="6">
        <v>0</v>
      </c>
      <c r="W3352" s="6">
        <f t="shared" si="513"/>
        <v>0.22999999999999701</v>
      </c>
      <c r="X3352" s="6">
        <f t="shared" si="514"/>
        <v>0</v>
      </c>
      <c r="Y3352" s="13">
        <f t="shared" si="519"/>
        <v>0</v>
      </c>
      <c r="Z3352" s="14">
        <v>0</v>
      </c>
      <c r="AA3352" s="6">
        <v>0</v>
      </c>
      <c r="AB3352" s="4">
        <f t="shared" si="520"/>
        <v>0</v>
      </c>
      <c r="AC3352" s="4">
        <f t="shared" si="523"/>
        <v>0</v>
      </c>
      <c r="AD3352" s="6">
        <f t="shared" si="515"/>
        <v>0</v>
      </c>
      <c r="AE3352" s="2">
        <f>VLOOKUP(I3352,[1]媒体政策预估表!A:N,MATCH(O3352,[1]媒体政策预估表!$A$2:$M$2,0),0)</f>
        <v>0</v>
      </c>
      <c r="AF3352" s="6">
        <f t="shared" si="524"/>
        <v>0</v>
      </c>
      <c r="AG3352" s="14">
        <v>0</v>
      </c>
      <c r="AH3352" s="64">
        <f t="shared" si="516"/>
        <v>0</v>
      </c>
      <c r="AI3352" s="47"/>
      <c r="AJ3352" s="126" t="e">
        <v>#N/A</v>
      </c>
      <c r="AK3352" s="80">
        <f t="shared" si="521"/>
        <v>0</v>
      </c>
      <c r="AM3352" s="85"/>
    </row>
    <row r="3353" spans="1:39" hidden="1" x14ac:dyDescent="0.3">
      <c r="A3353" s="89" t="s">
        <v>3397</v>
      </c>
      <c r="B3353" s="86" t="s">
        <v>35</v>
      </c>
      <c r="C3353" s="86" t="s">
        <v>164</v>
      </c>
      <c r="D3353" s="86" t="s">
        <v>174</v>
      </c>
      <c r="E3353" s="86" t="s">
        <v>2012</v>
      </c>
      <c r="F3353" s="86" t="s">
        <v>2612</v>
      </c>
      <c r="G3353" s="86" t="s">
        <v>2012</v>
      </c>
      <c r="H3353" s="143">
        <v>72</v>
      </c>
      <c r="I3353" s="86" t="s">
        <v>2572</v>
      </c>
      <c r="J3353" s="1" t="s">
        <v>3327</v>
      </c>
      <c r="K3353" s="1" t="s">
        <v>3284</v>
      </c>
      <c r="L3353" s="1" t="s">
        <v>35</v>
      </c>
      <c r="M3353" s="86" t="s">
        <v>2012</v>
      </c>
      <c r="N3353" s="86"/>
      <c r="O3353" s="47" t="s">
        <v>410</v>
      </c>
      <c r="P3353" s="47" t="s">
        <v>41</v>
      </c>
      <c r="Q3353" s="14">
        <v>0</v>
      </c>
      <c r="R3353" s="143">
        <v>600001350</v>
      </c>
      <c r="S3353" s="47"/>
      <c r="T3353" s="6">
        <v>-13.600000000002201</v>
      </c>
      <c r="U3353" s="6"/>
      <c r="V3353" s="6">
        <v>0</v>
      </c>
      <c r="W3353" s="6">
        <f t="shared" si="513"/>
        <v>-13.600000000002201</v>
      </c>
      <c r="X3353" s="6">
        <f t="shared" si="514"/>
        <v>0</v>
      </c>
      <c r="Y3353" s="13">
        <f t="shared" si="519"/>
        <v>0</v>
      </c>
      <c r="Z3353" s="14">
        <v>0</v>
      </c>
      <c r="AA3353" s="6">
        <v>0</v>
      </c>
      <c r="AB3353" s="4">
        <f t="shared" si="520"/>
        <v>0</v>
      </c>
      <c r="AC3353" s="4">
        <f t="shared" si="523"/>
        <v>0</v>
      </c>
      <c r="AD3353" s="6">
        <f t="shared" si="515"/>
        <v>0</v>
      </c>
      <c r="AE3353" s="2">
        <f>VLOOKUP(I3353,[1]媒体政策预估表!A:N,MATCH(O3353,[1]媒体政策预估表!$A$2:$M$2,0),0)</f>
        <v>0</v>
      </c>
      <c r="AF3353" s="6">
        <f t="shared" si="524"/>
        <v>0</v>
      </c>
      <c r="AG3353" s="14">
        <v>0</v>
      </c>
      <c r="AH3353" s="64">
        <f t="shared" si="516"/>
        <v>0</v>
      </c>
      <c r="AI3353" s="47"/>
      <c r="AJ3353" s="126" t="e">
        <v>#N/A</v>
      </c>
      <c r="AK3353" s="80">
        <f t="shared" si="521"/>
        <v>0</v>
      </c>
      <c r="AM3353" s="85"/>
    </row>
    <row r="3354" spans="1:39" hidden="1" x14ac:dyDescent="0.3">
      <c r="A3354" s="89" t="s">
        <v>3409</v>
      </c>
      <c r="B3354" s="86" t="s">
        <v>35</v>
      </c>
      <c r="C3354" s="86" t="s">
        <v>184</v>
      </c>
      <c r="D3354" s="86" t="s">
        <v>185</v>
      </c>
      <c r="E3354" s="86" t="s">
        <v>2613</v>
      </c>
      <c r="F3354" s="86" t="s">
        <v>2613</v>
      </c>
      <c r="G3354" s="86" t="s">
        <v>2613</v>
      </c>
      <c r="H3354" s="143">
        <v>72</v>
      </c>
      <c r="I3354" s="86" t="s">
        <v>2572</v>
      </c>
      <c r="J3354" s="1" t="s">
        <v>3327</v>
      </c>
      <c r="K3354" s="1" t="s">
        <v>3284</v>
      </c>
      <c r="L3354" s="1" t="s">
        <v>35</v>
      </c>
      <c r="M3354" s="86" t="s">
        <v>2613</v>
      </c>
      <c r="N3354" s="86"/>
      <c r="O3354" s="47" t="s">
        <v>410</v>
      </c>
      <c r="P3354" s="47" t="s">
        <v>41</v>
      </c>
      <c r="Q3354" s="14">
        <v>0</v>
      </c>
      <c r="R3354" s="143">
        <v>300000519</v>
      </c>
      <c r="S3354" s="47"/>
      <c r="T3354" s="6">
        <v>-13.100000000000399</v>
      </c>
      <c r="U3354" s="6"/>
      <c r="V3354" s="6">
        <v>0</v>
      </c>
      <c r="W3354" s="6">
        <f t="shared" si="513"/>
        <v>-13.100000000000399</v>
      </c>
      <c r="X3354" s="6">
        <f t="shared" si="514"/>
        <v>0</v>
      </c>
      <c r="Y3354" s="13">
        <f t="shared" si="519"/>
        <v>0</v>
      </c>
      <c r="Z3354" s="14">
        <v>0</v>
      </c>
      <c r="AA3354" s="6">
        <v>0</v>
      </c>
      <c r="AB3354" s="4">
        <f t="shared" si="520"/>
        <v>0</v>
      </c>
      <c r="AC3354" s="4">
        <f t="shared" si="523"/>
        <v>0</v>
      </c>
      <c r="AD3354" s="6">
        <f t="shared" si="515"/>
        <v>0</v>
      </c>
      <c r="AE3354" s="2">
        <f>VLOOKUP(I3354,[1]媒体政策预估表!A:N,MATCH(O3354,[1]媒体政策预估表!$A$2:$M$2,0),0)</f>
        <v>0</v>
      </c>
      <c r="AF3354" s="6">
        <f t="shared" si="524"/>
        <v>0</v>
      </c>
      <c r="AG3354" s="14">
        <v>0</v>
      </c>
      <c r="AH3354" s="64">
        <f t="shared" si="516"/>
        <v>0</v>
      </c>
      <c r="AI3354" s="47"/>
      <c r="AJ3354" s="126" t="e">
        <v>#N/A</v>
      </c>
      <c r="AK3354" s="80">
        <f t="shared" si="521"/>
        <v>0</v>
      </c>
      <c r="AM3354" s="85"/>
    </row>
    <row r="3355" spans="1:39" hidden="1" x14ac:dyDescent="0.3">
      <c r="A3355" s="89" t="s">
        <v>3409</v>
      </c>
      <c r="B3355" s="86" t="s">
        <v>35</v>
      </c>
      <c r="C3355" s="86" t="s">
        <v>47</v>
      </c>
      <c r="D3355" s="86" t="s">
        <v>48</v>
      </c>
      <c r="E3355" s="86" t="s">
        <v>1349</v>
      </c>
      <c r="F3355" s="86" t="s">
        <v>2614</v>
      </c>
      <c r="G3355" s="86" t="s">
        <v>1349</v>
      </c>
      <c r="H3355" s="143">
        <v>72</v>
      </c>
      <c r="I3355" s="86" t="s">
        <v>2572</v>
      </c>
      <c r="J3355" s="1" t="s">
        <v>3327</v>
      </c>
      <c r="K3355" s="1" t="s">
        <v>3284</v>
      </c>
      <c r="L3355" s="1" t="s">
        <v>35</v>
      </c>
      <c r="M3355" s="86" t="s">
        <v>2615</v>
      </c>
      <c r="N3355" s="86"/>
      <c r="O3355" s="47" t="s">
        <v>56</v>
      </c>
      <c r="P3355" s="47" t="s">
        <v>41</v>
      </c>
      <c r="Q3355" s="14">
        <v>0</v>
      </c>
      <c r="R3355" s="143">
        <v>600000781</v>
      </c>
      <c r="S3355" s="47"/>
      <c r="T3355" s="6">
        <v>5.7</v>
      </c>
      <c r="U3355" s="6"/>
      <c r="V3355" s="6">
        <v>0</v>
      </c>
      <c r="W3355" s="6">
        <f t="shared" si="513"/>
        <v>5.7</v>
      </c>
      <c r="X3355" s="6">
        <f t="shared" si="514"/>
        <v>0</v>
      </c>
      <c r="Y3355" s="13">
        <f t="shared" si="519"/>
        <v>0</v>
      </c>
      <c r="Z3355" s="14">
        <v>0</v>
      </c>
      <c r="AA3355" s="6">
        <v>0</v>
      </c>
      <c r="AB3355" s="4">
        <f t="shared" si="520"/>
        <v>0</v>
      </c>
      <c r="AC3355" s="4">
        <f t="shared" si="523"/>
        <v>0</v>
      </c>
      <c r="AD3355" s="6">
        <f t="shared" si="515"/>
        <v>0</v>
      </c>
      <c r="AE3355" s="2">
        <f>VLOOKUP(I3355,[1]媒体政策预估表!A:N,MATCH(O3355,[1]媒体政策预估表!$A$2:$M$2,0),0)</f>
        <v>0</v>
      </c>
      <c r="AF3355" s="6">
        <f t="shared" si="524"/>
        <v>0</v>
      </c>
      <c r="AG3355" s="14">
        <v>0</v>
      </c>
      <c r="AH3355" s="64">
        <f t="shared" si="516"/>
        <v>0</v>
      </c>
      <c r="AI3355" s="47"/>
      <c r="AJ3355" s="126" t="e">
        <v>#N/A</v>
      </c>
      <c r="AK3355" s="80">
        <f t="shared" si="521"/>
        <v>0</v>
      </c>
      <c r="AM3355" s="85"/>
    </row>
    <row r="3356" spans="1:39" hidden="1" x14ac:dyDescent="0.3">
      <c r="A3356" s="89" t="s">
        <v>3397</v>
      </c>
      <c r="B3356" s="86" t="s">
        <v>35</v>
      </c>
      <c r="C3356" s="86" t="s">
        <v>47</v>
      </c>
      <c r="D3356" s="86" t="s">
        <v>48</v>
      </c>
      <c r="E3356" s="86" t="s">
        <v>1349</v>
      </c>
      <c r="F3356" s="86" t="s">
        <v>2614</v>
      </c>
      <c r="G3356" s="86" t="s">
        <v>1349</v>
      </c>
      <c r="H3356" s="143">
        <v>72</v>
      </c>
      <c r="I3356" s="86" t="s">
        <v>2572</v>
      </c>
      <c r="J3356" s="1" t="s">
        <v>3327</v>
      </c>
      <c r="K3356" s="1" t="s">
        <v>3284</v>
      </c>
      <c r="L3356" s="1" t="s">
        <v>35</v>
      </c>
      <c r="M3356" s="86" t="s">
        <v>1349</v>
      </c>
      <c r="N3356" s="86"/>
      <c r="O3356" s="47" t="s">
        <v>410</v>
      </c>
      <c r="P3356" s="47" t="s">
        <v>41</v>
      </c>
      <c r="Q3356" s="14">
        <v>0</v>
      </c>
      <c r="R3356" s="143">
        <v>600000781</v>
      </c>
      <c r="S3356" s="47"/>
      <c r="T3356" s="6">
        <v>-72.400000000000006</v>
      </c>
      <c r="U3356" s="6"/>
      <c r="V3356" s="6">
        <v>0</v>
      </c>
      <c r="W3356" s="6">
        <f t="shared" si="513"/>
        <v>-72.400000000000006</v>
      </c>
      <c r="X3356" s="6">
        <f t="shared" si="514"/>
        <v>0</v>
      </c>
      <c r="Y3356" s="13">
        <f t="shared" si="519"/>
        <v>0</v>
      </c>
      <c r="Z3356" s="14">
        <v>0</v>
      </c>
      <c r="AA3356" s="6">
        <v>0</v>
      </c>
      <c r="AB3356" s="4">
        <f t="shared" si="520"/>
        <v>0</v>
      </c>
      <c r="AC3356" s="4">
        <f t="shared" si="523"/>
        <v>0</v>
      </c>
      <c r="AD3356" s="6">
        <f t="shared" si="515"/>
        <v>0</v>
      </c>
      <c r="AE3356" s="2">
        <f>VLOOKUP(I3356,[1]媒体政策预估表!A:N,MATCH(O3356,[1]媒体政策预估表!$A$2:$M$2,0),0)</f>
        <v>0</v>
      </c>
      <c r="AF3356" s="6">
        <f t="shared" si="524"/>
        <v>0</v>
      </c>
      <c r="AG3356" s="14">
        <v>0</v>
      </c>
      <c r="AH3356" s="64">
        <f t="shared" si="516"/>
        <v>0</v>
      </c>
      <c r="AI3356" s="47"/>
      <c r="AJ3356" s="126" t="e">
        <v>#N/A</v>
      </c>
      <c r="AK3356" s="80">
        <f t="shared" si="521"/>
        <v>0</v>
      </c>
      <c r="AM3356" s="85"/>
    </row>
    <row r="3357" spans="1:39" hidden="1" x14ac:dyDescent="0.3">
      <c r="A3357" s="89" t="s">
        <v>3397</v>
      </c>
      <c r="B3357" s="86" t="s">
        <v>35</v>
      </c>
      <c r="C3357" s="86" t="s">
        <v>184</v>
      </c>
      <c r="D3357" s="86" t="s">
        <v>298</v>
      </c>
      <c r="E3357" s="86" t="s">
        <v>2616</v>
      </c>
      <c r="F3357" s="86" t="s">
        <v>2616</v>
      </c>
      <c r="G3357" s="86" t="s">
        <v>2616</v>
      </c>
      <c r="H3357" s="143">
        <v>72</v>
      </c>
      <c r="I3357" s="86" t="s">
        <v>2572</v>
      </c>
      <c r="J3357" s="1" t="s">
        <v>3327</v>
      </c>
      <c r="K3357" s="1" t="s">
        <v>3284</v>
      </c>
      <c r="L3357" s="1" t="s">
        <v>35</v>
      </c>
      <c r="M3357" s="86" t="s">
        <v>2617</v>
      </c>
      <c r="N3357" s="86"/>
      <c r="O3357" s="47" t="s">
        <v>410</v>
      </c>
      <c r="P3357" s="47" t="s">
        <v>41</v>
      </c>
      <c r="Q3357" s="14">
        <v>0</v>
      </c>
      <c r="R3357" s="143">
        <v>600001184</v>
      </c>
      <c r="S3357" s="47"/>
      <c r="T3357" s="6">
        <v>99918.34</v>
      </c>
      <c r="U3357" s="6"/>
      <c r="V3357" s="6">
        <v>0</v>
      </c>
      <c r="W3357" s="6">
        <f t="shared" si="513"/>
        <v>99918.34</v>
      </c>
      <c r="X3357" s="6">
        <f t="shared" si="514"/>
        <v>0</v>
      </c>
      <c r="Y3357" s="13">
        <f t="shared" si="519"/>
        <v>0</v>
      </c>
      <c r="Z3357" s="14">
        <v>0</v>
      </c>
      <c r="AA3357" s="6">
        <v>0</v>
      </c>
      <c r="AB3357" s="4">
        <f t="shared" si="520"/>
        <v>0</v>
      </c>
      <c r="AC3357" s="4">
        <f t="shared" si="523"/>
        <v>0</v>
      </c>
      <c r="AD3357" s="6">
        <f t="shared" si="515"/>
        <v>0</v>
      </c>
      <c r="AE3357" s="2">
        <f>VLOOKUP(I3357,[1]媒体政策预估表!A:N,MATCH(O3357,[1]媒体政策预估表!$A$2:$M$2,0),0)</f>
        <v>0</v>
      </c>
      <c r="AF3357" s="6">
        <f t="shared" si="524"/>
        <v>0</v>
      </c>
      <c r="AG3357" s="14">
        <v>0</v>
      </c>
      <c r="AH3357" s="64">
        <f t="shared" si="516"/>
        <v>0</v>
      </c>
      <c r="AI3357" s="47"/>
      <c r="AJ3357" s="126" t="e">
        <v>#N/A</v>
      </c>
      <c r="AK3357" s="80">
        <f t="shared" si="521"/>
        <v>0</v>
      </c>
      <c r="AM3357" s="85"/>
    </row>
    <row r="3358" spans="1:39" hidden="1" x14ac:dyDescent="0.3">
      <c r="A3358" s="89" t="s">
        <v>3409</v>
      </c>
      <c r="B3358" s="86" t="s">
        <v>35</v>
      </c>
      <c r="C3358" s="86" t="s">
        <v>36</v>
      </c>
      <c r="D3358" s="86" t="s">
        <v>54</v>
      </c>
      <c r="E3358" s="86" t="s">
        <v>55</v>
      </c>
      <c r="F3358" s="86" t="s">
        <v>55</v>
      </c>
      <c r="G3358" s="86" t="s">
        <v>55</v>
      </c>
      <c r="H3358" s="143">
        <v>72</v>
      </c>
      <c r="I3358" s="86" t="s">
        <v>2572</v>
      </c>
      <c r="J3358" s="1" t="s">
        <v>3327</v>
      </c>
      <c r="K3358" s="1" t="s">
        <v>3284</v>
      </c>
      <c r="L3358" s="1" t="s">
        <v>35</v>
      </c>
      <c r="M3358" s="86" t="s">
        <v>55</v>
      </c>
      <c r="N3358" s="86"/>
      <c r="O3358" s="47" t="s">
        <v>410</v>
      </c>
      <c r="P3358" s="47" t="s">
        <v>41</v>
      </c>
      <c r="Q3358" s="14">
        <v>0</v>
      </c>
      <c r="R3358" s="143">
        <v>600000861</v>
      </c>
      <c r="S3358" s="47"/>
      <c r="T3358" s="6">
        <v>99116.210000000196</v>
      </c>
      <c r="U3358" s="6"/>
      <c r="V3358" s="6">
        <v>0</v>
      </c>
      <c r="W3358" s="6">
        <f t="shared" si="513"/>
        <v>99116.210000000196</v>
      </c>
      <c r="X3358" s="6">
        <f t="shared" si="514"/>
        <v>0</v>
      </c>
      <c r="Y3358" s="13">
        <f t="shared" si="519"/>
        <v>0</v>
      </c>
      <c r="Z3358" s="14">
        <v>0</v>
      </c>
      <c r="AA3358" s="6">
        <v>0</v>
      </c>
      <c r="AB3358" s="4">
        <f t="shared" si="520"/>
        <v>0</v>
      </c>
      <c r="AC3358" s="4">
        <f t="shared" si="523"/>
        <v>0</v>
      </c>
      <c r="AD3358" s="6">
        <f t="shared" si="515"/>
        <v>0</v>
      </c>
      <c r="AE3358" s="2">
        <f>VLOOKUP(I3358,[1]媒体政策预估表!A:N,MATCH(O3358,[1]媒体政策预估表!$A$2:$M$2,0),0)</f>
        <v>0</v>
      </c>
      <c r="AF3358" s="6">
        <f t="shared" si="524"/>
        <v>0</v>
      </c>
      <c r="AG3358" s="14">
        <v>0</v>
      </c>
      <c r="AH3358" s="64">
        <f t="shared" si="516"/>
        <v>0</v>
      </c>
      <c r="AI3358" s="47"/>
      <c r="AJ3358" s="126" t="e">
        <v>#N/A</v>
      </c>
      <c r="AK3358" s="80">
        <f t="shared" si="521"/>
        <v>0</v>
      </c>
      <c r="AM3358" s="85"/>
    </row>
    <row r="3359" spans="1:39" hidden="1" x14ac:dyDescent="0.3">
      <c r="A3359" s="89" t="s">
        <v>3397</v>
      </c>
      <c r="B3359" s="86" t="s">
        <v>35</v>
      </c>
      <c r="C3359" s="86" t="s">
        <v>65</v>
      </c>
      <c r="D3359" s="86" t="s">
        <v>66</v>
      </c>
      <c r="E3359" s="86" t="s">
        <v>869</v>
      </c>
      <c r="F3359" s="86" t="s">
        <v>869</v>
      </c>
      <c r="G3359" s="86" t="s">
        <v>869</v>
      </c>
      <c r="H3359" s="143">
        <v>72</v>
      </c>
      <c r="I3359" s="86" t="s">
        <v>2572</v>
      </c>
      <c r="J3359" s="1" t="s">
        <v>3327</v>
      </c>
      <c r="K3359" s="1" t="s">
        <v>3284</v>
      </c>
      <c r="L3359" s="1" t="s">
        <v>35</v>
      </c>
      <c r="M3359" s="86" t="s">
        <v>869</v>
      </c>
      <c r="N3359" s="86"/>
      <c r="O3359" s="47" t="s">
        <v>410</v>
      </c>
      <c r="P3359" s="47" t="s">
        <v>41</v>
      </c>
      <c r="Q3359" s="14">
        <v>0</v>
      </c>
      <c r="R3359" s="143">
        <v>600000804</v>
      </c>
      <c r="S3359" s="47"/>
      <c r="T3359" s="6">
        <v>128.87999999991007</v>
      </c>
      <c r="U3359" s="6"/>
      <c r="V3359" s="6">
        <v>0</v>
      </c>
      <c r="W3359" s="6">
        <f t="shared" si="513"/>
        <v>128.87999999991007</v>
      </c>
      <c r="X3359" s="6">
        <f t="shared" si="514"/>
        <v>0</v>
      </c>
      <c r="Y3359" s="13">
        <f t="shared" si="519"/>
        <v>0</v>
      </c>
      <c r="Z3359" s="14">
        <v>0</v>
      </c>
      <c r="AA3359" s="6">
        <v>0</v>
      </c>
      <c r="AB3359" s="4">
        <f t="shared" si="520"/>
        <v>0</v>
      </c>
      <c r="AC3359" s="4">
        <f t="shared" si="523"/>
        <v>0</v>
      </c>
      <c r="AD3359" s="6">
        <f t="shared" si="515"/>
        <v>0</v>
      </c>
      <c r="AE3359" s="2">
        <f>VLOOKUP(I3359,[1]媒体政策预估表!A:N,MATCH(O3359,[1]媒体政策预估表!$A$2:$M$2,0),0)</f>
        <v>0</v>
      </c>
      <c r="AF3359" s="6">
        <f t="shared" si="524"/>
        <v>0</v>
      </c>
      <c r="AG3359" s="14">
        <v>0</v>
      </c>
      <c r="AH3359" s="64">
        <f t="shared" si="516"/>
        <v>0</v>
      </c>
      <c r="AI3359" s="47"/>
      <c r="AJ3359" s="126" t="e">
        <v>#N/A</v>
      </c>
      <c r="AK3359" s="80">
        <f t="shared" si="521"/>
        <v>0</v>
      </c>
      <c r="AM3359" s="85"/>
    </row>
    <row r="3360" spans="1:39" hidden="1" x14ac:dyDescent="0.3">
      <c r="A3360" s="89" t="s">
        <v>3408</v>
      </c>
      <c r="B3360" s="86" t="s">
        <v>35</v>
      </c>
      <c r="C3360" s="86" t="s">
        <v>65</v>
      </c>
      <c r="D3360" s="86" t="s">
        <v>66</v>
      </c>
      <c r="E3360" s="86" t="s">
        <v>1889</v>
      </c>
      <c r="F3360" s="86" t="s">
        <v>1889</v>
      </c>
      <c r="G3360" s="86" t="s">
        <v>1889</v>
      </c>
      <c r="H3360" s="143">
        <v>72</v>
      </c>
      <c r="I3360" s="86" t="s">
        <v>2572</v>
      </c>
      <c r="J3360" s="1" t="s">
        <v>3327</v>
      </c>
      <c r="K3360" s="1" t="s">
        <v>3284</v>
      </c>
      <c r="L3360" s="1" t="s">
        <v>35</v>
      </c>
      <c r="M3360" s="86" t="s">
        <v>2618</v>
      </c>
      <c r="N3360" s="86"/>
      <c r="O3360" s="47" t="s">
        <v>410</v>
      </c>
      <c r="P3360" s="47" t="s">
        <v>41</v>
      </c>
      <c r="Q3360" s="14">
        <v>0</v>
      </c>
      <c r="R3360" s="143">
        <v>300000971</v>
      </c>
      <c r="S3360" s="47"/>
      <c r="T3360" s="6">
        <v>17294.249999999956</v>
      </c>
      <c r="U3360" s="6"/>
      <c r="V3360" s="6">
        <v>0</v>
      </c>
      <c r="W3360" s="6">
        <f t="shared" si="513"/>
        <v>17294.249999999956</v>
      </c>
      <c r="X3360" s="6">
        <f t="shared" si="514"/>
        <v>0</v>
      </c>
      <c r="Y3360" s="13">
        <f t="shared" si="519"/>
        <v>0</v>
      </c>
      <c r="Z3360" s="14">
        <v>0.03</v>
      </c>
      <c r="AA3360" s="6">
        <f>X3360*Z3360</f>
        <v>0</v>
      </c>
      <c r="AB3360" s="4">
        <f t="shared" si="520"/>
        <v>0</v>
      </c>
      <c r="AC3360" s="4">
        <f t="shared" si="523"/>
        <v>0</v>
      </c>
      <c r="AD3360" s="6">
        <f t="shared" si="515"/>
        <v>0</v>
      </c>
      <c r="AE3360" s="2">
        <f>VLOOKUP(I3360,[1]媒体政策预估表!A:N,MATCH(O3360,[1]媒体政策预估表!$A$2:$M$2,0),0)</f>
        <v>0</v>
      </c>
      <c r="AF3360" s="6">
        <f t="shared" si="524"/>
        <v>0</v>
      </c>
      <c r="AG3360" s="14">
        <v>0</v>
      </c>
      <c r="AH3360" s="64">
        <f t="shared" si="516"/>
        <v>0</v>
      </c>
      <c r="AI3360" s="47"/>
      <c r="AJ3360" s="126" t="e">
        <v>#N/A</v>
      </c>
      <c r="AK3360" s="80">
        <f t="shared" si="521"/>
        <v>0</v>
      </c>
      <c r="AM3360" s="85"/>
    </row>
    <row r="3361" spans="1:39" hidden="1" x14ac:dyDescent="0.3">
      <c r="A3361" s="89" t="s">
        <v>3408</v>
      </c>
      <c r="B3361" s="86" t="s">
        <v>35</v>
      </c>
      <c r="C3361" s="86" t="s">
        <v>65</v>
      </c>
      <c r="D3361" s="86" t="s">
        <v>66</v>
      </c>
      <c r="E3361" s="86" t="s">
        <v>2619</v>
      </c>
      <c r="F3361" s="86" t="s">
        <v>2619</v>
      </c>
      <c r="G3361" s="86" t="s">
        <v>2619</v>
      </c>
      <c r="H3361" s="143">
        <v>72</v>
      </c>
      <c r="I3361" s="86" t="s">
        <v>2572</v>
      </c>
      <c r="J3361" s="1" t="s">
        <v>3327</v>
      </c>
      <c r="K3361" s="1" t="s">
        <v>3284</v>
      </c>
      <c r="L3361" s="1" t="s">
        <v>35</v>
      </c>
      <c r="M3361" s="86" t="s">
        <v>2620</v>
      </c>
      <c r="N3361" s="86"/>
      <c r="O3361" s="47" t="s">
        <v>410</v>
      </c>
      <c r="P3361" s="47" t="s">
        <v>41</v>
      </c>
      <c r="Q3361" s="14">
        <v>0</v>
      </c>
      <c r="R3361" s="143">
        <v>600001325</v>
      </c>
      <c r="S3361" s="47"/>
      <c r="T3361" s="6">
        <v>-99.199999999998894</v>
      </c>
      <c r="U3361" s="6"/>
      <c r="V3361" s="6">
        <v>0</v>
      </c>
      <c r="W3361" s="6">
        <f t="shared" si="513"/>
        <v>-99.199999999998894</v>
      </c>
      <c r="X3361" s="6">
        <f t="shared" si="514"/>
        <v>0</v>
      </c>
      <c r="Y3361" s="13">
        <f t="shared" si="519"/>
        <v>0</v>
      </c>
      <c r="Z3361" s="14">
        <v>0</v>
      </c>
      <c r="AA3361" s="6">
        <v>0</v>
      </c>
      <c r="AB3361" s="4">
        <f t="shared" si="520"/>
        <v>0</v>
      </c>
      <c r="AC3361" s="4">
        <f t="shared" si="523"/>
        <v>0</v>
      </c>
      <c r="AD3361" s="6">
        <f t="shared" si="515"/>
        <v>0</v>
      </c>
      <c r="AE3361" s="2">
        <f>VLOOKUP(I3361,[1]媒体政策预估表!A:N,MATCH(O3361,[1]媒体政策预估表!$A$2:$M$2,0),0)</f>
        <v>0</v>
      </c>
      <c r="AF3361" s="6">
        <f t="shared" si="524"/>
        <v>0</v>
      </c>
      <c r="AG3361" s="14">
        <v>0</v>
      </c>
      <c r="AH3361" s="64">
        <f t="shared" si="516"/>
        <v>0</v>
      </c>
      <c r="AI3361" s="47"/>
      <c r="AJ3361" s="126" t="e">
        <v>#N/A</v>
      </c>
      <c r="AK3361" s="80">
        <f t="shared" si="521"/>
        <v>0</v>
      </c>
      <c r="AM3361" s="85"/>
    </row>
    <row r="3362" spans="1:39" hidden="1" x14ac:dyDescent="0.3">
      <c r="A3362" s="89" t="s">
        <v>3397</v>
      </c>
      <c r="B3362" s="86" t="s">
        <v>35</v>
      </c>
      <c r="C3362" s="86" t="s">
        <v>65</v>
      </c>
      <c r="D3362" s="86" t="s">
        <v>122</v>
      </c>
      <c r="E3362" s="86" t="s">
        <v>2621</v>
      </c>
      <c r="F3362" s="86" t="s">
        <v>2622</v>
      </c>
      <c r="G3362" s="86" t="s">
        <v>2621</v>
      </c>
      <c r="H3362" s="143">
        <v>72</v>
      </c>
      <c r="I3362" s="86" t="s">
        <v>2572</v>
      </c>
      <c r="J3362" s="1" t="s">
        <v>3327</v>
      </c>
      <c r="K3362" s="1" t="s">
        <v>3284</v>
      </c>
      <c r="L3362" s="1" t="s">
        <v>35</v>
      </c>
      <c r="M3362" s="86" t="s">
        <v>2623</v>
      </c>
      <c r="N3362" s="86"/>
      <c r="O3362" s="47" t="s">
        <v>410</v>
      </c>
      <c r="P3362" s="47" t="s">
        <v>41</v>
      </c>
      <c r="Q3362" s="14">
        <v>0</v>
      </c>
      <c r="R3362" s="143">
        <v>300000959</v>
      </c>
      <c r="S3362" s="47"/>
      <c r="T3362" s="6">
        <v>-46.4</v>
      </c>
      <c r="U3362" s="6"/>
      <c r="V3362" s="6">
        <v>0</v>
      </c>
      <c r="W3362" s="6">
        <f t="shared" si="513"/>
        <v>-46.4</v>
      </c>
      <c r="X3362" s="6">
        <f t="shared" si="514"/>
        <v>0</v>
      </c>
      <c r="Y3362" s="13">
        <f t="shared" si="519"/>
        <v>0</v>
      </c>
      <c r="Z3362" s="14">
        <v>0</v>
      </c>
      <c r="AA3362" s="6">
        <v>0</v>
      </c>
      <c r="AB3362" s="4">
        <f t="shared" si="520"/>
        <v>0</v>
      </c>
      <c r="AC3362" s="4">
        <f t="shared" si="523"/>
        <v>0</v>
      </c>
      <c r="AD3362" s="6">
        <f t="shared" si="515"/>
        <v>0</v>
      </c>
      <c r="AE3362" s="2">
        <f>VLOOKUP(I3362,[1]媒体政策预估表!A:N,MATCH(O3362,[1]媒体政策预估表!$A$2:$M$2,0),0)</f>
        <v>0</v>
      </c>
      <c r="AF3362" s="6">
        <f t="shared" si="524"/>
        <v>0</v>
      </c>
      <c r="AG3362" s="14">
        <v>0</v>
      </c>
      <c r="AH3362" s="64">
        <f t="shared" si="516"/>
        <v>0</v>
      </c>
      <c r="AI3362" s="47"/>
      <c r="AJ3362" s="126" t="e">
        <v>#N/A</v>
      </c>
      <c r="AK3362" s="80">
        <f t="shared" si="521"/>
        <v>0</v>
      </c>
      <c r="AM3362" s="85"/>
    </row>
    <row r="3363" spans="1:39" hidden="1" x14ac:dyDescent="0.3">
      <c r="A3363" s="89" t="s">
        <v>3397</v>
      </c>
      <c r="B3363" s="86" t="s">
        <v>35</v>
      </c>
      <c r="C3363" s="86" t="s">
        <v>65</v>
      </c>
      <c r="D3363" s="86" t="s">
        <v>232</v>
      </c>
      <c r="E3363" s="86" t="s">
        <v>1907</v>
      </c>
      <c r="F3363" s="86" t="s">
        <v>1908</v>
      </c>
      <c r="G3363" s="86" t="s">
        <v>1907</v>
      </c>
      <c r="H3363" s="143">
        <v>72</v>
      </c>
      <c r="I3363" s="86" t="s">
        <v>2572</v>
      </c>
      <c r="J3363" s="1" t="s">
        <v>3327</v>
      </c>
      <c r="K3363" s="1" t="s">
        <v>3284</v>
      </c>
      <c r="L3363" s="1" t="s">
        <v>35</v>
      </c>
      <c r="M3363" s="86" t="s">
        <v>1907</v>
      </c>
      <c r="N3363" s="86"/>
      <c r="O3363" s="47" t="s">
        <v>410</v>
      </c>
      <c r="P3363" s="47" t="s">
        <v>41</v>
      </c>
      <c r="Q3363" s="14">
        <v>0</v>
      </c>
      <c r="R3363" s="143">
        <v>100000334</v>
      </c>
      <c r="S3363" s="47"/>
      <c r="T3363" s="6">
        <v>-68.149999999979627</v>
      </c>
      <c r="U3363" s="6"/>
      <c r="V3363" s="6">
        <v>0</v>
      </c>
      <c r="W3363" s="6">
        <f t="shared" si="513"/>
        <v>-68.149999999979627</v>
      </c>
      <c r="X3363" s="6">
        <f t="shared" si="514"/>
        <v>0</v>
      </c>
      <c r="Y3363" s="13">
        <f t="shared" si="519"/>
        <v>0</v>
      </c>
      <c r="Z3363" s="14">
        <v>0</v>
      </c>
      <c r="AA3363" s="6">
        <v>0</v>
      </c>
      <c r="AB3363" s="4">
        <f t="shared" si="520"/>
        <v>0</v>
      </c>
      <c r="AC3363" s="4">
        <f t="shared" si="523"/>
        <v>0</v>
      </c>
      <c r="AD3363" s="6">
        <f t="shared" si="515"/>
        <v>0</v>
      </c>
      <c r="AE3363" s="2">
        <f>VLOOKUP(I3363,[1]媒体政策预估表!A:N,MATCH(O3363,[1]媒体政策预估表!$A$2:$M$2,0),0)</f>
        <v>0</v>
      </c>
      <c r="AF3363" s="6">
        <f t="shared" si="524"/>
        <v>0</v>
      </c>
      <c r="AG3363" s="14">
        <v>0</v>
      </c>
      <c r="AH3363" s="64">
        <f t="shared" si="516"/>
        <v>0</v>
      </c>
      <c r="AI3363" s="47"/>
      <c r="AJ3363" s="126" t="e">
        <v>#N/A</v>
      </c>
      <c r="AK3363" s="80">
        <f t="shared" si="521"/>
        <v>0</v>
      </c>
      <c r="AM3363" s="85"/>
    </row>
    <row r="3364" spans="1:39" hidden="1" x14ac:dyDescent="0.3">
      <c r="A3364" s="89" t="s">
        <v>3397</v>
      </c>
      <c r="B3364" s="86" t="s">
        <v>35</v>
      </c>
      <c r="C3364" s="86" t="s">
        <v>65</v>
      </c>
      <c r="D3364" s="86" t="s">
        <v>232</v>
      </c>
      <c r="E3364" s="86" t="s">
        <v>2624</v>
      </c>
      <c r="F3364" s="86" t="s">
        <v>2624</v>
      </c>
      <c r="G3364" s="86" t="s">
        <v>2625</v>
      </c>
      <c r="H3364" s="143">
        <v>72</v>
      </c>
      <c r="I3364" s="86" t="s">
        <v>2572</v>
      </c>
      <c r="J3364" s="1" t="s">
        <v>3327</v>
      </c>
      <c r="K3364" s="1" t="s">
        <v>3284</v>
      </c>
      <c r="L3364" s="1" t="s">
        <v>35</v>
      </c>
      <c r="M3364" s="86" t="s">
        <v>2625</v>
      </c>
      <c r="N3364" s="86"/>
      <c r="O3364" s="47" t="s">
        <v>410</v>
      </c>
      <c r="P3364" s="47" t="s">
        <v>41</v>
      </c>
      <c r="Q3364" s="14">
        <v>0</v>
      </c>
      <c r="R3364" s="143">
        <v>100000113</v>
      </c>
      <c r="S3364" s="47"/>
      <c r="T3364" s="6">
        <v>-13.999999999994801</v>
      </c>
      <c r="U3364" s="6"/>
      <c r="V3364" s="6">
        <v>0</v>
      </c>
      <c r="W3364" s="6">
        <f t="shared" si="513"/>
        <v>-13.999999999994801</v>
      </c>
      <c r="X3364" s="6">
        <f t="shared" si="514"/>
        <v>0</v>
      </c>
      <c r="Y3364" s="13">
        <f t="shared" si="519"/>
        <v>0</v>
      </c>
      <c r="Z3364" s="14">
        <v>0</v>
      </c>
      <c r="AA3364" s="6">
        <v>0</v>
      </c>
      <c r="AB3364" s="4">
        <f t="shared" si="520"/>
        <v>0</v>
      </c>
      <c r="AC3364" s="4">
        <f t="shared" si="523"/>
        <v>0</v>
      </c>
      <c r="AD3364" s="6">
        <f t="shared" si="515"/>
        <v>0</v>
      </c>
      <c r="AE3364" s="2">
        <f>VLOOKUP(I3364,[1]媒体政策预估表!A:N,MATCH(O3364,[1]媒体政策预估表!$A$2:$M$2,0),0)</f>
        <v>0</v>
      </c>
      <c r="AF3364" s="6">
        <f t="shared" si="524"/>
        <v>0</v>
      </c>
      <c r="AG3364" s="14">
        <v>0</v>
      </c>
      <c r="AH3364" s="64">
        <f t="shared" si="516"/>
        <v>0</v>
      </c>
      <c r="AI3364" s="47"/>
      <c r="AJ3364" s="126" t="e">
        <v>#N/A</v>
      </c>
      <c r="AK3364" s="80">
        <f t="shared" si="521"/>
        <v>0</v>
      </c>
      <c r="AM3364" s="85"/>
    </row>
    <row r="3365" spans="1:39" hidden="1" x14ac:dyDescent="0.3">
      <c r="A3365" s="89" t="s">
        <v>3397</v>
      </c>
      <c r="B3365" s="86" t="s">
        <v>35</v>
      </c>
      <c r="C3365" s="86" t="s">
        <v>65</v>
      </c>
      <c r="D3365" s="86" t="s">
        <v>232</v>
      </c>
      <c r="E3365" s="86" t="s">
        <v>2626</v>
      </c>
      <c r="F3365" s="86" t="s">
        <v>2626</v>
      </c>
      <c r="G3365" s="86" t="s">
        <v>2626</v>
      </c>
      <c r="H3365" s="143">
        <v>72</v>
      </c>
      <c r="I3365" s="86" t="s">
        <v>2572</v>
      </c>
      <c r="J3365" s="1" t="s">
        <v>3327</v>
      </c>
      <c r="K3365" s="1" t="s">
        <v>3284</v>
      </c>
      <c r="L3365" s="1" t="s">
        <v>35</v>
      </c>
      <c r="M3365" s="86" t="s">
        <v>2626</v>
      </c>
      <c r="N3365" s="86"/>
      <c r="O3365" s="47" t="s">
        <v>410</v>
      </c>
      <c r="P3365" s="47" t="s">
        <v>41</v>
      </c>
      <c r="Q3365" s="14">
        <v>0</v>
      </c>
      <c r="R3365" s="143">
        <v>400003343</v>
      </c>
      <c r="S3365" s="47"/>
      <c r="T3365" s="6">
        <v>12687.279999999999</v>
      </c>
      <c r="U3365" s="6"/>
      <c r="V3365" s="6">
        <v>0</v>
      </c>
      <c r="W3365" s="6">
        <f t="shared" si="513"/>
        <v>12687.279999999999</v>
      </c>
      <c r="X3365" s="6">
        <f t="shared" si="514"/>
        <v>0</v>
      </c>
      <c r="Y3365" s="13">
        <f t="shared" si="519"/>
        <v>0</v>
      </c>
      <c r="Z3365" s="14">
        <v>0.03</v>
      </c>
      <c r="AA3365" s="6">
        <f>X3365*Z3365</f>
        <v>0</v>
      </c>
      <c r="AB3365" s="4">
        <f t="shared" si="520"/>
        <v>0</v>
      </c>
      <c r="AC3365" s="4">
        <f t="shared" si="523"/>
        <v>0</v>
      </c>
      <c r="AD3365" s="6">
        <f t="shared" si="515"/>
        <v>0</v>
      </c>
      <c r="AE3365" s="2">
        <f>VLOOKUP(I3365,[1]媒体政策预估表!A:N,MATCH(O3365,[1]媒体政策预估表!$A$2:$M$2,0),0)</f>
        <v>0</v>
      </c>
      <c r="AF3365" s="6">
        <f t="shared" si="524"/>
        <v>0</v>
      </c>
      <c r="AG3365" s="14">
        <v>0</v>
      </c>
      <c r="AH3365" s="64">
        <f t="shared" si="516"/>
        <v>0</v>
      </c>
      <c r="AI3365" s="47"/>
      <c r="AJ3365" s="126" t="e">
        <v>#N/A</v>
      </c>
      <c r="AK3365" s="80">
        <f t="shared" si="521"/>
        <v>0</v>
      </c>
      <c r="AM3365" s="85"/>
    </row>
    <row r="3366" spans="1:39" hidden="1" x14ac:dyDescent="0.3">
      <c r="A3366" s="89" t="s">
        <v>3397</v>
      </c>
      <c r="B3366" s="86" t="s">
        <v>35</v>
      </c>
      <c r="C3366" s="86" t="s">
        <v>47</v>
      </c>
      <c r="D3366" s="86" t="s">
        <v>1317</v>
      </c>
      <c r="E3366" s="86" t="s">
        <v>2627</v>
      </c>
      <c r="F3366" s="86" t="s">
        <v>2627</v>
      </c>
      <c r="G3366" s="86" t="s">
        <v>2627</v>
      </c>
      <c r="H3366" s="143">
        <v>72</v>
      </c>
      <c r="I3366" s="86" t="s">
        <v>2572</v>
      </c>
      <c r="J3366" s="1" t="s">
        <v>3327</v>
      </c>
      <c r="K3366" s="1" t="s">
        <v>3284</v>
      </c>
      <c r="L3366" s="1" t="s">
        <v>35</v>
      </c>
      <c r="M3366" s="86" t="s">
        <v>2627</v>
      </c>
      <c r="N3366" s="86"/>
      <c r="O3366" s="47" t="s">
        <v>410</v>
      </c>
      <c r="P3366" s="47" t="s">
        <v>41</v>
      </c>
      <c r="Q3366" s="14">
        <v>0</v>
      </c>
      <c r="R3366" s="143">
        <v>400001931</v>
      </c>
      <c r="S3366" s="47"/>
      <c r="T3366" s="6">
        <v>0.23999999999980259</v>
      </c>
      <c r="U3366" s="6"/>
      <c r="V3366" s="6">
        <v>0</v>
      </c>
      <c r="W3366" s="6">
        <f t="shared" ref="W3366:W3429" si="525">T3366+U3366-V3366</f>
        <v>0.23999999999980259</v>
      </c>
      <c r="X3366" s="6">
        <f t="shared" si="514"/>
        <v>0</v>
      </c>
      <c r="Y3366" s="13">
        <f t="shared" si="519"/>
        <v>0</v>
      </c>
      <c r="Z3366" s="14">
        <v>0</v>
      </c>
      <c r="AA3366" s="6">
        <v>0</v>
      </c>
      <c r="AB3366" s="4">
        <f t="shared" si="520"/>
        <v>0</v>
      </c>
      <c r="AC3366" s="4">
        <f t="shared" si="523"/>
        <v>0</v>
      </c>
      <c r="AD3366" s="6">
        <f t="shared" si="515"/>
        <v>0</v>
      </c>
      <c r="AE3366" s="2">
        <f>VLOOKUP(I3366,[1]媒体政策预估表!A:N,MATCH(O3366,[1]媒体政策预估表!$A$2:$M$2,0),0)</f>
        <v>0</v>
      </c>
      <c r="AF3366" s="6">
        <f t="shared" si="524"/>
        <v>0</v>
      </c>
      <c r="AG3366" s="14">
        <v>0</v>
      </c>
      <c r="AH3366" s="64">
        <f t="shared" si="516"/>
        <v>0</v>
      </c>
      <c r="AI3366" s="47"/>
      <c r="AJ3366" s="126" t="e">
        <v>#N/A</v>
      </c>
      <c r="AK3366" s="80">
        <f t="shared" si="521"/>
        <v>0</v>
      </c>
      <c r="AM3366" s="85"/>
    </row>
    <row r="3367" spans="1:39" hidden="1" x14ac:dyDescent="0.3">
      <c r="A3367" s="89" t="s">
        <v>3397</v>
      </c>
      <c r="B3367" s="86" t="s">
        <v>35</v>
      </c>
      <c r="C3367" s="86" t="s">
        <v>47</v>
      </c>
      <c r="D3367" s="86" t="s">
        <v>63</v>
      </c>
      <c r="E3367" s="86" t="s">
        <v>2628</v>
      </c>
      <c r="F3367" s="86" t="s">
        <v>2629</v>
      </c>
      <c r="G3367" s="86" t="s">
        <v>2629</v>
      </c>
      <c r="H3367" s="143">
        <v>72</v>
      </c>
      <c r="I3367" s="86" t="s">
        <v>2572</v>
      </c>
      <c r="J3367" s="1" t="s">
        <v>3327</v>
      </c>
      <c r="K3367" s="1" t="s">
        <v>3284</v>
      </c>
      <c r="L3367" s="1" t="s">
        <v>35</v>
      </c>
      <c r="M3367" s="86" t="s">
        <v>2630</v>
      </c>
      <c r="N3367" s="86"/>
      <c r="O3367" s="47" t="s">
        <v>410</v>
      </c>
      <c r="P3367" s="47" t="s">
        <v>41</v>
      </c>
      <c r="Q3367" s="14">
        <v>0</v>
      </c>
      <c r="R3367" s="143">
        <v>600000772</v>
      </c>
      <c r="S3367" s="47"/>
      <c r="T3367" s="6">
        <v>61.2</v>
      </c>
      <c r="U3367" s="6"/>
      <c r="V3367" s="6">
        <v>0</v>
      </c>
      <c r="W3367" s="6">
        <f t="shared" si="525"/>
        <v>61.2</v>
      </c>
      <c r="X3367" s="6">
        <f t="shared" ref="X3367:X3430" si="526">IF(P3367="折扣",V3367*Q3367,IF(P3367="返现",V3367,V3367/(1+Q3367)))</f>
        <v>0</v>
      </c>
      <c r="Y3367" s="13">
        <f t="shared" si="519"/>
        <v>0</v>
      </c>
      <c r="Z3367" s="14">
        <v>0</v>
      </c>
      <c r="AA3367" s="6">
        <v>0</v>
      </c>
      <c r="AB3367" s="4">
        <f t="shared" si="520"/>
        <v>0</v>
      </c>
      <c r="AC3367" s="4">
        <f t="shared" si="523"/>
        <v>0</v>
      </c>
      <c r="AD3367" s="6">
        <f t="shared" si="515"/>
        <v>0</v>
      </c>
      <c r="AE3367" s="2">
        <f>VLOOKUP(I3367,[1]媒体政策预估表!A:N,MATCH(O3367,[1]媒体政策预估表!$A$2:$M$2,0),0)</f>
        <v>0</v>
      </c>
      <c r="AF3367" s="6">
        <f t="shared" si="524"/>
        <v>0</v>
      </c>
      <c r="AG3367" s="14">
        <v>0</v>
      </c>
      <c r="AH3367" s="64">
        <f t="shared" si="516"/>
        <v>0</v>
      </c>
      <c r="AI3367" s="47"/>
      <c r="AJ3367" s="126" t="e">
        <v>#N/A</v>
      </c>
      <c r="AK3367" s="80">
        <f t="shared" si="521"/>
        <v>0</v>
      </c>
      <c r="AM3367" s="85"/>
    </row>
    <row r="3368" spans="1:39" hidden="1" x14ac:dyDescent="0.3">
      <c r="A3368" s="89" t="s">
        <v>3408</v>
      </c>
      <c r="B3368" s="86" t="s">
        <v>35</v>
      </c>
      <c r="C3368" s="86" t="s">
        <v>47</v>
      </c>
      <c r="D3368" s="86" t="s">
        <v>63</v>
      </c>
      <c r="E3368" s="86" t="s">
        <v>2631</v>
      </c>
      <c r="F3368" s="86" t="s">
        <v>2631</v>
      </c>
      <c r="G3368" s="86" t="s">
        <v>2631</v>
      </c>
      <c r="H3368" s="143">
        <v>72</v>
      </c>
      <c r="I3368" s="86" t="s">
        <v>2572</v>
      </c>
      <c r="J3368" s="1" t="s">
        <v>3327</v>
      </c>
      <c r="K3368" s="1" t="s">
        <v>3284</v>
      </c>
      <c r="L3368" s="1" t="s">
        <v>35</v>
      </c>
      <c r="M3368" s="86" t="s">
        <v>2631</v>
      </c>
      <c r="N3368" s="86"/>
      <c r="O3368" s="47" t="s">
        <v>410</v>
      </c>
      <c r="P3368" s="47" t="s">
        <v>41</v>
      </c>
      <c r="Q3368" s="14">
        <v>0</v>
      </c>
      <c r="R3368" s="143">
        <v>600001058</v>
      </c>
      <c r="S3368" s="47"/>
      <c r="T3368" s="6">
        <v>996</v>
      </c>
      <c r="U3368" s="6"/>
      <c r="V3368" s="6">
        <v>0</v>
      </c>
      <c r="W3368" s="6">
        <f t="shared" si="525"/>
        <v>996</v>
      </c>
      <c r="X3368" s="6">
        <f t="shared" si="526"/>
        <v>0</v>
      </c>
      <c r="Y3368" s="13">
        <f t="shared" si="519"/>
        <v>0</v>
      </c>
      <c r="Z3368" s="14">
        <v>0</v>
      </c>
      <c r="AA3368" s="6">
        <v>0</v>
      </c>
      <c r="AB3368" s="4">
        <f t="shared" si="520"/>
        <v>0</v>
      </c>
      <c r="AC3368" s="4">
        <f t="shared" si="523"/>
        <v>0</v>
      </c>
      <c r="AD3368" s="6">
        <f t="shared" ref="AD3368:AD3405" si="527">V3368</f>
        <v>0</v>
      </c>
      <c r="AE3368" s="2">
        <f>VLOOKUP(I3368,[1]媒体政策预估表!A:N,MATCH(O3368,[1]媒体政策预估表!$A$2:$M$2,0),0)</f>
        <v>0</v>
      </c>
      <c r="AF3368" s="6">
        <f t="shared" si="524"/>
        <v>0</v>
      </c>
      <c r="AG3368" s="14">
        <v>0</v>
      </c>
      <c r="AH3368" s="64">
        <f t="shared" ref="AH3368:AH3405" si="528">AD3368</f>
        <v>0</v>
      </c>
      <c r="AI3368" s="47"/>
      <c r="AJ3368" s="126" t="e">
        <v>#N/A</v>
      </c>
      <c r="AK3368" s="80">
        <f t="shared" si="521"/>
        <v>0</v>
      </c>
      <c r="AM3368" s="85"/>
    </row>
    <row r="3369" spans="1:39" hidden="1" x14ac:dyDescent="0.3">
      <c r="A3369" s="89" t="s">
        <v>3397</v>
      </c>
      <c r="B3369" s="86" t="s">
        <v>35</v>
      </c>
      <c r="C3369" s="86" t="s">
        <v>47</v>
      </c>
      <c r="D3369" s="86" t="s">
        <v>48</v>
      </c>
      <c r="E3369" s="86" t="s">
        <v>2632</v>
      </c>
      <c r="F3369" s="86" t="s">
        <v>2633</v>
      </c>
      <c r="G3369" s="86" t="s">
        <v>2633</v>
      </c>
      <c r="H3369" s="143">
        <v>72</v>
      </c>
      <c r="I3369" s="86" t="s">
        <v>2572</v>
      </c>
      <c r="J3369" s="1" t="s">
        <v>3327</v>
      </c>
      <c r="K3369" s="1" t="s">
        <v>3284</v>
      </c>
      <c r="L3369" s="1" t="s">
        <v>35</v>
      </c>
      <c r="M3369" s="86" t="s">
        <v>2634</v>
      </c>
      <c r="N3369" s="86"/>
      <c r="O3369" s="47" t="s">
        <v>410</v>
      </c>
      <c r="P3369" s="47" t="s">
        <v>41</v>
      </c>
      <c r="Q3369" s="14">
        <v>0</v>
      </c>
      <c r="R3369" s="143">
        <v>600001140</v>
      </c>
      <c r="S3369" s="47"/>
      <c r="T3369" s="6">
        <v>92388.24</v>
      </c>
      <c r="U3369" s="6"/>
      <c r="V3369" s="6">
        <v>0</v>
      </c>
      <c r="W3369" s="6">
        <f t="shared" si="525"/>
        <v>92388.24</v>
      </c>
      <c r="X3369" s="6">
        <f t="shared" si="526"/>
        <v>0</v>
      </c>
      <c r="Y3369" s="13">
        <f t="shared" si="519"/>
        <v>0</v>
      </c>
      <c r="Z3369" s="14">
        <v>0</v>
      </c>
      <c r="AA3369" s="6">
        <v>0</v>
      </c>
      <c r="AB3369" s="4">
        <f t="shared" si="520"/>
        <v>0</v>
      </c>
      <c r="AC3369" s="4">
        <f t="shared" si="523"/>
        <v>0</v>
      </c>
      <c r="AD3369" s="6">
        <f t="shared" si="527"/>
        <v>0</v>
      </c>
      <c r="AE3369" s="2">
        <f>VLOOKUP(I3369,[1]媒体政策预估表!A:N,MATCH(O3369,[1]媒体政策预估表!$A$2:$M$2,0),0)</f>
        <v>0</v>
      </c>
      <c r="AF3369" s="6">
        <f t="shared" si="524"/>
        <v>0</v>
      </c>
      <c r="AG3369" s="14">
        <v>0</v>
      </c>
      <c r="AH3369" s="64">
        <f t="shared" si="528"/>
        <v>0</v>
      </c>
      <c r="AI3369" s="47"/>
      <c r="AJ3369" s="126" t="e">
        <v>#N/A</v>
      </c>
      <c r="AK3369" s="80">
        <f t="shared" si="521"/>
        <v>0</v>
      </c>
      <c r="AM3369" s="85"/>
    </row>
    <row r="3370" spans="1:39" hidden="1" x14ac:dyDescent="0.3">
      <c r="A3370" s="89" t="s">
        <v>3397</v>
      </c>
      <c r="B3370" s="86" t="s">
        <v>35</v>
      </c>
      <c r="C3370" s="86" t="s">
        <v>47</v>
      </c>
      <c r="D3370" s="86" t="s">
        <v>48</v>
      </c>
      <c r="E3370" s="86" t="s">
        <v>1356</v>
      </c>
      <c r="F3370" s="86" t="s">
        <v>1356</v>
      </c>
      <c r="G3370" s="86" t="s">
        <v>1356</v>
      </c>
      <c r="H3370" s="143">
        <v>72</v>
      </c>
      <c r="I3370" s="86" t="s">
        <v>2572</v>
      </c>
      <c r="J3370" s="1" t="s">
        <v>3327</v>
      </c>
      <c r="K3370" s="1" t="s">
        <v>3284</v>
      </c>
      <c r="L3370" s="1" t="s">
        <v>35</v>
      </c>
      <c r="M3370" s="86" t="s">
        <v>2635</v>
      </c>
      <c r="N3370" s="86"/>
      <c r="O3370" s="47" t="s">
        <v>410</v>
      </c>
      <c r="P3370" s="47" t="s">
        <v>41</v>
      </c>
      <c r="Q3370" s="14">
        <v>0</v>
      </c>
      <c r="R3370" s="143">
        <v>400002196</v>
      </c>
      <c r="S3370" s="47"/>
      <c r="T3370" s="6">
        <v>184.29999999999899</v>
      </c>
      <c r="U3370" s="6"/>
      <c r="V3370" s="6">
        <v>0</v>
      </c>
      <c r="W3370" s="6">
        <f t="shared" si="525"/>
        <v>184.29999999999899</v>
      </c>
      <c r="X3370" s="6">
        <f t="shared" si="526"/>
        <v>0</v>
      </c>
      <c r="Y3370" s="13">
        <f t="shared" si="519"/>
        <v>0</v>
      </c>
      <c r="Z3370" s="14">
        <v>0</v>
      </c>
      <c r="AA3370" s="6">
        <v>0</v>
      </c>
      <c r="AB3370" s="4">
        <f t="shared" si="520"/>
        <v>0</v>
      </c>
      <c r="AC3370" s="4">
        <f t="shared" si="523"/>
        <v>0</v>
      </c>
      <c r="AD3370" s="6">
        <f t="shared" si="527"/>
        <v>0</v>
      </c>
      <c r="AE3370" s="2">
        <f>VLOOKUP(I3370,[1]媒体政策预估表!A:N,MATCH(O3370,[1]媒体政策预估表!$A$2:$M$2,0),0)</f>
        <v>0</v>
      </c>
      <c r="AF3370" s="6">
        <f t="shared" si="524"/>
        <v>0</v>
      </c>
      <c r="AG3370" s="14">
        <v>0</v>
      </c>
      <c r="AH3370" s="64">
        <f t="shared" si="528"/>
        <v>0</v>
      </c>
      <c r="AI3370" s="47"/>
      <c r="AJ3370" s="126" t="e">
        <v>#N/A</v>
      </c>
      <c r="AK3370" s="80">
        <f t="shared" si="521"/>
        <v>0</v>
      </c>
      <c r="AM3370" s="85"/>
    </row>
    <row r="3371" spans="1:39" hidden="1" x14ac:dyDescent="0.3">
      <c r="A3371" s="89" t="s">
        <v>3409</v>
      </c>
      <c r="B3371" s="86" t="s">
        <v>35</v>
      </c>
      <c r="C3371" s="86" t="s">
        <v>47</v>
      </c>
      <c r="D3371" s="86" t="s">
        <v>48</v>
      </c>
      <c r="E3371" s="86" t="s">
        <v>2636</v>
      </c>
      <c r="F3371" s="86" t="s">
        <v>2636</v>
      </c>
      <c r="G3371" s="86" t="s">
        <v>2636</v>
      </c>
      <c r="H3371" s="143">
        <v>72</v>
      </c>
      <c r="I3371" s="86" t="s">
        <v>2572</v>
      </c>
      <c r="J3371" s="1" t="s">
        <v>3327</v>
      </c>
      <c r="K3371" s="1" t="s">
        <v>3284</v>
      </c>
      <c r="L3371" s="1" t="s">
        <v>35</v>
      </c>
      <c r="M3371" s="86" t="s">
        <v>2637</v>
      </c>
      <c r="N3371" s="86"/>
      <c r="O3371" s="47" t="s">
        <v>410</v>
      </c>
      <c r="P3371" s="47" t="s">
        <v>41</v>
      </c>
      <c r="Q3371" s="14">
        <v>0</v>
      </c>
      <c r="R3371" s="143">
        <v>400001884</v>
      </c>
      <c r="S3371" s="47"/>
      <c r="T3371" s="6">
        <v>21.840000000000099</v>
      </c>
      <c r="U3371" s="6"/>
      <c r="V3371" s="6">
        <v>0</v>
      </c>
      <c r="W3371" s="6">
        <f t="shared" si="525"/>
        <v>21.840000000000099</v>
      </c>
      <c r="X3371" s="6">
        <f t="shared" si="526"/>
        <v>0</v>
      </c>
      <c r="Y3371" s="13">
        <f t="shared" si="519"/>
        <v>0</v>
      </c>
      <c r="Z3371" s="14">
        <v>0</v>
      </c>
      <c r="AA3371" s="6">
        <v>0</v>
      </c>
      <c r="AB3371" s="4">
        <f t="shared" si="520"/>
        <v>0</v>
      </c>
      <c r="AC3371" s="4">
        <f t="shared" si="523"/>
        <v>0</v>
      </c>
      <c r="AD3371" s="6">
        <f t="shared" si="527"/>
        <v>0</v>
      </c>
      <c r="AE3371" s="2">
        <f>VLOOKUP(I3371,[1]媒体政策预估表!A:N,MATCH(O3371,[1]媒体政策预估表!$A$2:$M$2,0),0)</f>
        <v>0</v>
      </c>
      <c r="AF3371" s="6">
        <f t="shared" si="524"/>
        <v>0</v>
      </c>
      <c r="AG3371" s="14">
        <v>0</v>
      </c>
      <c r="AH3371" s="64">
        <f t="shared" si="528"/>
        <v>0</v>
      </c>
      <c r="AI3371" s="47"/>
      <c r="AJ3371" s="126" t="e">
        <v>#N/A</v>
      </c>
      <c r="AK3371" s="80">
        <f t="shared" si="521"/>
        <v>0</v>
      </c>
      <c r="AM3371" s="85"/>
    </row>
    <row r="3372" spans="1:39" hidden="1" x14ac:dyDescent="0.3">
      <c r="A3372" s="89" t="s">
        <v>3409</v>
      </c>
      <c r="B3372" s="86" t="s">
        <v>35</v>
      </c>
      <c r="C3372" s="86" t="s">
        <v>47</v>
      </c>
      <c r="D3372" s="86" t="s">
        <v>48</v>
      </c>
      <c r="E3372" s="86" t="s">
        <v>2636</v>
      </c>
      <c r="F3372" s="86" t="s">
        <v>2636</v>
      </c>
      <c r="G3372" s="86" t="s">
        <v>2636</v>
      </c>
      <c r="H3372" s="143">
        <v>72</v>
      </c>
      <c r="I3372" s="86" t="s">
        <v>2572</v>
      </c>
      <c r="J3372" s="1" t="s">
        <v>3327</v>
      </c>
      <c r="K3372" s="1" t="s">
        <v>3284</v>
      </c>
      <c r="L3372" s="1" t="s">
        <v>35</v>
      </c>
      <c r="M3372" s="86" t="s">
        <v>2638</v>
      </c>
      <c r="N3372" s="86"/>
      <c r="O3372" s="47" t="s">
        <v>410</v>
      </c>
      <c r="P3372" s="47" t="s">
        <v>41</v>
      </c>
      <c r="Q3372" s="14">
        <v>0</v>
      </c>
      <c r="R3372" s="143">
        <v>300000512</v>
      </c>
      <c r="S3372" s="47"/>
      <c r="T3372" s="6">
        <v>-18.219999999999299</v>
      </c>
      <c r="U3372" s="6"/>
      <c r="V3372" s="6">
        <v>0</v>
      </c>
      <c r="W3372" s="6">
        <f t="shared" si="525"/>
        <v>-18.219999999999299</v>
      </c>
      <c r="X3372" s="6">
        <f t="shared" si="526"/>
        <v>0</v>
      </c>
      <c r="Y3372" s="13">
        <f t="shared" si="519"/>
        <v>0</v>
      </c>
      <c r="Z3372" s="14">
        <v>0</v>
      </c>
      <c r="AA3372" s="6">
        <v>0</v>
      </c>
      <c r="AB3372" s="4">
        <f t="shared" si="520"/>
        <v>0</v>
      </c>
      <c r="AC3372" s="4">
        <f t="shared" si="523"/>
        <v>0</v>
      </c>
      <c r="AD3372" s="6">
        <f t="shared" si="527"/>
        <v>0</v>
      </c>
      <c r="AE3372" s="2">
        <f>VLOOKUP(I3372,[1]媒体政策预估表!A:N,MATCH(O3372,[1]媒体政策预估表!$A$2:$M$2,0),0)</f>
        <v>0</v>
      </c>
      <c r="AF3372" s="6">
        <f t="shared" si="524"/>
        <v>0</v>
      </c>
      <c r="AG3372" s="14">
        <v>0</v>
      </c>
      <c r="AH3372" s="64">
        <f t="shared" si="528"/>
        <v>0</v>
      </c>
      <c r="AI3372" s="47"/>
      <c r="AJ3372" s="126" t="e">
        <v>#N/A</v>
      </c>
      <c r="AK3372" s="80">
        <f t="shared" si="521"/>
        <v>0</v>
      </c>
      <c r="AM3372" s="85"/>
    </row>
    <row r="3373" spans="1:39" hidden="1" x14ac:dyDescent="0.3">
      <c r="A3373" s="89" t="s">
        <v>3397</v>
      </c>
      <c r="B3373" s="86" t="s">
        <v>35</v>
      </c>
      <c r="C3373" s="86" t="s">
        <v>47</v>
      </c>
      <c r="D3373" s="86" t="s">
        <v>48</v>
      </c>
      <c r="E3373" s="86" t="s">
        <v>1366</v>
      </c>
      <c r="F3373" s="86" t="s">
        <v>1367</v>
      </c>
      <c r="G3373" s="86" t="s">
        <v>1366</v>
      </c>
      <c r="H3373" s="143">
        <v>72</v>
      </c>
      <c r="I3373" s="86" t="s">
        <v>2572</v>
      </c>
      <c r="J3373" s="1" t="s">
        <v>3327</v>
      </c>
      <c r="K3373" s="1" t="s">
        <v>3284</v>
      </c>
      <c r="L3373" s="1" t="s">
        <v>35</v>
      </c>
      <c r="M3373" s="86" t="s">
        <v>1366</v>
      </c>
      <c r="N3373" s="86"/>
      <c r="O3373" s="47" t="s">
        <v>410</v>
      </c>
      <c r="P3373" s="47" t="s">
        <v>41</v>
      </c>
      <c r="Q3373" s="14">
        <v>0</v>
      </c>
      <c r="R3373" s="143">
        <v>600001457</v>
      </c>
      <c r="S3373" s="47"/>
      <c r="T3373" s="6">
        <v>-11.5199999998986</v>
      </c>
      <c r="U3373" s="6"/>
      <c r="V3373" s="6">
        <v>0</v>
      </c>
      <c r="W3373" s="6">
        <f t="shared" si="525"/>
        <v>-11.5199999998986</v>
      </c>
      <c r="X3373" s="6">
        <f t="shared" si="526"/>
        <v>0</v>
      </c>
      <c r="Y3373" s="13">
        <f t="shared" si="519"/>
        <v>0</v>
      </c>
      <c r="Z3373" s="14">
        <v>0</v>
      </c>
      <c r="AA3373" s="6">
        <v>0</v>
      </c>
      <c r="AB3373" s="4">
        <f t="shared" si="520"/>
        <v>0</v>
      </c>
      <c r="AC3373" s="4">
        <f t="shared" si="523"/>
        <v>0</v>
      </c>
      <c r="AD3373" s="6">
        <f t="shared" si="527"/>
        <v>0</v>
      </c>
      <c r="AE3373" s="2">
        <f>VLOOKUP(I3373,[1]媒体政策预估表!A:N,MATCH(O3373,[1]媒体政策预估表!$A$2:$M$2,0),0)</f>
        <v>0</v>
      </c>
      <c r="AF3373" s="6">
        <f t="shared" si="524"/>
        <v>0</v>
      </c>
      <c r="AG3373" s="14">
        <v>0</v>
      </c>
      <c r="AH3373" s="64">
        <f t="shared" si="528"/>
        <v>0</v>
      </c>
      <c r="AI3373" s="47"/>
      <c r="AJ3373" s="126" t="e">
        <v>#N/A</v>
      </c>
      <c r="AK3373" s="80">
        <f t="shared" si="521"/>
        <v>0</v>
      </c>
      <c r="AM3373" s="85"/>
    </row>
    <row r="3374" spans="1:39" hidden="1" x14ac:dyDescent="0.3">
      <c r="A3374" s="89" t="s">
        <v>3397</v>
      </c>
      <c r="B3374" s="86" t="s">
        <v>35</v>
      </c>
      <c r="C3374" s="86" t="s">
        <v>47</v>
      </c>
      <c r="D3374" s="86" t="s">
        <v>48</v>
      </c>
      <c r="E3374" s="86" t="s">
        <v>50</v>
      </c>
      <c r="F3374" s="86" t="s">
        <v>50</v>
      </c>
      <c r="G3374" s="86" t="s">
        <v>50</v>
      </c>
      <c r="H3374" s="143">
        <v>72</v>
      </c>
      <c r="I3374" s="86" t="s">
        <v>2572</v>
      </c>
      <c r="J3374" s="1" t="s">
        <v>3327</v>
      </c>
      <c r="K3374" s="1" t="s">
        <v>3284</v>
      </c>
      <c r="L3374" s="1" t="s">
        <v>35</v>
      </c>
      <c r="M3374" s="86" t="s">
        <v>50</v>
      </c>
      <c r="N3374" s="86"/>
      <c r="O3374" s="47" t="s">
        <v>410</v>
      </c>
      <c r="P3374" s="47" t="s">
        <v>41</v>
      </c>
      <c r="Q3374" s="14">
        <v>0</v>
      </c>
      <c r="R3374" s="143">
        <v>600000929</v>
      </c>
      <c r="S3374" s="47"/>
      <c r="T3374" s="6">
        <v>-102.17</v>
      </c>
      <c r="U3374" s="6"/>
      <c r="V3374" s="6">
        <v>0</v>
      </c>
      <c r="W3374" s="6">
        <f t="shared" si="525"/>
        <v>-102.17</v>
      </c>
      <c r="X3374" s="6">
        <f t="shared" si="526"/>
        <v>0</v>
      </c>
      <c r="Y3374" s="13">
        <f t="shared" si="519"/>
        <v>0</v>
      </c>
      <c r="Z3374" s="14">
        <v>0</v>
      </c>
      <c r="AA3374" s="6">
        <v>0</v>
      </c>
      <c r="AB3374" s="4">
        <f t="shared" si="520"/>
        <v>0</v>
      </c>
      <c r="AC3374" s="4">
        <f t="shared" si="523"/>
        <v>0</v>
      </c>
      <c r="AD3374" s="6">
        <f t="shared" si="527"/>
        <v>0</v>
      </c>
      <c r="AE3374" s="2">
        <f>VLOOKUP(I3374,[1]媒体政策预估表!A:N,MATCH(O3374,[1]媒体政策预估表!$A$2:$M$2,0),0)</f>
        <v>0</v>
      </c>
      <c r="AF3374" s="6">
        <f t="shared" si="524"/>
        <v>0</v>
      </c>
      <c r="AG3374" s="14">
        <v>0</v>
      </c>
      <c r="AH3374" s="64">
        <f t="shared" si="528"/>
        <v>0</v>
      </c>
      <c r="AI3374" s="47"/>
      <c r="AJ3374" s="126" t="e">
        <v>#N/A</v>
      </c>
      <c r="AK3374" s="80">
        <f t="shared" si="521"/>
        <v>0</v>
      </c>
      <c r="AM3374" s="85"/>
    </row>
    <row r="3375" spans="1:39" hidden="1" x14ac:dyDescent="0.3">
      <c r="A3375" s="89" t="s">
        <v>3397</v>
      </c>
      <c r="B3375" s="86" t="s">
        <v>35</v>
      </c>
      <c r="C3375" s="86" t="s">
        <v>47</v>
      </c>
      <c r="D3375" s="86" t="s">
        <v>48</v>
      </c>
      <c r="E3375" s="86" t="s">
        <v>2639</v>
      </c>
      <c r="F3375" s="86" t="s">
        <v>2639</v>
      </c>
      <c r="G3375" s="86" t="s">
        <v>2639</v>
      </c>
      <c r="H3375" s="143">
        <v>72</v>
      </c>
      <c r="I3375" s="86" t="s">
        <v>2572</v>
      </c>
      <c r="J3375" s="1" t="s">
        <v>3327</v>
      </c>
      <c r="K3375" s="1" t="s">
        <v>3284</v>
      </c>
      <c r="L3375" s="1" t="s">
        <v>35</v>
      </c>
      <c r="M3375" s="86" t="s">
        <v>2640</v>
      </c>
      <c r="N3375" s="86"/>
      <c r="O3375" s="47" t="s">
        <v>410</v>
      </c>
      <c r="P3375" s="47" t="s">
        <v>41</v>
      </c>
      <c r="Q3375" s="14">
        <v>0</v>
      </c>
      <c r="R3375" s="143">
        <v>400001697</v>
      </c>
      <c r="S3375" s="47"/>
      <c r="T3375" s="6">
        <v>19624.8</v>
      </c>
      <c r="U3375" s="6"/>
      <c r="V3375" s="6">
        <v>0</v>
      </c>
      <c r="W3375" s="6">
        <f t="shared" si="525"/>
        <v>19624.8</v>
      </c>
      <c r="X3375" s="6">
        <f t="shared" si="526"/>
        <v>0</v>
      </c>
      <c r="Y3375" s="13">
        <f t="shared" si="519"/>
        <v>0</v>
      </c>
      <c r="Z3375" s="14">
        <v>0</v>
      </c>
      <c r="AA3375" s="6">
        <v>0</v>
      </c>
      <c r="AB3375" s="4">
        <f t="shared" si="520"/>
        <v>0</v>
      </c>
      <c r="AC3375" s="4">
        <f t="shared" si="523"/>
        <v>0</v>
      </c>
      <c r="AD3375" s="6">
        <f t="shared" si="527"/>
        <v>0</v>
      </c>
      <c r="AE3375" s="2">
        <f>VLOOKUP(I3375,[1]媒体政策预估表!A:N,MATCH(O3375,[1]媒体政策预估表!$A$2:$M$2,0),0)</f>
        <v>0</v>
      </c>
      <c r="AF3375" s="6">
        <f t="shared" si="524"/>
        <v>0</v>
      </c>
      <c r="AG3375" s="14">
        <v>0</v>
      </c>
      <c r="AH3375" s="64">
        <f t="shared" si="528"/>
        <v>0</v>
      </c>
      <c r="AI3375" s="47"/>
      <c r="AJ3375" s="126" t="e">
        <v>#N/A</v>
      </c>
      <c r="AK3375" s="80">
        <f t="shared" si="521"/>
        <v>0</v>
      </c>
      <c r="AM3375" s="85"/>
    </row>
    <row r="3376" spans="1:39" hidden="1" x14ac:dyDescent="0.3">
      <c r="A3376" s="89" t="s">
        <v>3397</v>
      </c>
      <c r="B3376" s="86" t="s">
        <v>35</v>
      </c>
      <c r="C3376" s="86" t="s">
        <v>144</v>
      </c>
      <c r="D3376" s="86" t="s">
        <v>145</v>
      </c>
      <c r="E3376" s="86" t="s">
        <v>2641</v>
      </c>
      <c r="F3376" s="86" t="s">
        <v>2641</v>
      </c>
      <c r="G3376" s="86" t="s">
        <v>2641</v>
      </c>
      <c r="H3376" s="143">
        <v>72</v>
      </c>
      <c r="I3376" s="86" t="s">
        <v>2572</v>
      </c>
      <c r="J3376" s="1" t="s">
        <v>3327</v>
      </c>
      <c r="K3376" s="1" t="s">
        <v>3284</v>
      </c>
      <c r="L3376" s="1" t="s">
        <v>35</v>
      </c>
      <c r="M3376" s="86" t="s">
        <v>2641</v>
      </c>
      <c r="N3376" s="86"/>
      <c r="O3376" s="47" t="s">
        <v>410</v>
      </c>
      <c r="P3376" s="47" t="s">
        <v>41</v>
      </c>
      <c r="Q3376" s="14">
        <v>0</v>
      </c>
      <c r="R3376" s="143">
        <v>100000156</v>
      </c>
      <c r="S3376" s="47"/>
      <c r="T3376" s="6">
        <v>-11.9000000000015</v>
      </c>
      <c r="U3376" s="6"/>
      <c r="V3376" s="6">
        <v>0</v>
      </c>
      <c r="W3376" s="6">
        <f t="shared" si="525"/>
        <v>-11.9000000000015</v>
      </c>
      <c r="X3376" s="6">
        <f t="shared" si="526"/>
        <v>0</v>
      </c>
      <c r="Y3376" s="13">
        <f t="shared" si="519"/>
        <v>0</v>
      </c>
      <c r="Z3376" s="14">
        <v>0</v>
      </c>
      <c r="AA3376" s="6">
        <v>0</v>
      </c>
      <c r="AB3376" s="4">
        <f t="shared" si="520"/>
        <v>0</v>
      </c>
      <c r="AC3376" s="4">
        <f t="shared" si="523"/>
        <v>0</v>
      </c>
      <c r="AD3376" s="6">
        <f t="shared" si="527"/>
        <v>0</v>
      </c>
      <c r="AE3376" s="2">
        <f>VLOOKUP(I3376,[1]媒体政策预估表!A:N,MATCH(O3376,[1]媒体政策预估表!$A$2:$M$2,0),0)</f>
        <v>0</v>
      </c>
      <c r="AF3376" s="6">
        <f t="shared" si="524"/>
        <v>0</v>
      </c>
      <c r="AG3376" s="14">
        <v>0</v>
      </c>
      <c r="AH3376" s="64">
        <f t="shared" si="528"/>
        <v>0</v>
      </c>
      <c r="AI3376" s="47"/>
      <c r="AJ3376" s="126" t="e">
        <v>#N/A</v>
      </c>
      <c r="AK3376" s="80">
        <f t="shared" si="521"/>
        <v>0</v>
      </c>
      <c r="AM3376" s="85"/>
    </row>
    <row r="3377" spans="1:39" hidden="1" x14ac:dyDescent="0.3">
      <c r="A3377" s="89" t="s">
        <v>3397</v>
      </c>
      <c r="B3377" s="86" t="s">
        <v>35</v>
      </c>
      <c r="C3377" s="86" t="s">
        <v>144</v>
      </c>
      <c r="D3377" s="86" t="s">
        <v>152</v>
      </c>
      <c r="E3377" s="86" t="s">
        <v>2642</v>
      </c>
      <c r="F3377" s="86" t="s">
        <v>2642</v>
      </c>
      <c r="G3377" s="86" t="s">
        <v>2642</v>
      </c>
      <c r="H3377" s="143">
        <v>72</v>
      </c>
      <c r="I3377" s="86" t="s">
        <v>2572</v>
      </c>
      <c r="J3377" s="1" t="s">
        <v>3327</v>
      </c>
      <c r="K3377" s="1" t="s">
        <v>3284</v>
      </c>
      <c r="L3377" s="1" t="s">
        <v>35</v>
      </c>
      <c r="M3377" s="86" t="s">
        <v>2642</v>
      </c>
      <c r="N3377" s="86"/>
      <c r="O3377" s="47" t="s">
        <v>410</v>
      </c>
      <c r="P3377" s="47" t="s">
        <v>41</v>
      </c>
      <c r="Q3377" s="14">
        <v>0</v>
      </c>
      <c r="R3377" s="143">
        <v>300000911</v>
      </c>
      <c r="S3377" s="47"/>
      <c r="T3377" s="6">
        <v>1633.6</v>
      </c>
      <c r="U3377" s="6"/>
      <c r="V3377" s="6">
        <v>0</v>
      </c>
      <c r="W3377" s="6">
        <f t="shared" si="525"/>
        <v>1633.6</v>
      </c>
      <c r="X3377" s="6">
        <f t="shared" si="526"/>
        <v>0</v>
      </c>
      <c r="Y3377" s="13">
        <f t="shared" si="519"/>
        <v>0</v>
      </c>
      <c r="Z3377" s="14">
        <v>0</v>
      </c>
      <c r="AA3377" s="6">
        <v>0</v>
      </c>
      <c r="AB3377" s="4">
        <f t="shared" si="520"/>
        <v>0</v>
      </c>
      <c r="AC3377" s="4">
        <f t="shared" si="523"/>
        <v>0</v>
      </c>
      <c r="AD3377" s="6">
        <f t="shared" si="527"/>
        <v>0</v>
      </c>
      <c r="AE3377" s="2">
        <f>VLOOKUP(I3377,[1]媒体政策预估表!A:N,MATCH(O3377,[1]媒体政策预估表!$A$2:$M$2,0),0)</f>
        <v>0</v>
      </c>
      <c r="AF3377" s="6">
        <f t="shared" si="524"/>
        <v>0</v>
      </c>
      <c r="AG3377" s="14">
        <v>0</v>
      </c>
      <c r="AH3377" s="64">
        <f t="shared" si="528"/>
        <v>0</v>
      </c>
      <c r="AI3377" s="47"/>
      <c r="AJ3377" s="126" t="e">
        <v>#N/A</v>
      </c>
      <c r="AK3377" s="80">
        <f t="shared" si="521"/>
        <v>0</v>
      </c>
      <c r="AM3377" s="85"/>
    </row>
    <row r="3378" spans="1:39" hidden="1" x14ac:dyDescent="0.3">
      <c r="A3378" s="89" t="s">
        <v>3397</v>
      </c>
      <c r="B3378" s="86" t="s">
        <v>35</v>
      </c>
      <c r="C3378" s="86" t="s">
        <v>144</v>
      </c>
      <c r="D3378" s="86" t="s">
        <v>152</v>
      </c>
      <c r="E3378" s="86" t="s">
        <v>2643</v>
      </c>
      <c r="F3378" s="86" t="s">
        <v>2643</v>
      </c>
      <c r="G3378" s="86" t="s">
        <v>2643</v>
      </c>
      <c r="H3378" s="143">
        <v>72</v>
      </c>
      <c r="I3378" s="86" t="s">
        <v>2572</v>
      </c>
      <c r="J3378" s="1" t="s">
        <v>3327</v>
      </c>
      <c r="K3378" s="1" t="s">
        <v>3284</v>
      </c>
      <c r="L3378" s="1" t="s">
        <v>35</v>
      </c>
      <c r="M3378" s="86" t="s">
        <v>2644</v>
      </c>
      <c r="N3378" s="86"/>
      <c r="O3378" s="47" t="s">
        <v>410</v>
      </c>
      <c r="P3378" s="47" t="s">
        <v>41</v>
      </c>
      <c r="Q3378" s="14">
        <v>0</v>
      </c>
      <c r="R3378" s="143">
        <v>400002819</v>
      </c>
      <c r="S3378" s="47"/>
      <c r="T3378" s="6">
        <v>154.28000000000975</v>
      </c>
      <c r="U3378" s="6"/>
      <c r="V3378" s="6">
        <v>0</v>
      </c>
      <c r="W3378" s="6">
        <f t="shared" si="525"/>
        <v>154.28000000000975</v>
      </c>
      <c r="X3378" s="6">
        <f t="shared" si="526"/>
        <v>0</v>
      </c>
      <c r="Y3378" s="13">
        <f t="shared" si="519"/>
        <v>0</v>
      </c>
      <c r="Z3378" s="14">
        <v>0.01</v>
      </c>
      <c r="AA3378" s="6">
        <f>X3378/(1-Z3378)*Z3378</f>
        <v>0</v>
      </c>
      <c r="AB3378" s="4">
        <f t="shared" si="520"/>
        <v>0</v>
      </c>
      <c r="AC3378" s="4">
        <f t="shared" si="523"/>
        <v>0</v>
      </c>
      <c r="AD3378" s="6">
        <f t="shared" si="527"/>
        <v>0</v>
      </c>
      <c r="AE3378" s="2">
        <f>VLOOKUP(I3378,[1]媒体政策预估表!A:N,MATCH(O3378,[1]媒体政策预估表!$A$2:$M$2,0),0)</f>
        <v>0</v>
      </c>
      <c r="AF3378" s="6">
        <f t="shared" si="524"/>
        <v>0</v>
      </c>
      <c r="AG3378" s="14">
        <v>0</v>
      </c>
      <c r="AH3378" s="64">
        <f t="shared" si="528"/>
        <v>0</v>
      </c>
      <c r="AI3378" s="47"/>
      <c r="AJ3378" s="126" t="e">
        <v>#N/A</v>
      </c>
      <c r="AK3378" s="80">
        <f t="shared" si="521"/>
        <v>0</v>
      </c>
      <c r="AM3378" s="85"/>
    </row>
    <row r="3379" spans="1:39" hidden="1" x14ac:dyDescent="0.3">
      <c r="A3379" s="89" t="s">
        <v>3397</v>
      </c>
      <c r="B3379" s="86" t="s">
        <v>35</v>
      </c>
      <c r="C3379" s="86" t="s">
        <v>164</v>
      </c>
      <c r="D3379" s="86" t="s">
        <v>305</v>
      </c>
      <c r="E3379" s="86" t="s">
        <v>1964</v>
      </c>
      <c r="F3379" s="86" t="s">
        <v>1964</v>
      </c>
      <c r="G3379" s="86" t="s">
        <v>1964</v>
      </c>
      <c r="H3379" s="143">
        <v>72</v>
      </c>
      <c r="I3379" s="86" t="s">
        <v>2572</v>
      </c>
      <c r="J3379" s="1" t="s">
        <v>3327</v>
      </c>
      <c r="K3379" s="1" t="s">
        <v>3284</v>
      </c>
      <c r="L3379" s="1" t="s">
        <v>35</v>
      </c>
      <c r="M3379" s="86" t="s">
        <v>1964</v>
      </c>
      <c r="N3379" s="86"/>
      <c r="O3379" s="47" t="s">
        <v>410</v>
      </c>
      <c r="P3379" s="47" t="s">
        <v>41</v>
      </c>
      <c r="Q3379" s="14">
        <v>0</v>
      </c>
      <c r="R3379" s="143">
        <v>400001249</v>
      </c>
      <c r="S3379" s="47"/>
      <c r="T3379" s="6">
        <v>2639.8</v>
      </c>
      <c r="U3379" s="6"/>
      <c r="V3379" s="6">
        <v>0</v>
      </c>
      <c r="W3379" s="6">
        <f t="shared" si="525"/>
        <v>2639.8</v>
      </c>
      <c r="X3379" s="6">
        <f t="shared" si="526"/>
        <v>0</v>
      </c>
      <c r="Y3379" s="13">
        <f t="shared" si="519"/>
        <v>0</v>
      </c>
      <c r="Z3379" s="14">
        <v>0</v>
      </c>
      <c r="AA3379" s="6">
        <v>0</v>
      </c>
      <c r="AB3379" s="4">
        <f t="shared" si="520"/>
        <v>0</v>
      </c>
      <c r="AC3379" s="4">
        <f t="shared" si="523"/>
        <v>0</v>
      </c>
      <c r="AD3379" s="6">
        <f t="shared" si="527"/>
        <v>0</v>
      </c>
      <c r="AE3379" s="2">
        <f>VLOOKUP(I3379,[1]媒体政策预估表!A:N,MATCH(O3379,[1]媒体政策预估表!$A$2:$M$2,0),0)</f>
        <v>0</v>
      </c>
      <c r="AF3379" s="6">
        <f t="shared" si="524"/>
        <v>0</v>
      </c>
      <c r="AG3379" s="14">
        <v>0</v>
      </c>
      <c r="AH3379" s="64">
        <f t="shared" si="528"/>
        <v>0</v>
      </c>
      <c r="AI3379" s="47"/>
      <c r="AJ3379" s="126" t="e">
        <v>#N/A</v>
      </c>
      <c r="AK3379" s="80">
        <f t="shared" si="521"/>
        <v>0</v>
      </c>
      <c r="AM3379" s="85"/>
    </row>
    <row r="3380" spans="1:39" hidden="1" x14ac:dyDescent="0.3">
      <c r="A3380" s="89" t="s">
        <v>3409</v>
      </c>
      <c r="B3380" s="86" t="s">
        <v>35</v>
      </c>
      <c r="C3380" s="86" t="s">
        <v>164</v>
      </c>
      <c r="D3380" s="86" t="s">
        <v>305</v>
      </c>
      <c r="E3380" s="86" t="s">
        <v>2645</v>
      </c>
      <c r="F3380" s="86" t="s">
        <v>2645</v>
      </c>
      <c r="G3380" s="86" t="s">
        <v>2645</v>
      </c>
      <c r="H3380" s="143">
        <v>72</v>
      </c>
      <c r="I3380" s="86" t="s">
        <v>2572</v>
      </c>
      <c r="J3380" s="1" t="s">
        <v>3327</v>
      </c>
      <c r="K3380" s="1" t="s">
        <v>3284</v>
      </c>
      <c r="L3380" s="1" t="s">
        <v>35</v>
      </c>
      <c r="M3380" s="86" t="s">
        <v>2645</v>
      </c>
      <c r="N3380" s="86"/>
      <c r="O3380" s="47" t="s">
        <v>410</v>
      </c>
      <c r="P3380" s="47" t="s">
        <v>41</v>
      </c>
      <c r="Q3380" s="14">
        <v>0</v>
      </c>
      <c r="R3380" s="143">
        <v>400002642</v>
      </c>
      <c r="S3380" s="47"/>
      <c r="T3380" s="6">
        <v>7.0000000000000298E-2</v>
      </c>
      <c r="U3380" s="6"/>
      <c r="V3380" s="6">
        <v>0</v>
      </c>
      <c r="W3380" s="6">
        <f t="shared" si="525"/>
        <v>7.0000000000000298E-2</v>
      </c>
      <c r="X3380" s="6">
        <f t="shared" si="526"/>
        <v>0</v>
      </c>
      <c r="Y3380" s="13">
        <f t="shared" si="519"/>
        <v>0</v>
      </c>
      <c r="Z3380" s="14">
        <v>0</v>
      </c>
      <c r="AA3380" s="6">
        <v>0</v>
      </c>
      <c r="AB3380" s="4"/>
      <c r="AC3380" s="4">
        <f t="shared" si="523"/>
        <v>0</v>
      </c>
      <c r="AD3380" s="6">
        <f t="shared" si="527"/>
        <v>0</v>
      </c>
      <c r="AE3380" s="2">
        <f>VLOOKUP(I3380,[1]媒体政策预估表!A:N,MATCH(O3380,[1]媒体政策预估表!$A$2:$M$2,0),0)</f>
        <v>0</v>
      </c>
      <c r="AF3380" s="6">
        <f t="shared" si="524"/>
        <v>0</v>
      </c>
      <c r="AG3380" s="14">
        <v>0</v>
      </c>
      <c r="AH3380" s="64">
        <f t="shared" si="528"/>
        <v>0</v>
      </c>
      <c r="AI3380" s="47"/>
      <c r="AJ3380" s="126">
        <v>45</v>
      </c>
      <c r="AK3380" s="80">
        <f t="shared" si="521"/>
        <v>0</v>
      </c>
      <c r="AM3380" s="85"/>
    </row>
    <row r="3381" spans="1:39" hidden="1" x14ac:dyDescent="0.3">
      <c r="A3381" s="89" t="s">
        <v>3409</v>
      </c>
      <c r="B3381" s="86" t="s">
        <v>35</v>
      </c>
      <c r="C3381" s="86" t="s">
        <v>164</v>
      </c>
      <c r="D3381" s="86" t="s">
        <v>305</v>
      </c>
      <c r="E3381" s="86" t="s">
        <v>2646</v>
      </c>
      <c r="F3381" s="86" t="s">
        <v>2646</v>
      </c>
      <c r="G3381" s="86" t="s">
        <v>2646</v>
      </c>
      <c r="H3381" s="143">
        <v>72</v>
      </c>
      <c r="I3381" s="86" t="s">
        <v>2572</v>
      </c>
      <c r="J3381" s="1" t="s">
        <v>3327</v>
      </c>
      <c r="K3381" s="1" t="s">
        <v>3284</v>
      </c>
      <c r="L3381" s="1" t="s">
        <v>35</v>
      </c>
      <c r="M3381" s="86" t="s">
        <v>2646</v>
      </c>
      <c r="N3381" s="86"/>
      <c r="O3381" s="47" t="s">
        <v>410</v>
      </c>
      <c r="P3381" s="47" t="s">
        <v>41</v>
      </c>
      <c r="Q3381" s="14">
        <v>0</v>
      </c>
      <c r="R3381" s="143">
        <v>400002411</v>
      </c>
      <c r="S3381" s="47"/>
      <c r="T3381" s="6">
        <v>136.5</v>
      </c>
      <c r="U3381" s="6"/>
      <c r="V3381" s="6">
        <v>0</v>
      </c>
      <c r="W3381" s="6">
        <f t="shared" si="525"/>
        <v>136.5</v>
      </c>
      <c r="X3381" s="6">
        <f t="shared" si="526"/>
        <v>0</v>
      </c>
      <c r="Y3381" s="13">
        <f t="shared" si="519"/>
        <v>0</v>
      </c>
      <c r="Z3381" s="14">
        <v>0</v>
      </c>
      <c r="AA3381" s="6">
        <v>0</v>
      </c>
      <c r="AB3381" s="4">
        <f t="shared" si="520"/>
        <v>0</v>
      </c>
      <c r="AC3381" s="4">
        <f t="shared" si="523"/>
        <v>0</v>
      </c>
      <c r="AD3381" s="6">
        <f t="shared" si="527"/>
        <v>0</v>
      </c>
      <c r="AE3381" s="2">
        <f>VLOOKUP(I3381,[1]媒体政策预估表!A:N,MATCH(O3381,[1]媒体政策预估表!$A$2:$M$2,0),0)</f>
        <v>0</v>
      </c>
      <c r="AF3381" s="6">
        <f t="shared" si="524"/>
        <v>0</v>
      </c>
      <c r="AG3381" s="14">
        <v>0</v>
      </c>
      <c r="AH3381" s="64">
        <f t="shared" si="528"/>
        <v>0</v>
      </c>
      <c r="AI3381" s="47"/>
      <c r="AJ3381" s="126" t="e">
        <v>#N/A</v>
      </c>
      <c r="AK3381" s="80">
        <f t="shared" si="521"/>
        <v>0</v>
      </c>
      <c r="AM3381" s="85"/>
    </row>
    <row r="3382" spans="1:39" hidden="1" x14ac:dyDescent="0.3">
      <c r="A3382" s="89" t="s">
        <v>3397</v>
      </c>
      <c r="B3382" s="86" t="s">
        <v>35</v>
      </c>
      <c r="C3382" s="86" t="s">
        <v>164</v>
      </c>
      <c r="D3382" s="86" t="s">
        <v>2647</v>
      </c>
      <c r="E3382" s="86" t="s">
        <v>2228</v>
      </c>
      <c r="F3382" s="86" t="s">
        <v>2228</v>
      </c>
      <c r="G3382" s="86" t="s">
        <v>2228</v>
      </c>
      <c r="H3382" s="143">
        <v>72</v>
      </c>
      <c r="I3382" s="86" t="s">
        <v>2572</v>
      </c>
      <c r="J3382" s="1" t="s">
        <v>3327</v>
      </c>
      <c r="K3382" s="1" t="s">
        <v>3284</v>
      </c>
      <c r="L3382" s="1" t="s">
        <v>35</v>
      </c>
      <c r="M3382" s="86" t="s">
        <v>2228</v>
      </c>
      <c r="N3382" s="86"/>
      <c r="O3382" s="47" t="s">
        <v>410</v>
      </c>
      <c r="P3382" s="47" t="s">
        <v>41</v>
      </c>
      <c r="Q3382" s="14">
        <v>0</v>
      </c>
      <c r="R3382" s="143">
        <v>400001333</v>
      </c>
      <c r="S3382" s="47"/>
      <c r="T3382" s="6">
        <v>6500.6</v>
      </c>
      <c r="U3382" s="6"/>
      <c r="V3382" s="6">
        <v>0</v>
      </c>
      <c r="W3382" s="6">
        <f t="shared" si="525"/>
        <v>6500.6</v>
      </c>
      <c r="X3382" s="6">
        <f t="shared" si="526"/>
        <v>0</v>
      </c>
      <c r="Y3382" s="13">
        <f t="shared" si="519"/>
        <v>0</v>
      </c>
      <c r="Z3382" s="14">
        <v>0.03</v>
      </c>
      <c r="AA3382" s="6">
        <f t="shared" ref="AA3382:AA3383" si="529">X3382*Z3382</f>
        <v>0</v>
      </c>
      <c r="AB3382" s="4">
        <f t="shared" si="520"/>
        <v>0</v>
      </c>
      <c r="AC3382" s="4">
        <f t="shared" si="523"/>
        <v>0</v>
      </c>
      <c r="AD3382" s="6">
        <f t="shared" si="527"/>
        <v>0</v>
      </c>
      <c r="AE3382" s="2">
        <f>VLOOKUP(I3382,[1]媒体政策预估表!A:N,MATCH(O3382,[1]媒体政策预估表!$A$2:$M$2,0),0)</f>
        <v>0</v>
      </c>
      <c r="AF3382" s="6">
        <f t="shared" si="524"/>
        <v>0</v>
      </c>
      <c r="AG3382" s="14">
        <v>0</v>
      </c>
      <c r="AH3382" s="64">
        <f t="shared" si="528"/>
        <v>0</v>
      </c>
      <c r="AI3382" s="47"/>
      <c r="AJ3382" s="126" t="e">
        <v>#N/A</v>
      </c>
      <c r="AK3382" s="80">
        <f t="shared" si="521"/>
        <v>0</v>
      </c>
      <c r="AM3382" s="85"/>
    </row>
    <row r="3383" spans="1:39" hidden="1" x14ac:dyDescent="0.3">
      <c r="A3383" s="89" t="s">
        <v>3409</v>
      </c>
      <c r="B3383" s="86" t="s">
        <v>35</v>
      </c>
      <c r="C3383" s="86" t="s">
        <v>164</v>
      </c>
      <c r="D3383" s="86" t="s">
        <v>169</v>
      </c>
      <c r="E3383" s="86" t="s">
        <v>2648</v>
      </c>
      <c r="F3383" s="86" t="s">
        <v>2648</v>
      </c>
      <c r="G3383" s="86" t="s">
        <v>2648</v>
      </c>
      <c r="H3383" s="144">
        <v>72</v>
      </c>
      <c r="I3383" s="86" t="s">
        <v>2572</v>
      </c>
      <c r="J3383" s="1" t="s">
        <v>3327</v>
      </c>
      <c r="K3383" s="1" t="s">
        <v>3284</v>
      </c>
      <c r="L3383" s="1" t="s">
        <v>35</v>
      </c>
      <c r="M3383" s="86" t="s">
        <v>2648</v>
      </c>
      <c r="N3383" s="86"/>
      <c r="O3383" s="47" t="s">
        <v>410</v>
      </c>
      <c r="P3383" s="47" t="s">
        <v>41</v>
      </c>
      <c r="Q3383" s="14">
        <v>0</v>
      </c>
      <c r="R3383" s="143">
        <v>400002128</v>
      </c>
      <c r="S3383" s="47"/>
      <c r="T3383" s="6">
        <v>102</v>
      </c>
      <c r="U3383" s="6"/>
      <c r="V3383" s="6">
        <v>4</v>
      </c>
      <c r="W3383" s="6">
        <f t="shared" si="525"/>
        <v>98</v>
      </c>
      <c r="X3383" s="6">
        <f t="shared" si="526"/>
        <v>4</v>
      </c>
      <c r="Y3383" s="13">
        <f t="shared" si="519"/>
        <v>0</v>
      </c>
      <c r="Z3383" s="14">
        <v>0.03</v>
      </c>
      <c r="AA3383" s="6">
        <f t="shared" si="529"/>
        <v>0.12</v>
      </c>
      <c r="AB3383" s="4">
        <f t="shared" si="520"/>
        <v>4.12</v>
      </c>
      <c r="AC3383" s="4">
        <f t="shared" si="523"/>
        <v>0</v>
      </c>
      <c r="AD3383" s="6">
        <f t="shared" si="527"/>
        <v>4</v>
      </c>
      <c r="AE3383" s="2">
        <f>VLOOKUP(I3383,[1]媒体政策预估表!A:N,MATCH(O3383,[1]媒体政策预估表!$A$2:$M$2,0),0)</f>
        <v>0</v>
      </c>
      <c r="AF3383" s="6">
        <f t="shared" si="524"/>
        <v>0</v>
      </c>
      <c r="AG3383" s="14">
        <v>0</v>
      </c>
      <c r="AH3383" s="64">
        <f t="shared" si="528"/>
        <v>4</v>
      </c>
      <c r="AI3383" s="47"/>
      <c r="AJ3383" s="126" t="e">
        <v>#N/A</v>
      </c>
      <c r="AK3383" s="80">
        <f t="shared" si="521"/>
        <v>0</v>
      </c>
      <c r="AM3383" s="85"/>
    </row>
    <row r="3384" spans="1:39" hidden="1" x14ac:dyDescent="0.3">
      <c r="A3384" s="89" t="s">
        <v>3397</v>
      </c>
      <c r="B3384" s="86" t="s">
        <v>35</v>
      </c>
      <c r="C3384" s="86" t="s">
        <v>164</v>
      </c>
      <c r="D3384" s="86" t="s">
        <v>169</v>
      </c>
      <c r="E3384" s="86" t="s">
        <v>1952</v>
      </c>
      <c r="F3384" s="86" t="s">
        <v>1952</v>
      </c>
      <c r="G3384" s="86" t="s">
        <v>1952</v>
      </c>
      <c r="H3384" s="143">
        <v>72</v>
      </c>
      <c r="I3384" s="86" t="s">
        <v>2572</v>
      </c>
      <c r="J3384" s="1" t="s">
        <v>3327</v>
      </c>
      <c r="K3384" s="1" t="s">
        <v>3284</v>
      </c>
      <c r="L3384" s="1" t="s">
        <v>35</v>
      </c>
      <c r="M3384" s="86" t="s">
        <v>1952</v>
      </c>
      <c r="N3384" s="86"/>
      <c r="O3384" s="47" t="s">
        <v>410</v>
      </c>
      <c r="P3384" s="47" t="s">
        <v>41</v>
      </c>
      <c r="Q3384" s="14">
        <v>0</v>
      </c>
      <c r="R3384" s="143">
        <v>100000026</v>
      </c>
      <c r="S3384" s="47"/>
      <c r="T3384" s="6">
        <v>-4</v>
      </c>
      <c r="U3384" s="6"/>
      <c r="V3384" s="6">
        <v>0</v>
      </c>
      <c r="W3384" s="6">
        <f t="shared" si="525"/>
        <v>-4</v>
      </c>
      <c r="X3384" s="6">
        <f t="shared" si="526"/>
        <v>0</v>
      </c>
      <c r="Y3384" s="13">
        <f t="shared" si="519"/>
        <v>0</v>
      </c>
      <c r="Z3384" s="14">
        <v>0</v>
      </c>
      <c r="AA3384" s="6">
        <v>0</v>
      </c>
      <c r="AB3384" s="4">
        <f t="shared" si="520"/>
        <v>0</v>
      </c>
      <c r="AC3384" s="4">
        <f t="shared" si="523"/>
        <v>0</v>
      </c>
      <c r="AD3384" s="6">
        <f t="shared" si="527"/>
        <v>0</v>
      </c>
      <c r="AE3384" s="2">
        <f>VLOOKUP(I3384,[1]媒体政策预估表!A:N,MATCH(O3384,[1]媒体政策预估表!$A$2:$M$2,0),0)</f>
        <v>0</v>
      </c>
      <c r="AF3384" s="6">
        <f t="shared" si="524"/>
        <v>0</v>
      </c>
      <c r="AG3384" s="14">
        <v>0</v>
      </c>
      <c r="AH3384" s="64">
        <f t="shared" si="528"/>
        <v>0</v>
      </c>
      <c r="AI3384" s="47"/>
      <c r="AJ3384" s="126" t="e">
        <v>#N/A</v>
      </c>
      <c r="AK3384" s="80">
        <f t="shared" si="521"/>
        <v>0</v>
      </c>
      <c r="AM3384" s="85"/>
    </row>
    <row r="3385" spans="1:39" hidden="1" x14ac:dyDescent="0.3">
      <c r="A3385" s="89" t="s">
        <v>3397</v>
      </c>
      <c r="B3385" s="86" t="s">
        <v>35</v>
      </c>
      <c r="C3385" s="86" t="s">
        <v>164</v>
      </c>
      <c r="D3385" s="86" t="s">
        <v>169</v>
      </c>
      <c r="E3385" s="86" t="s">
        <v>2649</v>
      </c>
      <c r="F3385" s="86" t="s">
        <v>2649</v>
      </c>
      <c r="G3385" s="86" t="s">
        <v>2649</v>
      </c>
      <c r="H3385" s="143">
        <v>72</v>
      </c>
      <c r="I3385" s="86" t="s">
        <v>2572</v>
      </c>
      <c r="J3385" s="1" t="s">
        <v>3327</v>
      </c>
      <c r="K3385" s="1" t="s">
        <v>3284</v>
      </c>
      <c r="L3385" s="1" t="s">
        <v>35</v>
      </c>
      <c r="M3385" s="86" t="s">
        <v>2650</v>
      </c>
      <c r="N3385" s="86"/>
      <c r="O3385" s="47" t="s">
        <v>410</v>
      </c>
      <c r="P3385" s="47" t="s">
        <v>41</v>
      </c>
      <c r="Q3385" s="14">
        <v>0</v>
      </c>
      <c r="R3385" s="143">
        <v>300000648</v>
      </c>
      <c r="S3385" s="47"/>
      <c r="T3385" s="6">
        <v>-23.1999999999998</v>
      </c>
      <c r="U3385" s="6"/>
      <c r="V3385" s="6">
        <v>0</v>
      </c>
      <c r="W3385" s="6">
        <f t="shared" si="525"/>
        <v>-23.1999999999998</v>
      </c>
      <c r="X3385" s="6">
        <f t="shared" si="526"/>
        <v>0</v>
      </c>
      <c r="Y3385" s="13">
        <f t="shared" si="519"/>
        <v>0</v>
      </c>
      <c r="Z3385" s="14">
        <v>0</v>
      </c>
      <c r="AA3385" s="6">
        <v>0</v>
      </c>
      <c r="AB3385" s="4">
        <f t="shared" si="520"/>
        <v>0</v>
      </c>
      <c r="AC3385" s="4">
        <f t="shared" si="523"/>
        <v>0</v>
      </c>
      <c r="AD3385" s="6">
        <f t="shared" si="527"/>
        <v>0</v>
      </c>
      <c r="AE3385" s="2">
        <f>VLOOKUP(I3385,[1]媒体政策预估表!A:N,MATCH(O3385,[1]媒体政策预估表!$A$2:$M$2,0),0)</f>
        <v>0</v>
      </c>
      <c r="AF3385" s="6">
        <f t="shared" si="524"/>
        <v>0</v>
      </c>
      <c r="AG3385" s="14">
        <v>0</v>
      </c>
      <c r="AH3385" s="64">
        <f t="shared" si="528"/>
        <v>0</v>
      </c>
      <c r="AI3385" s="47"/>
      <c r="AJ3385" s="126" t="e">
        <v>#N/A</v>
      </c>
      <c r="AK3385" s="80">
        <f t="shared" si="521"/>
        <v>0</v>
      </c>
      <c r="AM3385" s="85"/>
    </row>
    <row r="3386" spans="1:39" hidden="1" x14ac:dyDescent="0.3">
      <c r="A3386" s="89" t="s">
        <v>3397</v>
      </c>
      <c r="B3386" s="86" t="s">
        <v>35</v>
      </c>
      <c r="C3386" s="86" t="s">
        <v>164</v>
      </c>
      <c r="D3386" s="86" t="s">
        <v>174</v>
      </c>
      <c r="E3386" s="86" t="s">
        <v>2651</v>
      </c>
      <c r="F3386" s="86" t="s">
        <v>2652</v>
      </c>
      <c r="G3386" s="86" t="s">
        <v>2652</v>
      </c>
      <c r="H3386" s="143">
        <v>72</v>
      </c>
      <c r="I3386" s="86" t="s">
        <v>2572</v>
      </c>
      <c r="J3386" s="1" t="s">
        <v>3327</v>
      </c>
      <c r="K3386" s="1" t="s">
        <v>3284</v>
      </c>
      <c r="L3386" s="1" t="s">
        <v>35</v>
      </c>
      <c r="M3386" s="86" t="s">
        <v>2652</v>
      </c>
      <c r="N3386" s="86"/>
      <c r="O3386" s="47" t="s">
        <v>410</v>
      </c>
      <c r="P3386" s="47" t="s">
        <v>41</v>
      </c>
      <c r="Q3386" s="14">
        <v>0</v>
      </c>
      <c r="R3386" s="143">
        <v>600001215</v>
      </c>
      <c r="S3386" s="47"/>
      <c r="T3386" s="6">
        <v>5.4</v>
      </c>
      <c r="U3386" s="6"/>
      <c r="V3386" s="6">
        <v>0</v>
      </c>
      <c r="W3386" s="6">
        <f t="shared" si="525"/>
        <v>5.4</v>
      </c>
      <c r="X3386" s="6">
        <f t="shared" si="526"/>
        <v>0</v>
      </c>
      <c r="Y3386" s="13">
        <f t="shared" si="519"/>
        <v>0</v>
      </c>
      <c r="Z3386" s="14">
        <v>0</v>
      </c>
      <c r="AA3386" s="6">
        <v>0</v>
      </c>
      <c r="AB3386" s="4">
        <f t="shared" si="520"/>
        <v>0</v>
      </c>
      <c r="AC3386" s="4">
        <f t="shared" si="523"/>
        <v>0</v>
      </c>
      <c r="AD3386" s="6">
        <f t="shared" si="527"/>
        <v>0</v>
      </c>
      <c r="AE3386" s="2">
        <f>VLOOKUP(I3386,[1]媒体政策预估表!A:N,MATCH(O3386,[1]媒体政策预估表!$A$2:$M$2,0),0)</f>
        <v>0</v>
      </c>
      <c r="AF3386" s="6">
        <f t="shared" si="524"/>
        <v>0</v>
      </c>
      <c r="AG3386" s="14">
        <v>0</v>
      </c>
      <c r="AH3386" s="64">
        <f t="shared" si="528"/>
        <v>0</v>
      </c>
      <c r="AI3386" s="47"/>
      <c r="AJ3386" s="126" t="e">
        <v>#N/A</v>
      </c>
      <c r="AK3386" s="80">
        <f t="shared" si="521"/>
        <v>0</v>
      </c>
      <c r="AM3386" s="85"/>
    </row>
    <row r="3387" spans="1:39" hidden="1" x14ac:dyDescent="0.3">
      <c r="A3387" s="89" t="s">
        <v>3397</v>
      </c>
      <c r="B3387" s="86" t="s">
        <v>35</v>
      </c>
      <c r="C3387" s="86" t="s">
        <v>164</v>
      </c>
      <c r="D3387" s="86" t="s">
        <v>174</v>
      </c>
      <c r="E3387" s="86" t="s">
        <v>2360</v>
      </c>
      <c r="F3387" s="86" t="s">
        <v>2360</v>
      </c>
      <c r="G3387" s="86" t="s">
        <v>2360</v>
      </c>
      <c r="H3387" s="143">
        <v>72</v>
      </c>
      <c r="I3387" s="86" t="s">
        <v>2572</v>
      </c>
      <c r="J3387" s="1" t="s">
        <v>3327</v>
      </c>
      <c r="K3387" s="1" t="s">
        <v>3284</v>
      </c>
      <c r="L3387" s="1" t="s">
        <v>35</v>
      </c>
      <c r="M3387" s="86" t="s">
        <v>2653</v>
      </c>
      <c r="N3387" s="86"/>
      <c r="O3387" s="47" t="s">
        <v>410</v>
      </c>
      <c r="P3387" s="47" t="s">
        <v>41</v>
      </c>
      <c r="Q3387" s="14">
        <v>0</v>
      </c>
      <c r="R3387" s="143">
        <v>600001346</v>
      </c>
      <c r="S3387" s="47"/>
      <c r="T3387" s="6">
        <v>7992.7</v>
      </c>
      <c r="U3387" s="6"/>
      <c r="V3387" s="6">
        <v>0</v>
      </c>
      <c r="W3387" s="6">
        <f t="shared" si="525"/>
        <v>7992.7</v>
      </c>
      <c r="X3387" s="6">
        <f t="shared" si="526"/>
        <v>0</v>
      </c>
      <c r="Y3387" s="13">
        <f t="shared" si="519"/>
        <v>0</v>
      </c>
      <c r="Z3387" s="14">
        <v>0</v>
      </c>
      <c r="AA3387" s="6">
        <v>0</v>
      </c>
      <c r="AB3387" s="4">
        <f t="shared" si="520"/>
        <v>0</v>
      </c>
      <c r="AC3387" s="4">
        <f t="shared" si="523"/>
        <v>0</v>
      </c>
      <c r="AD3387" s="6">
        <f t="shared" si="527"/>
        <v>0</v>
      </c>
      <c r="AE3387" s="2">
        <f>VLOOKUP(I3387,[1]媒体政策预估表!A:N,MATCH(O3387,[1]媒体政策预估表!$A$2:$M$2,0),0)</f>
        <v>0</v>
      </c>
      <c r="AF3387" s="6">
        <f t="shared" si="524"/>
        <v>0</v>
      </c>
      <c r="AG3387" s="14">
        <v>0</v>
      </c>
      <c r="AH3387" s="64">
        <f t="shared" si="528"/>
        <v>0</v>
      </c>
      <c r="AI3387" s="47"/>
      <c r="AJ3387" s="126" t="e">
        <v>#N/A</v>
      </c>
      <c r="AK3387" s="80">
        <f t="shared" si="521"/>
        <v>0</v>
      </c>
      <c r="AM3387" s="85"/>
    </row>
    <row r="3388" spans="1:39" hidden="1" x14ac:dyDescent="0.3">
      <c r="A3388" s="89" t="s">
        <v>3397</v>
      </c>
      <c r="B3388" s="86" t="s">
        <v>35</v>
      </c>
      <c r="C3388" s="86" t="s">
        <v>164</v>
      </c>
      <c r="D3388" s="86" t="s">
        <v>174</v>
      </c>
      <c r="E3388" s="86" t="s">
        <v>2654</v>
      </c>
      <c r="F3388" s="86" t="s">
        <v>2654</v>
      </c>
      <c r="G3388" s="86" t="s">
        <v>2654</v>
      </c>
      <c r="H3388" s="143">
        <v>72</v>
      </c>
      <c r="I3388" s="86" t="s">
        <v>2572</v>
      </c>
      <c r="J3388" s="1" t="s">
        <v>3327</v>
      </c>
      <c r="K3388" s="1" t="s">
        <v>3284</v>
      </c>
      <c r="L3388" s="1" t="s">
        <v>35</v>
      </c>
      <c r="M3388" s="86" t="s">
        <v>2655</v>
      </c>
      <c r="N3388" s="86"/>
      <c r="O3388" s="47" t="s">
        <v>410</v>
      </c>
      <c r="P3388" s="47" t="s">
        <v>41</v>
      </c>
      <c r="Q3388" s="14">
        <v>0</v>
      </c>
      <c r="R3388" s="143">
        <v>400001039</v>
      </c>
      <c r="S3388" s="47"/>
      <c r="T3388" s="6">
        <v>-5</v>
      </c>
      <c r="U3388" s="6"/>
      <c r="V3388" s="6">
        <v>0</v>
      </c>
      <c r="W3388" s="6">
        <f t="shared" si="525"/>
        <v>-5</v>
      </c>
      <c r="X3388" s="6">
        <f t="shared" si="526"/>
        <v>0</v>
      </c>
      <c r="Y3388" s="13">
        <f t="shared" si="519"/>
        <v>0</v>
      </c>
      <c r="Z3388" s="14">
        <v>0</v>
      </c>
      <c r="AA3388" s="6">
        <v>0</v>
      </c>
      <c r="AB3388" s="4">
        <f t="shared" si="520"/>
        <v>0</v>
      </c>
      <c r="AC3388" s="4">
        <f t="shared" si="523"/>
        <v>0</v>
      </c>
      <c r="AD3388" s="6">
        <f t="shared" si="527"/>
        <v>0</v>
      </c>
      <c r="AE3388" s="2">
        <f>VLOOKUP(I3388,[1]媒体政策预估表!A:N,MATCH(O3388,[1]媒体政策预估表!$A$2:$M$2,0),0)</f>
        <v>0</v>
      </c>
      <c r="AF3388" s="6">
        <f t="shared" si="524"/>
        <v>0</v>
      </c>
      <c r="AG3388" s="14">
        <v>0</v>
      </c>
      <c r="AH3388" s="64">
        <f t="shared" si="528"/>
        <v>0</v>
      </c>
      <c r="AI3388" s="47"/>
      <c r="AJ3388" s="126" t="e">
        <v>#N/A</v>
      </c>
      <c r="AK3388" s="80">
        <f t="shared" si="521"/>
        <v>0</v>
      </c>
      <c r="AM3388" s="85"/>
    </row>
    <row r="3389" spans="1:39" hidden="1" x14ac:dyDescent="0.3">
      <c r="A3389" s="89" t="s">
        <v>3409</v>
      </c>
      <c r="B3389" s="86" t="s">
        <v>35</v>
      </c>
      <c r="C3389" s="86" t="s">
        <v>164</v>
      </c>
      <c r="D3389" s="86" t="s">
        <v>181</v>
      </c>
      <c r="E3389" s="86" t="s">
        <v>2656</v>
      </c>
      <c r="F3389" s="86" t="s">
        <v>2656</v>
      </c>
      <c r="G3389" s="86" t="s">
        <v>2656</v>
      </c>
      <c r="H3389" s="143">
        <v>72</v>
      </c>
      <c r="I3389" s="86" t="s">
        <v>2572</v>
      </c>
      <c r="J3389" s="1" t="s">
        <v>3327</v>
      </c>
      <c r="K3389" s="1" t="s">
        <v>3284</v>
      </c>
      <c r="L3389" s="1" t="s">
        <v>35</v>
      </c>
      <c r="M3389" s="86" t="s">
        <v>2656</v>
      </c>
      <c r="N3389" s="86"/>
      <c r="O3389" s="47" t="s">
        <v>410</v>
      </c>
      <c r="P3389" s="47" t="s">
        <v>41</v>
      </c>
      <c r="Q3389" s="14">
        <v>0</v>
      </c>
      <c r="R3389" s="143">
        <v>300000775</v>
      </c>
      <c r="S3389" s="47"/>
      <c r="T3389" s="6">
        <v>676.6</v>
      </c>
      <c r="U3389" s="6"/>
      <c r="V3389" s="6">
        <v>0</v>
      </c>
      <c r="W3389" s="6">
        <f t="shared" si="525"/>
        <v>676.6</v>
      </c>
      <c r="X3389" s="6">
        <f t="shared" si="526"/>
        <v>0</v>
      </c>
      <c r="Y3389" s="13">
        <f t="shared" si="519"/>
        <v>0</v>
      </c>
      <c r="Z3389" s="14">
        <v>0</v>
      </c>
      <c r="AA3389" s="6">
        <v>0</v>
      </c>
      <c r="AB3389" s="4">
        <f t="shared" si="520"/>
        <v>0</v>
      </c>
      <c r="AC3389" s="4">
        <f t="shared" si="523"/>
        <v>0</v>
      </c>
      <c r="AD3389" s="6">
        <f t="shared" si="527"/>
        <v>0</v>
      </c>
      <c r="AE3389" s="2">
        <f>VLOOKUP(I3389,[1]媒体政策预估表!A:N,MATCH(O3389,[1]媒体政策预估表!$A$2:$M$2,0),0)</f>
        <v>0</v>
      </c>
      <c r="AF3389" s="6">
        <f t="shared" si="524"/>
        <v>0</v>
      </c>
      <c r="AG3389" s="14">
        <v>0</v>
      </c>
      <c r="AH3389" s="64">
        <f t="shared" si="528"/>
        <v>0</v>
      </c>
      <c r="AI3389" s="47"/>
      <c r="AJ3389" s="126" t="e">
        <v>#N/A</v>
      </c>
      <c r="AK3389" s="80">
        <f t="shared" si="521"/>
        <v>0</v>
      </c>
      <c r="AM3389" s="85"/>
    </row>
    <row r="3390" spans="1:39" hidden="1" x14ac:dyDescent="0.3">
      <c r="A3390" s="89" t="s">
        <v>3397</v>
      </c>
      <c r="B3390" s="86" t="s">
        <v>35</v>
      </c>
      <c r="C3390" s="86" t="s">
        <v>36</v>
      </c>
      <c r="D3390" s="86" t="s">
        <v>961</v>
      </c>
      <c r="E3390" s="86" t="s">
        <v>2657</v>
      </c>
      <c r="F3390" s="86" t="s">
        <v>2658</v>
      </c>
      <c r="G3390" s="86" t="s">
        <v>2658</v>
      </c>
      <c r="H3390" s="143">
        <v>72</v>
      </c>
      <c r="I3390" s="86" t="s">
        <v>2572</v>
      </c>
      <c r="J3390" s="1" t="s">
        <v>3327</v>
      </c>
      <c r="K3390" s="1" t="s">
        <v>3284</v>
      </c>
      <c r="L3390" s="1" t="s">
        <v>35</v>
      </c>
      <c r="M3390" s="86" t="s">
        <v>2658</v>
      </c>
      <c r="N3390" s="86"/>
      <c r="O3390" s="47" t="s">
        <v>410</v>
      </c>
      <c r="P3390" s="47" t="s">
        <v>41</v>
      </c>
      <c r="Q3390" s="14">
        <v>0</v>
      </c>
      <c r="R3390" s="143">
        <v>600001437</v>
      </c>
      <c r="S3390" s="47"/>
      <c r="T3390" s="6">
        <v>46.04</v>
      </c>
      <c r="U3390" s="6"/>
      <c r="V3390" s="6">
        <v>0</v>
      </c>
      <c r="W3390" s="6">
        <f t="shared" si="525"/>
        <v>46.04</v>
      </c>
      <c r="X3390" s="6">
        <f t="shared" si="526"/>
        <v>0</v>
      </c>
      <c r="Y3390" s="13">
        <f t="shared" si="519"/>
        <v>0</v>
      </c>
      <c r="Z3390" s="14">
        <v>0</v>
      </c>
      <c r="AA3390" s="6">
        <v>0</v>
      </c>
      <c r="AB3390" s="4">
        <f t="shared" si="520"/>
        <v>0</v>
      </c>
      <c r="AC3390" s="4">
        <f t="shared" si="523"/>
        <v>0</v>
      </c>
      <c r="AD3390" s="6">
        <f t="shared" si="527"/>
        <v>0</v>
      </c>
      <c r="AE3390" s="2">
        <f>VLOOKUP(I3390,[1]媒体政策预估表!A:N,MATCH(O3390,[1]媒体政策预估表!$A$2:$M$2,0),0)</f>
        <v>0</v>
      </c>
      <c r="AF3390" s="6">
        <f t="shared" si="524"/>
        <v>0</v>
      </c>
      <c r="AG3390" s="14">
        <v>0</v>
      </c>
      <c r="AH3390" s="64">
        <f t="shared" si="528"/>
        <v>0</v>
      </c>
      <c r="AI3390" s="47"/>
      <c r="AJ3390" s="126" t="e">
        <v>#N/A</v>
      </c>
      <c r="AK3390" s="80">
        <f t="shared" si="521"/>
        <v>0</v>
      </c>
      <c r="AM3390" s="85"/>
    </row>
    <row r="3391" spans="1:39" hidden="1" x14ac:dyDescent="0.3">
      <c r="A3391" s="89" t="s">
        <v>3397</v>
      </c>
      <c r="B3391" s="86" t="s">
        <v>35</v>
      </c>
      <c r="C3391" s="86" t="s">
        <v>36</v>
      </c>
      <c r="D3391" s="86" t="s">
        <v>961</v>
      </c>
      <c r="E3391" s="86" t="s">
        <v>962</v>
      </c>
      <c r="F3391" s="86" t="s">
        <v>962</v>
      </c>
      <c r="G3391" s="86" t="s">
        <v>962</v>
      </c>
      <c r="H3391" s="143">
        <v>72</v>
      </c>
      <c r="I3391" s="86" t="s">
        <v>2572</v>
      </c>
      <c r="J3391" s="1" t="s">
        <v>3327</v>
      </c>
      <c r="K3391" s="1" t="s">
        <v>3284</v>
      </c>
      <c r="L3391" s="1" t="s">
        <v>35</v>
      </c>
      <c r="M3391" s="86" t="s">
        <v>962</v>
      </c>
      <c r="N3391" s="86"/>
      <c r="O3391" s="47" t="s">
        <v>410</v>
      </c>
      <c r="P3391" s="47" t="s">
        <v>41</v>
      </c>
      <c r="Q3391" s="14">
        <v>0</v>
      </c>
      <c r="R3391" s="143">
        <v>400001353</v>
      </c>
      <c r="S3391" s="47"/>
      <c r="T3391" s="6">
        <v>15624.1</v>
      </c>
      <c r="U3391" s="6"/>
      <c r="V3391" s="6">
        <v>0</v>
      </c>
      <c r="W3391" s="6">
        <f t="shared" si="525"/>
        <v>15624.1</v>
      </c>
      <c r="X3391" s="6">
        <f t="shared" si="526"/>
        <v>0</v>
      </c>
      <c r="Y3391" s="13">
        <f t="shared" si="519"/>
        <v>0</v>
      </c>
      <c r="Z3391" s="14">
        <v>0</v>
      </c>
      <c r="AA3391" s="6">
        <v>0</v>
      </c>
      <c r="AB3391" s="4">
        <f t="shared" si="520"/>
        <v>0</v>
      </c>
      <c r="AC3391" s="4">
        <f t="shared" si="523"/>
        <v>0</v>
      </c>
      <c r="AD3391" s="6">
        <f t="shared" si="527"/>
        <v>0</v>
      </c>
      <c r="AE3391" s="2">
        <f>VLOOKUP(I3391,[1]媒体政策预估表!A:N,MATCH(O3391,[1]媒体政策预估表!$A$2:$M$2,0),0)</f>
        <v>0</v>
      </c>
      <c r="AF3391" s="6">
        <f t="shared" si="524"/>
        <v>0</v>
      </c>
      <c r="AG3391" s="14">
        <v>0</v>
      </c>
      <c r="AH3391" s="64">
        <f t="shared" si="528"/>
        <v>0</v>
      </c>
      <c r="AI3391" s="47"/>
      <c r="AJ3391" s="126" t="e">
        <v>#N/A</v>
      </c>
      <c r="AK3391" s="80">
        <f t="shared" si="521"/>
        <v>0</v>
      </c>
      <c r="AM3391" s="85"/>
    </row>
    <row r="3392" spans="1:39" hidden="1" x14ac:dyDescent="0.3">
      <c r="A3392" s="89" t="s">
        <v>3397</v>
      </c>
      <c r="B3392" s="86" t="s">
        <v>35</v>
      </c>
      <c r="C3392" s="86" t="s">
        <v>36</v>
      </c>
      <c r="D3392" s="86" t="s">
        <v>961</v>
      </c>
      <c r="E3392" s="86" t="s">
        <v>2283</v>
      </c>
      <c r="F3392" s="86" t="s">
        <v>2283</v>
      </c>
      <c r="G3392" s="86" t="s">
        <v>2283</v>
      </c>
      <c r="H3392" s="143">
        <v>72</v>
      </c>
      <c r="I3392" s="86" t="s">
        <v>2572</v>
      </c>
      <c r="J3392" s="1" t="s">
        <v>3327</v>
      </c>
      <c r="K3392" s="1" t="s">
        <v>3284</v>
      </c>
      <c r="L3392" s="1" t="s">
        <v>35</v>
      </c>
      <c r="M3392" s="86" t="s">
        <v>2283</v>
      </c>
      <c r="N3392" s="86"/>
      <c r="O3392" s="47" t="s">
        <v>410</v>
      </c>
      <c r="P3392" s="47" t="s">
        <v>41</v>
      </c>
      <c r="Q3392" s="14">
        <v>0</v>
      </c>
      <c r="R3392" s="143">
        <v>400001320</v>
      </c>
      <c r="S3392" s="47"/>
      <c r="T3392" s="6">
        <v>105.94999999999982</v>
      </c>
      <c r="U3392" s="6"/>
      <c r="V3392" s="6">
        <v>0</v>
      </c>
      <c r="W3392" s="6">
        <f t="shared" si="525"/>
        <v>105.94999999999982</v>
      </c>
      <c r="X3392" s="6">
        <f t="shared" si="526"/>
        <v>0</v>
      </c>
      <c r="Y3392" s="13">
        <f t="shared" si="519"/>
        <v>0</v>
      </c>
      <c r="Z3392" s="14">
        <v>0</v>
      </c>
      <c r="AA3392" s="6">
        <v>0</v>
      </c>
      <c r="AB3392" s="4">
        <f t="shared" si="520"/>
        <v>0</v>
      </c>
      <c r="AC3392" s="4">
        <f t="shared" si="523"/>
        <v>0</v>
      </c>
      <c r="AD3392" s="6">
        <f t="shared" si="527"/>
        <v>0</v>
      </c>
      <c r="AE3392" s="2">
        <f>VLOOKUP(I3392,[1]媒体政策预估表!A:N,MATCH(O3392,[1]媒体政策预估表!$A$2:$M$2,0),0)</f>
        <v>0</v>
      </c>
      <c r="AF3392" s="6">
        <f t="shared" si="524"/>
        <v>0</v>
      </c>
      <c r="AG3392" s="14">
        <v>0</v>
      </c>
      <c r="AH3392" s="64">
        <f t="shared" si="528"/>
        <v>0</v>
      </c>
      <c r="AI3392" s="47"/>
      <c r="AJ3392" s="126" t="e">
        <v>#N/A</v>
      </c>
      <c r="AK3392" s="80">
        <f t="shared" si="521"/>
        <v>0</v>
      </c>
      <c r="AM3392" s="85"/>
    </row>
    <row r="3393" spans="1:39" hidden="1" x14ac:dyDescent="0.3">
      <c r="A3393" s="89" t="s">
        <v>3397</v>
      </c>
      <c r="B3393" s="86" t="s">
        <v>35</v>
      </c>
      <c r="C3393" s="86" t="s">
        <v>36</v>
      </c>
      <c r="D3393" s="86" t="s">
        <v>224</v>
      </c>
      <c r="E3393" s="86" t="s">
        <v>2659</v>
      </c>
      <c r="F3393" s="86" t="s">
        <v>2659</v>
      </c>
      <c r="G3393" s="86" t="s">
        <v>2659</v>
      </c>
      <c r="H3393" s="143">
        <v>72</v>
      </c>
      <c r="I3393" s="86" t="s">
        <v>2572</v>
      </c>
      <c r="J3393" s="1" t="s">
        <v>3327</v>
      </c>
      <c r="K3393" s="1" t="s">
        <v>3284</v>
      </c>
      <c r="L3393" s="1" t="s">
        <v>35</v>
      </c>
      <c r="M3393" s="86" t="s">
        <v>2660</v>
      </c>
      <c r="N3393" s="86"/>
      <c r="O3393" s="47" t="s">
        <v>410</v>
      </c>
      <c r="P3393" s="47" t="s">
        <v>41</v>
      </c>
      <c r="Q3393" s="14">
        <v>0</v>
      </c>
      <c r="R3393" s="143">
        <v>400001250</v>
      </c>
      <c r="S3393" s="47"/>
      <c r="T3393" s="6">
        <v>691.69999999999982</v>
      </c>
      <c r="U3393" s="6"/>
      <c r="V3393" s="6">
        <v>0</v>
      </c>
      <c r="W3393" s="6">
        <f t="shared" si="525"/>
        <v>691.69999999999982</v>
      </c>
      <c r="X3393" s="6">
        <f t="shared" si="526"/>
        <v>0</v>
      </c>
      <c r="Y3393" s="13">
        <f t="shared" si="519"/>
        <v>0</v>
      </c>
      <c r="Z3393" s="14">
        <v>0.05</v>
      </c>
      <c r="AA3393" s="6">
        <f t="shared" ref="AA3393:AA3395" si="530">X3393*Z3393</f>
        <v>0</v>
      </c>
      <c r="AB3393" s="4">
        <f t="shared" si="520"/>
        <v>0</v>
      </c>
      <c r="AC3393" s="4">
        <f t="shared" si="523"/>
        <v>0</v>
      </c>
      <c r="AD3393" s="6">
        <f t="shared" si="527"/>
        <v>0</v>
      </c>
      <c r="AE3393" s="2">
        <f>VLOOKUP(I3393,[1]媒体政策预估表!A:N,MATCH(O3393,[1]媒体政策预估表!$A$2:$M$2,0),0)</f>
        <v>0</v>
      </c>
      <c r="AF3393" s="6">
        <f t="shared" si="524"/>
        <v>0</v>
      </c>
      <c r="AG3393" s="14">
        <v>0</v>
      </c>
      <c r="AH3393" s="64">
        <f t="shared" si="528"/>
        <v>0</v>
      </c>
      <c r="AI3393" s="47"/>
      <c r="AJ3393" s="126" t="e">
        <v>#N/A</v>
      </c>
      <c r="AK3393" s="80">
        <f t="shared" si="521"/>
        <v>0</v>
      </c>
      <c r="AM3393" s="85"/>
    </row>
    <row r="3394" spans="1:39" hidden="1" x14ac:dyDescent="0.3">
      <c r="A3394" s="89" t="s">
        <v>3397</v>
      </c>
      <c r="B3394" s="86" t="s">
        <v>35</v>
      </c>
      <c r="C3394" s="86" t="s">
        <v>36</v>
      </c>
      <c r="D3394" s="86" t="s">
        <v>224</v>
      </c>
      <c r="E3394" s="86" t="s">
        <v>2661</v>
      </c>
      <c r="F3394" s="86" t="s">
        <v>2662</v>
      </c>
      <c r="G3394" s="86" t="s">
        <v>2661</v>
      </c>
      <c r="H3394" s="143">
        <v>72</v>
      </c>
      <c r="I3394" s="86" t="s">
        <v>2572</v>
      </c>
      <c r="J3394" s="1" t="s">
        <v>3327</v>
      </c>
      <c r="K3394" s="1" t="s">
        <v>3284</v>
      </c>
      <c r="L3394" s="1" t="s">
        <v>35</v>
      </c>
      <c r="M3394" s="86" t="s">
        <v>2663</v>
      </c>
      <c r="N3394" s="86"/>
      <c r="O3394" s="47" t="s">
        <v>410</v>
      </c>
      <c r="P3394" s="47" t="s">
        <v>41</v>
      </c>
      <c r="Q3394" s="14">
        <v>0</v>
      </c>
      <c r="R3394" s="143">
        <v>400001948</v>
      </c>
      <c r="S3394" s="47"/>
      <c r="T3394" s="6">
        <v>20000</v>
      </c>
      <c r="U3394" s="6"/>
      <c r="V3394" s="6">
        <v>0</v>
      </c>
      <c r="W3394" s="6">
        <f t="shared" si="525"/>
        <v>20000</v>
      </c>
      <c r="X3394" s="6">
        <f t="shared" si="526"/>
        <v>0</v>
      </c>
      <c r="Y3394" s="13">
        <f t="shared" si="519"/>
        <v>0</v>
      </c>
      <c r="Z3394" s="14">
        <v>0.03</v>
      </c>
      <c r="AA3394" s="6">
        <f t="shared" si="530"/>
        <v>0</v>
      </c>
      <c r="AB3394" s="4">
        <f t="shared" si="520"/>
        <v>0</v>
      </c>
      <c r="AC3394" s="4">
        <f t="shared" si="523"/>
        <v>0</v>
      </c>
      <c r="AD3394" s="6">
        <f t="shared" si="527"/>
        <v>0</v>
      </c>
      <c r="AE3394" s="2">
        <f>VLOOKUP(I3394,[1]媒体政策预估表!A:N,MATCH(O3394,[1]媒体政策预估表!$A$2:$M$2,0),0)</f>
        <v>0</v>
      </c>
      <c r="AF3394" s="6">
        <f t="shared" si="524"/>
        <v>0</v>
      </c>
      <c r="AG3394" s="14">
        <v>0</v>
      </c>
      <c r="AH3394" s="64">
        <f t="shared" si="528"/>
        <v>0</v>
      </c>
      <c r="AI3394" s="47"/>
      <c r="AJ3394" s="126" t="e">
        <v>#N/A</v>
      </c>
      <c r="AK3394" s="80">
        <f t="shared" si="521"/>
        <v>0</v>
      </c>
      <c r="AM3394" s="85"/>
    </row>
    <row r="3395" spans="1:39" hidden="1" x14ac:dyDescent="0.3">
      <c r="A3395" s="89" t="s">
        <v>3409</v>
      </c>
      <c r="B3395" s="86" t="s">
        <v>35</v>
      </c>
      <c r="C3395" s="86" t="s">
        <v>36</v>
      </c>
      <c r="D3395" s="86" t="s">
        <v>224</v>
      </c>
      <c r="E3395" s="86" t="s">
        <v>2664</v>
      </c>
      <c r="F3395" s="86" t="s">
        <v>2664</v>
      </c>
      <c r="G3395" s="86" t="s">
        <v>2664</v>
      </c>
      <c r="H3395" s="143">
        <v>72</v>
      </c>
      <c r="I3395" s="86" t="s">
        <v>2572</v>
      </c>
      <c r="J3395" s="1" t="s">
        <v>3327</v>
      </c>
      <c r="K3395" s="1" t="s">
        <v>3284</v>
      </c>
      <c r="L3395" s="1" t="s">
        <v>35</v>
      </c>
      <c r="M3395" s="86" t="s">
        <v>2664</v>
      </c>
      <c r="N3395" s="86"/>
      <c r="O3395" s="47" t="s">
        <v>410</v>
      </c>
      <c r="P3395" s="47" t="s">
        <v>41</v>
      </c>
      <c r="Q3395" s="14">
        <v>0</v>
      </c>
      <c r="R3395" s="143">
        <v>400002177</v>
      </c>
      <c r="S3395" s="47"/>
      <c r="T3395" s="6">
        <v>12</v>
      </c>
      <c r="U3395" s="6"/>
      <c r="V3395" s="6">
        <v>0</v>
      </c>
      <c r="W3395" s="6">
        <f t="shared" si="525"/>
        <v>12</v>
      </c>
      <c r="X3395" s="6">
        <f t="shared" si="526"/>
        <v>0</v>
      </c>
      <c r="Y3395" s="13">
        <f t="shared" ref="Y3395:Y3458" si="531">IF(X3395-AD3395&lt;=0,0,IF(P3395="返现",MAX(X3395-AC3395-AD3395,0),MAX(X3395-AD3395)))</f>
        <v>0</v>
      </c>
      <c r="Z3395" s="14">
        <v>0.02</v>
      </c>
      <c r="AA3395" s="6">
        <f t="shared" si="530"/>
        <v>0</v>
      </c>
      <c r="AB3395" s="4">
        <f t="shared" ref="AB3395:AB3458" si="532">X3395+AA3395</f>
        <v>0</v>
      </c>
      <c r="AC3395" s="4">
        <f t="shared" si="523"/>
        <v>0</v>
      </c>
      <c r="AD3395" s="6">
        <f t="shared" si="527"/>
        <v>0</v>
      </c>
      <c r="AE3395" s="2">
        <f>VLOOKUP(I3395,[1]媒体政策预估表!A:N,MATCH(O3395,[1]媒体政策预估表!$A$2:$M$2,0),0)</f>
        <v>0</v>
      </c>
      <c r="AF3395" s="6">
        <f t="shared" si="524"/>
        <v>0</v>
      </c>
      <c r="AG3395" s="14">
        <v>0</v>
      </c>
      <c r="AH3395" s="64">
        <f t="shared" si="528"/>
        <v>0</v>
      </c>
      <c r="AI3395" s="47"/>
      <c r="AJ3395" s="126" t="e">
        <v>#N/A</v>
      </c>
      <c r="AK3395" s="80">
        <f t="shared" ref="AK3395:AK3458" si="533">X3395+AA3395-AB3395</f>
        <v>0</v>
      </c>
      <c r="AM3395" s="85"/>
    </row>
    <row r="3396" spans="1:39" hidden="1" x14ac:dyDescent="0.3">
      <c r="A3396" s="89" t="s">
        <v>3397</v>
      </c>
      <c r="B3396" s="86" t="s">
        <v>35</v>
      </c>
      <c r="C3396" s="86" t="s">
        <v>36</v>
      </c>
      <c r="D3396" s="86" t="s">
        <v>2325</v>
      </c>
      <c r="E3396" s="86" t="s">
        <v>2665</v>
      </c>
      <c r="F3396" s="86" t="s">
        <v>2666</v>
      </c>
      <c r="G3396" s="86" t="s">
        <v>2665</v>
      </c>
      <c r="H3396" s="143">
        <v>72</v>
      </c>
      <c r="I3396" s="86" t="s">
        <v>2572</v>
      </c>
      <c r="J3396" s="1" t="s">
        <v>3327</v>
      </c>
      <c r="K3396" s="1" t="s">
        <v>3284</v>
      </c>
      <c r="L3396" s="1" t="s">
        <v>35</v>
      </c>
      <c r="M3396" s="86" t="s">
        <v>2665</v>
      </c>
      <c r="N3396" s="86"/>
      <c r="O3396" s="47" t="s">
        <v>410</v>
      </c>
      <c r="P3396" s="47" t="s">
        <v>41</v>
      </c>
      <c r="Q3396" s="14">
        <v>0</v>
      </c>
      <c r="R3396" s="143">
        <v>300000800</v>
      </c>
      <c r="S3396" s="47"/>
      <c r="T3396" s="6">
        <v>-32</v>
      </c>
      <c r="U3396" s="6"/>
      <c r="V3396" s="6">
        <v>0</v>
      </c>
      <c r="W3396" s="6">
        <f t="shared" si="525"/>
        <v>-32</v>
      </c>
      <c r="X3396" s="6">
        <f t="shared" si="526"/>
        <v>0</v>
      </c>
      <c r="Y3396" s="13">
        <f t="shared" si="531"/>
        <v>0</v>
      </c>
      <c r="Z3396" s="14">
        <v>0</v>
      </c>
      <c r="AA3396" s="6">
        <v>0</v>
      </c>
      <c r="AB3396" s="4">
        <f t="shared" si="532"/>
        <v>0</v>
      </c>
      <c r="AC3396" s="4">
        <f t="shared" si="523"/>
        <v>0</v>
      </c>
      <c r="AD3396" s="6">
        <f t="shared" si="527"/>
        <v>0</v>
      </c>
      <c r="AE3396" s="2">
        <f>VLOOKUP(I3396,[1]媒体政策预估表!A:N,MATCH(O3396,[1]媒体政策预估表!$A$2:$M$2,0),0)</f>
        <v>0</v>
      </c>
      <c r="AF3396" s="6">
        <f t="shared" si="524"/>
        <v>0</v>
      </c>
      <c r="AG3396" s="14">
        <v>0</v>
      </c>
      <c r="AH3396" s="64">
        <f t="shared" si="528"/>
        <v>0</v>
      </c>
      <c r="AI3396" s="47"/>
      <c r="AJ3396" s="126" t="e">
        <v>#N/A</v>
      </c>
      <c r="AK3396" s="80">
        <f t="shared" si="533"/>
        <v>0</v>
      </c>
      <c r="AM3396" s="85"/>
    </row>
    <row r="3397" spans="1:39" hidden="1" x14ac:dyDescent="0.3">
      <c r="A3397" s="89" t="s">
        <v>3397</v>
      </c>
      <c r="B3397" s="86" t="s">
        <v>35</v>
      </c>
      <c r="C3397" s="86" t="s">
        <v>36</v>
      </c>
      <c r="D3397" s="86" t="s">
        <v>985</v>
      </c>
      <c r="E3397" s="86" t="s">
        <v>416</v>
      </c>
      <c r="F3397" s="86" t="s">
        <v>416</v>
      </c>
      <c r="G3397" s="86" t="s">
        <v>416</v>
      </c>
      <c r="H3397" s="143">
        <v>72</v>
      </c>
      <c r="I3397" s="86" t="s">
        <v>2572</v>
      </c>
      <c r="J3397" s="1" t="s">
        <v>3327</v>
      </c>
      <c r="K3397" s="1" t="s">
        <v>3284</v>
      </c>
      <c r="L3397" s="1" t="s">
        <v>35</v>
      </c>
      <c r="M3397" s="86" t="s">
        <v>416</v>
      </c>
      <c r="N3397" s="86"/>
      <c r="O3397" s="47" t="s">
        <v>410</v>
      </c>
      <c r="P3397" s="47" t="s">
        <v>46</v>
      </c>
      <c r="Q3397" s="14">
        <v>0.01</v>
      </c>
      <c r="R3397" s="143">
        <v>600001252</v>
      </c>
      <c r="S3397" s="47"/>
      <c r="T3397" s="6">
        <v>43.76</v>
      </c>
      <c r="U3397" s="6"/>
      <c r="V3397" s="6">
        <v>0</v>
      </c>
      <c r="W3397" s="6">
        <f t="shared" si="525"/>
        <v>43.76</v>
      </c>
      <c r="X3397" s="6">
        <f t="shared" si="526"/>
        <v>0</v>
      </c>
      <c r="Y3397" s="13">
        <f t="shared" si="531"/>
        <v>0</v>
      </c>
      <c r="Z3397" s="14">
        <v>0</v>
      </c>
      <c r="AA3397" s="6">
        <v>0</v>
      </c>
      <c r="AB3397" s="4">
        <f t="shared" si="532"/>
        <v>0</v>
      </c>
      <c r="AC3397" s="4">
        <f t="shared" si="523"/>
        <v>0</v>
      </c>
      <c r="AD3397" s="6">
        <f t="shared" si="527"/>
        <v>0</v>
      </c>
      <c r="AE3397" s="2">
        <f>VLOOKUP(I3397,[1]媒体政策预估表!A:N,MATCH(O3397,[1]媒体政策预估表!$A$2:$M$2,0),0)</f>
        <v>0</v>
      </c>
      <c r="AF3397" s="6">
        <f t="shared" si="524"/>
        <v>0</v>
      </c>
      <c r="AG3397" s="14">
        <v>0</v>
      </c>
      <c r="AH3397" s="64">
        <f t="shared" si="528"/>
        <v>0</v>
      </c>
      <c r="AI3397" s="47"/>
      <c r="AJ3397" s="126" t="e">
        <v>#N/A</v>
      </c>
      <c r="AK3397" s="80">
        <f t="shared" si="533"/>
        <v>0</v>
      </c>
      <c r="AM3397" s="85"/>
    </row>
    <row r="3398" spans="1:39" hidden="1" x14ac:dyDescent="0.3">
      <c r="A3398" s="89" t="s">
        <v>3409</v>
      </c>
      <c r="B3398" s="86" t="s">
        <v>35</v>
      </c>
      <c r="C3398" s="86" t="s">
        <v>36</v>
      </c>
      <c r="D3398" s="86" t="s">
        <v>54</v>
      </c>
      <c r="E3398" s="86" t="s">
        <v>71</v>
      </c>
      <c r="F3398" s="86" t="s">
        <v>71</v>
      </c>
      <c r="G3398" s="86" t="s">
        <v>71</v>
      </c>
      <c r="H3398" s="143">
        <v>72</v>
      </c>
      <c r="I3398" s="86" t="s">
        <v>2572</v>
      </c>
      <c r="J3398" s="1" t="s">
        <v>3327</v>
      </c>
      <c r="K3398" s="1" t="s">
        <v>3284</v>
      </c>
      <c r="L3398" s="1" t="s">
        <v>35</v>
      </c>
      <c r="M3398" s="86" t="s">
        <v>2577</v>
      </c>
      <c r="N3398" s="86"/>
      <c r="O3398" s="47" t="s">
        <v>56</v>
      </c>
      <c r="P3398" s="47" t="s">
        <v>41</v>
      </c>
      <c r="Q3398" s="14">
        <v>0</v>
      </c>
      <c r="R3398" s="143">
        <v>600001435</v>
      </c>
      <c r="S3398" s="47"/>
      <c r="T3398" s="6">
        <v>28038</v>
      </c>
      <c r="U3398" s="6"/>
      <c r="V3398" s="6">
        <v>0</v>
      </c>
      <c r="W3398" s="6">
        <f t="shared" si="525"/>
        <v>28038</v>
      </c>
      <c r="X3398" s="6">
        <f t="shared" si="526"/>
        <v>0</v>
      </c>
      <c r="Y3398" s="13">
        <f t="shared" si="531"/>
        <v>0</v>
      </c>
      <c r="Z3398" s="14">
        <v>0</v>
      </c>
      <c r="AA3398" s="6">
        <v>0</v>
      </c>
      <c r="AB3398" s="4">
        <f t="shared" si="532"/>
        <v>0</v>
      </c>
      <c r="AC3398" s="4">
        <f t="shared" si="523"/>
        <v>0</v>
      </c>
      <c r="AD3398" s="6">
        <f t="shared" si="527"/>
        <v>0</v>
      </c>
      <c r="AE3398" s="2">
        <f>VLOOKUP(I3398,[1]媒体政策预估表!A:N,MATCH(O3398,[1]媒体政策预估表!$A$2:$M$2,0),0)</f>
        <v>0</v>
      </c>
      <c r="AF3398" s="6">
        <f t="shared" si="524"/>
        <v>0</v>
      </c>
      <c r="AG3398" s="14">
        <v>0</v>
      </c>
      <c r="AH3398" s="64">
        <f t="shared" si="528"/>
        <v>0</v>
      </c>
      <c r="AI3398" s="47"/>
      <c r="AJ3398" s="126" t="e">
        <v>#N/A</v>
      </c>
      <c r="AK3398" s="80">
        <f t="shared" si="533"/>
        <v>0</v>
      </c>
      <c r="AM3398" s="85"/>
    </row>
    <row r="3399" spans="1:39" hidden="1" x14ac:dyDescent="0.3">
      <c r="A3399" s="89" t="s">
        <v>3397</v>
      </c>
      <c r="B3399" s="86" t="s">
        <v>35</v>
      </c>
      <c r="C3399" s="86" t="s">
        <v>36</v>
      </c>
      <c r="D3399" s="86" t="s">
        <v>54</v>
      </c>
      <c r="E3399" s="86" t="s">
        <v>2667</v>
      </c>
      <c r="F3399" s="86" t="s">
        <v>2667</v>
      </c>
      <c r="G3399" s="86" t="s">
        <v>2667</v>
      </c>
      <c r="H3399" s="143">
        <v>72</v>
      </c>
      <c r="I3399" s="86" t="s">
        <v>2572</v>
      </c>
      <c r="J3399" s="1" t="s">
        <v>3327</v>
      </c>
      <c r="K3399" s="1" t="s">
        <v>3284</v>
      </c>
      <c r="L3399" s="1" t="s">
        <v>35</v>
      </c>
      <c r="M3399" s="86" t="s">
        <v>2668</v>
      </c>
      <c r="N3399" s="86"/>
      <c r="O3399" s="47" t="s">
        <v>410</v>
      </c>
      <c r="P3399" s="47" t="s">
        <v>41</v>
      </c>
      <c r="Q3399" s="14">
        <v>0</v>
      </c>
      <c r="R3399" s="143">
        <v>400002015</v>
      </c>
      <c r="S3399" s="47"/>
      <c r="T3399" s="6">
        <v>6846.43</v>
      </c>
      <c r="U3399" s="6"/>
      <c r="V3399" s="6">
        <v>0</v>
      </c>
      <c r="W3399" s="6">
        <f t="shared" si="525"/>
        <v>6846.43</v>
      </c>
      <c r="X3399" s="6">
        <f t="shared" si="526"/>
        <v>0</v>
      </c>
      <c r="Y3399" s="13">
        <f t="shared" si="531"/>
        <v>0</v>
      </c>
      <c r="Z3399" s="14">
        <v>0.02</v>
      </c>
      <c r="AA3399" s="6">
        <f>X3399*Z3399</f>
        <v>0</v>
      </c>
      <c r="AB3399" s="4">
        <f t="shared" si="532"/>
        <v>0</v>
      </c>
      <c r="AC3399" s="4">
        <f t="shared" si="523"/>
        <v>0</v>
      </c>
      <c r="AD3399" s="6">
        <f t="shared" si="527"/>
        <v>0</v>
      </c>
      <c r="AE3399" s="2">
        <f>VLOOKUP(I3399,[1]媒体政策预估表!A:N,MATCH(O3399,[1]媒体政策预估表!$A$2:$M$2,0),0)</f>
        <v>0</v>
      </c>
      <c r="AF3399" s="6">
        <f t="shared" si="524"/>
        <v>0</v>
      </c>
      <c r="AG3399" s="14">
        <v>0</v>
      </c>
      <c r="AH3399" s="64">
        <f t="shared" si="528"/>
        <v>0</v>
      </c>
      <c r="AI3399" s="47"/>
      <c r="AJ3399" s="126" t="e">
        <v>#N/A</v>
      </c>
      <c r="AK3399" s="80">
        <f t="shared" si="533"/>
        <v>0</v>
      </c>
      <c r="AM3399" s="85"/>
    </row>
    <row r="3400" spans="1:39" hidden="1" x14ac:dyDescent="0.3">
      <c r="A3400" s="89" t="s">
        <v>3397</v>
      </c>
      <c r="B3400" s="86" t="s">
        <v>35</v>
      </c>
      <c r="C3400" s="86" t="s">
        <v>36</v>
      </c>
      <c r="D3400" s="86" t="s">
        <v>54</v>
      </c>
      <c r="E3400" s="86" t="s">
        <v>2330</v>
      </c>
      <c r="F3400" s="86" t="s">
        <v>2330</v>
      </c>
      <c r="G3400" s="86" t="s">
        <v>2330</v>
      </c>
      <c r="H3400" s="143">
        <v>72</v>
      </c>
      <c r="I3400" s="86" t="s">
        <v>2572</v>
      </c>
      <c r="J3400" s="1" t="s">
        <v>3327</v>
      </c>
      <c r="K3400" s="1" t="s">
        <v>3284</v>
      </c>
      <c r="L3400" s="1" t="s">
        <v>35</v>
      </c>
      <c r="M3400" s="86" t="s">
        <v>2331</v>
      </c>
      <c r="N3400" s="86"/>
      <c r="O3400" s="47" t="s">
        <v>410</v>
      </c>
      <c r="P3400" s="47" t="s">
        <v>41</v>
      </c>
      <c r="Q3400" s="14">
        <v>0</v>
      </c>
      <c r="R3400" s="143">
        <v>400002786</v>
      </c>
      <c r="S3400" s="47"/>
      <c r="T3400" s="6">
        <v>10000</v>
      </c>
      <c r="U3400" s="6"/>
      <c r="V3400" s="6">
        <v>0</v>
      </c>
      <c r="W3400" s="6">
        <f t="shared" si="525"/>
        <v>10000</v>
      </c>
      <c r="X3400" s="6">
        <f t="shared" si="526"/>
        <v>0</v>
      </c>
      <c r="Y3400" s="13">
        <f t="shared" si="531"/>
        <v>0</v>
      </c>
      <c r="Z3400" s="14">
        <v>0</v>
      </c>
      <c r="AA3400" s="6">
        <v>0</v>
      </c>
      <c r="AB3400" s="4">
        <f t="shared" si="532"/>
        <v>0</v>
      </c>
      <c r="AC3400" s="4">
        <f t="shared" si="523"/>
        <v>0</v>
      </c>
      <c r="AD3400" s="6">
        <f t="shared" si="527"/>
        <v>0</v>
      </c>
      <c r="AE3400" s="2">
        <f>VLOOKUP(I3400,[1]媒体政策预估表!A:N,MATCH(O3400,[1]媒体政策预估表!$A$2:$M$2,0),0)</f>
        <v>0</v>
      </c>
      <c r="AF3400" s="6">
        <f t="shared" si="524"/>
        <v>0</v>
      </c>
      <c r="AG3400" s="14">
        <v>0</v>
      </c>
      <c r="AH3400" s="64">
        <f t="shared" si="528"/>
        <v>0</v>
      </c>
      <c r="AI3400" s="47"/>
      <c r="AJ3400" s="126" t="e">
        <v>#N/A</v>
      </c>
      <c r="AK3400" s="80">
        <f t="shared" si="533"/>
        <v>0</v>
      </c>
      <c r="AM3400" s="85"/>
    </row>
    <row r="3401" spans="1:39" hidden="1" x14ac:dyDescent="0.3">
      <c r="A3401" s="89" t="s">
        <v>3397</v>
      </c>
      <c r="B3401" s="86" t="s">
        <v>35</v>
      </c>
      <c r="C3401" s="86" t="s">
        <v>36</v>
      </c>
      <c r="D3401" s="86" t="s">
        <v>54</v>
      </c>
      <c r="E3401" s="86" t="s">
        <v>2669</v>
      </c>
      <c r="F3401" s="86" t="s">
        <v>2669</v>
      </c>
      <c r="G3401" s="86" t="s">
        <v>2669</v>
      </c>
      <c r="H3401" s="143">
        <v>72</v>
      </c>
      <c r="I3401" s="86" t="s">
        <v>2572</v>
      </c>
      <c r="J3401" s="1" t="s">
        <v>3327</v>
      </c>
      <c r="K3401" s="1" t="s">
        <v>3284</v>
      </c>
      <c r="L3401" s="1" t="s">
        <v>35</v>
      </c>
      <c r="M3401" s="86" t="s">
        <v>2670</v>
      </c>
      <c r="N3401" s="86"/>
      <c r="O3401" s="47" t="s">
        <v>410</v>
      </c>
      <c r="P3401" s="47" t="s">
        <v>41</v>
      </c>
      <c r="Q3401" s="14">
        <v>0</v>
      </c>
      <c r="R3401" s="143">
        <v>600001076</v>
      </c>
      <c r="S3401" s="47"/>
      <c r="T3401" s="6">
        <v>35484</v>
      </c>
      <c r="U3401" s="6"/>
      <c r="V3401" s="6">
        <v>0</v>
      </c>
      <c r="W3401" s="6">
        <f t="shared" si="525"/>
        <v>35484</v>
      </c>
      <c r="X3401" s="6">
        <f t="shared" si="526"/>
        <v>0</v>
      </c>
      <c r="Y3401" s="13">
        <f t="shared" si="531"/>
        <v>0</v>
      </c>
      <c r="Z3401" s="14">
        <v>0</v>
      </c>
      <c r="AA3401" s="6">
        <v>0</v>
      </c>
      <c r="AB3401" s="4">
        <f t="shared" si="532"/>
        <v>0</v>
      </c>
      <c r="AC3401" s="4">
        <f t="shared" si="523"/>
        <v>0</v>
      </c>
      <c r="AD3401" s="6">
        <f t="shared" si="527"/>
        <v>0</v>
      </c>
      <c r="AE3401" s="2">
        <f>VLOOKUP(I3401,[1]媒体政策预估表!A:N,MATCH(O3401,[1]媒体政策预估表!$A$2:$M$2,0),0)</f>
        <v>0</v>
      </c>
      <c r="AF3401" s="6">
        <f t="shared" si="524"/>
        <v>0</v>
      </c>
      <c r="AG3401" s="14">
        <v>0</v>
      </c>
      <c r="AH3401" s="64">
        <f t="shared" si="528"/>
        <v>0</v>
      </c>
      <c r="AI3401" s="47"/>
      <c r="AJ3401" s="126" t="e">
        <v>#N/A</v>
      </c>
      <c r="AK3401" s="80">
        <f t="shared" si="533"/>
        <v>0</v>
      </c>
      <c r="AM3401" s="85"/>
    </row>
    <row r="3402" spans="1:39" hidden="1" x14ac:dyDescent="0.3">
      <c r="A3402" s="89" t="s">
        <v>3409</v>
      </c>
      <c r="B3402" s="86" t="s">
        <v>35</v>
      </c>
      <c r="C3402" s="86" t="s">
        <v>36</v>
      </c>
      <c r="D3402" s="86" t="s">
        <v>54</v>
      </c>
      <c r="E3402" s="86" t="s">
        <v>2671</v>
      </c>
      <c r="F3402" s="86" t="s">
        <v>2672</v>
      </c>
      <c r="G3402" s="86" t="s">
        <v>2671</v>
      </c>
      <c r="H3402" s="143">
        <v>72</v>
      </c>
      <c r="I3402" s="86" t="s">
        <v>2572</v>
      </c>
      <c r="J3402" s="1" t="s">
        <v>3327</v>
      </c>
      <c r="K3402" s="1" t="s">
        <v>3284</v>
      </c>
      <c r="L3402" s="1" t="s">
        <v>35</v>
      </c>
      <c r="M3402" s="86" t="s">
        <v>2670</v>
      </c>
      <c r="N3402" s="86"/>
      <c r="O3402" s="47" t="s">
        <v>410</v>
      </c>
      <c r="P3402" s="47" t="s">
        <v>41</v>
      </c>
      <c r="Q3402" s="14">
        <v>0</v>
      </c>
      <c r="R3402" s="143">
        <v>600001076</v>
      </c>
      <c r="S3402" s="47"/>
      <c r="T3402" s="6">
        <v>400000</v>
      </c>
      <c r="U3402" s="6"/>
      <c r="V3402" s="6">
        <v>0</v>
      </c>
      <c r="W3402" s="6">
        <f t="shared" si="525"/>
        <v>400000</v>
      </c>
      <c r="X3402" s="6">
        <f t="shared" si="526"/>
        <v>0</v>
      </c>
      <c r="Y3402" s="13">
        <f t="shared" si="531"/>
        <v>0</v>
      </c>
      <c r="Z3402" s="14">
        <v>0</v>
      </c>
      <c r="AA3402" s="6">
        <v>0</v>
      </c>
      <c r="AB3402" s="4">
        <f t="shared" si="532"/>
        <v>0</v>
      </c>
      <c r="AC3402" s="4">
        <f t="shared" si="523"/>
        <v>0</v>
      </c>
      <c r="AD3402" s="6">
        <f t="shared" si="527"/>
        <v>0</v>
      </c>
      <c r="AE3402" s="2">
        <f>VLOOKUP(I3402,[1]媒体政策预估表!A:N,MATCH(O3402,[1]媒体政策预估表!$A$2:$M$2,0),0)</f>
        <v>0</v>
      </c>
      <c r="AF3402" s="6">
        <f t="shared" si="524"/>
        <v>0</v>
      </c>
      <c r="AG3402" s="14">
        <v>0</v>
      </c>
      <c r="AH3402" s="64">
        <f t="shared" si="528"/>
        <v>0</v>
      </c>
      <c r="AI3402" s="47"/>
      <c r="AJ3402" s="126" t="e">
        <v>#N/A</v>
      </c>
      <c r="AK3402" s="80">
        <f t="shared" si="533"/>
        <v>0</v>
      </c>
      <c r="AM3402" s="85"/>
    </row>
    <row r="3403" spans="1:39" hidden="1" x14ac:dyDescent="0.3">
      <c r="A3403" s="89" t="s">
        <v>3409</v>
      </c>
      <c r="B3403" s="86" t="s">
        <v>319</v>
      </c>
      <c r="C3403" s="86" t="s">
        <v>65</v>
      </c>
      <c r="D3403" s="86" t="s">
        <v>66</v>
      </c>
      <c r="E3403" s="86" t="s">
        <v>2673</v>
      </c>
      <c r="F3403" s="86" t="s">
        <v>2674</v>
      </c>
      <c r="G3403" s="86" t="s">
        <v>1020</v>
      </c>
      <c r="H3403" s="143">
        <v>72</v>
      </c>
      <c r="I3403" s="86" t="s">
        <v>2572</v>
      </c>
      <c r="J3403" s="1" t="s">
        <v>3327</v>
      </c>
      <c r="K3403" s="1" t="s">
        <v>3284</v>
      </c>
      <c r="L3403" s="1" t="s">
        <v>35</v>
      </c>
      <c r="M3403" s="86" t="s">
        <v>2675</v>
      </c>
      <c r="N3403" s="86"/>
      <c r="O3403" s="47" t="s">
        <v>410</v>
      </c>
      <c r="P3403" s="47" t="s">
        <v>41</v>
      </c>
      <c r="Q3403" s="14">
        <v>0</v>
      </c>
      <c r="R3403" s="143">
        <v>600001168</v>
      </c>
      <c r="S3403" s="47"/>
      <c r="T3403" s="6">
        <v>10</v>
      </c>
      <c r="U3403" s="6"/>
      <c r="V3403" s="6">
        <v>0</v>
      </c>
      <c r="W3403" s="6">
        <f t="shared" si="525"/>
        <v>10</v>
      </c>
      <c r="X3403" s="6">
        <f t="shared" si="526"/>
        <v>0</v>
      </c>
      <c r="Y3403" s="13">
        <f t="shared" si="531"/>
        <v>0</v>
      </c>
      <c r="Z3403" s="14">
        <v>0</v>
      </c>
      <c r="AA3403" s="6">
        <v>0</v>
      </c>
      <c r="AB3403" s="4">
        <f t="shared" si="532"/>
        <v>0</v>
      </c>
      <c r="AC3403" s="4">
        <f t="shared" si="523"/>
        <v>0</v>
      </c>
      <c r="AD3403" s="6">
        <f t="shared" si="527"/>
        <v>0</v>
      </c>
      <c r="AE3403" s="2">
        <f>VLOOKUP(I3403,[1]媒体政策预估表!A:N,MATCH(O3403,[1]媒体政策预估表!$A$2:$M$2,0),0)</f>
        <v>0</v>
      </c>
      <c r="AF3403" s="6">
        <f t="shared" si="524"/>
        <v>0</v>
      </c>
      <c r="AG3403" s="14">
        <v>0</v>
      </c>
      <c r="AH3403" s="64">
        <f t="shared" si="528"/>
        <v>0</v>
      </c>
      <c r="AI3403" s="47"/>
      <c r="AJ3403" s="126" t="e">
        <v>#N/A</v>
      </c>
      <c r="AK3403" s="80">
        <f t="shared" si="533"/>
        <v>0</v>
      </c>
      <c r="AM3403" s="85"/>
    </row>
    <row r="3404" spans="1:39" hidden="1" x14ac:dyDescent="0.3">
      <c r="A3404" s="89" t="s">
        <v>3397</v>
      </c>
      <c r="B3404" s="86" t="s">
        <v>319</v>
      </c>
      <c r="C3404" s="86" t="s">
        <v>36</v>
      </c>
      <c r="D3404" s="86" t="s">
        <v>54</v>
      </c>
      <c r="E3404" s="86" t="s">
        <v>2676</v>
      </c>
      <c r="F3404" s="86" t="s">
        <v>2677</v>
      </c>
      <c r="G3404" s="86" t="s">
        <v>323</v>
      </c>
      <c r="H3404" s="143">
        <v>72</v>
      </c>
      <c r="I3404" s="86" t="s">
        <v>2572</v>
      </c>
      <c r="J3404" s="1" t="s">
        <v>3327</v>
      </c>
      <c r="K3404" s="1" t="s">
        <v>3284</v>
      </c>
      <c r="L3404" s="1" t="s">
        <v>35</v>
      </c>
      <c r="M3404" s="86" t="s">
        <v>2676</v>
      </c>
      <c r="N3404" s="86"/>
      <c r="O3404" s="47" t="s">
        <v>410</v>
      </c>
      <c r="P3404" s="47" t="s">
        <v>41</v>
      </c>
      <c r="Q3404" s="14">
        <v>0</v>
      </c>
      <c r="R3404" s="143">
        <v>600001250</v>
      </c>
      <c r="S3404" s="47"/>
      <c r="T3404" s="6">
        <v>148.93</v>
      </c>
      <c r="U3404" s="6"/>
      <c r="V3404" s="6">
        <v>0</v>
      </c>
      <c r="W3404" s="6">
        <f t="shared" si="525"/>
        <v>148.93</v>
      </c>
      <c r="X3404" s="6">
        <f t="shared" si="526"/>
        <v>0</v>
      </c>
      <c r="Y3404" s="13">
        <f t="shared" si="531"/>
        <v>0</v>
      </c>
      <c r="Z3404" s="14">
        <v>0</v>
      </c>
      <c r="AA3404" s="6">
        <v>0</v>
      </c>
      <c r="AB3404" s="4">
        <f t="shared" si="532"/>
        <v>0</v>
      </c>
      <c r="AC3404" s="4">
        <f t="shared" ref="AC3404:AC3467" si="534">IF(P3404="返现",X3404*Q3404,V3404-X3404)</f>
        <v>0</v>
      </c>
      <c r="AD3404" s="6">
        <f t="shared" si="527"/>
        <v>0</v>
      </c>
      <c r="AE3404" s="2">
        <f>VLOOKUP(I3404,[1]媒体政策预估表!A:N,MATCH(O3404,[1]媒体政策预估表!$A$2:$M$2,0),0)</f>
        <v>0</v>
      </c>
      <c r="AF3404" s="6">
        <f t="shared" ref="AF3404:AF3467" si="535">AD3404*AE3404</f>
        <v>0</v>
      </c>
      <c r="AG3404" s="14">
        <v>0</v>
      </c>
      <c r="AH3404" s="64">
        <f t="shared" si="528"/>
        <v>0</v>
      </c>
      <c r="AI3404" s="47"/>
      <c r="AJ3404" s="126" t="e">
        <v>#N/A</v>
      </c>
      <c r="AK3404" s="80">
        <f t="shared" si="533"/>
        <v>0</v>
      </c>
      <c r="AM3404" s="85"/>
    </row>
    <row r="3405" spans="1:39" hidden="1" x14ac:dyDescent="0.3">
      <c r="A3405" s="89" t="s">
        <v>3409</v>
      </c>
      <c r="B3405" s="86" t="s">
        <v>35</v>
      </c>
      <c r="C3405" s="86" t="s">
        <v>164</v>
      </c>
      <c r="D3405" s="86" t="s">
        <v>174</v>
      </c>
      <c r="E3405" s="86" t="s">
        <v>176</v>
      </c>
      <c r="F3405" s="86" t="s">
        <v>176</v>
      </c>
      <c r="G3405" s="86" t="s">
        <v>176</v>
      </c>
      <c r="H3405" s="144">
        <v>72</v>
      </c>
      <c r="I3405" s="86" t="s">
        <v>2572</v>
      </c>
      <c r="J3405" s="1" t="s">
        <v>3327</v>
      </c>
      <c r="K3405" s="1" t="s">
        <v>3284</v>
      </c>
      <c r="L3405" s="1" t="s">
        <v>35</v>
      </c>
      <c r="M3405" s="86" t="s">
        <v>2573</v>
      </c>
      <c r="N3405" s="86"/>
      <c r="O3405" s="47" t="s">
        <v>410</v>
      </c>
      <c r="P3405" s="47" t="s">
        <v>41</v>
      </c>
      <c r="Q3405" s="14">
        <v>0</v>
      </c>
      <c r="R3405" s="143">
        <v>400002591</v>
      </c>
      <c r="S3405" s="47"/>
      <c r="T3405" s="6">
        <v>25944.999999999927</v>
      </c>
      <c r="U3405" s="6"/>
      <c r="V3405" s="6">
        <v>25944.999999999927</v>
      </c>
      <c r="W3405" s="6">
        <f t="shared" si="525"/>
        <v>0</v>
      </c>
      <c r="X3405" s="6">
        <f t="shared" si="526"/>
        <v>25944.999999999927</v>
      </c>
      <c r="Y3405" s="13">
        <f t="shared" si="531"/>
        <v>0</v>
      </c>
      <c r="Z3405" s="14">
        <v>0</v>
      </c>
      <c r="AA3405" s="6">
        <v>0</v>
      </c>
      <c r="AB3405" s="4">
        <f t="shared" si="532"/>
        <v>25944.999999999927</v>
      </c>
      <c r="AC3405" s="4">
        <f t="shared" si="534"/>
        <v>0</v>
      </c>
      <c r="AD3405" s="6">
        <f t="shared" si="527"/>
        <v>25944.999999999927</v>
      </c>
      <c r="AE3405" s="2">
        <f>VLOOKUP(I3405,[1]媒体政策预估表!A:N,MATCH(O3405,[1]媒体政策预估表!$A$2:$M$2,0),0)</f>
        <v>0</v>
      </c>
      <c r="AF3405" s="6">
        <f t="shared" si="535"/>
        <v>0</v>
      </c>
      <c r="AG3405" s="14">
        <v>0</v>
      </c>
      <c r="AH3405" s="64">
        <f t="shared" si="528"/>
        <v>25944.999999999927</v>
      </c>
      <c r="AI3405" s="47"/>
      <c r="AJ3405" s="126" t="e">
        <v>#N/A</v>
      </c>
      <c r="AK3405" s="80">
        <f t="shared" si="533"/>
        <v>0</v>
      </c>
      <c r="AM3405" s="85"/>
    </row>
    <row r="3406" spans="1:39" hidden="1" x14ac:dyDescent="0.3">
      <c r="A3406" s="89" t="s">
        <v>3397</v>
      </c>
      <c r="B3406" s="86" t="s">
        <v>35</v>
      </c>
      <c r="C3406" s="86" t="s">
        <v>65</v>
      </c>
      <c r="D3406" s="86" t="s">
        <v>66</v>
      </c>
      <c r="E3406" s="86" t="s">
        <v>2678</v>
      </c>
      <c r="F3406" s="86" t="s">
        <v>2679</v>
      </c>
      <c r="G3406" s="86" t="s">
        <v>2678</v>
      </c>
      <c r="H3406" s="143">
        <v>301</v>
      </c>
      <c r="I3406" s="86" t="s">
        <v>2680</v>
      </c>
      <c r="J3406" s="1" t="s">
        <v>3323</v>
      </c>
      <c r="K3406" s="1" t="s">
        <v>3285</v>
      </c>
      <c r="L3406" s="1" t="s">
        <v>35</v>
      </c>
      <c r="M3406" s="86" t="s">
        <v>2681</v>
      </c>
      <c r="N3406" s="86"/>
      <c r="O3406" s="47" t="s">
        <v>45</v>
      </c>
      <c r="P3406" s="47" t="s">
        <v>46</v>
      </c>
      <c r="Q3406" s="9">
        <v>0.1</v>
      </c>
      <c r="R3406" s="143">
        <v>42254</v>
      </c>
      <c r="S3406" s="47"/>
      <c r="T3406" s="6">
        <v>0</v>
      </c>
      <c r="U3406" s="6">
        <v>5999.9984999999997</v>
      </c>
      <c r="V3406" s="6">
        <v>0</v>
      </c>
      <c r="W3406" s="6">
        <f t="shared" si="525"/>
        <v>5999.9984999999997</v>
      </c>
      <c r="X3406" s="6">
        <f t="shared" si="526"/>
        <v>0</v>
      </c>
      <c r="Y3406" s="13">
        <f t="shared" si="531"/>
        <v>0</v>
      </c>
      <c r="Z3406" s="14">
        <v>0</v>
      </c>
      <c r="AA3406" s="6">
        <v>0</v>
      </c>
      <c r="AB3406" s="4">
        <f t="shared" si="532"/>
        <v>0</v>
      </c>
      <c r="AC3406" s="4">
        <f t="shared" si="534"/>
        <v>0</v>
      </c>
      <c r="AD3406" s="6">
        <v>6000.17</v>
      </c>
      <c r="AE3406" s="2">
        <f>VLOOKUP(I3406,[1]媒体政策预估表!A:N,MATCH(O3406,[1]媒体政策预估表!$A$2:$M$2,0),0)</f>
        <v>0.1</v>
      </c>
      <c r="AF3406" s="6">
        <f t="shared" si="535"/>
        <v>600.01700000000005</v>
      </c>
      <c r="AG3406" s="9">
        <v>0.15</v>
      </c>
      <c r="AH3406" s="11">
        <f>V3406/(1+AG3406)</f>
        <v>0</v>
      </c>
      <c r="AI3406" s="47"/>
      <c r="AJ3406" s="126" t="e">
        <v>#N/A</v>
      </c>
      <c r="AK3406" s="80">
        <f t="shared" si="533"/>
        <v>0</v>
      </c>
      <c r="AM3406" s="85"/>
    </row>
    <row r="3407" spans="1:39" hidden="1" x14ac:dyDescent="0.3">
      <c r="A3407" s="89" t="s">
        <v>3397</v>
      </c>
      <c r="B3407" s="86" t="s">
        <v>35</v>
      </c>
      <c r="C3407" s="86" t="s">
        <v>47</v>
      </c>
      <c r="D3407" s="86" t="s">
        <v>63</v>
      </c>
      <c r="E3407" s="86" t="s">
        <v>2409</v>
      </c>
      <c r="F3407" s="86" t="s">
        <v>3435</v>
      </c>
      <c r="G3407" s="86" t="s">
        <v>2409</v>
      </c>
      <c r="H3407" s="144">
        <v>301</v>
      </c>
      <c r="I3407" s="86" t="s">
        <v>2680</v>
      </c>
      <c r="J3407" s="1" t="s">
        <v>3323</v>
      </c>
      <c r="K3407" s="1" t="s">
        <v>3285</v>
      </c>
      <c r="L3407" s="1" t="s">
        <v>35</v>
      </c>
      <c r="M3407" s="86" t="s">
        <v>2683</v>
      </c>
      <c r="N3407" s="86"/>
      <c r="O3407" s="47" t="s">
        <v>45</v>
      </c>
      <c r="P3407" s="47" t="s">
        <v>46</v>
      </c>
      <c r="Q3407" s="9">
        <v>0.15</v>
      </c>
      <c r="R3407" s="143">
        <v>40388</v>
      </c>
      <c r="S3407" s="48" t="s">
        <v>3700</v>
      </c>
      <c r="T3407" s="6">
        <v>0</v>
      </c>
      <c r="U3407" s="6">
        <v>2300000</v>
      </c>
      <c r="V3407" s="6">
        <v>174572.29100000008</v>
      </c>
      <c r="W3407" s="6">
        <f t="shared" si="525"/>
        <v>2125427.7089999998</v>
      </c>
      <c r="X3407" s="6">
        <f>IF(P3407="折扣",V3407*Q3407,IF(P3407="返现",V3407,(V3407-48822.524)/(1+Q3407)))</f>
        <v>109347.62347826095</v>
      </c>
      <c r="Y3407" s="13">
        <f t="shared" si="531"/>
        <v>0</v>
      </c>
      <c r="Z3407" s="14">
        <v>0</v>
      </c>
      <c r="AA3407" s="6">
        <v>0</v>
      </c>
      <c r="AB3407" s="4">
        <f t="shared" si="532"/>
        <v>109347.62347826095</v>
      </c>
      <c r="AC3407" s="4">
        <f t="shared" si="534"/>
        <v>65224.667521739131</v>
      </c>
      <c r="AD3407" s="6">
        <v>607009.63</v>
      </c>
      <c r="AE3407" s="2">
        <f>VLOOKUP(I3407,[1]媒体政策预估表!A:N,MATCH(O3407,[1]媒体政策预估表!$A$2:$M$2,0),0)</f>
        <v>0.1</v>
      </c>
      <c r="AF3407" s="6">
        <f t="shared" si="535"/>
        <v>60700.963000000003</v>
      </c>
      <c r="AG3407" s="9">
        <v>0.15</v>
      </c>
      <c r="AH3407" s="11">
        <f t="shared" ref="AH3407:AH3426" si="536">V3407/(1+AG3407)</f>
        <v>151801.99217391314</v>
      </c>
      <c r="AI3407" s="47"/>
      <c r="AJ3407" s="126" t="e">
        <v>#N/A</v>
      </c>
      <c r="AK3407" s="80">
        <f t="shared" si="533"/>
        <v>0</v>
      </c>
      <c r="AM3407" s="85"/>
    </row>
    <row r="3408" spans="1:39" hidden="1" x14ac:dyDescent="0.3">
      <c r="A3408" s="89" t="s">
        <v>3397</v>
      </c>
      <c r="B3408" s="86" t="s">
        <v>35</v>
      </c>
      <c r="C3408" s="86" t="s">
        <v>144</v>
      </c>
      <c r="D3408" s="86" t="s">
        <v>152</v>
      </c>
      <c r="E3408" s="86" t="s">
        <v>159</v>
      </c>
      <c r="F3408" s="86" t="s">
        <v>159</v>
      </c>
      <c r="G3408" s="86" t="s">
        <v>159</v>
      </c>
      <c r="H3408" s="144">
        <v>301</v>
      </c>
      <c r="I3408" s="86" t="s">
        <v>2680</v>
      </c>
      <c r="J3408" s="1" t="s">
        <v>3323</v>
      </c>
      <c r="K3408" s="1" t="s">
        <v>3285</v>
      </c>
      <c r="L3408" s="1" t="s">
        <v>35</v>
      </c>
      <c r="M3408" s="86" t="s">
        <v>159</v>
      </c>
      <c r="N3408" s="86"/>
      <c r="O3408" s="47" t="s">
        <v>45</v>
      </c>
      <c r="P3408" s="47" t="s">
        <v>46</v>
      </c>
      <c r="Q3408" s="9">
        <v>0.05</v>
      </c>
      <c r="R3408" s="143">
        <v>43623</v>
      </c>
      <c r="S3408" s="47"/>
      <c r="T3408" s="6">
        <v>0</v>
      </c>
      <c r="U3408" s="6">
        <v>31499.994999999995</v>
      </c>
      <c r="V3408" s="6">
        <v>20488.46</v>
      </c>
      <c r="W3408" s="6">
        <f t="shared" si="525"/>
        <v>11011.534999999996</v>
      </c>
      <c r="X3408" s="6">
        <f t="shared" si="526"/>
        <v>19512.819047619047</v>
      </c>
      <c r="Y3408" s="13">
        <f t="shared" si="531"/>
        <v>0</v>
      </c>
      <c r="Z3408" s="14">
        <v>0</v>
      </c>
      <c r="AA3408" s="6">
        <v>0</v>
      </c>
      <c r="AB3408" s="4">
        <f t="shared" si="532"/>
        <v>19512.819047619047</v>
      </c>
      <c r="AC3408" s="4">
        <f t="shared" si="534"/>
        <v>975.64095238095251</v>
      </c>
      <c r="AD3408" s="6">
        <v>20488.46</v>
      </c>
      <c r="AE3408" s="2">
        <f>VLOOKUP(I3408,[1]媒体政策预估表!A:N,MATCH(O3408,[1]媒体政策预估表!$A$2:$M$2,0),0)</f>
        <v>0.1</v>
      </c>
      <c r="AF3408" s="6">
        <f t="shared" si="535"/>
        <v>2048.846</v>
      </c>
      <c r="AG3408" s="9">
        <v>0.15</v>
      </c>
      <c r="AH3408" s="11">
        <f t="shared" si="536"/>
        <v>17816.052173913045</v>
      </c>
      <c r="AI3408" s="47"/>
      <c r="AJ3408" s="126" t="e">
        <v>#N/A</v>
      </c>
      <c r="AK3408" s="80">
        <f t="shared" si="533"/>
        <v>0</v>
      </c>
      <c r="AM3408" s="85"/>
    </row>
    <row r="3409" spans="1:39" hidden="1" x14ac:dyDescent="0.3">
      <c r="A3409" s="89" t="s">
        <v>3409</v>
      </c>
      <c r="B3409" s="86" t="s">
        <v>35</v>
      </c>
      <c r="C3409" s="86" t="s">
        <v>187</v>
      </c>
      <c r="D3409" s="86" t="s">
        <v>208</v>
      </c>
      <c r="E3409" s="86" t="s">
        <v>2690</v>
      </c>
      <c r="F3409" s="86" t="s">
        <v>2690</v>
      </c>
      <c r="G3409" s="86" t="s">
        <v>2690</v>
      </c>
      <c r="H3409" s="143">
        <v>301</v>
      </c>
      <c r="I3409" s="86" t="s">
        <v>2680</v>
      </c>
      <c r="J3409" s="1" t="s">
        <v>3323</v>
      </c>
      <c r="K3409" s="1" t="s">
        <v>3285</v>
      </c>
      <c r="L3409" s="1" t="s">
        <v>35</v>
      </c>
      <c r="M3409" s="86" t="s">
        <v>2690</v>
      </c>
      <c r="N3409" s="86"/>
      <c r="O3409" s="47" t="s">
        <v>45</v>
      </c>
      <c r="P3409" s="47" t="s">
        <v>46</v>
      </c>
      <c r="Q3409" s="9">
        <v>0.05</v>
      </c>
      <c r="R3409" s="143">
        <v>40850</v>
      </c>
      <c r="S3409" s="47"/>
      <c r="T3409" s="6">
        <v>0</v>
      </c>
      <c r="U3409" s="6">
        <v>-2740.9904999999994</v>
      </c>
      <c r="V3409" s="6">
        <v>0</v>
      </c>
      <c r="W3409" s="6">
        <v>0</v>
      </c>
      <c r="X3409" s="6">
        <f t="shared" si="526"/>
        <v>0</v>
      </c>
      <c r="Y3409" s="13">
        <f t="shared" si="531"/>
        <v>0</v>
      </c>
      <c r="Z3409" s="14">
        <v>0</v>
      </c>
      <c r="AA3409" s="6">
        <v>0</v>
      </c>
      <c r="AB3409" s="4">
        <f t="shared" si="532"/>
        <v>0</v>
      </c>
      <c r="AC3409" s="4">
        <f t="shared" si="534"/>
        <v>0</v>
      </c>
      <c r="AD3409" s="6">
        <v>0</v>
      </c>
      <c r="AE3409" s="2">
        <f>VLOOKUP(I3409,[1]媒体政策预估表!A:N,MATCH(O3409,[1]媒体政策预估表!$A$2:$M$2,0),0)</f>
        <v>0.1</v>
      </c>
      <c r="AF3409" s="6">
        <f t="shared" si="535"/>
        <v>0</v>
      </c>
      <c r="AG3409" s="9">
        <v>0.15</v>
      </c>
      <c r="AH3409" s="11">
        <f t="shared" si="536"/>
        <v>0</v>
      </c>
      <c r="AI3409" s="47"/>
      <c r="AJ3409" s="126" t="e">
        <v>#N/A</v>
      </c>
      <c r="AK3409" s="80">
        <f t="shared" si="533"/>
        <v>0</v>
      </c>
      <c r="AM3409" s="85"/>
    </row>
    <row r="3410" spans="1:39" hidden="1" x14ac:dyDescent="0.3">
      <c r="A3410" s="89" t="s">
        <v>3397</v>
      </c>
      <c r="B3410" s="86" t="s">
        <v>35</v>
      </c>
      <c r="C3410" s="86" t="s">
        <v>65</v>
      </c>
      <c r="D3410" s="86" t="s">
        <v>66</v>
      </c>
      <c r="E3410" s="86" t="s">
        <v>2678</v>
      </c>
      <c r="F3410" s="86" t="s">
        <v>2679</v>
      </c>
      <c r="G3410" s="86" t="s">
        <v>2678</v>
      </c>
      <c r="H3410" s="144">
        <v>301</v>
      </c>
      <c r="I3410" s="86" t="s">
        <v>2680</v>
      </c>
      <c r="J3410" s="1" t="s">
        <v>3323</v>
      </c>
      <c r="K3410" s="1" t="s">
        <v>3285</v>
      </c>
      <c r="L3410" s="1" t="s">
        <v>35</v>
      </c>
      <c r="M3410" s="86" t="s">
        <v>2681</v>
      </c>
      <c r="N3410" s="86"/>
      <c r="O3410" s="47" t="s">
        <v>45</v>
      </c>
      <c r="P3410" s="47" t="s">
        <v>41</v>
      </c>
      <c r="Q3410" s="9">
        <v>0</v>
      </c>
      <c r="R3410" s="143">
        <v>42254</v>
      </c>
      <c r="S3410" s="47"/>
      <c r="T3410" s="6">
        <v>25354.731999999996</v>
      </c>
      <c r="U3410" s="6"/>
      <c r="V3410" s="6">
        <v>18138.099999999999</v>
      </c>
      <c r="W3410" s="6">
        <f t="shared" si="525"/>
        <v>7216.6319999999978</v>
      </c>
      <c r="X3410" s="6">
        <f t="shared" si="526"/>
        <v>18138.099999999999</v>
      </c>
      <c r="Y3410" s="13">
        <f t="shared" si="531"/>
        <v>18138.099999999999</v>
      </c>
      <c r="Z3410" s="14">
        <v>0</v>
      </c>
      <c r="AA3410" s="6">
        <v>0</v>
      </c>
      <c r="AB3410" s="4">
        <f t="shared" si="532"/>
        <v>18138.099999999999</v>
      </c>
      <c r="AC3410" s="4">
        <f t="shared" si="534"/>
        <v>0</v>
      </c>
      <c r="AD3410" s="6">
        <v>0</v>
      </c>
      <c r="AE3410" s="2">
        <f>VLOOKUP(I3410,[1]媒体政策预估表!A:N,MATCH(O3410,[1]媒体政策预估表!$A$2:$M$2,0),0)</f>
        <v>0.1</v>
      </c>
      <c r="AF3410" s="6">
        <f t="shared" si="535"/>
        <v>0</v>
      </c>
      <c r="AG3410" s="9">
        <v>0.15</v>
      </c>
      <c r="AH3410" s="11">
        <f t="shared" si="536"/>
        <v>15772.260869565218</v>
      </c>
      <c r="AI3410" s="47"/>
      <c r="AJ3410" s="126" t="e">
        <v>#N/A</v>
      </c>
      <c r="AK3410" s="80">
        <f t="shared" si="533"/>
        <v>0</v>
      </c>
      <c r="AM3410" s="85"/>
    </row>
    <row r="3411" spans="1:39" hidden="1" x14ac:dyDescent="0.3">
      <c r="A3411" s="89" t="s">
        <v>3397</v>
      </c>
      <c r="B3411" s="86" t="s">
        <v>35</v>
      </c>
      <c r="C3411" s="86" t="s">
        <v>47</v>
      </c>
      <c r="D3411" s="86" t="s">
        <v>63</v>
      </c>
      <c r="E3411" s="86" t="s">
        <v>2409</v>
      </c>
      <c r="F3411" s="86" t="s">
        <v>3435</v>
      </c>
      <c r="G3411" s="86" t="s">
        <v>2409</v>
      </c>
      <c r="H3411" s="144">
        <v>301</v>
      </c>
      <c r="I3411" s="86" t="s">
        <v>2680</v>
      </c>
      <c r="J3411" s="1" t="s">
        <v>3323</v>
      </c>
      <c r="K3411" s="1" t="s">
        <v>3285</v>
      </c>
      <c r="L3411" s="1" t="s">
        <v>35</v>
      </c>
      <c r="M3411" s="86" t="s">
        <v>2683</v>
      </c>
      <c r="N3411" s="86"/>
      <c r="O3411" s="47" t="s">
        <v>45</v>
      </c>
      <c r="P3411" s="47" t="s">
        <v>46</v>
      </c>
      <c r="Q3411" s="9">
        <v>0.15</v>
      </c>
      <c r="R3411" s="143">
        <v>40388</v>
      </c>
      <c r="S3411" s="47"/>
      <c r="T3411" s="6">
        <v>496351.63899999997</v>
      </c>
      <c r="U3411" s="6"/>
      <c r="V3411" s="6">
        <v>496351.63899999997</v>
      </c>
      <c r="W3411" s="6">
        <f t="shared" si="525"/>
        <v>0</v>
      </c>
      <c r="X3411" s="6">
        <f t="shared" si="526"/>
        <v>431610.12086956523</v>
      </c>
      <c r="Y3411" s="13">
        <f t="shared" si="531"/>
        <v>431610.12086956523</v>
      </c>
      <c r="Z3411" s="14">
        <v>0</v>
      </c>
      <c r="AA3411" s="6">
        <v>0</v>
      </c>
      <c r="AB3411" s="4">
        <f t="shared" si="532"/>
        <v>431610.12086956523</v>
      </c>
      <c r="AC3411" s="4">
        <f t="shared" si="534"/>
        <v>64741.518130434735</v>
      </c>
      <c r="AD3411" s="6">
        <v>0</v>
      </c>
      <c r="AE3411" s="2">
        <f>VLOOKUP(I3411,[1]媒体政策预估表!A:N,MATCH(O3411,[1]媒体政策预估表!$A$2:$M$2,0),0)</f>
        <v>0.1</v>
      </c>
      <c r="AF3411" s="6">
        <f t="shared" si="535"/>
        <v>0</v>
      </c>
      <c r="AG3411" s="9">
        <v>0.15</v>
      </c>
      <c r="AH3411" s="11">
        <f t="shared" si="536"/>
        <v>431610.12086956523</v>
      </c>
      <c r="AI3411" s="47"/>
      <c r="AJ3411" s="126" t="e">
        <v>#N/A</v>
      </c>
      <c r="AK3411" s="80">
        <f t="shared" si="533"/>
        <v>0</v>
      </c>
      <c r="AM3411" s="85"/>
    </row>
    <row r="3412" spans="1:39" hidden="1" x14ac:dyDescent="0.3">
      <c r="A3412" s="89" t="s">
        <v>3397</v>
      </c>
      <c r="B3412" s="86" t="s">
        <v>35</v>
      </c>
      <c r="C3412" s="86" t="s">
        <v>47</v>
      </c>
      <c r="D3412" s="86" t="s">
        <v>63</v>
      </c>
      <c r="E3412" s="86" t="s">
        <v>2409</v>
      </c>
      <c r="F3412" s="86" t="s">
        <v>2682</v>
      </c>
      <c r="G3412" s="86" t="s">
        <v>2409</v>
      </c>
      <c r="H3412" s="143">
        <v>301</v>
      </c>
      <c r="I3412" s="86" t="s">
        <v>2680</v>
      </c>
      <c r="J3412" s="1" t="s">
        <v>3323</v>
      </c>
      <c r="K3412" s="1" t="s">
        <v>3285</v>
      </c>
      <c r="L3412" s="1" t="s">
        <v>35</v>
      </c>
      <c r="M3412" s="86" t="s">
        <v>2684</v>
      </c>
      <c r="N3412" s="86"/>
      <c r="O3412" s="47" t="s">
        <v>45</v>
      </c>
      <c r="P3412" s="47" t="s">
        <v>46</v>
      </c>
      <c r="Q3412" s="9">
        <v>0.15</v>
      </c>
      <c r="R3412" s="143">
        <v>41245</v>
      </c>
      <c r="S3412" s="47"/>
      <c r="T3412" s="6">
        <v>106144.81999999995</v>
      </c>
      <c r="U3412" s="6"/>
      <c r="V3412" s="6">
        <v>0</v>
      </c>
      <c r="W3412" s="6">
        <f t="shared" si="525"/>
        <v>106144.81999999995</v>
      </c>
      <c r="X3412" s="6">
        <f t="shared" si="526"/>
        <v>0</v>
      </c>
      <c r="Y3412" s="13">
        <f t="shared" si="531"/>
        <v>0</v>
      </c>
      <c r="Z3412" s="14">
        <v>0</v>
      </c>
      <c r="AA3412" s="6">
        <v>0</v>
      </c>
      <c r="AB3412" s="4">
        <f t="shared" si="532"/>
        <v>0</v>
      </c>
      <c r="AC3412" s="4">
        <f t="shared" si="534"/>
        <v>0</v>
      </c>
      <c r="AD3412" s="6">
        <v>0</v>
      </c>
      <c r="AE3412" s="2">
        <f>VLOOKUP(I3412,[1]媒体政策预估表!A:N,MATCH(O3412,[1]媒体政策预估表!$A$2:$M$2,0),0)</f>
        <v>0.1</v>
      </c>
      <c r="AF3412" s="6">
        <f t="shared" si="535"/>
        <v>0</v>
      </c>
      <c r="AG3412" s="9">
        <v>0.15</v>
      </c>
      <c r="AH3412" s="11">
        <f t="shared" si="536"/>
        <v>0</v>
      </c>
      <c r="AI3412" s="47"/>
      <c r="AJ3412" s="126" t="e">
        <v>#N/A</v>
      </c>
      <c r="AK3412" s="80">
        <f t="shared" si="533"/>
        <v>0</v>
      </c>
      <c r="AM3412" s="85"/>
    </row>
    <row r="3413" spans="1:39" hidden="1" x14ac:dyDescent="0.3">
      <c r="A3413" s="89" t="s">
        <v>3397</v>
      </c>
      <c r="B3413" s="86" t="s">
        <v>35</v>
      </c>
      <c r="C3413" s="86" t="s">
        <v>47</v>
      </c>
      <c r="D3413" s="86" t="s">
        <v>63</v>
      </c>
      <c r="E3413" s="86" t="s">
        <v>2418</v>
      </c>
      <c r="F3413" s="86" t="s">
        <v>2685</v>
      </c>
      <c r="G3413" s="86" t="s">
        <v>2418</v>
      </c>
      <c r="H3413" s="143">
        <v>301</v>
      </c>
      <c r="I3413" s="86" t="s">
        <v>2680</v>
      </c>
      <c r="J3413" s="1" t="s">
        <v>3323</v>
      </c>
      <c r="K3413" s="1" t="s">
        <v>3285</v>
      </c>
      <c r="L3413" s="1" t="s">
        <v>35</v>
      </c>
      <c r="M3413" s="86" t="s">
        <v>2420</v>
      </c>
      <c r="N3413" s="86"/>
      <c r="O3413" s="47" t="s">
        <v>45</v>
      </c>
      <c r="P3413" s="47" t="s">
        <v>46</v>
      </c>
      <c r="Q3413" s="9">
        <v>0.15</v>
      </c>
      <c r="R3413" s="143">
        <v>30706</v>
      </c>
      <c r="S3413" s="47"/>
      <c r="T3413" s="6">
        <v>577631.91199999966</v>
      </c>
      <c r="U3413" s="6"/>
      <c r="V3413" s="6">
        <v>0</v>
      </c>
      <c r="W3413" s="6">
        <f t="shared" si="525"/>
        <v>577631.91199999966</v>
      </c>
      <c r="X3413" s="6">
        <f t="shared" si="526"/>
        <v>0</v>
      </c>
      <c r="Y3413" s="13">
        <f t="shared" si="531"/>
        <v>0</v>
      </c>
      <c r="Z3413" s="14">
        <v>0</v>
      </c>
      <c r="AA3413" s="6">
        <v>0</v>
      </c>
      <c r="AB3413" s="4">
        <f t="shared" si="532"/>
        <v>0</v>
      </c>
      <c r="AC3413" s="4">
        <f t="shared" si="534"/>
        <v>0</v>
      </c>
      <c r="AD3413" s="6">
        <v>0</v>
      </c>
      <c r="AE3413" s="2">
        <f>VLOOKUP(I3413,[1]媒体政策预估表!A:N,MATCH(O3413,[1]媒体政策预估表!$A$2:$M$2,0),0)</f>
        <v>0.1</v>
      </c>
      <c r="AF3413" s="6">
        <f t="shared" si="535"/>
        <v>0</v>
      </c>
      <c r="AG3413" s="9">
        <v>0.15</v>
      </c>
      <c r="AH3413" s="11">
        <f t="shared" si="536"/>
        <v>0</v>
      </c>
      <c r="AI3413" s="47"/>
      <c r="AJ3413" s="126" t="e">
        <v>#N/A</v>
      </c>
      <c r="AK3413" s="80">
        <f t="shared" si="533"/>
        <v>0</v>
      </c>
      <c r="AM3413" s="85"/>
    </row>
    <row r="3414" spans="1:39" hidden="1" x14ac:dyDescent="0.3">
      <c r="A3414" s="89" t="s">
        <v>3409</v>
      </c>
      <c r="B3414" s="86" t="s">
        <v>35</v>
      </c>
      <c r="C3414" s="86" t="s">
        <v>47</v>
      </c>
      <c r="D3414" s="86" t="s">
        <v>63</v>
      </c>
      <c r="E3414" s="86" t="s">
        <v>2418</v>
      </c>
      <c r="F3414" s="86" t="s">
        <v>2685</v>
      </c>
      <c r="G3414" s="86" t="s">
        <v>2418</v>
      </c>
      <c r="H3414" s="143">
        <v>301</v>
      </c>
      <c r="I3414" s="86" t="s">
        <v>2680</v>
      </c>
      <c r="J3414" s="1" t="s">
        <v>3323</v>
      </c>
      <c r="K3414" s="1" t="s">
        <v>3285</v>
      </c>
      <c r="L3414" s="1" t="s">
        <v>35</v>
      </c>
      <c r="M3414" s="86" t="s">
        <v>2686</v>
      </c>
      <c r="N3414" s="86"/>
      <c r="O3414" s="47" t="s">
        <v>45</v>
      </c>
      <c r="P3414" s="47" t="s">
        <v>46</v>
      </c>
      <c r="Q3414" s="9">
        <v>0.15</v>
      </c>
      <c r="R3414" s="143">
        <v>32605</v>
      </c>
      <c r="S3414" s="47"/>
      <c r="T3414" s="6">
        <v>41153.254499999981</v>
      </c>
      <c r="U3414" s="6"/>
      <c r="V3414" s="6">
        <v>0</v>
      </c>
      <c r="W3414" s="6">
        <f t="shared" si="525"/>
        <v>41153.254499999981</v>
      </c>
      <c r="X3414" s="6">
        <f t="shared" si="526"/>
        <v>0</v>
      </c>
      <c r="Y3414" s="13">
        <f t="shared" si="531"/>
        <v>0</v>
      </c>
      <c r="Z3414" s="14">
        <v>0</v>
      </c>
      <c r="AA3414" s="6">
        <v>0</v>
      </c>
      <c r="AB3414" s="4">
        <f t="shared" si="532"/>
        <v>0</v>
      </c>
      <c r="AC3414" s="4">
        <f t="shared" si="534"/>
        <v>0</v>
      </c>
      <c r="AD3414" s="6">
        <v>0</v>
      </c>
      <c r="AE3414" s="2">
        <f>VLOOKUP(I3414,[1]媒体政策预估表!A:N,MATCH(O3414,[1]媒体政策预估表!$A$2:$M$2,0),0)</f>
        <v>0.1</v>
      </c>
      <c r="AF3414" s="6">
        <f t="shared" si="535"/>
        <v>0</v>
      </c>
      <c r="AG3414" s="9">
        <v>0.15</v>
      </c>
      <c r="AH3414" s="11">
        <f t="shared" si="536"/>
        <v>0</v>
      </c>
      <c r="AI3414" s="47"/>
      <c r="AJ3414" s="126" t="e">
        <v>#N/A</v>
      </c>
      <c r="AK3414" s="80">
        <f t="shared" si="533"/>
        <v>0</v>
      </c>
      <c r="AM3414" s="85"/>
    </row>
    <row r="3415" spans="1:39" hidden="1" x14ac:dyDescent="0.3">
      <c r="A3415" s="89" t="s">
        <v>3397</v>
      </c>
      <c r="B3415" s="86" t="s">
        <v>35</v>
      </c>
      <c r="C3415" s="86" t="s">
        <v>47</v>
      </c>
      <c r="D3415" s="86" t="s">
        <v>63</v>
      </c>
      <c r="E3415" s="86" t="s">
        <v>2409</v>
      </c>
      <c r="F3415" s="86" t="s">
        <v>2682</v>
      </c>
      <c r="G3415" s="86" t="s">
        <v>2409</v>
      </c>
      <c r="H3415" s="143">
        <v>301</v>
      </c>
      <c r="I3415" s="86" t="s">
        <v>2680</v>
      </c>
      <c r="J3415" s="1" t="s">
        <v>3323</v>
      </c>
      <c r="K3415" s="1" t="s">
        <v>3285</v>
      </c>
      <c r="L3415" s="1" t="s">
        <v>35</v>
      </c>
      <c r="M3415" s="86" t="s">
        <v>2687</v>
      </c>
      <c r="N3415" s="86"/>
      <c r="O3415" s="47" t="s">
        <v>45</v>
      </c>
      <c r="P3415" s="47" t="s">
        <v>46</v>
      </c>
      <c r="Q3415" s="9">
        <v>0.15</v>
      </c>
      <c r="R3415" s="143">
        <v>34670</v>
      </c>
      <c r="S3415" s="47"/>
      <c r="T3415" s="6">
        <v>45000.331500000029</v>
      </c>
      <c r="U3415" s="6"/>
      <c r="V3415" s="6">
        <v>0</v>
      </c>
      <c r="W3415" s="6">
        <f t="shared" si="525"/>
        <v>45000.331500000029</v>
      </c>
      <c r="X3415" s="6">
        <f t="shared" si="526"/>
        <v>0</v>
      </c>
      <c r="Y3415" s="13">
        <f t="shared" si="531"/>
        <v>0</v>
      </c>
      <c r="Z3415" s="14">
        <v>0</v>
      </c>
      <c r="AA3415" s="6">
        <v>0</v>
      </c>
      <c r="AB3415" s="4">
        <f t="shared" si="532"/>
        <v>0</v>
      </c>
      <c r="AC3415" s="4">
        <f t="shared" si="534"/>
        <v>0</v>
      </c>
      <c r="AD3415" s="6">
        <v>0</v>
      </c>
      <c r="AE3415" s="2">
        <f>VLOOKUP(I3415,[1]媒体政策预估表!A:N,MATCH(O3415,[1]媒体政策预估表!$A$2:$M$2,0),0)</f>
        <v>0.1</v>
      </c>
      <c r="AF3415" s="6">
        <f t="shared" si="535"/>
        <v>0</v>
      </c>
      <c r="AG3415" s="9">
        <v>0.15</v>
      </c>
      <c r="AH3415" s="11">
        <f t="shared" si="536"/>
        <v>0</v>
      </c>
      <c r="AI3415" s="47"/>
      <c r="AJ3415" s="126" t="e">
        <v>#N/A</v>
      </c>
      <c r="AK3415" s="80">
        <f t="shared" si="533"/>
        <v>0</v>
      </c>
      <c r="AM3415" s="85"/>
    </row>
    <row r="3416" spans="1:39" hidden="1" x14ac:dyDescent="0.3">
      <c r="A3416" s="89" t="s">
        <v>3409</v>
      </c>
      <c r="B3416" s="86" t="s">
        <v>35</v>
      </c>
      <c r="C3416" s="86" t="s">
        <v>47</v>
      </c>
      <c r="D3416" s="86" t="s">
        <v>63</v>
      </c>
      <c r="E3416" s="86" t="s">
        <v>2409</v>
      </c>
      <c r="F3416" s="86" t="s">
        <v>2682</v>
      </c>
      <c r="G3416" s="86" t="s">
        <v>2409</v>
      </c>
      <c r="H3416" s="143">
        <v>301</v>
      </c>
      <c r="I3416" s="86" t="s">
        <v>2680</v>
      </c>
      <c r="J3416" s="1" t="s">
        <v>3323</v>
      </c>
      <c r="K3416" s="1" t="s">
        <v>3285</v>
      </c>
      <c r="L3416" s="1" t="s">
        <v>35</v>
      </c>
      <c r="M3416" s="86" t="s">
        <v>2688</v>
      </c>
      <c r="N3416" s="86"/>
      <c r="O3416" s="47" t="s">
        <v>45</v>
      </c>
      <c r="P3416" s="47" t="s">
        <v>46</v>
      </c>
      <c r="Q3416" s="9">
        <v>0.15</v>
      </c>
      <c r="R3416" s="143">
        <v>39284</v>
      </c>
      <c r="S3416" s="47"/>
      <c r="T3416" s="6">
        <v>-0.48100000011618249</v>
      </c>
      <c r="U3416" s="6"/>
      <c r="V3416" s="6">
        <v>0</v>
      </c>
      <c r="W3416" s="6">
        <f t="shared" si="525"/>
        <v>-0.48100000011618249</v>
      </c>
      <c r="X3416" s="6">
        <f t="shared" si="526"/>
        <v>0</v>
      </c>
      <c r="Y3416" s="13">
        <f t="shared" si="531"/>
        <v>0</v>
      </c>
      <c r="Z3416" s="14">
        <v>0</v>
      </c>
      <c r="AA3416" s="6">
        <v>0</v>
      </c>
      <c r="AB3416" s="4">
        <f t="shared" si="532"/>
        <v>0</v>
      </c>
      <c r="AC3416" s="4">
        <f t="shared" si="534"/>
        <v>0</v>
      </c>
      <c r="AD3416" s="6">
        <v>0</v>
      </c>
      <c r="AE3416" s="2">
        <f>VLOOKUP(I3416,[1]媒体政策预估表!A:N,MATCH(O3416,[1]媒体政策预估表!$A$2:$M$2,0),0)</f>
        <v>0.1</v>
      </c>
      <c r="AF3416" s="6">
        <f t="shared" si="535"/>
        <v>0</v>
      </c>
      <c r="AG3416" s="9">
        <v>0.15</v>
      </c>
      <c r="AH3416" s="11">
        <f t="shared" si="536"/>
        <v>0</v>
      </c>
      <c r="AI3416" s="47"/>
      <c r="AJ3416" s="126" t="e">
        <v>#N/A</v>
      </c>
      <c r="AK3416" s="80">
        <f t="shared" si="533"/>
        <v>0</v>
      </c>
      <c r="AM3416" s="85"/>
    </row>
    <row r="3417" spans="1:39" hidden="1" x14ac:dyDescent="0.3">
      <c r="A3417" s="89" t="s">
        <v>3397</v>
      </c>
      <c r="B3417" s="86" t="s">
        <v>35</v>
      </c>
      <c r="C3417" s="86" t="s">
        <v>144</v>
      </c>
      <c r="D3417" s="86" t="s">
        <v>145</v>
      </c>
      <c r="E3417" s="86" t="s">
        <v>2689</v>
      </c>
      <c r="F3417" s="86" t="s">
        <v>2689</v>
      </c>
      <c r="G3417" s="86" t="s">
        <v>2689</v>
      </c>
      <c r="H3417" s="143">
        <v>301</v>
      </c>
      <c r="I3417" s="86" t="s">
        <v>2680</v>
      </c>
      <c r="J3417" s="1" t="s">
        <v>3323</v>
      </c>
      <c r="K3417" s="1" t="s">
        <v>3285</v>
      </c>
      <c r="L3417" s="1" t="s">
        <v>35</v>
      </c>
      <c r="M3417" s="86" t="s">
        <v>2689</v>
      </c>
      <c r="N3417" s="86"/>
      <c r="O3417" s="47" t="s">
        <v>45</v>
      </c>
      <c r="P3417" s="47" t="s">
        <v>46</v>
      </c>
      <c r="Q3417" s="9">
        <v>0.12</v>
      </c>
      <c r="R3417" s="143">
        <v>10656</v>
      </c>
      <c r="S3417" s="47"/>
      <c r="T3417" s="6">
        <v>675.27800000000207</v>
      </c>
      <c r="U3417" s="6"/>
      <c r="V3417" s="6">
        <v>0</v>
      </c>
      <c r="W3417" s="6">
        <f t="shared" si="525"/>
        <v>675.27800000000207</v>
      </c>
      <c r="X3417" s="6">
        <f t="shared" si="526"/>
        <v>0</v>
      </c>
      <c r="Y3417" s="13">
        <f t="shared" si="531"/>
        <v>0</v>
      </c>
      <c r="Z3417" s="14">
        <v>0</v>
      </c>
      <c r="AA3417" s="6">
        <v>0</v>
      </c>
      <c r="AB3417" s="4">
        <f t="shared" si="532"/>
        <v>0</v>
      </c>
      <c r="AC3417" s="4">
        <f t="shared" si="534"/>
        <v>0</v>
      </c>
      <c r="AD3417" s="6">
        <v>0</v>
      </c>
      <c r="AE3417" s="2">
        <f>VLOOKUP(I3417,[1]媒体政策预估表!A:N,MATCH(O3417,[1]媒体政策预估表!$A$2:$M$2,0),0)</f>
        <v>0.1</v>
      </c>
      <c r="AF3417" s="6">
        <f t="shared" si="535"/>
        <v>0</v>
      </c>
      <c r="AG3417" s="9">
        <v>0.15</v>
      </c>
      <c r="AH3417" s="11">
        <f t="shared" si="536"/>
        <v>0</v>
      </c>
      <c r="AI3417" s="47"/>
      <c r="AJ3417" s="126" t="e">
        <v>#N/A</v>
      </c>
      <c r="AK3417" s="80">
        <f t="shared" si="533"/>
        <v>0</v>
      </c>
      <c r="AM3417" s="85"/>
    </row>
    <row r="3418" spans="1:39" hidden="1" x14ac:dyDescent="0.3">
      <c r="A3418" s="89" t="s">
        <v>3397</v>
      </c>
      <c r="B3418" s="86" t="s">
        <v>35</v>
      </c>
      <c r="C3418" s="86" t="s">
        <v>144</v>
      </c>
      <c r="D3418" s="86" t="s">
        <v>145</v>
      </c>
      <c r="E3418" s="86" t="s">
        <v>2689</v>
      </c>
      <c r="F3418" s="86" t="s">
        <v>2689</v>
      </c>
      <c r="G3418" s="86" t="s">
        <v>2689</v>
      </c>
      <c r="H3418" s="143">
        <v>301</v>
      </c>
      <c r="I3418" s="86" t="s">
        <v>2680</v>
      </c>
      <c r="J3418" s="1" t="s">
        <v>3323</v>
      </c>
      <c r="K3418" s="1" t="s">
        <v>3285</v>
      </c>
      <c r="L3418" s="1" t="s">
        <v>35</v>
      </c>
      <c r="M3418" s="86" t="s">
        <v>2689</v>
      </c>
      <c r="N3418" s="86"/>
      <c r="O3418" s="47" t="s">
        <v>45</v>
      </c>
      <c r="P3418" s="47" t="s">
        <v>46</v>
      </c>
      <c r="Q3418" s="9">
        <v>0.12</v>
      </c>
      <c r="R3418" s="143">
        <v>40513</v>
      </c>
      <c r="S3418" s="47"/>
      <c r="T3418" s="6">
        <v>13132.321499999998</v>
      </c>
      <c r="U3418" s="6"/>
      <c r="V3418" s="6">
        <v>0</v>
      </c>
      <c r="W3418" s="6">
        <f t="shared" si="525"/>
        <v>13132.321499999998</v>
      </c>
      <c r="X3418" s="6">
        <f t="shared" si="526"/>
        <v>0</v>
      </c>
      <c r="Y3418" s="13">
        <f t="shared" si="531"/>
        <v>0</v>
      </c>
      <c r="Z3418" s="14">
        <v>0</v>
      </c>
      <c r="AA3418" s="6">
        <v>0</v>
      </c>
      <c r="AB3418" s="4">
        <f t="shared" si="532"/>
        <v>0</v>
      </c>
      <c r="AC3418" s="4">
        <f t="shared" si="534"/>
        <v>0</v>
      </c>
      <c r="AD3418" s="6">
        <v>0</v>
      </c>
      <c r="AE3418" s="2">
        <f>VLOOKUP(I3418,[1]媒体政策预估表!A:N,MATCH(O3418,[1]媒体政策预估表!$A$2:$M$2,0),0)</f>
        <v>0.1</v>
      </c>
      <c r="AF3418" s="6">
        <f t="shared" si="535"/>
        <v>0</v>
      </c>
      <c r="AG3418" s="9">
        <v>0.15</v>
      </c>
      <c r="AH3418" s="11">
        <f t="shared" si="536"/>
        <v>0</v>
      </c>
      <c r="AI3418" s="47"/>
      <c r="AJ3418" s="126" t="e">
        <v>#N/A</v>
      </c>
      <c r="AK3418" s="80">
        <f t="shared" si="533"/>
        <v>0</v>
      </c>
      <c r="AM3418" s="85"/>
    </row>
    <row r="3419" spans="1:39" hidden="1" x14ac:dyDescent="0.3">
      <c r="A3419" s="89" t="s">
        <v>3397</v>
      </c>
      <c r="B3419" s="86" t="s">
        <v>35</v>
      </c>
      <c r="C3419" s="86" t="s">
        <v>187</v>
      </c>
      <c r="D3419" s="86" t="s">
        <v>188</v>
      </c>
      <c r="E3419" s="86" t="s">
        <v>2486</v>
      </c>
      <c r="F3419" s="86" t="s">
        <v>2486</v>
      </c>
      <c r="G3419" s="86" t="s">
        <v>2486</v>
      </c>
      <c r="H3419" s="143">
        <v>301</v>
      </c>
      <c r="I3419" s="86" t="s">
        <v>2680</v>
      </c>
      <c r="J3419" s="1" t="s">
        <v>3323</v>
      </c>
      <c r="K3419" s="1" t="s">
        <v>3285</v>
      </c>
      <c r="L3419" s="1" t="s">
        <v>35</v>
      </c>
      <c r="M3419" s="86" t="s">
        <v>2486</v>
      </c>
      <c r="N3419" s="86"/>
      <c r="O3419" s="47" t="s">
        <v>45</v>
      </c>
      <c r="P3419" s="47" t="s">
        <v>41</v>
      </c>
      <c r="Q3419" s="9">
        <v>0</v>
      </c>
      <c r="R3419" s="143">
        <v>40608</v>
      </c>
      <c r="S3419" s="47"/>
      <c r="T3419" s="6">
        <v>1.4499999999088686E-2</v>
      </c>
      <c r="U3419" s="6"/>
      <c r="V3419" s="6">
        <v>0</v>
      </c>
      <c r="W3419" s="6">
        <f t="shared" si="525"/>
        <v>1.4499999999088686E-2</v>
      </c>
      <c r="X3419" s="6">
        <f t="shared" si="526"/>
        <v>0</v>
      </c>
      <c r="Y3419" s="13">
        <f t="shared" si="531"/>
        <v>0</v>
      </c>
      <c r="Z3419" s="14">
        <v>0</v>
      </c>
      <c r="AA3419" s="6">
        <v>0</v>
      </c>
      <c r="AB3419" s="4">
        <f t="shared" si="532"/>
        <v>0</v>
      </c>
      <c r="AC3419" s="4">
        <f t="shared" si="534"/>
        <v>0</v>
      </c>
      <c r="AD3419" s="6">
        <v>0</v>
      </c>
      <c r="AE3419" s="2">
        <f>VLOOKUP(I3419,[1]媒体政策预估表!A:N,MATCH(O3419,[1]媒体政策预估表!$A$2:$M$2,0),0)</f>
        <v>0.1</v>
      </c>
      <c r="AF3419" s="6">
        <f t="shared" si="535"/>
        <v>0</v>
      </c>
      <c r="AG3419" s="9">
        <v>0.15</v>
      </c>
      <c r="AH3419" s="11">
        <f t="shared" si="536"/>
        <v>0</v>
      </c>
      <c r="AI3419" s="47"/>
      <c r="AJ3419" s="126" t="e">
        <v>#N/A</v>
      </c>
      <c r="AK3419" s="80">
        <f t="shared" si="533"/>
        <v>0</v>
      </c>
      <c r="AM3419" s="85"/>
    </row>
    <row r="3420" spans="1:39" hidden="1" x14ac:dyDescent="0.3">
      <c r="A3420" s="89" t="s">
        <v>3397</v>
      </c>
      <c r="B3420" s="86" t="s">
        <v>35</v>
      </c>
      <c r="C3420" s="86" t="s">
        <v>187</v>
      </c>
      <c r="D3420" s="86" t="s">
        <v>208</v>
      </c>
      <c r="E3420" s="86" t="s">
        <v>2690</v>
      </c>
      <c r="F3420" s="86" t="s">
        <v>2690</v>
      </c>
      <c r="G3420" s="86" t="s">
        <v>2690</v>
      </c>
      <c r="H3420" s="143">
        <v>301</v>
      </c>
      <c r="I3420" s="86" t="s">
        <v>2680</v>
      </c>
      <c r="J3420" s="1" t="s">
        <v>3323</v>
      </c>
      <c r="K3420" s="1" t="s">
        <v>3285</v>
      </c>
      <c r="L3420" s="1" t="s">
        <v>35</v>
      </c>
      <c r="M3420" s="86" t="s">
        <v>2690</v>
      </c>
      <c r="N3420" s="86"/>
      <c r="O3420" s="47" t="s">
        <v>45</v>
      </c>
      <c r="P3420" s="47" t="s">
        <v>46</v>
      </c>
      <c r="Q3420" s="9">
        <v>0.05</v>
      </c>
      <c r="R3420" s="143">
        <v>40061</v>
      </c>
      <c r="S3420" s="47"/>
      <c r="T3420" s="6">
        <v>1.3999999999668944E-2</v>
      </c>
      <c r="U3420" s="6"/>
      <c r="V3420" s="6">
        <v>0</v>
      </c>
      <c r="W3420" s="6">
        <f t="shared" si="525"/>
        <v>1.3999999999668944E-2</v>
      </c>
      <c r="X3420" s="6">
        <f t="shared" si="526"/>
        <v>0</v>
      </c>
      <c r="Y3420" s="13">
        <f t="shared" si="531"/>
        <v>0</v>
      </c>
      <c r="Z3420" s="14">
        <v>0</v>
      </c>
      <c r="AA3420" s="6">
        <v>0</v>
      </c>
      <c r="AB3420" s="4">
        <f t="shared" si="532"/>
        <v>0</v>
      </c>
      <c r="AC3420" s="4">
        <f t="shared" si="534"/>
        <v>0</v>
      </c>
      <c r="AD3420" s="6">
        <v>0</v>
      </c>
      <c r="AE3420" s="2">
        <f>VLOOKUP(I3420,[1]媒体政策预估表!A:N,MATCH(O3420,[1]媒体政策预估表!$A$2:$M$2,0),0)</f>
        <v>0.1</v>
      </c>
      <c r="AF3420" s="6">
        <f t="shared" si="535"/>
        <v>0</v>
      </c>
      <c r="AG3420" s="9">
        <v>0.15</v>
      </c>
      <c r="AH3420" s="11">
        <f t="shared" si="536"/>
        <v>0</v>
      </c>
      <c r="AI3420" s="47"/>
      <c r="AJ3420" s="126" t="e">
        <v>#N/A</v>
      </c>
      <c r="AK3420" s="80">
        <f t="shared" si="533"/>
        <v>0</v>
      </c>
      <c r="AM3420" s="85"/>
    </row>
    <row r="3421" spans="1:39" hidden="1" x14ac:dyDescent="0.3">
      <c r="A3421" s="89" t="s">
        <v>3397</v>
      </c>
      <c r="B3421" s="86" t="s">
        <v>35</v>
      </c>
      <c r="C3421" s="86" t="s">
        <v>187</v>
      </c>
      <c r="D3421" s="86" t="s">
        <v>208</v>
      </c>
      <c r="E3421" s="86" t="s">
        <v>2690</v>
      </c>
      <c r="F3421" s="86" t="s">
        <v>2690</v>
      </c>
      <c r="G3421" s="86" t="s">
        <v>2690</v>
      </c>
      <c r="H3421" s="143">
        <v>301</v>
      </c>
      <c r="I3421" s="86" t="s">
        <v>2680</v>
      </c>
      <c r="J3421" s="1" t="s">
        <v>3323</v>
      </c>
      <c r="K3421" s="1" t="s">
        <v>3285</v>
      </c>
      <c r="L3421" s="1" t="s">
        <v>35</v>
      </c>
      <c r="M3421" s="86" t="s">
        <v>2690</v>
      </c>
      <c r="N3421" s="86"/>
      <c r="O3421" s="47" t="s">
        <v>45</v>
      </c>
      <c r="P3421" s="47" t="s">
        <v>46</v>
      </c>
      <c r="Q3421" s="9">
        <v>0.05</v>
      </c>
      <c r="R3421" s="143">
        <v>40850</v>
      </c>
      <c r="S3421" s="47"/>
      <c r="T3421" s="6">
        <v>2740.9789999999998</v>
      </c>
      <c r="U3421" s="6"/>
      <c r="V3421" s="6">
        <v>0</v>
      </c>
      <c r="W3421" s="6">
        <v>0</v>
      </c>
      <c r="X3421" s="6">
        <f t="shared" si="526"/>
        <v>0</v>
      </c>
      <c r="Y3421" s="13">
        <f t="shared" si="531"/>
        <v>0</v>
      </c>
      <c r="Z3421" s="14">
        <v>0</v>
      </c>
      <c r="AA3421" s="6">
        <v>0</v>
      </c>
      <c r="AB3421" s="4">
        <f t="shared" si="532"/>
        <v>0</v>
      </c>
      <c r="AC3421" s="4">
        <f t="shared" si="534"/>
        <v>0</v>
      </c>
      <c r="AD3421" s="6">
        <v>0</v>
      </c>
      <c r="AE3421" s="2">
        <f>VLOOKUP(I3421,[1]媒体政策预估表!A:N,MATCH(O3421,[1]媒体政策预估表!$A$2:$M$2,0),0)</f>
        <v>0.1</v>
      </c>
      <c r="AF3421" s="6">
        <f t="shared" si="535"/>
        <v>0</v>
      </c>
      <c r="AG3421" s="9">
        <v>0.15</v>
      </c>
      <c r="AH3421" s="11">
        <f t="shared" si="536"/>
        <v>0</v>
      </c>
      <c r="AI3421" s="47"/>
      <c r="AJ3421" s="126" t="e">
        <v>#N/A</v>
      </c>
      <c r="AK3421" s="80">
        <f t="shared" si="533"/>
        <v>0</v>
      </c>
      <c r="AM3421" s="85"/>
    </row>
    <row r="3422" spans="1:39" hidden="1" x14ac:dyDescent="0.3">
      <c r="A3422" s="89" t="s">
        <v>3397</v>
      </c>
      <c r="B3422" s="86" t="s">
        <v>35</v>
      </c>
      <c r="C3422" s="86" t="s">
        <v>47</v>
      </c>
      <c r="D3422" s="86" t="s">
        <v>63</v>
      </c>
      <c r="E3422" s="86" t="s">
        <v>2409</v>
      </c>
      <c r="F3422" s="86" t="s">
        <v>2682</v>
      </c>
      <c r="G3422" s="86" t="s">
        <v>2409</v>
      </c>
      <c r="H3422" s="143">
        <v>301</v>
      </c>
      <c r="I3422" s="86" t="s">
        <v>2680</v>
      </c>
      <c r="J3422" s="1" t="s">
        <v>3323</v>
      </c>
      <c r="K3422" s="1" t="s">
        <v>3285</v>
      </c>
      <c r="L3422" s="1" t="s">
        <v>35</v>
      </c>
      <c r="M3422" s="86" t="s">
        <v>2691</v>
      </c>
      <c r="N3422" s="86"/>
      <c r="O3422" s="47" t="s">
        <v>45</v>
      </c>
      <c r="P3422" s="47" t="s">
        <v>46</v>
      </c>
      <c r="Q3422" s="9">
        <v>0.15</v>
      </c>
      <c r="R3422" s="143">
        <v>32604</v>
      </c>
      <c r="S3422" s="47"/>
      <c r="T3422" s="6">
        <v>9.9999999802093953E-3</v>
      </c>
      <c r="U3422" s="6"/>
      <c r="V3422" s="6">
        <v>0</v>
      </c>
      <c r="W3422" s="6">
        <f t="shared" si="525"/>
        <v>9.9999999802093953E-3</v>
      </c>
      <c r="X3422" s="6">
        <f t="shared" si="526"/>
        <v>0</v>
      </c>
      <c r="Y3422" s="13">
        <f t="shared" si="531"/>
        <v>0</v>
      </c>
      <c r="Z3422" s="14">
        <v>0</v>
      </c>
      <c r="AA3422" s="6">
        <v>0</v>
      </c>
      <c r="AB3422" s="4">
        <f t="shared" si="532"/>
        <v>0</v>
      </c>
      <c r="AC3422" s="4">
        <f t="shared" si="534"/>
        <v>0</v>
      </c>
      <c r="AD3422" s="6">
        <v>0</v>
      </c>
      <c r="AE3422" s="2">
        <f>VLOOKUP(I3422,[1]媒体政策预估表!A:N,MATCH(O3422,[1]媒体政策预估表!$A$2:$M$2,0),0)</f>
        <v>0.1</v>
      </c>
      <c r="AF3422" s="6">
        <f t="shared" si="535"/>
        <v>0</v>
      </c>
      <c r="AG3422" s="9">
        <v>0.2</v>
      </c>
      <c r="AH3422" s="11">
        <f t="shared" si="536"/>
        <v>0</v>
      </c>
      <c r="AI3422" s="47"/>
      <c r="AJ3422" s="126" t="e">
        <v>#N/A</v>
      </c>
      <c r="AK3422" s="80">
        <f t="shared" si="533"/>
        <v>0</v>
      </c>
      <c r="AM3422" s="85"/>
    </row>
    <row r="3423" spans="1:39" hidden="1" x14ac:dyDescent="0.3">
      <c r="A3423" s="89" t="s">
        <v>3397</v>
      </c>
      <c r="B3423" s="86" t="s">
        <v>35</v>
      </c>
      <c r="C3423" s="86" t="s">
        <v>144</v>
      </c>
      <c r="D3423" s="86" t="s">
        <v>145</v>
      </c>
      <c r="E3423" s="86" t="s">
        <v>2692</v>
      </c>
      <c r="F3423" s="86" t="s">
        <v>2693</v>
      </c>
      <c r="G3423" s="86" t="s">
        <v>2692</v>
      </c>
      <c r="H3423" s="143">
        <v>301</v>
      </c>
      <c r="I3423" s="86" t="s">
        <v>2680</v>
      </c>
      <c r="J3423" s="1" t="s">
        <v>3323</v>
      </c>
      <c r="K3423" s="1" t="s">
        <v>3285</v>
      </c>
      <c r="L3423" s="1" t="s">
        <v>35</v>
      </c>
      <c r="M3423" s="86" t="s">
        <v>2692</v>
      </c>
      <c r="N3423" s="86"/>
      <c r="O3423" s="47" t="s">
        <v>45</v>
      </c>
      <c r="P3423" s="47" t="s">
        <v>46</v>
      </c>
      <c r="Q3423" s="9">
        <v>0.1</v>
      </c>
      <c r="R3423" s="143">
        <v>1595</v>
      </c>
      <c r="S3423" s="47"/>
      <c r="T3423" s="6">
        <v>-128.19200000000077</v>
      </c>
      <c r="U3423" s="6"/>
      <c r="V3423" s="6">
        <v>0</v>
      </c>
      <c r="W3423" s="6">
        <f t="shared" si="525"/>
        <v>-128.19200000000077</v>
      </c>
      <c r="X3423" s="6">
        <f t="shared" si="526"/>
        <v>0</v>
      </c>
      <c r="Y3423" s="13">
        <f t="shared" si="531"/>
        <v>0</v>
      </c>
      <c r="Z3423" s="14">
        <v>0</v>
      </c>
      <c r="AA3423" s="6">
        <v>0</v>
      </c>
      <c r="AB3423" s="4">
        <f t="shared" si="532"/>
        <v>0</v>
      </c>
      <c r="AC3423" s="4">
        <f t="shared" si="534"/>
        <v>0</v>
      </c>
      <c r="AD3423" s="6">
        <v>0</v>
      </c>
      <c r="AE3423" s="2">
        <f>VLOOKUP(I3423,[1]媒体政策预估表!A:N,MATCH(O3423,[1]媒体政策预估表!$A$2:$M$2,0),0)</f>
        <v>0.1</v>
      </c>
      <c r="AF3423" s="6">
        <f t="shared" si="535"/>
        <v>0</v>
      </c>
      <c r="AG3423" s="9">
        <v>0.2</v>
      </c>
      <c r="AH3423" s="11">
        <f t="shared" si="536"/>
        <v>0</v>
      </c>
      <c r="AI3423" s="47"/>
      <c r="AJ3423" s="126" t="e">
        <v>#N/A</v>
      </c>
      <c r="AK3423" s="80">
        <f t="shared" si="533"/>
        <v>0</v>
      </c>
      <c r="AM3423" s="85"/>
    </row>
    <row r="3424" spans="1:39" hidden="1" x14ac:dyDescent="0.3">
      <c r="A3424" s="89" t="s">
        <v>3397</v>
      </c>
      <c r="B3424" s="86" t="s">
        <v>35</v>
      </c>
      <c r="C3424" s="86" t="s">
        <v>144</v>
      </c>
      <c r="D3424" s="86" t="s">
        <v>145</v>
      </c>
      <c r="E3424" s="86" t="s">
        <v>2692</v>
      </c>
      <c r="F3424" s="86" t="s">
        <v>2693</v>
      </c>
      <c r="G3424" s="86" t="s">
        <v>2692</v>
      </c>
      <c r="H3424" s="143">
        <v>301</v>
      </c>
      <c r="I3424" s="86" t="s">
        <v>2680</v>
      </c>
      <c r="J3424" s="1" t="s">
        <v>3323</v>
      </c>
      <c r="K3424" s="1" t="s">
        <v>3285</v>
      </c>
      <c r="L3424" s="1" t="s">
        <v>35</v>
      </c>
      <c r="M3424" s="86" t="s">
        <v>2692</v>
      </c>
      <c r="N3424" s="86"/>
      <c r="O3424" s="47" t="s">
        <v>45</v>
      </c>
      <c r="P3424" s="47" t="s">
        <v>46</v>
      </c>
      <c r="Q3424" s="9">
        <v>0.1</v>
      </c>
      <c r="R3424" s="143">
        <v>3647</v>
      </c>
      <c r="S3424" s="47"/>
      <c r="T3424" s="6">
        <v>-0.314</v>
      </c>
      <c r="U3424" s="6"/>
      <c r="V3424" s="6">
        <v>0</v>
      </c>
      <c r="W3424" s="6">
        <f t="shared" si="525"/>
        <v>-0.314</v>
      </c>
      <c r="X3424" s="6">
        <f t="shared" si="526"/>
        <v>0</v>
      </c>
      <c r="Y3424" s="13">
        <f t="shared" si="531"/>
        <v>0</v>
      </c>
      <c r="Z3424" s="14">
        <v>0</v>
      </c>
      <c r="AA3424" s="6">
        <v>0</v>
      </c>
      <c r="AB3424" s="4">
        <f t="shared" si="532"/>
        <v>0</v>
      </c>
      <c r="AC3424" s="4">
        <f t="shared" si="534"/>
        <v>0</v>
      </c>
      <c r="AD3424" s="6">
        <v>0</v>
      </c>
      <c r="AE3424" s="2">
        <f>VLOOKUP(I3424,[1]媒体政策预估表!A:N,MATCH(O3424,[1]媒体政策预估表!$A$2:$M$2,0),0)</f>
        <v>0.1</v>
      </c>
      <c r="AF3424" s="6">
        <f t="shared" si="535"/>
        <v>0</v>
      </c>
      <c r="AG3424" s="9">
        <v>0.2</v>
      </c>
      <c r="AH3424" s="11">
        <f t="shared" si="536"/>
        <v>0</v>
      </c>
      <c r="AI3424" s="47"/>
      <c r="AJ3424" s="126" t="e">
        <v>#N/A</v>
      </c>
      <c r="AK3424" s="80">
        <f t="shared" si="533"/>
        <v>0</v>
      </c>
      <c r="AM3424" s="85"/>
    </row>
    <row r="3425" spans="1:39" hidden="1" x14ac:dyDescent="0.3">
      <c r="A3425" s="89" t="s">
        <v>3397</v>
      </c>
      <c r="B3425" s="86" t="s">
        <v>35</v>
      </c>
      <c r="C3425" s="86" t="s">
        <v>47</v>
      </c>
      <c r="D3425" s="86" t="s">
        <v>63</v>
      </c>
      <c r="E3425" s="86" t="s">
        <v>2388</v>
      </c>
      <c r="F3425" s="86" t="s">
        <v>2388</v>
      </c>
      <c r="G3425" s="86" t="s">
        <v>2388</v>
      </c>
      <c r="H3425" s="143">
        <v>301</v>
      </c>
      <c r="I3425" s="86" t="s">
        <v>2680</v>
      </c>
      <c r="J3425" s="1" t="s">
        <v>3323</v>
      </c>
      <c r="K3425" s="1" t="s">
        <v>3285</v>
      </c>
      <c r="L3425" s="1" t="s">
        <v>35</v>
      </c>
      <c r="M3425" s="86" t="s">
        <v>2694</v>
      </c>
      <c r="N3425" s="86"/>
      <c r="O3425" s="47" t="s">
        <v>45</v>
      </c>
      <c r="P3425" s="47" t="s">
        <v>46</v>
      </c>
      <c r="Q3425" s="9">
        <v>0.15</v>
      </c>
      <c r="R3425" s="143">
        <v>37533</v>
      </c>
      <c r="S3425" s="47"/>
      <c r="T3425" s="6">
        <v>8125.5360000000001</v>
      </c>
      <c r="U3425" s="6"/>
      <c r="V3425" s="6">
        <v>0</v>
      </c>
      <c r="W3425" s="6">
        <f t="shared" si="525"/>
        <v>8125.5360000000001</v>
      </c>
      <c r="X3425" s="6">
        <f t="shared" si="526"/>
        <v>0</v>
      </c>
      <c r="Y3425" s="13">
        <f t="shared" si="531"/>
        <v>0</v>
      </c>
      <c r="Z3425" s="14">
        <v>0</v>
      </c>
      <c r="AA3425" s="6">
        <v>0</v>
      </c>
      <c r="AB3425" s="4">
        <f t="shared" si="532"/>
        <v>0</v>
      </c>
      <c r="AC3425" s="4">
        <f t="shared" si="534"/>
        <v>0</v>
      </c>
      <c r="AD3425" s="6">
        <v>0</v>
      </c>
      <c r="AE3425" s="2">
        <f>VLOOKUP(I3425,[1]媒体政策预估表!A:N,MATCH(O3425,[1]媒体政策预估表!$A$2:$M$2,0),0)</f>
        <v>0.1</v>
      </c>
      <c r="AF3425" s="6">
        <f t="shared" si="535"/>
        <v>0</v>
      </c>
      <c r="AG3425" s="9">
        <v>0.2</v>
      </c>
      <c r="AH3425" s="11">
        <f t="shared" si="536"/>
        <v>0</v>
      </c>
      <c r="AI3425" s="47"/>
      <c r="AJ3425" s="126" t="e">
        <v>#N/A</v>
      </c>
      <c r="AK3425" s="80">
        <f t="shared" si="533"/>
        <v>0</v>
      </c>
      <c r="AM3425" s="85"/>
    </row>
    <row r="3426" spans="1:39" hidden="1" x14ac:dyDescent="0.3">
      <c r="A3426" s="89" t="s">
        <v>3409</v>
      </c>
      <c r="B3426" s="86" t="s">
        <v>35</v>
      </c>
      <c r="C3426" s="86" t="s">
        <v>47</v>
      </c>
      <c r="D3426" s="86" t="s">
        <v>63</v>
      </c>
      <c r="E3426" s="86" t="s">
        <v>2388</v>
      </c>
      <c r="F3426" s="86" t="s">
        <v>2388</v>
      </c>
      <c r="G3426" s="86" t="s">
        <v>2388</v>
      </c>
      <c r="H3426" s="143">
        <v>301</v>
      </c>
      <c r="I3426" s="86" t="s">
        <v>2680</v>
      </c>
      <c r="J3426" s="1" t="s">
        <v>3323</v>
      </c>
      <c r="K3426" s="1" t="s">
        <v>3285</v>
      </c>
      <c r="L3426" s="1" t="s">
        <v>35</v>
      </c>
      <c r="M3426" s="86" t="s">
        <v>2694</v>
      </c>
      <c r="N3426" s="86"/>
      <c r="O3426" s="47" t="s">
        <v>45</v>
      </c>
      <c r="P3426" s="47" t="s">
        <v>46</v>
      </c>
      <c r="Q3426" s="9">
        <v>0.15</v>
      </c>
      <c r="R3426" s="143">
        <v>38068</v>
      </c>
      <c r="S3426" s="47"/>
      <c r="T3426" s="6">
        <v>57026.803999999996</v>
      </c>
      <c r="U3426" s="6"/>
      <c r="V3426" s="6">
        <v>0</v>
      </c>
      <c r="W3426" s="6">
        <f t="shared" si="525"/>
        <v>57026.803999999996</v>
      </c>
      <c r="X3426" s="6">
        <f t="shared" si="526"/>
        <v>0</v>
      </c>
      <c r="Y3426" s="13">
        <f t="shared" si="531"/>
        <v>0</v>
      </c>
      <c r="Z3426" s="14">
        <v>0</v>
      </c>
      <c r="AA3426" s="6">
        <v>0</v>
      </c>
      <c r="AB3426" s="4">
        <f t="shared" si="532"/>
        <v>0</v>
      </c>
      <c r="AC3426" s="4">
        <f t="shared" si="534"/>
        <v>0</v>
      </c>
      <c r="AD3426" s="6">
        <v>0</v>
      </c>
      <c r="AE3426" s="2">
        <f>VLOOKUP(I3426,[1]媒体政策预估表!A:N,MATCH(O3426,[1]媒体政策预估表!$A$2:$M$2,0),0)</f>
        <v>0.1</v>
      </c>
      <c r="AF3426" s="6">
        <f t="shared" si="535"/>
        <v>0</v>
      </c>
      <c r="AG3426" s="9">
        <v>0.2</v>
      </c>
      <c r="AH3426" s="11">
        <f t="shared" si="536"/>
        <v>0</v>
      </c>
      <c r="AI3426" s="47"/>
      <c r="AJ3426" s="126" t="e">
        <v>#N/A</v>
      </c>
      <c r="AK3426" s="80">
        <f t="shared" si="533"/>
        <v>0</v>
      </c>
      <c r="AM3426" s="85"/>
    </row>
    <row r="3427" spans="1:39" hidden="1" x14ac:dyDescent="0.3">
      <c r="A3427" s="89" t="s">
        <v>3397</v>
      </c>
      <c r="B3427" s="86" t="s">
        <v>35</v>
      </c>
      <c r="C3427" s="86" t="s">
        <v>59</v>
      </c>
      <c r="D3427" s="86" t="s">
        <v>60</v>
      </c>
      <c r="E3427" s="86" t="s">
        <v>74</v>
      </c>
      <c r="F3427" s="86" t="s">
        <v>74</v>
      </c>
      <c r="G3427" s="86" t="s">
        <v>74</v>
      </c>
      <c r="H3427" s="144">
        <v>62</v>
      </c>
      <c r="I3427" s="86" t="s">
        <v>408</v>
      </c>
      <c r="J3427" s="1" t="s">
        <v>3324</v>
      </c>
      <c r="K3427" s="1" t="s">
        <v>3278</v>
      </c>
      <c r="L3427" s="1" t="s">
        <v>35</v>
      </c>
      <c r="M3427" s="86" t="s">
        <v>409</v>
      </c>
      <c r="N3427" s="86"/>
      <c r="O3427" s="47" t="s">
        <v>410</v>
      </c>
      <c r="P3427" s="47" t="s">
        <v>75</v>
      </c>
      <c r="Q3427" s="14">
        <v>0.06</v>
      </c>
      <c r="R3427" s="143">
        <v>1000083622</v>
      </c>
      <c r="S3427" s="47"/>
      <c r="T3427" s="6">
        <v>34400.009999999995</v>
      </c>
      <c r="U3427" s="6">
        <v>50000</v>
      </c>
      <c r="V3427" s="6">
        <v>24849.17</v>
      </c>
      <c r="W3427" s="6">
        <f t="shared" si="525"/>
        <v>59550.84</v>
      </c>
      <c r="X3427" s="6">
        <f t="shared" si="526"/>
        <v>24849.17</v>
      </c>
      <c r="Y3427" s="13">
        <f t="shared" si="531"/>
        <v>0</v>
      </c>
      <c r="Z3427" s="14">
        <v>0</v>
      </c>
      <c r="AA3427" s="6">
        <v>0</v>
      </c>
      <c r="AB3427" s="4">
        <f t="shared" si="532"/>
        <v>24849.17</v>
      </c>
      <c r="AC3427" s="4">
        <f t="shared" si="534"/>
        <v>1490.9501999999998</v>
      </c>
      <c r="AD3427" s="6">
        <f>V3427</f>
        <v>24849.17</v>
      </c>
      <c r="AE3427" s="2">
        <f>VLOOKUP(I3427,[1]媒体政策预估表!A:N,MATCH(O3427,[1]媒体政策预估表!$A$2:$M$2,0),0)</f>
        <v>7.0000000000000007E-2</v>
      </c>
      <c r="AF3427" s="6">
        <f t="shared" si="535"/>
        <v>1739.4419</v>
      </c>
      <c r="AG3427" s="14">
        <v>0</v>
      </c>
      <c r="AH3427" s="64">
        <f>V3427</f>
        <v>24849.17</v>
      </c>
      <c r="AI3427" s="47"/>
      <c r="AJ3427" s="126" t="e">
        <v>#N/A</v>
      </c>
      <c r="AK3427" s="80">
        <f t="shared" si="533"/>
        <v>0</v>
      </c>
      <c r="AM3427" s="85"/>
    </row>
    <row r="3428" spans="1:39" hidden="1" x14ac:dyDescent="0.3">
      <c r="A3428" s="89" t="s">
        <v>3397</v>
      </c>
      <c r="B3428" s="86" t="s">
        <v>35</v>
      </c>
      <c r="C3428" s="86" t="s">
        <v>59</v>
      </c>
      <c r="D3428" s="86" t="s">
        <v>60</v>
      </c>
      <c r="E3428" s="86" t="s">
        <v>74</v>
      </c>
      <c r="F3428" s="86" t="s">
        <v>74</v>
      </c>
      <c r="G3428" s="86" t="s">
        <v>74</v>
      </c>
      <c r="H3428" s="144">
        <v>62</v>
      </c>
      <c r="I3428" s="86" t="s">
        <v>408</v>
      </c>
      <c r="J3428" s="1" t="s">
        <v>3324</v>
      </c>
      <c r="K3428" s="1" t="s">
        <v>3278</v>
      </c>
      <c r="L3428" s="1" t="s">
        <v>35</v>
      </c>
      <c r="M3428" s="86" t="s">
        <v>411</v>
      </c>
      <c r="N3428" s="86"/>
      <c r="O3428" s="47" t="s">
        <v>410</v>
      </c>
      <c r="P3428" s="47" t="s">
        <v>75</v>
      </c>
      <c r="Q3428" s="14">
        <v>0.06</v>
      </c>
      <c r="R3428" s="143">
        <v>1000076496</v>
      </c>
      <c r="S3428" s="47"/>
      <c r="T3428" s="6">
        <v>33079.01</v>
      </c>
      <c r="U3428" s="6">
        <v>50000</v>
      </c>
      <c r="V3428" s="6">
        <v>24880.090000000004</v>
      </c>
      <c r="W3428" s="6">
        <f t="shared" si="525"/>
        <v>58198.920000000006</v>
      </c>
      <c r="X3428" s="6">
        <f t="shared" si="526"/>
        <v>24880.090000000004</v>
      </c>
      <c r="Y3428" s="13">
        <f t="shared" si="531"/>
        <v>0</v>
      </c>
      <c r="Z3428" s="14">
        <v>0</v>
      </c>
      <c r="AA3428" s="6">
        <v>0</v>
      </c>
      <c r="AB3428" s="4">
        <f t="shared" si="532"/>
        <v>24880.090000000004</v>
      </c>
      <c r="AC3428" s="4">
        <f t="shared" si="534"/>
        <v>1492.8054000000002</v>
      </c>
      <c r="AD3428" s="6">
        <f t="shared" ref="AD3428:AD3491" si="537">V3428</f>
        <v>24880.090000000004</v>
      </c>
      <c r="AE3428" s="2">
        <f>VLOOKUP(I3428,[1]媒体政策预估表!A:N,MATCH(O3428,[1]媒体政策预估表!$A$2:$M$2,0),0)</f>
        <v>7.0000000000000007E-2</v>
      </c>
      <c r="AF3428" s="6">
        <f t="shared" si="535"/>
        <v>1741.6063000000004</v>
      </c>
      <c r="AG3428" s="14">
        <v>0</v>
      </c>
      <c r="AH3428" s="64">
        <f t="shared" ref="AH3428:AH3491" si="538">V3428</f>
        <v>24880.090000000004</v>
      </c>
      <c r="AI3428" s="47"/>
      <c r="AJ3428" s="126" t="e">
        <v>#N/A</v>
      </c>
      <c r="AK3428" s="80">
        <f t="shared" si="533"/>
        <v>0</v>
      </c>
      <c r="AM3428" s="85"/>
    </row>
    <row r="3429" spans="1:39" hidden="1" x14ac:dyDescent="0.3">
      <c r="A3429" s="89" t="s">
        <v>3391</v>
      </c>
      <c r="B3429" s="86" t="s">
        <v>35</v>
      </c>
      <c r="C3429" s="86" t="s">
        <v>59</v>
      </c>
      <c r="D3429" s="86" t="s">
        <v>60</v>
      </c>
      <c r="E3429" s="86" t="s">
        <v>412</v>
      </c>
      <c r="F3429" s="86" t="s">
        <v>412</v>
      </c>
      <c r="G3429" s="86" t="s">
        <v>412</v>
      </c>
      <c r="H3429" s="144">
        <v>62</v>
      </c>
      <c r="I3429" s="86" t="s">
        <v>408</v>
      </c>
      <c r="J3429" s="1" t="s">
        <v>3324</v>
      </c>
      <c r="K3429" s="1" t="s">
        <v>3278</v>
      </c>
      <c r="L3429" s="1" t="s">
        <v>35</v>
      </c>
      <c r="M3429" s="86" t="s">
        <v>413</v>
      </c>
      <c r="N3429" s="86"/>
      <c r="O3429" s="47" t="s">
        <v>410</v>
      </c>
      <c r="P3429" s="47" t="s">
        <v>46</v>
      </c>
      <c r="Q3429" s="14">
        <v>0.02</v>
      </c>
      <c r="R3429" s="143">
        <v>1000098965</v>
      </c>
      <c r="S3429" s="47"/>
      <c r="T3429" s="6">
        <v>9280.5000000000073</v>
      </c>
      <c r="U3429" s="6">
        <v>20000</v>
      </c>
      <c r="V3429" s="6">
        <v>20571.399999999998</v>
      </c>
      <c r="W3429" s="6">
        <f t="shared" si="525"/>
        <v>8709.1000000000095</v>
      </c>
      <c r="X3429" s="6">
        <f t="shared" si="526"/>
        <v>20168.039215686273</v>
      </c>
      <c r="Y3429" s="13">
        <f t="shared" si="531"/>
        <v>0</v>
      </c>
      <c r="Z3429" s="14">
        <v>0</v>
      </c>
      <c r="AA3429" s="6">
        <v>0</v>
      </c>
      <c r="AB3429" s="4">
        <f t="shared" si="532"/>
        <v>20168.039215686273</v>
      </c>
      <c r="AC3429" s="4">
        <f t="shared" si="534"/>
        <v>403.36078431372516</v>
      </c>
      <c r="AD3429" s="6">
        <f t="shared" si="537"/>
        <v>20571.399999999998</v>
      </c>
      <c r="AE3429" s="2">
        <f>VLOOKUP(I3429,[1]媒体政策预估表!A:N,MATCH(O3429,[1]媒体政策预估表!$A$2:$M$2,0),0)</f>
        <v>7.0000000000000007E-2</v>
      </c>
      <c r="AF3429" s="6">
        <f t="shared" si="535"/>
        <v>1439.998</v>
      </c>
      <c r="AG3429" s="14">
        <v>0</v>
      </c>
      <c r="AH3429" s="64">
        <f t="shared" si="538"/>
        <v>20571.399999999998</v>
      </c>
      <c r="AI3429" s="47"/>
      <c r="AJ3429" s="126" t="e">
        <v>#N/A</v>
      </c>
      <c r="AK3429" s="80">
        <f t="shared" si="533"/>
        <v>0</v>
      </c>
      <c r="AM3429" s="85"/>
    </row>
    <row r="3430" spans="1:39" hidden="1" x14ac:dyDescent="0.3">
      <c r="A3430" s="89" t="s">
        <v>3391</v>
      </c>
      <c r="B3430" s="86" t="s">
        <v>35</v>
      </c>
      <c r="C3430" s="86" t="s">
        <v>59</v>
      </c>
      <c r="D3430" s="86" t="s">
        <v>60</v>
      </c>
      <c r="E3430" s="86" t="s">
        <v>414</v>
      </c>
      <c r="F3430" s="86" t="s">
        <v>414</v>
      </c>
      <c r="G3430" s="86" t="s">
        <v>414</v>
      </c>
      <c r="H3430" s="144">
        <v>62</v>
      </c>
      <c r="I3430" s="86" t="s">
        <v>408</v>
      </c>
      <c r="J3430" s="1" t="s">
        <v>3324</v>
      </c>
      <c r="K3430" s="1" t="s">
        <v>3278</v>
      </c>
      <c r="L3430" s="1" t="s">
        <v>35</v>
      </c>
      <c r="M3430" s="86" t="s">
        <v>416</v>
      </c>
      <c r="N3430" s="86"/>
      <c r="O3430" s="47" t="s">
        <v>410</v>
      </c>
      <c r="P3430" s="47" t="s">
        <v>92</v>
      </c>
      <c r="Q3430" s="14">
        <v>0.98</v>
      </c>
      <c r="R3430" s="143">
        <v>1000043663</v>
      </c>
      <c r="S3430" s="47"/>
      <c r="T3430" s="6">
        <v>6699.3000000000029</v>
      </c>
      <c r="U3430" s="6">
        <v>110000</v>
      </c>
      <c r="V3430" s="6">
        <v>97038.60000000002</v>
      </c>
      <c r="W3430" s="6">
        <f t="shared" ref="W3430:W3493" si="539">T3430+U3430-V3430</f>
        <v>19660.699999999983</v>
      </c>
      <c r="X3430" s="6">
        <f t="shared" si="526"/>
        <v>95097.828000000023</v>
      </c>
      <c r="Y3430" s="13">
        <f t="shared" si="531"/>
        <v>0</v>
      </c>
      <c r="Z3430" s="14">
        <v>0</v>
      </c>
      <c r="AA3430" s="6">
        <v>0</v>
      </c>
      <c r="AB3430" s="4">
        <f t="shared" si="532"/>
        <v>95097.828000000023</v>
      </c>
      <c r="AC3430" s="4">
        <f t="shared" si="534"/>
        <v>1940.7719999999972</v>
      </c>
      <c r="AD3430" s="6">
        <f t="shared" si="537"/>
        <v>97038.60000000002</v>
      </c>
      <c r="AE3430" s="2">
        <f>VLOOKUP(I3430,[1]媒体政策预估表!A:N,MATCH(O3430,[1]媒体政策预估表!$A$2:$M$2,0),0)</f>
        <v>7.0000000000000007E-2</v>
      </c>
      <c r="AF3430" s="6">
        <f t="shared" si="535"/>
        <v>6792.702000000002</v>
      </c>
      <c r="AG3430" s="14">
        <v>0</v>
      </c>
      <c r="AH3430" s="64">
        <f t="shared" si="538"/>
        <v>97038.60000000002</v>
      </c>
      <c r="AI3430" s="47"/>
      <c r="AJ3430" s="126" t="e">
        <v>#N/A</v>
      </c>
      <c r="AK3430" s="80">
        <f t="shared" si="533"/>
        <v>0</v>
      </c>
      <c r="AM3430" s="85"/>
    </row>
    <row r="3431" spans="1:39" hidden="1" x14ac:dyDescent="0.3">
      <c r="A3431" s="89" t="s">
        <v>3391</v>
      </c>
      <c r="B3431" s="86" t="s">
        <v>35</v>
      </c>
      <c r="C3431" s="86" t="s">
        <v>59</v>
      </c>
      <c r="D3431" s="86" t="s">
        <v>60</v>
      </c>
      <c r="E3431" s="86" t="s">
        <v>417</v>
      </c>
      <c r="F3431" s="86" t="s">
        <v>418</v>
      </c>
      <c r="G3431" s="86" t="s">
        <v>417</v>
      </c>
      <c r="H3431" s="144">
        <v>62</v>
      </c>
      <c r="I3431" s="86" t="s">
        <v>408</v>
      </c>
      <c r="J3431" s="1" t="s">
        <v>3324</v>
      </c>
      <c r="K3431" s="1" t="s">
        <v>3278</v>
      </c>
      <c r="L3431" s="1" t="s">
        <v>35</v>
      </c>
      <c r="M3431" s="86" t="s">
        <v>417</v>
      </c>
      <c r="N3431" s="86"/>
      <c r="O3431" s="47" t="s">
        <v>410</v>
      </c>
      <c r="P3431" s="47" t="s">
        <v>41</v>
      </c>
      <c r="Q3431" s="14">
        <v>0</v>
      </c>
      <c r="R3431" s="143">
        <v>1000048631</v>
      </c>
      <c r="S3431" s="47"/>
      <c r="T3431" s="6">
        <v>19970.879999999976</v>
      </c>
      <c r="U3431" s="6">
        <v>110000</v>
      </c>
      <c r="V3431" s="6">
        <v>77280.55</v>
      </c>
      <c r="W3431" s="6">
        <f t="shared" si="539"/>
        <v>52690.329999999973</v>
      </c>
      <c r="X3431" s="6">
        <f t="shared" ref="X3431:X3494" si="540">IF(P3431="折扣",V3431*Q3431,IF(P3431="返现",V3431,V3431/(1+Q3431)))</f>
        <v>77280.55</v>
      </c>
      <c r="Y3431" s="13">
        <f t="shared" si="531"/>
        <v>0</v>
      </c>
      <c r="Z3431" s="14">
        <v>0</v>
      </c>
      <c r="AA3431" s="6">
        <v>0</v>
      </c>
      <c r="AB3431" s="4">
        <f t="shared" si="532"/>
        <v>77280.55</v>
      </c>
      <c r="AC3431" s="4">
        <f t="shared" si="534"/>
        <v>0</v>
      </c>
      <c r="AD3431" s="6">
        <f t="shared" si="537"/>
        <v>77280.55</v>
      </c>
      <c r="AE3431" s="2">
        <f>VLOOKUP(I3431,[1]媒体政策预估表!A:N,MATCH(O3431,[1]媒体政策预估表!$A$2:$M$2,0),0)</f>
        <v>7.0000000000000007E-2</v>
      </c>
      <c r="AF3431" s="6">
        <f t="shared" si="535"/>
        <v>5409.6385000000009</v>
      </c>
      <c r="AG3431" s="14">
        <v>0</v>
      </c>
      <c r="AH3431" s="64">
        <f t="shared" si="538"/>
        <v>77280.55</v>
      </c>
      <c r="AI3431" s="47"/>
      <c r="AJ3431" s="126" t="e">
        <v>#N/A</v>
      </c>
      <c r="AK3431" s="80">
        <f t="shared" si="533"/>
        <v>0</v>
      </c>
      <c r="AM3431" s="85"/>
    </row>
    <row r="3432" spans="1:39" hidden="1" x14ac:dyDescent="0.3">
      <c r="A3432" s="89" t="s">
        <v>3391</v>
      </c>
      <c r="B3432" s="86" t="s">
        <v>35</v>
      </c>
      <c r="C3432" s="86" t="s">
        <v>59</v>
      </c>
      <c r="D3432" s="86" t="s">
        <v>60</v>
      </c>
      <c r="E3432" s="86" t="s">
        <v>421</v>
      </c>
      <c r="F3432" s="86" t="s">
        <v>422</v>
      </c>
      <c r="G3432" s="86" t="s">
        <v>421</v>
      </c>
      <c r="H3432" s="144">
        <v>62</v>
      </c>
      <c r="I3432" s="86" t="s">
        <v>408</v>
      </c>
      <c r="J3432" s="1" t="s">
        <v>3324</v>
      </c>
      <c r="K3432" s="1" t="s">
        <v>3278</v>
      </c>
      <c r="L3432" s="1" t="s">
        <v>35</v>
      </c>
      <c r="M3432" s="86" t="s">
        <v>423</v>
      </c>
      <c r="N3432" s="86"/>
      <c r="O3432" s="47" t="s">
        <v>410</v>
      </c>
      <c r="P3432" s="47" t="s">
        <v>46</v>
      </c>
      <c r="Q3432" s="14">
        <v>0.02</v>
      </c>
      <c r="R3432" s="143">
        <v>1000098894</v>
      </c>
      <c r="S3432" s="47"/>
      <c r="T3432" s="6">
        <v>0</v>
      </c>
      <c r="U3432" s="6">
        <v>130000</v>
      </c>
      <c r="V3432" s="6">
        <v>95189.88</v>
      </c>
      <c r="W3432" s="6">
        <f t="shared" si="539"/>
        <v>34810.119999999995</v>
      </c>
      <c r="X3432" s="6">
        <f t="shared" si="540"/>
        <v>93323.411764705888</v>
      </c>
      <c r="Y3432" s="13">
        <f t="shared" si="531"/>
        <v>0</v>
      </c>
      <c r="Z3432" s="14">
        <v>0</v>
      </c>
      <c r="AA3432" s="6">
        <v>0</v>
      </c>
      <c r="AB3432" s="4">
        <f t="shared" si="532"/>
        <v>93323.411764705888</v>
      </c>
      <c r="AC3432" s="4">
        <f t="shared" si="534"/>
        <v>1866.4682352941163</v>
      </c>
      <c r="AD3432" s="6">
        <f t="shared" si="537"/>
        <v>95189.88</v>
      </c>
      <c r="AE3432" s="2">
        <f>VLOOKUP(I3432,[1]媒体政策预估表!A:N,MATCH(O3432,[1]媒体政策预估表!$A$2:$M$2,0),0)</f>
        <v>7.0000000000000007E-2</v>
      </c>
      <c r="AF3432" s="6">
        <f t="shared" si="535"/>
        <v>6663.2916000000014</v>
      </c>
      <c r="AG3432" s="14">
        <v>0</v>
      </c>
      <c r="AH3432" s="64">
        <f t="shared" si="538"/>
        <v>95189.88</v>
      </c>
      <c r="AI3432" s="47"/>
      <c r="AJ3432" s="126" t="e">
        <v>#N/A</v>
      </c>
      <c r="AK3432" s="80">
        <f t="shared" si="533"/>
        <v>0</v>
      </c>
      <c r="AM3432" s="85"/>
    </row>
    <row r="3433" spans="1:39" hidden="1" x14ac:dyDescent="0.3">
      <c r="A3433" s="89" t="s">
        <v>3391</v>
      </c>
      <c r="B3433" s="86" t="s">
        <v>35</v>
      </c>
      <c r="C3433" s="86" t="s">
        <v>59</v>
      </c>
      <c r="D3433" s="86" t="s">
        <v>60</v>
      </c>
      <c r="E3433" s="86" t="s">
        <v>425</v>
      </c>
      <c r="F3433" s="86" t="s">
        <v>425</v>
      </c>
      <c r="G3433" s="86" t="s">
        <v>425</v>
      </c>
      <c r="H3433" s="144">
        <v>62</v>
      </c>
      <c r="I3433" s="86" t="s">
        <v>408</v>
      </c>
      <c r="J3433" s="1" t="s">
        <v>3324</v>
      </c>
      <c r="K3433" s="1" t="s">
        <v>3278</v>
      </c>
      <c r="L3433" s="1" t="s">
        <v>35</v>
      </c>
      <c r="M3433" s="86" t="s">
        <v>426</v>
      </c>
      <c r="N3433" s="86"/>
      <c r="O3433" s="47" t="s">
        <v>410</v>
      </c>
      <c r="P3433" s="47" t="s">
        <v>46</v>
      </c>
      <c r="Q3433" s="14">
        <v>0.02</v>
      </c>
      <c r="R3433" s="143">
        <v>1000069099</v>
      </c>
      <c r="S3433" s="47"/>
      <c r="T3433" s="6">
        <v>52046.79</v>
      </c>
      <c r="U3433" s="6">
        <v>104000</v>
      </c>
      <c r="V3433" s="6">
        <v>96123.61</v>
      </c>
      <c r="W3433" s="6">
        <f t="shared" si="539"/>
        <v>59923.180000000008</v>
      </c>
      <c r="X3433" s="6">
        <f t="shared" si="540"/>
        <v>94238.833333333328</v>
      </c>
      <c r="Y3433" s="13">
        <f t="shared" si="531"/>
        <v>0</v>
      </c>
      <c r="Z3433" s="14">
        <v>0</v>
      </c>
      <c r="AA3433" s="6">
        <v>0</v>
      </c>
      <c r="AB3433" s="4">
        <f t="shared" si="532"/>
        <v>94238.833333333328</v>
      </c>
      <c r="AC3433" s="4">
        <f t="shared" si="534"/>
        <v>1884.7766666666721</v>
      </c>
      <c r="AD3433" s="6">
        <f t="shared" si="537"/>
        <v>96123.61</v>
      </c>
      <c r="AE3433" s="2">
        <f>VLOOKUP(I3433,[1]媒体政策预估表!A:N,MATCH(O3433,[1]媒体政策预估表!$A$2:$M$2,0),0)</f>
        <v>7.0000000000000007E-2</v>
      </c>
      <c r="AF3433" s="6">
        <f t="shared" si="535"/>
        <v>6728.6527000000006</v>
      </c>
      <c r="AG3433" s="14">
        <v>0</v>
      </c>
      <c r="AH3433" s="64">
        <f t="shared" si="538"/>
        <v>96123.61</v>
      </c>
      <c r="AI3433" s="47"/>
      <c r="AJ3433" s="126" t="e">
        <v>#N/A</v>
      </c>
      <c r="AK3433" s="80">
        <f t="shared" si="533"/>
        <v>0</v>
      </c>
      <c r="AM3433" s="85"/>
    </row>
    <row r="3434" spans="1:39" hidden="1" x14ac:dyDescent="0.3">
      <c r="A3434" s="89" t="s">
        <v>3391</v>
      </c>
      <c r="B3434" s="86" t="s">
        <v>35</v>
      </c>
      <c r="C3434" s="86" t="s">
        <v>59</v>
      </c>
      <c r="D3434" s="86" t="s">
        <v>60</v>
      </c>
      <c r="E3434" s="86" t="s">
        <v>425</v>
      </c>
      <c r="F3434" s="86" t="s">
        <v>425</v>
      </c>
      <c r="G3434" s="86" t="s">
        <v>425</v>
      </c>
      <c r="H3434" s="143">
        <v>62</v>
      </c>
      <c r="I3434" s="86" t="s">
        <v>408</v>
      </c>
      <c r="J3434" s="1" t="s">
        <v>3324</v>
      </c>
      <c r="K3434" s="1" t="s">
        <v>3278</v>
      </c>
      <c r="L3434" s="1" t="s">
        <v>35</v>
      </c>
      <c r="M3434" s="86" t="s">
        <v>427</v>
      </c>
      <c r="N3434" s="86"/>
      <c r="O3434" s="47" t="s">
        <v>45</v>
      </c>
      <c r="P3434" s="47" t="s">
        <v>46</v>
      </c>
      <c r="Q3434" s="14">
        <v>0.04</v>
      </c>
      <c r="R3434" s="143">
        <v>1000069101</v>
      </c>
      <c r="S3434" s="47"/>
      <c r="T3434" s="6">
        <v>19809.75</v>
      </c>
      <c r="U3434" s="6">
        <v>26000</v>
      </c>
      <c r="V3434" s="6">
        <v>0</v>
      </c>
      <c r="W3434" s="6">
        <f t="shared" si="539"/>
        <v>45809.75</v>
      </c>
      <c r="X3434" s="6">
        <f t="shared" si="540"/>
        <v>0</v>
      </c>
      <c r="Y3434" s="13">
        <f t="shared" si="531"/>
        <v>0</v>
      </c>
      <c r="Z3434" s="14">
        <v>0</v>
      </c>
      <c r="AA3434" s="6">
        <v>0</v>
      </c>
      <c r="AB3434" s="4">
        <f t="shared" si="532"/>
        <v>0</v>
      </c>
      <c r="AC3434" s="4">
        <f t="shared" si="534"/>
        <v>0</v>
      </c>
      <c r="AD3434" s="6">
        <f t="shared" si="537"/>
        <v>0</v>
      </c>
      <c r="AE3434" s="2">
        <f>VLOOKUP(I3434,[1]媒体政策预估表!A:N,MATCH(O3434,[1]媒体政策预估表!$A$2:$M$2,0),0)</f>
        <v>0.12</v>
      </c>
      <c r="AF3434" s="6">
        <f t="shared" si="535"/>
        <v>0</v>
      </c>
      <c r="AG3434" s="14">
        <v>0</v>
      </c>
      <c r="AH3434" s="64">
        <f t="shared" si="538"/>
        <v>0</v>
      </c>
      <c r="AI3434" s="47"/>
      <c r="AJ3434" s="126" t="e">
        <v>#N/A</v>
      </c>
      <c r="AK3434" s="80">
        <f t="shared" si="533"/>
        <v>0</v>
      </c>
      <c r="AM3434" s="85"/>
    </row>
    <row r="3435" spans="1:39" hidden="1" x14ac:dyDescent="0.3">
      <c r="A3435" s="89" t="s">
        <v>3391</v>
      </c>
      <c r="B3435" s="86" t="s">
        <v>35</v>
      </c>
      <c r="C3435" s="86" t="s">
        <v>36</v>
      </c>
      <c r="D3435" s="86" t="s">
        <v>224</v>
      </c>
      <c r="E3435" s="86" t="s">
        <v>3436</v>
      </c>
      <c r="F3435" s="86" t="s">
        <v>3436</v>
      </c>
      <c r="G3435" s="86" t="s">
        <v>3436</v>
      </c>
      <c r="H3435" s="144">
        <v>62</v>
      </c>
      <c r="I3435" s="86" t="s">
        <v>408</v>
      </c>
      <c r="J3435" s="1" t="s">
        <v>3324</v>
      </c>
      <c r="K3435" s="1" t="s">
        <v>3278</v>
      </c>
      <c r="L3435" s="1" t="s">
        <v>35</v>
      </c>
      <c r="M3435" s="86" t="s">
        <v>3437</v>
      </c>
      <c r="N3435" s="86"/>
      <c r="O3435" s="47" t="s">
        <v>410</v>
      </c>
      <c r="P3435" s="47" t="s">
        <v>41</v>
      </c>
      <c r="Q3435" s="14">
        <v>0</v>
      </c>
      <c r="R3435" s="143">
        <v>1000101476</v>
      </c>
      <c r="S3435" s="47"/>
      <c r="T3435" s="6">
        <v>0</v>
      </c>
      <c r="U3435" s="6">
        <v>10000</v>
      </c>
      <c r="V3435" s="6">
        <v>5659.3500000000013</v>
      </c>
      <c r="W3435" s="6">
        <f t="shared" si="539"/>
        <v>4340.6499999999987</v>
      </c>
      <c r="X3435" s="6">
        <f t="shared" si="540"/>
        <v>5659.3500000000013</v>
      </c>
      <c r="Y3435" s="13">
        <f t="shared" si="531"/>
        <v>0</v>
      </c>
      <c r="Z3435" s="14">
        <v>0</v>
      </c>
      <c r="AA3435" s="6">
        <v>0</v>
      </c>
      <c r="AB3435" s="4">
        <f t="shared" si="532"/>
        <v>5659.3500000000013</v>
      </c>
      <c r="AC3435" s="4">
        <f t="shared" si="534"/>
        <v>0</v>
      </c>
      <c r="AD3435" s="6">
        <f t="shared" si="537"/>
        <v>5659.3500000000013</v>
      </c>
      <c r="AE3435" s="2">
        <f>VLOOKUP(I3435,[1]媒体政策预估表!A:N,MATCH(O3435,[1]媒体政策预估表!$A$2:$M$2,0),0)</f>
        <v>7.0000000000000007E-2</v>
      </c>
      <c r="AF3435" s="6">
        <f t="shared" si="535"/>
        <v>396.15450000000016</v>
      </c>
      <c r="AG3435" s="14">
        <v>0</v>
      </c>
      <c r="AH3435" s="64">
        <f t="shared" si="538"/>
        <v>5659.3500000000013</v>
      </c>
      <c r="AI3435" s="47"/>
      <c r="AJ3435" s="126" t="e">
        <v>#N/A</v>
      </c>
      <c r="AK3435" s="80">
        <f t="shared" si="533"/>
        <v>0</v>
      </c>
      <c r="AM3435" s="85"/>
    </row>
    <row r="3436" spans="1:39" hidden="1" x14ac:dyDescent="0.3">
      <c r="A3436" s="89" t="s">
        <v>3391</v>
      </c>
      <c r="B3436" s="86" t="s">
        <v>35</v>
      </c>
      <c r="C3436" s="86" t="s">
        <v>36</v>
      </c>
      <c r="D3436" s="86" t="s">
        <v>224</v>
      </c>
      <c r="E3436" s="86" t="s">
        <v>428</v>
      </c>
      <c r="F3436" s="86" t="s">
        <v>428</v>
      </c>
      <c r="G3436" s="86" t="s">
        <v>428</v>
      </c>
      <c r="H3436" s="144">
        <v>62</v>
      </c>
      <c r="I3436" s="86" t="s">
        <v>408</v>
      </c>
      <c r="J3436" s="1" t="s">
        <v>3324</v>
      </c>
      <c r="K3436" s="1" t="s">
        <v>3278</v>
      </c>
      <c r="L3436" s="1" t="s">
        <v>35</v>
      </c>
      <c r="M3436" s="86" t="s">
        <v>429</v>
      </c>
      <c r="N3436" s="86"/>
      <c r="O3436" s="47" t="s">
        <v>410</v>
      </c>
      <c r="P3436" s="47" t="s">
        <v>41</v>
      </c>
      <c r="Q3436" s="14">
        <v>0</v>
      </c>
      <c r="R3436" s="143">
        <v>1000094551</v>
      </c>
      <c r="S3436" s="47"/>
      <c r="T3436" s="6">
        <v>6218.239999999998</v>
      </c>
      <c r="U3436" s="6">
        <v>20000</v>
      </c>
      <c r="V3436" s="6">
        <v>3960.67</v>
      </c>
      <c r="W3436" s="6">
        <f t="shared" si="539"/>
        <v>22257.57</v>
      </c>
      <c r="X3436" s="6">
        <f t="shared" si="540"/>
        <v>3960.67</v>
      </c>
      <c r="Y3436" s="13">
        <f t="shared" si="531"/>
        <v>0</v>
      </c>
      <c r="Z3436" s="14">
        <v>0</v>
      </c>
      <c r="AA3436" s="6">
        <v>0</v>
      </c>
      <c r="AB3436" s="4">
        <f t="shared" si="532"/>
        <v>3960.67</v>
      </c>
      <c r="AC3436" s="4">
        <f t="shared" si="534"/>
        <v>0</v>
      </c>
      <c r="AD3436" s="6">
        <f t="shared" si="537"/>
        <v>3960.67</v>
      </c>
      <c r="AE3436" s="2">
        <f>VLOOKUP(I3436,[1]媒体政策预估表!A:N,MATCH(O3436,[1]媒体政策预估表!$A$2:$M$2,0),0)</f>
        <v>7.0000000000000007E-2</v>
      </c>
      <c r="AF3436" s="6">
        <f t="shared" si="535"/>
        <v>277.24690000000004</v>
      </c>
      <c r="AG3436" s="14">
        <v>0</v>
      </c>
      <c r="AH3436" s="64">
        <f t="shared" si="538"/>
        <v>3960.67</v>
      </c>
      <c r="AI3436" s="47"/>
      <c r="AJ3436" s="126" t="e">
        <v>#N/A</v>
      </c>
      <c r="AK3436" s="80">
        <f t="shared" si="533"/>
        <v>0</v>
      </c>
      <c r="AM3436" s="85"/>
    </row>
    <row r="3437" spans="1:39" hidden="1" x14ac:dyDescent="0.3">
      <c r="A3437" s="89" t="s">
        <v>3391</v>
      </c>
      <c r="B3437" s="86" t="s">
        <v>35</v>
      </c>
      <c r="C3437" s="86" t="s">
        <v>36</v>
      </c>
      <c r="D3437" s="86" t="s">
        <v>224</v>
      </c>
      <c r="E3437" s="86" t="s">
        <v>428</v>
      </c>
      <c r="F3437" s="86" t="s">
        <v>428</v>
      </c>
      <c r="G3437" s="86" t="s">
        <v>428</v>
      </c>
      <c r="H3437" s="144">
        <v>62</v>
      </c>
      <c r="I3437" s="86" t="s">
        <v>408</v>
      </c>
      <c r="J3437" s="1" t="s">
        <v>3324</v>
      </c>
      <c r="K3437" s="1" t="s">
        <v>3278</v>
      </c>
      <c r="L3437" s="1" t="s">
        <v>35</v>
      </c>
      <c r="M3437" s="86" t="s">
        <v>430</v>
      </c>
      <c r="N3437" s="86"/>
      <c r="O3437" s="47" t="s">
        <v>410</v>
      </c>
      <c r="P3437" s="47" t="s">
        <v>41</v>
      </c>
      <c r="Q3437" s="14">
        <v>0</v>
      </c>
      <c r="R3437" s="143">
        <v>1000094564</v>
      </c>
      <c r="S3437" s="47"/>
      <c r="T3437" s="6">
        <v>19738.319999999992</v>
      </c>
      <c r="U3437" s="6">
        <v>27044.66</v>
      </c>
      <c r="V3437" s="6">
        <v>6416.21</v>
      </c>
      <c r="W3437" s="6">
        <f t="shared" si="539"/>
        <v>40366.769999999997</v>
      </c>
      <c r="X3437" s="6">
        <f t="shared" si="540"/>
        <v>6416.21</v>
      </c>
      <c r="Y3437" s="13">
        <f t="shared" si="531"/>
        <v>0</v>
      </c>
      <c r="Z3437" s="14">
        <v>0</v>
      </c>
      <c r="AA3437" s="6">
        <v>0</v>
      </c>
      <c r="AB3437" s="4">
        <f t="shared" si="532"/>
        <v>6416.21</v>
      </c>
      <c r="AC3437" s="4">
        <f t="shared" si="534"/>
        <v>0</v>
      </c>
      <c r="AD3437" s="6">
        <f t="shared" si="537"/>
        <v>6416.21</v>
      </c>
      <c r="AE3437" s="2">
        <f>VLOOKUP(I3437,[1]媒体政策预估表!A:N,MATCH(O3437,[1]媒体政策预估表!$A$2:$M$2,0),0)</f>
        <v>7.0000000000000007E-2</v>
      </c>
      <c r="AF3437" s="6">
        <f t="shared" si="535"/>
        <v>449.13470000000007</v>
      </c>
      <c r="AG3437" s="14">
        <v>0</v>
      </c>
      <c r="AH3437" s="64">
        <f t="shared" si="538"/>
        <v>6416.21</v>
      </c>
      <c r="AI3437" s="47"/>
      <c r="AJ3437" s="126" t="e">
        <v>#N/A</v>
      </c>
      <c r="AK3437" s="80">
        <f t="shared" si="533"/>
        <v>0</v>
      </c>
      <c r="AM3437" s="85"/>
    </row>
    <row r="3438" spans="1:39" hidden="1" x14ac:dyDescent="0.3">
      <c r="A3438" s="89" t="s">
        <v>3391</v>
      </c>
      <c r="B3438" s="86" t="s">
        <v>35</v>
      </c>
      <c r="C3438" s="86" t="s">
        <v>36</v>
      </c>
      <c r="D3438" s="86" t="s">
        <v>224</v>
      </c>
      <c r="E3438" s="86" t="s">
        <v>431</v>
      </c>
      <c r="F3438" s="86" t="s">
        <v>431</v>
      </c>
      <c r="G3438" s="86" t="s">
        <v>431</v>
      </c>
      <c r="H3438" s="144">
        <v>62</v>
      </c>
      <c r="I3438" s="86" t="s">
        <v>408</v>
      </c>
      <c r="J3438" s="1" t="s">
        <v>3324</v>
      </c>
      <c r="K3438" s="1" t="s">
        <v>3278</v>
      </c>
      <c r="L3438" s="1" t="s">
        <v>35</v>
      </c>
      <c r="M3438" s="86" t="s">
        <v>432</v>
      </c>
      <c r="N3438" s="86"/>
      <c r="O3438" s="47" t="s">
        <v>410</v>
      </c>
      <c r="P3438" s="47" t="s">
        <v>41</v>
      </c>
      <c r="Q3438" s="14">
        <v>0</v>
      </c>
      <c r="R3438" s="143">
        <v>1000098625</v>
      </c>
      <c r="S3438" s="47"/>
      <c r="T3438" s="6">
        <v>31281.33</v>
      </c>
      <c r="U3438" s="6">
        <v>50000</v>
      </c>
      <c r="V3438" s="6">
        <v>59512.5</v>
      </c>
      <c r="W3438" s="6">
        <f t="shared" si="539"/>
        <v>21768.83</v>
      </c>
      <c r="X3438" s="6">
        <f t="shared" si="540"/>
        <v>59512.5</v>
      </c>
      <c r="Y3438" s="13">
        <f t="shared" si="531"/>
        <v>0</v>
      </c>
      <c r="Z3438" s="14">
        <v>0</v>
      </c>
      <c r="AA3438" s="6">
        <v>0</v>
      </c>
      <c r="AB3438" s="4">
        <f t="shared" si="532"/>
        <v>59512.5</v>
      </c>
      <c r="AC3438" s="4">
        <f t="shared" si="534"/>
        <v>0</v>
      </c>
      <c r="AD3438" s="6">
        <f t="shared" si="537"/>
        <v>59512.5</v>
      </c>
      <c r="AE3438" s="2">
        <f>VLOOKUP(I3438,[1]媒体政策预估表!A:N,MATCH(O3438,[1]媒体政策预估表!$A$2:$M$2,0),0)</f>
        <v>7.0000000000000007E-2</v>
      </c>
      <c r="AF3438" s="6">
        <f t="shared" si="535"/>
        <v>4165.875</v>
      </c>
      <c r="AG3438" s="14">
        <v>0</v>
      </c>
      <c r="AH3438" s="64">
        <f t="shared" si="538"/>
        <v>59512.5</v>
      </c>
      <c r="AI3438" s="47"/>
      <c r="AJ3438" s="126" t="e">
        <v>#N/A</v>
      </c>
      <c r="AK3438" s="80">
        <f t="shared" si="533"/>
        <v>0</v>
      </c>
      <c r="AM3438" s="85"/>
    </row>
    <row r="3439" spans="1:39" hidden="1" x14ac:dyDescent="0.3">
      <c r="A3439" s="89" t="s">
        <v>3391</v>
      </c>
      <c r="B3439" s="86" t="s">
        <v>35</v>
      </c>
      <c r="C3439" s="86" t="s">
        <v>36</v>
      </c>
      <c r="D3439" s="86" t="s">
        <v>224</v>
      </c>
      <c r="E3439" s="86" t="s">
        <v>435</v>
      </c>
      <c r="F3439" s="86" t="s">
        <v>436</v>
      </c>
      <c r="G3439" s="86" t="s">
        <v>435</v>
      </c>
      <c r="H3439" s="144">
        <v>62</v>
      </c>
      <c r="I3439" s="86" t="s">
        <v>408</v>
      </c>
      <c r="J3439" s="1" t="s">
        <v>3324</v>
      </c>
      <c r="K3439" s="1" t="s">
        <v>3278</v>
      </c>
      <c r="L3439" s="1" t="s">
        <v>35</v>
      </c>
      <c r="M3439" s="86" t="s">
        <v>437</v>
      </c>
      <c r="N3439" s="86"/>
      <c r="O3439" s="47" t="s">
        <v>410</v>
      </c>
      <c r="P3439" s="47" t="s">
        <v>41</v>
      </c>
      <c r="Q3439" s="14">
        <v>0</v>
      </c>
      <c r="R3439" s="143">
        <v>1000094457</v>
      </c>
      <c r="S3439" s="47"/>
      <c r="T3439" s="6">
        <v>4995.5</v>
      </c>
      <c r="U3439" s="6">
        <v>5000</v>
      </c>
      <c r="V3439" s="6">
        <v>5200</v>
      </c>
      <c r="W3439" s="6">
        <f t="shared" si="539"/>
        <v>4795.5</v>
      </c>
      <c r="X3439" s="6">
        <f t="shared" si="540"/>
        <v>5200</v>
      </c>
      <c r="Y3439" s="13">
        <f t="shared" si="531"/>
        <v>0</v>
      </c>
      <c r="Z3439" s="14">
        <v>0</v>
      </c>
      <c r="AA3439" s="6">
        <v>0</v>
      </c>
      <c r="AB3439" s="4">
        <f t="shared" si="532"/>
        <v>5200</v>
      </c>
      <c r="AC3439" s="4">
        <f t="shared" si="534"/>
        <v>0</v>
      </c>
      <c r="AD3439" s="6">
        <f t="shared" si="537"/>
        <v>5200</v>
      </c>
      <c r="AE3439" s="2">
        <f>VLOOKUP(I3439,[1]媒体政策预估表!A:N,MATCH(O3439,[1]媒体政策预估表!$A$2:$M$2,0),0)</f>
        <v>7.0000000000000007E-2</v>
      </c>
      <c r="AF3439" s="6">
        <f t="shared" si="535"/>
        <v>364.00000000000006</v>
      </c>
      <c r="AG3439" s="14">
        <v>0</v>
      </c>
      <c r="AH3439" s="64">
        <f t="shared" si="538"/>
        <v>5200</v>
      </c>
      <c r="AI3439" s="47"/>
      <c r="AJ3439" s="126" t="e">
        <v>#N/A</v>
      </c>
      <c r="AK3439" s="80">
        <f t="shared" si="533"/>
        <v>0</v>
      </c>
      <c r="AM3439" s="85"/>
    </row>
    <row r="3440" spans="1:39" hidden="1" x14ac:dyDescent="0.3">
      <c r="A3440" s="89" t="s">
        <v>3391</v>
      </c>
      <c r="B3440" s="86" t="s">
        <v>35</v>
      </c>
      <c r="C3440" s="86" t="s">
        <v>36</v>
      </c>
      <c r="D3440" s="86" t="s">
        <v>224</v>
      </c>
      <c r="E3440" s="86" t="s">
        <v>435</v>
      </c>
      <c r="F3440" s="86" t="s">
        <v>436</v>
      </c>
      <c r="G3440" s="86" t="s">
        <v>435</v>
      </c>
      <c r="H3440" s="143">
        <v>62</v>
      </c>
      <c r="I3440" s="86" t="s">
        <v>408</v>
      </c>
      <c r="J3440" s="1" t="s">
        <v>3324</v>
      </c>
      <c r="K3440" s="1" t="s">
        <v>3278</v>
      </c>
      <c r="L3440" s="1" t="s">
        <v>35</v>
      </c>
      <c r="M3440" s="86" t="s">
        <v>438</v>
      </c>
      <c r="N3440" s="86"/>
      <c r="O3440" s="47" t="s">
        <v>410</v>
      </c>
      <c r="P3440" s="47" t="s">
        <v>41</v>
      </c>
      <c r="Q3440" s="14">
        <v>0</v>
      </c>
      <c r="R3440" s="143">
        <v>1000070542</v>
      </c>
      <c r="S3440" s="47"/>
      <c r="T3440" s="6">
        <v>23384.61</v>
      </c>
      <c r="U3440" s="6">
        <v>-5000</v>
      </c>
      <c r="V3440" s="6">
        <v>0</v>
      </c>
      <c r="W3440" s="6">
        <f t="shared" si="539"/>
        <v>18384.61</v>
      </c>
      <c r="X3440" s="6">
        <f t="shared" si="540"/>
        <v>0</v>
      </c>
      <c r="Y3440" s="13">
        <f t="shared" si="531"/>
        <v>0</v>
      </c>
      <c r="Z3440" s="14">
        <v>0</v>
      </c>
      <c r="AA3440" s="6">
        <v>0</v>
      </c>
      <c r="AB3440" s="4">
        <f t="shared" si="532"/>
        <v>0</v>
      </c>
      <c r="AC3440" s="4">
        <f t="shared" si="534"/>
        <v>0</v>
      </c>
      <c r="AD3440" s="6">
        <f t="shared" si="537"/>
        <v>0</v>
      </c>
      <c r="AE3440" s="2">
        <f>VLOOKUP(I3440,[1]媒体政策预估表!A:N,MATCH(O3440,[1]媒体政策预估表!$A$2:$M$2,0),0)</f>
        <v>7.0000000000000007E-2</v>
      </c>
      <c r="AF3440" s="6">
        <f t="shared" si="535"/>
        <v>0</v>
      </c>
      <c r="AG3440" s="14">
        <v>0</v>
      </c>
      <c r="AH3440" s="64">
        <f t="shared" si="538"/>
        <v>0</v>
      </c>
      <c r="AI3440" s="47"/>
      <c r="AJ3440" s="126" t="e">
        <v>#N/A</v>
      </c>
      <c r="AK3440" s="80">
        <f t="shared" si="533"/>
        <v>0</v>
      </c>
      <c r="AM3440" s="85"/>
    </row>
    <row r="3441" spans="1:39" hidden="1" x14ac:dyDescent="0.3">
      <c r="A3441" s="89" t="s">
        <v>3391</v>
      </c>
      <c r="B3441" s="86" t="s">
        <v>35</v>
      </c>
      <c r="C3441" s="86" t="s">
        <v>36</v>
      </c>
      <c r="D3441" s="86" t="s">
        <v>224</v>
      </c>
      <c r="E3441" s="86" t="s">
        <v>3438</v>
      </c>
      <c r="F3441" s="86" t="s">
        <v>3438</v>
      </c>
      <c r="G3441" s="86" t="s">
        <v>3438</v>
      </c>
      <c r="H3441" s="144">
        <v>62</v>
      </c>
      <c r="I3441" s="86" t="s">
        <v>408</v>
      </c>
      <c r="J3441" s="1" t="s">
        <v>3324</v>
      </c>
      <c r="K3441" s="1" t="s">
        <v>3278</v>
      </c>
      <c r="L3441" s="1" t="s">
        <v>35</v>
      </c>
      <c r="M3441" s="86" t="s">
        <v>3439</v>
      </c>
      <c r="N3441" s="86"/>
      <c r="O3441" s="47" t="s">
        <v>410</v>
      </c>
      <c r="P3441" s="47" t="s">
        <v>92</v>
      </c>
      <c r="Q3441" s="14">
        <v>0.96</v>
      </c>
      <c r="R3441" s="143">
        <v>1000009658</v>
      </c>
      <c r="S3441" s="47"/>
      <c r="T3441" s="6">
        <v>0</v>
      </c>
      <c r="U3441" s="6">
        <v>750000</v>
      </c>
      <c r="V3441" s="6">
        <v>272410.49999999988</v>
      </c>
      <c r="W3441" s="6">
        <f t="shared" si="539"/>
        <v>477589.50000000012</v>
      </c>
      <c r="X3441" s="6">
        <f t="shared" si="540"/>
        <v>261514.07999999987</v>
      </c>
      <c r="Y3441" s="13">
        <f t="shared" si="531"/>
        <v>0</v>
      </c>
      <c r="Z3441" s="14">
        <v>0</v>
      </c>
      <c r="AA3441" s="6">
        <v>0</v>
      </c>
      <c r="AB3441" s="4">
        <f t="shared" si="532"/>
        <v>261514.07999999987</v>
      </c>
      <c r="AC3441" s="4">
        <f t="shared" si="534"/>
        <v>10896.420000000013</v>
      </c>
      <c r="AD3441" s="6">
        <f t="shared" si="537"/>
        <v>272410.49999999988</v>
      </c>
      <c r="AE3441" s="2">
        <f>VLOOKUP(I3441,[1]媒体政策预估表!A:N,MATCH(O3441,[1]媒体政策预估表!$A$2:$M$2,0),0)</f>
        <v>7.0000000000000007E-2</v>
      </c>
      <c r="AF3441" s="6">
        <f t="shared" si="535"/>
        <v>19068.734999999993</v>
      </c>
      <c r="AG3441" s="14">
        <v>0</v>
      </c>
      <c r="AH3441" s="64">
        <f t="shared" si="538"/>
        <v>272410.49999999988</v>
      </c>
      <c r="AI3441" s="47"/>
      <c r="AJ3441" s="126" t="e">
        <v>#N/A</v>
      </c>
      <c r="AK3441" s="80">
        <f t="shared" si="533"/>
        <v>0</v>
      </c>
      <c r="AM3441" s="85"/>
    </row>
    <row r="3442" spans="1:39" hidden="1" x14ac:dyDescent="0.3">
      <c r="A3442" s="89" t="s">
        <v>3391</v>
      </c>
      <c r="B3442" s="86" t="s">
        <v>35</v>
      </c>
      <c r="C3442" s="86" t="s">
        <v>36</v>
      </c>
      <c r="D3442" s="86" t="s">
        <v>224</v>
      </c>
      <c r="E3442" s="86" t="s">
        <v>441</v>
      </c>
      <c r="F3442" s="86" t="s">
        <v>441</v>
      </c>
      <c r="G3442" s="86" t="s">
        <v>441</v>
      </c>
      <c r="H3442" s="144">
        <v>62</v>
      </c>
      <c r="I3442" s="86" t="s">
        <v>408</v>
      </c>
      <c r="J3442" s="1" t="s">
        <v>3324</v>
      </c>
      <c r="K3442" s="1" t="s">
        <v>3278</v>
      </c>
      <c r="L3442" s="1" t="s">
        <v>35</v>
      </c>
      <c r="M3442" s="86" t="s">
        <v>442</v>
      </c>
      <c r="N3442" s="86"/>
      <c r="O3442" s="47" t="s">
        <v>410</v>
      </c>
      <c r="P3442" s="47" t="s">
        <v>41</v>
      </c>
      <c r="Q3442" s="14">
        <v>0</v>
      </c>
      <c r="R3442" s="143">
        <v>1000043129</v>
      </c>
      <c r="S3442" s="47"/>
      <c r="T3442" s="6">
        <v>47461.84</v>
      </c>
      <c r="U3442" s="6">
        <v>160000</v>
      </c>
      <c r="V3442" s="6">
        <v>169550.36000000002</v>
      </c>
      <c r="W3442" s="6">
        <f t="shared" si="539"/>
        <v>37911.479999999981</v>
      </c>
      <c r="X3442" s="6">
        <f t="shared" si="540"/>
        <v>169550.36000000002</v>
      </c>
      <c r="Y3442" s="13">
        <f t="shared" si="531"/>
        <v>0</v>
      </c>
      <c r="Z3442" s="14">
        <v>0</v>
      </c>
      <c r="AA3442" s="6">
        <v>0</v>
      </c>
      <c r="AB3442" s="4">
        <f t="shared" si="532"/>
        <v>169550.36000000002</v>
      </c>
      <c r="AC3442" s="4">
        <f t="shared" si="534"/>
        <v>0</v>
      </c>
      <c r="AD3442" s="6">
        <f t="shared" si="537"/>
        <v>169550.36000000002</v>
      </c>
      <c r="AE3442" s="2">
        <f>VLOOKUP(I3442,[1]媒体政策预估表!A:N,MATCH(O3442,[1]媒体政策预估表!$A$2:$M$2,0),0)</f>
        <v>7.0000000000000007E-2</v>
      </c>
      <c r="AF3442" s="6">
        <f t="shared" si="535"/>
        <v>11868.525200000002</v>
      </c>
      <c r="AG3442" s="14">
        <v>0</v>
      </c>
      <c r="AH3442" s="64">
        <f t="shared" si="538"/>
        <v>169550.36000000002</v>
      </c>
      <c r="AI3442" s="47"/>
      <c r="AJ3442" s="126" t="e">
        <v>#N/A</v>
      </c>
      <c r="AK3442" s="80">
        <f t="shared" si="533"/>
        <v>0</v>
      </c>
      <c r="AM3442" s="85"/>
    </row>
    <row r="3443" spans="1:39" hidden="1" x14ac:dyDescent="0.3">
      <c r="A3443" s="89" t="s">
        <v>3397</v>
      </c>
      <c r="B3443" s="86" t="s">
        <v>35</v>
      </c>
      <c r="C3443" s="86" t="s">
        <v>36</v>
      </c>
      <c r="D3443" s="86" t="s">
        <v>54</v>
      </c>
      <c r="E3443" s="86" t="s">
        <v>447</v>
      </c>
      <c r="F3443" s="86" t="s">
        <v>447</v>
      </c>
      <c r="G3443" s="86" t="s">
        <v>447</v>
      </c>
      <c r="H3443" s="143">
        <v>62</v>
      </c>
      <c r="I3443" s="86" t="s">
        <v>408</v>
      </c>
      <c r="J3443" s="1" t="s">
        <v>3324</v>
      </c>
      <c r="K3443" s="1" t="s">
        <v>3278</v>
      </c>
      <c r="L3443" s="1" t="s">
        <v>35</v>
      </c>
      <c r="M3443" s="86" t="s">
        <v>449</v>
      </c>
      <c r="N3443" s="86"/>
      <c r="O3443" s="47" t="s">
        <v>410</v>
      </c>
      <c r="P3443" s="47" t="s">
        <v>41</v>
      </c>
      <c r="Q3443" s="14">
        <v>0</v>
      </c>
      <c r="R3443" s="143">
        <v>1000054738</v>
      </c>
      <c r="S3443" s="47"/>
      <c r="T3443" s="6">
        <v>686.47999999999956</v>
      </c>
      <c r="U3443" s="6">
        <v>10000</v>
      </c>
      <c r="V3443" s="6">
        <v>2111.9499999999998</v>
      </c>
      <c r="W3443" s="6">
        <f t="shared" si="539"/>
        <v>8574.5299999999988</v>
      </c>
      <c r="X3443" s="6">
        <f t="shared" si="540"/>
        <v>2111.9499999999998</v>
      </c>
      <c r="Y3443" s="13">
        <f t="shared" si="531"/>
        <v>0</v>
      </c>
      <c r="Z3443" s="14">
        <v>0</v>
      </c>
      <c r="AA3443" s="6">
        <v>0</v>
      </c>
      <c r="AB3443" s="4"/>
      <c r="AC3443" s="4">
        <f t="shared" si="534"/>
        <v>0</v>
      </c>
      <c r="AD3443" s="6">
        <f t="shared" si="537"/>
        <v>2111.9499999999998</v>
      </c>
      <c r="AE3443" s="2">
        <f>VLOOKUP(I3443,[1]媒体政策预估表!A:N,MATCH(O3443,[1]媒体政策预估表!$A$2:$M$2,0),0)</f>
        <v>7.0000000000000007E-2</v>
      </c>
      <c r="AF3443" s="6">
        <f t="shared" si="535"/>
        <v>147.8365</v>
      </c>
      <c r="AG3443" s="14">
        <v>0</v>
      </c>
      <c r="AH3443" s="64">
        <f t="shared" si="538"/>
        <v>2111.9499999999998</v>
      </c>
      <c r="AI3443" s="47"/>
      <c r="AJ3443" s="126">
        <v>21</v>
      </c>
      <c r="AK3443" s="80">
        <f t="shared" si="533"/>
        <v>2111.9499999999998</v>
      </c>
      <c r="AM3443" s="85"/>
    </row>
    <row r="3444" spans="1:39" hidden="1" x14ac:dyDescent="0.3">
      <c r="A3444" s="89" t="s">
        <v>3391</v>
      </c>
      <c r="B3444" s="86" t="s">
        <v>35</v>
      </c>
      <c r="C3444" s="86" t="s">
        <v>36</v>
      </c>
      <c r="D3444" s="86" t="s">
        <v>54</v>
      </c>
      <c r="E3444" s="86" t="s">
        <v>521</v>
      </c>
      <c r="F3444" s="86" t="s">
        <v>522</v>
      </c>
      <c r="G3444" s="86" t="s">
        <v>521</v>
      </c>
      <c r="H3444" s="144">
        <v>62</v>
      </c>
      <c r="I3444" s="86" t="s">
        <v>408</v>
      </c>
      <c r="J3444" s="1" t="s">
        <v>3324</v>
      </c>
      <c r="K3444" s="1" t="s">
        <v>3278</v>
      </c>
      <c r="L3444" s="1" t="s">
        <v>35</v>
      </c>
      <c r="M3444" s="86" t="s">
        <v>523</v>
      </c>
      <c r="N3444" s="86"/>
      <c r="O3444" s="47" t="s">
        <v>410</v>
      </c>
      <c r="P3444" s="47" t="s">
        <v>46</v>
      </c>
      <c r="Q3444" s="14">
        <v>0.02</v>
      </c>
      <c r="R3444" s="143">
        <v>1000043414</v>
      </c>
      <c r="S3444" s="47"/>
      <c r="T3444" s="6">
        <v>47869.709999999992</v>
      </c>
      <c r="U3444" s="6">
        <v>244000</v>
      </c>
      <c r="V3444" s="6">
        <v>237877.98</v>
      </c>
      <c r="W3444" s="6">
        <f t="shared" si="539"/>
        <v>53991.729999999952</v>
      </c>
      <c r="X3444" s="6">
        <f t="shared" si="540"/>
        <v>233213.70588235295</v>
      </c>
      <c r="Y3444" s="13">
        <f t="shared" si="531"/>
        <v>0</v>
      </c>
      <c r="Z3444" s="14">
        <v>0</v>
      </c>
      <c r="AA3444" s="6">
        <v>0</v>
      </c>
      <c r="AB3444" s="4">
        <f t="shared" si="532"/>
        <v>233213.70588235295</v>
      </c>
      <c r="AC3444" s="4">
        <f t="shared" si="534"/>
        <v>4664.274117647059</v>
      </c>
      <c r="AD3444" s="6">
        <f t="shared" si="537"/>
        <v>237877.98</v>
      </c>
      <c r="AE3444" s="2">
        <f>VLOOKUP(I3444,[1]媒体政策预估表!A:N,MATCH(O3444,[1]媒体政策预估表!$A$2:$M$2,0),0)</f>
        <v>7.0000000000000007E-2</v>
      </c>
      <c r="AF3444" s="6">
        <f t="shared" si="535"/>
        <v>16651.458600000002</v>
      </c>
      <c r="AG3444" s="14">
        <v>0</v>
      </c>
      <c r="AH3444" s="64">
        <f t="shared" si="538"/>
        <v>237877.98</v>
      </c>
      <c r="AI3444" s="47"/>
      <c r="AJ3444" s="126" t="e">
        <v>#N/A</v>
      </c>
      <c r="AK3444" s="80">
        <f t="shared" si="533"/>
        <v>0</v>
      </c>
      <c r="AM3444" s="85"/>
    </row>
    <row r="3445" spans="1:39" hidden="1" x14ac:dyDescent="0.3">
      <c r="A3445" s="89" t="s">
        <v>3391</v>
      </c>
      <c r="B3445" s="86" t="s">
        <v>35</v>
      </c>
      <c r="C3445" s="86" t="s">
        <v>36</v>
      </c>
      <c r="D3445" s="86" t="s">
        <v>54</v>
      </c>
      <c r="E3445" s="86" t="s">
        <v>521</v>
      </c>
      <c r="F3445" s="86" t="s">
        <v>522</v>
      </c>
      <c r="G3445" s="86" t="s">
        <v>521</v>
      </c>
      <c r="H3445" s="144">
        <v>62</v>
      </c>
      <c r="I3445" s="86" t="s">
        <v>408</v>
      </c>
      <c r="J3445" s="1" t="s">
        <v>3324</v>
      </c>
      <c r="K3445" s="1" t="s">
        <v>3278</v>
      </c>
      <c r="L3445" s="1" t="s">
        <v>35</v>
      </c>
      <c r="M3445" s="86" t="s">
        <v>524</v>
      </c>
      <c r="N3445" s="86"/>
      <c r="O3445" s="47" t="s">
        <v>45</v>
      </c>
      <c r="P3445" s="47" t="s">
        <v>46</v>
      </c>
      <c r="Q3445" s="14">
        <v>0.02</v>
      </c>
      <c r="R3445" s="143">
        <v>1000081855</v>
      </c>
      <c r="S3445" s="47"/>
      <c r="T3445" s="6">
        <v>2591.2100000000009</v>
      </c>
      <c r="U3445" s="6">
        <v>16000</v>
      </c>
      <c r="V3445" s="6">
        <v>12978.57</v>
      </c>
      <c r="W3445" s="6">
        <f t="shared" si="539"/>
        <v>5612.6399999999994</v>
      </c>
      <c r="X3445" s="6">
        <f t="shared" si="540"/>
        <v>12724.088235294117</v>
      </c>
      <c r="Y3445" s="13">
        <f t="shared" si="531"/>
        <v>0</v>
      </c>
      <c r="Z3445" s="14">
        <v>0</v>
      </c>
      <c r="AA3445" s="6">
        <v>0</v>
      </c>
      <c r="AB3445" s="4">
        <f t="shared" si="532"/>
        <v>12724.088235294117</v>
      </c>
      <c r="AC3445" s="4">
        <f t="shared" si="534"/>
        <v>254.4817647058826</v>
      </c>
      <c r="AD3445" s="6">
        <f t="shared" si="537"/>
        <v>12978.57</v>
      </c>
      <c r="AE3445" s="2">
        <f>VLOOKUP(I3445,[1]媒体政策预估表!A:N,MATCH(O3445,[1]媒体政策预估表!$A$2:$M$2,0),0)</f>
        <v>0.12</v>
      </c>
      <c r="AF3445" s="6">
        <f t="shared" si="535"/>
        <v>1557.4284</v>
      </c>
      <c r="AG3445" s="14">
        <v>0</v>
      </c>
      <c r="AH3445" s="64">
        <f t="shared" si="538"/>
        <v>12978.57</v>
      </c>
      <c r="AI3445" s="47"/>
      <c r="AJ3445" s="126" t="e">
        <v>#N/A</v>
      </c>
      <c r="AK3445" s="80">
        <f t="shared" si="533"/>
        <v>0</v>
      </c>
      <c r="AM3445" s="85"/>
    </row>
    <row r="3446" spans="1:39" hidden="1" x14ac:dyDescent="0.3">
      <c r="A3446" s="89" t="s">
        <v>3391</v>
      </c>
      <c r="B3446" s="86" t="s">
        <v>35</v>
      </c>
      <c r="C3446" s="86" t="s">
        <v>36</v>
      </c>
      <c r="D3446" s="86" t="s">
        <v>54</v>
      </c>
      <c r="E3446" s="86" t="s">
        <v>1069</v>
      </c>
      <c r="F3446" s="86" t="s">
        <v>1194</v>
      </c>
      <c r="G3446" s="86" t="s">
        <v>1069</v>
      </c>
      <c r="H3446" s="144">
        <v>62</v>
      </c>
      <c r="I3446" s="86" t="s">
        <v>408</v>
      </c>
      <c r="J3446" s="1" t="s">
        <v>3324</v>
      </c>
      <c r="K3446" s="1" t="s">
        <v>3278</v>
      </c>
      <c r="L3446" s="1" t="s">
        <v>35</v>
      </c>
      <c r="M3446" s="86" t="s">
        <v>3440</v>
      </c>
      <c r="N3446" s="86"/>
      <c r="O3446" s="47" t="s">
        <v>45</v>
      </c>
      <c r="P3446" s="47" t="s">
        <v>46</v>
      </c>
      <c r="Q3446" s="14">
        <v>0.04</v>
      </c>
      <c r="R3446" s="143">
        <v>1000101654</v>
      </c>
      <c r="S3446" s="47"/>
      <c r="T3446" s="6">
        <v>0</v>
      </c>
      <c r="U3446" s="6">
        <v>200000</v>
      </c>
      <c r="V3446" s="6">
        <v>1910.4</v>
      </c>
      <c r="W3446" s="6">
        <f t="shared" si="539"/>
        <v>198089.60000000001</v>
      </c>
      <c r="X3446" s="6">
        <f t="shared" si="540"/>
        <v>1836.9230769230769</v>
      </c>
      <c r="Y3446" s="13">
        <f t="shared" si="531"/>
        <v>0</v>
      </c>
      <c r="Z3446" s="14">
        <v>0</v>
      </c>
      <c r="AA3446" s="6">
        <v>0</v>
      </c>
      <c r="AB3446" s="4">
        <f t="shared" si="532"/>
        <v>1836.9230769230769</v>
      </c>
      <c r="AC3446" s="4">
        <f t="shared" si="534"/>
        <v>73.476923076923185</v>
      </c>
      <c r="AD3446" s="6">
        <f t="shared" si="537"/>
        <v>1910.4</v>
      </c>
      <c r="AE3446" s="2">
        <f>VLOOKUP(I3446,[1]媒体政策预估表!A:N,MATCH(O3446,[1]媒体政策预估表!$A$2:$M$2,0),0)</f>
        <v>0.12</v>
      </c>
      <c r="AF3446" s="6">
        <f t="shared" si="535"/>
        <v>229.24799999999999</v>
      </c>
      <c r="AG3446" s="14">
        <v>0</v>
      </c>
      <c r="AH3446" s="64">
        <f t="shared" si="538"/>
        <v>1910.4</v>
      </c>
      <c r="AI3446" s="47"/>
      <c r="AJ3446" s="126" t="e">
        <v>#N/A</v>
      </c>
      <c r="AK3446" s="80">
        <f t="shared" si="533"/>
        <v>0</v>
      </c>
      <c r="AM3446" s="85"/>
    </row>
    <row r="3447" spans="1:39" hidden="1" x14ac:dyDescent="0.3">
      <c r="A3447" s="89" t="s">
        <v>3391</v>
      </c>
      <c r="B3447" s="86" t="s">
        <v>35</v>
      </c>
      <c r="C3447" s="86" t="s">
        <v>36</v>
      </c>
      <c r="D3447" s="86" t="s">
        <v>54</v>
      </c>
      <c r="E3447" s="86" t="s">
        <v>525</v>
      </c>
      <c r="F3447" s="86" t="s">
        <v>525</v>
      </c>
      <c r="G3447" s="86" t="s">
        <v>525</v>
      </c>
      <c r="H3447" s="144">
        <v>62</v>
      </c>
      <c r="I3447" s="86" t="s">
        <v>408</v>
      </c>
      <c r="J3447" s="1" t="s">
        <v>3324</v>
      </c>
      <c r="K3447" s="1" t="s">
        <v>3278</v>
      </c>
      <c r="L3447" s="1" t="s">
        <v>35</v>
      </c>
      <c r="M3447" s="86" t="s">
        <v>526</v>
      </c>
      <c r="N3447" s="86"/>
      <c r="O3447" s="47" t="s">
        <v>410</v>
      </c>
      <c r="P3447" s="47" t="s">
        <v>41</v>
      </c>
      <c r="Q3447" s="14">
        <v>0</v>
      </c>
      <c r="R3447" s="143">
        <v>1000094151</v>
      </c>
      <c r="S3447" s="47"/>
      <c r="T3447" s="6">
        <v>25085.540000000008</v>
      </c>
      <c r="U3447" s="6">
        <v>50000</v>
      </c>
      <c r="V3447" s="6">
        <v>61161.020000000004</v>
      </c>
      <c r="W3447" s="6">
        <f t="shared" si="539"/>
        <v>13924.520000000004</v>
      </c>
      <c r="X3447" s="6">
        <f t="shared" si="540"/>
        <v>61161.020000000004</v>
      </c>
      <c r="Y3447" s="13">
        <f t="shared" si="531"/>
        <v>0</v>
      </c>
      <c r="Z3447" s="14">
        <v>0</v>
      </c>
      <c r="AA3447" s="6">
        <v>0</v>
      </c>
      <c r="AB3447" s="4">
        <f t="shared" si="532"/>
        <v>61161.020000000004</v>
      </c>
      <c r="AC3447" s="4">
        <f t="shared" si="534"/>
        <v>0</v>
      </c>
      <c r="AD3447" s="6">
        <f t="shared" si="537"/>
        <v>61161.020000000004</v>
      </c>
      <c r="AE3447" s="2">
        <f>VLOOKUP(I3447,[1]媒体政策预估表!A:N,MATCH(O3447,[1]媒体政策预估表!$A$2:$M$2,0),0)</f>
        <v>7.0000000000000007E-2</v>
      </c>
      <c r="AF3447" s="6">
        <f t="shared" si="535"/>
        <v>4281.2714000000005</v>
      </c>
      <c r="AG3447" s="14">
        <v>0</v>
      </c>
      <c r="AH3447" s="64">
        <f t="shared" si="538"/>
        <v>61161.020000000004</v>
      </c>
      <c r="AI3447" s="47"/>
      <c r="AJ3447" s="126" t="e">
        <v>#N/A</v>
      </c>
      <c r="AK3447" s="80">
        <f t="shared" si="533"/>
        <v>0</v>
      </c>
      <c r="AM3447" s="85"/>
    </row>
    <row r="3448" spans="1:39" hidden="1" x14ac:dyDescent="0.3">
      <c r="A3448" s="89" t="s">
        <v>3391</v>
      </c>
      <c r="B3448" s="86" t="s">
        <v>35</v>
      </c>
      <c r="C3448" s="86" t="s">
        <v>36</v>
      </c>
      <c r="D3448" s="86" t="s">
        <v>54</v>
      </c>
      <c r="E3448" s="86" t="s">
        <v>525</v>
      </c>
      <c r="F3448" s="86" t="s">
        <v>525</v>
      </c>
      <c r="G3448" s="86" t="s">
        <v>525</v>
      </c>
      <c r="H3448" s="144">
        <v>62</v>
      </c>
      <c r="I3448" s="86" t="s">
        <v>408</v>
      </c>
      <c r="J3448" s="1" t="s">
        <v>3324</v>
      </c>
      <c r="K3448" s="1" t="s">
        <v>3278</v>
      </c>
      <c r="L3448" s="1" t="s">
        <v>35</v>
      </c>
      <c r="M3448" s="86" t="s">
        <v>527</v>
      </c>
      <c r="N3448" s="86"/>
      <c r="O3448" s="47" t="s">
        <v>410</v>
      </c>
      <c r="P3448" s="47" t="s">
        <v>41</v>
      </c>
      <c r="Q3448" s="14">
        <v>0</v>
      </c>
      <c r="R3448" s="143">
        <v>1000094152</v>
      </c>
      <c r="S3448" s="47"/>
      <c r="T3448" s="6">
        <v>26754.929999999891</v>
      </c>
      <c r="U3448" s="6">
        <v>102000</v>
      </c>
      <c r="V3448" s="6">
        <v>86263.400000000023</v>
      </c>
      <c r="W3448" s="6">
        <f t="shared" si="539"/>
        <v>42491.529999999868</v>
      </c>
      <c r="X3448" s="6">
        <f t="shared" si="540"/>
        <v>86263.400000000023</v>
      </c>
      <c r="Y3448" s="13">
        <f t="shared" si="531"/>
        <v>0</v>
      </c>
      <c r="Z3448" s="14">
        <v>0</v>
      </c>
      <c r="AA3448" s="6">
        <v>0</v>
      </c>
      <c r="AB3448" s="4">
        <f t="shared" si="532"/>
        <v>86263.400000000023</v>
      </c>
      <c r="AC3448" s="4">
        <f t="shared" si="534"/>
        <v>0</v>
      </c>
      <c r="AD3448" s="6">
        <f t="shared" si="537"/>
        <v>86263.400000000023</v>
      </c>
      <c r="AE3448" s="2">
        <f>VLOOKUP(I3448,[1]媒体政策预估表!A:N,MATCH(O3448,[1]媒体政策预估表!$A$2:$M$2,0),0)</f>
        <v>7.0000000000000007E-2</v>
      </c>
      <c r="AF3448" s="6">
        <f t="shared" si="535"/>
        <v>6038.4380000000019</v>
      </c>
      <c r="AG3448" s="14">
        <v>0</v>
      </c>
      <c r="AH3448" s="64">
        <f t="shared" si="538"/>
        <v>86263.400000000023</v>
      </c>
      <c r="AI3448" s="47"/>
      <c r="AJ3448" s="126" t="e">
        <v>#N/A</v>
      </c>
      <c r="AK3448" s="80">
        <f t="shared" si="533"/>
        <v>0</v>
      </c>
      <c r="AM3448" s="85"/>
    </row>
    <row r="3449" spans="1:39" hidden="1" x14ac:dyDescent="0.3">
      <c r="A3449" s="89" t="s">
        <v>3391</v>
      </c>
      <c r="B3449" s="86" t="s">
        <v>35</v>
      </c>
      <c r="C3449" s="86" t="s">
        <v>36</v>
      </c>
      <c r="D3449" s="86" t="s">
        <v>54</v>
      </c>
      <c r="E3449" s="86" t="s">
        <v>453</v>
      </c>
      <c r="F3449" s="86" t="s">
        <v>453</v>
      </c>
      <c r="G3449" s="86" t="s">
        <v>453</v>
      </c>
      <c r="H3449" s="144">
        <v>62</v>
      </c>
      <c r="I3449" s="86" t="s">
        <v>408</v>
      </c>
      <c r="J3449" s="1" t="s">
        <v>3324</v>
      </c>
      <c r="K3449" s="1" t="s">
        <v>3278</v>
      </c>
      <c r="L3449" s="1" t="s">
        <v>35</v>
      </c>
      <c r="M3449" s="86" t="s">
        <v>454</v>
      </c>
      <c r="N3449" s="86"/>
      <c r="O3449" s="47" t="s">
        <v>410</v>
      </c>
      <c r="P3449" s="47" t="s">
        <v>41</v>
      </c>
      <c r="Q3449" s="14">
        <v>0</v>
      </c>
      <c r="R3449" s="143">
        <v>1000081223</v>
      </c>
      <c r="S3449" s="47"/>
      <c r="T3449" s="6">
        <v>18685.5</v>
      </c>
      <c r="U3449" s="6">
        <v>20000</v>
      </c>
      <c r="V3449" s="6">
        <v>35416.5</v>
      </c>
      <c r="W3449" s="6">
        <f t="shared" si="539"/>
        <v>3269</v>
      </c>
      <c r="X3449" s="6">
        <f t="shared" si="540"/>
        <v>35416.5</v>
      </c>
      <c r="Y3449" s="13">
        <f t="shared" si="531"/>
        <v>0</v>
      </c>
      <c r="Z3449" s="14">
        <v>0</v>
      </c>
      <c r="AA3449" s="6">
        <v>0</v>
      </c>
      <c r="AB3449" s="4">
        <f t="shared" si="532"/>
        <v>35416.5</v>
      </c>
      <c r="AC3449" s="4">
        <f t="shared" si="534"/>
        <v>0</v>
      </c>
      <c r="AD3449" s="6">
        <f t="shared" si="537"/>
        <v>35416.5</v>
      </c>
      <c r="AE3449" s="2">
        <f>VLOOKUP(I3449,[1]媒体政策预估表!A:N,MATCH(O3449,[1]媒体政策预估表!$A$2:$M$2,0),0)</f>
        <v>7.0000000000000007E-2</v>
      </c>
      <c r="AF3449" s="6">
        <f t="shared" si="535"/>
        <v>2479.1550000000002</v>
      </c>
      <c r="AG3449" s="14">
        <v>0</v>
      </c>
      <c r="AH3449" s="64">
        <f t="shared" si="538"/>
        <v>35416.5</v>
      </c>
      <c r="AI3449" s="47"/>
      <c r="AJ3449" s="126" t="e">
        <v>#N/A</v>
      </c>
      <c r="AK3449" s="80">
        <f t="shared" si="533"/>
        <v>0</v>
      </c>
      <c r="AM3449" s="85"/>
    </row>
    <row r="3450" spans="1:39" hidden="1" x14ac:dyDescent="0.3">
      <c r="A3450" s="89" t="s">
        <v>3391</v>
      </c>
      <c r="B3450" s="86" t="s">
        <v>35</v>
      </c>
      <c r="C3450" s="86" t="s">
        <v>36</v>
      </c>
      <c r="D3450" s="86" t="s">
        <v>54</v>
      </c>
      <c r="E3450" s="86" t="s">
        <v>453</v>
      </c>
      <c r="F3450" s="86" t="s">
        <v>453</v>
      </c>
      <c r="G3450" s="86" t="s">
        <v>453</v>
      </c>
      <c r="H3450" s="144">
        <v>62</v>
      </c>
      <c r="I3450" s="86" t="s">
        <v>408</v>
      </c>
      <c r="J3450" s="1" t="s">
        <v>3324</v>
      </c>
      <c r="K3450" s="1" t="s">
        <v>3278</v>
      </c>
      <c r="L3450" s="1" t="s">
        <v>35</v>
      </c>
      <c r="M3450" s="86" t="s">
        <v>3441</v>
      </c>
      <c r="N3450" s="86"/>
      <c r="O3450" s="47" t="s">
        <v>410</v>
      </c>
      <c r="P3450" s="47" t="s">
        <v>41</v>
      </c>
      <c r="Q3450" s="14">
        <v>0</v>
      </c>
      <c r="R3450" s="143">
        <v>1000090665</v>
      </c>
      <c r="S3450" s="47"/>
      <c r="T3450" s="6">
        <v>19084.5</v>
      </c>
      <c r="U3450" s="6">
        <v>20000</v>
      </c>
      <c r="V3450" s="6">
        <v>35716.5</v>
      </c>
      <c r="W3450" s="6">
        <f t="shared" si="539"/>
        <v>3368</v>
      </c>
      <c r="X3450" s="6">
        <f t="shared" si="540"/>
        <v>35716.5</v>
      </c>
      <c r="Y3450" s="13">
        <f t="shared" si="531"/>
        <v>0</v>
      </c>
      <c r="Z3450" s="14">
        <v>0</v>
      </c>
      <c r="AA3450" s="6">
        <v>0</v>
      </c>
      <c r="AB3450" s="4">
        <f t="shared" si="532"/>
        <v>35716.5</v>
      </c>
      <c r="AC3450" s="4">
        <f t="shared" si="534"/>
        <v>0</v>
      </c>
      <c r="AD3450" s="6">
        <f t="shared" si="537"/>
        <v>35716.5</v>
      </c>
      <c r="AE3450" s="2">
        <f>VLOOKUP(I3450,[1]媒体政策预估表!A:N,MATCH(O3450,[1]媒体政策预估表!$A$2:$M$2,0),0)</f>
        <v>7.0000000000000007E-2</v>
      </c>
      <c r="AF3450" s="6">
        <f t="shared" si="535"/>
        <v>2500.1550000000002</v>
      </c>
      <c r="AG3450" s="14">
        <v>0</v>
      </c>
      <c r="AH3450" s="64">
        <f t="shared" si="538"/>
        <v>35716.5</v>
      </c>
      <c r="AI3450" s="47"/>
      <c r="AJ3450" s="126" t="e">
        <v>#N/A</v>
      </c>
      <c r="AK3450" s="80">
        <f t="shared" si="533"/>
        <v>0</v>
      </c>
      <c r="AM3450" s="85"/>
    </row>
    <row r="3451" spans="1:39" hidden="1" x14ac:dyDescent="0.3">
      <c r="A3451" s="89" t="s">
        <v>3391</v>
      </c>
      <c r="B3451" s="86" t="s">
        <v>35</v>
      </c>
      <c r="C3451" s="86" t="s">
        <v>36</v>
      </c>
      <c r="D3451" s="86" t="s">
        <v>54</v>
      </c>
      <c r="E3451" s="86" t="s">
        <v>458</v>
      </c>
      <c r="F3451" s="86" t="s">
        <v>458</v>
      </c>
      <c r="G3451" s="86" t="s">
        <v>458</v>
      </c>
      <c r="H3451" s="144">
        <v>62</v>
      </c>
      <c r="I3451" s="86" t="s">
        <v>408</v>
      </c>
      <c r="J3451" s="1" t="s">
        <v>3324</v>
      </c>
      <c r="K3451" s="1" t="s">
        <v>3278</v>
      </c>
      <c r="L3451" s="1" t="s">
        <v>35</v>
      </c>
      <c r="M3451" s="86" t="s">
        <v>459</v>
      </c>
      <c r="N3451" s="86"/>
      <c r="O3451" s="47" t="s">
        <v>410</v>
      </c>
      <c r="P3451" s="47" t="s">
        <v>41</v>
      </c>
      <c r="Q3451" s="14">
        <v>0</v>
      </c>
      <c r="R3451" s="143">
        <v>1000043239</v>
      </c>
      <c r="S3451" s="47"/>
      <c r="T3451" s="6">
        <v>124058.81999999989</v>
      </c>
      <c r="U3451" s="6">
        <v>400000</v>
      </c>
      <c r="V3451" s="6">
        <v>360012.47000000009</v>
      </c>
      <c r="W3451" s="6">
        <f t="shared" si="539"/>
        <v>164046.3499999998</v>
      </c>
      <c r="X3451" s="6">
        <f t="shared" si="540"/>
        <v>360012.47000000009</v>
      </c>
      <c r="Y3451" s="13">
        <f t="shared" si="531"/>
        <v>0</v>
      </c>
      <c r="Z3451" s="14">
        <v>0</v>
      </c>
      <c r="AA3451" s="6">
        <v>0</v>
      </c>
      <c r="AB3451" s="4">
        <f t="shared" si="532"/>
        <v>360012.47000000009</v>
      </c>
      <c r="AC3451" s="4">
        <f t="shared" si="534"/>
        <v>0</v>
      </c>
      <c r="AD3451" s="6">
        <f t="shared" si="537"/>
        <v>360012.47000000009</v>
      </c>
      <c r="AE3451" s="2">
        <f>VLOOKUP(I3451,[1]媒体政策预估表!A:N,MATCH(O3451,[1]媒体政策预估表!$A$2:$M$2,0),0)</f>
        <v>7.0000000000000007E-2</v>
      </c>
      <c r="AF3451" s="6">
        <f t="shared" si="535"/>
        <v>25200.872900000009</v>
      </c>
      <c r="AG3451" s="14">
        <v>0</v>
      </c>
      <c r="AH3451" s="64">
        <f t="shared" si="538"/>
        <v>360012.47000000009</v>
      </c>
      <c r="AI3451" s="47"/>
      <c r="AJ3451" s="126" t="e">
        <v>#N/A</v>
      </c>
      <c r="AK3451" s="80">
        <f t="shared" si="533"/>
        <v>0</v>
      </c>
      <c r="AM3451" s="85"/>
    </row>
    <row r="3452" spans="1:39" hidden="1" x14ac:dyDescent="0.3">
      <c r="A3452" s="89" t="s">
        <v>3391</v>
      </c>
      <c r="B3452" s="86" t="s">
        <v>35</v>
      </c>
      <c r="C3452" s="86" t="s">
        <v>36</v>
      </c>
      <c r="D3452" s="86" t="s">
        <v>37</v>
      </c>
      <c r="E3452" s="86" t="s">
        <v>285</v>
      </c>
      <c r="F3452" s="86" t="s">
        <v>460</v>
      </c>
      <c r="G3452" s="86" t="s">
        <v>285</v>
      </c>
      <c r="H3452" s="144">
        <v>62</v>
      </c>
      <c r="I3452" s="86" t="s">
        <v>408</v>
      </c>
      <c r="J3452" s="1" t="s">
        <v>3324</v>
      </c>
      <c r="K3452" s="1" t="s">
        <v>3278</v>
      </c>
      <c r="L3452" s="1" t="s">
        <v>35</v>
      </c>
      <c r="M3452" s="86" t="s">
        <v>3442</v>
      </c>
      <c r="N3452" s="86"/>
      <c r="O3452" s="47" t="s">
        <v>410</v>
      </c>
      <c r="P3452" s="47" t="s">
        <v>41</v>
      </c>
      <c r="Q3452" s="14">
        <v>0</v>
      </c>
      <c r="R3452" s="143">
        <v>1000068980</v>
      </c>
      <c r="S3452" s="47"/>
      <c r="T3452" s="6">
        <v>6880.18</v>
      </c>
      <c r="U3452" s="6">
        <v>5000</v>
      </c>
      <c r="V3452" s="6">
        <v>7801.3999999999987</v>
      </c>
      <c r="W3452" s="6">
        <f t="shared" si="539"/>
        <v>4078.7800000000016</v>
      </c>
      <c r="X3452" s="6">
        <f t="shared" si="540"/>
        <v>7801.3999999999987</v>
      </c>
      <c r="Y3452" s="13">
        <f t="shared" si="531"/>
        <v>0</v>
      </c>
      <c r="Z3452" s="14">
        <v>0</v>
      </c>
      <c r="AA3452" s="6">
        <v>0</v>
      </c>
      <c r="AB3452" s="4">
        <f t="shared" si="532"/>
        <v>7801.3999999999987</v>
      </c>
      <c r="AC3452" s="4">
        <f t="shared" si="534"/>
        <v>0</v>
      </c>
      <c r="AD3452" s="6">
        <f t="shared" si="537"/>
        <v>7801.3999999999987</v>
      </c>
      <c r="AE3452" s="2">
        <f>VLOOKUP(I3452,[1]媒体政策预估表!A:N,MATCH(O3452,[1]媒体政策预估表!$A$2:$M$2,0),0)</f>
        <v>7.0000000000000007E-2</v>
      </c>
      <c r="AF3452" s="6">
        <f t="shared" si="535"/>
        <v>546.09799999999996</v>
      </c>
      <c r="AG3452" s="14">
        <v>0</v>
      </c>
      <c r="AH3452" s="64">
        <f t="shared" si="538"/>
        <v>7801.3999999999987</v>
      </c>
      <c r="AI3452" s="47"/>
      <c r="AJ3452" s="126" t="e">
        <v>#N/A</v>
      </c>
      <c r="AK3452" s="80">
        <f t="shared" si="533"/>
        <v>0</v>
      </c>
      <c r="AM3452" s="85"/>
    </row>
    <row r="3453" spans="1:39" hidden="1" x14ac:dyDescent="0.3">
      <c r="A3453" s="89" t="s">
        <v>3391</v>
      </c>
      <c r="B3453" s="86" t="s">
        <v>35</v>
      </c>
      <c r="C3453" s="86" t="s">
        <v>36</v>
      </c>
      <c r="D3453" s="86" t="s">
        <v>37</v>
      </c>
      <c r="E3453" s="86" t="s">
        <v>222</v>
      </c>
      <c r="F3453" s="86" t="s">
        <v>222</v>
      </c>
      <c r="G3453" s="86" t="s">
        <v>222</v>
      </c>
      <c r="H3453" s="144">
        <v>62</v>
      </c>
      <c r="I3453" s="86" t="s">
        <v>408</v>
      </c>
      <c r="J3453" s="1" t="s">
        <v>3324</v>
      </c>
      <c r="K3453" s="1" t="s">
        <v>3278</v>
      </c>
      <c r="L3453" s="1" t="s">
        <v>35</v>
      </c>
      <c r="M3453" s="86" t="s">
        <v>461</v>
      </c>
      <c r="N3453" s="86"/>
      <c r="O3453" s="47" t="s">
        <v>410</v>
      </c>
      <c r="P3453" s="47" t="s">
        <v>41</v>
      </c>
      <c r="Q3453" s="14">
        <v>0</v>
      </c>
      <c r="R3453" s="143">
        <v>1000093110</v>
      </c>
      <c r="S3453" s="47"/>
      <c r="T3453" s="6">
        <v>12632.699999999968</v>
      </c>
      <c r="U3453" s="6">
        <v>260000</v>
      </c>
      <c r="V3453" s="6">
        <v>209066.38</v>
      </c>
      <c r="W3453" s="6">
        <f t="shared" si="539"/>
        <v>63566.319999999949</v>
      </c>
      <c r="X3453" s="6">
        <f t="shared" si="540"/>
        <v>209066.38</v>
      </c>
      <c r="Y3453" s="13">
        <f t="shared" si="531"/>
        <v>0</v>
      </c>
      <c r="Z3453" s="14">
        <v>0</v>
      </c>
      <c r="AA3453" s="6">
        <v>0</v>
      </c>
      <c r="AB3453" s="4">
        <f t="shared" si="532"/>
        <v>209066.38</v>
      </c>
      <c r="AC3453" s="4">
        <f t="shared" si="534"/>
        <v>0</v>
      </c>
      <c r="AD3453" s="6">
        <f t="shared" si="537"/>
        <v>209066.38</v>
      </c>
      <c r="AE3453" s="2">
        <f>VLOOKUP(I3453,[1]媒体政策预估表!A:N,MATCH(O3453,[1]媒体政策预估表!$A$2:$M$2,0),0)</f>
        <v>7.0000000000000007E-2</v>
      </c>
      <c r="AF3453" s="6">
        <f t="shared" si="535"/>
        <v>14634.646600000002</v>
      </c>
      <c r="AG3453" s="14">
        <v>0</v>
      </c>
      <c r="AH3453" s="64">
        <f t="shared" si="538"/>
        <v>209066.38</v>
      </c>
      <c r="AI3453" s="47"/>
      <c r="AJ3453" s="126" t="e">
        <v>#N/A</v>
      </c>
      <c r="AK3453" s="80">
        <f t="shared" si="533"/>
        <v>0</v>
      </c>
      <c r="AM3453" s="85"/>
    </row>
    <row r="3454" spans="1:39" hidden="1" x14ac:dyDescent="0.3">
      <c r="A3454" s="89" t="s">
        <v>3391</v>
      </c>
      <c r="B3454" s="86" t="s">
        <v>35</v>
      </c>
      <c r="C3454" s="86" t="s">
        <v>36</v>
      </c>
      <c r="D3454" s="86" t="s">
        <v>37</v>
      </c>
      <c r="E3454" s="86" t="s">
        <v>222</v>
      </c>
      <c r="F3454" s="86" t="s">
        <v>462</v>
      </c>
      <c r="G3454" s="86" t="s">
        <v>222</v>
      </c>
      <c r="H3454" s="144">
        <v>62</v>
      </c>
      <c r="I3454" s="86" t="s">
        <v>408</v>
      </c>
      <c r="J3454" s="1" t="s">
        <v>3324</v>
      </c>
      <c r="K3454" s="1" t="s">
        <v>3278</v>
      </c>
      <c r="L3454" s="1" t="s">
        <v>35</v>
      </c>
      <c r="M3454" s="86" t="s">
        <v>463</v>
      </c>
      <c r="N3454" s="86"/>
      <c r="O3454" s="47" t="s">
        <v>410</v>
      </c>
      <c r="P3454" s="47" t="s">
        <v>46</v>
      </c>
      <c r="Q3454" s="14">
        <v>0.02</v>
      </c>
      <c r="R3454" s="143">
        <v>1000099143</v>
      </c>
      <c r="S3454" s="47"/>
      <c r="T3454" s="6">
        <v>10199.11</v>
      </c>
      <c r="U3454" s="6">
        <v>130000</v>
      </c>
      <c r="V3454" s="6">
        <v>104463.83000000002</v>
      </c>
      <c r="W3454" s="6">
        <f t="shared" si="539"/>
        <v>35735.27999999997</v>
      </c>
      <c r="X3454" s="6">
        <f t="shared" si="540"/>
        <v>102415.51960784315</v>
      </c>
      <c r="Y3454" s="13">
        <f t="shared" si="531"/>
        <v>0</v>
      </c>
      <c r="Z3454" s="14">
        <v>0</v>
      </c>
      <c r="AA3454" s="6">
        <v>0</v>
      </c>
      <c r="AB3454" s="4">
        <f t="shared" si="532"/>
        <v>102415.51960784315</v>
      </c>
      <c r="AC3454" s="4">
        <f t="shared" si="534"/>
        <v>2048.3103921568691</v>
      </c>
      <c r="AD3454" s="6">
        <f t="shared" si="537"/>
        <v>104463.83000000002</v>
      </c>
      <c r="AE3454" s="2">
        <f>VLOOKUP(I3454,[1]媒体政策预估表!A:N,MATCH(O3454,[1]媒体政策预估表!$A$2:$M$2,0),0)</f>
        <v>7.0000000000000007E-2</v>
      </c>
      <c r="AF3454" s="6">
        <f t="shared" si="535"/>
        <v>7312.4681000000019</v>
      </c>
      <c r="AG3454" s="14">
        <v>0</v>
      </c>
      <c r="AH3454" s="64">
        <f t="shared" si="538"/>
        <v>104463.83000000002</v>
      </c>
      <c r="AI3454" s="47"/>
      <c r="AJ3454" s="126" t="e">
        <v>#N/A</v>
      </c>
      <c r="AK3454" s="80">
        <f t="shared" si="533"/>
        <v>0</v>
      </c>
      <c r="AM3454" s="85"/>
    </row>
    <row r="3455" spans="1:39" hidden="1" x14ac:dyDescent="0.3">
      <c r="A3455" s="89" t="s">
        <v>3391</v>
      </c>
      <c r="B3455" s="86" t="s">
        <v>35</v>
      </c>
      <c r="C3455" s="86" t="s">
        <v>36</v>
      </c>
      <c r="D3455" s="86" t="s">
        <v>37</v>
      </c>
      <c r="E3455" s="86" t="s">
        <v>464</v>
      </c>
      <c r="F3455" s="86" t="s">
        <v>464</v>
      </c>
      <c r="G3455" s="86" t="s">
        <v>464</v>
      </c>
      <c r="H3455" s="144">
        <v>62</v>
      </c>
      <c r="I3455" s="86" t="s">
        <v>408</v>
      </c>
      <c r="J3455" s="1" t="s">
        <v>3324</v>
      </c>
      <c r="K3455" s="1" t="s">
        <v>3278</v>
      </c>
      <c r="L3455" s="1" t="s">
        <v>35</v>
      </c>
      <c r="M3455" s="86" t="s">
        <v>465</v>
      </c>
      <c r="N3455" s="86"/>
      <c r="O3455" s="47" t="s">
        <v>410</v>
      </c>
      <c r="P3455" s="47" t="s">
        <v>41</v>
      </c>
      <c r="Q3455" s="14">
        <v>0</v>
      </c>
      <c r="R3455" s="143">
        <v>1000100117</v>
      </c>
      <c r="S3455" s="47"/>
      <c r="T3455" s="6">
        <v>6125.0600000000013</v>
      </c>
      <c r="U3455" s="6">
        <v>30000</v>
      </c>
      <c r="V3455" s="6">
        <v>20376</v>
      </c>
      <c r="W3455" s="6">
        <f t="shared" si="539"/>
        <v>15749.059999999998</v>
      </c>
      <c r="X3455" s="6">
        <f t="shared" si="540"/>
        <v>20376</v>
      </c>
      <c r="Y3455" s="13">
        <f t="shared" si="531"/>
        <v>0</v>
      </c>
      <c r="Z3455" s="14">
        <v>0</v>
      </c>
      <c r="AA3455" s="6">
        <v>0</v>
      </c>
      <c r="AB3455" s="4">
        <f t="shared" si="532"/>
        <v>20376</v>
      </c>
      <c r="AC3455" s="4">
        <f t="shared" si="534"/>
        <v>0</v>
      </c>
      <c r="AD3455" s="6">
        <f t="shared" si="537"/>
        <v>20376</v>
      </c>
      <c r="AE3455" s="2">
        <f>VLOOKUP(I3455,[1]媒体政策预估表!A:N,MATCH(O3455,[1]媒体政策预估表!$A$2:$M$2,0),0)</f>
        <v>7.0000000000000007E-2</v>
      </c>
      <c r="AF3455" s="6">
        <f t="shared" si="535"/>
        <v>1426.3200000000002</v>
      </c>
      <c r="AG3455" s="14">
        <v>0</v>
      </c>
      <c r="AH3455" s="64">
        <f t="shared" si="538"/>
        <v>20376</v>
      </c>
      <c r="AI3455" s="47"/>
      <c r="AJ3455" s="126" t="e">
        <v>#N/A</v>
      </c>
      <c r="AK3455" s="80">
        <f t="shared" si="533"/>
        <v>0</v>
      </c>
      <c r="AM3455" s="85"/>
    </row>
    <row r="3456" spans="1:39" hidden="1" x14ac:dyDescent="0.3">
      <c r="A3456" s="89" t="s">
        <v>3391</v>
      </c>
      <c r="B3456" s="86" t="s">
        <v>35</v>
      </c>
      <c r="C3456" s="86" t="s">
        <v>65</v>
      </c>
      <c r="D3456" s="86" t="s">
        <v>66</v>
      </c>
      <c r="E3456" s="86" t="s">
        <v>1907</v>
      </c>
      <c r="F3456" s="86" t="s">
        <v>1908</v>
      </c>
      <c r="G3456" s="86" t="s">
        <v>1907</v>
      </c>
      <c r="H3456" s="144">
        <v>62</v>
      </c>
      <c r="I3456" s="86" t="s">
        <v>408</v>
      </c>
      <c r="J3456" s="1" t="s">
        <v>3324</v>
      </c>
      <c r="K3456" s="1" t="s">
        <v>3278</v>
      </c>
      <c r="L3456" s="1" t="s">
        <v>35</v>
      </c>
      <c r="M3456" s="86" t="s">
        <v>474</v>
      </c>
      <c r="N3456" s="86"/>
      <c r="O3456" s="47" t="s">
        <v>410</v>
      </c>
      <c r="P3456" s="47" t="s">
        <v>41</v>
      </c>
      <c r="Q3456" s="14">
        <v>0</v>
      </c>
      <c r="R3456" s="143">
        <v>1000057798</v>
      </c>
      <c r="S3456" s="47"/>
      <c r="T3456" s="6">
        <v>0</v>
      </c>
      <c r="U3456" s="6">
        <v>300000</v>
      </c>
      <c r="V3456" s="6">
        <v>131955.83999999994</v>
      </c>
      <c r="W3456" s="6">
        <f t="shared" si="539"/>
        <v>168044.16000000006</v>
      </c>
      <c r="X3456" s="6">
        <f t="shared" si="540"/>
        <v>131955.83999999994</v>
      </c>
      <c r="Y3456" s="13">
        <f t="shared" si="531"/>
        <v>0</v>
      </c>
      <c r="Z3456" s="14">
        <v>0</v>
      </c>
      <c r="AA3456" s="6">
        <v>0</v>
      </c>
      <c r="AB3456" s="4">
        <f t="shared" si="532"/>
        <v>131955.83999999994</v>
      </c>
      <c r="AC3456" s="4">
        <f t="shared" si="534"/>
        <v>0</v>
      </c>
      <c r="AD3456" s="6">
        <f t="shared" si="537"/>
        <v>131955.83999999994</v>
      </c>
      <c r="AE3456" s="2">
        <f>VLOOKUP(I3456,[1]媒体政策预估表!A:N,MATCH(O3456,[1]媒体政策预估表!$A$2:$M$2,0),0)</f>
        <v>7.0000000000000007E-2</v>
      </c>
      <c r="AF3456" s="6">
        <f t="shared" si="535"/>
        <v>9236.9087999999974</v>
      </c>
      <c r="AG3456" s="14">
        <v>0</v>
      </c>
      <c r="AH3456" s="64">
        <f t="shared" si="538"/>
        <v>131955.83999999994</v>
      </c>
      <c r="AI3456" s="47"/>
      <c r="AJ3456" s="126" t="e">
        <v>#N/A</v>
      </c>
      <c r="AK3456" s="80">
        <f t="shared" si="533"/>
        <v>0</v>
      </c>
      <c r="AM3456" s="85"/>
    </row>
    <row r="3457" spans="1:39" hidden="1" x14ac:dyDescent="0.3">
      <c r="A3457" s="89" t="s">
        <v>3391</v>
      </c>
      <c r="B3457" s="86" t="s">
        <v>35</v>
      </c>
      <c r="C3457" s="86" t="s">
        <v>65</v>
      </c>
      <c r="D3457" s="86" t="s">
        <v>66</v>
      </c>
      <c r="E3457" s="86" t="s">
        <v>1907</v>
      </c>
      <c r="F3457" s="86" t="s">
        <v>1908</v>
      </c>
      <c r="G3457" s="86" t="s">
        <v>1907</v>
      </c>
      <c r="H3457" s="144">
        <v>62</v>
      </c>
      <c r="I3457" s="86" t="s">
        <v>408</v>
      </c>
      <c r="J3457" s="1" t="s">
        <v>3324</v>
      </c>
      <c r="K3457" s="1" t="s">
        <v>3278</v>
      </c>
      <c r="L3457" s="1" t="s">
        <v>35</v>
      </c>
      <c r="M3457" s="86" t="s">
        <v>475</v>
      </c>
      <c r="N3457" s="86"/>
      <c r="O3457" s="47" t="s">
        <v>410</v>
      </c>
      <c r="P3457" s="47" t="s">
        <v>41</v>
      </c>
      <c r="Q3457" s="14">
        <v>0</v>
      </c>
      <c r="R3457" s="143">
        <v>1000054594</v>
      </c>
      <c r="S3457" s="47"/>
      <c r="T3457" s="6">
        <v>0</v>
      </c>
      <c r="U3457" s="6">
        <v>650000</v>
      </c>
      <c r="V3457" s="6">
        <v>427431.87</v>
      </c>
      <c r="W3457" s="6">
        <f t="shared" si="539"/>
        <v>222568.13</v>
      </c>
      <c r="X3457" s="6">
        <f t="shared" si="540"/>
        <v>427431.87</v>
      </c>
      <c r="Y3457" s="13">
        <f t="shared" si="531"/>
        <v>0</v>
      </c>
      <c r="Z3457" s="14">
        <v>0</v>
      </c>
      <c r="AA3457" s="6">
        <v>0</v>
      </c>
      <c r="AB3457" s="4">
        <f t="shared" si="532"/>
        <v>427431.87</v>
      </c>
      <c r="AC3457" s="4">
        <f t="shared" si="534"/>
        <v>0</v>
      </c>
      <c r="AD3457" s="6">
        <f t="shared" si="537"/>
        <v>427431.87</v>
      </c>
      <c r="AE3457" s="2">
        <f>VLOOKUP(I3457,[1]媒体政策预估表!A:N,MATCH(O3457,[1]媒体政策预估表!$A$2:$M$2,0),0)</f>
        <v>7.0000000000000007E-2</v>
      </c>
      <c r="AF3457" s="6">
        <f t="shared" si="535"/>
        <v>29920.230900000002</v>
      </c>
      <c r="AG3457" s="14">
        <v>0</v>
      </c>
      <c r="AH3457" s="64">
        <f t="shared" si="538"/>
        <v>427431.87</v>
      </c>
      <c r="AI3457" s="47"/>
      <c r="AJ3457" s="126" t="e">
        <v>#N/A</v>
      </c>
      <c r="AK3457" s="80">
        <f t="shared" si="533"/>
        <v>0</v>
      </c>
      <c r="AM3457" s="85"/>
    </row>
    <row r="3458" spans="1:39" hidden="1" x14ac:dyDescent="0.3">
      <c r="A3458" s="89" t="s">
        <v>3391</v>
      </c>
      <c r="B3458" s="86" t="s">
        <v>35</v>
      </c>
      <c r="C3458" s="86" t="s">
        <v>65</v>
      </c>
      <c r="D3458" s="86" t="s">
        <v>66</v>
      </c>
      <c r="E3458" s="86" t="s">
        <v>1907</v>
      </c>
      <c r="F3458" s="86" t="s">
        <v>1908</v>
      </c>
      <c r="G3458" s="86" t="s">
        <v>1907</v>
      </c>
      <c r="H3458" s="144">
        <v>62</v>
      </c>
      <c r="I3458" s="86" t="s">
        <v>408</v>
      </c>
      <c r="J3458" s="1" t="s">
        <v>3324</v>
      </c>
      <c r="K3458" s="1" t="s">
        <v>3278</v>
      </c>
      <c r="L3458" s="1" t="s">
        <v>35</v>
      </c>
      <c r="M3458" s="86" t="s">
        <v>3443</v>
      </c>
      <c r="N3458" s="86"/>
      <c r="O3458" s="47" t="s">
        <v>45</v>
      </c>
      <c r="P3458" s="47" t="s">
        <v>46</v>
      </c>
      <c r="Q3458" s="14">
        <v>0.03</v>
      </c>
      <c r="R3458" s="143">
        <v>1000054589</v>
      </c>
      <c r="S3458" s="47"/>
      <c r="T3458" s="6">
        <v>0</v>
      </c>
      <c r="U3458" s="6">
        <v>40000</v>
      </c>
      <c r="V3458" s="6">
        <v>32474.18</v>
      </c>
      <c r="W3458" s="6">
        <f t="shared" si="539"/>
        <v>7525.82</v>
      </c>
      <c r="X3458" s="6">
        <f t="shared" si="540"/>
        <v>31528.330097087379</v>
      </c>
      <c r="Y3458" s="13">
        <f t="shared" si="531"/>
        <v>0</v>
      </c>
      <c r="Z3458" s="14">
        <v>0</v>
      </c>
      <c r="AA3458" s="6">
        <v>0</v>
      </c>
      <c r="AB3458" s="4">
        <f t="shared" si="532"/>
        <v>31528.330097087379</v>
      </c>
      <c r="AC3458" s="4">
        <f t="shared" si="534"/>
        <v>945.84990291262147</v>
      </c>
      <c r="AD3458" s="6">
        <f t="shared" si="537"/>
        <v>32474.18</v>
      </c>
      <c r="AE3458" s="2">
        <f>VLOOKUP(I3458,[1]媒体政策预估表!A:N,MATCH(O3458,[1]媒体政策预估表!$A$2:$M$2,0),0)</f>
        <v>0.12</v>
      </c>
      <c r="AF3458" s="6">
        <f t="shared" si="535"/>
        <v>3896.9015999999997</v>
      </c>
      <c r="AG3458" s="14">
        <v>0</v>
      </c>
      <c r="AH3458" s="64">
        <f t="shared" si="538"/>
        <v>32474.18</v>
      </c>
      <c r="AI3458" s="47"/>
      <c r="AJ3458" s="126" t="e">
        <v>#N/A</v>
      </c>
      <c r="AK3458" s="80">
        <f t="shared" si="533"/>
        <v>0</v>
      </c>
      <c r="AM3458" s="85"/>
    </row>
    <row r="3459" spans="1:39" hidden="1" x14ac:dyDescent="0.3">
      <c r="A3459" s="89" t="s">
        <v>3391</v>
      </c>
      <c r="B3459" s="86" t="s">
        <v>35</v>
      </c>
      <c r="C3459" s="86" t="s">
        <v>65</v>
      </c>
      <c r="D3459" s="86" t="s">
        <v>66</v>
      </c>
      <c r="E3459" s="86" t="s">
        <v>1907</v>
      </c>
      <c r="F3459" s="86" t="s">
        <v>1908</v>
      </c>
      <c r="G3459" s="86" t="s">
        <v>1907</v>
      </c>
      <c r="H3459" s="143">
        <v>62</v>
      </c>
      <c r="I3459" s="86" t="s">
        <v>408</v>
      </c>
      <c r="J3459" s="1" t="s">
        <v>3324</v>
      </c>
      <c r="K3459" s="1" t="s">
        <v>3278</v>
      </c>
      <c r="L3459" s="1" t="s">
        <v>35</v>
      </c>
      <c r="M3459" s="86" t="s">
        <v>477</v>
      </c>
      <c r="N3459" s="86"/>
      <c r="O3459" s="47" t="s">
        <v>45</v>
      </c>
      <c r="P3459" s="47" t="s">
        <v>46</v>
      </c>
      <c r="Q3459" s="14">
        <v>0.03</v>
      </c>
      <c r="R3459" s="143">
        <v>1000100635</v>
      </c>
      <c r="S3459" s="47"/>
      <c r="T3459" s="6">
        <v>0</v>
      </c>
      <c r="U3459" s="6">
        <v>10000</v>
      </c>
      <c r="V3459" s="6">
        <v>0</v>
      </c>
      <c r="W3459" s="6">
        <f t="shared" si="539"/>
        <v>10000</v>
      </c>
      <c r="X3459" s="6">
        <f t="shared" si="540"/>
        <v>0</v>
      </c>
      <c r="Y3459" s="13">
        <f t="shared" ref="Y3459:Y3522" si="541">IF(X3459-AD3459&lt;=0,0,IF(P3459="返现",MAX(X3459-AC3459-AD3459,0),MAX(X3459-AD3459)))</f>
        <v>0</v>
      </c>
      <c r="Z3459" s="14">
        <v>0</v>
      </c>
      <c r="AA3459" s="6">
        <v>0</v>
      </c>
      <c r="AB3459" s="4">
        <f t="shared" ref="AB3459:AB3522" si="542">X3459+AA3459</f>
        <v>0</v>
      </c>
      <c r="AC3459" s="4">
        <f t="shared" si="534"/>
        <v>0</v>
      </c>
      <c r="AD3459" s="6">
        <f t="shared" si="537"/>
        <v>0</v>
      </c>
      <c r="AE3459" s="2">
        <f>VLOOKUP(I3459,[1]媒体政策预估表!A:N,MATCH(O3459,[1]媒体政策预估表!$A$2:$M$2,0),0)</f>
        <v>0.12</v>
      </c>
      <c r="AF3459" s="6">
        <f t="shared" si="535"/>
        <v>0</v>
      </c>
      <c r="AG3459" s="14">
        <v>0</v>
      </c>
      <c r="AH3459" s="64">
        <f t="shared" si="538"/>
        <v>0</v>
      </c>
      <c r="AI3459" s="47"/>
      <c r="AJ3459" s="126" t="e">
        <v>#N/A</v>
      </c>
      <c r="AK3459" s="80">
        <f t="shared" ref="AK3459:AK3522" si="543">X3459+AA3459-AB3459</f>
        <v>0</v>
      </c>
      <c r="AM3459" s="85"/>
    </row>
    <row r="3460" spans="1:39" hidden="1" x14ac:dyDescent="0.3">
      <c r="A3460" s="89" t="s">
        <v>3391</v>
      </c>
      <c r="B3460" s="86" t="s">
        <v>35</v>
      </c>
      <c r="C3460" s="86" t="s">
        <v>65</v>
      </c>
      <c r="D3460" s="86" t="s">
        <v>66</v>
      </c>
      <c r="E3460" s="86" t="s">
        <v>1907</v>
      </c>
      <c r="F3460" s="86" t="s">
        <v>1908</v>
      </c>
      <c r="G3460" s="86" t="s">
        <v>1907</v>
      </c>
      <c r="H3460" s="143">
        <v>62</v>
      </c>
      <c r="I3460" s="86" t="s">
        <v>408</v>
      </c>
      <c r="J3460" s="1" t="s">
        <v>3324</v>
      </c>
      <c r="K3460" s="1" t="s">
        <v>3278</v>
      </c>
      <c r="L3460" s="1" t="s">
        <v>35</v>
      </c>
      <c r="M3460" s="86" t="s">
        <v>3444</v>
      </c>
      <c r="N3460" s="86"/>
      <c r="O3460" s="47" t="s">
        <v>410</v>
      </c>
      <c r="P3460" s="47" t="s">
        <v>41</v>
      </c>
      <c r="Q3460" s="14">
        <v>0</v>
      </c>
      <c r="R3460" s="143">
        <v>1000103150</v>
      </c>
      <c r="S3460" s="47"/>
      <c r="T3460" s="6">
        <v>0</v>
      </c>
      <c r="U3460" s="6">
        <v>20000</v>
      </c>
      <c r="V3460" s="6">
        <v>0</v>
      </c>
      <c r="W3460" s="6">
        <f t="shared" si="539"/>
        <v>20000</v>
      </c>
      <c r="X3460" s="6">
        <f t="shared" si="540"/>
        <v>0</v>
      </c>
      <c r="Y3460" s="13">
        <f t="shared" si="541"/>
        <v>0</v>
      </c>
      <c r="Z3460" s="14">
        <v>0</v>
      </c>
      <c r="AA3460" s="6">
        <v>0</v>
      </c>
      <c r="AB3460" s="4">
        <f t="shared" si="542"/>
        <v>0</v>
      </c>
      <c r="AC3460" s="4">
        <f t="shared" si="534"/>
        <v>0</v>
      </c>
      <c r="AD3460" s="6">
        <f t="shared" si="537"/>
        <v>0</v>
      </c>
      <c r="AE3460" s="2">
        <f>VLOOKUP(I3460,[1]媒体政策预估表!A:N,MATCH(O3460,[1]媒体政策预估表!$A$2:$M$2,0),0)</f>
        <v>7.0000000000000007E-2</v>
      </c>
      <c r="AF3460" s="6">
        <f t="shared" si="535"/>
        <v>0</v>
      </c>
      <c r="AG3460" s="14">
        <v>0</v>
      </c>
      <c r="AH3460" s="64">
        <f t="shared" si="538"/>
        <v>0</v>
      </c>
      <c r="AI3460" s="47"/>
      <c r="AJ3460" s="126" t="e">
        <v>#N/A</v>
      </c>
      <c r="AK3460" s="80">
        <f t="shared" si="543"/>
        <v>0</v>
      </c>
      <c r="AM3460" s="85"/>
    </row>
    <row r="3461" spans="1:39" hidden="1" x14ac:dyDescent="0.3">
      <c r="A3461" s="89" t="s">
        <v>3391</v>
      </c>
      <c r="B3461" s="86" t="s">
        <v>35</v>
      </c>
      <c r="C3461" s="86" t="s">
        <v>65</v>
      </c>
      <c r="D3461" s="86" t="s">
        <v>66</v>
      </c>
      <c r="E3461" s="86" t="s">
        <v>1907</v>
      </c>
      <c r="F3461" s="86" t="s">
        <v>1908</v>
      </c>
      <c r="G3461" s="86" t="s">
        <v>1907</v>
      </c>
      <c r="H3461" s="144">
        <v>62</v>
      </c>
      <c r="I3461" s="86" t="s">
        <v>408</v>
      </c>
      <c r="J3461" s="1" t="s">
        <v>3324</v>
      </c>
      <c r="K3461" s="1" t="s">
        <v>3278</v>
      </c>
      <c r="L3461" s="1" t="s">
        <v>35</v>
      </c>
      <c r="M3461" s="86" t="s">
        <v>482</v>
      </c>
      <c r="N3461" s="86"/>
      <c r="O3461" s="47" t="s">
        <v>410</v>
      </c>
      <c r="P3461" s="47" t="s">
        <v>41</v>
      </c>
      <c r="Q3461" s="14">
        <v>0</v>
      </c>
      <c r="R3461" s="143">
        <v>1000043032</v>
      </c>
      <c r="S3461" s="47"/>
      <c r="T3461" s="6">
        <v>0</v>
      </c>
      <c r="U3461" s="6">
        <v>1500000</v>
      </c>
      <c r="V3461" s="6">
        <v>1220701.3399999999</v>
      </c>
      <c r="W3461" s="6">
        <f t="shared" si="539"/>
        <v>279298.66000000015</v>
      </c>
      <c r="X3461" s="6">
        <f t="shared" si="540"/>
        <v>1220701.3399999999</v>
      </c>
      <c r="Y3461" s="13">
        <f t="shared" si="541"/>
        <v>0</v>
      </c>
      <c r="Z3461" s="14">
        <v>0</v>
      </c>
      <c r="AA3461" s="6">
        <v>0</v>
      </c>
      <c r="AB3461" s="4">
        <f t="shared" si="542"/>
        <v>1220701.3399999999</v>
      </c>
      <c r="AC3461" s="4">
        <f t="shared" si="534"/>
        <v>0</v>
      </c>
      <c r="AD3461" s="6">
        <f t="shared" si="537"/>
        <v>1220701.3399999999</v>
      </c>
      <c r="AE3461" s="2">
        <f>VLOOKUP(I3461,[1]媒体政策预估表!A:N,MATCH(O3461,[1]媒体政策预估表!$A$2:$M$2,0),0)</f>
        <v>7.0000000000000007E-2</v>
      </c>
      <c r="AF3461" s="6">
        <f t="shared" si="535"/>
        <v>85449.093800000002</v>
      </c>
      <c r="AG3461" s="14">
        <v>0</v>
      </c>
      <c r="AH3461" s="64">
        <f t="shared" si="538"/>
        <v>1220701.3399999999</v>
      </c>
      <c r="AI3461" s="47"/>
      <c r="AJ3461" s="126" t="e">
        <v>#N/A</v>
      </c>
      <c r="AK3461" s="80">
        <f t="shared" si="543"/>
        <v>0</v>
      </c>
      <c r="AM3461" s="85"/>
    </row>
    <row r="3462" spans="1:39" hidden="1" x14ac:dyDescent="0.3">
      <c r="A3462" s="89" t="s">
        <v>3391</v>
      </c>
      <c r="B3462" s="86" t="s">
        <v>35</v>
      </c>
      <c r="C3462" s="86" t="s">
        <v>65</v>
      </c>
      <c r="D3462" s="86" t="s">
        <v>66</v>
      </c>
      <c r="E3462" s="86" t="s">
        <v>1907</v>
      </c>
      <c r="F3462" s="86" t="s">
        <v>1908</v>
      </c>
      <c r="G3462" s="86" t="s">
        <v>1907</v>
      </c>
      <c r="H3462" s="144">
        <v>62</v>
      </c>
      <c r="I3462" s="86" t="s">
        <v>408</v>
      </c>
      <c r="J3462" s="1" t="s">
        <v>3324</v>
      </c>
      <c r="K3462" s="1" t="s">
        <v>3278</v>
      </c>
      <c r="L3462" s="1" t="s">
        <v>35</v>
      </c>
      <c r="M3462" s="86" t="s">
        <v>3445</v>
      </c>
      <c r="N3462" s="86"/>
      <c r="O3462" s="47" t="s">
        <v>410</v>
      </c>
      <c r="P3462" s="47" t="s">
        <v>41</v>
      </c>
      <c r="Q3462" s="14">
        <v>0</v>
      </c>
      <c r="R3462" s="143">
        <v>1000043029</v>
      </c>
      <c r="S3462" s="47"/>
      <c r="T3462" s="6">
        <v>0</v>
      </c>
      <c r="U3462" s="6">
        <v>600000</v>
      </c>
      <c r="V3462" s="6">
        <v>539471.28999999992</v>
      </c>
      <c r="W3462" s="6">
        <f t="shared" si="539"/>
        <v>60528.710000000079</v>
      </c>
      <c r="X3462" s="6">
        <f t="shared" si="540"/>
        <v>539471.28999999992</v>
      </c>
      <c r="Y3462" s="13">
        <f t="shared" si="541"/>
        <v>0</v>
      </c>
      <c r="Z3462" s="14">
        <v>0</v>
      </c>
      <c r="AA3462" s="6">
        <v>0</v>
      </c>
      <c r="AB3462" s="4">
        <f t="shared" si="542"/>
        <v>539471.28999999992</v>
      </c>
      <c r="AC3462" s="4">
        <f t="shared" si="534"/>
        <v>0</v>
      </c>
      <c r="AD3462" s="6">
        <f t="shared" si="537"/>
        <v>539471.28999999992</v>
      </c>
      <c r="AE3462" s="2">
        <f>VLOOKUP(I3462,[1]媒体政策预估表!A:N,MATCH(O3462,[1]媒体政策预估表!$A$2:$M$2,0),0)</f>
        <v>7.0000000000000007E-2</v>
      </c>
      <c r="AF3462" s="6">
        <f t="shared" si="535"/>
        <v>37762.990299999998</v>
      </c>
      <c r="AG3462" s="14">
        <v>0</v>
      </c>
      <c r="AH3462" s="64">
        <f t="shared" si="538"/>
        <v>539471.28999999992</v>
      </c>
      <c r="AI3462" s="47"/>
      <c r="AJ3462" s="126" t="e">
        <v>#N/A</v>
      </c>
      <c r="AK3462" s="80">
        <f t="shared" si="543"/>
        <v>0</v>
      </c>
      <c r="AM3462" s="85"/>
    </row>
    <row r="3463" spans="1:39" hidden="1" x14ac:dyDescent="0.3">
      <c r="A3463" s="89" t="s">
        <v>3391</v>
      </c>
      <c r="B3463" s="86" t="s">
        <v>35</v>
      </c>
      <c r="C3463" s="86" t="s">
        <v>65</v>
      </c>
      <c r="D3463" s="86" t="s">
        <v>66</v>
      </c>
      <c r="E3463" s="86" t="s">
        <v>469</v>
      </c>
      <c r="F3463" s="86" t="s">
        <v>469</v>
      </c>
      <c r="G3463" s="86" t="s">
        <v>469</v>
      </c>
      <c r="H3463" s="144">
        <v>62</v>
      </c>
      <c r="I3463" s="86" t="s">
        <v>408</v>
      </c>
      <c r="J3463" s="1" t="s">
        <v>3324</v>
      </c>
      <c r="K3463" s="1" t="s">
        <v>3278</v>
      </c>
      <c r="L3463" s="1" t="s">
        <v>35</v>
      </c>
      <c r="M3463" s="86" t="s">
        <v>469</v>
      </c>
      <c r="N3463" s="86"/>
      <c r="O3463" s="47" t="s">
        <v>410</v>
      </c>
      <c r="P3463" s="47" t="s">
        <v>41</v>
      </c>
      <c r="Q3463" s="14">
        <v>0</v>
      </c>
      <c r="R3463" s="143">
        <v>1000048227</v>
      </c>
      <c r="S3463" s="47"/>
      <c r="T3463" s="6">
        <v>93541.04999999993</v>
      </c>
      <c r="U3463" s="6">
        <v>250000</v>
      </c>
      <c r="V3463" s="6">
        <v>270378.93</v>
      </c>
      <c r="W3463" s="6">
        <f t="shared" si="539"/>
        <v>73162.119999999937</v>
      </c>
      <c r="X3463" s="6">
        <f t="shared" si="540"/>
        <v>270378.93</v>
      </c>
      <c r="Y3463" s="13">
        <f t="shared" si="541"/>
        <v>0</v>
      </c>
      <c r="Z3463" s="14">
        <v>0</v>
      </c>
      <c r="AA3463" s="6">
        <v>0</v>
      </c>
      <c r="AB3463" s="4">
        <f t="shared" si="542"/>
        <v>270378.93</v>
      </c>
      <c r="AC3463" s="4">
        <f t="shared" si="534"/>
        <v>0</v>
      </c>
      <c r="AD3463" s="6">
        <f t="shared" si="537"/>
        <v>270378.93</v>
      </c>
      <c r="AE3463" s="2">
        <f>VLOOKUP(I3463,[1]媒体政策预估表!A:N,MATCH(O3463,[1]媒体政策预估表!$A$2:$M$2,0),0)</f>
        <v>7.0000000000000007E-2</v>
      </c>
      <c r="AF3463" s="6">
        <f t="shared" si="535"/>
        <v>18926.525100000003</v>
      </c>
      <c r="AG3463" s="14">
        <v>0</v>
      </c>
      <c r="AH3463" s="64">
        <f t="shared" si="538"/>
        <v>270378.93</v>
      </c>
      <c r="AI3463" s="47"/>
      <c r="AJ3463" s="126" t="e">
        <v>#N/A</v>
      </c>
      <c r="AK3463" s="80">
        <f t="shared" si="543"/>
        <v>0</v>
      </c>
      <c r="AM3463" s="85"/>
    </row>
    <row r="3464" spans="1:39" hidden="1" x14ac:dyDescent="0.3">
      <c r="A3464" s="89" t="s">
        <v>3391</v>
      </c>
      <c r="B3464" s="86" t="s">
        <v>35</v>
      </c>
      <c r="C3464" s="86" t="s">
        <v>65</v>
      </c>
      <c r="D3464" s="86" t="s">
        <v>66</v>
      </c>
      <c r="E3464" s="86" t="s">
        <v>470</v>
      </c>
      <c r="F3464" s="86" t="s">
        <v>470</v>
      </c>
      <c r="G3464" s="86" t="s">
        <v>470</v>
      </c>
      <c r="H3464" s="144">
        <v>62</v>
      </c>
      <c r="I3464" s="86" t="s">
        <v>408</v>
      </c>
      <c r="J3464" s="1" t="s">
        <v>3324</v>
      </c>
      <c r="K3464" s="1" t="s">
        <v>3278</v>
      </c>
      <c r="L3464" s="1" t="s">
        <v>35</v>
      </c>
      <c r="M3464" s="86" t="s">
        <v>471</v>
      </c>
      <c r="N3464" s="86"/>
      <c r="O3464" s="47" t="s">
        <v>45</v>
      </c>
      <c r="P3464" s="47" t="s">
        <v>46</v>
      </c>
      <c r="Q3464" s="14">
        <v>0.04</v>
      </c>
      <c r="R3464" s="143">
        <v>1000094032</v>
      </c>
      <c r="S3464" s="47"/>
      <c r="T3464" s="6">
        <v>13783.66</v>
      </c>
      <c r="U3464" s="6">
        <v>40000</v>
      </c>
      <c r="V3464" s="6">
        <v>11631.109999999999</v>
      </c>
      <c r="W3464" s="6">
        <f t="shared" si="539"/>
        <v>42152.55</v>
      </c>
      <c r="X3464" s="6">
        <f t="shared" si="540"/>
        <v>11183.759615384613</v>
      </c>
      <c r="Y3464" s="13">
        <f t="shared" si="541"/>
        <v>0</v>
      </c>
      <c r="Z3464" s="14">
        <v>0</v>
      </c>
      <c r="AA3464" s="6">
        <v>0</v>
      </c>
      <c r="AB3464" s="4">
        <f t="shared" si="542"/>
        <v>11183.759615384613</v>
      </c>
      <c r="AC3464" s="4">
        <f t="shared" si="534"/>
        <v>447.35038461538534</v>
      </c>
      <c r="AD3464" s="6">
        <f t="shared" si="537"/>
        <v>11631.109999999999</v>
      </c>
      <c r="AE3464" s="2">
        <f>VLOOKUP(I3464,[1]媒体政策预估表!A:N,MATCH(O3464,[1]媒体政策预估表!$A$2:$M$2,0),0)</f>
        <v>0.12</v>
      </c>
      <c r="AF3464" s="6">
        <f t="shared" si="535"/>
        <v>1395.7331999999999</v>
      </c>
      <c r="AG3464" s="14">
        <v>0</v>
      </c>
      <c r="AH3464" s="64">
        <f t="shared" si="538"/>
        <v>11631.109999999999</v>
      </c>
      <c r="AI3464" s="47"/>
      <c r="AJ3464" s="126" t="e">
        <v>#N/A</v>
      </c>
      <c r="AK3464" s="80">
        <f t="shared" si="543"/>
        <v>0</v>
      </c>
      <c r="AM3464" s="85"/>
    </row>
    <row r="3465" spans="1:39" hidden="1" x14ac:dyDescent="0.3">
      <c r="A3465" s="89" t="s">
        <v>3391</v>
      </c>
      <c r="B3465" s="86" t="s">
        <v>35</v>
      </c>
      <c r="C3465" s="86" t="s">
        <v>65</v>
      </c>
      <c r="D3465" s="86" t="s">
        <v>66</v>
      </c>
      <c r="E3465" s="86" t="s">
        <v>470</v>
      </c>
      <c r="F3465" s="86" t="s">
        <v>470</v>
      </c>
      <c r="G3465" s="86" t="s">
        <v>470</v>
      </c>
      <c r="H3465" s="144">
        <v>62</v>
      </c>
      <c r="I3465" s="86" t="s">
        <v>408</v>
      </c>
      <c r="J3465" s="1" t="s">
        <v>3324</v>
      </c>
      <c r="K3465" s="1" t="s">
        <v>3278</v>
      </c>
      <c r="L3465" s="1" t="s">
        <v>35</v>
      </c>
      <c r="M3465" s="86" t="s">
        <v>472</v>
      </c>
      <c r="N3465" s="86"/>
      <c r="O3465" s="47" t="s">
        <v>410</v>
      </c>
      <c r="P3465" s="47" t="s">
        <v>46</v>
      </c>
      <c r="Q3465" s="14">
        <v>0.02</v>
      </c>
      <c r="R3465" s="143">
        <v>1000094031</v>
      </c>
      <c r="S3465" s="47"/>
      <c r="T3465" s="6">
        <v>56224.580000000075</v>
      </c>
      <c r="U3465" s="6">
        <v>250000</v>
      </c>
      <c r="V3465" s="6">
        <v>216728.90999999997</v>
      </c>
      <c r="W3465" s="6">
        <f t="shared" si="539"/>
        <v>89495.6700000001</v>
      </c>
      <c r="X3465" s="6">
        <f t="shared" si="540"/>
        <v>212479.32352941175</v>
      </c>
      <c r="Y3465" s="13">
        <f t="shared" si="541"/>
        <v>0</v>
      </c>
      <c r="Z3465" s="14">
        <v>0</v>
      </c>
      <c r="AA3465" s="6">
        <v>0</v>
      </c>
      <c r="AB3465" s="4">
        <f t="shared" si="542"/>
        <v>212479.32352941175</v>
      </c>
      <c r="AC3465" s="4">
        <f t="shared" si="534"/>
        <v>4249.5864705882268</v>
      </c>
      <c r="AD3465" s="6">
        <f t="shared" si="537"/>
        <v>216728.90999999997</v>
      </c>
      <c r="AE3465" s="2">
        <f>VLOOKUP(I3465,[1]媒体政策预估表!A:N,MATCH(O3465,[1]媒体政策预估表!$A$2:$M$2,0),0)</f>
        <v>7.0000000000000007E-2</v>
      </c>
      <c r="AF3465" s="6">
        <f t="shared" si="535"/>
        <v>15171.0237</v>
      </c>
      <c r="AG3465" s="14">
        <v>0</v>
      </c>
      <c r="AH3465" s="64">
        <f t="shared" si="538"/>
        <v>216728.90999999997</v>
      </c>
      <c r="AI3465" s="47"/>
      <c r="AJ3465" s="126" t="e">
        <v>#N/A</v>
      </c>
      <c r="AK3465" s="80">
        <f t="shared" si="543"/>
        <v>0</v>
      </c>
      <c r="AM3465" s="85"/>
    </row>
    <row r="3466" spans="1:39" hidden="1" x14ac:dyDescent="0.3">
      <c r="A3466" s="89" t="s">
        <v>3391</v>
      </c>
      <c r="B3466" s="86" t="s">
        <v>35</v>
      </c>
      <c r="C3466" s="86" t="s">
        <v>65</v>
      </c>
      <c r="D3466" s="86" t="s">
        <v>66</v>
      </c>
      <c r="E3466" s="86" t="s">
        <v>473</v>
      </c>
      <c r="F3466" s="86" t="s">
        <v>473</v>
      </c>
      <c r="G3466" s="86" t="s">
        <v>473</v>
      </c>
      <c r="H3466" s="144">
        <v>62</v>
      </c>
      <c r="I3466" s="86" t="s">
        <v>408</v>
      </c>
      <c r="J3466" s="1" t="s">
        <v>3324</v>
      </c>
      <c r="K3466" s="1" t="s">
        <v>3278</v>
      </c>
      <c r="L3466" s="1" t="s">
        <v>35</v>
      </c>
      <c r="M3466" s="86" t="s">
        <v>475</v>
      </c>
      <c r="N3466" s="86"/>
      <c r="O3466" s="47" t="s">
        <v>410</v>
      </c>
      <c r="P3466" s="47" t="s">
        <v>41</v>
      </c>
      <c r="Q3466" s="14">
        <v>0</v>
      </c>
      <c r="R3466" s="143">
        <v>1000054594</v>
      </c>
      <c r="S3466" s="47"/>
      <c r="T3466" s="6">
        <v>26990.729999999981</v>
      </c>
      <c r="U3466" s="6">
        <v>100000</v>
      </c>
      <c r="V3466" s="6">
        <v>126990.72999999998</v>
      </c>
      <c r="W3466" s="6">
        <f t="shared" si="539"/>
        <v>0</v>
      </c>
      <c r="X3466" s="6">
        <f t="shared" si="540"/>
        <v>126990.72999999998</v>
      </c>
      <c r="Y3466" s="13">
        <f t="shared" si="541"/>
        <v>0</v>
      </c>
      <c r="Z3466" s="14">
        <v>0</v>
      </c>
      <c r="AA3466" s="6">
        <v>0</v>
      </c>
      <c r="AB3466" s="4">
        <f t="shared" si="542"/>
        <v>126990.72999999998</v>
      </c>
      <c r="AC3466" s="4">
        <f t="shared" si="534"/>
        <v>0</v>
      </c>
      <c r="AD3466" s="6">
        <f t="shared" si="537"/>
        <v>126990.72999999998</v>
      </c>
      <c r="AE3466" s="2">
        <f>VLOOKUP(I3466,[1]媒体政策预估表!A:N,MATCH(O3466,[1]媒体政策预估表!$A$2:$M$2,0),0)</f>
        <v>7.0000000000000007E-2</v>
      </c>
      <c r="AF3466" s="6">
        <f t="shared" si="535"/>
        <v>8889.3510999999999</v>
      </c>
      <c r="AG3466" s="14">
        <v>0</v>
      </c>
      <c r="AH3466" s="64">
        <f t="shared" si="538"/>
        <v>126990.72999999998</v>
      </c>
      <c r="AI3466" s="47"/>
      <c r="AJ3466" s="126" t="e">
        <v>#N/A</v>
      </c>
      <c r="AK3466" s="80">
        <f t="shared" si="543"/>
        <v>0</v>
      </c>
      <c r="AM3466" s="85"/>
    </row>
    <row r="3467" spans="1:39" hidden="1" x14ac:dyDescent="0.3">
      <c r="A3467" s="89" t="s">
        <v>3391</v>
      </c>
      <c r="B3467" s="86" t="s">
        <v>35</v>
      </c>
      <c r="C3467" s="86" t="s">
        <v>65</v>
      </c>
      <c r="D3467" s="86" t="s">
        <v>66</v>
      </c>
      <c r="E3467" s="86" t="s">
        <v>473</v>
      </c>
      <c r="F3467" s="86" t="s">
        <v>473</v>
      </c>
      <c r="G3467" s="86" t="s">
        <v>473</v>
      </c>
      <c r="H3467" s="144">
        <v>62</v>
      </c>
      <c r="I3467" s="86" t="s">
        <v>408</v>
      </c>
      <c r="J3467" s="1" t="s">
        <v>3324</v>
      </c>
      <c r="K3467" s="1" t="s">
        <v>3278</v>
      </c>
      <c r="L3467" s="1" t="s">
        <v>35</v>
      </c>
      <c r="M3467" s="86" t="s">
        <v>708</v>
      </c>
      <c r="N3467" s="86"/>
      <c r="O3467" s="47" t="s">
        <v>45</v>
      </c>
      <c r="P3467" s="47" t="s">
        <v>41</v>
      </c>
      <c r="Q3467" s="14">
        <v>0</v>
      </c>
      <c r="R3467" s="143">
        <v>1000096893</v>
      </c>
      <c r="S3467" s="47"/>
      <c r="T3467" s="6">
        <v>12174.8</v>
      </c>
      <c r="U3467" s="6">
        <v>56170.44</v>
      </c>
      <c r="V3467" s="6">
        <v>10105.789999999997</v>
      </c>
      <c r="W3467" s="6">
        <f t="shared" si="539"/>
        <v>58239.450000000012</v>
      </c>
      <c r="X3467" s="6">
        <f t="shared" si="540"/>
        <v>10105.789999999997</v>
      </c>
      <c r="Y3467" s="13">
        <f t="shared" si="541"/>
        <v>0</v>
      </c>
      <c r="Z3467" s="14">
        <v>0</v>
      </c>
      <c r="AA3467" s="6">
        <v>0</v>
      </c>
      <c r="AB3467" s="4">
        <f t="shared" si="542"/>
        <v>10105.789999999997</v>
      </c>
      <c r="AC3467" s="4">
        <f t="shared" si="534"/>
        <v>0</v>
      </c>
      <c r="AD3467" s="6">
        <f t="shared" si="537"/>
        <v>10105.789999999997</v>
      </c>
      <c r="AE3467" s="2">
        <f>VLOOKUP(I3467,[1]媒体政策预估表!A:N,MATCH(O3467,[1]媒体政策预估表!$A$2:$M$2,0),0)</f>
        <v>0.12</v>
      </c>
      <c r="AF3467" s="6">
        <f t="shared" si="535"/>
        <v>1212.6947999999995</v>
      </c>
      <c r="AG3467" s="14">
        <v>0</v>
      </c>
      <c r="AH3467" s="64">
        <f t="shared" si="538"/>
        <v>10105.789999999997</v>
      </c>
      <c r="AI3467" s="47"/>
      <c r="AJ3467" s="126" t="e">
        <v>#N/A</v>
      </c>
      <c r="AK3467" s="80">
        <f t="shared" si="543"/>
        <v>0</v>
      </c>
      <c r="AM3467" s="85"/>
    </row>
    <row r="3468" spans="1:39" hidden="1" x14ac:dyDescent="0.3">
      <c r="A3468" s="89" t="s">
        <v>3397</v>
      </c>
      <c r="B3468" s="86" t="s">
        <v>35</v>
      </c>
      <c r="C3468" s="86" t="s">
        <v>65</v>
      </c>
      <c r="D3468" s="86" t="s">
        <v>66</v>
      </c>
      <c r="E3468" s="86" t="s">
        <v>473</v>
      </c>
      <c r="F3468" s="86" t="s">
        <v>473</v>
      </c>
      <c r="G3468" s="86" t="s">
        <v>473</v>
      </c>
      <c r="H3468" s="143">
        <v>62</v>
      </c>
      <c r="I3468" s="86" t="s">
        <v>408</v>
      </c>
      <c r="J3468" s="1" t="s">
        <v>3324</v>
      </c>
      <c r="K3468" s="1" t="s">
        <v>3278</v>
      </c>
      <c r="L3468" s="1" t="s">
        <v>35</v>
      </c>
      <c r="M3468" s="86" t="s">
        <v>709</v>
      </c>
      <c r="N3468" s="86"/>
      <c r="O3468" s="47" t="s">
        <v>45</v>
      </c>
      <c r="P3468" s="47" t="s">
        <v>41</v>
      </c>
      <c r="Q3468" s="14">
        <v>0</v>
      </c>
      <c r="R3468" s="143">
        <v>1000096895</v>
      </c>
      <c r="S3468" s="47"/>
      <c r="T3468" s="6">
        <v>15829.1</v>
      </c>
      <c r="U3468" s="6">
        <v>-15829.1</v>
      </c>
      <c r="V3468" s="6">
        <v>0</v>
      </c>
      <c r="W3468" s="6">
        <f t="shared" si="539"/>
        <v>0</v>
      </c>
      <c r="X3468" s="6">
        <f t="shared" si="540"/>
        <v>0</v>
      </c>
      <c r="Y3468" s="13">
        <f t="shared" si="541"/>
        <v>0</v>
      </c>
      <c r="Z3468" s="14">
        <v>0</v>
      </c>
      <c r="AA3468" s="6">
        <v>0</v>
      </c>
      <c r="AB3468" s="4">
        <f t="shared" si="542"/>
        <v>0</v>
      </c>
      <c r="AC3468" s="4">
        <f t="shared" ref="AC3468:AC3531" si="544">IF(P3468="返现",X3468*Q3468,V3468-X3468)</f>
        <v>0</v>
      </c>
      <c r="AD3468" s="6">
        <f t="shared" si="537"/>
        <v>0</v>
      </c>
      <c r="AE3468" s="2">
        <f>VLOOKUP(I3468,[1]媒体政策预估表!A:N,MATCH(O3468,[1]媒体政策预估表!$A$2:$M$2,0),0)</f>
        <v>0.12</v>
      </c>
      <c r="AF3468" s="6">
        <f t="shared" ref="AF3468:AF3531" si="545">AD3468*AE3468</f>
        <v>0</v>
      </c>
      <c r="AG3468" s="14">
        <v>0</v>
      </c>
      <c r="AH3468" s="64">
        <f t="shared" si="538"/>
        <v>0</v>
      </c>
      <c r="AI3468" s="47"/>
      <c r="AJ3468" s="126" t="e">
        <v>#N/A</v>
      </c>
      <c r="AK3468" s="80">
        <f t="shared" si="543"/>
        <v>0</v>
      </c>
      <c r="AM3468" s="85"/>
    </row>
    <row r="3469" spans="1:39" hidden="1" x14ac:dyDescent="0.3">
      <c r="A3469" s="89" t="s">
        <v>3391</v>
      </c>
      <c r="B3469" s="86" t="s">
        <v>35</v>
      </c>
      <c r="C3469" s="86" t="s">
        <v>65</v>
      </c>
      <c r="D3469" s="86" t="s">
        <v>66</v>
      </c>
      <c r="E3469" s="86" t="s">
        <v>473</v>
      </c>
      <c r="F3469" s="86" t="s">
        <v>473</v>
      </c>
      <c r="G3469" s="86" t="s">
        <v>473</v>
      </c>
      <c r="H3469" s="143">
        <v>62</v>
      </c>
      <c r="I3469" s="86" t="s">
        <v>408</v>
      </c>
      <c r="J3469" s="1" t="s">
        <v>3324</v>
      </c>
      <c r="K3469" s="1" t="s">
        <v>3278</v>
      </c>
      <c r="L3469" s="1" t="s">
        <v>35</v>
      </c>
      <c r="M3469" s="86" t="s">
        <v>710</v>
      </c>
      <c r="N3469" s="86"/>
      <c r="O3469" s="47" t="s">
        <v>45</v>
      </c>
      <c r="P3469" s="47" t="s">
        <v>41</v>
      </c>
      <c r="Q3469" s="14">
        <v>0</v>
      </c>
      <c r="R3469" s="143">
        <v>1000096894</v>
      </c>
      <c r="S3469" s="47"/>
      <c r="T3469" s="6">
        <v>12759.24</v>
      </c>
      <c r="U3469" s="6">
        <v>-12759.24</v>
      </c>
      <c r="V3469" s="6">
        <v>0</v>
      </c>
      <c r="W3469" s="6">
        <f t="shared" si="539"/>
        <v>0</v>
      </c>
      <c r="X3469" s="6">
        <f t="shared" si="540"/>
        <v>0</v>
      </c>
      <c r="Y3469" s="13">
        <f t="shared" si="541"/>
        <v>0</v>
      </c>
      <c r="Z3469" s="14">
        <v>0</v>
      </c>
      <c r="AA3469" s="6">
        <v>0</v>
      </c>
      <c r="AB3469" s="4">
        <f t="shared" si="542"/>
        <v>0</v>
      </c>
      <c r="AC3469" s="4">
        <f t="shared" si="544"/>
        <v>0</v>
      </c>
      <c r="AD3469" s="6">
        <f t="shared" si="537"/>
        <v>0</v>
      </c>
      <c r="AE3469" s="2">
        <f>VLOOKUP(I3469,[1]媒体政策预估表!A:N,MATCH(O3469,[1]媒体政策预估表!$A$2:$M$2,0),0)</f>
        <v>0.12</v>
      </c>
      <c r="AF3469" s="6">
        <f t="shared" si="545"/>
        <v>0</v>
      </c>
      <c r="AG3469" s="14">
        <v>0</v>
      </c>
      <c r="AH3469" s="64">
        <f t="shared" si="538"/>
        <v>0</v>
      </c>
      <c r="AI3469" s="47"/>
      <c r="AJ3469" s="126" t="e">
        <v>#N/A</v>
      </c>
      <c r="AK3469" s="80">
        <f t="shared" si="543"/>
        <v>0</v>
      </c>
      <c r="AM3469" s="85"/>
    </row>
    <row r="3470" spans="1:39" hidden="1" x14ac:dyDescent="0.3">
      <c r="A3470" s="89" t="s">
        <v>3391</v>
      </c>
      <c r="B3470" s="86" t="s">
        <v>35</v>
      </c>
      <c r="C3470" s="86" t="s">
        <v>65</v>
      </c>
      <c r="D3470" s="86" t="s">
        <v>66</v>
      </c>
      <c r="E3470" s="86" t="s">
        <v>473</v>
      </c>
      <c r="F3470" s="86" t="s">
        <v>473</v>
      </c>
      <c r="G3470" s="86" t="s">
        <v>473</v>
      </c>
      <c r="H3470" s="143">
        <v>62</v>
      </c>
      <c r="I3470" s="86" t="s">
        <v>408</v>
      </c>
      <c r="J3470" s="1" t="s">
        <v>3324</v>
      </c>
      <c r="K3470" s="1" t="s">
        <v>3278</v>
      </c>
      <c r="L3470" s="1" t="s">
        <v>35</v>
      </c>
      <c r="M3470" s="86" t="s">
        <v>711</v>
      </c>
      <c r="N3470" s="86"/>
      <c r="O3470" s="47" t="s">
        <v>45</v>
      </c>
      <c r="P3470" s="47" t="s">
        <v>41</v>
      </c>
      <c r="Q3470" s="14">
        <v>0</v>
      </c>
      <c r="R3470" s="143">
        <v>1000096896</v>
      </c>
      <c r="S3470" s="47"/>
      <c r="T3470" s="6">
        <v>12650</v>
      </c>
      <c r="U3470" s="6">
        <v>-12650</v>
      </c>
      <c r="V3470" s="6">
        <v>0</v>
      </c>
      <c r="W3470" s="6">
        <f t="shared" si="539"/>
        <v>0</v>
      </c>
      <c r="X3470" s="6">
        <f t="shared" si="540"/>
        <v>0</v>
      </c>
      <c r="Y3470" s="13">
        <f t="shared" si="541"/>
        <v>0</v>
      </c>
      <c r="Z3470" s="14">
        <v>0</v>
      </c>
      <c r="AA3470" s="6">
        <v>0</v>
      </c>
      <c r="AB3470" s="4">
        <f t="shared" si="542"/>
        <v>0</v>
      </c>
      <c r="AC3470" s="4">
        <f t="shared" si="544"/>
        <v>0</v>
      </c>
      <c r="AD3470" s="6">
        <f t="shared" si="537"/>
        <v>0</v>
      </c>
      <c r="AE3470" s="2">
        <f>VLOOKUP(I3470,[1]媒体政策预估表!A:N,MATCH(O3470,[1]媒体政策预估表!$A$2:$M$2,0),0)</f>
        <v>0.12</v>
      </c>
      <c r="AF3470" s="6">
        <f t="shared" si="545"/>
        <v>0</v>
      </c>
      <c r="AG3470" s="14">
        <v>0</v>
      </c>
      <c r="AH3470" s="64">
        <f t="shared" si="538"/>
        <v>0</v>
      </c>
      <c r="AI3470" s="47"/>
      <c r="AJ3470" s="126" t="e">
        <v>#N/A</v>
      </c>
      <c r="AK3470" s="80">
        <f t="shared" si="543"/>
        <v>0</v>
      </c>
      <c r="AM3470" s="85"/>
    </row>
    <row r="3471" spans="1:39" hidden="1" x14ac:dyDescent="0.3">
      <c r="A3471" s="89" t="s">
        <v>3391</v>
      </c>
      <c r="B3471" s="86" t="s">
        <v>35</v>
      </c>
      <c r="C3471" s="86" t="s">
        <v>65</v>
      </c>
      <c r="D3471" s="86" t="s">
        <v>66</v>
      </c>
      <c r="E3471" s="86" t="s">
        <v>473</v>
      </c>
      <c r="F3471" s="86" t="s">
        <v>473</v>
      </c>
      <c r="G3471" s="86" t="s">
        <v>473</v>
      </c>
      <c r="H3471" s="143">
        <v>62</v>
      </c>
      <c r="I3471" s="86" t="s">
        <v>408</v>
      </c>
      <c r="J3471" s="1" t="s">
        <v>3324</v>
      </c>
      <c r="K3471" s="1" t="s">
        <v>3278</v>
      </c>
      <c r="L3471" s="1" t="s">
        <v>35</v>
      </c>
      <c r="M3471" s="86" t="s">
        <v>712</v>
      </c>
      <c r="N3471" s="86"/>
      <c r="O3471" s="47" t="s">
        <v>45</v>
      </c>
      <c r="P3471" s="47" t="s">
        <v>41</v>
      </c>
      <c r="Q3471" s="14">
        <v>0</v>
      </c>
      <c r="R3471" s="143">
        <v>1000096897</v>
      </c>
      <c r="S3471" s="47"/>
      <c r="T3471" s="6">
        <v>14932.1</v>
      </c>
      <c r="U3471" s="6">
        <v>-14932.1</v>
      </c>
      <c r="V3471" s="6">
        <v>0</v>
      </c>
      <c r="W3471" s="6">
        <f t="shared" si="539"/>
        <v>0</v>
      </c>
      <c r="X3471" s="6">
        <f t="shared" si="540"/>
        <v>0</v>
      </c>
      <c r="Y3471" s="13">
        <f t="shared" si="541"/>
        <v>0</v>
      </c>
      <c r="Z3471" s="14">
        <v>0</v>
      </c>
      <c r="AA3471" s="6">
        <v>0</v>
      </c>
      <c r="AB3471" s="4">
        <f t="shared" si="542"/>
        <v>0</v>
      </c>
      <c r="AC3471" s="4">
        <f t="shared" si="544"/>
        <v>0</v>
      </c>
      <c r="AD3471" s="6">
        <f t="shared" si="537"/>
        <v>0</v>
      </c>
      <c r="AE3471" s="2">
        <f>VLOOKUP(I3471,[1]媒体政策预估表!A:N,MATCH(O3471,[1]媒体政策预估表!$A$2:$M$2,0),0)</f>
        <v>0.12</v>
      </c>
      <c r="AF3471" s="6">
        <f t="shared" si="545"/>
        <v>0</v>
      </c>
      <c r="AG3471" s="14">
        <v>0</v>
      </c>
      <c r="AH3471" s="64">
        <f t="shared" si="538"/>
        <v>0</v>
      </c>
      <c r="AI3471" s="47"/>
      <c r="AJ3471" s="126" t="e">
        <v>#N/A</v>
      </c>
      <c r="AK3471" s="80">
        <f t="shared" si="543"/>
        <v>0</v>
      </c>
      <c r="AM3471" s="85"/>
    </row>
    <row r="3472" spans="1:39" hidden="1" x14ac:dyDescent="0.3">
      <c r="A3472" s="89" t="s">
        <v>3391</v>
      </c>
      <c r="B3472" s="86" t="s">
        <v>35</v>
      </c>
      <c r="C3472" s="86" t="s">
        <v>65</v>
      </c>
      <c r="D3472" s="86" t="s">
        <v>66</v>
      </c>
      <c r="E3472" s="86" t="s">
        <v>473</v>
      </c>
      <c r="F3472" s="86" t="s">
        <v>473</v>
      </c>
      <c r="G3472" s="86" t="s">
        <v>473</v>
      </c>
      <c r="H3472" s="144">
        <v>62</v>
      </c>
      <c r="I3472" s="86" t="s">
        <v>408</v>
      </c>
      <c r="J3472" s="1" t="s">
        <v>3324</v>
      </c>
      <c r="K3472" s="1" t="s">
        <v>3278</v>
      </c>
      <c r="L3472" s="1" t="s">
        <v>35</v>
      </c>
      <c r="M3472" s="86" t="s">
        <v>3445</v>
      </c>
      <c r="N3472" s="86"/>
      <c r="O3472" s="47" t="s">
        <v>410</v>
      </c>
      <c r="P3472" s="47" t="s">
        <v>41</v>
      </c>
      <c r="Q3472" s="14">
        <v>0</v>
      </c>
      <c r="R3472" s="143">
        <v>1000043029</v>
      </c>
      <c r="S3472" s="47"/>
      <c r="T3472" s="6">
        <v>30032.900000000023</v>
      </c>
      <c r="U3472" s="6">
        <v>100000</v>
      </c>
      <c r="V3472" s="6">
        <v>130032.90000000002</v>
      </c>
      <c r="W3472" s="6">
        <f t="shared" si="539"/>
        <v>0</v>
      </c>
      <c r="X3472" s="6">
        <f t="shared" si="540"/>
        <v>130032.90000000002</v>
      </c>
      <c r="Y3472" s="13">
        <f t="shared" si="541"/>
        <v>0</v>
      </c>
      <c r="Z3472" s="14">
        <v>0</v>
      </c>
      <c r="AA3472" s="6">
        <v>0</v>
      </c>
      <c r="AB3472" s="4">
        <f t="shared" si="542"/>
        <v>130032.90000000002</v>
      </c>
      <c r="AC3472" s="4">
        <f t="shared" si="544"/>
        <v>0</v>
      </c>
      <c r="AD3472" s="6">
        <f t="shared" si="537"/>
        <v>130032.90000000002</v>
      </c>
      <c r="AE3472" s="2">
        <f>VLOOKUP(I3472,[1]媒体政策预估表!A:N,MATCH(O3472,[1]媒体政策预估表!$A$2:$M$2,0),0)</f>
        <v>7.0000000000000007E-2</v>
      </c>
      <c r="AF3472" s="6">
        <f t="shared" si="545"/>
        <v>9102.3030000000017</v>
      </c>
      <c r="AG3472" s="14">
        <v>0</v>
      </c>
      <c r="AH3472" s="64">
        <f t="shared" si="538"/>
        <v>130032.90000000002</v>
      </c>
      <c r="AI3472" s="47"/>
      <c r="AJ3472" s="126" t="e">
        <v>#N/A</v>
      </c>
      <c r="AK3472" s="80">
        <f t="shared" si="543"/>
        <v>0</v>
      </c>
      <c r="AM3472" s="85"/>
    </row>
    <row r="3473" spans="1:39" hidden="1" x14ac:dyDescent="0.3">
      <c r="A3473" s="89" t="s">
        <v>3391</v>
      </c>
      <c r="B3473" s="86" t="s">
        <v>35</v>
      </c>
      <c r="C3473" s="86" t="s">
        <v>65</v>
      </c>
      <c r="D3473" s="86" t="s">
        <v>66</v>
      </c>
      <c r="E3473" s="86" t="s">
        <v>487</v>
      </c>
      <c r="F3473" s="86" t="s">
        <v>487</v>
      </c>
      <c r="G3473" s="86" t="s">
        <v>487</v>
      </c>
      <c r="H3473" s="144">
        <v>62</v>
      </c>
      <c r="I3473" s="86" t="s">
        <v>408</v>
      </c>
      <c r="J3473" s="1" t="s">
        <v>3324</v>
      </c>
      <c r="K3473" s="1" t="s">
        <v>3278</v>
      </c>
      <c r="L3473" s="1" t="s">
        <v>35</v>
      </c>
      <c r="M3473" s="86" t="s">
        <v>488</v>
      </c>
      <c r="N3473" s="86"/>
      <c r="O3473" s="47" t="s">
        <v>410</v>
      </c>
      <c r="P3473" s="47" t="s">
        <v>41</v>
      </c>
      <c r="Q3473" s="14">
        <v>0</v>
      </c>
      <c r="R3473" s="143">
        <v>1000099505</v>
      </c>
      <c r="S3473" s="47"/>
      <c r="T3473" s="6">
        <v>14491.400000000009</v>
      </c>
      <c r="U3473" s="6">
        <v>115000</v>
      </c>
      <c r="V3473" s="6">
        <v>92011.400000000023</v>
      </c>
      <c r="W3473" s="6">
        <f t="shared" si="539"/>
        <v>37479.999999999985</v>
      </c>
      <c r="X3473" s="6">
        <f t="shared" si="540"/>
        <v>92011.400000000023</v>
      </c>
      <c r="Y3473" s="13">
        <f t="shared" si="541"/>
        <v>0</v>
      </c>
      <c r="Z3473" s="14">
        <v>0</v>
      </c>
      <c r="AA3473" s="6">
        <v>0</v>
      </c>
      <c r="AB3473" s="4">
        <f t="shared" si="542"/>
        <v>92011.400000000023</v>
      </c>
      <c r="AC3473" s="4">
        <f t="shared" si="544"/>
        <v>0</v>
      </c>
      <c r="AD3473" s="6">
        <f t="shared" si="537"/>
        <v>92011.400000000023</v>
      </c>
      <c r="AE3473" s="2">
        <f>VLOOKUP(I3473,[1]媒体政策预估表!A:N,MATCH(O3473,[1]媒体政策预估表!$A$2:$M$2,0),0)</f>
        <v>7.0000000000000007E-2</v>
      </c>
      <c r="AF3473" s="6">
        <f t="shared" si="545"/>
        <v>6440.7980000000025</v>
      </c>
      <c r="AG3473" s="14">
        <v>0</v>
      </c>
      <c r="AH3473" s="64">
        <f t="shared" si="538"/>
        <v>92011.400000000023</v>
      </c>
      <c r="AI3473" s="47"/>
      <c r="AJ3473" s="126" t="e">
        <v>#N/A</v>
      </c>
      <c r="AK3473" s="80">
        <f t="shared" si="543"/>
        <v>0</v>
      </c>
      <c r="AM3473" s="85"/>
    </row>
    <row r="3474" spans="1:39" hidden="1" x14ac:dyDescent="0.3">
      <c r="A3474" s="89" t="s">
        <v>3391</v>
      </c>
      <c r="B3474" s="86" t="s">
        <v>35</v>
      </c>
      <c r="C3474" s="86" t="s">
        <v>65</v>
      </c>
      <c r="D3474" s="86" t="s">
        <v>66</v>
      </c>
      <c r="E3474" s="86" t="s">
        <v>487</v>
      </c>
      <c r="F3474" s="86" t="s">
        <v>487</v>
      </c>
      <c r="G3474" s="86" t="s">
        <v>487</v>
      </c>
      <c r="H3474" s="143">
        <v>62</v>
      </c>
      <c r="I3474" s="86" t="s">
        <v>408</v>
      </c>
      <c r="J3474" s="1" t="s">
        <v>3324</v>
      </c>
      <c r="K3474" s="1" t="s">
        <v>3278</v>
      </c>
      <c r="L3474" s="1" t="s">
        <v>35</v>
      </c>
      <c r="M3474" s="86" t="s">
        <v>3446</v>
      </c>
      <c r="N3474" s="86"/>
      <c r="O3474" s="47" t="s">
        <v>410</v>
      </c>
      <c r="P3474" s="47" t="s">
        <v>41</v>
      </c>
      <c r="Q3474" s="14">
        <v>0</v>
      </c>
      <c r="R3474" s="143">
        <v>1000101946</v>
      </c>
      <c r="S3474" s="47"/>
      <c r="T3474" s="6">
        <v>0</v>
      </c>
      <c r="U3474" s="6">
        <v>20000</v>
      </c>
      <c r="V3474" s="6">
        <v>0</v>
      </c>
      <c r="W3474" s="6">
        <f t="shared" si="539"/>
        <v>20000</v>
      </c>
      <c r="X3474" s="6">
        <f t="shared" si="540"/>
        <v>0</v>
      </c>
      <c r="Y3474" s="13">
        <f t="shared" si="541"/>
        <v>0</v>
      </c>
      <c r="Z3474" s="14">
        <v>0</v>
      </c>
      <c r="AA3474" s="6">
        <v>0</v>
      </c>
      <c r="AB3474" s="4">
        <f t="shared" si="542"/>
        <v>0</v>
      </c>
      <c r="AC3474" s="4">
        <f t="shared" si="544"/>
        <v>0</v>
      </c>
      <c r="AD3474" s="6">
        <f t="shared" si="537"/>
        <v>0</v>
      </c>
      <c r="AE3474" s="2">
        <f>VLOOKUP(I3474,[1]媒体政策预估表!A:N,MATCH(O3474,[1]媒体政策预估表!$A$2:$M$2,0),0)</f>
        <v>7.0000000000000007E-2</v>
      </c>
      <c r="AF3474" s="6">
        <f t="shared" si="545"/>
        <v>0</v>
      </c>
      <c r="AG3474" s="14">
        <v>0</v>
      </c>
      <c r="AH3474" s="64">
        <f t="shared" si="538"/>
        <v>0</v>
      </c>
      <c r="AI3474" s="47"/>
      <c r="AJ3474" s="126" t="e">
        <v>#N/A</v>
      </c>
      <c r="AK3474" s="80">
        <f t="shared" si="543"/>
        <v>0</v>
      </c>
      <c r="AM3474" s="85"/>
    </row>
    <row r="3475" spans="1:39" hidden="1" x14ac:dyDescent="0.3">
      <c r="A3475" s="89" t="s">
        <v>3391</v>
      </c>
      <c r="B3475" s="86" t="s">
        <v>35</v>
      </c>
      <c r="C3475" s="86" t="s">
        <v>65</v>
      </c>
      <c r="D3475" s="86" t="s">
        <v>66</v>
      </c>
      <c r="E3475" s="86" t="s">
        <v>487</v>
      </c>
      <c r="F3475" s="86" t="s">
        <v>487</v>
      </c>
      <c r="G3475" s="86" t="s">
        <v>487</v>
      </c>
      <c r="H3475" s="144">
        <v>62</v>
      </c>
      <c r="I3475" s="86" t="s">
        <v>408</v>
      </c>
      <c r="J3475" s="1" t="s">
        <v>3324</v>
      </c>
      <c r="K3475" s="1" t="s">
        <v>3278</v>
      </c>
      <c r="L3475" s="1" t="s">
        <v>35</v>
      </c>
      <c r="M3475" s="86" t="s">
        <v>3447</v>
      </c>
      <c r="N3475" s="86"/>
      <c r="O3475" s="47" t="s">
        <v>410</v>
      </c>
      <c r="P3475" s="47" t="s">
        <v>41</v>
      </c>
      <c r="Q3475" s="14">
        <v>0</v>
      </c>
      <c r="R3475" s="143">
        <v>1000101346</v>
      </c>
      <c r="S3475" s="47"/>
      <c r="T3475" s="6">
        <v>0</v>
      </c>
      <c r="U3475" s="6">
        <v>30000</v>
      </c>
      <c r="V3475" s="6">
        <v>19710.900000000001</v>
      </c>
      <c r="W3475" s="6">
        <f t="shared" si="539"/>
        <v>10289.099999999999</v>
      </c>
      <c r="X3475" s="6">
        <f t="shared" si="540"/>
        <v>19710.900000000001</v>
      </c>
      <c r="Y3475" s="13">
        <f t="shared" si="541"/>
        <v>0</v>
      </c>
      <c r="Z3475" s="14">
        <v>0</v>
      </c>
      <c r="AA3475" s="6">
        <v>0</v>
      </c>
      <c r="AB3475" s="4">
        <f t="shared" si="542"/>
        <v>19710.900000000001</v>
      </c>
      <c r="AC3475" s="4">
        <f t="shared" si="544"/>
        <v>0</v>
      </c>
      <c r="AD3475" s="6">
        <f t="shared" si="537"/>
        <v>19710.900000000001</v>
      </c>
      <c r="AE3475" s="2">
        <f>VLOOKUP(I3475,[1]媒体政策预估表!A:N,MATCH(O3475,[1]媒体政策预估表!$A$2:$M$2,0),0)</f>
        <v>7.0000000000000007E-2</v>
      </c>
      <c r="AF3475" s="6">
        <f t="shared" si="545"/>
        <v>1379.7630000000001</v>
      </c>
      <c r="AG3475" s="14">
        <v>0</v>
      </c>
      <c r="AH3475" s="64">
        <f t="shared" si="538"/>
        <v>19710.900000000001</v>
      </c>
      <c r="AI3475" s="47"/>
      <c r="AJ3475" s="126" t="e">
        <v>#N/A</v>
      </c>
      <c r="AK3475" s="80">
        <f t="shared" si="543"/>
        <v>0</v>
      </c>
      <c r="AM3475" s="85"/>
    </row>
    <row r="3476" spans="1:39" hidden="1" x14ac:dyDescent="0.3">
      <c r="A3476" s="89" t="s">
        <v>3391</v>
      </c>
      <c r="B3476" s="86" t="s">
        <v>35</v>
      </c>
      <c r="C3476" s="86" t="s">
        <v>65</v>
      </c>
      <c r="D3476" s="86" t="s">
        <v>66</v>
      </c>
      <c r="E3476" s="86" t="s">
        <v>493</v>
      </c>
      <c r="F3476" s="86" t="s">
        <v>493</v>
      </c>
      <c r="G3476" s="86" t="s">
        <v>493</v>
      </c>
      <c r="H3476" s="144">
        <v>62</v>
      </c>
      <c r="I3476" s="86" t="s">
        <v>408</v>
      </c>
      <c r="J3476" s="1" t="s">
        <v>3324</v>
      </c>
      <c r="K3476" s="1" t="s">
        <v>3278</v>
      </c>
      <c r="L3476" s="1" t="s">
        <v>35</v>
      </c>
      <c r="M3476" s="86" t="s">
        <v>493</v>
      </c>
      <c r="N3476" s="86"/>
      <c r="O3476" s="47" t="s">
        <v>410</v>
      </c>
      <c r="P3476" s="47" t="s">
        <v>46</v>
      </c>
      <c r="Q3476" s="14">
        <v>0.01</v>
      </c>
      <c r="R3476" s="143">
        <v>1000055864</v>
      </c>
      <c r="S3476" s="47"/>
      <c r="T3476" s="6">
        <v>37572.06</v>
      </c>
      <c r="U3476" s="6">
        <v>310000</v>
      </c>
      <c r="V3476" s="6">
        <v>332202.06000000006</v>
      </c>
      <c r="W3476" s="6">
        <f t="shared" si="539"/>
        <v>15369.999999999942</v>
      </c>
      <c r="X3476" s="6">
        <f t="shared" si="540"/>
        <v>328912.93069306936</v>
      </c>
      <c r="Y3476" s="13">
        <f t="shared" si="541"/>
        <v>0</v>
      </c>
      <c r="Z3476" s="14">
        <v>0</v>
      </c>
      <c r="AA3476" s="6">
        <v>0</v>
      </c>
      <c r="AB3476" s="4">
        <f t="shared" si="542"/>
        <v>328912.93069306936</v>
      </c>
      <c r="AC3476" s="4">
        <f t="shared" si="544"/>
        <v>3289.1293069306994</v>
      </c>
      <c r="AD3476" s="6">
        <f t="shared" si="537"/>
        <v>332202.06000000006</v>
      </c>
      <c r="AE3476" s="2">
        <f>VLOOKUP(I3476,[1]媒体政策预估表!A:N,MATCH(O3476,[1]媒体政策预估表!$A$2:$M$2,0),0)</f>
        <v>7.0000000000000007E-2</v>
      </c>
      <c r="AF3476" s="6">
        <f t="shared" si="545"/>
        <v>23254.144200000006</v>
      </c>
      <c r="AG3476" s="14">
        <v>0</v>
      </c>
      <c r="AH3476" s="64">
        <f t="shared" si="538"/>
        <v>332202.06000000006</v>
      </c>
      <c r="AI3476" s="47"/>
      <c r="AJ3476" s="126" t="e">
        <v>#N/A</v>
      </c>
      <c r="AK3476" s="80">
        <f t="shared" si="543"/>
        <v>0</v>
      </c>
      <c r="AM3476" s="85"/>
    </row>
    <row r="3477" spans="1:39" hidden="1" x14ac:dyDescent="0.3">
      <c r="A3477" s="89" t="s">
        <v>3391</v>
      </c>
      <c r="B3477" s="86" t="s">
        <v>35</v>
      </c>
      <c r="C3477" s="86" t="s">
        <v>65</v>
      </c>
      <c r="D3477" s="86" t="s">
        <v>66</v>
      </c>
      <c r="E3477" s="86" t="s">
        <v>494</v>
      </c>
      <c r="F3477" s="86" t="s">
        <v>494</v>
      </c>
      <c r="G3477" s="86" t="s">
        <v>494</v>
      </c>
      <c r="H3477" s="144">
        <v>62</v>
      </c>
      <c r="I3477" s="86" t="s">
        <v>408</v>
      </c>
      <c r="J3477" s="1" t="s">
        <v>3324</v>
      </c>
      <c r="K3477" s="1" t="s">
        <v>3278</v>
      </c>
      <c r="L3477" s="1" t="s">
        <v>35</v>
      </c>
      <c r="M3477" s="86" t="s">
        <v>495</v>
      </c>
      <c r="N3477" s="86"/>
      <c r="O3477" s="47" t="s">
        <v>410</v>
      </c>
      <c r="P3477" s="47" t="s">
        <v>41</v>
      </c>
      <c r="Q3477" s="14">
        <v>0</v>
      </c>
      <c r="R3477" s="143">
        <v>1000018044</v>
      </c>
      <c r="S3477" s="47"/>
      <c r="T3477" s="6">
        <v>225167.10999999964</v>
      </c>
      <c r="U3477" s="6">
        <v>700000</v>
      </c>
      <c r="V3477" s="6">
        <v>781976.41</v>
      </c>
      <c r="W3477" s="6">
        <f t="shared" si="539"/>
        <v>143190.6999999996</v>
      </c>
      <c r="X3477" s="6">
        <f t="shared" si="540"/>
        <v>781976.41</v>
      </c>
      <c r="Y3477" s="13">
        <f t="shared" si="541"/>
        <v>0</v>
      </c>
      <c r="Z3477" s="14">
        <v>0</v>
      </c>
      <c r="AA3477" s="6">
        <v>0</v>
      </c>
      <c r="AB3477" s="4">
        <f t="shared" si="542"/>
        <v>781976.41</v>
      </c>
      <c r="AC3477" s="4">
        <f t="shared" si="544"/>
        <v>0</v>
      </c>
      <c r="AD3477" s="6">
        <f t="shared" si="537"/>
        <v>781976.41</v>
      </c>
      <c r="AE3477" s="2">
        <f>VLOOKUP(I3477,[1]媒体政策预估表!A:N,MATCH(O3477,[1]媒体政策预估表!$A$2:$M$2,0),0)</f>
        <v>7.0000000000000007E-2</v>
      </c>
      <c r="AF3477" s="6">
        <f t="shared" si="545"/>
        <v>54738.34870000001</v>
      </c>
      <c r="AG3477" s="14">
        <v>0</v>
      </c>
      <c r="AH3477" s="64">
        <f t="shared" si="538"/>
        <v>781976.41</v>
      </c>
      <c r="AI3477" s="47"/>
      <c r="AJ3477" s="126" t="e">
        <v>#N/A</v>
      </c>
      <c r="AK3477" s="80">
        <f t="shared" si="543"/>
        <v>0</v>
      </c>
      <c r="AM3477" s="85"/>
    </row>
    <row r="3478" spans="1:39" hidden="1" x14ac:dyDescent="0.3">
      <c r="A3478" s="89" t="s">
        <v>3391</v>
      </c>
      <c r="B3478" s="86" t="s">
        <v>35</v>
      </c>
      <c r="C3478" s="86" t="s">
        <v>65</v>
      </c>
      <c r="D3478" s="86" t="s">
        <v>66</v>
      </c>
      <c r="E3478" s="86" t="s">
        <v>496</v>
      </c>
      <c r="F3478" s="86" t="s">
        <v>497</v>
      </c>
      <c r="G3478" s="86" t="s">
        <v>496</v>
      </c>
      <c r="H3478" s="144">
        <v>62</v>
      </c>
      <c r="I3478" s="86" t="s">
        <v>408</v>
      </c>
      <c r="J3478" s="1" t="s">
        <v>3324</v>
      </c>
      <c r="K3478" s="1" t="s">
        <v>3278</v>
      </c>
      <c r="L3478" s="1" t="s">
        <v>35</v>
      </c>
      <c r="M3478" s="86" t="s">
        <v>3448</v>
      </c>
      <c r="N3478" s="86"/>
      <c r="O3478" s="47" t="s">
        <v>410</v>
      </c>
      <c r="P3478" s="47" t="s">
        <v>46</v>
      </c>
      <c r="Q3478" s="14">
        <v>0.01</v>
      </c>
      <c r="R3478" s="143">
        <v>1000102599</v>
      </c>
      <c r="S3478" s="47"/>
      <c r="T3478" s="6">
        <v>0</v>
      </c>
      <c r="U3478" s="6">
        <v>120000</v>
      </c>
      <c r="V3478" s="6">
        <v>6003</v>
      </c>
      <c r="W3478" s="6">
        <f t="shared" si="539"/>
        <v>113997</v>
      </c>
      <c r="X3478" s="6">
        <f t="shared" si="540"/>
        <v>5943.5643564356433</v>
      </c>
      <c r="Y3478" s="13">
        <f t="shared" si="541"/>
        <v>0</v>
      </c>
      <c r="Z3478" s="14">
        <v>0</v>
      </c>
      <c r="AA3478" s="6">
        <v>0</v>
      </c>
      <c r="AB3478" s="4">
        <f t="shared" si="542"/>
        <v>5943.5643564356433</v>
      </c>
      <c r="AC3478" s="4">
        <f t="shared" si="544"/>
        <v>59.435643564356724</v>
      </c>
      <c r="AD3478" s="6">
        <f t="shared" si="537"/>
        <v>6003</v>
      </c>
      <c r="AE3478" s="2">
        <f>VLOOKUP(I3478,[1]媒体政策预估表!A:N,MATCH(O3478,[1]媒体政策预估表!$A$2:$M$2,0),0)</f>
        <v>7.0000000000000007E-2</v>
      </c>
      <c r="AF3478" s="6">
        <f t="shared" si="545"/>
        <v>420.21000000000004</v>
      </c>
      <c r="AG3478" s="14">
        <v>0</v>
      </c>
      <c r="AH3478" s="64">
        <f t="shared" si="538"/>
        <v>6003</v>
      </c>
      <c r="AI3478" s="47"/>
      <c r="AJ3478" s="126" t="e">
        <v>#N/A</v>
      </c>
      <c r="AK3478" s="80">
        <f t="shared" si="543"/>
        <v>0</v>
      </c>
      <c r="AM3478" s="85"/>
    </row>
    <row r="3479" spans="1:39" hidden="1" x14ac:dyDescent="0.3">
      <c r="A3479" s="89" t="s">
        <v>3391</v>
      </c>
      <c r="B3479" s="86" t="s">
        <v>35</v>
      </c>
      <c r="C3479" s="86" t="s">
        <v>65</v>
      </c>
      <c r="D3479" s="86" t="s">
        <v>66</v>
      </c>
      <c r="E3479" s="86" t="s">
        <v>496</v>
      </c>
      <c r="F3479" s="86" t="s">
        <v>497</v>
      </c>
      <c r="G3479" s="86" t="s">
        <v>496</v>
      </c>
      <c r="H3479" s="144">
        <v>62</v>
      </c>
      <c r="I3479" s="86" t="s">
        <v>408</v>
      </c>
      <c r="J3479" s="1" t="s">
        <v>3324</v>
      </c>
      <c r="K3479" s="1" t="s">
        <v>3278</v>
      </c>
      <c r="L3479" s="1" t="s">
        <v>35</v>
      </c>
      <c r="M3479" s="86" t="s">
        <v>498</v>
      </c>
      <c r="N3479" s="86"/>
      <c r="O3479" s="47" t="s">
        <v>410</v>
      </c>
      <c r="P3479" s="47" t="s">
        <v>46</v>
      </c>
      <c r="Q3479" s="14">
        <v>0.01</v>
      </c>
      <c r="R3479" s="143">
        <v>1000050427</v>
      </c>
      <c r="S3479" s="47"/>
      <c r="T3479" s="6">
        <v>208483.42000000004</v>
      </c>
      <c r="U3479" s="6">
        <v>320000</v>
      </c>
      <c r="V3479" s="6">
        <v>334876.60000000003</v>
      </c>
      <c r="W3479" s="6">
        <f t="shared" si="539"/>
        <v>193606.82</v>
      </c>
      <c r="X3479" s="6">
        <f t="shared" si="540"/>
        <v>331560.99009900994</v>
      </c>
      <c r="Y3479" s="13">
        <f t="shared" si="541"/>
        <v>0</v>
      </c>
      <c r="Z3479" s="14">
        <v>0</v>
      </c>
      <c r="AA3479" s="6">
        <v>0</v>
      </c>
      <c r="AB3479" s="4">
        <f t="shared" si="542"/>
        <v>331560.99009900994</v>
      </c>
      <c r="AC3479" s="4">
        <f t="shared" si="544"/>
        <v>3315.6099009900936</v>
      </c>
      <c r="AD3479" s="6">
        <f t="shared" si="537"/>
        <v>334876.60000000003</v>
      </c>
      <c r="AE3479" s="2">
        <f>VLOOKUP(I3479,[1]媒体政策预估表!A:N,MATCH(O3479,[1]媒体政策预估表!$A$2:$M$2,0),0)</f>
        <v>7.0000000000000007E-2</v>
      </c>
      <c r="AF3479" s="6">
        <f t="shared" si="545"/>
        <v>23441.362000000005</v>
      </c>
      <c r="AG3479" s="14">
        <v>0</v>
      </c>
      <c r="AH3479" s="64">
        <f t="shared" si="538"/>
        <v>334876.60000000003</v>
      </c>
      <c r="AI3479" s="47"/>
      <c r="AJ3479" s="126" t="e">
        <v>#N/A</v>
      </c>
      <c r="AK3479" s="80">
        <f t="shared" si="543"/>
        <v>0</v>
      </c>
      <c r="AM3479" s="85"/>
    </row>
    <row r="3480" spans="1:39" hidden="1" x14ac:dyDescent="0.3">
      <c r="A3480" s="89" t="s">
        <v>3397</v>
      </c>
      <c r="B3480" s="86" t="s">
        <v>35</v>
      </c>
      <c r="C3480" s="86" t="s">
        <v>65</v>
      </c>
      <c r="D3480" s="86" t="s">
        <v>66</v>
      </c>
      <c r="E3480" s="86" t="s">
        <v>499</v>
      </c>
      <c r="F3480" s="86" t="s">
        <v>499</v>
      </c>
      <c r="G3480" s="86" t="s">
        <v>499</v>
      </c>
      <c r="H3480" s="144">
        <v>62</v>
      </c>
      <c r="I3480" s="86" t="s">
        <v>408</v>
      </c>
      <c r="J3480" s="1" t="s">
        <v>3324</v>
      </c>
      <c r="K3480" s="1" t="s">
        <v>3278</v>
      </c>
      <c r="L3480" s="1" t="s">
        <v>35</v>
      </c>
      <c r="M3480" s="86" t="s">
        <v>500</v>
      </c>
      <c r="N3480" s="86"/>
      <c r="O3480" s="47" t="s">
        <v>410</v>
      </c>
      <c r="P3480" s="47" t="s">
        <v>41</v>
      </c>
      <c r="Q3480" s="14">
        <v>0</v>
      </c>
      <c r="R3480" s="143">
        <v>1000098940</v>
      </c>
      <c r="S3480" s="47"/>
      <c r="T3480" s="6">
        <v>3412.760000000002</v>
      </c>
      <c r="U3480" s="6">
        <v>40000</v>
      </c>
      <c r="V3480" s="6">
        <v>18520.039999999997</v>
      </c>
      <c r="W3480" s="6">
        <f t="shared" si="539"/>
        <v>24892.720000000005</v>
      </c>
      <c r="X3480" s="6">
        <f t="shared" si="540"/>
        <v>18520.039999999997</v>
      </c>
      <c r="Y3480" s="13">
        <f t="shared" si="541"/>
        <v>0</v>
      </c>
      <c r="Z3480" s="14">
        <v>0</v>
      </c>
      <c r="AA3480" s="6">
        <v>0</v>
      </c>
      <c r="AB3480" s="4">
        <f t="shared" si="542"/>
        <v>18520.039999999997</v>
      </c>
      <c r="AC3480" s="4">
        <f t="shared" si="544"/>
        <v>0</v>
      </c>
      <c r="AD3480" s="6">
        <f t="shared" si="537"/>
        <v>18520.039999999997</v>
      </c>
      <c r="AE3480" s="2">
        <f>VLOOKUP(I3480,[1]媒体政策预估表!A:N,MATCH(O3480,[1]媒体政策预估表!$A$2:$M$2,0),0)</f>
        <v>7.0000000000000007E-2</v>
      </c>
      <c r="AF3480" s="6">
        <f t="shared" si="545"/>
        <v>1296.4027999999998</v>
      </c>
      <c r="AG3480" s="14">
        <v>0</v>
      </c>
      <c r="AH3480" s="64">
        <f t="shared" si="538"/>
        <v>18520.039999999997</v>
      </c>
      <c r="AI3480" s="47"/>
      <c r="AJ3480" s="126" t="e">
        <v>#N/A</v>
      </c>
      <c r="AK3480" s="80">
        <f t="shared" si="543"/>
        <v>0</v>
      </c>
      <c r="AM3480" s="85"/>
    </row>
    <row r="3481" spans="1:39" hidden="1" x14ac:dyDescent="0.3">
      <c r="A3481" s="89" t="s">
        <v>3397</v>
      </c>
      <c r="B3481" s="86" t="s">
        <v>35</v>
      </c>
      <c r="C3481" s="86" t="s">
        <v>65</v>
      </c>
      <c r="D3481" s="86" t="s">
        <v>66</v>
      </c>
      <c r="E3481" s="86" t="s">
        <v>501</v>
      </c>
      <c r="F3481" s="86" t="s">
        <v>501</v>
      </c>
      <c r="G3481" s="86" t="s">
        <v>501</v>
      </c>
      <c r="H3481" s="144">
        <v>62</v>
      </c>
      <c r="I3481" s="86" t="s">
        <v>408</v>
      </c>
      <c r="J3481" s="1" t="s">
        <v>3324</v>
      </c>
      <c r="K3481" s="1" t="s">
        <v>3278</v>
      </c>
      <c r="L3481" s="1" t="s">
        <v>35</v>
      </c>
      <c r="M3481" s="86" t="s">
        <v>501</v>
      </c>
      <c r="N3481" s="86"/>
      <c r="O3481" s="47" t="s">
        <v>410</v>
      </c>
      <c r="P3481" s="47" t="s">
        <v>41</v>
      </c>
      <c r="Q3481" s="14">
        <v>0</v>
      </c>
      <c r="R3481" s="143">
        <v>1000048434</v>
      </c>
      <c r="S3481" s="47"/>
      <c r="T3481" s="6">
        <v>65198.549999999988</v>
      </c>
      <c r="U3481" s="6">
        <v>250000</v>
      </c>
      <c r="V3481" s="6">
        <v>226159.24000000002</v>
      </c>
      <c r="W3481" s="6">
        <f t="shared" si="539"/>
        <v>89039.309999999969</v>
      </c>
      <c r="X3481" s="6">
        <f t="shared" si="540"/>
        <v>226159.24000000002</v>
      </c>
      <c r="Y3481" s="13">
        <f t="shared" si="541"/>
        <v>0</v>
      </c>
      <c r="Z3481" s="14">
        <v>0</v>
      </c>
      <c r="AA3481" s="6">
        <v>0</v>
      </c>
      <c r="AB3481" s="4">
        <f t="shared" si="542"/>
        <v>226159.24000000002</v>
      </c>
      <c r="AC3481" s="4">
        <f t="shared" si="544"/>
        <v>0</v>
      </c>
      <c r="AD3481" s="6">
        <f t="shared" si="537"/>
        <v>226159.24000000002</v>
      </c>
      <c r="AE3481" s="2">
        <f>VLOOKUP(I3481,[1]媒体政策预估表!A:N,MATCH(O3481,[1]媒体政策预估表!$A$2:$M$2,0),0)</f>
        <v>7.0000000000000007E-2</v>
      </c>
      <c r="AF3481" s="6">
        <f t="shared" si="545"/>
        <v>15831.146800000002</v>
      </c>
      <c r="AG3481" s="14">
        <v>0</v>
      </c>
      <c r="AH3481" s="64">
        <f t="shared" si="538"/>
        <v>226159.24000000002</v>
      </c>
      <c r="AI3481" s="47"/>
      <c r="AJ3481" s="126" t="e">
        <v>#N/A</v>
      </c>
      <c r="AK3481" s="80">
        <f t="shared" si="543"/>
        <v>0</v>
      </c>
      <c r="AM3481" s="85"/>
    </row>
    <row r="3482" spans="1:39" hidden="1" x14ac:dyDescent="0.3">
      <c r="A3482" s="89" t="s">
        <v>3391</v>
      </c>
      <c r="B3482" s="86" t="s">
        <v>35</v>
      </c>
      <c r="C3482" s="86" t="s">
        <v>65</v>
      </c>
      <c r="D3482" s="86" t="s">
        <v>122</v>
      </c>
      <c r="E3482" s="86" t="s">
        <v>502</v>
      </c>
      <c r="F3482" s="86" t="s">
        <v>502</v>
      </c>
      <c r="G3482" s="86" t="s">
        <v>502</v>
      </c>
      <c r="H3482" s="143">
        <v>62</v>
      </c>
      <c r="I3482" s="86" t="s">
        <v>408</v>
      </c>
      <c r="J3482" s="1" t="s">
        <v>3324</v>
      </c>
      <c r="K3482" s="1" t="s">
        <v>3278</v>
      </c>
      <c r="L3482" s="1" t="s">
        <v>35</v>
      </c>
      <c r="M3482" s="86" t="s">
        <v>503</v>
      </c>
      <c r="N3482" s="86"/>
      <c r="O3482" s="47" t="s">
        <v>410</v>
      </c>
      <c r="P3482" s="47" t="s">
        <v>41</v>
      </c>
      <c r="Q3482" s="14">
        <v>0</v>
      </c>
      <c r="R3482" s="143">
        <v>1000083193</v>
      </c>
      <c r="S3482" s="47"/>
      <c r="T3482" s="6">
        <v>12845.650000000052</v>
      </c>
      <c r="U3482" s="6">
        <v>150000</v>
      </c>
      <c r="V3482" s="6">
        <v>0</v>
      </c>
      <c r="W3482" s="6">
        <f t="shared" si="539"/>
        <v>162845.65000000005</v>
      </c>
      <c r="X3482" s="6">
        <f t="shared" si="540"/>
        <v>0</v>
      </c>
      <c r="Y3482" s="13">
        <f t="shared" si="541"/>
        <v>0</v>
      </c>
      <c r="Z3482" s="14">
        <v>0</v>
      </c>
      <c r="AA3482" s="6">
        <v>0</v>
      </c>
      <c r="AB3482" s="4">
        <f t="shared" si="542"/>
        <v>0</v>
      </c>
      <c r="AC3482" s="4">
        <f t="shared" si="544"/>
        <v>0</v>
      </c>
      <c r="AD3482" s="6">
        <f t="shared" si="537"/>
        <v>0</v>
      </c>
      <c r="AE3482" s="2">
        <f>VLOOKUP(I3482,[1]媒体政策预估表!A:N,MATCH(O3482,[1]媒体政策预估表!$A$2:$M$2,0),0)</f>
        <v>7.0000000000000007E-2</v>
      </c>
      <c r="AF3482" s="6">
        <f t="shared" si="545"/>
        <v>0</v>
      </c>
      <c r="AG3482" s="14">
        <v>0</v>
      </c>
      <c r="AH3482" s="64">
        <f t="shared" si="538"/>
        <v>0</v>
      </c>
      <c r="AI3482" s="47"/>
      <c r="AJ3482" s="126" t="e">
        <v>#N/A</v>
      </c>
      <c r="AK3482" s="80">
        <f t="shared" si="543"/>
        <v>0</v>
      </c>
      <c r="AM3482" s="85"/>
    </row>
    <row r="3483" spans="1:39" hidden="1" x14ac:dyDescent="0.3">
      <c r="A3483" s="89" t="s">
        <v>3391</v>
      </c>
      <c r="B3483" s="86" t="s">
        <v>35</v>
      </c>
      <c r="C3483" s="86" t="s">
        <v>65</v>
      </c>
      <c r="D3483" s="86" t="s">
        <v>122</v>
      </c>
      <c r="E3483" s="86" t="s">
        <v>502</v>
      </c>
      <c r="F3483" s="86" t="s">
        <v>502</v>
      </c>
      <c r="G3483" s="86" t="s">
        <v>502</v>
      </c>
      <c r="H3483" s="143">
        <v>62</v>
      </c>
      <c r="I3483" s="86" t="s">
        <v>408</v>
      </c>
      <c r="J3483" s="1" t="s">
        <v>3324</v>
      </c>
      <c r="K3483" s="1" t="s">
        <v>3278</v>
      </c>
      <c r="L3483" s="1" t="s">
        <v>35</v>
      </c>
      <c r="M3483" s="86" t="s">
        <v>504</v>
      </c>
      <c r="N3483" s="86"/>
      <c r="O3483" s="47" t="s">
        <v>45</v>
      </c>
      <c r="P3483" s="47" t="s">
        <v>41</v>
      </c>
      <c r="Q3483" s="14">
        <v>0</v>
      </c>
      <c r="R3483" s="143">
        <v>1000099546</v>
      </c>
      <c r="S3483" s="47"/>
      <c r="T3483" s="6">
        <v>10000</v>
      </c>
      <c r="U3483" s="6">
        <v>10000</v>
      </c>
      <c r="V3483" s="6">
        <v>0</v>
      </c>
      <c r="W3483" s="6">
        <f t="shared" si="539"/>
        <v>20000</v>
      </c>
      <c r="X3483" s="6">
        <f t="shared" si="540"/>
        <v>0</v>
      </c>
      <c r="Y3483" s="13">
        <f t="shared" si="541"/>
        <v>0</v>
      </c>
      <c r="Z3483" s="14">
        <v>0</v>
      </c>
      <c r="AA3483" s="6">
        <v>0</v>
      </c>
      <c r="AB3483" s="4">
        <f t="shared" si="542"/>
        <v>0</v>
      </c>
      <c r="AC3483" s="4">
        <f t="shared" si="544"/>
        <v>0</v>
      </c>
      <c r="AD3483" s="6">
        <f t="shared" si="537"/>
        <v>0</v>
      </c>
      <c r="AE3483" s="2">
        <f>VLOOKUP(I3483,[1]媒体政策预估表!A:N,MATCH(O3483,[1]媒体政策预估表!$A$2:$M$2,0),0)</f>
        <v>0.12</v>
      </c>
      <c r="AF3483" s="6">
        <f t="shared" si="545"/>
        <v>0</v>
      </c>
      <c r="AG3483" s="14">
        <v>0</v>
      </c>
      <c r="AH3483" s="64">
        <f t="shared" si="538"/>
        <v>0</v>
      </c>
      <c r="AI3483" s="47"/>
      <c r="AJ3483" s="126" t="e">
        <v>#N/A</v>
      </c>
      <c r="AK3483" s="80">
        <f t="shared" si="543"/>
        <v>0</v>
      </c>
      <c r="AM3483" s="85"/>
    </row>
    <row r="3484" spans="1:39" hidden="1" x14ac:dyDescent="0.3">
      <c r="A3484" s="89" t="s">
        <v>3391</v>
      </c>
      <c r="B3484" s="86" t="s">
        <v>35</v>
      </c>
      <c r="C3484" s="86" t="s">
        <v>65</v>
      </c>
      <c r="D3484" s="86" t="s">
        <v>122</v>
      </c>
      <c r="E3484" s="86" t="s">
        <v>505</v>
      </c>
      <c r="F3484" s="86" t="s">
        <v>505</v>
      </c>
      <c r="G3484" s="86" t="s">
        <v>505</v>
      </c>
      <c r="H3484" s="144">
        <v>62</v>
      </c>
      <c r="I3484" s="86" t="s">
        <v>408</v>
      </c>
      <c r="J3484" s="1" t="s">
        <v>3324</v>
      </c>
      <c r="K3484" s="1" t="s">
        <v>3278</v>
      </c>
      <c r="L3484" s="1" t="s">
        <v>35</v>
      </c>
      <c r="M3484" s="86" t="s">
        <v>506</v>
      </c>
      <c r="N3484" s="86"/>
      <c r="O3484" s="47" t="s">
        <v>410</v>
      </c>
      <c r="P3484" s="47" t="s">
        <v>41</v>
      </c>
      <c r="Q3484" s="14">
        <v>0</v>
      </c>
      <c r="R3484" s="143">
        <v>1000098805</v>
      </c>
      <c r="S3484" s="47"/>
      <c r="T3484" s="6">
        <v>20000</v>
      </c>
      <c r="U3484" s="6">
        <v>50000</v>
      </c>
      <c r="V3484" s="6">
        <v>21071.7</v>
      </c>
      <c r="W3484" s="6">
        <f t="shared" si="539"/>
        <v>48928.3</v>
      </c>
      <c r="X3484" s="6">
        <f t="shared" si="540"/>
        <v>21071.7</v>
      </c>
      <c r="Y3484" s="13">
        <f t="shared" si="541"/>
        <v>0</v>
      </c>
      <c r="Z3484" s="14">
        <v>0</v>
      </c>
      <c r="AA3484" s="6">
        <v>0</v>
      </c>
      <c r="AB3484" s="4">
        <f t="shared" si="542"/>
        <v>21071.7</v>
      </c>
      <c r="AC3484" s="4">
        <f t="shared" si="544"/>
        <v>0</v>
      </c>
      <c r="AD3484" s="6">
        <f t="shared" si="537"/>
        <v>21071.7</v>
      </c>
      <c r="AE3484" s="2">
        <f>VLOOKUP(I3484,[1]媒体政策预估表!A:N,MATCH(O3484,[1]媒体政策预估表!$A$2:$M$2,0),0)</f>
        <v>7.0000000000000007E-2</v>
      </c>
      <c r="AF3484" s="6">
        <f t="shared" si="545"/>
        <v>1475.0190000000002</v>
      </c>
      <c r="AG3484" s="14">
        <v>0</v>
      </c>
      <c r="AH3484" s="64">
        <f t="shared" si="538"/>
        <v>21071.7</v>
      </c>
      <c r="AI3484" s="47"/>
      <c r="AJ3484" s="126" t="e">
        <v>#N/A</v>
      </c>
      <c r="AK3484" s="80">
        <f t="shared" si="543"/>
        <v>0</v>
      </c>
      <c r="AM3484" s="85"/>
    </row>
    <row r="3485" spans="1:39" hidden="1" x14ac:dyDescent="0.3">
      <c r="A3485" s="89" t="s">
        <v>3397</v>
      </c>
      <c r="B3485" s="86" t="s">
        <v>35</v>
      </c>
      <c r="C3485" s="86" t="s">
        <v>65</v>
      </c>
      <c r="D3485" s="86" t="s">
        <v>122</v>
      </c>
      <c r="E3485" s="86" t="s">
        <v>507</v>
      </c>
      <c r="F3485" s="86" t="s">
        <v>507</v>
      </c>
      <c r="G3485" s="86" t="s">
        <v>507</v>
      </c>
      <c r="H3485" s="144">
        <v>62</v>
      </c>
      <c r="I3485" s="86" t="s">
        <v>408</v>
      </c>
      <c r="J3485" s="1" t="s">
        <v>3324</v>
      </c>
      <c r="K3485" s="1" t="s">
        <v>3278</v>
      </c>
      <c r="L3485" s="1" t="s">
        <v>35</v>
      </c>
      <c r="M3485" s="86" t="s">
        <v>510</v>
      </c>
      <c r="N3485" s="86"/>
      <c r="O3485" s="47" t="s">
        <v>410</v>
      </c>
      <c r="P3485" s="47" t="s">
        <v>41</v>
      </c>
      <c r="Q3485" s="14">
        <v>0</v>
      </c>
      <c r="R3485" s="143">
        <v>1000043878</v>
      </c>
      <c r="S3485" s="47"/>
      <c r="T3485" s="6">
        <v>13764.429999999993</v>
      </c>
      <c r="U3485" s="6">
        <v>330990</v>
      </c>
      <c r="V3485" s="6">
        <v>245244.41999999998</v>
      </c>
      <c r="W3485" s="6">
        <f t="shared" si="539"/>
        <v>99510.010000000009</v>
      </c>
      <c r="X3485" s="6">
        <f t="shared" si="540"/>
        <v>245244.41999999998</v>
      </c>
      <c r="Y3485" s="13">
        <f t="shared" si="541"/>
        <v>0</v>
      </c>
      <c r="Z3485" s="14">
        <v>0</v>
      </c>
      <c r="AA3485" s="6">
        <v>0</v>
      </c>
      <c r="AB3485" s="4">
        <f t="shared" si="542"/>
        <v>245244.41999999998</v>
      </c>
      <c r="AC3485" s="4">
        <f t="shared" si="544"/>
        <v>0</v>
      </c>
      <c r="AD3485" s="6">
        <f t="shared" si="537"/>
        <v>245244.41999999998</v>
      </c>
      <c r="AE3485" s="2">
        <f>VLOOKUP(I3485,[1]媒体政策预估表!A:N,MATCH(O3485,[1]媒体政策预估表!$A$2:$M$2,0),0)</f>
        <v>7.0000000000000007E-2</v>
      </c>
      <c r="AF3485" s="6">
        <f t="shared" si="545"/>
        <v>17167.109400000001</v>
      </c>
      <c r="AG3485" s="14">
        <v>0</v>
      </c>
      <c r="AH3485" s="64">
        <f t="shared" si="538"/>
        <v>245244.41999999998</v>
      </c>
      <c r="AI3485" s="47"/>
      <c r="AJ3485" s="126" t="e">
        <v>#N/A</v>
      </c>
      <c r="AK3485" s="80">
        <f t="shared" si="543"/>
        <v>0</v>
      </c>
      <c r="AM3485" s="85"/>
    </row>
    <row r="3486" spans="1:39" hidden="1" x14ac:dyDescent="0.3">
      <c r="A3486" s="89" t="s">
        <v>3391</v>
      </c>
      <c r="B3486" s="86" t="s">
        <v>35</v>
      </c>
      <c r="C3486" s="86" t="s">
        <v>65</v>
      </c>
      <c r="D3486" s="86" t="s">
        <v>122</v>
      </c>
      <c r="E3486" s="86" t="s">
        <v>3449</v>
      </c>
      <c r="F3486" s="86" t="s">
        <v>3449</v>
      </c>
      <c r="G3486" s="86" t="s">
        <v>3449</v>
      </c>
      <c r="H3486" s="144">
        <v>62</v>
      </c>
      <c r="I3486" s="86" t="s">
        <v>408</v>
      </c>
      <c r="J3486" s="1" t="s">
        <v>3324</v>
      </c>
      <c r="K3486" s="1" t="s">
        <v>3278</v>
      </c>
      <c r="L3486" s="1" t="s">
        <v>35</v>
      </c>
      <c r="M3486" s="86" t="s">
        <v>3450</v>
      </c>
      <c r="N3486" s="86"/>
      <c r="O3486" s="47" t="s">
        <v>410</v>
      </c>
      <c r="P3486" s="47" t="s">
        <v>46</v>
      </c>
      <c r="Q3486" s="14">
        <v>0.02</v>
      </c>
      <c r="R3486" s="143">
        <v>1000069913</v>
      </c>
      <c r="S3486" s="47"/>
      <c r="T3486" s="6">
        <v>0</v>
      </c>
      <c r="U3486" s="6">
        <v>25000</v>
      </c>
      <c r="V3486" s="6">
        <v>24403.539999999994</v>
      </c>
      <c r="W3486" s="6">
        <f t="shared" si="539"/>
        <v>596.4600000000064</v>
      </c>
      <c r="X3486" s="6">
        <f t="shared" si="540"/>
        <v>23925.039215686269</v>
      </c>
      <c r="Y3486" s="13">
        <f t="shared" si="541"/>
        <v>0</v>
      </c>
      <c r="Z3486" s="14">
        <v>0</v>
      </c>
      <c r="AA3486" s="6">
        <v>0</v>
      </c>
      <c r="AB3486" s="4">
        <f t="shared" si="542"/>
        <v>23925.039215686269</v>
      </c>
      <c r="AC3486" s="4">
        <f t="shared" si="544"/>
        <v>478.50078431372458</v>
      </c>
      <c r="AD3486" s="6">
        <f t="shared" si="537"/>
        <v>24403.539999999994</v>
      </c>
      <c r="AE3486" s="2">
        <f>VLOOKUP(I3486,[1]媒体政策预估表!A:N,MATCH(O3486,[1]媒体政策预估表!$A$2:$M$2,0),0)</f>
        <v>7.0000000000000007E-2</v>
      </c>
      <c r="AF3486" s="6">
        <f t="shared" si="545"/>
        <v>1708.2477999999996</v>
      </c>
      <c r="AG3486" s="14">
        <v>0</v>
      </c>
      <c r="AH3486" s="64">
        <f t="shared" si="538"/>
        <v>24403.539999999994</v>
      </c>
      <c r="AI3486" s="47"/>
      <c r="AJ3486" s="126" t="e">
        <v>#N/A</v>
      </c>
      <c r="AK3486" s="80">
        <f t="shared" si="543"/>
        <v>0</v>
      </c>
      <c r="AM3486" s="85"/>
    </row>
    <row r="3487" spans="1:39" hidden="1" x14ac:dyDescent="0.3">
      <c r="A3487" s="89" t="s">
        <v>3391</v>
      </c>
      <c r="B3487" s="86" t="s">
        <v>35</v>
      </c>
      <c r="C3487" s="86" t="s">
        <v>65</v>
      </c>
      <c r="D3487" s="86" t="s">
        <v>125</v>
      </c>
      <c r="E3487" s="86" t="s">
        <v>515</v>
      </c>
      <c r="F3487" s="86" t="s">
        <v>515</v>
      </c>
      <c r="G3487" s="86" t="s">
        <v>515</v>
      </c>
      <c r="H3487" s="144">
        <v>62</v>
      </c>
      <c r="I3487" s="86" t="s">
        <v>408</v>
      </c>
      <c r="J3487" s="1" t="s">
        <v>3324</v>
      </c>
      <c r="K3487" s="1" t="s">
        <v>3278</v>
      </c>
      <c r="L3487" s="1" t="s">
        <v>35</v>
      </c>
      <c r="M3487" s="86" t="s">
        <v>516</v>
      </c>
      <c r="N3487" s="86"/>
      <c r="O3487" s="47" t="s">
        <v>410</v>
      </c>
      <c r="P3487" s="47" t="s">
        <v>46</v>
      </c>
      <c r="Q3487" s="14">
        <v>0.01</v>
      </c>
      <c r="R3487" s="143">
        <v>1000055366</v>
      </c>
      <c r="S3487" s="47"/>
      <c r="T3487" s="6">
        <v>7322.510000000002</v>
      </c>
      <c r="U3487" s="6">
        <v>50000</v>
      </c>
      <c r="V3487" s="6">
        <v>42327.090000000011</v>
      </c>
      <c r="W3487" s="6">
        <f t="shared" si="539"/>
        <v>14995.419999999991</v>
      </c>
      <c r="X3487" s="6">
        <f t="shared" si="540"/>
        <v>41908.00990099011</v>
      </c>
      <c r="Y3487" s="13">
        <f t="shared" si="541"/>
        <v>0</v>
      </c>
      <c r="Z3487" s="14">
        <v>0</v>
      </c>
      <c r="AA3487" s="6">
        <v>0</v>
      </c>
      <c r="AB3487" s="4">
        <v>41908.00990099011</v>
      </c>
      <c r="AC3487" s="4">
        <f t="shared" si="544"/>
        <v>419.08009900990146</v>
      </c>
      <c r="AD3487" s="6">
        <f t="shared" si="537"/>
        <v>42327.090000000011</v>
      </c>
      <c r="AE3487" s="2">
        <f>VLOOKUP(I3487,[1]媒体政策预估表!A:N,MATCH(O3487,[1]媒体政策预估表!$A$2:$M$2,0),0)</f>
        <v>7.0000000000000007E-2</v>
      </c>
      <c r="AF3487" s="6">
        <f t="shared" si="545"/>
        <v>2962.8963000000012</v>
      </c>
      <c r="AG3487" s="14">
        <v>0</v>
      </c>
      <c r="AH3487" s="64">
        <f t="shared" si="538"/>
        <v>42327.090000000011</v>
      </c>
      <c r="AI3487" s="47"/>
      <c r="AJ3487" s="126" t="s">
        <v>4216</v>
      </c>
      <c r="AK3487" s="80">
        <f t="shared" si="543"/>
        <v>0</v>
      </c>
      <c r="AM3487" s="85"/>
    </row>
    <row r="3488" spans="1:39" hidden="1" x14ac:dyDescent="0.3">
      <c r="A3488" s="89" t="s">
        <v>3391</v>
      </c>
      <c r="B3488" s="86" t="s">
        <v>35</v>
      </c>
      <c r="C3488" s="86" t="s">
        <v>65</v>
      </c>
      <c r="D3488" s="86" t="s">
        <v>1291</v>
      </c>
      <c r="E3488" s="86" t="s">
        <v>3433</v>
      </c>
      <c r="F3488" s="86" t="s">
        <v>3433</v>
      </c>
      <c r="G3488" s="86" t="s">
        <v>3433</v>
      </c>
      <c r="H3488" s="144">
        <v>62</v>
      </c>
      <c r="I3488" s="86" t="s">
        <v>408</v>
      </c>
      <c r="J3488" s="1" t="s">
        <v>3324</v>
      </c>
      <c r="K3488" s="1" t="s">
        <v>3278</v>
      </c>
      <c r="L3488" s="1" t="s">
        <v>35</v>
      </c>
      <c r="M3488" s="86" t="s">
        <v>3451</v>
      </c>
      <c r="N3488" s="86"/>
      <c r="O3488" s="47" t="s">
        <v>410</v>
      </c>
      <c r="P3488" s="47" t="s">
        <v>46</v>
      </c>
      <c r="Q3488" s="14">
        <v>0.02</v>
      </c>
      <c r="R3488" s="143">
        <v>1000100980</v>
      </c>
      <c r="S3488" s="47"/>
      <c r="T3488" s="6">
        <v>0</v>
      </c>
      <c r="U3488" s="6">
        <v>20000</v>
      </c>
      <c r="V3488" s="6">
        <v>3031.3</v>
      </c>
      <c r="W3488" s="6">
        <f t="shared" si="539"/>
        <v>16968.7</v>
      </c>
      <c r="X3488" s="6">
        <f t="shared" si="540"/>
        <v>2971.8627450980393</v>
      </c>
      <c r="Y3488" s="13">
        <f t="shared" si="541"/>
        <v>0</v>
      </c>
      <c r="Z3488" s="14">
        <v>0</v>
      </c>
      <c r="AA3488" s="6">
        <v>0</v>
      </c>
      <c r="AB3488" s="4">
        <f t="shared" si="542"/>
        <v>2971.8627450980393</v>
      </c>
      <c r="AC3488" s="4">
        <f t="shared" si="544"/>
        <v>59.437254901960841</v>
      </c>
      <c r="AD3488" s="6">
        <f t="shared" si="537"/>
        <v>3031.3</v>
      </c>
      <c r="AE3488" s="2">
        <f>VLOOKUP(I3488,[1]媒体政策预估表!A:N,MATCH(O3488,[1]媒体政策预估表!$A$2:$M$2,0),0)</f>
        <v>7.0000000000000007E-2</v>
      </c>
      <c r="AF3488" s="6">
        <f t="shared" si="545"/>
        <v>212.19100000000003</v>
      </c>
      <c r="AG3488" s="14">
        <v>0</v>
      </c>
      <c r="AH3488" s="64">
        <f t="shared" si="538"/>
        <v>3031.3</v>
      </c>
      <c r="AI3488" s="47"/>
      <c r="AJ3488" s="126" t="e">
        <v>#N/A</v>
      </c>
      <c r="AK3488" s="80">
        <f t="shared" si="543"/>
        <v>0</v>
      </c>
      <c r="AM3488" s="85"/>
    </row>
    <row r="3489" spans="1:39" hidden="1" x14ac:dyDescent="0.3">
      <c r="A3489" s="89" t="s">
        <v>3391</v>
      </c>
      <c r="B3489" s="86" t="s">
        <v>35</v>
      </c>
      <c r="C3489" s="86" t="s">
        <v>65</v>
      </c>
      <c r="D3489" s="86" t="s">
        <v>1291</v>
      </c>
      <c r="E3489" s="86" t="s">
        <v>2792</v>
      </c>
      <c r="F3489" s="86" t="s">
        <v>3452</v>
      </c>
      <c r="G3489" s="86" t="s">
        <v>2792</v>
      </c>
      <c r="H3489" s="144">
        <v>62</v>
      </c>
      <c r="I3489" s="86" t="s">
        <v>408</v>
      </c>
      <c r="J3489" s="1" t="s">
        <v>3324</v>
      </c>
      <c r="K3489" s="1" t="s">
        <v>3278</v>
      </c>
      <c r="L3489" s="1" t="s">
        <v>35</v>
      </c>
      <c r="M3489" s="86" t="s">
        <v>3453</v>
      </c>
      <c r="N3489" s="86"/>
      <c r="O3489" s="47" t="s">
        <v>410</v>
      </c>
      <c r="P3489" s="47" t="s">
        <v>46</v>
      </c>
      <c r="Q3489" s="14">
        <v>0.04</v>
      </c>
      <c r="R3489" s="143">
        <v>1000092329</v>
      </c>
      <c r="S3489" s="47"/>
      <c r="T3489" s="6">
        <v>0</v>
      </c>
      <c r="U3489" s="6">
        <v>10000</v>
      </c>
      <c r="V3489" s="6">
        <v>5002.5</v>
      </c>
      <c r="W3489" s="6">
        <f t="shared" si="539"/>
        <v>4997.5</v>
      </c>
      <c r="X3489" s="6">
        <f t="shared" si="540"/>
        <v>4810.0961538461534</v>
      </c>
      <c r="Y3489" s="13">
        <f t="shared" si="541"/>
        <v>0</v>
      </c>
      <c r="Z3489" s="14">
        <v>0</v>
      </c>
      <c r="AA3489" s="6">
        <v>0</v>
      </c>
      <c r="AB3489" s="4">
        <f t="shared" si="542"/>
        <v>4810.0961538461534</v>
      </c>
      <c r="AC3489" s="4">
        <f t="shared" si="544"/>
        <v>192.40384615384664</v>
      </c>
      <c r="AD3489" s="6">
        <f t="shared" si="537"/>
        <v>5002.5</v>
      </c>
      <c r="AE3489" s="2">
        <f>VLOOKUP(I3489,[1]媒体政策预估表!A:N,MATCH(O3489,[1]媒体政策预估表!$A$2:$M$2,0),0)</f>
        <v>7.0000000000000007E-2</v>
      </c>
      <c r="AF3489" s="6">
        <f t="shared" si="545"/>
        <v>350.17500000000001</v>
      </c>
      <c r="AG3489" s="14">
        <v>0</v>
      </c>
      <c r="AH3489" s="64">
        <f t="shared" si="538"/>
        <v>5002.5</v>
      </c>
      <c r="AI3489" s="47"/>
      <c r="AJ3489" s="126" t="e">
        <v>#N/A</v>
      </c>
      <c r="AK3489" s="80">
        <f t="shared" si="543"/>
        <v>0</v>
      </c>
      <c r="AM3489" s="85"/>
    </row>
    <row r="3490" spans="1:39" hidden="1" x14ac:dyDescent="0.3">
      <c r="A3490" s="89" t="s">
        <v>3391</v>
      </c>
      <c r="B3490" s="86" t="s">
        <v>35</v>
      </c>
      <c r="C3490" s="86" t="s">
        <v>47</v>
      </c>
      <c r="D3490" s="86" t="s">
        <v>63</v>
      </c>
      <c r="E3490" s="86" t="s">
        <v>517</v>
      </c>
      <c r="F3490" s="86" t="s">
        <v>518</v>
      </c>
      <c r="G3490" s="86" t="s">
        <v>517</v>
      </c>
      <c r="H3490" s="144">
        <v>62</v>
      </c>
      <c r="I3490" s="86" t="s">
        <v>408</v>
      </c>
      <c r="J3490" s="1" t="s">
        <v>3324</v>
      </c>
      <c r="K3490" s="1" t="s">
        <v>3278</v>
      </c>
      <c r="L3490" s="1" t="s">
        <v>35</v>
      </c>
      <c r="M3490" s="86" t="s">
        <v>519</v>
      </c>
      <c r="N3490" s="86"/>
      <c r="O3490" s="47" t="s">
        <v>410</v>
      </c>
      <c r="P3490" s="47" t="s">
        <v>41</v>
      </c>
      <c r="Q3490" s="14">
        <v>0</v>
      </c>
      <c r="R3490" s="143">
        <v>1000101133</v>
      </c>
      <c r="S3490" s="47"/>
      <c r="T3490" s="6">
        <v>28058.5</v>
      </c>
      <c r="U3490" s="6">
        <v>250000</v>
      </c>
      <c r="V3490" s="6">
        <v>150904.29999999999</v>
      </c>
      <c r="W3490" s="6">
        <f t="shared" si="539"/>
        <v>127154.20000000001</v>
      </c>
      <c r="X3490" s="6">
        <f t="shared" si="540"/>
        <v>150904.29999999999</v>
      </c>
      <c r="Y3490" s="13">
        <f t="shared" si="541"/>
        <v>0</v>
      </c>
      <c r="Z3490" s="14">
        <v>0</v>
      </c>
      <c r="AA3490" s="6">
        <v>0</v>
      </c>
      <c r="AB3490" s="4">
        <f t="shared" si="542"/>
        <v>150904.29999999999</v>
      </c>
      <c r="AC3490" s="4">
        <f t="shared" si="544"/>
        <v>0</v>
      </c>
      <c r="AD3490" s="6">
        <f t="shared" si="537"/>
        <v>150904.29999999999</v>
      </c>
      <c r="AE3490" s="2">
        <f>VLOOKUP(I3490,[1]媒体政策预估表!A:N,MATCH(O3490,[1]媒体政策预估表!$A$2:$M$2,0),0)</f>
        <v>7.0000000000000007E-2</v>
      </c>
      <c r="AF3490" s="6">
        <f t="shared" si="545"/>
        <v>10563.300999999999</v>
      </c>
      <c r="AG3490" s="14">
        <v>0</v>
      </c>
      <c r="AH3490" s="64">
        <f t="shared" si="538"/>
        <v>150904.29999999999</v>
      </c>
      <c r="AI3490" s="47"/>
      <c r="AJ3490" s="126" t="e">
        <v>#N/A</v>
      </c>
      <c r="AK3490" s="80">
        <f t="shared" si="543"/>
        <v>0</v>
      </c>
      <c r="AM3490" s="85"/>
    </row>
    <row r="3491" spans="1:39" hidden="1" x14ac:dyDescent="0.3">
      <c r="A3491" s="89" t="s">
        <v>3391</v>
      </c>
      <c r="B3491" s="86" t="s">
        <v>35</v>
      </c>
      <c r="C3491" s="86" t="s">
        <v>47</v>
      </c>
      <c r="D3491" s="86" t="s">
        <v>63</v>
      </c>
      <c r="E3491" s="86" t="s">
        <v>528</v>
      </c>
      <c r="F3491" s="86" t="s">
        <v>528</v>
      </c>
      <c r="G3491" s="86" t="s">
        <v>528</v>
      </c>
      <c r="H3491" s="143">
        <v>62</v>
      </c>
      <c r="I3491" s="86" t="s">
        <v>408</v>
      </c>
      <c r="J3491" s="1" t="s">
        <v>3324</v>
      </c>
      <c r="K3491" s="1" t="s">
        <v>3278</v>
      </c>
      <c r="L3491" s="1" t="s">
        <v>35</v>
      </c>
      <c r="M3491" s="86" t="s">
        <v>530</v>
      </c>
      <c r="N3491" s="86"/>
      <c r="O3491" s="47" t="s">
        <v>410</v>
      </c>
      <c r="P3491" s="47" t="s">
        <v>46</v>
      </c>
      <c r="Q3491" s="14">
        <v>5.0000000000000001E-3</v>
      </c>
      <c r="R3491" s="143">
        <v>1000080693</v>
      </c>
      <c r="S3491" s="47"/>
      <c r="T3491" s="6">
        <v>351750</v>
      </c>
      <c r="U3491" s="6">
        <v>150750</v>
      </c>
      <c r="V3491" s="6">
        <v>0</v>
      </c>
      <c r="W3491" s="6">
        <f t="shared" si="539"/>
        <v>502500</v>
      </c>
      <c r="X3491" s="6">
        <f t="shared" si="540"/>
        <v>0</v>
      </c>
      <c r="Y3491" s="13">
        <f t="shared" si="541"/>
        <v>0</v>
      </c>
      <c r="Z3491" s="14">
        <v>0</v>
      </c>
      <c r="AA3491" s="6">
        <v>0</v>
      </c>
      <c r="AB3491" s="4">
        <f t="shared" si="542"/>
        <v>0</v>
      </c>
      <c r="AC3491" s="4">
        <f t="shared" si="544"/>
        <v>0</v>
      </c>
      <c r="AD3491" s="6">
        <f t="shared" si="537"/>
        <v>0</v>
      </c>
      <c r="AE3491" s="2">
        <f>VLOOKUP(I3491,[1]媒体政策预估表!A:N,MATCH(O3491,[1]媒体政策预估表!$A$2:$M$2,0),0)</f>
        <v>7.0000000000000007E-2</v>
      </c>
      <c r="AF3491" s="6">
        <f t="shared" si="545"/>
        <v>0</v>
      </c>
      <c r="AG3491" s="14">
        <v>0</v>
      </c>
      <c r="AH3491" s="64">
        <f t="shared" si="538"/>
        <v>0</v>
      </c>
      <c r="AI3491" s="47"/>
      <c r="AJ3491" s="126" t="e">
        <v>#N/A</v>
      </c>
      <c r="AK3491" s="80">
        <f t="shared" si="543"/>
        <v>0</v>
      </c>
      <c r="AM3491" s="85"/>
    </row>
    <row r="3492" spans="1:39" hidden="1" x14ac:dyDescent="0.3">
      <c r="A3492" s="89" t="s">
        <v>3391</v>
      </c>
      <c r="B3492" s="86" t="s">
        <v>35</v>
      </c>
      <c r="C3492" s="86" t="s">
        <v>47</v>
      </c>
      <c r="D3492" s="86" t="s">
        <v>63</v>
      </c>
      <c r="E3492" s="86" t="s">
        <v>528</v>
      </c>
      <c r="F3492" s="86" t="s">
        <v>528</v>
      </c>
      <c r="G3492" s="86" t="s">
        <v>528</v>
      </c>
      <c r="H3492" s="144">
        <v>62</v>
      </c>
      <c r="I3492" s="86" t="s">
        <v>408</v>
      </c>
      <c r="J3492" s="1" t="s">
        <v>3324</v>
      </c>
      <c r="K3492" s="1" t="s">
        <v>3278</v>
      </c>
      <c r="L3492" s="1" t="s">
        <v>35</v>
      </c>
      <c r="M3492" s="86" t="s">
        <v>531</v>
      </c>
      <c r="N3492" s="86"/>
      <c r="O3492" s="47" t="s">
        <v>410</v>
      </c>
      <c r="P3492" s="47" t="s">
        <v>46</v>
      </c>
      <c r="Q3492" s="14">
        <v>5.0000000000000001E-3</v>
      </c>
      <c r="R3492" s="143">
        <v>1000043071</v>
      </c>
      <c r="S3492" s="47"/>
      <c r="T3492" s="6">
        <v>216127.94000000041</v>
      </c>
      <c r="U3492" s="6">
        <v>1507500</v>
      </c>
      <c r="V3492" s="6">
        <v>708304.41000000015</v>
      </c>
      <c r="W3492" s="6">
        <f t="shared" si="539"/>
        <v>1015323.5300000003</v>
      </c>
      <c r="X3492" s="6">
        <f t="shared" si="540"/>
        <v>704780.50746268674</v>
      </c>
      <c r="Y3492" s="13">
        <f t="shared" si="541"/>
        <v>0</v>
      </c>
      <c r="Z3492" s="14">
        <v>0</v>
      </c>
      <c r="AA3492" s="6">
        <v>0</v>
      </c>
      <c r="AB3492" s="4">
        <f t="shared" si="542"/>
        <v>704780.50746268674</v>
      </c>
      <c r="AC3492" s="4">
        <f t="shared" si="544"/>
        <v>3523.9025373134064</v>
      </c>
      <c r="AD3492" s="6">
        <f t="shared" ref="AD3492:AD3555" si="546">V3492</f>
        <v>708304.41000000015</v>
      </c>
      <c r="AE3492" s="2">
        <f>VLOOKUP(I3492,[1]媒体政策预估表!A:N,MATCH(O3492,[1]媒体政策预估表!$A$2:$M$2,0),0)</f>
        <v>7.0000000000000007E-2</v>
      </c>
      <c r="AF3492" s="6">
        <f t="shared" si="545"/>
        <v>49581.308700000016</v>
      </c>
      <c r="AG3492" s="14">
        <v>0</v>
      </c>
      <c r="AH3492" s="64">
        <f t="shared" ref="AH3492:AH3555" si="547">V3492</f>
        <v>708304.41000000015</v>
      </c>
      <c r="AI3492" s="47"/>
      <c r="AJ3492" s="126" t="e">
        <v>#N/A</v>
      </c>
      <c r="AK3492" s="80">
        <f t="shared" si="543"/>
        <v>0</v>
      </c>
      <c r="AM3492" s="85"/>
    </row>
    <row r="3493" spans="1:39" hidden="1" x14ac:dyDescent="0.3">
      <c r="A3493" s="89" t="s">
        <v>3408</v>
      </c>
      <c r="B3493" s="86" t="s">
        <v>35</v>
      </c>
      <c r="C3493" s="86" t="s">
        <v>47</v>
      </c>
      <c r="D3493" s="86" t="s">
        <v>63</v>
      </c>
      <c r="E3493" s="86" t="s">
        <v>528</v>
      </c>
      <c r="F3493" s="86" t="s">
        <v>528</v>
      </c>
      <c r="G3493" s="86" t="s">
        <v>528</v>
      </c>
      <c r="H3493" s="144">
        <v>62</v>
      </c>
      <c r="I3493" s="86" t="s">
        <v>408</v>
      </c>
      <c r="J3493" s="1" t="s">
        <v>3324</v>
      </c>
      <c r="K3493" s="1" t="s">
        <v>3278</v>
      </c>
      <c r="L3493" s="1" t="s">
        <v>35</v>
      </c>
      <c r="M3493" s="86" t="s">
        <v>532</v>
      </c>
      <c r="N3493" s="86"/>
      <c r="O3493" s="47" t="s">
        <v>410</v>
      </c>
      <c r="P3493" s="47" t="s">
        <v>46</v>
      </c>
      <c r="Q3493" s="14">
        <v>5.0000000000000001E-3</v>
      </c>
      <c r="R3493" s="143">
        <v>1000043070</v>
      </c>
      <c r="S3493" s="47"/>
      <c r="T3493" s="6">
        <v>309311.36999999965</v>
      </c>
      <c r="U3493" s="6">
        <v>1507500</v>
      </c>
      <c r="V3493" s="6">
        <v>678820.91999999993</v>
      </c>
      <c r="W3493" s="6">
        <f t="shared" si="539"/>
        <v>1137990.4499999997</v>
      </c>
      <c r="X3493" s="6">
        <f t="shared" si="540"/>
        <v>675443.70149253728</v>
      </c>
      <c r="Y3493" s="13">
        <f t="shared" si="541"/>
        <v>0</v>
      </c>
      <c r="Z3493" s="14">
        <v>0</v>
      </c>
      <c r="AA3493" s="6">
        <v>0</v>
      </c>
      <c r="AB3493" s="4">
        <f t="shared" si="542"/>
        <v>675443.70149253728</v>
      </c>
      <c r="AC3493" s="4">
        <f t="shared" si="544"/>
        <v>3377.2185074626468</v>
      </c>
      <c r="AD3493" s="6">
        <f t="shared" si="546"/>
        <v>678820.91999999993</v>
      </c>
      <c r="AE3493" s="2">
        <f>VLOOKUP(I3493,[1]媒体政策预估表!A:N,MATCH(O3493,[1]媒体政策预估表!$A$2:$M$2,0),0)</f>
        <v>7.0000000000000007E-2</v>
      </c>
      <c r="AF3493" s="6">
        <f t="shared" si="545"/>
        <v>47517.464399999997</v>
      </c>
      <c r="AG3493" s="14">
        <v>0</v>
      </c>
      <c r="AH3493" s="64">
        <f t="shared" si="547"/>
        <v>678820.91999999993</v>
      </c>
      <c r="AI3493" s="47"/>
      <c r="AJ3493" s="126" t="e">
        <v>#N/A</v>
      </c>
      <c r="AK3493" s="80">
        <f t="shared" si="543"/>
        <v>0</v>
      </c>
      <c r="AM3493" s="85"/>
    </row>
    <row r="3494" spans="1:39" hidden="1" x14ac:dyDescent="0.3">
      <c r="A3494" s="89" t="s">
        <v>3408</v>
      </c>
      <c r="B3494" s="86" t="s">
        <v>35</v>
      </c>
      <c r="C3494" s="86" t="s">
        <v>47</v>
      </c>
      <c r="D3494" s="86" t="s">
        <v>63</v>
      </c>
      <c r="E3494" s="86" t="s">
        <v>737</v>
      </c>
      <c r="F3494" s="86" t="s">
        <v>737</v>
      </c>
      <c r="G3494" s="86" t="s">
        <v>737</v>
      </c>
      <c r="H3494" s="143">
        <v>62</v>
      </c>
      <c r="I3494" s="86" t="s">
        <v>408</v>
      </c>
      <c r="J3494" s="1" t="s">
        <v>3324</v>
      </c>
      <c r="K3494" s="1" t="s">
        <v>3278</v>
      </c>
      <c r="L3494" s="1" t="s">
        <v>35</v>
      </c>
      <c r="M3494" s="86" t="s">
        <v>738</v>
      </c>
      <c r="N3494" s="86"/>
      <c r="O3494" s="47" t="s">
        <v>410</v>
      </c>
      <c r="P3494" s="47" t="s">
        <v>41</v>
      </c>
      <c r="Q3494" s="14">
        <v>0</v>
      </c>
      <c r="R3494" s="143">
        <v>1000070524</v>
      </c>
      <c r="S3494" s="47"/>
      <c r="T3494" s="6">
        <v>1926.2000000000012</v>
      </c>
      <c r="U3494" s="6">
        <v>-1926.2</v>
      </c>
      <c r="V3494" s="6">
        <v>0</v>
      </c>
      <c r="W3494" s="6">
        <f t="shared" ref="W3494:W3557" si="548">T3494+U3494-V3494</f>
        <v>1.1368683772161603E-12</v>
      </c>
      <c r="X3494" s="6">
        <f t="shared" si="540"/>
        <v>0</v>
      </c>
      <c r="Y3494" s="13">
        <f t="shared" si="541"/>
        <v>0</v>
      </c>
      <c r="Z3494" s="14">
        <v>0</v>
      </c>
      <c r="AA3494" s="6">
        <v>0</v>
      </c>
      <c r="AB3494" s="4">
        <f t="shared" si="542"/>
        <v>0</v>
      </c>
      <c r="AC3494" s="4">
        <f t="shared" si="544"/>
        <v>0</v>
      </c>
      <c r="AD3494" s="6">
        <f t="shared" si="546"/>
        <v>0</v>
      </c>
      <c r="AE3494" s="2">
        <f>VLOOKUP(I3494,[1]媒体政策预估表!A:N,MATCH(O3494,[1]媒体政策预估表!$A$2:$M$2,0),0)</f>
        <v>7.0000000000000007E-2</v>
      </c>
      <c r="AF3494" s="6">
        <f t="shared" si="545"/>
        <v>0</v>
      </c>
      <c r="AG3494" s="14">
        <v>0</v>
      </c>
      <c r="AH3494" s="64">
        <f t="shared" si="547"/>
        <v>0</v>
      </c>
      <c r="AI3494" s="47"/>
      <c r="AJ3494" s="126" t="e">
        <v>#N/A</v>
      </c>
      <c r="AK3494" s="80">
        <f t="shared" si="543"/>
        <v>0</v>
      </c>
      <c r="AM3494" s="85"/>
    </row>
    <row r="3495" spans="1:39" hidden="1" x14ac:dyDescent="0.3">
      <c r="A3495" s="89" t="s">
        <v>3408</v>
      </c>
      <c r="B3495" s="86" t="s">
        <v>35</v>
      </c>
      <c r="C3495" s="86" t="s">
        <v>47</v>
      </c>
      <c r="D3495" s="86" t="s">
        <v>63</v>
      </c>
      <c r="E3495" s="86" t="s">
        <v>538</v>
      </c>
      <c r="F3495" s="86" t="s">
        <v>538</v>
      </c>
      <c r="G3495" s="86" t="s">
        <v>538</v>
      </c>
      <c r="H3495" s="143">
        <v>62</v>
      </c>
      <c r="I3495" s="86" t="s">
        <v>408</v>
      </c>
      <c r="J3495" s="1" t="s">
        <v>3324</v>
      </c>
      <c r="K3495" s="1" t="s">
        <v>3278</v>
      </c>
      <c r="L3495" s="1" t="s">
        <v>35</v>
      </c>
      <c r="M3495" s="86" t="s">
        <v>539</v>
      </c>
      <c r="N3495" s="86"/>
      <c r="O3495" s="47" t="s">
        <v>410</v>
      </c>
      <c r="P3495" s="47" t="s">
        <v>41</v>
      </c>
      <c r="Q3495" s="14">
        <v>0</v>
      </c>
      <c r="R3495" s="143">
        <v>1000100422</v>
      </c>
      <c r="S3495" s="47"/>
      <c r="T3495" s="6">
        <v>0</v>
      </c>
      <c r="U3495" s="6">
        <v>0</v>
      </c>
      <c r="V3495" s="6">
        <v>0</v>
      </c>
      <c r="W3495" s="6">
        <f t="shared" si="548"/>
        <v>0</v>
      </c>
      <c r="X3495" s="6">
        <f t="shared" ref="X3495:X3558" si="549">IF(P3495="折扣",V3495*Q3495,IF(P3495="返现",V3495,V3495/(1+Q3495)))</f>
        <v>0</v>
      </c>
      <c r="Y3495" s="13">
        <f t="shared" si="541"/>
        <v>0</v>
      </c>
      <c r="Z3495" s="14">
        <v>0</v>
      </c>
      <c r="AA3495" s="6">
        <v>0</v>
      </c>
      <c r="AB3495" s="4">
        <f t="shared" si="542"/>
        <v>0</v>
      </c>
      <c r="AC3495" s="4">
        <f t="shared" si="544"/>
        <v>0</v>
      </c>
      <c r="AD3495" s="6">
        <f t="shared" si="546"/>
        <v>0</v>
      </c>
      <c r="AE3495" s="2">
        <f>VLOOKUP(I3495,[1]媒体政策预估表!A:N,MATCH(O3495,[1]媒体政策预估表!$A$2:$M$2,0),0)</f>
        <v>7.0000000000000007E-2</v>
      </c>
      <c r="AF3495" s="6">
        <f t="shared" si="545"/>
        <v>0</v>
      </c>
      <c r="AG3495" s="14">
        <v>0</v>
      </c>
      <c r="AH3495" s="64">
        <f t="shared" si="547"/>
        <v>0</v>
      </c>
      <c r="AI3495" s="47"/>
      <c r="AJ3495" s="126" t="e">
        <v>#N/A</v>
      </c>
      <c r="AK3495" s="80">
        <f t="shared" si="543"/>
        <v>0</v>
      </c>
      <c r="AM3495" s="85"/>
    </row>
    <row r="3496" spans="1:39" hidden="1" x14ac:dyDescent="0.3">
      <c r="A3496" s="89" t="s">
        <v>3408</v>
      </c>
      <c r="B3496" s="86" t="s">
        <v>35</v>
      </c>
      <c r="C3496" s="86" t="s">
        <v>47</v>
      </c>
      <c r="D3496" s="86" t="s">
        <v>48</v>
      </c>
      <c r="E3496" s="86" t="s">
        <v>540</v>
      </c>
      <c r="F3496" s="86" t="s">
        <v>541</v>
      </c>
      <c r="G3496" s="86" t="s">
        <v>540</v>
      </c>
      <c r="H3496" s="144">
        <v>62</v>
      </c>
      <c r="I3496" s="86" t="s">
        <v>408</v>
      </c>
      <c r="J3496" s="1" t="s">
        <v>3324</v>
      </c>
      <c r="K3496" s="1" t="s">
        <v>3278</v>
      </c>
      <c r="L3496" s="1" t="s">
        <v>35</v>
      </c>
      <c r="M3496" s="86" t="s">
        <v>540</v>
      </c>
      <c r="N3496" s="86"/>
      <c r="O3496" s="47" t="s">
        <v>410</v>
      </c>
      <c r="P3496" s="47" t="s">
        <v>41</v>
      </c>
      <c r="Q3496" s="14">
        <v>0</v>
      </c>
      <c r="R3496" s="143">
        <v>1000070582</v>
      </c>
      <c r="S3496" s="47"/>
      <c r="T3496" s="6">
        <v>59712.119999999995</v>
      </c>
      <c r="U3496" s="6">
        <v>50000</v>
      </c>
      <c r="V3496" s="6">
        <v>67306.709999999992</v>
      </c>
      <c r="W3496" s="6">
        <f t="shared" si="548"/>
        <v>42405.41</v>
      </c>
      <c r="X3496" s="6">
        <f t="shared" si="549"/>
        <v>67306.709999999992</v>
      </c>
      <c r="Y3496" s="13">
        <f t="shared" si="541"/>
        <v>0</v>
      </c>
      <c r="Z3496" s="14">
        <v>0</v>
      </c>
      <c r="AA3496" s="6">
        <v>0</v>
      </c>
      <c r="AB3496" s="4">
        <f t="shared" si="542"/>
        <v>67306.709999999992</v>
      </c>
      <c r="AC3496" s="4">
        <f t="shared" si="544"/>
        <v>0</v>
      </c>
      <c r="AD3496" s="6">
        <f t="shared" si="546"/>
        <v>67306.709999999992</v>
      </c>
      <c r="AE3496" s="2">
        <f>VLOOKUP(I3496,[1]媒体政策预估表!A:N,MATCH(O3496,[1]媒体政策预估表!$A$2:$M$2,0),0)</f>
        <v>7.0000000000000007E-2</v>
      </c>
      <c r="AF3496" s="6">
        <f t="shared" si="545"/>
        <v>4711.4696999999996</v>
      </c>
      <c r="AG3496" s="14">
        <v>0</v>
      </c>
      <c r="AH3496" s="64">
        <f t="shared" si="547"/>
        <v>67306.709999999992</v>
      </c>
      <c r="AI3496" s="47"/>
      <c r="AJ3496" s="126" t="e">
        <v>#N/A</v>
      </c>
      <c r="AK3496" s="80">
        <f t="shared" si="543"/>
        <v>0</v>
      </c>
      <c r="AM3496" s="85"/>
    </row>
    <row r="3497" spans="1:39" hidden="1" x14ac:dyDescent="0.3">
      <c r="A3497" s="89" t="s">
        <v>3408</v>
      </c>
      <c r="B3497" s="86" t="s">
        <v>35</v>
      </c>
      <c r="C3497" s="86" t="s">
        <v>47</v>
      </c>
      <c r="D3497" s="86" t="s">
        <v>48</v>
      </c>
      <c r="E3497" s="86" t="s">
        <v>542</v>
      </c>
      <c r="F3497" s="86" t="s">
        <v>543</v>
      </c>
      <c r="G3497" s="86" t="s">
        <v>542</v>
      </c>
      <c r="H3497" s="144">
        <v>62</v>
      </c>
      <c r="I3497" s="86" t="s">
        <v>408</v>
      </c>
      <c r="J3497" s="1" t="s">
        <v>3324</v>
      </c>
      <c r="K3497" s="1" t="s">
        <v>3278</v>
      </c>
      <c r="L3497" s="1" t="s">
        <v>35</v>
      </c>
      <c r="M3497" s="86" t="s">
        <v>544</v>
      </c>
      <c r="N3497" s="86"/>
      <c r="O3497" s="47" t="s">
        <v>410</v>
      </c>
      <c r="P3497" s="47" t="s">
        <v>41</v>
      </c>
      <c r="Q3497" s="14">
        <v>0</v>
      </c>
      <c r="R3497" s="143">
        <v>1000046342</v>
      </c>
      <c r="S3497" s="47"/>
      <c r="T3497" s="6">
        <v>70471.400000000023</v>
      </c>
      <c r="U3497" s="6">
        <v>850000</v>
      </c>
      <c r="V3497" s="6">
        <v>624843.90999999992</v>
      </c>
      <c r="W3497" s="6">
        <f t="shared" si="548"/>
        <v>295627.49000000011</v>
      </c>
      <c r="X3497" s="6">
        <f t="shared" si="549"/>
        <v>624843.90999999992</v>
      </c>
      <c r="Y3497" s="13">
        <f t="shared" si="541"/>
        <v>0</v>
      </c>
      <c r="Z3497" s="14">
        <v>0</v>
      </c>
      <c r="AA3497" s="6">
        <v>0</v>
      </c>
      <c r="AB3497" s="4">
        <f t="shared" si="542"/>
        <v>624843.90999999992</v>
      </c>
      <c r="AC3497" s="4">
        <f t="shared" si="544"/>
        <v>0</v>
      </c>
      <c r="AD3497" s="6">
        <f t="shared" si="546"/>
        <v>624843.90999999992</v>
      </c>
      <c r="AE3497" s="2">
        <f>VLOOKUP(I3497,[1]媒体政策预估表!A:N,MATCH(O3497,[1]媒体政策预估表!$A$2:$M$2,0),0)</f>
        <v>7.0000000000000007E-2</v>
      </c>
      <c r="AF3497" s="6">
        <f t="shared" si="545"/>
        <v>43739.073700000001</v>
      </c>
      <c r="AG3497" s="14">
        <v>0</v>
      </c>
      <c r="AH3497" s="64">
        <f t="shared" si="547"/>
        <v>624843.90999999992</v>
      </c>
      <c r="AI3497" s="47"/>
      <c r="AJ3497" s="126" t="e">
        <v>#N/A</v>
      </c>
      <c r="AK3497" s="80">
        <f t="shared" si="543"/>
        <v>0</v>
      </c>
      <c r="AM3497" s="85"/>
    </row>
    <row r="3498" spans="1:39" hidden="1" x14ac:dyDescent="0.3">
      <c r="A3498" s="89" t="s">
        <v>3408</v>
      </c>
      <c r="B3498" s="86" t="s">
        <v>35</v>
      </c>
      <c r="C3498" s="86" t="s">
        <v>47</v>
      </c>
      <c r="D3498" s="86" t="s">
        <v>48</v>
      </c>
      <c r="E3498" s="86" t="s">
        <v>542</v>
      </c>
      <c r="F3498" s="86" t="s">
        <v>543</v>
      </c>
      <c r="G3498" s="86" t="s">
        <v>542</v>
      </c>
      <c r="H3498" s="144">
        <v>62</v>
      </c>
      <c r="I3498" s="86" t="s">
        <v>408</v>
      </c>
      <c r="J3498" s="1" t="s">
        <v>3324</v>
      </c>
      <c r="K3498" s="1" t="s">
        <v>3278</v>
      </c>
      <c r="L3498" s="1" t="s">
        <v>35</v>
      </c>
      <c r="M3498" s="86" t="s">
        <v>546</v>
      </c>
      <c r="N3498" s="86"/>
      <c r="O3498" s="47" t="s">
        <v>410</v>
      </c>
      <c r="P3498" s="47" t="s">
        <v>41</v>
      </c>
      <c r="Q3498" s="14">
        <v>0</v>
      </c>
      <c r="R3498" s="143">
        <v>1000043834</v>
      </c>
      <c r="S3498" s="47"/>
      <c r="T3498" s="6">
        <v>3758.2199999999993</v>
      </c>
      <c r="U3498" s="6">
        <v>5000</v>
      </c>
      <c r="V3498" s="6">
        <v>5625.7699999999986</v>
      </c>
      <c r="W3498" s="6">
        <f t="shared" si="548"/>
        <v>3132.4500000000007</v>
      </c>
      <c r="X3498" s="6">
        <f t="shared" si="549"/>
        <v>5625.7699999999986</v>
      </c>
      <c r="Y3498" s="13">
        <f t="shared" si="541"/>
        <v>0</v>
      </c>
      <c r="Z3498" s="14">
        <v>0</v>
      </c>
      <c r="AA3498" s="6">
        <v>0</v>
      </c>
      <c r="AB3498" s="4">
        <f t="shared" si="542"/>
        <v>5625.7699999999986</v>
      </c>
      <c r="AC3498" s="4">
        <f t="shared" si="544"/>
        <v>0</v>
      </c>
      <c r="AD3498" s="6">
        <f t="shared" si="546"/>
        <v>5625.7699999999986</v>
      </c>
      <c r="AE3498" s="2">
        <f>VLOOKUP(I3498,[1]媒体政策预估表!A:N,MATCH(O3498,[1]媒体政策预估表!$A$2:$M$2,0),0)</f>
        <v>7.0000000000000007E-2</v>
      </c>
      <c r="AF3498" s="6">
        <f t="shared" si="545"/>
        <v>393.80389999999994</v>
      </c>
      <c r="AG3498" s="14">
        <v>0</v>
      </c>
      <c r="AH3498" s="64">
        <f t="shared" si="547"/>
        <v>5625.7699999999986</v>
      </c>
      <c r="AI3498" s="47"/>
      <c r="AJ3498" s="126" t="e">
        <v>#N/A</v>
      </c>
      <c r="AK3498" s="80">
        <f t="shared" si="543"/>
        <v>0</v>
      </c>
      <c r="AM3498" s="85"/>
    </row>
    <row r="3499" spans="1:39" hidden="1" x14ac:dyDescent="0.3">
      <c r="A3499" s="89" t="s">
        <v>3408</v>
      </c>
      <c r="B3499" s="86" t="s">
        <v>35</v>
      </c>
      <c r="C3499" s="86" t="s">
        <v>47</v>
      </c>
      <c r="D3499" s="86" t="s">
        <v>48</v>
      </c>
      <c r="E3499" s="86" t="s">
        <v>550</v>
      </c>
      <c r="F3499" s="86" t="s">
        <v>551</v>
      </c>
      <c r="G3499" s="86" t="s">
        <v>550</v>
      </c>
      <c r="H3499" s="143">
        <v>62</v>
      </c>
      <c r="I3499" s="86" t="s">
        <v>408</v>
      </c>
      <c r="J3499" s="1" t="s">
        <v>3324</v>
      </c>
      <c r="K3499" s="1" t="s">
        <v>3278</v>
      </c>
      <c r="L3499" s="1" t="s">
        <v>35</v>
      </c>
      <c r="M3499" s="86" t="s">
        <v>552</v>
      </c>
      <c r="N3499" s="86"/>
      <c r="O3499" s="47" t="s">
        <v>45</v>
      </c>
      <c r="P3499" s="47" t="s">
        <v>46</v>
      </c>
      <c r="Q3499" s="14">
        <v>0.02</v>
      </c>
      <c r="R3499" s="143">
        <v>1000100619</v>
      </c>
      <c r="S3499" s="47"/>
      <c r="T3499" s="6">
        <v>50000</v>
      </c>
      <c r="U3499" s="6">
        <v>400000</v>
      </c>
      <c r="V3499" s="6">
        <v>0</v>
      </c>
      <c r="W3499" s="6">
        <f t="shared" si="548"/>
        <v>450000</v>
      </c>
      <c r="X3499" s="6">
        <f t="shared" si="549"/>
        <v>0</v>
      </c>
      <c r="Y3499" s="13">
        <f t="shared" si="541"/>
        <v>0</v>
      </c>
      <c r="Z3499" s="14">
        <v>0</v>
      </c>
      <c r="AA3499" s="6">
        <v>0</v>
      </c>
      <c r="AB3499" s="4">
        <f t="shared" si="542"/>
        <v>0</v>
      </c>
      <c r="AC3499" s="4">
        <f t="shared" si="544"/>
        <v>0</v>
      </c>
      <c r="AD3499" s="6">
        <f t="shared" si="546"/>
        <v>0</v>
      </c>
      <c r="AE3499" s="2">
        <f>VLOOKUP(I3499,[1]媒体政策预估表!A:N,MATCH(O3499,[1]媒体政策预估表!$A$2:$M$2,0),0)</f>
        <v>0.12</v>
      </c>
      <c r="AF3499" s="6">
        <f t="shared" si="545"/>
        <v>0</v>
      </c>
      <c r="AG3499" s="14">
        <v>0</v>
      </c>
      <c r="AH3499" s="64">
        <f t="shared" si="547"/>
        <v>0</v>
      </c>
      <c r="AI3499" s="47"/>
      <c r="AJ3499" s="126" t="e">
        <v>#N/A</v>
      </c>
      <c r="AK3499" s="80">
        <f t="shared" si="543"/>
        <v>0</v>
      </c>
      <c r="AM3499" s="85"/>
    </row>
    <row r="3500" spans="1:39" hidden="1" x14ac:dyDescent="0.3">
      <c r="A3500" s="89" t="s">
        <v>3408</v>
      </c>
      <c r="B3500" s="86" t="s">
        <v>35</v>
      </c>
      <c r="C3500" s="86" t="s">
        <v>47</v>
      </c>
      <c r="D3500" s="86" t="s">
        <v>48</v>
      </c>
      <c r="E3500" s="86" t="s">
        <v>550</v>
      </c>
      <c r="F3500" s="86" t="s">
        <v>551</v>
      </c>
      <c r="G3500" s="86" t="s">
        <v>550</v>
      </c>
      <c r="H3500" s="144">
        <v>62</v>
      </c>
      <c r="I3500" s="86" t="s">
        <v>408</v>
      </c>
      <c r="J3500" s="1" t="s">
        <v>3324</v>
      </c>
      <c r="K3500" s="1" t="s">
        <v>3278</v>
      </c>
      <c r="L3500" s="1" t="s">
        <v>35</v>
      </c>
      <c r="M3500" s="86" t="s">
        <v>553</v>
      </c>
      <c r="N3500" s="86"/>
      <c r="O3500" s="47" t="s">
        <v>410</v>
      </c>
      <c r="P3500" s="47" t="s">
        <v>41</v>
      </c>
      <c r="Q3500" s="14">
        <v>0</v>
      </c>
      <c r="R3500" s="143">
        <v>1000068748</v>
      </c>
      <c r="S3500" s="47"/>
      <c r="T3500" s="6">
        <v>122148.09999999998</v>
      </c>
      <c r="U3500" s="6">
        <v>900000</v>
      </c>
      <c r="V3500" s="6">
        <v>741792.77000000014</v>
      </c>
      <c r="W3500" s="6">
        <f t="shared" si="548"/>
        <v>280355.32999999984</v>
      </c>
      <c r="X3500" s="6">
        <f t="shared" si="549"/>
        <v>741792.77000000014</v>
      </c>
      <c r="Y3500" s="13">
        <f t="shared" si="541"/>
        <v>0</v>
      </c>
      <c r="Z3500" s="14">
        <v>0</v>
      </c>
      <c r="AA3500" s="6">
        <v>0</v>
      </c>
      <c r="AB3500" s="4">
        <f t="shared" si="542"/>
        <v>741792.77000000014</v>
      </c>
      <c r="AC3500" s="4">
        <f t="shared" si="544"/>
        <v>0</v>
      </c>
      <c r="AD3500" s="6">
        <f t="shared" si="546"/>
        <v>741792.77000000014</v>
      </c>
      <c r="AE3500" s="2">
        <f>VLOOKUP(I3500,[1]媒体政策预估表!A:N,MATCH(O3500,[1]媒体政策预估表!$A$2:$M$2,0),0)</f>
        <v>7.0000000000000007E-2</v>
      </c>
      <c r="AF3500" s="6">
        <f t="shared" si="545"/>
        <v>51925.493900000016</v>
      </c>
      <c r="AG3500" s="14">
        <v>0</v>
      </c>
      <c r="AH3500" s="64">
        <f t="shared" si="547"/>
        <v>741792.77000000014</v>
      </c>
      <c r="AI3500" s="47"/>
      <c r="AJ3500" s="126" t="e">
        <v>#N/A</v>
      </c>
      <c r="AK3500" s="80">
        <f t="shared" si="543"/>
        <v>0</v>
      </c>
      <c r="AM3500" s="85"/>
    </row>
    <row r="3501" spans="1:39" hidden="1" x14ac:dyDescent="0.3">
      <c r="A3501" s="89" t="s">
        <v>3408</v>
      </c>
      <c r="B3501" s="86" t="s">
        <v>35</v>
      </c>
      <c r="C3501" s="86" t="s">
        <v>47</v>
      </c>
      <c r="D3501" s="86" t="s">
        <v>48</v>
      </c>
      <c r="E3501" s="86" t="s">
        <v>554</v>
      </c>
      <c r="F3501" s="86" t="s">
        <v>554</v>
      </c>
      <c r="G3501" s="86" t="s">
        <v>554</v>
      </c>
      <c r="H3501" s="144">
        <v>62</v>
      </c>
      <c r="I3501" s="86" t="s">
        <v>408</v>
      </c>
      <c r="J3501" s="1" t="s">
        <v>3324</v>
      </c>
      <c r="K3501" s="1" t="s">
        <v>3278</v>
      </c>
      <c r="L3501" s="1" t="s">
        <v>35</v>
      </c>
      <c r="M3501" s="86" t="s">
        <v>555</v>
      </c>
      <c r="N3501" s="86"/>
      <c r="O3501" s="47" t="s">
        <v>410</v>
      </c>
      <c r="P3501" s="47" t="s">
        <v>41</v>
      </c>
      <c r="Q3501" s="14">
        <v>0</v>
      </c>
      <c r="R3501" s="143">
        <v>1000099386</v>
      </c>
      <c r="S3501" s="47"/>
      <c r="T3501" s="6">
        <v>10350.550000000001</v>
      </c>
      <c r="U3501" s="6">
        <v>10000</v>
      </c>
      <c r="V3501" s="6">
        <v>16871.510000000002</v>
      </c>
      <c r="W3501" s="6">
        <f t="shared" si="548"/>
        <v>3479.0400000000009</v>
      </c>
      <c r="X3501" s="6">
        <f t="shared" si="549"/>
        <v>16871.510000000002</v>
      </c>
      <c r="Y3501" s="13">
        <f t="shared" si="541"/>
        <v>0</v>
      </c>
      <c r="Z3501" s="14">
        <v>0</v>
      </c>
      <c r="AA3501" s="6">
        <v>0</v>
      </c>
      <c r="AB3501" s="4">
        <f t="shared" si="542"/>
        <v>16871.510000000002</v>
      </c>
      <c r="AC3501" s="4">
        <f t="shared" si="544"/>
        <v>0</v>
      </c>
      <c r="AD3501" s="6">
        <f t="shared" si="546"/>
        <v>16871.510000000002</v>
      </c>
      <c r="AE3501" s="2">
        <f>VLOOKUP(I3501,[1]媒体政策预估表!A:N,MATCH(O3501,[1]媒体政策预估表!$A$2:$M$2,0),0)</f>
        <v>7.0000000000000007E-2</v>
      </c>
      <c r="AF3501" s="6">
        <f t="shared" si="545"/>
        <v>1181.0057000000002</v>
      </c>
      <c r="AG3501" s="14">
        <v>0</v>
      </c>
      <c r="AH3501" s="64">
        <f t="shared" si="547"/>
        <v>16871.510000000002</v>
      </c>
      <c r="AI3501" s="47"/>
      <c r="AJ3501" s="126" t="e">
        <v>#N/A</v>
      </c>
      <c r="AK3501" s="80">
        <f t="shared" si="543"/>
        <v>0</v>
      </c>
      <c r="AM3501" s="85"/>
    </row>
    <row r="3502" spans="1:39" hidden="1" x14ac:dyDescent="0.3">
      <c r="A3502" s="89" t="s">
        <v>3408</v>
      </c>
      <c r="B3502" s="86" t="s">
        <v>35</v>
      </c>
      <c r="C3502" s="86" t="s">
        <v>144</v>
      </c>
      <c r="D3502" s="86" t="s">
        <v>145</v>
      </c>
      <c r="E3502" s="86" t="s">
        <v>561</v>
      </c>
      <c r="F3502" s="86" t="s">
        <v>561</v>
      </c>
      <c r="G3502" s="86" t="s">
        <v>561</v>
      </c>
      <c r="H3502" s="144">
        <v>62</v>
      </c>
      <c r="I3502" s="86" t="s">
        <v>408</v>
      </c>
      <c r="J3502" s="1" t="s">
        <v>3324</v>
      </c>
      <c r="K3502" s="1" t="s">
        <v>3278</v>
      </c>
      <c r="L3502" s="1" t="s">
        <v>35</v>
      </c>
      <c r="M3502" s="86" t="s">
        <v>562</v>
      </c>
      <c r="N3502" s="86"/>
      <c r="O3502" s="47" t="s">
        <v>410</v>
      </c>
      <c r="P3502" s="47" t="s">
        <v>46</v>
      </c>
      <c r="Q3502" s="14">
        <v>0.02</v>
      </c>
      <c r="R3502" s="143">
        <v>1000100251</v>
      </c>
      <c r="S3502" s="47"/>
      <c r="T3502" s="6">
        <v>8009.5</v>
      </c>
      <c r="U3502" s="6">
        <v>10000</v>
      </c>
      <c r="V3502" s="6">
        <v>13761</v>
      </c>
      <c r="W3502" s="6">
        <f t="shared" si="548"/>
        <v>4248.5</v>
      </c>
      <c r="X3502" s="6">
        <f t="shared" si="549"/>
        <v>13491.176470588234</v>
      </c>
      <c r="Y3502" s="13">
        <f t="shared" si="541"/>
        <v>0</v>
      </c>
      <c r="Z3502" s="14">
        <v>0</v>
      </c>
      <c r="AA3502" s="6">
        <v>0</v>
      </c>
      <c r="AB3502" s="4">
        <f t="shared" si="542"/>
        <v>13491.176470588234</v>
      </c>
      <c r="AC3502" s="4">
        <f t="shared" si="544"/>
        <v>269.82352941176578</v>
      </c>
      <c r="AD3502" s="6">
        <f t="shared" si="546"/>
        <v>13761</v>
      </c>
      <c r="AE3502" s="2">
        <f>VLOOKUP(I3502,[1]媒体政策预估表!A:N,MATCH(O3502,[1]媒体政策预估表!$A$2:$M$2,0),0)</f>
        <v>7.0000000000000007E-2</v>
      </c>
      <c r="AF3502" s="6">
        <f t="shared" si="545"/>
        <v>963.2700000000001</v>
      </c>
      <c r="AG3502" s="14">
        <v>0</v>
      </c>
      <c r="AH3502" s="64">
        <f t="shared" si="547"/>
        <v>13761</v>
      </c>
      <c r="AI3502" s="47"/>
      <c r="AJ3502" s="126" t="e">
        <v>#N/A</v>
      </c>
      <c r="AK3502" s="80">
        <f t="shared" si="543"/>
        <v>0</v>
      </c>
      <c r="AM3502" s="85"/>
    </row>
    <row r="3503" spans="1:39" hidden="1" x14ac:dyDescent="0.3">
      <c r="A3503" s="89" t="s">
        <v>3408</v>
      </c>
      <c r="B3503" s="86" t="s">
        <v>35</v>
      </c>
      <c r="C3503" s="86" t="s">
        <v>144</v>
      </c>
      <c r="D3503" s="86" t="s">
        <v>145</v>
      </c>
      <c r="E3503" s="86" t="s">
        <v>565</v>
      </c>
      <c r="F3503" s="86" t="s">
        <v>566</v>
      </c>
      <c r="G3503" s="86" t="s">
        <v>565</v>
      </c>
      <c r="H3503" s="144">
        <v>62</v>
      </c>
      <c r="I3503" s="86" t="s">
        <v>408</v>
      </c>
      <c r="J3503" s="1" t="s">
        <v>3324</v>
      </c>
      <c r="K3503" s="1" t="s">
        <v>3278</v>
      </c>
      <c r="L3503" s="1" t="s">
        <v>35</v>
      </c>
      <c r="M3503" s="86" t="s">
        <v>567</v>
      </c>
      <c r="N3503" s="86"/>
      <c r="O3503" s="47" t="s">
        <v>410</v>
      </c>
      <c r="P3503" s="47" t="s">
        <v>41</v>
      </c>
      <c r="Q3503" s="14">
        <v>0</v>
      </c>
      <c r="R3503" s="143">
        <v>1000098895</v>
      </c>
      <c r="S3503" s="47"/>
      <c r="T3503" s="6">
        <v>10034.099999999999</v>
      </c>
      <c r="U3503" s="6">
        <v>50000</v>
      </c>
      <c r="V3503" s="6">
        <v>55793.840000000004</v>
      </c>
      <c r="W3503" s="6">
        <f t="shared" si="548"/>
        <v>4240.2599999999948</v>
      </c>
      <c r="X3503" s="6">
        <f t="shared" si="549"/>
        <v>55793.840000000004</v>
      </c>
      <c r="Y3503" s="13">
        <f t="shared" si="541"/>
        <v>0</v>
      </c>
      <c r="Z3503" s="14">
        <v>0</v>
      </c>
      <c r="AA3503" s="6">
        <v>0</v>
      </c>
      <c r="AB3503" s="4">
        <f t="shared" si="542"/>
        <v>55793.840000000004</v>
      </c>
      <c r="AC3503" s="4">
        <f t="shared" si="544"/>
        <v>0</v>
      </c>
      <c r="AD3503" s="6">
        <f t="shared" si="546"/>
        <v>55793.840000000004</v>
      </c>
      <c r="AE3503" s="2">
        <f>VLOOKUP(I3503,[1]媒体政策预估表!A:N,MATCH(O3503,[1]媒体政策预估表!$A$2:$M$2,0),0)</f>
        <v>7.0000000000000007E-2</v>
      </c>
      <c r="AF3503" s="6">
        <f t="shared" si="545"/>
        <v>3905.5688000000005</v>
      </c>
      <c r="AG3503" s="14">
        <v>0</v>
      </c>
      <c r="AH3503" s="64">
        <f t="shared" si="547"/>
        <v>55793.840000000004</v>
      </c>
      <c r="AI3503" s="47"/>
      <c r="AJ3503" s="126" t="e">
        <v>#N/A</v>
      </c>
      <c r="AK3503" s="80">
        <f t="shared" si="543"/>
        <v>0</v>
      </c>
      <c r="AM3503" s="85"/>
    </row>
    <row r="3504" spans="1:39" hidden="1" x14ac:dyDescent="0.3">
      <c r="A3504" s="89" t="s">
        <v>3408</v>
      </c>
      <c r="B3504" s="86" t="s">
        <v>35</v>
      </c>
      <c r="C3504" s="86" t="s">
        <v>144</v>
      </c>
      <c r="D3504" s="86" t="s">
        <v>145</v>
      </c>
      <c r="E3504" s="86" t="s">
        <v>3454</v>
      </c>
      <c r="F3504" s="86" t="s">
        <v>3454</v>
      </c>
      <c r="G3504" s="86" t="s">
        <v>3454</v>
      </c>
      <c r="H3504" s="144">
        <v>62</v>
      </c>
      <c r="I3504" s="86" t="s">
        <v>408</v>
      </c>
      <c r="J3504" s="1" t="s">
        <v>3324</v>
      </c>
      <c r="K3504" s="1" t="s">
        <v>3278</v>
      </c>
      <c r="L3504" s="1" t="s">
        <v>35</v>
      </c>
      <c r="M3504" s="86" t="s">
        <v>3455</v>
      </c>
      <c r="N3504" s="86"/>
      <c r="O3504" s="47" t="s">
        <v>410</v>
      </c>
      <c r="P3504" s="47" t="s">
        <v>41</v>
      </c>
      <c r="Q3504" s="14">
        <v>0</v>
      </c>
      <c r="R3504" s="143">
        <v>1000087594</v>
      </c>
      <c r="S3504" s="47"/>
      <c r="T3504" s="6">
        <v>0</v>
      </c>
      <c r="U3504" s="6">
        <v>10000</v>
      </c>
      <c r="V3504" s="6">
        <v>3042.61</v>
      </c>
      <c r="W3504" s="6">
        <f t="shared" si="548"/>
        <v>6957.3899999999994</v>
      </c>
      <c r="X3504" s="6">
        <f t="shared" si="549"/>
        <v>3042.61</v>
      </c>
      <c r="Y3504" s="13">
        <f t="shared" si="541"/>
        <v>0</v>
      </c>
      <c r="Z3504" s="14">
        <v>0</v>
      </c>
      <c r="AA3504" s="6">
        <v>0</v>
      </c>
      <c r="AB3504" s="4">
        <f t="shared" si="542"/>
        <v>3042.61</v>
      </c>
      <c r="AC3504" s="4">
        <f t="shared" si="544"/>
        <v>0</v>
      </c>
      <c r="AD3504" s="6">
        <f t="shared" si="546"/>
        <v>3042.61</v>
      </c>
      <c r="AE3504" s="2">
        <f>VLOOKUP(I3504,[1]媒体政策预估表!A:N,MATCH(O3504,[1]媒体政策预估表!$A$2:$M$2,0),0)</f>
        <v>7.0000000000000007E-2</v>
      </c>
      <c r="AF3504" s="6">
        <f t="shared" si="545"/>
        <v>212.98270000000002</v>
      </c>
      <c r="AG3504" s="14">
        <v>0</v>
      </c>
      <c r="AH3504" s="64">
        <f t="shared" si="547"/>
        <v>3042.61</v>
      </c>
      <c r="AI3504" s="47"/>
      <c r="AJ3504" s="126" t="e">
        <v>#N/A</v>
      </c>
      <c r="AK3504" s="80">
        <f t="shared" si="543"/>
        <v>0</v>
      </c>
      <c r="AM3504" s="85"/>
    </row>
    <row r="3505" spans="1:39" hidden="1" x14ac:dyDescent="0.3">
      <c r="A3505" s="89" t="s">
        <v>3408</v>
      </c>
      <c r="B3505" s="86" t="s">
        <v>35</v>
      </c>
      <c r="C3505" s="86" t="s">
        <v>144</v>
      </c>
      <c r="D3505" s="86" t="s">
        <v>145</v>
      </c>
      <c r="E3505" s="86" t="s">
        <v>568</v>
      </c>
      <c r="F3505" s="86" t="s">
        <v>568</v>
      </c>
      <c r="G3505" s="86" t="s">
        <v>568</v>
      </c>
      <c r="H3505" s="144">
        <v>62</v>
      </c>
      <c r="I3505" s="86" t="s">
        <v>408</v>
      </c>
      <c r="J3505" s="1" t="s">
        <v>3324</v>
      </c>
      <c r="K3505" s="1" t="s">
        <v>3278</v>
      </c>
      <c r="L3505" s="1" t="s">
        <v>35</v>
      </c>
      <c r="M3505" s="86" t="s">
        <v>3456</v>
      </c>
      <c r="N3505" s="86"/>
      <c r="O3505" s="47" t="s">
        <v>410</v>
      </c>
      <c r="P3505" s="47" t="s">
        <v>41</v>
      </c>
      <c r="Q3505" s="14">
        <v>0</v>
      </c>
      <c r="R3505" s="143">
        <v>1000044682</v>
      </c>
      <c r="S3505" s="47"/>
      <c r="T3505" s="6">
        <v>18722.119999999995</v>
      </c>
      <c r="U3505" s="6">
        <v>10000</v>
      </c>
      <c r="V3505" s="6">
        <v>20660.609999999997</v>
      </c>
      <c r="W3505" s="6">
        <f t="shared" si="548"/>
        <v>8061.5099999999984</v>
      </c>
      <c r="X3505" s="6">
        <f t="shared" si="549"/>
        <v>20660.609999999997</v>
      </c>
      <c r="Y3505" s="13">
        <f t="shared" si="541"/>
        <v>0</v>
      </c>
      <c r="Z3505" s="14">
        <v>0</v>
      </c>
      <c r="AA3505" s="6">
        <v>0</v>
      </c>
      <c r="AB3505" s="4">
        <f t="shared" si="542"/>
        <v>20660.609999999997</v>
      </c>
      <c r="AC3505" s="4">
        <f t="shared" si="544"/>
        <v>0</v>
      </c>
      <c r="AD3505" s="6">
        <f t="shared" si="546"/>
        <v>20660.609999999997</v>
      </c>
      <c r="AE3505" s="2">
        <f>VLOOKUP(I3505,[1]媒体政策预估表!A:N,MATCH(O3505,[1]媒体政策预估表!$A$2:$M$2,0),0)</f>
        <v>7.0000000000000007E-2</v>
      </c>
      <c r="AF3505" s="6">
        <f t="shared" si="545"/>
        <v>1446.2427</v>
      </c>
      <c r="AG3505" s="14">
        <v>0</v>
      </c>
      <c r="AH3505" s="64">
        <f t="shared" si="547"/>
        <v>20660.609999999997</v>
      </c>
      <c r="AI3505" s="47"/>
      <c r="AJ3505" s="126" t="e">
        <v>#N/A</v>
      </c>
      <c r="AK3505" s="80">
        <f t="shared" si="543"/>
        <v>0</v>
      </c>
      <c r="AM3505" s="85"/>
    </row>
    <row r="3506" spans="1:39" hidden="1" x14ac:dyDescent="0.3">
      <c r="A3506" s="89" t="s">
        <v>3408</v>
      </c>
      <c r="B3506" s="86" t="s">
        <v>35</v>
      </c>
      <c r="C3506" s="86" t="s">
        <v>144</v>
      </c>
      <c r="D3506" s="86" t="s">
        <v>145</v>
      </c>
      <c r="E3506" s="86" t="s">
        <v>570</v>
      </c>
      <c r="F3506" s="86" t="s">
        <v>570</v>
      </c>
      <c r="G3506" s="86" t="s">
        <v>570</v>
      </c>
      <c r="H3506" s="144">
        <v>62</v>
      </c>
      <c r="I3506" s="86" t="s">
        <v>408</v>
      </c>
      <c r="J3506" s="1" t="s">
        <v>3324</v>
      </c>
      <c r="K3506" s="1" t="s">
        <v>3278</v>
      </c>
      <c r="L3506" s="1" t="s">
        <v>35</v>
      </c>
      <c r="M3506" s="86" t="s">
        <v>571</v>
      </c>
      <c r="N3506" s="86"/>
      <c r="O3506" s="47" t="s">
        <v>410</v>
      </c>
      <c r="P3506" s="47" t="s">
        <v>46</v>
      </c>
      <c r="Q3506" s="14">
        <v>0.01</v>
      </c>
      <c r="R3506" s="143">
        <v>1000100252</v>
      </c>
      <c r="S3506" s="47"/>
      <c r="T3506" s="6">
        <v>5173.7099999999991</v>
      </c>
      <c r="U3506" s="6">
        <v>5000</v>
      </c>
      <c r="V3506" s="6">
        <v>9420.369999999999</v>
      </c>
      <c r="W3506" s="6">
        <f t="shared" si="548"/>
        <v>753.34000000000015</v>
      </c>
      <c r="X3506" s="6">
        <f t="shared" si="549"/>
        <v>9327.0990099009887</v>
      </c>
      <c r="Y3506" s="13">
        <f t="shared" si="541"/>
        <v>0</v>
      </c>
      <c r="Z3506" s="14">
        <v>0</v>
      </c>
      <c r="AA3506" s="6">
        <v>0</v>
      </c>
      <c r="AB3506" s="4">
        <f t="shared" si="542"/>
        <v>9327.0990099009887</v>
      </c>
      <c r="AC3506" s="4">
        <f t="shared" si="544"/>
        <v>93.270990099010305</v>
      </c>
      <c r="AD3506" s="6">
        <f t="shared" si="546"/>
        <v>9420.369999999999</v>
      </c>
      <c r="AE3506" s="2">
        <f>VLOOKUP(I3506,[1]媒体政策预估表!A:N,MATCH(O3506,[1]媒体政策预估表!$A$2:$M$2,0),0)</f>
        <v>7.0000000000000007E-2</v>
      </c>
      <c r="AF3506" s="6">
        <f t="shared" si="545"/>
        <v>659.42589999999996</v>
      </c>
      <c r="AG3506" s="14">
        <v>0</v>
      </c>
      <c r="AH3506" s="64">
        <f t="shared" si="547"/>
        <v>9420.369999999999</v>
      </c>
      <c r="AI3506" s="47"/>
      <c r="AJ3506" s="126" t="e">
        <v>#N/A</v>
      </c>
      <c r="AK3506" s="80">
        <f t="shared" si="543"/>
        <v>0</v>
      </c>
      <c r="AM3506" s="85"/>
    </row>
    <row r="3507" spans="1:39" hidden="1" x14ac:dyDescent="0.3">
      <c r="A3507" s="89" t="s">
        <v>3408</v>
      </c>
      <c r="B3507" s="86" t="s">
        <v>35</v>
      </c>
      <c r="C3507" s="86" t="s">
        <v>144</v>
      </c>
      <c r="D3507" s="86" t="s">
        <v>145</v>
      </c>
      <c r="E3507" s="86" t="s">
        <v>574</v>
      </c>
      <c r="F3507" s="86" t="s">
        <v>574</v>
      </c>
      <c r="G3507" s="86" t="s">
        <v>574</v>
      </c>
      <c r="H3507" s="144">
        <v>62</v>
      </c>
      <c r="I3507" s="86" t="s">
        <v>408</v>
      </c>
      <c r="J3507" s="1" t="s">
        <v>3324</v>
      </c>
      <c r="K3507" s="1" t="s">
        <v>3278</v>
      </c>
      <c r="L3507" s="1" t="s">
        <v>35</v>
      </c>
      <c r="M3507" s="86" t="s">
        <v>575</v>
      </c>
      <c r="N3507" s="86"/>
      <c r="O3507" s="47" t="s">
        <v>410</v>
      </c>
      <c r="P3507" s="47" t="s">
        <v>46</v>
      </c>
      <c r="Q3507" s="14">
        <v>0.02</v>
      </c>
      <c r="R3507" s="143">
        <v>1000098771</v>
      </c>
      <c r="S3507" s="47"/>
      <c r="T3507" s="6">
        <v>89955.200000000012</v>
      </c>
      <c r="U3507" s="6">
        <v>500000</v>
      </c>
      <c r="V3507" s="6">
        <v>503259.88</v>
      </c>
      <c r="W3507" s="6">
        <f t="shared" si="548"/>
        <v>86695.319999999949</v>
      </c>
      <c r="X3507" s="6">
        <f t="shared" si="549"/>
        <v>493392.03921568627</v>
      </c>
      <c r="Y3507" s="13">
        <f t="shared" si="541"/>
        <v>0</v>
      </c>
      <c r="Z3507" s="14">
        <v>0</v>
      </c>
      <c r="AA3507" s="6">
        <v>0</v>
      </c>
      <c r="AB3507" s="4">
        <f t="shared" si="542"/>
        <v>493392.03921568627</v>
      </c>
      <c r="AC3507" s="4">
        <f t="shared" si="544"/>
        <v>9867.8407843137393</v>
      </c>
      <c r="AD3507" s="6">
        <f t="shared" si="546"/>
        <v>503259.88</v>
      </c>
      <c r="AE3507" s="2">
        <f>VLOOKUP(I3507,[1]媒体政策预估表!A:N,MATCH(O3507,[1]媒体政策预估表!$A$2:$M$2,0),0)</f>
        <v>7.0000000000000007E-2</v>
      </c>
      <c r="AF3507" s="6">
        <f t="shared" si="545"/>
        <v>35228.191600000006</v>
      </c>
      <c r="AG3507" s="14">
        <v>0</v>
      </c>
      <c r="AH3507" s="64">
        <f t="shared" si="547"/>
        <v>503259.88</v>
      </c>
      <c r="AI3507" s="47"/>
      <c r="AJ3507" s="126" t="e">
        <v>#N/A</v>
      </c>
      <c r="AK3507" s="80">
        <f t="shared" si="543"/>
        <v>0</v>
      </c>
      <c r="AM3507" s="85"/>
    </row>
    <row r="3508" spans="1:39" hidden="1" x14ac:dyDescent="0.3">
      <c r="A3508" s="89" t="s">
        <v>3408</v>
      </c>
      <c r="B3508" s="86" t="s">
        <v>35</v>
      </c>
      <c r="C3508" s="86" t="s">
        <v>144</v>
      </c>
      <c r="D3508" s="86" t="s">
        <v>145</v>
      </c>
      <c r="E3508" s="86" t="s">
        <v>579</v>
      </c>
      <c r="F3508" s="86" t="s">
        <v>579</v>
      </c>
      <c r="G3508" s="86" t="s">
        <v>579</v>
      </c>
      <c r="H3508" s="144">
        <v>62</v>
      </c>
      <c r="I3508" s="86" t="s">
        <v>408</v>
      </c>
      <c r="J3508" s="1" t="s">
        <v>3324</v>
      </c>
      <c r="K3508" s="1" t="s">
        <v>3278</v>
      </c>
      <c r="L3508" s="1" t="s">
        <v>35</v>
      </c>
      <c r="M3508" s="86" t="s">
        <v>580</v>
      </c>
      <c r="N3508" s="86"/>
      <c r="O3508" s="47" t="s">
        <v>410</v>
      </c>
      <c r="P3508" s="47" t="s">
        <v>41</v>
      </c>
      <c r="Q3508" s="14">
        <v>0</v>
      </c>
      <c r="R3508" s="143">
        <v>1000098345</v>
      </c>
      <c r="S3508" s="47"/>
      <c r="T3508" s="6">
        <v>2172.8000000000029</v>
      </c>
      <c r="U3508" s="6">
        <v>60000</v>
      </c>
      <c r="V3508" s="6">
        <v>44245.5</v>
      </c>
      <c r="W3508" s="6">
        <f t="shared" si="548"/>
        <v>17927.300000000003</v>
      </c>
      <c r="X3508" s="6">
        <f t="shared" si="549"/>
        <v>44245.5</v>
      </c>
      <c r="Y3508" s="13">
        <f t="shared" si="541"/>
        <v>0</v>
      </c>
      <c r="Z3508" s="14">
        <v>0</v>
      </c>
      <c r="AA3508" s="6">
        <v>0</v>
      </c>
      <c r="AB3508" s="4">
        <f t="shared" si="542"/>
        <v>44245.5</v>
      </c>
      <c r="AC3508" s="4">
        <f t="shared" si="544"/>
        <v>0</v>
      </c>
      <c r="AD3508" s="6">
        <f t="shared" si="546"/>
        <v>44245.5</v>
      </c>
      <c r="AE3508" s="2">
        <f>VLOOKUP(I3508,[1]媒体政策预估表!A:N,MATCH(O3508,[1]媒体政策预估表!$A$2:$M$2,0),0)</f>
        <v>7.0000000000000007E-2</v>
      </c>
      <c r="AF3508" s="6">
        <f t="shared" si="545"/>
        <v>3097.1850000000004</v>
      </c>
      <c r="AG3508" s="14">
        <v>0</v>
      </c>
      <c r="AH3508" s="64">
        <f t="shared" si="547"/>
        <v>44245.5</v>
      </c>
      <c r="AI3508" s="47"/>
      <c r="AJ3508" s="126" t="e">
        <v>#N/A</v>
      </c>
      <c r="AK3508" s="80">
        <f t="shared" si="543"/>
        <v>0</v>
      </c>
      <c r="AM3508" s="85"/>
    </row>
    <row r="3509" spans="1:39" hidden="1" x14ac:dyDescent="0.3">
      <c r="A3509" s="89" t="s">
        <v>3408</v>
      </c>
      <c r="B3509" s="86" t="s">
        <v>35</v>
      </c>
      <c r="C3509" s="86" t="s">
        <v>144</v>
      </c>
      <c r="D3509" s="86" t="s">
        <v>145</v>
      </c>
      <c r="E3509" s="86" t="s">
        <v>925</v>
      </c>
      <c r="F3509" s="86" t="s">
        <v>925</v>
      </c>
      <c r="G3509" s="86" t="s">
        <v>925</v>
      </c>
      <c r="H3509" s="144">
        <v>62</v>
      </c>
      <c r="I3509" s="86" t="s">
        <v>408</v>
      </c>
      <c r="J3509" s="1" t="s">
        <v>3324</v>
      </c>
      <c r="K3509" s="1" t="s">
        <v>3278</v>
      </c>
      <c r="L3509" s="1" t="s">
        <v>35</v>
      </c>
      <c r="M3509" s="86" t="s">
        <v>926</v>
      </c>
      <c r="N3509" s="86"/>
      <c r="O3509" s="47" t="s">
        <v>45</v>
      </c>
      <c r="P3509" s="47" t="s">
        <v>46</v>
      </c>
      <c r="Q3509" s="14">
        <v>0.02</v>
      </c>
      <c r="R3509" s="143">
        <v>1000049149</v>
      </c>
      <c r="S3509" s="47"/>
      <c r="T3509" s="6">
        <v>0</v>
      </c>
      <c r="U3509" s="6">
        <v>9911.9500000000007</v>
      </c>
      <c r="V3509" s="6">
        <v>9911.9500000000007</v>
      </c>
      <c r="W3509" s="6">
        <f t="shared" si="548"/>
        <v>0</v>
      </c>
      <c r="X3509" s="6">
        <f t="shared" si="549"/>
        <v>9717.5980392156871</v>
      </c>
      <c r="Y3509" s="13">
        <f t="shared" si="541"/>
        <v>0</v>
      </c>
      <c r="Z3509" s="14">
        <v>0</v>
      </c>
      <c r="AA3509" s="6">
        <v>0</v>
      </c>
      <c r="AB3509" s="4">
        <f t="shared" si="542"/>
        <v>9717.5980392156871</v>
      </c>
      <c r="AC3509" s="4">
        <f t="shared" si="544"/>
        <v>194.35196078431363</v>
      </c>
      <c r="AD3509" s="6">
        <f t="shared" si="546"/>
        <v>9911.9500000000007</v>
      </c>
      <c r="AE3509" s="2">
        <f>VLOOKUP(I3509,[1]媒体政策预估表!A:N,MATCH(O3509,[1]媒体政策预估表!$A$2:$M$2,0),0)</f>
        <v>0.12</v>
      </c>
      <c r="AF3509" s="6">
        <f t="shared" si="545"/>
        <v>1189.434</v>
      </c>
      <c r="AG3509" s="14">
        <v>0</v>
      </c>
      <c r="AH3509" s="64">
        <f t="shared" si="547"/>
        <v>9911.9500000000007</v>
      </c>
      <c r="AI3509" s="47"/>
      <c r="AJ3509" s="126" t="e">
        <v>#N/A</v>
      </c>
      <c r="AK3509" s="80">
        <f t="shared" si="543"/>
        <v>0</v>
      </c>
      <c r="AM3509" s="85"/>
    </row>
    <row r="3510" spans="1:39" hidden="1" x14ac:dyDescent="0.3">
      <c r="A3510" s="89" t="s">
        <v>3408</v>
      </c>
      <c r="B3510" s="86" t="s">
        <v>35</v>
      </c>
      <c r="C3510" s="86" t="s">
        <v>144</v>
      </c>
      <c r="D3510" s="86" t="s">
        <v>145</v>
      </c>
      <c r="E3510" s="86" t="s">
        <v>925</v>
      </c>
      <c r="F3510" s="86" t="s">
        <v>925</v>
      </c>
      <c r="G3510" s="86" t="s">
        <v>925</v>
      </c>
      <c r="H3510" s="144">
        <v>62</v>
      </c>
      <c r="I3510" s="86" t="s">
        <v>408</v>
      </c>
      <c r="J3510" s="1" t="s">
        <v>3324</v>
      </c>
      <c r="K3510" s="1" t="s">
        <v>3278</v>
      </c>
      <c r="L3510" s="1" t="s">
        <v>35</v>
      </c>
      <c r="M3510" s="86" t="s">
        <v>926</v>
      </c>
      <c r="N3510" s="86"/>
      <c r="O3510" s="47" t="s">
        <v>45</v>
      </c>
      <c r="P3510" s="47" t="s">
        <v>46</v>
      </c>
      <c r="Q3510" s="14">
        <v>7.0000000000000007E-2</v>
      </c>
      <c r="R3510" s="143">
        <v>1000049149</v>
      </c>
      <c r="S3510" s="47"/>
      <c r="T3510" s="6">
        <v>10221.219999999999</v>
      </c>
      <c r="U3510" s="6">
        <v>-10400</v>
      </c>
      <c r="V3510" s="6">
        <v>-178.78000000000065</v>
      </c>
      <c r="W3510" s="6">
        <f t="shared" si="548"/>
        <v>0</v>
      </c>
      <c r="X3510" s="6">
        <f t="shared" si="549"/>
        <v>-167.08411214953333</v>
      </c>
      <c r="Y3510" s="13">
        <f t="shared" si="541"/>
        <v>11.695887850467329</v>
      </c>
      <c r="Z3510" s="14">
        <v>0</v>
      </c>
      <c r="AA3510" s="6">
        <v>0</v>
      </c>
      <c r="AB3510" s="4">
        <f t="shared" si="542"/>
        <v>-167.08411214953333</v>
      </c>
      <c r="AC3510" s="4">
        <f t="shared" si="544"/>
        <v>-11.695887850467329</v>
      </c>
      <c r="AD3510" s="6">
        <f t="shared" si="546"/>
        <v>-178.78000000000065</v>
      </c>
      <c r="AE3510" s="2">
        <f>VLOOKUP(I3510,[1]媒体政策预估表!A:N,MATCH(O3510,[1]媒体政策预估表!$A$2:$M$2,0),0)</f>
        <v>0.12</v>
      </c>
      <c r="AF3510" s="6">
        <f t="shared" si="545"/>
        <v>-21.453600000000076</v>
      </c>
      <c r="AG3510" s="14">
        <v>0</v>
      </c>
      <c r="AH3510" s="64">
        <f t="shared" si="547"/>
        <v>-178.78000000000065</v>
      </c>
      <c r="AI3510" s="47"/>
      <c r="AJ3510" s="126" t="e">
        <v>#N/A</v>
      </c>
      <c r="AK3510" s="80">
        <f t="shared" si="543"/>
        <v>0</v>
      </c>
      <c r="AM3510" s="85"/>
    </row>
    <row r="3511" spans="1:39" hidden="1" x14ac:dyDescent="0.3">
      <c r="A3511" s="89" t="s">
        <v>3408</v>
      </c>
      <c r="B3511" s="86" t="s">
        <v>35</v>
      </c>
      <c r="C3511" s="86" t="s">
        <v>144</v>
      </c>
      <c r="D3511" s="86" t="s">
        <v>145</v>
      </c>
      <c r="E3511" s="86" t="s">
        <v>925</v>
      </c>
      <c r="F3511" s="86" t="s">
        <v>925</v>
      </c>
      <c r="G3511" s="86" t="s">
        <v>925</v>
      </c>
      <c r="H3511" s="144">
        <v>62</v>
      </c>
      <c r="I3511" s="86" t="s">
        <v>408</v>
      </c>
      <c r="J3511" s="1" t="s">
        <v>3324</v>
      </c>
      <c r="K3511" s="1" t="s">
        <v>3278</v>
      </c>
      <c r="L3511" s="1" t="s">
        <v>35</v>
      </c>
      <c r="M3511" s="86" t="s">
        <v>926</v>
      </c>
      <c r="N3511" s="86"/>
      <c r="O3511" s="47" t="s">
        <v>45</v>
      </c>
      <c r="P3511" s="47" t="s">
        <v>41</v>
      </c>
      <c r="Q3511" s="14">
        <v>0</v>
      </c>
      <c r="R3511" s="143">
        <v>1000049149</v>
      </c>
      <c r="S3511" s="47"/>
      <c r="T3511" s="6">
        <v>0</v>
      </c>
      <c r="U3511" s="6">
        <v>-9733.17</v>
      </c>
      <c r="V3511" s="6">
        <v>-9733.17</v>
      </c>
      <c r="W3511" s="6">
        <f t="shared" si="548"/>
        <v>0</v>
      </c>
      <c r="X3511" s="6">
        <f t="shared" si="549"/>
        <v>-9733.17</v>
      </c>
      <c r="Y3511" s="13">
        <f t="shared" si="541"/>
        <v>0</v>
      </c>
      <c r="Z3511" s="14">
        <v>0</v>
      </c>
      <c r="AA3511" s="6">
        <v>0</v>
      </c>
      <c r="AB3511" s="4">
        <f t="shared" si="542"/>
        <v>-9733.17</v>
      </c>
      <c r="AC3511" s="4">
        <f t="shared" si="544"/>
        <v>0</v>
      </c>
      <c r="AD3511" s="6">
        <f t="shared" si="546"/>
        <v>-9733.17</v>
      </c>
      <c r="AE3511" s="2">
        <f>VLOOKUP(I3511,[1]媒体政策预估表!A:N,MATCH(O3511,[1]媒体政策预估表!$A$2:$M$2,0),0)</f>
        <v>0.12</v>
      </c>
      <c r="AF3511" s="6">
        <f t="shared" si="545"/>
        <v>-1167.9803999999999</v>
      </c>
      <c r="AG3511" s="14">
        <v>0</v>
      </c>
      <c r="AH3511" s="64">
        <f t="shared" si="547"/>
        <v>-9733.17</v>
      </c>
      <c r="AI3511" s="47"/>
      <c r="AJ3511" s="126" t="e">
        <v>#N/A</v>
      </c>
      <c r="AK3511" s="80">
        <f t="shared" si="543"/>
        <v>0</v>
      </c>
      <c r="AM3511" s="85"/>
    </row>
    <row r="3512" spans="1:39" hidden="1" x14ac:dyDescent="0.3">
      <c r="A3512" s="89" t="s">
        <v>3408</v>
      </c>
      <c r="B3512" s="86" t="s">
        <v>35</v>
      </c>
      <c r="C3512" s="86" t="s">
        <v>144</v>
      </c>
      <c r="D3512" s="86" t="s">
        <v>145</v>
      </c>
      <c r="E3512" s="86" t="s">
        <v>925</v>
      </c>
      <c r="F3512" s="86" t="s">
        <v>925</v>
      </c>
      <c r="G3512" s="86" t="s">
        <v>925</v>
      </c>
      <c r="H3512" s="143">
        <v>62</v>
      </c>
      <c r="I3512" s="86" t="s">
        <v>408</v>
      </c>
      <c r="J3512" s="1" t="s">
        <v>3324</v>
      </c>
      <c r="K3512" s="1" t="s">
        <v>3278</v>
      </c>
      <c r="L3512" s="1" t="s">
        <v>35</v>
      </c>
      <c r="M3512" s="86" t="s">
        <v>3457</v>
      </c>
      <c r="N3512" s="86"/>
      <c r="O3512" s="47" t="s">
        <v>410</v>
      </c>
      <c r="P3512" s="47" t="s">
        <v>41</v>
      </c>
      <c r="Q3512" s="14">
        <v>0</v>
      </c>
      <c r="R3512" s="143">
        <v>1000102619</v>
      </c>
      <c r="S3512" s="47"/>
      <c r="T3512" s="6">
        <v>0</v>
      </c>
      <c r="U3512" s="6">
        <v>9733.17</v>
      </c>
      <c r="V3512" s="6">
        <v>0</v>
      </c>
      <c r="W3512" s="6">
        <f t="shared" si="548"/>
        <v>9733.17</v>
      </c>
      <c r="X3512" s="6">
        <f t="shared" si="549"/>
        <v>0</v>
      </c>
      <c r="Y3512" s="13">
        <f t="shared" si="541"/>
        <v>0</v>
      </c>
      <c r="Z3512" s="14">
        <v>0</v>
      </c>
      <c r="AA3512" s="6">
        <v>0</v>
      </c>
      <c r="AB3512" s="4">
        <f t="shared" si="542"/>
        <v>0</v>
      </c>
      <c r="AC3512" s="4">
        <f t="shared" si="544"/>
        <v>0</v>
      </c>
      <c r="AD3512" s="6">
        <f t="shared" si="546"/>
        <v>0</v>
      </c>
      <c r="AE3512" s="2">
        <f>VLOOKUP(I3512,[1]媒体政策预估表!A:N,MATCH(O3512,[1]媒体政策预估表!$A$2:$M$2,0),0)</f>
        <v>7.0000000000000007E-2</v>
      </c>
      <c r="AF3512" s="6">
        <f t="shared" si="545"/>
        <v>0</v>
      </c>
      <c r="AG3512" s="14">
        <v>0</v>
      </c>
      <c r="AH3512" s="64">
        <f t="shared" si="547"/>
        <v>0</v>
      </c>
      <c r="AI3512" s="47"/>
      <c r="AJ3512" s="126" t="e">
        <v>#N/A</v>
      </c>
      <c r="AK3512" s="80">
        <f t="shared" si="543"/>
        <v>0</v>
      </c>
      <c r="AM3512" s="85"/>
    </row>
    <row r="3513" spans="1:39" hidden="1" x14ac:dyDescent="0.3">
      <c r="A3513" s="89" t="s">
        <v>3408</v>
      </c>
      <c r="B3513" s="86" t="s">
        <v>35</v>
      </c>
      <c r="C3513" s="86" t="s">
        <v>144</v>
      </c>
      <c r="D3513" s="86" t="s">
        <v>145</v>
      </c>
      <c r="E3513" s="86" t="s">
        <v>585</v>
      </c>
      <c r="F3513" s="86" t="s">
        <v>586</v>
      </c>
      <c r="G3513" s="86" t="s">
        <v>585</v>
      </c>
      <c r="H3513" s="144">
        <v>62</v>
      </c>
      <c r="I3513" s="86" t="s">
        <v>408</v>
      </c>
      <c r="J3513" s="1" t="s">
        <v>3324</v>
      </c>
      <c r="K3513" s="1" t="s">
        <v>3278</v>
      </c>
      <c r="L3513" s="1" t="s">
        <v>35</v>
      </c>
      <c r="M3513" s="86" t="s">
        <v>587</v>
      </c>
      <c r="N3513" s="86"/>
      <c r="O3513" s="47" t="s">
        <v>410</v>
      </c>
      <c r="P3513" s="47" t="s">
        <v>46</v>
      </c>
      <c r="Q3513" s="14">
        <v>0.02</v>
      </c>
      <c r="R3513" s="143">
        <v>1000098004</v>
      </c>
      <c r="S3513" s="47"/>
      <c r="T3513" s="6">
        <v>7149.0999999999913</v>
      </c>
      <c r="U3513" s="6">
        <v>130000</v>
      </c>
      <c r="V3513" s="6">
        <v>124935.44999999998</v>
      </c>
      <c r="W3513" s="6">
        <f t="shared" si="548"/>
        <v>12213.649999999994</v>
      </c>
      <c r="X3513" s="6">
        <f t="shared" si="549"/>
        <v>122485.73529411762</v>
      </c>
      <c r="Y3513" s="13">
        <f t="shared" si="541"/>
        <v>0</v>
      </c>
      <c r="Z3513" s="14">
        <v>0</v>
      </c>
      <c r="AA3513" s="6">
        <v>0</v>
      </c>
      <c r="AB3513" s="4">
        <f t="shared" si="542"/>
        <v>122485.73529411762</v>
      </c>
      <c r="AC3513" s="4">
        <f t="shared" si="544"/>
        <v>2449.7147058823612</v>
      </c>
      <c r="AD3513" s="6">
        <f t="shared" si="546"/>
        <v>124935.44999999998</v>
      </c>
      <c r="AE3513" s="2">
        <f>VLOOKUP(I3513,[1]媒体政策预估表!A:N,MATCH(O3513,[1]媒体政策预估表!$A$2:$M$2,0),0)</f>
        <v>7.0000000000000007E-2</v>
      </c>
      <c r="AF3513" s="6">
        <f t="shared" si="545"/>
        <v>8745.4814999999999</v>
      </c>
      <c r="AG3513" s="14">
        <v>0</v>
      </c>
      <c r="AH3513" s="64">
        <f t="shared" si="547"/>
        <v>124935.44999999998</v>
      </c>
      <c r="AI3513" s="47"/>
      <c r="AJ3513" s="126" t="e">
        <v>#N/A</v>
      </c>
      <c r="AK3513" s="80">
        <f t="shared" si="543"/>
        <v>0</v>
      </c>
      <c r="AM3513" s="85"/>
    </row>
    <row r="3514" spans="1:39" hidden="1" x14ac:dyDescent="0.3">
      <c r="A3514" s="89" t="s">
        <v>3408</v>
      </c>
      <c r="B3514" s="86" t="s">
        <v>35</v>
      </c>
      <c r="C3514" s="86" t="s">
        <v>144</v>
      </c>
      <c r="D3514" s="86" t="s">
        <v>145</v>
      </c>
      <c r="E3514" s="86" t="s">
        <v>590</v>
      </c>
      <c r="F3514" s="86" t="s">
        <v>591</v>
      </c>
      <c r="G3514" s="86" t="s">
        <v>590</v>
      </c>
      <c r="H3514" s="144">
        <v>62</v>
      </c>
      <c r="I3514" s="86" t="s">
        <v>408</v>
      </c>
      <c r="J3514" s="1" t="s">
        <v>3324</v>
      </c>
      <c r="K3514" s="1" t="s">
        <v>3278</v>
      </c>
      <c r="L3514" s="1" t="s">
        <v>35</v>
      </c>
      <c r="M3514" s="86" t="s">
        <v>592</v>
      </c>
      <c r="N3514" s="86"/>
      <c r="O3514" s="47" t="s">
        <v>410</v>
      </c>
      <c r="P3514" s="47" t="s">
        <v>46</v>
      </c>
      <c r="Q3514" s="14">
        <v>0.02</v>
      </c>
      <c r="R3514" s="143">
        <v>1000099234</v>
      </c>
      <c r="S3514" s="47"/>
      <c r="T3514" s="6">
        <v>13736</v>
      </c>
      <c r="U3514" s="6">
        <v>50000</v>
      </c>
      <c r="V3514" s="6">
        <v>61777.4</v>
      </c>
      <c r="W3514" s="6">
        <f t="shared" si="548"/>
        <v>1958.5999999999985</v>
      </c>
      <c r="X3514" s="6">
        <f t="shared" si="549"/>
        <v>60566.078431372553</v>
      </c>
      <c r="Y3514" s="13">
        <f t="shared" si="541"/>
        <v>0</v>
      </c>
      <c r="Z3514" s="14">
        <v>0</v>
      </c>
      <c r="AA3514" s="6">
        <v>0</v>
      </c>
      <c r="AB3514" s="4">
        <f t="shared" si="542"/>
        <v>60566.078431372553</v>
      </c>
      <c r="AC3514" s="4">
        <f t="shared" si="544"/>
        <v>1211.3215686274489</v>
      </c>
      <c r="AD3514" s="6">
        <f t="shared" si="546"/>
        <v>61777.4</v>
      </c>
      <c r="AE3514" s="2">
        <f>VLOOKUP(I3514,[1]媒体政策预估表!A:N,MATCH(O3514,[1]媒体政策预估表!$A$2:$M$2,0),0)</f>
        <v>7.0000000000000007E-2</v>
      </c>
      <c r="AF3514" s="6">
        <f t="shared" si="545"/>
        <v>4324.4180000000006</v>
      </c>
      <c r="AG3514" s="14">
        <v>0</v>
      </c>
      <c r="AH3514" s="64">
        <f t="shared" si="547"/>
        <v>61777.4</v>
      </c>
      <c r="AI3514" s="47"/>
      <c r="AJ3514" s="126" t="s">
        <v>4219</v>
      </c>
      <c r="AK3514" s="80">
        <f t="shared" si="543"/>
        <v>0</v>
      </c>
      <c r="AL3514" s="150"/>
      <c r="AM3514" s="85"/>
    </row>
    <row r="3515" spans="1:39" hidden="1" x14ac:dyDescent="0.3">
      <c r="A3515" s="89" t="s">
        <v>3408</v>
      </c>
      <c r="B3515" s="86" t="s">
        <v>35</v>
      </c>
      <c r="C3515" s="86" t="s">
        <v>144</v>
      </c>
      <c r="D3515" s="86" t="s">
        <v>303</v>
      </c>
      <c r="E3515" s="86" t="s">
        <v>593</v>
      </c>
      <c r="F3515" s="86" t="s">
        <v>594</v>
      </c>
      <c r="G3515" s="86" t="s">
        <v>593</v>
      </c>
      <c r="H3515" s="144">
        <v>62</v>
      </c>
      <c r="I3515" s="86" t="s">
        <v>408</v>
      </c>
      <c r="J3515" s="1" t="s">
        <v>3324</v>
      </c>
      <c r="K3515" s="1" t="s">
        <v>3278</v>
      </c>
      <c r="L3515" s="1" t="s">
        <v>35</v>
      </c>
      <c r="M3515" s="86" t="s">
        <v>595</v>
      </c>
      <c r="N3515" s="86"/>
      <c r="O3515" s="47" t="s">
        <v>410</v>
      </c>
      <c r="P3515" s="47" t="s">
        <v>46</v>
      </c>
      <c r="Q3515" s="14">
        <v>0.02</v>
      </c>
      <c r="R3515" s="143">
        <v>1000098769</v>
      </c>
      <c r="S3515" s="47"/>
      <c r="T3515" s="6">
        <v>108452.48999999993</v>
      </c>
      <c r="U3515" s="6">
        <v>520000</v>
      </c>
      <c r="V3515" s="6">
        <v>348426.58</v>
      </c>
      <c r="W3515" s="6">
        <f t="shared" si="548"/>
        <v>280025.90999999997</v>
      </c>
      <c r="X3515" s="6">
        <f t="shared" si="549"/>
        <v>341594.68627450982</v>
      </c>
      <c r="Y3515" s="13">
        <f t="shared" si="541"/>
        <v>0</v>
      </c>
      <c r="Z3515" s="14">
        <v>0</v>
      </c>
      <c r="AA3515" s="6">
        <v>0</v>
      </c>
      <c r="AB3515" s="4">
        <f t="shared" si="542"/>
        <v>341594.68627450982</v>
      </c>
      <c r="AC3515" s="4">
        <f t="shared" si="544"/>
        <v>6831.8937254901975</v>
      </c>
      <c r="AD3515" s="6">
        <f t="shared" si="546"/>
        <v>348426.58</v>
      </c>
      <c r="AE3515" s="2">
        <f>VLOOKUP(I3515,[1]媒体政策预估表!A:N,MATCH(O3515,[1]媒体政策预估表!$A$2:$M$2,0),0)</f>
        <v>7.0000000000000007E-2</v>
      </c>
      <c r="AF3515" s="6">
        <f t="shared" si="545"/>
        <v>24389.860600000004</v>
      </c>
      <c r="AG3515" s="14">
        <v>0</v>
      </c>
      <c r="AH3515" s="64">
        <f t="shared" si="547"/>
        <v>348426.58</v>
      </c>
      <c r="AI3515" s="47"/>
      <c r="AJ3515" s="126" t="e">
        <v>#N/A</v>
      </c>
      <c r="AK3515" s="80">
        <f t="shared" si="543"/>
        <v>0</v>
      </c>
      <c r="AM3515" s="85"/>
    </row>
    <row r="3516" spans="1:39" hidden="1" x14ac:dyDescent="0.3">
      <c r="A3516" s="89" t="s">
        <v>3408</v>
      </c>
      <c r="B3516" s="86" t="s">
        <v>35</v>
      </c>
      <c r="C3516" s="86" t="s">
        <v>144</v>
      </c>
      <c r="D3516" s="86" t="s">
        <v>152</v>
      </c>
      <c r="E3516" s="86" t="s">
        <v>598</v>
      </c>
      <c r="F3516" s="86" t="s">
        <v>598</v>
      </c>
      <c r="G3516" s="86" t="s">
        <v>598</v>
      </c>
      <c r="H3516" s="144">
        <v>62</v>
      </c>
      <c r="I3516" s="86" t="s">
        <v>408</v>
      </c>
      <c r="J3516" s="1" t="s">
        <v>3324</v>
      </c>
      <c r="K3516" s="1" t="s">
        <v>3278</v>
      </c>
      <c r="L3516" s="1" t="s">
        <v>35</v>
      </c>
      <c r="M3516" s="86" t="s">
        <v>599</v>
      </c>
      <c r="N3516" s="86"/>
      <c r="O3516" s="47" t="s">
        <v>410</v>
      </c>
      <c r="P3516" s="47" t="s">
        <v>41</v>
      </c>
      <c r="Q3516" s="14">
        <v>0</v>
      </c>
      <c r="R3516" s="143">
        <v>1000046612</v>
      </c>
      <c r="S3516" s="47"/>
      <c r="T3516" s="6">
        <v>8071.1900000000023</v>
      </c>
      <c r="U3516" s="6">
        <v>30000</v>
      </c>
      <c r="V3516" s="6">
        <v>12546.689999999999</v>
      </c>
      <c r="W3516" s="6">
        <f t="shared" si="548"/>
        <v>25524.500000000004</v>
      </c>
      <c r="X3516" s="6">
        <f t="shared" si="549"/>
        <v>12546.689999999999</v>
      </c>
      <c r="Y3516" s="13">
        <f t="shared" si="541"/>
        <v>0</v>
      </c>
      <c r="Z3516" s="14">
        <v>0</v>
      </c>
      <c r="AA3516" s="6">
        <v>0</v>
      </c>
      <c r="AB3516" s="4">
        <f t="shared" si="542"/>
        <v>12546.689999999999</v>
      </c>
      <c r="AC3516" s="4">
        <f t="shared" si="544"/>
        <v>0</v>
      </c>
      <c r="AD3516" s="6">
        <f t="shared" si="546"/>
        <v>12546.689999999999</v>
      </c>
      <c r="AE3516" s="2">
        <f>VLOOKUP(I3516,[1]媒体政策预估表!A:N,MATCH(O3516,[1]媒体政策预估表!$A$2:$M$2,0),0)</f>
        <v>7.0000000000000007E-2</v>
      </c>
      <c r="AF3516" s="6">
        <f t="shared" si="545"/>
        <v>878.26829999999995</v>
      </c>
      <c r="AG3516" s="14">
        <v>0</v>
      </c>
      <c r="AH3516" s="64">
        <f t="shared" si="547"/>
        <v>12546.689999999999</v>
      </c>
      <c r="AI3516" s="47"/>
      <c r="AJ3516" s="126" t="e">
        <v>#N/A</v>
      </c>
      <c r="AK3516" s="80">
        <f t="shared" si="543"/>
        <v>0</v>
      </c>
      <c r="AM3516" s="85"/>
    </row>
    <row r="3517" spans="1:39" hidden="1" x14ac:dyDescent="0.3">
      <c r="A3517" s="89" t="s">
        <v>3408</v>
      </c>
      <c r="B3517" s="86" t="s">
        <v>35</v>
      </c>
      <c r="C3517" s="86" t="s">
        <v>144</v>
      </c>
      <c r="D3517" s="86" t="s">
        <v>152</v>
      </c>
      <c r="E3517" s="86" t="s">
        <v>600</v>
      </c>
      <c r="F3517" s="86" t="s">
        <v>601</v>
      </c>
      <c r="G3517" s="86" t="s">
        <v>600</v>
      </c>
      <c r="H3517" s="144">
        <v>62</v>
      </c>
      <c r="I3517" s="86" t="s">
        <v>408</v>
      </c>
      <c r="J3517" s="1" t="s">
        <v>3324</v>
      </c>
      <c r="K3517" s="1" t="s">
        <v>3278</v>
      </c>
      <c r="L3517" s="1" t="s">
        <v>35</v>
      </c>
      <c r="M3517" s="86" t="s">
        <v>602</v>
      </c>
      <c r="N3517" s="86"/>
      <c r="O3517" s="47" t="s">
        <v>410</v>
      </c>
      <c r="P3517" s="47" t="s">
        <v>41</v>
      </c>
      <c r="Q3517" s="14">
        <v>0</v>
      </c>
      <c r="R3517" s="143">
        <v>1000098809</v>
      </c>
      <c r="S3517" s="47"/>
      <c r="T3517" s="6">
        <v>44356.229999999996</v>
      </c>
      <c r="U3517" s="6">
        <v>50000</v>
      </c>
      <c r="V3517" s="6">
        <v>48948.44</v>
      </c>
      <c r="W3517" s="6">
        <f t="shared" si="548"/>
        <v>45407.789999999994</v>
      </c>
      <c r="X3517" s="6">
        <f t="shared" si="549"/>
        <v>48948.44</v>
      </c>
      <c r="Y3517" s="13">
        <f t="shared" si="541"/>
        <v>0</v>
      </c>
      <c r="Z3517" s="14">
        <v>0</v>
      </c>
      <c r="AA3517" s="6">
        <v>0</v>
      </c>
      <c r="AB3517" s="4">
        <f t="shared" si="542"/>
        <v>48948.44</v>
      </c>
      <c r="AC3517" s="4">
        <f t="shared" si="544"/>
        <v>0</v>
      </c>
      <c r="AD3517" s="6">
        <f t="shared" si="546"/>
        <v>48948.44</v>
      </c>
      <c r="AE3517" s="2">
        <f>VLOOKUP(I3517,[1]媒体政策预估表!A:N,MATCH(O3517,[1]媒体政策预估表!$A$2:$M$2,0),0)</f>
        <v>7.0000000000000007E-2</v>
      </c>
      <c r="AF3517" s="6">
        <f t="shared" si="545"/>
        <v>3426.3908000000006</v>
      </c>
      <c r="AG3517" s="14">
        <v>0</v>
      </c>
      <c r="AH3517" s="64">
        <f t="shared" si="547"/>
        <v>48948.44</v>
      </c>
      <c r="AI3517" s="47"/>
      <c r="AJ3517" s="126" t="e">
        <v>#N/A</v>
      </c>
      <c r="AK3517" s="80">
        <f t="shared" si="543"/>
        <v>0</v>
      </c>
      <c r="AM3517" s="85"/>
    </row>
    <row r="3518" spans="1:39" hidden="1" x14ac:dyDescent="0.3">
      <c r="A3518" s="89" t="s">
        <v>3408</v>
      </c>
      <c r="B3518" s="86" t="s">
        <v>35</v>
      </c>
      <c r="C3518" s="86" t="s">
        <v>144</v>
      </c>
      <c r="D3518" s="86" t="s">
        <v>161</v>
      </c>
      <c r="E3518" s="86" t="s">
        <v>55</v>
      </c>
      <c r="F3518" s="86" t="s">
        <v>607</v>
      </c>
      <c r="G3518" s="86" t="s">
        <v>55</v>
      </c>
      <c r="H3518" s="144">
        <v>62</v>
      </c>
      <c r="I3518" s="86" t="s">
        <v>408</v>
      </c>
      <c r="J3518" s="1" t="s">
        <v>3324</v>
      </c>
      <c r="K3518" s="1" t="s">
        <v>3278</v>
      </c>
      <c r="L3518" s="1" t="s">
        <v>35</v>
      </c>
      <c r="M3518" s="86" t="s">
        <v>608</v>
      </c>
      <c r="N3518" s="86"/>
      <c r="O3518" s="47" t="s">
        <v>45</v>
      </c>
      <c r="P3518" s="47" t="s">
        <v>41</v>
      </c>
      <c r="Q3518" s="14">
        <v>0</v>
      </c>
      <c r="R3518" s="143">
        <v>1000083696</v>
      </c>
      <c r="S3518" s="47"/>
      <c r="T3518" s="6">
        <v>239560.21000000002</v>
      </c>
      <c r="U3518" s="6">
        <v>450000</v>
      </c>
      <c r="V3518" s="6">
        <v>176421.16000000003</v>
      </c>
      <c r="W3518" s="6">
        <f t="shared" si="548"/>
        <v>513139.04999999993</v>
      </c>
      <c r="X3518" s="6">
        <f t="shared" si="549"/>
        <v>176421.16000000003</v>
      </c>
      <c r="Y3518" s="13">
        <f t="shared" si="541"/>
        <v>0</v>
      </c>
      <c r="Z3518" s="14">
        <v>0</v>
      </c>
      <c r="AA3518" s="6">
        <v>0</v>
      </c>
      <c r="AB3518" s="4">
        <f t="shared" si="542"/>
        <v>176421.16000000003</v>
      </c>
      <c r="AC3518" s="4">
        <f t="shared" si="544"/>
        <v>0</v>
      </c>
      <c r="AD3518" s="6">
        <f t="shared" si="546"/>
        <v>176421.16000000003</v>
      </c>
      <c r="AE3518" s="2">
        <f>VLOOKUP(I3518,[1]媒体政策预估表!A:N,MATCH(O3518,[1]媒体政策预估表!$A$2:$M$2,0),0)</f>
        <v>0.12</v>
      </c>
      <c r="AF3518" s="6">
        <f t="shared" si="545"/>
        <v>21170.539200000003</v>
      </c>
      <c r="AG3518" s="14">
        <v>0</v>
      </c>
      <c r="AH3518" s="64">
        <f t="shared" si="547"/>
        <v>176421.16000000003</v>
      </c>
      <c r="AI3518" s="47"/>
      <c r="AJ3518" s="126" t="e">
        <v>#N/A</v>
      </c>
      <c r="AK3518" s="80">
        <f t="shared" si="543"/>
        <v>0</v>
      </c>
      <c r="AM3518" s="85"/>
    </row>
    <row r="3519" spans="1:39" hidden="1" x14ac:dyDescent="0.3">
      <c r="A3519" s="89" t="s">
        <v>3408</v>
      </c>
      <c r="B3519" s="86" t="s">
        <v>35</v>
      </c>
      <c r="C3519" s="86" t="s">
        <v>144</v>
      </c>
      <c r="D3519" s="86" t="s">
        <v>161</v>
      </c>
      <c r="E3519" s="86" t="s">
        <v>55</v>
      </c>
      <c r="F3519" s="86" t="s">
        <v>607</v>
      </c>
      <c r="G3519" s="86" t="s">
        <v>55</v>
      </c>
      <c r="H3519" s="144">
        <v>62</v>
      </c>
      <c r="I3519" s="86" t="s">
        <v>408</v>
      </c>
      <c r="J3519" s="1" t="s">
        <v>3324</v>
      </c>
      <c r="K3519" s="1" t="s">
        <v>3278</v>
      </c>
      <c r="L3519" s="1" t="s">
        <v>35</v>
      </c>
      <c r="M3519" s="86" t="s">
        <v>609</v>
      </c>
      <c r="N3519" s="86"/>
      <c r="O3519" s="47" t="s">
        <v>410</v>
      </c>
      <c r="P3519" s="47" t="s">
        <v>41</v>
      </c>
      <c r="Q3519" s="14">
        <v>0</v>
      </c>
      <c r="R3519" s="143">
        <v>1000016218</v>
      </c>
      <c r="S3519" s="47"/>
      <c r="T3519" s="6">
        <v>2158588.2599999998</v>
      </c>
      <c r="U3519" s="6">
        <v>1900000</v>
      </c>
      <c r="V3519" s="6">
        <v>631673.79</v>
      </c>
      <c r="W3519" s="6">
        <f t="shared" si="548"/>
        <v>3426914.4699999997</v>
      </c>
      <c r="X3519" s="6">
        <f t="shared" si="549"/>
        <v>631673.79</v>
      </c>
      <c r="Y3519" s="13">
        <f t="shared" si="541"/>
        <v>0</v>
      </c>
      <c r="Z3519" s="14">
        <v>0</v>
      </c>
      <c r="AA3519" s="6">
        <v>0</v>
      </c>
      <c r="AB3519" s="4">
        <f t="shared" si="542"/>
        <v>631673.79</v>
      </c>
      <c r="AC3519" s="4">
        <f t="shared" si="544"/>
        <v>0</v>
      </c>
      <c r="AD3519" s="6">
        <f t="shared" si="546"/>
        <v>631673.79</v>
      </c>
      <c r="AE3519" s="2">
        <f>VLOOKUP(I3519,[1]媒体政策预估表!A:N,MATCH(O3519,[1]媒体政策预估表!$A$2:$M$2,0),0)</f>
        <v>7.0000000000000007E-2</v>
      </c>
      <c r="AF3519" s="6">
        <f t="shared" si="545"/>
        <v>44217.165300000008</v>
      </c>
      <c r="AG3519" s="14">
        <v>0</v>
      </c>
      <c r="AH3519" s="64">
        <f t="shared" si="547"/>
        <v>631673.79</v>
      </c>
      <c r="AI3519" s="47"/>
      <c r="AJ3519" s="126" t="e">
        <v>#N/A</v>
      </c>
      <c r="AK3519" s="80">
        <f t="shared" si="543"/>
        <v>0</v>
      </c>
      <c r="AM3519" s="85"/>
    </row>
    <row r="3520" spans="1:39" hidden="1" x14ac:dyDescent="0.3">
      <c r="A3520" s="89" t="s">
        <v>3408</v>
      </c>
      <c r="B3520" s="86" t="s">
        <v>35</v>
      </c>
      <c r="C3520" s="86" t="s">
        <v>164</v>
      </c>
      <c r="D3520" s="86" t="s">
        <v>3407</v>
      </c>
      <c r="E3520" s="86" t="s">
        <v>1570</v>
      </c>
      <c r="F3520" s="86" t="s">
        <v>1570</v>
      </c>
      <c r="G3520" s="86" t="s">
        <v>1570</v>
      </c>
      <c r="H3520" s="144">
        <v>62</v>
      </c>
      <c r="I3520" s="86" t="s">
        <v>408</v>
      </c>
      <c r="J3520" s="1" t="s">
        <v>3324</v>
      </c>
      <c r="K3520" s="1" t="s">
        <v>3278</v>
      </c>
      <c r="L3520" s="1" t="s">
        <v>35</v>
      </c>
      <c r="M3520" s="86" t="s">
        <v>3458</v>
      </c>
      <c r="N3520" s="86"/>
      <c r="O3520" s="47" t="s">
        <v>410</v>
      </c>
      <c r="P3520" s="47" t="s">
        <v>41</v>
      </c>
      <c r="Q3520" s="14">
        <v>0</v>
      </c>
      <c r="R3520" s="143">
        <v>1000102418</v>
      </c>
      <c r="S3520" s="47"/>
      <c r="T3520" s="6">
        <v>0</v>
      </c>
      <c r="U3520" s="6">
        <v>10000</v>
      </c>
      <c r="V3520" s="6">
        <v>2777.5800000000017</v>
      </c>
      <c r="W3520" s="6">
        <f t="shared" si="548"/>
        <v>7222.4199999999983</v>
      </c>
      <c r="X3520" s="6">
        <f t="shared" si="549"/>
        <v>2777.5800000000017</v>
      </c>
      <c r="Y3520" s="13">
        <f t="shared" si="541"/>
        <v>0</v>
      </c>
      <c r="Z3520" s="14">
        <v>0</v>
      </c>
      <c r="AA3520" s="6">
        <v>0</v>
      </c>
      <c r="AB3520" s="4">
        <f t="shared" si="542"/>
        <v>2777.5800000000017</v>
      </c>
      <c r="AC3520" s="4">
        <f t="shared" si="544"/>
        <v>0</v>
      </c>
      <c r="AD3520" s="6">
        <f t="shared" si="546"/>
        <v>2777.5800000000017</v>
      </c>
      <c r="AE3520" s="2">
        <f>VLOOKUP(I3520,[1]媒体政策预估表!A:N,MATCH(O3520,[1]媒体政策预估表!$A$2:$M$2,0),0)</f>
        <v>7.0000000000000007E-2</v>
      </c>
      <c r="AF3520" s="6">
        <f t="shared" si="545"/>
        <v>194.43060000000014</v>
      </c>
      <c r="AG3520" s="14">
        <v>0</v>
      </c>
      <c r="AH3520" s="64">
        <f t="shared" si="547"/>
        <v>2777.5800000000017</v>
      </c>
      <c r="AI3520" s="47"/>
      <c r="AJ3520" s="126" t="e">
        <v>#N/A</v>
      </c>
      <c r="AK3520" s="80">
        <f t="shared" si="543"/>
        <v>0</v>
      </c>
      <c r="AM3520" s="85"/>
    </row>
    <row r="3521" spans="1:39" hidden="1" x14ac:dyDescent="0.3">
      <c r="A3521" s="89" t="s">
        <v>3408</v>
      </c>
      <c r="B3521" s="86" t="s">
        <v>35</v>
      </c>
      <c r="C3521" s="86" t="s">
        <v>164</v>
      </c>
      <c r="D3521" s="86" t="s">
        <v>165</v>
      </c>
      <c r="E3521" s="86" t="s">
        <v>610</v>
      </c>
      <c r="F3521" s="86" t="s">
        <v>611</v>
      </c>
      <c r="G3521" s="86" t="s">
        <v>610</v>
      </c>
      <c r="H3521" s="144">
        <v>62</v>
      </c>
      <c r="I3521" s="86" t="s">
        <v>408</v>
      </c>
      <c r="J3521" s="1" t="s">
        <v>3324</v>
      </c>
      <c r="K3521" s="1" t="s">
        <v>3278</v>
      </c>
      <c r="L3521" s="1" t="s">
        <v>35</v>
      </c>
      <c r="M3521" s="86" t="s">
        <v>613</v>
      </c>
      <c r="N3521" s="86"/>
      <c r="O3521" s="47" t="s">
        <v>410</v>
      </c>
      <c r="P3521" s="47" t="s">
        <v>46</v>
      </c>
      <c r="Q3521" s="14">
        <v>0.02</v>
      </c>
      <c r="R3521" s="143">
        <v>1000045024</v>
      </c>
      <c r="S3521" s="47"/>
      <c r="T3521" s="6">
        <v>297595.67000000016</v>
      </c>
      <c r="U3521" s="6">
        <v>1080000</v>
      </c>
      <c r="V3521" s="6">
        <v>1202618.05</v>
      </c>
      <c r="W3521" s="6">
        <f t="shared" si="548"/>
        <v>174977.62000000011</v>
      </c>
      <c r="X3521" s="6">
        <f t="shared" si="549"/>
        <v>1179037.3039215687</v>
      </c>
      <c r="Y3521" s="13">
        <f t="shared" si="541"/>
        <v>0</v>
      </c>
      <c r="Z3521" s="14">
        <v>0</v>
      </c>
      <c r="AA3521" s="6">
        <v>0</v>
      </c>
      <c r="AB3521" s="4">
        <f t="shared" si="542"/>
        <v>1179037.3039215687</v>
      </c>
      <c r="AC3521" s="4">
        <f t="shared" si="544"/>
        <v>23580.746078431373</v>
      </c>
      <c r="AD3521" s="6">
        <f t="shared" si="546"/>
        <v>1202618.05</v>
      </c>
      <c r="AE3521" s="2">
        <f>VLOOKUP(I3521,[1]媒体政策预估表!A:N,MATCH(O3521,[1]媒体政策预估表!$A$2:$M$2,0),0)</f>
        <v>7.0000000000000007E-2</v>
      </c>
      <c r="AF3521" s="6">
        <f t="shared" si="545"/>
        <v>84183.263500000015</v>
      </c>
      <c r="AG3521" s="14">
        <v>0</v>
      </c>
      <c r="AH3521" s="64">
        <f t="shared" si="547"/>
        <v>1202618.05</v>
      </c>
      <c r="AI3521" s="47"/>
      <c r="AJ3521" s="126" t="e">
        <v>#N/A</v>
      </c>
      <c r="AK3521" s="80">
        <f t="shared" si="543"/>
        <v>0</v>
      </c>
      <c r="AM3521" s="85"/>
    </row>
    <row r="3522" spans="1:39" hidden="1" x14ac:dyDescent="0.3">
      <c r="A3522" s="89" t="s">
        <v>3408</v>
      </c>
      <c r="B3522" s="86" t="s">
        <v>35</v>
      </c>
      <c r="C3522" s="86" t="s">
        <v>164</v>
      </c>
      <c r="D3522" s="86" t="s">
        <v>165</v>
      </c>
      <c r="E3522" s="86" t="s">
        <v>615</v>
      </c>
      <c r="F3522" s="86" t="s">
        <v>615</v>
      </c>
      <c r="G3522" s="86" t="s">
        <v>615</v>
      </c>
      <c r="H3522" s="144">
        <v>62</v>
      </c>
      <c r="I3522" s="86" t="s">
        <v>408</v>
      </c>
      <c r="J3522" s="1" t="s">
        <v>3324</v>
      </c>
      <c r="K3522" s="1" t="s">
        <v>3278</v>
      </c>
      <c r="L3522" s="1" t="s">
        <v>35</v>
      </c>
      <c r="M3522" s="86" t="s">
        <v>616</v>
      </c>
      <c r="N3522" s="86"/>
      <c r="O3522" s="47" t="s">
        <v>410</v>
      </c>
      <c r="P3522" s="47" t="s">
        <v>46</v>
      </c>
      <c r="Q3522" s="14">
        <v>0.02</v>
      </c>
      <c r="R3522" s="143">
        <v>1000068455</v>
      </c>
      <c r="S3522" s="47"/>
      <c r="T3522" s="6">
        <v>292085.78999999957</v>
      </c>
      <c r="U3522" s="6">
        <v>2760000</v>
      </c>
      <c r="V3522" s="6">
        <v>2748143.7700000009</v>
      </c>
      <c r="W3522" s="6">
        <f t="shared" si="548"/>
        <v>303942.01999999862</v>
      </c>
      <c r="X3522" s="6">
        <f t="shared" si="549"/>
        <v>2694258.5980392164</v>
      </c>
      <c r="Y3522" s="13">
        <f t="shared" si="541"/>
        <v>0</v>
      </c>
      <c r="Z3522" s="14">
        <v>0</v>
      </c>
      <c r="AA3522" s="6">
        <v>0</v>
      </c>
      <c r="AB3522" s="4">
        <f t="shared" si="542"/>
        <v>2694258.5980392164</v>
      </c>
      <c r="AC3522" s="4">
        <f t="shared" si="544"/>
        <v>53885.171960784588</v>
      </c>
      <c r="AD3522" s="6">
        <f t="shared" si="546"/>
        <v>2748143.7700000009</v>
      </c>
      <c r="AE3522" s="2">
        <f>VLOOKUP(I3522,[1]媒体政策预估表!A:N,MATCH(O3522,[1]媒体政策预估表!$A$2:$M$2,0),0)</f>
        <v>7.0000000000000007E-2</v>
      </c>
      <c r="AF3522" s="6">
        <f t="shared" si="545"/>
        <v>192370.0639000001</v>
      </c>
      <c r="AG3522" s="14">
        <v>0</v>
      </c>
      <c r="AH3522" s="64">
        <f t="shared" si="547"/>
        <v>2748143.7700000009</v>
      </c>
      <c r="AI3522" s="47"/>
      <c r="AJ3522" s="126" t="e">
        <v>#N/A</v>
      </c>
      <c r="AK3522" s="80">
        <f t="shared" si="543"/>
        <v>0</v>
      </c>
      <c r="AM3522" s="85"/>
    </row>
    <row r="3523" spans="1:39" hidden="1" x14ac:dyDescent="0.3">
      <c r="A3523" s="89" t="s">
        <v>3408</v>
      </c>
      <c r="B3523" s="86" t="s">
        <v>35</v>
      </c>
      <c r="C3523" s="86" t="s">
        <v>164</v>
      </c>
      <c r="D3523" s="86" t="s">
        <v>165</v>
      </c>
      <c r="E3523" s="86" t="s">
        <v>617</v>
      </c>
      <c r="F3523" s="86" t="s">
        <v>617</v>
      </c>
      <c r="G3523" s="86" t="s">
        <v>617</v>
      </c>
      <c r="H3523" s="144">
        <v>62</v>
      </c>
      <c r="I3523" s="86" t="s">
        <v>408</v>
      </c>
      <c r="J3523" s="1" t="s">
        <v>3324</v>
      </c>
      <c r="K3523" s="1" t="s">
        <v>3278</v>
      </c>
      <c r="L3523" s="1" t="s">
        <v>35</v>
      </c>
      <c r="M3523" s="86" t="s">
        <v>618</v>
      </c>
      <c r="N3523" s="86"/>
      <c r="O3523" s="47" t="s">
        <v>410</v>
      </c>
      <c r="P3523" s="47" t="s">
        <v>41</v>
      </c>
      <c r="Q3523" s="14">
        <v>0</v>
      </c>
      <c r="R3523" s="143">
        <v>1000099339</v>
      </c>
      <c r="S3523" s="47"/>
      <c r="T3523" s="6">
        <v>6937.0299999999988</v>
      </c>
      <c r="U3523" s="6">
        <v>48500</v>
      </c>
      <c r="V3523" s="6">
        <v>51129.459999999992</v>
      </c>
      <c r="W3523" s="6">
        <f t="shared" si="548"/>
        <v>4307.570000000007</v>
      </c>
      <c r="X3523" s="6">
        <f t="shared" si="549"/>
        <v>51129.459999999992</v>
      </c>
      <c r="Y3523" s="13">
        <f t="shared" ref="Y3523:Y3586" si="550">IF(X3523-AD3523&lt;=0,0,IF(P3523="返现",MAX(X3523-AC3523-AD3523,0),MAX(X3523-AD3523)))</f>
        <v>0</v>
      </c>
      <c r="Z3523" s="14">
        <v>0</v>
      </c>
      <c r="AA3523" s="6">
        <v>0</v>
      </c>
      <c r="AB3523" s="4">
        <f t="shared" ref="AB3523:AB3586" si="551">X3523+AA3523</f>
        <v>51129.459999999992</v>
      </c>
      <c r="AC3523" s="4">
        <f t="shared" si="544"/>
        <v>0</v>
      </c>
      <c r="AD3523" s="6">
        <f t="shared" si="546"/>
        <v>51129.459999999992</v>
      </c>
      <c r="AE3523" s="2">
        <f>VLOOKUP(I3523,[1]媒体政策预估表!A:N,MATCH(O3523,[1]媒体政策预估表!$A$2:$M$2,0),0)</f>
        <v>7.0000000000000007E-2</v>
      </c>
      <c r="AF3523" s="6">
        <f t="shared" si="545"/>
        <v>3579.0621999999998</v>
      </c>
      <c r="AG3523" s="14">
        <v>0</v>
      </c>
      <c r="AH3523" s="64">
        <f t="shared" si="547"/>
        <v>51129.459999999992</v>
      </c>
      <c r="AI3523" s="47"/>
      <c r="AJ3523" s="126" t="e">
        <v>#N/A</v>
      </c>
      <c r="AK3523" s="80">
        <f t="shared" ref="AK3523:AK3586" si="552">X3523+AA3523-AB3523</f>
        <v>0</v>
      </c>
      <c r="AM3523" s="85"/>
    </row>
    <row r="3524" spans="1:39" hidden="1" x14ac:dyDescent="0.3">
      <c r="A3524" s="89" t="s">
        <v>3408</v>
      </c>
      <c r="B3524" s="86" t="s">
        <v>35</v>
      </c>
      <c r="C3524" s="86" t="s">
        <v>164</v>
      </c>
      <c r="D3524" s="86" t="s">
        <v>165</v>
      </c>
      <c r="E3524" s="86" t="s">
        <v>619</v>
      </c>
      <c r="F3524" s="86" t="s">
        <v>620</v>
      </c>
      <c r="G3524" s="86" t="s">
        <v>619</v>
      </c>
      <c r="H3524" s="144">
        <v>62</v>
      </c>
      <c r="I3524" s="86" t="s">
        <v>408</v>
      </c>
      <c r="J3524" s="1" t="s">
        <v>3324</v>
      </c>
      <c r="K3524" s="1" t="s">
        <v>3278</v>
      </c>
      <c r="L3524" s="1" t="s">
        <v>35</v>
      </c>
      <c r="M3524" s="86" t="s">
        <v>621</v>
      </c>
      <c r="N3524" s="86"/>
      <c r="O3524" s="47" t="s">
        <v>45</v>
      </c>
      <c r="P3524" s="47" t="s">
        <v>41</v>
      </c>
      <c r="Q3524" s="14">
        <v>0</v>
      </c>
      <c r="R3524" s="143">
        <v>1000061144</v>
      </c>
      <c r="S3524" s="47"/>
      <c r="T3524" s="6">
        <v>-4054.0900000000038</v>
      </c>
      <c r="U3524" s="6">
        <v>30000</v>
      </c>
      <c r="V3524" s="6">
        <v>38450.49</v>
      </c>
      <c r="W3524" s="6">
        <f t="shared" si="548"/>
        <v>-12504.580000000002</v>
      </c>
      <c r="X3524" s="6">
        <f t="shared" si="549"/>
        <v>38450.49</v>
      </c>
      <c r="Y3524" s="13">
        <f t="shared" si="550"/>
        <v>0</v>
      </c>
      <c r="Z3524" s="14">
        <v>0</v>
      </c>
      <c r="AA3524" s="6">
        <v>0</v>
      </c>
      <c r="AB3524" s="4">
        <f t="shared" si="551"/>
        <v>38450.49</v>
      </c>
      <c r="AC3524" s="4">
        <f t="shared" si="544"/>
        <v>0</v>
      </c>
      <c r="AD3524" s="6">
        <f t="shared" si="546"/>
        <v>38450.49</v>
      </c>
      <c r="AE3524" s="2">
        <f>VLOOKUP(I3524,[1]媒体政策预估表!A:N,MATCH(O3524,[1]媒体政策预估表!$A$2:$M$2,0),0)</f>
        <v>0.12</v>
      </c>
      <c r="AF3524" s="6">
        <f t="shared" si="545"/>
        <v>4614.0587999999998</v>
      </c>
      <c r="AG3524" s="14">
        <v>0</v>
      </c>
      <c r="AH3524" s="64">
        <f t="shared" si="547"/>
        <v>38450.49</v>
      </c>
      <c r="AI3524" s="47"/>
      <c r="AJ3524" s="126" t="e">
        <v>#N/A</v>
      </c>
      <c r="AK3524" s="80">
        <f t="shared" si="552"/>
        <v>0</v>
      </c>
      <c r="AM3524" s="85"/>
    </row>
    <row r="3525" spans="1:39" hidden="1" x14ac:dyDescent="0.3">
      <c r="A3525" s="89" t="s">
        <v>3408</v>
      </c>
      <c r="B3525" s="86" t="s">
        <v>35</v>
      </c>
      <c r="C3525" s="86" t="s">
        <v>164</v>
      </c>
      <c r="D3525" s="86" t="s">
        <v>165</v>
      </c>
      <c r="E3525" s="86" t="s">
        <v>619</v>
      </c>
      <c r="F3525" s="86" t="s">
        <v>620</v>
      </c>
      <c r="G3525" s="86" t="s">
        <v>619</v>
      </c>
      <c r="H3525" s="143">
        <v>62</v>
      </c>
      <c r="I3525" s="86" t="s">
        <v>408</v>
      </c>
      <c r="J3525" s="1" t="s">
        <v>3324</v>
      </c>
      <c r="K3525" s="1" t="s">
        <v>3278</v>
      </c>
      <c r="L3525" s="1" t="s">
        <v>35</v>
      </c>
      <c r="M3525" s="86" t="s">
        <v>621</v>
      </c>
      <c r="N3525" s="86"/>
      <c r="O3525" s="47" t="s">
        <v>410</v>
      </c>
      <c r="P3525" s="47" t="s">
        <v>41</v>
      </c>
      <c r="Q3525" s="14">
        <v>0</v>
      </c>
      <c r="R3525" s="143">
        <v>1000061144</v>
      </c>
      <c r="S3525" s="47"/>
      <c r="T3525" s="6">
        <v>10000</v>
      </c>
      <c r="U3525" s="6">
        <v>13000</v>
      </c>
      <c r="V3525" s="6">
        <v>0</v>
      </c>
      <c r="W3525" s="6">
        <f t="shared" si="548"/>
        <v>23000</v>
      </c>
      <c r="X3525" s="6">
        <f t="shared" si="549"/>
        <v>0</v>
      </c>
      <c r="Y3525" s="13">
        <f t="shared" si="550"/>
        <v>0</v>
      </c>
      <c r="Z3525" s="14">
        <v>0</v>
      </c>
      <c r="AA3525" s="6">
        <v>0</v>
      </c>
      <c r="AB3525" s="4">
        <f t="shared" si="551"/>
        <v>0</v>
      </c>
      <c r="AC3525" s="4">
        <f t="shared" si="544"/>
        <v>0</v>
      </c>
      <c r="AD3525" s="6">
        <f t="shared" si="546"/>
        <v>0</v>
      </c>
      <c r="AE3525" s="2">
        <f>VLOOKUP(I3525,[1]媒体政策预估表!A:N,MATCH(O3525,[1]媒体政策预估表!$A$2:$M$2,0),0)</f>
        <v>7.0000000000000007E-2</v>
      </c>
      <c r="AF3525" s="6">
        <f t="shared" si="545"/>
        <v>0</v>
      </c>
      <c r="AG3525" s="14">
        <v>0</v>
      </c>
      <c r="AH3525" s="64">
        <f t="shared" si="547"/>
        <v>0</v>
      </c>
      <c r="AI3525" s="47"/>
      <c r="AJ3525" s="126" t="e">
        <v>#N/A</v>
      </c>
      <c r="AK3525" s="80">
        <f t="shared" si="552"/>
        <v>0</v>
      </c>
      <c r="AM3525" s="85"/>
    </row>
    <row r="3526" spans="1:39" hidden="1" x14ac:dyDescent="0.3">
      <c r="A3526" s="89" t="s">
        <v>3408</v>
      </c>
      <c r="B3526" s="86" t="s">
        <v>35</v>
      </c>
      <c r="C3526" s="86" t="s">
        <v>164</v>
      </c>
      <c r="D3526" s="86" t="s">
        <v>165</v>
      </c>
      <c r="E3526" s="86" t="s">
        <v>619</v>
      </c>
      <c r="F3526" s="86" t="s">
        <v>620</v>
      </c>
      <c r="G3526" s="86" t="s">
        <v>619</v>
      </c>
      <c r="H3526" s="144">
        <v>62</v>
      </c>
      <c r="I3526" s="86" t="s">
        <v>408</v>
      </c>
      <c r="J3526" s="1" t="s">
        <v>3324</v>
      </c>
      <c r="K3526" s="1" t="s">
        <v>3278</v>
      </c>
      <c r="L3526" s="1" t="s">
        <v>35</v>
      </c>
      <c r="M3526" s="86" t="s">
        <v>622</v>
      </c>
      <c r="N3526" s="86"/>
      <c r="O3526" s="47" t="s">
        <v>45</v>
      </c>
      <c r="P3526" s="47" t="s">
        <v>41</v>
      </c>
      <c r="Q3526" s="14">
        <v>0</v>
      </c>
      <c r="R3526" s="143">
        <v>1000067334</v>
      </c>
      <c r="S3526" s="47"/>
      <c r="T3526" s="6">
        <v>-21800.559999999597</v>
      </c>
      <c r="U3526" s="6">
        <v>20000</v>
      </c>
      <c r="V3526" s="6">
        <v>26235.289999999997</v>
      </c>
      <c r="W3526" s="6">
        <f t="shared" si="548"/>
        <v>-28035.849999999595</v>
      </c>
      <c r="X3526" s="6">
        <f t="shared" si="549"/>
        <v>26235.289999999997</v>
      </c>
      <c r="Y3526" s="13">
        <f t="shared" si="550"/>
        <v>0</v>
      </c>
      <c r="Z3526" s="14">
        <v>0</v>
      </c>
      <c r="AA3526" s="6">
        <v>0</v>
      </c>
      <c r="AB3526" s="4">
        <f t="shared" si="551"/>
        <v>26235.289999999997</v>
      </c>
      <c r="AC3526" s="4">
        <f t="shared" si="544"/>
        <v>0</v>
      </c>
      <c r="AD3526" s="6">
        <f t="shared" si="546"/>
        <v>26235.289999999997</v>
      </c>
      <c r="AE3526" s="2">
        <f>VLOOKUP(I3526,[1]媒体政策预估表!A:N,MATCH(O3526,[1]媒体政策预估表!$A$2:$M$2,0),0)</f>
        <v>0.12</v>
      </c>
      <c r="AF3526" s="6">
        <f t="shared" si="545"/>
        <v>3148.2347999999997</v>
      </c>
      <c r="AG3526" s="14">
        <v>0</v>
      </c>
      <c r="AH3526" s="64">
        <f t="shared" si="547"/>
        <v>26235.289999999997</v>
      </c>
      <c r="AI3526" s="47"/>
      <c r="AJ3526" s="126" t="e">
        <v>#N/A</v>
      </c>
      <c r="AK3526" s="80">
        <f t="shared" si="552"/>
        <v>0</v>
      </c>
      <c r="AM3526" s="85"/>
    </row>
    <row r="3527" spans="1:39" hidden="1" x14ac:dyDescent="0.3">
      <c r="A3527" s="89" t="s">
        <v>3408</v>
      </c>
      <c r="B3527" s="86" t="s">
        <v>35</v>
      </c>
      <c r="C3527" s="86" t="s">
        <v>164</v>
      </c>
      <c r="D3527" s="86" t="s">
        <v>165</v>
      </c>
      <c r="E3527" s="86" t="s">
        <v>619</v>
      </c>
      <c r="F3527" s="86" t="s">
        <v>620</v>
      </c>
      <c r="G3527" s="86" t="s">
        <v>619</v>
      </c>
      <c r="H3527" s="143">
        <v>62</v>
      </c>
      <c r="I3527" s="86" t="s">
        <v>408</v>
      </c>
      <c r="J3527" s="1" t="s">
        <v>3324</v>
      </c>
      <c r="K3527" s="1" t="s">
        <v>3278</v>
      </c>
      <c r="L3527" s="1" t="s">
        <v>35</v>
      </c>
      <c r="M3527" s="86" t="s">
        <v>622</v>
      </c>
      <c r="N3527" s="86"/>
      <c r="O3527" s="47" t="s">
        <v>410</v>
      </c>
      <c r="P3527" s="47" t="s">
        <v>41</v>
      </c>
      <c r="Q3527" s="14">
        <v>0</v>
      </c>
      <c r="R3527" s="143">
        <v>1000067334</v>
      </c>
      <c r="S3527" s="47"/>
      <c r="T3527" s="6">
        <v>51153.85</v>
      </c>
      <c r="U3527" s="6">
        <v>-13000</v>
      </c>
      <c r="V3527" s="6">
        <v>0</v>
      </c>
      <c r="W3527" s="6">
        <f t="shared" si="548"/>
        <v>38153.85</v>
      </c>
      <c r="X3527" s="6">
        <f t="shared" si="549"/>
        <v>0</v>
      </c>
      <c r="Y3527" s="13">
        <f t="shared" si="550"/>
        <v>0</v>
      </c>
      <c r="Z3527" s="14">
        <v>0</v>
      </c>
      <c r="AA3527" s="6">
        <v>0</v>
      </c>
      <c r="AB3527" s="4">
        <f t="shared" si="551"/>
        <v>0</v>
      </c>
      <c r="AC3527" s="4">
        <f t="shared" si="544"/>
        <v>0</v>
      </c>
      <c r="AD3527" s="6">
        <f t="shared" si="546"/>
        <v>0</v>
      </c>
      <c r="AE3527" s="2">
        <f>VLOOKUP(I3527,[1]媒体政策预估表!A:N,MATCH(O3527,[1]媒体政策预估表!$A$2:$M$2,0),0)</f>
        <v>7.0000000000000007E-2</v>
      </c>
      <c r="AF3527" s="6">
        <f t="shared" si="545"/>
        <v>0</v>
      </c>
      <c r="AG3527" s="14">
        <v>0</v>
      </c>
      <c r="AH3527" s="64">
        <f t="shared" si="547"/>
        <v>0</v>
      </c>
      <c r="AI3527" s="47"/>
      <c r="AJ3527" s="126" t="e">
        <v>#N/A</v>
      </c>
      <c r="AK3527" s="80">
        <f t="shared" si="552"/>
        <v>0</v>
      </c>
      <c r="AM3527" s="85"/>
    </row>
    <row r="3528" spans="1:39" hidden="1" x14ac:dyDescent="0.3">
      <c r="A3528" s="89" t="s">
        <v>3408</v>
      </c>
      <c r="B3528" s="86" t="s">
        <v>35</v>
      </c>
      <c r="C3528" s="86" t="s">
        <v>164</v>
      </c>
      <c r="D3528" s="86" t="s">
        <v>165</v>
      </c>
      <c r="E3528" s="86" t="s">
        <v>623</v>
      </c>
      <c r="F3528" s="86" t="s">
        <v>623</v>
      </c>
      <c r="G3528" s="86" t="s">
        <v>623</v>
      </c>
      <c r="H3528" s="144">
        <v>62</v>
      </c>
      <c r="I3528" s="86" t="s">
        <v>408</v>
      </c>
      <c r="J3528" s="1" t="s">
        <v>3324</v>
      </c>
      <c r="K3528" s="1" t="s">
        <v>3278</v>
      </c>
      <c r="L3528" s="1" t="s">
        <v>35</v>
      </c>
      <c r="M3528" s="86" t="s">
        <v>624</v>
      </c>
      <c r="N3528" s="86"/>
      <c r="O3528" s="47" t="s">
        <v>410</v>
      </c>
      <c r="P3528" s="47" t="s">
        <v>41</v>
      </c>
      <c r="Q3528" s="14">
        <v>0</v>
      </c>
      <c r="R3528" s="143">
        <v>1000003199</v>
      </c>
      <c r="S3528" s="47"/>
      <c r="T3528" s="6">
        <v>76714.420000000013</v>
      </c>
      <c r="U3528" s="6">
        <v>150000</v>
      </c>
      <c r="V3528" s="6">
        <v>186548.49999999997</v>
      </c>
      <c r="W3528" s="6">
        <f t="shared" si="548"/>
        <v>40165.920000000042</v>
      </c>
      <c r="X3528" s="6">
        <f t="shared" si="549"/>
        <v>186548.49999999997</v>
      </c>
      <c r="Y3528" s="13">
        <f t="shared" si="550"/>
        <v>0</v>
      </c>
      <c r="Z3528" s="14">
        <v>0</v>
      </c>
      <c r="AA3528" s="6">
        <v>0</v>
      </c>
      <c r="AB3528" s="4">
        <f t="shared" si="551"/>
        <v>186548.49999999997</v>
      </c>
      <c r="AC3528" s="4">
        <f t="shared" si="544"/>
        <v>0</v>
      </c>
      <c r="AD3528" s="6">
        <f t="shared" si="546"/>
        <v>186548.49999999997</v>
      </c>
      <c r="AE3528" s="2">
        <f>VLOOKUP(I3528,[1]媒体政策预估表!A:N,MATCH(O3528,[1]媒体政策预估表!$A$2:$M$2,0),0)</f>
        <v>7.0000000000000007E-2</v>
      </c>
      <c r="AF3528" s="6">
        <f t="shared" si="545"/>
        <v>13058.394999999999</v>
      </c>
      <c r="AG3528" s="14">
        <v>0</v>
      </c>
      <c r="AH3528" s="64">
        <f t="shared" si="547"/>
        <v>186548.49999999997</v>
      </c>
      <c r="AI3528" s="47"/>
      <c r="AJ3528" s="126" t="e">
        <v>#N/A</v>
      </c>
      <c r="AK3528" s="80">
        <f t="shared" si="552"/>
        <v>0</v>
      </c>
      <c r="AM3528" s="85"/>
    </row>
    <row r="3529" spans="1:39" hidden="1" x14ac:dyDescent="0.3">
      <c r="A3529" s="89" t="s">
        <v>3408</v>
      </c>
      <c r="B3529" s="86" t="s">
        <v>35</v>
      </c>
      <c r="C3529" s="86" t="s">
        <v>164</v>
      </c>
      <c r="D3529" s="86" t="s">
        <v>165</v>
      </c>
      <c r="E3529" s="86" t="s">
        <v>625</v>
      </c>
      <c r="F3529" s="86" t="s">
        <v>625</v>
      </c>
      <c r="G3529" s="86" t="s">
        <v>625</v>
      </c>
      <c r="H3529" s="143">
        <v>62</v>
      </c>
      <c r="I3529" s="86" t="s">
        <v>408</v>
      </c>
      <c r="J3529" s="1" t="s">
        <v>3324</v>
      </c>
      <c r="K3529" s="1" t="s">
        <v>3278</v>
      </c>
      <c r="L3529" s="1" t="s">
        <v>35</v>
      </c>
      <c r="M3529" s="86" t="s">
        <v>626</v>
      </c>
      <c r="N3529" s="86"/>
      <c r="O3529" s="47" t="s">
        <v>410</v>
      </c>
      <c r="P3529" s="47" t="s">
        <v>46</v>
      </c>
      <c r="Q3529" s="14">
        <v>0.02</v>
      </c>
      <c r="R3529" s="143">
        <v>1000099999</v>
      </c>
      <c r="S3529" s="47"/>
      <c r="T3529" s="6">
        <v>4000.9700000000048</v>
      </c>
      <c r="U3529" s="6">
        <v>2000</v>
      </c>
      <c r="V3529" s="6">
        <v>6000.9700000000048</v>
      </c>
      <c r="W3529" s="6">
        <f t="shared" si="548"/>
        <v>0</v>
      </c>
      <c r="X3529" s="6">
        <f t="shared" si="549"/>
        <v>5883.3039215686322</v>
      </c>
      <c r="Y3529" s="13">
        <f t="shared" si="550"/>
        <v>0</v>
      </c>
      <c r="Z3529" s="14">
        <v>0</v>
      </c>
      <c r="AA3529" s="6">
        <v>0</v>
      </c>
      <c r="AB3529" s="4"/>
      <c r="AC3529" s="4">
        <f t="shared" si="544"/>
        <v>117.66607843137263</v>
      </c>
      <c r="AD3529" s="6">
        <f t="shared" si="546"/>
        <v>6000.9700000000048</v>
      </c>
      <c r="AE3529" s="2">
        <f>VLOOKUP(I3529,[1]媒体政策预估表!A:N,MATCH(O3529,[1]媒体政策预估表!$A$2:$M$2,0),0)</f>
        <v>7.0000000000000007E-2</v>
      </c>
      <c r="AF3529" s="6">
        <f t="shared" si="545"/>
        <v>420.06790000000035</v>
      </c>
      <c r="AG3529" s="14">
        <v>0</v>
      </c>
      <c r="AH3529" s="64">
        <f t="shared" si="547"/>
        <v>6000.9700000000048</v>
      </c>
      <c r="AI3529" s="47"/>
      <c r="AJ3529" s="126">
        <v>115</v>
      </c>
      <c r="AK3529" s="80">
        <f t="shared" si="552"/>
        <v>5883.3039215686322</v>
      </c>
      <c r="AM3529" s="85"/>
    </row>
    <row r="3530" spans="1:39" hidden="1" x14ac:dyDescent="0.3">
      <c r="A3530" s="89" t="s">
        <v>3408</v>
      </c>
      <c r="B3530" s="86" t="s">
        <v>35</v>
      </c>
      <c r="C3530" s="86" t="s">
        <v>164</v>
      </c>
      <c r="D3530" s="86" t="s">
        <v>165</v>
      </c>
      <c r="E3530" s="86" t="s">
        <v>3459</v>
      </c>
      <c r="F3530" s="86" t="s">
        <v>3459</v>
      </c>
      <c r="G3530" s="86" t="s">
        <v>3459</v>
      </c>
      <c r="H3530" s="144">
        <v>62</v>
      </c>
      <c r="I3530" s="86" t="s">
        <v>408</v>
      </c>
      <c r="J3530" s="1" t="s">
        <v>3324</v>
      </c>
      <c r="K3530" s="1" t="s">
        <v>3278</v>
      </c>
      <c r="L3530" s="1" t="s">
        <v>35</v>
      </c>
      <c r="M3530" s="86" t="s">
        <v>626</v>
      </c>
      <c r="N3530" s="86"/>
      <c r="O3530" s="47" t="s">
        <v>410</v>
      </c>
      <c r="P3530" s="47" t="s">
        <v>46</v>
      </c>
      <c r="Q3530" s="14">
        <v>0.02</v>
      </c>
      <c r="R3530" s="143">
        <v>1000099999</v>
      </c>
      <c r="S3530" s="47"/>
      <c r="T3530" s="6">
        <v>0</v>
      </c>
      <c r="U3530" s="6">
        <v>50000</v>
      </c>
      <c r="V3530" s="6">
        <v>17483.949999999993</v>
      </c>
      <c r="W3530" s="6">
        <f t="shared" si="548"/>
        <v>32516.050000000007</v>
      </c>
      <c r="X3530" s="6">
        <f t="shared" si="549"/>
        <v>17141.127450980384</v>
      </c>
      <c r="Y3530" s="13">
        <f t="shared" si="550"/>
        <v>0</v>
      </c>
      <c r="Z3530" s="14">
        <v>0</v>
      </c>
      <c r="AA3530" s="6">
        <v>0</v>
      </c>
      <c r="AB3530" s="4">
        <f t="shared" si="551"/>
        <v>17141.127450980384</v>
      </c>
      <c r="AC3530" s="4">
        <f t="shared" si="544"/>
        <v>342.82254901960914</v>
      </c>
      <c r="AD3530" s="6">
        <f t="shared" si="546"/>
        <v>17483.949999999993</v>
      </c>
      <c r="AE3530" s="2">
        <f>VLOOKUP(I3530,[1]媒体政策预估表!A:N,MATCH(O3530,[1]媒体政策预估表!$A$2:$M$2,0),0)</f>
        <v>7.0000000000000007E-2</v>
      </c>
      <c r="AF3530" s="6">
        <f t="shared" si="545"/>
        <v>1223.8764999999996</v>
      </c>
      <c r="AG3530" s="14">
        <v>0</v>
      </c>
      <c r="AH3530" s="64">
        <f t="shared" si="547"/>
        <v>17483.949999999993</v>
      </c>
      <c r="AI3530" s="47"/>
      <c r="AJ3530" s="126" t="e">
        <v>#N/A</v>
      </c>
      <c r="AK3530" s="80">
        <f t="shared" si="552"/>
        <v>0</v>
      </c>
      <c r="AM3530" s="85"/>
    </row>
    <row r="3531" spans="1:39" hidden="1" x14ac:dyDescent="0.3">
      <c r="A3531" s="89" t="s">
        <v>3408</v>
      </c>
      <c r="B3531" s="86" t="s">
        <v>35</v>
      </c>
      <c r="C3531" s="86" t="s">
        <v>164</v>
      </c>
      <c r="D3531" s="86" t="s">
        <v>165</v>
      </c>
      <c r="E3531" s="86" t="s">
        <v>1570</v>
      </c>
      <c r="F3531" s="86" t="s">
        <v>1570</v>
      </c>
      <c r="G3531" s="86" t="s">
        <v>1570</v>
      </c>
      <c r="H3531" s="144">
        <v>62</v>
      </c>
      <c r="I3531" s="86" t="s">
        <v>408</v>
      </c>
      <c r="J3531" s="1" t="s">
        <v>3324</v>
      </c>
      <c r="K3531" s="1" t="s">
        <v>3278</v>
      </c>
      <c r="L3531" s="1" t="s">
        <v>35</v>
      </c>
      <c r="M3531" s="86" t="s">
        <v>3458</v>
      </c>
      <c r="N3531" s="86"/>
      <c r="O3531" s="47" t="s">
        <v>410</v>
      </c>
      <c r="P3531" s="47" t="s">
        <v>41</v>
      </c>
      <c r="Q3531" s="14">
        <v>0</v>
      </c>
      <c r="R3531" s="143">
        <v>1000102418</v>
      </c>
      <c r="S3531" s="47"/>
      <c r="T3531" s="6">
        <v>0</v>
      </c>
      <c r="U3531" s="6">
        <v>20000</v>
      </c>
      <c r="V3531" s="6">
        <v>20000</v>
      </c>
      <c r="W3531" s="6">
        <f t="shared" si="548"/>
        <v>0</v>
      </c>
      <c r="X3531" s="6">
        <f t="shared" si="549"/>
        <v>20000</v>
      </c>
      <c r="Y3531" s="13">
        <f t="shared" si="550"/>
        <v>0</v>
      </c>
      <c r="Z3531" s="14">
        <v>0</v>
      </c>
      <c r="AA3531" s="6">
        <v>0</v>
      </c>
      <c r="AB3531" s="4">
        <f t="shared" si="551"/>
        <v>20000</v>
      </c>
      <c r="AC3531" s="4">
        <f t="shared" si="544"/>
        <v>0</v>
      </c>
      <c r="AD3531" s="6">
        <f t="shared" si="546"/>
        <v>20000</v>
      </c>
      <c r="AE3531" s="2">
        <f>VLOOKUP(I3531,[1]媒体政策预估表!A:N,MATCH(O3531,[1]媒体政策预估表!$A$2:$M$2,0),0)</f>
        <v>7.0000000000000007E-2</v>
      </c>
      <c r="AF3531" s="6">
        <f t="shared" si="545"/>
        <v>1400.0000000000002</v>
      </c>
      <c r="AG3531" s="14">
        <v>0</v>
      </c>
      <c r="AH3531" s="64">
        <f t="shared" si="547"/>
        <v>20000</v>
      </c>
      <c r="AI3531" s="47"/>
      <c r="AJ3531" s="126" t="e">
        <v>#N/A</v>
      </c>
      <c r="AK3531" s="80">
        <f t="shared" si="552"/>
        <v>0</v>
      </c>
      <c r="AM3531" s="85"/>
    </row>
    <row r="3532" spans="1:39" hidden="1" x14ac:dyDescent="0.3">
      <c r="A3532" s="89" t="s">
        <v>3408</v>
      </c>
      <c r="B3532" s="86" t="s">
        <v>35</v>
      </c>
      <c r="C3532" s="86" t="s">
        <v>164</v>
      </c>
      <c r="D3532" s="86" t="s">
        <v>169</v>
      </c>
      <c r="E3532" s="86" t="s">
        <v>724</v>
      </c>
      <c r="F3532" s="86" t="s">
        <v>724</v>
      </c>
      <c r="G3532" s="86" t="s">
        <v>724</v>
      </c>
      <c r="H3532" s="144">
        <v>62</v>
      </c>
      <c r="I3532" s="86" t="s">
        <v>408</v>
      </c>
      <c r="J3532" s="1" t="s">
        <v>3324</v>
      </c>
      <c r="K3532" s="1" t="s">
        <v>3278</v>
      </c>
      <c r="L3532" s="1" t="s">
        <v>35</v>
      </c>
      <c r="M3532" s="86" t="s">
        <v>725</v>
      </c>
      <c r="N3532" s="86"/>
      <c r="O3532" s="47" t="s">
        <v>410</v>
      </c>
      <c r="P3532" s="47" t="s">
        <v>41</v>
      </c>
      <c r="Q3532" s="14">
        <v>0</v>
      </c>
      <c r="R3532" s="143">
        <v>1000099112</v>
      </c>
      <c r="S3532" s="47"/>
      <c r="T3532" s="6">
        <v>104510.56000000004</v>
      </c>
      <c r="U3532" s="6">
        <v>100000</v>
      </c>
      <c r="V3532" s="6">
        <v>56041.200000000012</v>
      </c>
      <c r="W3532" s="6">
        <f t="shared" si="548"/>
        <v>148469.36000000004</v>
      </c>
      <c r="X3532" s="6">
        <f t="shared" si="549"/>
        <v>56041.200000000012</v>
      </c>
      <c r="Y3532" s="13">
        <f t="shared" si="550"/>
        <v>0</v>
      </c>
      <c r="Z3532" s="14">
        <v>0</v>
      </c>
      <c r="AA3532" s="6">
        <v>0</v>
      </c>
      <c r="AB3532" s="4">
        <f t="shared" si="551"/>
        <v>56041.200000000012</v>
      </c>
      <c r="AC3532" s="4">
        <f t="shared" ref="AC3532:AC3595" si="553">IF(P3532="返现",X3532*Q3532,V3532-X3532)</f>
        <v>0</v>
      </c>
      <c r="AD3532" s="6">
        <f t="shared" si="546"/>
        <v>56041.200000000012</v>
      </c>
      <c r="AE3532" s="2">
        <f>VLOOKUP(I3532,[1]媒体政策预估表!A:N,MATCH(O3532,[1]媒体政策预估表!$A$2:$M$2,0),0)</f>
        <v>7.0000000000000007E-2</v>
      </c>
      <c r="AF3532" s="6">
        <f t="shared" ref="AF3532:AF3595" si="554">AD3532*AE3532</f>
        <v>3922.8840000000014</v>
      </c>
      <c r="AG3532" s="14">
        <v>0</v>
      </c>
      <c r="AH3532" s="64">
        <f t="shared" si="547"/>
        <v>56041.200000000012</v>
      </c>
      <c r="AI3532" s="47"/>
      <c r="AJ3532" s="126" t="e">
        <v>#N/A</v>
      </c>
      <c r="AK3532" s="80">
        <f t="shared" si="552"/>
        <v>0</v>
      </c>
      <c r="AM3532" s="85"/>
    </row>
    <row r="3533" spans="1:39" hidden="1" x14ac:dyDescent="0.3">
      <c r="A3533" s="89" t="s">
        <v>3408</v>
      </c>
      <c r="B3533" s="86" t="s">
        <v>35</v>
      </c>
      <c r="C3533" s="86" t="s">
        <v>164</v>
      </c>
      <c r="D3533" s="86" t="s">
        <v>169</v>
      </c>
      <c r="E3533" s="86" t="s">
        <v>628</v>
      </c>
      <c r="F3533" s="86" t="s">
        <v>628</v>
      </c>
      <c r="G3533" s="86" t="s">
        <v>628</v>
      </c>
      <c r="H3533" s="144">
        <v>62</v>
      </c>
      <c r="I3533" s="86" t="s">
        <v>408</v>
      </c>
      <c r="J3533" s="1" t="s">
        <v>3324</v>
      </c>
      <c r="K3533" s="1" t="s">
        <v>3278</v>
      </c>
      <c r="L3533" s="1" t="s">
        <v>35</v>
      </c>
      <c r="M3533" s="86" t="s">
        <v>629</v>
      </c>
      <c r="N3533" s="86"/>
      <c r="O3533" s="47" t="s">
        <v>410</v>
      </c>
      <c r="P3533" s="47" t="s">
        <v>46</v>
      </c>
      <c r="Q3533" s="14">
        <v>0.04</v>
      </c>
      <c r="R3533" s="143">
        <v>1000048305</v>
      </c>
      <c r="S3533" s="47"/>
      <c r="T3533" s="6">
        <v>222948.93999999948</v>
      </c>
      <c r="U3533" s="6">
        <v>14560000</v>
      </c>
      <c r="V3533" s="6">
        <v>13893092.739999996</v>
      </c>
      <c r="W3533" s="6">
        <f t="shared" si="548"/>
        <v>889856.20000000298</v>
      </c>
      <c r="X3533" s="6">
        <f t="shared" si="549"/>
        <v>13358743.019230766</v>
      </c>
      <c r="Y3533" s="13">
        <f t="shared" si="550"/>
        <v>0</v>
      </c>
      <c r="Z3533" s="14">
        <v>0</v>
      </c>
      <c r="AA3533" s="6">
        <v>0</v>
      </c>
      <c r="AB3533" s="4">
        <f t="shared" si="551"/>
        <v>13358743.019230766</v>
      </c>
      <c r="AC3533" s="4">
        <f t="shared" si="553"/>
        <v>534349.72076923028</v>
      </c>
      <c r="AD3533" s="6">
        <f t="shared" si="546"/>
        <v>13893092.739999996</v>
      </c>
      <c r="AE3533" s="2">
        <f>VLOOKUP(I3533,[1]媒体政策预估表!A:N,MATCH(O3533,[1]媒体政策预估表!$A$2:$M$2,0),0)</f>
        <v>7.0000000000000007E-2</v>
      </c>
      <c r="AF3533" s="6">
        <f t="shared" si="554"/>
        <v>972516.49179999984</v>
      </c>
      <c r="AG3533" s="14">
        <v>0</v>
      </c>
      <c r="AH3533" s="64">
        <f t="shared" si="547"/>
        <v>13893092.739999996</v>
      </c>
      <c r="AI3533" s="47"/>
      <c r="AJ3533" s="126" t="e">
        <v>#N/A</v>
      </c>
      <c r="AK3533" s="80">
        <f t="shared" si="552"/>
        <v>0</v>
      </c>
      <c r="AM3533" s="85"/>
    </row>
    <row r="3534" spans="1:39" hidden="1" x14ac:dyDescent="0.3">
      <c r="A3534" s="89" t="s">
        <v>3408</v>
      </c>
      <c r="B3534" s="86" t="s">
        <v>35</v>
      </c>
      <c r="C3534" s="86" t="s">
        <v>164</v>
      </c>
      <c r="D3534" s="86" t="s">
        <v>169</v>
      </c>
      <c r="E3534" s="86" t="s">
        <v>632</v>
      </c>
      <c r="F3534" s="86" t="s">
        <v>632</v>
      </c>
      <c r="G3534" s="86" t="s">
        <v>632</v>
      </c>
      <c r="H3534" s="144">
        <v>62</v>
      </c>
      <c r="I3534" s="86" t="s">
        <v>408</v>
      </c>
      <c r="J3534" s="1" t="s">
        <v>3324</v>
      </c>
      <c r="K3534" s="1" t="s">
        <v>3278</v>
      </c>
      <c r="L3534" s="1" t="s">
        <v>35</v>
      </c>
      <c r="M3534" s="86" t="s">
        <v>633</v>
      </c>
      <c r="N3534" s="86"/>
      <c r="O3534" s="47" t="s">
        <v>410</v>
      </c>
      <c r="P3534" s="47" t="s">
        <v>41</v>
      </c>
      <c r="Q3534" s="14">
        <v>0</v>
      </c>
      <c r="R3534" s="143">
        <v>1000004605</v>
      </c>
      <c r="S3534" s="47"/>
      <c r="T3534" s="6">
        <v>26054.18</v>
      </c>
      <c r="U3534" s="6">
        <v>20000</v>
      </c>
      <c r="V3534" s="6">
        <v>42616.87</v>
      </c>
      <c r="W3534" s="6">
        <f t="shared" si="548"/>
        <v>3437.3099999999977</v>
      </c>
      <c r="X3534" s="6">
        <f t="shared" si="549"/>
        <v>42616.87</v>
      </c>
      <c r="Y3534" s="13">
        <f t="shared" si="550"/>
        <v>0</v>
      </c>
      <c r="Z3534" s="14">
        <v>0</v>
      </c>
      <c r="AA3534" s="6">
        <v>0</v>
      </c>
      <c r="AB3534" s="4">
        <f t="shared" si="551"/>
        <v>42616.87</v>
      </c>
      <c r="AC3534" s="4">
        <f t="shared" si="553"/>
        <v>0</v>
      </c>
      <c r="AD3534" s="6">
        <f t="shared" si="546"/>
        <v>42616.87</v>
      </c>
      <c r="AE3534" s="2">
        <f>VLOOKUP(I3534,[1]媒体政策预估表!A:N,MATCH(O3534,[1]媒体政策预估表!$A$2:$M$2,0),0)</f>
        <v>7.0000000000000007E-2</v>
      </c>
      <c r="AF3534" s="6">
        <f t="shared" si="554"/>
        <v>2983.1809000000003</v>
      </c>
      <c r="AG3534" s="14">
        <v>0</v>
      </c>
      <c r="AH3534" s="64">
        <f t="shared" si="547"/>
        <v>42616.87</v>
      </c>
      <c r="AI3534" s="47"/>
      <c r="AJ3534" s="126" t="e">
        <v>#N/A</v>
      </c>
      <c r="AK3534" s="80">
        <f t="shared" si="552"/>
        <v>0</v>
      </c>
      <c r="AM3534" s="85"/>
    </row>
    <row r="3535" spans="1:39" hidden="1" x14ac:dyDescent="0.3">
      <c r="A3535" s="89" t="s">
        <v>3408</v>
      </c>
      <c r="B3535" s="86" t="s">
        <v>35</v>
      </c>
      <c r="C3535" s="86" t="s">
        <v>164</v>
      </c>
      <c r="D3535" s="86" t="s">
        <v>169</v>
      </c>
      <c r="E3535" s="86" t="s">
        <v>634</v>
      </c>
      <c r="F3535" s="86" t="s">
        <v>634</v>
      </c>
      <c r="G3535" s="86" t="s">
        <v>634</v>
      </c>
      <c r="H3535" s="144">
        <v>62</v>
      </c>
      <c r="I3535" s="86" t="s">
        <v>408</v>
      </c>
      <c r="J3535" s="1" t="s">
        <v>3324</v>
      </c>
      <c r="K3535" s="1" t="s">
        <v>3278</v>
      </c>
      <c r="L3535" s="1" t="s">
        <v>35</v>
      </c>
      <c r="M3535" s="86" t="s">
        <v>635</v>
      </c>
      <c r="N3535" s="86"/>
      <c r="O3535" s="47" t="s">
        <v>410</v>
      </c>
      <c r="P3535" s="47" t="s">
        <v>41</v>
      </c>
      <c r="Q3535" s="14">
        <v>0</v>
      </c>
      <c r="R3535" s="143">
        <v>1000069049</v>
      </c>
      <c r="S3535" s="47"/>
      <c r="T3535" s="6">
        <v>7037.4899999999907</v>
      </c>
      <c r="U3535" s="6">
        <v>200000</v>
      </c>
      <c r="V3535" s="6">
        <v>184343.47000000003</v>
      </c>
      <c r="W3535" s="6">
        <f t="shared" si="548"/>
        <v>22694.01999999996</v>
      </c>
      <c r="X3535" s="6">
        <f t="shared" si="549"/>
        <v>184343.47000000003</v>
      </c>
      <c r="Y3535" s="13">
        <f t="shared" si="550"/>
        <v>0</v>
      </c>
      <c r="Z3535" s="14">
        <v>0</v>
      </c>
      <c r="AA3535" s="6">
        <v>0</v>
      </c>
      <c r="AB3535" s="4">
        <f t="shared" si="551"/>
        <v>184343.47000000003</v>
      </c>
      <c r="AC3535" s="4">
        <f t="shared" si="553"/>
        <v>0</v>
      </c>
      <c r="AD3535" s="6">
        <f t="shared" si="546"/>
        <v>184343.47000000003</v>
      </c>
      <c r="AE3535" s="2">
        <f>VLOOKUP(I3535,[1]媒体政策预估表!A:N,MATCH(O3535,[1]媒体政策预估表!$A$2:$M$2,0),0)</f>
        <v>7.0000000000000007E-2</v>
      </c>
      <c r="AF3535" s="6">
        <f t="shared" si="554"/>
        <v>12904.042900000004</v>
      </c>
      <c r="AG3535" s="14">
        <v>0</v>
      </c>
      <c r="AH3535" s="64">
        <f t="shared" si="547"/>
        <v>184343.47000000003</v>
      </c>
      <c r="AI3535" s="47"/>
      <c r="AJ3535" s="126" t="e">
        <v>#N/A</v>
      </c>
      <c r="AK3535" s="80">
        <f t="shared" si="552"/>
        <v>0</v>
      </c>
      <c r="AM3535" s="85"/>
    </row>
    <row r="3536" spans="1:39" hidden="1" x14ac:dyDescent="0.3">
      <c r="A3536" s="89" t="s">
        <v>3408</v>
      </c>
      <c r="B3536" s="86" t="s">
        <v>35</v>
      </c>
      <c r="C3536" s="86" t="s">
        <v>164</v>
      </c>
      <c r="D3536" s="86" t="s">
        <v>169</v>
      </c>
      <c r="E3536" s="86" t="s">
        <v>634</v>
      </c>
      <c r="F3536" s="86" t="s">
        <v>634</v>
      </c>
      <c r="G3536" s="86" t="s">
        <v>634</v>
      </c>
      <c r="H3536" s="144">
        <v>62</v>
      </c>
      <c r="I3536" s="86" t="s">
        <v>408</v>
      </c>
      <c r="J3536" s="1" t="s">
        <v>3324</v>
      </c>
      <c r="K3536" s="1" t="s">
        <v>3278</v>
      </c>
      <c r="L3536" s="1" t="s">
        <v>35</v>
      </c>
      <c r="M3536" s="86" t="s">
        <v>636</v>
      </c>
      <c r="N3536" s="86"/>
      <c r="O3536" s="47" t="s">
        <v>410</v>
      </c>
      <c r="P3536" s="47" t="s">
        <v>41</v>
      </c>
      <c r="Q3536" s="14">
        <v>0</v>
      </c>
      <c r="R3536" s="143">
        <v>1000068394</v>
      </c>
      <c r="S3536" s="47"/>
      <c r="T3536" s="6">
        <v>7188.1000000000058</v>
      </c>
      <c r="U3536" s="6">
        <v>140000</v>
      </c>
      <c r="V3536" s="6">
        <v>124987.35</v>
      </c>
      <c r="W3536" s="6">
        <f t="shared" si="548"/>
        <v>22200.75</v>
      </c>
      <c r="X3536" s="6">
        <f t="shared" si="549"/>
        <v>124987.35</v>
      </c>
      <c r="Y3536" s="13">
        <f t="shared" si="550"/>
        <v>0</v>
      </c>
      <c r="Z3536" s="14">
        <v>0</v>
      </c>
      <c r="AA3536" s="6">
        <v>0</v>
      </c>
      <c r="AB3536" s="4">
        <f t="shared" si="551"/>
        <v>124987.35</v>
      </c>
      <c r="AC3536" s="4">
        <f t="shared" si="553"/>
        <v>0</v>
      </c>
      <c r="AD3536" s="6">
        <f t="shared" si="546"/>
        <v>124987.35</v>
      </c>
      <c r="AE3536" s="2">
        <f>VLOOKUP(I3536,[1]媒体政策预估表!A:N,MATCH(O3536,[1]媒体政策预估表!$A$2:$M$2,0),0)</f>
        <v>7.0000000000000007E-2</v>
      </c>
      <c r="AF3536" s="6">
        <f t="shared" si="554"/>
        <v>8749.1145000000015</v>
      </c>
      <c r="AG3536" s="14">
        <v>0</v>
      </c>
      <c r="AH3536" s="64">
        <f t="shared" si="547"/>
        <v>124987.35</v>
      </c>
      <c r="AI3536" s="47"/>
      <c r="AJ3536" s="126" t="e">
        <v>#N/A</v>
      </c>
      <c r="AK3536" s="80">
        <f t="shared" si="552"/>
        <v>0</v>
      </c>
      <c r="AM3536" s="85"/>
    </row>
    <row r="3537" spans="1:39" hidden="1" x14ac:dyDescent="0.3">
      <c r="A3537" s="89" t="s">
        <v>3408</v>
      </c>
      <c r="B3537" s="86" t="s">
        <v>35</v>
      </c>
      <c r="C3537" s="86" t="s">
        <v>164</v>
      </c>
      <c r="D3537" s="86" t="s">
        <v>174</v>
      </c>
      <c r="E3537" s="86" t="s">
        <v>639</v>
      </c>
      <c r="F3537" s="86" t="s">
        <v>639</v>
      </c>
      <c r="G3537" s="86" t="s">
        <v>639</v>
      </c>
      <c r="H3537" s="144">
        <v>62</v>
      </c>
      <c r="I3537" s="86" t="s">
        <v>408</v>
      </c>
      <c r="J3537" s="1" t="s">
        <v>3324</v>
      </c>
      <c r="K3537" s="1" t="s">
        <v>3278</v>
      </c>
      <c r="L3537" s="1" t="s">
        <v>35</v>
      </c>
      <c r="M3537" s="86" t="s">
        <v>3460</v>
      </c>
      <c r="N3537" s="86"/>
      <c r="O3537" s="47" t="s">
        <v>410</v>
      </c>
      <c r="P3537" s="47" t="s">
        <v>46</v>
      </c>
      <c r="Q3537" s="14">
        <v>0.01</v>
      </c>
      <c r="R3537" s="143">
        <v>1000069241</v>
      </c>
      <c r="S3537" s="47"/>
      <c r="T3537" s="6">
        <v>65175.159999999974</v>
      </c>
      <c r="U3537" s="6">
        <v>110000</v>
      </c>
      <c r="V3537" s="6">
        <v>163657.99</v>
      </c>
      <c r="W3537" s="6">
        <f t="shared" si="548"/>
        <v>11517.169999999984</v>
      </c>
      <c r="X3537" s="6">
        <f t="shared" si="549"/>
        <v>162037.61386138614</v>
      </c>
      <c r="Y3537" s="13">
        <f t="shared" si="550"/>
        <v>0</v>
      </c>
      <c r="Z3537" s="14">
        <v>0</v>
      </c>
      <c r="AA3537" s="6">
        <v>0</v>
      </c>
      <c r="AB3537" s="4">
        <f t="shared" si="551"/>
        <v>162037.61386138614</v>
      </c>
      <c r="AC3537" s="4">
        <f t="shared" si="553"/>
        <v>1620.3761386138503</v>
      </c>
      <c r="AD3537" s="6">
        <f t="shared" si="546"/>
        <v>163657.99</v>
      </c>
      <c r="AE3537" s="2">
        <f>VLOOKUP(I3537,[1]媒体政策预估表!A:N,MATCH(O3537,[1]媒体政策预估表!$A$2:$M$2,0),0)</f>
        <v>7.0000000000000007E-2</v>
      </c>
      <c r="AF3537" s="6">
        <f t="shared" si="554"/>
        <v>11456.059300000001</v>
      </c>
      <c r="AG3537" s="14">
        <v>0</v>
      </c>
      <c r="AH3537" s="64">
        <f t="shared" si="547"/>
        <v>163657.99</v>
      </c>
      <c r="AI3537" s="47"/>
      <c r="AJ3537" s="126" t="e">
        <v>#N/A</v>
      </c>
      <c r="AK3537" s="80">
        <f t="shared" si="552"/>
        <v>0</v>
      </c>
      <c r="AM3537" s="85"/>
    </row>
    <row r="3538" spans="1:39" hidden="1" x14ac:dyDescent="0.3">
      <c r="A3538" s="89" t="s">
        <v>3408</v>
      </c>
      <c r="B3538" s="86" t="s">
        <v>35</v>
      </c>
      <c r="C3538" s="86" t="s">
        <v>164</v>
      </c>
      <c r="D3538" s="86" t="s">
        <v>174</v>
      </c>
      <c r="E3538" s="86" t="s">
        <v>639</v>
      </c>
      <c r="F3538" s="86" t="s">
        <v>639</v>
      </c>
      <c r="G3538" s="86" t="s">
        <v>639</v>
      </c>
      <c r="H3538" s="144">
        <v>62</v>
      </c>
      <c r="I3538" s="86" t="s">
        <v>408</v>
      </c>
      <c r="J3538" s="1" t="s">
        <v>3324</v>
      </c>
      <c r="K3538" s="1" t="s">
        <v>3278</v>
      </c>
      <c r="L3538" s="1" t="s">
        <v>35</v>
      </c>
      <c r="M3538" s="86" t="s">
        <v>3461</v>
      </c>
      <c r="N3538" s="86"/>
      <c r="O3538" s="47" t="s">
        <v>45</v>
      </c>
      <c r="P3538" s="47" t="s">
        <v>46</v>
      </c>
      <c r="Q3538" s="14">
        <v>0.04</v>
      </c>
      <c r="R3538" s="143">
        <v>1000101954</v>
      </c>
      <c r="S3538" s="47"/>
      <c r="T3538" s="6">
        <v>0</v>
      </c>
      <c r="U3538" s="6">
        <v>5148.5200000000004</v>
      </c>
      <c r="V3538" s="6">
        <v>400.15999999999997</v>
      </c>
      <c r="W3538" s="6">
        <f t="shared" si="548"/>
        <v>4748.3600000000006</v>
      </c>
      <c r="X3538" s="6">
        <f t="shared" si="549"/>
        <v>384.76923076923072</v>
      </c>
      <c r="Y3538" s="13">
        <f t="shared" si="550"/>
        <v>0</v>
      </c>
      <c r="Z3538" s="14">
        <v>0</v>
      </c>
      <c r="AA3538" s="6">
        <v>0</v>
      </c>
      <c r="AB3538" s="4">
        <f t="shared" si="551"/>
        <v>384.76923076923072</v>
      </c>
      <c r="AC3538" s="4">
        <f t="shared" si="553"/>
        <v>15.390769230769251</v>
      </c>
      <c r="AD3538" s="6">
        <f t="shared" si="546"/>
        <v>400.15999999999997</v>
      </c>
      <c r="AE3538" s="2">
        <f>VLOOKUP(I3538,[1]媒体政策预估表!A:N,MATCH(O3538,[1]媒体政策预估表!$A$2:$M$2,0),0)</f>
        <v>0.12</v>
      </c>
      <c r="AF3538" s="6">
        <f t="shared" si="554"/>
        <v>48.019199999999998</v>
      </c>
      <c r="AG3538" s="14">
        <v>0</v>
      </c>
      <c r="AH3538" s="64">
        <f t="shared" si="547"/>
        <v>400.15999999999997</v>
      </c>
      <c r="AI3538" s="47"/>
      <c r="AJ3538" s="126" t="e">
        <v>#N/A</v>
      </c>
      <c r="AK3538" s="80">
        <f t="shared" si="552"/>
        <v>0</v>
      </c>
      <c r="AM3538" s="85"/>
    </row>
    <row r="3539" spans="1:39" hidden="1" x14ac:dyDescent="0.3">
      <c r="A3539" s="89" t="s">
        <v>3408</v>
      </c>
      <c r="B3539" s="86" t="s">
        <v>35</v>
      </c>
      <c r="C3539" s="86" t="s">
        <v>164</v>
      </c>
      <c r="D3539" s="86" t="s">
        <v>174</v>
      </c>
      <c r="E3539" s="86" t="s">
        <v>639</v>
      </c>
      <c r="F3539" s="86" t="s">
        <v>639</v>
      </c>
      <c r="G3539" s="86" t="s">
        <v>639</v>
      </c>
      <c r="H3539" s="143">
        <v>62</v>
      </c>
      <c r="I3539" s="86" t="s">
        <v>408</v>
      </c>
      <c r="J3539" s="1" t="s">
        <v>3324</v>
      </c>
      <c r="K3539" s="1" t="s">
        <v>3278</v>
      </c>
      <c r="L3539" s="1" t="s">
        <v>35</v>
      </c>
      <c r="M3539" s="86" t="s">
        <v>3462</v>
      </c>
      <c r="N3539" s="86"/>
      <c r="O3539" s="47" t="s">
        <v>45</v>
      </c>
      <c r="P3539" s="47" t="s">
        <v>46</v>
      </c>
      <c r="Q3539" s="14">
        <v>0.04</v>
      </c>
      <c r="R3539" s="143">
        <v>1000099353</v>
      </c>
      <c r="S3539" s="47"/>
      <c r="T3539" s="6">
        <v>0</v>
      </c>
      <c r="U3539" s="6">
        <v>5148.5200000000004</v>
      </c>
      <c r="V3539" s="6">
        <v>0</v>
      </c>
      <c r="W3539" s="6">
        <f t="shared" si="548"/>
        <v>5148.5200000000004</v>
      </c>
      <c r="X3539" s="6">
        <f t="shared" si="549"/>
        <v>0</v>
      </c>
      <c r="Y3539" s="13">
        <f t="shared" si="550"/>
        <v>0</v>
      </c>
      <c r="Z3539" s="14">
        <v>0</v>
      </c>
      <c r="AA3539" s="6">
        <v>0</v>
      </c>
      <c r="AB3539" s="4">
        <f t="shared" si="551"/>
        <v>0</v>
      </c>
      <c r="AC3539" s="4">
        <f t="shared" si="553"/>
        <v>0</v>
      </c>
      <c r="AD3539" s="6">
        <f t="shared" si="546"/>
        <v>0</v>
      </c>
      <c r="AE3539" s="2">
        <f>VLOOKUP(I3539,[1]媒体政策预估表!A:N,MATCH(O3539,[1]媒体政策预估表!$A$2:$M$2,0),0)</f>
        <v>0.12</v>
      </c>
      <c r="AF3539" s="6">
        <f t="shared" si="554"/>
        <v>0</v>
      </c>
      <c r="AG3539" s="14">
        <v>0</v>
      </c>
      <c r="AH3539" s="64">
        <f t="shared" si="547"/>
        <v>0</v>
      </c>
      <c r="AI3539" s="47"/>
      <c r="AJ3539" s="126" t="e">
        <v>#N/A</v>
      </c>
      <c r="AK3539" s="80">
        <f t="shared" si="552"/>
        <v>0</v>
      </c>
      <c r="AM3539" s="85"/>
    </row>
    <row r="3540" spans="1:39" hidden="1" x14ac:dyDescent="0.3">
      <c r="A3540" s="89" t="s">
        <v>3408</v>
      </c>
      <c r="B3540" s="86" t="s">
        <v>35</v>
      </c>
      <c r="C3540" s="86" t="s">
        <v>164</v>
      </c>
      <c r="D3540" s="86" t="s">
        <v>174</v>
      </c>
      <c r="E3540" s="86" t="s">
        <v>639</v>
      </c>
      <c r="F3540" s="86" t="s">
        <v>639</v>
      </c>
      <c r="G3540" s="86" t="s">
        <v>639</v>
      </c>
      <c r="H3540" s="144">
        <v>62</v>
      </c>
      <c r="I3540" s="86" t="s">
        <v>408</v>
      </c>
      <c r="J3540" s="1" t="s">
        <v>3324</v>
      </c>
      <c r="K3540" s="1" t="s">
        <v>3278</v>
      </c>
      <c r="L3540" s="1" t="s">
        <v>35</v>
      </c>
      <c r="M3540" s="86" t="s">
        <v>3463</v>
      </c>
      <c r="N3540" s="86"/>
      <c r="O3540" s="47" t="s">
        <v>45</v>
      </c>
      <c r="P3540" s="47" t="s">
        <v>46</v>
      </c>
      <c r="Q3540" s="14">
        <v>0.04</v>
      </c>
      <c r="R3540" s="143">
        <v>1000101951</v>
      </c>
      <c r="S3540" s="47"/>
      <c r="T3540" s="6">
        <v>0</v>
      </c>
      <c r="U3540" s="6">
        <v>5148.5200000000004</v>
      </c>
      <c r="V3540" s="6">
        <v>400.41</v>
      </c>
      <c r="W3540" s="6">
        <f t="shared" si="548"/>
        <v>4748.1100000000006</v>
      </c>
      <c r="X3540" s="6">
        <f t="shared" si="549"/>
        <v>385.00961538461542</v>
      </c>
      <c r="Y3540" s="13">
        <f t="shared" si="550"/>
        <v>0</v>
      </c>
      <c r="Z3540" s="14">
        <v>0</v>
      </c>
      <c r="AA3540" s="6">
        <v>0</v>
      </c>
      <c r="AB3540" s="4">
        <f t="shared" si="551"/>
        <v>385.00961538461542</v>
      </c>
      <c r="AC3540" s="4">
        <f t="shared" si="553"/>
        <v>15.40038461538461</v>
      </c>
      <c r="AD3540" s="6">
        <f t="shared" si="546"/>
        <v>400.41</v>
      </c>
      <c r="AE3540" s="2">
        <f>VLOOKUP(I3540,[1]媒体政策预估表!A:N,MATCH(O3540,[1]媒体政策预估表!$A$2:$M$2,0),0)</f>
        <v>0.12</v>
      </c>
      <c r="AF3540" s="6">
        <f t="shared" si="554"/>
        <v>48.049199999999999</v>
      </c>
      <c r="AG3540" s="14">
        <v>0</v>
      </c>
      <c r="AH3540" s="64">
        <f t="shared" si="547"/>
        <v>400.41</v>
      </c>
      <c r="AI3540" s="47"/>
      <c r="AJ3540" s="126" t="e">
        <v>#N/A</v>
      </c>
      <c r="AK3540" s="80">
        <f t="shared" si="552"/>
        <v>0</v>
      </c>
      <c r="AM3540" s="85"/>
    </row>
    <row r="3541" spans="1:39" hidden="1" x14ac:dyDescent="0.3">
      <c r="A3541" s="89" t="s">
        <v>3408</v>
      </c>
      <c r="B3541" s="86" t="s">
        <v>35</v>
      </c>
      <c r="C3541" s="86" t="s">
        <v>164</v>
      </c>
      <c r="D3541" s="86" t="s">
        <v>174</v>
      </c>
      <c r="E3541" s="86" t="s">
        <v>639</v>
      </c>
      <c r="F3541" s="86" t="s">
        <v>639</v>
      </c>
      <c r="G3541" s="86" t="s">
        <v>639</v>
      </c>
      <c r="H3541" s="143">
        <v>62</v>
      </c>
      <c r="I3541" s="86" t="s">
        <v>408</v>
      </c>
      <c r="J3541" s="1" t="s">
        <v>3324</v>
      </c>
      <c r="K3541" s="1" t="s">
        <v>3278</v>
      </c>
      <c r="L3541" s="1" t="s">
        <v>35</v>
      </c>
      <c r="M3541" s="86" t="s">
        <v>3464</v>
      </c>
      <c r="N3541" s="86"/>
      <c r="O3541" s="47" t="s">
        <v>45</v>
      </c>
      <c r="P3541" s="47" t="s">
        <v>46</v>
      </c>
      <c r="Q3541" s="14">
        <v>0.04</v>
      </c>
      <c r="R3541" s="143">
        <v>1000099351</v>
      </c>
      <c r="S3541" s="47"/>
      <c r="T3541" s="6">
        <v>0</v>
      </c>
      <c r="U3541" s="6">
        <v>5148.5200000000004</v>
      </c>
      <c r="V3541" s="6">
        <v>0</v>
      </c>
      <c r="W3541" s="6">
        <f t="shared" si="548"/>
        <v>5148.5200000000004</v>
      </c>
      <c r="X3541" s="6">
        <f t="shared" si="549"/>
        <v>0</v>
      </c>
      <c r="Y3541" s="13">
        <f t="shared" si="550"/>
        <v>0</v>
      </c>
      <c r="Z3541" s="14">
        <v>0</v>
      </c>
      <c r="AA3541" s="6">
        <v>0</v>
      </c>
      <c r="AB3541" s="4">
        <f t="shared" si="551"/>
        <v>0</v>
      </c>
      <c r="AC3541" s="4">
        <f t="shared" si="553"/>
        <v>0</v>
      </c>
      <c r="AD3541" s="6">
        <f t="shared" si="546"/>
        <v>0</v>
      </c>
      <c r="AE3541" s="2">
        <f>VLOOKUP(I3541,[1]媒体政策预估表!A:N,MATCH(O3541,[1]媒体政策预估表!$A$2:$M$2,0),0)</f>
        <v>0.12</v>
      </c>
      <c r="AF3541" s="6">
        <f t="shared" si="554"/>
        <v>0</v>
      </c>
      <c r="AG3541" s="14">
        <v>0</v>
      </c>
      <c r="AH3541" s="64">
        <f t="shared" si="547"/>
        <v>0</v>
      </c>
      <c r="AI3541" s="47"/>
      <c r="AJ3541" s="126" t="e">
        <v>#N/A</v>
      </c>
      <c r="AK3541" s="80">
        <f t="shared" si="552"/>
        <v>0</v>
      </c>
      <c r="AM3541" s="85"/>
    </row>
    <row r="3542" spans="1:39" hidden="1" x14ac:dyDescent="0.3">
      <c r="A3542" s="89" t="s">
        <v>3408</v>
      </c>
      <c r="B3542" s="86" t="s">
        <v>35</v>
      </c>
      <c r="C3542" s="86" t="s">
        <v>164</v>
      </c>
      <c r="D3542" s="86" t="s">
        <v>174</v>
      </c>
      <c r="E3542" s="86" t="s">
        <v>639</v>
      </c>
      <c r="F3542" s="86" t="s">
        <v>639</v>
      </c>
      <c r="G3542" s="86" t="s">
        <v>639</v>
      </c>
      <c r="H3542" s="144">
        <v>62</v>
      </c>
      <c r="I3542" s="86" t="s">
        <v>408</v>
      </c>
      <c r="J3542" s="1" t="s">
        <v>3324</v>
      </c>
      <c r="K3542" s="1" t="s">
        <v>3278</v>
      </c>
      <c r="L3542" s="1" t="s">
        <v>35</v>
      </c>
      <c r="M3542" s="86" t="s">
        <v>642</v>
      </c>
      <c r="N3542" s="86"/>
      <c r="O3542" s="47" t="s">
        <v>410</v>
      </c>
      <c r="P3542" s="47" t="s">
        <v>46</v>
      </c>
      <c r="Q3542" s="14">
        <v>0.01</v>
      </c>
      <c r="R3542" s="143">
        <v>1000092988</v>
      </c>
      <c r="S3542" s="47"/>
      <c r="T3542" s="6">
        <v>55740.26999999999</v>
      </c>
      <c r="U3542" s="6">
        <v>160000</v>
      </c>
      <c r="V3542" s="6">
        <v>172272.66999999995</v>
      </c>
      <c r="W3542" s="6">
        <f t="shared" si="548"/>
        <v>43467.600000000035</v>
      </c>
      <c r="X3542" s="6">
        <f t="shared" si="549"/>
        <v>170566.99999999994</v>
      </c>
      <c r="Y3542" s="13">
        <f t="shared" si="550"/>
        <v>0</v>
      </c>
      <c r="Z3542" s="14">
        <v>0</v>
      </c>
      <c r="AA3542" s="6">
        <v>0</v>
      </c>
      <c r="AB3542" s="4">
        <f t="shared" si="551"/>
        <v>170566.99999999994</v>
      </c>
      <c r="AC3542" s="4">
        <f t="shared" si="553"/>
        <v>1705.6700000000128</v>
      </c>
      <c r="AD3542" s="6">
        <f t="shared" si="546"/>
        <v>172272.66999999995</v>
      </c>
      <c r="AE3542" s="2">
        <f>VLOOKUP(I3542,[1]媒体政策预估表!A:N,MATCH(O3542,[1]媒体政策预估表!$A$2:$M$2,0),0)</f>
        <v>7.0000000000000007E-2</v>
      </c>
      <c r="AF3542" s="6">
        <f t="shared" si="554"/>
        <v>12059.086899999998</v>
      </c>
      <c r="AG3542" s="14">
        <v>0</v>
      </c>
      <c r="AH3542" s="64">
        <f t="shared" si="547"/>
        <v>172272.66999999995</v>
      </c>
      <c r="AI3542" s="47"/>
      <c r="AJ3542" s="126" t="e">
        <v>#N/A</v>
      </c>
      <c r="AK3542" s="80">
        <f t="shared" si="552"/>
        <v>0</v>
      </c>
      <c r="AM3542" s="85"/>
    </row>
    <row r="3543" spans="1:39" hidden="1" x14ac:dyDescent="0.3">
      <c r="A3543" s="89" t="s">
        <v>3408</v>
      </c>
      <c r="B3543" s="86" t="s">
        <v>35</v>
      </c>
      <c r="C3543" s="86" t="s">
        <v>164</v>
      </c>
      <c r="D3543" s="86" t="s">
        <v>174</v>
      </c>
      <c r="E3543" s="86" t="s">
        <v>644</v>
      </c>
      <c r="F3543" s="86" t="s">
        <v>644</v>
      </c>
      <c r="G3543" s="86" t="s">
        <v>644</v>
      </c>
      <c r="H3543" s="144">
        <v>62</v>
      </c>
      <c r="I3543" s="86" t="s">
        <v>408</v>
      </c>
      <c r="J3543" s="1" t="s">
        <v>3324</v>
      </c>
      <c r="K3543" s="1" t="s">
        <v>3278</v>
      </c>
      <c r="L3543" s="1" t="s">
        <v>35</v>
      </c>
      <c r="M3543" s="86" t="s">
        <v>645</v>
      </c>
      <c r="N3543" s="86"/>
      <c r="O3543" s="47" t="s">
        <v>45</v>
      </c>
      <c r="P3543" s="47" t="s">
        <v>46</v>
      </c>
      <c r="Q3543" s="14">
        <v>0.04</v>
      </c>
      <c r="R3543" s="143">
        <v>1000100699</v>
      </c>
      <c r="S3543" s="47"/>
      <c r="T3543" s="6">
        <v>20000</v>
      </c>
      <c r="U3543" s="6">
        <v>31999.759999999998</v>
      </c>
      <c r="V3543" s="6">
        <v>27603.159999999996</v>
      </c>
      <c r="W3543" s="6">
        <f t="shared" si="548"/>
        <v>24396.6</v>
      </c>
      <c r="X3543" s="6">
        <f t="shared" si="549"/>
        <v>26541.499999999996</v>
      </c>
      <c r="Y3543" s="13">
        <f t="shared" si="550"/>
        <v>0</v>
      </c>
      <c r="Z3543" s="14">
        <v>0</v>
      </c>
      <c r="AA3543" s="6">
        <v>0</v>
      </c>
      <c r="AB3543" s="4">
        <f t="shared" si="551"/>
        <v>26541.499999999996</v>
      </c>
      <c r="AC3543" s="4">
        <f t="shared" si="553"/>
        <v>1061.6599999999999</v>
      </c>
      <c r="AD3543" s="6">
        <f t="shared" si="546"/>
        <v>27603.159999999996</v>
      </c>
      <c r="AE3543" s="2">
        <f>VLOOKUP(I3543,[1]媒体政策预估表!A:N,MATCH(O3543,[1]媒体政策预估表!$A$2:$M$2,0),0)</f>
        <v>0.12</v>
      </c>
      <c r="AF3543" s="6">
        <f t="shared" si="554"/>
        <v>3312.3791999999994</v>
      </c>
      <c r="AG3543" s="14">
        <v>0</v>
      </c>
      <c r="AH3543" s="64">
        <f t="shared" si="547"/>
        <v>27603.159999999996</v>
      </c>
      <c r="AI3543" s="47"/>
      <c r="AJ3543" s="126" t="e">
        <v>#N/A</v>
      </c>
      <c r="AK3543" s="80">
        <f t="shared" si="552"/>
        <v>0</v>
      </c>
      <c r="AM3543" s="85"/>
    </row>
    <row r="3544" spans="1:39" hidden="1" x14ac:dyDescent="0.3">
      <c r="A3544" s="89" t="s">
        <v>3408</v>
      </c>
      <c r="B3544" s="86" t="s">
        <v>35</v>
      </c>
      <c r="C3544" s="86" t="s">
        <v>164</v>
      </c>
      <c r="D3544" s="86" t="s">
        <v>174</v>
      </c>
      <c r="E3544" s="86" t="s">
        <v>644</v>
      </c>
      <c r="F3544" s="86" t="s">
        <v>644</v>
      </c>
      <c r="G3544" s="86" t="s">
        <v>644</v>
      </c>
      <c r="H3544" s="144">
        <v>62</v>
      </c>
      <c r="I3544" s="86" t="s">
        <v>408</v>
      </c>
      <c r="J3544" s="1" t="s">
        <v>3324</v>
      </c>
      <c r="K3544" s="1" t="s">
        <v>3278</v>
      </c>
      <c r="L3544" s="1" t="s">
        <v>35</v>
      </c>
      <c r="M3544" s="86" t="s">
        <v>3465</v>
      </c>
      <c r="N3544" s="86"/>
      <c r="O3544" s="47" t="s">
        <v>45</v>
      </c>
      <c r="P3544" s="47" t="s">
        <v>46</v>
      </c>
      <c r="Q3544" s="14">
        <v>0.04</v>
      </c>
      <c r="R3544" s="143">
        <v>1000100898</v>
      </c>
      <c r="S3544" s="47"/>
      <c r="T3544" s="6">
        <v>0</v>
      </c>
      <c r="U3544" s="6">
        <v>30000</v>
      </c>
      <c r="V3544" s="6">
        <v>30000</v>
      </c>
      <c r="W3544" s="6">
        <f t="shared" si="548"/>
        <v>0</v>
      </c>
      <c r="X3544" s="6">
        <f t="shared" si="549"/>
        <v>28846.153846153844</v>
      </c>
      <c r="Y3544" s="13">
        <f t="shared" si="550"/>
        <v>0</v>
      </c>
      <c r="Z3544" s="14">
        <v>0</v>
      </c>
      <c r="AA3544" s="6">
        <v>0</v>
      </c>
      <c r="AB3544" s="4">
        <f t="shared" si="551"/>
        <v>28846.153846153844</v>
      </c>
      <c r="AC3544" s="4">
        <f t="shared" si="553"/>
        <v>1153.8461538461561</v>
      </c>
      <c r="AD3544" s="6">
        <f t="shared" si="546"/>
        <v>30000</v>
      </c>
      <c r="AE3544" s="2">
        <f>VLOOKUP(I3544,[1]媒体政策预估表!A:N,MATCH(O3544,[1]媒体政策预估表!$A$2:$M$2,0),0)</f>
        <v>0.12</v>
      </c>
      <c r="AF3544" s="6">
        <f t="shared" si="554"/>
        <v>3600</v>
      </c>
      <c r="AG3544" s="14">
        <v>0</v>
      </c>
      <c r="AH3544" s="64">
        <f t="shared" si="547"/>
        <v>30000</v>
      </c>
      <c r="AI3544" s="47"/>
      <c r="AJ3544" s="126" t="e">
        <v>#N/A</v>
      </c>
      <c r="AK3544" s="80">
        <f t="shared" si="552"/>
        <v>0</v>
      </c>
      <c r="AM3544" s="85"/>
    </row>
    <row r="3545" spans="1:39" hidden="1" x14ac:dyDescent="0.3">
      <c r="A3545" s="89" t="s">
        <v>3408</v>
      </c>
      <c r="B3545" s="86" t="s">
        <v>35</v>
      </c>
      <c r="C3545" s="86" t="s">
        <v>164</v>
      </c>
      <c r="D3545" s="86" t="s">
        <v>174</v>
      </c>
      <c r="E3545" s="86" t="s">
        <v>644</v>
      </c>
      <c r="F3545" s="86" t="s">
        <v>644</v>
      </c>
      <c r="G3545" s="86" t="s">
        <v>644</v>
      </c>
      <c r="H3545" s="144">
        <v>62</v>
      </c>
      <c r="I3545" s="86" t="s">
        <v>408</v>
      </c>
      <c r="J3545" s="1" t="s">
        <v>3324</v>
      </c>
      <c r="K3545" s="1" t="s">
        <v>3278</v>
      </c>
      <c r="L3545" s="1" t="s">
        <v>35</v>
      </c>
      <c r="M3545" s="86" t="s">
        <v>3466</v>
      </c>
      <c r="N3545" s="86"/>
      <c r="O3545" s="47" t="s">
        <v>45</v>
      </c>
      <c r="P3545" s="47" t="s">
        <v>46</v>
      </c>
      <c r="Q3545" s="14">
        <v>0.04</v>
      </c>
      <c r="R3545" s="143">
        <v>1000100899</v>
      </c>
      <c r="S3545" s="47"/>
      <c r="T3545" s="6">
        <v>0</v>
      </c>
      <c r="U3545" s="6">
        <v>30000</v>
      </c>
      <c r="V3545" s="6">
        <v>2435.96</v>
      </c>
      <c r="W3545" s="6">
        <f t="shared" si="548"/>
        <v>27564.04</v>
      </c>
      <c r="X3545" s="6">
        <f>IF(P3545="折扣",V3545*Q3545,IF(P3545="返现",V3545,V3545/(1+Q3545)))+0.7</f>
        <v>2342.9692307692308</v>
      </c>
      <c r="Y3545" s="13">
        <f t="shared" si="550"/>
        <v>0</v>
      </c>
      <c r="Z3545" s="14">
        <v>0</v>
      </c>
      <c r="AA3545" s="6">
        <v>0</v>
      </c>
      <c r="AB3545" s="4">
        <f t="shared" si="551"/>
        <v>2342.9692307692308</v>
      </c>
      <c r="AC3545" s="4">
        <f t="shared" si="553"/>
        <v>92.990769230769274</v>
      </c>
      <c r="AD3545" s="6">
        <f t="shared" si="546"/>
        <v>2435.96</v>
      </c>
      <c r="AE3545" s="2">
        <f>VLOOKUP(I3545,[1]媒体政策预估表!A:N,MATCH(O3545,[1]媒体政策预估表!$A$2:$M$2,0),0)</f>
        <v>0.12</v>
      </c>
      <c r="AF3545" s="6">
        <f t="shared" si="554"/>
        <v>292.3152</v>
      </c>
      <c r="AG3545" s="14">
        <v>0</v>
      </c>
      <c r="AH3545" s="64">
        <f t="shared" si="547"/>
        <v>2435.96</v>
      </c>
      <c r="AI3545" s="47"/>
      <c r="AJ3545" s="126" t="e">
        <v>#N/A</v>
      </c>
      <c r="AK3545" s="80">
        <f t="shared" si="552"/>
        <v>0</v>
      </c>
      <c r="AM3545" s="85"/>
    </row>
    <row r="3546" spans="1:39" hidden="1" x14ac:dyDescent="0.3">
      <c r="A3546" s="89" t="s">
        <v>3408</v>
      </c>
      <c r="B3546" s="86" t="s">
        <v>35</v>
      </c>
      <c r="C3546" s="86" t="s">
        <v>164</v>
      </c>
      <c r="D3546" s="86" t="s">
        <v>174</v>
      </c>
      <c r="E3546" s="86" t="s">
        <v>644</v>
      </c>
      <c r="F3546" s="86" t="s">
        <v>644</v>
      </c>
      <c r="G3546" s="86" t="s">
        <v>644</v>
      </c>
      <c r="H3546" s="143">
        <v>62</v>
      </c>
      <c r="I3546" s="86" t="s">
        <v>408</v>
      </c>
      <c r="J3546" s="1" t="s">
        <v>3324</v>
      </c>
      <c r="K3546" s="1" t="s">
        <v>3278</v>
      </c>
      <c r="L3546" s="1" t="s">
        <v>35</v>
      </c>
      <c r="M3546" s="86" t="s">
        <v>3467</v>
      </c>
      <c r="N3546" s="86"/>
      <c r="O3546" s="47" t="s">
        <v>45</v>
      </c>
      <c r="P3546" s="47" t="s">
        <v>46</v>
      </c>
      <c r="Q3546" s="14">
        <v>0.04</v>
      </c>
      <c r="R3546" s="143">
        <v>1000100900</v>
      </c>
      <c r="S3546" s="47"/>
      <c r="T3546" s="6">
        <v>0</v>
      </c>
      <c r="U3546" s="6">
        <v>0</v>
      </c>
      <c r="V3546" s="6">
        <v>0</v>
      </c>
      <c r="W3546" s="6">
        <f t="shared" si="548"/>
        <v>0</v>
      </c>
      <c r="X3546" s="6">
        <f t="shared" si="549"/>
        <v>0</v>
      </c>
      <c r="Y3546" s="13">
        <f t="shared" si="550"/>
        <v>0</v>
      </c>
      <c r="Z3546" s="14">
        <v>0</v>
      </c>
      <c r="AA3546" s="6">
        <v>0</v>
      </c>
      <c r="AB3546" s="4">
        <f t="shared" si="551"/>
        <v>0</v>
      </c>
      <c r="AC3546" s="4">
        <f t="shared" si="553"/>
        <v>0</v>
      </c>
      <c r="AD3546" s="6">
        <f t="shared" si="546"/>
        <v>0</v>
      </c>
      <c r="AE3546" s="2">
        <f>VLOOKUP(I3546,[1]媒体政策预估表!A:N,MATCH(O3546,[1]媒体政策预估表!$A$2:$M$2,0),0)</f>
        <v>0.12</v>
      </c>
      <c r="AF3546" s="6">
        <f t="shared" si="554"/>
        <v>0</v>
      </c>
      <c r="AG3546" s="14">
        <v>0</v>
      </c>
      <c r="AH3546" s="64">
        <f t="shared" si="547"/>
        <v>0</v>
      </c>
      <c r="AI3546" s="47"/>
      <c r="AJ3546" s="126" t="e">
        <v>#N/A</v>
      </c>
      <c r="AK3546" s="80">
        <f t="shared" si="552"/>
        <v>0</v>
      </c>
      <c r="AM3546" s="85"/>
    </row>
    <row r="3547" spans="1:39" hidden="1" x14ac:dyDescent="0.3">
      <c r="A3547" s="89" t="s">
        <v>3408</v>
      </c>
      <c r="B3547" s="86" t="s">
        <v>35</v>
      </c>
      <c r="C3547" s="86" t="s">
        <v>164</v>
      </c>
      <c r="D3547" s="86" t="s">
        <v>174</v>
      </c>
      <c r="E3547" s="86" t="s">
        <v>644</v>
      </c>
      <c r="F3547" s="86" t="s">
        <v>644</v>
      </c>
      <c r="G3547" s="86" t="s">
        <v>644</v>
      </c>
      <c r="H3547" s="143">
        <v>62</v>
      </c>
      <c r="I3547" s="86" t="s">
        <v>408</v>
      </c>
      <c r="J3547" s="1" t="s">
        <v>3324</v>
      </c>
      <c r="K3547" s="1" t="s">
        <v>3278</v>
      </c>
      <c r="L3547" s="1" t="s">
        <v>35</v>
      </c>
      <c r="M3547" s="86" t="s">
        <v>3468</v>
      </c>
      <c r="N3547" s="86"/>
      <c r="O3547" s="47" t="s">
        <v>45</v>
      </c>
      <c r="P3547" s="47" t="s">
        <v>46</v>
      </c>
      <c r="Q3547" s="14">
        <v>0.04</v>
      </c>
      <c r="R3547" s="143">
        <v>1000101284</v>
      </c>
      <c r="S3547" s="47"/>
      <c r="T3547" s="6">
        <v>0</v>
      </c>
      <c r="U3547" s="6">
        <v>0</v>
      </c>
      <c r="V3547" s="6">
        <v>0</v>
      </c>
      <c r="W3547" s="6">
        <f t="shared" si="548"/>
        <v>0</v>
      </c>
      <c r="X3547" s="6">
        <f t="shared" si="549"/>
        <v>0</v>
      </c>
      <c r="Y3547" s="13">
        <f t="shared" si="550"/>
        <v>0</v>
      </c>
      <c r="Z3547" s="14">
        <v>0</v>
      </c>
      <c r="AA3547" s="6">
        <v>0</v>
      </c>
      <c r="AB3547" s="4">
        <f t="shared" si="551"/>
        <v>0</v>
      </c>
      <c r="AC3547" s="4">
        <f t="shared" si="553"/>
        <v>0</v>
      </c>
      <c r="AD3547" s="6">
        <f t="shared" si="546"/>
        <v>0</v>
      </c>
      <c r="AE3547" s="2">
        <f>VLOOKUP(I3547,[1]媒体政策预估表!A:N,MATCH(O3547,[1]媒体政策预估表!$A$2:$M$2,0),0)</f>
        <v>0.12</v>
      </c>
      <c r="AF3547" s="6">
        <f t="shared" si="554"/>
        <v>0</v>
      </c>
      <c r="AG3547" s="14">
        <v>0</v>
      </c>
      <c r="AH3547" s="64">
        <f t="shared" si="547"/>
        <v>0</v>
      </c>
      <c r="AI3547" s="47"/>
      <c r="AJ3547" s="126" t="e">
        <v>#N/A</v>
      </c>
      <c r="AK3547" s="80">
        <f t="shared" si="552"/>
        <v>0</v>
      </c>
      <c r="AM3547" s="85"/>
    </row>
    <row r="3548" spans="1:39" hidden="1" x14ac:dyDescent="0.3">
      <c r="A3548" s="89" t="s">
        <v>3408</v>
      </c>
      <c r="B3548" s="86" t="s">
        <v>35</v>
      </c>
      <c r="C3548" s="86" t="s">
        <v>164</v>
      </c>
      <c r="D3548" s="86" t="s">
        <v>174</v>
      </c>
      <c r="E3548" s="86" t="s">
        <v>644</v>
      </c>
      <c r="F3548" s="86" t="s">
        <v>644</v>
      </c>
      <c r="G3548" s="86" t="s">
        <v>644</v>
      </c>
      <c r="H3548" s="144">
        <v>62</v>
      </c>
      <c r="I3548" s="86" t="s">
        <v>408</v>
      </c>
      <c r="J3548" s="1" t="s">
        <v>3324</v>
      </c>
      <c r="K3548" s="1" t="s">
        <v>3278</v>
      </c>
      <c r="L3548" s="1" t="s">
        <v>35</v>
      </c>
      <c r="M3548" s="86" t="s">
        <v>3469</v>
      </c>
      <c r="N3548" s="86"/>
      <c r="O3548" s="47" t="s">
        <v>45</v>
      </c>
      <c r="P3548" s="47" t="s">
        <v>46</v>
      </c>
      <c r="Q3548" s="14">
        <v>0.04</v>
      </c>
      <c r="R3548" s="143">
        <v>1000101285</v>
      </c>
      <c r="S3548" s="47"/>
      <c r="T3548" s="6">
        <v>0</v>
      </c>
      <c r="U3548" s="6">
        <v>40000</v>
      </c>
      <c r="V3548" s="6">
        <v>13950.9</v>
      </c>
      <c r="W3548" s="6">
        <f t="shared" si="548"/>
        <v>26049.1</v>
      </c>
      <c r="X3548" s="6">
        <f t="shared" si="549"/>
        <v>13414.326923076922</v>
      </c>
      <c r="Y3548" s="13">
        <f t="shared" si="550"/>
        <v>0</v>
      </c>
      <c r="Z3548" s="14">
        <v>0</v>
      </c>
      <c r="AA3548" s="6">
        <v>0</v>
      </c>
      <c r="AB3548" s="4">
        <f t="shared" si="551"/>
        <v>13414.326923076922</v>
      </c>
      <c r="AC3548" s="4">
        <f t="shared" si="553"/>
        <v>536.57307692307768</v>
      </c>
      <c r="AD3548" s="6">
        <f t="shared" si="546"/>
        <v>13950.9</v>
      </c>
      <c r="AE3548" s="2">
        <f>VLOOKUP(I3548,[1]媒体政策预估表!A:N,MATCH(O3548,[1]媒体政策预估表!$A$2:$M$2,0),0)</f>
        <v>0.12</v>
      </c>
      <c r="AF3548" s="6">
        <f t="shared" si="554"/>
        <v>1674.1079999999999</v>
      </c>
      <c r="AG3548" s="14">
        <v>0</v>
      </c>
      <c r="AH3548" s="64">
        <f t="shared" si="547"/>
        <v>13950.9</v>
      </c>
      <c r="AI3548" s="47"/>
      <c r="AJ3548" s="126" t="e">
        <v>#N/A</v>
      </c>
      <c r="AK3548" s="80">
        <f t="shared" si="552"/>
        <v>0</v>
      </c>
      <c r="AM3548" s="85"/>
    </row>
    <row r="3549" spans="1:39" hidden="1" x14ac:dyDescent="0.3">
      <c r="A3549" s="89" t="s">
        <v>3408</v>
      </c>
      <c r="B3549" s="86" t="s">
        <v>35</v>
      </c>
      <c r="C3549" s="86" t="s">
        <v>164</v>
      </c>
      <c r="D3549" s="86" t="s">
        <v>174</v>
      </c>
      <c r="E3549" s="86" t="s">
        <v>646</v>
      </c>
      <c r="F3549" s="86" t="s">
        <v>646</v>
      </c>
      <c r="G3549" s="86" t="s">
        <v>646</v>
      </c>
      <c r="H3549" s="144">
        <v>62</v>
      </c>
      <c r="I3549" s="86" t="s">
        <v>408</v>
      </c>
      <c r="J3549" s="1" t="s">
        <v>3324</v>
      </c>
      <c r="K3549" s="1" t="s">
        <v>3278</v>
      </c>
      <c r="L3549" s="1" t="s">
        <v>35</v>
      </c>
      <c r="M3549" s="86" t="s">
        <v>648</v>
      </c>
      <c r="N3549" s="86"/>
      <c r="O3549" s="47" t="s">
        <v>410</v>
      </c>
      <c r="P3549" s="47" t="s">
        <v>41</v>
      </c>
      <c r="Q3549" s="14">
        <v>0</v>
      </c>
      <c r="R3549" s="143">
        <v>1000072286</v>
      </c>
      <c r="S3549" s="47"/>
      <c r="T3549" s="6">
        <v>7979.3000000000065</v>
      </c>
      <c r="U3549" s="6">
        <v>50000</v>
      </c>
      <c r="V3549" s="6">
        <v>28023.4</v>
      </c>
      <c r="W3549" s="6">
        <f t="shared" si="548"/>
        <v>29955.9</v>
      </c>
      <c r="X3549" s="6">
        <f t="shared" si="549"/>
        <v>28023.4</v>
      </c>
      <c r="Y3549" s="13">
        <f t="shared" si="550"/>
        <v>0</v>
      </c>
      <c r="Z3549" s="14">
        <v>0</v>
      </c>
      <c r="AA3549" s="6">
        <v>0</v>
      </c>
      <c r="AB3549" s="4">
        <f t="shared" si="551"/>
        <v>28023.4</v>
      </c>
      <c r="AC3549" s="4">
        <f t="shared" si="553"/>
        <v>0</v>
      </c>
      <c r="AD3549" s="6">
        <f t="shared" si="546"/>
        <v>28023.4</v>
      </c>
      <c r="AE3549" s="2">
        <f>VLOOKUP(I3549,[1]媒体政策预估表!A:N,MATCH(O3549,[1]媒体政策预估表!$A$2:$M$2,0),0)</f>
        <v>7.0000000000000007E-2</v>
      </c>
      <c r="AF3549" s="6">
        <f t="shared" si="554"/>
        <v>1961.6380000000004</v>
      </c>
      <c r="AG3549" s="14">
        <v>0</v>
      </c>
      <c r="AH3549" s="64">
        <f t="shared" si="547"/>
        <v>28023.4</v>
      </c>
      <c r="AI3549" s="47"/>
      <c r="AJ3549" s="126" t="e">
        <v>#N/A</v>
      </c>
      <c r="AK3549" s="80">
        <f t="shared" si="552"/>
        <v>0</v>
      </c>
      <c r="AM3549" s="85"/>
    </row>
    <row r="3550" spans="1:39" hidden="1" x14ac:dyDescent="0.3">
      <c r="A3550" s="89" t="s">
        <v>3408</v>
      </c>
      <c r="B3550" s="86" t="s">
        <v>35</v>
      </c>
      <c r="C3550" s="86" t="s">
        <v>164</v>
      </c>
      <c r="D3550" s="86" t="s">
        <v>174</v>
      </c>
      <c r="E3550" s="86" t="s">
        <v>651</v>
      </c>
      <c r="F3550" s="86" t="s">
        <v>651</v>
      </c>
      <c r="G3550" s="86" t="s">
        <v>651</v>
      </c>
      <c r="H3550" s="144">
        <v>62</v>
      </c>
      <c r="I3550" s="86" t="s">
        <v>408</v>
      </c>
      <c r="J3550" s="1" t="s">
        <v>3324</v>
      </c>
      <c r="K3550" s="1" t="s">
        <v>3278</v>
      </c>
      <c r="L3550" s="1" t="s">
        <v>35</v>
      </c>
      <c r="M3550" s="86" t="s">
        <v>652</v>
      </c>
      <c r="N3550" s="86"/>
      <c r="O3550" s="47" t="s">
        <v>45</v>
      </c>
      <c r="P3550" s="47" t="s">
        <v>46</v>
      </c>
      <c r="Q3550" s="14">
        <v>0.04</v>
      </c>
      <c r="R3550" s="143">
        <v>1000085487</v>
      </c>
      <c r="S3550" s="47"/>
      <c r="T3550" s="6">
        <v>67348.95</v>
      </c>
      <c r="U3550" s="6">
        <v>80000</v>
      </c>
      <c r="V3550" s="6">
        <v>5347.71</v>
      </c>
      <c r="W3550" s="6">
        <f t="shared" si="548"/>
        <v>142001.24000000002</v>
      </c>
      <c r="X3550" s="6">
        <f t="shared" si="549"/>
        <v>5142.0288461538457</v>
      </c>
      <c r="Y3550" s="13">
        <f t="shared" si="550"/>
        <v>0</v>
      </c>
      <c r="Z3550" s="14">
        <v>0</v>
      </c>
      <c r="AA3550" s="6">
        <v>0</v>
      </c>
      <c r="AB3550" s="4">
        <f t="shared" si="551"/>
        <v>5142.0288461538457</v>
      </c>
      <c r="AC3550" s="4">
        <f t="shared" si="553"/>
        <v>205.6811538461543</v>
      </c>
      <c r="AD3550" s="6">
        <f t="shared" si="546"/>
        <v>5347.71</v>
      </c>
      <c r="AE3550" s="2">
        <f>VLOOKUP(I3550,[1]媒体政策预估表!A:N,MATCH(O3550,[1]媒体政策预估表!$A$2:$M$2,0),0)</f>
        <v>0.12</v>
      </c>
      <c r="AF3550" s="6">
        <f t="shared" si="554"/>
        <v>641.72519999999997</v>
      </c>
      <c r="AG3550" s="14">
        <v>0</v>
      </c>
      <c r="AH3550" s="64">
        <f t="shared" si="547"/>
        <v>5347.71</v>
      </c>
      <c r="AI3550" s="47"/>
      <c r="AJ3550" s="126" t="e">
        <v>#N/A</v>
      </c>
      <c r="AK3550" s="80">
        <f t="shared" si="552"/>
        <v>0</v>
      </c>
      <c r="AM3550" s="85"/>
    </row>
    <row r="3551" spans="1:39" hidden="1" x14ac:dyDescent="0.3">
      <c r="A3551" s="89" t="s">
        <v>3408</v>
      </c>
      <c r="B3551" s="86" t="s">
        <v>35</v>
      </c>
      <c r="C3551" s="86" t="s">
        <v>164</v>
      </c>
      <c r="D3551" s="86" t="s">
        <v>174</v>
      </c>
      <c r="E3551" s="86" t="s">
        <v>651</v>
      </c>
      <c r="F3551" s="86" t="s">
        <v>651</v>
      </c>
      <c r="G3551" s="86" t="s">
        <v>651</v>
      </c>
      <c r="H3551" s="144">
        <v>62</v>
      </c>
      <c r="I3551" s="86" t="s">
        <v>408</v>
      </c>
      <c r="J3551" s="1" t="s">
        <v>3324</v>
      </c>
      <c r="K3551" s="1" t="s">
        <v>3278</v>
      </c>
      <c r="L3551" s="1" t="s">
        <v>35</v>
      </c>
      <c r="M3551" s="86" t="s">
        <v>653</v>
      </c>
      <c r="N3551" s="86"/>
      <c r="O3551" s="47" t="s">
        <v>45</v>
      </c>
      <c r="P3551" s="47" t="s">
        <v>46</v>
      </c>
      <c r="Q3551" s="14">
        <v>0.04</v>
      </c>
      <c r="R3551" s="143">
        <v>1000088200</v>
      </c>
      <c r="S3551" s="47"/>
      <c r="T3551" s="6">
        <v>149810.87</v>
      </c>
      <c r="U3551" s="6">
        <v>263498.99</v>
      </c>
      <c r="V3551" s="6">
        <v>76.599999999999994</v>
      </c>
      <c r="W3551" s="6">
        <f t="shared" si="548"/>
        <v>413233.26</v>
      </c>
      <c r="X3551" s="6">
        <f t="shared" si="549"/>
        <v>73.653846153846146</v>
      </c>
      <c r="Y3551" s="13">
        <f t="shared" si="550"/>
        <v>0</v>
      </c>
      <c r="Z3551" s="14">
        <v>0</v>
      </c>
      <c r="AA3551" s="6">
        <v>0</v>
      </c>
      <c r="AB3551" s="4">
        <f t="shared" si="551"/>
        <v>73.653846153846146</v>
      </c>
      <c r="AC3551" s="4">
        <f t="shared" si="553"/>
        <v>2.9461538461538481</v>
      </c>
      <c r="AD3551" s="6">
        <f t="shared" si="546"/>
        <v>76.599999999999994</v>
      </c>
      <c r="AE3551" s="2">
        <f>VLOOKUP(I3551,[1]媒体政策预估表!A:N,MATCH(O3551,[1]媒体政策预估表!$A$2:$M$2,0),0)</f>
        <v>0.12</v>
      </c>
      <c r="AF3551" s="6">
        <f t="shared" si="554"/>
        <v>9.1919999999999984</v>
      </c>
      <c r="AG3551" s="14">
        <v>0</v>
      </c>
      <c r="AH3551" s="64">
        <f t="shared" si="547"/>
        <v>76.599999999999994</v>
      </c>
      <c r="AI3551" s="47"/>
      <c r="AJ3551" s="126" t="e">
        <v>#N/A</v>
      </c>
      <c r="AK3551" s="80">
        <f t="shared" si="552"/>
        <v>0</v>
      </c>
      <c r="AM3551" s="85"/>
    </row>
    <row r="3552" spans="1:39" hidden="1" x14ac:dyDescent="0.3">
      <c r="A3552" s="89" t="s">
        <v>3408</v>
      </c>
      <c r="B3552" s="86" t="s">
        <v>35</v>
      </c>
      <c r="C3552" s="86" t="s">
        <v>164</v>
      </c>
      <c r="D3552" s="86" t="s">
        <v>174</v>
      </c>
      <c r="E3552" s="86" t="s">
        <v>651</v>
      </c>
      <c r="F3552" s="86" t="s">
        <v>651</v>
      </c>
      <c r="G3552" s="86" t="s">
        <v>651</v>
      </c>
      <c r="H3552" s="144">
        <v>62</v>
      </c>
      <c r="I3552" s="86" t="s">
        <v>408</v>
      </c>
      <c r="J3552" s="1" t="s">
        <v>3324</v>
      </c>
      <c r="K3552" s="1" t="s">
        <v>3278</v>
      </c>
      <c r="L3552" s="1" t="s">
        <v>35</v>
      </c>
      <c r="M3552" s="86" t="s">
        <v>654</v>
      </c>
      <c r="N3552" s="86"/>
      <c r="O3552" s="47" t="s">
        <v>45</v>
      </c>
      <c r="P3552" s="47" t="s">
        <v>46</v>
      </c>
      <c r="Q3552" s="14">
        <v>0.04</v>
      </c>
      <c r="R3552" s="143">
        <v>1000072406</v>
      </c>
      <c r="S3552" s="47"/>
      <c r="T3552" s="6">
        <v>526455.68000000005</v>
      </c>
      <c r="U3552" s="6">
        <v>300000</v>
      </c>
      <c r="V3552" s="6">
        <v>6071.7</v>
      </c>
      <c r="W3552" s="6">
        <f t="shared" si="548"/>
        <v>820383.9800000001</v>
      </c>
      <c r="X3552" s="6">
        <f t="shared" si="549"/>
        <v>5838.1730769230762</v>
      </c>
      <c r="Y3552" s="13">
        <f t="shared" si="550"/>
        <v>0</v>
      </c>
      <c r="Z3552" s="14">
        <v>0</v>
      </c>
      <c r="AA3552" s="6">
        <v>0</v>
      </c>
      <c r="AB3552" s="4">
        <f t="shared" si="551"/>
        <v>5838.1730769230762</v>
      </c>
      <c r="AC3552" s="4">
        <f t="shared" si="553"/>
        <v>233.52692307692359</v>
      </c>
      <c r="AD3552" s="6">
        <f t="shared" si="546"/>
        <v>6071.7</v>
      </c>
      <c r="AE3552" s="2">
        <f>VLOOKUP(I3552,[1]媒体政策预估表!A:N,MATCH(O3552,[1]媒体政策预估表!$A$2:$M$2,0),0)</f>
        <v>0.12</v>
      </c>
      <c r="AF3552" s="6">
        <f t="shared" si="554"/>
        <v>728.60399999999993</v>
      </c>
      <c r="AG3552" s="14">
        <v>0</v>
      </c>
      <c r="AH3552" s="64">
        <f t="shared" si="547"/>
        <v>6071.7</v>
      </c>
      <c r="AI3552" s="47"/>
      <c r="AJ3552" s="126" t="e">
        <v>#N/A</v>
      </c>
      <c r="AK3552" s="80">
        <f t="shared" si="552"/>
        <v>0</v>
      </c>
      <c r="AM3552" s="85"/>
    </row>
    <row r="3553" spans="1:39" hidden="1" x14ac:dyDescent="0.3">
      <c r="A3553" s="89" t="s">
        <v>3408</v>
      </c>
      <c r="B3553" s="86" t="s">
        <v>35</v>
      </c>
      <c r="C3553" s="86" t="s">
        <v>164</v>
      </c>
      <c r="D3553" s="86" t="s">
        <v>174</v>
      </c>
      <c r="E3553" s="86" t="s">
        <v>651</v>
      </c>
      <c r="F3553" s="86" t="s">
        <v>651</v>
      </c>
      <c r="G3553" s="86" t="s">
        <v>651</v>
      </c>
      <c r="H3553" s="144">
        <v>62</v>
      </c>
      <c r="I3553" s="86" t="s">
        <v>408</v>
      </c>
      <c r="J3553" s="1" t="s">
        <v>3324</v>
      </c>
      <c r="K3553" s="1" t="s">
        <v>3278</v>
      </c>
      <c r="L3553" s="1" t="s">
        <v>35</v>
      </c>
      <c r="M3553" s="86" t="s">
        <v>655</v>
      </c>
      <c r="N3553" s="86"/>
      <c r="O3553" s="47" t="s">
        <v>45</v>
      </c>
      <c r="P3553" s="47" t="s">
        <v>46</v>
      </c>
      <c r="Q3553" s="14">
        <v>0.04</v>
      </c>
      <c r="R3553" s="143">
        <v>1000080359</v>
      </c>
      <c r="S3553" s="47"/>
      <c r="T3553" s="6">
        <v>49481.04</v>
      </c>
      <c r="U3553" s="6">
        <v>70000</v>
      </c>
      <c r="V3553" s="6">
        <v>333.50000000000006</v>
      </c>
      <c r="W3553" s="6">
        <f t="shared" si="548"/>
        <v>119147.54000000001</v>
      </c>
      <c r="X3553" s="6">
        <f t="shared" si="549"/>
        <v>320.67307692307696</v>
      </c>
      <c r="Y3553" s="13">
        <f t="shared" si="550"/>
        <v>0</v>
      </c>
      <c r="Z3553" s="14">
        <v>0</v>
      </c>
      <c r="AA3553" s="6">
        <v>0</v>
      </c>
      <c r="AB3553" s="4">
        <f t="shared" si="551"/>
        <v>320.67307692307696</v>
      </c>
      <c r="AC3553" s="4">
        <f t="shared" si="553"/>
        <v>12.826923076923094</v>
      </c>
      <c r="AD3553" s="6">
        <f t="shared" si="546"/>
        <v>333.50000000000006</v>
      </c>
      <c r="AE3553" s="2">
        <f>VLOOKUP(I3553,[1]媒体政策预估表!A:N,MATCH(O3553,[1]媒体政策预估表!$A$2:$M$2,0),0)</f>
        <v>0.12</v>
      </c>
      <c r="AF3553" s="6">
        <f t="shared" si="554"/>
        <v>40.020000000000003</v>
      </c>
      <c r="AG3553" s="14">
        <v>0</v>
      </c>
      <c r="AH3553" s="64">
        <f t="shared" si="547"/>
        <v>333.50000000000006</v>
      </c>
      <c r="AI3553" s="47"/>
      <c r="AJ3553" s="126" t="e">
        <v>#N/A</v>
      </c>
      <c r="AK3553" s="80">
        <f t="shared" si="552"/>
        <v>0</v>
      </c>
      <c r="AM3553" s="85"/>
    </row>
    <row r="3554" spans="1:39" hidden="1" x14ac:dyDescent="0.3">
      <c r="A3554" s="89" t="s">
        <v>3408</v>
      </c>
      <c r="B3554" s="86" t="s">
        <v>35</v>
      </c>
      <c r="C3554" s="86" t="s">
        <v>164</v>
      </c>
      <c r="D3554" s="86" t="s">
        <v>174</v>
      </c>
      <c r="E3554" s="86" t="s">
        <v>651</v>
      </c>
      <c r="F3554" s="86" t="s">
        <v>651</v>
      </c>
      <c r="G3554" s="86" t="s">
        <v>651</v>
      </c>
      <c r="H3554" s="143">
        <v>62</v>
      </c>
      <c r="I3554" s="86" t="s">
        <v>408</v>
      </c>
      <c r="J3554" s="1" t="s">
        <v>3324</v>
      </c>
      <c r="K3554" s="1" t="s">
        <v>3278</v>
      </c>
      <c r="L3554" s="1" t="s">
        <v>35</v>
      </c>
      <c r="M3554" s="86" t="s">
        <v>656</v>
      </c>
      <c r="N3554" s="86"/>
      <c r="O3554" s="47" t="s">
        <v>45</v>
      </c>
      <c r="P3554" s="47" t="s">
        <v>46</v>
      </c>
      <c r="Q3554" s="14">
        <v>0.04</v>
      </c>
      <c r="R3554" s="143">
        <v>1000084508</v>
      </c>
      <c r="S3554" s="47"/>
      <c r="T3554" s="6">
        <v>50000</v>
      </c>
      <c r="U3554" s="6">
        <v>60000</v>
      </c>
      <c r="V3554" s="6">
        <v>0</v>
      </c>
      <c r="W3554" s="6">
        <f t="shared" si="548"/>
        <v>110000</v>
      </c>
      <c r="X3554" s="6">
        <f t="shared" si="549"/>
        <v>0</v>
      </c>
      <c r="Y3554" s="13">
        <f t="shared" si="550"/>
        <v>0</v>
      </c>
      <c r="Z3554" s="14">
        <v>0</v>
      </c>
      <c r="AA3554" s="6">
        <v>0</v>
      </c>
      <c r="AB3554" s="4">
        <f t="shared" si="551"/>
        <v>0</v>
      </c>
      <c r="AC3554" s="4">
        <f t="shared" si="553"/>
        <v>0</v>
      </c>
      <c r="AD3554" s="6">
        <f t="shared" si="546"/>
        <v>0</v>
      </c>
      <c r="AE3554" s="2">
        <f>VLOOKUP(I3554,[1]媒体政策预估表!A:N,MATCH(O3554,[1]媒体政策预估表!$A$2:$M$2,0),0)</f>
        <v>0.12</v>
      </c>
      <c r="AF3554" s="6">
        <f t="shared" si="554"/>
        <v>0</v>
      </c>
      <c r="AG3554" s="14">
        <v>0</v>
      </c>
      <c r="AH3554" s="64">
        <f t="shared" si="547"/>
        <v>0</v>
      </c>
      <c r="AI3554" s="47"/>
      <c r="AJ3554" s="126" t="e">
        <v>#N/A</v>
      </c>
      <c r="AK3554" s="80">
        <f t="shared" si="552"/>
        <v>0</v>
      </c>
      <c r="AM3554" s="85"/>
    </row>
    <row r="3555" spans="1:39" hidden="1" x14ac:dyDescent="0.3">
      <c r="A3555" s="89" t="s">
        <v>3408</v>
      </c>
      <c r="B3555" s="86" t="s">
        <v>35</v>
      </c>
      <c r="C3555" s="86" t="s">
        <v>164</v>
      </c>
      <c r="D3555" s="86" t="s">
        <v>174</v>
      </c>
      <c r="E3555" s="86" t="s">
        <v>651</v>
      </c>
      <c r="F3555" s="86" t="s">
        <v>651</v>
      </c>
      <c r="G3555" s="86" t="s">
        <v>651</v>
      </c>
      <c r="H3555" s="144">
        <v>62</v>
      </c>
      <c r="I3555" s="86" t="s">
        <v>408</v>
      </c>
      <c r="J3555" s="1" t="s">
        <v>3324</v>
      </c>
      <c r="K3555" s="1" t="s">
        <v>3278</v>
      </c>
      <c r="L3555" s="1" t="s">
        <v>35</v>
      </c>
      <c r="M3555" s="86" t="s">
        <v>657</v>
      </c>
      <c r="N3555" s="86"/>
      <c r="O3555" s="47" t="s">
        <v>45</v>
      </c>
      <c r="P3555" s="47" t="s">
        <v>46</v>
      </c>
      <c r="Q3555" s="14">
        <v>0.04</v>
      </c>
      <c r="R3555" s="143">
        <v>1000073750</v>
      </c>
      <c r="S3555" s="47"/>
      <c r="T3555" s="6">
        <v>144015.07</v>
      </c>
      <c r="U3555" s="6">
        <v>200000</v>
      </c>
      <c r="V3555" s="6">
        <v>914.4</v>
      </c>
      <c r="W3555" s="6">
        <f t="shared" si="548"/>
        <v>343100.67</v>
      </c>
      <c r="X3555" s="6">
        <f t="shared" si="549"/>
        <v>879.23076923076917</v>
      </c>
      <c r="Y3555" s="13">
        <f t="shared" si="550"/>
        <v>0</v>
      </c>
      <c r="Z3555" s="14">
        <v>0</v>
      </c>
      <c r="AA3555" s="6">
        <v>0</v>
      </c>
      <c r="AB3555" s="4">
        <f t="shared" si="551"/>
        <v>879.23076923076917</v>
      </c>
      <c r="AC3555" s="4">
        <f t="shared" si="553"/>
        <v>35.169230769230808</v>
      </c>
      <c r="AD3555" s="6">
        <f t="shared" si="546"/>
        <v>914.4</v>
      </c>
      <c r="AE3555" s="2">
        <f>VLOOKUP(I3555,[1]媒体政策预估表!A:N,MATCH(O3555,[1]媒体政策预估表!$A$2:$M$2,0),0)</f>
        <v>0.12</v>
      </c>
      <c r="AF3555" s="6">
        <f t="shared" si="554"/>
        <v>109.72799999999999</v>
      </c>
      <c r="AG3555" s="14">
        <v>0</v>
      </c>
      <c r="AH3555" s="64">
        <f t="shared" si="547"/>
        <v>914.4</v>
      </c>
      <c r="AI3555" s="47"/>
      <c r="AJ3555" s="126" t="e">
        <v>#N/A</v>
      </c>
      <c r="AK3555" s="80">
        <f t="shared" si="552"/>
        <v>0</v>
      </c>
      <c r="AM3555" s="85"/>
    </row>
    <row r="3556" spans="1:39" hidden="1" x14ac:dyDescent="0.3">
      <c r="A3556" s="89" t="s">
        <v>3408</v>
      </c>
      <c r="B3556" s="86" t="s">
        <v>35</v>
      </c>
      <c r="C3556" s="86" t="s">
        <v>164</v>
      </c>
      <c r="D3556" s="86" t="s">
        <v>174</v>
      </c>
      <c r="E3556" s="86" t="s">
        <v>651</v>
      </c>
      <c r="F3556" s="86" t="s">
        <v>651</v>
      </c>
      <c r="G3556" s="86" t="s">
        <v>651</v>
      </c>
      <c r="H3556" s="144">
        <v>62</v>
      </c>
      <c r="I3556" s="86" t="s">
        <v>408</v>
      </c>
      <c r="J3556" s="1" t="s">
        <v>3324</v>
      </c>
      <c r="K3556" s="1" t="s">
        <v>3278</v>
      </c>
      <c r="L3556" s="1" t="s">
        <v>35</v>
      </c>
      <c r="M3556" s="86" t="s">
        <v>658</v>
      </c>
      <c r="N3556" s="86"/>
      <c r="O3556" s="47" t="s">
        <v>45</v>
      </c>
      <c r="P3556" s="47" t="s">
        <v>46</v>
      </c>
      <c r="Q3556" s="14">
        <v>0.04</v>
      </c>
      <c r="R3556" s="143">
        <v>1000085275</v>
      </c>
      <c r="S3556" s="47"/>
      <c r="T3556" s="6">
        <v>179450.74</v>
      </c>
      <c r="U3556" s="6">
        <v>200000</v>
      </c>
      <c r="V3556" s="6">
        <v>226.54</v>
      </c>
      <c r="W3556" s="6">
        <f t="shared" si="548"/>
        <v>379224.2</v>
      </c>
      <c r="X3556" s="6">
        <f t="shared" si="549"/>
        <v>217.82692307692307</v>
      </c>
      <c r="Y3556" s="13">
        <f t="shared" si="550"/>
        <v>0</v>
      </c>
      <c r="Z3556" s="14">
        <v>0</v>
      </c>
      <c r="AA3556" s="6">
        <v>0</v>
      </c>
      <c r="AB3556" s="4">
        <f t="shared" si="551"/>
        <v>217.82692307692307</v>
      </c>
      <c r="AC3556" s="4">
        <f t="shared" si="553"/>
        <v>8.7130769230769261</v>
      </c>
      <c r="AD3556" s="6">
        <f t="shared" ref="AD3556:AD3619" si="555">V3556</f>
        <v>226.54</v>
      </c>
      <c r="AE3556" s="2">
        <f>VLOOKUP(I3556,[1]媒体政策预估表!A:N,MATCH(O3556,[1]媒体政策预估表!$A$2:$M$2,0),0)</f>
        <v>0.12</v>
      </c>
      <c r="AF3556" s="6">
        <f t="shared" si="554"/>
        <v>27.184799999999999</v>
      </c>
      <c r="AG3556" s="14">
        <v>0</v>
      </c>
      <c r="AH3556" s="64">
        <f t="shared" ref="AH3556:AH3619" si="556">V3556</f>
        <v>226.54</v>
      </c>
      <c r="AI3556" s="47"/>
      <c r="AJ3556" s="126" t="e">
        <v>#N/A</v>
      </c>
      <c r="AK3556" s="80">
        <f t="shared" si="552"/>
        <v>0</v>
      </c>
      <c r="AM3556" s="85"/>
    </row>
    <row r="3557" spans="1:39" hidden="1" x14ac:dyDescent="0.3">
      <c r="A3557" s="89" t="s">
        <v>3397</v>
      </c>
      <c r="B3557" s="86" t="s">
        <v>35</v>
      </c>
      <c r="C3557" s="86" t="s">
        <v>164</v>
      </c>
      <c r="D3557" s="86" t="s">
        <v>174</v>
      </c>
      <c r="E3557" s="86" t="s">
        <v>3470</v>
      </c>
      <c r="F3557" s="86" t="s">
        <v>3470</v>
      </c>
      <c r="G3557" s="86" t="s">
        <v>3470</v>
      </c>
      <c r="H3557" s="144">
        <v>62</v>
      </c>
      <c r="I3557" s="86" t="s">
        <v>408</v>
      </c>
      <c r="J3557" s="1" t="s">
        <v>3324</v>
      </c>
      <c r="K3557" s="1" t="s">
        <v>3278</v>
      </c>
      <c r="L3557" s="1" t="s">
        <v>35</v>
      </c>
      <c r="M3557" s="86" t="s">
        <v>674</v>
      </c>
      <c r="N3557" s="86"/>
      <c r="O3557" s="47" t="s">
        <v>410</v>
      </c>
      <c r="P3557" s="47" t="s">
        <v>46</v>
      </c>
      <c r="Q3557" s="14">
        <v>0.02</v>
      </c>
      <c r="R3557" s="143">
        <v>1000099492</v>
      </c>
      <c r="S3557" s="47"/>
      <c r="T3557" s="6">
        <v>0</v>
      </c>
      <c r="U3557" s="6">
        <v>20000</v>
      </c>
      <c r="V3557" s="6">
        <v>14893.669999999998</v>
      </c>
      <c r="W3557" s="6">
        <f t="shared" si="548"/>
        <v>5106.3300000000017</v>
      </c>
      <c r="X3557" s="6">
        <f t="shared" si="549"/>
        <v>14601.637254901958</v>
      </c>
      <c r="Y3557" s="13">
        <f t="shared" si="550"/>
        <v>0</v>
      </c>
      <c r="Z3557" s="14">
        <v>0</v>
      </c>
      <c r="AA3557" s="6">
        <v>0</v>
      </c>
      <c r="AB3557" s="4">
        <f t="shared" si="551"/>
        <v>14601.637254901958</v>
      </c>
      <c r="AC3557" s="4">
        <f t="shared" si="553"/>
        <v>292.03274509804032</v>
      </c>
      <c r="AD3557" s="6">
        <f t="shared" si="555"/>
        <v>14893.669999999998</v>
      </c>
      <c r="AE3557" s="2">
        <f>VLOOKUP(I3557,[1]媒体政策预估表!A:N,MATCH(O3557,[1]媒体政策预估表!$A$2:$M$2,0),0)</f>
        <v>7.0000000000000007E-2</v>
      </c>
      <c r="AF3557" s="6">
        <f t="shared" si="554"/>
        <v>1042.5569</v>
      </c>
      <c r="AG3557" s="14">
        <v>0</v>
      </c>
      <c r="AH3557" s="64">
        <f t="shared" si="556"/>
        <v>14893.669999999998</v>
      </c>
      <c r="AI3557" s="47"/>
      <c r="AJ3557" s="126" t="e">
        <v>#N/A</v>
      </c>
      <c r="AK3557" s="80">
        <f t="shared" si="552"/>
        <v>0</v>
      </c>
      <c r="AM3557" s="85"/>
    </row>
    <row r="3558" spans="1:39" hidden="1" x14ac:dyDescent="0.3">
      <c r="A3558" s="89" t="s">
        <v>3397</v>
      </c>
      <c r="B3558" s="86" t="s">
        <v>35</v>
      </c>
      <c r="C3558" s="86" t="s">
        <v>164</v>
      </c>
      <c r="D3558" s="86" t="s">
        <v>174</v>
      </c>
      <c r="E3558" s="86" t="s">
        <v>659</v>
      </c>
      <c r="F3558" s="86" t="s">
        <v>660</v>
      </c>
      <c r="G3558" s="86" t="s">
        <v>659</v>
      </c>
      <c r="H3558" s="144">
        <v>62</v>
      </c>
      <c r="I3558" s="86" t="s">
        <v>408</v>
      </c>
      <c r="J3558" s="1" t="s">
        <v>3324</v>
      </c>
      <c r="K3558" s="1" t="s">
        <v>3278</v>
      </c>
      <c r="L3558" s="1" t="s">
        <v>35</v>
      </c>
      <c r="M3558" s="86" t="s">
        <v>661</v>
      </c>
      <c r="N3558" s="86"/>
      <c r="O3558" s="47" t="s">
        <v>410</v>
      </c>
      <c r="P3558" s="47" t="s">
        <v>46</v>
      </c>
      <c r="Q3558" s="14">
        <v>0.03</v>
      </c>
      <c r="R3558" s="143">
        <v>1000068287</v>
      </c>
      <c r="S3558" s="47"/>
      <c r="T3558" s="6">
        <v>67890.439999999828</v>
      </c>
      <c r="U3558" s="6">
        <v>1227000</v>
      </c>
      <c r="V3558" s="6">
        <v>1174388.7100000004</v>
      </c>
      <c r="W3558" s="6">
        <f t="shared" ref="W3558:W3621" si="557">T3558+U3558-V3558</f>
        <v>120501.72999999952</v>
      </c>
      <c r="X3558" s="6">
        <f t="shared" si="549"/>
        <v>1140183.2135922334</v>
      </c>
      <c r="Y3558" s="13">
        <f t="shared" si="550"/>
        <v>0</v>
      </c>
      <c r="Z3558" s="14">
        <v>0</v>
      </c>
      <c r="AA3558" s="6">
        <v>0</v>
      </c>
      <c r="AB3558" s="4">
        <f t="shared" si="551"/>
        <v>1140183.2135922334</v>
      </c>
      <c r="AC3558" s="4">
        <f t="shared" si="553"/>
        <v>34205.496407767059</v>
      </c>
      <c r="AD3558" s="6">
        <f t="shared" si="555"/>
        <v>1174388.7100000004</v>
      </c>
      <c r="AE3558" s="2">
        <f>VLOOKUP(I3558,[1]媒体政策预估表!A:N,MATCH(O3558,[1]媒体政策预估表!$A$2:$M$2,0),0)</f>
        <v>7.0000000000000007E-2</v>
      </c>
      <c r="AF3558" s="6">
        <f t="shared" si="554"/>
        <v>82207.209700000036</v>
      </c>
      <c r="AG3558" s="14">
        <v>0</v>
      </c>
      <c r="AH3558" s="64">
        <f t="shared" si="556"/>
        <v>1174388.7100000004</v>
      </c>
      <c r="AI3558" s="47"/>
      <c r="AJ3558" s="126" t="e">
        <v>#N/A</v>
      </c>
      <c r="AK3558" s="80">
        <f t="shared" si="552"/>
        <v>0</v>
      </c>
      <c r="AM3558" s="85"/>
    </row>
    <row r="3559" spans="1:39" hidden="1" x14ac:dyDescent="0.3">
      <c r="A3559" s="89" t="s">
        <v>3397</v>
      </c>
      <c r="B3559" s="86" t="s">
        <v>35</v>
      </c>
      <c r="C3559" s="86" t="s">
        <v>164</v>
      </c>
      <c r="D3559" s="86" t="s">
        <v>174</v>
      </c>
      <c r="E3559" s="86" t="s">
        <v>659</v>
      </c>
      <c r="F3559" s="86" t="s">
        <v>660</v>
      </c>
      <c r="G3559" s="86" t="s">
        <v>659</v>
      </c>
      <c r="H3559" s="144">
        <v>62</v>
      </c>
      <c r="I3559" s="86" t="s">
        <v>408</v>
      </c>
      <c r="J3559" s="1" t="s">
        <v>3324</v>
      </c>
      <c r="K3559" s="1" t="s">
        <v>3278</v>
      </c>
      <c r="L3559" s="1" t="s">
        <v>35</v>
      </c>
      <c r="M3559" s="86" t="s">
        <v>662</v>
      </c>
      <c r="N3559" s="86"/>
      <c r="O3559" s="47" t="s">
        <v>410</v>
      </c>
      <c r="P3559" s="47" t="s">
        <v>46</v>
      </c>
      <c r="Q3559" s="14">
        <v>0.03</v>
      </c>
      <c r="R3559" s="143">
        <v>1000068286</v>
      </c>
      <c r="S3559" s="47"/>
      <c r="T3559" s="6">
        <v>163450.6799999997</v>
      </c>
      <c r="U3559" s="6">
        <v>1547850</v>
      </c>
      <c r="V3559" s="6">
        <v>1585684.38</v>
      </c>
      <c r="W3559" s="6">
        <f t="shared" si="557"/>
        <v>125616.29999999981</v>
      </c>
      <c r="X3559" s="6">
        <f t="shared" ref="X3559:X3622" si="558">IF(P3559="折扣",V3559*Q3559,IF(P3559="返现",V3559,V3559/(1+Q3559)))</f>
        <v>1539499.3980582522</v>
      </c>
      <c r="Y3559" s="13">
        <f t="shared" si="550"/>
        <v>0</v>
      </c>
      <c r="Z3559" s="14">
        <v>0</v>
      </c>
      <c r="AA3559" s="6">
        <v>0</v>
      </c>
      <c r="AB3559" s="4">
        <f t="shared" si="551"/>
        <v>1539499.3980582522</v>
      </c>
      <c r="AC3559" s="4">
        <f t="shared" si="553"/>
        <v>46184.981941747712</v>
      </c>
      <c r="AD3559" s="6">
        <f t="shared" si="555"/>
        <v>1585684.38</v>
      </c>
      <c r="AE3559" s="2">
        <f>VLOOKUP(I3559,[1]媒体政策预估表!A:N,MATCH(O3559,[1]媒体政策预估表!$A$2:$M$2,0),0)</f>
        <v>7.0000000000000007E-2</v>
      </c>
      <c r="AF3559" s="6">
        <f t="shared" si="554"/>
        <v>110997.9066</v>
      </c>
      <c r="AG3559" s="14">
        <v>0</v>
      </c>
      <c r="AH3559" s="64">
        <f t="shared" si="556"/>
        <v>1585684.38</v>
      </c>
      <c r="AI3559" s="47"/>
      <c r="AJ3559" s="126" t="e">
        <v>#N/A</v>
      </c>
      <c r="AK3559" s="80">
        <f t="shared" si="552"/>
        <v>0</v>
      </c>
      <c r="AM3559" s="85"/>
    </row>
    <row r="3560" spans="1:39" hidden="1" x14ac:dyDescent="0.3">
      <c r="A3560" s="89" t="s">
        <v>3397</v>
      </c>
      <c r="B3560" s="86" t="s">
        <v>35</v>
      </c>
      <c r="C3560" s="86" t="s">
        <v>164</v>
      </c>
      <c r="D3560" s="86" t="s">
        <v>174</v>
      </c>
      <c r="E3560" s="86" t="s">
        <v>659</v>
      </c>
      <c r="F3560" s="86" t="s">
        <v>660</v>
      </c>
      <c r="G3560" s="86" t="s">
        <v>659</v>
      </c>
      <c r="H3560" s="143">
        <v>62</v>
      </c>
      <c r="I3560" s="86" t="s">
        <v>408</v>
      </c>
      <c r="J3560" s="1" t="s">
        <v>3324</v>
      </c>
      <c r="K3560" s="1" t="s">
        <v>3278</v>
      </c>
      <c r="L3560" s="1" t="s">
        <v>35</v>
      </c>
      <c r="M3560" s="86" t="s">
        <v>663</v>
      </c>
      <c r="N3560" s="86"/>
      <c r="O3560" s="47" t="s">
        <v>45</v>
      </c>
      <c r="P3560" s="47" t="s">
        <v>46</v>
      </c>
      <c r="Q3560" s="14">
        <v>0.05</v>
      </c>
      <c r="R3560" s="143">
        <v>1000084820</v>
      </c>
      <c r="S3560" s="47"/>
      <c r="T3560" s="6">
        <v>2286.8000000000002</v>
      </c>
      <c r="U3560" s="6">
        <v>250</v>
      </c>
      <c r="V3560" s="6">
        <v>0</v>
      </c>
      <c r="W3560" s="6">
        <f t="shared" si="557"/>
        <v>2536.8000000000002</v>
      </c>
      <c r="X3560" s="6">
        <f t="shared" si="558"/>
        <v>0</v>
      </c>
      <c r="Y3560" s="13">
        <f t="shared" si="550"/>
        <v>0</v>
      </c>
      <c r="Z3560" s="14">
        <v>0</v>
      </c>
      <c r="AA3560" s="6">
        <v>0</v>
      </c>
      <c r="AB3560" s="4">
        <f t="shared" si="551"/>
        <v>0</v>
      </c>
      <c r="AC3560" s="4">
        <f t="shared" si="553"/>
        <v>0</v>
      </c>
      <c r="AD3560" s="6">
        <f t="shared" si="555"/>
        <v>0</v>
      </c>
      <c r="AE3560" s="2">
        <f>VLOOKUP(I3560,[1]媒体政策预估表!A:N,MATCH(O3560,[1]媒体政策预估表!$A$2:$M$2,0),0)</f>
        <v>0.12</v>
      </c>
      <c r="AF3560" s="6">
        <f t="shared" si="554"/>
        <v>0</v>
      </c>
      <c r="AG3560" s="14">
        <v>0</v>
      </c>
      <c r="AH3560" s="64">
        <f t="shared" si="556"/>
        <v>0</v>
      </c>
      <c r="AI3560" s="47"/>
      <c r="AJ3560" s="126" t="e">
        <v>#N/A</v>
      </c>
      <c r="AK3560" s="80">
        <f t="shared" si="552"/>
        <v>0</v>
      </c>
      <c r="AM3560" s="85"/>
    </row>
    <row r="3561" spans="1:39" hidden="1" x14ac:dyDescent="0.3">
      <c r="A3561" s="89" t="s">
        <v>3397</v>
      </c>
      <c r="B3561" s="86" t="s">
        <v>35</v>
      </c>
      <c r="C3561" s="86" t="s">
        <v>164</v>
      </c>
      <c r="D3561" s="86" t="s">
        <v>174</v>
      </c>
      <c r="E3561" s="86" t="s">
        <v>664</v>
      </c>
      <c r="F3561" s="86" t="s">
        <v>664</v>
      </c>
      <c r="G3561" s="86" t="s">
        <v>664</v>
      </c>
      <c r="H3561" s="144">
        <v>62</v>
      </c>
      <c r="I3561" s="86" t="s">
        <v>408</v>
      </c>
      <c r="J3561" s="1" t="s">
        <v>3324</v>
      </c>
      <c r="K3561" s="1" t="s">
        <v>3278</v>
      </c>
      <c r="L3561" s="1" t="s">
        <v>35</v>
      </c>
      <c r="M3561" s="86" t="s">
        <v>665</v>
      </c>
      <c r="N3561" s="86"/>
      <c r="O3561" s="47" t="s">
        <v>410</v>
      </c>
      <c r="P3561" s="47" t="s">
        <v>46</v>
      </c>
      <c r="Q3561" s="14">
        <v>0.02</v>
      </c>
      <c r="R3561" s="143">
        <v>1000057295</v>
      </c>
      <c r="S3561" s="47"/>
      <c r="T3561" s="6">
        <v>160000</v>
      </c>
      <c r="U3561" s="6">
        <v>566628.57000000007</v>
      </c>
      <c r="V3561" s="6">
        <v>225577.06999999998</v>
      </c>
      <c r="W3561" s="6">
        <f t="shared" si="557"/>
        <v>501051.50000000012</v>
      </c>
      <c r="X3561" s="6">
        <f t="shared" si="558"/>
        <v>221153.9901960784</v>
      </c>
      <c r="Y3561" s="13">
        <f t="shared" si="550"/>
        <v>0</v>
      </c>
      <c r="Z3561" s="14">
        <v>0</v>
      </c>
      <c r="AA3561" s="6">
        <v>0</v>
      </c>
      <c r="AB3561" s="4">
        <f t="shared" si="551"/>
        <v>221153.9901960784</v>
      </c>
      <c r="AC3561" s="4">
        <f t="shared" si="553"/>
        <v>4423.0798039215733</v>
      </c>
      <c r="AD3561" s="6">
        <f t="shared" si="555"/>
        <v>225577.06999999998</v>
      </c>
      <c r="AE3561" s="2">
        <f>VLOOKUP(I3561,[1]媒体政策预估表!A:N,MATCH(O3561,[1]媒体政策预估表!$A$2:$M$2,0),0)</f>
        <v>7.0000000000000007E-2</v>
      </c>
      <c r="AF3561" s="6">
        <f t="shared" si="554"/>
        <v>15790.394899999999</v>
      </c>
      <c r="AG3561" s="14">
        <v>0</v>
      </c>
      <c r="AH3561" s="64">
        <f t="shared" si="556"/>
        <v>225577.06999999998</v>
      </c>
      <c r="AI3561" s="47"/>
      <c r="AJ3561" s="126" t="e">
        <v>#N/A</v>
      </c>
      <c r="AK3561" s="80">
        <f t="shared" si="552"/>
        <v>0</v>
      </c>
      <c r="AM3561" s="85"/>
    </row>
    <row r="3562" spans="1:39" hidden="1" x14ac:dyDescent="0.3">
      <c r="A3562" s="89" t="s">
        <v>3397</v>
      </c>
      <c r="B3562" s="86" t="s">
        <v>35</v>
      </c>
      <c r="C3562" s="86" t="s">
        <v>164</v>
      </c>
      <c r="D3562" s="86" t="s">
        <v>174</v>
      </c>
      <c r="E3562" s="86" t="s">
        <v>664</v>
      </c>
      <c r="F3562" s="86" t="s">
        <v>664</v>
      </c>
      <c r="G3562" s="86" t="s">
        <v>664</v>
      </c>
      <c r="H3562" s="144">
        <v>62</v>
      </c>
      <c r="I3562" s="86" t="s">
        <v>408</v>
      </c>
      <c r="J3562" s="1" t="s">
        <v>3324</v>
      </c>
      <c r="K3562" s="1" t="s">
        <v>3278</v>
      </c>
      <c r="L3562" s="1" t="s">
        <v>35</v>
      </c>
      <c r="M3562" s="86" t="s">
        <v>3471</v>
      </c>
      <c r="N3562" s="86"/>
      <c r="O3562" s="47" t="s">
        <v>45</v>
      </c>
      <c r="P3562" s="47" t="s">
        <v>46</v>
      </c>
      <c r="Q3562" s="14">
        <v>0.05</v>
      </c>
      <c r="R3562" s="143">
        <v>1000072150</v>
      </c>
      <c r="S3562" s="47"/>
      <c r="T3562" s="6">
        <v>0</v>
      </c>
      <c r="U3562" s="6">
        <v>302000</v>
      </c>
      <c r="V3562" s="6">
        <v>153742.34999999998</v>
      </c>
      <c r="W3562" s="6">
        <f t="shared" si="557"/>
        <v>148257.65000000002</v>
      </c>
      <c r="X3562" s="6">
        <f t="shared" si="558"/>
        <v>146421.28571428568</v>
      </c>
      <c r="Y3562" s="13">
        <f t="shared" si="550"/>
        <v>0</v>
      </c>
      <c r="Z3562" s="14">
        <v>0</v>
      </c>
      <c r="AA3562" s="6">
        <v>0</v>
      </c>
      <c r="AB3562" s="4">
        <f t="shared" si="551"/>
        <v>146421.28571428568</v>
      </c>
      <c r="AC3562" s="4">
        <f t="shared" si="553"/>
        <v>7321.0642857142957</v>
      </c>
      <c r="AD3562" s="6">
        <f t="shared" si="555"/>
        <v>153742.34999999998</v>
      </c>
      <c r="AE3562" s="2">
        <f>VLOOKUP(I3562,[1]媒体政策预估表!A:N,MATCH(O3562,[1]媒体政策预估表!$A$2:$M$2,0),0)</f>
        <v>0.12</v>
      </c>
      <c r="AF3562" s="6">
        <f t="shared" si="554"/>
        <v>18449.081999999995</v>
      </c>
      <c r="AG3562" s="14">
        <v>0</v>
      </c>
      <c r="AH3562" s="64">
        <f t="shared" si="556"/>
        <v>153742.34999999998</v>
      </c>
      <c r="AI3562" s="47"/>
      <c r="AJ3562" s="126" t="e">
        <v>#N/A</v>
      </c>
      <c r="AK3562" s="80">
        <f t="shared" si="552"/>
        <v>0</v>
      </c>
      <c r="AM3562" s="85"/>
    </row>
    <row r="3563" spans="1:39" hidden="1" x14ac:dyDescent="0.3">
      <c r="A3563" s="89" t="s">
        <v>3397</v>
      </c>
      <c r="B3563" s="86" t="s">
        <v>35</v>
      </c>
      <c r="C3563" s="86" t="s">
        <v>164</v>
      </c>
      <c r="D3563" s="86" t="s">
        <v>174</v>
      </c>
      <c r="E3563" s="86" t="s">
        <v>3472</v>
      </c>
      <c r="F3563" s="86" t="s">
        <v>3473</v>
      </c>
      <c r="G3563" s="86" t="s">
        <v>3472</v>
      </c>
      <c r="H3563" s="144">
        <v>62</v>
      </c>
      <c r="I3563" s="86" t="s">
        <v>408</v>
      </c>
      <c r="J3563" s="1" t="s">
        <v>3324</v>
      </c>
      <c r="K3563" s="1" t="s">
        <v>3278</v>
      </c>
      <c r="L3563" s="1" t="s">
        <v>35</v>
      </c>
      <c r="M3563" s="86" t="s">
        <v>672</v>
      </c>
      <c r="N3563" s="86"/>
      <c r="O3563" s="47" t="s">
        <v>410</v>
      </c>
      <c r="P3563" s="47" t="s">
        <v>41</v>
      </c>
      <c r="Q3563" s="14">
        <v>0</v>
      </c>
      <c r="R3563" s="143">
        <v>1000097764</v>
      </c>
      <c r="S3563" s="47"/>
      <c r="T3563" s="6">
        <v>0</v>
      </c>
      <c r="U3563" s="6">
        <v>80000</v>
      </c>
      <c r="V3563" s="6">
        <v>55341.400000000009</v>
      </c>
      <c r="W3563" s="6">
        <f t="shared" si="557"/>
        <v>24658.599999999991</v>
      </c>
      <c r="X3563" s="6">
        <f t="shared" si="558"/>
        <v>55341.400000000009</v>
      </c>
      <c r="Y3563" s="13">
        <f t="shared" si="550"/>
        <v>0</v>
      </c>
      <c r="Z3563" s="14">
        <v>0</v>
      </c>
      <c r="AA3563" s="6">
        <v>0</v>
      </c>
      <c r="AB3563" s="4">
        <f t="shared" si="551"/>
        <v>55341.400000000009</v>
      </c>
      <c r="AC3563" s="4">
        <f t="shared" si="553"/>
        <v>0</v>
      </c>
      <c r="AD3563" s="6">
        <f t="shared" si="555"/>
        <v>55341.400000000009</v>
      </c>
      <c r="AE3563" s="2">
        <f>VLOOKUP(I3563,[1]媒体政策预估表!A:N,MATCH(O3563,[1]媒体政策预估表!$A$2:$M$2,0),0)</f>
        <v>7.0000000000000007E-2</v>
      </c>
      <c r="AF3563" s="6">
        <f t="shared" si="554"/>
        <v>3873.898000000001</v>
      </c>
      <c r="AG3563" s="14">
        <v>0</v>
      </c>
      <c r="AH3563" s="64">
        <f t="shared" si="556"/>
        <v>55341.400000000009</v>
      </c>
      <c r="AI3563" s="47"/>
      <c r="AJ3563" s="126" t="e">
        <v>#N/A</v>
      </c>
      <c r="AK3563" s="80">
        <f t="shared" si="552"/>
        <v>0</v>
      </c>
      <c r="AM3563" s="85"/>
    </row>
    <row r="3564" spans="1:39" hidden="1" x14ac:dyDescent="0.3">
      <c r="A3564" s="89" t="s">
        <v>3397</v>
      </c>
      <c r="B3564" s="86" t="s">
        <v>35</v>
      </c>
      <c r="C3564" s="86" t="s">
        <v>164</v>
      </c>
      <c r="D3564" s="86" t="s">
        <v>174</v>
      </c>
      <c r="E3564" s="86" t="s">
        <v>668</v>
      </c>
      <c r="F3564" s="86" t="s">
        <v>668</v>
      </c>
      <c r="G3564" s="86" t="s">
        <v>668</v>
      </c>
      <c r="H3564" s="144">
        <v>62</v>
      </c>
      <c r="I3564" s="86" t="s">
        <v>408</v>
      </c>
      <c r="J3564" s="1" t="s">
        <v>3324</v>
      </c>
      <c r="K3564" s="1" t="s">
        <v>3278</v>
      </c>
      <c r="L3564" s="1" t="s">
        <v>35</v>
      </c>
      <c r="M3564" s="86" t="s">
        <v>670</v>
      </c>
      <c r="N3564" s="86"/>
      <c r="O3564" s="47" t="s">
        <v>410</v>
      </c>
      <c r="P3564" s="47" t="s">
        <v>46</v>
      </c>
      <c r="Q3564" s="14">
        <v>0.02</v>
      </c>
      <c r="R3564" s="143">
        <v>1000098963</v>
      </c>
      <c r="S3564" s="47"/>
      <c r="T3564" s="6">
        <v>888.80000000000018</v>
      </c>
      <c r="U3564" s="6">
        <v>2000</v>
      </c>
      <c r="V3564" s="6">
        <v>1023.1999999999998</v>
      </c>
      <c r="W3564" s="6">
        <f t="shared" si="557"/>
        <v>1865.6000000000004</v>
      </c>
      <c r="X3564" s="6">
        <f t="shared" si="558"/>
        <v>1003.1372549019605</v>
      </c>
      <c r="Y3564" s="13">
        <f t="shared" si="550"/>
        <v>0</v>
      </c>
      <c r="Z3564" s="14">
        <v>0</v>
      </c>
      <c r="AA3564" s="6">
        <v>0</v>
      </c>
      <c r="AB3564" s="4">
        <f t="shared" si="551"/>
        <v>1003.1372549019605</v>
      </c>
      <c r="AC3564" s="4">
        <f t="shared" si="553"/>
        <v>20.062745098039272</v>
      </c>
      <c r="AD3564" s="6">
        <f t="shared" si="555"/>
        <v>1023.1999999999998</v>
      </c>
      <c r="AE3564" s="2">
        <f>VLOOKUP(I3564,[1]媒体政策预估表!A:N,MATCH(O3564,[1]媒体政策预估表!$A$2:$M$2,0),0)</f>
        <v>7.0000000000000007E-2</v>
      </c>
      <c r="AF3564" s="6">
        <f t="shared" si="554"/>
        <v>71.623999999999995</v>
      </c>
      <c r="AG3564" s="14">
        <v>0</v>
      </c>
      <c r="AH3564" s="64">
        <f t="shared" si="556"/>
        <v>1023.1999999999998</v>
      </c>
      <c r="AI3564" s="47"/>
      <c r="AJ3564" s="126" t="e">
        <v>#N/A</v>
      </c>
      <c r="AK3564" s="80">
        <f t="shared" si="552"/>
        <v>0</v>
      </c>
      <c r="AM3564" s="85"/>
    </row>
    <row r="3565" spans="1:39" hidden="1" x14ac:dyDescent="0.3">
      <c r="A3565" s="89" t="s">
        <v>3397</v>
      </c>
      <c r="B3565" s="86" t="s">
        <v>35</v>
      </c>
      <c r="C3565" s="86" t="s">
        <v>164</v>
      </c>
      <c r="D3565" s="86" t="s">
        <v>174</v>
      </c>
      <c r="E3565" s="86" t="s">
        <v>731</v>
      </c>
      <c r="F3565" s="86" t="s">
        <v>731</v>
      </c>
      <c r="G3565" s="86" t="s">
        <v>731</v>
      </c>
      <c r="H3565" s="143">
        <v>62</v>
      </c>
      <c r="I3565" s="86" t="s">
        <v>408</v>
      </c>
      <c r="J3565" s="1" t="s">
        <v>3324</v>
      </c>
      <c r="K3565" s="1" t="s">
        <v>3278</v>
      </c>
      <c r="L3565" s="1" t="s">
        <v>35</v>
      </c>
      <c r="M3565" s="86" t="s">
        <v>732</v>
      </c>
      <c r="N3565" s="86"/>
      <c r="O3565" s="47" t="s">
        <v>410</v>
      </c>
      <c r="P3565" s="47" t="s">
        <v>46</v>
      </c>
      <c r="Q3565" s="14">
        <v>0.02</v>
      </c>
      <c r="R3565" s="143">
        <v>1000089788</v>
      </c>
      <c r="S3565" s="47"/>
      <c r="T3565" s="6">
        <v>74.199999999999363</v>
      </c>
      <c r="U3565" s="6">
        <v>-74.2</v>
      </c>
      <c r="V3565" s="6">
        <v>0</v>
      </c>
      <c r="W3565" s="6">
        <f t="shared" si="557"/>
        <v>-6.3948846218409017E-13</v>
      </c>
      <c r="X3565" s="6">
        <f t="shared" si="558"/>
        <v>0</v>
      </c>
      <c r="Y3565" s="13">
        <f t="shared" si="550"/>
        <v>0</v>
      </c>
      <c r="Z3565" s="14">
        <v>0</v>
      </c>
      <c r="AA3565" s="6">
        <v>0</v>
      </c>
      <c r="AB3565" s="4">
        <f t="shared" si="551"/>
        <v>0</v>
      </c>
      <c r="AC3565" s="4">
        <f t="shared" si="553"/>
        <v>0</v>
      </c>
      <c r="AD3565" s="6">
        <f t="shared" si="555"/>
        <v>0</v>
      </c>
      <c r="AE3565" s="2">
        <f>VLOOKUP(I3565,[1]媒体政策预估表!A:N,MATCH(O3565,[1]媒体政策预估表!$A$2:$M$2,0),0)</f>
        <v>7.0000000000000007E-2</v>
      </c>
      <c r="AF3565" s="6">
        <f t="shared" si="554"/>
        <v>0</v>
      </c>
      <c r="AG3565" s="14">
        <v>0</v>
      </c>
      <c r="AH3565" s="64">
        <f t="shared" si="556"/>
        <v>0</v>
      </c>
      <c r="AI3565" s="47"/>
      <c r="AJ3565" s="126" t="e">
        <v>#N/A</v>
      </c>
      <c r="AK3565" s="80">
        <f t="shared" si="552"/>
        <v>0</v>
      </c>
      <c r="AM3565" s="85"/>
    </row>
    <row r="3566" spans="1:39" hidden="1" x14ac:dyDescent="0.3">
      <c r="A3566" s="89" t="s">
        <v>3397</v>
      </c>
      <c r="B3566" s="86" t="s">
        <v>35</v>
      </c>
      <c r="C3566" s="86" t="s">
        <v>164</v>
      </c>
      <c r="D3566" s="86" t="s">
        <v>174</v>
      </c>
      <c r="E3566" s="86" t="s">
        <v>671</v>
      </c>
      <c r="F3566" s="86" t="s">
        <v>671</v>
      </c>
      <c r="G3566" s="86" t="s">
        <v>671</v>
      </c>
      <c r="H3566" s="143">
        <v>62</v>
      </c>
      <c r="I3566" s="86" t="s">
        <v>408</v>
      </c>
      <c r="J3566" s="1" t="s">
        <v>3324</v>
      </c>
      <c r="K3566" s="1" t="s">
        <v>3278</v>
      </c>
      <c r="L3566" s="1" t="s">
        <v>35</v>
      </c>
      <c r="M3566" s="86" t="s">
        <v>728</v>
      </c>
      <c r="N3566" s="86"/>
      <c r="O3566" s="47" t="s">
        <v>410</v>
      </c>
      <c r="P3566" s="47" t="s">
        <v>41</v>
      </c>
      <c r="Q3566" s="14">
        <v>0</v>
      </c>
      <c r="R3566" s="143">
        <v>1000095476</v>
      </c>
      <c r="S3566" s="47"/>
      <c r="T3566" s="6">
        <v>10000</v>
      </c>
      <c r="U3566" s="6">
        <v>80000</v>
      </c>
      <c r="V3566" s="6">
        <v>54310.5</v>
      </c>
      <c r="W3566" s="6">
        <f t="shared" si="557"/>
        <v>35689.5</v>
      </c>
      <c r="X3566" s="6">
        <f t="shared" si="558"/>
        <v>54310.5</v>
      </c>
      <c r="Y3566" s="13">
        <f t="shared" si="550"/>
        <v>0</v>
      </c>
      <c r="Z3566" s="14">
        <v>0</v>
      </c>
      <c r="AA3566" s="6">
        <v>0</v>
      </c>
      <c r="AB3566" s="4"/>
      <c r="AC3566" s="4">
        <f t="shared" si="553"/>
        <v>0</v>
      </c>
      <c r="AD3566" s="6">
        <f t="shared" si="555"/>
        <v>54310.5</v>
      </c>
      <c r="AE3566" s="2">
        <f>VLOOKUP(I3566,[1]媒体政策预估表!A:N,MATCH(O3566,[1]媒体政策预估表!$A$2:$M$2,0),0)</f>
        <v>7.0000000000000007E-2</v>
      </c>
      <c r="AF3566" s="6">
        <f t="shared" si="554"/>
        <v>3801.7350000000006</v>
      </c>
      <c r="AG3566" s="14">
        <v>0</v>
      </c>
      <c r="AH3566" s="64">
        <f t="shared" si="556"/>
        <v>54310.5</v>
      </c>
      <c r="AI3566" s="47"/>
      <c r="AJ3566" s="126">
        <v>109</v>
      </c>
      <c r="AK3566" s="80">
        <f t="shared" si="552"/>
        <v>54310.5</v>
      </c>
      <c r="AM3566" s="85"/>
    </row>
    <row r="3567" spans="1:39" hidden="1" x14ac:dyDescent="0.3">
      <c r="A3567" s="89" t="s">
        <v>3397</v>
      </c>
      <c r="B3567" s="86" t="s">
        <v>35</v>
      </c>
      <c r="C3567" s="86" t="s">
        <v>164</v>
      </c>
      <c r="D3567" s="86" t="s">
        <v>174</v>
      </c>
      <c r="E3567" s="86" t="s">
        <v>671</v>
      </c>
      <c r="F3567" s="86" t="s">
        <v>3032</v>
      </c>
      <c r="G3567" s="86" t="s">
        <v>671</v>
      </c>
      <c r="H3567" s="143">
        <v>62</v>
      </c>
      <c r="I3567" s="86" t="s">
        <v>408</v>
      </c>
      <c r="J3567" s="1" t="s">
        <v>3324</v>
      </c>
      <c r="K3567" s="1" t="s">
        <v>3278</v>
      </c>
      <c r="L3567" s="1" t="s">
        <v>35</v>
      </c>
      <c r="M3567" s="86" t="s">
        <v>672</v>
      </c>
      <c r="N3567" s="86"/>
      <c r="O3567" s="47" t="s">
        <v>410</v>
      </c>
      <c r="P3567" s="47" t="s">
        <v>41</v>
      </c>
      <c r="Q3567" s="14">
        <v>0</v>
      </c>
      <c r="R3567" s="143">
        <v>1000097764</v>
      </c>
      <c r="S3567" s="47"/>
      <c r="T3567" s="6">
        <v>0</v>
      </c>
      <c r="U3567" s="6">
        <v>19999.7</v>
      </c>
      <c r="V3567" s="6">
        <v>19999.7</v>
      </c>
      <c r="W3567" s="6">
        <f t="shared" si="557"/>
        <v>0</v>
      </c>
      <c r="X3567" s="6">
        <f t="shared" si="558"/>
        <v>19999.7</v>
      </c>
      <c r="Y3567" s="13">
        <f t="shared" si="550"/>
        <v>0</v>
      </c>
      <c r="Z3567" s="14">
        <v>0</v>
      </c>
      <c r="AA3567" s="6">
        <v>0</v>
      </c>
      <c r="AB3567" s="4"/>
      <c r="AC3567" s="4">
        <f t="shared" si="553"/>
        <v>0</v>
      </c>
      <c r="AD3567" s="6">
        <f t="shared" si="555"/>
        <v>19999.7</v>
      </c>
      <c r="AE3567" s="2">
        <f>VLOOKUP(I3567,[1]媒体政策预估表!A:N,MATCH(O3567,[1]媒体政策预估表!$A$2:$M$2,0),0)</f>
        <v>7.0000000000000007E-2</v>
      </c>
      <c r="AF3567" s="6">
        <f t="shared" si="554"/>
        <v>1399.9790000000003</v>
      </c>
      <c r="AG3567" s="14">
        <v>0</v>
      </c>
      <c r="AH3567" s="64">
        <f t="shared" si="556"/>
        <v>19999.7</v>
      </c>
      <c r="AI3567" s="47"/>
      <c r="AJ3567" s="126">
        <v>109</v>
      </c>
      <c r="AK3567" s="80">
        <f t="shared" si="552"/>
        <v>19999.7</v>
      </c>
      <c r="AM3567" s="85"/>
    </row>
    <row r="3568" spans="1:39" hidden="1" x14ac:dyDescent="0.3">
      <c r="A3568" s="89" t="s">
        <v>3397</v>
      </c>
      <c r="B3568" s="86" t="s">
        <v>35</v>
      </c>
      <c r="C3568" s="86" t="s">
        <v>164</v>
      </c>
      <c r="D3568" s="86" t="s">
        <v>174</v>
      </c>
      <c r="E3568" s="86" t="s">
        <v>3474</v>
      </c>
      <c r="F3568" s="86" t="s">
        <v>3474</v>
      </c>
      <c r="G3568" s="86" t="s">
        <v>3474</v>
      </c>
      <c r="H3568" s="144">
        <v>62</v>
      </c>
      <c r="I3568" s="86" t="s">
        <v>408</v>
      </c>
      <c r="J3568" s="1" t="s">
        <v>3324</v>
      </c>
      <c r="K3568" s="1" t="s">
        <v>3278</v>
      </c>
      <c r="L3568" s="1" t="s">
        <v>35</v>
      </c>
      <c r="M3568" s="86" t="s">
        <v>3475</v>
      </c>
      <c r="N3568" s="86"/>
      <c r="O3568" s="47" t="s">
        <v>410</v>
      </c>
      <c r="P3568" s="47" t="s">
        <v>41</v>
      </c>
      <c r="Q3568" s="14">
        <v>0</v>
      </c>
      <c r="R3568" s="143">
        <v>1000073654</v>
      </c>
      <c r="S3568" s="47"/>
      <c r="T3568" s="6">
        <v>0</v>
      </c>
      <c r="U3568" s="6">
        <v>60000</v>
      </c>
      <c r="V3568" s="6">
        <v>47829.65</v>
      </c>
      <c r="W3568" s="6">
        <f t="shared" si="557"/>
        <v>12170.349999999999</v>
      </c>
      <c r="X3568" s="6">
        <f t="shared" si="558"/>
        <v>47829.65</v>
      </c>
      <c r="Y3568" s="13">
        <f t="shared" si="550"/>
        <v>0</v>
      </c>
      <c r="Z3568" s="14">
        <v>0</v>
      </c>
      <c r="AA3568" s="6">
        <v>0</v>
      </c>
      <c r="AB3568" s="4">
        <f t="shared" si="551"/>
        <v>47829.65</v>
      </c>
      <c r="AC3568" s="4">
        <f t="shared" si="553"/>
        <v>0</v>
      </c>
      <c r="AD3568" s="6">
        <f t="shared" si="555"/>
        <v>47829.65</v>
      </c>
      <c r="AE3568" s="2">
        <f>VLOOKUP(I3568,[1]媒体政策预估表!A:N,MATCH(O3568,[1]媒体政策预估表!$A$2:$M$2,0),0)</f>
        <v>7.0000000000000007E-2</v>
      </c>
      <c r="AF3568" s="6">
        <f t="shared" si="554"/>
        <v>3348.0755000000004</v>
      </c>
      <c r="AG3568" s="14">
        <v>0</v>
      </c>
      <c r="AH3568" s="64">
        <f t="shared" si="556"/>
        <v>47829.65</v>
      </c>
      <c r="AI3568" s="47"/>
      <c r="AJ3568" s="126" t="e">
        <v>#N/A</v>
      </c>
      <c r="AK3568" s="80">
        <f t="shared" si="552"/>
        <v>0</v>
      </c>
      <c r="AM3568" s="85"/>
    </row>
    <row r="3569" spans="1:39" hidden="1" x14ac:dyDescent="0.3">
      <c r="A3569" s="89" t="s">
        <v>3397</v>
      </c>
      <c r="B3569" s="86" t="s">
        <v>35</v>
      </c>
      <c r="C3569" s="86" t="s">
        <v>164</v>
      </c>
      <c r="D3569" s="86" t="s">
        <v>174</v>
      </c>
      <c r="E3569" s="86" t="s">
        <v>676</v>
      </c>
      <c r="F3569" s="86" t="s">
        <v>676</v>
      </c>
      <c r="G3569" s="86" t="s">
        <v>676</v>
      </c>
      <c r="H3569" s="144">
        <v>62</v>
      </c>
      <c r="I3569" s="86" t="s">
        <v>408</v>
      </c>
      <c r="J3569" s="1" t="s">
        <v>3324</v>
      </c>
      <c r="K3569" s="1" t="s">
        <v>3278</v>
      </c>
      <c r="L3569" s="1" t="s">
        <v>35</v>
      </c>
      <c r="M3569" s="86" t="s">
        <v>3476</v>
      </c>
      <c r="N3569" s="86"/>
      <c r="O3569" s="47" t="s">
        <v>45</v>
      </c>
      <c r="P3569" s="47" t="s">
        <v>41</v>
      </c>
      <c r="Q3569" s="14">
        <v>0</v>
      </c>
      <c r="R3569" s="143">
        <v>1000102532</v>
      </c>
      <c r="S3569" s="47"/>
      <c r="T3569" s="6">
        <v>0</v>
      </c>
      <c r="U3569" s="6">
        <v>5000</v>
      </c>
      <c r="V3569" s="6">
        <v>500.1</v>
      </c>
      <c r="W3569" s="6">
        <f t="shared" si="557"/>
        <v>4499.8999999999996</v>
      </c>
      <c r="X3569" s="6">
        <f t="shared" si="558"/>
        <v>500.1</v>
      </c>
      <c r="Y3569" s="13">
        <f t="shared" si="550"/>
        <v>0</v>
      </c>
      <c r="Z3569" s="14">
        <v>0</v>
      </c>
      <c r="AA3569" s="6">
        <v>0</v>
      </c>
      <c r="AB3569" s="4">
        <f t="shared" si="551"/>
        <v>500.1</v>
      </c>
      <c r="AC3569" s="4">
        <f t="shared" si="553"/>
        <v>0</v>
      </c>
      <c r="AD3569" s="6">
        <f t="shared" si="555"/>
        <v>500.1</v>
      </c>
      <c r="AE3569" s="2">
        <f>VLOOKUP(I3569,[1]媒体政策预估表!A:N,MATCH(O3569,[1]媒体政策预估表!$A$2:$M$2,0),0)</f>
        <v>0.12</v>
      </c>
      <c r="AF3569" s="6">
        <f t="shared" si="554"/>
        <v>60.012</v>
      </c>
      <c r="AG3569" s="14">
        <v>0</v>
      </c>
      <c r="AH3569" s="64">
        <f t="shared" si="556"/>
        <v>500.1</v>
      </c>
      <c r="AI3569" s="47"/>
      <c r="AJ3569" s="126" t="e">
        <v>#N/A</v>
      </c>
      <c r="AK3569" s="80">
        <f t="shared" si="552"/>
        <v>0</v>
      </c>
      <c r="AM3569" s="85"/>
    </row>
    <row r="3570" spans="1:39" hidden="1" x14ac:dyDescent="0.3">
      <c r="A3570" s="89" t="s">
        <v>3397</v>
      </c>
      <c r="B3570" s="86" t="s">
        <v>35</v>
      </c>
      <c r="C3570" s="86" t="s">
        <v>164</v>
      </c>
      <c r="D3570" s="86" t="s">
        <v>174</v>
      </c>
      <c r="E3570" s="86" t="s">
        <v>681</v>
      </c>
      <c r="F3570" s="86" t="s">
        <v>681</v>
      </c>
      <c r="G3570" s="86" t="s">
        <v>681</v>
      </c>
      <c r="H3570" s="144">
        <v>62</v>
      </c>
      <c r="I3570" s="86" t="s">
        <v>408</v>
      </c>
      <c r="J3570" s="1" t="s">
        <v>3324</v>
      </c>
      <c r="K3570" s="1" t="s">
        <v>3278</v>
      </c>
      <c r="L3570" s="1" t="s">
        <v>35</v>
      </c>
      <c r="M3570" s="86" t="s">
        <v>682</v>
      </c>
      <c r="N3570" s="86"/>
      <c r="O3570" s="47" t="s">
        <v>410</v>
      </c>
      <c r="P3570" s="47" t="s">
        <v>46</v>
      </c>
      <c r="Q3570" s="14">
        <v>0.02</v>
      </c>
      <c r="R3570" s="143">
        <v>1000099307</v>
      </c>
      <c r="S3570" s="47"/>
      <c r="T3570" s="6">
        <v>4196.5</v>
      </c>
      <c r="U3570" s="6">
        <v>10000</v>
      </c>
      <c r="V3570" s="6">
        <v>6103.5</v>
      </c>
      <c r="W3570" s="6">
        <f t="shared" si="557"/>
        <v>8093</v>
      </c>
      <c r="X3570" s="6">
        <f t="shared" si="558"/>
        <v>5983.8235294117649</v>
      </c>
      <c r="Y3570" s="13">
        <f t="shared" si="550"/>
        <v>0</v>
      </c>
      <c r="Z3570" s="14">
        <v>0</v>
      </c>
      <c r="AA3570" s="6">
        <v>0</v>
      </c>
      <c r="AB3570" s="4">
        <f t="shared" si="551"/>
        <v>5983.8235294117649</v>
      </c>
      <c r="AC3570" s="4">
        <f t="shared" si="553"/>
        <v>119.67647058823513</v>
      </c>
      <c r="AD3570" s="6">
        <f t="shared" si="555"/>
        <v>6103.5</v>
      </c>
      <c r="AE3570" s="2">
        <f>VLOOKUP(I3570,[1]媒体政策预估表!A:N,MATCH(O3570,[1]媒体政策预估表!$A$2:$M$2,0),0)</f>
        <v>7.0000000000000007E-2</v>
      </c>
      <c r="AF3570" s="6">
        <f t="shared" si="554"/>
        <v>427.24500000000006</v>
      </c>
      <c r="AG3570" s="14">
        <v>0</v>
      </c>
      <c r="AH3570" s="64">
        <f t="shared" si="556"/>
        <v>6103.5</v>
      </c>
      <c r="AI3570" s="47"/>
      <c r="AJ3570" s="126" t="e">
        <v>#N/A</v>
      </c>
      <c r="AK3570" s="80">
        <f t="shared" si="552"/>
        <v>0</v>
      </c>
      <c r="AM3570" s="85"/>
    </row>
    <row r="3571" spans="1:39" hidden="1" x14ac:dyDescent="0.3">
      <c r="A3571" s="89" t="s">
        <v>3397</v>
      </c>
      <c r="B3571" s="86" t="s">
        <v>35</v>
      </c>
      <c r="C3571" s="86" t="s">
        <v>164</v>
      </c>
      <c r="D3571" s="86" t="s">
        <v>174</v>
      </c>
      <c r="E3571" s="86" t="s">
        <v>685</v>
      </c>
      <c r="F3571" s="86" t="s">
        <v>686</v>
      </c>
      <c r="G3571" s="86" t="s">
        <v>685</v>
      </c>
      <c r="H3571" s="144">
        <v>62</v>
      </c>
      <c r="I3571" s="86" t="s">
        <v>408</v>
      </c>
      <c r="J3571" s="1" t="s">
        <v>3324</v>
      </c>
      <c r="K3571" s="1" t="s">
        <v>3278</v>
      </c>
      <c r="L3571" s="1" t="s">
        <v>35</v>
      </c>
      <c r="M3571" s="86" t="s">
        <v>687</v>
      </c>
      <c r="N3571" s="86"/>
      <c r="O3571" s="47" t="s">
        <v>410</v>
      </c>
      <c r="P3571" s="47" t="s">
        <v>41</v>
      </c>
      <c r="Q3571" s="14">
        <v>0</v>
      </c>
      <c r="R3571" s="143">
        <v>1000098945</v>
      </c>
      <c r="S3571" s="47"/>
      <c r="T3571" s="6">
        <v>3975.5</v>
      </c>
      <c r="U3571" s="6">
        <v>58000</v>
      </c>
      <c r="V3571" s="6">
        <v>56026.5</v>
      </c>
      <c r="W3571" s="6">
        <f t="shared" si="557"/>
        <v>5949</v>
      </c>
      <c r="X3571" s="6">
        <f t="shared" si="558"/>
        <v>56026.5</v>
      </c>
      <c r="Y3571" s="13">
        <f t="shared" si="550"/>
        <v>0</v>
      </c>
      <c r="Z3571" s="14">
        <v>0</v>
      </c>
      <c r="AA3571" s="6">
        <v>0</v>
      </c>
      <c r="AB3571" s="4">
        <f t="shared" si="551"/>
        <v>56026.5</v>
      </c>
      <c r="AC3571" s="4">
        <f t="shared" si="553"/>
        <v>0</v>
      </c>
      <c r="AD3571" s="6">
        <f t="shared" si="555"/>
        <v>56026.5</v>
      </c>
      <c r="AE3571" s="2">
        <f>VLOOKUP(I3571,[1]媒体政策预估表!A:N,MATCH(O3571,[1]媒体政策预估表!$A$2:$M$2,0),0)</f>
        <v>7.0000000000000007E-2</v>
      </c>
      <c r="AF3571" s="6">
        <f t="shared" si="554"/>
        <v>3921.8550000000005</v>
      </c>
      <c r="AG3571" s="14">
        <v>0</v>
      </c>
      <c r="AH3571" s="64">
        <f t="shared" si="556"/>
        <v>56026.5</v>
      </c>
      <c r="AI3571" s="47"/>
      <c r="AJ3571" s="126" t="e">
        <v>#N/A</v>
      </c>
      <c r="AK3571" s="80">
        <f t="shared" si="552"/>
        <v>0</v>
      </c>
      <c r="AM3571" s="85"/>
    </row>
    <row r="3572" spans="1:39" hidden="1" x14ac:dyDescent="0.3">
      <c r="A3572" s="89" t="s">
        <v>3397</v>
      </c>
      <c r="B3572" s="86" t="s">
        <v>35</v>
      </c>
      <c r="C3572" s="86" t="s">
        <v>164</v>
      </c>
      <c r="D3572" s="86" t="s">
        <v>174</v>
      </c>
      <c r="E3572" s="86" t="s">
        <v>690</v>
      </c>
      <c r="F3572" s="86" t="s">
        <v>690</v>
      </c>
      <c r="G3572" s="86" t="s">
        <v>690</v>
      </c>
      <c r="H3572" s="144">
        <v>62</v>
      </c>
      <c r="I3572" s="86" t="s">
        <v>408</v>
      </c>
      <c r="J3572" s="1" t="s">
        <v>3324</v>
      </c>
      <c r="K3572" s="1" t="s">
        <v>3278</v>
      </c>
      <c r="L3572" s="1" t="s">
        <v>35</v>
      </c>
      <c r="M3572" s="86" t="s">
        <v>691</v>
      </c>
      <c r="N3572" s="86"/>
      <c r="O3572" s="47" t="s">
        <v>410</v>
      </c>
      <c r="P3572" s="47" t="s">
        <v>41</v>
      </c>
      <c r="Q3572" s="14">
        <v>0</v>
      </c>
      <c r="R3572" s="143">
        <v>1000081686</v>
      </c>
      <c r="S3572" s="47"/>
      <c r="T3572" s="6">
        <v>40169.21</v>
      </c>
      <c r="U3572" s="6">
        <v>50000</v>
      </c>
      <c r="V3572" s="6">
        <v>48877.91</v>
      </c>
      <c r="W3572" s="6">
        <f t="shared" si="557"/>
        <v>41291.299999999988</v>
      </c>
      <c r="X3572" s="6">
        <f t="shared" si="558"/>
        <v>48877.91</v>
      </c>
      <c r="Y3572" s="13">
        <f t="shared" si="550"/>
        <v>0</v>
      </c>
      <c r="Z3572" s="14">
        <v>0</v>
      </c>
      <c r="AA3572" s="6">
        <v>0</v>
      </c>
      <c r="AB3572" s="4">
        <f t="shared" si="551"/>
        <v>48877.91</v>
      </c>
      <c r="AC3572" s="4">
        <f t="shared" si="553"/>
        <v>0</v>
      </c>
      <c r="AD3572" s="6">
        <f t="shared" si="555"/>
        <v>48877.91</v>
      </c>
      <c r="AE3572" s="2">
        <f>VLOOKUP(I3572,[1]媒体政策预估表!A:N,MATCH(O3572,[1]媒体政策预估表!$A$2:$M$2,0),0)</f>
        <v>7.0000000000000007E-2</v>
      </c>
      <c r="AF3572" s="6">
        <f t="shared" si="554"/>
        <v>3421.4537000000005</v>
      </c>
      <c r="AG3572" s="14">
        <v>0</v>
      </c>
      <c r="AH3572" s="64">
        <f t="shared" si="556"/>
        <v>48877.91</v>
      </c>
      <c r="AI3572" s="47"/>
      <c r="AJ3572" s="126" t="e">
        <v>#N/A</v>
      </c>
      <c r="AK3572" s="80">
        <f t="shared" si="552"/>
        <v>0</v>
      </c>
      <c r="AM3572" s="85"/>
    </row>
    <row r="3573" spans="1:39" hidden="1" x14ac:dyDescent="0.3">
      <c r="A3573" s="89" t="s">
        <v>3397</v>
      </c>
      <c r="B3573" s="86" t="s">
        <v>35</v>
      </c>
      <c r="C3573" s="86" t="s">
        <v>164</v>
      </c>
      <c r="D3573" s="86" t="s">
        <v>174</v>
      </c>
      <c r="E3573" s="86" t="s">
        <v>3477</v>
      </c>
      <c r="F3573" s="86" t="s">
        <v>3477</v>
      </c>
      <c r="G3573" s="86" t="s">
        <v>3477</v>
      </c>
      <c r="H3573" s="144">
        <v>62</v>
      </c>
      <c r="I3573" s="86" t="s">
        <v>408</v>
      </c>
      <c r="J3573" s="1" t="s">
        <v>3324</v>
      </c>
      <c r="K3573" s="1" t="s">
        <v>3278</v>
      </c>
      <c r="L3573" s="1" t="s">
        <v>35</v>
      </c>
      <c r="M3573" s="86" t="s">
        <v>3478</v>
      </c>
      <c r="N3573" s="86"/>
      <c r="O3573" s="47" t="s">
        <v>45</v>
      </c>
      <c r="P3573" s="47" t="s">
        <v>46</v>
      </c>
      <c r="Q3573" s="14">
        <v>0.04</v>
      </c>
      <c r="R3573" s="143">
        <v>1000101920</v>
      </c>
      <c r="S3573" s="47"/>
      <c r="T3573" s="6">
        <v>0</v>
      </c>
      <c r="U3573" s="6">
        <v>2500.3599999999997</v>
      </c>
      <c r="V3573" s="6">
        <v>997.2</v>
      </c>
      <c r="W3573" s="6">
        <v>0</v>
      </c>
      <c r="X3573" s="6">
        <f t="shared" si="558"/>
        <v>958.84615384615381</v>
      </c>
      <c r="Y3573" s="13">
        <f t="shared" si="550"/>
        <v>0</v>
      </c>
      <c r="Z3573" s="14">
        <v>0</v>
      </c>
      <c r="AA3573" s="6">
        <v>0</v>
      </c>
      <c r="AB3573" s="4">
        <f t="shared" si="551"/>
        <v>958.84615384615381</v>
      </c>
      <c r="AC3573" s="4">
        <f t="shared" si="553"/>
        <v>38.353846153846234</v>
      </c>
      <c r="AD3573" s="6">
        <f t="shared" si="555"/>
        <v>997.2</v>
      </c>
      <c r="AE3573" s="2">
        <f>VLOOKUP(I3573,[1]媒体政策预估表!A:N,MATCH(O3573,[1]媒体政策预估表!$A$2:$M$2,0),0)</f>
        <v>0.12</v>
      </c>
      <c r="AF3573" s="6">
        <f t="shared" si="554"/>
        <v>119.664</v>
      </c>
      <c r="AG3573" s="14">
        <v>0</v>
      </c>
      <c r="AH3573" s="64">
        <f t="shared" si="556"/>
        <v>997.2</v>
      </c>
      <c r="AI3573" s="47"/>
      <c r="AJ3573" s="126" t="e">
        <v>#N/A</v>
      </c>
      <c r="AK3573" s="80">
        <f t="shared" si="552"/>
        <v>0</v>
      </c>
      <c r="AM3573" s="85"/>
    </row>
    <row r="3574" spans="1:39" hidden="1" x14ac:dyDescent="0.3">
      <c r="A3574" s="89" t="s">
        <v>3397</v>
      </c>
      <c r="B3574" s="86" t="s">
        <v>35</v>
      </c>
      <c r="C3574" s="86" t="s">
        <v>164</v>
      </c>
      <c r="D3574" s="86" t="s">
        <v>174</v>
      </c>
      <c r="E3574" s="86" t="s">
        <v>692</v>
      </c>
      <c r="F3574" s="86" t="s">
        <v>692</v>
      </c>
      <c r="G3574" s="86" t="s">
        <v>692</v>
      </c>
      <c r="H3574" s="144">
        <v>62</v>
      </c>
      <c r="I3574" s="86" t="s">
        <v>408</v>
      </c>
      <c r="J3574" s="1" t="s">
        <v>3324</v>
      </c>
      <c r="K3574" s="1" t="s">
        <v>3278</v>
      </c>
      <c r="L3574" s="1" t="s">
        <v>35</v>
      </c>
      <c r="M3574" s="86" t="s">
        <v>693</v>
      </c>
      <c r="N3574" s="86"/>
      <c r="O3574" s="47" t="s">
        <v>410</v>
      </c>
      <c r="P3574" s="47" t="s">
        <v>41</v>
      </c>
      <c r="Q3574" s="14">
        <v>0</v>
      </c>
      <c r="R3574" s="143">
        <v>1000092533</v>
      </c>
      <c r="S3574" s="47"/>
      <c r="T3574" s="6">
        <v>77158.029999999984</v>
      </c>
      <c r="U3574" s="6">
        <v>50000</v>
      </c>
      <c r="V3574" s="6">
        <v>83139.8</v>
      </c>
      <c r="W3574" s="6">
        <f t="shared" si="557"/>
        <v>44018.229999999981</v>
      </c>
      <c r="X3574" s="6">
        <f t="shared" si="558"/>
        <v>83139.8</v>
      </c>
      <c r="Y3574" s="13">
        <f t="shared" si="550"/>
        <v>0</v>
      </c>
      <c r="Z3574" s="14">
        <v>0</v>
      </c>
      <c r="AA3574" s="6">
        <v>0</v>
      </c>
      <c r="AB3574" s="4">
        <f t="shared" si="551"/>
        <v>83139.8</v>
      </c>
      <c r="AC3574" s="4">
        <f t="shared" si="553"/>
        <v>0</v>
      </c>
      <c r="AD3574" s="6">
        <f t="shared" si="555"/>
        <v>83139.8</v>
      </c>
      <c r="AE3574" s="2">
        <f>VLOOKUP(I3574,[1]媒体政策预估表!A:N,MATCH(O3574,[1]媒体政策预估表!$A$2:$M$2,0),0)</f>
        <v>7.0000000000000007E-2</v>
      </c>
      <c r="AF3574" s="6">
        <f t="shared" si="554"/>
        <v>5819.786000000001</v>
      </c>
      <c r="AG3574" s="14">
        <v>0</v>
      </c>
      <c r="AH3574" s="64">
        <f t="shared" si="556"/>
        <v>83139.8</v>
      </c>
      <c r="AI3574" s="47"/>
      <c r="AJ3574" s="126" t="e">
        <v>#N/A</v>
      </c>
      <c r="AK3574" s="80">
        <f t="shared" si="552"/>
        <v>0</v>
      </c>
      <c r="AM3574" s="85"/>
    </row>
    <row r="3575" spans="1:39" hidden="1" x14ac:dyDescent="0.3">
      <c r="A3575" s="89" t="s">
        <v>3397</v>
      </c>
      <c r="B3575" s="86" t="s">
        <v>35</v>
      </c>
      <c r="C3575" s="86" t="s">
        <v>164</v>
      </c>
      <c r="D3575" s="86" t="s">
        <v>174</v>
      </c>
      <c r="E3575" s="86" t="s">
        <v>696</v>
      </c>
      <c r="F3575" s="86" t="s">
        <v>696</v>
      </c>
      <c r="G3575" s="86" t="s">
        <v>696</v>
      </c>
      <c r="H3575" s="144">
        <v>62</v>
      </c>
      <c r="I3575" s="86" t="s">
        <v>408</v>
      </c>
      <c r="J3575" s="1" t="s">
        <v>3324</v>
      </c>
      <c r="K3575" s="1" t="s">
        <v>3278</v>
      </c>
      <c r="L3575" s="1" t="s">
        <v>35</v>
      </c>
      <c r="M3575" s="86" t="s">
        <v>697</v>
      </c>
      <c r="N3575" s="86"/>
      <c r="O3575" s="47" t="s">
        <v>410</v>
      </c>
      <c r="P3575" s="47" t="s">
        <v>41</v>
      </c>
      <c r="Q3575" s="14">
        <v>0</v>
      </c>
      <c r="R3575" s="143">
        <v>1000099710</v>
      </c>
      <c r="S3575" s="47"/>
      <c r="T3575" s="6">
        <v>775.00000000000182</v>
      </c>
      <c r="U3575" s="6">
        <v>20000</v>
      </c>
      <c r="V3575" s="6">
        <v>12349.199999999999</v>
      </c>
      <c r="W3575" s="6">
        <f t="shared" si="557"/>
        <v>8425.8000000000011</v>
      </c>
      <c r="X3575" s="6">
        <f t="shared" si="558"/>
        <v>12349.199999999999</v>
      </c>
      <c r="Y3575" s="13">
        <f t="shared" si="550"/>
        <v>0</v>
      </c>
      <c r="Z3575" s="14">
        <v>0</v>
      </c>
      <c r="AA3575" s="6">
        <v>0</v>
      </c>
      <c r="AB3575" s="4">
        <f t="shared" si="551"/>
        <v>12349.199999999999</v>
      </c>
      <c r="AC3575" s="4">
        <f t="shared" si="553"/>
        <v>0</v>
      </c>
      <c r="AD3575" s="6">
        <f t="shared" si="555"/>
        <v>12349.199999999999</v>
      </c>
      <c r="AE3575" s="2">
        <f>VLOOKUP(I3575,[1]媒体政策预估表!A:N,MATCH(O3575,[1]媒体政策预估表!$A$2:$M$2,0),0)</f>
        <v>7.0000000000000007E-2</v>
      </c>
      <c r="AF3575" s="6">
        <f t="shared" si="554"/>
        <v>864.44399999999996</v>
      </c>
      <c r="AG3575" s="14">
        <v>0</v>
      </c>
      <c r="AH3575" s="64">
        <f t="shared" si="556"/>
        <v>12349.199999999999</v>
      </c>
      <c r="AI3575" s="47"/>
      <c r="AJ3575" s="126" t="e">
        <v>#N/A</v>
      </c>
      <c r="AK3575" s="80">
        <f t="shared" si="552"/>
        <v>0</v>
      </c>
      <c r="AM3575" s="85"/>
    </row>
    <row r="3576" spans="1:39" hidden="1" x14ac:dyDescent="0.3">
      <c r="A3576" s="89" t="s">
        <v>3397</v>
      </c>
      <c r="B3576" s="86" t="s">
        <v>35</v>
      </c>
      <c r="C3576" s="86" t="s">
        <v>59</v>
      </c>
      <c r="D3576" s="86" t="s">
        <v>60</v>
      </c>
      <c r="E3576" s="86" t="s">
        <v>414</v>
      </c>
      <c r="F3576" s="86" t="s">
        <v>414</v>
      </c>
      <c r="G3576" s="86" t="s">
        <v>414</v>
      </c>
      <c r="H3576" s="144">
        <v>62</v>
      </c>
      <c r="I3576" s="86" t="s">
        <v>408</v>
      </c>
      <c r="J3576" s="1" t="s">
        <v>3324</v>
      </c>
      <c r="K3576" s="1" t="s">
        <v>3278</v>
      </c>
      <c r="L3576" s="1" t="s">
        <v>35</v>
      </c>
      <c r="M3576" s="86" t="s">
        <v>415</v>
      </c>
      <c r="N3576" s="86"/>
      <c r="O3576" s="47" t="s">
        <v>410</v>
      </c>
      <c r="P3576" s="47" t="s">
        <v>92</v>
      </c>
      <c r="Q3576" s="14">
        <v>0.98</v>
      </c>
      <c r="R3576" s="143">
        <v>1000100612</v>
      </c>
      <c r="S3576" s="47"/>
      <c r="T3576" s="6">
        <v>4397</v>
      </c>
      <c r="U3576" s="6"/>
      <c r="V3576" s="6">
        <v>4397</v>
      </c>
      <c r="W3576" s="6">
        <f t="shared" si="557"/>
        <v>0</v>
      </c>
      <c r="X3576" s="6">
        <f t="shared" si="558"/>
        <v>4309.0599999999995</v>
      </c>
      <c r="Y3576" s="13">
        <f t="shared" si="550"/>
        <v>0</v>
      </c>
      <c r="Z3576" s="14">
        <v>0</v>
      </c>
      <c r="AA3576" s="6">
        <v>0</v>
      </c>
      <c r="AB3576" s="4">
        <f t="shared" si="551"/>
        <v>4309.0599999999995</v>
      </c>
      <c r="AC3576" s="4">
        <f t="shared" si="553"/>
        <v>87.940000000000509</v>
      </c>
      <c r="AD3576" s="6">
        <f t="shared" si="555"/>
        <v>4397</v>
      </c>
      <c r="AE3576" s="2">
        <f>VLOOKUP(I3576,[1]媒体政策预估表!A:N,MATCH(O3576,[1]媒体政策预估表!$A$2:$M$2,0),0)</f>
        <v>7.0000000000000007E-2</v>
      </c>
      <c r="AF3576" s="6">
        <f t="shared" si="554"/>
        <v>307.79000000000002</v>
      </c>
      <c r="AG3576" s="14">
        <v>0</v>
      </c>
      <c r="AH3576" s="64">
        <f t="shared" si="556"/>
        <v>4397</v>
      </c>
      <c r="AI3576" s="47"/>
      <c r="AJ3576" s="126" t="e">
        <v>#N/A</v>
      </c>
      <c r="AK3576" s="80">
        <f t="shared" si="552"/>
        <v>0</v>
      </c>
      <c r="AM3576" s="85"/>
    </row>
    <row r="3577" spans="1:39" hidden="1" x14ac:dyDescent="0.3">
      <c r="A3577" s="89" t="s">
        <v>3397</v>
      </c>
      <c r="B3577" s="86" t="s">
        <v>35</v>
      </c>
      <c r="C3577" s="86" t="s">
        <v>59</v>
      </c>
      <c r="D3577" s="86" t="s">
        <v>60</v>
      </c>
      <c r="E3577" s="86" t="s">
        <v>419</v>
      </c>
      <c r="F3577" s="86" t="s">
        <v>419</v>
      </c>
      <c r="G3577" s="86" t="s">
        <v>419</v>
      </c>
      <c r="H3577" s="144">
        <v>62</v>
      </c>
      <c r="I3577" s="86" t="s">
        <v>408</v>
      </c>
      <c r="J3577" s="1" t="s">
        <v>3324</v>
      </c>
      <c r="K3577" s="1" t="s">
        <v>3278</v>
      </c>
      <c r="L3577" s="1" t="s">
        <v>35</v>
      </c>
      <c r="M3577" s="86" t="s">
        <v>420</v>
      </c>
      <c r="N3577" s="86"/>
      <c r="O3577" s="47" t="s">
        <v>410</v>
      </c>
      <c r="P3577" s="47" t="s">
        <v>46</v>
      </c>
      <c r="Q3577" s="14">
        <v>0.02</v>
      </c>
      <c r="R3577" s="143">
        <v>1000101282</v>
      </c>
      <c r="S3577" s="47"/>
      <c r="T3577" s="6">
        <v>20000</v>
      </c>
      <c r="U3577" s="6"/>
      <c r="V3577" s="6">
        <v>6832.59</v>
      </c>
      <c r="W3577" s="6">
        <f t="shared" si="557"/>
        <v>13167.41</v>
      </c>
      <c r="X3577" s="6">
        <f t="shared" si="558"/>
        <v>6698.6176470588234</v>
      </c>
      <c r="Y3577" s="13">
        <f t="shared" si="550"/>
        <v>0</v>
      </c>
      <c r="Z3577" s="14">
        <v>0</v>
      </c>
      <c r="AA3577" s="6">
        <v>0</v>
      </c>
      <c r="AB3577" s="4">
        <f t="shared" si="551"/>
        <v>6698.6176470588234</v>
      </c>
      <c r="AC3577" s="4">
        <f t="shared" si="553"/>
        <v>133.97235294117672</v>
      </c>
      <c r="AD3577" s="6">
        <f t="shared" si="555"/>
        <v>6832.59</v>
      </c>
      <c r="AE3577" s="2">
        <f>VLOOKUP(I3577,[1]媒体政策预估表!A:N,MATCH(O3577,[1]媒体政策预估表!$A$2:$M$2,0),0)</f>
        <v>7.0000000000000007E-2</v>
      </c>
      <c r="AF3577" s="6">
        <f t="shared" si="554"/>
        <v>478.28130000000004</v>
      </c>
      <c r="AG3577" s="14">
        <v>0</v>
      </c>
      <c r="AH3577" s="64">
        <f t="shared" si="556"/>
        <v>6832.59</v>
      </c>
      <c r="AI3577" s="47"/>
      <c r="AJ3577" s="126" t="e">
        <v>#N/A</v>
      </c>
      <c r="AK3577" s="80">
        <f t="shared" si="552"/>
        <v>0</v>
      </c>
      <c r="AM3577" s="85"/>
    </row>
    <row r="3578" spans="1:39" hidden="1" x14ac:dyDescent="0.3">
      <c r="A3578" s="89" t="s">
        <v>3397</v>
      </c>
      <c r="B3578" s="86" t="s">
        <v>35</v>
      </c>
      <c r="C3578" s="86" t="s">
        <v>36</v>
      </c>
      <c r="D3578" s="86" t="s">
        <v>224</v>
      </c>
      <c r="E3578" s="86" t="s">
        <v>433</v>
      </c>
      <c r="F3578" s="86" t="s">
        <v>433</v>
      </c>
      <c r="G3578" s="86" t="s">
        <v>433</v>
      </c>
      <c r="H3578" s="144">
        <v>62</v>
      </c>
      <c r="I3578" s="86" t="s">
        <v>408</v>
      </c>
      <c r="J3578" s="1" t="s">
        <v>3324</v>
      </c>
      <c r="K3578" s="1" t="s">
        <v>3278</v>
      </c>
      <c r="L3578" s="1" t="s">
        <v>35</v>
      </c>
      <c r="M3578" s="86" t="s">
        <v>434</v>
      </c>
      <c r="N3578" s="86"/>
      <c r="O3578" s="47" t="s">
        <v>410</v>
      </c>
      <c r="P3578" s="47" t="s">
        <v>41</v>
      </c>
      <c r="Q3578" s="14">
        <v>0</v>
      </c>
      <c r="R3578" s="143">
        <v>1000009658</v>
      </c>
      <c r="S3578" s="47"/>
      <c r="T3578" s="6">
        <v>347761.35000000009</v>
      </c>
      <c r="U3578" s="6"/>
      <c r="V3578" s="6">
        <v>347761.35000000009</v>
      </c>
      <c r="W3578" s="6">
        <f t="shared" si="557"/>
        <v>0</v>
      </c>
      <c r="X3578" s="6">
        <f t="shared" si="558"/>
        <v>347761.35000000009</v>
      </c>
      <c r="Y3578" s="13">
        <f t="shared" si="550"/>
        <v>0</v>
      </c>
      <c r="Z3578" s="14">
        <v>0</v>
      </c>
      <c r="AA3578" s="6">
        <v>0</v>
      </c>
      <c r="AB3578" s="4">
        <f t="shared" si="551"/>
        <v>347761.35000000009</v>
      </c>
      <c r="AC3578" s="4">
        <f t="shared" si="553"/>
        <v>0</v>
      </c>
      <c r="AD3578" s="6">
        <f t="shared" si="555"/>
        <v>347761.35000000009</v>
      </c>
      <c r="AE3578" s="2">
        <f>VLOOKUP(I3578,[1]媒体政策预估表!A:N,MATCH(O3578,[1]媒体政策预估表!$A$2:$M$2,0),0)</f>
        <v>7.0000000000000007E-2</v>
      </c>
      <c r="AF3578" s="6">
        <f t="shared" si="554"/>
        <v>24343.294500000007</v>
      </c>
      <c r="AG3578" s="14">
        <v>0</v>
      </c>
      <c r="AH3578" s="64">
        <f t="shared" si="556"/>
        <v>347761.35000000009</v>
      </c>
      <c r="AI3578" s="47"/>
      <c r="AJ3578" s="126" t="e">
        <v>#N/A</v>
      </c>
      <c r="AK3578" s="80">
        <f t="shared" si="552"/>
        <v>0</v>
      </c>
      <c r="AM3578" s="85"/>
    </row>
    <row r="3579" spans="1:39" hidden="1" x14ac:dyDescent="0.3">
      <c r="A3579" s="89" t="s">
        <v>3397</v>
      </c>
      <c r="B3579" s="86" t="s">
        <v>35</v>
      </c>
      <c r="C3579" s="86" t="s">
        <v>36</v>
      </c>
      <c r="D3579" s="86" t="s">
        <v>224</v>
      </c>
      <c r="E3579" s="86" t="s">
        <v>439</v>
      </c>
      <c r="F3579" s="86" t="s">
        <v>439</v>
      </c>
      <c r="G3579" s="86" t="s">
        <v>439</v>
      </c>
      <c r="H3579" s="144">
        <v>62</v>
      </c>
      <c r="I3579" s="86" t="s">
        <v>408</v>
      </c>
      <c r="J3579" s="1" t="s">
        <v>3324</v>
      </c>
      <c r="K3579" s="1" t="s">
        <v>3278</v>
      </c>
      <c r="L3579" s="1" t="s">
        <v>35</v>
      </c>
      <c r="M3579" s="86" t="s">
        <v>440</v>
      </c>
      <c r="N3579" s="86"/>
      <c r="O3579" s="47" t="s">
        <v>410</v>
      </c>
      <c r="P3579" s="47" t="s">
        <v>41</v>
      </c>
      <c r="Q3579" s="14">
        <v>0</v>
      </c>
      <c r="R3579" s="143">
        <v>1000099342</v>
      </c>
      <c r="S3579" s="47"/>
      <c r="T3579" s="6">
        <v>331.08000000000357</v>
      </c>
      <c r="U3579" s="6"/>
      <c r="V3579" s="6">
        <v>331.08</v>
      </c>
      <c r="W3579" s="6">
        <f t="shared" si="557"/>
        <v>3.5811353882309049E-12</v>
      </c>
      <c r="X3579" s="6">
        <f t="shared" si="558"/>
        <v>331.08</v>
      </c>
      <c r="Y3579" s="13">
        <f t="shared" si="550"/>
        <v>0</v>
      </c>
      <c r="Z3579" s="14">
        <v>0</v>
      </c>
      <c r="AA3579" s="6">
        <v>0</v>
      </c>
      <c r="AB3579" s="4">
        <f t="shared" si="551"/>
        <v>331.08</v>
      </c>
      <c r="AC3579" s="4">
        <f t="shared" si="553"/>
        <v>0</v>
      </c>
      <c r="AD3579" s="6">
        <f t="shared" si="555"/>
        <v>331.08</v>
      </c>
      <c r="AE3579" s="2">
        <f>VLOOKUP(I3579,[1]媒体政策预估表!A:N,MATCH(O3579,[1]媒体政策预估表!$A$2:$M$2,0),0)</f>
        <v>7.0000000000000007E-2</v>
      </c>
      <c r="AF3579" s="6">
        <f t="shared" si="554"/>
        <v>23.175600000000003</v>
      </c>
      <c r="AG3579" s="14">
        <v>0</v>
      </c>
      <c r="AH3579" s="64">
        <f t="shared" si="556"/>
        <v>331.08</v>
      </c>
      <c r="AI3579" s="47"/>
      <c r="AJ3579" s="126" t="e">
        <v>#N/A</v>
      </c>
      <c r="AK3579" s="80">
        <f t="shared" si="552"/>
        <v>0</v>
      </c>
      <c r="AM3579" s="85"/>
    </row>
    <row r="3580" spans="1:39" hidden="1" x14ac:dyDescent="0.3">
      <c r="A3580" s="89" t="s">
        <v>3397</v>
      </c>
      <c r="B3580" s="86" t="s">
        <v>35</v>
      </c>
      <c r="C3580" s="86" t="s">
        <v>36</v>
      </c>
      <c r="D3580" s="86" t="s">
        <v>54</v>
      </c>
      <c r="E3580" s="86" t="s">
        <v>447</v>
      </c>
      <c r="F3580" s="86" t="s">
        <v>447</v>
      </c>
      <c r="G3580" s="86" t="s">
        <v>447</v>
      </c>
      <c r="H3580" s="143">
        <v>62</v>
      </c>
      <c r="I3580" s="86" t="s">
        <v>408</v>
      </c>
      <c r="J3580" s="1" t="s">
        <v>3324</v>
      </c>
      <c r="K3580" s="1" t="s">
        <v>3278</v>
      </c>
      <c r="L3580" s="1" t="s">
        <v>35</v>
      </c>
      <c r="M3580" s="86" t="s">
        <v>448</v>
      </c>
      <c r="N3580" s="86"/>
      <c r="O3580" s="47" t="s">
        <v>45</v>
      </c>
      <c r="P3580" s="47" t="s">
        <v>41</v>
      </c>
      <c r="Q3580" s="14">
        <v>0</v>
      </c>
      <c r="R3580" s="143">
        <v>1000054739</v>
      </c>
      <c r="S3580" s="47"/>
      <c r="T3580" s="6">
        <v>9435.1700000000219</v>
      </c>
      <c r="U3580" s="6"/>
      <c r="V3580" s="6">
        <v>1472.97</v>
      </c>
      <c r="W3580" s="6">
        <f t="shared" si="557"/>
        <v>7962.2000000000216</v>
      </c>
      <c r="X3580" s="6">
        <f t="shared" si="558"/>
        <v>1472.97</v>
      </c>
      <c r="Y3580" s="13">
        <f t="shared" si="550"/>
        <v>0</v>
      </c>
      <c r="Z3580" s="14">
        <v>0</v>
      </c>
      <c r="AA3580" s="6">
        <v>0</v>
      </c>
      <c r="AB3580" s="4"/>
      <c r="AC3580" s="4">
        <f t="shared" si="553"/>
        <v>0</v>
      </c>
      <c r="AD3580" s="6">
        <f t="shared" si="555"/>
        <v>1472.97</v>
      </c>
      <c r="AE3580" s="2">
        <f>VLOOKUP(I3580,[1]媒体政策预估表!A:N,MATCH(O3580,[1]媒体政策预估表!$A$2:$M$2,0),0)</f>
        <v>0.12</v>
      </c>
      <c r="AF3580" s="6">
        <f t="shared" si="554"/>
        <v>176.75639999999999</v>
      </c>
      <c r="AG3580" s="14">
        <v>0</v>
      </c>
      <c r="AH3580" s="64">
        <f t="shared" si="556"/>
        <v>1472.97</v>
      </c>
      <c r="AI3580" s="47"/>
      <c r="AJ3580" s="126">
        <v>21</v>
      </c>
      <c r="AK3580" s="80">
        <f t="shared" si="552"/>
        <v>1472.97</v>
      </c>
      <c r="AM3580" s="85"/>
    </row>
    <row r="3581" spans="1:39" hidden="1" x14ac:dyDescent="0.3">
      <c r="A3581" s="89" t="s">
        <v>3397</v>
      </c>
      <c r="B3581" s="86" t="s">
        <v>35</v>
      </c>
      <c r="C3581" s="86" t="s">
        <v>36</v>
      </c>
      <c r="D3581" s="86" t="s">
        <v>37</v>
      </c>
      <c r="E3581" s="86" t="s">
        <v>466</v>
      </c>
      <c r="F3581" s="86" t="s">
        <v>466</v>
      </c>
      <c r="G3581" s="86" t="s">
        <v>466</v>
      </c>
      <c r="H3581" s="143">
        <v>62</v>
      </c>
      <c r="I3581" s="86" t="s">
        <v>408</v>
      </c>
      <c r="J3581" s="1" t="s">
        <v>3324</v>
      </c>
      <c r="K3581" s="1" t="s">
        <v>3278</v>
      </c>
      <c r="L3581" s="1" t="s">
        <v>35</v>
      </c>
      <c r="M3581" s="86" t="s">
        <v>468</v>
      </c>
      <c r="N3581" s="86"/>
      <c r="O3581" s="47" t="s">
        <v>410</v>
      </c>
      <c r="P3581" s="47" t="s">
        <v>41</v>
      </c>
      <c r="Q3581" s="14">
        <v>0</v>
      </c>
      <c r="R3581" s="143">
        <v>1000073642</v>
      </c>
      <c r="S3581" s="47"/>
      <c r="T3581" s="6">
        <v>20000</v>
      </c>
      <c r="U3581" s="6"/>
      <c r="V3581" s="6">
        <v>0</v>
      </c>
      <c r="W3581" s="6">
        <f t="shared" si="557"/>
        <v>20000</v>
      </c>
      <c r="X3581" s="6">
        <f t="shared" si="558"/>
        <v>0</v>
      </c>
      <c r="Y3581" s="13">
        <f t="shared" si="550"/>
        <v>0</v>
      </c>
      <c r="Z3581" s="14">
        <v>0</v>
      </c>
      <c r="AA3581" s="6">
        <v>0</v>
      </c>
      <c r="AB3581" s="4"/>
      <c r="AC3581" s="4">
        <f t="shared" si="553"/>
        <v>0</v>
      </c>
      <c r="AD3581" s="6">
        <f t="shared" si="555"/>
        <v>0</v>
      </c>
      <c r="AE3581" s="2">
        <f>VLOOKUP(I3581,[1]媒体政策预估表!A:N,MATCH(O3581,[1]媒体政策预估表!$A$2:$M$2,0),0)</f>
        <v>7.0000000000000007E-2</v>
      </c>
      <c r="AF3581" s="6">
        <f t="shared" si="554"/>
        <v>0</v>
      </c>
      <c r="AG3581" s="14">
        <v>0</v>
      </c>
      <c r="AH3581" s="64">
        <f t="shared" si="556"/>
        <v>0</v>
      </c>
      <c r="AI3581" s="47"/>
      <c r="AJ3581" s="126">
        <v>96</v>
      </c>
      <c r="AK3581" s="80">
        <f t="shared" si="552"/>
        <v>0</v>
      </c>
      <c r="AM3581" s="85"/>
    </row>
    <row r="3582" spans="1:39" hidden="1" x14ac:dyDescent="0.3">
      <c r="A3582" s="89" t="s">
        <v>3397</v>
      </c>
      <c r="B3582" s="86" t="s">
        <v>35</v>
      </c>
      <c r="C3582" s="86" t="s">
        <v>65</v>
      </c>
      <c r="D3582" s="86" t="s">
        <v>66</v>
      </c>
      <c r="E3582" s="86" t="s">
        <v>473</v>
      </c>
      <c r="F3582" s="86" t="s">
        <v>473</v>
      </c>
      <c r="G3582" s="86" t="s">
        <v>473</v>
      </c>
      <c r="H3582" s="144">
        <v>62</v>
      </c>
      <c r="I3582" s="86" t="s">
        <v>408</v>
      </c>
      <c r="J3582" s="1" t="s">
        <v>3324</v>
      </c>
      <c r="K3582" s="1" t="s">
        <v>3278</v>
      </c>
      <c r="L3582" s="1" t="s">
        <v>35</v>
      </c>
      <c r="M3582" s="86" t="s">
        <v>474</v>
      </c>
      <c r="N3582" s="86"/>
      <c r="O3582" s="47" t="s">
        <v>410</v>
      </c>
      <c r="P3582" s="47" t="s">
        <v>41</v>
      </c>
      <c r="Q3582" s="14">
        <v>0</v>
      </c>
      <c r="R3582" s="143">
        <v>1000057798</v>
      </c>
      <c r="S3582" s="47"/>
      <c r="T3582" s="6">
        <v>95402.890000000072</v>
      </c>
      <c r="U3582" s="6"/>
      <c r="V3582" s="6">
        <v>95402.890000000072</v>
      </c>
      <c r="W3582" s="6">
        <f t="shared" si="557"/>
        <v>0</v>
      </c>
      <c r="X3582" s="6">
        <f t="shared" si="558"/>
        <v>95402.890000000072</v>
      </c>
      <c r="Y3582" s="13">
        <f t="shared" si="550"/>
        <v>0</v>
      </c>
      <c r="Z3582" s="14">
        <v>0</v>
      </c>
      <c r="AA3582" s="6">
        <v>0</v>
      </c>
      <c r="AB3582" s="4">
        <f t="shared" si="551"/>
        <v>95402.890000000072</v>
      </c>
      <c r="AC3582" s="4">
        <f t="shared" si="553"/>
        <v>0</v>
      </c>
      <c r="AD3582" s="6">
        <f t="shared" si="555"/>
        <v>95402.890000000072</v>
      </c>
      <c r="AE3582" s="2">
        <f>VLOOKUP(I3582,[1]媒体政策预估表!A:N,MATCH(O3582,[1]媒体政策预估表!$A$2:$M$2,0),0)</f>
        <v>7.0000000000000007E-2</v>
      </c>
      <c r="AF3582" s="6">
        <f t="shared" si="554"/>
        <v>6678.2023000000054</v>
      </c>
      <c r="AG3582" s="14">
        <v>0</v>
      </c>
      <c r="AH3582" s="64">
        <f t="shared" si="556"/>
        <v>95402.890000000072</v>
      </c>
      <c r="AI3582" s="47"/>
      <c r="AJ3582" s="126" t="e">
        <v>#N/A</v>
      </c>
      <c r="AK3582" s="80">
        <f t="shared" si="552"/>
        <v>0</v>
      </c>
      <c r="AM3582" s="85"/>
    </row>
    <row r="3583" spans="1:39" hidden="1" x14ac:dyDescent="0.3">
      <c r="A3583" s="89" t="s">
        <v>3397</v>
      </c>
      <c r="B3583" s="86" t="s">
        <v>35</v>
      </c>
      <c r="C3583" s="86" t="s">
        <v>65</v>
      </c>
      <c r="D3583" s="86" t="s">
        <v>66</v>
      </c>
      <c r="E3583" s="86" t="s">
        <v>473</v>
      </c>
      <c r="F3583" s="86" t="s">
        <v>473</v>
      </c>
      <c r="G3583" s="86" t="s">
        <v>473</v>
      </c>
      <c r="H3583" s="143">
        <v>62</v>
      </c>
      <c r="I3583" s="86" t="s">
        <v>408</v>
      </c>
      <c r="J3583" s="1" t="s">
        <v>3324</v>
      </c>
      <c r="K3583" s="1" t="s">
        <v>3278</v>
      </c>
      <c r="L3583" s="1" t="s">
        <v>35</v>
      </c>
      <c r="M3583" s="86" t="s">
        <v>476</v>
      </c>
      <c r="N3583" s="86"/>
      <c r="O3583" s="47" t="s">
        <v>410</v>
      </c>
      <c r="P3583" s="47" t="s">
        <v>41</v>
      </c>
      <c r="Q3583" s="14">
        <v>0</v>
      </c>
      <c r="R3583" s="143">
        <v>1000059941</v>
      </c>
      <c r="S3583" s="47"/>
      <c r="T3583" s="6">
        <v>50000</v>
      </c>
      <c r="U3583" s="6"/>
      <c r="V3583" s="6">
        <v>0</v>
      </c>
      <c r="W3583" s="6">
        <f t="shared" si="557"/>
        <v>50000</v>
      </c>
      <c r="X3583" s="6">
        <f t="shared" si="558"/>
        <v>0</v>
      </c>
      <c r="Y3583" s="13">
        <f t="shared" si="550"/>
        <v>0</v>
      </c>
      <c r="Z3583" s="14">
        <v>0</v>
      </c>
      <c r="AA3583" s="6">
        <v>0</v>
      </c>
      <c r="AB3583" s="4">
        <f t="shared" si="551"/>
        <v>0</v>
      </c>
      <c r="AC3583" s="4">
        <f t="shared" si="553"/>
        <v>0</v>
      </c>
      <c r="AD3583" s="6">
        <f t="shared" si="555"/>
        <v>0</v>
      </c>
      <c r="AE3583" s="2">
        <f>VLOOKUP(I3583,[1]媒体政策预估表!A:N,MATCH(O3583,[1]媒体政策预估表!$A$2:$M$2,0),0)</f>
        <v>7.0000000000000007E-2</v>
      </c>
      <c r="AF3583" s="6">
        <f t="shared" si="554"/>
        <v>0</v>
      </c>
      <c r="AG3583" s="14">
        <v>0</v>
      </c>
      <c r="AH3583" s="64">
        <f t="shared" si="556"/>
        <v>0</v>
      </c>
      <c r="AI3583" s="47"/>
      <c r="AJ3583" s="126" t="e">
        <v>#N/A</v>
      </c>
      <c r="AK3583" s="80">
        <f t="shared" si="552"/>
        <v>0</v>
      </c>
      <c r="AM3583" s="85"/>
    </row>
    <row r="3584" spans="1:39" hidden="1" x14ac:dyDescent="0.3">
      <c r="A3584" s="89" t="s">
        <v>3397</v>
      </c>
      <c r="B3584" s="86" t="s">
        <v>35</v>
      </c>
      <c r="C3584" s="86" t="s">
        <v>65</v>
      </c>
      <c r="D3584" s="86" t="s">
        <v>66</v>
      </c>
      <c r="E3584" s="86" t="s">
        <v>473</v>
      </c>
      <c r="F3584" s="86" t="s">
        <v>473</v>
      </c>
      <c r="G3584" s="86" t="s">
        <v>473</v>
      </c>
      <c r="H3584" s="144">
        <v>62</v>
      </c>
      <c r="I3584" s="86" t="s">
        <v>408</v>
      </c>
      <c r="J3584" s="1" t="s">
        <v>3324</v>
      </c>
      <c r="K3584" s="1" t="s">
        <v>3278</v>
      </c>
      <c r="L3584" s="1" t="s">
        <v>35</v>
      </c>
      <c r="M3584" s="86" t="s">
        <v>477</v>
      </c>
      <c r="N3584" s="86"/>
      <c r="O3584" s="47" t="s">
        <v>45</v>
      </c>
      <c r="P3584" s="47" t="s">
        <v>41</v>
      </c>
      <c r="Q3584" s="14">
        <v>0</v>
      </c>
      <c r="R3584" s="143">
        <v>1000100635</v>
      </c>
      <c r="S3584" s="47"/>
      <c r="T3584" s="6">
        <v>18992.53</v>
      </c>
      <c r="U3584" s="6"/>
      <c r="V3584" s="6">
        <v>13088.800000000003</v>
      </c>
      <c r="W3584" s="6">
        <f t="shared" si="557"/>
        <v>5903.7299999999959</v>
      </c>
      <c r="X3584" s="6">
        <f t="shared" si="558"/>
        <v>13088.800000000003</v>
      </c>
      <c r="Y3584" s="13">
        <f t="shared" si="550"/>
        <v>0</v>
      </c>
      <c r="Z3584" s="14">
        <v>0</v>
      </c>
      <c r="AA3584" s="6">
        <v>0</v>
      </c>
      <c r="AB3584" s="4">
        <f t="shared" si="551"/>
        <v>13088.800000000003</v>
      </c>
      <c r="AC3584" s="4">
        <f t="shared" si="553"/>
        <v>0</v>
      </c>
      <c r="AD3584" s="6">
        <f t="shared" si="555"/>
        <v>13088.800000000003</v>
      </c>
      <c r="AE3584" s="2">
        <f>VLOOKUP(I3584,[1]媒体政策预估表!A:N,MATCH(O3584,[1]媒体政策预估表!$A$2:$M$2,0),0)</f>
        <v>0.12</v>
      </c>
      <c r="AF3584" s="6">
        <f t="shared" si="554"/>
        <v>1570.6560000000004</v>
      </c>
      <c r="AG3584" s="14">
        <v>0</v>
      </c>
      <c r="AH3584" s="64">
        <f t="shared" si="556"/>
        <v>13088.800000000003</v>
      </c>
      <c r="AI3584" s="47"/>
      <c r="AJ3584" s="126" t="e">
        <v>#N/A</v>
      </c>
      <c r="AK3584" s="80">
        <f t="shared" si="552"/>
        <v>0</v>
      </c>
      <c r="AM3584" s="85"/>
    </row>
    <row r="3585" spans="1:39" hidden="1" x14ac:dyDescent="0.3">
      <c r="A3585" s="89" t="s">
        <v>3397</v>
      </c>
      <c r="B3585" s="86" t="s">
        <v>35</v>
      </c>
      <c r="C3585" s="86" t="s">
        <v>65</v>
      </c>
      <c r="D3585" s="86" t="s">
        <v>66</v>
      </c>
      <c r="E3585" s="86" t="s">
        <v>473</v>
      </c>
      <c r="F3585" s="86" t="s">
        <v>473</v>
      </c>
      <c r="G3585" s="86" t="s">
        <v>473</v>
      </c>
      <c r="H3585" s="143">
        <v>62</v>
      </c>
      <c r="I3585" s="86" t="s">
        <v>408</v>
      </c>
      <c r="J3585" s="1" t="s">
        <v>3324</v>
      </c>
      <c r="K3585" s="1" t="s">
        <v>3278</v>
      </c>
      <c r="L3585" s="1" t="s">
        <v>35</v>
      </c>
      <c r="M3585" s="86" t="s">
        <v>479</v>
      </c>
      <c r="N3585" s="86"/>
      <c r="O3585" s="47" t="s">
        <v>45</v>
      </c>
      <c r="P3585" s="47" t="s">
        <v>41</v>
      </c>
      <c r="Q3585" s="14">
        <v>0</v>
      </c>
      <c r="R3585" s="143">
        <v>1000100637</v>
      </c>
      <c r="S3585" s="47"/>
      <c r="T3585" s="6">
        <v>10000</v>
      </c>
      <c r="U3585" s="6"/>
      <c r="V3585" s="6">
        <v>0</v>
      </c>
      <c r="W3585" s="6">
        <f t="shared" si="557"/>
        <v>10000</v>
      </c>
      <c r="X3585" s="6">
        <f t="shared" si="558"/>
        <v>0</v>
      </c>
      <c r="Y3585" s="13">
        <f t="shared" si="550"/>
        <v>0</v>
      </c>
      <c r="Z3585" s="14">
        <v>0</v>
      </c>
      <c r="AA3585" s="6">
        <v>0</v>
      </c>
      <c r="AB3585" s="4">
        <f t="shared" si="551"/>
        <v>0</v>
      </c>
      <c r="AC3585" s="4">
        <f t="shared" si="553"/>
        <v>0</v>
      </c>
      <c r="AD3585" s="6">
        <f t="shared" si="555"/>
        <v>0</v>
      </c>
      <c r="AE3585" s="2">
        <f>VLOOKUP(I3585,[1]媒体政策预估表!A:N,MATCH(O3585,[1]媒体政策预估表!$A$2:$M$2,0),0)</f>
        <v>0.12</v>
      </c>
      <c r="AF3585" s="6">
        <f t="shared" si="554"/>
        <v>0</v>
      </c>
      <c r="AG3585" s="14">
        <v>0</v>
      </c>
      <c r="AH3585" s="64">
        <f t="shared" si="556"/>
        <v>0</v>
      </c>
      <c r="AI3585" s="47"/>
      <c r="AJ3585" s="126" t="e">
        <v>#N/A</v>
      </c>
      <c r="AK3585" s="80">
        <f t="shared" si="552"/>
        <v>0</v>
      </c>
      <c r="AM3585" s="85"/>
    </row>
    <row r="3586" spans="1:39" hidden="1" x14ac:dyDescent="0.3">
      <c r="A3586" s="89" t="s">
        <v>3397</v>
      </c>
      <c r="B3586" s="86" t="s">
        <v>35</v>
      </c>
      <c r="C3586" s="86" t="s">
        <v>65</v>
      </c>
      <c r="D3586" s="86" t="s">
        <v>66</v>
      </c>
      <c r="E3586" s="86" t="s">
        <v>473</v>
      </c>
      <c r="F3586" s="86" t="s">
        <v>473</v>
      </c>
      <c r="G3586" s="86" t="s">
        <v>473</v>
      </c>
      <c r="H3586" s="143">
        <v>62</v>
      </c>
      <c r="I3586" s="86" t="s">
        <v>408</v>
      </c>
      <c r="J3586" s="1" t="s">
        <v>3324</v>
      </c>
      <c r="K3586" s="1" t="s">
        <v>3278</v>
      </c>
      <c r="L3586" s="1" t="s">
        <v>35</v>
      </c>
      <c r="M3586" s="86" t="s">
        <v>480</v>
      </c>
      <c r="N3586" s="86"/>
      <c r="O3586" s="47" t="s">
        <v>45</v>
      </c>
      <c r="P3586" s="47" t="s">
        <v>41</v>
      </c>
      <c r="Q3586" s="14">
        <v>0</v>
      </c>
      <c r="R3586" s="143">
        <v>1000100636</v>
      </c>
      <c r="S3586" s="47"/>
      <c r="T3586" s="6">
        <v>10000</v>
      </c>
      <c r="U3586" s="6"/>
      <c r="V3586" s="6">
        <v>0</v>
      </c>
      <c r="W3586" s="6">
        <f t="shared" si="557"/>
        <v>10000</v>
      </c>
      <c r="X3586" s="6">
        <f t="shared" si="558"/>
        <v>0</v>
      </c>
      <c r="Y3586" s="13">
        <f t="shared" si="550"/>
        <v>0</v>
      </c>
      <c r="Z3586" s="14">
        <v>0</v>
      </c>
      <c r="AA3586" s="6">
        <v>0</v>
      </c>
      <c r="AB3586" s="4">
        <f t="shared" si="551"/>
        <v>0</v>
      </c>
      <c r="AC3586" s="4">
        <f t="shared" si="553"/>
        <v>0</v>
      </c>
      <c r="AD3586" s="6">
        <f t="shared" si="555"/>
        <v>0</v>
      </c>
      <c r="AE3586" s="2">
        <f>VLOOKUP(I3586,[1]媒体政策预估表!A:N,MATCH(O3586,[1]媒体政策预估表!$A$2:$M$2,0),0)</f>
        <v>0.12</v>
      </c>
      <c r="AF3586" s="6">
        <f t="shared" si="554"/>
        <v>0</v>
      </c>
      <c r="AG3586" s="14">
        <v>0</v>
      </c>
      <c r="AH3586" s="64">
        <f t="shared" si="556"/>
        <v>0</v>
      </c>
      <c r="AI3586" s="47"/>
      <c r="AJ3586" s="126" t="e">
        <v>#N/A</v>
      </c>
      <c r="AK3586" s="80">
        <f t="shared" si="552"/>
        <v>0</v>
      </c>
      <c r="AM3586" s="85"/>
    </row>
    <row r="3587" spans="1:39" hidden="1" x14ac:dyDescent="0.3">
      <c r="A3587" s="89" t="s">
        <v>3397</v>
      </c>
      <c r="B3587" s="86" t="s">
        <v>35</v>
      </c>
      <c r="C3587" s="86" t="s">
        <v>65</v>
      </c>
      <c r="D3587" s="86" t="s">
        <v>66</v>
      </c>
      <c r="E3587" s="86" t="s">
        <v>473</v>
      </c>
      <c r="F3587" s="86" t="s">
        <v>473</v>
      </c>
      <c r="G3587" s="86" t="s">
        <v>473</v>
      </c>
      <c r="H3587" s="143">
        <v>62</v>
      </c>
      <c r="I3587" s="86" t="s">
        <v>408</v>
      </c>
      <c r="J3587" s="1" t="s">
        <v>3324</v>
      </c>
      <c r="K3587" s="1" t="s">
        <v>3278</v>
      </c>
      <c r="L3587" s="1" t="s">
        <v>35</v>
      </c>
      <c r="M3587" s="86" t="s">
        <v>481</v>
      </c>
      <c r="N3587" s="86"/>
      <c r="O3587" s="47" t="s">
        <v>45</v>
      </c>
      <c r="P3587" s="47" t="s">
        <v>41</v>
      </c>
      <c r="Q3587" s="14">
        <v>0</v>
      </c>
      <c r="R3587" s="143">
        <v>1000100978</v>
      </c>
      <c r="S3587" s="47"/>
      <c r="T3587" s="6">
        <v>20000</v>
      </c>
      <c r="U3587" s="6"/>
      <c r="V3587" s="6">
        <v>0</v>
      </c>
      <c r="W3587" s="6">
        <f t="shared" si="557"/>
        <v>20000</v>
      </c>
      <c r="X3587" s="6">
        <f t="shared" si="558"/>
        <v>0</v>
      </c>
      <c r="Y3587" s="13">
        <f t="shared" ref="Y3587:Y3650" si="559">IF(X3587-AD3587&lt;=0,0,IF(P3587="返现",MAX(X3587-AC3587-AD3587,0),MAX(X3587-AD3587)))</f>
        <v>0</v>
      </c>
      <c r="Z3587" s="14">
        <v>0</v>
      </c>
      <c r="AA3587" s="6">
        <v>0</v>
      </c>
      <c r="AB3587" s="4">
        <f t="shared" ref="AB3587:AB3650" si="560">X3587+AA3587</f>
        <v>0</v>
      </c>
      <c r="AC3587" s="4">
        <f t="shared" si="553"/>
        <v>0</v>
      </c>
      <c r="AD3587" s="6">
        <f t="shared" si="555"/>
        <v>0</v>
      </c>
      <c r="AE3587" s="2">
        <f>VLOOKUP(I3587,[1]媒体政策预估表!A:N,MATCH(O3587,[1]媒体政策预估表!$A$2:$M$2,0),0)</f>
        <v>0.12</v>
      </c>
      <c r="AF3587" s="6">
        <f t="shared" si="554"/>
        <v>0</v>
      </c>
      <c r="AG3587" s="14">
        <v>0</v>
      </c>
      <c r="AH3587" s="64">
        <f t="shared" si="556"/>
        <v>0</v>
      </c>
      <c r="AI3587" s="47"/>
      <c r="AJ3587" s="126" t="e">
        <v>#N/A</v>
      </c>
      <c r="AK3587" s="80">
        <f t="shared" ref="AK3587:AK3650" si="561">X3587+AA3587-AB3587</f>
        <v>0</v>
      </c>
      <c r="AM3587" s="85"/>
    </row>
    <row r="3588" spans="1:39" hidden="1" x14ac:dyDescent="0.3">
      <c r="A3588" s="89" t="s">
        <v>3397</v>
      </c>
      <c r="B3588" s="86" t="s">
        <v>35</v>
      </c>
      <c r="C3588" s="86" t="s">
        <v>65</v>
      </c>
      <c r="D3588" s="86" t="s">
        <v>66</v>
      </c>
      <c r="E3588" s="86" t="s">
        <v>473</v>
      </c>
      <c r="F3588" s="86" t="s">
        <v>473</v>
      </c>
      <c r="G3588" s="86" t="s">
        <v>473</v>
      </c>
      <c r="H3588" s="144">
        <v>62</v>
      </c>
      <c r="I3588" s="86" t="s">
        <v>408</v>
      </c>
      <c r="J3588" s="1" t="s">
        <v>3324</v>
      </c>
      <c r="K3588" s="1" t="s">
        <v>3278</v>
      </c>
      <c r="L3588" s="1" t="s">
        <v>35</v>
      </c>
      <c r="M3588" s="86" t="s">
        <v>482</v>
      </c>
      <c r="N3588" s="86"/>
      <c r="O3588" s="47" t="s">
        <v>410</v>
      </c>
      <c r="P3588" s="47" t="s">
        <v>41</v>
      </c>
      <c r="Q3588" s="14">
        <v>0</v>
      </c>
      <c r="R3588" s="143">
        <v>1000043032</v>
      </c>
      <c r="S3588" s="47"/>
      <c r="T3588" s="6">
        <v>199033.60000000009</v>
      </c>
      <c r="U3588" s="6"/>
      <c r="V3588" s="6">
        <v>199033.60000000009</v>
      </c>
      <c r="W3588" s="6">
        <f t="shared" si="557"/>
        <v>0</v>
      </c>
      <c r="X3588" s="6">
        <f t="shared" si="558"/>
        <v>199033.60000000009</v>
      </c>
      <c r="Y3588" s="13">
        <f t="shared" si="559"/>
        <v>0</v>
      </c>
      <c r="Z3588" s="14">
        <v>0</v>
      </c>
      <c r="AA3588" s="6">
        <v>0</v>
      </c>
      <c r="AB3588" s="4">
        <f t="shared" si="560"/>
        <v>199033.60000000009</v>
      </c>
      <c r="AC3588" s="4">
        <f t="shared" si="553"/>
        <v>0</v>
      </c>
      <c r="AD3588" s="6">
        <f t="shared" si="555"/>
        <v>199033.60000000009</v>
      </c>
      <c r="AE3588" s="2">
        <f>VLOOKUP(I3588,[1]媒体政策预估表!A:N,MATCH(O3588,[1]媒体政策预估表!$A$2:$M$2,0),0)</f>
        <v>7.0000000000000007E-2</v>
      </c>
      <c r="AF3588" s="6">
        <f t="shared" si="554"/>
        <v>13932.352000000008</v>
      </c>
      <c r="AG3588" s="14">
        <v>0</v>
      </c>
      <c r="AH3588" s="64">
        <f t="shared" si="556"/>
        <v>199033.60000000009</v>
      </c>
      <c r="AI3588" s="47"/>
      <c r="AJ3588" s="126" t="e">
        <v>#N/A</v>
      </c>
      <c r="AK3588" s="80">
        <f t="shared" si="561"/>
        <v>0</v>
      </c>
      <c r="AM3588" s="85"/>
    </row>
    <row r="3589" spans="1:39" hidden="1" x14ac:dyDescent="0.3">
      <c r="A3589" s="89" t="s">
        <v>3397</v>
      </c>
      <c r="B3589" s="86" t="s">
        <v>35</v>
      </c>
      <c r="C3589" s="86" t="s">
        <v>65</v>
      </c>
      <c r="D3589" s="86" t="s">
        <v>66</v>
      </c>
      <c r="E3589" s="86" t="s">
        <v>473</v>
      </c>
      <c r="F3589" s="86" t="s">
        <v>473</v>
      </c>
      <c r="G3589" s="86" t="s">
        <v>473</v>
      </c>
      <c r="H3589" s="144">
        <v>62</v>
      </c>
      <c r="I3589" s="86" t="s">
        <v>408</v>
      </c>
      <c r="J3589" s="1" t="s">
        <v>3324</v>
      </c>
      <c r="K3589" s="1" t="s">
        <v>3278</v>
      </c>
      <c r="L3589" s="1" t="s">
        <v>35</v>
      </c>
      <c r="M3589" s="86" t="s">
        <v>486</v>
      </c>
      <c r="N3589" s="86"/>
      <c r="O3589" s="47" t="s">
        <v>45</v>
      </c>
      <c r="P3589" s="47" t="s">
        <v>41</v>
      </c>
      <c r="Q3589" s="14">
        <v>0</v>
      </c>
      <c r="R3589" s="143">
        <v>1000054589</v>
      </c>
      <c r="S3589" s="47"/>
      <c r="T3589" s="6">
        <v>11685.989999999998</v>
      </c>
      <c r="U3589" s="6"/>
      <c r="V3589" s="6">
        <v>11685.989999999998</v>
      </c>
      <c r="W3589" s="6">
        <f t="shared" si="557"/>
        <v>0</v>
      </c>
      <c r="X3589" s="6">
        <f t="shared" si="558"/>
        <v>11685.989999999998</v>
      </c>
      <c r="Y3589" s="13">
        <f t="shared" si="559"/>
        <v>0</v>
      </c>
      <c r="Z3589" s="14">
        <v>0</v>
      </c>
      <c r="AA3589" s="6">
        <v>0</v>
      </c>
      <c r="AB3589" s="4">
        <f t="shared" si="560"/>
        <v>11685.989999999998</v>
      </c>
      <c r="AC3589" s="4">
        <f t="shared" si="553"/>
        <v>0</v>
      </c>
      <c r="AD3589" s="6">
        <f t="shared" si="555"/>
        <v>11685.989999999998</v>
      </c>
      <c r="AE3589" s="2">
        <f>VLOOKUP(I3589,[1]媒体政策预估表!A:N,MATCH(O3589,[1]媒体政策预估表!$A$2:$M$2,0),0)</f>
        <v>0.12</v>
      </c>
      <c r="AF3589" s="6">
        <f t="shared" si="554"/>
        <v>1402.3187999999998</v>
      </c>
      <c r="AG3589" s="14">
        <v>0</v>
      </c>
      <c r="AH3589" s="64">
        <f t="shared" si="556"/>
        <v>11685.989999999998</v>
      </c>
      <c r="AI3589" s="47"/>
      <c r="AJ3589" s="126" t="e">
        <v>#N/A</v>
      </c>
      <c r="AK3589" s="80">
        <f t="shared" si="561"/>
        <v>0</v>
      </c>
      <c r="AM3589" s="85"/>
    </row>
    <row r="3590" spans="1:39" hidden="1" x14ac:dyDescent="0.3">
      <c r="A3590" s="89" t="s">
        <v>3397</v>
      </c>
      <c r="B3590" s="86" t="s">
        <v>35</v>
      </c>
      <c r="C3590" s="86" t="s">
        <v>65</v>
      </c>
      <c r="D3590" s="86" t="s">
        <v>66</v>
      </c>
      <c r="E3590" s="86" t="s">
        <v>491</v>
      </c>
      <c r="F3590" s="86" t="s">
        <v>491</v>
      </c>
      <c r="G3590" s="86" t="s">
        <v>491</v>
      </c>
      <c r="H3590" s="144">
        <v>62</v>
      </c>
      <c r="I3590" s="86" t="s">
        <v>408</v>
      </c>
      <c r="J3590" s="1" t="s">
        <v>3324</v>
      </c>
      <c r="K3590" s="1" t="s">
        <v>3278</v>
      </c>
      <c r="L3590" s="1" t="s">
        <v>35</v>
      </c>
      <c r="M3590" s="86" t="s">
        <v>492</v>
      </c>
      <c r="N3590" s="86"/>
      <c r="O3590" s="47" t="s">
        <v>410</v>
      </c>
      <c r="P3590" s="47" t="s">
        <v>46</v>
      </c>
      <c r="Q3590" s="14">
        <v>0.02</v>
      </c>
      <c r="R3590" s="143">
        <v>1000023983</v>
      </c>
      <c r="S3590" s="47"/>
      <c r="T3590" s="6">
        <v>85702.78</v>
      </c>
      <c r="U3590" s="6"/>
      <c r="V3590" s="6">
        <v>30742.5</v>
      </c>
      <c r="W3590" s="6">
        <f t="shared" si="557"/>
        <v>54960.28</v>
      </c>
      <c r="X3590" s="6">
        <f t="shared" si="558"/>
        <v>30139.705882352941</v>
      </c>
      <c r="Y3590" s="13">
        <f t="shared" si="559"/>
        <v>0</v>
      </c>
      <c r="Z3590" s="14">
        <v>0</v>
      </c>
      <c r="AA3590" s="6">
        <v>0</v>
      </c>
      <c r="AB3590" s="4">
        <f t="shared" si="560"/>
        <v>30139.705882352941</v>
      </c>
      <c r="AC3590" s="4">
        <f t="shared" si="553"/>
        <v>602.79411764705947</v>
      </c>
      <c r="AD3590" s="6">
        <f t="shared" si="555"/>
        <v>30742.5</v>
      </c>
      <c r="AE3590" s="2">
        <f>VLOOKUP(I3590,[1]媒体政策预估表!A:N,MATCH(O3590,[1]媒体政策预估表!$A$2:$M$2,0),0)</f>
        <v>7.0000000000000007E-2</v>
      </c>
      <c r="AF3590" s="6">
        <f t="shared" si="554"/>
        <v>2151.9750000000004</v>
      </c>
      <c r="AG3590" s="14">
        <v>0</v>
      </c>
      <c r="AH3590" s="64">
        <f t="shared" si="556"/>
        <v>30742.5</v>
      </c>
      <c r="AI3590" s="47"/>
      <c r="AJ3590" s="126" t="e">
        <v>#N/A</v>
      </c>
      <c r="AK3590" s="80">
        <f t="shared" si="561"/>
        <v>0</v>
      </c>
      <c r="AM3590" s="85"/>
    </row>
    <row r="3591" spans="1:39" hidden="1" x14ac:dyDescent="0.3">
      <c r="A3591" s="89" t="s">
        <v>3397</v>
      </c>
      <c r="B3591" s="86" t="s">
        <v>35</v>
      </c>
      <c r="C3591" s="86" t="s">
        <v>65</v>
      </c>
      <c r="D3591" s="86" t="s">
        <v>122</v>
      </c>
      <c r="E3591" s="86" t="s">
        <v>507</v>
      </c>
      <c r="F3591" s="86" t="s">
        <v>507</v>
      </c>
      <c r="G3591" s="86" t="s">
        <v>507</v>
      </c>
      <c r="H3591" s="143">
        <v>62</v>
      </c>
      <c r="I3591" s="86" t="s">
        <v>408</v>
      </c>
      <c r="J3591" s="1" t="s">
        <v>3324</v>
      </c>
      <c r="K3591" s="1" t="s">
        <v>3278</v>
      </c>
      <c r="L3591" s="1" t="s">
        <v>35</v>
      </c>
      <c r="M3591" s="86" t="s">
        <v>508</v>
      </c>
      <c r="N3591" s="86"/>
      <c r="O3591" s="47" t="s">
        <v>410</v>
      </c>
      <c r="P3591" s="47" t="s">
        <v>41</v>
      </c>
      <c r="Q3591" s="14">
        <v>0</v>
      </c>
      <c r="R3591" s="143">
        <v>1000101280</v>
      </c>
      <c r="S3591" s="47"/>
      <c r="T3591" s="6">
        <v>5000</v>
      </c>
      <c r="U3591" s="6"/>
      <c r="V3591" s="6">
        <v>0</v>
      </c>
      <c r="W3591" s="6">
        <f t="shared" si="557"/>
        <v>5000</v>
      </c>
      <c r="X3591" s="6">
        <f t="shared" si="558"/>
        <v>0</v>
      </c>
      <c r="Y3591" s="13">
        <f t="shared" si="559"/>
        <v>0</v>
      </c>
      <c r="Z3591" s="14">
        <v>0</v>
      </c>
      <c r="AA3591" s="6">
        <v>0</v>
      </c>
      <c r="AB3591" s="4">
        <f t="shared" si="560"/>
        <v>0</v>
      </c>
      <c r="AC3591" s="4">
        <f t="shared" si="553"/>
        <v>0</v>
      </c>
      <c r="AD3591" s="6">
        <f t="shared" si="555"/>
        <v>0</v>
      </c>
      <c r="AE3591" s="2">
        <f>VLOOKUP(I3591,[1]媒体政策预估表!A:N,MATCH(O3591,[1]媒体政策预估表!$A$2:$M$2,0),0)</f>
        <v>7.0000000000000007E-2</v>
      </c>
      <c r="AF3591" s="6">
        <f t="shared" si="554"/>
        <v>0</v>
      </c>
      <c r="AG3591" s="14">
        <v>0</v>
      </c>
      <c r="AH3591" s="64">
        <f t="shared" si="556"/>
        <v>0</v>
      </c>
      <c r="AI3591" s="47"/>
      <c r="AJ3591" s="126" t="e">
        <v>#N/A</v>
      </c>
      <c r="AK3591" s="80">
        <f t="shared" si="561"/>
        <v>0</v>
      </c>
      <c r="AM3591" s="85"/>
    </row>
    <row r="3592" spans="1:39" hidden="1" x14ac:dyDescent="0.3">
      <c r="A3592" s="89" t="s">
        <v>3397</v>
      </c>
      <c r="B3592" s="86" t="s">
        <v>35</v>
      </c>
      <c r="C3592" s="86" t="s">
        <v>65</v>
      </c>
      <c r="D3592" s="86" t="s">
        <v>122</v>
      </c>
      <c r="E3592" s="86" t="s">
        <v>507</v>
      </c>
      <c r="F3592" s="86" t="s">
        <v>507</v>
      </c>
      <c r="G3592" s="86" t="s">
        <v>507</v>
      </c>
      <c r="H3592" s="143">
        <v>62</v>
      </c>
      <c r="I3592" s="86" t="s">
        <v>408</v>
      </c>
      <c r="J3592" s="1" t="s">
        <v>3324</v>
      </c>
      <c r="K3592" s="1" t="s">
        <v>3278</v>
      </c>
      <c r="L3592" s="1" t="s">
        <v>35</v>
      </c>
      <c r="M3592" s="86" t="s">
        <v>509</v>
      </c>
      <c r="N3592" s="86"/>
      <c r="O3592" s="47" t="s">
        <v>410</v>
      </c>
      <c r="P3592" s="47" t="s">
        <v>41</v>
      </c>
      <c r="Q3592" s="14">
        <v>0</v>
      </c>
      <c r="R3592" s="143">
        <v>1000101348</v>
      </c>
      <c r="S3592" s="47"/>
      <c r="T3592" s="6">
        <v>5000</v>
      </c>
      <c r="U3592" s="6"/>
      <c r="V3592" s="6">
        <v>0</v>
      </c>
      <c r="W3592" s="6">
        <f t="shared" si="557"/>
        <v>5000</v>
      </c>
      <c r="X3592" s="6">
        <f t="shared" si="558"/>
        <v>0</v>
      </c>
      <c r="Y3592" s="13">
        <f t="shared" si="559"/>
        <v>0</v>
      </c>
      <c r="Z3592" s="14">
        <v>0</v>
      </c>
      <c r="AA3592" s="6">
        <v>0</v>
      </c>
      <c r="AB3592" s="4">
        <f t="shared" si="560"/>
        <v>0</v>
      </c>
      <c r="AC3592" s="4">
        <f t="shared" si="553"/>
        <v>0</v>
      </c>
      <c r="AD3592" s="6">
        <f t="shared" si="555"/>
        <v>0</v>
      </c>
      <c r="AE3592" s="2">
        <f>VLOOKUP(I3592,[1]媒体政策预估表!A:N,MATCH(O3592,[1]媒体政策预估表!$A$2:$M$2,0),0)</f>
        <v>7.0000000000000007E-2</v>
      </c>
      <c r="AF3592" s="6">
        <f t="shared" si="554"/>
        <v>0</v>
      </c>
      <c r="AG3592" s="14">
        <v>0</v>
      </c>
      <c r="AH3592" s="64">
        <f t="shared" si="556"/>
        <v>0</v>
      </c>
      <c r="AI3592" s="47"/>
      <c r="AJ3592" s="126" t="e">
        <v>#N/A</v>
      </c>
      <c r="AK3592" s="80">
        <f t="shared" si="561"/>
        <v>0</v>
      </c>
      <c r="AM3592" s="85"/>
    </row>
    <row r="3593" spans="1:39" hidden="1" x14ac:dyDescent="0.3">
      <c r="A3593" s="89" t="s">
        <v>3397</v>
      </c>
      <c r="B3593" s="86" t="s">
        <v>35</v>
      </c>
      <c r="C3593" s="86" t="s">
        <v>47</v>
      </c>
      <c r="D3593" s="86" t="s">
        <v>63</v>
      </c>
      <c r="E3593" s="86" t="s">
        <v>533</v>
      </c>
      <c r="F3593" s="86" t="s">
        <v>533</v>
      </c>
      <c r="G3593" s="86" t="s">
        <v>533</v>
      </c>
      <c r="H3593" s="144">
        <v>62</v>
      </c>
      <c r="I3593" s="86" t="s">
        <v>408</v>
      </c>
      <c r="J3593" s="1" t="s">
        <v>3324</v>
      </c>
      <c r="K3593" s="1" t="s">
        <v>3278</v>
      </c>
      <c r="L3593" s="1" t="s">
        <v>35</v>
      </c>
      <c r="M3593" s="86" t="s">
        <v>534</v>
      </c>
      <c r="N3593" s="86"/>
      <c r="O3593" s="47" t="s">
        <v>410</v>
      </c>
      <c r="P3593" s="47" t="s">
        <v>46</v>
      </c>
      <c r="Q3593" s="14">
        <v>0.02</v>
      </c>
      <c r="R3593" s="143">
        <v>1000099349</v>
      </c>
      <c r="S3593" s="47"/>
      <c r="T3593" s="6">
        <v>40456.410000000003</v>
      </c>
      <c r="U3593" s="6"/>
      <c r="V3593" s="6">
        <v>13341.630000000001</v>
      </c>
      <c r="W3593" s="6">
        <f t="shared" si="557"/>
        <v>27114.780000000002</v>
      </c>
      <c r="X3593" s="6">
        <f t="shared" si="558"/>
        <v>13080.029411764706</v>
      </c>
      <c r="Y3593" s="13">
        <f t="shared" si="559"/>
        <v>0</v>
      </c>
      <c r="Z3593" s="14">
        <v>0</v>
      </c>
      <c r="AA3593" s="6">
        <v>0</v>
      </c>
      <c r="AB3593" s="4">
        <f t="shared" si="560"/>
        <v>13080.029411764706</v>
      </c>
      <c r="AC3593" s="4">
        <f t="shared" si="553"/>
        <v>261.60058823529471</v>
      </c>
      <c r="AD3593" s="6">
        <f t="shared" si="555"/>
        <v>13341.630000000001</v>
      </c>
      <c r="AE3593" s="2">
        <f>VLOOKUP(I3593,[1]媒体政策预估表!A:N,MATCH(O3593,[1]媒体政策预估表!$A$2:$M$2,0),0)</f>
        <v>7.0000000000000007E-2</v>
      </c>
      <c r="AF3593" s="6">
        <f t="shared" si="554"/>
        <v>933.91410000000019</v>
      </c>
      <c r="AG3593" s="14">
        <v>0</v>
      </c>
      <c r="AH3593" s="64">
        <f t="shared" si="556"/>
        <v>13341.630000000001</v>
      </c>
      <c r="AI3593" s="47"/>
      <c r="AJ3593" s="126" t="e">
        <v>#N/A</v>
      </c>
      <c r="AK3593" s="80">
        <f t="shared" si="561"/>
        <v>0</v>
      </c>
      <c r="AM3593" s="85"/>
    </row>
    <row r="3594" spans="1:39" hidden="1" x14ac:dyDescent="0.3">
      <c r="A3594" s="89" t="s">
        <v>3397</v>
      </c>
      <c r="B3594" s="86" t="s">
        <v>35</v>
      </c>
      <c r="C3594" s="86" t="s">
        <v>47</v>
      </c>
      <c r="D3594" s="86" t="s">
        <v>63</v>
      </c>
      <c r="E3594" s="86" t="s">
        <v>533</v>
      </c>
      <c r="F3594" s="86" t="s">
        <v>533</v>
      </c>
      <c r="G3594" s="86" t="s">
        <v>533</v>
      </c>
      <c r="H3594" s="143">
        <v>62</v>
      </c>
      <c r="I3594" s="86" t="s">
        <v>408</v>
      </c>
      <c r="J3594" s="1" t="s">
        <v>3324</v>
      </c>
      <c r="K3594" s="1" t="s">
        <v>3278</v>
      </c>
      <c r="L3594" s="1" t="s">
        <v>35</v>
      </c>
      <c r="M3594" s="86" t="s">
        <v>535</v>
      </c>
      <c r="N3594" s="86"/>
      <c r="O3594" s="47" t="s">
        <v>410</v>
      </c>
      <c r="P3594" s="47" t="s">
        <v>46</v>
      </c>
      <c r="Q3594" s="14">
        <v>0.02</v>
      </c>
      <c r="R3594" s="143">
        <v>1000073749</v>
      </c>
      <c r="S3594" s="47"/>
      <c r="T3594" s="6">
        <v>182208.97</v>
      </c>
      <c r="U3594" s="6"/>
      <c r="V3594" s="6">
        <v>0</v>
      </c>
      <c r="W3594" s="6">
        <f t="shared" si="557"/>
        <v>182208.97</v>
      </c>
      <c r="X3594" s="6">
        <f t="shared" si="558"/>
        <v>0</v>
      </c>
      <c r="Y3594" s="13">
        <f t="shared" si="559"/>
        <v>0</v>
      </c>
      <c r="Z3594" s="14">
        <v>0</v>
      </c>
      <c r="AA3594" s="6">
        <v>0</v>
      </c>
      <c r="AB3594" s="4">
        <f t="shared" si="560"/>
        <v>0</v>
      </c>
      <c r="AC3594" s="4">
        <f t="shared" si="553"/>
        <v>0</v>
      </c>
      <c r="AD3594" s="6">
        <f t="shared" si="555"/>
        <v>0</v>
      </c>
      <c r="AE3594" s="2">
        <f>VLOOKUP(I3594,[1]媒体政策预估表!A:N,MATCH(O3594,[1]媒体政策预估表!$A$2:$M$2,0),0)</f>
        <v>7.0000000000000007E-2</v>
      </c>
      <c r="AF3594" s="6">
        <f t="shared" si="554"/>
        <v>0</v>
      </c>
      <c r="AG3594" s="14">
        <v>0</v>
      </c>
      <c r="AH3594" s="64">
        <f t="shared" si="556"/>
        <v>0</v>
      </c>
      <c r="AI3594" s="47"/>
      <c r="AJ3594" s="126" t="e">
        <v>#N/A</v>
      </c>
      <c r="AK3594" s="80">
        <f t="shared" si="561"/>
        <v>0</v>
      </c>
      <c r="AM3594" s="85"/>
    </row>
    <row r="3595" spans="1:39" hidden="1" x14ac:dyDescent="0.3">
      <c r="A3595" s="89" t="s">
        <v>3397</v>
      </c>
      <c r="B3595" s="86" t="s">
        <v>35</v>
      </c>
      <c r="C3595" s="86" t="s">
        <v>47</v>
      </c>
      <c r="D3595" s="86" t="s">
        <v>63</v>
      </c>
      <c r="E3595" s="86" t="s">
        <v>538</v>
      </c>
      <c r="F3595" s="86" t="s">
        <v>538</v>
      </c>
      <c r="G3595" s="86" t="s">
        <v>538</v>
      </c>
      <c r="H3595" s="144">
        <v>62</v>
      </c>
      <c r="I3595" s="86" t="s">
        <v>408</v>
      </c>
      <c r="J3595" s="1" t="s">
        <v>3324</v>
      </c>
      <c r="K3595" s="1" t="s">
        <v>3278</v>
      </c>
      <c r="L3595" s="1" t="s">
        <v>35</v>
      </c>
      <c r="M3595" s="86" t="s">
        <v>539</v>
      </c>
      <c r="N3595" s="86"/>
      <c r="O3595" s="47" t="s">
        <v>45</v>
      </c>
      <c r="P3595" s="47" t="s">
        <v>41</v>
      </c>
      <c r="Q3595" s="14">
        <v>0</v>
      </c>
      <c r="R3595" s="143">
        <v>1000100422</v>
      </c>
      <c r="S3595" s="47"/>
      <c r="T3595" s="6">
        <v>10000</v>
      </c>
      <c r="U3595" s="6"/>
      <c r="V3595" s="6">
        <v>1307.0999999999999</v>
      </c>
      <c r="W3595" s="6">
        <f t="shared" si="557"/>
        <v>8692.9</v>
      </c>
      <c r="X3595" s="6">
        <f t="shared" si="558"/>
        <v>1307.0999999999999</v>
      </c>
      <c r="Y3595" s="13">
        <f t="shared" si="559"/>
        <v>0</v>
      </c>
      <c r="Z3595" s="14">
        <v>0</v>
      </c>
      <c r="AA3595" s="6">
        <v>0</v>
      </c>
      <c r="AB3595" s="4">
        <f t="shared" si="560"/>
        <v>1307.0999999999999</v>
      </c>
      <c r="AC3595" s="4">
        <f t="shared" si="553"/>
        <v>0</v>
      </c>
      <c r="AD3595" s="6">
        <f t="shared" si="555"/>
        <v>1307.0999999999999</v>
      </c>
      <c r="AE3595" s="2">
        <f>VLOOKUP(I3595,[1]媒体政策预估表!A:N,MATCH(O3595,[1]媒体政策预估表!$A$2:$M$2,0),0)</f>
        <v>0.12</v>
      </c>
      <c r="AF3595" s="6">
        <f t="shared" si="554"/>
        <v>156.85199999999998</v>
      </c>
      <c r="AG3595" s="14">
        <v>0</v>
      </c>
      <c r="AH3595" s="64">
        <f t="shared" si="556"/>
        <v>1307.0999999999999</v>
      </c>
      <c r="AI3595" s="47"/>
      <c r="AJ3595" s="126" t="e">
        <v>#N/A</v>
      </c>
      <c r="AK3595" s="80">
        <f t="shared" si="561"/>
        <v>0</v>
      </c>
      <c r="AM3595" s="85"/>
    </row>
    <row r="3596" spans="1:39" hidden="1" x14ac:dyDescent="0.3">
      <c r="A3596" s="89" t="s">
        <v>3397</v>
      </c>
      <c r="B3596" s="86" t="s">
        <v>35</v>
      </c>
      <c r="C3596" s="86" t="s">
        <v>47</v>
      </c>
      <c r="D3596" s="86" t="s">
        <v>48</v>
      </c>
      <c r="E3596" s="86" t="s">
        <v>542</v>
      </c>
      <c r="F3596" s="86" t="s">
        <v>543</v>
      </c>
      <c r="G3596" s="86" t="s">
        <v>542</v>
      </c>
      <c r="H3596" s="143">
        <v>62</v>
      </c>
      <c r="I3596" s="86" t="s">
        <v>408</v>
      </c>
      <c r="J3596" s="1" t="s">
        <v>3324</v>
      </c>
      <c r="K3596" s="1" t="s">
        <v>3278</v>
      </c>
      <c r="L3596" s="1" t="s">
        <v>35</v>
      </c>
      <c r="M3596" s="86" t="s">
        <v>545</v>
      </c>
      <c r="N3596" s="86"/>
      <c r="O3596" s="47" t="s">
        <v>410</v>
      </c>
      <c r="P3596" s="47" t="s">
        <v>41</v>
      </c>
      <c r="Q3596" s="14">
        <v>0</v>
      </c>
      <c r="R3596" s="143">
        <v>1000046341</v>
      </c>
      <c r="S3596" s="47"/>
      <c r="T3596" s="6">
        <v>20000</v>
      </c>
      <c r="U3596" s="6"/>
      <c r="V3596" s="6">
        <v>0</v>
      </c>
      <c r="W3596" s="6">
        <f t="shared" si="557"/>
        <v>20000</v>
      </c>
      <c r="X3596" s="6">
        <f t="shared" si="558"/>
        <v>0</v>
      </c>
      <c r="Y3596" s="13">
        <f t="shared" si="559"/>
        <v>0</v>
      </c>
      <c r="Z3596" s="14">
        <v>0</v>
      </c>
      <c r="AA3596" s="6">
        <v>0</v>
      </c>
      <c r="AB3596" s="4">
        <f t="shared" si="560"/>
        <v>0</v>
      </c>
      <c r="AC3596" s="4">
        <f t="shared" ref="AC3596:AC3659" si="562">IF(P3596="返现",X3596*Q3596,V3596-X3596)</f>
        <v>0</v>
      </c>
      <c r="AD3596" s="6">
        <f t="shared" si="555"/>
        <v>0</v>
      </c>
      <c r="AE3596" s="2">
        <f>VLOOKUP(I3596,[1]媒体政策预估表!A:N,MATCH(O3596,[1]媒体政策预估表!$A$2:$M$2,0),0)</f>
        <v>7.0000000000000007E-2</v>
      </c>
      <c r="AF3596" s="6">
        <f t="shared" ref="AF3596:AF3659" si="563">AD3596*AE3596</f>
        <v>0</v>
      </c>
      <c r="AG3596" s="14">
        <v>0</v>
      </c>
      <c r="AH3596" s="64">
        <f t="shared" si="556"/>
        <v>0</v>
      </c>
      <c r="AI3596" s="47"/>
      <c r="AJ3596" s="126" t="e">
        <v>#N/A</v>
      </c>
      <c r="AK3596" s="80">
        <f t="shared" si="561"/>
        <v>0</v>
      </c>
      <c r="AM3596" s="85"/>
    </row>
    <row r="3597" spans="1:39" hidden="1" x14ac:dyDescent="0.3">
      <c r="A3597" s="89" t="s">
        <v>3397</v>
      </c>
      <c r="B3597" s="86" t="s">
        <v>35</v>
      </c>
      <c r="C3597" s="86" t="s">
        <v>47</v>
      </c>
      <c r="D3597" s="86" t="s">
        <v>48</v>
      </c>
      <c r="E3597" s="86" t="s">
        <v>556</v>
      </c>
      <c r="F3597" s="86" t="s">
        <v>556</v>
      </c>
      <c r="G3597" s="86" t="s">
        <v>556</v>
      </c>
      <c r="H3597" s="144">
        <v>62</v>
      </c>
      <c r="I3597" s="86" t="s">
        <v>408</v>
      </c>
      <c r="J3597" s="1" t="s">
        <v>3324</v>
      </c>
      <c r="K3597" s="1" t="s">
        <v>3278</v>
      </c>
      <c r="L3597" s="1" t="s">
        <v>35</v>
      </c>
      <c r="M3597" s="86" t="s">
        <v>557</v>
      </c>
      <c r="N3597" s="86"/>
      <c r="O3597" s="47" t="s">
        <v>45</v>
      </c>
      <c r="P3597" s="47" t="s">
        <v>46</v>
      </c>
      <c r="Q3597" s="14">
        <v>0.04</v>
      </c>
      <c r="R3597" s="143">
        <v>1000100700</v>
      </c>
      <c r="S3597" s="47"/>
      <c r="T3597" s="6">
        <v>9546.7900000000009</v>
      </c>
      <c r="U3597" s="6"/>
      <c r="V3597" s="6">
        <v>6770.29</v>
      </c>
      <c r="W3597" s="6">
        <f t="shared" si="557"/>
        <v>2776.5000000000009</v>
      </c>
      <c r="X3597" s="6">
        <f t="shared" si="558"/>
        <v>6509.8942307692305</v>
      </c>
      <c r="Y3597" s="13">
        <f t="shared" si="559"/>
        <v>0</v>
      </c>
      <c r="Z3597" s="14">
        <v>0</v>
      </c>
      <c r="AA3597" s="6">
        <v>0</v>
      </c>
      <c r="AB3597" s="4">
        <f t="shared" si="560"/>
        <v>6509.8942307692305</v>
      </c>
      <c r="AC3597" s="4">
        <f t="shared" si="562"/>
        <v>260.39576923076947</v>
      </c>
      <c r="AD3597" s="6">
        <f t="shared" si="555"/>
        <v>6770.29</v>
      </c>
      <c r="AE3597" s="2">
        <f>VLOOKUP(I3597,[1]媒体政策预估表!A:N,MATCH(O3597,[1]媒体政策预估表!$A$2:$M$2,0),0)</f>
        <v>0.12</v>
      </c>
      <c r="AF3597" s="6">
        <f t="shared" si="563"/>
        <v>812.4348</v>
      </c>
      <c r="AG3597" s="14">
        <v>0</v>
      </c>
      <c r="AH3597" s="64">
        <f t="shared" si="556"/>
        <v>6770.29</v>
      </c>
      <c r="AI3597" s="47"/>
      <c r="AJ3597" s="126" t="e">
        <v>#N/A</v>
      </c>
      <c r="AK3597" s="80">
        <f t="shared" si="561"/>
        <v>0</v>
      </c>
      <c r="AM3597" s="85"/>
    </row>
    <row r="3598" spans="1:39" hidden="1" x14ac:dyDescent="0.3">
      <c r="A3598" s="89" t="s">
        <v>3397</v>
      </c>
      <c r="B3598" s="86" t="s">
        <v>35</v>
      </c>
      <c r="C3598" s="86" t="s">
        <v>144</v>
      </c>
      <c r="D3598" s="86" t="s">
        <v>145</v>
      </c>
      <c r="E3598" s="86" t="s">
        <v>558</v>
      </c>
      <c r="F3598" s="86" t="s">
        <v>559</v>
      </c>
      <c r="G3598" s="86" t="s">
        <v>558</v>
      </c>
      <c r="H3598" s="144">
        <v>62</v>
      </c>
      <c r="I3598" s="86" t="s">
        <v>408</v>
      </c>
      <c r="J3598" s="1" t="s">
        <v>3324</v>
      </c>
      <c r="K3598" s="1" t="s">
        <v>3278</v>
      </c>
      <c r="L3598" s="1" t="s">
        <v>35</v>
      </c>
      <c r="M3598" s="86" t="s">
        <v>560</v>
      </c>
      <c r="N3598" s="86"/>
      <c r="O3598" s="47" t="s">
        <v>410</v>
      </c>
      <c r="P3598" s="47" t="s">
        <v>41</v>
      </c>
      <c r="Q3598" s="14">
        <v>0</v>
      </c>
      <c r="R3598" s="143">
        <v>1000053973</v>
      </c>
      <c r="S3598" s="47"/>
      <c r="T3598" s="6">
        <v>20787.439999999999</v>
      </c>
      <c r="U3598" s="6"/>
      <c r="V3598" s="6">
        <v>7733.52</v>
      </c>
      <c r="W3598" s="6">
        <f t="shared" si="557"/>
        <v>13053.919999999998</v>
      </c>
      <c r="X3598" s="6">
        <f t="shared" si="558"/>
        <v>7733.52</v>
      </c>
      <c r="Y3598" s="13">
        <f t="shared" si="559"/>
        <v>0</v>
      </c>
      <c r="Z3598" s="14">
        <v>0</v>
      </c>
      <c r="AA3598" s="6">
        <v>0</v>
      </c>
      <c r="AB3598" s="4">
        <f t="shared" si="560"/>
        <v>7733.52</v>
      </c>
      <c r="AC3598" s="4">
        <f t="shared" si="562"/>
        <v>0</v>
      </c>
      <c r="AD3598" s="6">
        <f t="shared" si="555"/>
        <v>7733.52</v>
      </c>
      <c r="AE3598" s="2">
        <f>VLOOKUP(I3598,[1]媒体政策预估表!A:N,MATCH(O3598,[1]媒体政策预估表!$A$2:$M$2,0),0)</f>
        <v>7.0000000000000007E-2</v>
      </c>
      <c r="AF3598" s="6">
        <f t="shared" si="563"/>
        <v>541.34640000000013</v>
      </c>
      <c r="AG3598" s="14">
        <v>0</v>
      </c>
      <c r="AH3598" s="64">
        <f t="shared" si="556"/>
        <v>7733.52</v>
      </c>
      <c r="AI3598" s="47"/>
      <c r="AJ3598" s="126" t="e">
        <v>#N/A</v>
      </c>
      <c r="AK3598" s="80">
        <f t="shared" si="561"/>
        <v>0</v>
      </c>
      <c r="AM3598" s="85"/>
    </row>
    <row r="3599" spans="1:39" hidden="1" x14ac:dyDescent="0.3">
      <c r="A3599" s="89" t="s">
        <v>3397</v>
      </c>
      <c r="B3599" s="86" t="s">
        <v>35</v>
      </c>
      <c r="C3599" s="86" t="s">
        <v>144</v>
      </c>
      <c r="D3599" s="86" t="s">
        <v>145</v>
      </c>
      <c r="E3599" s="86" t="s">
        <v>563</v>
      </c>
      <c r="F3599" s="86" t="s">
        <v>563</v>
      </c>
      <c r="G3599" s="86" t="s">
        <v>563</v>
      </c>
      <c r="H3599" s="144">
        <v>62</v>
      </c>
      <c r="I3599" s="86" t="s">
        <v>408</v>
      </c>
      <c r="J3599" s="1" t="s">
        <v>3324</v>
      </c>
      <c r="K3599" s="1" t="s">
        <v>3278</v>
      </c>
      <c r="L3599" s="1" t="s">
        <v>35</v>
      </c>
      <c r="M3599" s="86" t="s">
        <v>564</v>
      </c>
      <c r="N3599" s="86"/>
      <c r="O3599" s="47" t="s">
        <v>410</v>
      </c>
      <c r="P3599" s="47" t="s">
        <v>46</v>
      </c>
      <c r="Q3599" s="14">
        <v>0.02</v>
      </c>
      <c r="R3599" s="143">
        <v>1000095719</v>
      </c>
      <c r="S3599" s="47"/>
      <c r="T3599" s="6">
        <v>6229.4800000000032</v>
      </c>
      <c r="U3599" s="6"/>
      <c r="V3599" s="6">
        <v>2502.11</v>
      </c>
      <c r="W3599" s="6">
        <f t="shared" si="557"/>
        <v>3727.3700000000031</v>
      </c>
      <c r="X3599" s="6">
        <f t="shared" si="558"/>
        <v>2453.0490196078431</v>
      </c>
      <c r="Y3599" s="13">
        <f t="shared" si="559"/>
        <v>0</v>
      </c>
      <c r="Z3599" s="14">
        <v>0</v>
      </c>
      <c r="AA3599" s="6">
        <v>0</v>
      </c>
      <c r="AB3599" s="4">
        <f t="shared" si="560"/>
        <v>2453.0490196078431</v>
      </c>
      <c r="AC3599" s="4">
        <f t="shared" si="562"/>
        <v>49.060980392157035</v>
      </c>
      <c r="AD3599" s="6">
        <f t="shared" si="555"/>
        <v>2502.11</v>
      </c>
      <c r="AE3599" s="2">
        <f>VLOOKUP(I3599,[1]媒体政策预估表!A:N,MATCH(O3599,[1]媒体政策预估表!$A$2:$M$2,0),0)</f>
        <v>7.0000000000000007E-2</v>
      </c>
      <c r="AF3599" s="6">
        <f t="shared" si="563"/>
        <v>175.14770000000001</v>
      </c>
      <c r="AG3599" s="14">
        <v>0</v>
      </c>
      <c r="AH3599" s="64">
        <f t="shared" si="556"/>
        <v>2502.11</v>
      </c>
      <c r="AI3599" s="47"/>
      <c r="AJ3599" s="126" t="e">
        <v>#N/A</v>
      </c>
      <c r="AK3599" s="80">
        <f t="shared" si="561"/>
        <v>0</v>
      </c>
      <c r="AM3599" s="85"/>
    </row>
    <row r="3600" spans="1:39" hidden="1" x14ac:dyDescent="0.3">
      <c r="A3600" s="89" t="s">
        <v>3397</v>
      </c>
      <c r="B3600" s="86" t="s">
        <v>35</v>
      </c>
      <c r="C3600" s="86" t="s">
        <v>144</v>
      </c>
      <c r="D3600" s="86" t="s">
        <v>145</v>
      </c>
      <c r="E3600" s="86" t="s">
        <v>572</v>
      </c>
      <c r="F3600" s="86" t="s">
        <v>572</v>
      </c>
      <c r="G3600" s="86" t="s">
        <v>572</v>
      </c>
      <c r="H3600" s="144">
        <v>62</v>
      </c>
      <c r="I3600" s="86" t="s">
        <v>408</v>
      </c>
      <c r="J3600" s="1" t="s">
        <v>3324</v>
      </c>
      <c r="K3600" s="1" t="s">
        <v>3278</v>
      </c>
      <c r="L3600" s="1" t="s">
        <v>35</v>
      </c>
      <c r="M3600" s="86" t="s">
        <v>573</v>
      </c>
      <c r="N3600" s="86"/>
      <c r="O3600" s="47" t="s">
        <v>410</v>
      </c>
      <c r="P3600" s="47" t="s">
        <v>41</v>
      </c>
      <c r="Q3600" s="14">
        <v>0</v>
      </c>
      <c r="R3600" s="143">
        <v>1000098682</v>
      </c>
      <c r="S3600" s="47"/>
      <c r="T3600" s="6">
        <v>6535.16</v>
      </c>
      <c r="U3600" s="6"/>
      <c r="V3600" s="6">
        <v>5383.49</v>
      </c>
      <c r="W3600" s="6">
        <f t="shared" si="557"/>
        <v>1151.67</v>
      </c>
      <c r="X3600" s="6">
        <f t="shared" si="558"/>
        <v>5383.49</v>
      </c>
      <c r="Y3600" s="13">
        <f t="shared" si="559"/>
        <v>0</v>
      </c>
      <c r="Z3600" s="14">
        <v>0</v>
      </c>
      <c r="AA3600" s="6">
        <v>0</v>
      </c>
      <c r="AB3600" s="4">
        <f t="shared" si="560"/>
        <v>5383.49</v>
      </c>
      <c r="AC3600" s="4">
        <f t="shared" si="562"/>
        <v>0</v>
      </c>
      <c r="AD3600" s="6">
        <f t="shared" si="555"/>
        <v>5383.49</v>
      </c>
      <c r="AE3600" s="2">
        <f>VLOOKUP(I3600,[1]媒体政策预估表!A:N,MATCH(O3600,[1]媒体政策预估表!$A$2:$M$2,0),0)</f>
        <v>7.0000000000000007E-2</v>
      </c>
      <c r="AF3600" s="6">
        <f t="shared" si="563"/>
        <v>376.84430000000003</v>
      </c>
      <c r="AG3600" s="14">
        <v>0</v>
      </c>
      <c r="AH3600" s="64">
        <f t="shared" si="556"/>
        <v>5383.49</v>
      </c>
      <c r="AI3600" s="47"/>
      <c r="AJ3600" s="126" t="e">
        <v>#N/A</v>
      </c>
      <c r="AK3600" s="80">
        <f t="shared" si="561"/>
        <v>0</v>
      </c>
      <c r="AM3600" s="85"/>
    </row>
    <row r="3601" spans="1:39" hidden="1" x14ac:dyDescent="0.3">
      <c r="A3601" s="89" t="s">
        <v>3397</v>
      </c>
      <c r="B3601" s="86" t="s">
        <v>35</v>
      </c>
      <c r="C3601" s="86" t="s">
        <v>144</v>
      </c>
      <c r="D3601" s="86" t="s">
        <v>145</v>
      </c>
      <c r="E3601" s="86" t="s">
        <v>576</v>
      </c>
      <c r="F3601" s="86" t="s">
        <v>577</v>
      </c>
      <c r="G3601" s="86" t="s">
        <v>577</v>
      </c>
      <c r="H3601" s="144">
        <v>62</v>
      </c>
      <c r="I3601" s="86" t="s">
        <v>408</v>
      </c>
      <c r="J3601" s="1" t="s">
        <v>3324</v>
      </c>
      <c r="K3601" s="1" t="s">
        <v>3278</v>
      </c>
      <c r="L3601" s="1" t="s">
        <v>35</v>
      </c>
      <c r="M3601" s="86" t="s">
        <v>578</v>
      </c>
      <c r="N3601" s="86"/>
      <c r="O3601" s="47" t="s">
        <v>410</v>
      </c>
      <c r="P3601" s="47" t="s">
        <v>41</v>
      </c>
      <c r="Q3601" s="14">
        <v>0</v>
      </c>
      <c r="R3601" s="143">
        <v>1000099148</v>
      </c>
      <c r="S3601" s="47"/>
      <c r="T3601" s="6">
        <v>21369.819999999992</v>
      </c>
      <c r="U3601" s="6"/>
      <c r="V3601" s="6">
        <v>16482.930000000004</v>
      </c>
      <c r="W3601" s="6">
        <f t="shared" si="557"/>
        <v>4886.8899999999885</v>
      </c>
      <c r="X3601" s="6">
        <f t="shared" si="558"/>
        <v>16482.930000000004</v>
      </c>
      <c r="Y3601" s="13">
        <f t="shared" si="559"/>
        <v>0</v>
      </c>
      <c r="Z3601" s="14">
        <v>0</v>
      </c>
      <c r="AA3601" s="6">
        <v>0</v>
      </c>
      <c r="AB3601" s="4">
        <f t="shared" si="560"/>
        <v>16482.930000000004</v>
      </c>
      <c r="AC3601" s="4">
        <f t="shared" si="562"/>
        <v>0</v>
      </c>
      <c r="AD3601" s="6">
        <f t="shared" si="555"/>
        <v>16482.930000000004</v>
      </c>
      <c r="AE3601" s="2">
        <f>VLOOKUP(I3601,[1]媒体政策预估表!A:N,MATCH(O3601,[1]媒体政策预估表!$A$2:$M$2,0),0)</f>
        <v>7.0000000000000007E-2</v>
      </c>
      <c r="AF3601" s="6">
        <f t="shared" si="563"/>
        <v>1153.8051000000005</v>
      </c>
      <c r="AG3601" s="14">
        <v>0</v>
      </c>
      <c r="AH3601" s="64">
        <f t="shared" si="556"/>
        <v>16482.930000000004</v>
      </c>
      <c r="AI3601" s="47"/>
      <c r="AJ3601" s="126" t="e">
        <v>#N/A</v>
      </c>
      <c r="AK3601" s="80">
        <f t="shared" si="561"/>
        <v>0</v>
      </c>
      <c r="AM3601" s="85"/>
    </row>
    <row r="3602" spans="1:39" hidden="1" x14ac:dyDescent="0.3">
      <c r="A3602" s="89" t="s">
        <v>3397</v>
      </c>
      <c r="B3602" s="86" t="s">
        <v>35</v>
      </c>
      <c r="C3602" s="86" t="s">
        <v>144</v>
      </c>
      <c r="D3602" s="86" t="s">
        <v>145</v>
      </c>
      <c r="E3602" s="86" t="s">
        <v>581</v>
      </c>
      <c r="F3602" s="86" t="s">
        <v>581</v>
      </c>
      <c r="G3602" s="86" t="s">
        <v>581</v>
      </c>
      <c r="H3602" s="143">
        <v>62</v>
      </c>
      <c r="I3602" s="86" t="s">
        <v>408</v>
      </c>
      <c r="J3602" s="1" t="s">
        <v>3324</v>
      </c>
      <c r="K3602" s="1" t="s">
        <v>3278</v>
      </c>
      <c r="L3602" s="1" t="s">
        <v>35</v>
      </c>
      <c r="M3602" s="86" t="s">
        <v>582</v>
      </c>
      <c r="N3602" s="86"/>
      <c r="O3602" s="47" t="s">
        <v>410</v>
      </c>
      <c r="P3602" s="47" t="s">
        <v>41</v>
      </c>
      <c r="Q3602" s="14">
        <v>0</v>
      </c>
      <c r="R3602" s="143">
        <v>1000098988</v>
      </c>
      <c r="S3602" s="47"/>
      <c r="T3602" s="6">
        <v>14489</v>
      </c>
      <c r="U3602" s="6"/>
      <c r="V3602" s="6">
        <v>0</v>
      </c>
      <c r="W3602" s="6">
        <f t="shared" si="557"/>
        <v>14489</v>
      </c>
      <c r="X3602" s="6">
        <f t="shared" si="558"/>
        <v>0</v>
      </c>
      <c r="Y3602" s="13">
        <f t="shared" si="559"/>
        <v>0</v>
      </c>
      <c r="Z3602" s="14">
        <v>0</v>
      </c>
      <c r="AA3602" s="6">
        <v>0</v>
      </c>
      <c r="AB3602" s="4">
        <f t="shared" si="560"/>
        <v>0</v>
      </c>
      <c r="AC3602" s="4">
        <f t="shared" si="562"/>
        <v>0</v>
      </c>
      <c r="AD3602" s="6">
        <f t="shared" si="555"/>
        <v>0</v>
      </c>
      <c r="AE3602" s="2">
        <f>VLOOKUP(I3602,[1]媒体政策预估表!A:N,MATCH(O3602,[1]媒体政策预估表!$A$2:$M$2,0),0)</f>
        <v>7.0000000000000007E-2</v>
      </c>
      <c r="AF3602" s="6">
        <f t="shared" si="563"/>
        <v>0</v>
      </c>
      <c r="AG3602" s="14">
        <v>0</v>
      </c>
      <c r="AH3602" s="64">
        <f t="shared" si="556"/>
        <v>0</v>
      </c>
      <c r="AI3602" s="47"/>
      <c r="AJ3602" s="126" t="e">
        <v>#N/A</v>
      </c>
      <c r="AK3602" s="80">
        <f t="shared" si="561"/>
        <v>0</v>
      </c>
      <c r="AM3602" s="85"/>
    </row>
    <row r="3603" spans="1:39" hidden="1" x14ac:dyDescent="0.3">
      <c r="A3603" s="89" t="s">
        <v>3397</v>
      </c>
      <c r="B3603" s="86" t="s">
        <v>35</v>
      </c>
      <c r="C3603" s="86" t="s">
        <v>144</v>
      </c>
      <c r="D3603" s="86" t="s">
        <v>152</v>
      </c>
      <c r="E3603" s="86" t="s">
        <v>603</v>
      </c>
      <c r="F3603" s="86" t="s">
        <v>603</v>
      </c>
      <c r="G3603" s="86" t="s">
        <v>603</v>
      </c>
      <c r="H3603" s="144">
        <v>62</v>
      </c>
      <c r="I3603" s="86" t="s">
        <v>408</v>
      </c>
      <c r="J3603" s="1" t="s">
        <v>3324</v>
      </c>
      <c r="K3603" s="1" t="s">
        <v>3278</v>
      </c>
      <c r="L3603" s="1" t="s">
        <v>35</v>
      </c>
      <c r="M3603" s="86" t="s">
        <v>604</v>
      </c>
      <c r="N3603" s="86"/>
      <c r="O3603" s="47" t="s">
        <v>410</v>
      </c>
      <c r="P3603" s="47" t="s">
        <v>41</v>
      </c>
      <c r="Q3603" s="14">
        <v>0</v>
      </c>
      <c r="R3603" s="143">
        <v>1000099385</v>
      </c>
      <c r="S3603" s="47"/>
      <c r="T3603" s="6">
        <v>1728.88</v>
      </c>
      <c r="U3603" s="6"/>
      <c r="V3603" s="6">
        <v>1728.88</v>
      </c>
      <c r="W3603" s="6">
        <f t="shared" si="557"/>
        <v>0</v>
      </c>
      <c r="X3603" s="6">
        <f t="shared" si="558"/>
        <v>1728.88</v>
      </c>
      <c r="Y3603" s="13">
        <f t="shared" si="559"/>
        <v>0</v>
      </c>
      <c r="Z3603" s="14">
        <v>0</v>
      </c>
      <c r="AA3603" s="6">
        <v>0</v>
      </c>
      <c r="AB3603" s="4">
        <f t="shared" si="560"/>
        <v>1728.88</v>
      </c>
      <c r="AC3603" s="4">
        <f t="shared" si="562"/>
        <v>0</v>
      </c>
      <c r="AD3603" s="6">
        <f t="shared" si="555"/>
        <v>1728.88</v>
      </c>
      <c r="AE3603" s="2">
        <f>VLOOKUP(I3603,[1]媒体政策预估表!A:N,MATCH(O3603,[1]媒体政策预估表!$A$2:$M$2,0),0)</f>
        <v>7.0000000000000007E-2</v>
      </c>
      <c r="AF3603" s="6">
        <f t="shared" si="563"/>
        <v>121.02160000000002</v>
      </c>
      <c r="AG3603" s="14">
        <v>0</v>
      </c>
      <c r="AH3603" s="64">
        <f t="shared" si="556"/>
        <v>1728.88</v>
      </c>
      <c r="AI3603" s="47"/>
      <c r="AJ3603" s="126" t="e">
        <v>#N/A</v>
      </c>
      <c r="AK3603" s="80">
        <f t="shared" si="561"/>
        <v>0</v>
      </c>
      <c r="AM3603" s="85"/>
    </row>
    <row r="3604" spans="1:39" hidden="1" x14ac:dyDescent="0.3">
      <c r="A3604" s="89" t="s">
        <v>3397</v>
      </c>
      <c r="B3604" s="86" t="s">
        <v>35</v>
      </c>
      <c r="C3604" s="86" t="s">
        <v>144</v>
      </c>
      <c r="D3604" s="86" t="s">
        <v>161</v>
      </c>
      <c r="E3604" s="15" t="s">
        <v>3759</v>
      </c>
      <c r="F3604" s="15" t="s">
        <v>3759</v>
      </c>
      <c r="G3604" s="86" t="s">
        <v>3759</v>
      </c>
      <c r="H3604" s="143">
        <v>62</v>
      </c>
      <c r="I3604" s="86" t="s">
        <v>408</v>
      </c>
      <c r="J3604" s="1" t="s">
        <v>3324</v>
      </c>
      <c r="K3604" s="1" t="s">
        <v>3278</v>
      </c>
      <c r="L3604" s="1" t="s">
        <v>35</v>
      </c>
      <c r="M3604" s="86" t="s">
        <v>606</v>
      </c>
      <c r="N3604" s="86"/>
      <c r="O3604" s="47" t="s">
        <v>410</v>
      </c>
      <c r="P3604" s="47" t="s">
        <v>46</v>
      </c>
      <c r="Q3604" s="14">
        <v>0.02</v>
      </c>
      <c r="R3604" s="143">
        <v>1000099906</v>
      </c>
      <c r="S3604" s="47"/>
      <c r="T3604" s="6">
        <v>5979.7199999999993</v>
      </c>
      <c r="U3604" s="6"/>
      <c r="V3604" s="6">
        <v>0</v>
      </c>
      <c r="W3604" s="6">
        <f t="shared" si="557"/>
        <v>5979.7199999999993</v>
      </c>
      <c r="X3604" s="6">
        <f t="shared" si="558"/>
        <v>0</v>
      </c>
      <c r="Y3604" s="13">
        <f t="shared" si="559"/>
        <v>0</v>
      </c>
      <c r="Z3604" s="14">
        <v>0</v>
      </c>
      <c r="AA3604" s="6">
        <v>0</v>
      </c>
      <c r="AB3604" s="4">
        <f t="shared" si="560"/>
        <v>0</v>
      </c>
      <c r="AC3604" s="4">
        <f t="shared" si="562"/>
        <v>0</v>
      </c>
      <c r="AD3604" s="6">
        <f t="shared" si="555"/>
        <v>0</v>
      </c>
      <c r="AE3604" s="2">
        <f>VLOOKUP(I3604,[1]媒体政策预估表!A:N,MATCH(O3604,[1]媒体政策预估表!$A$2:$M$2,0),0)</f>
        <v>7.0000000000000007E-2</v>
      </c>
      <c r="AF3604" s="6">
        <f t="shared" si="563"/>
        <v>0</v>
      </c>
      <c r="AG3604" s="14">
        <v>0</v>
      </c>
      <c r="AH3604" s="64">
        <f t="shared" si="556"/>
        <v>0</v>
      </c>
      <c r="AI3604" s="47"/>
      <c r="AJ3604" s="126" t="e">
        <v>#N/A</v>
      </c>
      <c r="AK3604" s="80">
        <f t="shared" si="561"/>
        <v>0</v>
      </c>
      <c r="AM3604" s="85"/>
    </row>
    <row r="3605" spans="1:39" hidden="1" x14ac:dyDescent="0.3">
      <c r="A3605" s="89" t="s">
        <v>3397</v>
      </c>
      <c r="B3605" s="86" t="s">
        <v>35</v>
      </c>
      <c r="C3605" s="86" t="s">
        <v>164</v>
      </c>
      <c r="D3605" s="86" t="s">
        <v>165</v>
      </c>
      <c r="E3605" s="86" t="s">
        <v>619</v>
      </c>
      <c r="F3605" s="86" t="s">
        <v>620</v>
      </c>
      <c r="G3605" s="86" t="s">
        <v>619</v>
      </c>
      <c r="H3605" s="143">
        <v>62</v>
      </c>
      <c r="I3605" s="86" t="s">
        <v>408</v>
      </c>
      <c r="J3605" s="1" t="s">
        <v>3324</v>
      </c>
      <c r="K3605" s="1" t="s">
        <v>3278</v>
      </c>
      <c r="L3605" s="1" t="s">
        <v>35</v>
      </c>
      <c r="M3605" s="86" t="s">
        <v>622</v>
      </c>
      <c r="N3605" s="86"/>
      <c r="O3605" s="47" t="s">
        <v>45</v>
      </c>
      <c r="P3605" s="47" t="s">
        <v>41</v>
      </c>
      <c r="Q3605" s="14">
        <v>0</v>
      </c>
      <c r="R3605" s="143">
        <v>1000067334</v>
      </c>
      <c r="S3605" s="47"/>
      <c r="T3605" s="6">
        <v>0</v>
      </c>
      <c r="U3605" s="6"/>
      <c r="V3605" s="6">
        <v>0</v>
      </c>
      <c r="W3605" s="6">
        <f t="shared" si="557"/>
        <v>0</v>
      </c>
      <c r="X3605" s="6">
        <f t="shared" si="558"/>
        <v>0</v>
      </c>
      <c r="Y3605" s="13">
        <f t="shared" si="559"/>
        <v>0</v>
      </c>
      <c r="Z3605" s="14">
        <v>0</v>
      </c>
      <c r="AA3605" s="6">
        <v>0</v>
      </c>
      <c r="AB3605" s="4">
        <f t="shared" si="560"/>
        <v>0</v>
      </c>
      <c r="AC3605" s="4">
        <f t="shared" si="562"/>
        <v>0</v>
      </c>
      <c r="AD3605" s="6">
        <f t="shared" si="555"/>
        <v>0</v>
      </c>
      <c r="AE3605" s="2">
        <f>VLOOKUP(I3605,[1]媒体政策预估表!A:N,MATCH(O3605,[1]媒体政策预估表!$A$2:$M$2,0),0)</f>
        <v>0.12</v>
      </c>
      <c r="AF3605" s="6">
        <f t="shared" si="563"/>
        <v>0</v>
      </c>
      <c r="AG3605" s="14">
        <v>0</v>
      </c>
      <c r="AH3605" s="64">
        <f t="shared" si="556"/>
        <v>0</v>
      </c>
      <c r="AI3605" s="47"/>
      <c r="AJ3605" s="126" t="e">
        <v>#N/A</v>
      </c>
      <c r="AK3605" s="80">
        <f t="shared" si="561"/>
        <v>0</v>
      </c>
      <c r="AM3605" s="85"/>
    </row>
    <row r="3606" spans="1:39" hidden="1" x14ac:dyDescent="0.3">
      <c r="A3606" s="89" t="s">
        <v>3397</v>
      </c>
      <c r="B3606" s="86" t="s">
        <v>35</v>
      </c>
      <c r="C3606" s="86" t="s">
        <v>164</v>
      </c>
      <c r="D3606" s="86" t="s">
        <v>169</v>
      </c>
      <c r="E3606" s="86" t="s">
        <v>628</v>
      </c>
      <c r="F3606" s="86" t="s">
        <v>628</v>
      </c>
      <c r="G3606" s="86" t="s">
        <v>628</v>
      </c>
      <c r="H3606" s="144">
        <v>62</v>
      </c>
      <c r="I3606" s="86" t="s">
        <v>408</v>
      </c>
      <c r="J3606" s="1" t="s">
        <v>3324</v>
      </c>
      <c r="K3606" s="1" t="s">
        <v>3278</v>
      </c>
      <c r="L3606" s="1" t="s">
        <v>35</v>
      </c>
      <c r="M3606" s="86" t="s">
        <v>630</v>
      </c>
      <c r="N3606" s="86"/>
      <c r="O3606" s="47" t="s">
        <v>45</v>
      </c>
      <c r="P3606" s="47" t="s">
        <v>41</v>
      </c>
      <c r="Q3606" s="14">
        <v>0</v>
      </c>
      <c r="R3606" s="143">
        <v>1000048304</v>
      </c>
      <c r="S3606" s="47"/>
      <c r="T3606" s="6">
        <v>70744.010000000009</v>
      </c>
      <c r="U3606" s="6"/>
      <c r="V3606" s="6">
        <v>13563.28</v>
      </c>
      <c r="W3606" s="6">
        <f t="shared" si="557"/>
        <v>57180.73000000001</v>
      </c>
      <c r="X3606" s="6">
        <f t="shared" si="558"/>
        <v>13563.28</v>
      </c>
      <c r="Y3606" s="13">
        <f t="shared" si="559"/>
        <v>0</v>
      </c>
      <c r="Z3606" s="14">
        <v>0</v>
      </c>
      <c r="AA3606" s="6">
        <v>0</v>
      </c>
      <c r="AB3606" s="4">
        <f t="shared" si="560"/>
        <v>13563.28</v>
      </c>
      <c r="AC3606" s="4">
        <f t="shared" si="562"/>
        <v>0</v>
      </c>
      <c r="AD3606" s="6">
        <f t="shared" si="555"/>
        <v>13563.28</v>
      </c>
      <c r="AE3606" s="2">
        <f>VLOOKUP(I3606,[1]媒体政策预估表!A:N,MATCH(O3606,[1]媒体政策预估表!$A$2:$M$2,0),0)</f>
        <v>0.12</v>
      </c>
      <c r="AF3606" s="6">
        <f t="shared" si="563"/>
        <v>1627.5935999999999</v>
      </c>
      <c r="AG3606" s="14">
        <v>0</v>
      </c>
      <c r="AH3606" s="64">
        <f t="shared" si="556"/>
        <v>13563.28</v>
      </c>
      <c r="AI3606" s="47"/>
      <c r="AJ3606" s="126" t="e">
        <v>#N/A</v>
      </c>
      <c r="AK3606" s="80">
        <f t="shared" si="561"/>
        <v>0</v>
      </c>
      <c r="AM3606" s="85"/>
    </row>
    <row r="3607" spans="1:39" hidden="1" x14ac:dyDescent="0.3">
      <c r="A3607" s="89" t="s">
        <v>3397</v>
      </c>
      <c r="B3607" s="86" t="s">
        <v>35</v>
      </c>
      <c r="C3607" s="86" t="s">
        <v>164</v>
      </c>
      <c r="D3607" s="86" t="s">
        <v>169</v>
      </c>
      <c r="E3607" s="86" t="s">
        <v>628</v>
      </c>
      <c r="F3607" s="86" t="s">
        <v>628</v>
      </c>
      <c r="G3607" s="86" t="s">
        <v>628</v>
      </c>
      <c r="H3607" s="144">
        <v>62</v>
      </c>
      <c r="I3607" s="86" t="s">
        <v>408</v>
      </c>
      <c r="J3607" s="1" t="s">
        <v>3324</v>
      </c>
      <c r="K3607" s="1" t="s">
        <v>3278</v>
      </c>
      <c r="L3607" s="1" t="s">
        <v>35</v>
      </c>
      <c r="M3607" s="86" t="s">
        <v>631</v>
      </c>
      <c r="N3607" s="86"/>
      <c r="O3607" s="47" t="s">
        <v>45</v>
      </c>
      <c r="P3607" s="47" t="s">
        <v>41</v>
      </c>
      <c r="Q3607" s="14">
        <v>0</v>
      </c>
      <c r="R3607" s="143">
        <v>1000052084</v>
      </c>
      <c r="S3607" s="47"/>
      <c r="T3607" s="6">
        <v>85404.5</v>
      </c>
      <c r="U3607" s="6"/>
      <c r="V3607" s="6">
        <v>14644.130000000005</v>
      </c>
      <c r="W3607" s="6">
        <f t="shared" si="557"/>
        <v>70760.37</v>
      </c>
      <c r="X3607" s="6">
        <f t="shared" si="558"/>
        <v>14644.130000000005</v>
      </c>
      <c r="Y3607" s="13">
        <f t="shared" si="559"/>
        <v>0</v>
      </c>
      <c r="Z3607" s="14">
        <v>0</v>
      </c>
      <c r="AA3607" s="6">
        <v>0</v>
      </c>
      <c r="AB3607" s="4">
        <f t="shared" si="560"/>
        <v>14644.130000000005</v>
      </c>
      <c r="AC3607" s="4">
        <f t="shared" si="562"/>
        <v>0</v>
      </c>
      <c r="AD3607" s="6">
        <f t="shared" si="555"/>
        <v>14644.130000000005</v>
      </c>
      <c r="AE3607" s="2">
        <f>VLOOKUP(I3607,[1]媒体政策预估表!A:N,MATCH(O3607,[1]媒体政策预估表!$A$2:$M$2,0),0)</f>
        <v>0.12</v>
      </c>
      <c r="AF3607" s="6">
        <f t="shared" si="563"/>
        <v>1757.2956000000006</v>
      </c>
      <c r="AG3607" s="14">
        <v>0</v>
      </c>
      <c r="AH3607" s="64">
        <f t="shared" si="556"/>
        <v>14644.130000000005</v>
      </c>
      <c r="AI3607" s="47"/>
      <c r="AJ3607" s="126" t="e">
        <v>#N/A</v>
      </c>
      <c r="AK3607" s="80">
        <f t="shared" si="561"/>
        <v>0</v>
      </c>
      <c r="AM3607" s="85"/>
    </row>
    <row r="3608" spans="1:39" hidden="1" x14ac:dyDescent="0.3">
      <c r="A3608" s="89" t="s">
        <v>3397</v>
      </c>
      <c r="B3608" s="86" t="s">
        <v>35</v>
      </c>
      <c r="C3608" s="86" t="s">
        <v>164</v>
      </c>
      <c r="D3608" s="86" t="s">
        <v>174</v>
      </c>
      <c r="E3608" s="86" t="s">
        <v>639</v>
      </c>
      <c r="F3608" s="86" t="s">
        <v>639</v>
      </c>
      <c r="G3608" s="86" t="s">
        <v>639</v>
      </c>
      <c r="H3608" s="143">
        <v>62</v>
      </c>
      <c r="I3608" s="86" t="s">
        <v>408</v>
      </c>
      <c r="J3608" s="1" t="s">
        <v>3324</v>
      </c>
      <c r="K3608" s="1" t="s">
        <v>3278</v>
      </c>
      <c r="L3608" s="1" t="s">
        <v>35</v>
      </c>
      <c r="M3608" s="86" t="s">
        <v>640</v>
      </c>
      <c r="N3608" s="86"/>
      <c r="O3608" s="47" t="s">
        <v>410</v>
      </c>
      <c r="P3608" s="47" t="s">
        <v>46</v>
      </c>
      <c r="Q3608" s="14">
        <v>0.01</v>
      </c>
      <c r="R3608" s="143">
        <v>1000099998</v>
      </c>
      <c r="S3608" s="47"/>
      <c r="T3608" s="6">
        <v>6745.25</v>
      </c>
      <c r="U3608" s="6"/>
      <c r="V3608" s="6">
        <v>0</v>
      </c>
      <c r="W3608" s="6">
        <f t="shared" si="557"/>
        <v>6745.25</v>
      </c>
      <c r="X3608" s="6">
        <f t="shared" si="558"/>
        <v>0</v>
      </c>
      <c r="Y3608" s="13">
        <f t="shared" si="559"/>
        <v>0</v>
      </c>
      <c r="Z3608" s="14">
        <v>0</v>
      </c>
      <c r="AA3608" s="6">
        <v>0</v>
      </c>
      <c r="AB3608" s="4">
        <f t="shared" si="560"/>
        <v>0</v>
      </c>
      <c r="AC3608" s="4">
        <f t="shared" si="562"/>
        <v>0</v>
      </c>
      <c r="AD3608" s="6">
        <f t="shared" si="555"/>
        <v>0</v>
      </c>
      <c r="AE3608" s="2">
        <f>VLOOKUP(I3608,[1]媒体政策预估表!A:N,MATCH(O3608,[1]媒体政策预估表!$A$2:$M$2,0),0)</f>
        <v>7.0000000000000007E-2</v>
      </c>
      <c r="AF3608" s="6">
        <f t="shared" si="563"/>
        <v>0</v>
      </c>
      <c r="AG3608" s="14">
        <v>0</v>
      </c>
      <c r="AH3608" s="64">
        <f t="shared" si="556"/>
        <v>0</v>
      </c>
      <c r="AI3608" s="47"/>
      <c r="AJ3608" s="126" t="e">
        <v>#N/A</v>
      </c>
      <c r="AK3608" s="80">
        <f t="shared" si="561"/>
        <v>0</v>
      </c>
      <c r="AM3608" s="85"/>
    </row>
    <row r="3609" spans="1:39" hidden="1" x14ac:dyDescent="0.3">
      <c r="A3609" s="89" t="s">
        <v>3397</v>
      </c>
      <c r="B3609" s="86" t="s">
        <v>35</v>
      </c>
      <c r="C3609" s="86" t="s">
        <v>164</v>
      </c>
      <c r="D3609" s="86" t="s">
        <v>174</v>
      </c>
      <c r="E3609" s="86" t="s">
        <v>639</v>
      </c>
      <c r="F3609" s="86" t="s">
        <v>639</v>
      </c>
      <c r="G3609" s="86" t="s">
        <v>639</v>
      </c>
      <c r="H3609" s="143">
        <v>62</v>
      </c>
      <c r="I3609" s="86" t="s">
        <v>408</v>
      </c>
      <c r="J3609" s="1" t="s">
        <v>3324</v>
      </c>
      <c r="K3609" s="1" t="s">
        <v>3278</v>
      </c>
      <c r="L3609" s="1" t="s">
        <v>35</v>
      </c>
      <c r="M3609" s="86" t="s">
        <v>641</v>
      </c>
      <c r="N3609" s="86"/>
      <c r="O3609" s="47" t="s">
        <v>410</v>
      </c>
      <c r="P3609" s="47" t="s">
        <v>46</v>
      </c>
      <c r="Q3609" s="14">
        <v>0.01</v>
      </c>
      <c r="R3609" s="143">
        <v>1000099885</v>
      </c>
      <c r="S3609" s="47"/>
      <c r="T3609" s="6">
        <v>7072.96</v>
      </c>
      <c r="U3609" s="6"/>
      <c r="V3609" s="6">
        <v>0</v>
      </c>
      <c r="W3609" s="6">
        <f t="shared" si="557"/>
        <v>7072.96</v>
      </c>
      <c r="X3609" s="6">
        <f t="shared" si="558"/>
        <v>0</v>
      </c>
      <c r="Y3609" s="13">
        <f t="shared" si="559"/>
        <v>0</v>
      </c>
      <c r="Z3609" s="14">
        <v>0</v>
      </c>
      <c r="AA3609" s="6">
        <v>0</v>
      </c>
      <c r="AB3609" s="4">
        <f t="shared" si="560"/>
        <v>0</v>
      </c>
      <c r="AC3609" s="4">
        <f t="shared" si="562"/>
        <v>0</v>
      </c>
      <c r="AD3609" s="6">
        <f t="shared" si="555"/>
        <v>0</v>
      </c>
      <c r="AE3609" s="2">
        <f>VLOOKUP(I3609,[1]媒体政策预估表!A:N,MATCH(O3609,[1]媒体政策预估表!$A$2:$M$2,0),0)</f>
        <v>7.0000000000000007E-2</v>
      </c>
      <c r="AF3609" s="6">
        <f t="shared" si="563"/>
        <v>0</v>
      </c>
      <c r="AG3609" s="14">
        <v>0</v>
      </c>
      <c r="AH3609" s="64">
        <f t="shared" si="556"/>
        <v>0</v>
      </c>
      <c r="AI3609" s="47"/>
      <c r="AJ3609" s="126" t="e">
        <v>#N/A</v>
      </c>
      <c r="AK3609" s="80">
        <f t="shared" si="561"/>
        <v>0</v>
      </c>
      <c r="AM3609" s="85"/>
    </row>
    <row r="3610" spans="1:39" hidden="1" x14ac:dyDescent="0.3">
      <c r="A3610" s="89" t="s">
        <v>3397</v>
      </c>
      <c r="B3610" s="86" t="s">
        <v>35</v>
      </c>
      <c r="C3610" s="86" t="s">
        <v>164</v>
      </c>
      <c r="D3610" s="86" t="s">
        <v>174</v>
      </c>
      <c r="E3610" s="86" t="s">
        <v>649</v>
      </c>
      <c r="F3610" s="86" t="s">
        <v>649</v>
      </c>
      <c r="G3610" s="86" t="s">
        <v>649</v>
      </c>
      <c r="H3610" s="144">
        <v>62</v>
      </c>
      <c r="I3610" s="86" t="s">
        <v>408</v>
      </c>
      <c r="J3610" s="1" t="s">
        <v>3324</v>
      </c>
      <c r="K3610" s="1" t="s">
        <v>3278</v>
      </c>
      <c r="L3610" s="1" t="s">
        <v>35</v>
      </c>
      <c r="M3610" s="86" t="s">
        <v>650</v>
      </c>
      <c r="N3610" s="86"/>
      <c r="O3610" s="47" t="s">
        <v>45</v>
      </c>
      <c r="P3610" s="47" t="s">
        <v>41</v>
      </c>
      <c r="Q3610" s="14">
        <v>0</v>
      </c>
      <c r="R3610" s="143">
        <v>1000100815</v>
      </c>
      <c r="S3610" s="47"/>
      <c r="T3610" s="6">
        <v>10000</v>
      </c>
      <c r="U3610" s="6"/>
      <c r="V3610" s="6">
        <v>412.2</v>
      </c>
      <c r="W3610" s="6">
        <f t="shared" si="557"/>
        <v>9587.7999999999993</v>
      </c>
      <c r="X3610" s="6">
        <f t="shared" si="558"/>
        <v>412.2</v>
      </c>
      <c r="Y3610" s="13">
        <f t="shared" si="559"/>
        <v>0</v>
      </c>
      <c r="Z3610" s="14">
        <v>0</v>
      </c>
      <c r="AA3610" s="6">
        <v>0</v>
      </c>
      <c r="AB3610" s="4">
        <f t="shared" si="560"/>
        <v>412.2</v>
      </c>
      <c r="AC3610" s="4">
        <f t="shared" si="562"/>
        <v>0</v>
      </c>
      <c r="AD3610" s="6">
        <f t="shared" si="555"/>
        <v>412.2</v>
      </c>
      <c r="AE3610" s="2">
        <f>VLOOKUP(I3610,[1]媒体政策预估表!A:N,MATCH(O3610,[1]媒体政策预估表!$A$2:$M$2,0),0)</f>
        <v>0.12</v>
      </c>
      <c r="AF3610" s="6">
        <f t="shared" si="563"/>
        <v>49.463999999999999</v>
      </c>
      <c r="AG3610" s="14">
        <v>0</v>
      </c>
      <c r="AH3610" s="64">
        <f t="shared" si="556"/>
        <v>412.2</v>
      </c>
      <c r="AI3610" s="47"/>
      <c r="AJ3610" s="126" t="e">
        <v>#N/A</v>
      </c>
      <c r="AK3610" s="80">
        <f t="shared" si="561"/>
        <v>0</v>
      </c>
      <c r="AM3610" s="85"/>
    </row>
    <row r="3611" spans="1:39" hidden="1" x14ac:dyDescent="0.3">
      <c r="A3611" s="89" t="s">
        <v>3397</v>
      </c>
      <c r="B3611" s="86" t="s">
        <v>35</v>
      </c>
      <c r="C3611" s="86" t="s">
        <v>164</v>
      </c>
      <c r="D3611" s="86" t="s">
        <v>174</v>
      </c>
      <c r="E3611" s="86" t="s">
        <v>671</v>
      </c>
      <c r="F3611" s="86" t="s">
        <v>671</v>
      </c>
      <c r="G3611" s="86" t="s">
        <v>671</v>
      </c>
      <c r="H3611" s="143">
        <v>62</v>
      </c>
      <c r="I3611" s="86" t="s">
        <v>408</v>
      </c>
      <c r="J3611" s="1" t="s">
        <v>3324</v>
      </c>
      <c r="K3611" s="1" t="s">
        <v>3278</v>
      </c>
      <c r="L3611" s="1" t="s">
        <v>35</v>
      </c>
      <c r="M3611" s="86" t="s">
        <v>672</v>
      </c>
      <c r="N3611" s="86"/>
      <c r="O3611" s="47" t="s">
        <v>410</v>
      </c>
      <c r="P3611" s="47" t="s">
        <v>41</v>
      </c>
      <c r="Q3611" s="14">
        <v>0</v>
      </c>
      <c r="R3611" s="143">
        <v>1000097764</v>
      </c>
      <c r="S3611" s="47"/>
      <c r="T3611" s="6">
        <v>8160.4000000000015</v>
      </c>
      <c r="U3611" s="6"/>
      <c r="V3611" s="6">
        <v>8160.4000000000015</v>
      </c>
      <c r="W3611" s="6">
        <f t="shared" si="557"/>
        <v>0</v>
      </c>
      <c r="X3611" s="6">
        <f t="shared" si="558"/>
        <v>8160.4000000000015</v>
      </c>
      <c r="Y3611" s="13">
        <f t="shared" si="559"/>
        <v>0</v>
      </c>
      <c r="Z3611" s="14">
        <v>0</v>
      </c>
      <c r="AA3611" s="6">
        <v>0</v>
      </c>
      <c r="AB3611" s="4"/>
      <c r="AC3611" s="4">
        <f t="shared" si="562"/>
        <v>0</v>
      </c>
      <c r="AD3611" s="6">
        <f t="shared" si="555"/>
        <v>8160.4000000000015</v>
      </c>
      <c r="AE3611" s="2">
        <f>VLOOKUP(I3611,[1]媒体政策预估表!A:N,MATCH(O3611,[1]媒体政策预估表!$A$2:$M$2,0),0)</f>
        <v>7.0000000000000007E-2</v>
      </c>
      <c r="AF3611" s="6">
        <f t="shared" si="563"/>
        <v>571.22800000000018</v>
      </c>
      <c r="AG3611" s="14">
        <v>0</v>
      </c>
      <c r="AH3611" s="64">
        <f t="shared" si="556"/>
        <v>8160.4000000000015</v>
      </c>
      <c r="AI3611" s="47"/>
      <c r="AJ3611" s="126">
        <v>109</v>
      </c>
      <c r="AK3611" s="80">
        <f t="shared" si="561"/>
        <v>8160.4000000000015</v>
      </c>
      <c r="AM3611" s="85"/>
    </row>
    <row r="3612" spans="1:39" hidden="1" x14ac:dyDescent="0.3">
      <c r="A3612" s="89" t="s">
        <v>3397</v>
      </c>
      <c r="B3612" s="86" t="s">
        <v>35</v>
      </c>
      <c r="C3612" s="86" t="s">
        <v>164</v>
      </c>
      <c r="D3612" s="86" t="s">
        <v>174</v>
      </c>
      <c r="E3612" s="86" t="s">
        <v>673</v>
      </c>
      <c r="F3612" s="86" t="s">
        <v>673</v>
      </c>
      <c r="G3612" s="86" t="s">
        <v>673</v>
      </c>
      <c r="H3612" s="144">
        <v>62</v>
      </c>
      <c r="I3612" s="86" t="s">
        <v>408</v>
      </c>
      <c r="J3612" s="1" t="s">
        <v>3324</v>
      </c>
      <c r="K3612" s="1" t="s">
        <v>3278</v>
      </c>
      <c r="L3612" s="1" t="s">
        <v>35</v>
      </c>
      <c r="M3612" s="86" t="s">
        <v>674</v>
      </c>
      <c r="N3612" s="86"/>
      <c r="O3612" s="47" t="s">
        <v>410</v>
      </c>
      <c r="P3612" s="47" t="s">
        <v>41</v>
      </c>
      <c r="Q3612" s="14">
        <v>0</v>
      </c>
      <c r="R3612" s="143">
        <v>1000099492</v>
      </c>
      <c r="S3612" s="47"/>
      <c r="T3612" s="6">
        <v>13738.230000000003</v>
      </c>
      <c r="U3612" s="6"/>
      <c r="V3612" s="6">
        <v>13738.230000000003</v>
      </c>
      <c r="W3612" s="6">
        <f t="shared" si="557"/>
        <v>0</v>
      </c>
      <c r="X3612" s="6">
        <f t="shared" si="558"/>
        <v>13738.230000000003</v>
      </c>
      <c r="Y3612" s="13">
        <f t="shared" si="559"/>
        <v>0</v>
      </c>
      <c r="Z3612" s="14">
        <v>0</v>
      </c>
      <c r="AA3612" s="6">
        <v>0</v>
      </c>
      <c r="AB3612" s="4">
        <f t="shared" si="560"/>
        <v>13738.230000000003</v>
      </c>
      <c r="AC3612" s="4">
        <f t="shared" si="562"/>
        <v>0</v>
      </c>
      <c r="AD3612" s="6">
        <f t="shared" si="555"/>
        <v>13738.230000000003</v>
      </c>
      <c r="AE3612" s="2">
        <f>VLOOKUP(I3612,[1]媒体政策预估表!A:N,MATCH(O3612,[1]媒体政策预估表!$A$2:$M$2,0),0)</f>
        <v>7.0000000000000007E-2</v>
      </c>
      <c r="AF3612" s="6">
        <f t="shared" si="563"/>
        <v>961.67610000000036</v>
      </c>
      <c r="AG3612" s="14">
        <v>0</v>
      </c>
      <c r="AH3612" s="64">
        <f t="shared" si="556"/>
        <v>13738.230000000003</v>
      </c>
      <c r="AI3612" s="47"/>
      <c r="AJ3612" s="126" t="e">
        <v>#N/A</v>
      </c>
      <c r="AK3612" s="80">
        <f t="shared" si="561"/>
        <v>0</v>
      </c>
      <c r="AM3612" s="85"/>
    </row>
    <row r="3613" spans="1:39" hidden="1" x14ac:dyDescent="0.3">
      <c r="A3613" s="89" t="s">
        <v>3397</v>
      </c>
      <c r="B3613" s="86" t="s">
        <v>35</v>
      </c>
      <c r="C3613" s="86" t="s">
        <v>164</v>
      </c>
      <c r="D3613" s="86" t="s">
        <v>174</v>
      </c>
      <c r="E3613" s="86" t="s">
        <v>676</v>
      </c>
      <c r="F3613" s="86" t="s">
        <v>676</v>
      </c>
      <c r="G3613" s="86" t="s">
        <v>676</v>
      </c>
      <c r="H3613" s="143">
        <v>62</v>
      </c>
      <c r="I3613" s="86" t="s">
        <v>408</v>
      </c>
      <c r="J3613" s="1" t="s">
        <v>3324</v>
      </c>
      <c r="K3613" s="1" t="s">
        <v>3278</v>
      </c>
      <c r="L3613" s="1" t="s">
        <v>35</v>
      </c>
      <c r="M3613" s="86" t="s">
        <v>677</v>
      </c>
      <c r="N3613" s="86"/>
      <c r="O3613" s="47" t="s">
        <v>45</v>
      </c>
      <c r="P3613" s="47" t="s">
        <v>41</v>
      </c>
      <c r="Q3613" s="14">
        <v>0</v>
      </c>
      <c r="R3613" s="143">
        <v>1000100039</v>
      </c>
      <c r="S3613" s="47"/>
      <c r="T3613" s="6">
        <v>13155.789999999999</v>
      </c>
      <c r="U3613" s="6"/>
      <c r="V3613" s="6">
        <v>0</v>
      </c>
      <c r="W3613" s="6">
        <f t="shared" si="557"/>
        <v>13155.789999999999</v>
      </c>
      <c r="X3613" s="6">
        <f t="shared" si="558"/>
        <v>0</v>
      </c>
      <c r="Y3613" s="13">
        <f t="shared" si="559"/>
        <v>0</v>
      </c>
      <c r="Z3613" s="14">
        <v>0</v>
      </c>
      <c r="AA3613" s="6">
        <v>0</v>
      </c>
      <c r="AB3613" s="4">
        <f t="shared" si="560"/>
        <v>0</v>
      </c>
      <c r="AC3613" s="4">
        <f t="shared" si="562"/>
        <v>0</v>
      </c>
      <c r="AD3613" s="6">
        <f t="shared" si="555"/>
        <v>0</v>
      </c>
      <c r="AE3613" s="2">
        <f>VLOOKUP(I3613,[1]媒体政策预估表!A:N,MATCH(O3613,[1]媒体政策预估表!$A$2:$M$2,0),0)</f>
        <v>0.12</v>
      </c>
      <c r="AF3613" s="6">
        <f t="shared" si="563"/>
        <v>0</v>
      </c>
      <c r="AG3613" s="14">
        <v>0</v>
      </c>
      <c r="AH3613" s="64">
        <f t="shared" si="556"/>
        <v>0</v>
      </c>
      <c r="AI3613" s="47"/>
      <c r="AJ3613" s="126" t="e">
        <v>#N/A</v>
      </c>
      <c r="AK3613" s="80">
        <f t="shared" si="561"/>
        <v>0</v>
      </c>
      <c r="AM3613" s="85"/>
    </row>
    <row r="3614" spans="1:39" hidden="1" x14ac:dyDescent="0.3">
      <c r="A3614" s="89" t="s">
        <v>3397</v>
      </c>
      <c r="B3614" s="86" t="s">
        <v>35</v>
      </c>
      <c r="C3614" s="86" t="s">
        <v>164</v>
      </c>
      <c r="D3614" s="86" t="s">
        <v>174</v>
      </c>
      <c r="E3614" s="86" t="s">
        <v>678</v>
      </c>
      <c r="F3614" s="86" t="s">
        <v>678</v>
      </c>
      <c r="G3614" s="86" t="s">
        <v>678</v>
      </c>
      <c r="H3614" s="143">
        <v>62</v>
      </c>
      <c r="I3614" s="86" t="s">
        <v>408</v>
      </c>
      <c r="J3614" s="1" t="s">
        <v>3324</v>
      </c>
      <c r="K3614" s="1" t="s">
        <v>3278</v>
      </c>
      <c r="L3614" s="1" t="s">
        <v>35</v>
      </c>
      <c r="M3614" s="86" t="s">
        <v>679</v>
      </c>
      <c r="N3614" s="86"/>
      <c r="O3614" s="47" t="s">
        <v>410</v>
      </c>
      <c r="P3614" s="47" t="s">
        <v>41</v>
      </c>
      <c r="Q3614" s="14">
        <v>0</v>
      </c>
      <c r="R3614" s="143">
        <v>1000090915</v>
      </c>
      <c r="S3614" s="47"/>
      <c r="T3614" s="6">
        <v>6979.41</v>
      </c>
      <c r="U3614" s="6"/>
      <c r="V3614" s="6">
        <v>0</v>
      </c>
      <c r="W3614" s="6">
        <f t="shared" si="557"/>
        <v>6979.41</v>
      </c>
      <c r="X3614" s="6">
        <f t="shared" si="558"/>
        <v>0</v>
      </c>
      <c r="Y3614" s="13">
        <f t="shared" si="559"/>
        <v>0</v>
      </c>
      <c r="Z3614" s="14">
        <v>0</v>
      </c>
      <c r="AA3614" s="6">
        <v>0</v>
      </c>
      <c r="AB3614" s="4">
        <f t="shared" si="560"/>
        <v>0</v>
      </c>
      <c r="AC3614" s="4">
        <f t="shared" si="562"/>
        <v>0</v>
      </c>
      <c r="AD3614" s="6">
        <f t="shared" si="555"/>
        <v>0</v>
      </c>
      <c r="AE3614" s="2">
        <f>VLOOKUP(I3614,[1]媒体政策预估表!A:N,MATCH(O3614,[1]媒体政策预估表!$A$2:$M$2,0),0)</f>
        <v>7.0000000000000007E-2</v>
      </c>
      <c r="AF3614" s="6">
        <f t="shared" si="563"/>
        <v>0</v>
      </c>
      <c r="AG3614" s="14">
        <v>0</v>
      </c>
      <c r="AH3614" s="64">
        <f t="shared" si="556"/>
        <v>0</v>
      </c>
      <c r="AI3614" s="47"/>
      <c r="AJ3614" s="126" t="e">
        <v>#N/A</v>
      </c>
      <c r="AK3614" s="80">
        <f t="shared" si="561"/>
        <v>0</v>
      </c>
      <c r="AM3614" s="85"/>
    </row>
    <row r="3615" spans="1:39" hidden="1" x14ac:dyDescent="0.3">
      <c r="A3615" s="89" t="s">
        <v>3397</v>
      </c>
      <c r="B3615" s="86" t="s">
        <v>35</v>
      </c>
      <c r="C3615" s="86" t="s">
        <v>164</v>
      </c>
      <c r="D3615" s="86" t="s">
        <v>174</v>
      </c>
      <c r="E3615" s="86" t="s">
        <v>683</v>
      </c>
      <c r="F3615" s="86" t="s">
        <v>683</v>
      </c>
      <c r="G3615" s="86" t="s">
        <v>683</v>
      </c>
      <c r="H3615" s="144">
        <v>62</v>
      </c>
      <c r="I3615" s="86" t="s">
        <v>408</v>
      </c>
      <c r="J3615" s="1" t="s">
        <v>3324</v>
      </c>
      <c r="K3615" s="1" t="s">
        <v>3278</v>
      </c>
      <c r="L3615" s="1" t="s">
        <v>35</v>
      </c>
      <c r="M3615" s="86" t="s">
        <v>684</v>
      </c>
      <c r="N3615" s="86"/>
      <c r="O3615" s="47" t="s">
        <v>410</v>
      </c>
      <c r="P3615" s="47" t="s">
        <v>41</v>
      </c>
      <c r="Q3615" s="14">
        <v>0</v>
      </c>
      <c r="R3615" s="143">
        <v>1000040485</v>
      </c>
      <c r="S3615" s="47"/>
      <c r="T3615" s="6">
        <v>16393.010000000002</v>
      </c>
      <c r="U3615" s="6"/>
      <c r="V3615" s="6">
        <v>8063.26</v>
      </c>
      <c r="W3615" s="6">
        <f t="shared" si="557"/>
        <v>8329.7500000000018</v>
      </c>
      <c r="X3615" s="6">
        <f t="shared" si="558"/>
        <v>8063.26</v>
      </c>
      <c r="Y3615" s="13">
        <f t="shared" si="559"/>
        <v>0</v>
      </c>
      <c r="Z3615" s="14">
        <v>0</v>
      </c>
      <c r="AA3615" s="6">
        <v>0</v>
      </c>
      <c r="AB3615" s="4">
        <f t="shared" si="560"/>
        <v>8063.26</v>
      </c>
      <c r="AC3615" s="4">
        <f t="shared" si="562"/>
        <v>0</v>
      </c>
      <c r="AD3615" s="6">
        <f t="shared" si="555"/>
        <v>8063.26</v>
      </c>
      <c r="AE3615" s="2">
        <f>VLOOKUP(I3615,[1]媒体政策预估表!A:N,MATCH(O3615,[1]媒体政策预估表!$A$2:$M$2,0),0)</f>
        <v>7.0000000000000007E-2</v>
      </c>
      <c r="AF3615" s="6">
        <f t="shared" si="563"/>
        <v>564.42820000000006</v>
      </c>
      <c r="AG3615" s="14">
        <v>0</v>
      </c>
      <c r="AH3615" s="64">
        <f t="shared" si="556"/>
        <v>8063.26</v>
      </c>
      <c r="AI3615" s="47"/>
      <c r="AJ3615" s="126" t="e">
        <v>#N/A</v>
      </c>
      <c r="AK3615" s="80">
        <f t="shared" si="561"/>
        <v>0</v>
      </c>
      <c r="AM3615" s="85"/>
    </row>
    <row r="3616" spans="1:39" hidden="1" x14ac:dyDescent="0.3">
      <c r="A3616" s="89" t="s">
        <v>3397</v>
      </c>
      <c r="B3616" s="86" t="s">
        <v>35</v>
      </c>
      <c r="C3616" s="86" t="s">
        <v>164</v>
      </c>
      <c r="D3616" s="86" t="s">
        <v>174</v>
      </c>
      <c r="E3616" s="86" t="s">
        <v>688</v>
      </c>
      <c r="F3616" s="86" t="s">
        <v>688</v>
      </c>
      <c r="G3616" s="86" t="s">
        <v>688</v>
      </c>
      <c r="H3616" s="144">
        <v>62</v>
      </c>
      <c r="I3616" s="86" t="s">
        <v>408</v>
      </c>
      <c r="J3616" s="1" t="s">
        <v>3324</v>
      </c>
      <c r="K3616" s="1" t="s">
        <v>3278</v>
      </c>
      <c r="L3616" s="1" t="s">
        <v>35</v>
      </c>
      <c r="M3616" s="86" t="s">
        <v>689</v>
      </c>
      <c r="N3616" s="86"/>
      <c r="O3616" s="47" t="s">
        <v>410</v>
      </c>
      <c r="P3616" s="47" t="s">
        <v>41</v>
      </c>
      <c r="Q3616" s="14">
        <v>0</v>
      </c>
      <c r="R3616" s="143">
        <v>1000083486</v>
      </c>
      <c r="S3616" s="47"/>
      <c r="T3616" s="6">
        <v>78823.999999999985</v>
      </c>
      <c r="U3616" s="6"/>
      <c r="V3616" s="6">
        <v>41049.35</v>
      </c>
      <c r="W3616" s="6">
        <f t="shared" si="557"/>
        <v>37774.649999999987</v>
      </c>
      <c r="X3616" s="6">
        <f t="shared" si="558"/>
        <v>41049.35</v>
      </c>
      <c r="Y3616" s="13">
        <f t="shared" si="559"/>
        <v>0</v>
      </c>
      <c r="Z3616" s="14">
        <v>0</v>
      </c>
      <c r="AA3616" s="6">
        <v>0</v>
      </c>
      <c r="AB3616" s="4">
        <f t="shared" si="560"/>
        <v>41049.35</v>
      </c>
      <c r="AC3616" s="4">
        <f t="shared" si="562"/>
        <v>0</v>
      </c>
      <c r="AD3616" s="6">
        <f t="shared" si="555"/>
        <v>41049.35</v>
      </c>
      <c r="AE3616" s="2">
        <f>VLOOKUP(I3616,[1]媒体政策预估表!A:N,MATCH(O3616,[1]媒体政策预估表!$A$2:$M$2,0),0)</f>
        <v>7.0000000000000007E-2</v>
      </c>
      <c r="AF3616" s="6">
        <f t="shared" si="563"/>
        <v>2873.4545000000003</v>
      </c>
      <c r="AG3616" s="14">
        <v>0</v>
      </c>
      <c r="AH3616" s="64">
        <f t="shared" si="556"/>
        <v>41049.35</v>
      </c>
      <c r="AI3616" s="47"/>
      <c r="AJ3616" s="126" t="e">
        <v>#N/A</v>
      </c>
      <c r="AK3616" s="80">
        <f t="shared" si="561"/>
        <v>0</v>
      </c>
      <c r="AM3616" s="85"/>
    </row>
    <row r="3617" spans="1:39" hidden="1" x14ac:dyDescent="0.3">
      <c r="A3617" s="89" t="s">
        <v>3397</v>
      </c>
      <c r="B3617" s="86" t="s">
        <v>35</v>
      </c>
      <c r="C3617" s="86" t="s">
        <v>164</v>
      </c>
      <c r="D3617" s="86" t="s">
        <v>181</v>
      </c>
      <c r="E3617" s="86" t="s">
        <v>698</v>
      </c>
      <c r="F3617" s="86" t="s">
        <v>699</v>
      </c>
      <c r="G3617" s="86" t="s">
        <v>698</v>
      </c>
      <c r="H3617" s="144">
        <v>62</v>
      </c>
      <c r="I3617" s="86" t="s">
        <v>408</v>
      </c>
      <c r="J3617" s="1" t="s">
        <v>3324</v>
      </c>
      <c r="K3617" s="1" t="s">
        <v>3278</v>
      </c>
      <c r="L3617" s="1" t="s">
        <v>35</v>
      </c>
      <c r="M3617" s="86" t="s">
        <v>700</v>
      </c>
      <c r="N3617" s="86"/>
      <c r="O3617" s="47" t="s">
        <v>410</v>
      </c>
      <c r="P3617" s="47" t="s">
        <v>46</v>
      </c>
      <c r="Q3617" s="14">
        <v>0.02</v>
      </c>
      <c r="R3617" s="143">
        <v>1000016173</v>
      </c>
      <c r="S3617" s="47"/>
      <c r="T3617" s="6">
        <v>712751.88000000012</v>
      </c>
      <c r="U3617" s="6"/>
      <c r="V3617" s="6">
        <v>380847.27000000008</v>
      </c>
      <c r="W3617" s="6">
        <f t="shared" si="557"/>
        <v>331904.61000000004</v>
      </c>
      <c r="X3617" s="6">
        <f t="shared" si="558"/>
        <v>373379.67647058831</v>
      </c>
      <c r="Y3617" s="13">
        <f t="shared" si="559"/>
        <v>0</v>
      </c>
      <c r="Z3617" s="14">
        <v>0</v>
      </c>
      <c r="AA3617" s="6">
        <v>0</v>
      </c>
      <c r="AB3617" s="4">
        <f t="shared" si="560"/>
        <v>373379.67647058831</v>
      </c>
      <c r="AC3617" s="4">
        <f t="shared" si="562"/>
        <v>7467.5935294117662</v>
      </c>
      <c r="AD3617" s="6">
        <f t="shared" si="555"/>
        <v>380847.27000000008</v>
      </c>
      <c r="AE3617" s="2">
        <f>VLOOKUP(I3617,[1]媒体政策预估表!A:N,MATCH(O3617,[1]媒体政策预估表!$A$2:$M$2,0),0)</f>
        <v>7.0000000000000007E-2</v>
      </c>
      <c r="AF3617" s="6">
        <f t="shared" si="563"/>
        <v>26659.308900000007</v>
      </c>
      <c r="AG3617" s="14">
        <v>0</v>
      </c>
      <c r="AH3617" s="64">
        <f t="shared" si="556"/>
        <v>380847.27000000008</v>
      </c>
      <c r="AI3617" s="47"/>
      <c r="AJ3617" s="126" t="e">
        <v>#N/A</v>
      </c>
      <c r="AK3617" s="80">
        <f t="shared" si="561"/>
        <v>0</v>
      </c>
      <c r="AM3617" s="85"/>
    </row>
    <row r="3618" spans="1:39" hidden="1" x14ac:dyDescent="0.3">
      <c r="A3618" s="89" t="s">
        <v>3397</v>
      </c>
      <c r="B3618" s="86" t="s">
        <v>35</v>
      </c>
      <c r="C3618" s="86" t="s">
        <v>36</v>
      </c>
      <c r="D3618" s="86" t="s">
        <v>224</v>
      </c>
      <c r="E3618" s="86" t="s">
        <v>706</v>
      </c>
      <c r="F3618" s="86" t="s">
        <v>706</v>
      </c>
      <c r="G3618" s="86" t="s">
        <v>706</v>
      </c>
      <c r="H3618" s="143">
        <v>62</v>
      </c>
      <c r="I3618" s="86" t="s">
        <v>408</v>
      </c>
      <c r="J3618" s="1" t="s">
        <v>3324</v>
      </c>
      <c r="K3618" s="1" t="s">
        <v>3278</v>
      </c>
      <c r="L3618" s="1" t="s">
        <v>35</v>
      </c>
      <c r="M3618" s="86" t="s">
        <v>707</v>
      </c>
      <c r="N3618" s="86"/>
      <c r="O3618" s="47" t="s">
        <v>410</v>
      </c>
      <c r="P3618" s="47" t="s">
        <v>41</v>
      </c>
      <c r="Q3618" s="14">
        <v>0</v>
      </c>
      <c r="R3618" s="143">
        <v>1000096438</v>
      </c>
      <c r="S3618" s="47"/>
      <c r="T3618" s="6">
        <v>1441</v>
      </c>
      <c r="U3618" s="6"/>
      <c r="V3618" s="6">
        <v>0</v>
      </c>
      <c r="W3618" s="6">
        <f t="shared" si="557"/>
        <v>1441</v>
      </c>
      <c r="X3618" s="6">
        <f t="shared" si="558"/>
        <v>0</v>
      </c>
      <c r="Y3618" s="13">
        <f t="shared" si="559"/>
        <v>0</v>
      </c>
      <c r="Z3618" s="14">
        <v>0</v>
      </c>
      <c r="AA3618" s="6">
        <v>0</v>
      </c>
      <c r="AB3618" s="4">
        <f t="shared" si="560"/>
        <v>0</v>
      </c>
      <c r="AC3618" s="4">
        <f t="shared" si="562"/>
        <v>0</v>
      </c>
      <c r="AD3618" s="6">
        <f t="shared" si="555"/>
        <v>0</v>
      </c>
      <c r="AE3618" s="2">
        <f>VLOOKUP(I3618,[1]媒体政策预估表!A:N,MATCH(O3618,[1]媒体政策预估表!$A$2:$M$2,0),0)</f>
        <v>7.0000000000000007E-2</v>
      </c>
      <c r="AF3618" s="6">
        <f t="shared" si="563"/>
        <v>0</v>
      </c>
      <c r="AG3618" s="14">
        <v>0</v>
      </c>
      <c r="AH3618" s="64">
        <f t="shared" si="556"/>
        <v>0</v>
      </c>
      <c r="AI3618" s="47"/>
      <c r="AJ3618" s="126" t="e">
        <v>#N/A</v>
      </c>
      <c r="AK3618" s="80">
        <f t="shared" si="561"/>
        <v>0</v>
      </c>
      <c r="AM3618" s="85"/>
    </row>
    <row r="3619" spans="1:39" hidden="1" x14ac:dyDescent="0.3">
      <c r="A3619" s="89" t="s">
        <v>3397</v>
      </c>
      <c r="B3619" s="86" t="s">
        <v>35</v>
      </c>
      <c r="C3619" s="86" t="s">
        <v>65</v>
      </c>
      <c r="D3619" s="86" t="s">
        <v>66</v>
      </c>
      <c r="E3619" s="86" t="s">
        <v>713</v>
      </c>
      <c r="F3619" s="86" t="s">
        <v>713</v>
      </c>
      <c r="G3619" s="86" t="s">
        <v>713</v>
      </c>
      <c r="H3619" s="143">
        <v>62</v>
      </c>
      <c r="I3619" s="86" t="s">
        <v>408</v>
      </c>
      <c r="J3619" s="1" t="s">
        <v>3324</v>
      </c>
      <c r="K3619" s="1" t="s">
        <v>3278</v>
      </c>
      <c r="L3619" s="1" t="s">
        <v>35</v>
      </c>
      <c r="M3619" s="86" t="s">
        <v>714</v>
      </c>
      <c r="N3619" s="86"/>
      <c r="O3619" s="47" t="s">
        <v>410</v>
      </c>
      <c r="P3619" s="47" t="s">
        <v>46</v>
      </c>
      <c r="Q3619" s="14">
        <v>0.02</v>
      </c>
      <c r="R3619" s="143">
        <v>1000094337</v>
      </c>
      <c r="S3619" s="47"/>
      <c r="T3619" s="6">
        <v>10000</v>
      </c>
      <c r="U3619" s="6"/>
      <c r="V3619" s="6">
        <v>0</v>
      </c>
      <c r="W3619" s="6">
        <f t="shared" si="557"/>
        <v>10000</v>
      </c>
      <c r="X3619" s="6">
        <f t="shared" si="558"/>
        <v>0</v>
      </c>
      <c r="Y3619" s="13">
        <f t="shared" si="559"/>
        <v>0</v>
      </c>
      <c r="Z3619" s="14">
        <v>0</v>
      </c>
      <c r="AA3619" s="6">
        <v>0</v>
      </c>
      <c r="AB3619" s="4">
        <f t="shared" si="560"/>
        <v>0</v>
      </c>
      <c r="AC3619" s="4">
        <f t="shared" si="562"/>
        <v>0</v>
      </c>
      <c r="AD3619" s="6">
        <f t="shared" si="555"/>
        <v>0</v>
      </c>
      <c r="AE3619" s="2">
        <f>VLOOKUP(I3619,[1]媒体政策预估表!A:N,MATCH(O3619,[1]媒体政策预估表!$A$2:$M$2,0),0)</f>
        <v>7.0000000000000007E-2</v>
      </c>
      <c r="AF3619" s="6">
        <f t="shared" si="563"/>
        <v>0</v>
      </c>
      <c r="AG3619" s="14">
        <v>0</v>
      </c>
      <c r="AH3619" s="64">
        <f t="shared" si="556"/>
        <v>0</v>
      </c>
      <c r="AI3619" s="47"/>
      <c r="AJ3619" s="126" t="e">
        <v>#N/A</v>
      </c>
      <c r="AK3619" s="80">
        <f t="shared" si="561"/>
        <v>0</v>
      </c>
      <c r="AM3619" s="85"/>
    </row>
    <row r="3620" spans="1:39" hidden="1" x14ac:dyDescent="0.3">
      <c r="A3620" s="89" t="s">
        <v>3397</v>
      </c>
      <c r="B3620" s="86" t="s">
        <v>35</v>
      </c>
      <c r="C3620" s="86" t="s">
        <v>47</v>
      </c>
      <c r="D3620" s="86" t="s">
        <v>63</v>
      </c>
      <c r="E3620" s="86" t="s">
        <v>715</v>
      </c>
      <c r="F3620" s="86" t="s">
        <v>715</v>
      </c>
      <c r="G3620" s="86" t="s">
        <v>715</v>
      </c>
      <c r="H3620" s="143">
        <v>62</v>
      </c>
      <c r="I3620" s="86" t="s">
        <v>408</v>
      </c>
      <c r="J3620" s="1" t="s">
        <v>3324</v>
      </c>
      <c r="K3620" s="1" t="s">
        <v>3278</v>
      </c>
      <c r="L3620" s="1" t="s">
        <v>35</v>
      </c>
      <c r="M3620" s="86" t="s">
        <v>716</v>
      </c>
      <c r="N3620" s="86"/>
      <c r="O3620" s="47" t="s">
        <v>410</v>
      </c>
      <c r="P3620" s="47" t="s">
        <v>41</v>
      </c>
      <c r="Q3620" s="14">
        <v>0</v>
      </c>
      <c r="R3620" s="143">
        <v>1000016985</v>
      </c>
      <c r="S3620" s="47"/>
      <c r="T3620" s="6">
        <v>-73667.62</v>
      </c>
      <c r="U3620" s="6"/>
      <c r="V3620" s="6">
        <v>0</v>
      </c>
      <c r="W3620" s="6">
        <f t="shared" si="557"/>
        <v>-73667.62</v>
      </c>
      <c r="X3620" s="6">
        <f t="shared" si="558"/>
        <v>0</v>
      </c>
      <c r="Y3620" s="13">
        <f t="shared" si="559"/>
        <v>0</v>
      </c>
      <c r="Z3620" s="14">
        <v>0</v>
      </c>
      <c r="AA3620" s="6">
        <v>0</v>
      </c>
      <c r="AB3620" s="4">
        <f t="shared" si="560"/>
        <v>0</v>
      </c>
      <c r="AC3620" s="4">
        <f t="shared" si="562"/>
        <v>0</v>
      </c>
      <c r="AD3620" s="6">
        <f t="shared" ref="AD3620:AD3683" si="564">V3620</f>
        <v>0</v>
      </c>
      <c r="AE3620" s="2">
        <f>VLOOKUP(I3620,[1]媒体政策预估表!A:N,MATCH(O3620,[1]媒体政策预估表!$A$2:$M$2,0),0)</f>
        <v>7.0000000000000007E-2</v>
      </c>
      <c r="AF3620" s="6">
        <f t="shared" si="563"/>
        <v>0</v>
      </c>
      <c r="AG3620" s="14">
        <v>0</v>
      </c>
      <c r="AH3620" s="64">
        <f t="shared" ref="AH3620:AH3683" si="565">V3620</f>
        <v>0</v>
      </c>
      <c r="AI3620" s="47"/>
      <c r="AJ3620" s="126" t="e">
        <v>#N/A</v>
      </c>
      <c r="AK3620" s="80">
        <f t="shared" si="561"/>
        <v>0</v>
      </c>
      <c r="AM3620" s="85"/>
    </row>
    <row r="3621" spans="1:39" hidden="1" x14ac:dyDescent="0.3">
      <c r="A3621" s="89" t="s">
        <v>3395</v>
      </c>
      <c r="B3621" s="86" t="s">
        <v>35</v>
      </c>
      <c r="C3621" s="86" t="s">
        <v>47</v>
      </c>
      <c r="D3621" s="86" t="s">
        <v>63</v>
      </c>
      <c r="E3621" s="86" t="s">
        <v>718</v>
      </c>
      <c r="F3621" s="86" t="s">
        <v>718</v>
      </c>
      <c r="G3621" s="86" t="s">
        <v>718</v>
      </c>
      <c r="H3621" s="144">
        <v>62</v>
      </c>
      <c r="I3621" s="86" t="s">
        <v>408</v>
      </c>
      <c r="J3621" s="1" t="s">
        <v>3324</v>
      </c>
      <c r="K3621" s="1" t="s">
        <v>3278</v>
      </c>
      <c r="L3621" s="1" t="s">
        <v>35</v>
      </c>
      <c r="M3621" s="86" t="s">
        <v>719</v>
      </c>
      <c r="N3621" s="86"/>
      <c r="O3621" s="47" t="s">
        <v>410</v>
      </c>
      <c r="P3621" s="47" t="s">
        <v>41</v>
      </c>
      <c r="Q3621" s="14">
        <v>0</v>
      </c>
      <c r="R3621" s="143">
        <v>1000095332</v>
      </c>
      <c r="S3621" s="47"/>
      <c r="T3621" s="6">
        <v>2444.2000000000016</v>
      </c>
      <c r="U3621" s="6"/>
      <c r="V3621" s="6">
        <v>186.27</v>
      </c>
      <c r="W3621" s="6">
        <f t="shared" si="557"/>
        <v>2257.9300000000017</v>
      </c>
      <c r="X3621" s="6">
        <f t="shared" si="558"/>
        <v>186.27</v>
      </c>
      <c r="Y3621" s="13">
        <f t="shared" si="559"/>
        <v>0</v>
      </c>
      <c r="Z3621" s="14">
        <v>0</v>
      </c>
      <c r="AA3621" s="6">
        <v>0</v>
      </c>
      <c r="AB3621" s="4">
        <f t="shared" si="560"/>
        <v>186.27</v>
      </c>
      <c r="AC3621" s="4">
        <f t="shared" si="562"/>
        <v>0</v>
      </c>
      <c r="AD3621" s="6">
        <f t="shared" si="564"/>
        <v>186.27</v>
      </c>
      <c r="AE3621" s="2">
        <f>VLOOKUP(I3621,[1]媒体政策预估表!A:N,MATCH(O3621,[1]媒体政策预估表!$A$2:$M$2,0),0)</f>
        <v>7.0000000000000007E-2</v>
      </c>
      <c r="AF3621" s="6">
        <f t="shared" si="563"/>
        <v>13.038900000000002</v>
      </c>
      <c r="AG3621" s="14">
        <v>0</v>
      </c>
      <c r="AH3621" s="64">
        <f t="shared" si="565"/>
        <v>186.27</v>
      </c>
      <c r="AI3621" s="47"/>
      <c r="AJ3621" s="126" t="e">
        <v>#N/A</v>
      </c>
      <c r="AK3621" s="80">
        <f t="shared" si="561"/>
        <v>0</v>
      </c>
      <c r="AM3621" s="85"/>
    </row>
    <row r="3622" spans="1:39" hidden="1" x14ac:dyDescent="0.3">
      <c r="A3622" s="89" t="s">
        <v>3397</v>
      </c>
      <c r="B3622" s="86" t="s">
        <v>35</v>
      </c>
      <c r="C3622" s="86" t="s">
        <v>144</v>
      </c>
      <c r="D3622" s="86" t="s">
        <v>152</v>
      </c>
      <c r="E3622" s="86" t="s">
        <v>720</v>
      </c>
      <c r="F3622" s="86" t="s">
        <v>720</v>
      </c>
      <c r="G3622" s="86" t="s">
        <v>720</v>
      </c>
      <c r="H3622" s="143">
        <v>62</v>
      </c>
      <c r="I3622" s="86" t="s">
        <v>408</v>
      </c>
      <c r="J3622" s="1" t="s">
        <v>3324</v>
      </c>
      <c r="K3622" s="1" t="s">
        <v>3278</v>
      </c>
      <c r="L3622" s="1" t="s">
        <v>35</v>
      </c>
      <c r="M3622" s="86" t="s">
        <v>721</v>
      </c>
      <c r="N3622" s="86"/>
      <c r="O3622" s="47" t="s">
        <v>410</v>
      </c>
      <c r="P3622" s="47" t="s">
        <v>41</v>
      </c>
      <c r="Q3622" s="14">
        <v>0</v>
      </c>
      <c r="R3622" s="143">
        <v>1000095034</v>
      </c>
      <c r="S3622" s="47"/>
      <c r="T3622" s="6">
        <v>30000</v>
      </c>
      <c r="U3622" s="6"/>
      <c r="V3622" s="6">
        <v>0</v>
      </c>
      <c r="W3622" s="6">
        <f t="shared" ref="W3622:W3685" si="566">T3622+U3622-V3622</f>
        <v>30000</v>
      </c>
      <c r="X3622" s="6">
        <f t="shared" si="558"/>
        <v>0</v>
      </c>
      <c r="Y3622" s="13">
        <f t="shared" si="559"/>
        <v>0</v>
      </c>
      <c r="Z3622" s="14">
        <v>0</v>
      </c>
      <c r="AA3622" s="6">
        <v>0</v>
      </c>
      <c r="AB3622" s="4">
        <f t="shared" si="560"/>
        <v>0</v>
      </c>
      <c r="AC3622" s="4">
        <f t="shared" si="562"/>
        <v>0</v>
      </c>
      <c r="AD3622" s="6">
        <f t="shared" si="564"/>
        <v>0</v>
      </c>
      <c r="AE3622" s="2">
        <f>VLOOKUP(I3622,[1]媒体政策预估表!A:N,MATCH(O3622,[1]媒体政策预估表!$A$2:$M$2,0),0)</f>
        <v>7.0000000000000007E-2</v>
      </c>
      <c r="AF3622" s="6">
        <f t="shared" si="563"/>
        <v>0</v>
      </c>
      <c r="AG3622" s="14">
        <v>0</v>
      </c>
      <c r="AH3622" s="64">
        <f t="shared" si="565"/>
        <v>0</v>
      </c>
      <c r="AI3622" s="47"/>
      <c r="AJ3622" s="126" t="e">
        <v>#N/A</v>
      </c>
      <c r="AK3622" s="80">
        <f t="shared" si="561"/>
        <v>0</v>
      </c>
      <c r="AM3622" s="85"/>
    </row>
    <row r="3623" spans="1:39" hidden="1" x14ac:dyDescent="0.3">
      <c r="A3623" s="89" t="s">
        <v>3394</v>
      </c>
      <c r="B3623" s="86" t="s">
        <v>35</v>
      </c>
      <c r="C3623" s="86" t="s">
        <v>144</v>
      </c>
      <c r="D3623" s="86" t="s">
        <v>152</v>
      </c>
      <c r="E3623" s="86" t="s">
        <v>722</v>
      </c>
      <c r="F3623" s="86" t="s">
        <v>722</v>
      </c>
      <c r="G3623" s="86" t="s">
        <v>722</v>
      </c>
      <c r="H3623" s="143">
        <v>62</v>
      </c>
      <c r="I3623" s="86" t="s">
        <v>408</v>
      </c>
      <c r="J3623" s="1" t="s">
        <v>3324</v>
      </c>
      <c r="K3623" s="1" t="s">
        <v>3278</v>
      </c>
      <c r="L3623" s="1" t="s">
        <v>35</v>
      </c>
      <c r="M3623" s="86" t="s">
        <v>723</v>
      </c>
      <c r="N3623" s="86"/>
      <c r="O3623" s="47" t="s">
        <v>410</v>
      </c>
      <c r="P3623" s="47" t="s">
        <v>46</v>
      </c>
      <c r="Q3623" s="14">
        <v>0.04</v>
      </c>
      <c r="R3623" s="143">
        <v>1000095880</v>
      </c>
      <c r="S3623" s="47"/>
      <c r="T3623" s="6">
        <v>8741.84</v>
      </c>
      <c r="U3623" s="6"/>
      <c r="V3623" s="6">
        <v>7760.83</v>
      </c>
      <c r="W3623" s="6">
        <f t="shared" si="566"/>
        <v>981.01000000000022</v>
      </c>
      <c r="X3623" s="6">
        <f t="shared" ref="X3623:X3686" si="567">IF(P3623="折扣",V3623*Q3623,IF(P3623="返现",V3623,V3623/(1+Q3623)))</f>
        <v>7462.3365384615381</v>
      </c>
      <c r="Y3623" s="13">
        <f t="shared" si="559"/>
        <v>0</v>
      </c>
      <c r="Z3623" s="14">
        <v>0</v>
      </c>
      <c r="AA3623" s="6">
        <v>0</v>
      </c>
      <c r="AB3623" s="4"/>
      <c r="AC3623" s="4">
        <f t="shared" si="562"/>
        <v>298.49346153846182</v>
      </c>
      <c r="AD3623" s="6">
        <f t="shared" si="564"/>
        <v>7760.83</v>
      </c>
      <c r="AE3623" s="2">
        <f>VLOOKUP(I3623,[1]媒体政策预估表!A:N,MATCH(O3623,[1]媒体政策预估表!$A$2:$M$2,0),0)</f>
        <v>7.0000000000000007E-2</v>
      </c>
      <c r="AF3623" s="6">
        <f t="shared" si="563"/>
        <v>543.25810000000001</v>
      </c>
      <c r="AG3623" s="14">
        <v>0</v>
      </c>
      <c r="AH3623" s="64">
        <f t="shared" si="565"/>
        <v>7760.83</v>
      </c>
      <c r="AI3623" s="47"/>
      <c r="AJ3623" s="126">
        <v>112</v>
      </c>
      <c r="AK3623" s="80">
        <f t="shared" si="561"/>
        <v>7462.3365384615381</v>
      </c>
      <c r="AM3623" s="85"/>
    </row>
    <row r="3624" spans="1:39" hidden="1" x14ac:dyDescent="0.3">
      <c r="A3624" s="89" t="s">
        <v>3397</v>
      </c>
      <c r="B3624" s="86" t="s">
        <v>35</v>
      </c>
      <c r="C3624" s="86" t="s">
        <v>65</v>
      </c>
      <c r="D3624" s="86" t="s">
        <v>66</v>
      </c>
      <c r="E3624" s="86" t="s">
        <v>470</v>
      </c>
      <c r="F3624" s="86" t="s">
        <v>470</v>
      </c>
      <c r="G3624" s="86" t="s">
        <v>470</v>
      </c>
      <c r="H3624" s="143">
        <v>62</v>
      </c>
      <c r="I3624" s="86" t="s">
        <v>408</v>
      </c>
      <c r="J3624" s="1" t="s">
        <v>3324</v>
      </c>
      <c r="K3624" s="1" t="s">
        <v>3278</v>
      </c>
      <c r="L3624" s="1" t="s">
        <v>35</v>
      </c>
      <c r="M3624" s="86" t="s">
        <v>471</v>
      </c>
      <c r="N3624" s="86"/>
      <c r="O3624" s="47" t="s">
        <v>410</v>
      </c>
      <c r="P3624" s="47" t="s">
        <v>46</v>
      </c>
      <c r="Q3624" s="14">
        <v>0.02</v>
      </c>
      <c r="R3624" s="143">
        <v>1000094032</v>
      </c>
      <c r="S3624" s="47"/>
      <c r="T3624" s="6">
        <v>5000</v>
      </c>
      <c r="U3624" s="6"/>
      <c r="V3624" s="6">
        <v>0</v>
      </c>
      <c r="W3624" s="6">
        <f t="shared" si="566"/>
        <v>5000</v>
      </c>
      <c r="X3624" s="6">
        <f t="shared" si="567"/>
        <v>0</v>
      </c>
      <c r="Y3624" s="13">
        <f t="shared" si="559"/>
        <v>0</v>
      </c>
      <c r="Z3624" s="14">
        <v>0</v>
      </c>
      <c r="AA3624" s="6">
        <v>0</v>
      </c>
      <c r="AB3624" s="4">
        <f t="shared" si="560"/>
        <v>0</v>
      </c>
      <c r="AC3624" s="4">
        <f t="shared" si="562"/>
        <v>0</v>
      </c>
      <c r="AD3624" s="6">
        <f t="shared" si="564"/>
        <v>0</v>
      </c>
      <c r="AE3624" s="2">
        <f>VLOOKUP(I3624,[1]媒体政策预估表!A:N,MATCH(O3624,[1]媒体政策预估表!$A$2:$M$2,0),0)</f>
        <v>7.0000000000000007E-2</v>
      </c>
      <c r="AF3624" s="6">
        <f t="shared" si="563"/>
        <v>0</v>
      </c>
      <c r="AG3624" s="14">
        <v>0</v>
      </c>
      <c r="AH3624" s="64">
        <f t="shared" si="565"/>
        <v>0</v>
      </c>
      <c r="AI3624" s="47"/>
      <c r="AJ3624" s="126" t="e">
        <v>#N/A</v>
      </c>
      <c r="AK3624" s="80">
        <f t="shared" si="561"/>
        <v>0</v>
      </c>
      <c r="AM3624" s="85"/>
    </row>
    <row r="3625" spans="1:39" hidden="1" x14ac:dyDescent="0.3">
      <c r="A3625" s="89" t="s">
        <v>3397</v>
      </c>
      <c r="B3625" s="86" t="s">
        <v>35</v>
      </c>
      <c r="C3625" s="86" t="s">
        <v>65</v>
      </c>
      <c r="D3625" s="86" t="s">
        <v>66</v>
      </c>
      <c r="E3625" s="86" t="s">
        <v>470</v>
      </c>
      <c r="F3625" s="86" t="s">
        <v>470</v>
      </c>
      <c r="G3625" s="86" t="s">
        <v>470</v>
      </c>
      <c r="H3625" s="143">
        <v>62</v>
      </c>
      <c r="I3625" s="86" t="s">
        <v>408</v>
      </c>
      <c r="J3625" s="1" t="s">
        <v>3324</v>
      </c>
      <c r="K3625" s="1" t="s">
        <v>3278</v>
      </c>
      <c r="L3625" s="1" t="s">
        <v>35</v>
      </c>
      <c r="M3625" s="86" t="s">
        <v>472</v>
      </c>
      <c r="N3625" s="86"/>
      <c r="O3625" s="47" t="s">
        <v>45</v>
      </c>
      <c r="P3625" s="47" t="s">
        <v>46</v>
      </c>
      <c r="Q3625" s="14">
        <v>0.04</v>
      </c>
      <c r="R3625" s="143">
        <v>1000094031</v>
      </c>
      <c r="S3625" s="47"/>
      <c r="T3625" s="6">
        <v>5000</v>
      </c>
      <c r="U3625" s="6"/>
      <c r="V3625" s="6">
        <v>0</v>
      </c>
      <c r="W3625" s="6">
        <f t="shared" si="566"/>
        <v>5000</v>
      </c>
      <c r="X3625" s="6">
        <f t="shared" si="567"/>
        <v>0</v>
      </c>
      <c r="Y3625" s="13">
        <f t="shared" si="559"/>
        <v>0</v>
      </c>
      <c r="Z3625" s="14">
        <v>0</v>
      </c>
      <c r="AA3625" s="6">
        <v>0</v>
      </c>
      <c r="AB3625" s="4">
        <f t="shared" si="560"/>
        <v>0</v>
      </c>
      <c r="AC3625" s="4">
        <f t="shared" si="562"/>
        <v>0</v>
      </c>
      <c r="AD3625" s="6">
        <f t="shared" si="564"/>
        <v>0</v>
      </c>
      <c r="AE3625" s="2">
        <f>VLOOKUP(I3625,[1]媒体政策预估表!A:N,MATCH(O3625,[1]媒体政策预估表!$A$2:$M$2,0),0)</f>
        <v>0.12</v>
      </c>
      <c r="AF3625" s="6">
        <f t="shared" si="563"/>
        <v>0</v>
      </c>
      <c r="AG3625" s="14">
        <v>0</v>
      </c>
      <c r="AH3625" s="64">
        <f t="shared" si="565"/>
        <v>0</v>
      </c>
      <c r="AI3625" s="47"/>
      <c r="AJ3625" s="126" t="e">
        <v>#N/A</v>
      </c>
      <c r="AK3625" s="80">
        <f t="shared" si="561"/>
        <v>0</v>
      </c>
      <c r="AM3625" s="85"/>
    </row>
    <row r="3626" spans="1:39" hidden="1" x14ac:dyDescent="0.3">
      <c r="A3626" s="89" t="s">
        <v>3395</v>
      </c>
      <c r="B3626" s="86" t="s">
        <v>35</v>
      </c>
      <c r="C3626" s="86" t="s">
        <v>36</v>
      </c>
      <c r="D3626" s="86" t="s">
        <v>224</v>
      </c>
      <c r="E3626" s="86" t="s">
        <v>733</v>
      </c>
      <c r="F3626" s="86" t="s">
        <v>733</v>
      </c>
      <c r="G3626" s="86" t="s">
        <v>733</v>
      </c>
      <c r="H3626" s="143">
        <v>62</v>
      </c>
      <c r="I3626" s="86" t="s">
        <v>408</v>
      </c>
      <c r="J3626" s="1" t="s">
        <v>3324</v>
      </c>
      <c r="K3626" s="1" t="s">
        <v>3278</v>
      </c>
      <c r="L3626" s="1" t="s">
        <v>35</v>
      </c>
      <c r="M3626" s="86" t="s">
        <v>734</v>
      </c>
      <c r="N3626" s="86"/>
      <c r="O3626" s="47" t="s">
        <v>45</v>
      </c>
      <c r="P3626" s="47" t="s">
        <v>41</v>
      </c>
      <c r="Q3626" s="14">
        <v>0</v>
      </c>
      <c r="R3626" s="143">
        <v>1000092487</v>
      </c>
      <c r="S3626" s="47"/>
      <c r="T3626" s="6">
        <v>98000</v>
      </c>
      <c r="U3626" s="6"/>
      <c r="V3626" s="6">
        <v>0</v>
      </c>
      <c r="W3626" s="6">
        <f t="shared" si="566"/>
        <v>98000</v>
      </c>
      <c r="X3626" s="6">
        <f t="shared" si="567"/>
        <v>0</v>
      </c>
      <c r="Y3626" s="13">
        <f t="shared" si="559"/>
        <v>0</v>
      </c>
      <c r="Z3626" s="14">
        <v>0</v>
      </c>
      <c r="AA3626" s="6">
        <v>0</v>
      </c>
      <c r="AB3626" s="4">
        <f t="shared" si="560"/>
        <v>0</v>
      </c>
      <c r="AC3626" s="4">
        <f t="shared" si="562"/>
        <v>0</v>
      </c>
      <c r="AD3626" s="6">
        <f t="shared" si="564"/>
        <v>0</v>
      </c>
      <c r="AE3626" s="2">
        <f>VLOOKUP(I3626,[1]媒体政策预估表!A:N,MATCH(O3626,[1]媒体政策预估表!$A$2:$M$2,0),0)</f>
        <v>0.12</v>
      </c>
      <c r="AF3626" s="6">
        <f t="shared" si="563"/>
        <v>0</v>
      </c>
      <c r="AG3626" s="14">
        <v>0</v>
      </c>
      <c r="AH3626" s="64">
        <f t="shared" si="565"/>
        <v>0</v>
      </c>
      <c r="AI3626" s="47"/>
      <c r="AJ3626" s="126" t="e">
        <v>#N/A</v>
      </c>
      <c r="AK3626" s="80">
        <f t="shared" si="561"/>
        <v>0</v>
      </c>
      <c r="AM3626" s="85"/>
    </row>
    <row r="3627" spans="1:39" hidden="1" x14ac:dyDescent="0.3">
      <c r="A3627" s="89" t="s">
        <v>3395</v>
      </c>
      <c r="B3627" s="86" t="s">
        <v>35</v>
      </c>
      <c r="C3627" s="86" t="s">
        <v>59</v>
      </c>
      <c r="D3627" s="86" t="s">
        <v>60</v>
      </c>
      <c r="E3627" s="86" t="s">
        <v>735</v>
      </c>
      <c r="F3627" s="86" t="s">
        <v>735</v>
      </c>
      <c r="G3627" s="86" t="s">
        <v>735</v>
      </c>
      <c r="H3627" s="143">
        <v>62</v>
      </c>
      <c r="I3627" s="86" t="s">
        <v>408</v>
      </c>
      <c r="J3627" s="1" t="s">
        <v>3324</v>
      </c>
      <c r="K3627" s="1" t="s">
        <v>3278</v>
      </c>
      <c r="L3627" s="1" t="s">
        <v>35</v>
      </c>
      <c r="M3627" s="86" t="s">
        <v>736</v>
      </c>
      <c r="N3627" s="86"/>
      <c r="O3627" s="47" t="s">
        <v>45</v>
      </c>
      <c r="P3627" s="47" t="s">
        <v>75</v>
      </c>
      <c r="Q3627" s="14">
        <v>0.02</v>
      </c>
      <c r="R3627" s="143">
        <v>1000090963</v>
      </c>
      <c r="S3627" s="47"/>
      <c r="T3627" s="6">
        <v>5000</v>
      </c>
      <c r="U3627" s="6"/>
      <c r="V3627" s="6">
        <v>0</v>
      </c>
      <c r="W3627" s="6">
        <f t="shared" si="566"/>
        <v>5000</v>
      </c>
      <c r="X3627" s="6">
        <f t="shared" si="567"/>
        <v>0</v>
      </c>
      <c r="Y3627" s="13">
        <f t="shared" si="559"/>
        <v>0</v>
      </c>
      <c r="Z3627" s="14">
        <v>0</v>
      </c>
      <c r="AA3627" s="6">
        <v>0</v>
      </c>
      <c r="AB3627" s="4">
        <f t="shared" si="560"/>
        <v>0</v>
      </c>
      <c r="AC3627" s="4">
        <f t="shared" si="562"/>
        <v>0</v>
      </c>
      <c r="AD3627" s="6">
        <f t="shared" si="564"/>
        <v>0</v>
      </c>
      <c r="AE3627" s="2">
        <f>VLOOKUP(I3627,[1]媒体政策预估表!A:N,MATCH(O3627,[1]媒体政策预估表!$A$2:$M$2,0),0)</f>
        <v>0.12</v>
      </c>
      <c r="AF3627" s="6">
        <f t="shared" si="563"/>
        <v>0</v>
      </c>
      <c r="AG3627" s="14">
        <v>0</v>
      </c>
      <c r="AH3627" s="64">
        <f t="shared" si="565"/>
        <v>0</v>
      </c>
      <c r="AI3627" s="47"/>
      <c r="AJ3627" s="126" t="e">
        <v>#N/A</v>
      </c>
      <c r="AK3627" s="80">
        <f t="shared" si="561"/>
        <v>0</v>
      </c>
      <c r="AM3627" s="85"/>
    </row>
    <row r="3628" spans="1:39" hidden="1" x14ac:dyDescent="0.3">
      <c r="A3628" s="89" t="s">
        <v>3395</v>
      </c>
      <c r="B3628" s="86" t="s">
        <v>35</v>
      </c>
      <c r="C3628" s="86" t="s">
        <v>144</v>
      </c>
      <c r="D3628" s="86" t="s">
        <v>152</v>
      </c>
      <c r="E3628" s="86" t="s">
        <v>740</v>
      </c>
      <c r="F3628" s="86" t="s">
        <v>740</v>
      </c>
      <c r="G3628" s="86" t="s">
        <v>740</v>
      </c>
      <c r="H3628" s="143">
        <v>62</v>
      </c>
      <c r="I3628" s="86" t="s">
        <v>408</v>
      </c>
      <c r="J3628" s="1" t="s">
        <v>3324</v>
      </c>
      <c r="K3628" s="1" t="s">
        <v>3278</v>
      </c>
      <c r="L3628" s="1" t="s">
        <v>35</v>
      </c>
      <c r="M3628" s="86" t="s">
        <v>741</v>
      </c>
      <c r="N3628" s="86"/>
      <c r="O3628" s="47" t="s">
        <v>45</v>
      </c>
      <c r="P3628" s="47" t="s">
        <v>46</v>
      </c>
      <c r="Q3628" s="14">
        <v>0.04</v>
      </c>
      <c r="R3628" s="143">
        <v>1000087202</v>
      </c>
      <c r="S3628" s="47"/>
      <c r="T3628" s="6">
        <v>9834.090000000002</v>
      </c>
      <c r="U3628" s="6"/>
      <c r="V3628" s="6">
        <v>0</v>
      </c>
      <c r="W3628" s="6">
        <f t="shared" si="566"/>
        <v>9834.090000000002</v>
      </c>
      <c r="X3628" s="6">
        <f t="shared" si="567"/>
        <v>0</v>
      </c>
      <c r="Y3628" s="13">
        <f t="shared" si="559"/>
        <v>0</v>
      </c>
      <c r="Z3628" s="14">
        <v>0</v>
      </c>
      <c r="AA3628" s="6">
        <v>0</v>
      </c>
      <c r="AB3628" s="4">
        <f t="shared" si="560"/>
        <v>0</v>
      </c>
      <c r="AC3628" s="4">
        <f t="shared" si="562"/>
        <v>0</v>
      </c>
      <c r="AD3628" s="6">
        <f t="shared" si="564"/>
        <v>0</v>
      </c>
      <c r="AE3628" s="2">
        <f>VLOOKUP(I3628,[1]媒体政策预估表!A:N,MATCH(O3628,[1]媒体政策预估表!$A$2:$M$2,0),0)</f>
        <v>0.12</v>
      </c>
      <c r="AF3628" s="6">
        <f t="shared" si="563"/>
        <v>0</v>
      </c>
      <c r="AG3628" s="14">
        <v>0</v>
      </c>
      <c r="AH3628" s="64">
        <f t="shared" si="565"/>
        <v>0</v>
      </c>
      <c r="AI3628" s="47"/>
      <c r="AJ3628" s="126" t="e">
        <v>#N/A</v>
      </c>
      <c r="AK3628" s="80">
        <f t="shared" si="561"/>
        <v>0</v>
      </c>
      <c r="AM3628" s="85"/>
    </row>
    <row r="3629" spans="1:39" hidden="1" x14ac:dyDescent="0.3">
      <c r="A3629" s="89" t="s">
        <v>3394</v>
      </c>
      <c r="B3629" s="86" t="s">
        <v>35</v>
      </c>
      <c r="C3629" s="86" t="s">
        <v>36</v>
      </c>
      <c r="D3629" s="86" t="s">
        <v>54</v>
      </c>
      <c r="E3629" s="86" t="s">
        <v>742</v>
      </c>
      <c r="F3629" s="86" t="s">
        <v>742</v>
      </c>
      <c r="G3629" s="86" t="s">
        <v>742</v>
      </c>
      <c r="H3629" s="143">
        <v>62</v>
      </c>
      <c r="I3629" s="86" t="s">
        <v>408</v>
      </c>
      <c r="J3629" s="1" t="s">
        <v>3324</v>
      </c>
      <c r="K3629" s="1" t="s">
        <v>3278</v>
      </c>
      <c r="L3629" s="1" t="s">
        <v>35</v>
      </c>
      <c r="M3629" s="86" t="s">
        <v>743</v>
      </c>
      <c r="N3629" s="86"/>
      <c r="O3629" s="47" t="s">
        <v>45</v>
      </c>
      <c r="P3629" s="47" t="s">
        <v>41</v>
      </c>
      <c r="Q3629" s="14">
        <v>0</v>
      </c>
      <c r="R3629" s="143">
        <v>1000084758</v>
      </c>
      <c r="S3629" s="47"/>
      <c r="T3629" s="6">
        <v>512</v>
      </c>
      <c r="U3629" s="6"/>
      <c r="V3629" s="6">
        <v>0</v>
      </c>
      <c r="W3629" s="6">
        <f t="shared" si="566"/>
        <v>512</v>
      </c>
      <c r="X3629" s="6">
        <f t="shared" si="567"/>
        <v>0</v>
      </c>
      <c r="Y3629" s="13">
        <f t="shared" si="559"/>
        <v>0</v>
      </c>
      <c r="Z3629" s="14">
        <v>0</v>
      </c>
      <c r="AA3629" s="6">
        <v>0</v>
      </c>
      <c r="AB3629" s="4">
        <f t="shared" si="560"/>
        <v>0</v>
      </c>
      <c r="AC3629" s="4">
        <f t="shared" si="562"/>
        <v>0</v>
      </c>
      <c r="AD3629" s="6">
        <f t="shared" si="564"/>
        <v>0</v>
      </c>
      <c r="AE3629" s="2">
        <f>VLOOKUP(I3629,[1]媒体政策预估表!A:N,MATCH(O3629,[1]媒体政策预估表!$A$2:$M$2,0),0)</f>
        <v>0.12</v>
      </c>
      <c r="AF3629" s="6">
        <f t="shared" si="563"/>
        <v>0</v>
      </c>
      <c r="AG3629" s="14">
        <v>0</v>
      </c>
      <c r="AH3629" s="64">
        <f t="shared" si="565"/>
        <v>0</v>
      </c>
      <c r="AI3629" s="47"/>
      <c r="AJ3629" s="126" t="e">
        <v>#N/A</v>
      </c>
      <c r="AK3629" s="80">
        <f t="shared" si="561"/>
        <v>0</v>
      </c>
      <c r="AM3629" s="85"/>
    </row>
    <row r="3630" spans="1:39" hidden="1" x14ac:dyDescent="0.3">
      <c r="A3630" s="89" t="s">
        <v>3395</v>
      </c>
      <c r="B3630" s="86" t="s">
        <v>35</v>
      </c>
      <c r="C3630" s="86" t="s">
        <v>184</v>
      </c>
      <c r="D3630" s="86" t="s">
        <v>744</v>
      </c>
      <c r="E3630" s="86" t="s">
        <v>745</v>
      </c>
      <c r="F3630" s="86" t="s">
        <v>745</v>
      </c>
      <c r="G3630" s="86" t="s">
        <v>745</v>
      </c>
      <c r="H3630" s="143">
        <v>62</v>
      </c>
      <c r="I3630" s="86" t="s">
        <v>408</v>
      </c>
      <c r="J3630" s="1" t="s">
        <v>3324</v>
      </c>
      <c r="K3630" s="1" t="s">
        <v>3278</v>
      </c>
      <c r="L3630" s="1" t="s">
        <v>35</v>
      </c>
      <c r="M3630" s="86" t="s">
        <v>746</v>
      </c>
      <c r="N3630" s="86"/>
      <c r="O3630" s="47" t="s">
        <v>45</v>
      </c>
      <c r="P3630" s="47" t="s">
        <v>75</v>
      </c>
      <c r="Q3630" s="14">
        <v>0.1666</v>
      </c>
      <c r="R3630" s="143">
        <v>1000022097</v>
      </c>
      <c r="S3630" s="47"/>
      <c r="T3630" s="6">
        <v>0.22</v>
      </c>
      <c r="U3630" s="6"/>
      <c r="V3630" s="6">
        <v>0</v>
      </c>
      <c r="W3630" s="6">
        <f t="shared" si="566"/>
        <v>0.22</v>
      </c>
      <c r="X3630" s="6">
        <f t="shared" si="567"/>
        <v>0</v>
      </c>
      <c r="Y3630" s="13">
        <f t="shared" si="559"/>
        <v>0</v>
      </c>
      <c r="Z3630" s="14">
        <v>0</v>
      </c>
      <c r="AA3630" s="6">
        <v>0</v>
      </c>
      <c r="AB3630" s="4"/>
      <c r="AC3630" s="4">
        <f t="shared" si="562"/>
        <v>0</v>
      </c>
      <c r="AD3630" s="6">
        <f t="shared" si="564"/>
        <v>0</v>
      </c>
      <c r="AE3630" s="2">
        <f>VLOOKUP(I3630,[1]媒体政策预估表!A:N,MATCH(O3630,[1]媒体政策预估表!$A$2:$M$2,0),0)</f>
        <v>0.12</v>
      </c>
      <c r="AF3630" s="6">
        <f t="shared" si="563"/>
        <v>0</v>
      </c>
      <c r="AG3630" s="14">
        <v>0</v>
      </c>
      <c r="AH3630" s="64">
        <f t="shared" si="565"/>
        <v>0</v>
      </c>
      <c r="AI3630" s="47"/>
      <c r="AJ3630" s="126">
        <v>71</v>
      </c>
      <c r="AK3630" s="80">
        <f t="shared" si="561"/>
        <v>0</v>
      </c>
      <c r="AM3630" s="85"/>
    </row>
    <row r="3631" spans="1:39" hidden="1" x14ac:dyDescent="0.3">
      <c r="A3631" s="89" t="s">
        <v>3395</v>
      </c>
      <c r="B3631" s="86" t="s">
        <v>35</v>
      </c>
      <c r="C3631" s="86" t="s">
        <v>184</v>
      </c>
      <c r="D3631" s="86" t="s">
        <v>744</v>
      </c>
      <c r="E3631" s="86" t="s">
        <v>745</v>
      </c>
      <c r="F3631" s="86" t="s">
        <v>745</v>
      </c>
      <c r="G3631" s="86" t="s">
        <v>745</v>
      </c>
      <c r="H3631" s="143">
        <v>62</v>
      </c>
      <c r="I3631" s="86" t="s">
        <v>408</v>
      </c>
      <c r="J3631" s="1" t="s">
        <v>3324</v>
      </c>
      <c r="K3631" s="1" t="s">
        <v>3278</v>
      </c>
      <c r="L3631" s="1" t="s">
        <v>35</v>
      </c>
      <c r="M3631" s="86" t="s">
        <v>747</v>
      </c>
      <c r="N3631" s="86"/>
      <c r="O3631" s="47" t="s">
        <v>45</v>
      </c>
      <c r="P3631" s="47" t="s">
        <v>75</v>
      </c>
      <c r="Q3631" s="14">
        <v>0.1666</v>
      </c>
      <c r="R3631" s="143">
        <v>1000022096</v>
      </c>
      <c r="S3631" s="47"/>
      <c r="T3631" s="6">
        <v>0.94</v>
      </c>
      <c r="U3631" s="6"/>
      <c r="V3631" s="6">
        <v>0</v>
      </c>
      <c r="W3631" s="6">
        <f t="shared" si="566"/>
        <v>0.94</v>
      </c>
      <c r="X3631" s="6">
        <f t="shared" si="567"/>
        <v>0</v>
      </c>
      <c r="Y3631" s="13">
        <f t="shared" si="559"/>
        <v>0</v>
      </c>
      <c r="Z3631" s="14">
        <v>0</v>
      </c>
      <c r="AA3631" s="6">
        <v>0</v>
      </c>
      <c r="AB3631" s="4"/>
      <c r="AC3631" s="4">
        <f t="shared" si="562"/>
        <v>0</v>
      </c>
      <c r="AD3631" s="6">
        <f t="shared" si="564"/>
        <v>0</v>
      </c>
      <c r="AE3631" s="2">
        <f>VLOOKUP(I3631,[1]媒体政策预估表!A:N,MATCH(O3631,[1]媒体政策预估表!$A$2:$M$2,0),0)</f>
        <v>0.12</v>
      </c>
      <c r="AF3631" s="6">
        <f t="shared" si="563"/>
        <v>0</v>
      </c>
      <c r="AG3631" s="14">
        <v>0</v>
      </c>
      <c r="AH3631" s="64">
        <f t="shared" si="565"/>
        <v>0</v>
      </c>
      <c r="AI3631" s="47"/>
      <c r="AJ3631" s="126">
        <v>71</v>
      </c>
      <c r="AK3631" s="80">
        <f t="shared" si="561"/>
        <v>0</v>
      </c>
      <c r="AM3631" s="85"/>
    </row>
    <row r="3632" spans="1:39" hidden="1" x14ac:dyDescent="0.3">
      <c r="A3632" s="89" t="s">
        <v>3395</v>
      </c>
      <c r="B3632" s="86" t="s">
        <v>35</v>
      </c>
      <c r="C3632" s="86" t="s">
        <v>184</v>
      </c>
      <c r="D3632" s="86" t="s">
        <v>744</v>
      </c>
      <c r="E3632" s="86" t="s">
        <v>745</v>
      </c>
      <c r="F3632" s="86" t="s">
        <v>745</v>
      </c>
      <c r="G3632" s="86" t="s">
        <v>745</v>
      </c>
      <c r="H3632" s="143">
        <v>62</v>
      </c>
      <c r="I3632" s="86" t="s">
        <v>408</v>
      </c>
      <c r="J3632" s="1" t="s">
        <v>3324</v>
      </c>
      <c r="K3632" s="1" t="s">
        <v>3278</v>
      </c>
      <c r="L3632" s="1" t="s">
        <v>35</v>
      </c>
      <c r="M3632" s="86" t="s">
        <v>748</v>
      </c>
      <c r="N3632" s="86"/>
      <c r="O3632" s="47" t="s">
        <v>45</v>
      </c>
      <c r="P3632" s="47" t="s">
        <v>75</v>
      </c>
      <c r="Q3632" s="14">
        <v>0.1666</v>
      </c>
      <c r="R3632" s="143">
        <v>1000021199</v>
      </c>
      <c r="S3632" s="47"/>
      <c r="T3632" s="6">
        <v>0.43</v>
      </c>
      <c r="U3632" s="6"/>
      <c r="V3632" s="6">
        <v>0</v>
      </c>
      <c r="W3632" s="6">
        <f t="shared" si="566"/>
        <v>0.43</v>
      </c>
      <c r="X3632" s="6">
        <f t="shared" si="567"/>
        <v>0</v>
      </c>
      <c r="Y3632" s="13">
        <f t="shared" si="559"/>
        <v>0</v>
      </c>
      <c r="Z3632" s="14">
        <v>0</v>
      </c>
      <c r="AA3632" s="6">
        <v>0</v>
      </c>
      <c r="AB3632" s="4"/>
      <c r="AC3632" s="4">
        <f t="shared" si="562"/>
        <v>0</v>
      </c>
      <c r="AD3632" s="6">
        <f t="shared" si="564"/>
        <v>0</v>
      </c>
      <c r="AE3632" s="2">
        <f>VLOOKUP(I3632,[1]媒体政策预估表!A:N,MATCH(O3632,[1]媒体政策预估表!$A$2:$M$2,0),0)</f>
        <v>0.12</v>
      </c>
      <c r="AF3632" s="6">
        <f t="shared" si="563"/>
        <v>0</v>
      </c>
      <c r="AG3632" s="14">
        <v>0</v>
      </c>
      <c r="AH3632" s="64">
        <f t="shared" si="565"/>
        <v>0</v>
      </c>
      <c r="AI3632" s="47"/>
      <c r="AJ3632" s="126">
        <v>71</v>
      </c>
      <c r="AK3632" s="80">
        <f t="shared" si="561"/>
        <v>0</v>
      </c>
      <c r="AM3632" s="85"/>
    </row>
    <row r="3633" spans="1:39" hidden="1" x14ac:dyDescent="0.3">
      <c r="A3633" s="89" t="s">
        <v>3395</v>
      </c>
      <c r="B3633" s="86" t="s">
        <v>35</v>
      </c>
      <c r="C3633" s="86" t="s">
        <v>184</v>
      </c>
      <c r="D3633" s="86" t="s">
        <v>744</v>
      </c>
      <c r="E3633" s="86" t="s">
        <v>745</v>
      </c>
      <c r="F3633" s="86" t="s">
        <v>745</v>
      </c>
      <c r="G3633" s="86" t="s">
        <v>745</v>
      </c>
      <c r="H3633" s="143">
        <v>62</v>
      </c>
      <c r="I3633" s="86" t="s">
        <v>408</v>
      </c>
      <c r="J3633" s="1" t="s">
        <v>3324</v>
      </c>
      <c r="K3633" s="1" t="s">
        <v>3278</v>
      </c>
      <c r="L3633" s="1" t="s">
        <v>35</v>
      </c>
      <c r="M3633" s="86" t="s">
        <v>749</v>
      </c>
      <c r="N3633" s="86"/>
      <c r="O3633" s="47" t="s">
        <v>45</v>
      </c>
      <c r="P3633" s="47" t="s">
        <v>75</v>
      </c>
      <c r="Q3633" s="14">
        <v>0.1666</v>
      </c>
      <c r="R3633" s="143">
        <v>1000021181</v>
      </c>
      <c r="S3633" s="47"/>
      <c r="T3633" s="6">
        <v>0.24</v>
      </c>
      <c r="U3633" s="6"/>
      <c r="V3633" s="6">
        <v>0</v>
      </c>
      <c r="W3633" s="6">
        <f t="shared" si="566"/>
        <v>0.24</v>
      </c>
      <c r="X3633" s="6">
        <f t="shared" si="567"/>
        <v>0</v>
      </c>
      <c r="Y3633" s="13">
        <f t="shared" si="559"/>
        <v>0</v>
      </c>
      <c r="Z3633" s="14">
        <v>0</v>
      </c>
      <c r="AA3633" s="6">
        <v>0</v>
      </c>
      <c r="AB3633" s="4"/>
      <c r="AC3633" s="4">
        <f t="shared" si="562"/>
        <v>0</v>
      </c>
      <c r="AD3633" s="6">
        <f t="shared" si="564"/>
        <v>0</v>
      </c>
      <c r="AE3633" s="2">
        <f>VLOOKUP(I3633,[1]媒体政策预估表!A:N,MATCH(O3633,[1]媒体政策预估表!$A$2:$M$2,0),0)</f>
        <v>0.12</v>
      </c>
      <c r="AF3633" s="6">
        <f t="shared" si="563"/>
        <v>0</v>
      </c>
      <c r="AG3633" s="14">
        <v>0</v>
      </c>
      <c r="AH3633" s="64">
        <f t="shared" si="565"/>
        <v>0</v>
      </c>
      <c r="AI3633" s="47"/>
      <c r="AJ3633" s="126">
        <v>71</v>
      </c>
      <c r="AK3633" s="80">
        <f t="shared" si="561"/>
        <v>0</v>
      </c>
      <c r="AM3633" s="85"/>
    </row>
    <row r="3634" spans="1:39" hidden="1" x14ac:dyDescent="0.3">
      <c r="A3634" s="89" t="s">
        <v>3395</v>
      </c>
      <c r="B3634" s="86" t="s">
        <v>35</v>
      </c>
      <c r="C3634" s="86" t="s">
        <v>184</v>
      </c>
      <c r="D3634" s="86" t="s">
        <v>744</v>
      </c>
      <c r="E3634" s="86" t="s">
        <v>745</v>
      </c>
      <c r="F3634" s="86" t="s">
        <v>745</v>
      </c>
      <c r="G3634" s="86" t="s">
        <v>745</v>
      </c>
      <c r="H3634" s="143">
        <v>62</v>
      </c>
      <c r="I3634" s="86" t="s">
        <v>408</v>
      </c>
      <c r="J3634" s="1" t="s">
        <v>3324</v>
      </c>
      <c r="K3634" s="1" t="s">
        <v>3278</v>
      </c>
      <c r="L3634" s="1" t="s">
        <v>35</v>
      </c>
      <c r="M3634" s="86" t="s">
        <v>750</v>
      </c>
      <c r="N3634" s="86"/>
      <c r="O3634" s="47" t="s">
        <v>45</v>
      </c>
      <c r="P3634" s="47" t="s">
        <v>75</v>
      </c>
      <c r="Q3634" s="14">
        <v>0.1666</v>
      </c>
      <c r="R3634" s="143">
        <v>1000021210</v>
      </c>
      <c r="S3634" s="47"/>
      <c r="T3634" s="6">
        <v>28964.959999999999</v>
      </c>
      <c r="U3634" s="6"/>
      <c r="V3634" s="6">
        <v>0</v>
      </c>
      <c r="W3634" s="6">
        <f t="shared" si="566"/>
        <v>28964.959999999999</v>
      </c>
      <c r="X3634" s="6">
        <f t="shared" si="567"/>
        <v>0</v>
      </c>
      <c r="Y3634" s="13">
        <f t="shared" si="559"/>
        <v>0</v>
      </c>
      <c r="Z3634" s="14">
        <v>0</v>
      </c>
      <c r="AA3634" s="6">
        <v>0</v>
      </c>
      <c r="AB3634" s="4"/>
      <c r="AC3634" s="4">
        <f t="shared" si="562"/>
        <v>0</v>
      </c>
      <c r="AD3634" s="6">
        <f t="shared" si="564"/>
        <v>0</v>
      </c>
      <c r="AE3634" s="2">
        <f>VLOOKUP(I3634,[1]媒体政策预估表!A:N,MATCH(O3634,[1]媒体政策预估表!$A$2:$M$2,0),0)</f>
        <v>0.12</v>
      </c>
      <c r="AF3634" s="6">
        <f t="shared" si="563"/>
        <v>0</v>
      </c>
      <c r="AG3634" s="14">
        <v>0</v>
      </c>
      <c r="AH3634" s="64">
        <f t="shared" si="565"/>
        <v>0</v>
      </c>
      <c r="AI3634" s="47"/>
      <c r="AJ3634" s="126">
        <v>71</v>
      </c>
      <c r="AK3634" s="80">
        <f t="shared" si="561"/>
        <v>0</v>
      </c>
      <c r="AM3634" s="85"/>
    </row>
    <row r="3635" spans="1:39" hidden="1" x14ac:dyDescent="0.3">
      <c r="A3635" s="89" t="s">
        <v>3394</v>
      </c>
      <c r="B3635" s="86" t="s">
        <v>35</v>
      </c>
      <c r="C3635" s="86" t="s">
        <v>184</v>
      </c>
      <c r="D3635" s="86" t="s">
        <v>744</v>
      </c>
      <c r="E3635" s="86" t="s">
        <v>745</v>
      </c>
      <c r="F3635" s="86" t="s">
        <v>745</v>
      </c>
      <c r="G3635" s="86" t="s">
        <v>745</v>
      </c>
      <c r="H3635" s="143">
        <v>62</v>
      </c>
      <c r="I3635" s="86" t="s">
        <v>408</v>
      </c>
      <c r="J3635" s="1" t="s">
        <v>3324</v>
      </c>
      <c r="K3635" s="1" t="s">
        <v>3278</v>
      </c>
      <c r="L3635" s="1" t="s">
        <v>35</v>
      </c>
      <c r="M3635" s="86" t="s">
        <v>751</v>
      </c>
      <c r="N3635" s="86"/>
      <c r="O3635" s="47" t="s">
        <v>45</v>
      </c>
      <c r="P3635" s="47" t="s">
        <v>75</v>
      </c>
      <c r="Q3635" s="14">
        <v>0.1666</v>
      </c>
      <c r="R3635" s="143">
        <v>1000021207</v>
      </c>
      <c r="S3635" s="47"/>
      <c r="T3635" s="6">
        <v>14781</v>
      </c>
      <c r="U3635" s="6"/>
      <c r="V3635" s="6">
        <v>0</v>
      </c>
      <c r="W3635" s="6">
        <f t="shared" si="566"/>
        <v>14781</v>
      </c>
      <c r="X3635" s="6">
        <f t="shared" si="567"/>
        <v>0</v>
      </c>
      <c r="Y3635" s="13">
        <f t="shared" si="559"/>
        <v>0</v>
      </c>
      <c r="Z3635" s="14">
        <v>0</v>
      </c>
      <c r="AA3635" s="6">
        <v>0</v>
      </c>
      <c r="AB3635" s="4"/>
      <c r="AC3635" s="4">
        <f t="shared" si="562"/>
        <v>0</v>
      </c>
      <c r="AD3635" s="6">
        <f t="shared" si="564"/>
        <v>0</v>
      </c>
      <c r="AE3635" s="2">
        <f>VLOOKUP(I3635,[1]媒体政策预估表!A:N,MATCH(O3635,[1]媒体政策预估表!$A$2:$M$2,0),0)</f>
        <v>0.12</v>
      </c>
      <c r="AF3635" s="6">
        <f t="shared" si="563"/>
        <v>0</v>
      </c>
      <c r="AG3635" s="14">
        <v>0</v>
      </c>
      <c r="AH3635" s="64">
        <f t="shared" si="565"/>
        <v>0</v>
      </c>
      <c r="AI3635" s="47"/>
      <c r="AJ3635" s="126">
        <v>71</v>
      </c>
      <c r="AK3635" s="80">
        <f t="shared" si="561"/>
        <v>0</v>
      </c>
      <c r="AM3635" s="85"/>
    </row>
    <row r="3636" spans="1:39" hidden="1" x14ac:dyDescent="0.3">
      <c r="A3636" s="89" t="s">
        <v>3395</v>
      </c>
      <c r="B3636" s="86" t="s">
        <v>35</v>
      </c>
      <c r="C3636" s="86" t="s">
        <v>36</v>
      </c>
      <c r="D3636" s="86" t="s">
        <v>37</v>
      </c>
      <c r="E3636" s="86" t="s">
        <v>466</v>
      </c>
      <c r="F3636" s="86" t="s">
        <v>466</v>
      </c>
      <c r="G3636" s="86" t="s">
        <v>466</v>
      </c>
      <c r="H3636" s="143">
        <v>62</v>
      </c>
      <c r="I3636" s="86" t="s">
        <v>408</v>
      </c>
      <c r="J3636" s="1" t="s">
        <v>3324</v>
      </c>
      <c r="K3636" s="1" t="s">
        <v>3278</v>
      </c>
      <c r="L3636" s="1" t="s">
        <v>35</v>
      </c>
      <c r="M3636" s="86" t="s">
        <v>468</v>
      </c>
      <c r="N3636" s="86"/>
      <c r="O3636" s="47" t="s">
        <v>45</v>
      </c>
      <c r="P3636" s="47" t="s">
        <v>41</v>
      </c>
      <c r="Q3636" s="14">
        <v>0</v>
      </c>
      <c r="R3636" s="143">
        <v>1000073642</v>
      </c>
      <c r="S3636" s="47"/>
      <c r="T3636" s="6">
        <v>-20000</v>
      </c>
      <c r="U3636" s="6"/>
      <c r="V3636" s="6">
        <v>0</v>
      </c>
      <c r="W3636" s="6">
        <f t="shared" si="566"/>
        <v>-20000</v>
      </c>
      <c r="X3636" s="6">
        <f t="shared" si="567"/>
        <v>0</v>
      </c>
      <c r="Y3636" s="13">
        <f t="shared" si="559"/>
        <v>0</v>
      </c>
      <c r="Z3636" s="14">
        <v>0</v>
      </c>
      <c r="AA3636" s="6">
        <v>0</v>
      </c>
      <c r="AB3636" s="4"/>
      <c r="AC3636" s="4">
        <f t="shared" si="562"/>
        <v>0</v>
      </c>
      <c r="AD3636" s="6">
        <f t="shared" si="564"/>
        <v>0</v>
      </c>
      <c r="AE3636" s="2">
        <f>VLOOKUP(I3636,[1]媒体政策预估表!A:N,MATCH(O3636,[1]媒体政策预估表!$A$2:$M$2,0),0)</f>
        <v>0.12</v>
      </c>
      <c r="AF3636" s="6">
        <f t="shared" si="563"/>
        <v>0</v>
      </c>
      <c r="AG3636" s="14">
        <v>0</v>
      </c>
      <c r="AH3636" s="64">
        <f t="shared" si="565"/>
        <v>0</v>
      </c>
      <c r="AI3636" s="47"/>
      <c r="AJ3636" s="126">
        <v>96</v>
      </c>
      <c r="AK3636" s="80">
        <f t="shared" si="561"/>
        <v>0</v>
      </c>
      <c r="AM3636" s="85"/>
    </row>
    <row r="3637" spans="1:39" hidden="1" x14ac:dyDescent="0.3">
      <c r="A3637" s="89" t="s">
        <v>3395</v>
      </c>
      <c r="B3637" s="86" t="s">
        <v>35</v>
      </c>
      <c r="C3637" s="86" t="s">
        <v>752</v>
      </c>
      <c r="D3637" s="86" t="s">
        <v>753</v>
      </c>
      <c r="E3637" s="86" t="s">
        <v>754</v>
      </c>
      <c r="F3637" s="86" t="s">
        <v>754</v>
      </c>
      <c r="G3637" s="86" t="s">
        <v>754</v>
      </c>
      <c r="H3637" s="143">
        <v>62</v>
      </c>
      <c r="I3637" s="86" t="s">
        <v>408</v>
      </c>
      <c r="J3637" s="1" t="s">
        <v>3324</v>
      </c>
      <c r="K3637" s="1" t="s">
        <v>3278</v>
      </c>
      <c r="L3637" s="1" t="s">
        <v>35</v>
      </c>
      <c r="M3637" s="86" t="s">
        <v>755</v>
      </c>
      <c r="N3637" s="86"/>
      <c r="O3637" s="47" t="s">
        <v>410</v>
      </c>
      <c r="P3637" s="47" t="s">
        <v>46</v>
      </c>
      <c r="Q3637" s="14">
        <v>0.13</v>
      </c>
      <c r="R3637" s="143">
        <v>1000007261</v>
      </c>
      <c r="S3637" s="47"/>
      <c r="T3637" s="6">
        <v>14240.56</v>
      </c>
      <c r="U3637" s="6"/>
      <c r="V3637" s="6">
        <v>0</v>
      </c>
      <c r="W3637" s="6">
        <f t="shared" si="566"/>
        <v>14240.56</v>
      </c>
      <c r="X3637" s="6">
        <f t="shared" si="567"/>
        <v>0</v>
      </c>
      <c r="Y3637" s="13">
        <f t="shared" si="559"/>
        <v>0</v>
      </c>
      <c r="Z3637" s="14">
        <v>0</v>
      </c>
      <c r="AA3637" s="6">
        <v>0</v>
      </c>
      <c r="AB3637" s="4">
        <f t="shared" si="560"/>
        <v>0</v>
      </c>
      <c r="AC3637" s="4">
        <f t="shared" si="562"/>
        <v>0</v>
      </c>
      <c r="AD3637" s="6">
        <f t="shared" si="564"/>
        <v>0</v>
      </c>
      <c r="AE3637" s="2">
        <f>VLOOKUP(I3637,[1]媒体政策预估表!A:N,MATCH(O3637,[1]媒体政策预估表!$A$2:$M$2,0),0)</f>
        <v>7.0000000000000007E-2</v>
      </c>
      <c r="AF3637" s="6">
        <f t="shared" si="563"/>
        <v>0</v>
      </c>
      <c r="AG3637" s="14">
        <v>0</v>
      </c>
      <c r="AH3637" s="64">
        <f t="shared" si="565"/>
        <v>0</v>
      </c>
      <c r="AI3637" s="47"/>
      <c r="AJ3637" s="126" t="e">
        <v>#N/A</v>
      </c>
      <c r="AK3637" s="80">
        <f t="shared" si="561"/>
        <v>0</v>
      </c>
      <c r="AM3637" s="85"/>
    </row>
    <row r="3638" spans="1:39" hidden="1" x14ac:dyDescent="0.3">
      <c r="A3638" s="89" t="s">
        <v>3395</v>
      </c>
      <c r="B3638" s="86" t="s">
        <v>35</v>
      </c>
      <c r="C3638" s="86" t="s">
        <v>59</v>
      </c>
      <c r="D3638" s="86" t="s">
        <v>60</v>
      </c>
      <c r="E3638" s="86" t="s">
        <v>756</v>
      </c>
      <c r="F3638" s="86" t="s">
        <v>757</v>
      </c>
      <c r="G3638" s="86" t="s">
        <v>758</v>
      </c>
      <c r="H3638" s="143">
        <v>62</v>
      </c>
      <c r="I3638" s="86" t="s">
        <v>408</v>
      </c>
      <c r="J3638" s="1" t="s">
        <v>3324</v>
      </c>
      <c r="K3638" s="1" t="s">
        <v>3278</v>
      </c>
      <c r="L3638" s="1" t="s">
        <v>35</v>
      </c>
      <c r="M3638" s="86" t="s">
        <v>759</v>
      </c>
      <c r="N3638" s="86"/>
      <c r="O3638" s="47" t="s">
        <v>410</v>
      </c>
      <c r="P3638" s="47" t="s">
        <v>92</v>
      </c>
      <c r="Q3638" s="14">
        <v>0.94</v>
      </c>
      <c r="R3638" s="143">
        <v>1000013008</v>
      </c>
      <c r="S3638" s="47"/>
      <c r="T3638" s="6">
        <v>11576.1</v>
      </c>
      <c r="U3638" s="6"/>
      <c r="V3638" s="6">
        <v>0</v>
      </c>
      <c r="W3638" s="6">
        <f t="shared" si="566"/>
        <v>11576.1</v>
      </c>
      <c r="X3638" s="6">
        <f t="shared" si="567"/>
        <v>0</v>
      </c>
      <c r="Y3638" s="13">
        <f t="shared" si="559"/>
        <v>0</v>
      </c>
      <c r="Z3638" s="14">
        <v>0</v>
      </c>
      <c r="AA3638" s="6">
        <v>0</v>
      </c>
      <c r="AB3638" s="4">
        <f t="shared" si="560"/>
        <v>0</v>
      </c>
      <c r="AC3638" s="4">
        <f t="shared" si="562"/>
        <v>0</v>
      </c>
      <c r="AD3638" s="6">
        <f t="shared" si="564"/>
        <v>0</v>
      </c>
      <c r="AE3638" s="2">
        <f>VLOOKUP(I3638,[1]媒体政策预估表!A:N,MATCH(O3638,[1]媒体政策预估表!$A$2:$M$2,0),0)</f>
        <v>7.0000000000000007E-2</v>
      </c>
      <c r="AF3638" s="6">
        <f t="shared" si="563"/>
        <v>0</v>
      </c>
      <c r="AG3638" s="14">
        <v>0</v>
      </c>
      <c r="AH3638" s="64">
        <f t="shared" si="565"/>
        <v>0</v>
      </c>
      <c r="AI3638" s="47"/>
      <c r="AJ3638" s="126" t="e">
        <v>#N/A</v>
      </c>
      <c r="AK3638" s="80">
        <f t="shared" si="561"/>
        <v>0</v>
      </c>
      <c r="AM3638" s="85"/>
    </row>
    <row r="3639" spans="1:39" hidden="1" x14ac:dyDescent="0.3">
      <c r="A3639" s="89" t="s">
        <v>3396</v>
      </c>
      <c r="B3639" s="86" t="s">
        <v>35</v>
      </c>
      <c r="C3639" s="86" t="s">
        <v>59</v>
      </c>
      <c r="D3639" s="86" t="s">
        <v>60</v>
      </c>
      <c r="E3639" s="86" t="s">
        <v>760</v>
      </c>
      <c r="F3639" s="86" t="s">
        <v>760</v>
      </c>
      <c r="G3639" s="86" t="s">
        <v>760</v>
      </c>
      <c r="H3639" s="143">
        <v>62</v>
      </c>
      <c r="I3639" s="86" t="s">
        <v>408</v>
      </c>
      <c r="J3639" s="1" t="s">
        <v>3324</v>
      </c>
      <c r="K3639" s="1" t="s">
        <v>3278</v>
      </c>
      <c r="L3639" s="1" t="s">
        <v>35</v>
      </c>
      <c r="M3639" s="86" t="s">
        <v>761</v>
      </c>
      <c r="N3639" s="86"/>
      <c r="O3639" s="47" t="s">
        <v>45</v>
      </c>
      <c r="P3639" s="47" t="s">
        <v>46</v>
      </c>
      <c r="Q3639" s="14">
        <v>0.1</v>
      </c>
      <c r="R3639" s="143">
        <v>1000051027</v>
      </c>
      <c r="S3639" s="47"/>
      <c r="T3639" s="6">
        <v>3153.85</v>
      </c>
      <c r="U3639" s="6"/>
      <c r="V3639" s="6">
        <v>0</v>
      </c>
      <c r="W3639" s="6">
        <f t="shared" si="566"/>
        <v>3153.85</v>
      </c>
      <c r="X3639" s="6">
        <f t="shared" si="567"/>
        <v>0</v>
      </c>
      <c r="Y3639" s="13">
        <f t="shared" si="559"/>
        <v>0</v>
      </c>
      <c r="Z3639" s="14">
        <v>0</v>
      </c>
      <c r="AA3639" s="6">
        <v>0</v>
      </c>
      <c r="AB3639" s="4">
        <f t="shared" si="560"/>
        <v>0</v>
      </c>
      <c r="AC3639" s="4">
        <f t="shared" si="562"/>
        <v>0</v>
      </c>
      <c r="AD3639" s="6">
        <f t="shared" si="564"/>
        <v>0</v>
      </c>
      <c r="AE3639" s="2">
        <f>VLOOKUP(I3639,[1]媒体政策预估表!A:N,MATCH(O3639,[1]媒体政策预估表!$A$2:$M$2,0),0)</f>
        <v>0.12</v>
      </c>
      <c r="AF3639" s="6">
        <f t="shared" si="563"/>
        <v>0</v>
      </c>
      <c r="AG3639" s="14">
        <v>0</v>
      </c>
      <c r="AH3639" s="64">
        <f t="shared" si="565"/>
        <v>0</v>
      </c>
      <c r="AI3639" s="47"/>
      <c r="AJ3639" s="126" t="e">
        <v>#N/A</v>
      </c>
      <c r="AK3639" s="80">
        <f t="shared" si="561"/>
        <v>0</v>
      </c>
      <c r="AM3639" s="85"/>
    </row>
    <row r="3640" spans="1:39" hidden="1" x14ac:dyDescent="0.3">
      <c r="A3640" s="89" t="s">
        <v>3395</v>
      </c>
      <c r="B3640" s="86" t="s">
        <v>35</v>
      </c>
      <c r="C3640" s="86" t="s">
        <v>59</v>
      </c>
      <c r="D3640" s="86" t="s">
        <v>60</v>
      </c>
      <c r="E3640" s="86" t="s">
        <v>762</v>
      </c>
      <c r="F3640" s="86" t="s">
        <v>762</v>
      </c>
      <c r="G3640" s="86" t="s">
        <v>762</v>
      </c>
      <c r="H3640" s="143">
        <v>62</v>
      </c>
      <c r="I3640" s="86" t="s">
        <v>408</v>
      </c>
      <c r="J3640" s="1" t="s">
        <v>3324</v>
      </c>
      <c r="K3640" s="1" t="s">
        <v>3278</v>
      </c>
      <c r="L3640" s="1" t="s">
        <v>35</v>
      </c>
      <c r="M3640" s="86" t="s">
        <v>763</v>
      </c>
      <c r="N3640" s="86"/>
      <c r="O3640" s="47" t="s">
        <v>45</v>
      </c>
      <c r="P3640" s="47" t="s">
        <v>46</v>
      </c>
      <c r="Q3640" s="14">
        <v>0.1</v>
      </c>
      <c r="R3640" s="143">
        <v>1000030862</v>
      </c>
      <c r="S3640" s="47"/>
      <c r="T3640" s="6">
        <v>0.17</v>
      </c>
      <c r="U3640" s="6"/>
      <c r="V3640" s="6">
        <v>0</v>
      </c>
      <c r="W3640" s="6">
        <f t="shared" si="566"/>
        <v>0.17</v>
      </c>
      <c r="X3640" s="6">
        <f t="shared" si="567"/>
        <v>0</v>
      </c>
      <c r="Y3640" s="13">
        <f t="shared" si="559"/>
        <v>0</v>
      </c>
      <c r="Z3640" s="14">
        <v>0</v>
      </c>
      <c r="AA3640" s="6">
        <v>0</v>
      </c>
      <c r="AB3640" s="4">
        <f t="shared" si="560"/>
        <v>0</v>
      </c>
      <c r="AC3640" s="4">
        <f t="shared" si="562"/>
        <v>0</v>
      </c>
      <c r="AD3640" s="6">
        <f t="shared" si="564"/>
        <v>0</v>
      </c>
      <c r="AE3640" s="2">
        <f>VLOOKUP(I3640,[1]媒体政策预估表!A:N,MATCH(O3640,[1]媒体政策预估表!$A$2:$M$2,0),0)</f>
        <v>0.12</v>
      </c>
      <c r="AF3640" s="6">
        <f t="shared" si="563"/>
        <v>0</v>
      </c>
      <c r="AG3640" s="14">
        <v>0</v>
      </c>
      <c r="AH3640" s="64">
        <f t="shared" si="565"/>
        <v>0</v>
      </c>
      <c r="AI3640" s="47"/>
      <c r="AJ3640" s="126" t="e">
        <v>#N/A</v>
      </c>
      <c r="AK3640" s="80">
        <f t="shared" si="561"/>
        <v>0</v>
      </c>
      <c r="AM3640" s="85"/>
    </row>
    <row r="3641" spans="1:39" hidden="1" x14ac:dyDescent="0.3">
      <c r="A3641" s="89" t="s">
        <v>3395</v>
      </c>
      <c r="B3641" s="86" t="s">
        <v>35</v>
      </c>
      <c r="C3641" s="86" t="s">
        <v>59</v>
      </c>
      <c r="D3641" s="86" t="s">
        <v>60</v>
      </c>
      <c r="E3641" s="86" t="s">
        <v>762</v>
      </c>
      <c r="F3641" s="86" t="s">
        <v>762</v>
      </c>
      <c r="G3641" s="86" t="s">
        <v>762</v>
      </c>
      <c r="H3641" s="143">
        <v>62</v>
      </c>
      <c r="I3641" s="86" t="s">
        <v>408</v>
      </c>
      <c r="J3641" s="1" t="s">
        <v>3324</v>
      </c>
      <c r="K3641" s="1" t="s">
        <v>3278</v>
      </c>
      <c r="L3641" s="1" t="s">
        <v>35</v>
      </c>
      <c r="M3641" s="86" t="s">
        <v>764</v>
      </c>
      <c r="N3641" s="86"/>
      <c r="O3641" s="47" t="s">
        <v>45</v>
      </c>
      <c r="P3641" s="47" t="s">
        <v>46</v>
      </c>
      <c r="Q3641" s="14">
        <v>0.1</v>
      </c>
      <c r="R3641" s="143">
        <v>1000029572</v>
      </c>
      <c r="S3641" s="47"/>
      <c r="T3641" s="6">
        <v>0.97</v>
      </c>
      <c r="U3641" s="6"/>
      <c r="V3641" s="6">
        <v>0</v>
      </c>
      <c r="W3641" s="6">
        <f t="shared" si="566"/>
        <v>0.97</v>
      </c>
      <c r="X3641" s="6">
        <f t="shared" si="567"/>
        <v>0</v>
      </c>
      <c r="Y3641" s="13">
        <f t="shared" si="559"/>
        <v>0</v>
      </c>
      <c r="Z3641" s="14">
        <v>0</v>
      </c>
      <c r="AA3641" s="6">
        <v>0</v>
      </c>
      <c r="AB3641" s="4">
        <f t="shared" si="560"/>
        <v>0</v>
      </c>
      <c r="AC3641" s="4">
        <f t="shared" si="562"/>
        <v>0</v>
      </c>
      <c r="AD3641" s="6">
        <f t="shared" si="564"/>
        <v>0</v>
      </c>
      <c r="AE3641" s="2">
        <f>VLOOKUP(I3641,[1]媒体政策预估表!A:N,MATCH(O3641,[1]媒体政策预估表!$A$2:$M$2,0),0)</f>
        <v>0.12</v>
      </c>
      <c r="AF3641" s="6">
        <f t="shared" si="563"/>
        <v>0</v>
      </c>
      <c r="AG3641" s="14">
        <v>0</v>
      </c>
      <c r="AH3641" s="64">
        <f t="shared" si="565"/>
        <v>0</v>
      </c>
      <c r="AI3641" s="47"/>
      <c r="AJ3641" s="126" t="e">
        <v>#N/A</v>
      </c>
      <c r="AK3641" s="80">
        <f t="shared" si="561"/>
        <v>0</v>
      </c>
      <c r="AM3641" s="85"/>
    </row>
    <row r="3642" spans="1:39" hidden="1" x14ac:dyDescent="0.3">
      <c r="A3642" s="89" t="s">
        <v>3395</v>
      </c>
      <c r="B3642" s="86" t="s">
        <v>35</v>
      </c>
      <c r="C3642" s="86" t="s">
        <v>59</v>
      </c>
      <c r="D3642" s="86" t="s">
        <v>60</v>
      </c>
      <c r="E3642" s="86" t="s">
        <v>765</v>
      </c>
      <c r="F3642" s="86" t="s">
        <v>766</v>
      </c>
      <c r="G3642" s="86" t="s">
        <v>765</v>
      </c>
      <c r="H3642" s="143">
        <v>62</v>
      </c>
      <c r="I3642" s="86" t="s">
        <v>408</v>
      </c>
      <c r="J3642" s="1" t="s">
        <v>3324</v>
      </c>
      <c r="K3642" s="1" t="s">
        <v>3278</v>
      </c>
      <c r="L3642" s="1" t="s">
        <v>35</v>
      </c>
      <c r="M3642" s="86" t="s">
        <v>767</v>
      </c>
      <c r="N3642" s="86"/>
      <c r="O3642" s="47" t="s">
        <v>410</v>
      </c>
      <c r="P3642" s="47" t="s">
        <v>46</v>
      </c>
      <c r="Q3642" s="14">
        <v>0.02</v>
      </c>
      <c r="R3642" s="143">
        <v>1000012584</v>
      </c>
      <c r="S3642" s="47"/>
      <c r="T3642" s="6">
        <v>18046</v>
      </c>
      <c r="U3642" s="6"/>
      <c r="V3642" s="6">
        <v>0</v>
      </c>
      <c r="W3642" s="6">
        <f t="shared" si="566"/>
        <v>18046</v>
      </c>
      <c r="X3642" s="6">
        <f t="shared" si="567"/>
        <v>0</v>
      </c>
      <c r="Y3642" s="13">
        <f t="shared" si="559"/>
        <v>0</v>
      </c>
      <c r="Z3642" s="14">
        <v>0</v>
      </c>
      <c r="AA3642" s="6">
        <v>0</v>
      </c>
      <c r="AB3642" s="4">
        <f t="shared" si="560"/>
        <v>0</v>
      </c>
      <c r="AC3642" s="4">
        <f t="shared" si="562"/>
        <v>0</v>
      </c>
      <c r="AD3642" s="6">
        <f t="shared" si="564"/>
        <v>0</v>
      </c>
      <c r="AE3642" s="2">
        <f>VLOOKUP(I3642,[1]媒体政策预估表!A:N,MATCH(O3642,[1]媒体政策预估表!$A$2:$M$2,0),0)</f>
        <v>7.0000000000000007E-2</v>
      </c>
      <c r="AF3642" s="6">
        <f t="shared" si="563"/>
        <v>0</v>
      </c>
      <c r="AG3642" s="14">
        <v>0</v>
      </c>
      <c r="AH3642" s="64">
        <f t="shared" si="565"/>
        <v>0</v>
      </c>
      <c r="AI3642" s="47"/>
      <c r="AJ3642" s="126" t="e">
        <v>#N/A</v>
      </c>
      <c r="AK3642" s="80">
        <f t="shared" si="561"/>
        <v>0</v>
      </c>
      <c r="AM3642" s="85"/>
    </row>
    <row r="3643" spans="1:39" hidden="1" x14ac:dyDescent="0.3">
      <c r="A3643" s="89" t="s">
        <v>3395</v>
      </c>
      <c r="B3643" s="86" t="s">
        <v>35</v>
      </c>
      <c r="C3643" s="86" t="s">
        <v>59</v>
      </c>
      <c r="D3643" s="86" t="s">
        <v>60</v>
      </c>
      <c r="E3643" s="86" t="s">
        <v>765</v>
      </c>
      <c r="F3643" s="86" t="s">
        <v>766</v>
      </c>
      <c r="G3643" s="86" t="s">
        <v>765</v>
      </c>
      <c r="H3643" s="143">
        <v>62</v>
      </c>
      <c r="I3643" s="86" t="s">
        <v>408</v>
      </c>
      <c r="J3643" s="1" t="s">
        <v>3324</v>
      </c>
      <c r="K3643" s="1" t="s">
        <v>3278</v>
      </c>
      <c r="L3643" s="1" t="s">
        <v>35</v>
      </c>
      <c r="M3643" s="86" t="s">
        <v>768</v>
      </c>
      <c r="N3643" s="86"/>
      <c r="O3643" s="47" t="s">
        <v>45</v>
      </c>
      <c r="P3643" s="47" t="s">
        <v>46</v>
      </c>
      <c r="Q3643" s="14">
        <v>0.04</v>
      </c>
      <c r="R3643" s="143">
        <v>1000012815</v>
      </c>
      <c r="S3643" s="47"/>
      <c r="T3643" s="6">
        <v>19672.349999999999</v>
      </c>
      <c r="U3643" s="6"/>
      <c r="V3643" s="6">
        <v>0</v>
      </c>
      <c r="W3643" s="6">
        <f t="shared" si="566"/>
        <v>19672.349999999999</v>
      </c>
      <c r="X3643" s="6">
        <f t="shared" si="567"/>
        <v>0</v>
      </c>
      <c r="Y3643" s="13">
        <f t="shared" si="559"/>
        <v>0</v>
      </c>
      <c r="Z3643" s="14">
        <v>0</v>
      </c>
      <c r="AA3643" s="6">
        <v>0</v>
      </c>
      <c r="AB3643" s="4">
        <f t="shared" si="560"/>
        <v>0</v>
      </c>
      <c r="AC3643" s="4">
        <f t="shared" si="562"/>
        <v>0</v>
      </c>
      <c r="AD3643" s="6">
        <f t="shared" si="564"/>
        <v>0</v>
      </c>
      <c r="AE3643" s="2">
        <f>VLOOKUP(I3643,[1]媒体政策预估表!A:N,MATCH(O3643,[1]媒体政策预估表!$A$2:$M$2,0),0)</f>
        <v>0.12</v>
      </c>
      <c r="AF3643" s="6">
        <f t="shared" si="563"/>
        <v>0</v>
      </c>
      <c r="AG3643" s="14">
        <v>0</v>
      </c>
      <c r="AH3643" s="64">
        <f t="shared" si="565"/>
        <v>0</v>
      </c>
      <c r="AI3643" s="47"/>
      <c r="AJ3643" s="126" t="e">
        <v>#N/A</v>
      </c>
      <c r="AK3643" s="80">
        <f t="shared" si="561"/>
        <v>0</v>
      </c>
      <c r="AM3643" s="85"/>
    </row>
    <row r="3644" spans="1:39" hidden="1" x14ac:dyDescent="0.3">
      <c r="A3644" s="89" t="s">
        <v>3395</v>
      </c>
      <c r="B3644" s="86" t="s">
        <v>35</v>
      </c>
      <c r="C3644" s="86" t="s">
        <v>59</v>
      </c>
      <c r="D3644" s="86" t="s">
        <v>60</v>
      </c>
      <c r="E3644" s="86" t="s">
        <v>765</v>
      </c>
      <c r="F3644" s="86" t="s">
        <v>766</v>
      </c>
      <c r="G3644" s="86" t="s">
        <v>765</v>
      </c>
      <c r="H3644" s="143">
        <v>62</v>
      </c>
      <c r="I3644" s="86" t="s">
        <v>408</v>
      </c>
      <c r="J3644" s="1" t="s">
        <v>3324</v>
      </c>
      <c r="K3644" s="1" t="s">
        <v>3278</v>
      </c>
      <c r="L3644" s="1" t="s">
        <v>35</v>
      </c>
      <c r="M3644" s="86" t="s">
        <v>769</v>
      </c>
      <c r="N3644" s="86"/>
      <c r="O3644" s="47" t="s">
        <v>410</v>
      </c>
      <c r="P3644" s="47" t="s">
        <v>46</v>
      </c>
      <c r="Q3644" s="14">
        <v>0.06</v>
      </c>
      <c r="R3644" s="143">
        <v>1000022327</v>
      </c>
      <c r="S3644" s="47"/>
      <c r="T3644" s="6">
        <v>6422</v>
      </c>
      <c r="U3644" s="6"/>
      <c r="V3644" s="6">
        <v>0</v>
      </c>
      <c r="W3644" s="6">
        <f t="shared" si="566"/>
        <v>6422</v>
      </c>
      <c r="X3644" s="6">
        <f t="shared" si="567"/>
        <v>0</v>
      </c>
      <c r="Y3644" s="13">
        <f t="shared" si="559"/>
        <v>0</v>
      </c>
      <c r="Z3644" s="14">
        <v>0</v>
      </c>
      <c r="AA3644" s="6">
        <v>0</v>
      </c>
      <c r="AB3644" s="4">
        <f t="shared" si="560"/>
        <v>0</v>
      </c>
      <c r="AC3644" s="4">
        <f t="shared" si="562"/>
        <v>0</v>
      </c>
      <c r="AD3644" s="6">
        <f t="shared" si="564"/>
        <v>0</v>
      </c>
      <c r="AE3644" s="2">
        <f>VLOOKUP(I3644,[1]媒体政策预估表!A:N,MATCH(O3644,[1]媒体政策预估表!$A$2:$M$2,0),0)</f>
        <v>7.0000000000000007E-2</v>
      </c>
      <c r="AF3644" s="6">
        <f t="shared" si="563"/>
        <v>0</v>
      </c>
      <c r="AG3644" s="14">
        <v>0</v>
      </c>
      <c r="AH3644" s="64">
        <f t="shared" si="565"/>
        <v>0</v>
      </c>
      <c r="AI3644" s="47"/>
      <c r="AJ3644" s="126" t="e">
        <v>#N/A</v>
      </c>
      <c r="AK3644" s="80">
        <f t="shared" si="561"/>
        <v>0</v>
      </c>
      <c r="AM3644" s="85"/>
    </row>
    <row r="3645" spans="1:39" hidden="1" x14ac:dyDescent="0.3">
      <c r="A3645" s="89" t="s">
        <v>3395</v>
      </c>
      <c r="B3645" s="86" t="s">
        <v>35</v>
      </c>
      <c r="C3645" s="86" t="s">
        <v>59</v>
      </c>
      <c r="D3645" s="86" t="s">
        <v>60</v>
      </c>
      <c r="E3645" s="86" t="s">
        <v>765</v>
      </c>
      <c r="F3645" s="86" t="s">
        <v>766</v>
      </c>
      <c r="G3645" s="86" t="s">
        <v>765</v>
      </c>
      <c r="H3645" s="143">
        <v>62</v>
      </c>
      <c r="I3645" s="86" t="s">
        <v>408</v>
      </c>
      <c r="J3645" s="1" t="s">
        <v>3324</v>
      </c>
      <c r="K3645" s="1" t="s">
        <v>3278</v>
      </c>
      <c r="L3645" s="1" t="s">
        <v>35</v>
      </c>
      <c r="M3645" s="86" t="s">
        <v>770</v>
      </c>
      <c r="N3645" s="86"/>
      <c r="O3645" s="47" t="s">
        <v>410</v>
      </c>
      <c r="P3645" s="47" t="s">
        <v>46</v>
      </c>
      <c r="Q3645" s="14">
        <v>0.06</v>
      </c>
      <c r="R3645" s="143">
        <v>1000020386</v>
      </c>
      <c r="S3645" s="47"/>
      <c r="T3645" s="6">
        <v>971.2</v>
      </c>
      <c r="U3645" s="6"/>
      <c r="V3645" s="6">
        <v>0</v>
      </c>
      <c r="W3645" s="6">
        <f t="shared" si="566"/>
        <v>971.2</v>
      </c>
      <c r="X3645" s="6">
        <f t="shared" si="567"/>
        <v>0</v>
      </c>
      <c r="Y3645" s="13">
        <f t="shared" si="559"/>
        <v>0</v>
      </c>
      <c r="Z3645" s="14">
        <v>0</v>
      </c>
      <c r="AA3645" s="6">
        <v>0</v>
      </c>
      <c r="AB3645" s="4">
        <f t="shared" si="560"/>
        <v>0</v>
      </c>
      <c r="AC3645" s="4">
        <f t="shared" si="562"/>
        <v>0</v>
      </c>
      <c r="AD3645" s="6">
        <f t="shared" si="564"/>
        <v>0</v>
      </c>
      <c r="AE3645" s="2">
        <f>VLOOKUP(I3645,[1]媒体政策预估表!A:N,MATCH(O3645,[1]媒体政策预估表!$A$2:$M$2,0),0)</f>
        <v>7.0000000000000007E-2</v>
      </c>
      <c r="AF3645" s="6">
        <f t="shared" si="563"/>
        <v>0</v>
      </c>
      <c r="AG3645" s="14">
        <v>0</v>
      </c>
      <c r="AH3645" s="64">
        <f t="shared" si="565"/>
        <v>0</v>
      </c>
      <c r="AI3645" s="47"/>
      <c r="AJ3645" s="126" t="e">
        <v>#N/A</v>
      </c>
      <c r="AK3645" s="80">
        <f t="shared" si="561"/>
        <v>0</v>
      </c>
      <c r="AM3645" s="85"/>
    </row>
    <row r="3646" spans="1:39" hidden="1" x14ac:dyDescent="0.3">
      <c r="A3646" s="89" t="s">
        <v>3395</v>
      </c>
      <c r="B3646" s="86" t="s">
        <v>35</v>
      </c>
      <c r="C3646" s="86" t="s">
        <v>59</v>
      </c>
      <c r="D3646" s="86" t="s">
        <v>60</v>
      </c>
      <c r="E3646" s="86" t="s">
        <v>765</v>
      </c>
      <c r="F3646" s="86" t="s">
        <v>766</v>
      </c>
      <c r="G3646" s="86" t="s">
        <v>765</v>
      </c>
      <c r="H3646" s="143">
        <v>62</v>
      </c>
      <c r="I3646" s="86" t="s">
        <v>408</v>
      </c>
      <c r="J3646" s="1" t="s">
        <v>3324</v>
      </c>
      <c r="K3646" s="1" t="s">
        <v>3278</v>
      </c>
      <c r="L3646" s="1" t="s">
        <v>35</v>
      </c>
      <c r="M3646" s="86" t="s">
        <v>771</v>
      </c>
      <c r="N3646" s="86"/>
      <c r="O3646" s="47" t="s">
        <v>410</v>
      </c>
      <c r="P3646" s="47" t="s">
        <v>46</v>
      </c>
      <c r="Q3646" s="14">
        <v>0.02</v>
      </c>
      <c r="R3646" s="143">
        <v>1000020963</v>
      </c>
      <c r="S3646" s="47"/>
      <c r="T3646" s="6">
        <v>15309.18</v>
      </c>
      <c r="U3646" s="6"/>
      <c r="V3646" s="6">
        <v>0</v>
      </c>
      <c r="W3646" s="6">
        <f t="shared" si="566"/>
        <v>15309.18</v>
      </c>
      <c r="X3646" s="6">
        <f t="shared" si="567"/>
        <v>0</v>
      </c>
      <c r="Y3646" s="13">
        <f t="shared" si="559"/>
        <v>0</v>
      </c>
      <c r="Z3646" s="14">
        <v>0</v>
      </c>
      <c r="AA3646" s="6">
        <v>0</v>
      </c>
      <c r="AB3646" s="4">
        <f t="shared" si="560"/>
        <v>0</v>
      </c>
      <c r="AC3646" s="4">
        <f t="shared" si="562"/>
        <v>0</v>
      </c>
      <c r="AD3646" s="6">
        <f t="shared" si="564"/>
        <v>0</v>
      </c>
      <c r="AE3646" s="2">
        <f>VLOOKUP(I3646,[1]媒体政策预估表!A:N,MATCH(O3646,[1]媒体政策预估表!$A$2:$M$2,0),0)</f>
        <v>7.0000000000000007E-2</v>
      </c>
      <c r="AF3646" s="6">
        <f t="shared" si="563"/>
        <v>0</v>
      </c>
      <c r="AG3646" s="14">
        <v>0</v>
      </c>
      <c r="AH3646" s="64">
        <f t="shared" si="565"/>
        <v>0</v>
      </c>
      <c r="AI3646" s="47"/>
      <c r="AJ3646" s="126" t="e">
        <v>#N/A</v>
      </c>
      <c r="AK3646" s="80">
        <f t="shared" si="561"/>
        <v>0</v>
      </c>
      <c r="AM3646" s="85"/>
    </row>
    <row r="3647" spans="1:39" hidden="1" x14ac:dyDescent="0.3">
      <c r="A3647" s="89" t="s">
        <v>3394</v>
      </c>
      <c r="B3647" s="86" t="s">
        <v>35</v>
      </c>
      <c r="C3647" s="86" t="s">
        <v>59</v>
      </c>
      <c r="D3647" s="86" t="s">
        <v>60</v>
      </c>
      <c r="E3647" s="86" t="s">
        <v>765</v>
      </c>
      <c r="F3647" s="86" t="s">
        <v>766</v>
      </c>
      <c r="G3647" s="86" t="s">
        <v>765</v>
      </c>
      <c r="H3647" s="143">
        <v>62</v>
      </c>
      <c r="I3647" s="86" t="s">
        <v>408</v>
      </c>
      <c r="J3647" s="1" t="s">
        <v>3324</v>
      </c>
      <c r="K3647" s="1" t="s">
        <v>3278</v>
      </c>
      <c r="L3647" s="1" t="s">
        <v>35</v>
      </c>
      <c r="M3647" s="86" t="s">
        <v>772</v>
      </c>
      <c r="N3647" s="86"/>
      <c r="O3647" s="47" t="s">
        <v>410</v>
      </c>
      <c r="P3647" s="47" t="s">
        <v>46</v>
      </c>
      <c r="Q3647" s="14">
        <v>0.06</v>
      </c>
      <c r="R3647" s="143">
        <v>1000019854</v>
      </c>
      <c r="S3647" s="47"/>
      <c r="T3647" s="6">
        <v>9705.75</v>
      </c>
      <c r="U3647" s="6"/>
      <c r="V3647" s="6">
        <v>0</v>
      </c>
      <c r="W3647" s="6">
        <f t="shared" si="566"/>
        <v>9705.75</v>
      </c>
      <c r="X3647" s="6">
        <f t="shared" si="567"/>
        <v>0</v>
      </c>
      <c r="Y3647" s="13">
        <f t="shared" si="559"/>
        <v>0</v>
      </c>
      <c r="Z3647" s="14">
        <v>0</v>
      </c>
      <c r="AA3647" s="6">
        <v>0</v>
      </c>
      <c r="AB3647" s="4">
        <f t="shared" si="560"/>
        <v>0</v>
      </c>
      <c r="AC3647" s="4">
        <f t="shared" si="562"/>
        <v>0</v>
      </c>
      <c r="AD3647" s="6">
        <f t="shared" si="564"/>
        <v>0</v>
      </c>
      <c r="AE3647" s="2">
        <f>VLOOKUP(I3647,[1]媒体政策预估表!A:N,MATCH(O3647,[1]媒体政策预估表!$A$2:$M$2,0),0)</f>
        <v>7.0000000000000007E-2</v>
      </c>
      <c r="AF3647" s="6">
        <f t="shared" si="563"/>
        <v>0</v>
      </c>
      <c r="AG3647" s="14">
        <v>0</v>
      </c>
      <c r="AH3647" s="64">
        <f t="shared" si="565"/>
        <v>0</v>
      </c>
      <c r="AI3647" s="47"/>
      <c r="AJ3647" s="126" t="e">
        <v>#N/A</v>
      </c>
      <c r="AK3647" s="80">
        <f t="shared" si="561"/>
        <v>0</v>
      </c>
      <c r="AM3647" s="85"/>
    </row>
    <row r="3648" spans="1:39" hidden="1" x14ac:dyDescent="0.3">
      <c r="A3648" s="89" t="s">
        <v>3395</v>
      </c>
      <c r="B3648" s="86" t="s">
        <v>35</v>
      </c>
      <c r="C3648" s="86" t="s">
        <v>59</v>
      </c>
      <c r="D3648" s="86" t="s">
        <v>60</v>
      </c>
      <c r="E3648" s="86" t="s">
        <v>765</v>
      </c>
      <c r="F3648" s="86" t="s">
        <v>766</v>
      </c>
      <c r="G3648" s="86" t="s">
        <v>765</v>
      </c>
      <c r="H3648" s="143">
        <v>62</v>
      </c>
      <c r="I3648" s="86" t="s">
        <v>408</v>
      </c>
      <c r="J3648" s="1" t="s">
        <v>3324</v>
      </c>
      <c r="K3648" s="1" t="s">
        <v>3278</v>
      </c>
      <c r="L3648" s="1" t="s">
        <v>35</v>
      </c>
      <c r="M3648" s="86" t="s">
        <v>773</v>
      </c>
      <c r="N3648" s="86"/>
      <c r="O3648" s="47" t="s">
        <v>410</v>
      </c>
      <c r="P3648" s="47" t="s">
        <v>46</v>
      </c>
      <c r="Q3648" s="14">
        <v>0.06</v>
      </c>
      <c r="R3648" s="143">
        <v>1000025834</v>
      </c>
      <c r="S3648" s="47"/>
      <c r="T3648" s="6">
        <v>36787.019999999997</v>
      </c>
      <c r="U3648" s="6"/>
      <c r="V3648" s="6">
        <v>0</v>
      </c>
      <c r="W3648" s="6">
        <f t="shared" si="566"/>
        <v>36787.019999999997</v>
      </c>
      <c r="X3648" s="6">
        <f t="shared" si="567"/>
        <v>0</v>
      </c>
      <c r="Y3648" s="13">
        <f t="shared" si="559"/>
        <v>0</v>
      </c>
      <c r="Z3648" s="14">
        <v>0</v>
      </c>
      <c r="AA3648" s="6">
        <v>0</v>
      </c>
      <c r="AB3648" s="4">
        <f t="shared" si="560"/>
        <v>0</v>
      </c>
      <c r="AC3648" s="4">
        <f t="shared" si="562"/>
        <v>0</v>
      </c>
      <c r="AD3648" s="6">
        <f t="shared" si="564"/>
        <v>0</v>
      </c>
      <c r="AE3648" s="2">
        <f>VLOOKUP(I3648,[1]媒体政策预估表!A:N,MATCH(O3648,[1]媒体政策预估表!$A$2:$M$2,0),0)</f>
        <v>7.0000000000000007E-2</v>
      </c>
      <c r="AF3648" s="6">
        <f t="shared" si="563"/>
        <v>0</v>
      </c>
      <c r="AG3648" s="14">
        <v>0</v>
      </c>
      <c r="AH3648" s="64">
        <f t="shared" si="565"/>
        <v>0</v>
      </c>
      <c r="AI3648" s="47"/>
      <c r="AJ3648" s="126" t="e">
        <v>#N/A</v>
      </c>
      <c r="AK3648" s="80">
        <f t="shared" si="561"/>
        <v>0</v>
      </c>
      <c r="AM3648" s="85"/>
    </row>
    <row r="3649" spans="1:39" hidden="1" x14ac:dyDescent="0.3">
      <c r="A3649" s="89" t="s">
        <v>3395</v>
      </c>
      <c r="B3649" s="86" t="s">
        <v>35</v>
      </c>
      <c r="C3649" s="86" t="s">
        <v>59</v>
      </c>
      <c r="D3649" s="86" t="s">
        <v>60</v>
      </c>
      <c r="E3649" s="86" t="s">
        <v>774</v>
      </c>
      <c r="F3649" s="86" t="s">
        <v>774</v>
      </c>
      <c r="G3649" s="86" t="s">
        <v>774</v>
      </c>
      <c r="H3649" s="143">
        <v>62</v>
      </c>
      <c r="I3649" s="86" t="s">
        <v>408</v>
      </c>
      <c r="J3649" s="1" t="s">
        <v>3324</v>
      </c>
      <c r="K3649" s="1" t="s">
        <v>3278</v>
      </c>
      <c r="L3649" s="1" t="s">
        <v>35</v>
      </c>
      <c r="M3649" s="86" t="s">
        <v>775</v>
      </c>
      <c r="N3649" s="86"/>
      <c r="O3649" s="47" t="s">
        <v>410</v>
      </c>
      <c r="P3649" s="47" t="s">
        <v>46</v>
      </c>
      <c r="Q3649" s="14">
        <v>7.0000000000000007E-2</v>
      </c>
      <c r="R3649" s="143">
        <v>1000024542</v>
      </c>
      <c r="S3649" s="47"/>
      <c r="T3649" s="6">
        <v>2099.6</v>
      </c>
      <c r="U3649" s="6"/>
      <c r="V3649" s="6">
        <v>0</v>
      </c>
      <c r="W3649" s="6">
        <f t="shared" si="566"/>
        <v>2099.6</v>
      </c>
      <c r="X3649" s="6">
        <f t="shared" si="567"/>
        <v>0</v>
      </c>
      <c r="Y3649" s="13">
        <f t="shared" si="559"/>
        <v>0</v>
      </c>
      <c r="Z3649" s="14">
        <v>0</v>
      </c>
      <c r="AA3649" s="6">
        <v>0</v>
      </c>
      <c r="AB3649" s="4">
        <f t="shared" si="560"/>
        <v>0</v>
      </c>
      <c r="AC3649" s="4">
        <f t="shared" si="562"/>
        <v>0</v>
      </c>
      <c r="AD3649" s="6">
        <f t="shared" si="564"/>
        <v>0</v>
      </c>
      <c r="AE3649" s="2">
        <f>VLOOKUP(I3649,[1]媒体政策预估表!A:N,MATCH(O3649,[1]媒体政策预估表!$A$2:$M$2,0),0)</f>
        <v>7.0000000000000007E-2</v>
      </c>
      <c r="AF3649" s="6">
        <f t="shared" si="563"/>
        <v>0</v>
      </c>
      <c r="AG3649" s="14">
        <v>0</v>
      </c>
      <c r="AH3649" s="64">
        <f t="shared" si="565"/>
        <v>0</v>
      </c>
      <c r="AI3649" s="47"/>
      <c r="AJ3649" s="126" t="e">
        <v>#N/A</v>
      </c>
      <c r="AK3649" s="80">
        <f t="shared" si="561"/>
        <v>0</v>
      </c>
      <c r="AM3649" s="85"/>
    </row>
    <row r="3650" spans="1:39" hidden="1" x14ac:dyDescent="0.3">
      <c r="A3650" s="89" t="s">
        <v>3395</v>
      </c>
      <c r="B3650" s="86" t="s">
        <v>35</v>
      </c>
      <c r="C3650" s="86" t="s">
        <v>59</v>
      </c>
      <c r="D3650" s="86" t="s">
        <v>60</v>
      </c>
      <c r="E3650" s="86" t="s">
        <v>774</v>
      </c>
      <c r="F3650" s="86" t="s">
        <v>774</v>
      </c>
      <c r="G3650" s="86" t="s">
        <v>774</v>
      </c>
      <c r="H3650" s="143">
        <v>62</v>
      </c>
      <c r="I3650" s="86" t="s">
        <v>408</v>
      </c>
      <c r="J3650" s="1" t="s">
        <v>3324</v>
      </c>
      <c r="K3650" s="1" t="s">
        <v>3278</v>
      </c>
      <c r="L3650" s="1" t="s">
        <v>35</v>
      </c>
      <c r="M3650" s="86" t="s">
        <v>776</v>
      </c>
      <c r="N3650" s="86"/>
      <c r="O3650" s="47" t="s">
        <v>410</v>
      </c>
      <c r="P3650" s="47" t="s">
        <v>46</v>
      </c>
      <c r="Q3650" s="14">
        <v>7.0000000000000007E-2</v>
      </c>
      <c r="R3650" s="143">
        <v>1000004394</v>
      </c>
      <c r="S3650" s="47"/>
      <c r="T3650" s="6">
        <v>193.16</v>
      </c>
      <c r="U3650" s="6"/>
      <c r="V3650" s="6">
        <v>0</v>
      </c>
      <c r="W3650" s="6">
        <f t="shared" si="566"/>
        <v>193.16</v>
      </c>
      <c r="X3650" s="6">
        <f t="shared" si="567"/>
        <v>0</v>
      </c>
      <c r="Y3650" s="13">
        <f t="shared" si="559"/>
        <v>0</v>
      </c>
      <c r="Z3650" s="14">
        <v>0</v>
      </c>
      <c r="AA3650" s="6">
        <v>0</v>
      </c>
      <c r="AB3650" s="4">
        <f t="shared" si="560"/>
        <v>0</v>
      </c>
      <c r="AC3650" s="4">
        <f t="shared" si="562"/>
        <v>0</v>
      </c>
      <c r="AD3650" s="6">
        <f t="shared" si="564"/>
        <v>0</v>
      </c>
      <c r="AE3650" s="2">
        <f>VLOOKUP(I3650,[1]媒体政策预估表!A:N,MATCH(O3650,[1]媒体政策预估表!$A$2:$M$2,0),0)</f>
        <v>7.0000000000000007E-2</v>
      </c>
      <c r="AF3650" s="6">
        <f t="shared" si="563"/>
        <v>0</v>
      </c>
      <c r="AG3650" s="14">
        <v>0</v>
      </c>
      <c r="AH3650" s="64">
        <f t="shared" si="565"/>
        <v>0</v>
      </c>
      <c r="AI3650" s="47"/>
      <c r="AJ3650" s="126" t="e">
        <v>#N/A</v>
      </c>
      <c r="AK3650" s="80">
        <f t="shared" si="561"/>
        <v>0</v>
      </c>
      <c r="AM3650" s="85"/>
    </row>
    <row r="3651" spans="1:39" hidden="1" x14ac:dyDescent="0.3">
      <c r="A3651" s="89" t="s">
        <v>3394</v>
      </c>
      <c r="B3651" s="86" t="s">
        <v>35</v>
      </c>
      <c r="C3651" s="86" t="s">
        <v>59</v>
      </c>
      <c r="D3651" s="86" t="s">
        <v>60</v>
      </c>
      <c r="E3651" s="86" t="s">
        <v>774</v>
      </c>
      <c r="F3651" s="86" t="s">
        <v>774</v>
      </c>
      <c r="G3651" s="86" t="s">
        <v>774</v>
      </c>
      <c r="H3651" s="143">
        <v>62</v>
      </c>
      <c r="I3651" s="86" t="s">
        <v>408</v>
      </c>
      <c r="J3651" s="1" t="s">
        <v>3324</v>
      </c>
      <c r="K3651" s="1" t="s">
        <v>3278</v>
      </c>
      <c r="L3651" s="1" t="s">
        <v>35</v>
      </c>
      <c r="M3651" s="86" t="s">
        <v>777</v>
      </c>
      <c r="N3651" s="86"/>
      <c r="O3651" s="47" t="s">
        <v>410</v>
      </c>
      <c r="P3651" s="47" t="s">
        <v>46</v>
      </c>
      <c r="Q3651" s="14">
        <v>7.0000000000000007E-2</v>
      </c>
      <c r="R3651" s="143">
        <v>1000022527</v>
      </c>
      <c r="S3651" s="47"/>
      <c r="T3651" s="6">
        <v>4000.15</v>
      </c>
      <c r="U3651" s="6"/>
      <c r="V3651" s="6">
        <v>0</v>
      </c>
      <c r="W3651" s="6">
        <f t="shared" si="566"/>
        <v>4000.15</v>
      </c>
      <c r="X3651" s="6">
        <f t="shared" si="567"/>
        <v>0</v>
      </c>
      <c r="Y3651" s="13">
        <f t="shared" ref="Y3651:Y3714" si="568">IF(X3651-AD3651&lt;=0,0,IF(P3651="返现",MAX(X3651-AC3651-AD3651,0),MAX(X3651-AD3651)))</f>
        <v>0</v>
      </c>
      <c r="Z3651" s="14">
        <v>0</v>
      </c>
      <c r="AA3651" s="6">
        <v>0</v>
      </c>
      <c r="AB3651" s="4">
        <f t="shared" ref="AB3651:AB3714" si="569">X3651+AA3651</f>
        <v>0</v>
      </c>
      <c r="AC3651" s="4">
        <f t="shared" si="562"/>
        <v>0</v>
      </c>
      <c r="AD3651" s="6">
        <f t="shared" si="564"/>
        <v>0</v>
      </c>
      <c r="AE3651" s="2">
        <f>VLOOKUP(I3651,[1]媒体政策预估表!A:N,MATCH(O3651,[1]媒体政策预估表!$A$2:$M$2,0),0)</f>
        <v>7.0000000000000007E-2</v>
      </c>
      <c r="AF3651" s="6">
        <f t="shared" si="563"/>
        <v>0</v>
      </c>
      <c r="AG3651" s="14">
        <v>0</v>
      </c>
      <c r="AH3651" s="64">
        <f t="shared" si="565"/>
        <v>0</v>
      </c>
      <c r="AI3651" s="47"/>
      <c r="AJ3651" s="126" t="e">
        <v>#N/A</v>
      </c>
      <c r="AK3651" s="80">
        <f t="shared" ref="AK3651:AK3714" si="570">X3651+AA3651-AB3651</f>
        <v>0</v>
      </c>
      <c r="AM3651" s="85"/>
    </row>
    <row r="3652" spans="1:39" hidden="1" x14ac:dyDescent="0.3">
      <c r="A3652" s="89" t="s">
        <v>3397</v>
      </c>
      <c r="B3652" s="86" t="s">
        <v>35</v>
      </c>
      <c r="C3652" s="86" t="s">
        <v>59</v>
      </c>
      <c r="D3652" s="86" t="s">
        <v>60</v>
      </c>
      <c r="E3652" s="86" t="s">
        <v>778</v>
      </c>
      <c r="F3652" s="86" t="s">
        <v>779</v>
      </c>
      <c r="G3652" s="86" t="s">
        <v>778</v>
      </c>
      <c r="H3652" s="143">
        <v>62</v>
      </c>
      <c r="I3652" s="86" t="s">
        <v>408</v>
      </c>
      <c r="J3652" s="1" t="s">
        <v>3324</v>
      </c>
      <c r="K3652" s="1" t="s">
        <v>3278</v>
      </c>
      <c r="L3652" s="1" t="s">
        <v>35</v>
      </c>
      <c r="M3652" s="86" t="s">
        <v>780</v>
      </c>
      <c r="N3652" s="86"/>
      <c r="O3652" s="47" t="s">
        <v>410</v>
      </c>
      <c r="P3652" s="47" t="s">
        <v>46</v>
      </c>
      <c r="Q3652" s="14">
        <v>0.05</v>
      </c>
      <c r="R3652" s="143">
        <v>1000025627</v>
      </c>
      <c r="S3652" s="47"/>
      <c r="T3652" s="6">
        <v>15691</v>
      </c>
      <c r="U3652" s="6"/>
      <c r="V3652" s="6">
        <v>0</v>
      </c>
      <c r="W3652" s="6">
        <f t="shared" si="566"/>
        <v>15691</v>
      </c>
      <c r="X3652" s="6">
        <f t="shared" si="567"/>
        <v>0</v>
      </c>
      <c r="Y3652" s="13">
        <f t="shared" si="568"/>
        <v>0</v>
      </c>
      <c r="Z3652" s="14">
        <v>0</v>
      </c>
      <c r="AA3652" s="6">
        <v>0</v>
      </c>
      <c r="AB3652" s="4">
        <f t="shared" si="569"/>
        <v>0</v>
      </c>
      <c r="AC3652" s="4">
        <f t="shared" si="562"/>
        <v>0</v>
      </c>
      <c r="AD3652" s="6">
        <f t="shared" si="564"/>
        <v>0</v>
      </c>
      <c r="AE3652" s="2">
        <f>VLOOKUP(I3652,[1]媒体政策预估表!A:N,MATCH(O3652,[1]媒体政策预估表!$A$2:$M$2,0),0)</f>
        <v>7.0000000000000007E-2</v>
      </c>
      <c r="AF3652" s="6">
        <f t="shared" si="563"/>
        <v>0</v>
      </c>
      <c r="AG3652" s="14">
        <v>0</v>
      </c>
      <c r="AH3652" s="64">
        <f t="shared" si="565"/>
        <v>0</v>
      </c>
      <c r="AI3652" s="47"/>
      <c r="AJ3652" s="126" t="e">
        <v>#N/A</v>
      </c>
      <c r="AK3652" s="80">
        <f t="shared" si="570"/>
        <v>0</v>
      </c>
      <c r="AM3652" s="85"/>
    </row>
    <row r="3653" spans="1:39" hidden="1" x14ac:dyDescent="0.3">
      <c r="A3653" s="89" t="s">
        <v>3397</v>
      </c>
      <c r="B3653" s="86" t="s">
        <v>35</v>
      </c>
      <c r="C3653" s="86" t="s">
        <v>59</v>
      </c>
      <c r="D3653" s="86" t="s">
        <v>60</v>
      </c>
      <c r="E3653" s="86" t="s">
        <v>781</v>
      </c>
      <c r="F3653" s="86" t="s">
        <v>782</v>
      </c>
      <c r="G3653" s="86" t="s">
        <v>781</v>
      </c>
      <c r="H3653" s="143">
        <v>62</v>
      </c>
      <c r="I3653" s="86" t="s">
        <v>408</v>
      </c>
      <c r="J3653" s="1" t="s">
        <v>3324</v>
      </c>
      <c r="K3653" s="1" t="s">
        <v>3278</v>
      </c>
      <c r="L3653" s="1" t="s">
        <v>35</v>
      </c>
      <c r="M3653" s="86" t="s">
        <v>783</v>
      </c>
      <c r="N3653" s="86"/>
      <c r="O3653" s="47" t="s">
        <v>410</v>
      </c>
      <c r="P3653" s="47" t="s">
        <v>46</v>
      </c>
      <c r="Q3653" s="14">
        <v>0.06</v>
      </c>
      <c r="R3653" s="143">
        <v>1000000983</v>
      </c>
      <c r="S3653" s="47"/>
      <c r="T3653" s="6">
        <v>4469.6000000000004</v>
      </c>
      <c r="U3653" s="6"/>
      <c r="V3653" s="6">
        <v>0</v>
      </c>
      <c r="W3653" s="6">
        <f t="shared" si="566"/>
        <v>4469.6000000000004</v>
      </c>
      <c r="X3653" s="6">
        <f t="shared" si="567"/>
        <v>0</v>
      </c>
      <c r="Y3653" s="13">
        <f t="shared" si="568"/>
        <v>0</v>
      </c>
      <c r="Z3653" s="14">
        <v>0</v>
      </c>
      <c r="AA3653" s="6">
        <v>0</v>
      </c>
      <c r="AB3653" s="4">
        <f t="shared" si="569"/>
        <v>0</v>
      </c>
      <c r="AC3653" s="4">
        <f t="shared" si="562"/>
        <v>0</v>
      </c>
      <c r="AD3653" s="6">
        <f t="shared" si="564"/>
        <v>0</v>
      </c>
      <c r="AE3653" s="2">
        <f>VLOOKUP(I3653,[1]媒体政策预估表!A:N,MATCH(O3653,[1]媒体政策预估表!$A$2:$M$2,0),0)</f>
        <v>7.0000000000000007E-2</v>
      </c>
      <c r="AF3653" s="6">
        <f t="shared" si="563"/>
        <v>0</v>
      </c>
      <c r="AG3653" s="14">
        <v>0</v>
      </c>
      <c r="AH3653" s="64">
        <f t="shared" si="565"/>
        <v>0</v>
      </c>
      <c r="AI3653" s="47"/>
      <c r="AJ3653" s="126" t="e">
        <v>#N/A</v>
      </c>
      <c r="AK3653" s="80">
        <f t="shared" si="570"/>
        <v>0</v>
      </c>
      <c r="AM3653" s="85"/>
    </row>
    <row r="3654" spans="1:39" hidden="1" x14ac:dyDescent="0.3">
      <c r="A3654" s="89" t="s">
        <v>3395</v>
      </c>
      <c r="B3654" s="86" t="s">
        <v>35</v>
      </c>
      <c r="C3654" s="86" t="s">
        <v>59</v>
      </c>
      <c r="D3654" s="86" t="s">
        <v>60</v>
      </c>
      <c r="E3654" s="86" t="s">
        <v>784</v>
      </c>
      <c r="F3654" s="86" t="s">
        <v>784</v>
      </c>
      <c r="G3654" s="86" t="s">
        <v>784</v>
      </c>
      <c r="H3654" s="143">
        <v>62</v>
      </c>
      <c r="I3654" s="86" t="s">
        <v>408</v>
      </c>
      <c r="J3654" s="1" t="s">
        <v>3324</v>
      </c>
      <c r="K3654" s="1" t="s">
        <v>3278</v>
      </c>
      <c r="L3654" s="1" t="s">
        <v>35</v>
      </c>
      <c r="M3654" s="86" t="s">
        <v>785</v>
      </c>
      <c r="N3654" s="86"/>
      <c r="O3654" s="47" t="s">
        <v>410</v>
      </c>
      <c r="P3654" s="47" t="s">
        <v>46</v>
      </c>
      <c r="Q3654" s="14">
        <v>0.02</v>
      </c>
      <c r="R3654" s="143">
        <v>1000015801</v>
      </c>
      <c r="S3654" s="47"/>
      <c r="T3654" s="6">
        <v>6886.9</v>
      </c>
      <c r="U3654" s="6"/>
      <c r="V3654" s="6">
        <v>0</v>
      </c>
      <c r="W3654" s="6">
        <f t="shared" si="566"/>
        <v>6886.9</v>
      </c>
      <c r="X3654" s="6">
        <f t="shared" si="567"/>
        <v>0</v>
      </c>
      <c r="Y3654" s="13">
        <f t="shared" si="568"/>
        <v>0</v>
      </c>
      <c r="Z3654" s="14">
        <v>0</v>
      </c>
      <c r="AA3654" s="6">
        <v>0</v>
      </c>
      <c r="AB3654" s="4">
        <f t="shared" si="569"/>
        <v>0</v>
      </c>
      <c r="AC3654" s="4">
        <f t="shared" si="562"/>
        <v>0</v>
      </c>
      <c r="AD3654" s="6">
        <f t="shared" si="564"/>
        <v>0</v>
      </c>
      <c r="AE3654" s="2">
        <f>VLOOKUP(I3654,[1]媒体政策预估表!A:N,MATCH(O3654,[1]媒体政策预估表!$A$2:$M$2,0),0)</f>
        <v>7.0000000000000007E-2</v>
      </c>
      <c r="AF3654" s="6">
        <f t="shared" si="563"/>
        <v>0</v>
      </c>
      <c r="AG3654" s="14">
        <v>0</v>
      </c>
      <c r="AH3654" s="64">
        <f t="shared" si="565"/>
        <v>0</v>
      </c>
      <c r="AI3654" s="47"/>
      <c r="AJ3654" s="126" t="e">
        <v>#N/A</v>
      </c>
      <c r="AK3654" s="80">
        <f t="shared" si="570"/>
        <v>0</v>
      </c>
      <c r="AM3654" s="85"/>
    </row>
    <row r="3655" spans="1:39" hidden="1" x14ac:dyDescent="0.3">
      <c r="A3655" s="89" t="s">
        <v>3395</v>
      </c>
      <c r="B3655" s="86" t="s">
        <v>35</v>
      </c>
      <c r="C3655" s="86" t="s">
        <v>59</v>
      </c>
      <c r="D3655" s="86" t="s">
        <v>60</v>
      </c>
      <c r="E3655" s="86" t="s">
        <v>786</v>
      </c>
      <c r="F3655" s="86" t="s">
        <v>786</v>
      </c>
      <c r="G3655" s="86" t="s">
        <v>786</v>
      </c>
      <c r="H3655" s="143">
        <v>62</v>
      </c>
      <c r="I3655" s="86" t="s">
        <v>408</v>
      </c>
      <c r="J3655" s="1" t="s">
        <v>3324</v>
      </c>
      <c r="K3655" s="1" t="s">
        <v>3278</v>
      </c>
      <c r="L3655" s="1" t="s">
        <v>35</v>
      </c>
      <c r="M3655" s="86" t="s">
        <v>787</v>
      </c>
      <c r="N3655" s="86"/>
      <c r="O3655" s="47" t="s">
        <v>410</v>
      </c>
      <c r="P3655" s="47" t="s">
        <v>46</v>
      </c>
      <c r="Q3655" s="14">
        <v>0.02</v>
      </c>
      <c r="R3655" s="143">
        <v>1000042444</v>
      </c>
      <c r="S3655" s="47"/>
      <c r="T3655" s="6">
        <v>2384.46</v>
      </c>
      <c r="U3655" s="6"/>
      <c r="V3655" s="6">
        <v>0</v>
      </c>
      <c r="W3655" s="6">
        <f t="shared" si="566"/>
        <v>2384.46</v>
      </c>
      <c r="X3655" s="6">
        <f t="shared" si="567"/>
        <v>0</v>
      </c>
      <c r="Y3655" s="13">
        <f t="shared" si="568"/>
        <v>0</v>
      </c>
      <c r="Z3655" s="14">
        <v>0</v>
      </c>
      <c r="AA3655" s="6">
        <v>0</v>
      </c>
      <c r="AB3655" s="4">
        <f t="shared" si="569"/>
        <v>0</v>
      </c>
      <c r="AC3655" s="4">
        <f t="shared" si="562"/>
        <v>0</v>
      </c>
      <c r="AD3655" s="6">
        <f t="shared" si="564"/>
        <v>0</v>
      </c>
      <c r="AE3655" s="2">
        <f>VLOOKUP(I3655,[1]媒体政策预估表!A:N,MATCH(O3655,[1]媒体政策预估表!$A$2:$M$2,0),0)</f>
        <v>7.0000000000000007E-2</v>
      </c>
      <c r="AF3655" s="6">
        <f t="shared" si="563"/>
        <v>0</v>
      </c>
      <c r="AG3655" s="14">
        <v>0</v>
      </c>
      <c r="AH3655" s="64">
        <f t="shared" si="565"/>
        <v>0</v>
      </c>
      <c r="AI3655" s="47"/>
      <c r="AJ3655" s="126" t="e">
        <v>#N/A</v>
      </c>
      <c r="AK3655" s="80">
        <f t="shared" si="570"/>
        <v>0</v>
      </c>
      <c r="AM3655" s="85"/>
    </row>
    <row r="3656" spans="1:39" hidden="1" x14ac:dyDescent="0.3">
      <c r="A3656" s="89" t="s">
        <v>3397</v>
      </c>
      <c r="B3656" s="86" t="s">
        <v>35</v>
      </c>
      <c r="C3656" s="86" t="s">
        <v>59</v>
      </c>
      <c r="D3656" s="86" t="s">
        <v>60</v>
      </c>
      <c r="E3656" s="86" t="s">
        <v>786</v>
      </c>
      <c r="F3656" s="86" t="s">
        <v>786</v>
      </c>
      <c r="G3656" s="86" t="s">
        <v>786</v>
      </c>
      <c r="H3656" s="143">
        <v>62</v>
      </c>
      <c r="I3656" s="86" t="s">
        <v>408</v>
      </c>
      <c r="J3656" s="1" t="s">
        <v>3324</v>
      </c>
      <c r="K3656" s="1" t="s">
        <v>3278</v>
      </c>
      <c r="L3656" s="1" t="s">
        <v>35</v>
      </c>
      <c r="M3656" s="86" t="s">
        <v>788</v>
      </c>
      <c r="N3656" s="86"/>
      <c r="O3656" s="47" t="s">
        <v>410</v>
      </c>
      <c r="P3656" s="47" t="s">
        <v>46</v>
      </c>
      <c r="Q3656" s="14">
        <v>0.02</v>
      </c>
      <c r="R3656" s="143">
        <v>1000038510</v>
      </c>
      <c r="S3656" s="47"/>
      <c r="T3656" s="6">
        <v>27993.81</v>
      </c>
      <c r="U3656" s="6"/>
      <c r="V3656" s="6">
        <v>0</v>
      </c>
      <c r="W3656" s="6">
        <f t="shared" si="566"/>
        <v>27993.81</v>
      </c>
      <c r="X3656" s="6">
        <f t="shared" si="567"/>
        <v>0</v>
      </c>
      <c r="Y3656" s="13">
        <f t="shared" si="568"/>
        <v>0</v>
      </c>
      <c r="Z3656" s="14">
        <v>0</v>
      </c>
      <c r="AA3656" s="6">
        <v>0</v>
      </c>
      <c r="AB3656" s="4">
        <f t="shared" si="569"/>
        <v>0</v>
      </c>
      <c r="AC3656" s="4">
        <f t="shared" si="562"/>
        <v>0</v>
      </c>
      <c r="AD3656" s="6">
        <f t="shared" si="564"/>
        <v>0</v>
      </c>
      <c r="AE3656" s="2">
        <f>VLOOKUP(I3656,[1]媒体政策预估表!A:N,MATCH(O3656,[1]媒体政策预估表!$A$2:$M$2,0),0)</f>
        <v>7.0000000000000007E-2</v>
      </c>
      <c r="AF3656" s="6">
        <f t="shared" si="563"/>
        <v>0</v>
      </c>
      <c r="AG3656" s="14">
        <v>0</v>
      </c>
      <c r="AH3656" s="64">
        <f t="shared" si="565"/>
        <v>0</v>
      </c>
      <c r="AI3656" s="47"/>
      <c r="AJ3656" s="126" t="e">
        <v>#N/A</v>
      </c>
      <c r="AK3656" s="80">
        <f t="shared" si="570"/>
        <v>0</v>
      </c>
      <c r="AM3656" s="85"/>
    </row>
    <row r="3657" spans="1:39" hidden="1" x14ac:dyDescent="0.3">
      <c r="A3657" s="89" t="s">
        <v>3395</v>
      </c>
      <c r="B3657" s="86" t="s">
        <v>35</v>
      </c>
      <c r="C3657" s="86" t="s">
        <v>59</v>
      </c>
      <c r="D3657" s="86" t="s">
        <v>60</v>
      </c>
      <c r="E3657" s="86" t="s">
        <v>786</v>
      </c>
      <c r="F3657" s="86" t="s">
        <v>786</v>
      </c>
      <c r="G3657" s="86" t="s">
        <v>786</v>
      </c>
      <c r="H3657" s="143">
        <v>62</v>
      </c>
      <c r="I3657" s="86" t="s">
        <v>408</v>
      </c>
      <c r="J3657" s="1" t="s">
        <v>3324</v>
      </c>
      <c r="K3657" s="1" t="s">
        <v>3278</v>
      </c>
      <c r="L3657" s="1" t="s">
        <v>35</v>
      </c>
      <c r="M3657" s="86" t="s">
        <v>789</v>
      </c>
      <c r="N3657" s="86"/>
      <c r="O3657" s="47" t="s">
        <v>410</v>
      </c>
      <c r="P3657" s="47" t="s">
        <v>46</v>
      </c>
      <c r="Q3657" s="14">
        <v>0.02</v>
      </c>
      <c r="R3657" s="143">
        <v>1000025380</v>
      </c>
      <c r="S3657" s="47"/>
      <c r="T3657" s="6">
        <v>768.6</v>
      </c>
      <c r="U3657" s="6"/>
      <c r="V3657" s="6">
        <v>0</v>
      </c>
      <c r="W3657" s="6">
        <f t="shared" si="566"/>
        <v>768.6</v>
      </c>
      <c r="X3657" s="6">
        <f t="shared" si="567"/>
        <v>0</v>
      </c>
      <c r="Y3657" s="13">
        <f t="shared" si="568"/>
        <v>0</v>
      </c>
      <c r="Z3657" s="14">
        <v>0</v>
      </c>
      <c r="AA3657" s="6">
        <v>0</v>
      </c>
      <c r="AB3657" s="4">
        <f t="shared" si="569"/>
        <v>0</v>
      </c>
      <c r="AC3657" s="4">
        <f t="shared" si="562"/>
        <v>0</v>
      </c>
      <c r="AD3657" s="6">
        <f t="shared" si="564"/>
        <v>0</v>
      </c>
      <c r="AE3657" s="2">
        <f>VLOOKUP(I3657,[1]媒体政策预估表!A:N,MATCH(O3657,[1]媒体政策预估表!$A$2:$M$2,0),0)</f>
        <v>7.0000000000000007E-2</v>
      </c>
      <c r="AF3657" s="6">
        <f t="shared" si="563"/>
        <v>0</v>
      </c>
      <c r="AG3657" s="14">
        <v>0</v>
      </c>
      <c r="AH3657" s="64">
        <f t="shared" si="565"/>
        <v>0</v>
      </c>
      <c r="AI3657" s="47"/>
      <c r="AJ3657" s="126" t="e">
        <v>#N/A</v>
      </c>
      <c r="AK3657" s="80">
        <f t="shared" si="570"/>
        <v>0</v>
      </c>
      <c r="AM3657" s="85"/>
    </row>
    <row r="3658" spans="1:39" hidden="1" x14ac:dyDescent="0.3">
      <c r="A3658" s="89" t="s">
        <v>3395</v>
      </c>
      <c r="B3658" s="86" t="s">
        <v>35</v>
      </c>
      <c r="C3658" s="86" t="s">
        <v>59</v>
      </c>
      <c r="D3658" s="86" t="s">
        <v>60</v>
      </c>
      <c r="E3658" s="86" t="s">
        <v>786</v>
      </c>
      <c r="F3658" s="86" t="s">
        <v>786</v>
      </c>
      <c r="G3658" s="86" t="s">
        <v>786</v>
      </c>
      <c r="H3658" s="143">
        <v>62</v>
      </c>
      <c r="I3658" s="86" t="s">
        <v>408</v>
      </c>
      <c r="J3658" s="1" t="s">
        <v>3324</v>
      </c>
      <c r="K3658" s="1" t="s">
        <v>3278</v>
      </c>
      <c r="L3658" s="1" t="s">
        <v>35</v>
      </c>
      <c r="M3658" s="86" t="s">
        <v>790</v>
      </c>
      <c r="N3658" s="86"/>
      <c r="O3658" s="47" t="s">
        <v>410</v>
      </c>
      <c r="P3658" s="47" t="s">
        <v>46</v>
      </c>
      <c r="Q3658" s="14">
        <v>0.02</v>
      </c>
      <c r="R3658" s="143">
        <v>1000026616</v>
      </c>
      <c r="S3658" s="47"/>
      <c r="T3658" s="6">
        <v>6557.88</v>
      </c>
      <c r="U3658" s="6"/>
      <c r="V3658" s="6">
        <v>0</v>
      </c>
      <c r="W3658" s="6">
        <f t="shared" si="566"/>
        <v>6557.88</v>
      </c>
      <c r="X3658" s="6">
        <f t="shared" si="567"/>
        <v>0</v>
      </c>
      <c r="Y3658" s="13">
        <f t="shared" si="568"/>
        <v>0</v>
      </c>
      <c r="Z3658" s="14">
        <v>0</v>
      </c>
      <c r="AA3658" s="6">
        <v>0</v>
      </c>
      <c r="AB3658" s="4">
        <f t="shared" si="569"/>
        <v>0</v>
      </c>
      <c r="AC3658" s="4">
        <f t="shared" si="562"/>
        <v>0</v>
      </c>
      <c r="AD3658" s="6">
        <f t="shared" si="564"/>
        <v>0</v>
      </c>
      <c r="AE3658" s="2">
        <f>VLOOKUP(I3658,[1]媒体政策预估表!A:N,MATCH(O3658,[1]媒体政策预估表!$A$2:$M$2,0),0)</f>
        <v>7.0000000000000007E-2</v>
      </c>
      <c r="AF3658" s="6">
        <f t="shared" si="563"/>
        <v>0</v>
      </c>
      <c r="AG3658" s="14">
        <v>0</v>
      </c>
      <c r="AH3658" s="64">
        <f t="shared" si="565"/>
        <v>0</v>
      </c>
      <c r="AI3658" s="47"/>
      <c r="AJ3658" s="126" t="e">
        <v>#N/A</v>
      </c>
      <c r="AK3658" s="80">
        <f t="shared" si="570"/>
        <v>0</v>
      </c>
      <c r="AM3658" s="85"/>
    </row>
    <row r="3659" spans="1:39" hidden="1" x14ac:dyDescent="0.3">
      <c r="A3659" s="89" t="s">
        <v>3395</v>
      </c>
      <c r="B3659" s="86" t="s">
        <v>35</v>
      </c>
      <c r="C3659" s="86" t="s">
        <v>59</v>
      </c>
      <c r="D3659" s="86" t="s">
        <v>60</v>
      </c>
      <c r="E3659" s="86" t="s">
        <v>786</v>
      </c>
      <c r="F3659" s="86" t="s">
        <v>786</v>
      </c>
      <c r="G3659" s="86" t="s">
        <v>786</v>
      </c>
      <c r="H3659" s="143">
        <v>62</v>
      </c>
      <c r="I3659" s="86" t="s">
        <v>408</v>
      </c>
      <c r="J3659" s="1" t="s">
        <v>3324</v>
      </c>
      <c r="K3659" s="1" t="s">
        <v>3278</v>
      </c>
      <c r="L3659" s="1" t="s">
        <v>35</v>
      </c>
      <c r="M3659" s="86" t="s">
        <v>791</v>
      </c>
      <c r="N3659" s="86"/>
      <c r="O3659" s="47" t="s">
        <v>410</v>
      </c>
      <c r="P3659" s="47" t="s">
        <v>46</v>
      </c>
      <c r="Q3659" s="14">
        <v>0.02</v>
      </c>
      <c r="R3659" s="143">
        <v>1000020281</v>
      </c>
      <c r="S3659" s="47"/>
      <c r="T3659" s="6">
        <v>150.1</v>
      </c>
      <c r="U3659" s="6"/>
      <c r="V3659" s="6">
        <v>0</v>
      </c>
      <c r="W3659" s="6">
        <f t="shared" si="566"/>
        <v>150.1</v>
      </c>
      <c r="X3659" s="6">
        <f t="shared" si="567"/>
        <v>0</v>
      </c>
      <c r="Y3659" s="13">
        <f t="shared" si="568"/>
        <v>0</v>
      </c>
      <c r="Z3659" s="14">
        <v>0</v>
      </c>
      <c r="AA3659" s="6">
        <v>0</v>
      </c>
      <c r="AB3659" s="4">
        <f t="shared" si="569"/>
        <v>0</v>
      </c>
      <c r="AC3659" s="4">
        <f t="shared" si="562"/>
        <v>0</v>
      </c>
      <c r="AD3659" s="6">
        <f t="shared" si="564"/>
        <v>0</v>
      </c>
      <c r="AE3659" s="2">
        <f>VLOOKUP(I3659,[1]媒体政策预估表!A:N,MATCH(O3659,[1]媒体政策预估表!$A$2:$M$2,0),0)</f>
        <v>7.0000000000000007E-2</v>
      </c>
      <c r="AF3659" s="6">
        <f t="shared" si="563"/>
        <v>0</v>
      </c>
      <c r="AG3659" s="14">
        <v>0</v>
      </c>
      <c r="AH3659" s="64">
        <f t="shared" si="565"/>
        <v>0</v>
      </c>
      <c r="AI3659" s="47"/>
      <c r="AJ3659" s="126" t="e">
        <v>#N/A</v>
      </c>
      <c r="AK3659" s="80">
        <f t="shared" si="570"/>
        <v>0</v>
      </c>
      <c r="AM3659" s="85"/>
    </row>
    <row r="3660" spans="1:39" hidden="1" x14ac:dyDescent="0.3">
      <c r="A3660" s="89" t="s">
        <v>3395</v>
      </c>
      <c r="B3660" s="86" t="s">
        <v>35</v>
      </c>
      <c r="C3660" s="86" t="s">
        <v>59</v>
      </c>
      <c r="D3660" s="86" t="s">
        <v>60</v>
      </c>
      <c r="E3660" s="86" t="s">
        <v>786</v>
      </c>
      <c r="F3660" s="86" t="s">
        <v>786</v>
      </c>
      <c r="G3660" s="86" t="s">
        <v>786</v>
      </c>
      <c r="H3660" s="143">
        <v>62</v>
      </c>
      <c r="I3660" s="86" t="s">
        <v>408</v>
      </c>
      <c r="J3660" s="1" t="s">
        <v>3324</v>
      </c>
      <c r="K3660" s="1" t="s">
        <v>3278</v>
      </c>
      <c r="L3660" s="1" t="s">
        <v>35</v>
      </c>
      <c r="M3660" s="86" t="s">
        <v>792</v>
      </c>
      <c r="N3660" s="86"/>
      <c r="O3660" s="47" t="s">
        <v>410</v>
      </c>
      <c r="P3660" s="47" t="s">
        <v>46</v>
      </c>
      <c r="Q3660" s="14">
        <v>0.02</v>
      </c>
      <c r="R3660" s="143">
        <v>1000027351</v>
      </c>
      <c r="S3660" s="47"/>
      <c r="T3660" s="6">
        <v>1336.7</v>
      </c>
      <c r="U3660" s="6"/>
      <c r="V3660" s="6">
        <v>0</v>
      </c>
      <c r="W3660" s="6">
        <f t="shared" si="566"/>
        <v>1336.7</v>
      </c>
      <c r="X3660" s="6">
        <f t="shared" si="567"/>
        <v>0</v>
      </c>
      <c r="Y3660" s="13">
        <f t="shared" si="568"/>
        <v>0</v>
      </c>
      <c r="Z3660" s="14">
        <v>0</v>
      </c>
      <c r="AA3660" s="6">
        <v>0</v>
      </c>
      <c r="AB3660" s="4">
        <f t="shared" si="569"/>
        <v>0</v>
      </c>
      <c r="AC3660" s="4">
        <f t="shared" ref="AC3660:AC3723" si="571">IF(P3660="返现",X3660*Q3660,V3660-X3660)</f>
        <v>0</v>
      </c>
      <c r="AD3660" s="6">
        <f t="shared" si="564"/>
        <v>0</v>
      </c>
      <c r="AE3660" s="2">
        <f>VLOOKUP(I3660,[1]媒体政策预估表!A:N,MATCH(O3660,[1]媒体政策预估表!$A$2:$M$2,0),0)</f>
        <v>7.0000000000000007E-2</v>
      </c>
      <c r="AF3660" s="6">
        <f t="shared" ref="AF3660:AF3723" si="572">AD3660*AE3660</f>
        <v>0</v>
      </c>
      <c r="AG3660" s="14">
        <v>0</v>
      </c>
      <c r="AH3660" s="64">
        <f t="shared" si="565"/>
        <v>0</v>
      </c>
      <c r="AI3660" s="47"/>
      <c r="AJ3660" s="126" t="e">
        <v>#N/A</v>
      </c>
      <c r="AK3660" s="80">
        <f t="shared" si="570"/>
        <v>0</v>
      </c>
      <c r="AM3660" s="85"/>
    </row>
    <row r="3661" spans="1:39" hidden="1" x14ac:dyDescent="0.3">
      <c r="A3661" s="89" t="s">
        <v>3395</v>
      </c>
      <c r="B3661" s="86" t="s">
        <v>35</v>
      </c>
      <c r="C3661" s="86" t="s">
        <v>59</v>
      </c>
      <c r="D3661" s="86" t="s">
        <v>60</v>
      </c>
      <c r="E3661" s="86" t="s">
        <v>786</v>
      </c>
      <c r="F3661" s="86" t="s">
        <v>786</v>
      </c>
      <c r="G3661" s="86" t="s">
        <v>786</v>
      </c>
      <c r="H3661" s="143">
        <v>62</v>
      </c>
      <c r="I3661" s="86" t="s">
        <v>408</v>
      </c>
      <c r="J3661" s="1" t="s">
        <v>3324</v>
      </c>
      <c r="K3661" s="1" t="s">
        <v>3278</v>
      </c>
      <c r="L3661" s="1" t="s">
        <v>35</v>
      </c>
      <c r="M3661" s="86" t="s">
        <v>793</v>
      </c>
      <c r="N3661" s="86"/>
      <c r="O3661" s="47" t="s">
        <v>410</v>
      </c>
      <c r="P3661" s="47" t="s">
        <v>46</v>
      </c>
      <c r="Q3661" s="14">
        <v>0.02</v>
      </c>
      <c r="R3661" s="143">
        <v>1000020877</v>
      </c>
      <c r="S3661" s="47"/>
      <c r="T3661" s="6">
        <v>356.31</v>
      </c>
      <c r="U3661" s="6"/>
      <c r="V3661" s="6">
        <v>0</v>
      </c>
      <c r="W3661" s="6">
        <f t="shared" si="566"/>
        <v>356.31</v>
      </c>
      <c r="X3661" s="6">
        <f t="shared" si="567"/>
        <v>0</v>
      </c>
      <c r="Y3661" s="13">
        <f t="shared" si="568"/>
        <v>0</v>
      </c>
      <c r="Z3661" s="14">
        <v>0</v>
      </c>
      <c r="AA3661" s="6">
        <v>0</v>
      </c>
      <c r="AB3661" s="4">
        <f t="shared" si="569"/>
        <v>0</v>
      </c>
      <c r="AC3661" s="4">
        <f t="shared" si="571"/>
        <v>0</v>
      </c>
      <c r="AD3661" s="6">
        <f t="shared" si="564"/>
        <v>0</v>
      </c>
      <c r="AE3661" s="2">
        <f>VLOOKUP(I3661,[1]媒体政策预估表!A:N,MATCH(O3661,[1]媒体政策预估表!$A$2:$M$2,0),0)</f>
        <v>7.0000000000000007E-2</v>
      </c>
      <c r="AF3661" s="6">
        <f t="shared" si="572"/>
        <v>0</v>
      </c>
      <c r="AG3661" s="14">
        <v>0</v>
      </c>
      <c r="AH3661" s="64">
        <f t="shared" si="565"/>
        <v>0</v>
      </c>
      <c r="AI3661" s="47"/>
      <c r="AJ3661" s="126" t="e">
        <v>#N/A</v>
      </c>
      <c r="AK3661" s="80">
        <f t="shared" si="570"/>
        <v>0</v>
      </c>
      <c r="AM3661" s="85"/>
    </row>
    <row r="3662" spans="1:39" hidden="1" x14ac:dyDescent="0.3">
      <c r="A3662" s="89" t="s">
        <v>3396</v>
      </c>
      <c r="B3662" s="86" t="s">
        <v>35</v>
      </c>
      <c r="C3662" s="86" t="s">
        <v>59</v>
      </c>
      <c r="D3662" s="86" t="s">
        <v>60</v>
      </c>
      <c r="E3662" s="86" t="s">
        <v>786</v>
      </c>
      <c r="F3662" s="86" t="s">
        <v>786</v>
      </c>
      <c r="G3662" s="86" t="s">
        <v>786</v>
      </c>
      <c r="H3662" s="143">
        <v>62</v>
      </c>
      <c r="I3662" s="86" t="s">
        <v>408</v>
      </c>
      <c r="J3662" s="1" t="s">
        <v>3324</v>
      </c>
      <c r="K3662" s="1" t="s">
        <v>3278</v>
      </c>
      <c r="L3662" s="1" t="s">
        <v>35</v>
      </c>
      <c r="M3662" s="86" t="s">
        <v>794</v>
      </c>
      <c r="N3662" s="86"/>
      <c r="O3662" s="47" t="s">
        <v>410</v>
      </c>
      <c r="P3662" s="47" t="s">
        <v>46</v>
      </c>
      <c r="Q3662" s="14">
        <v>0.02</v>
      </c>
      <c r="R3662" s="143">
        <v>1000026896</v>
      </c>
      <c r="S3662" s="47"/>
      <c r="T3662" s="6">
        <v>10166.4</v>
      </c>
      <c r="U3662" s="6"/>
      <c r="V3662" s="6">
        <v>0</v>
      </c>
      <c r="W3662" s="6">
        <f t="shared" si="566"/>
        <v>10166.4</v>
      </c>
      <c r="X3662" s="6">
        <f t="shared" si="567"/>
        <v>0</v>
      </c>
      <c r="Y3662" s="13">
        <f t="shared" si="568"/>
        <v>0</v>
      </c>
      <c r="Z3662" s="14">
        <v>0</v>
      </c>
      <c r="AA3662" s="6">
        <v>0</v>
      </c>
      <c r="AB3662" s="4">
        <f t="shared" si="569"/>
        <v>0</v>
      </c>
      <c r="AC3662" s="4">
        <f t="shared" si="571"/>
        <v>0</v>
      </c>
      <c r="AD3662" s="6">
        <f t="shared" si="564"/>
        <v>0</v>
      </c>
      <c r="AE3662" s="2">
        <f>VLOOKUP(I3662,[1]媒体政策预估表!A:N,MATCH(O3662,[1]媒体政策预估表!$A$2:$M$2,0),0)</f>
        <v>7.0000000000000007E-2</v>
      </c>
      <c r="AF3662" s="6">
        <f t="shared" si="572"/>
        <v>0</v>
      </c>
      <c r="AG3662" s="14">
        <v>0</v>
      </c>
      <c r="AH3662" s="64">
        <f t="shared" si="565"/>
        <v>0</v>
      </c>
      <c r="AI3662" s="47"/>
      <c r="AJ3662" s="126" t="e">
        <v>#N/A</v>
      </c>
      <c r="AK3662" s="80">
        <f t="shared" si="570"/>
        <v>0</v>
      </c>
      <c r="AM3662" s="85"/>
    </row>
    <row r="3663" spans="1:39" hidden="1" x14ac:dyDescent="0.3">
      <c r="A3663" s="89" t="s">
        <v>3395</v>
      </c>
      <c r="B3663" s="86" t="s">
        <v>35</v>
      </c>
      <c r="C3663" s="86" t="s">
        <v>184</v>
      </c>
      <c r="D3663" s="86" t="s">
        <v>185</v>
      </c>
      <c r="E3663" s="86" t="s">
        <v>795</v>
      </c>
      <c r="F3663" s="86" t="s">
        <v>795</v>
      </c>
      <c r="G3663" s="86" t="s">
        <v>795</v>
      </c>
      <c r="H3663" s="143">
        <v>62</v>
      </c>
      <c r="I3663" s="86" t="s">
        <v>408</v>
      </c>
      <c r="J3663" s="1" t="s">
        <v>3324</v>
      </c>
      <c r="K3663" s="1" t="s">
        <v>3278</v>
      </c>
      <c r="L3663" s="1" t="s">
        <v>35</v>
      </c>
      <c r="M3663" s="86" t="s">
        <v>796</v>
      </c>
      <c r="N3663" s="86"/>
      <c r="O3663" s="47" t="s">
        <v>410</v>
      </c>
      <c r="P3663" s="47" t="s">
        <v>46</v>
      </c>
      <c r="Q3663" s="14">
        <v>0.02</v>
      </c>
      <c r="R3663" s="143">
        <v>1000015195</v>
      </c>
      <c r="S3663" s="47"/>
      <c r="T3663" s="6">
        <v>145.04</v>
      </c>
      <c r="U3663" s="6"/>
      <c r="V3663" s="6">
        <v>0</v>
      </c>
      <c r="W3663" s="6">
        <f t="shared" si="566"/>
        <v>145.04</v>
      </c>
      <c r="X3663" s="6">
        <f t="shared" si="567"/>
        <v>0</v>
      </c>
      <c r="Y3663" s="13">
        <f t="shared" si="568"/>
        <v>0</v>
      </c>
      <c r="Z3663" s="14">
        <v>0</v>
      </c>
      <c r="AA3663" s="6">
        <v>0</v>
      </c>
      <c r="AB3663" s="4">
        <f t="shared" si="569"/>
        <v>0</v>
      </c>
      <c r="AC3663" s="4">
        <f t="shared" si="571"/>
        <v>0</v>
      </c>
      <c r="AD3663" s="6">
        <f t="shared" si="564"/>
        <v>0</v>
      </c>
      <c r="AE3663" s="2">
        <f>VLOOKUP(I3663,[1]媒体政策预估表!A:N,MATCH(O3663,[1]媒体政策预估表!$A$2:$M$2,0),0)</f>
        <v>7.0000000000000007E-2</v>
      </c>
      <c r="AF3663" s="6">
        <f t="shared" si="572"/>
        <v>0</v>
      </c>
      <c r="AG3663" s="14">
        <v>0</v>
      </c>
      <c r="AH3663" s="64">
        <f t="shared" si="565"/>
        <v>0</v>
      </c>
      <c r="AI3663" s="47"/>
      <c r="AJ3663" s="126" t="e">
        <v>#N/A</v>
      </c>
      <c r="AK3663" s="80">
        <f t="shared" si="570"/>
        <v>0</v>
      </c>
      <c r="AM3663" s="85"/>
    </row>
    <row r="3664" spans="1:39" hidden="1" x14ac:dyDescent="0.3">
      <c r="A3664" s="89" t="s">
        <v>3395</v>
      </c>
      <c r="B3664" s="86" t="s">
        <v>35</v>
      </c>
      <c r="C3664" s="86" t="s">
        <v>184</v>
      </c>
      <c r="D3664" s="86" t="s">
        <v>185</v>
      </c>
      <c r="E3664" s="86" t="s">
        <v>797</v>
      </c>
      <c r="F3664" s="86" t="s">
        <v>797</v>
      </c>
      <c r="G3664" s="86" t="s">
        <v>797</v>
      </c>
      <c r="H3664" s="143">
        <v>62</v>
      </c>
      <c r="I3664" s="86" t="s">
        <v>408</v>
      </c>
      <c r="J3664" s="1" t="s">
        <v>3324</v>
      </c>
      <c r="K3664" s="1" t="s">
        <v>3278</v>
      </c>
      <c r="L3664" s="1" t="s">
        <v>35</v>
      </c>
      <c r="M3664" s="86" t="s">
        <v>798</v>
      </c>
      <c r="N3664" s="86"/>
      <c r="O3664" s="47" t="s">
        <v>410</v>
      </c>
      <c r="P3664" s="47" t="s">
        <v>46</v>
      </c>
      <c r="Q3664" s="14">
        <v>0.02</v>
      </c>
      <c r="R3664" s="143">
        <v>1000026636</v>
      </c>
      <c r="S3664" s="47"/>
      <c r="T3664" s="6">
        <v>4027.61</v>
      </c>
      <c r="U3664" s="6"/>
      <c r="V3664" s="6">
        <v>0</v>
      </c>
      <c r="W3664" s="6">
        <f t="shared" si="566"/>
        <v>4027.61</v>
      </c>
      <c r="X3664" s="6">
        <f t="shared" si="567"/>
        <v>0</v>
      </c>
      <c r="Y3664" s="13">
        <f t="shared" si="568"/>
        <v>0</v>
      </c>
      <c r="Z3664" s="14">
        <v>0</v>
      </c>
      <c r="AA3664" s="6">
        <v>0</v>
      </c>
      <c r="AB3664" s="4">
        <f t="shared" si="569"/>
        <v>0</v>
      </c>
      <c r="AC3664" s="4">
        <f t="shared" si="571"/>
        <v>0</v>
      </c>
      <c r="AD3664" s="6">
        <f t="shared" si="564"/>
        <v>0</v>
      </c>
      <c r="AE3664" s="2">
        <f>VLOOKUP(I3664,[1]媒体政策预估表!A:N,MATCH(O3664,[1]媒体政策预估表!$A$2:$M$2,0),0)</f>
        <v>7.0000000000000007E-2</v>
      </c>
      <c r="AF3664" s="6">
        <f t="shared" si="572"/>
        <v>0</v>
      </c>
      <c r="AG3664" s="14">
        <v>0</v>
      </c>
      <c r="AH3664" s="64">
        <f t="shared" si="565"/>
        <v>0</v>
      </c>
      <c r="AI3664" s="47"/>
      <c r="AJ3664" s="126" t="e">
        <v>#N/A</v>
      </c>
      <c r="AK3664" s="80">
        <f t="shared" si="570"/>
        <v>0</v>
      </c>
      <c r="AM3664" s="85"/>
    </row>
    <row r="3665" spans="1:39" hidden="1" x14ac:dyDescent="0.3">
      <c r="A3665" s="89" t="s">
        <v>3395</v>
      </c>
      <c r="B3665" s="86" t="s">
        <v>35</v>
      </c>
      <c r="C3665" s="86" t="s">
        <v>184</v>
      </c>
      <c r="D3665" s="86" t="s">
        <v>185</v>
      </c>
      <c r="E3665" s="86" t="s">
        <v>799</v>
      </c>
      <c r="F3665" s="86" t="s">
        <v>799</v>
      </c>
      <c r="G3665" s="86" t="s">
        <v>799</v>
      </c>
      <c r="H3665" s="143">
        <v>62</v>
      </c>
      <c r="I3665" s="86" t="s">
        <v>408</v>
      </c>
      <c r="J3665" s="1" t="s">
        <v>3324</v>
      </c>
      <c r="K3665" s="1" t="s">
        <v>3278</v>
      </c>
      <c r="L3665" s="1" t="s">
        <v>35</v>
      </c>
      <c r="M3665" s="86" t="s">
        <v>800</v>
      </c>
      <c r="N3665" s="86"/>
      <c r="O3665" s="47" t="s">
        <v>410</v>
      </c>
      <c r="P3665" s="47" t="s">
        <v>46</v>
      </c>
      <c r="Q3665" s="14">
        <v>0.02</v>
      </c>
      <c r="R3665" s="143">
        <v>1000041723</v>
      </c>
      <c r="S3665" s="47"/>
      <c r="T3665" s="6">
        <v>5617.1800000000012</v>
      </c>
      <c r="U3665" s="6"/>
      <c r="V3665" s="6">
        <v>0</v>
      </c>
      <c r="W3665" s="6">
        <f t="shared" si="566"/>
        <v>5617.1800000000012</v>
      </c>
      <c r="X3665" s="6">
        <f t="shared" si="567"/>
        <v>0</v>
      </c>
      <c r="Y3665" s="13">
        <f t="shared" si="568"/>
        <v>0</v>
      </c>
      <c r="Z3665" s="14">
        <v>0</v>
      </c>
      <c r="AA3665" s="6">
        <v>0</v>
      </c>
      <c r="AB3665" s="4">
        <f t="shared" si="569"/>
        <v>0</v>
      </c>
      <c r="AC3665" s="4">
        <f t="shared" si="571"/>
        <v>0</v>
      </c>
      <c r="AD3665" s="6">
        <f t="shared" si="564"/>
        <v>0</v>
      </c>
      <c r="AE3665" s="2">
        <f>VLOOKUP(I3665,[1]媒体政策预估表!A:N,MATCH(O3665,[1]媒体政策预估表!$A$2:$M$2,0),0)</f>
        <v>7.0000000000000007E-2</v>
      </c>
      <c r="AF3665" s="6">
        <f t="shared" si="572"/>
        <v>0</v>
      </c>
      <c r="AG3665" s="14">
        <v>0</v>
      </c>
      <c r="AH3665" s="64">
        <f t="shared" si="565"/>
        <v>0</v>
      </c>
      <c r="AI3665" s="47"/>
      <c r="AJ3665" s="126" t="e">
        <v>#N/A</v>
      </c>
      <c r="AK3665" s="80">
        <f t="shared" si="570"/>
        <v>0</v>
      </c>
      <c r="AM3665" s="85"/>
    </row>
    <row r="3666" spans="1:39" hidden="1" x14ac:dyDescent="0.3">
      <c r="A3666" s="89" t="s">
        <v>3395</v>
      </c>
      <c r="B3666" s="86" t="s">
        <v>35</v>
      </c>
      <c r="C3666" s="86" t="s">
        <v>184</v>
      </c>
      <c r="D3666" s="86" t="s">
        <v>185</v>
      </c>
      <c r="E3666" s="86" t="s">
        <v>801</v>
      </c>
      <c r="F3666" s="86" t="s">
        <v>801</v>
      </c>
      <c r="G3666" s="86" t="s">
        <v>801</v>
      </c>
      <c r="H3666" s="143">
        <v>62</v>
      </c>
      <c r="I3666" s="86" t="s">
        <v>408</v>
      </c>
      <c r="J3666" s="1" t="s">
        <v>3324</v>
      </c>
      <c r="K3666" s="1" t="s">
        <v>3278</v>
      </c>
      <c r="L3666" s="1" t="s">
        <v>35</v>
      </c>
      <c r="M3666" s="86" t="s">
        <v>802</v>
      </c>
      <c r="N3666" s="86"/>
      <c r="O3666" s="47" t="s">
        <v>410</v>
      </c>
      <c r="P3666" s="47" t="s">
        <v>46</v>
      </c>
      <c r="Q3666" s="14">
        <v>0.06</v>
      </c>
      <c r="R3666" s="143">
        <v>1000030978</v>
      </c>
      <c r="S3666" s="47"/>
      <c r="T3666" s="6">
        <v>8.6</v>
      </c>
      <c r="U3666" s="6"/>
      <c r="V3666" s="6">
        <v>0</v>
      </c>
      <c r="W3666" s="6">
        <f t="shared" si="566"/>
        <v>8.6</v>
      </c>
      <c r="X3666" s="6">
        <f t="shared" si="567"/>
        <v>0</v>
      </c>
      <c r="Y3666" s="13">
        <f t="shared" si="568"/>
        <v>0</v>
      </c>
      <c r="Z3666" s="14">
        <v>0</v>
      </c>
      <c r="AA3666" s="6">
        <v>0</v>
      </c>
      <c r="AB3666" s="4">
        <f t="shared" si="569"/>
        <v>0</v>
      </c>
      <c r="AC3666" s="4">
        <f t="shared" si="571"/>
        <v>0</v>
      </c>
      <c r="AD3666" s="6">
        <f t="shared" si="564"/>
        <v>0</v>
      </c>
      <c r="AE3666" s="2">
        <f>VLOOKUP(I3666,[1]媒体政策预估表!A:N,MATCH(O3666,[1]媒体政策预估表!$A$2:$M$2,0),0)</f>
        <v>7.0000000000000007E-2</v>
      </c>
      <c r="AF3666" s="6">
        <f t="shared" si="572"/>
        <v>0</v>
      </c>
      <c r="AG3666" s="14">
        <v>0</v>
      </c>
      <c r="AH3666" s="64">
        <f t="shared" si="565"/>
        <v>0</v>
      </c>
      <c r="AI3666" s="47"/>
      <c r="AJ3666" s="126" t="e">
        <v>#N/A</v>
      </c>
      <c r="AK3666" s="80">
        <f t="shared" si="570"/>
        <v>0</v>
      </c>
      <c r="AM3666" s="85"/>
    </row>
    <row r="3667" spans="1:39" hidden="1" x14ac:dyDescent="0.3">
      <c r="A3667" s="89" t="s">
        <v>3395</v>
      </c>
      <c r="B3667" s="86" t="s">
        <v>35</v>
      </c>
      <c r="C3667" s="86" t="s">
        <v>184</v>
      </c>
      <c r="D3667" s="86" t="s">
        <v>185</v>
      </c>
      <c r="E3667" s="86" t="s">
        <v>803</v>
      </c>
      <c r="F3667" s="86" t="s">
        <v>803</v>
      </c>
      <c r="G3667" s="86" t="s">
        <v>803</v>
      </c>
      <c r="H3667" s="143">
        <v>62</v>
      </c>
      <c r="I3667" s="86" t="s">
        <v>408</v>
      </c>
      <c r="J3667" s="1" t="s">
        <v>3324</v>
      </c>
      <c r="K3667" s="1" t="s">
        <v>3278</v>
      </c>
      <c r="L3667" s="1" t="s">
        <v>35</v>
      </c>
      <c r="M3667" s="86" t="s">
        <v>804</v>
      </c>
      <c r="N3667" s="86"/>
      <c r="O3667" s="47" t="s">
        <v>410</v>
      </c>
      <c r="P3667" s="47" t="s">
        <v>46</v>
      </c>
      <c r="Q3667" s="14">
        <v>0.06</v>
      </c>
      <c r="R3667" s="143">
        <v>1000017569</v>
      </c>
      <c r="S3667" s="47"/>
      <c r="T3667" s="6">
        <v>117244.06</v>
      </c>
      <c r="U3667" s="6"/>
      <c r="V3667" s="6">
        <v>0</v>
      </c>
      <c r="W3667" s="6">
        <f t="shared" si="566"/>
        <v>117244.06</v>
      </c>
      <c r="X3667" s="6">
        <f t="shared" si="567"/>
        <v>0</v>
      </c>
      <c r="Y3667" s="13">
        <f t="shared" si="568"/>
        <v>0</v>
      </c>
      <c r="Z3667" s="14">
        <v>0</v>
      </c>
      <c r="AA3667" s="6">
        <v>0</v>
      </c>
      <c r="AB3667" s="4">
        <f t="shared" si="569"/>
        <v>0</v>
      </c>
      <c r="AC3667" s="4">
        <f t="shared" si="571"/>
        <v>0</v>
      </c>
      <c r="AD3667" s="6">
        <f t="shared" si="564"/>
        <v>0</v>
      </c>
      <c r="AE3667" s="2">
        <f>VLOOKUP(I3667,[1]媒体政策预估表!A:N,MATCH(O3667,[1]媒体政策预估表!$A$2:$M$2,0),0)</f>
        <v>7.0000000000000007E-2</v>
      </c>
      <c r="AF3667" s="6">
        <f t="shared" si="572"/>
        <v>0</v>
      </c>
      <c r="AG3667" s="14">
        <v>0</v>
      </c>
      <c r="AH3667" s="64">
        <f t="shared" si="565"/>
        <v>0</v>
      </c>
      <c r="AI3667" s="47"/>
      <c r="AJ3667" s="126" t="e">
        <v>#N/A</v>
      </c>
      <c r="AK3667" s="80">
        <f t="shared" si="570"/>
        <v>0</v>
      </c>
      <c r="AM3667" s="85"/>
    </row>
    <row r="3668" spans="1:39" hidden="1" x14ac:dyDescent="0.3">
      <c r="A3668" s="89" t="s">
        <v>3395</v>
      </c>
      <c r="B3668" s="86" t="s">
        <v>35</v>
      </c>
      <c r="C3668" s="86" t="s">
        <v>144</v>
      </c>
      <c r="D3668" s="86" t="s">
        <v>145</v>
      </c>
      <c r="E3668" s="86" t="s">
        <v>805</v>
      </c>
      <c r="F3668" s="86" t="s">
        <v>805</v>
      </c>
      <c r="G3668" s="86" t="s">
        <v>805</v>
      </c>
      <c r="H3668" s="143">
        <v>62</v>
      </c>
      <c r="I3668" s="86" t="s">
        <v>408</v>
      </c>
      <c r="J3668" s="1" t="s">
        <v>3324</v>
      </c>
      <c r="K3668" s="1" t="s">
        <v>3278</v>
      </c>
      <c r="L3668" s="1" t="s">
        <v>35</v>
      </c>
      <c r="M3668" s="86" t="s">
        <v>806</v>
      </c>
      <c r="N3668" s="86"/>
      <c r="O3668" s="47" t="s">
        <v>410</v>
      </c>
      <c r="P3668" s="47" t="s">
        <v>41</v>
      </c>
      <c r="Q3668" s="14">
        <v>0</v>
      </c>
      <c r="R3668" s="143">
        <v>1000042360</v>
      </c>
      <c r="S3668" s="47"/>
      <c r="T3668" s="6">
        <v>484</v>
      </c>
      <c r="U3668" s="6"/>
      <c r="V3668" s="6">
        <v>0</v>
      </c>
      <c r="W3668" s="6">
        <f t="shared" si="566"/>
        <v>484</v>
      </c>
      <c r="X3668" s="6">
        <f t="shared" si="567"/>
        <v>0</v>
      </c>
      <c r="Y3668" s="13">
        <f t="shared" si="568"/>
        <v>0</v>
      </c>
      <c r="Z3668" s="14">
        <v>0</v>
      </c>
      <c r="AA3668" s="6">
        <v>0</v>
      </c>
      <c r="AB3668" s="4">
        <f t="shared" si="569"/>
        <v>0</v>
      </c>
      <c r="AC3668" s="4">
        <f t="shared" si="571"/>
        <v>0</v>
      </c>
      <c r="AD3668" s="6">
        <f t="shared" si="564"/>
        <v>0</v>
      </c>
      <c r="AE3668" s="2">
        <f>VLOOKUP(I3668,[1]媒体政策预估表!A:N,MATCH(O3668,[1]媒体政策预估表!$A$2:$M$2,0),0)</f>
        <v>7.0000000000000007E-2</v>
      </c>
      <c r="AF3668" s="6">
        <f t="shared" si="572"/>
        <v>0</v>
      </c>
      <c r="AG3668" s="14">
        <v>0</v>
      </c>
      <c r="AH3668" s="64">
        <f t="shared" si="565"/>
        <v>0</v>
      </c>
      <c r="AI3668" s="47"/>
      <c r="AJ3668" s="126" t="e">
        <v>#N/A</v>
      </c>
      <c r="AK3668" s="80">
        <f t="shared" si="570"/>
        <v>0</v>
      </c>
      <c r="AM3668" s="85"/>
    </row>
    <row r="3669" spans="1:39" hidden="1" x14ac:dyDescent="0.3">
      <c r="A3669" s="89" t="s">
        <v>3394</v>
      </c>
      <c r="B3669" s="86" t="s">
        <v>35</v>
      </c>
      <c r="C3669" s="86" t="s">
        <v>144</v>
      </c>
      <c r="D3669" s="86" t="s">
        <v>145</v>
      </c>
      <c r="E3669" s="86" t="s">
        <v>805</v>
      </c>
      <c r="F3669" s="86" t="s">
        <v>805</v>
      </c>
      <c r="G3669" s="86" t="s">
        <v>805</v>
      </c>
      <c r="H3669" s="143">
        <v>62</v>
      </c>
      <c r="I3669" s="86" t="s">
        <v>408</v>
      </c>
      <c r="J3669" s="1" t="s">
        <v>3324</v>
      </c>
      <c r="K3669" s="1" t="s">
        <v>3278</v>
      </c>
      <c r="L3669" s="1" t="s">
        <v>35</v>
      </c>
      <c r="M3669" s="86" t="s">
        <v>807</v>
      </c>
      <c r="N3669" s="86"/>
      <c r="O3669" s="47" t="s">
        <v>410</v>
      </c>
      <c r="P3669" s="47" t="s">
        <v>41</v>
      </c>
      <c r="Q3669" s="14">
        <v>0</v>
      </c>
      <c r="R3669" s="143">
        <v>1000006287</v>
      </c>
      <c r="S3669" s="47"/>
      <c r="T3669" s="6">
        <v>778.26</v>
      </c>
      <c r="U3669" s="6"/>
      <c r="V3669" s="6">
        <v>0</v>
      </c>
      <c r="W3669" s="6">
        <f t="shared" si="566"/>
        <v>778.26</v>
      </c>
      <c r="X3669" s="6">
        <f t="shared" si="567"/>
        <v>0</v>
      </c>
      <c r="Y3669" s="13">
        <f t="shared" si="568"/>
        <v>0</v>
      </c>
      <c r="Z3669" s="14">
        <v>0</v>
      </c>
      <c r="AA3669" s="6">
        <v>0</v>
      </c>
      <c r="AB3669" s="4">
        <f t="shared" si="569"/>
        <v>0</v>
      </c>
      <c r="AC3669" s="4">
        <f t="shared" si="571"/>
        <v>0</v>
      </c>
      <c r="AD3669" s="6">
        <f t="shared" si="564"/>
        <v>0</v>
      </c>
      <c r="AE3669" s="2">
        <f>VLOOKUP(I3669,[1]媒体政策预估表!A:N,MATCH(O3669,[1]媒体政策预估表!$A$2:$M$2,0),0)</f>
        <v>7.0000000000000007E-2</v>
      </c>
      <c r="AF3669" s="6">
        <f t="shared" si="572"/>
        <v>0</v>
      </c>
      <c r="AG3669" s="14">
        <v>0</v>
      </c>
      <c r="AH3669" s="64">
        <f t="shared" si="565"/>
        <v>0</v>
      </c>
      <c r="AI3669" s="47"/>
      <c r="AJ3669" s="126" t="e">
        <v>#N/A</v>
      </c>
      <c r="AK3669" s="80">
        <f t="shared" si="570"/>
        <v>0</v>
      </c>
      <c r="AM3669" s="85"/>
    </row>
    <row r="3670" spans="1:39" hidden="1" x14ac:dyDescent="0.3">
      <c r="A3670" s="89" t="s">
        <v>3395</v>
      </c>
      <c r="B3670" s="86" t="s">
        <v>35</v>
      </c>
      <c r="C3670" s="86" t="s">
        <v>144</v>
      </c>
      <c r="D3670" s="86" t="s">
        <v>145</v>
      </c>
      <c r="E3670" s="86" t="s">
        <v>805</v>
      </c>
      <c r="F3670" s="86" t="s">
        <v>805</v>
      </c>
      <c r="G3670" s="86" t="s">
        <v>805</v>
      </c>
      <c r="H3670" s="143">
        <v>62</v>
      </c>
      <c r="I3670" s="86" t="s">
        <v>408</v>
      </c>
      <c r="J3670" s="1" t="s">
        <v>3324</v>
      </c>
      <c r="K3670" s="1" t="s">
        <v>3278</v>
      </c>
      <c r="L3670" s="1" t="s">
        <v>35</v>
      </c>
      <c r="M3670" s="86" t="s">
        <v>808</v>
      </c>
      <c r="N3670" s="86"/>
      <c r="O3670" s="47" t="s">
        <v>45</v>
      </c>
      <c r="P3670" s="47" t="s">
        <v>46</v>
      </c>
      <c r="Q3670" s="14">
        <v>0.04</v>
      </c>
      <c r="R3670" s="143">
        <v>1000008342</v>
      </c>
      <c r="S3670" s="47"/>
      <c r="T3670" s="6">
        <v>10200</v>
      </c>
      <c r="U3670" s="6"/>
      <c r="V3670" s="6">
        <v>0</v>
      </c>
      <c r="W3670" s="6">
        <f t="shared" si="566"/>
        <v>10200</v>
      </c>
      <c r="X3670" s="6">
        <f t="shared" si="567"/>
        <v>0</v>
      </c>
      <c r="Y3670" s="13">
        <f t="shared" si="568"/>
        <v>0</v>
      </c>
      <c r="Z3670" s="14">
        <v>0</v>
      </c>
      <c r="AA3670" s="6">
        <v>0</v>
      </c>
      <c r="AB3670" s="4">
        <f t="shared" si="569"/>
        <v>0</v>
      </c>
      <c r="AC3670" s="4">
        <f t="shared" si="571"/>
        <v>0</v>
      </c>
      <c r="AD3670" s="6">
        <f t="shared" si="564"/>
        <v>0</v>
      </c>
      <c r="AE3670" s="2">
        <f>VLOOKUP(I3670,[1]媒体政策预估表!A:N,MATCH(O3670,[1]媒体政策预估表!$A$2:$M$2,0),0)</f>
        <v>0.12</v>
      </c>
      <c r="AF3670" s="6">
        <f t="shared" si="572"/>
        <v>0</v>
      </c>
      <c r="AG3670" s="14">
        <v>0</v>
      </c>
      <c r="AH3670" s="64">
        <f t="shared" si="565"/>
        <v>0</v>
      </c>
      <c r="AI3670" s="47"/>
      <c r="AJ3670" s="126" t="e">
        <v>#N/A</v>
      </c>
      <c r="AK3670" s="80">
        <f t="shared" si="570"/>
        <v>0</v>
      </c>
      <c r="AM3670" s="85"/>
    </row>
    <row r="3671" spans="1:39" hidden="1" x14ac:dyDescent="0.3">
      <c r="A3671" s="89" t="s">
        <v>3397</v>
      </c>
      <c r="B3671" s="86" t="s">
        <v>35</v>
      </c>
      <c r="C3671" s="86" t="s">
        <v>144</v>
      </c>
      <c r="D3671" s="86" t="s">
        <v>145</v>
      </c>
      <c r="E3671" s="86" t="s">
        <v>805</v>
      </c>
      <c r="F3671" s="86" t="s">
        <v>805</v>
      </c>
      <c r="G3671" s="86" t="s">
        <v>805</v>
      </c>
      <c r="H3671" s="143">
        <v>62</v>
      </c>
      <c r="I3671" s="86" t="s">
        <v>408</v>
      </c>
      <c r="J3671" s="1" t="s">
        <v>3324</v>
      </c>
      <c r="K3671" s="1" t="s">
        <v>3278</v>
      </c>
      <c r="L3671" s="1" t="s">
        <v>35</v>
      </c>
      <c r="M3671" s="86" t="s">
        <v>809</v>
      </c>
      <c r="N3671" s="86"/>
      <c r="O3671" s="47" t="s">
        <v>410</v>
      </c>
      <c r="P3671" s="47" t="s">
        <v>41</v>
      </c>
      <c r="Q3671" s="14">
        <v>0</v>
      </c>
      <c r="R3671" s="143">
        <v>1000013880</v>
      </c>
      <c r="S3671" s="47"/>
      <c r="T3671" s="6">
        <v>49.5</v>
      </c>
      <c r="U3671" s="6"/>
      <c r="V3671" s="6">
        <v>0</v>
      </c>
      <c r="W3671" s="6">
        <f t="shared" si="566"/>
        <v>49.5</v>
      </c>
      <c r="X3671" s="6">
        <f t="shared" si="567"/>
        <v>0</v>
      </c>
      <c r="Y3671" s="13">
        <f t="shared" si="568"/>
        <v>0</v>
      </c>
      <c r="Z3671" s="14">
        <v>0</v>
      </c>
      <c r="AA3671" s="6">
        <v>0</v>
      </c>
      <c r="AB3671" s="4">
        <f t="shared" si="569"/>
        <v>0</v>
      </c>
      <c r="AC3671" s="4">
        <f t="shared" si="571"/>
        <v>0</v>
      </c>
      <c r="AD3671" s="6">
        <f t="shared" si="564"/>
        <v>0</v>
      </c>
      <c r="AE3671" s="2">
        <f>VLOOKUP(I3671,[1]媒体政策预估表!A:N,MATCH(O3671,[1]媒体政策预估表!$A$2:$M$2,0),0)</f>
        <v>7.0000000000000007E-2</v>
      </c>
      <c r="AF3671" s="6">
        <f t="shared" si="572"/>
        <v>0</v>
      </c>
      <c r="AG3671" s="14">
        <v>0</v>
      </c>
      <c r="AH3671" s="64">
        <f t="shared" si="565"/>
        <v>0</v>
      </c>
      <c r="AI3671" s="47"/>
      <c r="AJ3671" s="126" t="e">
        <v>#N/A</v>
      </c>
      <c r="AK3671" s="80">
        <f t="shared" si="570"/>
        <v>0</v>
      </c>
      <c r="AM3671" s="85"/>
    </row>
    <row r="3672" spans="1:39" hidden="1" x14ac:dyDescent="0.3">
      <c r="A3672" s="89" t="s">
        <v>3395</v>
      </c>
      <c r="B3672" s="86" t="s">
        <v>35</v>
      </c>
      <c r="C3672" s="86" t="s">
        <v>144</v>
      </c>
      <c r="D3672" s="86" t="s">
        <v>145</v>
      </c>
      <c r="E3672" s="86" t="s">
        <v>805</v>
      </c>
      <c r="F3672" s="86" t="s">
        <v>805</v>
      </c>
      <c r="G3672" s="86" t="s">
        <v>805</v>
      </c>
      <c r="H3672" s="143">
        <v>62</v>
      </c>
      <c r="I3672" s="86" t="s">
        <v>408</v>
      </c>
      <c r="J3672" s="1" t="s">
        <v>3324</v>
      </c>
      <c r="K3672" s="1" t="s">
        <v>3278</v>
      </c>
      <c r="L3672" s="1" t="s">
        <v>35</v>
      </c>
      <c r="M3672" s="86" t="s">
        <v>810</v>
      </c>
      <c r="N3672" s="86"/>
      <c r="O3672" s="47" t="s">
        <v>410</v>
      </c>
      <c r="P3672" s="47" t="s">
        <v>41</v>
      </c>
      <c r="Q3672" s="14">
        <v>0</v>
      </c>
      <c r="R3672" s="143">
        <v>1000012766</v>
      </c>
      <c r="S3672" s="47"/>
      <c r="T3672" s="6">
        <v>3542.3</v>
      </c>
      <c r="U3672" s="6"/>
      <c r="V3672" s="6">
        <v>0</v>
      </c>
      <c r="W3672" s="6">
        <f t="shared" si="566"/>
        <v>3542.3</v>
      </c>
      <c r="X3672" s="6">
        <f t="shared" si="567"/>
        <v>0</v>
      </c>
      <c r="Y3672" s="13">
        <f t="shared" si="568"/>
        <v>0</v>
      </c>
      <c r="Z3672" s="14">
        <v>0</v>
      </c>
      <c r="AA3672" s="6">
        <v>0</v>
      </c>
      <c r="AB3672" s="4">
        <f t="shared" si="569"/>
        <v>0</v>
      </c>
      <c r="AC3672" s="4">
        <f t="shared" si="571"/>
        <v>0</v>
      </c>
      <c r="AD3672" s="6">
        <f t="shared" si="564"/>
        <v>0</v>
      </c>
      <c r="AE3672" s="2">
        <f>VLOOKUP(I3672,[1]媒体政策预估表!A:N,MATCH(O3672,[1]媒体政策预估表!$A$2:$M$2,0),0)</f>
        <v>7.0000000000000007E-2</v>
      </c>
      <c r="AF3672" s="6">
        <f t="shared" si="572"/>
        <v>0</v>
      </c>
      <c r="AG3672" s="14">
        <v>0</v>
      </c>
      <c r="AH3672" s="64">
        <f t="shared" si="565"/>
        <v>0</v>
      </c>
      <c r="AI3672" s="47"/>
      <c r="AJ3672" s="126" t="e">
        <v>#N/A</v>
      </c>
      <c r="AK3672" s="80">
        <f t="shared" si="570"/>
        <v>0</v>
      </c>
      <c r="AM3672" s="85"/>
    </row>
    <row r="3673" spans="1:39" hidden="1" x14ac:dyDescent="0.3">
      <c r="A3673" s="89" t="s">
        <v>3395</v>
      </c>
      <c r="B3673" s="86" t="s">
        <v>35</v>
      </c>
      <c r="C3673" s="86" t="s">
        <v>184</v>
      </c>
      <c r="D3673" s="86" t="s">
        <v>185</v>
      </c>
      <c r="E3673" s="86" t="s">
        <v>811</v>
      </c>
      <c r="F3673" s="86" t="s">
        <v>811</v>
      </c>
      <c r="G3673" s="86" t="s">
        <v>811</v>
      </c>
      <c r="H3673" s="143">
        <v>62</v>
      </c>
      <c r="I3673" s="86" t="s">
        <v>408</v>
      </c>
      <c r="J3673" s="1" t="s">
        <v>3324</v>
      </c>
      <c r="K3673" s="1" t="s">
        <v>3278</v>
      </c>
      <c r="L3673" s="1" t="s">
        <v>35</v>
      </c>
      <c r="M3673" s="86" t="s">
        <v>812</v>
      </c>
      <c r="N3673" s="86"/>
      <c r="O3673" s="47" t="s">
        <v>410</v>
      </c>
      <c r="P3673" s="47" t="s">
        <v>41</v>
      </c>
      <c r="Q3673" s="14">
        <v>0</v>
      </c>
      <c r="R3673" s="143">
        <v>1000017685</v>
      </c>
      <c r="S3673" s="47"/>
      <c r="T3673" s="6">
        <v>4203.45</v>
      </c>
      <c r="U3673" s="6"/>
      <c r="V3673" s="6">
        <v>0</v>
      </c>
      <c r="W3673" s="6">
        <f t="shared" si="566"/>
        <v>4203.45</v>
      </c>
      <c r="X3673" s="6">
        <f t="shared" si="567"/>
        <v>0</v>
      </c>
      <c r="Y3673" s="13">
        <f t="shared" si="568"/>
        <v>0</v>
      </c>
      <c r="Z3673" s="14">
        <v>0</v>
      </c>
      <c r="AA3673" s="6">
        <v>0</v>
      </c>
      <c r="AB3673" s="4">
        <f t="shared" si="569"/>
        <v>0</v>
      </c>
      <c r="AC3673" s="4">
        <f t="shared" si="571"/>
        <v>0</v>
      </c>
      <c r="AD3673" s="6">
        <f t="shared" si="564"/>
        <v>0</v>
      </c>
      <c r="AE3673" s="2">
        <f>VLOOKUP(I3673,[1]媒体政策预估表!A:N,MATCH(O3673,[1]媒体政策预估表!$A$2:$M$2,0),0)</f>
        <v>7.0000000000000007E-2</v>
      </c>
      <c r="AF3673" s="6">
        <f t="shared" si="572"/>
        <v>0</v>
      </c>
      <c r="AG3673" s="14">
        <v>0</v>
      </c>
      <c r="AH3673" s="64">
        <f t="shared" si="565"/>
        <v>0</v>
      </c>
      <c r="AI3673" s="47"/>
      <c r="AJ3673" s="126" t="e">
        <v>#N/A</v>
      </c>
      <c r="AK3673" s="80">
        <f t="shared" si="570"/>
        <v>0</v>
      </c>
      <c r="AM3673" s="85"/>
    </row>
    <row r="3674" spans="1:39" hidden="1" x14ac:dyDescent="0.3">
      <c r="A3674" s="89" t="s">
        <v>3395</v>
      </c>
      <c r="B3674" s="86" t="s">
        <v>35</v>
      </c>
      <c r="C3674" s="86" t="s">
        <v>184</v>
      </c>
      <c r="D3674" s="86" t="s">
        <v>185</v>
      </c>
      <c r="E3674" s="86" t="s">
        <v>813</v>
      </c>
      <c r="F3674" s="86" t="s">
        <v>813</v>
      </c>
      <c r="G3674" s="86" t="s">
        <v>813</v>
      </c>
      <c r="H3674" s="143">
        <v>62</v>
      </c>
      <c r="I3674" s="86" t="s">
        <v>408</v>
      </c>
      <c r="J3674" s="1" t="s">
        <v>3324</v>
      </c>
      <c r="K3674" s="1" t="s">
        <v>3278</v>
      </c>
      <c r="L3674" s="1" t="s">
        <v>35</v>
      </c>
      <c r="M3674" s="86" t="s">
        <v>814</v>
      </c>
      <c r="N3674" s="86"/>
      <c r="O3674" s="47" t="s">
        <v>410</v>
      </c>
      <c r="P3674" s="47" t="s">
        <v>46</v>
      </c>
      <c r="Q3674" s="14">
        <v>0.05</v>
      </c>
      <c r="R3674" s="143">
        <v>1000018310</v>
      </c>
      <c r="S3674" s="47"/>
      <c r="T3674" s="6">
        <v>33599.269999999997</v>
      </c>
      <c r="U3674" s="6"/>
      <c r="V3674" s="6">
        <v>0</v>
      </c>
      <c r="W3674" s="6">
        <f t="shared" si="566"/>
        <v>33599.269999999997</v>
      </c>
      <c r="X3674" s="6">
        <f t="shared" si="567"/>
        <v>0</v>
      </c>
      <c r="Y3674" s="13">
        <f t="shared" si="568"/>
        <v>0</v>
      </c>
      <c r="Z3674" s="14">
        <v>0</v>
      </c>
      <c r="AA3674" s="6">
        <v>0</v>
      </c>
      <c r="AB3674" s="4">
        <f t="shared" si="569"/>
        <v>0</v>
      </c>
      <c r="AC3674" s="4">
        <f t="shared" si="571"/>
        <v>0</v>
      </c>
      <c r="AD3674" s="6">
        <f t="shared" si="564"/>
        <v>0</v>
      </c>
      <c r="AE3674" s="2">
        <f>VLOOKUP(I3674,[1]媒体政策预估表!A:N,MATCH(O3674,[1]媒体政策预估表!$A$2:$M$2,0),0)</f>
        <v>7.0000000000000007E-2</v>
      </c>
      <c r="AF3674" s="6">
        <f t="shared" si="572"/>
        <v>0</v>
      </c>
      <c r="AG3674" s="14">
        <v>0</v>
      </c>
      <c r="AH3674" s="64">
        <f t="shared" si="565"/>
        <v>0</v>
      </c>
      <c r="AI3674" s="47"/>
      <c r="AJ3674" s="126" t="e">
        <v>#N/A</v>
      </c>
      <c r="AK3674" s="80">
        <f t="shared" si="570"/>
        <v>0</v>
      </c>
      <c r="AM3674" s="85"/>
    </row>
    <row r="3675" spans="1:39" hidden="1" x14ac:dyDescent="0.3">
      <c r="A3675" s="89" t="s">
        <v>3397</v>
      </c>
      <c r="B3675" s="86" t="s">
        <v>35</v>
      </c>
      <c r="C3675" s="86" t="s">
        <v>184</v>
      </c>
      <c r="D3675" s="86" t="s">
        <v>185</v>
      </c>
      <c r="E3675" s="86" t="s">
        <v>815</v>
      </c>
      <c r="F3675" s="86" t="s">
        <v>815</v>
      </c>
      <c r="G3675" s="86" t="s">
        <v>815</v>
      </c>
      <c r="H3675" s="143">
        <v>62</v>
      </c>
      <c r="I3675" s="86" t="s">
        <v>408</v>
      </c>
      <c r="J3675" s="1" t="s">
        <v>3324</v>
      </c>
      <c r="K3675" s="1" t="s">
        <v>3278</v>
      </c>
      <c r="L3675" s="1" t="s">
        <v>35</v>
      </c>
      <c r="M3675" s="86" t="s">
        <v>816</v>
      </c>
      <c r="N3675" s="86"/>
      <c r="O3675" s="47" t="s">
        <v>410</v>
      </c>
      <c r="P3675" s="47" t="s">
        <v>46</v>
      </c>
      <c r="Q3675" s="14">
        <v>0.02</v>
      </c>
      <c r="R3675" s="143">
        <v>1000020394</v>
      </c>
      <c r="S3675" s="47"/>
      <c r="T3675" s="6">
        <v>5730.1</v>
      </c>
      <c r="U3675" s="6"/>
      <c r="V3675" s="6">
        <v>0</v>
      </c>
      <c r="W3675" s="6">
        <f t="shared" si="566"/>
        <v>5730.1</v>
      </c>
      <c r="X3675" s="6">
        <f t="shared" si="567"/>
        <v>0</v>
      </c>
      <c r="Y3675" s="13">
        <f t="shared" si="568"/>
        <v>0</v>
      </c>
      <c r="Z3675" s="14">
        <v>0</v>
      </c>
      <c r="AA3675" s="6">
        <v>0</v>
      </c>
      <c r="AB3675" s="4">
        <f t="shared" si="569"/>
        <v>0</v>
      </c>
      <c r="AC3675" s="4">
        <f t="shared" si="571"/>
        <v>0</v>
      </c>
      <c r="AD3675" s="6">
        <f t="shared" si="564"/>
        <v>0</v>
      </c>
      <c r="AE3675" s="2">
        <f>VLOOKUP(I3675,[1]媒体政策预估表!A:N,MATCH(O3675,[1]媒体政策预估表!$A$2:$M$2,0),0)</f>
        <v>7.0000000000000007E-2</v>
      </c>
      <c r="AF3675" s="6">
        <f t="shared" si="572"/>
        <v>0</v>
      </c>
      <c r="AG3675" s="14">
        <v>0</v>
      </c>
      <c r="AH3675" s="64">
        <f t="shared" si="565"/>
        <v>0</v>
      </c>
      <c r="AI3675" s="47"/>
      <c r="AJ3675" s="126" t="e">
        <v>#N/A</v>
      </c>
      <c r="AK3675" s="80">
        <f t="shared" si="570"/>
        <v>0</v>
      </c>
      <c r="AM3675" s="85"/>
    </row>
    <row r="3676" spans="1:39" hidden="1" x14ac:dyDescent="0.3">
      <c r="A3676" s="89" t="s">
        <v>3395</v>
      </c>
      <c r="B3676" s="86" t="s">
        <v>35</v>
      </c>
      <c r="C3676" s="86" t="s">
        <v>184</v>
      </c>
      <c r="D3676" s="86" t="s">
        <v>185</v>
      </c>
      <c r="E3676" s="86" t="s">
        <v>817</v>
      </c>
      <c r="F3676" s="86" t="s">
        <v>817</v>
      </c>
      <c r="G3676" s="86" t="s">
        <v>817</v>
      </c>
      <c r="H3676" s="143">
        <v>62</v>
      </c>
      <c r="I3676" s="86" t="s">
        <v>408</v>
      </c>
      <c r="J3676" s="1" t="s">
        <v>3324</v>
      </c>
      <c r="K3676" s="1" t="s">
        <v>3278</v>
      </c>
      <c r="L3676" s="1" t="s">
        <v>35</v>
      </c>
      <c r="M3676" s="86" t="s">
        <v>818</v>
      </c>
      <c r="N3676" s="86"/>
      <c r="O3676" s="47" t="s">
        <v>45</v>
      </c>
      <c r="P3676" s="47" t="s">
        <v>41</v>
      </c>
      <c r="Q3676" s="14">
        <v>0</v>
      </c>
      <c r="R3676" s="143">
        <v>1000009833</v>
      </c>
      <c r="S3676" s="47"/>
      <c r="T3676" s="6">
        <v>4648.87</v>
      </c>
      <c r="U3676" s="6"/>
      <c r="V3676" s="6">
        <v>0</v>
      </c>
      <c r="W3676" s="6">
        <f t="shared" si="566"/>
        <v>4648.87</v>
      </c>
      <c r="X3676" s="6">
        <f t="shared" si="567"/>
        <v>0</v>
      </c>
      <c r="Y3676" s="13">
        <f t="shared" si="568"/>
        <v>0</v>
      </c>
      <c r="Z3676" s="14">
        <v>0</v>
      </c>
      <c r="AA3676" s="6">
        <v>0</v>
      </c>
      <c r="AB3676" s="4">
        <f t="shared" si="569"/>
        <v>0</v>
      </c>
      <c r="AC3676" s="4">
        <f t="shared" si="571"/>
        <v>0</v>
      </c>
      <c r="AD3676" s="6">
        <f t="shared" si="564"/>
        <v>0</v>
      </c>
      <c r="AE3676" s="2">
        <f>VLOOKUP(I3676,[1]媒体政策预估表!A:N,MATCH(O3676,[1]媒体政策预估表!$A$2:$M$2,0),0)</f>
        <v>0.12</v>
      </c>
      <c r="AF3676" s="6">
        <f t="shared" si="572"/>
        <v>0</v>
      </c>
      <c r="AG3676" s="14">
        <v>0</v>
      </c>
      <c r="AH3676" s="64">
        <f t="shared" si="565"/>
        <v>0</v>
      </c>
      <c r="AI3676" s="47"/>
      <c r="AJ3676" s="126" t="e">
        <v>#N/A</v>
      </c>
      <c r="AK3676" s="80">
        <f t="shared" si="570"/>
        <v>0</v>
      </c>
      <c r="AM3676" s="85"/>
    </row>
    <row r="3677" spans="1:39" hidden="1" x14ac:dyDescent="0.3">
      <c r="A3677" s="89" t="s">
        <v>3395</v>
      </c>
      <c r="B3677" s="86" t="s">
        <v>35</v>
      </c>
      <c r="C3677" s="86" t="s">
        <v>184</v>
      </c>
      <c r="D3677" s="86" t="s">
        <v>185</v>
      </c>
      <c r="E3677" s="86" t="s">
        <v>819</v>
      </c>
      <c r="F3677" s="86" t="s">
        <v>819</v>
      </c>
      <c r="G3677" s="86" t="s">
        <v>819</v>
      </c>
      <c r="H3677" s="143">
        <v>62</v>
      </c>
      <c r="I3677" s="86" t="s">
        <v>408</v>
      </c>
      <c r="J3677" s="1" t="s">
        <v>3324</v>
      </c>
      <c r="K3677" s="1" t="s">
        <v>3278</v>
      </c>
      <c r="L3677" s="1" t="s">
        <v>35</v>
      </c>
      <c r="M3677" s="86" t="s">
        <v>820</v>
      </c>
      <c r="N3677" s="86"/>
      <c r="O3677" s="47" t="s">
        <v>410</v>
      </c>
      <c r="P3677" s="47" t="s">
        <v>46</v>
      </c>
      <c r="Q3677" s="14">
        <v>0.02</v>
      </c>
      <c r="R3677" s="143">
        <v>1000025032</v>
      </c>
      <c r="S3677" s="47"/>
      <c r="T3677" s="6">
        <v>110</v>
      </c>
      <c r="U3677" s="6"/>
      <c r="V3677" s="6">
        <v>0</v>
      </c>
      <c r="W3677" s="6">
        <f t="shared" si="566"/>
        <v>110</v>
      </c>
      <c r="X3677" s="6">
        <f t="shared" si="567"/>
        <v>0</v>
      </c>
      <c r="Y3677" s="13">
        <f t="shared" si="568"/>
        <v>0</v>
      </c>
      <c r="Z3677" s="14">
        <v>0</v>
      </c>
      <c r="AA3677" s="6">
        <v>0</v>
      </c>
      <c r="AB3677" s="4">
        <f t="shared" si="569"/>
        <v>0</v>
      </c>
      <c r="AC3677" s="4">
        <f t="shared" si="571"/>
        <v>0</v>
      </c>
      <c r="AD3677" s="6">
        <f t="shared" si="564"/>
        <v>0</v>
      </c>
      <c r="AE3677" s="2">
        <f>VLOOKUP(I3677,[1]媒体政策预估表!A:N,MATCH(O3677,[1]媒体政策预估表!$A$2:$M$2,0),0)</f>
        <v>7.0000000000000007E-2</v>
      </c>
      <c r="AF3677" s="6">
        <f t="shared" si="572"/>
        <v>0</v>
      </c>
      <c r="AG3677" s="14">
        <v>0</v>
      </c>
      <c r="AH3677" s="64">
        <f t="shared" si="565"/>
        <v>0</v>
      </c>
      <c r="AI3677" s="47"/>
      <c r="AJ3677" s="126" t="e">
        <v>#N/A</v>
      </c>
      <c r="AK3677" s="80">
        <f t="shared" si="570"/>
        <v>0</v>
      </c>
      <c r="AM3677" s="85"/>
    </row>
    <row r="3678" spans="1:39" hidden="1" x14ac:dyDescent="0.3">
      <c r="A3678" s="89" t="s">
        <v>3397</v>
      </c>
      <c r="B3678" s="86" t="s">
        <v>35</v>
      </c>
      <c r="C3678" s="86" t="s">
        <v>184</v>
      </c>
      <c r="D3678" s="86" t="s">
        <v>185</v>
      </c>
      <c r="E3678" s="86" t="s">
        <v>821</v>
      </c>
      <c r="F3678" s="86" t="s">
        <v>821</v>
      </c>
      <c r="G3678" s="86" t="s">
        <v>821</v>
      </c>
      <c r="H3678" s="143">
        <v>62</v>
      </c>
      <c r="I3678" s="86" t="s">
        <v>408</v>
      </c>
      <c r="J3678" s="1" t="s">
        <v>3324</v>
      </c>
      <c r="K3678" s="1" t="s">
        <v>3278</v>
      </c>
      <c r="L3678" s="1" t="s">
        <v>35</v>
      </c>
      <c r="M3678" s="86" t="s">
        <v>822</v>
      </c>
      <c r="N3678" s="86"/>
      <c r="O3678" s="47" t="s">
        <v>410</v>
      </c>
      <c r="P3678" s="47" t="s">
        <v>41</v>
      </c>
      <c r="Q3678" s="14">
        <v>0</v>
      </c>
      <c r="R3678" s="143">
        <v>1000030803</v>
      </c>
      <c r="S3678" s="47"/>
      <c r="T3678" s="6">
        <v>9231.0499999999993</v>
      </c>
      <c r="U3678" s="6"/>
      <c r="V3678" s="6">
        <v>0</v>
      </c>
      <c r="W3678" s="6">
        <f t="shared" si="566"/>
        <v>9231.0499999999993</v>
      </c>
      <c r="X3678" s="6">
        <f t="shared" si="567"/>
        <v>0</v>
      </c>
      <c r="Y3678" s="13">
        <f t="shared" si="568"/>
        <v>0</v>
      </c>
      <c r="Z3678" s="14">
        <v>0</v>
      </c>
      <c r="AA3678" s="6">
        <v>0</v>
      </c>
      <c r="AB3678" s="4">
        <f t="shared" si="569"/>
        <v>0</v>
      </c>
      <c r="AC3678" s="4">
        <f t="shared" si="571"/>
        <v>0</v>
      </c>
      <c r="AD3678" s="6">
        <f t="shared" si="564"/>
        <v>0</v>
      </c>
      <c r="AE3678" s="2">
        <f>VLOOKUP(I3678,[1]媒体政策预估表!A:N,MATCH(O3678,[1]媒体政策预估表!$A$2:$M$2,0),0)</f>
        <v>7.0000000000000007E-2</v>
      </c>
      <c r="AF3678" s="6">
        <f t="shared" si="572"/>
        <v>0</v>
      </c>
      <c r="AG3678" s="14">
        <v>0</v>
      </c>
      <c r="AH3678" s="64">
        <f t="shared" si="565"/>
        <v>0</v>
      </c>
      <c r="AI3678" s="47"/>
      <c r="AJ3678" s="126" t="e">
        <v>#N/A</v>
      </c>
      <c r="AK3678" s="80">
        <f t="shared" si="570"/>
        <v>0</v>
      </c>
      <c r="AM3678" s="85"/>
    </row>
    <row r="3679" spans="1:39" hidden="1" x14ac:dyDescent="0.3">
      <c r="A3679" s="89" t="s">
        <v>3395</v>
      </c>
      <c r="B3679" s="86" t="s">
        <v>35</v>
      </c>
      <c r="C3679" s="86" t="s">
        <v>36</v>
      </c>
      <c r="D3679" s="86" t="s">
        <v>823</v>
      </c>
      <c r="E3679" s="86" t="s">
        <v>824</v>
      </c>
      <c r="F3679" s="86" t="s">
        <v>824</v>
      </c>
      <c r="G3679" s="86" t="s">
        <v>824</v>
      </c>
      <c r="H3679" s="143">
        <v>62</v>
      </c>
      <c r="I3679" s="86" t="s">
        <v>408</v>
      </c>
      <c r="J3679" s="1" t="s">
        <v>3324</v>
      </c>
      <c r="K3679" s="1" t="s">
        <v>3278</v>
      </c>
      <c r="L3679" s="1" t="s">
        <v>35</v>
      </c>
      <c r="M3679" s="86" t="s">
        <v>825</v>
      </c>
      <c r="N3679" s="86"/>
      <c r="O3679" s="47" t="s">
        <v>410</v>
      </c>
      <c r="P3679" s="47" t="s">
        <v>46</v>
      </c>
      <c r="Q3679" s="14">
        <v>0.14000000000000001</v>
      </c>
      <c r="R3679" s="143">
        <v>1000026795</v>
      </c>
      <c r="S3679" s="47"/>
      <c r="T3679" s="6">
        <v>11400</v>
      </c>
      <c r="U3679" s="6"/>
      <c r="V3679" s="6">
        <v>0</v>
      </c>
      <c r="W3679" s="6">
        <f t="shared" si="566"/>
        <v>11400</v>
      </c>
      <c r="X3679" s="6">
        <f t="shared" si="567"/>
        <v>0</v>
      </c>
      <c r="Y3679" s="13">
        <f t="shared" si="568"/>
        <v>0</v>
      </c>
      <c r="Z3679" s="14">
        <v>0</v>
      </c>
      <c r="AA3679" s="6">
        <v>0</v>
      </c>
      <c r="AB3679" s="4">
        <f t="shared" si="569"/>
        <v>0</v>
      </c>
      <c r="AC3679" s="4">
        <f t="shared" si="571"/>
        <v>0</v>
      </c>
      <c r="AD3679" s="6">
        <f t="shared" si="564"/>
        <v>0</v>
      </c>
      <c r="AE3679" s="2">
        <f>VLOOKUP(I3679,[1]媒体政策预估表!A:N,MATCH(O3679,[1]媒体政策预估表!$A$2:$M$2,0),0)</f>
        <v>7.0000000000000007E-2</v>
      </c>
      <c r="AF3679" s="6">
        <f t="shared" si="572"/>
        <v>0</v>
      </c>
      <c r="AG3679" s="14">
        <v>0</v>
      </c>
      <c r="AH3679" s="64">
        <f t="shared" si="565"/>
        <v>0</v>
      </c>
      <c r="AI3679" s="47"/>
      <c r="AJ3679" s="126" t="e">
        <v>#N/A</v>
      </c>
      <c r="AK3679" s="80">
        <f t="shared" si="570"/>
        <v>0</v>
      </c>
      <c r="AM3679" s="85"/>
    </row>
    <row r="3680" spans="1:39" hidden="1" x14ac:dyDescent="0.3">
      <c r="A3680" s="89" t="s">
        <v>3395</v>
      </c>
      <c r="B3680" s="86" t="s">
        <v>35</v>
      </c>
      <c r="C3680" s="86" t="s">
        <v>184</v>
      </c>
      <c r="D3680" s="86" t="s">
        <v>298</v>
      </c>
      <c r="E3680" s="86" t="s">
        <v>826</v>
      </c>
      <c r="F3680" s="86" t="s">
        <v>826</v>
      </c>
      <c r="G3680" s="86" t="s">
        <v>826</v>
      </c>
      <c r="H3680" s="143">
        <v>62</v>
      </c>
      <c r="I3680" s="86" t="s">
        <v>408</v>
      </c>
      <c r="J3680" s="1" t="s">
        <v>3324</v>
      </c>
      <c r="K3680" s="1" t="s">
        <v>3278</v>
      </c>
      <c r="L3680" s="1" t="s">
        <v>35</v>
      </c>
      <c r="M3680" s="86" t="s">
        <v>827</v>
      </c>
      <c r="N3680" s="86"/>
      <c r="O3680" s="47" t="s">
        <v>45</v>
      </c>
      <c r="P3680" s="47" t="s">
        <v>46</v>
      </c>
      <c r="Q3680" s="14">
        <v>0.12</v>
      </c>
      <c r="R3680" s="143">
        <v>1000034280</v>
      </c>
      <c r="S3680" s="47"/>
      <c r="T3680" s="6">
        <v>5000</v>
      </c>
      <c r="U3680" s="6"/>
      <c r="V3680" s="6">
        <v>0</v>
      </c>
      <c r="W3680" s="6">
        <f t="shared" si="566"/>
        <v>5000</v>
      </c>
      <c r="X3680" s="6">
        <f t="shared" si="567"/>
        <v>0</v>
      </c>
      <c r="Y3680" s="13">
        <f t="shared" si="568"/>
        <v>0</v>
      </c>
      <c r="Z3680" s="14">
        <v>0</v>
      </c>
      <c r="AA3680" s="6">
        <v>0</v>
      </c>
      <c r="AB3680" s="4"/>
      <c r="AC3680" s="4">
        <f t="shared" si="571"/>
        <v>0</v>
      </c>
      <c r="AD3680" s="6">
        <f t="shared" si="564"/>
        <v>0</v>
      </c>
      <c r="AE3680" s="2">
        <f>VLOOKUP(I3680,[1]媒体政策预估表!A:N,MATCH(O3680,[1]媒体政策预估表!$A$2:$M$2,0),0)</f>
        <v>0.12</v>
      </c>
      <c r="AF3680" s="6">
        <f t="shared" si="572"/>
        <v>0</v>
      </c>
      <c r="AG3680" s="14">
        <v>0</v>
      </c>
      <c r="AH3680" s="64">
        <f t="shared" si="565"/>
        <v>0</v>
      </c>
      <c r="AI3680" s="47"/>
      <c r="AJ3680" s="126">
        <v>28</v>
      </c>
      <c r="AK3680" s="80">
        <f t="shared" si="570"/>
        <v>0</v>
      </c>
      <c r="AM3680" s="85"/>
    </row>
    <row r="3681" spans="1:39" hidden="1" x14ac:dyDescent="0.3">
      <c r="A3681" s="89" t="s">
        <v>3395</v>
      </c>
      <c r="B3681" s="86" t="s">
        <v>35</v>
      </c>
      <c r="C3681" s="86" t="s">
        <v>184</v>
      </c>
      <c r="D3681" s="86" t="s">
        <v>298</v>
      </c>
      <c r="E3681" s="86" t="s">
        <v>826</v>
      </c>
      <c r="F3681" s="86" t="s">
        <v>826</v>
      </c>
      <c r="G3681" s="86" t="s">
        <v>826</v>
      </c>
      <c r="H3681" s="143">
        <v>62</v>
      </c>
      <c r="I3681" s="86" t="s">
        <v>408</v>
      </c>
      <c r="J3681" s="1" t="s">
        <v>3324</v>
      </c>
      <c r="K3681" s="1" t="s">
        <v>3278</v>
      </c>
      <c r="L3681" s="1" t="s">
        <v>35</v>
      </c>
      <c r="M3681" s="86" t="s">
        <v>828</v>
      </c>
      <c r="N3681" s="86"/>
      <c r="O3681" s="47" t="s">
        <v>45</v>
      </c>
      <c r="P3681" s="47" t="s">
        <v>46</v>
      </c>
      <c r="Q3681" s="14">
        <v>0.12</v>
      </c>
      <c r="R3681" s="143">
        <v>1000033907</v>
      </c>
      <c r="S3681" s="47"/>
      <c r="T3681" s="6">
        <v>4566.68</v>
      </c>
      <c r="U3681" s="6"/>
      <c r="V3681" s="6">
        <v>0</v>
      </c>
      <c r="W3681" s="6">
        <f t="shared" si="566"/>
        <v>4566.68</v>
      </c>
      <c r="X3681" s="6">
        <f t="shared" si="567"/>
        <v>0</v>
      </c>
      <c r="Y3681" s="13">
        <f t="shared" si="568"/>
        <v>0</v>
      </c>
      <c r="Z3681" s="14">
        <v>0</v>
      </c>
      <c r="AA3681" s="6">
        <v>0</v>
      </c>
      <c r="AB3681" s="4"/>
      <c r="AC3681" s="4">
        <f t="shared" si="571"/>
        <v>0</v>
      </c>
      <c r="AD3681" s="6">
        <f t="shared" si="564"/>
        <v>0</v>
      </c>
      <c r="AE3681" s="2">
        <f>VLOOKUP(I3681,[1]媒体政策预估表!A:N,MATCH(O3681,[1]媒体政策预估表!$A$2:$M$2,0),0)</f>
        <v>0.12</v>
      </c>
      <c r="AF3681" s="6">
        <f t="shared" si="572"/>
        <v>0</v>
      </c>
      <c r="AG3681" s="14">
        <v>0</v>
      </c>
      <c r="AH3681" s="64">
        <f t="shared" si="565"/>
        <v>0</v>
      </c>
      <c r="AI3681" s="47"/>
      <c r="AJ3681" s="126">
        <v>28</v>
      </c>
      <c r="AK3681" s="80">
        <f t="shared" si="570"/>
        <v>0</v>
      </c>
      <c r="AM3681" s="85"/>
    </row>
    <row r="3682" spans="1:39" hidden="1" x14ac:dyDescent="0.3">
      <c r="A3682" s="89" t="s">
        <v>3395</v>
      </c>
      <c r="B3682" s="86" t="s">
        <v>35</v>
      </c>
      <c r="C3682" s="86" t="s">
        <v>184</v>
      </c>
      <c r="D3682" s="86" t="s">
        <v>298</v>
      </c>
      <c r="E3682" s="86" t="s">
        <v>829</v>
      </c>
      <c r="F3682" s="86" t="s">
        <v>829</v>
      </c>
      <c r="G3682" s="86" t="s">
        <v>829</v>
      </c>
      <c r="H3682" s="143">
        <v>62</v>
      </c>
      <c r="I3682" s="86" t="s">
        <v>408</v>
      </c>
      <c r="J3682" s="1" t="s">
        <v>3324</v>
      </c>
      <c r="K3682" s="1" t="s">
        <v>3278</v>
      </c>
      <c r="L3682" s="1" t="s">
        <v>35</v>
      </c>
      <c r="M3682" s="86" t="s">
        <v>830</v>
      </c>
      <c r="N3682" s="86"/>
      <c r="O3682" s="47" t="s">
        <v>410</v>
      </c>
      <c r="P3682" s="47" t="s">
        <v>46</v>
      </c>
      <c r="Q3682" s="14">
        <v>0.02</v>
      </c>
      <c r="R3682" s="143">
        <v>1000022171</v>
      </c>
      <c r="S3682" s="47"/>
      <c r="T3682" s="6">
        <v>4893.2</v>
      </c>
      <c r="U3682" s="6"/>
      <c r="V3682" s="6">
        <v>0</v>
      </c>
      <c r="W3682" s="6">
        <f t="shared" si="566"/>
        <v>4893.2</v>
      </c>
      <c r="X3682" s="6">
        <f t="shared" si="567"/>
        <v>0</v>
      </c>
      <c r="Y3682" s="13">
        <f t="shared" si="568"/>
        <v>0</v>
      </c>
      <c r="Z3682" s="14">
        <v>0</v>
      </c>
      <c r="AA3682" s="6">
        <v>0</v>
      </c>
      <c r="AB3682" s="4">
        <f t="shared" si="569"/>
        <v>0</v>
      </c>
      <c r="AC3682" s="4">
        <f t="shared" si="571"/>
        <v>0</v>
      </c>
      <c r="AD3682" s="6">
        <f t="shared" si="564"/>
        <v>0</v>
      </c>
      <c r="AE3682" s="2">
        <f>VLOOKUP(I3682,[1]媒体政策预估表!A:N,MATCH(O3682,[1]媒体政策预估表!$A$2:$M$2,0),0)</f>
        <v>7.0000000000000007E-2</v>
      </c>
      <c r="AF3682" s="6">
        <f t="shared" si="572"/>
        <v>0</v>
      </c>
      <c r="AG3682" s="14">
        <v>0</v>
      </c>
      <c r="AH3682" s="64">
        <f t="shared" si="565"/>
        <v>0</v>
      </c>
      <c r="AI3682" s="47"/>
      <c r="AJ3682" s="126" t="e">
        <v>#N/A</v>
      </c>
      <c r="AK3682" s="80">
        <f t="shared" si="570"/>
        <v>0</v>
      </c>
      <c r="AM3682" s="85"/>
    </row>
    <row r="3683" spans="1:39" hidden="1" x14ac:dyDescent="0.3">
      <c r="A3683" s="89" t="s">
        <v>3397</v>
      </c>
      <c r="B3683" s="86" t="s">
        <v>35</v>
      </c>
      <c r="C3683" s="86" t="s">
        <v>184</v>
      </c>
      <c r="D3683" s="86" t="s">
        <v>298</v>
      </c>
      <c r="E3683" s="86" t="s">
        <v>831</v>
      </c>
      <c r="F3683" s="86" t="s">
        <v>831</v>
      </c>
      <c r="G3683" s="86" t="s">
        <v>831</v>
      </c>
      <c r="H3683" s="143">
        <v>62</v>
      </c>
      <c r="I3683" s="86" t="s">
        <v>408</v>
      </c>
      <c r="J3683" s="1" t="s">
        <v>3324</v>
      </c>
      <c r="K3683" s="1" t="s">
        <v>3278</v>
      </c>
      <c r="L3683" s="1" t="s">
        <v>35</v>
      </c>
      <c r="M3683" s="86" t="s">
        <v>832</v>
      </c>
      <c r="N3683" s="86"/>
      <c r="O3683" s="47" t="s">
        <v>45</v>
      </c>
      <c r="P3683" s="47" t="s">
        <v>46</v>
      </c>
      <c r="Q3683" s="14">
        <v>0.08</v>
      </c>
      <c r="R3683" s="143">
        <v>1000027257</v>
      </c>
      <c r="S3683" s="47"/>
      <c r="T3683" s="6">
        <v>188113.3</v>
      </c>
      <c r="U3683" s="6"/>
      <c r="V3683" s="6">
        <v>0</v>
      </c>
      <c r="W3683" s="6">
        <f t="shared" si="566"/>
        <v>188113.3</v>
      </c>
      <c r="X3683" s="6">
        <f t="shared" si="567"/>
        <v>0</v>
      </c>
      <c r="Y3683" s="13">
        <f t="shared" si="568"/>
        <v>0</v>
      </c>
      <c r="Z3683" s="14">
        <v>0</v>
      </c>
      <c r="AA3683" s="6">
        <v>0</v>
      </c>
      <c r="AB3683" s="4"/>
      <c r="AC3683" s="4">
        <f t="shared" si="571"/>
        <v>0</v>
      </c>
      <c r="AD3683" s="6">
        <f t="shared" si="564"/>
        <v>0</v>
      </c>
      <c r="AE3683" s="2">
        <f>VLOOKUP(I3683,[1]媒体政策预估表!A:N,MATCH(O3683,[1]媒体政策预估表!$A$2:$M$2,0),0)</f>
        <v>0.12</v>
      </c>
      <c r="AF3683" s="6">
        <f t="shared" si="572"/>
        <v>0</v>
      </c>
      <c r="AG3683" s="14">
        <v>0</v>
      </c>
      <c r="AH3683" s="64">
        <f t="shared" si="565"/>
        <v>0</v>
      </c>
      <c r="AI3683" s="47"/>
      <c r="AJ3683" s="126">
        <v>25</v>
      </c>
      <c r="AK3683" s="80">
        <f t="shared" si="570"/>
        <v>0</v>
      </c>
      <c r="AM3683" s="85"/>
    </row>
    <row r="3684" spans="1:39" hidden="1" x14ac:dyDescent="0.3">
      <c r="A3684" s="89" t="s">
        <v>3395</v>
      </c>
      <c r="B3684" s="86" t="s">
        <v>35</v>
      </c>
      <c r="C3684" s="86" t="s">
        <v>184</v>
      </c>
      <c r="D3684" s="86" t="s">
        <v>298</v>
      </c>
      <c r="E3684" s="86" t="s">
        <v>833</v>
      </c>
      <c r="F3684" s="86" t="s">
        <v>833</v>
      </c>
      <c r="G3684" s="86" t="s">
        <v>833</v>
      </c>
      <c r="H3684" s="143">
        <v>62</v>
      </c>
      <c r="I3684" s="86" t="s">
        <v>408</v>
      </c>
      <c r="J3684" s="1" t="s">
        <v>3324</v>
      </c>
      <c r="K3684" s="1" t="s">
        <v>3278</v>
      </c>
      <c r="L3684" s="1" t="s">
        <v>35</v>
      </c>
      <c r="M3684" s="86" t="s">
        <v>834</v>
      </c>
      <c r="N3684" s="86"/>
      <c r="O3684" s="47" t="s">
        <v>410</v>
      </c>
      <c r="P3684" s="47" t="s">
        <v>46</v>
      </c>
      <c r="Q3684" s="14">
        <v>0.06</v>
      </c>
      <c r="R3684" s="143">
        <v>1000010261</v>
      </c>
      <c r="S3684" s="47"/>
      <c r="T3684" s="6">
        <v>9056.2000000000007</v>
      </c>
      <c r="U3684" s="6"/>
      <c r="V3684" s="6">
        <v>0</v>
      </c>
      <c r="W3684" s="6">
        <f t="shared" si="566"/>
        <v>9056.2000000000007</v>
      </c>
      <c r="X3684" s="6">
        <f t="shared" si="567"/>
        <v>0</v>
      </c>
      <c r="Y3684" s="13">
        <f t="shared" si="568"/>
        <v>0</v>
      </c>
      <c r="Z3684" s="14">
        <v>0</v>
      </c>
      <c r="AA3684" s="6">
        <v>0</v>
      </c>
      <c r="AB3684" s="4">
        <f t="shared" si="569"/>
        <v>0</v>
      </c>
      <c r="AC3684" s="4">
        <f t="shared" si="571"/>
        <v>0</v>
      </c>
      <c r="AD3684" s="6">
        <f t="shared" ref="AD3684:AD3747" si="573">V3684</f>
        <v>0</v>
      </c>
      <c r="AE3684" s="2">
        <f>VLOOKUP(I3684,[1]媒体政策预估表!A:N,MATCH(O3684,[1]媒体政策预估表!$A$2:$M$2,0),0)</f>
        <v>7.0000000000000007E-2</v>
      </c>
      <c r="AF3684" s="6">
        <f t="shared" si="572"/>
        <v>0</v>
      </c>
      <c r="AG3684" s="14">
        <v>0</v>
      </c>
      <c r="AH3684" s="64">
        <f t="shared" ref="AH3684:AH3747" si="574">V3684</f>
        <v>0</v>
      </c>
      <c r="AI3684" s="47"/>
      <c r="AJ3684" s="126" t="e">
        <v>#N/A</v>
      </c>
      <c r="AK3684" s="80">
        <f t="shared" si="570"/>
        <v>0</v>
      </c>
      <c r="AM3684" s="85"/>
    </row>
    <row r="3685" spans="1:39" hidden="1" x14ac:dyDescent="0.3">
      <c r="A3685" s="89" t="s">
        <v>3394</v>
      </c>
      <c r="B3685" s="86" t="s">
        <v>35</v>
      </c>
      <c r="C3685" s="86" t="s">
        <v>184</v>
      </c>
      <c r="D3685" s="86" t="s">
        <v>298</v>
      </c>
      <c r="E3685" s="86" t="s">
        <v>835</v>
      </c>
      <c r="F3685" s="86" t="s">
        <v>835</v>
      </c>
      <c r="G3685" s="86" t="s">
        <v>835</v>
      </c>
      <c r="H3685" s="143">
        <v>62</v>
      </c>
      <c r="I3685" s="86" t="s">
        <v>408</v>
      </c>
      <c r="J3685" s="1" t="s">
        <v>3324</v>
      </c>
      <c r="K3685" s="1" t="s">
        <v>3278</v>
      </c>
      <c r="L3685" s="1" t="s">
        <v>35</v>
      </c>
      <c r="M3685" s="86" t="s">
        <v>836</v>
      </c>
      <c r="N3685" s="86"/>
      <c r="O3685" s="47" t="s">
        <v>410</v>
      </c>
      <c r="P3685" s="47" t="s">
        <v>46</v>
      </c>
      <c r="Q3685" s="14">
        <v>0.06</v>
      </c>
      <c r="R3685" s="143">
        <v>1000040479</v>
      </c>
      <c r="S3685" s="47"/>
      <c r="T3685" s="6">
        <v>3920.2</v>
      </c>
      <c r="U3685" s="6"/>
      <c r="V3685" s="6">
        <v>0</v>
      </c>
      <c r="W3685" s="6">
        <f t="shared" si="566"/>
        <v>3920.2</v>
      </c>
      <c r="X3685" s="6">
        <f t="shared" si="567"/>
        <v>0</v>
      </c>
      <c r="Y3685" s="13">
        <f t="shared" si="568"/>
        <v>0</v>
      </c>
      <c r="Z3685" s="14">
        <v>0</v>
      </c>
      <c r="AA3685" s="6">
        <v>0</v>
      </c>
      <c r="AB3685" s="4"/>
      <c r="AC3685" s="4">
        <f t="shared" si="571"/>
        <v>0</v>
      </c>
      <c r="AD3685" s="6">
        <f t="shared" si="573"/>
        <v>0</v>
      </c>
      <c r="AE3685" s="2">
        <f>VLOOKUP(I3685,[1]媒体政策预估表!A:N,MATCH(O3685,[1]媒体政策预估表!$A$2:$M$2,0),0)</f>
        <v>7.0000000000000007E-2</v>
      </c>
      <c r="AF3685" s="6">
        <f t="shared" si="572"/>
        <v>0</v>
      </c>
      <c r="AG3685" s="14">
        <v>0</v>
      </c>
      <c r="AH3685" s="64">
        <f t="shared" si="574"/>
        <v>0</v>
      </c>
      <c r="AI3685" s="47"/>
      <c r="AJ3685" s="126">
        <v>14</v>
      </c>
      <c r="AK3685" s="80">
        <f t="shared" si="570"/>
        <v>0</v>
      </c>
      <c r="AM3685" s="85"/>
    </row>
    <row r="3686" spans="1:39" hidden="1" x14ac:dyDescent="0.3">
      <c r="A3686" s="89" t="s">
        <v>3395</v>
      </c>
      <c r="B3686" s="86" t="s">
        <v>35</v>
      </c>
      <c r="C3686" s="86" t="s">
        <v>184</v>
      </c>
      <c r="D3686" s="86" t="s">
        <v>298</v>
      </c>
      <c r="E3686" s="86" t="s">
        <v>837</v>
      </c>
      <c r="F3686" s="86" t="s">
        <v>837</v>
      </c>
      <c r="G3686" s="86" t="s">
        <v>837</v>
      </c>
      <c r="H3686" s="143">
        <v>62</v>
      </c>
      <c r="I3686" s="86" t="s">
        <v>408</v>
      </c>
      <c r="J3686" s="1" t="s">
        <v>3324</v>
      </c>
      <c r="K3686" s="1" t="s">
        <v>3278</v>
      </c>
      <c r="L3686" s="1" t="s">
        <v>35</v>
      </c>
      <c r="M3686" s="86" t="s">
        <v>838</v>
      </c>
      <c r="N3686" s="86"/>
      <c r="O3686" s="47" t="s">
        <v>410</v>
      </c>
      <c r="P3686" s="47" t="s">
        <v>46</v>
      </c>
      <c r="Q3686" s="14">
        <v>0.04</v>
      </c>
      <c r="R3686" s="143">
        <v>1000027594</v>
      </c>
      <c r="S3686" s="47"/>
      <c r="T3686" s="6">
        <v>3210.89</v>
      </c>
      <c r="U3686" s="6"/>
      <c r="V3686" s="6">
        <v>0</v>
      </c>
      <c r="W3686" s="6">
        <f t="shared" ref="W3686:W3749" si="575">T3686+U3686-V3686</f>
        <v>3210.89</v>
      </c>
      <c r="X3686" s="6">
        <f t="shared" si="567"/>
        <v>0</v>
      </c>
      <c r="Y3686" s="13">
        <f t="shared" si="568"/>
        <v>0</v>
      </c>
      <c r="Z3686" s="14">
        <v>0</v>
      </c>
      <c r="AA3686" s="6">
        <v>0</v>
      </c>
      <c r="AB3686" s="4">
        <f t="shared" si="569"/>
        <v>0</v>
      </c>
      <c r="AC3686" s="4">
        <f t="shared" si="571"/>
        <v>0</v>
      </c>
      <c r="AD3686" s="6">
        <f t="shared" si="573"/>
        <v>0</v>
      </c>
      <c r="AE3686" s="2">
        <f>VLOOKUP(I3686,[1]媒体政策预估表!A:N,MATCH(O3686,[1]媒体政策预估表!$A$2:$M$2,0),0)</f>
        <v>7.0000000000000007E-2</v>
      </c>
      <c r="AF3686" s="6">
        <f t="shared" si="572"/>
        <v>0</v>
      </c>
      <c r="AG3686" s="14">
        <v>0</v>
      </c>
      <c r="AH3686" s="64">
        <f t="shared" si="574"/>
        <v>0</v>
      </c>
      <c r="AI3686" s="47"/>
      <c r="AJ3686" s="126" t="e">
        <v>#N/A</v>
      </c>
      <c r="AK3686" s="80">
        <f t="shared" si="570"/>
        <v>0</v>
      </c>
      <c r="AM3686" s="85"/>
    </row>
    <row r="3687" spans="1:39" hidden="1" x14ac:dyDescent="0.3">
      <c r="A3687" s="89" t="s">
        <v>3394</v>
      </c>
      <c r="B3687" s="86" t="s">
        <v>35</v>
      </c>
      <c r="C3687" s="86" t="s">
        <v>184</v>
      </c>
      <c r="D3687" s="86" t="s">
        <v>298</v>
      </c>
      <c r="E3687" s="86" t="s">
        <v>839</v>
      </c>
      <c r="F3687" s="86" t="s">
        <v>839</v>
      </c>
      <c r="G3687" s="86" t="s">
        <v>839</v>
      </c>
      <c r="H3687" s="143">
        <v>62</v>
      </c>
      <c r="I3687" s="86" t="s">
        <v>408</v>
      </c>
      <c r="J3687" s="1" t="s">
        <v>3324</v>
      </c>
      <c r="K3687" s="1" t="s">
        <v>3278</v>
      </c>
      <c r="L3687" s="1" t="s">
        <v>35</v>
      </c>
      <c r="M3687" s="86" t="s">
        <v>840</v>
      </c>
      <c r="N3687" s="86"/>
      <c r="O3687" s="47" t="s">
        <v>410</v>
      </c>
      <c r="P3687" s="47" t="s">
        <v>92</v>
      </c>
      <c r="Q3687" s="14">
        <v>0.94</v>
      </c>
      <c r="R3687" s="143">
        <v>1000026064</v>
      </c>
      <c r="S3687" s="47"/>
      <c r="T3687" s="6">
        <v>32786.82</v>
      </c>
      <c r="U3687" s="6"/>
      <c r="V3687" s="6">
        <v>0</v>
      </c>
      <c r="W3687" s="6">
        <f t="shared" si="575"/>
        <v>32786.82</v>
      </c>
      <c r="X3687" s="6">
        <f t="shared" ref="X3687:X3750" si="576">IF(P3687="折扣",V3687*Q3687,IF(P3687="返现",V3687,V3687/(1+Q3687)))</f>
        <v>0</v>
      </c>
      <c r="Y3687" s="13">
        <f t="shared" si="568"/>
        <v>0</v>
      </c>
      <c r="Z3687" s="14">
        <v>0</v>
      </c>
      <c r="AA3687" s="6">
        <v>0</v>
      </c>
      <c r="AB3687" s="4">
        <f t="shared" si="569"/>
        <v>0</v>
      </c>
      <c r="AC3687" s="4">
        <f t="shared" si="571"/>
        <v>0</v>
      </c>
      <c r="AD3687" s="6">
        <f t="shared" si="573"/>
        <v>0</v>
      </c>
      <c r="AE3687" s="2">
        <f>VLOOKUP(I3687,[1]媒体政策预估表!A:N,MATCH(O3687,[1]媒体政策预估表!$A$2:$M$2,0),0)</f>
        <v>7.0000000000000007E-2</v>
      </c>
      <c r="AF3687" s="6">
        <f t="shared" si="572"/>
        <v>0</v>
      </c>
      <c r="AG3687" s="14">
        <v>0</v>
      </c>
      <c r="AH3687" s="64">
        <f t="shared" si="574"/>
        <v>0</v>
      </c>
      <c r="AI3687" s="47"/>
      <c r="AJ3687" s="126" t="e">
        <v>#N/A</v>
      </c>
      <c r="AK3687" s="80">
        <f t="shared" si="570"/>
        <v>0</v>
      </c>
      <c r="AM3687" s="85"/>
    </row>
    <row r="3688" spans="1:39" hidden="1" x14ac:dyDescent="0.3">
      <c r="A3688" s="89" t="s">
        <v>3394</v>
      </c>
      <c r="B3688" s="86" t="s">
        <v>35</v>
      </c>
      <c r="C3688" s="86" t="s">
        <v>184</v>
      </c>
      <c r="D3688" s="86" t="s">
        <v>298</v>
      </c>
      <c r="E3688" s="86" t="s">
        <v>841</v>
      </c>
      <c r="F3688" s="86" t="s">
        <v>841</v>
      </c>
      <c r="G3688" s="86" t="s">
        <v>841</v>
      </c>
      <c r="H3688" s="143">
        <v>62</v>
      </c>
      <c r="I3688" s="86" t="s">
        <v>408</v>
      </c>
      <c r="J3688" s="1" t="s">
        <v>3324</v>
      </c>
      <c r="K3688" s="1" t="s">
        <v>3278</v>
      </c>
      <c r="L3688" s="1" t="s">
        <v>35</v>
      </c>
      <c r="M3688" s="86" t="s">
        <v>842</v>
      </c>
      <c r="N3688" s="86"/>
      <c r="O3688" s="47" t="s">
        <v>410</v>
      </c>
      <c r="P3688" s="47" t="s">
        <v>41</v>
      </c>
      <c r="Q3688" s="14">
        <v>0</v>
      </c>
      <c r="R3688" s="143">
        <v>1000015519</v>
      </c>
      <c r="S3688" s="47"/>
      <c r="T3688" s="6">
        <v>494</v>
      </c>
      <c r="U3688" s="6"/>
      <c r="V3688" s="6">
        <v>0</v>
      </c>
      <c r="W3688" s="6">
        <f t="shared" si="575"/>
        <v>494</v>
      </c>
      <c r="X3688" s="6">
        <f t="shared" si="576"/>
        <v>0</v>
      </c>
      <c r="Y3688" s="13">
        <f t="shared" si="568"/>
        <v>0</v>
      </c>
      <c r="Z3688" s="14">
        <v>0</v>
      </c>
      <c r="AA3688" s="6">
        <v>0</v>
      </c>
      <c r="AB3688" s="4">
        <f t="shared" si="569"/>
        <v>0</v>
      </c>
      <c r="AC3688" s="4">
        <f t="shared" si="571"/>
        <v>0</v>
      </c>
      <c r="AD3688" s="6">
        <f t="shared" si="573"/>
        <v>0</v>
      </c>
      <c r="AE3688" s="2">
        <f>VLOOKUP(I3688,[1]媒体政策预估表!A:N,MATCH(O3688,[1]媒体政策预估表!$A$2:$M$2,0),0)</f>
        <v>7.0000000000000007E-2</v>
      </c>
      <c r="AF3688" s="6">
        <f t="shared" si="572"/>
        <v>0</v>
      </c>
      <c r="AG3688" s="14">
        <v>0</v>
      </c>
      <c r="AH3688" s="64">
        <f t="shared" si="574"/>
        <v>0</v>
      </c>
      <c r="AI3688" s="47"/>
      <c r="AJ3688" s="126" t="e">
        <v>#N/A</v>
      </c>
      <c r="AK3688" s="80">
        <f t="shared" si="570"/>
        <v>0</v>
      </c>
      <c r="AM3688" s="85"/>
    </row>
    <row r="3689" spans="1:39" hidden="1" x14ac:dyDescent="0.3">
      <c r="A3689" s="89" t="s">
        <v>3396</v>
      </c>
      <c r="B3689" s="86" t="s">
        <v>35</v>
      </c>
      <c r="C3689" s="86" t="s">
        <v>184</v>
      </c>
      <c r="D3689" s="86" t="s">
        <v>298</v>
      </c>
      <c r="E3689" s="86" t="s">
        <v>843</v>
      </c>
      <c r="F3689" s="86" t="s">
        <v>843</v>
      </c>
      <c r="G3689" s="86" t="s">
        <v>843</v>
      </c>
      <c r="H3689" s="143">
        <v>62</v>
      </c>
      <c r="I3689" s="86" t="s">
        <v>408</v>
      </c>
      <c r="J3689" s="1" t="s">
        <v>3324</v>
      </c>
      <c r="K3689" s="1" t="s">
        <v>3278</v>
      </c>
      <c r="L3689" s="1" t="s">
        <v>35</v>
      </c>
      <c r="M3689" s="86" t="s">
        <v>844</v>
      </c>
      <c r="N3689" s="86"/>
      <c r="O3689" s="47" t="s">
        <v>410</v>
      </c>
      <c r="P3689" s="47" t="s">
        <v>46</v>
      </c>
      <c r="Q3689" s="14">
        <v>0.06</v>
      </c>
      <c r="R3689" s="143">
        <v>1000020836</v>
      </c>
      <c r="S3689" s="47"/>
      <c r="T3689" s="6">
        <v>27822.3</v>
      </c>
      <c r="U3689" s="6"/>
      <c r="V3689" s="6">
        <v>0</v>
      </c>
      <c r="W3689" s="6">
        <f t="shared" si="575"/>
        <v>27822.3</v>
      </c>
      <c r="X3689" s="6">
        <f t="shared" si="576"/>
        <v>0</v>
      </c>
      <c r="Y3689" s="13">
        <f t="shared" si="568"/>
        <v>0</v>
      </c>
      <c r="Z3689" s="14">
        <v>0</v>
      </c>
      <c r="AA3689" s="6">
        <v>0</v>
      </c>
      <c r="AB3689" s="4">
        <f t="shared" si="569"/>
        <v>0</v>
      </c>
      <c r="AC3689" s="4">
        <f t="shared" si="571"/>
        <v>0</v>
      </c>
      <c r="AD3689" s="6">
        <f t="shared" si="573"/>
        <v>0</v>
      </c>
      <c r="AE3689" s="2">
        <f>VLOOKUP(I3689,[1]媒体政策预估表!A:N,MATCH(O3689,[1]媒体政策预估表!$A$2:$M$2,0),0)</f>
        <v>7.0000000000000007E-2</v>
      </c>
      <c r="AF3689" s="6">
        <f t="shared" si="572"/>
        <v>0</v>
      </c>
      <c r="AG3689" s="14">
        <v>0</v>
      </c>
      <c r="AH3689" s="64">
        <f t="shared" si="574"/>
        <v>0</v>
      </c>
      <c r="AI3689" s="47"/>
      <c r="AJ3689" s="126" t="e">
        <v>#N/A</v>
      </c>
      <c r="AK3689" s="80">
        <f t="shared" si="570"/>
        <v>0</v>
      </c>
      <c r="AM3689" s="85"/>
    </row>
    <row r="3690" spans="1:39" hidden="1" x14ac:dyDescent="0.3">
      <c r="A3690" s="89" t="s">
        <v>3394</v>
      </c>
      <c r="B3690" s="86" t="s">
        <v>35</v>
      </c>
      <c r="C3690" s="86" t="s">
        <v>184</v>
      </c>
      <c r="D3690" s="86" t="s">
        <v>744</v>
      </c>
      <c r="E3690" s="86" t="s">
        <v>745</v>
      </c>
      <c r="F3690" s="86" t="s">
        <v>745</v>
      </c>
      <c r="G3690" s="86" t="s">
        <v>745</v>
      </c>
      <c r="H3690" s="143">
        <v>62</v>
      </c>
      <c r="I3690" s="86" t="s">
        <v>408</v>
      </c>
      <c r="J3690" s="1" t="s">
        <v>3324</v>
      </c>
      <c r="K3690" s="1" t="s">
        <v>3278</v>
      </c>
      <c r="L3690" s="1" t="s">
        <v>35</v>
      </c>
      <c r="M3690" s="86" t="s">
        <v>845</v>
      </c>
      <c r="N3690" s="86"/>
      <c r="O3690" s="47" t="s">
        <v>45</v>
      </c>
      <c r="P3690" s="47" t="s">
        <v>46</v>
      </c>
      <c r="Q3690" s="14">
        <v>0.08</v>
      </c>
      <c r="R3690" s="143">
        <v>1000051114</v>
      </c>
      <c r="S3690" s="47"/>
      <c r="T3690" s="6">
        <v>0.33</v>
      </c>
      <c r="U3690" s="6"/>
      <c r="V3690" s="6">
        <v>0</v>
      </c>
      <c r="W3690" s="6">
        <f t="shared" si="575"/>
        <v>0.33</v>
      </c>
      <c r="X3690" s="6">
        <f t="shared" si="576"/>
        <v>0</v>
      </c>
      <c r="Y3690" s="13">
        <f t="shared" si="568"/>
        <v>0</v>
      </c>
      <c r="Z3690" s="14">
        <v>0</v>
      </c>
      <c r="AA3690" s="6">
        <v>0</v>
      </c>
      <c r="AB3690" s="4"/>
      <c r="AC3690" s="4">
        <f t="shared" si="571"/>
        <v>0</v>
      </c>
      <c r="AD3690" s="6">
        <f t="shared" si="573"/>
        <v>0</v>
      </c>
      <c r="AE3690" s="2">
        <f>VLOOKUP(I3690,[1]媒体政策预估表!A:N,MATCH(O3690,[1]媒体政策预估表!$A$2:$M$2,0),0)</f>
        <v>0.12</v>
      </c>
      <c r="AF3690" s="6">
        <f t="shared" si="572"/>
        <v>0</v>
      </c>
      <c r="AG3690" s="14">
        <v>0</v>
      </c>
      <c r="AH3690" s="64">
        <f t="shared" si="574"/>
        <v>0</v>
      </c>
      <c r="AI3690" s="47"/>
      <c r="AJ3690" s="126">
        <v>71</v>
      </c>
      <c r="AK3690" s="80">
        <f t="shared" si="570"/>
        <v>0</v>
      </c>
      <c r="AM3690" s="85"/>
    </row>
    <row r="3691" spans="1:39" hidden="1" x14ac:dyDescent="0.3">
      <c r="A3691" s="89" t="s">
        <v>3394</v>
      </c>
      <c r="B3691" s="86" t="s">
        <v>35</v>
      </c>
      <c r="C3691" s="86" t="s">
        <v>184</v>
      </c>
      <c r="D3691" s="86" t="s">
        <v>744</v>
      </c>
      <c r="E3691" s="86" t="s">
        <v>745</v>
      </c>
      <c r="F3691" s="86" t="s">
        <v>745</v>
      </c>
      <c r="G3691" s="86" t="s">
        <v>745</v>
      </c>
      <c r="H3691" s="143">
        <v>62</v>
      </c>
      <c r="I3691" s="86" t="s">
        <v>408</v>
      </c>
      <c r="J3691" s="1" t="s">
        <v>3324</v>
      </c>
      <c r="K3691" s="1" t="s">
        <v>3278</v>
      </c>
      <c r="L3691" s="1" t="s">
        <v>35</v>
      </c>
      <c r="M3691" s="86" t="s">
        <v>846</v>
      </c>
      <c r="N3691" s="86"/>
      <c r="O3691" s="47" t="s">
        <v>45</v>
      </c>
      <c r="P3691" s="47" t="s">
        <v>46</v>
      </c>
      <c r="Q3691" s="14">
        <v>0.08</v>
      </c>
      <c r="R3691" s="143">
        <v>1000052597</v>
      </c>
      <c r="S3691" s="47"/>
      <c r="T3691" s="6">
        <v>0.08</v>
      </c>
      <c r="U3691" s="6"/>
      <c r="V3691" s="6">
        <v>0</v>
      </c>
      <c r="W3691" s="6">
        <f t="shared" si="575"/>
        <v>0.08</v>
      </c>
      <c r="X3691" s="6">
        <f t="shared" si="576"/>
        <v>0</v>
      </c>
      <c r="Y3691" s="13">
        <f t="shared" si="568"/>
        <v>0</v>
      </c>
      <c r="Z3691" s="14">
        <v>0</v>
      </c>
      <c r="AA3691" s="6">
        <v>0</v>
      </c>
      <c r="AB3691" s="4"/>
      <c r="AC3691" s="4">
        <f t="shared" si="571"/>
        <v>0</v>
      </c>
      <c r="AD3691" s="6">
        <f t="shared" si="573"/>
        <v>0</v>
      </c>
      <c r="AE3691" s="2">
        <f>VLOOKUP(I3691,[1]媒体政策预估表!A:N,MATCH(O3691,[1]媒体政策预估表!$A$2:$M$2,0),0)</f>
        <v>0.12</v>
      </c>
      <c r="AF3691" s="6">
        <f t="shared" si="572"/>
        <v>0</v>
      </c>
      <c r="AG3691" s="14">
        <v>0</v>
      </c>
      <c r="AH3691" s="64">
        <f t="shared" si="574"/>
        <v>0</v>
      </c>
      <c r="AI3691" s="47"/>
      <c r="AJ3691" s="126">
        <v>71</v>
      </c>
      <c r="AK3691" s="80">
        <f t="shared" si="570"/>
        <v>0</v>
      </c>
      <c r="AM3691" s="85"/>
    </row>
    <row r="3692" spans="1:39" hidden="1" x14ac:dyDescent="0.3">
      <c r="A3692" s="89" t="s">
        <v>3394</v>
      </c>
      <c r="B3692" s="86" t="s">
        <v>35</v>
      </c>
      <c r="C3692" s="86" t="s">
        <v>184</v>
      </c>
      <c r="D3692" s="86" t="s">
        <v>744</v>
      </c>
      <c r="E3692" s="86" t="s">
        <v>745</v>
      </c>
      <c r="F3692" s="86" t="s">
        <v>745</v>
      </c>
      <c r="G3692" s="86" t="s">
        <v>745</v>
      </c>
      <c r="H3692" s="143">
        <v>62</v>
      </c>
      <c r="I3692" s="86" t="s">
        <v>408</v>
      </c>
      <c r="J3692" s="1" t="s">
        <v>3324</v>
      </c>
      <c r="K3692" s="1" t="s">
        <v>3278</v>
      </c>
      <c r="L3692" s="1" t="s">
        <v>35</v>
      </c>
      <c r="M3692" s="86" t="s">
        <v>847</v>
      </c>
      <c r="N3692" s="86"/>
      <c r="O3692" s="47" t="s">
        <v>45</v>
      </c>
      <c r="P3692" s="47" t="s">
        <v>46</v>
      </c>
      <c r="Q3692" s="14">
        <v>0.08</v>
      </c>
      <c r="R3692" s="143">
        <v>1000050386</v>
      </c>
      <c r="S3692" s="47"/>
      <c r="T3692" s="6">
        <v>0.19</v>
      </c>
      <c r="U3692" s="6"/>
      <c r="V3692" s="6">
        <v>0</v>
      </c>
      <c r="W3692" s="6">
        <f t="shared" si="575"/>
        <v>0.19</v>
      </c>
      <c r="X3692" s="6">
        <f t="shared" si="576"/>
        <v>0</v>
      </c>
      <c r="Y3692" s="13">
        <f t="shared" si="568"/>
        <v>0</v>
      </c>
      <c r="Z3692" s="14">
        <v>0</v>
      </c>
      <c r="AA3692" s="6">
        <v>0</v>
      </c>
      <c r="AB3692" s="4"/>
      <c r="AC3692" s="4">
        <f t="shared" si="571"/>
        <v>0</v>
      </c>
      <c r="AD3692" s="6">
        <f t="shared" si="573"/>
        <v>0</v>
      </c>
      <c r="AE3692" s="2">
        <f>VLOOKUP(I3692,[1]媒体政策预估表!A:N,MATCH(O3692,[1]媒体政策预估表!$A$2:$M$2,0),0)</f>
        <v>0.12</v>
      </c>
      <c r="AF3692" s="6">
        <f t="shared" si="572"/>
        <v>0</v>
      </c>
      <c r="AG3692" s="14">
        <v>0</v>
      </c>
      <c r="AH3692" s="64">
        <f t="shared" si="574"/>
        <v>0</v>
      </c>
      <c r="AI3692" s="47"/>
      <c r="AJ3692" s="126">
        <v>71</v>
      </c>
      <c r="AK3692" s="80">
        <f t="shared" si="570"/>
        <v>0</v>
      </c>
      <c r="AM3692" s="85"/>
    </row>
    <row r="3693" spans="1:39" hidden="1" x14ac:dyDescent="0.3">
      <c r="A3693" s="89" t="s">
        <v>3397</v>
      </c>
      <c r="B3693" s="86" t="s">
        <v>35</v>
      </c>
      <c r="C3693" s="86" t="s">
        <v>184</v>
      </c>
      <c r="D3693" s="86" t="s">
        <v>744</v>
      </c>
      <c r="E3693" s="86" t="s">
        <v>745</v>
      </c>
      <c r="F3693" s="86" t="s">
        <v>745</v>
      </c>
      <c r="G3693" s="86" t="s">
        <v>745</v>
      </c>
      <c r="H3693" s="143">
        <v>62</v>
      </c>
      <c r="I3693" s="86" t="s">
        <v>408</v>
      </c>
      <c r="J3693" s="1" t="s">
        <v>3324</v>
      </c>
      <c r="K3693" s="1" t="s">
        <v>3278</v>
      </c>
      <c r="L3693" s="1" t="s">
        <v>35</v>
      </c>
      <c r="M3693" s="86" t="s">
        <v>848</v>
      </c>
      <c r="N3693" s="86"/>
      <c r="O3693" s="47" t="s">
        <v>45</v>
      </c>
      <c r="P3693" s="47" t="s">
        <v>46</v>
      </c>
      <c r="Q3693" s="14">
        <v>0.08</v>
      </c>
      <c r="R3693" s="143">
        <v>1000055543</v>
      </c>
      <c r="S3693" s="47"/>
      <c r="T3693" s="6">
        <v>0.55000000000000004</v>
      </c>
      <c r="U3693" s="6"/>
      <c r="V3693" s="6">
        <v>0</v>
      </c>
      <c r="W3693" s="6">
        <f t="shared" si="575"/>
        <v>0.55000000000000004</v>
      </c>
      <c r="X3693" s="6">
        <f t="shared" si="576"/>
        <v>0</v>
      </c>
      <c r="Y3693" s="13">
        <f t="shared" si="568"/>
        <v>0</v>
      </c>
      <c r="Z3693" s="14">
        <v>0</v>
      </c>
      <c r="AA3693" s="6">
        <v>0</v>
      </c>
      <c r="AB3693" s="4"/>
      <c r="AC3693" s="4">
        <f t="shared" si="571"/>
        <v>0</v>
      </c>
      <c r="AD3693" s="6">
        <f t="shared" si="573"/>
        <v>0</v>
      </c>
      <c r="AE3693" s="2">
        <f>VLOOKUP(I3693,[1]媒体政策预估表!A:N,MATCH(O3693,[1]媒体政策预估表!$A$2:$M$2,0),0)</f>
        <v>0.12</v>
      </c>
      <c r="AF3693" s="6">
        <f t="shared" si="572"/>
        <v>0</v>
      </c>
      <c r="AG3693" s="14">
        <v>0</v>
      </c>
      <c r="AH3693" s="64">
        <f t="shared" si="574"/>
        <v>0</v>
      </c>
      <c r="AI3693" s="47"/>
      <c r="AJ3693" s="126">
        <v>71</v>
      </c>
      <c r="AK3693" s="80">
        <f t="shared" si="570"/>
        <v>0</v>
      </c>
      <c r="AM3693" s="85"/>
    </row>
    <row r="3694" spans="1:39" hidden="1" x14ac:dyDescent="0.3">
      <c r="A3694" s="89" t="s">
        <v>3394</v>
      </c>
      <c r="B3694" s="86" t="s">
        <v>35</v>
      </c>
      <c r="C3694" s="86" t="s">
        <v>184</v>
      </c>
      <c r="D3694" s="86" t="s">
        <v>744</v>
      </c>
      <c r="E3694" s="86" t="s">
        <v>745</v>
      </c>
      <c r="F3694" s="86" t="s">
        <v>745</v>
      </c>
      <c r="G3694" s="86" t="s">
        <v>745</v>
      </c>
      <c r="H3694" s="143">
        <v>62</v>
      </c>
      <c r="I3694" s="86" t="s">
        <v>408</v>
      </c>
      <c r="J3694" s="1" t="s">
        <v>3324</v>
      </c>
      <c r="K3694" s="1" t="s">
        <v>3278</v>
      </c>
      <c r="L3694" s="1" t="s">
        <v>35</v>
      </c>
      <c r="M3694" s="86" t="s">
        <v>849</v>
      </c>
      <c r="N3694" s="86"/>
      <c r="O3694" s="47" t="s">
        <v>45</v>
      </c>
      <c r="P3694" s="47" t="s">
        <v>46</v>
      </c>
      <c r="Q3694" s="14">
        <v>0.08</v>
      </c>
      <c r="R3694" s="143">
        <v>1000051113</v>
      </c>
      <c r="S3694" s="47"/>
      <c r="T3694" s="6">
        <v>0.53</v>
      </c>
      <c r="U3694" s="6"/>
      <c r="V3694" s="6">
        <v>0</v>
      </c>
      <c r="W3694" s="6">
        <f t="shared" si="575"/>
        <v>0.53</v>
      </c>
      <c r="X3694" s="6">
        <f t="shared" si="576"/>
        <v>0</v>
      </c>
      <c r="Y3694" s="13">
        <f t="shared" si="568"/>
        <v>0</v>
      </c>
      <c r="Z3694" s="14">
        <v>0</v>
      </c>
      <c r="AA3694" s="6">
        <v>0</v>
      </c>
      <c r="AB3694" s="4"/>
      <c r="AC3694" s="4">
        <f t="shared" si="571"/>
        <v>0</v>
      </c>
      <c r="AD3694" s="6">
        <f t="shared" si="573"/>
        <v>0</v>
      </c>
      <c r="AE3694" s="2">
        <f>VLOOKUP(I3694,[1]媒体政策预估表!A:N,MATCH(O3694,[1]媒体政策预估表!$A$2:$M$2,0),0)</f>
        <v>0.12</v>
      </c>
      <c r="AF3694" s="6">
        <f t="shared" si="572"/>
        <v>0</v>
      </c>
      <c r="AG3694" s="14">
        <v>0</v>
      </c>
      <c r="AH3694" s="64">
        <f t="shared" si="574"/>
        <v>0</v>
      </c>
      <c r="AI3694" s="47"/>
      <c r="AJ3694" s="126">
        <v>71</v>
      </c>
      <c r="AK3694" s="80">
        <f t="shared" si="570"/>
        <v>0</v>
      </c>
      <c r="AM3694" s="85"/>
    </row>
    <row r="3695" spans="1:39" hidden="1" x14ac:dyDescent="0.3">
      <c r="A3695" s="89" t="s">
        <v>3394</v>
      </c>
      <c r="B3695" s="86" t="s">
        <v>35</v>
      </c>
      <c r="C3695" s="86" t="s">
        <v>184</v>
      </c>
      <c r="D3695" s="86" t="s">
        <v>744</v>
      </c>
      <c r="E3695" s="86" t="s">
        <v>745</v>
      </c>
      <c r="F3695" s="86" t="s">
        <v>745</v>
      </c>
      <c r="G3695" s="86" t="s">
        <v>745</v>
      </c>
      <c r="H3695" s="143">
        <v>62</v>
      </c>
      <c r="I3695" s="86" t="s">
        <v>408</v>
      </c>
      <c r="J3695" s="1" t="s">
        <v>3324</v>
      </c>
      <c r="K3695" s="1" t="s">
        <v>3278</v>
      </c>
      <c r="L3695" s="1" t="s">
        <v>35</v>
      </c>
      <c r="M3695" s="86" t="s">
        <v>850</v>
      </c>
      <c r="N3695" s="86"/>
      <c r="O3695" s="47" t="s">
        <v>45</v>
      </c>
      <c r="P3695" s="47" t="s">
        <v>46</v>
      </c>
      <c r="Q3695" s="14">
        <v>0.08</v>
      </c>
      <c r="R3695" s="143">
        <v>1000021727</v>
      </c>
      <c r="S3695" s="47"/>
      <c r="T3695" s="6">
        <v>7.0000000000000007E-2</v>
      </c>
      <c r="U3695" s="6"/>
      <c r="V3695" s="6">
        <v>0</v>
      </c>
      <c r="W3695" s="6">
        <f t="shared" si="575"/>
        <v>7.0000000000000007E-2</v>
      </c>
      <c r="X3695" s="6">
        <f t="shared" si="576"/>
        <v>0</v>
      </c>
      <c r="Y3695" s="13">
        <f t="shared" si="568"/>
        <v>0</v>
      </c>
      <c r="Z3695" s="14">
        <v>0</v>
      </c>
      <c r="AA3695" s="6">
        <v>0</v>
      </c>
      <c r="AB3695" s="4"/>
      <c r="AC3695" s="4">
        <f t="shared" si="571"/>
        <v>0</v>
      </c>
      <c r="AD3695" s="6">
        <f t="shared" si="573"/>
        <v>0</v>
      </c>
      <c r="AE3695" s="2">
        <f>VLOOKUP(I3695,[1]媒体政策预估表!A:N,MATCH(O3695,[1]媒体政策预估表!$A$2:$M$2,0),0)</f>
        <v>0.12</v>
      </c>
      <c r="AF3695" s="6">
        <f t="shared" si="572"/>
        <v>0</v>
      </c>
      <c r="AG3695" s="14">
        <v>0</v>
      </c>
      <c r="AH3695" s="64">
        <f t="shared" si="574"/>
        <v>0</v>
      </c>
      <c r="AI3695" s="47"/>
      <c r="AJ3695" s="126">
        <v>71</v>
      </c>
      <c r="AK3695" s="80">
        <f t="shared" si="570"/>
        <v>0</v>
      </c>
      <c r="AM3695" s="85"/>
    </row>
    <row r="3696" spans="1:39" hidden="1" x14ac:dyDescent="0.3">
      <c r="A3696" s="89" t="s">
        <v>3395</v>
      </c>
      <c r="B3696" s="86" t="s">
        <v>35</v>
      </c>
      <c r="C3696" s="86" t="s">
        <v>184</v>
      </c>
      <c r="D3696" s="86" t="s">
        <v>744</v>
      </c>
      <c r="E3696" s="86" t="s">
        <v>745</v>
      </c>
      <c r="F3696" s="86" t="s">
        <v>745</v>
      </c>
      <c r="G3696" s="86" t="s">
        <v>745</v>
      </c>
      <c r="H3696" s="143">
        <v>62</v>
      </c>
      <c r="I3696" s="86" t="s">
        <v>408</v>
      </c>
      <c r="J3696" s="1" t="s">
        <v>3324</v>
      </c>
      <c r="K3696" s="1" t="s">
        <v>3278</v>
      </c>
      <c r="L3696" s="1" t="s">
        <v>35</v>
      </c>
      <c r="M3696" s="86" t="s">
        <v>851</v>
      </c>
      <c r="N3696" s="86"/>
      <c r="O3696" s="47" t="s">
        <v>45</v>
      </c>
      <c r="P3696" s="47" t="s">
        <v>46</v>
      </c>
      <c r="Q3696" s="14">
        <v>0.08</v>
      </c>
      <c r="R3696" s="143">
        <v>1000021711</v>
      </c>
      <c r="S3696" s="47"/>
      <c r="T3696" s="6">
        <v>0.57999999999999996</v>
      </c>
      <c r="U3696" s="6"/>
      <c r="V3696" s="6">
        <v>0</v>
      </c>
      <c r="W3696" s="6">
        <f t="shared" si="575"/>
        <v>0.57999999999999996</v>
      </c>
      <c r="X3696" s="6">
        <f t="shared" si="576"/>
        <v>0</v>
      </c>
      <c r="Y3696" s="13">
        <f t="shared" si="568"/>
        <v>0</v>
      </c>
      <c r="Z3696" s="14">
        <v>0</v>
      </c>
      <c r="AA3696" s="6">
        <v>0</v>
      </c>
      <c r="AB3696" s="4"/>
      <c r="AC3696" s="4">
        <f t="shared" si="571"/>
        <v>0</v>
      </c>
      <c r="AD3696" s="6">
        <f t="shared" si="573"/>
        <v>0</v>
      </c>
      <c r="AE3696" s="2">
        <f>VLOOKUP(I3696,[1]媒体政策预估表!A:N,MATCH(O3696,[1]媒体政策预估表!$A$2:$M$2,0),0)</f>
        <v>0.12</v>
      </c>
      <c r="AF3696" s="6">
        <f t="shared" si="572"/>
        <v>0</v>
      </c>
      <c r="AG3696" s="14">
        <v>0</v>
      </c>
      <c r="AH3696" s="64">
        <f t="shared" si="574"/>
        <v>0</v>
      </c>
      <c r="AI3696" s="47"/>
      <c r="AJ3696" s="126">
        <v>71</v>
      </c>
      <c r="AK3696" s="80">
        <f t="shared" si="570"/>
        <v>0</v>
      </c>
      <c r="AM3696" s="85"/>
    </row>
    <row r="3697" spans="1:39" hidden="1" x14ac:dyDescent="0.3">
      <c r="A3697" s="89" t="s">
        <v>3397</v>
      </c>
      <c r="B3697" s="86" t="s">
        <v>35</v>
      </c>
      <c r="C3697" s="86" t="s">
        <v>184</v>
      </c>
      <c r="D3697" s="86" t="s">
        <v>744</v>
      </c>
      <c r="E3697" s="86" t="s">
        <v>745</v>
      </c>
      <c r="F3697" s="86" t="s">
        <v>745</v>
      </c>
      <c r="G3697" s="86" t="s">
        <v>745</v>
      </c>
      <c r="H3697" s="143">
        <v>62</v>
      </c>
      <c r="I3697" s="86" t="s">
        <v>408</v>
      </c>
      <c r="J3697" s="1" t="s">
        <v>3324</v>
      </c>
      <c r="K3697" s="1" t="s">
        <v>3278</v>
      </c>
      <c r="L3697" s="1" t="s">
        <v>35</v>
      </c>
      <c r="M3697" s="86" t="s">
        <v>852</v>
      </c>
      <c r="N3697" s="86"/>
      <c r="O3697" s="47" t="s">
        <v>45</v>
      </c>
      <c r="P3697" s="47" t="s">
        <v>46</v>
      </c>
      <c r="Q3697" s="14">
        <v>0.08</v>
      </c>
      <c r="R3697" s="143">
        <v>1000023594</v>
      </c>
      <c r="S3697" s="47"/>
      <c r="T3697" s="6">
        <v>0.82</v>
      </c>
      <c r="U3697" s="6"/>
      <c r="V3697" s="6">
        <v>0</v>
      </c>
      <c r="W3697" s="6">
        <f t="shared" si="575"/>
        <v>0.82</v>
      </c>
      <c r="X3697" s="6">
        <f t="shared" si="576"/>
        <v>0</v>
      </c>
      <c r="Y3697" s="13">
        <f t="shared" si="568"/>
        <v>0</v>
      </c>
      <c r="Z3697" s="14">
        <v>0</v>
      </c>
      <c r="AA3697" s="6">
        <v>0</v>
      </c>
      <c r="AB3697" s="4"/>
      <c r="AC3697" s="4">
        <f t="shared" si="571"/>
        <v>0</v>
      </c>
      <c r="AD3697" s="6">
        <f t="shared" si="573"/>
        <v>0</v>
      </c>
      <c r="AE3697" s="2">
        <f>VLOOKUP(I3697,[1]媒体政策预估表!A:N,MATCH(O3697,[1]媒体政策预估表!$A$2:$M$2,0),0)</f>
        <v>0.12</v>
      </c>
      <c r="AF3697" s="6">
        <f t="shared" si="572"/>
        <v>0</v>
      </c>
      <c r="AG3697" s="14">
        <v>0</v>
      </c>
      <c r="AH3697" s="64">
        <f t="shared" si="574"/>
        <v>0</v>
      </c>
      <c r="AI3697" s="47"/>
      <c r="AJ3697" s="126">
        <v>71</v>
      </c>
      <c r="AK3697" s="80">
        <f t="shared" si="570"/>
        <v>0</v>
      </c>
      <c r="AM3697" s="85"/>
    </row>
    <row r="3698" spans="1:39" hidden="1" x14ac:dyDescent="0.3">
      <c r="A3698" s="89" t="s">
        <v>3397</v>
      </c>
      <c r="B3698" s="86" t="s">
        <v>35</v>
      </c>
      <c r="C3698" s="86" t="s">
        <v>184</v>
      </c>
      <c r="D3698" s="86" t="s">
        <v>744</v>
      </c>
      <c r="E3698" s="86" t="s">
        <v>745</v>
      </c>
      <c r="F3698" s="86" t="s">
        <v>745</v>
      </c>
      <c r="G3698" s="86" t="s">
        <v>745</v>
      </c>
      <c r="H3698" s="143">
        <v>62</v>
      </c>
      <c r="I3698" s="86" t="s">
        <v>408</v>
      </c>
      <c r="J3698" s="1" t="s">
        <v>3324</v>
      </c>
      <c r="K3698" s="1" t="s">
        <v>3278</v>
      </c>
      <c r="L3698" s="1" t="s">
        <v>35</v>
      </c>
      <c r="M3698" s="86" t="s">
        <v>853</v>
      </c>
      <c r="N3698" s="86"/>
      <c r="O3698" s="47" t="s">
        <v>45</v>
      </c>
      <c r="P3698" s="47" t="s">
        <v>46</v>
      </c>
      <c r="Q3698" s="14">
        <v>0.08</v>
      </c>
      <c r="R3698" s="143">
        <v>1000022894</v>
      </c>
      <c r="S3698" s="47"/>
      <c r="T3698" s="6">
        <v>0.05</v>
      </c>
      <c r="U3698" s="6"/>
      <c r="V3698" s="6">
        <v>0</v>
      </c>
      <c r="W3698" s="6">
        <f t="shared" si="575"/>
        <v>0.05</v>
      </c>
      <c r="X3698" s="6">
        <f t="shared" si="576"/>
        <v>0</v>
      </c>
      <c r="Y3698" s="13">
        <f t="shared" si="568"/>
        <v>0</v>
      </c>
      <c r="Z3698" s="14">
        <v>0</v>
      </c>
      <c r="AA3698" s="6">
        <v>0</v>
      </c>
      <c r="AB3698" s="4"/>
      <c r="AC3698" s="4">
        <f t="shared" si="571"/>
        <v>0</v>
      </c>
      <c r="AD3698" s="6">
        <f t="shared" si="573"/>
        <v>0</v>
      </c>
      <c r="AE3698" s="2">
        <f>VLOOKUP(I3698,[1]媒体政策预估表!A:N,MATCH(O3698,[1]媒体政策预估表!$A$2:$M$2,0),0)</f>
        <v>0.12</v>
      </c>
      <c r="AF3698" s="6">
        <f t="shared" si="572"/>
        <v>0</v>
      </c>
      <c r="AG3698" s="14">
        <v>0</v>
      </c>
      <c r="AH3698" s="64">
        <f t="shared" si="574"/>
        <v>0</v>
      </c>
      <c r="AI3698" s="47"/>
      <c r="AJ3698" s="126">
        <v>71</v>
      </c>
      <c r="AK3698" s="80">
        <f t="shared" si="570"/>
        <v>0</v>
      </c>
      <c r="AM3698" s="85"/>
    </row>
    <row r="3699" spans="1:39" hidden="1" x14ac:dyDescent="0.3">
      <c r="A3699" s="89" t="s">
        <v>3394</v>
      </c>
      <c r="B3699" s="86" t="s">
        <v>35</v>
      </c>
      <c r="C3699" s="86" t="s">
        <v>184</v>
      </c>
      <c r="D3699" s="86" t="s">
        <v>744</v>
      </c>
      <c r="E3699" s="86" t="s">
        <v>854</v>
      </c>
      <c r="F3699" s="86" t="s">
        <v>854</v>
      </c>
      <c r="G3699" s="86" t="s">
        <v>854</v>
      </c>
      <c r="H3699" s="143">
        <v>62</v>
      </c>
      <c r="I3699" s="86" t="s">
        <v>408</v>
      </c>
      <c r="J3699" s="1" t="s">
        <v>3324</v>
      </c>
      <c r="K3699" s="1" t="s">
        <v>3278</v>
      </c>
      <c r="L3699" s="1" t="s">
        <v>35</v>
      </c>
      <c r="M3699" s="86" t="s">
        <v>855</v>
      </c>
      <c r="N3699" s="86"/>
      <c r="O3699" s="47" t="s">
        <v>45</v>
      </c>
      <c r="P3699" s="47" t="s">
        <v>46</v>
      </c>
      <c r="Q3699" s="14">
        <v>0.08</v>
      </c>
      <c r="R3699" s="143">
        <v>1000051670</v>
      </c>
      <c r="S3699" s="47"/>
      <c r="T3699" s="6">
        <v>6673.14</v>
      </c>
      <c r="U3699" s="6"/>
      <c r="V3699" s="6">
        <v>0</v>
      </c>
      <c r="W3699" s="6">
        <f t="shared" si="575"/>
        <v>6673.14</v>
      </c>
      <c r="X3699" s="6">
        <f t="shared" si="576"/>
        <v>0</v>
      </c>
      <c r="Y3699" s="13">
        <f t="shared" si="568"/>
        <v>0</v>
      </c>
      <c r="Z3699" s="14">
        <v>0</v>
      </c>
      <c r="AA3699" s="6">
        <v>0</v>
      </c>
      <c r="AB3699" s="4"/>
      <c r="AC3699" s="4">
        <f t="shared" si="571"/>
        <v>0</v>
      </c>
      <c r="AD3699" s="6">
        <f t="shared" si="573"/>
        <v>0</v>
      </c>
      <c r="AE3699" s="2">
        <f>VLOOKUP(I3699,[1]媒体政策预估表!A:N,MATCH(O3699,[1]媒体政策预估表!$A$2:$M$2,0),0)</f>
        <v>0.12</v>
      </c>
      <c r="AF3699" s="6">
        <f t="shared" si="572"/>
        <v>0</v>
      </c>
      <c r="AG3699" s="14">
        <v>0</v>
      </c>
      <c r="AH3699" s="64">
        <f t="shared" si="574"/>
        <v>0</v>
      </c>
      <c r="AI3699" s="47"/>
      <c r="AJ3699" s="126">
        <v>31</v>
      </c>
      <c r="AK3699" s="80">
        <f t="shared" si="570"/>
        <v>0</v>
      </c>
      <c r="AM3699" s="85"/>
    </row>
    <row r="3700" spans="1:39" hidden="1" x14ac:dyDescent="0.3">
      <c r="A3700" s="89" t="s">
        <v>3394</v>
      </c>
      <c r="B3700" s="86" t="s">
        <v>35</v>
      </c>
      <c r="C3700" s="86" t="s">
        <v>184</v>
      </c>
      <c r="D3700" s="86" t="s">
        <v>744</v>
      </c>
      <c r="E3700" s="86" t="s">
        <v>854</v>
      </c>
      <c r="F3700" s="86" t="s">
        <v>854</v>
      </c>
      <c r="G3700" s="86" t="s">
        <v>854</v>
      </c>
      <c r="H3700" s="143">
        <v>62</v>
      </c>
      <c r="I3700" s="86" t="s">
        <v>408</v>
      </c>
      <c r="J3700" s="1" t="s">
        <v>3324</v>
      </c>
      <c r="K3700" s="1" t="s">
        <v>3278</v>
      </c>
      <c r="L3700" s="1" t="s">
        <v>35</v>
      </c>
      <c r="M3700" s="86" t="s">
        <v>856</v>
      </c>
      <c r="N3700" s="86"/>
      <c r="O3700" s="47" t="s">
        <v>410</v>
      </c>
      <c r="P3700" s="47" t="s">
        <v>46</v>
      </c>
      <c r="Q3700" s="14">
        <v>0.02</v>
      </c>
      <c r="R3700" s="143">
        <v>1000045688</v>
      </c>
      <c r="S3700" s="47"/>
      <c r="T3700" s="6">
        <v>5730.63</v>
      </c>
      <c r="U3700" s="6"/>
      <c r="V3700" s="6">
        <v>0</v>
      </c>
      <c r="W3700" s="6">
        <f t="shared" si="575"/>
        <v>5730.63</v>
      </c>
      <c r="X3700" s="6">
        <f t="shared" si="576"/>
        <v>0</v>
      </c>
      <c r="Y3700" s="13">
        <f t="shared" si="568"/>
        <v>0</v>
      </c>
      <c r="Z3700" s="14">
        <v>0</v>
      </c>
      <c r="AA3700" s="6">
        <v>0</v>
      </c>
      <c r="AB3700" s="4"/>
      <c r="AC3700" s="4">
        <f t="shared" si="571"/>
        <v>0</v>
      </c>
      <c r="AD3700" s="6">
        <f t="shared" si="573"/>
        <v>0</v>
      </c>
      <c r="AE3700" s="2">
        <f>VLOOKUP(I3700,[1]媒体政策预估表!A:N,MATCH(O3700,[1]媒体政策预估表!$A$2:$M$2,0),0)</f>
        <v>7.0000000000000007E-2</v>
      </c>
      <c r="AF3700" s="6">
        <f t="shared" si="572"/>
        <v>0</v>
      </c>
      <c r="AG3700" s="14">
        <v>0</v>
      </c>
      <c r="AH3700" s="64">
        <f t="shared" si="574"/>
        <v>0</v>
      </c>
      <c r="AI3700" s="47"/>
      <c r="AJ3700" s="126">
        <v>31</v>
      </c>
      <c r="AK3700" s="80">
        <f t="shared" si="570"/>
        <v>0</v>
      </c>
      <c r="AM3700" s="85"/>
    </row>
    <row r="3701" spans="1:39" hidden="1" x14ac:dyDescent="0.3">
      <c r="A3701" s="89" t="s">
        <v>3394</v>
      </c>
      <c r="B3701" s="86" t="s">
        <v>35</v>
      </c>
      <c r="C3701" s="86" t="s">
        <v>184</v>
      </c>
      <c r="D3701" s="86" t="s">
        <v>744</v>
      </c>
      <c r="E3701" s="86" t="s">
        <v>857</v>
      </c>
      <c r="F3701" s="86" t="s">
        <v>857</v>
      </c>
      <c r="G3701" s="86" t="s">
        <v>857</v>
      </c>
      <c r="H3701" s="143">
        <v>62</v>
      </c>
      <c r="I3701" s="86" t="s">
        <v>408</v>
      </c>
      <c r="J3701" s="1" t="s">
        <v>3324</v>
      </c>
      <c r="K3701" s="1" t="s">
        <v>3278</v>
      </c>
      <c r="L3701" s="1" t="s">
        <v>35</v>
      </c>
      <c r="M3701" s="86" t="s">
        <v>858</v>
      </c>
      <c r="N3701" s="86"/>
      <c r="O3701" s="47" t="s">
        <v>45</v>
      </c>
      <c r="P3701" s="47" t="s">
        <v>46</v>
      </c>
      <c r="Q3701" s="14">
        <v>0.17</v>
      </c>
      <c r="R3701" s="143">
        <v>1000022881</v>
      </c>
      <c r="S3701" s="47"/>
      <c r="T3701" s="6">
        <v>7525.93</v>
      </c>
      <c r="U3701" s="6"/>
      <c r="V3701" s="6">
        <v>0</v>
      </c>
      <c r="W3701" s="6">
        <f t="shared" si="575"/>
        <v>7525.93</v>
      </c>
      <c r="X3701" s="6">
        <f t="shared" si="576"/>
        <v>0</v>
      </c>
      <c r="Y3701" s="13">
        <f t="shared" si="568"/>
        <v>0</v>
      </c>
      <c r="Z3701" s="14">
        <v>0</v>
      </c>
      <c r="AA3701" s="6">
        <v>0</v>
      </c>
      <c r="AB3701" s="4">
        <f t="shared" si="569"/>
        <v>0</v>
      </c>
      <c r="AC3701" s="4">
        <f t="shared" si="571"/>
        <v>0</v>
      </c>
      <c r="AD3701" s="6">
        <f t="shared" si="573"/>
        <v>0</v>
      </c>
      <c r="AE3701" s="2">
        <f>VLOOKUP(I3701,[1]媒体政策预估表!A:N,MATCH(O3701,[1]媒体政策预估表!$A$2:$M$2,0),0)</f>
        <v>0.12</v>
      </c>
      <c r="AF3701" s="6">
        <f t="shared" si="572"/>
        <v>0</v>
      </c>
      <c r="AG3701" s="14">
        <v>0</v>
      </c>
      <c r="AH3701" s="64">
        <f t="shared" si="574"/>
        <v>0</v>
      </c>
      <c r="AI3701" s="47"/>
      <c r="AJ3701" s="126" t="e">
        <v>#N/A</v>
      </c>
      <c r="AK3701" s="80">
        <f t="shared" si="570"/>
        <v>0</v>
      </c>
      <c r="AM3701" s="85"/>
    </row>
    <row r="3702" spans="1:39" hidden="1" x14ac:dyDescent="0.3">
      <c r="A3702" s="89" t="s">
        <v>3394</v>
      </c>
      <c r="B3702" s="86" t="s">
        <v>35</v>
      </c>
      <c r="C3702" s="86" t="s">
        <v>184</v>
      </c>
      <c r="D3702" s="86" t="s">
        <v>744</v>
      </c>
      <c r="E3702" s="86" t="s">
        <v>859</v>
      </c>
      <c r="F3702" s="86" t="s">
        <v>859</v>
      </c>
      <c r="G3702" s="86" t="s">
        <v>859</v>
      </c>
      <c r="H3702" s="143">
        <v>62</v>
      </c>
      <c r="I3702" s="86" t="s">
        <v>408</v>
      </c>
      <c r="J3702" s="1" t="s">
        <v>3324</v>
      </c>
      <c r="K3702" s="1" t="s">
        <v>3278</v>
      </c>
      <c r="L3702" s="1" t="s">
        <v>35</v>
      </c>
      <c r="M3702" s="86" t="s">
        <v>860</v>
      </c>
      <c r="N3702" s="86"/>
      <c r="O3702" s="47" t="s">
        <v>410</v>
      </c>
      <c r="P3702" s="47" t="s">
        <v>46</v>
      </c>
      <c r="Q3702" s="14">
        <v>0.08</v>
      </c>
      <c r="R3702" s="143">
        <v>1000027727</v>
      </c>
      <c r="S3702" s="47"/>
      <c r="T3702" s="6">
        <v>7172</v>
      </c>
      <c r="U3702" s="6"/>
      <c r="V3702" s="6">
        <v>0</v>
      </c>
      <c r="W3702" s="6">
        <f t="shared" si="575"/>
        <v>7172</v>
      </c>
      <c r="X3702" s="6">
        <f t="shared" si="576"/>
        <v>0</v>
      </c>
      <c r="Y3702" s="13">
        <f t="shared" si="568"/>
        <v>0</v>
      </c>
      <c r="Z3702" s="14">
        <v>0</v>
      </c>
      <c r="AA3702" s="6">
        <v>0</v>
      </c>
      <c r="AB3702" s="4">
        <f t="shared" si="569"/>
        <v>0</v>
      </c>
      <c r="AC3702" s="4">
        <f t="shared" si="571"/>
        <v>0</v>
      </c>
      <c r="AD3702" s="6">
        <f t="shared" si="573"/>
        <v>0</v>
      </c>
      <c r="AE3702" s="2">
        <f>VLOOKUP(I3702,[1]媒体政策预估表!A:N,MATCH(O3702,[1]媒体政策预估表!$A$2:$M$2,0),0)</f>
        <v>7.0000000000000007E-2</v>
      </c>
      <c r="AF3702" s="6">
        <f t="shared" si="572"/>
        <v>0</v>
      </c>
      <c r="AG3702" s="14">
        <v>0</v>
      </c>
      <c r="AH3702" s="64">
        <f t="shared" si="574"/>
        <v>0</v>
      </c>
      <c r="AI3702" s="47"/>
      <c r="AJ3702" s="126" t="e">
        <v>#N/A</v>
      </c>
      <c r="AK3702" s="80">
        <f t="shared" si="570"/>
        <v>0</v>
      </c>
      <c r="AM3702" s="85"/>
    </row>
    <row r="3703" spans="1:39" hidden="1" x14ac:dyDescent="0.3">
      <c r="A3703" s="89" t="s">
        <v>3395</v>
      </c>
      <c r="B3703" s="86" t="s">
        <v>35</v>
      </c>
      <c r="C3703" s="86" t="s">
        <v>65</v>
      </c>
      <c r="D3703" s="86" t="s">
        <v>66</v>
      </c>
      <c r="E3703" s="86" t="s">
        <v>861</v>
      </c>
      <c r="F3703" s="86" t="s">
        <v>861</v>
      </c>
      <c r="G3703" s="86" t="s">
        <v>861</v>
      </c>
      <c r="H3703" s="143">
        <v>62</v>
      </c>
      <c r="I3703" s="86" t="s">
        <v>408</v>
      </c>
      <c r="J3703" s="1" t="s">
        <v>3324</v>
      </c>
      <c r="K3703" s="1" t="s">
        <v>3278</v>
      </c>
      <c r="L3703" s="1" t="s">
        <v>35</v>
      </c>
      <c r="M3703" s="86" t="s">
        <v>862</v>
      </c>
      <c r="N3703" s="86"/>
      <c r="O3703" s="47" t="s">
        <v>410</v>
      </c>
      <c r="P3703" s="47" t="s">
        <v>46</v>
      </c>
      <c r="Q3703" s="14">
        <v>0.04</v>
      </c>
      <c r="R3703" s="143">
        <v>1000013455</v>
      </c>
      <c r="S3703" s="47"/>
      <c r="T3703" s="6">
        <v>28027.7</v>
      </c>
      <c r="U3703" s="6"/>
      <c r="V3703" s="6">
        <v>0</v>
      </c>
      <c r="W3703" s="6">
        <f t="shared" si="575"/>
        <v>28027.7</v>
      </c>
      <c r="X3703" s="6">
        <f t="shared" si="576"/>
        <v>0</v>
      </c>
      <c r="Y3703" s="13">
        <f t="shared" si="568"/>
        <v>0</v>
      </c>
      <c r="Z3703" s="14">
        <v>0</v>
      </c>
      <c r="AA3703" s="6">
        <v>0</v>
      </c>
      <c r="AB3703" s="4">
        <f t="shared" si="569"/>
        <v>0</v>
      </c>
      <c r="AC3703" s="4">
        <f t="shared" si="571"/>
        <v>0</v>
      </c>
      <c r="AD3703" s="6">
        <f t="shared" si="573"/>
        <v>0</v>
      </c>
      <c r="AE3703" s="2">
        <f>VLOOKUP(I3703,[1]媒体政策预估表!A:N,MATCH(O3703,[1]媒体政策预估表!$A$2:$M$2,0),0)</f>
        <v>7.0000000000000007E-2</v>
      </c>
      <c r="AF3703" s="6">
        <f t="shared" si="572"/>
        <v>0</v>
      </c>
      <c r="AG3703" s="14">
        <v>0</v>
      </c>
      <c r="AH3703" s="64">
        <f t="shared" si="574"/>
        <v>0</v>
      </c>
      <c r="AI3703" s="47"/>
      <c r="AJ3703" s="126" t="e">
        <v>#N/A</v>
      </c>
      <c r="AK3703" s="80">
        <f t="shared" si="570"/>
        <v>0</v>
      </c>
      <c r="AM3703" s="85"/>
    </row>
    <row r="3704" spans="1:39" hidden="1" x14ac:dyDescent="0.3">
      <c r="A3704" s="89" t="s">
        <v>3394</v>
      </c>
      <c r="B3704" s="86" t="s">
        <v>35</v>
      </c>
      <c r="C3704" s="86" t="s">
        <v>65</v>
      </c>
      <c r="D3704" s="86" t="s">
        <v>66</v>
      </c>
      <c r="E3704" s="86" t="s">
        <v>861</v>
      </c>
      <c r="F3704" s="86" t="s">
        <v>861</v>
      </c>
      <c r="G3704" s="86" t="s">
        <v>861</v>
      </c>
      <c r="H3704" s="143">
        <v>62</v>
      </c>
      <c r="I3704" s="86" t="s">
        <v>408</v>
      </c>
      <c r="J3704" s="1" t="s">
        <v>3324</v>
      </c>
      <c r="K3704" s="1" t="s">
        <v>3278</v>
      </c>
      <c r="L3704" s="1" t="s">
        <v>35</v>
      </c>
      <c r="M3704" s="86" t="s">
        <v>863</v>
      </c>
      <c r="N3704" s="86"/>
      <c r="O3704" s="47" t="s">
        <v>410</v>
      </c>
      <c r="P3704" s="47" t="s">
        <v>46</v>
      </c>
      <c r="Q3704" s="14">
        <v>0.04</v>
      </c>
      <c r="R3704" s="143">
        <v>1000001190</v>
      </c>
      <c r="S3704" s="47"/>
      <c r="T3704" s="6">
        <v>35733.800000000003</v>
      </c>
      <c r="U3704" s="6"/>
      <c r="V3704" s="6">
        <v>0</v>
      </c>
      <c r="W3704" s="6">
        <f t="shared" si="575"/>
        <v>35733.800000000003</v>
      </c>
      <c r="X3704" s="6">
        <f t="shared" si="576"/>
        <v>0</v>
      </c>
      <c r="Y3704" s="13">
        <f t="shared" si="568"/>
        <v>0</v>
      </c>
      <c r="Z3704" s="14">
        <v>0</v>
      </c>
      <c r="AA3704" s="6">
        <v>0</v>
      </c>
      <c r="AB3704" s="4">
        <f t="shared" si="569"/>
        <v>0</v>
      </c>
      <c r="AC3704" s="4">
        <f t="shared" si="571"/>
        <v>0</v>
      </c>
      <c r="AD3704" s="6">
        <f t="shared" si="573"/>
        <v>0</v>
      </c>
      <c r="AE3704" s="2">
        <f>VLOOKUP(I3704,[1]媒体政策预估表!A:N,MATCH(O3704,[1]媒体政策预估表!$A$2:$M$2,0),0)</f>
        <v>7.0000000000000007E-2</v>
      </c>
      <c r="AF3704" s="6">
        <f t="shared" si="572"/>
        <v>0</v>
      </c>
      <c r="AG3704" s="14">
        <v>0</v>
      </c>
      <c r="AH3704" s="64">
        <f t="shared" si="574"/>
        <v>0</v>
      </c>
      <c r="AI3704" s="47"/>
      <c r="AJ3704" s="126" t="e">
        <v>#N/A</v>
      </c>
      <c r="AK3704" s="80">
        <f t="shared" si="570"/>
        <v>0</v>
      </c>
      <c r="AM3704" s="85"/>
    </row>
    <row r="3705" spans="1:39" hidden="1" x14ac:dyDescent="0.3">
      <c r="A3705" s="89" t="s">
        <v>3394</v>
      </c>
      <c r="B3705" s="86" t="s">
        <v>35</v>
      </c>
      <c r="C3705" s="86" t="s">
        <v>65</v>
      </c>
      <c r="D3705" s="86" t="s">
        <v>66</v>
      </c>
      <c r="E3705" s="86" t="s">
        <v>864</v>
      </c>
      <c r="F3705" s="86" t="s">
        <v>864</v>
      </c>
      <c r="G3705" s="86" t="s">
        <v>864</v>
      </c>
      <c r="H3705" s="143">
        <v>62</v>
      </c>
      <c r="I3705" s="86" t="s">
        <v>408</v>
      </c>
      <c r="J3705" s="1" t="s">
        <v>3324</v>
      </c>
      <c r="K3705" s="1" t="s">
        <v>3278</v>
      </c>
      <c r="L3705" s="1" t="s">
        <v>35</v>
      </c>
      <c r="M3705" s="86" t="s">
        <v>865</v>
      </c>
      <c r="N3705" s="86"/>
      <c r="O3705" s="47" t="s">
        <v>410</v>
      </c>
      <c r="P3705" s="47" t="s">
        <v>46</v>
      </c>
      <c r="Q3705" s="14">
        <v>7.0000000000000007E-2</v>
      </c>
      <c r="R3705" s="143">
        <v>1000001255</v>
      </c>
      <c r="S3705" s="47"/>
      <c r="T3705" s="6">
        <v>351</v>
      </c>
      <c r="U3705" s="6"/>
      <c r="V3705" s="6">
        <v>0</v>
      </c>
      <c r="W3705" s="6">
        <f t="shared" si="575"/>
        <v>351</v>
      </c>
      <c r="X3705" s="6">
        <f t="shared" si="576"/>
        <v>0</v>
      </c>
      <c r="Y3705" s="13">
        <f t="shared" si="568"/>
        <v>0</v>
      </c>
      <c r="Z3705" s="14">
        <v>0</v>
      </c>
      <c r="AA3705" s="6">
        <v>0</v>
      </c>
      <c r="AB3705" s="4">
        <f t="shared" si="569"/>
        <v>0</v>
      </c>
      <c r="AC3705" s="4">
        <f t="shared" si="571"/>
        <v>0</v>
      </c>
      <c r="AD3705" s="6">
        <f t="shared" si="573"/>
        <v>0</v>
      </c>
      <c r="AE3705" s="2">
        <f>VLOOKUP(I3705,[1]媒体政策预估表!A:N,MATCH(O3705,[1]媒体政策预估表!$A$2:$M$2,0),0)</f>
        <v>7.0000000000000007E-2</v>
      </c>
      <c r="AF3705" s="6">
        <f t="shared" si="572"/>
        <v>0</v>
      </c>
      <c r="AG3705" s="14">
        <v>0</v>
      </c>
      <c r="AH3705" s="64">
        <f t="shared" si="574"/>
        <v>0</v>
      </c>
      <c r="AI3705" s="47"/>
      <c r="AJ3705" s="126" t="e">
        <v>#N/A</v>
      </c>
      <c r="AK3705" s="80">
        <f t="shared" si="570"/>
        <v>0</v>
      </c>
      <c r="AM3705" s="85"/>
    </row>
    <row r="3706" spans="1:39" hidden="1" x14ac:dyDescent="0.3">
      <c r="A3706" s="89" t="s">
        <v>3394</v>
      </c>
      <c r="B3706" s="86" t="s">
        <v>35</v>
      </c>
      <c r="C3706" s="86" t="s">
        <v>65</v>
      </c>
      <c r="D3706" s="86" t="s">
        <v>66</v>
      </c>
      <c r="E3706" s="86" t="s">
        <v>866</v>
      </c>
      <c r="F3706" s="86" t="s">
        <v>867</v>
      </c>
      <c r="G3706" s="86" t="s">
        <v>866</v>
      </c>
      <c r="H3706" s="143">
        <v>62</v>
      </c>
      <c r="I3706" s="86" t="s">
        <v>408</v>
      </c>
      <c r="J3706" s="1" t="s">
        <v>3324</v>
      </c>
      <c r="K3706" s="1" t="s">
        <v>3278</v>
      </c>
      <c r="L3706" s="1" t="s">
        <v>35</v>
      </c>
      <c r="M3706" s="86" t="s">
        <v>868</v>
      </c>
      <c r="N3706" s="86"/>
      <c r="O3706" s="47" t="s">
        <v>410</v>
      </c>
      <c r="P3706" s="47" t="s">
        <v>46</v>
      </c>
      <c r="Q3706" s="14">
        <v>0.02</v>
      </c>
      <c r="R3706" s="143">
        <v>1000049631</v>
      </c>
      <c r="S3706" s="47"/>
      <c r="T3706" s="6">
        <v>32887.910000000003</v>
      </c>
      <c r="U3706" s="6"/>
      <c r="V3706" s="6">
        <v>0</v>
      </c>
      <c r="W3706" s="6">
        <f t="shared" si="575"/>
        <v>32887.910000000003</v>
      </c>
      <c r="X3706" s="6">
        <f t="shared" si="576"/>
        <v>0</v>
      </c>
      <c r="Y3706" s="13">
        <f t="shared" si="568"/>
        <v>0</v>
      </c>
      <c r="Z3706" s="14">
        <v>0</v>
      </c>
      <c r="AA3706" s="6">
        <v>0</v>
      </c>
      <c r="AB3706" s="4">
        <f t="shared" si="569"/>
        <v>0</v>
      </c>
      <c r="AC3706" s="4">
        <f t="shared" si="571"/>
        <v>0</v>
      </c>
      <c r="AD3706" s="6">
        <f t="shared" si="573"/>
        <v>0</v>
      </c>
      <c r="AE3706" s="2">
        <f>VLOOKUP(I3706,[1]媒体政策预估表!A:N,MATCH(O3706,[1]媒体政策预估表!$A$2:$M$2,0),0)</f>
        <v>7.0000000000000007E-2</v>
      </c>
      <c r="AF3706" s="6">
        <f t="shared" si="572"/>
        <v>0</v>
      </c>
      <c r="AG3706" s="14">
        <v>0</v>
      </c>
      <c r="AH3706" s="64">
        <f t="shared" si="574"/>
        <v>0</v>
      </c>
      <c r="AI3706" s="47"/>
      <c r="AJ3706" s="126" t="e">
        <v>#N/A</v>
      </c>
      <c r="AK3706" s="80">
        <f t="shared" si="570"/>
        <v>0</v>
      </c>
      <c r="AM3706" s="85"/>
    </row>
    <row r="3707" spans="1:39" hidden="1" x14ac:dyDescent="0.3">
      <c r="A3707" s="89" t="s">
        <v>3394</v>
      </c>
      <c r="B3707" s="86" t="s">
        <v>35</v>
      </c>
      <c r="C3707" s="86" t="s">
        <v>65</v>
      </c>
      <c r="D3707" s="86" t="s">
        <v>66</v>
      </c>
      <c r="E3707" s="86" t="s">
        <v>869</v>
      </c>
      <c r="F3707" s="86" t="s">
        <v>869</v>
      </c>
      <c r="G3707" s="86" t="s">
        <v>869</v>
      </c>
      <c r="H3707" s="143">
        <v>62</v>
      </c>
      <c r="I3707" s="86" t="s">
        <v>408</v>
      </c>
      <c r="J3707" s="1" t="s">
        <v>3324</v>
      </c>
      <c r="K3707" s="1" t="s">
        <v>3278</v>
      </c>
      <c r="L3707" s="1" t="s">
        <v>35</v>
      </c>
      <c r="M3707" s="86" t="s">
        <v>870</v>
      </c>
      <c r="N3707" s="86"/>
      <c r="O3707" s="47" t="s">
        <v>410</v>
      </c>
      <c r="P3707" s="47" t="s">
        <v>41</v>
      </c>
      <c r="Q3707" s="14">
        <v>0</v>
      </c>
      <c r="R3707" s="143">
        <v>1000002672</v>
      </c>
      <c r="S3707" s="47"/>
      <c r="T3707" s="6">
        <v>16499.900000000001</v>
      </c>
      <c r="U3707" s="6"/>
      <c r="V3707" s="6">
        <v>0</v>
      </c>
      <c r="W3707" s="6">
        <f t="shared" si="575"/>
        <v>16499.900000000001</v>
      </c>
      <c r="X3707" s="6">
        <f t="shared" si="576"/>
        <v>0</v>
      </c>
      <c r="Y3707" s="13">
        <f t="shared" si="568"/>
        <v>0</v>
      </c>
      <c r="Z3707" s="14">
        <v>0</v>
      </c>
      <c r="AA3707" s="6">
        <v>0</v>
      </c>
      <c r="AB3707" s="4">
        <f t="shared" si="569"/>
        <v>0</v>
      </c>
      <c r="AC3707" s="4">
        <f t="shared" si="571"/>
        <v>0</v>
      </c>
      <c r="AD3707" s="6">
        <f t="shared" si="573"/>
        <v>0</v>
      </c>
      <c r="AE3707" s="2">
        <f>VLOOKUP(I3707,[1]媒体政策预估表!A:N,MATCH(O3707,[1]媒体政策预估表!$A$2:$M$2,0),0)</f>
        <v>7.0000000000000007E-2</v>
      </c>
      <c r="AF3707" s="6">
        <f t="shared" si="572"/>
        <v>0</v>
      </c>
      <c r="AG3707" s="14">
        <v>0</v>
      </c>
      <c r="AH3707" s="64">
        <f t="shared" si="574"/>
        <v>0</v>
      </c>
      <c r="AI3707" s="47"/>
      <c r="AJ3707" s="126" t="e">
        <v>#N/A</v>
      </c>
      <c r="AK3707" s="80">
        <f t="shared" si="570"/>
        <v>0</v>
      </c>
      <c r="AM3707" s="85"/>
    </row>
    <row r="3708" spans="1:39" hidden="1" x14ac:dyDescent="0.3">
      <c r="A3708" s="89" t="s">
        <v>3397</v>
      </c>
      <c r="B3708" s="86" t="s">
        <v>35</v>
      </c>
      <c r="C3708" s="86" t="s">
        <v>65</v>
      </c>
      <c r="D3708" s="86" t="s">
        <v>122</v>
      </c>
      <c r="E3708" s="86" t="s">
        <v>871</v>
      </c>
      <c r="F3708" s="86" t="s">
        <v>872</v>
      </c>
      <c r="G3708" s="86" t="s">
        <v>871</v>
      </c>
      <c r="H3708" s="143">
        <v>62</v>
      </c>
      <c r="I3708" s="86" t="s">
        <v>408</v>
      </c>
      <c r="J3708" s="1" t="s">
        <v>3324</v>
      </c>
      <c r="K3708" s="1" t="s">
        <v>3278</v>
      </c>
      <c r="L3708" s="1" t="s">
        <v>35</v>
      </c>
      <c r="M3708" s="86" t="s">
        <v>873</v>
      </c>
      <c r="N3708" s="86"/>
      <c r="O3708" s="47" t="s">
        <v>410</v>
      </c>
      <c r="P3708" s="47" t="s">
        <v>46</v>
      </c>
      <c r="Q3708" s="14">
        <v>0.04</v>
      </c>
      <c r="R3708" s="143">
        <v>1000008084</v>
      </c>
      <c r="S3708" s="47"/>
      <c r="T3708" s="6">
        <v>15897.1</v>
      </c>
      <c r="U3708" s="6"/>
      <c r="V3708" s="6">
        <v>0</v>
      </c>
      <c r="W3708" s="6">
        <f t="shared" si="575"/>
        <v>15897.1</v>
      </c>
      <c r="X3708" s="6">
        <f t="shared" si="576"/>
        <v>0</v>
      </c>
      <c r="Y3708" s="13">
        <f t="shared" si="568"/>
        <v>0</v>
      </c>
      <c r="Z3708" s="14">
        <v>0</v>
      </c>
      <c r="AA3708" s="6">
        <v>0</v>
      </c>
      <c r="AB3708" s="4">
        <f t="shared" si="569"/>
        <v>0</v>
      </c>
      <c r="AC3708" s="4">
        <f t="shared" si="571"/>
        <v>0</v>
      </c>
      <c r="AD3708" s="6">
        <f t="shared" si="573"/>
        <v>0</v>
      </c>
      <c r="AE3708" s="2">
        <f>VLOOKUP(I3708,[1]媒体政策预估表!A:N,MATCH(O3708,[1]媒体政策预估表!$A$2:$M$2,0),0)</f>
        <v>7.0000000000000007E-2</v>
      </c>
      <c r="AF3708" s="6">
        <f t="shared" si="572"/>
        <v>0</v>
      </c>
      <c r="AG3708" s="14">
        <v>0</v>
      </c>
      <c r="AH3708" s="64">
        <f t="shared" si="574"/>
        <v>0</v>
      </c>
      <c r="AI3708" s="47"/>
      <c r="AJ3708" s="126" t="e">
        <v>#N/A</v>
      </c>
      <c r="AK3708" s="80">
        <f t="shared" si="570"/>
        <v>0</v>
      </c>
      <c r="AM3708" s="85"/>
    </row>
    <row r="3709" spans="1:39" hidden="1" x14ac:dyDescent="0.3">
      <c r="A3709" s="89" t="s">
        <v>3394</v>
      </c>
      <c r="B3709" s="86" t="s">
        <v>35</v>
      </c>
      <c r="C3709" s="86" t="s">
        <v>65</v>
      </c>
      <c r="D3709" s="86" t="s">
        <v>122</v>
      </c>
      <c r="E3709" s="86" t="s">
        <v>874</v>
      </c>
      <c r="F3709" s="86" t="s">
        <v>874</v>
      </c>
      <c r="G3709" s="86" t="s">
        <v>874</v>
      </c>
      <c r="H3709" s="143">
        <v>62</v>
      </c>
      <c r="I3709" s="86" t="s">
        <v>408</v>
      </c>
      <c r="J3709" s="1" t="s">
        <v>3324</v>
      </c>
      <c r="K3709" s="1" t="s">
        <v>3278</v>
      </c>
      <c r="L3709" s="1" t="s">
        <v>35</v>
      </c>
      <c r="M3709" s="86" t="s">
        <v>875</v>
      </c>
      <c r="N3709" s="86"/>
      <c r="O3709" s="47" t="s">
        <v>45</v>
      </c>
      <c r="P3709" s="47" t="s">
        <v>46</v>
      </c>
      <c r="Q3709" s="14">
        <v>0.08</v>
      </c>
      <c r="R3709" s="143">
        <v>1000022027</v>
      </c>
      <c r="S3709" s="47"/>
      <c r="T3709" s="6">
        <v>2400</v>
      </c>
      <c r="U3709" s="6"/>
      <c r="V3709" s="6">
        <v>0</v>
      </c>
      <c r="W3709" s="6">
        <f t="shared" si="575"/>
        <v>2400</v>
      </c>
      <c r="X3709" s="6">
        <f t="shared" si="576"/>
        <v>0</v>
      </c>
      <c r="Y3709" s="13">
        <f t="shared" si="568"/>
        <v>0</v>
      </c>
      <c r="Z3709" s="14">
        <v>0</v>
      </c>
      <c r="AA3709" s="6">
        <v>0</v>
      </c>
      <c r="AB3709" s="4">
        <f t="shared" si="569"/>
        <v>0</v>
      </c>
      <c r="AC3709" s="4">
        <f t="shared" si="571"/>
        <v>0</v>
      </c>
      <c r="AD3709" s="6">
        <f t="shared" si="573"/>
        <v>0</v>
      </c>
      <c r="AE3709" s="2">
        <f>VLOOKUP(I3709,[1]媒体政策预估表!A:N,MATCH(O3709,[1]媒体政策预估表!$A$2:$M$2,0),0)</f>
        <v>0.12</v>
      </c>
      <c r="AF3709" s="6">
        <f t="shared" si="572"/>
        <v>0</v>
      </c>
      <c r="AG3709" s="14">
        <v>0</v>
      </c>
      <c r="AH3709" s="64">
        <f t="shared" si="574"/>
        <v>0</v>
      </c>
      <c r="AI3709" s="47"/>
      <c r="AJ3709" s="126" t="e">
        <v>#N/A</v>
      </c>
      <c r="AK3709" s="80">
        <f t="shared" si="570"/>
        <v>0</v>
      </c>
      <c r="AM3709" s="85"/>
    </row>
    <row r="3710" spans="1:39" hidden="1" x14ac:dyDescent="0.3">
      <c r="A3710" s="89" t="s">
        <v>3394</v>
      </c>
      <c r="B3710" s="86" t="s">
        <v>35</v>
      </c>
      <c r="C3710" s="86" t="s">
        <v>65</v>
      </c>
      <c r="D3710" s="86" t="s">
        <v>125</v>
      </c>
      <c r="E3710" s="86" t="s">
        <v>876</v>
      </c>
      <c r="F3710" s="86" t="s">
        <v>876</v>
      </c>
      <c r="G3710" s="86" t="s">
        <v>876</v>
      </c>
      <c r="H3710" s="143">
        <v>62</v>
      </c>
      <c r="I3710" s="86" t="s">
        <v>408</v>
      </c>
      <c r="J3710" s="1" t="s">
        <v>3324</v>
      </c>
      <c r="K3710" s="1" t="s">
        <v>3278</v>
      </c>
      <c r="L3710" s="1" t="s">
        <v>35</v>
      </c>
      <c r="M3710" s="86" t="s">
        <v>877</v>
      </c>
      <c r="N3710" s="86"/>
      <c r="O3710" s="47" t="s">
        <v>410</v>
      </c>
      <c r="P3710" s="47" t="s">
        <v>41</v>
      </c>
      <c r="Q3710" s="14">
        <v>0</v>
      </c>
      <c r="R3710" s="143">
        <v>1000051898</v>
      </c>
      <c r="S3710" s="47"/>
      <c r="T3710" s="6">
        <v>499146.39</v>
      </c>
      <c r="U3710" s="6"/>
      <c r="V3710" s="6">
        <v>0</v>
      </c>
      <c r="W3710" s="6">
        <f t="shared" si="575"/>
        <v>499146.39</v>
      </c>
      <c r="X3710" s="6">
        <f t="shared" si="576"/>
        <v>0</v>
      </c>
      <c r="Y3710" s="13">
        <f t="shared" si="568"/>
        <v>0</v>
      </c>
      <c r="Z3710" s="14">
        <v>0</v>
      </c>
      <c r="AA3710" s="6">
        <v>0</v>
      </c>
      <c r="AB3710" s="4">
        <f t="shared" si="569"/>
        <v>0</v>
      </c>
      <c r="AC3710" s="4">
        <f t="shared" si="571"/>
        <v>0</v>
      </c>
      <c r="AD3710" s="6">
        <f t="shared" si="573"/>
        <v>0</v>
      </c>
      <c r="AE3710" s="2">
        <f>VLOOKUP(I3710,[1]媒体政策预估表!A:N,MATCH(O3710,[1]媒体政策预估表!$A$2:$M$2,0),0)</f>
        <v>7.0000000000000007E-2</v>
      </c>
      <c r="AF3710" s="6">
        <f t="shared" si="572"/>
        <v>0</v>
      </c>
      <c r="AG3710" s="14">
        <v>0</v>
      </c>
      <c r="AH3710" s="64">
        <f t="shared" si="574"/>
        <v>0</v>
      </c>
      <c r="AI3710" s="47"/>
      <c r="AJ3710" s="126" t="e">
        <v>#N/A</v>
      </c>
      <c r="AK3710" s="80">
        <f t="shared" si="570"/>
        <v>0</v>
      </c>
      <c r="AM3710" s="85"/>
    </row>
    <row r="3711" spans="1:39" hidden="1" x14ac:dyDescent="0.3">
      <c r="A3711" s="89" t="s">
        <v>3394</v>
      </c>
      <c r="B3711" s="86" t="s">
        <v>35</v>
      </c>
      <c r="C3711" s="86" t="s">
        <v>47</v>
      </c>
      <c r="D3711" s="86" t="s">
        <v>878</v>
      </c>
      <c r="E3711" s="86" t="s">
        <v>879</v>
      </c>
      <c r="F3711" s="86" t="s">
        <v>879</v>
      </c>
      <c r="G3711" s="86" t="s">
        <v>879</v>
      </c>
      <c r="H3711" s="143">
        <v>62</v>
      </c>
      <c r="I3711" s="86" t="s">
        <v>408</v>
      </c>
      <c r="J3711" s="1" t="s">
        <v>3324</v>
      </c>
      <c r="K3711" s="1" t="s">
        <v>3278</v>
      </c>
      <c r="L3711" s="1" t="s">
        <v>35</v>
      </c>
      <c r="M3711" s="86" t="s">
        <v>880</v>
      </c>
      <c r="N3711" s="86"/>
      <c r="O3711" s="47" t="s">
        <v>410</v>
      </c>
      <c r="P3711" s="47" t="s">
        <v>46</v>
      </c>
      <c r="Q3711" s="14">
        <v>0.04</v>
      </c>
      <c r="R3711" s="143">
        <v>1000026251</v>
      </c>
      <c r="S3711" s="47"/>
      <c r="T3711" s="6">
        <v>9727.1</v>
      </c>
      <c r="U3711" s="6"/>
      <c r="V3711" s="6">
        <v>0</v>
      </c>
      <c r="W3711" s="6">
        <f t="shared" si="575"/>
        <v>9727.1</v>
      </c>
      <c r="X3711" s="6">
        <f t="shared" si="576"/>
        <v>0</v>
      </c>
      <c r="Y3711" s="13">
        <f t="shared" si="568"/>
        <v>0</v>
      </c>
      <c r="Z3711" s="14">
        <v>0</v>
      </c>
      <c r="AA3711" s="6">
        <v>0</v>
      </c>
      <c r="AB3711" s="4">
        <f t="shared" si="569"/>
        <v>0</v>
      </c>
      <c r="AC3711" s="4">
        <f t="shared" si="571"/>
        <v>0</v>
      </c>
      <c r="AD3711" s="6">
        <f t="shared" si="573"/>
        <v>0</v>
      </c>
      <c r="AE3711" s="2">
        <f>VLOOKUP(I3711,[1]媒体政策预估表!A:N,MATCH(O3711,[1]媒体政策预估表!$A$2:$M$2,0),0)</f>
        <v>7.0000000000000007E-2</v>
      </c>
      <c r="AF3711" s="6">
        <f t="shared" si="572"/>
        <v>0</v>
      </c>
      <c r="AG3711" s="14">
        <v>0</v>
      </c>
      <c r="AH3711" s="64">
        <f t="shared" si="574"/>
        <v>0</v>
      </c>
      <c r="AI3711" s="47"/>
      <c r="AJ3711" s="126" t="e">
        <v>#N/A</v>
      </c>
      <c r="AK3711" s="80">
        <f t="shared" si="570"/>
        <v>0</v>
      </c>
      <c r="AM3711" s="85"/>
    </row>
    <row r="3712" spans="1:39" hidden="1" x14ac:dyDescent="0.3">
      <c r="A3712" s="89" t="s">
        <v>3394</v>
      </c>
      <c r="B3712" s="86" t="s">
        <v>35</v>
      </c>
      <c r="C3712" s="86" t="s">
        <v>47</v>
      </c>
      <c r="D3712" s="86" t="s">
        <v>63</v>
      </c>
      <c r="E3712" s="86" t="s">
        <v>881</v>
      </c>
      <c r="F3712" s="86" t="s">
        <v>881</v>
      </c>
      <c r="G3712" s="86" t="s">
        <v>881</v>
      </c>
      <c r="H3712" s="143">
        <v>62</v>
      </c>
      <c r="I3712" s="86" t="s">
        <v>408</v>
      </c>
      <c r="J3712" s="1" t="s">
        <v>3324</v>
      </c>
      <c r="K3712" s="1" t="s">
        <v>3278</v>
      </c>
      <c r="L3712" s="1" t="s">
        <v>35</v>
      </c>
      <c r="M3712" s="86" t="s">
        <v>882</v>
      </c>
      <c r="N3712" s="86"/>
      <c r="O3712" s="47" t="s">
        <v>410</v>
      </c>
      <c r="P3712" s="47" t="s">
        <v>41</v>
      </c>
      <c r="Q3712" s="14">
        <v>0</v>
      </c>
      <c r="R3712" s="143">
        <v>1000004884</v>
      </c>
      <c r="S3712" s="47"/>
      <c r="T3712" s="6">
        <v>85408.59</v>
      </c>
      <c r="U3712" s="6"/>
      <c r="V3712" s="6">
        <v>0</v>
      </c>
      <c r="W3712" s="6">
        <f t="shared" si="575"/>
        <v>85408.59</v>
      </c>
      <c r="X3712" s="6">
        <f t="shared" si="576"/>
        <v>0</v>
      </c>
      <c r="Y3712" s="13">
        <f t="shared" si="568"/>
        <v>0</v>
      </c>
      <c r="Z3712" s="14">
        <v>0</v>
      </c>
      <c r="AA3712" s="6">
        <v>0</v>
      </c>
      <c r="AB3712" s="4">
        <f t="shared" si="569"/>
        <v>0</v>
      </c>
      <c r="AC3712" s="4">
        <f t="shared" si="571"/>
        <v>0</v>
      </c>
      <c r="AD3712" s="6">
        <f t="shared" si="573"/>
        <v>0</v>
      </c>
      <c r="AE3712" s="2">
        <f>VLOOKUP(I3712,[1]媒体政策预估表!A:N,MATCH(O3712,[1]媒体政策预估表!$A$2:$M$2,0),0)</f>
        <v>7.0000000000000007E-2</v>
      </c>
      <c r="AF3712" s="6">
        <f t="shared" si="572"/>
        <v>0</v>
      </c>
      <c r="AG3712" s="14">
        <v>0</v>
      </c>
      <c r="AH3712" s="64">
        <f t="shared" si="574"/>
        <v>0</v>
      </c>
      <c r="AI3712" s="47"/>
      <c r="AJ3712" s="126" t="e">
        <v>#N/A</v>
      </c>
      <c r="AK3712" s="80">
        <f t="shared" si="570"/>
        <v>0</v>
      </c>
      <c r="AM3712" s="85"/>
    </row>
    <row r="3713" spans="1:39" hidden="1" x14ac:dyDescent="0.3">
      <c r="A3713" s="89" t="s">
        <v>3394</v>
      </c>
      <c r="B3713" s="86" t="s">
        <v>35</v>
      </c>
      <c r="C3713" s="86" t="s">
        <v>47</v>
      </c>
      <c r="D3713" s="86" t="s">
        <v>63</v>
      </c>
      <c r="E3713" s="86" t="s">
        <v>883</v>
      </c>
      <c r="F3713" s="86" t="s">
        <v>883</v>
      </c>
      <c r="G3713" s="86" t="s">
        <v>883</v>
      </c>
      <c r="H3713" s="143">
        <v>62</v>
      </c>
      <c r="I3713" s="86" t="s">
        <v>408</v>
      </c>
      <c r="J3713" s="1" t="s">
        <v>3324</v>
      </c>
      <c r="K3713" s="1" t="s">
        <v>3278</v>
      </c>
      <c r="L3713" s="1" t="s">
        <v>35</v>
      </c>
      <c r="M3713" s="86" t="s">
        <v>884</v>
      </c>
      <c r="N3713" s="86"/>
      <c r="O3713" s="47" t="s">
        <v>410</v>
      </c>
      <c r="P3713" s="47" t="s">
        <v>41</v>
      </c>
      <c r="Q3713" s="14">
        <v>0</v>
      </c>
      <c r="R3713" s="143">
        <v>1000054033</v>
      </c>
      <c r="S3713" s="47"/>
      <c r="T3713" s="6">
        <v>655.38</v>
      </c>
      <c r="U3713" s="6"/>
      <c r="V3713" s="6">
        <v>0</v>
      </c>
      <c r="W3713" s="6">
        <f t="shared" si="575"/>
        <v>655.38</v>
      </c>
      <c r="X3713" s="6">
        <f t="shared" si="576"/>
        <v>0</v>
      </c>
      <c r="Y3713" s="13">
        <f t="shared" si="568"/>
        <v>0</v>
      </c>
      <c r="Z3713" s="14">
        <v>0</v>
      </c>
      <c r="AA3713" s="6">
        <v>0</v>
      </c>
      <c r="AB3713" s="4">
        <f t="shared" si="569"/>
        <v>0</v>
      </c>
      <c r="AC3713" s="4">
        <f t="shared" si="571"/>
        <v>0</v>
      </c>
      <c r="AD3713" s="6">
        <f t="shared" si="573"/>
        <v>0</v>
      </c>
      <c r="AE3713" s="2">
        <f>VLOOKUP(I3713,[1]媒体政策预估表!A:N,MATCH(O3713,[1]媒体政策预估表!$A$2:$M$2,0),0)</f>
        <v>7.0000000000000007E-2</v>
      </c>
      <c r="AF3713" s="6">
        <f t="shared" si="572"/>
        <v>0</v>
      </c>
      <c r="AG3713" s="14">
        <v>0</v>
      </c>
      <c r="AH3713" s="64">
        <f t="shared" si="574"/>
        <v>0</v>
      </c>
      <c r="AI3713" s="47"/>
      <c r="AJ3713" s="126" t="e">
        <v>#N/A</v>
      </c>
      <c r="AK3713" s="80">
        <f t="shared" si="570"/>
        <v>0</v>
      </c>
      <c r="AM3713" s="85"/>
    </row>
    <row r="3714" spans="1:39" hidden="1" x14ac:dyDescent="0.3">
      <c r="A3714" s="89" t="s">
        <v>3395</v>
      </c>
      <c r="B3714" s="86" t="s">
        <v>35</v>
      </c>
      <c r="C3714" s="86" t="s">
        <v>47</v>
      </c>
      <c r="D3714" s="86" t="s">
        <v>63</v>
      </c>
      <c r="E3714" s="86" t="s">
        <v>885</v>
      </c>
      <c r="F3714" s="86" t="s">
        <v>885</v>
      </c>
      <c r="G3714" s="86" t="s">
        <v>885</v>
      </c>
      <c r="H3714" s="143">
        <v>62</v>
      </c>
      <c r="I3714" s="86" t="s">
        <v>408</v>
      </c>
      <c r="J3714" s="1" t="s">
        <v>3324</v>
      </c>
      <c r="K3714" s="1" t="s">
        <v>3278</v>
      </c>
      <c r="L3714" s="1" t="s">
        <v>35</v>
      </c>
      <c r="M3714" s="86" t="s">
        <v>886</v>
      </c>
      <c r="N3714" s="86"/>
      <c r="O3714" s="47" t="s">
        <v>410</v>
      </c>
      <c r="P3714" s="47" t="s">
        <v>41</v>
      </c>
      <c r="Q3714" s="14">
        <v>0</v>
      </c>
      <c r="R3714" s="143">
        <v>1000002377</v>
      </c>
      <c r="S3714" s="47"/>
      <c r="T3714" s="6">
        <v>1</v>
      </c>
      <c r="U3714" s="6"/>
      <c r="V3714" s="6">
        <v>0</v>
      </c>
      <c r="W3714" s="6">
        <f t="shared" si="575"/>
        <v>1</v>
      </c>
      <c r="X3714" s="6">
        <f t="shared" si="576"/>
        <v>0</v>
      </c>
      <c r="Y3714" s="13">
        <f t="shared" si="568"/>
        <v>0</v>
      </c>
      <c r="Z3714" s="14">
        <v>0</v>
      </c>
      <c r="AA3714" s="6">
        <v>0</v>
      </c>
      <c r="AB3714" s="4">
        <f t="shared" si="569"/>
        <v>0</v>
      </c>
      <c r="AC3714" s="4">
        <f t="shared" si="571"/>
        <v>0</v>
      </c>
      <c r="AD3714" s="6">
        <f t="shared" si="573"/>
        <v>0</v>
      </c>
      <c r="AE3714" s="2">
        <f>VLOOKUP(I3714,[1]媒体政策预估表!A:N,MATCH(O3714,[1]媒体政策预估表!$A$2:$M$2,0),0)</f>
        <v>7.0000000000000007E-2</v>
      </c>
      <c r="AF3714" s="6">
        <f t="shared" si="572"/>
        <v>0</v>
      </c>
      <c r="AG3714" s="14">
        <v>0</v>
      </c>
      <c r="AH3714" s="64">
        <f t="shared" si="574"/>
        <v>0</v>
      </c>
      <c r="AI3714" s="47"/>
      <c r="AJ3714" s="126" t="e">
        <v>#N/A</v>
      </c>
      <c r="AK3714" s="80">
        <f t="shared" si="570"/>
        <v>0</v>
      </c>
      <c r="AM3714" s="85"/>
    </row>
    <row r="3715" spans="1:39" hidden="1" x14ac:dyDescent="0.3">
      <c r="A3715" s="89" t="s">
        <v>3394</v>
      </c>
      <c r="B3715" s="86" t="s">
        <v>35</v>
      </c>
      <c r="C3715" s="86" t="s">
        <v>47</v>
      </c>
      <c r="D3715" s="86" t="s">
        <v>63</v>
      </c>
      <c r="E3715" s="86" t="s">
        <v>887</v>
      </c>
      <c r="F3715" s="86" t="s">
        <v>888</v>
      </c>
      <c r="G3715" s="86" t="s">
        <v>887</v>
      </c>
      <c r="H3715" s="143">
        <v>62</v>
      </c>
      <c r="I3715" s="86" t="s">
        <v>408</v>
      </c>
      <c r="J3715" s="1" t="s">
        <v>3324</v>
      </c>
      <c r="K3715" s="1" t="s">
        <v>3278</v>
      </c>
      <c r="L3715" s="1" t="s">
        <v>35</v>
      </c>
      <c r="M3715" s="86" t="s">
        <v>889</v>
      </c>
      <c r="N3715" s="86"/>
      <c r="O3715" s="47" t="s">
        <v>410</v>
      </c>
      <c r="P3715" s="47" t="s">
        <v>92</v>
      </c>
      <c r="Q3715" s="14">
        <v>0.93</v>
      </c>
      <c r="R3715" s="143">
        <v>1000010556</v>
      </c>
      <c r="S3715" s="47"/>
      <c r="T3715" s="6">
        <v>15112.89</v>
      </c>
      <c r="U3715" s="6"/>
      <c r="V3715" s="6">
        <v>0</v>
      </c>
      <c r="W3715" s="6">
        <f t="shared" si="575"/>
        <v>15112.89</v>
      </c>
      <c r="X3715" s="6">
        <f t="shared" si="576"/>
        <v>0</v>
      </c>
      <c r="Y3715" s="13">
        <f t="shared" ref="Y3715:Y3778" si="577">IF(X3715-AD3715&lt;=0,0,IF(P3715="返现",MAX(X3715-AC3715-AD3715,0),MAX(X3715-AD3715)))</f>
        <v>0</v>
      </c>
      <c r="Z3715" s="14">
        <v>0</v>
      </c>
      <c r="AA3715" s="6">
        <v>0</v>
      </c>
      <c r="AB3715" s="4">
        <f t="shared" ref="AB3715:AB3778" si="578">X3715+AA3715</f>
        <v>0</v>
      </c>
      <c r="AC3715" s="4">
        <f t="shared" si="571"/>
        <v>0</v>
      </c>
      <c r="AD3715" s="6">
        <f t="shared" si="573"/>
        <v>0</v>
      </c>
      <c r="AE3715" s="2">
        <f>VLOOKUP(I3715,[1]媒体政策预估表!A:N,MATCH(O3715,[1]媒体政策预估表!$A$2:$M$2,0),0)</f>
        <v>7.0000000000000007E-2</v>
      </c>
      <c r="AF3715" s="6">
        <f t="shared" si="572"/>
        <v>0</v>
      </c>
      <c r="AG3715" s="14">
        <v>0</v>
      </c>
      <c r="AH3715" s="64">
        <f t="shared" si="574"/>
        <v>0</v>
      </c>
      <c r="AI3715" s="47"/>
      <c r="AJ3715" s="126" t="e">
        <v>#N/A</v>
      </c>
      <c r="AK3715" s="80">
        <f t="shared" ref="AK3715:AK3778" si="579">X3715+AA3715-AB3715</f>
        <v>0</v>
      </c>
      <c r="AM3715" s="85"/>
    </row>
    <row r="3716" spans="1:39" hidden="1" x14ac:dyDescent="0.3">
      <c r="A3716" s="89" t="s">
        <v>3397</v>
      </c>
      <c r="B3716" s="86" t="s">
        <v>35</v>
      </c>
      <c r="C3716" s="86" t="s">
        <v>47</v>
      </c>
      <c r="D3716" s="86" t="s">
        <v>63</v>
      </c>
      <c r="E3716" s="86" t="s">
        <v>887</v>
      </c>
      <c r="F3716" s="86" t="s">
        <v>888</v>
      </c>
      <c r="G3716" s="86" t="s">
        <v>887</v>
      </c>
      <c r="H3716" s="143">
        <v>62</v>
      </c>
      <c r="I3716" s="86" t="s">
        <v>408</v>
      </c>
      <c r="J3716" s="1" t="s">
        <v>3324</v>
      </c>
      <c r="K3716" s="1" t="s">
        <v>3278</v>
      </c>
      <c r="L3716" s="1" t="s">
        <v>35</v>
      </c>
      <c r="M3716" s="86" t="s">
        <v>890</v>
      </c>
      <c r="N3716" s="86"/>
      <c r="O3716" s="47" t="s">
        <v>410</v>
      </c>
      <c r="P3716" s="47" t="s">
        <v>92</v>
      </c>
      <c r="Q3716" s="14">
        <v>0.93</v>
      </c>
      <c r="R3716" s="143">
        <v>1000005076</v>
      </c>
      <c r="S3716" s="47"/>
      <c r="T3716" s="6">
        <v>971.7</v>
      </c>
      <c r="U3716" s="6"/>
      <c r="V3716" s="6">
        <v>0</v>
      </c>
      <c r="W3716" s="6">
        <f t="shared" si="575"/>
        <v>971.7</v>
      </c>
      <c r="X3716" s="6">
        <f t="shared" si="576"/>
        <v>0</v>
      </c>
      <c r="Y3716" s="13">
        <f t="shared" si="577"/>
        <v>0</v>
      </c>
      <c r="Z3716" s="14">
        <v>0</v>
      </c>
      <c r="AA3716" s="6">
        <v>0</v>
      </c>
      <c r="AB3716" s="4">
        <f t="shared" si="578"/>
        <v>0</v>
      </c>
      <c r="AC3716" s="4">
        <f t="shared" si="571"/>
        <v>0</v>
      </c>
      <c r="AD3716" s="6">
        <f t="shared" si="573"/>
        <v>0</v>
      </c>
      <c r="AE3716" s="2">
        <f>VLOOKUP(I3716,[1]媒体政策预估表!A:N,MATCH(O3716,[1]媒体政策预估表!$A$2:$M$2,0),0)</f>
        <v>7.0000000000000007E-2</v>
      </c>
      <c r="AF3716" s="6">
        <f t="shared" si="572"/>
        <v>0</v>
      </c>
      <c r="AG3716" s="14">
        <v>0</v>
      </c>
      <c r="AH3716" s="64">
        <f t="shared" si="574"/>
        <v>0</v>
      </c>
      <c r="AI3716" s="47"/>
      <c r="AJ3716" s="126" t="e">
        <v>#N/A</v>
      </c>
      <c r="AK3716" s="80">
        <f t="shared" si="579"/>
        <v>0</v>
      </c>
      <c r="AM3716" s="85"/>
    </row>
    <row r="3717" spans="1:39" hidden="1" x14ac:dyDescent="0.3">
      <c r="A3717" s="89" t="s">
        <v>3397</v>
      </c>
      <c r="B3717" s="86" t="s">
        <v>35</v>
      </c>
      <c r="C3717" s="86" t="s">
        <v>47</v>
      </c>
      <c r="D3717" s="86" t="s">
        <v>63</v>
      </c>
      <c r="E3717" s="86" t="s">
        <v>891</v>
      </c>
      <c r="F3717" s="86" t="s">
        <v>891</v>
      </c>
      <c r="G3717" s="86" t="s">
        <v>891</v>
      </c>
      <c r="H3717" s="143">
        <v>62</v>
      </c>
      <c r="I3717" s="86" t="s">
        <v>408</v>
      </c>
      <c r="J3717" s="1" t="s">
        <v>3324</v>
      </c>
      <c r="K3717" s="1" t="s">
        <v>3278</v>
      </c>
      <c r="L3717" s="1" t="s">
        <v>35</v>
      </c>
      <c r="M3717" s="86" t="s">
        <v>892</v>
      </c>
      <c r="N3717" s="86"/>
      <c r="O3717" s="47" t="s">
        <v>410</v>
      </c>
      <c r="P3717" s="47" t="s">
        <v>92</v>
      </c>
      <c r="Q3717" s="14">
        <v>0.96</v>
      </c>
      <c r="R3717" s="143">
        <v>1000017211</v>
      </c>
      <c r="S3717" s="47"/>
      <c r="T3717" s="6">
        <v>2298.75</v>
      </c>
      <c r="U3717" s="6"/>
      <c r="V3717" s="6">
        <v>0</v>
      </c>
      <c r="W3717" s="6">
        <f t="shared" si="575"/>
        <v>2298.75</v>
      </c>
      <c r="X3717" s="6">
        <f t="shared" si="576"/>
        <v>0</v>
      </c>
      <c r="Y3717" s="13">
        <f t="shared" si="577"/>
        <v>0</v>
      </c>
      <c r="Z3717" s="14">
        <v>0</v>
      </c>
      <c r="AA3717" s="6">
        <v>0</v>
      </c>
      <c r="AB3717" s="4">
        <f t="shared" si="578"/>
        <v>0</v>
      </c>
      <c r="AC3717" s="4">
        <f t="shared" si="571"/>
        <v>0</v>
      </c>
      <c r="AD3717" s="6">
        <f t="shared" si="573"/>
        <v>0</v>
      </c>
      <c r="AE3717" s="2">
        <f>VLOOKUP(I3717,[1]媒体政策预估表!A:N,MATCH(O3717,[1]媒体政策预估表!$A$2:$M$2,0),0)</f>
        <v>7.0000000000000007E-2</v>
      </c>
      <c r="AF3717" s="6">
        <f t="shared" si="572"/>
        <v>0</v>
      </c>
      <c r="AG3717" s="14">
        <v>0</v>
      </c>
      <c r="AH3717" s="64">
        <f t="shared" si="574"/>
        <v>0</v>
      </c>
      <c r="AI3717" s="47"/>
      <c r="AJ3717" s="126" t="e">
        <v>#N/A</v>
      </c>
      <c r="AK3717" s="80">
        <f t="shared" si="579"/>
        <v>0</v>
      </c>
      <c r="AM3717" s="85"/>
    </row>
    <row r="3718" spans="1:39" hidden="1" x14ac:dyDescent="0.3">
      <c r="A3718" s="89" t="s">
        <v>3394</v>
      </c>
      <c r="B3718" s="86" t="s">
        <v>35</v>
      </c>
      <c r="C3718" s="86" t="s">
        <v>47</v>
      </c>
      <c r="D3718" s="86" t="s">
        <v>63</v>
      </c>
      <c r="E3718" s="86" t="s">
        <v>891</v>
      </c>
      <c r="F3718" s="86" t="s">
        <v>891</v>
      </c>
      <c r="G3718" s="86" t="s">
        <v>891</v>
      </c>
      <c r="H3718" s="143">
        <v>62</v>
      </c>
      <c r="I3718" s="86" t="s">
        <v>408</v>
      </c>
      <c r="J3718" s="1" t="s">
        <v>3324</v>
      </c>
      <c r="K3718" s="1" t="s">
        <v>3278</v>
      </c>
      <c r="L3718" s="1" t="s">
        <v>35</v>
      </c>
      <c r="M3718" s="86" t="s">
        <v>893</v>
      </c>
      <c r="N3718" s="86"/>
      <c r="O3718" s="47" t="s">
        <v>410</v>
      </c>
      <c r="P3718" s="47" t="s">
        <v>92</v>
      </c>
      <c r="Q3718" s="14">
        <v>0.96</v>
      </c>
      <c r="R3718" s="143">
        <v>1000003726</v>
      </c>
      <c r="S3718" s="47"/>
      <c r="T3718" s="6">
        <v>11.4</v>
      </c>
      <c r="U3718" s="6"/>
      <c r="V3718" s="6">
        <v>0</v>
      </c>
      <c r="W3718" s="6">
        <f t="shared" si="575"/>
        <v>11.4</v>
      </c>
      <c r="X3718" s="6">
        <f t="shared" si="576"/>
        <v>0</v>
      </c>
      <c r="Y3718" s="13">
        <f t="shared" si="577"/>
        <v>0</v>
      </c>
      <c r="Z3718" s="14">
        <v>0</v>
      </c>
      <c r="AA3718" s="6">
        <v>0</v>
      </c>
      <c r="AB3718" s="4">
        <f t="shared" si="578"/>
        <v>0</v>
      </c>
      <c r="AC3718" s="4">
        <f t="shared" si="571"/>
        <v>0</v>
      </c>
      <c r="AD3718" s="6">
        <f t="shared" si="573"/>
        <v>0</v>
      </c>
      <c r="AE3718" s="2">
        <f>VLOOKUP(I3718,[1]媒体政策预估表!A:N,MATCH(O3718,[1]媒体政策预估表!$A$2:$M$2,0),0)</f>
        <v>7.0000000000000007E-2</v>
      </c>
      <c r="AF3718" s="6">
        <f t="shared" si="572"/>
        <v>0</v>
      </c>
      <c r="AG3718" s="14">
        <v>0</v>
      </c>
      <c r="AH3718" s="64">
        <f t="shared" si="574"/>
        <v>0</v>
      </c>
      <c r="AI3718" s="47"/>
      <c r="AJ3718" s="126" t="e">
        <v>#N/A</v>
      </c>
      <c r="AK3718" s="80">
        <f t="shared" si="579"/>
        <v>0</v>
      </c>
      <c r="AM3718" s="85"/>
    </row>
    <row r="3719" spans="1:39" hidden="1" x14ac:dyDescent="0.3">
      <c r="A3719" s="89" t="s">
        <v>3394</v>
      </c>
      <c r="B3719" s="86" t="s">
        <v>35</v>
      </c>
      <c r="C3719" s="86" t="s">
        <v>47</v>
      </c>
      <c r="D3719" s="86" t="s">
        <v>63</v>
      </c>
      <c r="E3719" s="86" t="s">
        <v>894</v>
      </c>
      <c r="F3719" s="86" t="s">
        <v>895</v>
      </c>
      <c r="G3719" s="86" t="s">
        <v>894</v>
      </c>
      <c r="H3719" s="143">
        <v>62</v>
      </c>
      <c r="I3719" s="86" t="s">
        <v>408</v>
      </c>
      <c r="J3719" s="1" t="s">
        <v>3324</v>
      </c>
      <c r="K3719" s="1" t="s">
        <v>3278</v>
      </c>
      <c r="L3719" s="1" t="s">
        <v>35</v>
      </c>
      <c r="M3719" s="86" t="s">
        <v>716</v>
      </c>
      <c r="N3719" s="86"/>
      <c r="O3719" s="47" t="s">
        <v>45</v>
      </c>
      <c r="P3719" s="47" t="s">
        <v>46</v>
      </c>
      <c r="Q3719" s="14">
        <v>0.06</v>
      </c>
      <c r="R3719" s="143">
        <v>1000016985</v>
      </c>
      <c r="S3719" s="47"/>
      <c r="T3719" s="6">
        <v>73667.62</v>
      </c>
      <c r="U3719" s="6"/>
      <c r="V3719" s="6">
        <v>0</v>
      </c>
      <c r="W3719" s="6">
        <f t="shared" si="575"/>
        <v>73667.62</v>
      </c>
      <c r="X3719" s="6">
        <f t="shared" si="576"/>
        <v>0</v>
      </c>
      <c r="Y3719" s="13">
        <f t="shared" si="577"/>
        <v>0</v>
      </c>
      <c r="Z3719" s="14">
        <v>0</v>
      </c>
      <c r="AA3719" s="6">
        <v>0</v>
      </c>
      <c r="AB3719" s="4">
        <f t="shared" si="578"/>
        <v>0</v>
      </c>
      <c r="AC3719" s="4">
        <f t="shared" si="571"/>
        <v>0</v>
      </c>
      <c r="AD3719" s="6">
        <f t="shared" si="573"/>
        <v>0</v>
      </c>
      <c r="AE3719" s="2">
        <f>VLOOKUP(I3719,[1]媒体政策预估表!A:N,MATCH(O3719,[1]媒体政策预估表!$A$2:$M$2,0),0)</f>
        <v>0.12</v>
      </c>
      <c r="AF3719" s="6">
        <f t="shared" si="572"/>
        <v>0</v>
      </c>
      <c r="AG3719" s="14">
        <v>0</v>
      </c>
      <c r="AH3719" s="64">
        <f t="shared" si="574"/>
        <v>0</v>
      </c>
      <c r="AI3719" s="47"/>
      <c r="AJ3719" s="126" t="e">
        <v>#N/A</v>
      </c>
      <c r="AK3719" s="80">
        <f t="shared" si="579"/>
        <v>0</v>
      </c>
      <c r="AM3719" s="85"/>
    </row>
    <row r="3720" spans="1:39" hidden="1" x14ac:dyDescent="0.3">
      <c r="A3720" s="89" t="s">
        <v>3397</v>
      </c>
      <c r="B3720" s="86" t="s">
        <v>35</v>
      </c>
      <c r="C3720" s="86" t="s">
        <v>47</v>
      </c>
      <c r="D3720" s="86" t="s">
        <v>63</v>
      </c>
      <c r="E3720" s="86" t="s">
        <v>896</v>
      </c>
      <c r="F3720" s="86" t="s">
        <v>896</v>
      </c>
      <c r="G3720" s="86" t="s">
        <v>896</v>
      </c>
      <c r="H3720" s="143">
        <v>62</v>
      </c>
      <c r="I3720" s="86" t="s">
        <v>408</v>
      </c>
      <c r="J3720" s="1" t="s">
        <v>3324</v>
      </c>
      <c r="K3720" s="1" t="s">
        <v>3278</v>
      </c>
      <c r="L3720" s="1" t="s">
        <v>35</v>
      </c>
      <c r="M3720" s="86" t="s">
        <v>897</v>
      </c>
      <c r="N3720" s="86"/>
      <c r="O3720" s="47" t="s">
        <v>45</v>
      </c>
      <c r="P3720" s="47" t="s">
        <v>92</v>
      </c>
      <c r="Q3720" s="14">
        <v>0.92</v>
      </c>
      <c r="R3720" s="143">
        <v>1000003554</v>
      </c>
      <c r="S3720" s="47"/>
      <c r="T3720" s="6">
        <v>3171.92</v>
      </c>
      <c r="U3720" s="6"/>
      <c r="V3720" s="6">
        <v>0</v>
      </c>
      <c r="W3720" s="6">
        <f t="shared" si="575"/>
        <v>3171.92</v>
      </c>
      <c r="X3720" s="6">
        <f t="shared" si="576"/>
        <v>0</v>
      </c>
      <c r="Y3720" s="13">
        <f t="shared" si="577"/>
        <v>0</v>
      </c>
      <c r="Z3720" s="14">
        <v>0</v>
      </c>
      <c r="AA3720" s="6">
        <v>0</v>
      </c>
      <c r="AB3720" s="4">
        <f t="shared" si="578"/>
        <v>0</v>
      </c>
      <c r="AC3720" s="4">
        <f t="shared" si="571"/>
        <v>0</v>
      </c>
      <c r="AD3720" s="6">
        <f t="shared" si="573"/>
        <v>0</v>
      </c>
      <c r="AE3720" s="2">
        <f>VLOOKUP(I3720,[1]媒体政策预估表!A:N,MATCH(O3720,[1]媒体政策预估表!$A$2:$M$2,0),0)</f>
        <v>0.12</v>
      </c>
      <c r="AF3720" s="6">
        <f t="shared" si="572"/>
        <v>0</v>
      </c>
      <c r="AG3720" s="14">
        <v>0</v>
      </c>
      <c r="AH3720" s="64">
        <f t="shared" si="574"/>
        <v>0</v>
      </c>
      <c r="AI3720" s="47"/>
      <c r="AJ3720" s="126" t="e">
        <v>#N/A</v>
      </c>
      <c r="AK3720" s="80">
        <f t="shared" si="579"/>
        <v>0</v>
      </c>
      <c r="AM3720" s="85"/>
    </row>
    <row r="3721" spans="1:39" hidden="1" x14ac:dyDescent="0.3">
      <c r="A3721" s="89" t="s">
        <v>3395</v>
      </c>
      <c r="B3721" s="86" t="s">
        <v>35</v>
      </c>
      <c r="C3721" s="86" t="s">
        <v>47</v>
      </c>
      <c r="D3721" s="86" t="s">
        <v>63</v>
      </c>
      <c r="E3721" s="86" t="s">
        <v>896</v>
      </c>
      <c r="F3721" s="86" t="s">
        <v>896</v>
      </c>
      <c r="G3721" s="86" t="s">
        <v>896</v>
      </c>
      <c r="H3721" s="143">
        <v>62</v>
      </c>
      <c r="I3721" s="86" t="s">
        <v>408</v>
      </c>
      <c r="J3721" s="1" t="s">
        <v>3324</v>
      </c>
      <c r="K3721" s="1" t="s">
        <v>3278</v>
      </c>
      <c r="L3721" s="1" t="s">
        <v>35</v>
      </c>
      <c r="M3721" s="86" t="s">
        <v>898</v>
      </c>
      <c r="N3721" s="86"/>
      <c r="O3721" s="47" t="s">
        <v>410</v>
      </c>
      <c r="P3721" s="47" t="s">
        <v>92</v>
      </c>
      <c r="Q3721" s="14">
        <v>0.96</v>
      </c>
      <c r="R3721" s="143">
        <v>1000003494</v>
      </c>
      <c r="S3721" s="47"/>
      <c r="T3721" s="6">
        <v>28952.38</v>
      </c>
      <c r="U3721" s="6"/>
      <c r="V3721" s="6">
        <v>0</v>
      </c>
      <c r="W3721" s="6">
        <f t="shared" si="575"/>
        <v>28952.38</v>
      </c>
      <c r="X3721" s="6">
        <f t="shared" si="576"/>
        <v>0</v>
      </c>
      <c r="Y3721" s="13">
        <f t="shared" si="577"/>
        <v>0</v>
      </c>
      <c r="Z3721" s="14">
        <v>0</v>
      </c>
      <c r="AA3721" s="6">
        <v>0</v>
      </c>
      <c r="AB3721" s="4">
        <f t="shared" si="578"/>
        <v>0</v>
      </c>
      <c r="AC3721" s="4">
        <f t="shared" si="571"/>
        <v>0</v>
      </c>
      <c r="AD3721" s="6">
        <f t="shared" si="573"/>
        <v>0</v>
      </c>
      <c r="AE3721" s="2">
        <f>VLOOKUP(I3721,[1]媒体政策预估表!A:N,MATCH(O3721,[1]媒体政策预估表!$A$2:$M$2,0),0)</f>
        <v>7.0000000000000007E-2</v>
      </c>
      <c r="AF3721" s="6">
        <f t="shared" si="572"/>
        <v>0</v>
      </c>
      <c r="AG3721" s="14">
        <v>0</v>
      </c>
      <c r="AH3721" s="64">
        <f t="shared" si="574"/>
        <v>0</v>
      </c>
      <c r="AI3721" s="47"/>
      <c r="AJ3721" s="126" t="e">
        <v>#N/A</v>
      </c>
      <c r="AK3721" s="80">
        <f t="shared" si="579"/>
        <v>0</v>
      </c>
      <c r="AM3721" s="85"/>
    </row>
    <row r="3722" spans="1:39" hidden="1" x14ac:dyDescent="0.3">
      <c r="A3722" s="89" t="s">
        <v>3395</v>
      </c>
      <c r="B3722" s="86" t="s">
        <v>35</v>
      </c>
      <c r="C3722" s="86" t="s">
        <v>47</v>
      </c>
      <c r="D3722" s="86" t="s">
        <v>63</v>
      </c>
      <c r="E3722" s="86" t="s">
        <v>900</v>
      </c>
      <c r="F3722" s="86" t="s">
        <v>900</v>
      </c>
      <c r="G3722" s="86" t="s">
        <v>900</v>
      </c>
      <c r="H3722" s="143">
        <v>62</v>
      </c>
      <c r="I3722" s="86" t="s">
        <v>408</v>
      </c>
      <c r="J3722" s="1" t="s">
        <v>3324</v>
      </c>
      <c r="K3722" s="1" t="s">
        <v>3278</v>
      </c>
      <c r="L3722" s="1" t="s">
        <v>35</v>
      </c>
      <c r="M3722" s="86" t="s">
        <v>901</v>
      </c>
      <c r="N3722" s="86"/>
      <c r="O3722" s="47" t="s">
        <v>45</v>
      </c>
      <c r="P3722" s="47" t="s">
        <v>46</v>
      </c>
      <c r="Q3722" s="14">
        <v>0.12</v>
      </c>
      <c r="R3722" s="143">
        <v>1000008917</v>
      </c>
      <c r="S3722" s="47"/>
      <c r="T3722" s="6">
        <v>16751.8</v>
      </c>
      <c r="U3722" s="6"/>
      <c r="V3722" s="6">
        <v>0</v>
      </c>
      <c r="W3722" s="6">
        <f t="shared" si="575"/>
        <v>16751.8</v>
      </c>
      <c r="X3722" s="6">
        <f t="shared" si="576"/>
        <v>0</v>
      </c>
      <c r="Y3722" s="13">
        <f t="shared" si="577"/>
        <v>0</v>
      </c>
      <c r="Z3722" s="14">
        <v>0</v>
      </c>
      <c r="AA3722" s="6">
        <v>0</v>
      </c>
      <c r="AB3722" s="4">
        <f t="shared" si="578"/>
        <v>0</v>
      </c>
      <c r="AC3722" s="4">
        <f t="shared" si="571"/>
        <v>0</v>
      </c>
      <c r="AD3722" s="6">
        <f t="shared" si="573"/>
        <v>0</v>
      </c>
      <c r="AE3722" s="2">
        <f>VLOOKUP(I3722,[1]媒体政策预估表!A:N,MATCH(O3722,[1]媒体政策预估表!$A$2:$M$2,0),0)</f>
        <v>0.12</v>
      </c>
      <c r="AF3722" s="6">
        <f t="shared" si="572"/>
        <v>0</v>
      </c>
      <c r="AG3722" s="14">
        <v>0</v>
      </c>
      <c r="AH3722" s="64">
        <f t="shared" si="574"/>
        <v>0</v>
      </c>
      <c r="AI3722" s="47"/>
      <c r="AJ3722" s="126" t="e">
        <v>#N/A</v>
      </c>
      <c r="AK3722" s="80">
        <f t="shared" si="579"/>
        <v>0</v>
      </c>
      <c r="AM3722" s="85"/>
    </row>
    <row r="3723" spans="1:39" hidden="1" x14ac:dyDescent="0.3">
      <c r="A3723" s="89" t="s">
        <v>3394</v>
      </c>
      <c r="B3723" s="86" t="s">
        <v>35</v>
      </c>
      <c r="C3723" s="86" t="s">
        <v>47</v>
      </c>
      <c r="D3723" s="86" t="s">
        <v>63</v>
      </c>
      <c r="E3723" s="86" t="s">
        <v>902</v>
      </c>
      <c r="F3723" s="86" t="s">
        <v>902</v>
      </c>
      <c r="G3723" s="86" t="s">
        <v>902</v>
      </c>
      <c r="H3723" s="143">
        <v>62</v>
      </c>
      <c r="I3723" s="86" t="s">
        <v>408</v>
      </c>
      <c r="J3723" s="1" t="s">
        <v>3324</v>
      </c>
      <c r="K3723" s="1" t="s">
        <v>3278</v>
      </c>
      <c r="L3723" s="1" t="s">
        <v>35</v>
      </c>
      <c r="M3723" s="86" t="s">
        <v>903</v>
      </c>
      <c r="N3723" s="86"/>
      <c r="O3723" s="47" t="s">
        <v>410</v>
      </c>
      <c r="P3723" s="47" t="s">
        <v>92</v>
      </c>
      <c r="Q3723" s="14">
        <v>0.92</v>
      </c>
      <c r="R3723" s="143">
        <v>1000025023</v>
      </c>
      <c r="S3723" s="47"/>
      <c r="T3723" s="6">
        <v>4204.8999999999996</v>
      </c>
      <c r="U3723" s="6"/>
      <c r="V3723" s="6">
        <v>0</v>
      </c>
      <c r="W3723" s="6">
        <f t="shared" si="575"/>
        <v>4204.8999999999996</v>
      </c>
      <c r="X3723" s="6">
        <f t="shared" si="576"/>
        <v>0</v>
      </c>
      <c r="Y3723" s="13">
        <f t="shared" si="577"/>
        <v>0</v>
      </c>
      <c r="Z3723" s="14">
        <v>0</v>
      </c>
      <c r="AA3723" s="6">
        <v>0</v>
      </c>
      <c r="AB3723" s="4">
        <f t="shared" si="578"/>
        <v>0</v>
      </c>
      <c r="AC3723" s="4">
        <f t="shared" si="571"/>
        <v>0</v>
      </c>
      <c r="AD3723" s="6">
        <f t="shared" si="573"/>
        <v>0</v>
      </c>
      <c r="AE3723" s="2">
        <f>VLOOKUP(I3723,[1]媒体政策预估表!A:N,MATCH(O3723,[1]媒体政策预估表!$A$2:$M$2,0),0)</f>
        <v>7.0000000000000007E-2</v>
      </c>
      <c r="AF3723" s="6">
        <f t="shared" si="572"/>
        <v>0</v>
      </c>
      <c r="AG3723" s="14">
        <v>0</v>
      </c>
      <c r="AH3723" s="64">
        <f t="shared" si="574"/>
        <v>0</v>
      </c>
      <c r="AI3723" s="47"/>
      <c r="AJ3723" s="126" t="e">
        <v>#N/A</v>
      </c>
      <c r="AK3723" s="80">
        <f t="shared" si="579"/>
        <v>0</v>
      </c>
      <c r="AM3723" s="85"/>
    </row>
    <row r="3724" spans="1:39" hidden="1" x14ac:dyDescent="0.3">
      <c r="A3724" s="89" t="s">
        <v>3397</v>
      </c>
      <c r="B3724" s="86" t="s">
        <v>35</v>
      </c>
      <c r="C3724" s="86" t="s">
        <v>47</v>
      </c>
      <c r="D3724" s="86" t="s">
        <v>63</v>
      </c>
      <c r="E3724" s="86" t="s">
        <v>904</v>
      </c>
      <c r="F3724" s="86" t="s">
        <v>904</v>
      </c>
      <c r="G3724" s="86" t="s">
        <v>904</v>
      </c>
      <c r="H3724" s="143">
        <v>62</v>
      </c>
      <c r="I3724" s="86" t="s">
        <v>408</v>
      </c>
      <c r="J3724" s="1" t="s">
        <v>3324</v>
      </c>
      <c r="K3724" s="1" t="s">
        <v>3278</v>
      </c>
      <c r="L3724" s="1" t="s">
        <v>35</v>
      </c>
      <c r="M3724" s="86" t="s">
        <v>905</v>
      </c>
      <c r="N3724" s="86"/>
      <c r="O3724" s="47" t="s">
        <v>410</v>
      </c>
      <c r="P3724" s="47" t="s">
        <v>92</v>
      </c>
      <c r="Q3724" s="14">
        <v>0.98</v>
      </c>
      <c r="R3724" s="143">
        <v>1000024567</v>
      </c>
      <c r="S3724" s="47"/>
      <c r="T3724" s="6">
        <v>4252.8</v>
      </c>
      <c r="U3724" s="6"/>
      <c r="V3724" s="6">
        <v>0</v>
      </c>
      <c r="W3724" s="6">
        <f t="shared" si="575"/>
        <v>4252.8</v>
      </c>
      <c r="X3724" s="6">
        <f t="shared" si="576"/>
        <v>0</v>
      </c>
      <c r="Y3724" s="13">
        <f t="shared" si="577"/>
        <v>0</v>
      </c>
      <c r="Z3724" s="14">
        <v>0</v>
      </c>
      <c r="AA3724" s="6">
        <v>0</v>
      </c>
      <c r="AB3724" s="4">
        <f t="shared" si="578"/>
        <v>0</v>
      </c>
      <c r="AC3724" s="4">
        <f t="shared" ref="AC3724:AC3787" si="580">IF(P3724="返现",X3724*Q3724,V3724-X3724)</f>
        <v>0</v>
      </c>
      <c r="AD3724" s="6">
        <f t="shared" si="573"/>
        <v>0</v>
      </c>
      <c r="AE3724" s="2">
        <f>VLOOKUP(I3724,[1]媒体政策预估表!A:N,MATCH(O3724,[1]媒体政策预估表!$A$2:$M$2,0),0)</f>
        <v>7.0000000000000007E-2</v>
      </c>
      <c r="AF3724" s="6">
        <f t="shared" ref="AF3724:AF3787" si="581">AD3724*AE3724</f>
        <v>0</v>
      </c>
      <c r="AG3724" s="14">
        <v>0</v>
      </c>
      <c r="AH3724" s="64">
        <f t="shared" si="574"/>
        <v>0</v>
      </c>
      <c r="AI3724" s="47"/>
      <c r="AJ3724" s="126" t="e">
        <v>#N/A</v>
      </c>
      <c r="AK3724" s="80">
        <f t="shared" si="579"/>
        <v>0</v>
      </c>
      <c r="AM3724" s="85"/>
    </row>
    <row r="3725" spans="1:39" hidden="1" x14ac:dyDescent="0.3">
      <c r="A3725" s="89" t="s">
        <v>3394</v>
      </c>
      <c r="B3725" s="86" t="s">
        <v>35</v>
      </c>
      <c r="C3725" s="86" t="s">
        <v>47</v>
      </c>
      <c r="D3725" s="86" t="s">
        <v>63</v>
      </c>
      <c r="E3725" s="86" t="s">
        <v>906</v>
      </c>
      <c r="F3725" s="86" t="s">
        <v>906</v>
      </c>
      <c r="G3725" s="86" t="s">
        <v>906</v>
      </c>
      <c r="H3725" s="143">
        <v>62</v>
      </c>
      <c r="I3725" s="86" t="s">
        <v>408</v>
      </c>
      <c r="J3725" s="1" t="s">
        <v>3324</v>
      </c>
      <c r="K3725" s="1" t="s">
        <v>3278</v>
      </c>
      <c r="L3725" s="1" t="s">
        <v>35</v>
      </c>
      <c r="M3725" s="86" t="s">
        <v>907</v>
      </c>
      <c r="N3725" s="86"/>
      <c r="O3725" s="47" t="s">
        <v>410</v>
      </c>
      <c r="P3725" s="47" t="s">
        <v>46</v>
      </c>
      <c r="Q3725" s="14">
        <v>7.0000000000000007E-2</v>
      </c>
      <c r="R3725" s="143">
        <v>1000025858</v>
      </c>
      <c r="S3725" s="47"/>
      <c r="T3725" s="6">
        <v>8256.9</v>
      </c>
      <c r="U3725" s="6"/>
      <c r="V3725" s="6">
        <v>0</v>
      </c>
      <c r="W3725" s="6">
        <f t="shared" si="575"/>
        <v>8256.9</v>
      </c>
      <c r="X3725" s="6">
        <f t="shared" si="576"/>
        <v>0</v>
      </c>
      <c r="Y3725" s="13">
        <f t="shared" si="577"/>
        <v>0</v>
      </c>
      <c r="Z3725" s="14">
        <v>0</v>
      </c>
      <c r="AA3725" s="6">
        <v>0</v>
      </c>
      <c r="AB3725" s="4">
        <f t="shared" si="578"/>
        <v>0</v>
      </c>
      <c r="AC3725" s="4">
        <f t="shared" si="580"/>
        <v>0</v>
      </c>
      <c r="AD3725" s="6">
        <f t="shared" si="573"/>
        <v>0</v>
      </c>
      <c r="AE3725" s="2">
        <f>VLOOKUP(I3725,[1]媒体政策预估表!A:N,MATCH(O3725,[1]媒体政策预估表!$A$2:$M$2,0),0)</f>
        <v>7.0000000000000007E-2</v>
      </c>
      <c r="AF3725" s="6">
        <f t="shared" si="581"/>
        <v>0</v>
      </c>
      <c r="AG3725" s="14">
        <v>0</v>
      </c>
      <c r="AH3725" s="64">
        <f t="shared" si="574"/>
        <v>0</v>
      </c>
      <c r="AI3725" s="47"/>
      <c r="AJ3725" s="126" t="e">
        <v>#N/A</v>
      </c>
      <c r="AK3725" s="80">
        <f t="shared" si="579"/>
        <v>0</v>
      </c>
      <c r="AM3725" s="85"/>
    </row>
    <row r="3726" spans="1:39" hidden="1" x14ac:dyDescent="0.3">
      <c r="A3726" s="89" t="s">
        <v>3394</v>
      </c>
      <c r="B3726" s="86" t="s">
        <v>35</v>
      </c>
      <c r="C3726" s="86" t="s">
        <v>47</v>
      </c>
      <c r="D3726" s="86" t="s">
        <v>63</v>
      </c>
      <c r="E3726" s="86" t="s">
        <v>908</v>
      </c>
      <c r="F3726" s="86" t="s">
        <v>908</v>
      </c>
      <c r="G3726" s="86" t="s">
        <v>908</v>
      </c>
      <c r="H3726" s="143">
        <v>62</v>
      </c>
      <c r="I3726" s="86" t="s">
        <v>408</v>
      </c>
      <c r="J3726" s="1" t="s">
        <v>3324</v>
      </c>
      <c r="K3726" s="1" t="s">
        <v>3278</v>
      </c>
      <c r="L3726" s="1" t="s">
        <v>35</v>
      </c>
      <c r="M3726" s="86" t="s">
        <v>909</v>
      </c>
      <c r="N3726" s="86"/>
      <c r="O3726" s="47" t="s">
        <v>45</v>
      </c>
      <c r="P3726" s="47" t="s">
        <v>46</v>
      </c>
      <c r="Q3726" s="14">
        <v>0.14000000000000001</v>
      </c>
      <c r="R3726" s="143">
        <v>1000027510</v>
      </c>
      <c r="S3726" s="47"/>
      <c r="T3726" s="6">
        <v>5081.22</v>
      </c>
      <c r="U3726" s="6"/>
      <c r="V3726" s="6">
        <v>0</v>
      </c>
      <c r="W3726" s="6">
        <f t="shared" si="575"/>
        <v>5081.22</v>
      </c>
      <c r="X3726" s="6">
        <f t="shared" si="576"/>
        <v>0</v>
      </c>
      <c r="Y3726" s="13">
        <f t="shared" si="577"/>
        <v>0</v>
      </c>
      <c r="Z3726" s="14">
        <v>0</v>
      </c>
      <c r="AA3726" s="6">
        <v>0</v>
      </c>
      <c r="AB3726" s="4">
        <f t="shared" si="578"/>
        <v>0</v>
      </c>
      <c r="AC3726" s="4">
        <f t="shared" si="580"/>
        <v>0</v>
      </c>
      <c r="AD3726" s="6">
        <f t="shared" si="573"/>
        <v>0</v>
      </c>
      <c r="AE3726" s="2">
        <f>VLOOKUP(I3726,[1]媒体政策预估表!A:N,MATCH(O3726,[1]媒体政策预估表!$A$2:$M$2,0),0)</f>
        <v>0.12</v>
      </c>
      <c r="AF3726" s="6">
        <f t="shared" si="581"/>
        <v>0</v>
      </c>
      <c r="AG3726" s="14">
        <v>0</v>
      </c>
      <c r="AH3726" s="64">
        <f t="shared" si="574"/>
        <v>0</v>
      </c>
      <c r="AI3726" s="47"/>
      <c r="AJ3726" s="126" t="e">
        <v>#N/A</v>
      </c>
      <c r="AK3726" s="80">
        <f t="shared" si="579"/>
        <v>0</v>
      </c>
      <c r="AM3726" s="85"/>
    </row>
    <row r="3727" spans="1:39" hidden="1" x14ac:dyDescent="0.3">
      <c r="A3727" s="89" t="s">
        <v>3394</v>
      </c>
      <c r="B3727" s="86" t="s">
        <v>35</v>
      </c>
      <c r="C3727" s="86" t="s">
        <v>47</v>
      </c>
      <c r="D3727" s="86" t="s">
        <v>48</v>
      </c>
      <c r="E3727" s="86" t="s">
        <v>910</v>
      </c>
      <c r="F3727" s="86" t="s">
        <v>910</v>
      </c>
      <c r="G3727" s="86" t="s">
        <v>910</v>
      </c>
      <c r="H3727" s="143">
        <v>62</v>
      </c>
      <c r="I3727" s="86" t="s">
        <v>408</v>
      </c>
      <c r="J3727" s="1" t="s">
        <v>3324</v>
      </c>
      <c r="K3727" s="1" t="s">
        <v>3278</v>
      </c>
      <c r="L3727" s="1" t="s">
        <v>35</v>
      </c>
      <c r="M3727" s="86" t="s">
        <v>911</v>
      </c>
      <c r="N3727" s="86"/>
      <c r="O3727" s="47" t="s">
        <v>45</v>
      </c>
      <c r="P3727" s="47" t="s">
        <v>46</v>
      </c>
      <c r="Q3727" s="14">
        <v>0.09</v>
      </c>
      <c r="R3727" s="143">
        <v>1000024621</v>
      </c>
      <c r="S3727" s="47"/>
      <c r="T3727" s="6">
        <v>12602.69</v>
      </c>
      <c r="U3727" s="6"/>
      <c r="V3727" s="6">
        <v>0</v>
      </c>
      <c r="W3727" s="6">
        <f t="shared" si="575"/>
        <v>12602.69</v>
      </c>
      <c r="X3727" s="6">
        <f t="shared" si="576"/>
        <v>0</v>
      </c>
      <c r="Y3727" s="13">
        <f t="shared" si="577"/>
        <v>0</v>
      </c>
      <c r="Z3727" s="14">
        <v>0</v>
      </c>
      <c r="AA3727" s="6">
        <v>0</v>
      </c>
      <c r="AB3727" s="4">
        <f t="shared" si="578"/>
        <v>0</v>
      </c>
      <c r="AC3727" s="4">
        <f t="shared" si="580"/>
        <v>0</v>
      </c>
      <c r="AD3727" s="6">
        <f t="shared" si="573"/>
        <v>0</v>
      </c>
      <c r="AE3727" s="2">
        <f>VLOOKUP(I3727,[1]媒体政策预估表!A:N,MATCH(O3727,[1]媒体政策预估表!$A$2:$M$2,0),0)</f>
        <v>0.12</v>
      </c>
      <c r="AF3727" s="6">
        <f t="shared" si="581"/>
        <v>0</v>
      </c>
      <c r="AG3727" s="14">
        <v>0</v>
      </c>
      <c r="AH3727" s="64">
        <f t="shared" si="574"/>
        <v>0</v>
      </c>
      <c r="AI3727" s="47"/>
      <c r="AJ3727" s="126" t="e">
        <v>#N/A</v>
      </c>
      <c r="AK3727" s="80">
        <f t="shared" si="579"/>
        <v>0</v>
      </c>
      <c r="AM3727" s="85"/>
    </row>
    <row r="3728" spans="1:39" hidden="1" x14ac:dyDescent="0.3">
      <c r="A3728" s="89" t="s">
        <v>3394</v>
      </c>
      <c r="B3728" s="86" t="s">
        <v>35</v>
      </c>
      <c r="C3728" s="86" t="s">
        <v>47</v>
      </c>
      <c r="D3728" s="86" t="s">
        <v>48</v>
      </c>
      <c r="E3728" s="86" t="s">
        <v>912</v>
      </c>
      <c r="F3728" s="86" t="s">
        <v>912</v>
      </c>
      <c r="G3728" s="86" t="s">
        <v>912</v>
      </c>
      <c r="H3728" s="143">
        <v>62</v>
      </c>
      <c r="I3728" s="86" t="s">
        <v>408</v>
      </c>
      <c r="J3728" s="1" t="s">
        <v>3324</v>
      </c>
      <c r="K3728" s="1" t="s">
        <v>3278</v>
      </c>
      <c r="L3728" s="1" t="s">
        <v>35</v>
      </c>
      <c r="M3728" s="86" t="s">
        <v>913</v>
      </c>
      <c r="N3728" s="86"/>
      <c r="O3728" s="47" t="s">
        <v>410</v>
      </c>
      <c r="P3728" s="47" t="s">
        <v>46</v>
      </c>
      <c r="Q3728" s="14">
        <v>0.08</v>
      </c>
      <c r="R3728" s="143">
        <v>1000006713</v>
      </c>
      <c r="S3728" s="47"/>
      <c r="T3728" s="6">
        <v>4718.3999999999996</v>
      </c>
      <c r="U3728" s="6"/>
      <c r="V3728" s="6">
        <v>0</v>
      </c>
      <c r="W3728" s="6">
        <f t="shared" si="575"/>
        <v>4718.3999999999996</v>
      </c>
      <c r="X3728" s="6">
        <f t="shared" si="576"/>
        <v>0</v>
      </c>
      <c r="Y3728" s="13">
        <f t="shared" si="577"/>
        <v>0</v>
      </c>
      <c r="Z3728" s="14">
        <v>0</v>
      </c>
      <c r="AA3728" s="6">
        <v>0</v>
      </c>
      <c r="AB3728" s="4">
        <f t="shared" si="578"/>
        <v>0</v>
      </c>
      <c r="AC3728" s="4">
        <f t="shared" si="580"/>
        <v>0</v>
      </c>
      <c r="AD3728" s="6">
        <f t="shared" si="573"/>
        <v>0</v>
      </c>
      <c r="AE3728" s="2">
        <f>VLOOKUP(I3728,[1]媒体政策预估表!A:N,MATCH(O3728,[1]媒体政策预估表!$A$2:$M$2,0),0)</f>
        <v>7.0000000000000007E-2</v>
      </c>
      <c r="AF3728" s="6">
        <f t="shared" si="581"/>
        <v>0</v>
      </c>
      <c r="AG3728" s="14">
        <v>0</v>
      </c>
      <c r="AH3728" s="64">
        <f t="shared" si="574"/>
        <v>0</v>
      </c>
      <c r="AI3728" s="47"/>
      <c r="AJ3728" s="126" t="e">
        <v>#N/A</v>
      </c>
      <c r="AK3728" s="80">
        <f t="shared" si="579"/>
        <v>0</v>
      </c>
      <c r="AM3728" s="85"/>
    </row>
    <row r="3729" spans="1:39" hidden="1" x14ac:dyDescent="0.3">
      <c r="A3729" s="89" t="s">
        <v>3395</v>
      </c>
      <c r="B3729" s="86" t="s">
        <v>35</v>
      </c>
      <c r="C3729" s="86" t="s">
        <v>47</v>
      </c>
      <c r="D3729" s="86" t="s">
        <v>48</v>
      </c>
      <c r="E3729" s="86" t="s">
        <v>912</v>
      </c>
      <c r="F3729" s="86" t="s">
        <v>912</v>
      </c>
      <c r="G3729" s="86" t="s">
        <v>912</v>
      </c>
      <c r="H3729" s="143">
        <v>62</v>
      </c>
      <c r="I3729" s="86" t="s">
        <v>408</v>
      </c>
      <c r="J3729" s="1" t="s">
        <v>3324</v>
      </c>
      <c r="K3729" s="1" t="s">
        <v>3278</v>
      </c>
      <c r="L3729" s="1" t="s">
        <v>35</v>
      </c>
      <c r="M3729" s="86" t="s">
        <v>914</v>
      </c>
      <c r="N3729" s="86"/>
      <c r="O3729" s="47" t="s">
        <v>410</v>
      </c>
      <c r="P3729" s="47" t="s">
        <v>46</v>
      </c>
      <c r="Q3729" s="14">
        <v>0.08</v>
      </c>
      <c r="R3729" s="143">
        <v>1000001513</v>
      </c>
      <c r="S3729" s="47"/>
      <c r="T3729" s="6">
        <v>253.9</v>
      </c>
      <c r="U3729" s="6"/>
      <c r="V3729" s="6">
        <v>0</v>
      </c>
      <c r="W3729" s="6">
        <f t="shared" si="575"/>
        <v>253.9</v>
      </c>
      <c r="X3729" s="6">
        <f t="shared" si="576"/>
        <v>0</v>
      </c>
      <c r="Y3729" s="13">
        <f t="shared" si="577"/>
        <v>0</v>
      </c>
      <c r="Z3729" s="14">
        <v>0</v>
      </c>
      <c r="AA3729" s="6">
        <v>0</v>
      </c>
      <c r="AB3729" s="4">
        <f t="shared" si="578"/>
        <v>0</v>
      </c>
      <c r="AC3729" s="4">
        <f t="shared" si="580"/>
        <v>0</v>
      </c>
      <c r="AD3729" s="6">
        <f t="shared" si="573"/>
        <v>0</v>
      </c>
      <c r="AE3729" s="2">
        <f>VLOOKUP(I3729,[1]媒体政策预估表!A:N,MATCH(O3729,[1]媒体政策预估表!$A$2:$M$2,0),0)</f>
        <v>7.0000000000000007E-2</v>
      </c>
      <c r="AF3729" s="6">
        <f t="shared" si="581"/>
        <v>0</v>
      </c>
      <c r="AG3729" s="14">
        <v>0</v>
      </c>
      <c r="AH3729" s="64">
        <f t="shared" si="574"/>
        <v>0</v>
      </c>
      <c r="AI3729" s="47"/>
      <c r="AJ3729" s="126" t="e">
        <v>#N/A</v>
      </c>
      <c r="AK3729" s="80">
        <f t="shared" si="579"/>
        <v>0</v>
      </c>
      <c r="AM3729" s="85"/>
    </row>
    <row r="3730" spans="1:39" hidden="1" x14ac:dyDescent="0.3">
      <c r="A3730" s="89" t="s">
        <v>3397</v>
      </c>
      <c r="B3730" s="86" t="s">
        <v>35</v>
      </c>
      <c r="C3730" s="86" t="s">
        <v>47</v>
      </c>
      <c r="D3730" s="86" t="s">
        <v>48</v>
      </c>
      <c r="E3730" s="86" t="s">
        <v>915</v>
      </c>
      <c r="F3730" s="86" t="s">
        <v>915</v>
      </c>
      <c r="G3730" s="86" t="s">
        <v>915</v>
      </c>
      <c r="H3730" s="143">
        <v>62</v>
      </c>
      <c r="I3730" s="86" t="s">
        <v>408</v>
      </c>
      <c r="J3730" s="1" t="s">
        <v>3324</v>
      </c>
      <c r="K3730" s="1" t="s">
        <v>3278</v>
      </c>
      <c r="L3730" s="1" t="s">
        <v>35</v>
      </c>
      <c r="M3730" s="86" t="s">
        <v>916</v>
      </c>
      <c r="N3730" s="86"/>
      <c r="O3730" s="47" t="s">
        <v>410</v>
      </c>
      <c r="P3730" s="47" t="s">
        <v>46</v>
      </c>
      <c r="Q3730" s="14">
        <v>0.04</v>
      </c>
      <c r="R3730" s="143">
        <v>1000030587</v>
      </c>
      <c r="S3730" s="47"/>
      <c r="T3730" s="6">
        <v>29251.9</v>
      </c>
      <c r="U3730" s="6"/>
      <c r="V3730" s="6">
        <v>0</v>
      </c>
      <c r="W3730" s="6">
        <f t="shared" si="575"/>
        <v>29251.9</v>
      </c>
      <c r="X3730" s="6">
        <f t="shared" si="576"/>
        <v>0</v>
      </c>
      <c r="Y3730" s="13">
        <f t="shared" si="577"/>
        <v>0</v>
      </c>
      <c r="Z3730" s="14">
        <v>0</v>
      </c>
      <c r="AA3730" s="6">
        <v>0</v>
      </c>
      <c r="AB3730" s="4">
        <f t="shared" si="578"/>
        <v>0</v>
      </c>
      <c r="AC3730" s="4">
        <f t="shared" si="580"/>
        <v>0</v>
      </c>
      <c r="AD3730" s="6">
        <f t="shared" si="573"/>
        <v>0</v>
      </c>
      <c r="AE3730" s="2">
        <f>VLOOKUP(I3730,[1]媒体政策预估表!A:N,MATCH(O3730,[1]媒体政策预估表!$A$2:$M$2,0),0)</f>
        <v>7.0000000000000007E-2</v>
      </c>
      <c r="AF3730" s="6">
        <f t="shared" si="581"/>
        <v>0</v>
      </c>
      <c r="AG3730" s="14">
        <v>0</v>
      </c>
      <c r="AH3730" s="64">
        <f t="shared" si="574"/>
        <v>0</v>
      </c>
      <c r="AI3730" s="47"/>
      <c r="AJ3730" s="126" t="e">
        <v>#N/A</v>
      </c>
      <c r="AK3730" s="80">
        <f t="shared" si="579"/>
        <v>0</v>
      </c>
      <c r="AM3730" s="85"/>
    </row>
    <row r="3731" spans="1:39" hidden="1" x14ac:dyDescent="0.3">
      <c r="A3731" s="89" t="s">
        <v>3394</v>
      </c>
      <c r="B3731" s="86" t="s">
        <v>35</v>
      </c>
      <c r="C3731" s="86" t="s">
        <v>47</v>
      </c>
      <c r="D3731" s="86" t="s">
        <v>48</v>
      </c>
      <c r="E3731" s="86" t="s">
        <v>917</v>
      </c>
      <c r="F3731" s="86" t="s">
        <v>917</v>
      </c>
      <c r="G3731" s="86" t="s">
        <v>917</v>
      </c>
      <c r="H3731" s="143">
        <v>62</v>
      </c>
      <c r="I3731" s="86" t="s">
        <v>408</v>
      </c>
      <c r="J3731" s="1" t="s">
        <v>3324</v>
      </c>
      <c r="K3731" s="1" t="s">
        <v>3278</v>
      </c>
      <c r="L3731" s="1" t="s">
        <v>35</v>
      </c>
      <c r="M3731" s="86" t="s">
        <v>918</v>
      </c>
      <c r="N3731" s="86"/>
      <c r="O3731" s="47" t="s">
        <v>410</v>
      </c>
      <c r="P3731" s="47" t="s">
        <v>46</v>
      </c>
      <c r="Q3731" s="14">
        <v>0.02</v>
      </c>
      <c r="R3731" s="143">
        <v>1000028757</v>
      </c>
      <c r="S3731" s="47"/>
      <c r="T3731" s="6">
        <v>2000</v>
      </c>
      <c r="U3731" s="6"/>
      <c r="V3731" s="6">
        <v>0</v>
      </c>
      <c r="W3731" s="6">
        <f t="shared" si="575"/>
        <v>2000</v>
      </c>
      <c r="X3731" s="6">
        <f t="shared" si="576"/>
        <v>0</v>
      </c>
      <c r="Y3731" s="13">
        <f t="shared" si="577"/>
        <v>0</v>
      </c>
      <c r="Z3731" s="14">
        <v>0</v>
      </c>
      <c r="AA3731" s="6">
        <v>0</v>
      </c>
      <c r="AB3731" s="4">
        <f t="shared" si="578"/>
        <v>0</v>
      </c>
      <c r="AC3731" s="4">
        <f t="shared" si="580"/>
        <v>0</v>
      </c>
      <c r="AD3731" s="6">
        <f t="shared" si="573"/>
        <v>0</v>
      </c>
      <c r="AE3731" s="2">
        <f>VLOOKUP(I3731,[1]媒体政策预估表!A:N,MATCH(O3731,[1]媒体政策预估表!$A$2:$M$2,0),0)</f>
        <v>7.0000000000000007E-2</v>
      </c>
      <c r="AF3731" s="6">
        <f t="shared" si="581"/>
        <v>0</v>
      </c>
      <c r="AG3731" s="14">
        <v>0</v>
      </c>
      <c r="AH3731" s="64">
        <f t="shared" si="574"/>
        <v>0</v>
      </c>
      <c r="AI3731" s="47"/>
      <c r="AJ3731" s="126" t="e">
        <v>#N/A</v>
      </c>
      <c r="AK3731" s="80">
        <f t="shared" si="579"/>
        <v>0</v>
      </c>
      <c r="AM3731" s="85"/>
    </row>
    <row r="3732" spans="1:39" hidden="1" x14ac:dyDescent="0.3">
      <c r="A3732" s="89" t="s">
        <v>3394</v>
      </c>
      <c r="B3732" s="86" t="s">
        <v>35</v>
      </c>
      <c r="C3732" s="86" t="s">
        <v>47</v>
      </c>
      <c r="D3732" s="86" t="s">
        <v>48</v>
      </c>
      <c r="E3732" s="86" t="s">
        <v>919</v>
      </c>
      <c r="F3732" s="86" t="s">
        <v>919</v>
      </c>
      <c r="G3732" s="86" t="s">
        <v>919</v>
      </c>
      <c r="H3732" s="143">
        <v>62</v>
      </c>
      <c r="I3732" s="86" t="s">
        <v>408</v>
      </c>
      <c r="J3732" s="1" t="s">
        <v>3324</v>
      </c>
      <c r="K3732" s="1" t="s">
        <v>3278</v>
      </c>
      <c r="L3732" s="1" t="s">
        <v>35</v>
      </c>
      <c r="M3732" s="86" t="s">
        <v>920</v>
      </c>
      <c r="N3732" s="86"/>
      <c r="O3732" s="47" t="s">
        <v>410</v>
      </c>
      <c r="P3732" s="47" t="s">
        <v>46</v>
      </c>
      <c r="Q3732" s="14">
        <v>0.04</v>
      </c>
      <c r="R3732" s="143">
        <v>1000010405</v>
      </c>
      <c r="S3732" s="47"/>
      <c r="T3732" s="6">
        <v>43170.3</v>
      </c>
      <c r="U3732" s="6"/>
      <c r="V3732" s="6">
        <v>0</v>
      </c>
      <c r="W3732" s="6">
        <f t="shared" si="575"/>
        <v>43170.3</v>
      </c>
      <c r="X3732" s="6">
        <f t="shared" si="576"/>
        <v>0</v>
      </c>
      <c r="Y3732" s="13">
        <f t="shared" si="577"/>
        <v>0</v>
      </c>
      <c r="Z3732" s="14">
        <v>0</v>
      </c>
      <c r="AA3732" s="6">
        <v>0</v>
      </c>
      <c r="AB3732" s="4">
        <f t="shared" si="578"/>
        <v>0</v>
      </c>
      <c r="AC3732" s="4">
        <f t="shared" si="580"/>
        <v>0</v>
      </c>
      <c r="AD3732" s="6">
        <f t="shared" si="573"/>
        <v>0</v>
      </c>
      <c r="AE3732" s="2">
        <f>VLOOKUP(I3732,[1]媒体政策预估表!A:N,MATCH(O3732,[1]媒体政策预估表!$A$2:$M$2,0),0)</f>
        <v>7.0000000000000007E-2</v>
      </c>
      <c r="AF3732" s="6">
        <f t="shared" si="581"/>
        <v>0</v>
      </c>
      <c r="AG3732" s="14">
        <v>0</v>
      </c>
      <c r="AH3732" s="64">
        <f t="shared" si="574"/>
        <v>0</v>
      </c>
      <c r="AI3732" s="47"/>
      <c r="AJ3732" s="126" t="e">
        <v>#N/A</v>
      </c>
      <c r="AK3732" s="80">
        <f t="shared" si="579"/>
        <v>0</v>
      </c>
      <c r="AM3732" s="85"/>
    </row>
    <row r="3733" spans="1:39" hidden="1" x14ac:dyDescent="0.3">
      <c r="A3733" s="89" t="s">
        <v>3394</v>
      </c>
      <c r="B3733" s="86" t="s">
        <v>35</v>
      </c>
      <c r="C3733" s="86" t="s">
        <v>144</v>
      </c>
      <c r="D3733" s="86" t="s">
        <v>145</v>
      </c>
      <c r="E3733" s="86" t="s">
        <v>921</v>
      </c>
      <c r="F3733" s="86" t="s">
        <v>921</v>
      </c>
      <c r="G3733" s="86" t="s">
        <v>921</v>
      </c>
      <c r="H3733" s="143">
        <v>62</v>
      </c>
      <c r="I3733" s="86" t="s">
        <v>408</v>
      </c>
      <c r="J3733" s="1" t="s">
        <v>3324</v>
      </c>
      <c r="K3733" s="1" t="s">
        <v>3278</v>
      </c>
      <c r="L3733" s="1" t="s">
        <v>35</v>
      </c>
      <c r="M3733" s="86" t="s">
        <v>922</v>
      </c>
      <c r="N3733" s="86"/>
      <c r="O3733" s="47" t="s">
        <v>410</v>
      </c>
      <c r="P3733" s="47" t="s">
        <v>46</v>
      </c>
      <c r="Q3733" s="14">
        <v>7.0000000000000007E-2</v>
      </c>
      <c r="R3733" s="143">
        <v>1000031742</v>
      </c>
      <c r="S3733" s="47"/>
      <c r="T3733" s="6">
        <v>10000</v>
      </c>
      <c r="U3733" s="6"/>
      <c r="V3733" s="6">
        <v>0</v>
      </c>
      <c r="W3733" s="6">
        <f t="shared" si="575"/>
        <v>10000</v>
      </c>
      <c r="X3733" s="6">
        <f t="shared" si="576"/>
        <v>0</v>
      </c>
      <c r="Y3733" s="13">
        <f t="shared" si="577"/>
        <v>0</v>
      </c>
      <c r="Z3733" s="14">
        <v>0</v>
      </c>
      <c r="AA3733" s="6">
        <v>0</v>
      </c>
      <c r="AB3733" s="4">
        <f t="shared" si="578"/>
        <v>0</v>
      </c>
      <c r="AC3733" s="4">
        <f t="shared" si="580"/>
        <v>0</v>
      </c>
      <c r="AD3733" s="6">
        <f t="shared" si="573"/>
        <v>0</v>
      </c>
      <c r="AE3733" s="2">
        <f>VLOOKUP(I3733,[1]媒体政策预估表!A:N,MATCH(O3733,[1]媒体政策预估表!$A$2:$M$2,0),0)</f>
        <v>7.0000000000000007E-2</v>
      </c>
      <c r="AF3733" s="6">
        <f t="shared" si="581"/>
        <v>0</v>
      </c>
      <c r="AG3733" s="14">
        <v>0</v>
      </c>
      <c r="AH3733" s="64">
        <f t="shared" si="574"/>
        <v>0</v>
      </c>
      <c r="AI3733" s="47"/>
      <c r="AJ3733" s="126" t="e">
        <v>#N/A</v>
      </c>
      <c r="AK3733" s="80">
        <f t="shared" si="579"/>
        <v>0</v>
      </c>
      <c r="AM3733" s="85"/>
    </row>
    <row r="3734" spans="1:39" hidden="1" x14ac:dyDescent="0.3">
      <c r="A3734" s="89" t="s">
        <v>3394</v>
      </c>
      <c r="B3734" s="86" t="s">
        <v>35</v>
      </c>
      <c r="C3734" s="86" t="s">
        <v>144</v>
      </c>
      <c r="D3734" s="86" t="s">
        <v>145</v>
      </c>
      <c r="E3734" s="86" t="s">
        <v>923</v>
      </c>
      <c r="F3734" s="86" t="s">
        <v>923</v>
      </c>
      <c r="G3734" s="86" t="s">
        <v>923</v>
      </c>
      <c r="H3734" s="143">
        <v>62</v>
      </c>
      <c r="I3734" s="86" t="s">
        <v>408</v>
      </c>
      <c r="J3734" s="1" t="s">
        <v>3324</v>
      </c>
      <c r="K3734" s="1" t="s">
        <v>3278</v>
      </c>
      <c r="L3734" s="1" t="s">
        <v>35</v>
      </c>
      <c r="M3734" s="86" t="s">
        <v>924</v>
      </c>
      <c r="N3734" s="86"/>
      <c r="O3734" s="47" t="s">
        <v>45</v>
      </c>
      <c r="P3734" s="47" t="s">
        <v>46</v>
      </c>
      <c r="Q3734" s="14">
        <v>0.1</v>
      </c>
      <c r="R3734" s="143">
        <v>1000028859</v>
      </c>
      <c r="S3734" s="47"/>
      <c r="T3734" s="6">
        <v>10398.74</v>
      </c>
      <c r="U3734" s="6"/>
      <c r="V3734" s="6">
        <v>0</v>
      </c>
      <c r="W3734" s="6">
        <f t="shared" si="575"/>
        <v>10398.74</v>
      </c>
      <c r="X3734" s="6">
        <f t="shared" si="576"/>
        <v>0</v>
      </c>
      <c r="Y3734" s="13">
        <f t="shared" si="577"/>
        <v>0</v>
      </c>
      <c r="Z3734" s="14">
        <v>0</v>
      </c>
      <c r="AA3734" s="6">
        <v>0</v>
      </c>
      <c r="AB3734" s="4">
        <f t="shared" si="578"/>
        <v>0</v>
      </c>
      <c r="AC3734" s="4">
        <f t="shared" si="580"/>
        <v>0</v>
      </c>
      <c r="AD3734" s="6">
        <f t="shared" si="573"/>
        <v>0</v>
      </c>
      <c r="AE3734" s="2">
        <f>VLOOKUP(I3734,[1]媒体政策预估表!A:N,MATCH(O3734,[1]媒体政策预估表!$A$2:$M$2,0),0)</f>
        <v>0.12</v>
      </c>
      <c r="AF3734" s="6">
        <f t="shared" si="581"/>
        <v>0</v>
      </c>
      <c r="AG3734" s="14">
        <v>0</v>
      </c>
      <c r="AH3734" s="64">
        <f t="shared" si="574"/>
        <v>0</v>
      </c>
      <c r="AI3734" s="47"/>
      <c r="AJ3734" s="126" t="e">
        <v>#N/A</v>
      </c>
      <c r="AK3734" s="80">
        <f t="shared" si="579"/>
        <v>0</v>
      </c>
      <c r="AM3734" s="85"/>
    </row>
    <row r="3735" spans="1:39" hidden="1" x14ac:dyDescent="0.3">
      <c r="A3735" s="89" t="s">
        <v>3394</v>
      </c>
      <c r="B3735" s="86" t="s">
        <v>35</v>
      </c>
      <c r="C3735" s="86" t="s">
        <v>144</v>
      </c>
      <c r="D3735" s="86" t="s">
        <v>303</v>
      </c>
      <c r="E3735" s="86" t="s">
        <v>927</v>
      </c>
      <c r="F3735" s="86" t="s">
        <v>927</v>
      </c>
      <c r="G3735" s="86" t="s">
        <v>927</v>
      </c>
      <c r="H3735" s="143">
        <v>62</v>
      </c>
      <c r="I3735" s="86" t="s">
        <v>408</v>
      </c>
      <c r="J3735" s="1" t="s">
        <v>3324</v>
      </c>
      <c r="K3735" s="1" t="s">
        <v>3278</v>
      </c>
      <c r="L3735" s="1" t="s">
        <v>35</v>
      </c>
      <c r="M3735" s="86" t="s">
        <v>928</v>
      </c>
      <c r="N3735" s="86"/>
      <c r="O3735" s="47" t="s">
        <v>410</v>
      </c>
      <c r="P3735" s="47" t="s">
        <v>46</v>
      </c>
      <c r="Q3735" s="14">
        <v>0.02</v>
      </c>
      <c r="R3735" s="143">
        <v>1000044270</v>
      </c>
      <c r="S3735" s="47"/>
      <c r="T3735" s="6">
        <v>12179.5</v>
      </c>
      <c r="U3735" s="6"/>
      <c r="V3735" s="6">
        <v>0</v>
      </c>
      <c r="W3735" s="6">
        <f t="shared" si="575"/>
        <v>12179.5</v>
      </c>
      <c r="X3735" s="6">
        <f t="shared" si="576"/>
        <v>0</v>
      </c>
      <c r="Y3735" s="13">
        <f t="shared" si="577"/>
        <v>0</v>
      </c>
      <c r="Z3735" s="14">
        <v>0</v>
      </c>
      <c r="AA3735" s="6">
        <v>0</v>
      </c>
      <c r="AB3735" s="4">
        <f t="shared" si="578"/>
        <v>0</v>
      </c>
      <c r="AC3735" s="4">
        <f t="shared" si="580"/>
        <v>0</v>
      </c>
      <c r="AD3735" s="6">
        <f t="shared" si="573"/>
        <v>0</v>
      </c>
      <c r="AE3735" s="2">
        <f>VLOOKUP(I3735,[1]媒体政策预估表!A:N,MATCH(O3735,[1]媒体政策预估表!$A$2:$M$2,0),0)</f>
        <v>7.0000000000000007E-2</v>
      </c>
      <c r="AF3735" s="6">
        <f t="shared" si="581"/>
        <v>0</v>
      </c>
      <c r="AG3735" s="14">
        <v>0</v>
      </c>
      <c r="AH3735" s="64">
        <f t="shared" si="574"/>
        <v>0</v>
      </c>
      <c r="AI3735" s="47"/>
      <c r="AJ3735" s="126" t="e">
        <v>#N/A</v>
      </c>
      <c r="AK3735" s="80">
        <f t="shared" si="579"/>
        <v>0</v>
      </c>
      <c r="AM3735" s="85"/>
    </row>
    <row r="3736" spans="1:39" hidden="1" x14ac:dyDescent="0.3">
      <c r="A3736" s="89" t="s">
        <v>3394</v>
      </c>
      <c r="B3736" s="86" t="s">
        <v>35</v>
      </c>
      <c r="C3736" s="86" t="s">
        <v>144</v>
      </c>
      <c r="D3736" s="86" t="s">
        <v>161</v>
      </c>
      <c r="E3736" s="86" t="s">
        <v>929</v>
      </c>
      <c r="F3736" s="86" t="s">
        <v>929</v>
      </c>
      <c r="G3736" s="86" t="s">
        <v>929</v>
      </c>
      <c r="H3736" s="143">
        <v>62</v>
      </c>
      <c r="I3736" s="86" t="s">
        <v>408</v>
      </c>
      <c r="J3736" s="1" t="s">
        <v>3324</v>
      </c>
      <c r="K3736" s="1" t="s">
        <v>3278</v>
      </c>
      <c r="L3736" s="1" t="s">
        <v>35</v>
      </c>
      <c r="M3736" s="86" t="s">
        <v>930</v>
      </c>
      <c r="N3736" s="86"/>
      <c r="O3736" s="47" t="s">
        <v>45</v>
      </c>
      <c r="P3736" s="47" t="s">
        <v>46</v>
      </c>
      <c r="Q3736" s="14">
        <v>0.1</v>
      </c>
      <c r="R3736" s="143">
        <v>1000034042</v>
      </c>
      <c r="S3736" s="47"/>
      <c r="T3736" s="6">
        <v>4625.51</v>
      </c>
      <c r="U3736" s="6"/>
      <c r="V3736" s="6">
        <v>0</v>
      </c>
      <c r="W3736" s="6">
        <f t="shared" si="575"/>
        <v>4625.51</v>
      </c>
      <c r="X3736" s="6">
        <f t="shared" si="576"/>
        <v>0</v>
      </c>
      <c r="Y3736" s="13">
        <f t="shared" si="577"/>
        <v>0</v>
      </c>
      <c r="Z3736" s="14">
        <v>0</v>
      </c>
      <c r="AA3736" s="6">
        <v>0</v>
      </c>
      <c r="AB3736" s="4">
        <f t="shared" si="578"/>
        <v>0</v>
      </c>
      <c r="AC3736" s="4">
        <f t="shared" si="580"/>
        <v>0</v>
      </c>
      <c r="AD3736" s="6">
        <f t="shared" si="573"/>
        <v>0</v>
      </c>
      <c r="AE3736" s="2">
        <f>VLOOKUP(I3736,[1]媒体政策预估表!A:N,MATCH(O3736,[1]媒体政策预估表!$A$2:$M$2,0),0)</f>
        <v>0.12</v>
      </c>
      <c r="AF3736" s="6">
        <f t="shared" si="581"/>
        <v>0</v>
      </c>
      <c r="AG3736" s="14">
        <v>0</v>
      </c>
      <c r="AH3736" s="64">
        <f t="shared" si="574"/>
        <v>0</v>
      </c>
      <c r="AI3736" s="47"/>
      <c r="AJ3736" s="126" t="e">
        <v>#N/A</v>
      </c>
      <c r="AK3736" s="80">
        <f t="shared" si="579"/>
        <v>0</v>
      </c>
      <c r="AM3736" s="85"/>
    </row>
    <row r="3737" spans="1:39" hidden="1" x14ac:dyDescent="0.3">
      <c r="A3737" s="89" t="s">
        <v>3395</v>
      </c>
      <c r="B3737" s="86" t="s">
        <v>35</v>
      </c>
      <c r="C3737" s="86" t="s">
        <v>144</v>
      </c>
      <c r="D3737" s="86" t="s">
        <v>161</v>
      </c>
      <c r="E3737" s="86" t="s">
        <v>929</v>
      </c>
      <c r="F3737" s="86" t="s">
        <v>929</v>
      </c>
      <c r="G3737" s="86" t="s">
        <v>929</v>
      </c>
      <c r="H3737" s="143">
        <v>62</v>
      </c>
      <c r="I3737" s="86" t="s">
        <v>408</v>
      </c>
      <c r="J3737" s="1" t="s">
        <v>3324</v>
      </c>
      <c r="K3737" s="1" t="s">
        <v>3278</v>
      </c>
      <c r="L3737" s="1" t="s">
        <v>35</v>
      </c>
      <c r="M3737" s="86" t="s">
        <v>931</v>
      </c>
      <c r="N3737" s="86"/>
      <c r="O3737" s="47" t="s">
        <v>410</v>
      </c>
      <c r="P3737" s="47" t="s">
        <v>46</v>
      </c>
      <c r="Q3737" s="14">
        <v>0.02</v>
      </c>
      <c r="R3737" s="143">
        <v>1000029728</v>
      </c>
      <c r="S3737" s="47"/>
      <c r="T3737" s="6">
        <v>8223.7000000000007</v>
      </c>
      <c r="U3737" s="6"/>
      <c r="V3737" s="6">
        <v>0</v>
      </c>
      <c r="W3737" s="6">
        <f t="shared" si="575"/>
        <v>8223.7000000000007</v>
      </c>
      <c r="X3737" s="6">
        <f t="shared" si="576"/>
        <v>0</v>
      </c>
      <c r="Y3737" s="13">
        <f t="shared" si="577"/>
        <v>0</v>
      </c>
      <c r="Z3737" s="14">
        <v>0</v>
      </c>
      <c r="AA3737" s="6">
        <v>0</v>
      </c>
      <c r="AB3737" s="4">
        <f t="shared" si="578"/>
        <v>0</v>
      </c>
      <c r="AC3737" s="4">
        <f t="shared" si="580"/>
        <v>0</v>
      </c>
      <c r="AD3737" s="6">
        <f t="shared" si="573"/>
        <v>0</v>
      </c>
      <c r="AE3737" s="2">
        <f>VLOOKUP(I3737,[1]媒体政策预估表!A:N,MATCH(O3737,[1]媒体政策预估表!$A$2:$M$2,0),0)</f>
        <v>7.0000000000000007E-2</v>
      </c>
      <c r="AF3737" s="6">
        <f t="shared" si="581"/>
        <v>0</v>
      </c>
      <c r="AG3737" s="14">
        <v>0</v>
      </c>
      <c r="AH3737" s="64">
        <f t="shared" si="574"/>
        <v>0</v>
      </c>
      <c r="AI3737" s="47"/>
      <c r="AJ3737" s="126" t="e">
        <v>#N/A</v>
      </c>
      <c r="AK3737" s="80">
        <f t="shared" si="579"/>
        <v>0</v>
      </c>
      <c r="AM3737" s="85"/>
    </row>
    <row r="3738" spans="1:39" hidden="1" x14ac:dyDescent="0.3">
      <c r="A3738" s="89" t="s">
        <v>3394</v>
      </c>
      <c r="B3738" s="86" t="s">
        <v>35</v>
      </c>
      <c r="C3738" s="86" t="s">
        <v>144</v>
      </c>
      <c r="D3738" s="86" t="s">
        <v>161</v>
      </c>
      <c r="E3738" s="86" t="s">
        <v>929</v>
      </c>
      <c r="F3738" s="86" t="s">
        <v>929</v>
      </c>
      <c r="G3738" s="86" t="s">
        <v>929</v>
      </c>
      <c r="H3738" s="143">
        <v>62</v>
      </c>
      <c r="I3738" s="86" t="s">
        <v>408</v>
      </c>
      <c r="J3738" s="1" t="s">
        <v>3324</v>
      </c>
      <c r="K3738" s="1" t="s">
        <v>3278</v>
      </c>
      <c r="L3738" s="1" t="s">
        <v>35</v>
      </c>
      <c r="M3738" s="86" t="s">
        <v>932</v>
      </c>
      <c r="N3738" s="86"/>
      <c r="O3738" s="47" t="s">
        <v>410</v>
      </c>
      <c r="P3738" s="47" t="s">
        <v>46</v>
      </c>
      <c r="Q3738" s="14">
        <v>0.02</v>
      </c>
      <c r="R3738" s="143">
        <v>1000015608</v>
      </c>
      <c r="S3738" s="47"/>
      <c r="T3738" s="6">
        <v>2453</v>
      </c>
      <c r="U3738" s="6"/>
      <c r="V3738" s="6">
        <v>0</v>
      </c>
      <c r="W3738" s="6">
        <f t="shared" si="575"/>
        <v>2453</v>
      </c>
      <c r="X3738" s="6">
        <f t="shared" si="576"/>
        <v>0</v>
      </c>
      <c r="Y3738" s="13">
        <f t="shared" si="577"/>
        <v>0</v>
      </c>
      <c r="Z3738" s="14">
        <v>0</v>
      </c>
      <c r="AA3738" s="6">
        <v>0</v>
      </c>
      <c r="AB3738" s="4">
        <f t="shared" si="578"/>
        <v>0</v>
      </c>
      <c r="AC3738" s="4">
        <f t="shared" si="580"/>
        <v>0</v>
      </c>
      <c r="AD3738" s="6">
        <f t="shared" si="573"/>
        <v>0</v>
      </c>
      <c r="AE3738" s="2">
        <f>VLOOKUP(I3738,[1]媒体政策预估表!A:N,MATCH(O3738,[1]媒体政策预估表!$A$2:$M$2,0),0)</f>
        <v>7.0000000000000007E-2</v>
      </c>
      <c r="AF3738" s="6">
        <f t="shared" si="581"/>
        <v>0</v>
      </c>
      <c r="AG3738" s="14">
        <v>0</v>
      </c>
      <c r="AH3738" s="64">
        <f t="shared" si="574"/>
        <v>0</v>
      </c>
      <c r="AI3738" s="47"/>
      <c r="AJ3738" s="126" t="e">
        <v>#N/A</v>
      </c>
      <c r="AK3738" s="80">
        <f t="shared" si="579"/>
        <v>0</v>
      </c>
      <c r="AM3738" s="85"/>
    </row>
    <row r="3739" spans="1:39" hidden="1" x14ac:dyDescent="0.3">
      <c r="A3739" s="89" t="s">
        <v>3394</v>
      </c>
      <c r="B3739" s="86" t="s">
        <v>35</v>
      </c>
      <c r="C3739" s="86" t="s">
        <v>144</v>
      </c>
      <c r="D3739" s="86" t="s">
        <v>161</v>
      </c>
      <c r="E3739" s="86" t="s">
        <v>929</v>
      </c>
      <c r="F3739" s="86" t="s">
        <v>929</v>
      </c>
      <c r="G3739" s="86" t="s">
        <v>929</v>
      </c>
      <c r="H3739" s="143">
        <v>62</v>
      </c>
      <c r="I3739" s="86" t="s">
        <v>408</v>
      </c>
      <c r="J3739" s="1" t="s">
        <v>3324</v>
      </c>
      <c r="K3739" s="1" t="s">
        <v>3278</v>
      </c>
      <c r="L3739" s="1" t="s">
        <v>35</v>
      </c>
      <c r="M3739" s="86" t="s">
        <v>933</v>
      </c>
      <c r="N3739" s="86"/>
      <c r="O3739" s="47" t="s">
        <v>410</v>
      </c>
      <c r="P3739" s="47" t="s">
        <v>46</v>
      </c>
      <c r="Q3739" s="14">
        <v>0.02</v>
      </c>
      <c r="R3739" s="143">
        <v>1000003404</v>
      </c>
      <c r="S3739" s="47"/>
      <c r="T3739" s="6">
        <v>9703.2000000000007</v>
      </c>
      <c r="U3739" s="6"/>
      <c r="V3739" s="6">
        <v>0</v>
      </c>
      <c r="W3739" s="6">
        <f t="shared" si="575"/>
        <v>9703.2000000000007</v>
      </c>
      <c r="X3739" s="6">
        <f t="shared" si="576"/>
        <v>0</v>
      </c>
      <c r="Y3739" s="13">
        <f t="shared" si="577"/>
        <v>0</v>
      </c>
      <c r="Z3739" s="14">
        <v>0</v>
      </c>
      <c r="AA3739" s="6">
        <v>0</v>
      </c>
      <c r="AB3739" s="4">
        <f t="shared" si="578"/>
        <v>0</v>
      </c>
      <c r="AC3739" s="4">
        <f t="shared" si="580"/>
        <v>0</v>
      </c>
      <c r="AD3739" s="6">
        <f t="shared" si="573"/>
        <v>0</v>
      </c>
      <c r="AE3739" s="2">
        <f>VLOOKUP(I3739,[1]媒体政策预估表!A:N,MATCH(O3739,[1]媒体政策预估表!$A$2:$M$2,0),0)</f>
        <v>7.0000000000000007E-2</v>
      </c>
      <c r="AF3739" s="6">
        <f t="shared" si="581"/>
        <v>0</v>
      </c>
      <c r="AG3739" s="14">
        <v>0</v>
      </c>
      <c r="AH3739" s="64">
        <f t="shared" si="574"/>
        <v>0</v>
      </c>
      <c r="AI3739" s="47"/>
      <c r="AJ3739" s="126" t="e">
        <v>#N/A</v>
      </c>
      <c r="AK3739" s="80">
        <f t="shared" si="579"/>
        <v>0</v>
      </c>
      <c r="AM3739" s="85"/>
    </row>
    <row r="3740" spans="1:39" hidden="1" x14ac:dyDescent="0.3">
      <c r="A3740" s="89" t="s">
        <v>3395</v>
      </c>
      <c r="B3740" s="86" t="s">
        <v>35</v>
      </c>
      <c r="C3740" s="86" t="s">
        <v>164</v>
      </c>
      <c r="D3740" s="86" t="s">
        <v>934</v>
      </c>
      <c r="E3740" s="86" t="s">
        <v>935</v>
      </c>
      <c r="F3740" s="86" t="s">
        <v>935</v>
      </c>
      <c r="G3740" s="86" t="s">
        <v>935</v>
      </c>
      <c r="H3740" s="143">
        <v>62</v>
      </c>
      <c r="I3740" s="86" t="s">
        <v>408</v>
      </c>
      <c r="J3740" s="1" t="s">
        <v>3324</v>
      </c>
      <c r="K3740" s="1" t="s">
        <v>3278</v>
      </c>
      <c r="L3740" s="1" t="s">
        <v>35</v>
      </c>
      <c r="M3740" s="86" t="s">
        <v>936</v>
      </c>
      <c r="N3740" s="86"/>
      <c r="O3740" s="47" t="s">
        <v>410</v>
      </c>
      <c r="P3740" s="47" t="s">
        <v>46</v>
      </c>
      <c r="Q3740" s="14">
        <v>0.02</v>
      </c>
      <c r="R3740" s="143">
        <v>1000011614</v>
      </c>
      <c r="S3740" s="47"/>
      <c r="T3740" s="6">
        <v>10200</v>
      </c>
      <c r="U3740" s="6"/>
      <c r="V3740" s="6">
        <v>0</v>
      </c>
      <c r="W3740" s="6">
        <f t="shared" si="575"/>
        <v>10200</v>
      </c>
      <c r="X3740" s="6">
        <f t="shared" si="576"/>
        <v>0</v>
      </c>
      <c r="Y3740" s="13">
        <f t="shared" si="577"/>
        <v>0</v>
      </c>
      <c r="Z3740" s="14">
        <v>0</v>
      </c>
      <c r="AA3740" s="6">
        <v>0</v>
      </c>
      <c r="AB3740" s="4">
        <f t="shared" si="578"/>
        <v>0</v>
      </c>
      <c r="AC3740" s="4">
        <f t="shared" si="580"/>
        <v>0</v>
      </c>
      <c r="AD3740" s="6">
        <f t="shared" si="573"/>
        <v>0</v>
      </c>
      <c r="AE3740" s="2">
        <f>VLOOKUP(I3740,[1]媒体政策预估表!A:N,MATCH(O3740,[1]媒体政策预估表!$A$2:$M$2,0),0)</f>
        <v>7.0000000000000007E-2</v>
      </c>
      <c r="AF3740" s="6">
        <f t="shared" si="581"/>
        <v>0</v>
      </c>
      <c r="AG3740" s="14">
        <v>0</v>
      </c>
      <c r="AH3740" s="64">
        <f t="shared" si="574"/>
        <v>0</v>
      </c>
      <c r="AI3740" s="47"/>
      <c r="AJ3740" s="126" t="e">
        <v>#N/A</v>
      </c>
      <c r="AK3740" s="80">
        <f t="shared" si="579"/>
        <v>0</v>
      </c>
      <c r="AM3740" s="85"/>
    </row>
    <row r="3741" spans="1:39" hidden="1" x14ac:dyDescent="0.3">
      <c r="A3741" s="89" t="s">
        <v>3395</v>
      </c>
      <c r="B3741" s="86" t="s">
        <v>35</v>
      </c>
      <c r="C3741" s="86" t="s">
        <v>164</v>
      </c>
      <c r="D3741" s="86" t="s">
        <v>305</v>
      </c>
      <c r="E3741" s="86" t="s">
        <v>937</v>
      </c>
      <c r="F3741" s="86" t="s">
        <v>937</v>
      </c>
      <c r="G3741" s="86" t="s">
        <v>937</v>
      </c>
      <c r="H3741" s="143">
        <v>62</v>
      </c>
      <c r="I3741" s="86" t="s">
        <v>408</v>
      </c>
      <c r="J3741" s="1" t="s">
        <v>3324</v>
      </c>
      <c r="K3741" s="1" t="s">
        <v>3278</v>
      </c>
      <c r="L3741" s="1" t="s">
        <v>35</v>
      </c>
      <c r="M3741" s="86" t="s">
        <v>938</v>
      </c>
      <c r="N3741" s="86"/>
      <c r="O3741" s="47" t="s">
        <v>45</v>
      </c>
      <c r="P3741" s="47" t="s">
        <v>46</v>
      </c>
      <c r="Q3741" s="14">
        <v>0.08</v>
      </c>
      <c r="R3741" s="143">
        <v>1000049542</v>
      </c>
      <c r="S3741" s="47"/>
      <c r="T3741" s="6">
        <v>272.2</v>
      </c>
      <c r="U3741" s="6"/>
      <c r="V3741" s="6">
        <v>0</v>
      </c>
      <c r="W3741" s="6">
        <f t="shared" si="575"/>
        <v>272.2</v>
      </c>
      <c r="X3741" s="6">
        <f t="shared" si="576"/>
        <v>0</v>
      </c>
      <c r="Y3741" s="13">
        <f t="shared" si="577"/>
        <v>0</v>
      </c>
      <c r="Z3741" s="14">
        <v>0</v>
      </c>
      <c r="AA3741" s="6">
        <v>0</v>
      </c>
      <c r="AB3741" s="4">
        <f t="shared" si="578"/>
        <v>0</v>
      </c>
      <c r="AC3741" s="4">
        <f t="shared" si="580"/>
        <v>0</v>
      </c>
      <c r="AD3741" s="6">
        <f t="shared" si="573"/>
        <v>0</v>
      </c>
      <c r="AE3741" s="2">
        <f>VLOOKUP(I3741,[1]媒体政策预估表!A:N,MATCH(O3741,[1]媒体政策预估表!$A$2:$M$2,0),0)</f>
        <v>0.12</v>
      </c>
      <c r="AF3741" s="6">
        <f t="shared" si="581"/>
        <v>0</v>
      </c>
      <c r="AG3741" s="14">
        <v>0</v>
      </c>
      <c r="AH3741" s="64">
        <f t="shared" si="574"/>
        <v>0</v>
      </c>
      <c r="AI3741" s="47"/>
      <c r="AJ3741" s="126" t="e">
        <v>#N/A</v>
      </c>
      <c r="AK3741" s="80">
        <f t="shared" si="579"/>
        <v>0</v>
      </c>
      <c r="AM3741" s="85"/>
    </row>
    <row r="3742" spans="1:39" hidden="1" x14ac:dyDescent="0.3">
      <c r="A3742" s="89" t="s">
        <v>3397</v>
      </c>
      <c r="B3742" s="86" t="s">
        <v>35</v>
      </c>
      <c r="C3742" s="86" t="s">
        <v>164</v>
      </c>
      <c r="D3742" s="86" t="s">
        <v>305</v>
      </c>
      <c r="E3742" s="86" t="s">
        <v>939</v>
      </c>
      <c r="F3742" s="86" t="s">
        <v>939</v>
      </c>
      <c r="G3742" s="86" t="s">
        <v>939</v>
      </c>
      <c r="H3742" s="143">
        <v>62</v>
      </c>
      <c r="I3742" s="86" t="s">
        <v>408</v>
      </c>
      <c r="J3742" s="1" t="s">
        <v>3324</v>
      </c>
      <c r="K3742" s="1" t="s">
        <v>3278</v>
      </c>
      <c r="L3742" s="1" t="s">
        <v>35</v>
      </c>
      <c r="M3742" s="86" t="s">
        <v>940</v>
      </c>
      <c r="N3742" s="86"/>
      <c r="O3742" s="47" t="s">
        <v>410</v>
      </c>
      <c r="P3742" s="47" t="s">
        <v>46</v>
      </c>
      <c r="Q3742" s="14">
        <v>0.04</v>
      </c>
      <c r="R3742" s="143">
        <v>1000010147</v>
      </c>
      <c r="S3742" s="47"/>
      <c r="T3742" s="6">
        <v>6212.97</v>
      </c>
      <c r="U3742" s="6"/>
      <c r="V3742" s="6">
        <v>0</v>
      </c>
      <c r="W3742" s="6">
        <f t="shared" si="575"/>
        <v>6212.97</v>
      </c>
      <c r="X3742" s="6">
        <f t="shared" si="576"/>
        <v>0</v>
      </c>
      <c r="Y3742" s="13">
        <f t="shared" si="577"/>
        <v>0</v>
      </c>
      <c r="Z3742" s="14">
        <v>0</v>
      </c>
      <c r="AA3742" s="6">
        <v>0</v>
      </c>
      <c r="AB3742" s="4">
        <f t="shared" si="578"/>
        <v>0</v>
      </c>
      <c r="AC3742" s="4">
        <f t="shared" si="580"/>
        <v>0</v>
      </c>
      <c r="AD3742" s="6">
        <f t="shared" si="573"/>
        <v>0</v>
      </c>
      <c r="AE3742" s="2">
        <f>VLOOKUP(I3742,[1]媒体政策预估表!A:N,MATCH(O3742,[1]媒体政策预估表!$A$2:$M$2,0),0)</f>
        <v>7.0000000000000007E-2</v>
      </c>
      <c r="AF3742" s="6">
        <f t="shared" si="581"/>
        <v>0</v>
      </c>
      <c r="AG3742" s="14">
        <v>0</v>
      </c>
      <c r="AH3742" s="64">
        <f t="shared" si="574"/>
        <v>0</v>
      </c>
      <c r="AI3742" s="47"/>
      <c r="AJ3742" s="126" t="e">
        <v>#N/A</v>
      </c>
      <c r="AK3742" s="80">
        <f t="shared" si="579"/>
        <v>0</v>
      </c>
      <c r="AM3742" s="85"/>
    </row>
    <row r="3743" spans="1:39" hidden="1" x14ac:dyDescent="0.3">
      <c r="A3743" s="89" t="s">
        <v>3396</v>
      </c>
      <c r="B3743" s="86" t="s">
        <v>35</v>
      </c>
      <c r="C3743" s="86" t="s">
        <v>164</v>
      </c>
      <c r="D3743" s="86" t="s">
        <v>165</v>
      </c>
      <c r="E3743" s="86" t="s">
        <v>619</v>
      </c>
      <c r="F3743" s="86" t="s">
        <v>620</v>
      </c>
      <c r="G3743" s="86" t="s">
        <v>619</v>
      </c>
      <c r="H3743" s="143">
        <v>62</v>
      </c>
      <c r="I3743" s="86" t="s">
        <v>408</v>
      </c>
      <c r="J3743" s="1" t="s">
        <v>3324</v>
      </c>
      <c r="K3743" s="1" t="s">
        <v>3278</v>
      </c>
      <c r="L3743" s="1" t="s">
        <v>35</v>
      </c>
      <c r="M3743" s="86" t="s">
        <v>622</v>
      </c>
      <c r="N3743" s="86"/>
      <c r="O3743" s="47" t="s">
        <v>941</v>
      </c>
      <c r="P3743" s="47" t="s">
        <v>41</v>
      </c>
      <c r="Q3743" s="14">
        <v>0</v>
      </c>
      <c r="R3743" s="143">
        <v>1000067334</v>
      </c>
      <c r="S3743" s="47"/>
      <c r="T3743" s="6">
        <v>0</v>
      </c>
      <c r="U3743" s="6"/>
      <c r="V3743" s="6">
        <v>0</v>
      </c>
      <c r="W3743" s="6">
        <f t="shared" si="575"/>
        <v>0</v>
      </c>
      <c r="X3743" s="6">
        <f t="shared" si="576"/>
        <v>0</v>
      </c>
      <c r="Y3743" s="13">
        <f t="shared" si="577"/>
        <v>0</v>
      </c>
      <c r="Z3743" s="14">
        <v>0</v>
      </c>
      <c r="AA3743" s="6">
        <v>0</v>
      </c>
      <c r="AB3743" s="4">
        <f t="shared" si="578"/>
        <v>0</v>
      </c>
      <c r="AC3743" s="4">
        <f t="shared" si="580"/>
        <v>0</v>
      </c>
      <c r="AD3743" s="6">
        <f t="shared" si="573"/>
        <v>0</v>
      </c>
      <c r="AE3743" s="2">
        <f>VLOOKUP(I3743,[1]媒体政策预估表!A:N,MATCH(O3743,[1]媒体政策预估表!$A$2:$M$2,0),0)</f>
        <v>0.12</v>
      </c>
      <c r="AF3743" s="6">
        <f t="shared" si="581"/>
        <v>0</v>
      </c>
      <c r="AG3743" s="14">
        <v>0</v>
      </c>
      <c r="AH3743" s="64">
        <f t="shared" si="574"/>
        <v>0</v>
      </c>
      <c r="AI3743" s="47"/>
      <c r="AJ3743" s="126" t="e">
        <v>#N/A</v>
      </c>
      <c r="AK3743" s="80">
        <f t="shared" si="579"/>
        <v>0</v>
      </c>
      <c r="AM3743" s="85"/>
    </row>
    <row r="3744" spans="1:39" hidden="1" x14ac:dyDescent="0.3">
      <c r="A3744" s="89" t="s">
        <v>3394</v>
      </c>
      <c r="B3744" s="86" t="s">
        <v>35</v>
      </c>
      <c r="C3744" s="86" t="s">
        <v>164</v>
      </c>
      <c r="D3744" s="86" t="s">
        <v>174</v>
      </c>
      <c r="E3744" s="86" t="s">
        <v>942</v>
      </c>
      <c r="F3744" s="86" t="s">
        <v>942</v>
      </c>
      <c r="G3744" s="86" t="s">
        <v>942</v>
      </c>
      <c r="H3744" s="143">
        <v>62</v>
      </c>
      <c r="I3744" s="86" t="s">
        <v>408</v>
      </c>
      <c r="J3744" s="1" t="s">
        <v>3324</v>
      </c>
      <c r="K3744" s="1" t="s">
        <v>3278</v>
      </c>
      <c r="L3744" s="1" t="s">
        <v>35</v>
      </c>
      <c r="M3744" s="86" t="s">
        <v>943</v>
      </c>
      <c r="N3744" s="86"/>
      <c r="O3744" s="47" t="s">
        <v>45</v>
      </c>
      <c r="P3744" s="47" t="s">
        <v>46</v>
      </c>
      <c r="Q3744" s="14">
        <v>0.06</v>
      </c>
      <c r="R3744" s="143">
        <v>1000047703</v>
      </c>
      <c r="S3744" s="47"/>
      <c r="T3744" s="6">
        <v>4982</v>
      </c>
      <c r="U3744" s="6"/>
      <c r="V3744" s="6">
        <v>0</v>
      </c>
      <c r="W3744" s="6">
        <f t="shared" si="575"/>
        <v>4982</v>
      </c>
      <c r="X3744" s="6">
        <f t="shared" si="576"/>
        <v>0</v>
      </c>
      <c r="Y3744" s="13">
        <f t="shared" si="577"/>
        <v>0</v>
      </c>
      <c r="Z3744" s="14">
        <v>0</v>
      </c>
      <c r="AA3744" s="6">
        <v>0</v>
      </c>
      <c r="AB3744" s="4">
        <f t="shared" si="578"/>
        <v>0</v>
      </c>
      <c r="AC3744" s="4">
        <f t="shared" si="580"/>
        <v>0</v>
      </c>
      <c r="AD3744" s="6">
        <f t="shared" si="573"/>
        <v>0</v>
      </c>
      <c r="AE3744" s="2">
        <f>VLOOKUP(I3744,[1]媒体政策预估表!A:N,MATCH(O3744,[1]媒体政策预估表!$A$2:$M$2,0),0)</f>
        <v>0.12</v>
      </c>
      <c r="AF3744" s="6">
        <f t="shared" si="581"/>
        <v>0</v>
      </c>
      <c r="AG3744" s="14">
        <v>0</v>
      </c>
      <c r="AH3744" s="64">
        <f t="shared" si="574"/>
        <v>0</v>
      </c>
      <c r="AI3744" s="47"/>
      <c r="AJ3744" s="126" t="e">
        <v>#N/A</v>
      </c>
      <c r="AK3744" s="80">
        <f t="shared" si="579"/>
        <v>0</v>
      </c>
      <c r="AM3744" s="85"/>
    </row>
    <row r="3745" spans="1:39" hidden="1" x14ac:dyDescent="0.3">
      <c r="A3745" s="89" t="s">
        <v>3394</v>
      </c>
      <c r="B3745" s="86" t="s">
        <v>35</v>
      </c>
      <c r="C3745" s="86" t="s">
        <v>164</v>
      </c>
      <c r="D3745" s="86" t="s">
        <v>174</v>
      </c>
      <c r="E3745" s="86" t="s">
        <v>944</v>
      </c>
      <c r="F3745" s="86" t="s">
        <v>944</v>
      </c>
      <c r="G3745" s="86" t="s">
        <v>944</v>
      </c>
      <c r="H3745" s="143">
        <v>62</v>
      </c>
      <c r="I3745" s="86" t="s">
        <v>408</v>
      </c>
      <c r="J3745" s="1" t="s">
        <v>3324</v>
      </c>
      <c r="K3745" s="1" t="s">
        <v>3278</v>
      </c>
      <c r="L3745" s="1" t="s">
        <v>35</v>
      </c>
      <c r="M3745" s="86" t="s">
        <v>945</v>
      </c>
      <c r="N3745" s="86"/>
      <c r="O3745" s="47" t="s">
        <v>410</v>
      </c>
      <c r="P3745" s="47" t="s">
        <v>46</v>
      </c>
      <c r="Q3745" s="14">
        <v>0.02</v>
      </c>
      <c r="R3745" s="143">
        <v>1000017235</v>
      </c>
      <c r="S3745" s="47"/>
      <c r="T3745" s="6">
        <v>10184.5</v>
      </c>
      <c r="U3745" s="6"/>
      <c r="V3745" s="6">
        <v>0</v>
      </c>
      <c r="W3745" s="6">
        <f t="shared" si="575"/>
        <v>10184.5</v>
      </c>
      <c r="X3745" s="6">
        <f t="shared" si="576"/>
        <v>0</v>
      </c>
      <c r="Y3745" s="13">
        <f t="shared" si="577"/>
        <v>0</v>
      </c>
      <c r="Z3745" s="14">
        <v>0</v>
      </c>
      <c r="AA3745" s="6">
        <v>0</v>
      </c>
      <c r="AB3745" s="4">
        <f t="shared" si="578"/>
        <v>0</v>
      </c>
      <c r="AC3745" s="4">
        <f t="shared" si="580"/>
        <v>0</v>
      </c>
      <c r="AD3745" s="6">
        <f t="shared" si="573"/>
        <v>0</v>
      </c>
      <c r="AE3745" s="2">
        <f>VLOOKUP(I3745,[1]媒体政策预估表!A:N,MATCH(O3745,[1]媒体政策预估表!$A$2:$M$2,0),0)</f>
        <v>7.0000000000000007E-2</v>
      </c>
      <c r="AF3745" s="6">
        <f t="shared" si="581"/>
        <v>0</v>
      </c>
      <c r="AG3745" s="14">
        <v>0</v>
      </c>
      <c r="AH3745" s="64">
        <f t="shared" si="574"/>
        <v>0</v>
      </c>
      <c r="AI3745" s="47"/>
      <c r="AJ3745" s="126" t="e">
        <v>#N/A</v>
      </c>
      <c r="AK3745" s="80">
        <f t="shared" si="579"/>
        <v>0</v>
      </c>
      <c r="AM3745" s="85"/>
    </row>
    <row r="3746" spans="1:39" hidden="1" x14ac:dyDescent="0.3">
      <c r="A3746" s="89" t="s">
        <v>3394</v>
      </c>
      <c r="B3746" s="86" t="s">
        <v>35</v>
      </c>
      <c r="C3746" s="86" t="s">
        <v>164</v>
      </c>
      <c r="D3746" s="86" t="s">
        <v>174</v>
      </c>
      <c r="E3746" s="86" t="s">
        <v>946</v>
      </c>
      <c r="F3746" s="86" t="s">
        <v>946</v>
      </c>
      <c r="G3746" s="86" t="s">
        <v>946</v>
      </c>
      <c r="H3746" s="143">
        <v>62</v>
      </c>
      <c r="I3746" s="86" t="s">
        <v>408</v>
      </c>
      <c r="J3746" s="1" t="s">
        <v>3324</v>
      </c>
      <c r="K3746" s="1" t="s">
        <v>3278</v>
      </c>
      <c r="L3746" s="1" t="s">
        <v>35</v>
      </c>
      <c r="M3746" s="86" t="s">
        <v>947</v>
      </c>
      <c r="N3746" s="86"/>
      <c r="O3746" s="47" t="s">
        <v>410</v>
      </c>
      <c r="P3746" s="47" t="s">
        <v>46</v>
      </c>
      <c r="Q3746" s="14">
        <v>0.02</v>
      </c>
      <c r="R3746" s="143">
        <v>1000045521</v>
      </c>
      <c r="S3746" s="47"/>
      <c r="T3746" s="6">
        <v>1779.71</v>
      </c>
      <c r="U3746" s="6"/>
      <c r="V3746" s="6">
        <v>0</v>
      </c>
      <c r="W3746" s="6">
        <f t="shared" si="575"/>
        <v>1779.71</v>
      </c>
      <c r="X3746" s="6">
        <f t="shared" si="576"/>
        <v>0</v>
      </c>
      <c r="Y3746" s="13">
        <f t="shared" si="577"/>
        <v>0</v>
      </c>
      <c r="Z3746" s="14">
        <v>0</v>
      </c>
      <c r="AA3746" s="6">
        <v>0</v>
      </c>
      <c r="AB3746" s="4">
        <f t="shared" si="578"/>
        <v>0</v>
      </c>
      <c r="AC3746" s="4">
        <f t="shared" si="580"/>
        <v>0</v>
      </c>
      <c r="AD3746" s="6">
        <f t="shared" si="573"/>
        <v>0</v>
      </c>
      <c r="AE3746" s="2">
        <f>VLOOKUP(I3746,[1]媒体政策预估表!A:N,MATCH(O3746,[1]媒体政策预估表!$A$2:$M$2,0),0)</f>
        <v>7.0000000000000007E-2</v>
      </c>
      <c r="AF3746" s="6">
        <f t="shared" si="581"/>
        <v>0</v>
      </c>
      <c r="AG3746" s="14">
        <v>0</v>
      </c>
      <c r="AH3746" s="64">
        <f t="shared" si="574"/>
        <v>0</v>
      </c>
      <c r="AI3746" s="47"/>
      <c r="AJ3746" s="126" t="e">
        <v>#N/A</v>
      </c>
      <c r="AK3746" s="80">
        <f t="shared" si="579"/>
        <v>0</v>
      </c>
      <c r="AM3746" s="85"/>
    </row>
    <row r="3747" spans="1:39" hidden="1" x14ac:dyDescent="0.3">
      <c r="A3747" s="89" t="s">
        <v>3397</v>
      </c>
      <c r="B3747" s="86" t="s">
        <v>35</v>
      </c>
      <c r="C3747" s="86" t="s">
        <v>164</v>
      </c>
      <c r="D3747" s="86" t="s">
        <v>174</v>
      </c>
      <c r="E3747" s="86" t="s">
        <v>948</v>
      </c>
      <c r="F3747" s="86" t="s">
        <v>948</v>
      </c>
      <c r="G3747" s="86" t="s">
        <v>948</v>
      </c>
      <c r="H3747" s="143">
        <v>62</v>
      </c>
      <c r="I3747" s="86" t="s">
        <v>408</v>
      </c>
      <c r="J3747" s="1" t="s">
        <v>3324</v>
      </c>
      <c r="K3747" s="1" t="s">
        <v>3278</v>
      </c>
      <c r="L3747" s="1" t="s">
        <v>35</v>
      </c>
      <c r="M3747" s="86" t="s">
        <v>949</v>
      </c>
      <c r="N3747" s="86"/>
      <c r="O3747" s="47" t="s">
        <v>45</v>
      </c>
      <c r="P3747" s="47" t="s">
        <v>46</v>
      </c>
      <c r="Q3747" s="14">
        <v>0.1</v>
      </c>
      <c r="R3747" s="143">
        <v>1000053875</v>
      </c>
      <c r="S3747" s="47"/>
      <c r="T3747" s="6">
        <v>1651.5</v>
      </c>
      <c r="U3747" s="6"/>
      <c r="V3747" s="6">
        <v>0</v>
      </c>
      <c r="W3747" s="6">
        <f t="shared" si="575"/>
        <v>1651.5</v>
      </c>
      <c r="X3747" s="6">
        <f t="shared" si="576"/>
        <v>0</v>
      </c>
      <c r="Y3747" s="13">
        <f t="shared" si="577"/>
        <v>0</v>
      </c>
      <c r="Z3747" s="14">
        <v>0</v>
      </c>
      <c r="AA3747" s="6">
        <v>0</v>
      </c>
      <c r="AB3747" s="4"/>
      <c r="AC3747" s="4">
        <f t="shared" si="580"/>
        <v>0</v>
      </c>
      <c r="AD3747" s="6">
        <f t="shared" si="573"/>
        <v>0</v>
      </c>
      <c r="AE3747" s="2">
        <f>VLOOKUP(I3747,[1]媒体政策预估表!A:N,MATCH(O3747,[1]媒体政策预估表!$A$2:$M$2,0),0)</f>
        <v>0.12</v>
      </c>
      <c r="AF3747" s="6">
        <f t="shared" si="581"/>
        <v>0</v>
      </c>
      <c r="AG3747" s="14">
        <v>0</v>
      </c>
      <c r="AH3747" s="64">
        <f t="shared" si="574"/>
        <v>0</v>
      </c>
      <c r="AI3747" s="47"/>
      <c r="AJ3747" s="126">
        <v>16</v>
      </c>
      <c r="AK3747" s="80">
        <f t="shared" si="579"/>
        <v>0</v>
      </c>
      <c r="AM3747" s="85"/>
    </row>
    <row r="3748" spans="1:39" hidden="1" x14ac:dyDescent="0.3">
      <c r="A3748" s="89" t="s">
        <v>3394</v>
      </c>
      <c r="B3748" s="86" t="s">
        <v>35</v>
      </c>
      <c r="C3748" s="86" t="s">
        <v>164</v>
      </c>
      <c r="D3748" s="86" t="s">
        <v>181</v>
      </c>
      <c r="E3748" s="86" t="s">
        <v>950</v>
      </c>
      <c r="F3748" s="86" t="s">
        <v>950</v>
      </c>
      <c r="G3748" s="86" t="s">
        <v>950</v>
      </c>
      <c r="H3748" s="143">
        <v>62</v>
      </c>
      <c r="I3748" s="86" t="s">
        <v>408</v>
      </c>
      <c r="J3748" s="1" t="s">
        <v>3324</v>
      </c>
      <c r="K3748" s="1" t="s">
        <v>3278</v>
      </c>
      <c r="L3748" s="1" t="s">
        <v>35</v>
      </c>
      <c r="M3748" s="86" t="s">
        <v>951</v>
      </c>
      <c r="N3748" s="86"/>
      <c r="O3748" s="47" t="s">
        <v>410</v>
      </c>
      <c r="P3748" s="47" t="s">
        <v>46</v>
      </c>
      <c r="Q3748" s="14">
        <v>0.02</v>
      </c>
      <c r="R3748" s="143">
        <v>1000044972</v>
      </c>
      <c r="S3748" s="47"/>
      <c r="T3748" s="6">
        <v>5296.7</v>
      </c>
      <c r="U3748" s="6"/>
      <c r="V3748" s="6">
        <v>0</v>
      </c>
      <c r="W3748" s="6">
        <f t="shared" si="575"/>
        <v>5296.7</v>
      </c>
      <c r="X3748" s="6">
        <f t="shared" si="576"/>
        <v>0</v>
      </c>
      <c r="Y3748" s="13">
        <f t="shared" si="577"/>
        <v>0</v>
      </c>
      <c r="Z3748" s="14">
        <v>0</v>
      </c>
      <c r="AA3748" s="6">
        <v>0</v>
      </c>
      <c r="AB3748" s="4">
        <f t="shared" si="578"/>
        <v>0</v>
      </c>
      <c r="AC3748" s="4">
        <f t="shared" si="580"/>
        <v>0</v>
      </c>
      <c r="AD3748" s="6">
        <f t="shared" ref="AD3748:AD3811" si="582">V3748</f>
        <v>0</v>
      </c>
      <c r="AE3748" s="2">
        <f>VLOOKUP(I3748,[1]媒体政策预估表!A:N,MATCH(O3748,[1]媒体政策预估表!$A$2:$M$2,0),0)</f>
        <v>7.0000000000000007E-2</v>
      </c>
      <c r="AF3748" s="6">
        <f t="shared" si="581"/>
        <v>0</v>
      </c>
      <c r="AG3748" s="14">
        <v>0</v>
      </c>
      <c r="AH3748" s="64">
        <f t="shared" ref="AH3748:AH3811" si="583">V3748</f>
        <v>0</v>
      </c>
      <c r="AI3748" s="47"/>
      <c r="AJ3748" s="126" t="e">
        <v>#N/A</v>
      </c>
      <c r="AK3748" s="80">
        <f t="shared" si="579"/>
        <v>0</v>
      </c>
      <c r="AM3748" s="85"/>
    </row>
    <row r="3749" spans="1:39" hidden="1" x14ac:dyDescent="0.3">
      <c r="A3749" s="89" t="s">
        <v>3394</v>
      </c>
      <c r="B3749" s="86" t="s">
        <v>35</v>
      </c>
      <c r="C3749" s="86" t="s">
        <v>164</v>
      </c>
      <c r="D3749" s="86" t="s">
        <v>181</v>
      </c>
      <c r="E3749" s="86" t="s">
        <v>950</v>
      </c>
      <c r="F3749" s="86" t="s">
        <v>950</v>
      </c>
      <c r="G3749" s="86" t="s">
        <v>950</v>
      </c>
      <c r="H3749" s="143">
        <v>62</v>
      </c>
      <c r="I3749" s="86" t="s">
        <v>408</v>
      </c>
      <c r="J3749" s="1" t="s">
        <v>3324</v>
      </c>
      <c r="K3749" s="1" t="s">
        <v>3278</v>
      </c>
      <c r="L3749" s="1" t="s">
        <v>35</v>
      </c>
      <c r="M3749" s="86" t="s">
        <v>952</v>
      </c>
      <c r="N3749" s="86"/>
      <c r="O3749" s="47" t="s">
        <v>410</v>
      </c>
      <c r="P3749" s="47" t="s">
        <v>46</v>
      </c>
      <c r="Q3749" s="14">
        <v>0.02</v>
      </c>
      <c r="R3749" s="143">
        <v>1000041974</v>
      </c>
      <c r="S3749" s="47"/>
      <c r="T3749" s="6">
        <v>44382.7</v>
      </c>
      <c r="U3749" s="6"/>
      <c r="V3749" s="6">
        <v>0</v>
      </c>
      <c r="W3749" s="6">
        <f t="shared" si="575"/>
        <v>44382.7</v>
      </c>
      <c r="X3749" s="6">
        <f t="shared" si="576"/>
        <v>0</v>
      </c>
      <c r="Y3749" s="13">
        <f t="shared" si="577"/>
        <v>0</v>
      </c>
      <c r="Z3749" s="14">
        <v>0</v>
      </c>
      <c r="AA3749" s="6">
        <v>0</v>
      </c>
      <c r="AB3749" s="4">
        <f t="shared" si="578"/>
        <v>0</v>
      </c>
      <c r="AC3749" s="4">
        <f t="shared" si="580"/>
        <v>0</v>
      </c>
      <c r="AD3749" s="6">
        <f t="shared" si="582"/>
        <v>0</v>
      </c>
      <c r="AE3749" s="2">
        <f>VLOOKUP(I3749,[1]媒体政策预估表!A:N,MATCH(O3749,[1]媒体政策预估表!$A$2:$M$2,0),0)</f>
        <v>7.0000000000000007E-2</v>
      </c>
      <c r="AF3749" s="6">
        <f t="shared" si="581"/>
        <v>0</v>
      </c>
      <c r="AG3749" s="14">
        <v>0</v>
      </c>
      <c r="AH3749" s="64">
        <f t="shared" si="583"/>
        <v>0</v>
      </c>
      <c r="AI3749" s="47"/>
      <c r="AJ3749" s="126" t="e">
        <v>#N/A</v>
      </c>
      <c r="AK3749" s="80">
        <f t="shared" si="579"/>
        <v>0</v>
      </c>
      <c r="AM3749" s="85"/>
    </row>
    <row r="3750" spans="1:39" hidden="1" x14ac:dyDescent="0.3">
      <c r="A3750" s="89" t="s">
        <v>3396</v>
      </c>
      <c r="B3750" s="86" t="s">
        <v>35</v>
      </c>
      <c r="C3750" s="86" t="s">
        <v>164</v>
      </c>
      <c r="D3750" s="86" t="s">
        <v>181</v>
      </c>
      <c r="E3750" s="86" t="s">
        <v>950</v>
      </c>
      <c r="F3750" s="86" t="s">
        <v>950</v>
      </c>
      <c r="G3750" s="86" t="s">
        <v>950</v>
      </c>
      <c r="H3750" s="143">
        <v>62</v>
      </c>
      <c r="I3750" s="86" t="s">
        <v>408</v>
      </c>
      <c r="J3750" s="1" t="s">
        <v>3324</v>
      </c>
      <c r="K3750" s="1" t="s">
        <v>3278</v>
      </c>
      <c r="L3750" s="1" t="s">
        <v>35</v>
      </c>
      <c r="M3750" s="86" t="s">
        <v>953</v>
      </c>
      <c r="N3750" s="86"/>
      <c r="O3750" s="47" t="s">
        <v>410</v>
      </c>
      <c r="P3750" s="47" t="s">
        <v>46</v>
      </c>
      <c r="Q3750" s="14">
        <v>0.02</v>
      </c>
      <c r="R3750" s="143">
        <v>1000011247</v>
      </c>
      <c r="S3750" s="47"/>
      <c r="T3750" s="6">
        <v>653.5</v>
      </c>
      <c r="U3750" s="6"/>
      <c r="V3750" s="6">
        <v>0</v>
      </c>
      <c r="W3750" s="6">
        <f t="shared" ref="W3750:W3813" si="584">T3750+U3750-V3750</f>
        <v>653.5</v>
      </c>
      <c r="X3750" s="6">
        <f t="shared" si="576"/>
        <v>0</v>
      </c>
      <c r="Y3750" s="13">
        <f t="shared" si="577"/>
        <v>0</v>
      </c>
      <c r="Z3750" s="14">
        <v>0</v>
      </c>
      <c r="AA3750" s="6">
        <v>0</v>
      </c>
      <c r="AB3750" s="4">
        <f t="shared" si="578"/>
        <v>0</v>
      </c>
      <c r="AC3750" s="4">
        <f t="shared" si="580"/>
        <v>0</v>
      </c>
      <c r="AD3750" s="6">
        <f t="shared" si="582"/>
        <v>0</v>
      </c>
      <c r="AE3750" s="2">
        <f>VLOOKUP(I3750,[1]媒体政策预估表!A:N,MATCH(O3750,[1]媒体政策预估表!$A$2:$M$2,0),0)</f>
        <v>7.0000000000000007E-2</v>
      </c>
      <c r="AF3750" s="6">
        <f t="shared" si="581"/>
        <v>0</v>
      </c>
      <c r="AG3750" s="14">
        <v>0</v>
      </c>
      <c r="AH3750" s="64">
        <f t="shared" si="583"/>
        <v>0</v>
      </c>
      <c r="AI3750" s="47"/>
      <c r="AJ3750" s="126" t="e">
        <v>#N/A</v>
      </c>
      <c r="AK3750" s="80">
        <f t="shared" si="579"/>
        <v>0</v>
      </c>
      <c r="AM3750" s="85"/>
    </row>
    <row r="3751" spans="1:39" hidden="1" x14ac:dyDescent="0.3">
      <c r="A3751" s="89" t="s">
        <v>3396</v>
      </c>
      <c r="B3751" s="86" t="s">
        <v>35</v>
      </c>
      <c r="C3751" s="86" t="s">
        <v>164</v>
      </c>
      <c r="D3751" s="86" t="s">
        <v>181</v>
      </c>
      <c r="E3751" s="86" t="s">
        <v>954</v>
      </c>
      <c r="F3751" s="86" t="s">
        <v>954</v>
      </c>
      <c r="G3751" s="86" t="s">
        <v>954</v>
      </c>
      <c r="H3751" s="143">
        <v>62</v>
      </c>
      <c r="I3751" s="86" t="s">
        <v>408</v>
      </c>
      <c r="J3751" s="1" t="s">
        <v>3324</v>
      </c>
      <c r="K3751" s="1" t="s">
        <v>3278</v>
      </c>
      <c r="L3751" s="1" t="s">
        <v>35</v>
      </c>
      <c r="M3751" s="86" t="s">
        <v>955</v>
      </c>
      <c r="N3751" s="86"/>
      <c r="O3751" s="47" t="s">
        <v>45</v>
      </c>
      <c r="P3751" s="47" t="s">
        <v>46</v>
      </c>
      <c r="Q3751" s="14">
        <v>0.2</v>
      </c>
      <c r="R3751" s="143">
        <v>1000020835</v>
      </c>
      <c r="S3751" s="47"/>
      <c r="T3751" s="6">
        <v>3515.75</v>
      </c>
      <c r="U3751" s="6"/>
      <c r="V3751" s="6">
        <v>0</v>
      </c>
      <c r="W3751" s="6">
        <f t="shared" si="584"/>
        <v>3515.75</v>
      </c>
      <c r="X3751" s="6">
        <f t="shared" ref="X3751:X3814" si="585">IF(P3751="折扣",V3751*Q3751,IF(P3751="返现",V3751,V3751/(1+Q3751)))</f>
        <v>0</v>
      </c>
      <c r="Y3751" s="13">
        <f t="shared" si="577"/>
        <v>0</v>
      </c>
      <c r="Z3751" s="14">
        <v>0</v>
      </c>
      <c r="AA3751" s="6">
        <v>0</v>
      </c>
      <c r="AB3751" s="4"/>
      <c r="AC3751" s="4">
        <f t="shared" si="580"/>
        <v>0</v>
      </c>
      <c r="AD3751" s="6">
        <f t="shared" si="582"/>
        <v>0</v>
      </c>
      <c r="AE3751" s="2">
        <f>VLOOKUP(I3751,[1]媒体政策预估表!A:N,MATCH(O3751,[1]媒体政策预估表!$A$2:$M$2,0),0)</f>
        <v>0.12</v>
      </c>
      <c r="AF3751" s="6">
        <f t="shared" si="581"/>
        <v>0</v>
      </c>
      <c r="AG3751" s="14">
        <v>0</v>
      </c>
      <c r="AH3751" s="64">
        <f t="shared" si="583"/>
        <v>0</v>
      </c>
      <c r="AI3751" s="47"/>
      <c r="AJ3751" s="126">
        <v>1</v>
      </c>
      <c r="AK3751" s="80">
        <f t="shared" si="579"/>
        <v>0</v>
      </c>
      <c r="AM3751" s="85"/>
    </row>
    <row r="3752" spans="1:39" hidden="1" x14ac:dyDescent="0.3">
      <c r="A3752" s="89" t="s">
        <v>3394</v>
      </c>
      <c r="B3752" s="86" t="s">
        <v>35</v>
      </c>
      <c r="C3752" s="86" t="s">
        <v>164</v>
      </c>
      <c r="D3752" s="86" t="s">
        <v>181</v>
      </c>
      <c r="E3752" s="86" t="s">
        <v>954</v>
      </c>
      <c r="F3752" s="86" t="s">
        <v>954</v>
      </c>
      <c r="G3752" s="86" t="s">
        <v>954</v>
      </c>
      <c r="H3752" s="143">
        <v>62</v>
      </c>
      <c r="I3752" s="86" t="s">
        <v>408</v>
      </c>
      <c r="J3752" s="1" t="s">
        <v>3324</v>
      </c>
      <c r="K3752" s="1" t="s">
        <v>3278</v>
      </c>
      <c r="L3752" s="1" t="s">
        <v>35</v>
      </c>
      <c r="M3752" s="86" t="s">
        <v>956</v>
      </c>
      <c r="N3752" s="86"/>
      <c r="O3752" s="47" t="s">
        <v>45</v>
      </c>
      <c r="P3752" s="47" t="s">
        <v>46</v>
      </c>
      <c r="Q3752" s="14">
        <v>0.2</v>
      </c>
      <c r="R3752" s="143">
        <v>1000021103</v>
      </c>
      <c r="S3752" s="47"/>
      <c r="T3752" s="6">
        <v>7.25</v>
      </c>
      <c r="U3752" s="6"/>
      <c r="V3752" s="6">
        <v>0</v>
      </c>
      <c r="W3752" s="6">
        <f t="shared" si="584"/>
        <v>7.25</v>
      </c>
      <c r="X3752" s="6">
        <f t="shared" si="585"/>
        <v>0</v>
      </c>
      <c r="Y3752" s="13">
        <f t="shared" si="577"/>
        <v>0</v>
      </c>
      <c r="Z3752" s="14">
        <v>0</v>
      </c>
      <c r="AA3752" s="6">
        <v>0</v>
      </c>
      <c r="AB3752" s="4"/>
      <c r="AC3752" s="4">
        <f t="shared" si="580"/>
        <v>0</v>
      </c>
      <c r="AD3752" s="6">
        <f t="shared" si="582"/>
        <v>0</v>
      </c>
      <c r="AE3752" s="2">
        <f>VLOOKUP(I3752,[1]媒体政策预估表!A:N,MATCH(O3752,[1]媒体政策预估表!$A$2:$M$2,0),0)</f>
        <v>0.12</v>
      </c>
      <c r="AF3752" s="6">
        <f t="shared" si="581"/>
        <v>0</v>
      </c>
      <c r="AG3752" s="14">
        <v>0</v>
      </c>
      <c r="AH3752" s="64">
        <f t="shared" si="583"/>
        <v>0</v>
      </c>
      <c r="AI3752" s="47"/>
      <c r="AJ3752" s="126">
        <v>1</v>
      </c>
      <c r="AK3752" s="80">
        <f t="shared" si="579"/>
        <v>0</v>
      </c>
      <c r="AM3752" s="85"/>
    </row>
    <row r="3753" spans="1:39" hidden="1" x14ac:dyDescent="0.3">
      <c r="A3753" s="89" t="s">
        <v>3394</v>
      </c>
      <c r="B3753" s="86" t="s">
        <v>35</v>
      </c>
      <c r="C3753" s="86" t="s">
        <v>164</v>
      </c>
      <c r="D3753" s="86" t="s">
        <v>181</v>
      </c>
      <c r="E3753" s="86" t="s">
        <v>954</v>
      </c>
      <c r="F3753" s="86" t="s">
        <v>954</v>
      </c>
      <c r="G3753" s="86" t="s">
        <v>954</v>
      </c>
      <c r="H3753" s="143">
        <v>62</v>
      </c>
      <c r="I3753" s="86" t="s">
        <v>408</v>
      </c>
      <c r="J3753" s="1" t="s">
        <v>3324</v>
      </c>
      <c r="K3753" s="1" t="s">
        <v>3278</v>
      </c>
      <c r="L3753" s="1" t="s">
        <v>35</v>
      </c>
      <c r="M3753" s="86" t="s">
        <v>957</v>
      </c>
      <c r="N3753" s="86"/>
      <c r="O3753" s="47" t="s">
        <v>45</v>
      </c>
      <c r="P3753" s="47" t="s">
        <v>46</v>
      </c>
      <c r="Q3753" s="14">
        <v>0.2</v>
      </c>
      <c r="R3753" s="143">
        <v>1000019249</v>
      </c>
      <c r="S3753" s="47"/>
      <c r="T3753" s="6">
        <v>4515.43</v>
      </c>
      <c r="U3753" s="6"/>
      <c r="V3753" s="6">
        <v>0</v>
      </c>
      <c r="W3753" s="6">
        <f t="shared" si="584"/>
        <v>4515.43</v>
      </c>
      <c r="X3753" s="6">
        <f t="shared" si="585"/>
        <v>0</v>
      </c>
      <c r="Y3753" s="13">
        <f t="shared" si="577"/>
        <v>0</v>
      </c>
      <c r="Z3753" s="14">
        <v>0</v>
      </c>
      <c r="AA3753" s="6">
        <v>0</v>
      </c>
      <c r="AB3753" s="4"/>
      <c r="AC3753" s="4">
        <f t="shared" si="580"/>
        <v>0</v>
      </c>
      <c r="AD3753" s="6">
        <f t="shared" si="582"/>
        <v>0</v>
      </c>
      <c r="AE3753" s="2">
        <f>VLOOKUP(I3753,[1]媒体政策预估表!A:N,MATCH(O3753,[1]媒体政策预估表!$A$2:$M$2,0),0)</f>
        <v>0.12</v>
      </c>
      <c r="AF3753" s="6">
        <f t="shared" si="581"/>
        <v>0</v>
      </c>
      <c r="AG3753" s="14">
        <v>0</v>
      </c>
      <c r="AH3753" s="64">
        <f t="shared" si="583"/>
        <v>0</v>
      </c>
      <c r="AI3753" s="47"/>
      <c r="AJ3753" s="126">
        <v>1</v>
      </c>
      <c r="AK3753" s="80">
        <f t="shared" si="579"/>
        <v>0</v>
      </c>
      <c r="AM3753" s="85"/>
    </row>
    <row r="3754" spans="1:39" hidden="1" x14ac:dyDescent="0.3">
      <c r="A3754" s="89" t="s">
        <v>3396</v>
      </c>
      <c r="B3754" s="86" t="s">
        <v>35</v>
      </c>
      <c r="C3754" s="86" t="s">
        <v>164</v>
      </c>
      <c r="D3754" s="86" t="s">
        <v>181</v>
      </c>
      <c r="E3754" s="86" t="s">
        <v>954</v>
      </c>
      <c r="F3754" s="86" t="s">
        <v>954</v>
      </c>
      <c r="G3754" s="86" t="s">
        <v>954</v>
      </c>
      <c r="H3754" s="143">
        <v>62</v>
      </c>
      <c r="I3754" s="86" t="s">
        <v>408</v>
      </c>
      <c r="J3754" s="1" t="s">
        <v>3324</v>
      </c>
      <c r="K3754" s="1" t="s">
        <v>3278</v>
      </c>
      <c r="L3754" s="1" t="s">
        <v>35</v>
      </c>
      <c r="M3754" s="86" t="s">
        <v>958</v>
      </c>
      <c r="N3754" s="86"/>
      <c r="O3754" s="47" t="s">
        <v>45</v>
      </c>
      <c r="P3754" s="47" t="s">
        <v>46</v>
      </c>
      <c r="Q3754" s="14">
        <v>0.2</v>
      </c>
      <c r="R3754" s="143">
        <v>1000021107</v>
      </c>
      <c r="S3754" s="47"/>
      <c r="T3754" s="6">
        <v>10100.4</v>
      </c>
      <c r="U3754" s="6"/>
      <c r="V3754" s="6">
        <v>0</v>
      </c>
      <c r="W3754" s="6">
        <f t="shared" si="584"/>
        <v>10100.4</v>
      </c>
      <c r="X3754" s="6">
        <f t="shared" si="585"/>
        <v>0</v>
      </c>
      <c r="Y3754" s="13">
        <f t="shared" si="577"/>
        <v>0</v>
      </c>
      <c r="Z3754" s="14">
        <v>0</v>
      </c>
      <c r="AA3754" s="6">
        <v>0</v>
      </c>
      <c r="AB3754" s="4"/>
      <c r="AC3754" s="4">
        <f t="shared" si="580"/>
        <v>0</v>
      </c>
      <c r="AD3754" s="6">
        <f t="shared" si="582"/>
        <v>0</v>
      </c>
      <c r="AE3754" s="2">
        <f>VLOOKUP(I3754,[1]媒体政策预估表!A:N,MATCH(O3754,[1]媒体政策预估表!$A$2:$M$2,0),0)</f>
        <v>0.12</v>
      </c>
      <c r="AF3754" s="6">
        <f t="shared" si="581"/>
        <v>0</v>
      </c>
      <c r="AG3754" s="14">
        <v>0</v>
      </c>
      <c r="AH3754" s="64">
        <f t="shared" si="583"/>
        <v>0</v>
      </c>
      <c r="AI3754" s="47"/>
      <c r="AJ3754" s="126">
        <v>1</v>
      </c>
      <c r="AK3754" s="80">
        <f t="shared" si="579"/>
        <v>0</v>
      </c>
      <c r="AM3754" s="85"/>
    </row>
    <row r="3755" spans="1:39" hidden="1" x14ac:dyDescent="0.3">
      <c r="A3755" s="89" t="s">
        <v>3396</v>
      </c>
      <c r="B3755" s="86" t="s">
        <v>35</v>
      </c>
      <c r="C3755" s="86" t="s">
        <v>164</v>
      </c>
      <c r="D3755" s="86" t="s">
        <v>181</v>
      </c>
      <c r="E3755" s="86" t="s">
        <v>954</v>
      </c>
      <c r="F3755" s="86" t="s">
        <v>954</v>
      </c>
      <c r="G3755" s="86" t="s">
        <v>954</v>
      </c>
      <c r="H3755" s="143">
        <v>62</v>
      </c>
      <c r="I3755" s="86" t="s">
        <v>408</v>
      </c>
      <c r="J3755" s="1" t="s">
        <v>3324</v>
      </c>
      <c r="K3755" s="1" t="s">
        <v>3278</v>
      </c>
      <c r="L3755" s="1" t="s">
        <v>35</v>
      </c>
      <c r="M3755" s="86" t="s">
        <v>959</v>
      </c>
      <c r="N3755" s="86"/>
      <c r="O3755" s="47" t="s">
        <v>45</v>
      </c>
      <c r="P3755" s="47" t="s">
        <v>46</v>
      </c>
      <c r="Q3755" s="14">
        <v>0.2</v>
      </c>
      <c r="R3755" s="143">
        <v>1000021105</v>
      </c>
      <c r="S3755" s="47"/>
      <c r="T3755" s="6">
        <v>19075.55</v>
      </c>
      <c r="U3755" s="6"/>
      <c r="V3755" s="6">
        <v>0</v>
      </c>
      <c r="W3755" s="6">
        <f t="shared" si="584"/>
        <v>19075.55</v>
      </c>
      <c r="X3755" s="6">
        <f t="shared" si="585"/>
        <v>0</v>
      </c>
      <c r="Y3755" s="13">
        <f t="shared" si="577"/>
        <v>0</v>
      </c>
      <c r="Z3755" s="14">
        <v>0</v>
      </c>
      <c r="AA3755" s="6">
        <v>0</v>
      </c>
      <c r="AB3755" s="4"/>
      <c r="AC3755" s="4">
        <f t="shared" si="580"/>
        <v>0</v>
      </c>
      <c r="AD3755" s="6">
        <f t="shared" si="582"/>
        <v>0</v>
      </c>
      <c r="AE3755" s="2">
        <f>VLOOKUP(I3755,[1]媒体政策预估表!A:N,MATCH(O3755,[1]媒体政策预估表!$A$2:$M$2,0),0)</f>
        <v>0.12</v>
      </c>
      <c r="AF3755" s="6">
        <f t="shared" si="581"/>
        <v>0</v>
      </c>
      <c r="AG3755" s="14">
        <v>0</v>
      </c>
      <c r="AH3755" s="64">
        <f t="shared" si="583"/>
        <v>0</v>
      </c>
      <c r="AI3755" s="47"/>
      <c r="AJ3755" s="126">
        <v>1</v>
      </c>
      <c r="AK3755" s="80">
        <f t="shared" si="579"/>
        <v>0</v>
      </c>
      <c r="AM3755" s="85"/>
    </row>
    <row r="3756" spans="1:39" hidden="1" x14ac:dyDescent="0.3">
      <c r="A3756" s="89" t="s">
        <v>3396</v>
      </c>
      <c r="B3756" s="86" t="s">
        <v>35</v>
      </c>
      <c r="C3756" s="86" t="s">
        <v>164</v>
      </c>
      <c r="D3756" s="86" t="s">
        <v>181</v>
      </c>
      <c r="E3756" s="86" t="s">
        <v>954</v>
      </c>
      <c r="F3756" s="86" t="s">
        <v>954</v>
      </c>
      <c r="G3756" s="86" t="s">
        <v>954</v>
      </c>
      <c r="H3756" s="143">
        <v>62</v>
      </c>
      <c r="I3756" s="86" t="s">
        <v>408</v>
      </c>
      <c r="J3756" s="1" t="s">
        <v>3324</v>
      </c>
      <c r="K3756" s="1" t="s">
        <v>3278</v>
      </c>
      <c r="L3756" s="1" t="s">
        <v>35</v>
      </c>
      <c r="M3756" s="86" t="s">
        <v>960</v>
      </c>
      <c r="N3756" s="86"/>
      <c r="O3756" s="47" t="s">
        <v>45</v>
      </c>
      <c r="P3756" s="47" t="s">
        <v>46</v>
      </c>
      <c r="Q3756" s="14">
        <v>0.2</v>
      </c>
      <c r="R3756" s="143">
        <v>1000020844</v>
      </c>
      <c r="S3756" s="47"/>
      <c r="T3756" s="6">
        <v>5207.93</v>
      </c>
      <c r="U3756" s="6"/>
      <c r="V3756" s="6">
        <v>0</v>
      </c>
      <c r="W3756" s="6">
        <f t="shared" si="584"/>
        <v>5207.93</v>
      </c>
      <c r="X3756" s="6">
        <f t="shared" si="585"/>
        <v>0</v>
      </c>
      <c r="Y3756" s="13">
        <f t="shared" si="577"/>
        <v>0</v>
      </c>
      <c r="Z3756" s="14">
        <v>0</v>
      </c>
      <c r="AA3756" s="6">
        <v>0</v>
      </c>
      <c r="AB3756" s="4"/>
      <c r="AC3756" s="4">
        <f t="shared" si="580"/>
        <v>0</v>
      </c>
      <c r="AD3756" s="6">
        <f t="shared" si="582"/>
        <v>0</v>
      </c>
      <c r="AE3756" s="2">
        <f>VLOOKUP(I3756,[1]媒体政策预估表!A:N,MATCH(O3756,[1]媒体政策预估表!$A$2:$M$2,0),0)</f>
        <v>0.12</v>
      </c>
      <c r="AF3756" s="6">
        <f t="shared" si="581"/>
        <v>0</v>
      </c>
      <c r="AG3756" s="14">
        <v>0</v>
      </c>
      <c r="AH3756" s="64">
        <f t="shared" si="583"/>
        <v>0</v>
      </c>
      <c r="AI3756" s="47"/>
      <c r="AJ3756" s="126">
        <v>1</v>
      </c>
      <c r="AK3756" s="80">
        <f t="shared" si="579"/>
        <v>0</v>
      </c>
      <c r="AM3756" s="85"/>
    </row>
    <row r="3757" spans="1:39" hidden="1" x14ac:dyDescent="0.3">
      <c r="A3757" s="89" t="s">
        <v>3396</v>
      </c>
      <c r="B3757" s="86" t="s">
        <v>35</v>
      </c>
      <c r="C3757" s="86" t="s">
        <v>36</v>
      </c>
      <c r="D3757" s="86" t="s">
        <v>961</v>
      </c>
      <c r="E3757" s="86" t="s">
        <v>962</v>
      </c>
      <c r="F3757" s="86" t="s">
        <v>962</v>
      </c>
      <c r="G3757" s="86" t="s">
        <v>962</v>
      </c>
      <c r="H3757" s="143">
        <v>62</v>
      </c>
      <c r="I3757" s="86" t="s">
        <v>408</v>
      </c>
      <c r="J3757" s="1" t="s">
        <v>3324</v>
      </c>
      <c r="K3757" s="1" t="s">
        <v>3278</v>
      </c>
      <c r="L3757" s="1" t="s">
        <v>35</v>
      </c>
      <c r="M3757" s="86" t="s">
        <v>963</v>
      </c>
      <c r="N3757" s="86"/>
      <c r="O3757" s="47" t="s">
        <v>45</v>
      </c>
      <c r="P3757" s="47" t="s">
        <v>41</v>
      </c>
      <c r="Q3757" s="14">
        <v>0</v>
      </c>
      <c r="R3757" s="143">
        <v>1000055726</v>
      </c>
      <c r="S3757" s="47"/>
      <c r="T3757" s="6">
        <v>30000</v>
      </c>
      <c r="U3757" s="6"/>
      <c r="V3757" s="6">
        <v>0</v>
      </c>
      <c r="W3757" s="6">
        <f t="shared" si="584"/>
        <v>30000</v>
      </c>
      <c r="X3757" s="6">
        <f t="shared" si="585"/>
        <v>0</v>
      </c>
      <c r="Y3757" s="13">
        <f t="shared" si="577"/>
        <v>0</v>
      </c>
      <c r="Z3757" s="14">
        <v>0</v>
      </c>
      <c r="AA3757" s="6">
        <v>0</v>
      </c>
      <c r="AB3757" s="4">
        <f t="shared" si="578"/>
        <v>0</v>
      </c>
      <c r="AC3757" s="4">
        <f t="shared" si="580"/>
        <v>0</v>
      </c>
      <c r="AD3757" s="6">
        <f t="shared" si="582"/>
        <v>0</v>
      </c>
      <c r="AE3757" s="2">
        <f>VLOOKUP(I3757,[1]媒体政策预估表!A:N,MATCH(O3757,[1]媒体政策预估表!$A$2:$M$2,0),0)</f>
        <v>0.12</v>
      </c>
      <c r="AF3757" s="6">
        <f t="shared" si="581"/>
        <v>0</v>
      </c>
      <c r="AG3757" s="14">
        <v>0</v>
      </c>
      <c r="AH3757" s="64">
        <f t="shared" si="583"/>
        <v>0</v>
      </c>
      <c r="AI3757" s="47"/>
      <c r="AJ3757" s="126" t="e">
        <v>#N/A</v>
      </c>
      <c r="AK3757" s="80">
        <f t="shared" si="579"/>
        <v>0</v>
      </c>
      <c r="AM3757" s="85"/>
    </row>
    <row r="3758" spans="1:39" hidden="1" x14ac:dyDescent="0.3">
      <c r="A3758" s="89" t="s">
        <v>3396</v>
      </c>
      <c r="B3758" s="86" t="s">
        <v>35</v>
      </c>
      <c r="C3758" s="86" t="s">
        <v>36</v>
      </c>
      <c r="D3758" s="86" t="s">
        <v>224</v>
      </c>
      <c r="E3758" s="86" t="s">
        <v>964</v>
      </c>
      <c r="F3758" s="86" t="s">
        <v>964</v>
      </c>
      <c r="G3758" s="86" t="s">
        <v>964</v>
      </c>
      <c r="H3758" s="143">
        <v>62</v>
      </c>
      <c r="I3758" s="86" t="s">
        <v>408</v>
      </c>
      <c r="J3758" s="1" t="s">
        <v>3324</v>
      </c>
      <c r="K3758" s="1" t="s">
        <v>3278</v>
      </c>
      <c r="L3758" s="1" t="s">
        <v>35</v>
      </c>
      <c r="M3758" s="86" t="s">
        <v>965</v>
      </c>
      <c r="N3758" s="86"/>
      <c r="O3758" s="47" t="s">
        <v>410</v>
      </c>
      <c r="P3758" s="47" t="s">
        <v>46</v>
      </c>
      <c r="Q3758" s="14">
        <v>0.05</v>
      </c>
      <c r="R3758" s="143">
        <v>1000032486</v>
      </c>
      <c r="S3758" s="47"/>
      <c r="T3758" s="6">
        <v>21000</v>
      </c>
      <c r="U3758" s="6"/>
      <c r="V3758" s="6">
        <v>0</v>
      </c>
      <c r="W3758" s="6">
        <f t="shared" si="584"/>
        <v>21000</v>
      </c>
      <c r="X3758" s="6">
        <f t="shared" si="585"/>
        <v>0</v>
      </c>
      <c r="Y3758" s="13">
        <f t="shared" si="577"/>
        <v>0</v>
      </c>
      <c r="Z3758" s="14">
        <v>0</v>
      </c>
      <c r="AA3758" s="6">
        <v>0</v>
      </c>
      <c r="AB3758" s="4">
        <f t="shared" si="578"/>
        <v>0</v>
      </c>
      <c r="AC3758" s="4">
        <f t="shared" si="580"/>
        <v>0</v>
      </c>
      <c r="AD3758" s="6">
        <f t="shared" si="582"/>
        <v>0</v>
      </c>
      <c r="AE3758" s="2">
        <f>VLOOKUP(I3758,[1]媒体政策预估表!A:N,MATCH(O3758,[1]媒体政策预估表!$A$2:$M$2,0),0)</f>
        <v>7.0000000000000007E-2</v>
      </c>
      <c r="AF3758" s="6">
        <f t="shared" si="581"/>
        <v>0</v>
      </c>
      <c r="AG3758" s="14">
        <v>0</v>
      </c>
      <c r="AH3758" s="64">
        <f t="shared" si="583"/>
        <v>0</v>
      </c>
      <c r="AI3758" s="47"/>
      <c r="AJ3758" s="126" t="e">
        <v>#N/A</v>
      </c>
      <c r="AK3758" s="80">
        <f t="shared" si="579"/>
        <v>0</v>
      </c>
      <c r="AM3758" s="85"/>
    </row>
    <row r="3759" spans="1:39" hidden="1" x14ac:dyDescent="0.3">
      <c r="A3759" s="89" t="s">
        <v>3394</v>
      </c>
      <c r="B3759" s="86" t="s">
        <v>35</v>
      </c>
      <c r="C3759" s="86" t="s">
        <v>36</v>
      </c>
      <c r="D3759" s="86" t="s">
        <v>224</v>
      </c>
      <c r="E3759" s="86" t="s">
        <v>966</v>
      </c>
      <c r="F3759" s="86" t="s">
        <v>967</v>
      </c>
      <c r="G3759" s="86" t="s">
        <v>966</v>
      </c>
      <c r="H3759" s="143">
        <v>62</v>
      </c>
      <c r="I3759" s="86" t="s">
        <v>408</v>
      </c>
      <c r="J3759" s="1" t="s">
        <v>3324</v>
      </c>
      <c r="K3759" s="1" t="s">
        <v>3278</v>
      </c>
      <c r="L3759" s="1" t="s">
        <v>35</v>
      </c>
      <c r="M3759" s="86" t="s">
        <v>968</v>
      </c>
      <c r="N3759" s="86"/>
      <c r="O3759" s="47" t="s">
        <v>410</v>
      </c>
      <c r="P3759" s="47" t="s">
        <v>46</v>
      </c>
      <c r="Q3759" s="14">
        <v>0.05</v>
      </c>
      <c r="R3759" s="143">
        <v>1000025983</v>
      </c>
      <c r="S3759" s="47"/>
      <c r="T3759" s="6">
        <v>30</v>
      </c>
      <c r="U3759" s="6"/>
      <c r="V3759" s="6">
        <v>0</v>
      </c>
      <c r="W3759" s="6">
        <f t="shared" si="584"/>
        <v>30</v>
      </c>
      <c r="X3759" s="6">
        <f t="shared" si="585"/>
        <v>0</v>
      </c>
      <c r="Y3759" s="13">
        <f t="shared" si="577"/>
        <v>0</v>
      </c>
      <c r="Z3759" s="14">
        <v>0</v>
      </c>
      <c r="AA3759" s="6">
        <v>0</v>
      </c>
      <c r="AB3759" s="4">
        <f t="shared" si="578"/>
        <v>0</v>
      </c>
      <c r="AC3759" s="4">
        <f t="shared" si="580"/>
        <v>0</v>
      </c>
      <c r="AD3759" s="6">
        <f t="shared" si="582"/>
        <v>0</v>
      </c>
      <c r="AE3759" s="2">
        <f>VLOOKUP(I3759,[1]媒体政策预估表!A:N,MATCH(O3759,[1]媒体政策预估表!$A$2:$M$2,0),0)</f>
        <v>7.0000000000000007E-2</v>
      </c>
      <c r="AF3759" s="6">
        <f t="shared" si="581"/>
        <v>0</v>
      </c>
      <c r="AG3759" s="14">
        <v>0</v>
      </c>
      <c r="AH3759" s="64">
        <f t="shared" si="583"/>
        <v>0</v>
      </c>
      <c r="AI3759" s="47"/>
      <c r="AJ3759" s="126" t="e">
        <v>#N/A</v>
      </c>
      <c r="AK3759" s="80">
        <f t="shared" si="579"/>
        <v>0</v>
      </c>
      <c r="AM3759" s="85"/>
    </row>
    <row r="3760" spans="1:39" hidden="1" x14ac:dyDescent="0.3">
      <c r="A3760" s="89" t="s">
        <v>3396</v>
      </c>
      <c r="B3760" s="86" t="s">
        <v>35</v>
      </c>
      <c r="C3760" s="86" t="s">
        <v>36</v>
      </c>
      <c r="D3760" s="86" t="s">
        <v>224</v>
      </c>
      <c r="E3760" s="86" t="s">
        <v>969</v>
      </c>
      <c r="F3760" s="86" t="s">
        <v>969</v>
      </c>
      <c r="G3760" s="86" t="s">
        <v>969</v>
      </c>
      <c r="H3760" s="143">
        <v>62</v>
      </c>
      <c r="I3760" s="86" t="s">
        <v>408</v>
      </c>
      <c r="J3760" s="1" t="s">
        <v>3324</v>
      </c>
      <c r="K3760" s="1" t="s">
        <v>3278</v>
      </c>
      <c r="L3760" s="1" t="s">
        <v>35</v>
      </c>
      <c r="M3760" s="86" t="s">
        <v>970</v>
      </c>
      <c r="N3760" s="86"/>
      <c r="O3760" s="47" t="s">
        <v>410</v>
      </c>
      <c r="P3760" s="47" t="s">
        <v>46</v>
      </c>
      <c r="Q3760" s="14">
        <v>0.02</v>
      </c>
      <c r="R3760" s="143">
        <v>1000019372</v>
      </c>
      <c r="S3760" s="47"/>
      <c r="T3760" s="6">
        <v>6124.3</v>
      </c>
      <c r="U3760" s="6"/>
      <c r="V3760" s="6">
        <v>0</v>
      </c>
      <c r="W3760" s="6">
        <f t="shared" si="584"/>
        <v>6124.3</v>
      </c>
      <c r="X3760" s="6">
        <f t="shared" si="585"/>
        <v>0</v>
      </c>
      <c r="Y3760" s="13">
        <f t="shared" si="577"/>
        <v>0</v>
      </c>
      <c r="Z3760" s="14">
        <v>0</v>
      </c>
      <c r="AA3760" s="6">
        <v>0</v>
      </c>
      <c r="AB3760" s="4">
        <f t="shared" si="578"/>
        <v>0</v>
      </c>
      <c r="AC3760" s="4">
        <f t="shared" si="580"/>
        <v>0</v>
      </c>
      <c r="AD3760" s="6">
        <f t="shared" si="582"/>
        <v>0</v>
      </c>
      <c r="AE3760" s="2">
        <f>VLOOKUP(I3760,[1]媒体政策预估表!A:N,MATCH(O3760,[1]媒体政策预估表!$A$2:$M$2,0),0)</f>
        <v>7.0000000000000007E-2</v>
      </c>
      <c r="AF3760" s="6">
        <f t="shared" si="581"/>
        <v>0</v>
      </c>
      <c r="AG3760" s="14">
        <v>0</v>
      </c>
      <c r="AH3760" s="64">
        <f t="shared" si="583"/>
        <v>0</v>
      </c>
      <c r="AI3760" s="47"/>
      <c r="AJ3760" s="126" t="e">
        <v>#N/A</v>
      </c>
      <c r="AK3760" s="80">
        <f t="shared" si="579"/>
        <v>0</v>
      </c>
      <c r="AM3760" s="85"/>
    </row>
    <row r="3761" spans="1:39" hidden="1" x14ac:dyDescent="0.3">
      <c r="A3761" s="89" t="s">
        <v>3396</v>
      </c>
      <c r="B3761" s="86" t="s">
        <v>35</v>
      </c>
      <c r="C3761" s="86" t="s">
        <v>36</v>
      </c>
      <c r="D3761" s="86" t="s">
        <v>224</v>
      </c>
      <c r="E3761" s="86" t="s">
        <v>971</v>
      </c>
      <c r="F3761" s="86" t="s">
        <v>971</v>
      </c>
      <c r="G3761" s="86" t="s">
        <v>971</v>
      </c>
      <c r="H3761" s="143">
        <v>62</v>
      </c>
      <c r="I3761" s="86" t="s">
        <v>408</v>
      </c>
      <c r="J3761" s="1" t="s">
        <v>3324</v>
      </c>
      <c r="K3761" s="1" t="s">
        <v>3278</v>
      </c>
      <c r="L3761" s="1" t="s">
        <v>35</v>
      </c>
      <c r="M3761" s="86" t="s">
        <v>972</v>
      </c>
      <c r="N3761" s="86"/>
      <c r="O3761" s="47" t="s">
        <v>410</v>
      </c>
      <c r="P3761" s="47" t="s">
        <v>46</v>
      </c>
      <c r="Q3761" s="14">
        <v>0.02</v>
      </c>
      <c r="R3761" s="143">
        <v>1000025586</v>
      </c>
      <c r="S3761" s="47"/>
      <c r="T3761" s="6">
        <v>4243.2</v>
      </c>
      <c r="U3761" s="6"/>
      <c r="V3761" s="6">
        <v>0</v>
      </c>
      <c r="W3761" s="6">
        <f t="shared" si="584"/>
        <v>4243.2</v>
      </c>
      <c r="X3761" s="6">
        <f t="shared" si="585"/>
        <v>0</v>
      </c>
      <c r="Y3761" s="13">
        <f t="shared" si="577"/>
        <v>0</v>
      </c>
      <c r="Z3761" s="14">
        <v>0</v>
      </c>
      <c r="AA3761" s="6">
        <v>0</v>
      </c>
      <c r="AB3761" s="4">
        <f t="shared" si="578"/>
        <v>0</v>
      </c>
      <c r="AC3761" s="4">
        <f t="shared" si="580"/>
        <v>0</v>
      </c>
      <c r="AD3761" s="6">
        <f t="shared" si="582"/>
        <v>0</v>
      </c>
      <c r="AE3761" s="2">
        <f>VLOOKUP(I3761,[1]媒体政策预估表!A:N,MATCH(O3761,[1]媒体政策预估表!$A$2:$M$2,0),0)</f>
        <v>7.0000000000000007E-2</v>
      </c>
      <c r="AF3761" s="6">
        <f t="shared" si="581"/>
        <v>0</v>
      </c>
      <c r="AG3761" s="14">
        <v>0</v>
      </c>
      <c r="AH3761" s="64">
        <f t="shared" si="583"/>
        <v>0</v>
      </c>
      <c r="AI3761" s="47"/>
      <c r="AJ3761" s="126" t="e">
        <v>#N/A</v>
      </c>
      <c r="AK3761" s="80">
        <f t="shared" si="579"/>
        <v>0</v>
      </c>
      <c r="AM3761" s="85"/>
    </row>
    <row r="3762" spans="1:39" hidden="1" x14ac:dyDescent="0.3">
      <c r="A3762" s="89" t="s">
        <v>3396</v>
      </c>
      <c r="B3762" s="86" t="s">
        <v>35</v>
      </c>
      <c r="C3762" s="86" t="s">
        <v>36</v>
      </c>
      <c r="D3762" s="86" t="s">
        <v>224</v>
      </c>
      <c r="E3762" s="86" t="s">
        <v>973</v>
      </c>
      <c r="F3762" s="86" t="s">
        <v>973</v>
      </c>
      <c r="G3762" s="86" t="s">
        <v>973</v>
      </c>
      <c r="H3762" s="143">
        <v>62</v>
      </c>
      <c r="I3762" s="86" t="s">
        <v>408</v>
      </c>
      <c r="J3762" s="1" t="s">
        <v>3324</v>
      </c>
      <c r="K3762" s="1" t="s">
        <v>3278</v>
      </c>
      <c r="L3762" s="1" t="s">
        <v>35</v>
      </c>
      <c r="M3762" s="86" t="s">
        <v>974</v>
      </c>
      <c r="N3762" s="86"/>
      <c r="O3762" s="47" t="s">
        <v>410</v>
      </c>
      <c r="P3762" s="47" t="s">
        <v>46</v>
      </c>
      <c r="Q3762" s="14">
        <v>0.04</v>
      </c>
      <c r="R3762" s="143">
        <v>1000023362</v>
      </c>
      <c r="S3762" s="47"/>
      <c r="T3762" s="6">
        <v>11743.3</v>
      </c>
      <c r="U3762" s="6"/>
      <c r="V3762" s="6">
        <v>0</v>
      </c>
      <c r="W3762" s="6">
        <f t="shared" si="584"/>
        <v>11743.3</v>
      </c>
      <c r="X3762" s="6">
        <f t="shared" si="585"/>
        <v>0</v>
      </c>
      <c r="Y3762" s="13">
        <f t="shared" si="577"/>
        <v>0</v>
      </c>
      <c r="Z3762" s="14">
        <v>0</v>
      </c>
      <c r="AA3762" s="6">
        <v>0</v>
      </c>
      <c r="AB3762" s="4">
        <f t="shared" si="578"/>
        <v>0</v>
      </c>
      <c r="AC3762" s="4">
        <f t="shared" si="580"/>
        <v>0</v>
      </c>
      <c r="AD3762" s="6">
        <f t="shared" si="582"/>
        <v>0</v>
      </c>
      <c r="AE3762" s="2">
        <f>VLOOKUP(I3762,[1]媒体政策预估表!A:N,MATCH(O3762,[1]媒体政策预估表!$A$2:$M$2,0),0)</f>
        <v>7.0000000000000007E-2</v>
      </c>
      <c r="AF3762" s="6">
        <f t="shared" si="581"/>
        <v>0</v>
      </c>
      <c r="AG3762" s="14">
        <v>0</v>
      </c>
      <c r="AH3762" s="64">
        <f t="shared" si="583"/>
        <v>0</v>
      </c>
      <c r="AI3762" s="47"/>
      <c r="AJ3762" s="126" t="e">
        <v>#N/A</v>
      </c>
      <c r="AK3762" s="80">
        <f t="shared" si="579"/>
        <v>0</v>
      </c>
      <c r="AM3762" s="85"/>
    </row>
    <row r="3763" spans="1:39" hidden="1" x14ac:dyDescent="0.3">
      <c r="A3763" s="89" t="s">
        <v>3396</v>
      </c>
      <c r="B3763" s="86" t="s">
        <v>35</v>
      </c>
      <c r="C3763" s="86" t="s">
        <v>36</v>
      </c>
      <c r="D3763" s="86" t="s">
        <v>224</v>
      </c>
      <c r="E3763" s="86" t="s">
        <v>975</v>
      </c>
      <c r="F3763" s="86" t="s">
        <v>975</v>
      </c>
      <c r="G3763" s="86" t="s">
        <v>975</v>
      </c>
      <c r="H3763" s="143">
        <v>62</v>
      </c>
      <c r="I3763" s="86" t="s">
        <v>408</v>
      </c>
      <c r="J3763" s="1" t="s">
        <v>3324</v>
      </c>
      <c r="K3763" s="1" t="s">
        <v>3278</v>
      </c>
      <c r="L3763" s="1" t="s">
        <v>35</v>
      </c>
      <c r="M3763" s="86" t="s">
        <v>976</v>
      </c>
      <c r="N3763" s="86"/>
      <c r="O3763" s="47" t="s">
        <v>410</v>
      </c>
      <c r="P3763" s="47" t="s">
        <v>46</v>
      </c>
      <c r="Q3763" s="14">
        <v>0.06</v>
      </c>
      <c r="R3763" s="143">
        <v>1000026161</v>
      </c>
      <c r="S3763" s="47"/>
      <c r="T3763" s="6">
        <v>4677.2</v>
      </c>
      <c r="U3763" s="6"/>
      <c r="V3763" s="6">
        <v>0</v>
      </c>
      <c r="W3763" s="6">
        <f t="shared" si="584"/>
        <v>4677.2</v>
      </c>
      <c r="X3763" s="6">
        <f t="shared" si="585"/>
        <v>0</v>
      </c>
      <c r="Y3763" s="13">
        <f t="shared" si="577"/>
        <v>0</v>
      </c>
      <c r="Z3763" s="14">
        <v>0</v>
      </c>
      <c r="AA3763" s="6">
        <v>0</v>
      </c>
      <c r="AB3763" s="4">
        <f t="shared" si="578"/>
        <v>0</v>
      </c>
      <c r="AC3763" s="4">
        <f t="shared" si="580"/>
        <v>0</v>
      </c>
      <c r="AD3763" s="6">
        <f t="shared" si="582"/>
        <v>0</v>
      </c>
      <c r="AE3763" s="2">
        <f>VLOOKUP(I3763,[1]媒体政策预估表!A:N,MATCH(O3763,[1]媒体政策预估表!$A$2:$M$2,0),0)</f>
        <v>7.0000000000000007E-2</v>
      </c>
      <c r="AF3763" s="6">
        <f t="shared" si="581"/>
        <v>0</v>
      </c>
      <c r="AG3763" s="14">
        <v>0</v>
      </c>
      <c r="AH3763" s="64">
        <f t="shared" si="583"/>
        <v>0</v>
      </c>
      <c r="AI3763" s="47"/>
      <c r="AJ3763" s="126" t="e">
        <v>#N/A</v>
      </c>
      <c r="AK3763" s="80">
        <f t="shared" si="579"/>
        <v>0</v>
      </c>
      <c r="AM3763" s="85"/>
    </row>
    <row r="3764" spans="1:39" hidden="1" x14ac:dyDescent="0.3">
      <c r="A3764" s="89" t="s">
        <v>3394</v>
      </c>
      <c r="B3764" s="86" t="s">
        <v>35</v>
      </c>
      <c r="C3764" s="86" t="s">
        <v>36</v>
      </c>
      <c r="D3764" s="86" t="s">
        <v>224</v>
      </c>
      <c r="E3764" s="86" t="s">
        <v>977</v>
      </c>
      <c r="F3764" s="86" t="s">
        <v>977</v>
      </c>
      <c r="G3764" s="86" t="s">
        <v>977</v>
      </c>
      <c r="H3764" s="143">
        <v>62</v>
      </c>
      <c r="I3764" s="86" t="s">
        <v>408</v>
      </c>
      <c r="J3764" s="1" t="s">
        <v>3324</v>
      </c>
      <c r="K3764" s="1" t="s">
        <v>3278</v>
      </c>
      <c r="L3764" s="1" t="s">
        <v>35</v>
      </c>
      <c r="M3764" s="86" t="s">
        <v>978</v>
      </c>
      <c r="N3764" s="86"/>
      <c r="O3764" s="47" t="s">
        <v>410</v>
      </c>
      <c r="P3764" s="47" t="s">
        <v>46</v>
      </c>
      <c r="Q3764" s="14">
        <v>0.02</v>
      </c>
      <c r="R3764" s="143">
        <v>1000041227</v>
      </c>
      <c r="S3764" s="47"/>
      <c r="T3764" s="6">
        <v>55301.7</v>
      </c>
      <c r="U3764" s="6"/>
      <c r="V3764" s="6">
        <v>0</v>
      </c>
      <c r="W3764" s="6">
        <f t="shared" si="584"/>
        <v>55301.7</v>
      </c>
      <c r="X3764" s="6">
        <f t="shared" si="585"/>
        <v>0</v>
      </c>
      <c r="Y3764" s="13">
        <f t="shared" si="577"/>
        <v>0</v>
      </c>
      <c r="Z3764" s="14">
        <v>0</v>
      </c>
      <c r="AA3764" s="6">
        <v>0</v>
      </c>
      <c r="AB3764" s="4">
        <f t="shared" si="578"/>
        <v>0</v>
      </c>
      <c r="AC3764" s="4">
        <f t="shared" si="580"/>
        <v>0</v>
      </c>
      <c r="AD3764" s="6">
        <f t="shared" si="582"/>
        <v>0</v>
      </c>
      <c r="AE3764" s="2">
        <f>VLOOKUP(I3764,[1]媒体政策预估表!A:N,MATCH(O3764,[1]媒体政策预估表!$A$2:$M$2,0),0)</f>
        <v>7.0000000000000007E-2</v>
      </c>
      <c r="AF3764" s="6">
        <f t="shared" si="581"/>
        <v>0</v>
      </c>
      <c r="AG3764" s="14">
        <v>0</v>
      </c>
      <c r="AH3764" s="64">
        <f t="shared" si="583"/>
        <v>0</v>
      </c>
      <c r="AI3764" s="47"/>
      <c r="AJ3764" s="126" t="e">
        <v>#N/A</v>
      </c>
      <c r="AK3764" s="80">
        <f t="shared" si="579"/>
        <v>0</v>
      </c>
      <c r="AM3764" s="85"/>
    </row>
    <row r="3765" spans="1:39" hidden="1" x14ac:dyDescent="0.3">
      <c r="A3765" s="89" t="s">
        <v>3396</v>
      </c>
      <c r="B3765" s="86" t="s">
        <v>35</v>
      </c>
      <c r="C3765" s="86" t="s">
        <v>36</v>
      </c>
      <c r="D3765" s="86" t="s">
        <v>320</v>
      </c>
      <c r="E3765" s="86" t="s">
        <v>979</v>
      </c>
      <c r="F3765" s="86" t="s">
        <v>979</v>
      </c>
      <c r="G3765" s="86" t="s">
        <v>979</v>
      </c>
      <c r="H3765" s="143">
        <v>62</v>
      </c>
      <c r="I3765" s="86" t="s">
        <v>408</v>
      </c>
      <c r="J3765" s="1" t="s">
        <v>3324</v>
      </c>
      <c r="K3765" s="1" t="s">
        <v>3278</v>
      </c>
      <c r="L3765" s="1" t="s">
        <v>35</v>
      </c>
      <c r="M3765" s="86" t="s">
        <v>980</v>
      </c>
      <c r="N3765" s="86"/>
      <c r="O3765" s="47" t="s">
        <v>45</v>
      </c>
      <c r="P3765" s="47" t="s">
        <v>46</v>
      </c>
      <c r="Q3765" s="14">
        <v>0.08</v>
      </c>
      <c r="R3765" s="143">
        <v>1000057639</v>
      </c>
      <c r="S3765" s="47"/>
      <c r="T3765" s="6">
        <v>2261.71</v>
      </c>
      <c r="U3765" s="6"/>
      <c r="V3765" s="6">
        <v>0</v>
      </c>
      <c r="W3765" s="6">
        <f t="shared" si="584"/>
        <v>2261.71</v>
      </c>
      <c r="X3765" s="6">
        <f t="shared" si="585"/>
        <v>0</v>
      </c>
      <c r="Y3765" s="13">
        <f t="shared" si="577"/>
        <v>0</v>
      </c>
      <c r="Z3765" s="14">
        <v>0</v>
      </c>
      <c r="AA3765" s="6">
        <v>0</v>
      </c>
      <c r="AB3765" s="4"/>
      <c r="AC3765" s="4">
        <f t="shared" si="580"/>
        <v>0</v>
      </c>
      <c r="AD3765" s="6">
        <f t="shared" si="582"/>
        <v>0</v>
      </c>
      <c r="AE3765" s="2">
        <f>VLOOKUP(I3765,[1]媒体政策预估表!A:N,MATCH(O3765,[1]媒体政策预估表!$A$2:$M$2,0),0)</f>
        <v>0.12</v>
      </c>
      <c r="AF3765" s="6">
        <f t="shared" si="581"/>
        <v>0</v>
      </c>
      <c r="AG3765" s="14">
        <v>0</v>
      </c>
      <c r="AH3765" s="64">
        <f t="shared" si="583"/>
        <v>0</v>
      </c>
      <c r="AI3765" s="47"/>
      <c r="AJ3765" s="126">
        <v>67</v>
      </c>
      <c r="AK3765" s="80">
        <f t="shared" si="579"/>
        <v>0</v>
      </c>
      <c r="AM3765" s="85"/>
    </row>
    <row r="3766" spans="1:39" hidden="1" x14ac:dyDescent="0.3">
      <c r="A3766" s="89" t="s">
        <v>3396</v>
      </c>
      <c r="B3766" s="86" t="s">
        <v>35</v>
      </c>
      <c r="C3766" s="86" t="s">
        <v>36</v>
      </c>
      <c r="D3766" s="86" t="s">
        <v>320</v>
      </c>
      <c r="E3766" s="86" t="s">
        <v>981</v>
      </c>
      <c r="F3766" s="86" t="s">
        <v>981</v>
      </c>
      <c r="G3766" s="86" t="s">
        <v>981</v>
      </c>
      <c r="H3766" s="143">
        <v>62</v>
      </c>
      <c r="I3766" s="86" t="s">
        <v>408</v>
      </c>
      <c r="J3766" s="1" t="s">
        <v>3324</v>
      </c>
      <c r="K3766" s="1" t="s">
        <v>3278</v>
      </c>
      <c r="L3766" s="1" t="s">
        <v>35</v>
      </c>
      <c r="M3766" s="86" t="s">
        <v>982</v>
      </c>
      <c r="N3766" s="86"/>
      <c r="O3766" s="47" t="s">
        <v>45</v>
      </c>
      <c r="P3766" s="47" t="s">
        <v>46</v>
      </c>
      <c r="Q3766" s="14">
        <v>0.15</v>
      </c>
      <c r="R3766" s="143">
        <v>1000041417</v>
      </c>
      <c r="S3766" s="47"/>
      <c r="T3766" s="6">
        <v>70.17</v>
      </c>
      <c r="U3766" s="6"/>
      <c r="V3766" s="6">
        <v>0</v>
      </c>
      <c r="W3766" s="6">
        <f t="shared" si="584"/>
        <v>70.17</v>
      </c>
      <c r="X3766" s="6">
        <f t="shared" si="585"/>
        <v>0</v>
      </c>
      <c r="Y3766" s="13">
        <f t="shared" si="577"/>
        <v>0</v>
      </c>
      <c r="Z3766" s="14">
        <v>0</v>
      </c>
      <c r="AA3766" s="6">
        <v>0</v>
      </c>
      <c r="AB3766" s="4"/>
      <c r="AC3766" s="4">
        <f t="shared" si="580"/>
        <v>0</v>
      </c>
      <c r="AD3766" s="6">
        <f t="shared" si="582"/>
        <v>0</v>
      </c>
      <c r="AE3766" s="2">
        <f>VLOOKUP(I3766,[1]媒体政策预估表!A:N,MATCH(O3766,[1]媒体政策预估表!$A$2:$M$2,0),0)</f>
        <v>0.12</v>
      </c>
      <c r="AF3766" s="6">
        <f t="shared" si="581"/>
        <v>0</v>
      </c>
      <c r="AG3766" s="14">
        <v>0</v>
      </c>
      <c r="AH3766" s="64">
        <f t="shared" si="583"/>
        <v>0</v>
      </c>
      <c r="AI3766" s="47"/>
      <c r="AJ3766" s="126">
        <v>6</v>
      </c>
      <c r="AK3766" s="80">
        <f t="shared" si="579"/>
        <v>0</v>
      </c>
      <c r="AM3766" s="85"/>
    </row>
    <row r="3767" spans="1:39" hidden="1" x14ac:dyDescent="0.3">
      <c r="A3767" s="89" t="s">
        <v>3396</v>
      </c>
      <c r="B3767" s="86" t="s">
        <v>35</v>
      </c>
      <c r="C3767" s="86" t="s">
        <v>36</v>
      </c>
      <c r="D3767" s="86" t="s">
        <v>320</v>
      </c>
      <c r="E3767" s="86" t="s">
        <v>983</v>
      </c>
      <c r="F3767" s="86" t="s">
        <v>983</v>
      </c>
      <c r="G3767" s="86" t="s">
        <v>983</v>
      </c>
      <c r="H3767" s="143">
        <v>62</v>
      </c>
      <c r="I3767" s="86" t="s">
        <v>408</v>
      </c>
      <c r="J3767" s="1" t="s">
        <v>3324</v>
      </c>
      <c r="K3767" s="1" t="s">
        <v>3278</v>
      </c>
      <c r="L3767" s="1" t="s">
        <v>35</v>
      </c>
      <c r="M3767" s="86" t="s">
        <v>984</v>
      </c>
      <c r="N3767" s="86"/>
      <c r="O3767" s="47" t="s">
        <v>410</v>
      </c>
      <c r="P3767" s="47" t="s">
        <v>46</v>
      </c>
      <c r="Q3767" s="14">
        <v>0.04</v>
      </c>
      <c r="R3767" s="143">
        <v>1000020485</v>
      </c>
      <c r="S3767" s="47"/>
      <c r="T3767" s="6">
        <v>22667.23</v>
      </c>
      <c r="U3767" s="6"/>
      <c r="V3767" s="6">
        <v>0</v>
      </c>
      <c r="W3767" s="6">
        <f t="shared" si="584"/>
        <v>22667.23</v>
      </c>
      <c r="X3767" s="6">
        <f t="shared" si="585"/>
        <v>0</v>
      </c>
      <c r="Y3767" s="13">
        <f t="shared" si="577"/>
        <v>0</v>
      </c>
      <c r="Z3767" s="14">
        <v>0</v>
      </c>
      <c r="AA3767" s="6">
        <v>0</v>
      </c>
      <c r="AB3767" s="4">
        <f t="shared" si="578"/>
        <v>0</v>
      </c>
      <c r="AC3767" s="4">
        <f t="shared" si="580"/>
        <v>0</v>
      </c>
      <c r="AD3767" s="6">
        <f t="shared" si="582"/>
        <v>0</v>
      </c>
      <c r="AE3767" s="2">
        <f>VLOOKUP(I3767,[1]媒体政策预估表!A:N,MATCH(O3767,[1]媒体政策预估表!$A$2:$M$2,0),0)</f>
        <v>7.0000000000000007E-2</v>
      </c>
      <c r="AF3767" s="6">
        <f t="shared" si="581"/>
        <v>0</v>
      </c>
      <c r="AG3767" s="14">
        <v>0</v>
      </c>
      <c r="AH3767" s="64">
        <f t="shared" si="583"/>
        <v>0</v>
      </c>
      <c r="AI3767" s="47"/>
      <c r="AJ3767" s="126" t="e">
        <v>#N/A</v>
      </c>
      <c r="AK3767" s="80">
        <f t="shared" si="579"/>
        <v>0</v>
      </c>
      <c r="AM3767" s="85"/>
    </row>
    <row r="3768" spans="1:39" hidden="1" x14ac:dyDescent="0.3">
      <c r="A3768" s="89" t="s">
        <v>3396</v>
      </c>
      <c r="B3768" s="86" t="s">
        <v>35</v>
      </c>
      <c r="C3768" s="86" t="s">
        <v>36</v>
      </c>
      <c r="D3768" s="86" t="s">
        <v>985</v>
      </c>
      <c r="E3768" s="86" t="s">
        <v>986</v>
      </c>
      <c r="F3768" s="86" t="s">
        <v>986</v>
      </c>
      <c r="G3768" s="86" t="s">
        <v>986</v>
      </c>
      <c r="H3768" s="143">
        <v>62</v>
      </c>
      <c r="I3768" s="86" t="s">
        <v>408</v>
      </c>
      <c r="J3768" s="1" t="s">
        <v>3324</v>
      </c>
      <c r="K3768" s="1" t="s">
        <v>3278</v>
      </c>
      <c r="L3768" s="1" t="s">
        <v>35</v>
      </c>
      <c r="M3768" s="86" t="s">
        <v>987</v>
      </c>
      <c r="N3768" s="86"/>
      <c r="O3768" s="47" t="s">
        <v>410</v>
      </c>
      <c r="P3768" s="47" t="s">
        <v>46</v>
      </c>
      <c r="Q3768" s="14">
        <v>0.04</v>
      </c>
      <c r="R3768" s="143">
        <v>1000026359</v>
      </c>
      <c r="S3768" s="47"/>
      <c r="T3768" s="6">
        <v>3016.8</v>
      </c>
      <c r="U3768" s="6"/>
      <c r="V3768" s="6">
        <v>0</v>
      </c>
      <c r="W3768" s="6">
        <f t="shared" si="584"/>
        <v>3016.8</v>
      </c>
      <c r="X3768" s="6">
        <f t="shared" si="585"/>
        <v>0</v>
      </c>
      <c r="Y3768" s="13">
        <f t="shared" si="577"/>
        <v>0</v>
      </c>
      <c r="Z3768" s="14">
        <v>0</v>
      </c>
      <c r="AA3768" s="6">
        <v>0</v>
      </c>
      <c r="AB3768" s="4">
        <f t="shared" si="578"/>
        <v>0</v>
      </c>
      <c r="AC3768" s="4">
        <f t="shared" si="580"/>
        <v>0</v>
      </c>
      <c r="AD3768" s="6">
        <f t="shared" si="582"/>
        <v>0</v>
      </c>
      <c r="AE3768" s="2">
        <f>VLOOKUP(I3768,[1]媒体政策预估表!A:N,MATCH(O3768,[1]媒体政策预估表!$A$2:$M$2,0),0)</f>
        <v>7.0000000000000007E-2</v>
      </c>
      <c r="AF3768" s="6">
        <f t="shared" si="581"/>
        <v>0</v>
      </c>
      <c r="AG3768" s="14">
        <v>0</v>
      </c>
      <c r="AH3768" s="64">
        <f t="shared" si="583"/>
        <v>0</v>
      </c>
      <c r="AI3768" s="47"/>
      <c r="AJ3768" s="126" t="e">
        <v>#N/A</v>
      </c>
      <c r="AK3768" s="80">
        <f t="shared" si="579"/>
        <v>0</v>
      </c>
      <c r="AM3768" s="85"/>
    </row>
    <row r="3769" spans="1:39" hidden="1" x14ac:dyDescent="0.3">
      <c r="A3769" s="89" t="s">
        <v>3396</v>
      </c>
      <c r="B3769" s="86" t="s">
        <v>35</v>
      </c>
      <c r="C3769" s="86" t="s">
        <v>36</v>
      </c>
      <c r="D3769" s="86" t="s">
        <v>985</v>
      </c>
      <c r="E3769" s="86" t="s">
        <v>988</v>
      </c>
      <c r="F3769" s="86" t="s">
        <v>988</v>
      </c>
      <c r="G3769" s="86" t="s">
        <v>988</v>
      </c>
      <c r="H3769" s="143">
        <v>62</v>
      </c>
      <c r="I3769" s="86" t="s">
        <v>408</v>
      </c>
      <c r="J3769" s="1" t="s">
        <v>3324</v>
      </c>
      <c r="K3769" s="1" t="s">
        <v>3278</v>
      </c>
      <c r="L3769" s="1" t="s">
        <v>35</v>
      </c>
      <c r="M3769" s="86" t="s">
        <v>989</v>
      </c>
      <c r="N3769" s="86"/>
      <c r="O3769" s="47" t="s">
        <v>45</v>
      </c>
      <c r="P3769" s="47" t="s">
        <v>46</v>
      </c>
      <c r="Q3769" s="14">
        <v>0.1</v>
      </c>
      <c r="R3769" s="143">
        <v>1000024233</v>
      </c>
      <c r="S3769" s="47"/>
      <c r="T3769" s="6">
        <v>396.2</v>
      </c>
      <c r="U3769" s="6"/>
      <c r="V3769" s="6">
        <v>0</v>
      </c>
      <c r="W3769" s="6">
        <f t="shared" si="584"/>
        <v>396.2</v>
      </c>
      <c r="X3769" s="6">
        <f t="shared" si="585"/>
        <v>0</v>
      </c>
      <c r="Y3769" s="13">
        <f t="shared" si="577"/>
        <v>0</v>
      </c>
      <c r="Z3769" s="14">
        <v>0</v>
      </c>
      <c r="AA3769" s="6">
        <v>0</v>
      </c>
      <c r="AB3769" s="4">
        <f t="shared" si="578"/>
        <v>0</v>
      </c>
      <c r="AC3769" s="4">
        <f t="shared" si="580"/>
        <v>0</v>
      </c>
      <c r="AD3769" s="6">
        <f t="shared" si="582"/>
        <v>0</v>
      </c>
      <c r="AE3769" s="2">
        <f>VLOOKUP(I3769,[1]媒体政策预估表!A:N,MATCH(O3769,[1]媒体政策预估表!$A$2:$M$2,0),0)</f>
        <v>0.12</v>
      </c>
      <c r="AF3769" s="6">
        <f t="shared" si="581"/>
        <v>0</v>
      </c>
      <c r="AG3769" s="14">
        <v>0</v>
      </c>
      <c r="AH3769" s="64">
        <f t="shared" si="583"/>
        <v>0</v>
      </c>
      <c r="AI3769" s="47"/>
      <c r="AJ3769" s="126" t="e">
        <v>#N/A</v>
      </c>
      <c r="AK3769" s="80">
        <f t="shared" si="579"/>
        <v>0</v>
      </c>
      <c r="AM3769" s="85"/>
    </row>
    <row r="3770" spans="1:39" hidden="1" x14ac:dyDescent="0.3">
      <c r="A3770" s="89" t="s">
        <v>3396</v>
      </c>
      <c r="B3770" s="86" t="s">
        <v>35</v>
      </c>
      <c r="C3770" s="86" t="s">
        <v>36</v>
      </c>
      <c r="D3770" s="86" t="s">
        <v>54</v>
      </c>
      <c r="E3770" s="86" t="s">
        <v>990</v>
      </c>
      <c r="F3770" s="86" t="s">
        <v>990</v>
      </c>
      <c r="G3770" s="86" t="s">
        <v>990</v>
      </c>
      <c r="H3770" s="143">
        <v>62</v>
      </c>
      <c r="I3770" s="86" t="s">
        <v>408</v>
      </c>
      <c r="J3770" s="1" t="s">
        <v>3324</v>
      </c>
      <c r="K3770" s="1" t="s">
        <v>3278</v>
      </c>
      <c r="L3770" s="1" t="s">
        <v>35</v>
      </c>
      <c r="M3770" s="86" t="s">
        <v>991</v>
      </c>
      <c r="N3770" s="86"/>
      <c r="O3770" s="47" t="s">
        <v>45</v>
      </c>
      <c r="P3770" s="47" t="s">
        <v>46</v>
      </c>
      <c r="Q3770" s="14">
        <v>0.08</v>
      </c>
      <c r="R3770" s="143">
        <v>1000057780</v>
      </c>
      <c r="S3770" s="47"/>
      <c r="T3770" s="6">
        <v>127.88</v>
      </c>
      <c r="U3770" s="6"/>
      <c r="V3770" s="6">
        <v>0</v>
      </c>
      <c r="W3770" s="6">
        <f t="shared" si="584"/>
        <v>127.88</v>
      </c>
      <c r="X3770" s="6">
        <f t="shared" si="585"/>
        <v>0</v>
      </c>
      <c r="Y3770" s="13">
        <f t="shared" si="577"/>
        <v>0</v>
      </c>
      <c r="Z3770" s="14">
        <v>0</v>
      </c>
      <c r="AA3770" s="6">
        <v>0</v>
      </c>
      <c r="AB3770" s="4"/>
      <c r="AC3770" s="4">
        <f t="shared" si="580"/>
        <v>0</v>
      </c>
      <c r="AD3770" s="6">
        <f t="shared" si="582"/>
        <v>0</v>
      </c>
      <c r="AE3770" s="2">
        <f>VLOOKUP(I3770,[1]媒体政策预估表!A:N,MATCH(O3770,[1]媒体政策预估表!$A$2:$M$2,0),0)</f>
        <v>0.12</v>
      </c>
      <c r="AF3770" s="6">
        <f t="shared" si="581"/>
        <v>0</v>
      </c>
      <c r="AG3770" s="14">
        <v>0</v>
      </c>
      <c r="AH3770" s="64">
        <f t="shared" si="583"/>
        <v>0</v>
      </c>
      <c r="AI3770" s="47"/>
      <c r="AJ3770" s="126">
        <v>59</v>
      </c>
      <c r="AK3770" s="80">
        <f t="shared" si="579"/>
        <v>0</v>
      </c>
      <c r="AM3770" s="85"/>
    </row>
    <row r="3771" spans="1:39" hidden="1" x14ac:dyDescent="0.3">
      <c r="A3771" s="89" t="s">
        <v>3396</v>
      </c>
      <c r="B3771" s="86" t="s">
        <v>35</v>
      </c>
      <c r="C3771" s="86" t="s">
        <v>36</v>
      </c>
      <c r="D3771" s="86" t="s">
        <v>54</v>
      </c>
      <c r="E3771" s="86" t="s">
        <v>992</v>
      </c>
      <c r="F3771" s="86" t="s">
        <v>992</v>
      </c>
      <c r="G3771" s="86" t="s">
        <v>992</v>
      </c>
      <c r="H3771" s="143">
        <v>62</v>
      </c>
      <c r="I3771" s="86" t="s">
        <v>408</v>
      </c>
      <c r="J3771" s="1" t="s">
        <v>3324</v>
      </c>
      <c r="K3771" s="1" t="s">
        <v>3278</v>
      </c>
      <c r="L3771" s="1" t="s">
        <v>35</v>
      </c>
      <c r="M3771" s="86" t="s">
        <v>993</v>
      </c>
      <c r="N3771" s="86"/>
      <c r="O3771" s="47" t="s">
        <v>45</v>
      </c>
      <c r="P3771" s="47" t="s">
        <v>46</v>
      </c>
      <c r="Q3771" s="14">
        <v>0.14000000000000001</v>
      </c>
      <c r="R3771" s="143">
        <v>1000020986</v>
      </c>
      <c r="S3771" s="47"/>
      <c r="T3771" s="6">
        <v>1615.52</v>
      </c>
      <c r="U3771" s="6"/>
      <c r="V3771" s="6">
        <v>0</v>
      </c>
      <c r="W3771" s="6">
        <f t="shared" si="584"/>
        <v>1615.52</v>
      </c>
      <c r="X3771" s="6">
        <f t="shared" si="585"/>
        <v>0</v>
      </c>
      <c r="Y3771" s="13">
        <f t="shared" si="577"/>
        <v>0</v>
      </c>
      <c r="Z3771" s="14">
        <v>0</v>
      </c>
      <c r="AA3771" s="6">
        <v>0</v>
      </c>
      <c r="AB3771" s="4">
        <f t="shared" si="578"/>
        <v>0</v>
      </c>
      <c r="AC3771" s="4">
        <f t="shared" si="580"/>
        <v>0</v>
      </c>
      <c r="AD3771" s="6">
        <f t="shared" si="582"/>
        <v>0</v>
      </c>
      <c r="AE3771" s="2">
        <f>VLOOKUP(I3771,[1]媒体政策预估表!A:N,MATCH(O3771,[1]媒体政策预估表!$A$2:$M$2,0),0)</f>
        <v>0.12</v>
      </c>
      <c r="AF3771" s="6">
        <f t="shared" si="581"/>
        <v>0</v>
      </c>
      <c r="AG3771" s="14">
        <v>0</v>
      </c>
      <c r="AH3771" s="64">
        <f t="shared" si="583"/>
        <v>0</v>
      </c>
      <c r="AI3771" s="47"/>
      <c r="AJ3771" s="126" t="e">
        <v>#N/A</v>
      </c>
      <c r="AK3771" s="80">
        <f t="shared" si="579"/>
        <v>0</v>
      </c>
      <c r="AM3771" s="85"/>
    </row>
    <row r="3772" spans="1:39" hidden="1" x14ac:dyDescent="0.3">
      <c r="A3772" s="89" t="s">
        <v>3396</v>
      </c>
      <c r="B3772" s="86" t="s">
        <v>35</v>
      </c>
      <c r="C3772" s="86" t="s">
        <v>36</v>
      </c>
      <c r="D3772" s="86" t="s">
        <v>54</v>
      </c>
      <c r="E3772" s="86" t="s">
        <v>992</v>
      </c>
      <c r="F3772" s="86" t="s">
        <v>992</v>
      </c>
      <c r="G3772" s="86" t="s">
        <v>992</v>
      </c>
      <c r="H3772" s="143">
        <v>62</v>
      </c>
      <c r="I3772" s="86" t="s">
        <v>408</v>
      </c>
      <c r="J3772" s="1" t="s">
        <v>3324</v>
      </c>
      <c r="K3772" s="1" t="s">
        <v>3278</v>
      </c>
      <c r="L3772" s="1" t="s">
        <v>35</v>
      </c>
      <c r="M3772" s="86" t="s">
        <v>994</v>
      </c>
      <c r="N3772" s="86"/>
      <c r="O3772" s="47" t="s">
        <v>45</v>
      </c>
      <c r="P3772" s="47" t="s">
        <v>46</v>
      </c>
      <c r="Q3772" s="14">
        <v>0.14000000000000001</v>
      </c>
      <c r="R3772" s="143">
        <v>1000019214</v>
      </c>
      <c r="S3772" s="47"/>
      <c r="T3772" s="6">
        <v>160.54</v>
      </c>
      <c r="U3772" s="6"/>
      <c r="V3772" s="6">
        <v>0</v>
      </c>
      <c r="W3772" s="6">
        <f t="shared" si="584"/>
        <v>160.54</v>
      </c>
      <c r="X3772" s="6">
        <f t="shared" si="585"/>
        <v>0</v>
      </c>
      <c r="Y3772" s="13">
        <f t="shared" si="577"/>
        <v>0</v>
      </c>
      <c r="Z3772" s="14">
        <v>0</v>
      </c>
      <c r="AA3772" s="6">
        <v>0</v>
      </c>
      <c r="AB3772" s="4">
        <f t="shared" si="578"/>
        <v>0</v>
      </c>
      <c r="AC3772" s="4">
        <f t="shared" si="580"/>
        <v>0</v>
      </c>
      <c r="AD3772" s="6">
        <f t="shared" si="582"/>
        <v>0</v>
      </c>
      <c r="AE3772" s="2">
        <f>VLOOKUP(I3772,[1]媒体政策预估表!A:N,MATCH(O3772,[1]媒体政策预估表!$A$2:$M$2,0),0)</f>
        <v>0.12</v>
      </c>
      <c r="AF3772" s="6">
        <f t="shared" si="581"/>
        <v>0</v>
      </c>
      <c r="AG3772" s="14">
        <v>0</v>
      </c>
      <c r="AH3772" s="64">
        <f t="shared" si="583"/>
        <v>0</v>
      </c>
      <c r="AI3772" s="47"/>
      <c r="AJ3772" s="126" t="e">
        <v>#N/A</v>
      </c>
      <c r="AK3772" s="80">
        <f t="shared" si="579"/>
        <v>0</v>
      </c>
      <c r="AM3772" s="85"/>
    </row>
    <row r="3773" spans="1:39" hidden="1" x14ac:dyDescent="0.3">
      <c r="A3773" s="89" t="s">
        <v>3396</v>
      </c>
      <c r="B3773" s="86" t="s">
        <v>35</v>
      </c>
      <c r="C3773" s="86" t="s">
        <v>36</v>
      </c>
      <c r="D3773" s="86" t="s">
        <v>54</v>
      </c>
      <c r="E3773" s="86" t="s">
        <v>992</v>
      </c>
      <c r="F3773" s="86" t="s">
        <v>992</v>
      </c>
      <c r="G3773" s="86" t="s">
        <v>992</v>
      </c>
      <c r="H3773" s="143">
        <v>62</v>
      </c>
      <c r="I3773" s="86" t="s">
        <v>408</v>
      </c>
      <c r="J3773" s="1" t="s">
        <v>3324</v>
      </c>
      <c r="K3773" s="1" t="s">
        <v>3278</v>
      </c>
      <c r="L3773" s="1" t="s">
        <v>35</v>
      </c>
      <c r="M3773" s="86" t="s">
        <v>995</v>
      </c>
      <c r="N3773" s="86"/>
      <c r="O3773" s="47" t="s">
        <v>45</v>
      </c>
      <c r="P3773" s="47" t="s">
        <v>46</v>
      </c>
      <c r="Q3773" s="14">
        <v>0.14000000000000001</v>
      </c>
      <c r="R3773" s="143">
        <v>1000019213</v>
      </c>
      <c r="S3773" s="47"/>
      <c r="T3773" s="6">
        <v>5.08</v>
      </c>
      <c r="U3773" s="6"/>
      <c r="V3773" s="6">
        <v>0</v>
      </c>
      <c r="W3773" s="6">
        <f t="shared" si="584"/>
        <v>5.08</v>
      </c>
      <c r="X3773" s="6">
        <f t="shared" si="585"/>
        <v>0</v>
      </c>
      <c r="Y3773" s="13">
        <f t="shared" si="577"/>
        <v>0</v>
      </c>
      <c r="Z3773" s="14">
        <v>0</v>
      </c>
      <c r="AA3773" s="6">
        <v>0</v>
      </c>
      <c r="AB3773" s="4">
        <f t="shared" si="578"/>
        <v>0</v>
      </c>
      <c r="AC3773" s="4">
        <f t="shared" si="580"/>
        <v>0</v>
      </c>
      <c r="AD3773" s="6">
        <f t="shared" si="582"/>
        <v>0</v>
      </c>
      <c r="AE3773" s="2">
        <f>VLOOKUP(I3773,[1]媒体政策预估表!A:N,MATCH(O3773,[1]媒体政策预估表!$A$2:$M$2,0),0)</f>
        <v>0.12</v>
      </c>
      <c r="AF3773" s="6">
        <f t="shared" si="581"/>
        <v>0</v>
      </c>
      <c r="AG3773" s="14">
        <v>0</v>
      </c>
      <c r="AH3773" s="64">
        <f t="shared" si="583"/>
        <v>0</v>
      </c>
      <c r="AI3773" s="47"/>
      <c r="AJ3773" s="126" t="e">
        <v>#N/A</v>
      </c>
      <c r="AK3773" s="80">
        <f t="shared" si="579"/>
        <v>0</v>
      </c>
      <c r="AM3773" s="85"/>
    </row>
    <row r="3774" spans="1:39" hidden="1" x14ac:dyDescent="0.3">
      <c r="A3774" s="89" t="s">
        <v>3396</v>
      </c>
      <c r="B3774" s="86" t="s">
        <v>35</v>
      </c>
      <c r="C3774" s="86" t="s">
        <v>36</v>
      </c>
      <c r="D3774" s="86" t="s">
        <v>54</v>
      </c>
      <c r="E3774" s="86" t="s">
        <v>996</v>
      </c>
      <c r="F3774" s="86" t="s">
        <v>996</v>
      </c>
      <c r="G3774" s="86" t="s">
        <v>996</v>
      </c>
      <c r="H3774" s="143">
        <v>62</v>
      </c>
      <c r="I3774" s="86" t="s">
        <v>408</v>
      </c>
      <c r="J3774" s="1" t="s">
        <v>3324</v>
      </c>
      <c r="K3774" s="1" t="s">
        <v>3278</v>
      </c>
      <c r="L3774" s="1" t="s">
        <v>35</v>
      </c>
      <c r="M3774" s="86" t="s">
        <v>997</v>
      </c>
      <c r="N3774" s="86"/>
      <c r="O3774" s="47" t="s">
        <v>45</v>
      </c>
      <c r="P3774" s="47" t="s">
        <v>46</v>
      </c>
      <c r="Q3774" s="14">
        <v>0.14000000000000001</v>
      </c>
      <c r="R3774" s="143">
        <v>1000019732</v>
      </c>
      <c r="S3774" s="47"/>
      <c r="T3774" s="6">
        <v>580.39</v>
      </c>
      <c r="U3774" s="6"/>
      <c r="V3774" s="6">
        <v>0</v>
      </c>
      <c r="W3774" s="6">
        <f t="shared" si="584"/>
        <v>580.39</v>
      </c>
      <c r="X3774" s="6">
        <f t="shared" si="585"/>
        <v>0</v>
      </c>
      <c r="Y3774" s="13">
        <f t="shared" si="577"/>
        <v>0</v>
      </c>
      <c r="Z3774" s="14">
        <v>0</v>
      </c>
      <c r="AA3774" s="6">
        <v>0</v>
      </c>
      <c r="AB3774" s="4">
        <f t="shared" si="578"/>
        <v>0</v>
      </c>
      <c r="AC3774" s="4">
        <f t="shared" si="580"/>
        <v>0</v>
      </c>
      <c r="AD3774" s="6">
        <f t="shared" si="582"/>
        <v>0</v>
      </c>
      <c r="AE3774" s="2">
        <f>VLOOKUP(I3774,[1]媒体政策预估表!A:N,MATCH(O3774,[1]媒体政策预估表!$A$2:$M$2,0),0)</f>
        <v>0.12</v>
      </c>
      <c r="AF3774" s="6">
        <f t="shared" si="581"/>
        <v>0</v>
      </c>
      <c r="AG3774" s="14">
        <v>0</v>
      </c>
      <c r="AH3774" s="64">
        <f t="shared" si="583"/>
        <v>0</v>
      </c>
      <c r="AI3774" s="47"/>
      <c r="AJ3774" s="126" t="e">
        <v>#N/A</v>
      </c>
      <c r="AK3774" s="80">
        <f t="shared" si="579"/>
        <v>0</v>
      </c>
      <c r="AM3774" s="85"/>
    </row>
    <row r="3775" spans="1:39" hidden="1" x14ac:dyDescent="0.3">
      <c r="A3775" s="89" t="s">
        <v>3396</v>
      </c>
      <c r="B3775" s="86" t="s">
        <v>35</v>
      </c>
      <c r="C3775" s="86" t="s">
        <v>36</v>
      </c>
      <c r="D3775" s="86" t="s">
        <v>54</v>
      </c>
      <c r="E3775" s="86" t="s">
        <v>996</v>
      </c>
      <c r="F3775" s="86" t="s">
        <v>996</v>
      </c>
      <c r="G3775" s="86" t="s">
        <v>996</v>
      </c>
      <c r="H3775" s="143">
        <v>62</v>
      </c>
      <c r="I3775" s="86" t="s">
        <v>408</v>
      </c>
      <c r="J3775" s="1" t="s">
        <v>3324</v>
      </c>
      <c r="K3775" s="1" t="s">
        <v>3278</v>
      </c>
      <c r="L3775" s="1" t="s">
        <v>35</v>
      </c>
      <c r="M3775" s="86" t="s">
        <v>998</v>
      </c>
      <c r="N3775" s="86"/>
      <c r="O3775" s="47" t="s">
        <v>45</v>
      </c>
      <c r="P3775" s="47" t="s">
        <v>46</v>
      </c>
      <c r="Q3775" s="14">
        <v>0.14000000000000001</v>
      </c>
      <c r="R3775" s="143">
        <v>1000015674</v>
      </c>
      <c r="S3775" s="47"/>
      <c r="T3775" s="6">
        <v>172.33</v>
      </c>
      <c r="U3775" s="6"/>
      <c r="V3775" s="6">
        <v>0</v>
      </c>
      <c r="W3775" s="6">
        <f t="shared" si="584"/>
        <v>172.33</v>
      </c>
      <c r="X3775" s="6">
        <f t="shared" si="585"/>
        <v>0</v>
      </c>
      <c r="Y3775" s="13">
        <f t="shared" si="577"/>
        <v>0</v>
      </c>
      <c r="Z3775" s="14">
        <v>0</v>
      </c>
      <c r="AA3775" s="6">
        <v>0</v>
      </c>
      <c r="AB3775" s="4">
        <f t="shared" si="578"/>
        <v>0</v>
      </c>
      <c r="AC3775" s="4">
        <f t="shared" si="580"/>
        <v>0</v>
      </c>
      <c r="AD3775" s="6">
        <f t="shared" si="582"/>
        <v>0</v>
      </c>
      <c r="AE3775" s="2">
        <f>VLOOKUP(I3775,[1]媒体政策预估表!A:N,MATCH(O3775,[1]媒体政策预估表!$A$2:$M$2,0),0)</f>
        <v>0.12</v>
      </c>
      <c r="AF3775" s="6">
        <f t="shared" si="581"/>
        <v>0</v>
      </c>
      <c r="AG3775" s="14">
        <v>0</v>
      </c>
      <c r="AH3775" s="64">
        <f t="shared" si="583"/>
        <v>0</v>
      </c>
      <c r="AI3775" s="47"/>
      <c r="AJ3775" s="126" t="e">
        <v>#N/A</v>
      </c>
      <c r="AK3775" s="80">
        <f t="shared" si="579"/>
        <v>0</v>
      </c>
      <c r="AM3775" s="85"/>
    </row>
    <row r="3776" spans="1:39" hidden="1" x14ac:dyDescent="0.3">
      <c r="A3776" s="89" t="s">
        <v>3396</v>
      </c>
      <c r="B3776" s="86" t="s">
        <v>35</v>
      </c>
      <c r="C3776" s="86" t="s">
        <v>36</v>
      </c>
      <c r="D3776" s="86" t="s">
        <v>54</v>
      </c>
      <c r="E3776" s="86" t="s">
        <v>996</v>
      </c>
      <c r="F3776" s="86" t="s">
        <v>996</v>
      </c>
      <c r="G3776" s="86" t="s">
        <v>996</v>
      </c>
      <c r="H3776" s="143">
        <v>62</v>
      </c>
      <c r="I3776" s="86" t="s">
        <v>408</v>
      </c>
      <c r="J3776" s="1" t="s">
        <v>3324</v>
      </c>
      <c r="K3776" s="1" t="s">
        <v>3278</v>
      </c>
      <c r="L3776" s="1" t="s">
        <v>35</v>
      </c>
      <c r="M3776" s="86" t="s">
        <v>999</v>
      </c>
      <c r="N3776" s="86"/>
      <c r="O3776" s="47" t="s">
        <v>45</v>
      </c>
      <c r="P3776" s="47" t="s">
        <v>46</v>
      </c>
      <c r="Q3776" s="14">
        <v>0.14000000000000001</v>
      </c>
      <c r="R3776" s="143">
        <v>1000015721</v>
      </c>
      <c r="S3776" s="47"/>
      <c r="T3776" s="6">
        <v>68.290000000000006</v>
      </c>
      <c r="U3776" s="6"/>
      <c r="V3776" s="6">
        <v>0</v>
      </c>
      <c r="W3776" s="6">
        <f t="shared" si="584"/>
        <v>68.290000000000006</v>
      </c>
      <c r="X3776" s="6">
        <f t="shared" si="585"/>
        <v>0</v>
      </c>
      <c r="Y3776" s="13">
        <f t="shared" si="577"/>
        <v>0</v>
      </c>
      <c r="Z3776" s="14">
        <v>0</v>
      </c>
      <c r="AA3776" s="6">
        <v>0</v>
      </c>
      <c r="AB3776" s="4">
        <f t="shared" si="578"/>
        <v>0</v>
      </c>
      <c r="AC3776" s="4">
        <f t="shared" si="580"/>
        <v>0</v>
      </c>
      <c r="AD3776" s="6">
        <f t="shared" si="582"/>
        <v>0</v>
      </c>
      <c r="AE3776" s="2">
        <f>VLOOKUP(I3776,[1]媒体政策预估表!A:N,MATCH(O3776,[1]媒体政策预估表!$A$2:$M$2,0),0)</f>
        <v>0.12</v>
      </c>
      <c r="AF3776" s="6">
        <f t="shared" si="581"/>
        <v>0</v>
      </c>
      <c r="AG3776" s="14">
        <v>0</v>
      </c>
      <c r="AH3776" s="64">
        <f t="shared" si="583"/>
        <v>0</v>
      </c>
      <c r="AI3776" s="47"/>
      <c r="AJ3776" s="126" t="e">
        <v>#N/A</v>
      </c>
      <c r="AK3776" s="80">
        <f t="shared" si="579"/>
        <v>0</v>
      </c>
      <c r="AM3776" s="85"/>
    </row>
    <row r="3777" spans="1:39" hidden="1" x14ac:dyDescent="0.3">
      <c r="A3777" s="89" t="s">
        <v>3396</v>
      </c>
      <c r="B3777" s="86" t="s">
        <v>35</v>
      </c>
      <c r="C3777" s="86" t="s">
        <v>41</v>
      </c>
      <c r="D3777" s="86" t="s">
        <v>41</v>
      </c>
      <c r="E3777" s="86" t="s">
        <v>41</v>
      </c>
      <c r="F3777" s="86" t="s">
        <v>41</v>
      </c>
      <c r="G3777" s="86" t="s">
        <v>41</v>
      </c>
      <c r="H3777" s="143">
        <v>62</v>
      </c>
      <c r="I3777" s="86" t="s">
        <v>408</v>
      </c>
      <c r="J3777" s="1" t="s">
        <v>3324</v>
      </c>
      <c r="K3777" s="1" t="s">
        <v>3278</v>
      </c>
      <c r="L3777" s="1" t="s">
        <v>35</v>
      </c>
      <c r="M3777" s="86" t="s">
        <v>1000</v>
      </c>
      <c r="N3777" s="86"/>
      <c r="O3777" s="47" t="s">
        <v>410</v>
      </c>
      <c r="P3777" s="47" t="s">
        <v>41</v>
      </c>
      <c r="Q3777" s="14">
        <v>0</v>
      </c>
      <c r="R3777" s="143">
        <v>1000001035</v>
      </c>
      <c r="S3777" s="47"/>
      <c r="T3777" s="6">
        <v>20.149999999999999</v>
      </c>
      <c r="U3777" s="6"/>
      <c r="V3777" s="6">
        <v>0</v>
      </c>
      <c r="W3777" s="6">
        <f t="shared" si="584"/>
        <v>20.149999999999999</v>
      </c>
      <c r="X3777" s="6">
        <f t="shared" si="585"/>
        <v>0</v>
      </c>
      <c r="Y3777" s="13">
        <f t="shared" si="577"/>
        <v>0</v>
      </c>
      <c r="Z3777" s="14">
        <v>0</v>
      </c>
      <c r="AA3777" s="6">
        <v>0</v>
      </c>
      <c r="AB3777" s="4">
        <f t="shared" si="578"/>
        <v>0</v>
      </c>
      <c r="AC3777" s="4">
        <f t="shared" si="580"/>
        <v>0</v>
      </c>
      <c r="AD3777" s="6">
        <f t="shared" si="582"/>
        <v>0</v>
      </c>
      <c r="AE3777" s="2">
        <f>VLOOKUP(I3777,[1]媒体政策预估表!A:N,MATCH(O3777,[1]媒体政策预估表!$A$2:$M$2,0),0)</f>
        <v>7.0000000000000007E-2</v>
      </c>
      <c r="AF3777" s="6">
        <f t="shared" si="581"/>
        <v>0</v>
      </c>
      <c r="AG3777" s="14">
        <v>0</v>
      </c>
      <c r="AH3777" s="64">
        <f t="shared" si="583"/>
        <v>0</v>
      </c>
      <c r="AI3777" s="47"/>
      <c r="AJ3777" s="126" t="e">
        <v>#N/A</v>
      </c>
      <c r="AK3777" s="80">
        <f t="shared" si="579"/>
        <v>0</v>
      </c>
      <c r="AM3777" s="85"/>
    </row>
    <row r="3778" spans="1:39" hidden="1" x14ac:dyDescent="0.3">
      <c r="A3778" s="89" t="s">
        <v>3394</v>
      </c>
      <c r="B3778" s="86" t="s">
        <v>1001</v>
      </c>
      <c r="C3778" s="86" t="s">
        <v>47</v>
      </c>
      <c r="D3778" s="86" t="s">
        <v>48</v>
      </c>
      <c r="E3778" s="86" t="s">
        <v>1002</v>
      </c>
      <c r="F3778" s="86" t="s">
        <v>1003</v>
      </c>
      <c r="G3778" s="86" t="s">
        <v>1004</v>
      </c>
      <c r="H3778" s="143">
        <v>62</v>
      </c>
      <c r="I3778" s="86" t="s">
        <v>408</v>
      </c>
      <c r="J3778" s="1" t="s">
        <v>3324</v>
      </c>
      <c r="K3778" s="1" t="s">
        <v>3278</v>
      </c>
      <c r="L3778" s="1" t="s">
        <v>35</v>
      </c>
      <c r="M3778" s="86" t="s">
        <v>1005</v>
      </c>
      <c r="N3778" s="86"/>
      <c r="O3778" s="47" t="s">
        <v>45</v>
      </c>
      <c r="P3778" s="47" t="s">
        <v>46</v>
      </c>
      <c r="Q3778" s="14">
        <v>0.05</v>
      </c>
      <c r="R3778" s="143">
        <v>1000008905</v>
      </c>
      <c r="S3778" s="47"/>
      <c r="T3778" s="6">
        <v>12076.74</v>
      </c>
      <c r="U3778" s="6"/>
      <c r="V3778" s="6">
        <v>0</v>
      </c>
      <c r="W3778" s="6">
        <f t="shared" si="584"/>
        <v>12076.74</v>
      </c>
      <c r="X3778" s="6">
        <f t="shared" si="585"/>
        <v>0</v>
      </c>
      <c r="Y3778" s="13">
        <f t="shared" si="577"/>
        <v>0</v>
      </c>
      <c r="Z3778" s="14">
        <v>0</v>
      </c>
      <c r="AA3778" s="6">
        <v>0</v>
      </c>
      <c r="AB3778" s="4">
        <f t="shared" si="578"/>
        <v>0</v>
      </c>
      <c r="AC3778" s="4">
        <f t="shared" si="580"/>
        <v>0</v>
      </c>
      <c r="AD3778" s="6">
        <f t="shared" si="582"/>
        <v>0</v>
      </c>
      <c r="AE3778" s="2">
        <f>VLOOKUP(I3778,[1]媒体政策预估表!A:N,MATCH(O3778,[1]媒体政策预估表!$A$2:$M$2,0),0)</f>
        <v>0.12</v>
      </c>
      <c r="AF3778" s="6">
        <f t="shared" si="581"/>
        <v>0</v>
      </c>
      <c r="AG3778" s="14">
        <v>0</v>
      </c>
      <c r="AH3778" s="64">
        <f t="shared" si="583"/>
        <v>0</v>
      </c>
      <c r="AI3778" s="47"/>
      <c r="AJ3778" s="126" t="e">
        <v>#N/A</v>
      </c>
      <c r="AK3778" s="80">
        <f t="shared" si="579"/>
        <v>0</v>
      </c>
      <c r="AM3778" s="85"/>
    </row>
    <row r="3779" spans="1:39" hidden="1" x14ac:dyDescent="0.3">
      <c r="A3779" s="89" t="s">
        <v>3396</v>
      </c>
      <c r="B3779" s="86" t="s">
        <v>1001</v>
      </c>
      <c r="C3779" s="86" t="s">
        <v>47</v>
      </c>
      <c r="D3779" s="86" t="s">
        <v>48</v>
      </c>
      <c r="E3779" s="86" t="s">
        <v>1002</v>
      </c>
      <c r="F3779" s="86" t="s">
        <v>1003</v>
      </c>
      <c r="G3779" s="86" t="s">
        <v>1004</v>
      </c>
      <c r="H3779" s="143">
        <v>62</v>
      </c>
      <c r="I3779" s="86" t="s">
        <v>408</v>
      </c>
      <c r="J3779" s="1" t="s">
        <v>3324</v>
      </c>
      <c r="K3779" s="1" t="s">
        <v>3278</v>
      </c>
      <c r="L3779" s="1" t="s">
        <v>35</v>
      </c>
      <c r="M3779" s="86" t="s">
        <v>1006</v>
      </c>
      <c r="N3779" s="86"/>
      <c r="O3779" s="47" t="s">
        <v>45</v>
      </c>
      <c r="P3779" s="47" t="s">
        <v>46</v>
      </c>
      <c r="Q3779" s="14">
        <v>0.05</v>
      </c>
      <c r="R3779" s="143">
        <v>1000008904</v>
      </c>
      <c r="S3779" s="47"/>
      <c r="T3779" s="6">
        <v>9995.36</v>
      </c>
      <c r="U3779" s="6"/>
      <c r="V3779" s="6">
        <v>0</v>
      </c>
      <c r="W3779" s="6">
        <f t="shared" si="584"/>
        <v>9995.36</v>
      </c>
      <c r="X3779" s="6">
        <f t="shared" si="585"/>
        <v>0</v>
      </c>
      <c r="Y3779" s="13">
        <f t="shared" ref="Y3779:Y3842" si="586">IF(X3779-AD3779&lt;=0,0,IF(P3779="返现",MAX(X3779-AC3779-AD3779,0),MAX(X3779-AD3779)))</f>
        <v>0</v>
      </c>
      <c r="Z3779" s="14">
        <v>0</v>
      </c>
      <c r="AA3779" s="6">
        <v>0</v>
      </c>
      <c r="AB3779" s="4">
        <f t="shared" ref="AB3779:AB3842" si="587">X3779+AA3779</f>
        <v>0</v>
      </c>
      <c r="AC3779" s="4">
        <f t="shared" si="580"/>
        <v>0</v>
      </c>
      <c r="AD3779" s="6">
        <f t="shared" si="582"/>
        <v>0</v>
      </c>
      <c r="AE3779" s="2">
        <f>VLOOKUP(I3779,[1]媒体政策预估表!A:N,MATCH(O3779,[1]媒体政策预估表!$A$2:$M$2,0),0)</f>
        <v>0.12</v>
      </c>
      <c r="AF3779" s="6">
        <f t="shared" si="581"/>
        <v>0</v>
      </c>
      <c r="AG3779" s="14">
        <v>0</v>
      </c>
      <c r="AH3779" s="64">
        <f t="shared" si="583"/>
        <v>0</v>
      </c>
      <c r="AI3779" s="47"/>
      <c r="AJ3779" s="126" t="e">
        <v>#N/A</v>
      </c>
      <c r="AK3779" s="80">
        <f t="shared" ref="AK3779:AK3842" si="588">X3779+AA3779-AB3779</f>
        <v>0</v>
      </c>
      <c r="AM3779" s="85"/>
    </row>
    <row r="3780" spans="1:39" hidden="1" x14ac:dyDescent="0.3">
      <c r="A3780" s="89" t="s">
        <v>3396</v>
      </c>
      <c r="B3780" s="86" t="s">
        <v>1007</v>
      </c>
      <c r="C3780" s="86" t="s">
        <v>752</v>
      </c>
      <c r="D3780" s="86" t="s">
        <v>753</v>
      </c>
      <c r="E3780" s="86" t="s">
        <v>1008</v>
      </c>
      <c r="F3780" s="86" t="s">
        <v>1009</v>
      </c>
      <c r="G3780" s="86" t="s">
        <v>1010</v>
      </c>
      <c r="H3780" s="143">
        <v>62</v>
      </c>
      <c r="I3780" s="86" t="s">
        <v>408</v>
      </c>
      <c r="J3780" s="1" t="s">
        <v>3324</v>
      </c>
      <c r="K3780" s="1" t="s">
        <v>3278</v>
      </c>
      <c r="L3780" s="1" t="s">
        <v>35</v>
      </c>
      <c r="M3780" s="86" t="s">
        <v>1011</v>
      </c>
      <c r="N3780" s="86"/>
      <c r="O3780" s="47" t="s">
        <v>410</v>
      </c>
      <c r="P3780" s="47" t="s">
        <v>46</v>
      </c>
      <c r="Q3780" s="14">
        <v>0.02</v>
      </c>
      <c r="R3780" s="143">
        <v>1000003486</v>
      </c>
      <c r="S3780" s="47"/>
      <c r="T3780" s="6">
        <v>5130.5</v>
      </c>
      <c r="U3780" s="6"/>
      <c r="V3780" s="6">
        <v>0</v>
      </c>
      <c r="W3780" s="6">
        <f t="shared" si="584"/>
        <v>5130.5</v>
      </c>
      <c r="X3780" s="6">
        <f t="shared" si="585"/>
        <v>0</v>
      </c>
      <c r="Y3780" s="13">
        <f t="shared" si="586"/>
        <v>0</v>
      </c>
      <c r="Z3780" s="14">
        <v>0</v>
      </c>
      <c r="AA3780" s="6">
        <v>0</v>
      </c>
      <c r="AB3780" s="4">
        <f t="shared" si="587"/>
        <v>0</v>
      </c>
      <c r="AC3780" s="4">
        <f t="shared" si="580"/>
        <v>0</v>
      </c>
      <c r="AD3780" s="6">
        <f t="shared" si="582"/>
        <v>0</v>
      </c>
      <c r="AE3780" s="2">
        <f>VLOOKUP(I3780,[1]媒体政策预估表!A:N,MATCH(O3780,[1]媒体政策预估表!$A$2:$M$2,0),0)</f>
        <v>7.0000000000000007E-2</v>
      </c>
      <c r="AF3780" s="6">
        <f t="shared" si="581"/>
        <v>0</v>
      </c>
      <c r="AG3780" s="14">
        <v>0</v>
      </c>
      <c r="AH3780" s="64">
        <f t="shared" si="583"/>
        <v>0</v>
      </c>
      <c r="AI3780" s="47"/>
      <c r="AJ3780" s="126" t="e">
        <v>#N/A</v>
      </c>
      <c r="AK3780" s="80">
        <f t="shared" si="588"/>
        <v>0</v>
      </c>
      <c r="AM3780" s="85"/>
    </row>
    <row r="3781" spans="1:39" hidden="1" x14ac:dyDescent="0.3">
      <c r="A3781" s="89" t="s">
        <v>3396</v>
      </c>
      <c r="B3781" s="86" t="s">
        <v>1007</v>
      </c>
      <c r="C3781" s="86" t="s">
        <v>47</v>
      </c>
      <c r="D3781" s="86" t="s">
        <v>63</v>
      </c>
      <c r="E3781" s="86" t="s">
        <v>1012</v>
      </c>
      <c r="F3781" s="86" t="s">
        <v>1013</v>
      </c>
      <c r="G3781" s="86" t="s">
        <v>1010</v>
      </c>
      <c r="H3781" s="143">
        <v>62</v>
      </c>
      <c r="I3781" s="86" t="s">
        <v>408</v>
      </c>
      <c r="J3781" s="1" t="s">
        <v>3324</v>
      </c>
      <c r="K3781" s="1" t="s">
        <v>3278</v>
      </c>
      <c r="L3781" s="1" t="s">
        <v>35</v>
      </c>
      <c r="M3781" s="86" t="s">
        <v>1014</v>
      </c>
      <c r="N3781" s="86"/>
      <c r="O3781" s="47" t="s">
        <v>45</v>
      </c>
      <c r="P3781" s="47" t="s">
        <v>46</v>
      </c>
      <c r="Q3781" s="14">
        <v>0.04</v>
      </c>
      <c r="R3781" s="143">
        <v>1000025585</v>
      </c>
      <c r="S3781" s="47"/>
      <c r="T3781" s="6">
        <v>646.35</v>
      </c>
      <c r="U3781" s="6"/>
      <c r="V3781" s="6">
        <v>0</v>
      </c>
      <c r="W3781" s="6">
        <f t="shared" si="584"/>
        <v>646.35</v>
      </c>
      <c r="X3781" s="6">
        <f t="shared" si="585"/>
        <v>0</v>
      </c>
      <c r="Y3781" s="13">
        <f t="shared" si="586"/>
        <v>0</v>
      </c>
      <c r="Z3781" s="14">
        <v>0</v>
      </c>
      <c r="AA3781" s="6">
        <v>0</v>
      </c>
      <c r="AB3781" s="4">
        <f t="shared" si="587"/>
        <v>0</v>
      </c>
      <c r="AC3781" s="4">
        <f t="shared" si="580"/>
        <v>0</v>
      </c>
      <c r="AD3781" s="6">
        <f t="shared" si="582"/>
        <v>0</v>
      </c>
      <c r="AE3781" s="2">
        <f>VLOOKUP(I3781,[1]媒体政策预估表!A:N,MATCH(O3781,[1]媒体政策预估表!$A$2:$M$2,0),0)</f>
        <v>0.12</v>
      </c>
      <c r="AF3781" s="6">
        <f t="shared" si="581"/>
        <v>0</v>
      </c>
      <c r="AG3781" s="14">
        <v>0</v>
      </c>
      <c r="AH3781" s="64">
        <f t="shared" si="583"/>
        <v>0</v>
      </c>
      <c r="AI3781" s="47"/>
      <c r="AJ3781" s="126" t="e">
        <v>#N/A</v>
      </c>
      <c r="AK3781" s="80">
        <f t="shared" si="588"/>
        <v>0</v>
      </c>
      <c r="AM3781" s="85"/>
    </row>
    <row r="3782" spans="1:39" hidden="1" x14ac:dyDescent="0.3">
      <c r="A3782" s="89" t="s">
        <v>3394</v>
      </c>
      <c r="B3782" s="86" t="s">
        <v>1007</v>
      </c>
      <c r="C3782" s="86" t="s">
        <v>144</v>
      </c>
      <c r="D3782" s="86" t="s">
        <v>145</v>
      </c>
      <c r="E3782" s="86" t="s">
        <v>1015</v>
      </c>
      <c r="F3782" s="86" t="s">
        <v>1016</v>
      </c>
      <c r="G3782" s="86" t="s">
        <v>1010</v>
      </c>
      <c r="H3782" s="143">
        <v>62</v>
      </c>
      <c r="I3782" s="86" t="s">
        <v>408</v>
      </c>
      <c r="J3782" s="1" t="s">
        <v>3324</v>
      </c>
      <c r="K3782" s="1" t="s">
        <v>3278</v>
      </c>
      <c r="L3782" s="1" t="s">
        <v>35</v>
      </c>
      <c r="M3782" s="86" t="s">
        <v>1017</v>
      </c>
      <c r="N3782" s="86"/>
      <c r="O3782" s="47" t="s">
        <v>410</v>
      </c>
      <c r="P3782" s="47" t="s">
        <v>46</v>
      </c>
      <c r="Q3782" s="14">
        <v>0.02</v>
      </c>
      <c r="R3782" s="143">
        <v>1000017563</v>
      </c>
      <c r="S3782" s="47"/>
      <c r="T3782" s="6">
        <v>1682.6</v>
      </c>
      <c r="U3782" s="6"/>
      <c r="V3782" s="6">
        <v>0</v>
      </c>
      <c r="W3782" s="6">
        <f t="shared" si="584"/>
        <v>1682.6</v>
      </c>
      <c r="X3782" s="6">
        <f t="shared" si="585"/>
        <v>0</v>
      </c>
      <c r="Y3782" s="13">
        <f t="shared" si="586"/>
        <v>0</v>
      </c>
      <c r="Z3782" s="14">
        <v>0</v>
      </c>
      <c r="AA3782" s="6">
        <v>0</v>
      </c>
      <c r="AB3782" s="4">
        <f t="shared" si="587"/>
        <v>0</v>
      </c>
      <c r="AC3782" s="4">
        <f t="shared" si="580"/>
        <v>0</v>
      </c>
      <c r="AD3782" s="6">
        <f t="shared" si="582"/>
        <v>0</v>
      </c>
      <c r="AE3782" s="2">
        <f>VLOOKUP(I3782,[1]媒体政策预估表!A:N,MATCH(O3782,[1]媒体政策预估表!$A$2:$M$2,0),0)</f>
        <v>7.0000000000000007E-2</v>
      </c>
      <c r="AF3782" s="6">
        <f t="shared" si="581"/>
        <v>0</v>
      </c>
      <c r="AG3782" s="14">
        <v>0</v>
      </c>
      <c r="AH3782" s="64">
        <f t="shared" si="583"/>
        <v>0</v>
      </c>
      <c r="AI3782" s="47"/>
      <c r="AJ3782" s="126" t="e">
        <v>#N/A</v>
      </c>
      <c r="AK3782" s="80">
        <f t="shared" si="588"/>
        <v>0</v>
      </c>
      <c r="AM3782" s="85"/>
    </row>
    <row r="3783" spans="1:39" hidden="1" x14ac:dyDescent="0.3">
      <c r="A3783" s="89" t="s">
        <v>3396</v>
      </c>
      <c r="B3783" s="86" t="s">
        <v>1007</v>
      </c>
      <c r="C3783" s="86" t="s">
        <v>144</v>
      </c>
      <c r="D3783" s="86" t="s">
        <v>303</v>
      </c>
      <c r="E3783" s="86" t="s">
        <v>1018</v>
      </c>
      <c r="F3783" s="86" t="s">
        <v>1019</v>
      </c>
      <c r="G3783" s="86" t="s">
        <v>1020</v>
      </c>
      <c r="H3783" s="143">
        <v>62</v>
      </c>
      <c r="I3783" s="86" t="s">
        <v>408</v>
      </c>
      <c r="J3783" s="1" t="s">
        <v>3324</v>
      </c>
      <c r="K3783" s="1" t="s">
        <v>3278</v>
      </c>
      <c r="L3783" s="1" t="s">
        <v>35</v>
      </c>
      <c r="M3783" s="86" t="s">
        <v>1021</v>
      </c>
      <c r="N3783" s="86"/>
      <c r="O3783" s="47" t="s">
        <v>410</v>
      </c>
      <c r="P3783" s="47" t="s">
        <v>46</v>
      </c>
      <c r="Q3783" s="14">
        <v>0.02</v>
      </c>
      <c r="R3783" s="143">
        <v>1000001122</v>
      </c>
      <c r="S3783" s="47"/>
      <c r="T3783" s="6">
        <v>24807.5</v>
      </c>
      <c r="U3783" s="6"/>
      <c r="V3783" s="6">
        <v>0</v>
      </c>
      <c r="W3783" s="6">
        <f t="shared" si="584"/>
        <v>24807.5</v>
      </c>
      <c r="X3783" s="6">
        <f t="shared" si="585"/>
        <v>0</v>
      </c>
      <c r="Y3783" s="13">
        <f t="shared" si="586"/>
        <v>0</v>
      </c>
      <c r="Z3783" s="14">
        <v>0</v>
      </c>
      <c r="AA3783" s="6">
        <v>0</v>
      </c>
      <c r="AB3783" s="4">
        <f t="shared" si="587"/>
        <v>0</v>
      </c>
      <c r="AC3783" s="4">
        <f t="shared" si="580"/>
        <v>0</v>
      </c>
      <c r="AD3783" s="6">
        <f t="shared" si="582"/>
        <v>0</v>
      </c>
      <c r="AE3783" s="2">
        <f>VLOOKUP(I3783,[1]媒体政策预估表!A:N,MATCH(O3783,[1]媒体政策预估表!$A$2:$M$2,0),0)</f>
        <v>7.0000000000000007E-2</v>
      </c>
      <c r="AF3783" s="6">
        <f t="shared" si="581"/>
        <v>0</v>
      </c>
      <c r="AG3783" s="14">
        <v>0</v>
      </c>
      <c r="AH3783" s="64">
        <f t="shared" si="583"/>
        <v>0</v>
      </c>
      <c r="AI3783" s="47"/>
      <c r="AJ3783" s="126" t="e">
        <v>#N/A</v>
      </c>
      <c r="AK3783" s="80">
        <f t="shared" si="588"/>
        <v>0</v>
      </c>
      <c r="AM3783" s="85"/>
    </row>
    <row r="3784" spans="1:39" hidden="1" x14ac:dyDescent="0.3">
      <c r="A3784" s="89" t="s">
        <v>3396</v>
      </c>
      <c r="B3784" s="86" t="s">
        <v>41</v>
      </c>
      <c r="C3784" s="86" t="s">
        <v>41</v>
      </c>
      <c r="D3784" s="86" t="s">
        <v>41</v>
      </c>
      <c r="E3784" s="86" t="s">
        <v>659</v>
      </c>
      <c r="F3784" s="86" t="s">
        <v>660</v>
      </c>
      <c r="G3784" s="86" t="s">
        <v>659</v>
      </c>
      <c r="H3784" s="143">
        <v>62</v>
      </c>
      <c r="I3784" s="86" t="s">
        <v>408</v>
      </c>
      <c r="J3784" s="1" t="s">
        <v>3324</v>
      </c>
      <c r="K3784" s="1" t="s">
        <v>3278</v>
      </c>
      <c r="L3784" s="1" t="s">
        <v>35</v>
      </c>
      <c r="M3784" s="86" t="s">
        <v>1022</v>
      </c>
      <c r="N3784" s="86"/>
      <c r="O3784" s="47" t="s">
        <v>410</v>
      </c>
      <c r="P3784" s="47" t="s">
        <v>41</v>
      </c>
      <c r="Q3784" s="14">
        <v>0</v>
      </c>
      <c r="R3784" s="143">
        <v>1000001944</v>
      </c>
      <c r="S3784" s="47"/>
      <c r="T3784" s="6">
        <v>18920.45</v>
      </c>
      <c r="U3784" s="6"/>
      <c r="V3784" s="6">
        <v>0</v>
      </c>
      <c r="W3784" s="6">
        <f t="shared" si="584"/>
        <v>18920.45</v>
      </c>
      <c r="X3784" s="6">
        <f t="shared" si="585"/>
        <v>0</v>
      </c>
      <c r="Y3784" s="13">
        <f t="shared" si="586"/>
        <v>0</v>
      </c>
      <c r="Z3784" s="14">
        <v>0</v>
      </c>
      <c r="AA3784" s="6">
        <v>0</v>
      </c>
      <c r="AB3784" s="4">
        <f t="shared" si="587"/>
        <v>0</v>
      </c>
      <c r="AC3784" s="4">
        <f t="shared" si="580"/>
        <v>0</v>
      </c>
      <c r="AD3784" s="6">
        <f t="shared" si="582"/>
        <v>0</v>
      </c>
      <c r="AE3784" s="2">
        <f>VLOOKUP(I3784,[1]媒体政策预估表!A:N,MATCH(O3784,[1]媒体政策预估表!$A$2:$M$2,0),0)</f>
        <v>7.0000000000000007E-2</v>
      </c>
      <c r="AF3784" s="6">
        <f t="shared" si="581"/>
        <v>0</v>
      </c>
      <c r="AG3784" s="14">
        <v>0</v>
      </c>
      <c r="AH3784" s="64">
        <f t="shared" si="583"/>
        <v>0</v>
      </c>
      <c r="AI3784" s="47"/>
      <c r="AJ3784" s="126" t="e">
        <v>#N/A</v>
      </c>
      <c r="AK3784" s="80">
        <f t="shared" si="588"/>
        <v>0</v>
      </c>
      <c r="AM3784" s="85"/>
    </row>
    <row r="3785" spans="1:39" hidden="1" x14ac:dyDescent="0.3">
      <c r="A3785" s="89" t="s">
        <v>3394</v>
      </c>
      <c r="B3785" s="86" t="s">
        <v>41</v>
      </c>
      <c r="C3785" s="86" t="s">
        <v>41</v>
      </c>
      <c r="D3785" s="86" t="s">
        <v>41</v>
      </c>
      <c r="E3785" s="86" t="s">
        <v>1023</v>
      </c>
      <c r="F3785" s="86" t="s">
        <v>1023</v>
      </c>
      <c r="G3785" s="86" t="s">
        <v>1023</v>
      </c>
      <c r="H3785" s="143">
        <v>62</v>
      </c>
      <c r="I3785" s="86" t="s">
        <v>408</v>
      </c>
      <c r="J3785" s="1" t="s">
        <v>3324</v>
      </c>
      <c r="K3785" s="1" t="s">
        <v>3278</v>
      </c>
      <c r="L3785" s="1" t="s">
        <v>35</v>
      </c>
      <c r="M3785" s="86" t="s">
        <v>1024</v>
      </c>
      <c r="N3785" s="86"/>
      <c r="O3785" s="47" t="s">
        <v>410</v>
      </c>
      <c r="P3785" s="47" t="s">
        <v>41</v>
      </c>
      <c r="Q3785" s="14">
        <v>0</v>
      </c>
      <c r="R3785" s="143">
        <v>1000008480</v>
      </c>
      <c r="S3785" s="47"/>
      <c r="T3785" s="6">
        <v>697.7</v>
      </c>
      <c r="U3785" s="6"/>
      <c r="V3785" s="6">
        <v>0</v>
      </c>
      <c r="W3785" s="6">
        <f t="shared" si="584"/>
        <v>697.7</v>
      </c>
      <c r="X3785" s="6">
        <f t="shared" si="585"/>
        <v>0</v>
      </c>
      <c r="Y3785" s="13">
        <f t="shared" si="586"/>
        <v>0</v>
      </c>
      <c r="Z3785" s="14">
        <v>0</v>
      </c>
      <c r="AA3785" s="6">
        <v>0</v>
      </c>
      <c r="AB3785" s="4">
        <f t="shared" si="587"/>
        <v>0</v>
      </c>
      <c r="AC3785" s="4">
        <f t="shared" si="580"/>
        <v>0</v>
      </c>
      <c r="AD3785" s="6">
        <f t="shared" si="582"/>
        <v>0</v>
      </c>
      <c r="AE3785" s="2">
        <f>VLOOKUP(I3785,[1]媒体政策预估表!A:N,MATCH(O3785,[1]媒体政策预估表!$A$2:$M$2,0),0)</f>
        <v>7.0000000000000007E-2</v>
      </c>
      <c r="AF3785" s="6">
        <f t="shared" si="581"/>
        <v>0</v>
      </c>
      <c r="AG3785" s="14">
        <v>0</v>
      </c>
      <c r="AH3785" s="64">
        <f t="shared" si="583"/>
        <v>0</v>
      </c>
      <c r="AI3785" s="47"/>
      <c r="AJ3785" s="126" t="e">
        <v>#N/A</v>
      </c>
      <c r="AK3785" s="80">
        <f t="shared" si="588"/>
        <v>0</v>
      </c>
      <c r="AM3785" s="85"/>
    </row>
    <row r="3786" spans="1:39" hidden="1" x14ac:dyDescent="0.3">
      <c r="A3786" s="89" t="s">
        <v>3396</v>
      </c>
      <c r="B3786" s="86" t="s">
        <v>41</v>
      </c>
      <c r="C3786" s="86" t="s">
        <v>41</v>
      </c>
      <c r="D3786" s="86" t="s">
        <v>41</v>
      </c>
      <c r="E3786" s="86" t="s">
        <v>1025</v>
      </c>
      <c r="F3786" s="86" t="s">
        <v>1025</v>
      </c>
      <c r="G3786" s="86" t="s">
        <v>1025</v>
      </c>
      <c r="H3786" s="143">
        <v>62</v>
      </c>
      <c r="I3786" s="86" t="s">
        <v>408</v>
      </c>
      <c r="J3786" s="1" t="s">
        <v>3324</v>
      </c>
      <c r="K3786" s="1" t="s">
        <v>3278</v>
      </c>
      <c r="L3786" s="1" t="s">
        <v>35</v>
      </c>
      <c r="M3786" s="86" t="s">
        <v>1026</v>
      </c>
      <c r="N3786" s="86"/>
      <c r="O3786" s="47" t="s">
        <v>410</v>
      </c>
      <c r="P3786" s="47" t="s">
        <v>41</v>
      </c>
      <c r="Q3786" s="14">
        <v>0</v>
      </c>
      <c r="R3786" s="143">
        <v>1000004760</v>
      </c>
      <c r="S3786" s="47"/>
      <c r="T3786" s="6">
        <v>2.4500000000000002</v>
      </c>
      <c r="U3786" s="6"/>
      <c r="V3786" s="6">
        <v>0</v>
      </c>
      <c r="W3786" s="6">
        <f t="shared" si="584"/>
        <v>2.4500000000000002</v>
      </c>
      <c r="X3786" s="6">
        <f t="shared" si="585"/>
        <v>0</v>
      </c>
      <c r="Y3786" s="13">
        <f t="shared" si="586"/>
        <v>0</v>
      </c>
      <c r="Z3786" s="14">
        <v>0</v>
      </c>
      <c r="AA3786" s="6">
        <v>0</v>
      </c>
      <c r="AB3786" s="4">
        <f t="shared" si="587"/>
        <v>0</v>
      </c>
      <c r="AC3786" s="4">
        <f t="shared" si="580"/>
        <v>0</v>
      </c>
      <c r="AD3786" s="6">
        <f t="shared" si="582"/>
        <v>0</v>
      </c>
      <c r="AE3786" s="2">
        <f>VLOOKUP(I3786,[1]媒体政策预估表!A:N,MATCH(O3786,[1]媒体政策预估表!$A$2:$M$2,0),0)</f>
        <v>7.0000000000000007E-2</v>
      </c>
      <c r="AF3786" s="6">
        <f t="shared" si="581"/>
        <v>0</v>
      </c>
      <c r="AG3786" s="14">
        <v>0</v>
      </c>
      <c r="AH3786" s="64">
        <f t="shared" si="583"/>
        <v>0</v>
      </c>
      <c r="AI3786" s="47"/>
      <c r="AJ3786" s="126" t="e">
        <v>#N/A</v>
      </c>
      <c r="AK3786" s="80">
        <f t="shared" si="588"/>
        <v>0</v>
      </c>
      <c r="AM3786" s="85"/>
    </row>
    <row r="3787" spans="1:39" hidden="1" x14ac:dyDescent="0.3">
      <c r="A3787" s="89" t="s">
        <v>3396</v>
      </c>
      <c r="B3787" s="86" t="s">
        <v>41</v>
      </c>
      <c r="C3787" s="86" t="s">
        <v>41</v>
      </c>
      <c r="D3787" s="86" t="s">
        <v>41</v>
      </c>
      <c r="E3787" s="86" t="s">
        <v>1027</v>
      </c>
      <c r="F3787" s="86" t="s">
        <v>1027</v>
      </c>
      <c r="G3787" s="86" t="s">
        <v>1027</v>
      </c>
      <c r="H3787" s="143">
        <v>62</v>
      </c>
      <c r="I3787" s="86" t="s">
        <v>408</v>
      </c>
      <c r="J3787" s="1" t="s">
        <v>3324</v>
      </c>
      <c r="K3787" s="1" t="s">
        <v>3278</v>
      </c>
      <c r="L3787" s="1" t="s">
        <v>35</v>
      </c>
      <c r="M3787" s="86" t="s">
        <v>1028</v>
      </c>
      <c r="N3787" s="86"/>
      <c r="O3787" s="47" t="s">
        <v>410</v>
      </c>
      <c r="P3787" s="47" t="s">
        <v>41</v>
      </c>
      <c r="Q3787" s="14">
        <v>0</v>
      </c>
      <c r="R3787" s="143">
        <v>1000003743</v>
      </c>
      <c r="S3787" s="47"/>
      <c r="T3787" s="6">
        <v>1667.34</v>
      </c>
      <c r="U3787" s="6"/>
      <c r="V3787" s="6">
        <v>0</v>
      </c>
      <c r="W3787" s="6">
        <f t="shared" si="584"/>
        <v>1667.34</v>
      </c>
      <c r="X3787" s="6">
        <f t="shared" si="585"/>
        <v>0</v>
      </c>
      <c r="Y3787" s="13">
        <f t="shared" si="586"/>
        <v>0</v>
      </c>
      <c r="Z3787" s="14">
        <v>0</v>
      </c>
      <c r="AA3787" s="6">
        <v>0</v>
      </c>
      <c r="AB3787" s="4">
        <f t="shared" si="587"/>
        <v>0</v>
      </c>
      <c r="AC3787" s="4">
        <f t="shared" si="580"/>
        <v>0</v>
      </c>
      <c r="AD3787" s="6">
        <f t="shared" si="582"/>
        <v>0</v>
      </c>
      <c r="AE3787" s="2">
        <f>VLOOKUP(I3787,[1]媒体政策预估表!A:N,MATCH(O3787,[1]媒体政策预估表!$A$2:$M$2,0),0)</f>
        <v>7.0000000000000007E-2</v>
      </c>
      <c r="AF3787" s="6">
        <f t="shared" si="581"/>
        <v>0</v>
      </c>
      <c r="AG3787" s="14">
        <v>0</v>
      </c>
      <c r="AH3787" s="64">
        <f t="shared" si="583"/>
        <v>0</v>
      </c>
      <c r="AI3787" s="47"/>
      <c r="AJ3787" s="126" t="e">
        <v>#N/A</v>
      </c>
      <c r="AK3787" s="80">
        <f t="shared" si="588"/>
        <v>0</v>
      </c>
      <c r="AM3787" s="85"/>
    </row>
    <row r="3788" spans="1:39" hidden="1" x14ac:dyDescent="0.3">
      <c r="A3788" s="89" t="s">
        <v>3396</v>
      </c>
      <c r="B3788" s="86" t="s">
        <v>41</v>
      </c>
      <c r="C3788" s="86" t="s">
        <v>41</v>
      </c>
      <c r="D3788" s="86" t="s">
        <v>41</v>
      </c>
      <c r="E3788" s="86" t="s">
        <v>1027</v>
      </c>
      <c r="F3788" s="86" t="s">
        <v>1027</v>
      </c>
      <c r="G3788" s="86" t="s">
        <v>1027</v>
      </c>
      <c r="H3788" s="143">
        <v>62</v>
      </c>
      <c r="I3788" s="86" t="s">
        <v>408</v>
      </c>
      <c r="J3788" s="1" t="s">
        <v>3324</v>
      </c>
      <c r="K3788" s="1" t="s">
        <v>3278</v>
      </c>
      <c r="L3788" s="1" t="s">
        <v>35</v>
      </c>
      <c r="M3788" s="86" t="s">
        <v>1029</v>
      </c>
      <c r="N3788" s="86"/>
      <c r="O3788" s="47" t="s">
        <v>410</v>
      </c>
      <c r="P3788" s="47" t="s">
        <v>41</v>
      </c>
      <c r="Q3788" s="14">
        <v>0</v>
      </c>
      <c r="R3788" s="143">
        <v>1000003744</v>
      </c>
      <c r="S3788" s="47"/>
      <c r="T3788" s="6">
        <v>2298.7800000000002</v>
      </c>
      <c r="U3788" s="6"/>
      <c r="V3788" s="6">
        <v>0</v>
      </c>
      <c r="W3788" s="6">
        <f t="shared" si="584"/>
        <v>2298.7800000000002</v>
      </c>
      <c r="X3788" s="6">
        <f t="shared" si="585"/>
        <v>0</v>
      </c>
      <c r="Y3788" s="13">
        <f t="shared" si="586"/>
        <v>0</v>
      </c>
      <c r="Z3788" s="14">
        <v>0</v>
      </c>
      <c r="AA3788" s="6">
        <v>0</v>
      </c>
      <c r="AB3788" s="4">
        <f t="shared" si="587"/>
        <v>0</v>
      </c>
      <c r="AC3788" s="4">
        <f t="shared" ref="AC3788:AC3851" si="589">IF(P3788="返现",X3788*Q3788,V3788-X3788)</f>
        <v>0</v>
      </c>
      <c r="AD3788" s="6">
        <f t="shared" si="582"/>
        <v>0</v>
      </c>
      <c r="AE3788" s="2">
        <f>VLOOKUP(I3788,[1]媒体政策预估表!A:N,MATCH(O3788,[1]媒体政策预估表!$A$2:$M$2,0),0)</f>
        <v>7.0000000000000007E-2</v>
      </c>
      <c r="AF3788" s="6">
        <f t="shared" ref="AF3788:AF3851" si="590">AD3788*AE3788</f>
        <v>0</v>
      </c>
      <c r="AG3788" s="14">
        <v>0</v>
      </c>
      <c r="AH3788" s="64">
        <f t="shared" si="583"/>
        <v>0</v>
      </c>
      <c r="AI3788" s="47"/>
      <c r="AJ3788" s="126" t="e">
        <v>#N/A</v>
      </c>
      <c r="AK3788" s="80">
        <f t="shared" si="588"/>
        <v>0</v>
      </c>
      <c r="AM3788" s="85"/>
    </row>
    <row r="3789" spans="1:39" hidden="1" x14ac:dyDescent="0.3">
      <c r="A3789" s="89" t="s">
        <v>3396</v>
      </c>
      <c r="B3789" s="86" t="s">
        <v>41</v>
      </c>
      <c r="C3789" s="86" t="s">
        <v>41</v>
      </c>
      <c r="D3789" s="86" t="s">
        <v>41</v>
      </c>
      <c r="E3789" s="86" t="s">
        <v>1030</v>
      </c>
      <c r="F3789" s="86" t="s">
        <v>1031</v>
      </c>
      <c r="G3789" s="86" t="s">
        <v>1031</v>
      </c>
      <c r="H3789" s="143">
        <v>62</v>
      </c>
      <c r="I3789" s="86" t="s">
        <v>408</v>
      </c>
      <c r="J3789" s="1" t="s">
        <v>3324</v>
      </c>
      <c r="K3789" s="1" t="s">
        <v>3278</v>
      </c>
      <c r="L3789" s="1" t="s">
        <v>35</v>
      </c>
      <c r="M3789" s="86" t="s">
        <v>1032</v>
      </c>
      <c r="N3789" s="86"/>
      <c r="O3789" s="47" t="s">
        <v>410</v>
      </c>
      <c r="P3789" s="47" t="s">
        <v>41</v>
      </c>
      <c r="Q3789" s="14">
        <v>0</v>
      </c>
      <c r="R3789" s="143">
        <v>1000012429</v>
      </c>
      <c r="S3789" s="47"/>
      <c r="T3789" s="6">
        <v>9444.5</v>
      </c>
      <c r="U3789" s="6"/>
      <c r="V3789" s="6">
        <v>0</v>
      </c>
      <c r="W3789" s="6">
        <f t="shared" si="584"/>
        <v>9444.5</v>
      </c>
      <c r="X3789" s="6">
        <f t="shared" si="585"/>
        <v>0</v>
      </c>
      <c r="Y3789" s="13">
        <f t="shared" si="586"/>
        <v>0</v>
      </c>
      <c r="Z3789" s="14">
        <v>0</v>
      </c>
      <c r="AA3789" s="6">
        <v>0</v>
      </c>
      <c r="AB3789" s="4">
        <f t="shared" si="587"/>
        <v>0</v>
      </c>
      <c r="AC3789" s="4">
        <f t="shared" si="589"/>
        <v>0</v>
      </c>
      <c r="AD3789" s="6">
        <f t="shared" si="582"/>
        <v>0</v>
      </c>
      <c r="AE3789" s="2">
        <f>VLOOKUP(I3789,[1]媒体政策预估表!A:N,MATCH(O3789,[1]媒体政策预估表!$A$2:$M$2,0),0)</f>
        <v>7.0000000000000007E-2</v>
      </c>
      <c r="AF3789" s="6">
        <f t="shared" si="590"/>
        <v>0</v>
      </c>
      <c r="AG3789" s="14">
        <v>0</v>
      </c>
      <c r="AH3789" s="64">
        <f t="shared" si="583"/>
        <v>0</v>
      </c>
      <c r="AI3789" s="47"/>
      <c r="AJ3789" s="126" t="e">
        <v>#N/A</v>
      </c>
      <c r="AK3789" s="80">
        <f t="shared" si="588"/>
        <v>0</v>
      </c>
      <c r="AM3789" s="85"/>
    </row>
    <row r="3790" spans="1:39" hidden="1" x14ac:dyDescent="0.3">
      <c r="A3790" s="89" t="s">
        <v>3396</v>
      </c>
      <c r="B3790" s="86" t="s">
        <v>41</v>
      </c>
      <c r="C3790" s="86" t="s">
        <v>41</v>
      </c>
      <c r="D3790" s="86" t="s">
        <v>41</v>
      </c>
      <c r="E3790" s="86" t="s">
        <v>1033</v>
      </c>
      <c r="F3790" s="86" t="s">
        <v>1033</v>
      </c>
      <c r="G3790" s="86" t="s">
        <v>1033</v>
      </c>
      <c r="H3790" s="143">
        <v>62</v>
      </c>
      <c r="I3790" s="86" t="s">
        <v>408</v>
      </c>
      <c r="J3790" s="1" t="s">
        <v>3324</v>
      </c>
      <c r="K3790" s="1" t="s">
        <v>3278</v>
      </c>
      <c r="L3790" s="1" t="s">
        <v>35</v>
      </c>
      <c r="M3790" s="86" t="s">
        <v>1034</v>
      </c>
      <c r="N3790" s="86"/>
      <c r="O3790" s="47" t="s">
        <v>410</v>
      </c>
      <c r="P3790" s="47" t="s">
        <v>41</v>
      </c>
      <c r="Q3790" s="14">
        <v>0</v>
      </c>
      <c r="R3790" s="143">
        <v>1000009194</v>
      </c>
      <c r="S3790" s="47"/>
      <c r="T3790" s="6">
        <v>2383.9499999999998</v>
      </c>
      <c r="U3790" s="6"/>
      <c r="V3790" s="6">
        <v>0</v>
      </c>
      <c r="W3790" s="6">
        <f t="shared" si="584"/>
        <v>2383.9499999999998</v>
      </c>
      <c r="X3790" s="6">
        <f t="shared" si="585"/>
        <v>0</v>
      </c>
      <c r="Y3790" s="13">
        <f t="shared" si="586"/>
        <v>0</v>
      </c>
      <c r="Z3790" s="14">
        <v>0</v>
      </c>
      <c r="AA3790" s="6">
        <v>0</v>
      </c>
      <c r="AB3790" s="4">
        <f t="shared" si="587"/>
        <v>0</v>
      </c>
      <c r="AC3790" s="4">
        <f t="shared" si="589"/>
        <v>0</v>
      </c>
      <c r="AD3790" s="6">
        <f t="shared" si="582"/>
        <v>0</v>
      </c>
      <c r="AE3790" s="2">
        <f>VLOOKUP(I3790,[1]媒体政策预估表!A:N,MATCH(O3790,[1]媒体政策预估表!$A$2:$M$2,0),0)</f>
        <v>7.0000000000000007E-2</v>
      </c>
      <c r="AF3790" s="6">
        <f t="shared" si="590"/>
        <v>0</v>
      </c>
      <c r="AG3790" s="14">
        <v>0</v>
      </c>
      <c r="AH3790" s="64">
        <f t="shared" si="583"/>
        <v>0</v>
      </c>
      <c r="AI3790" s="47"/>
      <c r="AJ3790" s="126" t="e">
        <v>#N/A</v>
      </c>
      <c r="AK3790" s="80">
        <f t="shared" si="588"/>
        <v>0</v>
      </c>
      <c r="AM3790" s="85"/>
    </row>
    <row r="3791" spans="1:39" hidden="1" x14ac:dyDescent="0.3">
      <c r="A3791" s="89" t="s">
        <v>3396</v>
      </c>
      <c r="B3791" s="86" t="s">
        <v>41</v>
      </c>
      <c r="C3791" s="86" t="s">
        <v>41</v>
      </c>
      <c r="D3791" s="86" t="s">
        <v>41</v>
      </c>
      <c r="E3791" s="86" t="s">
        <v>1035</v>
      </c>
      <c r="F3791" s="86" t="s">
        <v>1035</v>
      </c>
      <c r="G3791" s="86" t="s">
        <v>1036</v>
      </c>
      <c r="H3791" s="143">
        <v>62</v>
      </c>
      <c r="I3791" s="86" t="s">
        <v>408</v>
      </c>
      <c r="J3791" s="1" t="s">
        <v>3324</v>
      </c>
      <c r="K3791" s="1" t="s">
        <v>3278</v>
      </c>
      <c r="L3791" s="1" t="s">
        <v>35</v>
      </c>
      <c r="M3791" s="86" t="s">
        <v>1037</v>
      </c>
      <c r="N3791" s="86"/>
      <c r="O3791" s="47" t="s">
        <v>410</v>
      </c>
      <c r="P3791" s="47" t="s">
        <v>41</v>
      </c>
      <c r="Q3791" s="14">
        <v>0</v>
      </c>
      <c r="R3791" s="143">
        <v>1000001313</v>
      </c>
      <c r="S3791" s="47"/>
      <c r="T3791" s="6">
        <v>5768.6</v>
      </c>
      <c r="U3791" s="6"/>
      <c r="V3791" s="6">
        <v>0</v>
      </c>
      <c r="W3791" s="6">
        <f t="shared" si="584"/>
        <v>5768.6</v>
      </c>
      <c r="X3791" s="6">
        <f t="shared" si="585"/>
        <v>0</v>
      </c>
      <c r="Y3791" s="13">
        <f t="shared" si="586"/>
        <v>0</v>
      </c>
      <c r="Z3791" s="14">
        <v>0</v>
      </c>
      <c r="AA3791" s="6">
        <v>0</v>
      </c>
      <c r="AB3791" s="4">
        <f t="shared" si="587"/>
        <v>0</v>
      </c>
      <c r="AC3791" s="4">
        <f t="shared" si="589"/>
        <v>0</v>
      </c>
      <c r="AD3791" s="6">
        <f t="shared" si="582"/>
        <v>0</v>
      </c>
      <c r="AE3791" s="2">
        <f>VLOOKUP(I3791,[1]媒体政策预估表!A:N,MATCH(O3791,[1]媒体政策预估表!$A$2:$M$2,0),0)</f>
        <v>7.0000000000000007E-2</v>
      </c>
      <c r="AF3791" s="6">
        <f t="shared" si="590"/>
        <v>0</v>
      </c>
      <c r="AG3791" s="14">
        <v>0</v>
      </c>
      <c r="AH3791" s="64">
        <f t="shared" si="583"/>
        <v>0</v>
      </c>
      <c r="AI3791" s="47"/>
      <c r="AJ3791" s="126" t="e">
        <v>#N/A</v>
      </c>
      <c r="AK3791" s="80">
        <f t="shared" si="588"/>
        <v>0</v>
      </c>
      <c r="AM3791" s="85"/>
    </row>
    <row r="3792" spans="1:39" hidden="1" x14ac:dyDescent="0.3">
      <c r="A3792" s="89" t="s">
        <v>3396</v>
      </c>
      <c r="B3792" s="86" t="s">
        <v>41</v>
      </c>
      <c r="C3792" s="86" t="s">
        <v>41</v>
      </c>
      <c r="D3792" s="86" t="s">
        <v>41</v>
      </c>
      <c r="E3792" s="86" t="s">
        <v>1038</v>
      </c>
      <c r="F3792" s="86" t="s">
        <v>1038</v>
      </c>
      <c r="G3792" s="86" t="s">
        <v>1038</v>
      </c>
      <c r="H3792" s="143">
        <v>62</v>
      </c>
      <c r="I3792" s="86" t="s">
        <v>408</v>
      </c>
      <c r="J3792" s="1" t="s">
        <v>3324</v>
      </c>
      <c r="K3792" s="1" t="s">
        <v>3278</v>
      </c>
      <c r="L3792" s="1" t="s">
        <v>35</v>
      </c>
      <c r="M3792" s="86" t="s">
        <v>1039</v>
      </c>
      <c r="N3792" s="86"/>
      <c r="O3792" s="47" t="s">
        <v>410</v>
      </c>
      <c r="P3792" s="47" t="s">
        <v>41</v>
      </c>
      <c r="Q3792" s="14">
        <v>0</v>
      </c>
      <c r="R3792" s="143">
        <v>1000008364</v>
      </c>
      <c r="S3792" s="47"/>
      <c r="T3792" s="6">
        <v>6206</v>
      </c>
      <c r="U3792" s="6"/>
      <c r="V3792" s="6">
        <v>0</v>
      </c>
      <c r="W3792" s="6">
        <f t="shared" si="584"/>
        <v>6206</v>
      </c>
      <c r="X3792" s="6">
        <f t="shared" si="585"/>
        <v>0</v>
      </c>
      <c r="Y3792" s="13">
        <f t="shared" si="586"/>
        <v>0</v>
      </c>
      <c r="Z3792" s="14">
        <v>0</v>
      </c>
      <c r="AA3792" s="6">
        <v>0</v>
      </c>
      <c r="AB3792" s="4">
        <f t="shared" si="587"/>
        <v>0</v>
      </c>
      <c r="AC3792" s="4">
        <f t="shared" si="589"/>
        <v>0</v>
      </c>
      <c r="AD3792" s="6">
        <f t="shared" si="582"/>
        <v>0</v>
      </c>
      <c r="AE3792" s="2">
        <f>VLOOKUP(I3792,[1]媒体政策预估表!A:N,MATCH(O3792,[1]媒体政策预估表!$A$2:$M$2,0),0)</f>
        <v>7.0000000000000007E-2</v>
      </c>
      <c r="AF3792" s="6">
        <f t="shared" si="590"/>
        <v>0</v>
      </c>
      <c r="AG3792" s="14">
        <v>0</v>
      </c>
      <c r="AH3792" s="64">
        <f t="shared" si="583"/>
        <v>0</v>
      </c>
      <c r="AI3792" s="47"/>
      <c r="AJ3792" s="126" t="e">
        <v>#N/A</v>
      </c>
      <c r="AK3792" s="80">
        <f t="shared" si="588"/>
        <v>0</v>
      </c>
      <c r="AM3792" s="85"/>
    </row>
    <row r="3793" spans="1:39" hidden="1" x14ac:dyDescent="0.3">
      <c r="A3793" s="89" t="s">
        <v>3396</v>
      </c>
      <c r="B3793" s="86" t="s">
        <v>41</v>
      </c>
      <c r="C3793" s="86" t="s">
        <v>41</v>
      </c>
      <c r="D3793" s="86" t="s">
        <v>41</v>
      </c>
      <c r="E3793" s="86" t="s">
        <v>41</v>
      </c>
      <c r="F3793" s="86" t="s">
        <v>41</v>
      </c>
      <c r="G3793" s="86" t="s">
        <v>41</v>
      </c>
      <c r="H3793" s="143">
        <v>62</v>
      </c>
      <c r="I3793" s="86" t="s">
        <v>408</v>
      </c>
      <c r="J3793" s="1" t="s">
        <v>3324</v>
      </c>
      <c r="K3793" s="1" t="s">
        <v>3278</v>
      </c>
      <c r="L3793" s="1" t="s">
        <v>35</v>
      </c>
      <c r="M3793" s="86" t="s">
        <v>1040</v>
      </c>
      <c r="N3793" s="86"/>
      <c r="O3793" s="47" t="s">
        <v>410</v>
      </c>
      <c r="P3793" s="47" t="s">
        <v>41</v>
      </c>
      <c r="Q3793" s="14">
        <v>0</v>
      </c>
      <c r="R3793" s="143">
        <v>1000003181</v>
      </c>
      <c r="S3793" s="47"/>
      <c r="T3793" s="6">
        <v>46724.05</v>
      </c>
      <c r="U3793" s="6"/>
      <c r="V3793" s="6">
        <v>0</v>
      </c>
      <c r="W3793" s="6">
        <f t="shared" si="584"/>
        <v>46724.05</v>
      </c>
      <c r="X3793" s="6">
        <f t="shared" si="585"/>
        <v>0</v>
      </c>
      <c r="Y3793" s="13">
        <f t="shared" si="586"/>
        <v>0</v>
      </c>
      <c r="Z3793" s="14">
        <v>0</v>
      </c>
      <c r="AA3793" s="6">
        <v>0</v>
      </c>
      <c r="AB3793" s="4">
        <f t="shared" si="587"/>
        <v>0</v>
      </c>
      <c r="AC3793" s="4">
        <f t="shared" si="589"/>
        <v>0</v>
      </c>
      <c r="AD3793" s="6">
        <f t="shared" si="582"/>
        <v>0</v>
      </c>
      <c r="AE3793" s="2">
        <f>VLOOKUP(I3793,[1]媒体政策预估表!A:N,MATCH(O3793,[1]媒体政策预估表!$A$2:$M$2,0),0)</f>
        <v>7.0000000000000007E-2</v>
      </c>
      <c r="AF3793" s="6">
        <f t="shared" si="590"/>
        <v>0</v>
      </c>
      <c r="AG3793" s="14">
        <v>0</v>
      </c>
      <c r="AH3793" s="64">
        <f t="shared" si="583"/>
        <v>0</v>
      </c>
      <c r="AI3793" s="47"/>
      <c r="AJ3793" s="126" t="e">
        <v>#N/A</v>
      </c>
      <c r="AK3793" s="80">
        <f t="shared" si="588"/>
        <v>0</v>
      </c>
      <c r="AM3793" s="85"/>
    </row>
    <row r="3794" spans="1:39" hidden="1" x14ac:dyDescent="0.3">
      <c r="A3794" s="89" t="s">
        <v>3396</v>
      </c>
      <c r="B3794" s="86" t="s">
        <v>41</v>
      </c>
      <c r="C3794" s="86" t="s">
        <v>41</v>
      </c>
      <c r="D3794" s="86" t="s">
        <v>41</v>
      </c>
      <c r="E3794" s="86" t="s">
        <v>41</v>
      </c>
      <c r="F3794" s="86" t="s">
        <v>41</v>
      </c>
      <c r="G3794" s="86" t="s">
        <v>41</v>
      </c>
      <c r="H3794" s="143">
        <v>62</v>
      </c>
      <c r="I3794" s="86" t="s">
        <v>408</v>
      </c>
      <c r="J3794" s="1" t="s">
        <v>3324</v>
      </c>
      <c r="K3794" s="1" t="s">
        <v>3278</v>
      </c>
      <c r="L3794" s="1" t="s">
        <v>35</v>
      </c>
      <c r="M3794" s="86" t="s">
        <v>1041</v>
      </c>
      <c r="N3794" s="86"/>
      <c r="O3794" s="47" t="s">
        <v>410</v>
      </c>
      <c r="P3794" s="47" t="s">
        <v>41</v>
      </c>
      <c r="Q3794" s="14">
        <v>0</v>
      </c>
      <c r="R3794" s="143">
        <v>1000003841</v>
      </c>
      <c r="S3794" s="47"/>
      <c r="T3794" s="6">
        <v>59848.4</v>
      </c>
      <c r="U3794" s="6"/>
      <c r="V3794" s="6">
        <v>0</v>
      </c>
      <c r="W3794" s="6">
        <f t="shared" si="584"/>
        <v>59848.4</v>
      </c>
      <c r="X3794" s="6">
        <f t="shared" si="585"/>
        <v>0</v>
      </c>
      <c r="Y3794" s="13">
        <f t="shared" si="586"/>
        <v>0</v>
      </c>
      <c r="Z3794" s="14">
        <v>0</v>
      </c>
      <c r="AA3794" s="6">
        <v>0</v>
      </c>
      <c r="AB3794" s="4">
        <f t="shared" si="587"/>
        <v>0</v>
      </c>
      <c r="AC3794" s="4">
        <f t="shared" si="589"/>
        <v>0</v>
      </c>
      <c r="AD3794" s="6">
        <f t="shared" si="582"/>
        <v>0</v>
      </c>
      <c r="AE3794" s="2">
        <f>VLOOKUP(I3794,[1]媒体政策预估表!A:N,MATCH(O3794,[1]媒体政策预估表!$A$2:$M$2,0),0)</f>
        <v>7.0000000000000007E-2</v>
      </c>
      <c r="AF3794" s="6">
        <f t="shared" si="590"/>
        <v>0</v>
      </c>
      <c r="AG3794" s="14">
        <v>0</v>
      </c>
      <c r="AH3794" s="64">
        <f t="shared" si="583"/>
        <v>0</v>
      </c>
      <c r="AI3794" s="47"/>
      <c r="AJ3794" s="126" t="e">
        <v>#N/A</v>
      </c>
      <c r="AK3794" s="80">
        <f t="shared" si="588"/>
        <v>0</v>
      </c>
      <c r="AM3794" s="85"/>
    </row>
    <row r="3795" spans="1:39" hidden="1" x14ac:dyDescent="0.3">
      <c r="A3795" s="89" t="s">
        <v>3396</v>
      </c>
      <c r="B3795" s="86" t="s">
        <v>41</v>
      </c>
      <c r="C3795" s="86" t="s">
        <v>41</v>
      </c>
      <c r="D3795" s="86" t="s">
        <v>41</v>
      </c>
      <c r="E3795" s="86" t="s">
        <v>41</v>
      </c>
      <c r="F3795" s="86" t="s">
        <v>41</v>
      </c>
      <c r="G3795" s="86" t="s">
        <v>41</v>
      </c>
      <c r="H3795" s="143">
        <v>62</v>
      </c>
      <c r="I3795" s="86" t="s">
        <v>408</v>
      </c>
      <c r="J3795" s="1" t="s">
        <v>3324</v>
      </c>
      <c r="K3795" s="1" t="s">
        <v>3278</v>
      </c>
      <c r="L3795" s="1" t="s">
        <v>35</v>
      </c>
      <c r="M3795" s="86" t="s">
        <v>1042</v>
      </c>
      <c r="N3795" s="86"/>
      <c r="O3795" s="47" t="s">
        <v>410</v>
      </c>
      <c r="P3795" s="47" t="s">
        <v>41</v>
      </c>
      <c r="Q3795" s="14">
        <v>0</v>
      </c>
      <c r="R3795" s="143">
        <v>1000003166</v>
      </c>
      <c r="S3795" s="47"/>
      <c r="T3795" s="6">
        <v>200</v>
      </c>
      <c r="U3795" s="6"/>
      <c r="V3795" s="6">
        <v>0</v>
      </c>
      <c r="W3795" s="6">
        <f t="shared" si="584"/>
        <v>200</v>
      </c>
      <c r="X3795" s="6">
        <f t="shared" si="585"/>
        <v>0</v>
      </c>
      <c r="Y3795" s="13">
        <f t="shared" si="586"/>
        <v>0</v>
      </c>
      <c r="Z3795" s="14">
        <v>0</v>
      </c>
      <c r="AA3795" s="6">
        <v>0</v>
      </c>
      <c r="AB3795" s="4">
        <f t="shared" si="587"/>
        <v>0</v>
      </c>
      <c r="AC3795" s="4">
        <f t="shared" si="589"/>
        <v>0</v>
      </c>
      <c r="AD3795" s="6">
        <f t="shared" si="582"/>
        <v>0</v>
      </c>
      <c r="AE3795" s="2">
        <f>VLOOKUP(I3795,[1]媒体政策预估表!A:N,MATCH(O3795,[1]媒体政策预估表!$A$2:$M$2,0),0)</f>
        <v>7.0000000000000007E-2</v>
      </c>
      <c r="AF3795" s="6">
        <f t="shared" si="590"/>
        <v>0</v>
      </c>
      <c r="AG3795" s="14">
        <v>0</v>
      </c>
      <c r="AH3795" s="64">
        <f t="shared" si="583"/>
        <v>0</v>
      </c>
      <c r="AI3795" s="47"/>
      <c r="AJ3795" s="126" t="e">
        <v>#N/A</v>
      </c>
      <c r="AK3795" s="80">
        <f t="shared" si="588"/>
        <v>0</v>
      </c>
      <c r="AM3795" s="85"/>
    </row>
    <row r="3796" spans="1:39" hidden="1" x14ac:dyDescent="0.3">
      <c r="A3796" s="89" t="s">
        <v>3395</v>
      </c>
      <c r="B3796" s="86" t="s">
        <v>41</v>
      </c>
      <c r="C3796" s="86" t="s">
        <v>41</v>
      </c>
      <c r="D3796" s="86" t="s">
        <v>41</v>
      </c>
      <c r="E3796" s="86" t="s">
        <v>41</v>
      </c>
      <c r="F3796" s="86" t="s">
        <v>41</v>
      </c>
      <c r="G3796" s="86" t="s">
        <v>41</v>
      </c>
      <c r="H3796" s="143">
        <v>62</v>
      </c>
      <c r="I3796" s="86" t="s">
        <v>408</v>
      </c>
      <c r="J3796" s="1" t="s">
        <v>3324</v>
      </c>
      <c r="K3796" s="1" t="s">
        <v>3278</v>
      </c>
      <c r="L3796" s="1" t="s">
        <v>35</v>
      </c>
      <c r="M3796" s="86" t="s">
        <v>1043</v>
      </c>
      <c r="N3796" s="86"/>
      <c r="O3796" s="47" t="s">
        <v>410</v>
      </c>
      <c r="P3796" s="47" t="s">
        <v>41</v>
      </c>
      <c r="Q3796" s="14">
        <v>0</v>
      </c>
      <c r="R3796" s="143">
        <v>1000002454</v>
      </c>
      <c r="S3796" s="47"/>
      <c r="T3796" s="6">
        <v>9963.2999999999993</v>
      </c>
      <c r="U3796" s="6"/>
      <c r="V3796" s="6">
        <v>0</v>
      </c>
      <c r="W3796" s="6">
        <f t="shared" si="584"/>
        <v>9963.2999999999993</v>
      </c>
      <c r="X3796" s="6">
        <f t="shared" si="585"/>
        <v>0</v>
      </c>
      <c r="Y3796" s="13">
        <f t="shared" si="586"/>
        <v>0</v>
      </c>
      <c r="Z3796" s="14">
        <v>0</v>
      </c>
      <c r="AA3796" s="6">
        <v>0</v>
      </c>
      <c r="AB3796" s="4">
        <f t="shared" si="587"/>
        <v>0</v>
      </c>
      <c r="AC3796" s="4">
        <f t="shared" si="589"/>
        <v>0</v>
      </c>
      <c r="AD3796" s="6">
        <f t="shared" si="582"/>
        <v>0</v>
      </c>
      <c r="AE3796" s="2">
        <f>VLOOKUP(I3796,[1]媒体政策预估表!A:N,MATCH(O3796,[1]媒体政策预估表!$A$2:$M$2,0),0)</f>
        <v>7.0000000000000007E-2</v>
      </c>
      <c r="AF3796" s="6">
        <f t="shared" si="590"/>
        <v>0</v>
      </c>
      <c r="AG3796" s="14">
        <v>0</v>
      </c>
      <c r="AH3796" s="64">
        <f t="shared" si="583"/>
        <v>0</v>
      </c>
      <c r="AI3796" s="47"/>
      <c r="AJ3796" s="126" t="e">
        <v>#N/A</v>
      </c>
      <c r="AK3796" s="80">
        <f t="shared" si="588"/>
        <v>0</v>
      </c>
      <c r="AM3796" s="85"/>
    </row>
    <row r="3797" spans="1:39" hidden="1" x14ac:dyDescent="0.3">
      <c r="A3797" s="89" t="s">
        <v>3395</v>
      </c>
      <c r="B3797" s="86" t="s">
        <v>41</v>
      </c>
      <c r="C3797" s="86" t="s">
        <v>41</v>
      </c>
      <c r="D3797" s="86" t="s">
        <v>41</v>
      </c>
      <c r="E3797" s="86" t="s">
        <v>41</v>
      </c>
      <c r="F3797" s="86" t="s">
        <v>41</v>
      </c>
      <c r="G3797" s="86" t="s">
        <v>41</v>
      </c>
      <c r="H3797" s="143">
        <v>62</v>
      </c>
      <c r="I3797" s="86" t="s">
        <v>408</v>
      </c>
      <c r="J3797" s="1" t="s">
        <v>3324</v>
      </c>
      <c r="K3797" s="1" t="s">
        <v>3278</v>
      </c>
      <c r="L3797" s="1" t="s">
        <v>35</v>
      </c>
      <c r="M3797" s="86" t="s">
        <v>1044</v>
      </c>
      <c r="N3797" s="86"/>
      <c r="O3797" s="47" t="s">
        <v>410</v>
      </c>
      <c r="P3797" s="47" t="s">
        <v>41</v>
      </c>
      <c r="Q3797" s="14">
        <v>0</v>
      </c>
      <c r="R3797" s="143">
        <v>1000001368</v>
      </c>
      <c r="S3797" s="47"/>
      <c r="T3797" s="6">
        <v>606.33000000000004</v>
      </c>
      <c r="U3797" s="6"/>
      <c r="V3797" s="6">
        <v>0</v>
      </c>
      <c r="W3797" s="6">
        <f t="shared" si="584"/>
        <v>606.33000000000004</v>
      </c>
      <c r="X3797" s="6">
        <f t="shared" si="585"/>
        <v>0</v>
      </c>
      <c r="Y3797" s="13">
        <f t="shared" si="586"/>
        <v>0</v>
      </c>
      <c r="Z3797" s="14">
        <v>0</v>
      </c>
      <c r="AA3797" s="6">
        <v>0</v>
      </c>
      <c r="AB3797" s="4">
        <f t="shared" si="587"/>
        <v>0</v>
      </c>
      <c r="AC3797" s="4">
        <f t="shared" si="589"/>
        <v>0</v>
      </c>
      <c r="AD3797" s="6">
        <f t="shared" si="582"/>
        <v>0</v>
      </c>
      <c r="AE3797" s="2">
        <f>VLOOKUP(I3797,[1]媒体政策预估表!A:N,MATCH(O3797,[1]媒体政策预估表!$A$2:$M$2,0),0)</f>
        <v>7.0000000000000007E-2</v>
      </c>
      <c r="AF3797" s="6">
        <f t="shared" si="590"/>
        <v>0</v>
      </c>
      <c r="AG3797" s="14">
        <v>0</v>
      </c>
      <c r="AH3797" s="64">
        <f t="shared" si="583"/>
        <v>0</v>
      </c>
      <c r="AI3797" s="47"/>
      <c r="AJ3797" s="126" t="e">
        <v>#N/A</v>
      </c>
      <c r="AK3797" s="80">
        <f t="shared" si="588"/>
        <v>0</v>
      </c>
      <c r="AM3797" s="85"/>
    </row>
    <row r="3798" spans="1:39" hidden="1" x14ac:dyDescent="0.3">
      <c r="A3798" s="89" t="s">
        <v>3396</v>
      </c>
      <c r="B3798" s="86" t="s">
        <v>41</v>
      </c>
      <c r="C3798" s="86" t="s">
        <v>41</v>
      </c>
      <c r="D3798" s="86" t="s">
        <v>41</v>
      </c>
      <c r="E3798" s="86" t="s">
        <v>41</v>
      </c>
      <c r="F3798" s="86" t="s">
        <v>41</v>
      </c>
      <c r="G3798" s="86" t="s">
        <v>41</v>
      </c>
      <c r="H3798" s="143">
        <v>62</v>
      </c>
      <c r="I3798" s="86" t="s">
        <v>408</v>
      </c>
      <c r="J3798" s="1" t="s">
        <v>3324</v>
      </c>
      <c r="K3798" s="1" t="s">
        <v>3278</v>
      </c>
      <c r="L3798" s="1" t="s">
        <v>35</v>
      </c>
      <c r="M3798" s="86" t="s">
        <v>1045</v>
      </c>
      <c r="N3798" s="86"/>
      <c r="O3798" s="47" t="s">
        <v>410</v>
      </c>
      <c r="P3798" s="47" t="s">
        <v>41</v>
      </c>
      <c r="Q3798" s="14">
        <v>0</v>
      </c>
      <c r="R3798" s="143">
        <v>1000003147</v>
      </c>
      <c r="S3798" s="47"/>
      <c r="T3798" s="6">
        <v>9884.1</v>
      </c>
      <c r="U3798" s="6"/>
      <c r="V3798" s="6">
        <v>0</v>
      </c>
      <c r="W3798" s="6">
        <f t="shared" si="584"/>
        <v>9884.1</v>
      </c>
      <c r="X3798" s="6">
        <f t="shared" si="585"/>
        <v>0</v>
      </c>
      <c r="Y3798" s="13">
        <f t="shared" si="586"/>
        <v>0</v>
      </c>
      <c r="Z3798" s="14">
        <v>0</v>
      </c>
      <c r="AA3798" s="6">
        <v>0</v>
      </c>
      <c r="AB3798" s="4">
        <f t="shared" si="587"/>
        <v>0</v>
      </c>
      <c r="AC3798" s="4">
        <f t="shared" si="589"/>
        <v>0</v>
      </c>
      <c r="AD3798" s="6">
        <f t="shared" si="582"/>
        <v>0</v>
      </c>
      <c r="AE3798" s="2">
        <f>VLOOKUP(I3798,[1]媒体政策预估表!A:N,MATCH(O3798,[1]媒体政策预估表!$A$2:$M$2,0),0)</f>
        <v>7.0000000000000007E-2</v>
      </c>
      <c r="AF3798" s="6">
        <f t="shared" si="590"/>
        <v>0</v>
      </c>
      <c r="AG3798" s="14">
        <v>0</v>
      </c>
      <c r="AH3798" s="64">
        <f t="shared" si="583"/>
        <v>0</v>
      </c>
      <c r="AI3798" s="47"/>
      <c r="AJ3798" s="126" t="e">
        <v>#N/A</v>
      </c>
      <c r="AK3798" s="80">
        <f t="shared" si="588"/>
        <v>0</v>
      </c>
      <c r="AM3798" s="85"/>
    </row>
    <row r="3799" spans="1:39" hidden="1" x14ac:dyDescent="0.3">
      <c r="A3799" s="89" t="s">
        <v>3394</v>
      </c>
      <c r="B3799" s="86" t="s">
        <v>41</v>
      </c>
      <c r="C3799" s="86" t="s">
        <v>41</v>
      </c>
      <c r="D3799" s="86" t="s">
        <v>41</v>
      </c>
      <c r="E3799" s="86" t="s">
        <v>41</v>
      </c>
      <c r="F3799" s="86" t="s">
        <v>41</v>
      </c>
      <c r="G3799" s="86" t="s">
        <v>41</v>
      </c>
      <c r="H3799" s="143">
        <v>62</v>
      </c>
      <c r="I3799" s="86" t="s">
        <v>408</v>
      </c>
      <c r="J3799" s="1" t="s">
        <v>3324</v>
      </c>
      <c r="K3799" s="1" t="s">
        <v>3278</v>
      </c>
      <c r="L3799" s="1" t="s">
        <v>35</v>
      </c>
      <c r="M3799" s="86" t="s">
        <v>1046</v>
      </c>
      <c r="N3799" s="86"/>
      <c r="O3799" s="47" t="s">
        <v>410</v>
      </c>
      <c r="P3799" s="47" t="s">
        <v>41</v>
      </c>
      <c r="Q3799" s="14">
        <v>0</v>
      </c>
      <c r="R3799" s="143">
        <v>1000002128</v>
      </c>
      <c r="S3799" s="47"/>
      <c r="T3799" s="6">
        <v>2791.4</v>
      </c>
      <c r="U3799" s="6"/>
      <c r="V3799" s="6">
        <v>0</v>
      </c>
      <c r="W3799" s="6">
        <f t="shared" si="584"/>
        <v>2791.4</v>
      </c>
      <c r="X3799" s="6">
        <f t="shared" si="585"/>
        <v>0</v>
      </c>
      <c r="Y3799" s="13">
        <f t="shared" si="586"/>
        <v>0</v>
      </c>
      <c r="Z3799" s="14">
        <v>0</v>
      </c>
      <c r="AA3799" s="6">
        <v>0</v>
      </c>
      <c r="AB3799" s="4">
        <f t="shared" si="587"/>
        <v>0</v>
      </c>
      <c r="AC3799" s="4">
        <f t="shared" si="589"/>
        <v>0</v>
      </c>
      <c r="AD3799" s="6">
        <f t="shared" si="582"/>
        <v>0</v>
      </c>
      <c r="AE3799" s="2">
        <f>VLOOKUP(I3799,[1]媒体政策预估表!A:N,MATCH(O3799,[1]媒体政策预估表!$A$2:$M$2,0),0)</f>
        <v>7.0000000000000007E-2</v>
      </c>
      <c r="AF3799" s="6">
        <f t="shared" si="590"/>
        <v>0</v>
      </c>
      <c r="AG3799" s="14">
        <v>0</v>
      </c>
      <c r="AH3799" s="64">
        <f t="shared" si="583"/>
        <v>0</v>
      </c>
      <c r="AI3799" s="47"/>
      <c r="AJ3799" s="126" t="e">
        <v>#N/A</v>
      </c>
      <c r="AK3799" s="80">
        <f t="shared" si="588"/>
        <v>0</v>
      </c>
      <c r="AM3799" s="85"/>
    </row>
    <row r="3800" spans="1:39" hidden="1" x14ac:dyDescent="0.3">
      <c r="A3800" s="89" t="s">
        <v>3396</v>
      </c>
      <c r="B3800" s="86" t="s">
        <v>41</v>
      </c>
      <c r="C3800" s="86" t="s">
        <v>41</v>
      </c>
      <c r="D3800" s="86" t="s">
        <v>41</v>
      </c>
      <c r="E3800" s="86" t="s">
        <v>41</v>
      </c>
      <c r="F3800" s="86" t="s">
        <v>41</v>
      </c>
      <c r="G3800" s="86" t="s">
        <v>41</v>
      </c>
      <c r="H3800" s="143">
        <v>62</v>
      </c>
      <c r="I3800" s="86" t="s">
        <v>408</v>
      </c>
      <c r="J3800" s="1" t="s">
        <v>3324</v>
      </c>
      <c r="K3800" s="1" t="s">
        <v>3278</v>
      </c>
      <c r="L3800" s="1" t="s">
        <v>35</v>
      </c>
      <c r="M3800" s="86" t="s">
        <v>1047</v>
      </c>
      <c r="N3800" s="86"/>
      <c r="O3800" s="47" t="s">
        <v>410</v>
      </c>
      <c r="P3800" s="47" t="s">
        <v>41</v>
      </c>
      <c r="Q3800" s="14">
        <v>0</v>
      </c>
      <c r="R3800" s="143">
        <v>1000011844</v>
      </c>
      <c r="S3800" s="47"/>
      <c r="T3800" s="6">
        <v>237.5</v>
      </c>
      <c r="U3800" s="6"/>
      <c r="V3800" s="6">
        <v>0</v>
      </c>
      <c r="W3800" s="6">
        <f t="shared" si="584"/>
        <v>237.5</v>
      </c>
      <c r="X3800" s="6">
        <f t="shared" si="585"/>
        <v>0</v>
      </c>
      <c r="Y3800" s="13">
        <f t="shared" si="586"/>
        <v>0</v>
      </c>
      <c r="Z3800" s="14">
        <v>0</v>
      </c>
      <c r="AA3800" s="6">
        <v>0</v>
      </c>
      <c r="AB3800" s="4">
        <f t="shared" si="587"/>
        <v>0</v>
      </c>
      <c r="AC3800" s="4">
        <f t="shared" si="589"/>
        <v>0</v>
      </c>
      <c r="AD3800" s="6">
        <f t="shared" si="582"/>
        <v>0</v>
      </c>
      <c r="AE3800" s="2">
        <f>VLOOKUP(I3800,[1]媒体政策预估表!A:N,MATCH(O3800,[1]媒体政策预估表!$A$2:$M$2,0),0)</f>
        <v>7.0000000000000007E-2</v>
      </c>
      <c r="AF3800" s="6">
        <f t="shared" si="590"/>
        <v>0</v>
      </c>
      <c r="AG3800" s="14">
        <v>0</v>
      </c>
      <c r="AH3800" s="64">
        <f t="shared" si="583"/>
        <v>0</v>
      </c>
      <c r="AI3800" s="47"/>
      <c r="AJ3800" s="126" t="e">
        <v>#N/A</v>
      </c>
      <c r="AK3800" s="80">
        <f t="shared" si="588"/>
        <v>0</v>
      </c>
      <c r="AM3800" s="85"/>
    </row>
    <row r="3801" spans="1:39" hidden="1" x14ac:dyDescent="0.3">
      <c r="A3801" s="89" t="s">
        <v>3394</v>
      </c>
      <c r="B3801" s="86" t="s">
        <v>41</v>
      </c>
      <c r="C3801" s="86" t="s">
        <v>41</v>
      </c>
      <c r="D3801" s="86" t="s">
        <v>41</v>
      </c>
      <c r="E3801" s="86" t="s">
        <v>41</v>
      </c>
      <c r="F3801" s="86" t="s">
        <v>41</v>
      </c>
      <c r="G3801" s="86" t="s">
        <v>41</v>
      </c>
      <c r="H3801" s="143">
        <v>62</v>
      </c>
      <c r="I3801" s="86" t="s">
        <v>408</v>
      </c>
      <c r="J3801" s="1" t="s">
        <v>3324</v>
      </c>
      <c r="K3801" s="1" t="s">
        <v>3278</v>
      </c>
      <c r="L3801" s="1" t="s">
        <v>35</v>
      </c>
      <c r="M3801" s="86" t="s">
        <v>1048</v>
      </c>
      <c r="N3801" s="86"/>
      <c r="O3801" s="47" t="s">
        <v>410</v>
      </c>
      <c r="P3801" s="47" t="s">
        <v>41</v>
      </c>
      <c r="Q3801" s="14">
        <v>0</v>
      </c>
      <c r="R3801" s="143">
        <v>1000004926</v>
      </c>
      <c r="S3801" s="47"/>
      <c r="T3801" s="6">
        <v>8891.23</v>
      </c>
      <c r="U3801" s="6"/>
      <c r="V3801" s="6">
        <v>0</v>
      </c>
      <c r="W3801" s="6">
        <f t="shared" si="584"/>
        <v>8891.23</v>
      </c>
      <c r="X3801" s="6">
        <f t="shared" si="585"/>
        <v>0</v>
      </c>
      <c r="Y3801" s="13">
        <f t="shared" si="586"/>
        <v>0</v>
      </c>
      <c r="Z3801" s="14">
        <v>0</v>
      </c>
      <c r="AA3801" s="6">
        <v>0</v>
      </c>
      <c r="AB3801" s="4">
        <f t="shared" si="587"/>
        <v>0</v>
      </c>
      <c r="AC3801" s="4">
        <f t="shared" si="589"/>
        <v>0</v>
      </c>
      <c r="AD3801" s="6">
        <f t="shared" si="582"/>
        <v>0</v>
      </c>
      <c r="AE3801" s="2">
        <f>VLOOKUP(I3801,[1]媒体政策预估表!A:N,MATCH(O3801,[1]媒体政策预估表!$A$2:$M$2,0),0)</f>
        <v>7.0000000000000007E-2</v>
      </c>
      <c r="AF3801" s="6">
        <f t="shared" si="590"/>
        <v>0</v>
      </c>
      <c r="AG3801" s="14">
        <v>0</v>
      </c>
      <c r="AH3801" s="64">
        <f t="shared" si="583"/>
        <v>0</v>
      </c>
      <c r="AI3801" s="47"/>
      <c r="AJ3801" s="126" t="e">
        <v>#N/A</v>
      </c>
      <c r="AK3801" s="80">
        <f t="shared" si="588"/>
        <v>0</v>
      </c>
      <c r="AM3801" s="85"/>
    </row>
    <row r="3802" spans="1:39" hidden="1" x14ac:dyDescent="0.3">
      <c r="A3802" s="89" t="s">
        <v>3396</v>
      </c>
      <c r="B3802" s="86" t="s">
        <v>41</v>
      </c>
      <c r="C3802" s="86" t="s">
        <v>41</v>
      </c>
      <c r="D3802" s="86" t="s">
        <v>41</v>
      </c>
      <c r="E3802" s="86" t="s">
        <v>41</v>
      </c>
      <c r="F3802" s="86" t="s">
        <v>41</v>
      </c>
      <c r="G3802" s="86" t="s">
        <v>41</v>
      </c>
      <c r="H3802" s="143">
        <v>62</v>
      </c>
      <c r="I3802" s="86" t="s">
        <v>408</v>
      </c>
      <c r="J3802" s="1" t="s">
        <v>3324</v>
      </c>
      <c r="K3802" s="1" t="s">
        <v>3278</v>
      </c>
      <c r="L3802" s="1" t="s">
        <v>35</v>
      </c>
      <c r="M3802" s="86" t="s">
        <v>1049</v>
      </c>
      <c r="N3802" s="86"/>
      <c r="O3802" s="47" t="s">
        <v>410</v>
      </c>
      <c r="P3802" s="47" t="s">
        <v>41</v>
      </c>
      <c r="Q3802" s="14">
        <v>0</v>
      </c>
      <c r="R3802" s="143">
        <v>1000002928</v>
      </c>
      <c r="S3802" s="47"/>
      <c r="T3802" s="6">
        <v>400</v>
      </c>
      <c r="U3802" s="6"/>
      <c r="V3802" s="6">
        <v>0</v>
      </c>
      <c r="W3802" s="6">
        <f t="shared" si="584"/>
        <v>400</v>
      </c>
      <c r="X3802" s="6">
        <f t="shared" si="585"/>
        <v>0</v>
      </c>
      <c r="Y3802" s="13">
        <f t="shared" si="586"/>
        <v>0</v>
      </c>
      <c r="Z3802" s="14">
        <v>0</v>
      </c>
      <c r="AA3802" s="6">
        <v>0</v>
      </c>
      <c r="AB3802" s="4">
        <f t="shared" si="587"/>
        <v>0</v>
      </c>
      <c r="AC3802" s="4">
        <f t="shared" si="589"/>
        <v>0</v>
      </c>
      <c r="AD3802" s="6">
        <f t="shared" si="582"/>
        <v>0</v>
      </c>
      <c r="AE3802" s="2">
        <f>VLOOKUP(I3802,[1]媒体政策预估表!A:N,MATCH(O3802,[1]媒体政策预估表!$A$2:$M$2,0),0)</f>
        <v>7.0000000000000007E-2</v>
      </c>
      <c r="AF3802" s="6">
        <f t="shared" si="590"/>
        <v>0</v>
      </c>
      <c r="AG3802" s="14">
        <v>0</v>
      </c>
      <c r="AH3802" s="64">
        <f t="shared" si="583"/>
        <v>0</v>
      </c>
      <c r="AI3802" s="47"/>
      <c r="AJ3802" s="126" t="e">
        <v>#N/A</v>
      </c>
      <c r="AK3802" s="80">
        <f t="shared" si="588"/>
        <v>0</v>
      </c>
      <c r="AM3802" s="85"/>
    </row>
    <row r="3803" spans="1:39" hidden="1" x14ac:dyDescent="0.3">
      <c r="A3803" s="89" t="s">
        <v>3396</v>
      </c>
      <c r="B3803" s="86" t="s">
        <v>41</v>
      </c>
      <c r="C3803" s="86" t="s">
        <v>41</v>
      </c>
      <c r="D3803" s="86" t="s">
        <v>41</v>
      </c>
      <c r="E3803" s="86" t="s">
        <v>41</v>
      </c>
      <c r="F3803" s="86" t="s">
        <v>41</v>
      </c>
      <c r="G3803" s="86" t="s">
        <v>41</v>
      </c>
      <c r="H3803" s="143">
        <v>62</v>
      </c>
      <c r="I3803" s="86" t="s">
        <v>408</v>
      </c>
      <c r="J3803" s="1" t="s">
        <v>3324</v>
      </c>
      <c r="K3803" s="1" t="s">
        <v>3278</v>
      </c>
      <c r="L3803" s="1" t="s">
        <v>35</v>
      </c>
      <c r="M3803" s="86" t="s">
        <v>1050</v>
      </c>
      <c r="N3803" s="86"/>
      <c r="O3803" s="47" t="s">
        <v>410</v>
      </c>
      <c r="P3803" s="47" t="s">
        <v>41</v>
      </c>
      <c r="Q3803" s="14">
        <v>0</v>
      </c>
      <c r="R3803" s="143">
        <v>1000001181</v>
      </c>
      <c r="S3803" s="47"/>
      <c r="T3803" s="6">
        <v>2455.6</v>
      </c>
      <c r="U3803" s="6"/>
      <c r="V3803" s="6">
        <v>0</v>
      </c>
      <c r="W3803" s="6">
        <f t="shared" si="584"/>
        <v>2455.6</v>
      </c>
      <c r="X3803" s="6">
        <f t="shared" si="585"/>
        <v>0</v>
      </c>
      <c r="Y3803" s="13">
        <f t="shared" si="586"/>
        <v>0</v>
      </c>
      <c r="Z3803" s="14">
        <v>0</v>
      </c>
      <c r="AA3803" s="6">
        <v>0</v>
      </c>
      <c r="AB3803" s="4">
        <f t="shared" si="587"/>
        <v>0</v>
      </c>
      <c r="AC3803" s="4">
        <f t="shared" si="589"/>
        <v>0</v>
      </c>
      <c r="AD3803" s="6">
        <f t="shared" si="582"/>
        <v>0</v>
      </c>
      <c r="AE3803" s="2">
        <f>VLOOKUP(I3803,[1]媒体政策预估表!A:N,MATCH(O3803,[1]媒体政策预估表!$A$2:$M$2,0),0)</f>
        <v>7.0000000000000007E-2</v>
      </c>
      <c r="AF3803" s="6">
        <f t="shared" si="590"/>
        <v>0</v>
      </c>
      <c r="AG3803" s="14">
        <v>0</v>
      </c>
      <c r="AH3803" s="64">
        <f t="shared" si="583"/>
        <v>0</v>
      </c>
      <c r="AI3803" s="47"/>
      <c r="AJ3803" s="126" t="e">
        <v>#N/A</v>
      </c>
      <c r="AK3803" s="80">
        <f t="shared" si="588"/>
        <v>0</v>
      </c>
      <c r="AM3803" s="85"/>
    </row>
    <row r="3804" spans="1:39" hidden="1" x14ac:dyDescent="0.3">
      <c r="A3804" s="89" t="s">
        <v>3396</v>
      </c>
      <c r="B3804" s="86" t="s">
        <v>41</v>
      </c>
      <c r="C3804" s="86" t="s">
        <v>41</v>
      </c>
      <c r="D3804" s="86" t="s">
        <v>41</v>
      </c>
      <c r="E3804" s="86" t="s">
        <v>41</v>
      </c>
      <c r="F3804" s="86" t="s">
        <v>41</v>
      </c>
      <c r="G3804" s="86" t="s">
        <v>41</v>
      </c>
      <c r="H3804" s="143">
        <v>62</v>
      </c>
      <c r="I3804" s="86" t="s">
        <v>408</v>
      </c>
      <c r="J3804" s="1" t="s">
        <v>3324</v>
      </c>
      <c r="K3804" s="1" t="s">
        <v>3278</v>
      </c>
      <c r="L3804" s="1" t="s">
        <v>35</v>
      </c>
      <c r="M3804" s="86" t="s">
        <v>1051</v>
      </c>
      <c r="N3804" s="86"/>
      <c r="O3804" s="47" t="s">
        <v>410</v>
      </c>
      <c r="P3804" s="47" t="s">
        <v>41</v>
      </c>
      <c r="Q3804" s="14">
        <v>0</v>
      </c>
      <c r="R3804" s="143">
        <v>1000000998</v>
      </c>
      <c r="S3804" s="47"/>
      <c r="T3804" s="6">
        <v>3292</v>
      </c>
      <c r="U3804" s="6"/>
      <c r="V3804" s="6">
        <v>0</v>
      </c>
      <c r="W3804" s="6">
        <f t="shared" si="584"/>
        <v>3292</v>
      </c>
      <c r="X3804" s="6">
        <f t="shared" si="585"/>
        <v>0</v>
      </c>
      <c r="Y3804" s="13">
        <f t="shared" si="586"/>
        <v>0</v>
      </c>
      <c r="Z3804" s="14">
        <v>0</v>
      </c>
      <c r="AA3804" s="6">
        <v>0</v>
      </c>
      <c r="AB3804" s="4">
        <f t="shared" si="587"/>
        <v>0</v>
      </c>
      <c r="AC3804" s="4">
        <f t="shared" si="589"/>
        <v>0</v>
      </c>
      <c r="AD3804" s="6">
        <f t="shared" si="582"/>
        <v>0</v>
      </c>
      <c r="AE3804" s="2">
        <f>VLOOKUP(I3804,[1]媒体政策预估表!A:N,MATCH(O3804,[1]媒体政策预估表!$A$2:$M$2,0),0)</f>
        <v>7.0000000000000007E-2</v>
      </c>
      <c r="AF3804" s="6">
        <f t="shared" si="590"/>
        <v>0</v>
      </c>
      <c r="AG3804" s="14">
        <v>0</v>
      </c>
      <c r="AH3804" s="64">
        <f t="shared" si="583"/>
        <v>0</v>
      </c>
      <c r="AI3804" s="47"/>
      <c r="AJ3804" s="126" t="e">
        <v>#N/A</v>
      </c>
      <c r="AK3804" s="80">
        <f t="shared" si="588"/>
        <v>0</v>
      </c>
      <c r="AM3804" s="85"/>
    </row>
    <row r="3805" spans="1:39" hidden="1" x14ac:dyDescent="0.3">
      <c r="A3805" s="89" t="s">
        <v>3396</v>
      </c>
      <c r="B3805" s="86" t="s">
        <v>41</v>
      </c>
      <c r="C3805" s="86" t="s">
        <v>41</v>
      </c>
      <c r="D3805" s="86" t="s">
        <v>41</v>
      </c>
      <c r="E3805" s="86" t="s">
        <v>41</v>
      </c>
      <c r="F3805" s="86" t="s">
        <v>41</v>
      </c>
      <c r="G3805" s="86" t="s">
        <v>41</v>
      </c>
      <c r="H3805" s="143">
        <v>62</v>
      </c>
      <c r="I3805" s="86" t="s">
        <v>408</v>
      </c>
      <c r="J3805" s="1" t="s">
        <v>3324</v>
      </c>
      <c r="K3805" s="1" t="s">
        <v>3278</v>
      </c>
      <c r="L3805" s="1" t="s">
        <v>35</v>
      </c>
      <c r="M3805" s="86" t="s">
        <v>1052</v>
      </c>
      <c r="N3805" s="86"/>
      <c r="O3805" s="47" t="s">
        <v>410</v>
      </c>
      <c r="P3805" s="47" t="s">
        <v>41</v>
      </c>
      <c r="Q3805" s="14">
        <v>0</v>
      </c>
      <c r="R3805" s="143">
        <v>1000002426</v>
      </c>
      <c r="S3805" s="47"/>
      <c r="T3805" s="6">
        <v>10000</v>
      </c>
      <c r="U3805" s="6"/>
      <c r="V3805" s="6">
        <v>0</v>
      </c>
      <c r="W3805" s="6">
        <f t="shared" si="584"/>
        <v>10000</v>
      </c>
      <c r="X3805" s="6">
        <f t="shared" si="585"/>
        <v>0</v>
      </c>
      <c r="Y3805" s="13">
        <f t="shared" si="586"/>
        <v>0</v>
      </c>
      <c r="Z3805" s="14">
        <v>0</v>
      </c>
      <c r="AA3805" s="6">
        <v>0</v>
      </c>
      <c r="AB3805" s="4">
        <f t="shared" si="587"/>
        <v>0</v>
      </c>
      <c r="AC3805" s="4">
        <f t="shared" si="589"/>
        <v>0</v>
      </c>
      <c r="AD3805" s="6">
        <f t="shared" si="582"/>
        <v>0</v>
      </c>
      <c r="AE3805" s="2">
        <f>VLOOKUP(I3805,[1]媒体政策预估表!A:N,MATCH(O3805,[1]媒体政策预估表!$A$2:$M$2,0),0)</f>
        <v>7.0000000000000007E-2</v>
      </c>
      <c r="AF3805" s="6">
        <f t="shared" si="590"/>
        <v>0</v>
      </c>
      <c r="AG3805" s="14">
        <v>0</v>
      </c>
      <c r="AH3805" s="64">
        <f t="shared" si="583"/>
        <v>0</v>
      </c>
      <c r="AI3805" s="47"/>
      <c r="AJ3805" s="126" t="e">
        <v>#N/A</v>
      </c>
      <c r="AK3805" s="80">
        <f t="shared" si="588"/>
        <v>0</v>
      </c>
      <c r="AM3805" s="85"/>
    </row>
    <row r="3806" spans="1:39" hidden="1" x14ac:dyDescent="0.3">
      <c r="A3806" s="89" t="s">
        <v>3396</v>
      </c>
      <c r="B3806" s="86" t="s">
        <v>41</v>
      </c>
      <c r="C3806" s="86" t="s">
        <v>41</v>
      </c>
      <c r="D3806" s="86" t="s">
        <v>41</v>
      </c>
      <c r="E3806" s="86" t="s">
        <v>41</v>
      </c>
      <c r="F3806" s="86" t="s">
        <v>41</v>
      </c>
      <c r="G3806" s="86" t="s">
        <v>41</v>
      </c>
      <c r="H3806" s="143">
        <v>62</v>
      </c>
      <c r="I3806" s="86" t="s">
        <v>408</v>
      </c>
      <c r="J3806" s="1" t="s">
        <v>3324</v>
      </c>
      <c r="K3806" s="1" t="s">
        <v>3278</v>
      </c>
      <c r="L3806" s="1" t="s">
        <v>35</v>
      </c>
      <c r="M3806" s="86" t="s">
        <v>1053</v>
      </c>
      <c r="N3806" s="86"/>
      <c r="O3806" s="47" t="s">
        <v>410</v>
      </c>
      <c r="P3806" s="47" t="s">
        <v>41</v>
      </c>
      <c r="Q3806" s="14">
        <v>0</v>
      </c>
      <c r="R3806" s="143">
        <v>1000001633</v>
      </c>
      <c r="S3806" s="47"/>
      <c r="T3806" s="6">
        <v>272.5</v>
      </c>
      <c r="U3806" s="6"/>
      <c r="V3806" s="6">
        <v>0</v>
      </c>
      <c r="W3806" s="6">
        <f t="shared" si="584"/>
        <v>272.5</v>
      </c>
      <c r="X3806" s="6">
        <f t="shared" si="585"/>
        <v>0</v>
      </c>
      <c r="Y3806" s="13">
        <f t="shared" si="586"/>
        <v>0</v>
      </c>
      <c r="Z3806" s="14">
        <v>0</v>
      </c>
      <c r="AA3806" s="6">
        <v>0</v>
      </c>
      <c r="AB3806" s="4">
        <f t="shared" si="587"/>
        <v>0</v>
      </c>
      <c r="AC3806" s="4">
        <f t="shared" si="589"/>
        <v>0</v>
      </c>
      <c r="AD3806" s="6">
        <f t="shared" si="582"/>
        <v>0</v>
      </c>
      <c r="AE3806" s="2">
        <f>VLOOKUP(I3806,[1]媒体政策预估表!A:N,MATCH(O3806,[1]媒体政策预估表!$A$2:$M$2,0),0)</f>
        <v>7.0000000000000007E-2</v>
      </c>
      <c r="AF3806" s="6">
        <f t="shared" si="590"/>
        <v>0</v>
      </c>
      <c r="AG3806" s="14">
        <v>0</v>
      </c>
      <c r="AH3806" s="64">
        <f t="shared" si="583"/>
        <v>0</v>
      </c>
      <c r="AI3806" s="47"/>
      <c r="AJ3806" s="126" t="e">
        <v>#N/A</v>
      </c>
      <c r="AK3806" s="80">
        <f t="shared" si="588"/>
        <v>0</v>
      </c>
      <c r="AM3806" s="85"/>
    </row>
    <row r="3807" spans="1:39" hidden="1" x14ac:dyDescent="0.3">
      <c r="A3807" s="89" t="s">
        <v>3396</v>
      </c>
      <c r="B3807" s="86" t="s">
        <v>41</v>
      </c>
      <c r="C3807" s="86" t="s">
        <v>41</v>
      </c>
      <c r="D3807" s="86" t="s">
        <v>41</v>
      </c>
      <c r="E3807" s="86" t="s">
        <v>1054</v>
      </c>
      <c r="F3807" s="86" t="s">
        <v>1054</v>
      </c>
      <c r="G3807" s="86" t="s">
        <v>1054</v>
      </c>
      <c r="H3807" s="143">
        <v>62</v>
      </c>
      <c r="I3807" s="86" t="s">
        <v>408</v>
      </c>
      <c r="J3807" s="1" t="s">
        <v>3324</v>
      </c>
      <c r="K3807" s="1" t="s">
        <v>3278</v>
      </c>
      <c r="L3807" s="1" t="s">
        <v>35</v>
      </c>
      <c r="M3807" s="86" t="s">
        <v>1055</v>
      </c>
      <c r="N3807" s="86"/>
      <c r="O3807" s="47" t="s">
        <v>410</v>
      </c>
      <c r="P3807" s="47" t="s">
        <v>41</v>
      </c>
      <c r="Q3807" s="14">
        <v>0</v>
      </c>
      <c r="R3807" s="143">
        <v>1000007808</v>
      </c>
      <c r="S3807" s="47"/>
      <c r="T3807" s="6">
        <v>32.5</v>
      </c>
      <c r="U3807" s="6"/>
      <c r="V3807" s="6">
        <v>0</v>
      </c>
      <c r="W3807" s="6">
        <f t="shared" si="584"/>
        <v>32.5</v>
      </c>
      <c r="X3807" s="6">
        <f t="shared" si="585"/>
        <v>0</v>
      </c>
      <c r="Y3807" s="13">
        <f t="shared" si="586"/>
        <v>0</v>
      </c>
      <c r="Z3807" s="14">
        <v>0</v>
      </c>
      <c r="AA3807" s="6">
        <v>0</v>
      </c>
      <c r="AB3807" s="4">
        <f t="shared" si="587"/>
        <v>0</v>
      </c>
      <c r="AC3807" s="4">
        <f t="shared" si="589"/>
        <v>0</v>
      </c>
      <c r="AD3807" s="6">
        <f t="shared" si="582"/>
        <v>0</v>
      </c>
      <c r="AE3807" s="2">
        <f>VLOOKUP(I3807,[1]媒体政策预估表!A:N,MATCH(O3807,[1]媒体政策预估表!$A$2:$M$2,0),0)</f>
        <v>7.0000000000000007E-2</v>
      </c>
      <c r="AF3807" s="6">
        <f t="shared" si="590"/>
        <v>0</v>
      </c>
      <c r="AG3807" s="14">
        <v>0</v>
      </c>
      <c r="AH3807" s="64">
        <f t="shared" si="583"/>
        <v>0</v>
      </c>
      <c r="AI3807" s="47"/>
      <c r="AJ3807" s="126" t="e">
        <v>#N/A</v>
      </c>
      <c r="AK3807" s="80">
        <f t="shared" si="588"/>
        <v>0</v>
      </c>
      <c r="AM3807" s="85"/>
    </row>
    <row r="3808" spans="1:39" hidden="1" x14ac:dyDescent="0.3">
      <c r="A3808" s="89" t="s">
        <v>3396</v>
      </c>
      <c r="B3808" s="86" t="s">
        <v>41</v>
      </c>
      <c r="C3808" s="86" t="s">
        <v>41</v>
      </c>
      <c r="D3808" s="86" t="s">
        <v>41</v>
      </c>
      <c r="E3808" s="86" t="s">
        <v>1056</v>
      </c>
      <c r="F3808" s="86" t="s">
        <v>1056</v>
      </c>
      <c r="G3808" s="86" t="s">
        <v>1056</v>
      </c>
      <c r="H3808" s="143">
        <v>62</v>
      </c>
      <c r="I3808" s="86" t="s">
        <v>408</v>
      </c>
      <c r="J3808" s="1" t="s">
        <v>3324</v>
      </c>
      <c r="K3808" s="1" t="s">
        <v>3278</v>
      </c>
      <c r="L3808" s="1" t="s">
        <v>35</v>
      </c>
      <c r="M3808" s="86" t="s">
        <v>1057</v>
      </c>
      <c r="N3808" s="86"/>
      <c r="O3808" s="47" t="s">
        <v>410</v>
      </c>
      <c r="P3808" s="47" t="s">
        <v>41</v>
      </c>
      <c r="Q3808" s="14">
        <v>0</v>
      </c>
      <c r="R3808" s="143">
        <v>1000009337</v>
      </c>
      <c r="S3808" s="47"/>
      <c r="T3808" s="6">
        <v>14199.2</v>
      </c>
      <c r="U3808" s="6"/>
      <c r="V3808" s="6">
        <v>0</v>
      </c>
      <c r="W3808" s="6">
        <f t="shared" si="584"/>
        <v>14199.2</v>
      </c>
      <c r="X3808" s="6">
        <f t="shared" si="585"/>
        <v>0</v>
      </c>
      <c r="Y3808" s="13">
        <f t="shared" si="586"/>
        <v>0</v>
      </c>
      <c r="Z3808" s="14">
        <v>0</v>
      </c>
      <c r="AA3808" s="6">
        <v>0</v>
      </c>
      <c r="AB3808" s="4">
        <f t="shared" si="587"/>
        <v>0</v>
      </c>
      <c r="AC3808" s="4">
        <f t="shared" si="589"/>
        <v>0</v>
      </c>
      <c r="AD3808" s="6">
        <f t="shared" si="582"/>
        <v>0</v>
      </c>
      <c r="AE3808" s="2">
        <f>VLOOKUP(I3808,[1]媒体政策预估表!A:N,MATCH(O3808,[1]媒体政策预估表!$A$2:$M$2,0),0)</f>
        <v>7.0000000000000007E-2</v>
      </c>
      <c r="AF3808" s="6">
        <f t="shared" si="590"/>
        <v>0</v>
      </c>
      <c r="AG3808" s="14">
        <v>0</v>
      </c>
      <c r="AH3808" s="64">
        <f t="shared" si="583"/>
        <v>0</v>
      </c>
      <c r="AI3808" s="47"/>
      <c r="AJ3808" s="126" t="e">
        <v>#N/A</v>
      </c>
      <c r="AK3808" s="80">
        <f t="shared" si="588"/>
        <v>0</v>
      </c>
      <c r="AM3808" s="85"/>
    </row>
    <row r="3809" spans="1:39" hidden="1" x14ac:dyDescent="0.3">
      <c r="A3809" s="89" t="s">
        <v>3396</v>
      </c>
      <c r="B3809" s="86" t="s">
        <v>35</v>
      </c>
      <c r="C3809" s="86" t="s">
        <v>36</v>
      </c>
      <c r="D3809" s="86" t="s">
        <v>54</v>
      </c>
      <c r="E3809" s="86" t="s">
        <v>742</v>
      </c>
      <c r="F3809" s="86" t="s">
        <v>742</v>
      </c>
      <c r="G3809" s="86" t="s">
        <v>742</v>
      </c>
      <c r="H3809" s="143">
        <v>62</v>
      </c>
      <c r="I3809" s="86" t="s">
        <v>408</v>
      </c>
      <c r="J3809" s="1" t="s">
        <v>3324</v>
      </c>
      <c r="K3809" s="1" t="s">
        <v>3278</v>
      </c>
      <c r="L3809" s="1" t="s">
        <v>35</v>
      </c>
      <c r="M3809" s="86" t="s">
        <v>743</v>
      </c>
      <c r="N3809" s="86"/>
      <c r="O3809" s="47" t="s">
        <v>941</v>
      </c>
      <c r="P3809" s="47" t="s">
        <v>41</v>
      </c>
      <c r="Q3809" s="14">
        <v>0</v>
      </c>
      <c r="R3809" s="143">
        <v>1000084758</v>
      </c>
      <c r="S3809" s="47"/>
      <c r="T3809" s="6">
        <v>-176.98</v>
      </c>
      <c r="U3809" s="6"/>
      <c r="V3809" s="6">
        <v>0</v>
      </c>
      <c r="W3809" s="6">
        <f t="shared" si="584"/>
        <v>-176.98</v>
      </c>
      <c r="X3809" s="6">
        <f t="shared" si="585"/>
        <v>0</v>
      </c>
      <c r="Y3809" s="13">
        <f t="shared" si="586"/>
        <v>0</v>
      </c>
      <c r="Z3809" s="14">
        <v>0</v>
      </c>
      <c r="AA3809" s="6">
        <v>0</v>
      </c>
      <c r="AB3809" s="4">
        <f t="shared" si="587"/>
        <v>0</v>
      </c>
      <c r="AC3809" s="4">
        <f t="shared" si="589"/>
        <v>0</v>
      </c>
      <c r="AD3809" s="6">
        <f t="shared" si="582"/>
        <v>0</v>
      </c>
      <c r="AE3809" s="2">
        <f>VLOOKUP(I3809,[1]媒体政策预估表!A:N,MATCH(O3809,[1]媒体政策预估表!$A$2:$M$2,0),0)</f>
        <v>0.12</v>
      </c>
      <c r="AF3809" s="6">
        <f t="shared" si="590"/>
        <v>0</v>
      </c>
      <c r="AG3809" s="14">
        <v>0</v>
      </c>
      <c r="AH3809" s="64">
        <f t="shared" si="583"/>
        <v>0</v>
      </c>
      <c r="AI3809" s="47"/>
      <c r="AJ3809" s="126" t="e">
        <v>#N/A</v>
      </c>
      <c r="AK3809" s="80">
        <f t="shared" si="588"/>
        <v>0</v>
      </c>
      <c r="AM3809" s="85"/>
    </row>
    <row r="3810" spans="1:39" hidden="1" x14ac:dyDescent="0.3">
      <c r="A3810" s="89" t="s">
        <v>3396</v>
      </c>
      <c r="B3810" s="86" t="s">
        <v>35</v>
      </c>
      <c r="C3810" s="86" t="s">
        <v>59</v>
      </c>
      <c r="D3810" s="86" t="s">
        <v>60</v>
      </c>
      <c r="E3810" s="86" t="s">
        <v>735</v>
      </c>
      <c r="F3810" s="86" t="s">
        <v>735</v>
      </c>
      <c r="G3810" s="86" t="s">
        <v>735</v>
      </c>
      <c r="H3810" s="143">
        <v>62</v>
      </c>
      <c r="I3810" s="86" t="s">
        <v>408</v>
      </c>
      <c r="J3810" s="1" t="s">
        <v>3324</v>
      </c>
      <c r="K3810" s="1" t="s">
        <v>3278</v>
      </c>
      <c r="L3810" s="1" t="s">
        <v>35</v>
      </c>
      <c r="M3810" s="86" t="s">
        <v>736</v>
      </c>
      <c r="N3810" s="86"/>
      <c r="O3810" s="47" t="s">
        <v>941</v>
      </c>
      <c r="P3810" s="47" t="s">
        <v>75</v>
      </c>
      <c r="Q3810" s="14">
        <v>0.02</v>
      </c>
      <c r="R3810" s="143">
        <v>1000090963</v>
      </c>
      <c r="S3810" s="47"/>
      <c r="T3810" s="6">
        <v>-2771.54</v>
      </c>
      <c r="U3810" s="6"/>
      <c r="V3810" s="6">
        <v>0</v>
      </c>
      <c r="W3810" s="6">
        <f t="shared" si="584"/>
        <v>-2771.54</v>
      </c>
      <c r="X3810" s="6">
        <f t="shared" si="585"/>
        <v>0</v>
      </c>
      <c r="Y3810" s="13">
        <f t="shared" si="586"/>
        <v>0</v>
      </c>
      <c r="Z3810" s="14">
        <v>0</v>
      </c>
      <c r="AA3810" s="6">
        <v>0</v>
      </c>
      <c r="AB3810" s="4">
        <f t="shared" si="587"/>
        <v>0</v>
      </c>
      <c r="AC3810" s="4">
        <f t="shared" si="589"/>
        <v>0</v>
      </c>
      <c r="AD3810" s="6">
        <f t="shared" si="582"/>
        <v>0</v>
      </c>
      <c r="AE3810" s="2">
        <f>VLOOKUP(I3810,[1]媒体政策预估表!A:N,MATCH(O3810,[1]媒体政策预估表!$A$2:$M$2,0),0)</f>
        <v>0.12</v>
      </c>
      <c r="AF3810" s="6">
        <f t="shared" si="590"/>
        <v>0</v>
      </c>
      <c r="AG3810" s="14">
        <v>0</v>
      </c>
      <c r="AH3810" s="64">
        <f t="shared" si="583"/>
        <v>0</v>
      </c>
      <c r="AI3810" s="47"/>
      <c r="AJ3810" s="126" t="e">
        <v>#N/A</v>
      </c>
      <c r="AK3810" s="80">
        <f t="shared" si="588"/>
        <v>0</v>
      </c>
      <c r="AM3810" s="85"/>
    </row>
    <row r="3811" spans="1:39" hidden="1" x14ac:dyDescent="0.3">
      <c r="A3811" s="89" t="s">
        <v>3396</v>
      </c>
      <c r="B3811" s="86" t="s">
        <v>35</v>
      </c>
      <c r="C3811" s="86" t="s">
        <v>144</v>
      </c>
      <c r="D3811" s="86" t="s">
        <v>152</v>
      </c>
      <c r="E3811" s="86" t="s">
        <v>722</v>
      </c>
      <c r="F3811" s="86" t="s">
        <v>722</v>
      </c>
      <c r="G3811" s="86" t="s">
        <v>722</v>
      </c>
      <c r="H3811" s="143">
        <v>62</v>
      </c>
      <c r="I3811" s="86" t="s">
        <v>408</v>
      </c>
      <c r="J3811" s="1" t="s">
        <v>3324</v>
      </c>
      <c r="K3811" s="1" t="s">
        <v>3278</v>
      </c>
      <c r="L3811" s="1" t="s">
        <v>35</v>
      </c>
      <c r="M3811" s="86" t="s">
        <v>723</v>
      </c>
      <c r="N3811" s="86"/>
      <c r="O3811" s="47" t="s">
        <v>941</v>
      </c>
      <c r="P3811" s="47" t="s">
        <v>46</v>
      </c>
      <c r="Q3811" s="14">
        <v>0.04</v>
      </c>
      <c r="R3811" s="143">
        <v>1000095880</v>
      </c>
      <c r="S3811" s="47"/>
      <c r="T3811" s="6">
        <v>-444.86</v>
      </c>
      <c r="U3811" s="6"/>
      <c r="V3811" s="6">
        <v>0</v>
      </c>
      <c r="W3811" s="6">
        <f t="shared" si="584"/>
        <v>-444.86</v>
      </c>
      <c r="X3811" s="6">
        <f t="shared" si="585"/>
        <v>0</v>
      </c>
      <c r="Y3811" s="13">
        <f t="shared" si="586"/>
        <v>0</v>
      </c>
      <c r="Z3811" s="14">
        <v>0</v>
      </c>
      <c r="AA3811" s="6">
        <v>0</v>
      </c>
      <c r="AB3811" s="4"/>
      <c r="AC3811" s="4">
        <f t="shared" si="589"/>
        <v>0</v>
      </c>
      <c r="AD3811" s="6">
        <f t="shared" si="582"/>
        <v>0</v>
      </c>
      <c r="AE3811" s="2">
        <f>VLOOKUP(I3811,[1]媒体政策预估表!A:N,MATCH(O3811,[1]媒体政策预估表!$A$2:$M$2,0),0)</f>
        <v>0.12</v>
      </c>
      <c r="AF3811" s="6">
        <f t="shared" si="590"/>
        <v>0</v>
      </c>
      <c r="AG3811" s="14">
        <v>0</v>
      </c>
      <c r="AH3811" s="64">
        <f t="shared" si="583"/>
        <v>0</v>
      </c>
      <c r="AI3811" s="47"/>
      <c r="AJ3811" s="126">
        <v>112</v>
      </c>
      <c r="AK3811" s="80">
        <f t="shared" si="588"/>
        <v>0</v>
      </c>
      <c r="AM3811" s="85"/>
    </row>
    <row r="3812" spans="1:39" hidden="1" x14ac:dyDescent="0.3">
      <c r="A3812" s="89" t="s">
        <v>3396</v>
      </c>
      <c r="B3812" s="86" t="s">
        <v>35</v>
      </c>
      <c r="C3812" s="86" t="s">
        <v>144</v>
      </c>
      <c r="D3812" s="86" t="s">
        <v>152</v>
      </c>
      <c r="E3812" s="86" t="s">
        <v>722</v>
      </c>
      <c r="F3812" s="86" t="s">
        <v>722</v>
      </c>
      <c r="G3812" s="86" t="s">
        <v>722</v>
      </c>
      <c r="H3812" s="143">
        <v>62</v>
      </c>
      <c r="I3812" s="86" t="s">
        <v>408</v>
      </c>
      <c r="J3812" s="1" t="s">
        <v>3324</v>
      </c>
      <c r="K3812" s="1" t="s">
        <v>3278</v>
      </c>
      <c r="L3812" s="1" t="s">
        <v>35</v>
      </c>
      <c r="M3812" s="86" t="s">
        <v>723</v>
      </c>
      <c r="N3812" s="86"/>
      <c r="O3812" s="47" t="s">
        <v>45</v>
      </c>
      <c r="P3812" s="47" t="s">
        <v>46</v>
      </c>
      <c r="Q3812" s="14">
        <v>0.04</v>
      </c>
      <c r="R3812" s="143">
        <v>1000095880</v>
      </c>
      <c r="S3812" s="47"/>
      <c r="T3812" s="6">
        <v>-536.15</v>
      </c>
      <c r="U3812" s="6"/>
      <c r="V3812" s="6">
        <v>0</v>
      </c>
      <c r="W3812" s="6">
        <f t="shared" si="584"/>
        <v>-536.15</v>
      </c>
      <c r="X3812" s="6">
        <f t="shared" si="585"/>
        <v>0</v>
      </c>
      <c r="Y3812" s="13">
        <f t="shared" si="586"/>
        <v>0</v>
      </c>
      <c r="Z3812" s="14">
        <v>0</v>
      </c>
      <c r="AA3812" s="6">
        <v>0</v>
      </c>
      <c r="AB3812" s="4"/>
      <c r="AC3812" s="4">
        <f t="shared" si="589"/>
        <v>0</v>
      </c>
      <c r="AD3812" s="6">
        <f t="shared" ref="AD3812:AD3833" si="591">V3812</f>
        <v>0</v>
      </c>
      <c r="AE3812" s="2">
        <f>VLOOKUP(I3812,[1]媒体政策预估表!A:N,MATCH(O3812,[1]媒体政策预估表!$A$2:$M$2,0),0)</f>
        <v>0.12</v>
      </c>
      <c r="AF3812" s="6">
        <f t="shared" si="590"/>
        <v>0</v>
      </c>
      <c r="AG3812" s="14">
        <v>0</v>
      </c>
      <c r="AH3812" s="64">
        <f t="shared" ref="AH3812:AH3833" si="592">V3812</f>
        <v>0</v>
      </c>
      <c r="AI3812" s="47"/>
      <c r="AJ3812" s="126">
        <v>112</v>
      </c>
      <c r="AK3812" s="80">
        <f t="shared" si="588"/>
        <v>0</v>
      </c>
      <c r="AM3812" s="85"/>
    </row>
    <row r="3813" spans="1:39" hidden="1" x14ac:dyDescent="0.3">
      <c r="A3813" s="89" t="s">
        <v>3394</v>
      </c>
      <c r="B3813" s="86" t="s">
        <v>35</v>
      </c>
      <c r="C3813" s="86" t="s">
        <v>144</v>
      </c>
      <c r="D3813" s="86" t="s">
        <v>161</v>
      </c>
      <c r="E3813" s="86" t="s">
        <v>55</v>
      </c>
      <c r="F3813" s="86" t="s">
        <v>607</v>
      </c>
      <c r="G3813" s="86" t="s">
        <v>55</v>
      </c>
      <c r="H3813" s="144">
        <v>62</v>
      </c>
      <c r="I3813" s="86" t="s">
        <v>408</v>
      </c>
      <c r="J3813" s="1" t="s">
        <v>3324</v>
      </c>
      <c r="K3813" s="1" t="s">
        <v>3278</v>
      </c>
      <c r="L3813" s="1" t="s">
        <v>35</v>
      </c>
      <c r="M3813" s="86" t="s">
        <v>609</v>
      </c>
      <c r="N3813" s="86"/>
      <c r="O3813" s="47" t="s">
        <v>45</v>
      </c>
      <c r="P3813" s="47" t="s">
        <v>41</v>
      </c>
      <c r="Q3813" s="14">
        <v>0</v>
      </c>
      <c r="R3813" s="143">
        <v>1000016218</v>
      </c>
      <c r="S3813" s="47"/>
      <c r="T3813" s="6">
        <v>-1373724.18</v>
      </c>
      <c r="U3813" s="6"/>
      <c r="V3813" s="6">
        <v>924101.24999999988</v>
      </c>
      <c r="W3813" s="6">
        <f t="shared" si="584"/>
        <v>-2297825.4299999997</v>
      </c>
      <c r="X3813" s="6">
        <f t="shared" si="585"/>
        <v>924101.24999999988</v>
      </c>
      <c r="Y3813" s="13">
        <f t="shared" si="586"/>
        <v>0</v>
      </c>
      <c r="Z3813" s="14">
        <v>0</v>
      </c>
      <c r="AA3813" s="6">
        <v>0</v>
      </c>
      <c r="AB3813" s="4">
        <f t="shared" si="587"/>
        <v>924101.24999999988</v>
      </c>
      <c r="AC3813" s="4">
        <f t="shared" si="589"/>
        <v>0</v>
      </c>
      <c r="AD3813" s="6">
        <f t="shared" si="591"/>
        <v>924101.24999999988</v>
      </c>
      <c r="AE3813" s="2">
        <f>VLOOKUP(I3813,[1]媒体政策预估表!A:N,MATCH(O3813,[1]媒体政策预估表!$A$2:$M$2,0),0)</f>
        <v>0.12</v>
      </c>
      <c r="AF3813" s="6">
        <f t="shared" si="590"/>
        <v>110892.14999999998</v>
      </c>
      <c r="AG3813" s="14">
        <v>0</v>
      </c>
      <c r="AH3813" s="64">
        <f t="shared" si="592"/>
        <v>924101.24999999988</v>
      </c>
      <c r="AI3813" s="47"/>
      <c r="AJ3813" s="126" t="e">
        <v>#N/A</v>
      </c>
      <c r="AK3813" s="80">
        <f t="shared" si="588"/>
        <v>0</v>
      </c>
      <c r="AM3813" s="85"/>
    </row>
    <row r="3814" spans="1:39" hidden="1" x14ac:dyDescent="0.3">
      <c r="A3814" s="89" t="s">
        <v>3394</v>
      </c>
      <c r="B3814" s="86" t="s">
        <v>35</v>
      </c>
      <c r="C3814" s="86" t="s">
        <v>164</v>
      </c>
      <c r="D3814" s="86" t="s">
        <v>165</v>
      </c>
      <c r="E3814" s="86" t="s">
        <v>610</v>
      </c>
      <c r="F3814" s="86" t="s">
        <v>611</v>
      </c>
      <c r="G3814" s="86" t="s">
        <v>610</v>
      </c>
      <c r="H3814" s="144">
        <v>62</v>
      </c>
      <c r="I3814" s="86" t="s">
        <v>408</v>
      </c>
      <c r="J3814" s="1" t="s">
        <v>3324</v>
      </c>
      <c r="K3814" s="1" t="s">
        <v>3278</v>
      </c>
      <c r="L3814" s="1" t="s">
        <v>35</v>
      </c>
      <c r="M3814" s="86" t="s">
        <v>613</v>
      </c>
      <c r="N3814" s="86"/>
      <c r="O3814" s="47" t="s">
        <v>45</v>
      </c>
      <c r="P3814" s="47" t="s">
        <v>46</v>
      </c>
      <c r="Q3814" s="14">
        <v>0.02</v>
      </c>
      <c r="R3814" s="143">
        <v>1000045024</v>
      </c>
      <c r="S3814" s="47"/>
      <c r="T3814" s="6">
        <v>-77142.669999999984</v>
      </c>
      <c r="U3814" s="6"/>
      <c r="V3814" s="6">
        <v>77855.37000000001</v>
      </c>
      <c r="W3814" s="6">
        <f t="shared" ref="W3814:W3832" si="593">T3814+U3814-V3814</f>
        <v>-154998.03999999998</v>
      </c>
      <c r="X3814" s="6">
        <f t="shared" si="585"/>
        <v>76328.794117647063</v>
      </c>
      <c r="Y3814" s="13">
        <f t="shared" si="586"/>
        <v>0</v>
      </c>
      <c r="Z3814" s="14">
        <v>0</v>
      </c>
      <c r="AA3814" s="6">
        <v>0</v>
      </c>
      <c r="AB3814" s="4">
        <f t="shared" si="587"/>
        <v>76328.794117647063</v>
      </c>
      <c r="AC3814" s="4">
        <f t="shared" si="589"/>
        <v>1526.5758823529468</v>
      </c>
      <c r="AD3814" s="6">
        <f t="shared" si="591"/>
        <v>77855.37000000001</v>
      </c>
      <c r="AE3814" s="2">
        <f>VLOOKUP(I3814,[1]媒体政策预估表!A:N,MATCH(O3814,[1]媒体政策预估表!$A$2:$M$2,0),0)</f>
        <v>0.12</v>
      </c>
      <c r="AF3814" s="6">
        <f t="shared" si="590"/>
        <v>9342.644400000001</v>
      </c>
      <c r="AG3814" s="14">
        <v>0</v>
      </c>
      <c r="AH3814" s="64">
        <f t="shared" si="592"/>
        <v>77855.37000000001</v>
      </c>
      <c r="AI3814" s="47"/>
      <c r="AJ3814" s="126" t="e">
        <v>#N/A</v>
      </c>
      <c r="AK3814" s="80">
        <f t="shared" si="588"/>
        <v>0</v>
      </c>
      <c r="AM3814" s="85"/>
    </row>
    <row r="3815" spans="1:39" hidden="1" x14ac:dyDescent="0.3">
      <c r="A3815" s="89" t="s">
        <v>3394</v>
      </c>
      <c r="B3815" s="86" t="s">
        <v>35</v>
      </c>
      <c r="C3815" s="86" t="s">
        <v>65</v>
      </c>
      <c r="D3815" s="86" t="s">
        <v>66</v>
      </c>
      <c r="E3815" s="86" t="s">
        <v>473</v>
      </c>
      <c r="F3815" s="86" t="s">
        <v>473</v>
      </c>
      <c r="G3815" s="86" t="s">
        <v>473</v>
      </c>
      <c r="H3815" s="144">
        <v>62</v>
      </c>
      <c r="I3815" s="86" t="s">
        <v>408</v>
      </c>
      <c r="J3815" s="1" t="s">
        <v>3324</v>
      </c>
      <c r="K3815" s="1" t="s">
        <v>3278</v>
      </c>
      <c r="L3815" s="1" t="s">
        <v>35</v>
      </c>
      <c r="M3815" s="86" t="s">
        <v>476</v>
      </c>
      <c r="N3815" s="86"/>
      <c r="O3815" s="47" t="s">
        <v>45</v>
      </c>
      <c r="P3815" s="47" t="s">
        <v>41</v>
      </c>
      <c r="Q3815" s="14">
        <v>0</v>
      </c>
      <c r="R3815" s="143">
        <v>1000059941</v>
      </c>
      <c r="S3815" s="47"/>
      <c r="T3815" s="6">
        <v>-3014.99</v>
      </c>
      <c r="U3815" s="6"/>
      <c r="V3815" s="6">
        <v>36970</v>
      </c>
      <c r="W3815" s="6">
        <f t="shared" si="593"/>
        <v>-39984.99</v>
      </c>
      <c r="X3815" s="6">
        <f t="shared" ref="X3815:X3833" si="594">IF(P3815="折扣",V3815*Q3815,IF(P3815="返现",V3815,V3815/(1+Q3815)))</f>
        <v>36970</v>
      </c>
      <c r="Y3815" s="13">
        <f t="shared" si="586"/>
        <v>0</v>
      </c>
      <c r="Z3815" s="14">
        <v>0</v>
      </c>
      <c r="AA3815" s="6">
        <v>0</v>
      </c>
      <c r="AB3815" s="4">
        <f t="shared" si="587"/>
        <v>36970</v>
      </c>
      <c r="AC3815" s="4">
        <f t="shared" si="589"/>
        <v>0</v>
      </c>
      <c r="AD3815" s="6">
        <f t="shared" si="591"/>
        <v>36970</v>
      </c>
      <c r="AE3815" s="2">
        <f>VLOOKUP(I3815,[1]媒体政策预估表!A:N,MATCH(O3815,[1]媒体政策预估表!$A$2:$M$2,0),0)</f>
        <v>0.12</v>
      </c>
      <c r="AF3815" s="6">
        <f t="shared" si="590"/>
        <v>4436.3999999999996</v>
      </c>
      <c r="AG3815" s="14">
        <v>0</v>
      </c>
      <c r="AH3815" s="64">
        <f t="shared" si="592"/>
        <v>36970</v>
      </c>
      <c r="AI3815" s="47"/>
      <c r="AJ3815" s="126" t="e">
        <v>#N/A</v>
      </c>
      <c r="AK3815" s="80">
        <f t="shared" si="588"/>
        <v>0</v>
      </c>
      <c r="AM3815" s="85"/>
    </row>
    <row r="3816" spans="1:39" hidden="1" x14ac:dyDescent="0.3">
      <c r="A3816" s="89" t="s">
        <v>3394</v>
      </c>
      <c r="B3816" s="86" t="s">
        <v>35</v>
      </c>
      <c r="C3816" s="86" t="s">
        <v>47</v>
      </c>
      <c r="D3816" s="86" t="s">
        <v>63</v>
      </c>
      <c r="E3816" s="86" t="s">
        <v>528</v>
      </c>
      <c r="F3816" s="86" t="s">
        <v>528</v>
      </c>
      <c r="G3816" s="86" t="s">
        <v>528</v>
      </c>
      <c r="H3816" s="144">
        <v>62</v>
      </c>
      <c r="I3816" s="86" t="s">
        <v>408</v>
      </c>
      <c r="J3816" s="1" t="s">
        <v>3324</v>
      </c>
      <c r="K3816" s="1" t="s">
        <v>3278</v>
      </c>
      <c r="L3816" s="1" t="s">
        <v>35</v>
      </c>
      <c r="M3816" s="86" t="s">
        <v>530</v>
      </c>
      <c r="N3816" s="86"/>
      <c r="O3816" s="47" t="s">
        <v>45</v>
      </c>
      <c r="P3816" s="47" t="s">
        <v>46</v>
      </c>
      <c r="Q3816" s="14">
        <v>5.0000000000000001E-3</v>
      </c>
      <c r="R3816" s="143">
        <v>1000080693</v>
      </c>
      <c r="S3816" s="47"/>
      <c r="T3816" s="6">
        <v>-312412.7099999999</v>
      </c>
      <c r="U3816" s="6"/>
      <c r="V3816" s="6">
        <v>62067.61</v>
      </c>
      <c r="W3816" s="6">
        <f t="shared" si="593"/>
        <v>-374480.31999999989</v>
      </c>
      <c r="X3816" s="6">
        <f t="shared" si="594"/>
        <v>61758.815920398018</v>
      </c>
      <c r="Y3816" s="13">
        <f t="shared" si="586"/>
        <v>0</v>
      </c>
      <c r="Z3816" s="14">
        <v>0</v>
      </c>
      <c r="AA3816" s="6">
        <v>0</v>
      </c>
      <c r="AB3816" s="4">
        <f t="shared" si="587"/>
        <v>61758.815920398018</v>
      </c>
      <c r="AC3816" s="4">
        <f t="shared" si="589"/>
        <v>308.79407960198296</v>
      </c>
      <c r="AD3816" s="6">
        <f t="shared" si="591"/>
        <v>62067.61</v>
      </c>
      <c r="AE3816" s="2">
        <f>VLOOKUP(I3816,[1]媒体政策预估表!A:N,MATCH(O3816,[1]媒体政策预估表!$A$2:$M$2,0),0)</f>
        <v>0.12</v>
      </c>
      <c r="AF3816" s="6">
        <f t="shared" si="590"/>
        <v>7448.1131999999998</v>
      </c>
      <c r="AG3816" s="14">
        <v>0</v>
      </c>
      <c r="AH3816" s="64">
        <f t="shared" si="592"/>
        <v>62067.61</v>
      </c>
      <c r="AI3816" s="47"/>
      <c r="AJ3816" s="126" t="e">
        <v>#N/A</v>
      </c>
      <c r="AK3816" s="80">
        <f t="shared" si="588"/>
        <v>0</v>
      </c>
      <c r="AM3816" s="85"/>
    </row>
    <row r="3817" spans="1:39" hidden="1" x14ac:dyDescent="0.3">
      <c r="A3817" s="89" t="s">
        <v>3394</v>
      </c>
      <c r="B3817" s="86" t="s">
        <v>35</v>
      </c>
      <c r="C3817" s="86" t="s">
        <v>47</v>
      </c>
      <c r="D3817" s="86" t="s">
        <v>63</v>
      </c>
      <c r="E3817" s="86" t="s">
        <v>533</v>
      </c>
      <c r="F3817" s="86" t="s">
        <v>533</v>
      </c>
      <c r="G3817" s="86" t="s">
        <v>533</v>
      </c>
      <c r="H3817" s="143">
        <v>62</v>
      </c>
      <c r="I3817" s="86" t="s">
        <v>408</v>
      </c>
      <c r="J3817" s="1" t="s">
        <v>3324</v>
      </c>
      <c r="K3817" s="1" t="s">
        <v>3278</v>
      </c>
      <c r="L3817" s="1" t="s">
        <v>35</v>
      </c>
      <c r="M3817" s="86" t="s">
        <v>535</v>
      </c>
      <c r="N3817" s="86"/>
      <c r="O3817" s="47" t="s">
        <v>45</v>
      </c>
      <c r="P3817" s="47" t="s">
        <v>46</v>
      </c>
      <c r="Q3817" s="14">
        <v>0.02</v>
      </c>
      <c r="R3817" s="143">
        <v>1000073749</v>
      </c>
      <c r="S3817" s="47"/>
      <c r="T3817" s="6">
        <v>-52630.080000000002</v>
      </c>
      <c r="U3817" s="6"/>
      <c r="V3817" s="6">
        <v>0</v>
      </c>
      <c r="W3817" s="6">
        <f t="shared" si="593"/>
        <v>-52630.080000000002</v>
      </c>
      <c r="X3817" s="6">
        <f t="shared" si="594"/>
        <v>0</v>
      </c>
      <c r="Y3817" s="13">
        <f t="shared" si="586"/>
        <v>0</v>
      </c>
      <c r="Z3817" s="14">
        <v>0</v>
      </c>
      <c r="AA3817" s="6">
        <v>0</v>
      </c>
      <c r="AB3817" s="4">
        <f t="shared" si="587"/>
        <v>0</v>
      </c>
      <c r="AC3817" s="4">
        <f t="shared" si="589"/>
        <v>0</v>
      </c>
      <c r="AD3817" s="6">
        <f t="shared" si="591"/>
        <v>0</v>
      </c>
      <c r="AE3817" s="2">
        <f>VLOOKUP(I3817,[1]媒体政策预估表!A:N,MATCH(O3817,[1]媒体政策预估表!$A$2:$M$2,0),0)</f>
        <v>0.12</v>
      </c>
      <c r="AF3817" s="6">
        <f t="shared" si="590"/>
        <v>0</v>
      </c>
      <c r="AG3817" s="14">
        <v>0</v>
      </c>
      <c r="AH3817" s="64">
        <f t="shared" si="592"/>
        <v>0</v>
      </c>
      <c r="AI3817" s="47"/>
      <c r="AJ3817" s="126" t="e">
        <v>#N/A</v>
      </c>
      <c r="AK3817" s="80">
        <f t="shared" si="588"/>
        <v>0</v>
      </c>
      <c r="AM3817" s="85"/>
    </row>
    <row r="3818" spans="1:39" hidden="1" x14ac:dyDescent="0.3">
      <c r="A3818" s="89" t="s">
        <v>3394</v>
      </c>
      <c r="B3818" s="86" t="s">
        <v>35</v>
      </c>
      <c r="C3818" s="86" t="s">
        <v>144</v>
      </c>
      <c r="D3818" s="86" t="s">
        <v>161</v>
      </c>
      <c r="E3818" s="86" t="s">
        <v>55</v>
      </c>
      <c r="F3818" s="86" t="s">
        <v>607</v>
      </c>
      <c r="G3818" s="86" t="s">
        <v>55</v>
      </c>
      <c r="H3818" s="144">
        <v>62</v>
      </c>
      <c r="I3818" s="86" t="s">
        <v>408</v>
      </c>
      <c r="J3818" s="1" t="s">
        <v>3324</v>
      </c>
      <c r="K3818" s="1" t="s">
        <v>3278</v>
      </c>
      <c r="L3818" s="1" t="s">
        <v>35</v>
      </c>
      <c r="M3818" s="86" t="s">
        <v>609</v>
      </c>
      <c r="N3818" s="86"/>
      <c r="O3818" s="47" t="s">
        <v>941</v>
      </c>
      <c r="P3818" s="47" t="s">
        <v>41</v>
      </c>
      <c r="Q3818" s="14">
        <v>0</v>
      </c>
      <c r="R3818" s="143">
        <v>1000016218</v>
      </c>
      <c r="S3818" s="47"/>
      <c r="T3818" s="6">
        <v>-297000.25</v>
      </c>
      <c r="U3818" s="6"/>
      <c r="V3818" s="6">
        <v>173415.99</v>
      </c>
      <c r="W3818" s="6">
        <f t="shared" si="593"/>
        <v>-470416.24</v>
      </c>
      <c r="X3818" s="6">
        <f t="shared" si="594"/>
        <v>173415.99</v>
      </c>
      <c r="Y3818" s="13">
        <f t="shared" si="586"/>
        <v>0</v>
      </c>
      <c r="Z3818" s="14">
        <v>0</v>
      </c>
      <c r="AA3818" s="6">
        <v>0</v>
      </c>
      <c r="AB3818" s="4">
        <f t="shared" si="587"/>
        <v>173415.99</v>
      </c>
      <c r="AC3818" s="4">
        <f t="shared" si="589"/>
        <v>0</v>
      </c>
      <c r="AD3818" s="6">
        <f t="shared" si="591"/>
        <v>173415.99</v>
      </c>
      <c r="AE3818" s="2">
        <f>VLOOKUP(I3818,[1]媒体政策预估表!A:N,MATCH(O3818,[1]媒体政策预估表!$A$2:$M$2,0),0)</f>
        <v>0.12</v>
      </c>
      <c r="AF3818" s="6">
        <f t="shared" si="590"/>
        <v>20809.918799999999</v>
      </c>
      <c r="AG3818" s="14">
        <v>0</v>
      </c>
      <c r="AH3818" s="64">
        <f t="shared" si="592"/>
        <v>173415.99</v>
      </c>
      <c r="AI3818" s="47"/>
      <c r="AJ3818" s="126" t="e">
        <v>#N/A</v>
      </c>
      <c r="AK3818" s="80">
        <f t="shared" si="588"/>
        <v>0</v>
      </c>
      <c r="AM3818" s="85"/>
    </row>
    <row r="3819" spans="1:39" hidden="1" x14ac:dyDescent="0.3">
      <c r="A3819" s="89" t="s">
        <v>3394</v>
      </c>
      <c r="B3819" s="86" t="s">
        <v>35</v>
      </c>
      <c r="C3819" s="86" t="s">
        <v>65</v>
      </c>
      <c r="D3819" s="86" t="s">
        <v>66</v>
      </c>
      <c r="E3819" s="86" t="s">
        <v>469</v>
      </c>
      <c r="F3819" s="86" t="s">
        <v>469</v>
      </c>
      <c r="G3819" s="86" t="s">
        <v>469</v>
      </c>
      <c r="H3819" s="144">
        <v>62</v>
      </c>
      <c r="I3819" s="86" t="s">
        <v>408</v>
      </c>
      <c r="J3819" s="1" t="s">
        <v>3324</v>
      </c>
      <c r="K3819" s="1" t="s">
        <v>3278</v>
      </c>
      <c r="L3819" s="1" t="s">
        <v>35</v>
      </c>
      <c r="M3819" s="86" t="s">
        <v>1059</v>
      </c>
      <c r="N3819" s="86"/>
      <c r="O3819" s="47" t="s">
        <v>941</v>
      </c>
      <c r="P3819" s="47" t="s">
        <v>41</v>
      </c>
      <c r="Q3819" s="14">
        <v>0</v>
      </c>
      <c r="R3819" s="143">
        <v>1000048227</v>
      </c>
      <c r="S3819" s="47"/>
      <c r="T3819" s="6">
        <v>-2154.2400000000002</v>
      </c>
      <c r="U3819" s="6"/>
      <c r="V3819" s="6">
        <v>2334.5100000000007</v>
      </c>
      <c r="W3819" s="6">
        <f t="shared" si="593"/>
        <v>-4488.7500000000009</v>
      </c>
      <c r="X3819" s="6">
        <f t="shared" si="594"/>
        <v>2334.5100000000007</v>
      </c>
      <c r="Y3819" s="13">
        <f t="shared" si="586"/>
        <v>0</v>
      </c>
      <c r="Z3819" s="14">
        <v>0</v>
      </c>
      <c r="AA3819" s="6">
        <v>0</v>
      </c>
      <c r="AB3819" s="4">
        <f t="shared" si="587"/>
        <v>2334.5100000000007</v>
      </c>
      <c r="AC3819" s="4">
        <f t="shared" si="589"/>
        <v>0</v>
      </c>
      <c r="AD3819" s="6">
        <f t="shared" si="591"/>
        <v>2334.5100000000007</v>
      </c>
      <c r="AE3819" s="2">
        <f>VLOOKUP(I3819,[1]媒体政策预估表!A:N,MATCH(O3819,[1]媒体政策预估表!$A$2:$M$2,0),0)</f>
        <v>0.12</v>
      </c>
      <c r="AF3819" s="6">
        <f t="shared" si="590"/>
        <v>280.14120000000008</v>
      </c>
      <c r="AG3819" s="14">
        <v>0</v>
      </c>
      <c r="AH3819" s="64">
        <f t="shared" si="592"/>
        <v>2334.5100000000007</v>
      </c>
      <c r="AI3819" s="47"/>
      <c r="AJ3819" s="126" t="e">
        <v>#N/A</v>
      </c>
      <c r="AK3819" s="80">
        <f t="shared" si="588"/>
        <v>0</v>
      </c>
      <c r="AM3819" s="85"/>
    </row>
    <row r="3820" spans="1:39" hidden="1" x14ac:dyDescent="0.3">
      <c r="A3820" s="89" t="s">
        <v>3394</v>
      </c>
      <c r="B3820" s="86" t="s">
        <v>35</v>
      </c>
      <c r="C3820" s="86" t="s">
        <v>59</v>
      </c>
      <c r="D3820" s="86" t="s">
        <v>60</v>
      </c>
      <c r="E3820" s="86" t="s">
        <v>425</v>
      </c>
      <c r="F3820" s="86" t="s">
        <v>425</v>
      </c>
      <c r="G3820" s="86" t="s">
        <v>425</v>
      </c>
      <c r="H3820" s="144">
        <v>62</v>
      </c>
      <c r="I3820" s="86" t="s">
        <v>408</v>
      </c>
      <c r="J3820" s="1" t="s">
        <v>3324</v>
      </c>
      <c r="K3820" s="1" t="s">
        <v>3278</v>
      </c>
      <c r="L3820" s="1" t="s">
        <v>35</v>
      </c>
      <c r="M3820" s="86" t="s">
        <v>427</v>
      </c>
      <c r="N3820" s="86"/>
      <c r="O3820" s="47" t="s">
        <v>941</v>
      </c>
      <c r="P3820" s="47" t="s">
        <v>46</v>
      </c>
      <c r="Q3820" s="14">
        <v>0.04</v>
      </c>
      <c r="R3820" s="143">
        <v>1000069101</v>
      </c>
      <c r="S3820" s="47"/>
      <c r="T3820" s="6">
        <v>-6197.4100000000008</v>
      </c>
      <c r="U3820" s="6"/>
      <c r="V3820" s="6">
        <v>24705.250000000004</v>
      </c>
      <c r="W3820" s="6">
        <f t="shared" si="593"/>
        <v>-30902.660000000003</v>
      </c>
      <c r="X3820" s="6">
        <f t="shared" si="594"/>
        <v>23755.048076923078</v>
      </c>
      <c r="Y3820" s="13">
        <f t="shared" si="586"/>
        <v>0</v>
      </c>
      <c r="Z3820" s="14">
        <v>0</v>
      </c>
      <c r="AA3820" s="6">
        <v>0</v>
      </c>
      <c r="AB3820" s="4">
        <f t="shared" si="587"/>
        <v>23755.048076923078</v>
      </c>
      <c r="AC3820" s="4">
        <f t="shared" si="589"/>
        <v>950.2019230769256</v>
      </c>
      <c r="AD3820" s="6">
        <f t="shared" si="591"/>
        <v>24705.250000000004</v>
      </c>
      <c r="AE3820" s="2">
        <f>VLOOKUP(I3820,[1]媒体政策预估表!A:N,MATCH(O3820,[1]媒体政策预估表!$A$2:$M$2,0),0)</f>
        <v>0.12</v>
      </c>
      <c r="AF3820" s="6">
        <f t="shared" si="590"/>
        <v>2964.63</v>
      </c>
      <c r="AG3820" s="14">
        <v>0</v>
      </c>
      <c r="AH3820" s="64">
        <f t="shared" si="592"/>
        <v>24705.250000000004</v>
      </c>
      <c r="AI3820" s="47"/>
      <c r="AJ3820" s="126" t="e">
        <v>#N/A</v>
      </c>
      <c r="AK3820" s="80">
        <f t="shared" si="588"/>
        <v>0</v>
      </c>
      <c r="AM3820" s="85"/>
    </row>
    <row r="3821" spans="1:39" hidden="1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651</v>
      </c>
      <c r="F3821" s="86" t="s">
        <v>651</v>
      </c>
      <c r="G3821" s="86" t="s">
        <v>651</v>
      </c>
      <c r="H3821" s="144">
        <v>62</v>
      </c>
      <c r="I3821" s="86" t="s">
        <v>408</v>
      </c>
      <c r="J3821" s="1" t="s">
        <v>3324</v>
      </c>
      <c r="K3821" s="1" t="s">
        <v>3278</v>
      </c>
      <c r="L3821" s="1" t="s">
        <v>35</v>
      </c>
      <c r="M3821" s="86" t="s">
        <v>654</v>
      </c>
      <c r="N3821" s="86"/>
      <c r="O3821" s="47" t="s">
        <v>941</v>
      </c>
      <c r="P3821" s="47" t="s">
        <v>46</v>
      </c>
      <c r="Q3821" s="14">
        <v>0.04</v>
      </c>
      <c r="R3821" s="143">
        <v>1000072406</v>
      </c>
      <c r="S3821" s="47"/>
      <c r="T3821" s="6">
        <v>-461833.13000000006</v>
      </c>
      <c r="U3821" s="6"/>
      <c r="V3821" s="6">
        <v>328029.95999999996</v>
      </c>
      <c r="W3821" s="6">
        <f t="shared" si="593"/>
        <v>-789863.09000000008</v>
      </c>
      <c r="X3821" s="6">
        <f t="shared" si="594"/>
        <v>315413.42307692301</v>
      </c>
      <c r="Y3821" s="13">
        <f t="shared" si="586"/>
        <v>0</v>
      </c>
      <c r="Z3821" s="14">
        <v>0</v>
      </c>
      <c r="AA3821" s="6">
        <v>0</v>
      </c>
      <c r="AB3821" s="4">
        <f t="shared" si="587"/>
        <v>315413.42307692301</v>
      </c>
      <c r="AC3821" s="4">
        <f t="shared" si="589"/>
        <v>12616.536923076957</v>
      </c>
      <c r="AD3821" s="6">
        <f t="shared" si="591"/>
        <v>328029.95999999996</v>
      </c>
      <c r="AE3821" s="2">
        <f>VLOOKUP(I3821,[1]媒体政策预估表!A:N,MATCH(O3821,[1]媒体政策预估表!$A$2:$M$2,0),0)</f>
        <v>0.12</v>
      </c>
      <c r="AF3821" s="6">
        <f t="shared" si="590"/>
        <v>39363.595199999996</v>
      </c>
      <c r="AG3821" s="14">
        <v>0</v>
      </c>
      <c r="AH3821" s="64">
        <f t="shared" si="592"/>
        <v>328029.95999999996</v>
      </c>
      <c r="AI3821" s="47"/>
      <c r="AJ3821" s="126" t="e">
        <v>#N/A</v>
      </c>
      <c r="AK3821" s="80">
        <f t="shared" si="588"/>
        <v>0</v>
      </c>
      <c r="AM3821" s="85"/>
    </row>
    <row r="3822" spans="1:39" hidden="1" x14ac:dyDescent="0.3">
      <c r="A3822" s="89" t="s">
        <v>3395</v>
      </c>
      <c r="B3822" s="86" t="s">
        <v>35</v>
      </c>
      <c r="C3822" s="86" t="s">
        <v>164</v>
      </c>
      <c r="D3822" s="86" t="s">
        <v>174</v>
      </c>
      <c r="E3822" s="86" t="s">
        <v>651</v>
      </c>
      <c r="F3822" s="86" t="s">
        <v>651</v>
      </c>
      <c r="G3822" s="86" t="s">
        <v>651</v>
      </c>
      <c r="H3822" s="144">
        <v>62</v>
      </c>
      <c r="I3822" s="86" t="s">
        <v>408</v>
      </c>
      <c r="J3822" s="1" t="s">
        <v>3324</v>
      </c>
      <c r="K3822" s="1" t="s">
        <v>3278</v>
      </c>
      <c r="L3822" s="1" t="s">
        <v>35</v>
      </c>
      <c r="M3822" s="86" t="s">
        <v>657</v>
      </c>
      <c r="N3822" s="86"/>
      <c r="O3822" s="47" t="s">
        <v>941</v>
      </c>
      <c r="P3822" s="47" t="s">
        <v>46</v>
      </c>
      <c r="Q3822" s="14">
        <v>0.04</v>
      </c>
      <c r="R3822" s="143">
        <v>1000073750</v>
      </c>
      <c r="S3822" s="47"/>
      <c r="T3822" s="6">
        <v>-130683.49</v>
      </c>
      <c r="U3822" s="6"/>
      <c r="V3822" s="6">
        <v>193701.26</v>
      </c>
      <c r="W3822" s="6">
        <f t="shared" si="593"/>
        <v>-324384.75</v>
      </c>
      <c r="X3822" s="6">
        <f t="shared" si="594"/>
        <v>186251.21153846153</v>
      </c>
      <c r="Y3822" s="13">
        <f t="shared" si="586"/>
        <v>0</v>
      </c>
      <c r="Z3822" s="14">
        <v>0</v>
      </c>
      <c r="AA3822" s="6">
        <v>0</v>
      </c>
      <c r="AB3822" s="4">
        <f t="shared" si="587"/>
        <v>186251.21153846153</v>
      </c>
      <c r="AC3822" s="4">
        <f t="shared" si="589"/>
        <v>7450.0484615384776</v>
      </c>
      <c r="AD3822" s="6">
        <f t="shared" si="591"/>
        <v>193701.26</v>
      </c>
      <c r="AE3822" s="2">
        <f>VLOOKUP(I3822,[1]媒体政策预估表!A:N,MATCH(O3822,[1]媒体政策预估表!$A$2:$M$2,0),0)</f>
        <v>0.12</v>
      </c>
      <c r="AF3822" s="6">
        <f t="shared" si="590"/>
        <v>23244.1512</v>
      </c>
      <c r="AG3822" s="14">
        <v>0</v>
      </c>
      <c r="AH3822" s="64">
        <f t="shared" si="592"/>
        <v>193701.26</v>
      </c>
      <c r="AI3822" s="47"/>
      <c r="AJ3822" s="126" t="e">
        <v>#N/A</v>
      </c>
      <c r="AK3822" s="80">
        <f t="shared" si="588"/>
        <v>0</v>
      </c>
      <c r="AM3822" s="85"/>
    </row>
    <row r="3823" spans="1:39" hidden="1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651</v>
      </c>
      <c r="F3823" s="86" t="s">
        <v>651</v>
      </c>
      <c r="G3823" s="86" t="s">
        <v>651</v>
      </c>
      <c r="H3823" s="144">
        <v>62</v>
      </c>
      <c r="I3823" s="86" t="s">
        <v>408</v>
      </c>
      <c r="J3823" s="1" t="s">
        <v>3324</v>
      </c>
      <c r="K3823" s="1" t="s">
        <v>3278</v>
      </c>
      <c r="L3823" s="1" t="s">
        <v>35</v>
      </c>
      <c r="M3823" s="86" t="s">
        <v>655</v>
      </c>
      <c r="N3823" s="86"/>
      <c r="O3823" s="47" t="s">
        <v>941</v>
      </c>
      <c r="P3823" s="47" t="s">
        <v>46</v>
      </c>
      <c r="Q3823" s="14">
        <v>0.04</v>
      </c>
      <c r="R3823" s="143">
        <v>1000080359</v>
      </c>
      <c r="S3823" s="47"/>
      <c r="T3823" s="6">
        <v>-28969.369999999988</v>
      </c>
      <c r="U3823" s="6"/>
      <c r="V3823" s="6">
        <v>58152.76</v>
      </c>
      <c r="W3823" s="6">
        <f t="shared" si="593"/>
        <v>-87122.12999999999</v>
      </c>
      <c r="X3823" s="6">
        <f t="shared" si="594"/>
        <v>55916.115384615383</v>
      </c>
      <c r="Y3823" s="13">
        <f t="shared" si="586"/>
        <v>0</v>
      </c>
      <c r="Z3823" s="14">
        <v>0</v>
      </c>
      <c r="AA3823" s="6">
        <v>0</v>
      </c>
      <c r="AB3823" s="4">
        <f t="shared" si="587"/>
        <v>55916.115384615383</v>
      </c>
      <c r="AC3823" s="4">
        <f t="shared" si="589"/>
        <v>2236.6446153846191</v>
      </c>
      <c r="AD3823" s="6">
        <f t="shared" si="591"/>
        <v>58152.76</v>
      </c>
      <c r="AE3823" s="2">
        <f>VLOOKUP(I3823,[1]媒体政策预估表!A:N,MATCH(O3823,[1]媒体政策预估表!$A$2:$M$2,0),0)</f>
        <v>0.12</v>
      </c>
      <c r="AF3823" s="6">
        <f t="shared" si="590"/>
        <v>6978.3311999999996</v>
      </c>
      <c r="AG3823" s="14">
        <v>0</v>
      </c>
      <c r="AH3823" s="64">
        <f t="shared" si="592"/>
        <v>58152.76</v>
      </c>
      <c r="AI3823" s="47"/>
      <c r="AJ3823" s="126" t="e">
        <v>#N/A</v>
      </c>
      <c r="AK3823" s="80">
        <f t="shared" si="588"/>
        <v>0</v>
      </c>
      <c r="AM3823" s="85"/>
    </row>
    <row r="3824" spans="1:39" hidden="1" x14ac:dyDescent="0.3">
      <c r="A3824" s="89" t="s">
        <v>3394</v>
      </c>
      <c r="B3824" s="86" t="s">
        <v>35</v>
      </c>
      <c r="C3824" s="86" t="s">
        <v>144</v>
      </c>
      <c r="D3824" s="86" t="s">
        <v>161</v>
      </c>
      <c r="E3824" s="86" t="s">
        <v>55</v>
      </c>
      <c r="F3824" s="86" t="s">
        <v>607</v>
      </c>
      <c r="G3824" s="86" t="s">
        <v>55</v>
      </c>
      <c r="H3824" s="144">
        <v>62</v>
      </c>
      <c r="I3824" s="86" t="s">
        <v>408</v>
      </c>
      <c r="J3824" s="1" t="s">
        <v>3324</v>
      </c>
      <c r="K3824" s="1" t="s">
        <v>3278</v>
      </c>
      <c r="L3824" s="1" t="s">
        <v>35</v>
      </c>
      <c r="M3824" s="86" t="s">
        <v>608</v>
      </c>
      <c r="N3824" s="86"/>
      <c r="O3824" s="47" t="s">
        <v>941</v>
      </c>
      <c r="P3824" s="47" t="s">
        <v>41</v>
      </c>
      <c r="Q3824" s="14">
        <v>0</v>
      </c>
      <c r="R3824" s="143">
        <v>1000083696</v>
      </c>
      <c r="S3824" s="47"/>
      <c r="T3824" s="6">
        <v>-153648.74</v>
      </c>
      <c r="U3824" s="6"/>
      <c r="V3824" s="6">
        <v>237978.07</v>
      </c>
      <c r="W3824" s="6">
        <f t="shared" si="593"/>
        <v>-391626.81</v>
      </c>
      <c r="X3824" s="6">
        <f t="shared" si="594"/>
        <v>237978.07</v>
      </c>
      <c r="Y3824" s="13">
        <f t="shared" si="586"/>
        <v>0</v>
      </c>
      <c r="Z3824" s="14">
        <v>0</v>
      </c>
      <c r="AA3824" s="6">
        <v>0</v>
      </c>
      <c r="AB3824" s="4">
        <f t="shared" si="587"/>
        <v>237978.07</v>
      </c>
      <c r="AC3824" s="4">
        <f t="shared" si="589"/>
        <v>0</v>
      </c>
      <c r="AD3824" s="6">
        <f t="shared" si="591"/>
        <v>237978.07</v>
      </c>
      <c r="AE3824" s="2">
        <f>VLOOKUP(I3824,[1]媒体政策预估表!A:N,MATCH(O3824,[1]媒体政策预估表!$A$2:$M$2,0),0)</f>
        <v>0.12</v>
      </c>
      <c r="AF3824" s="6">
        <f t="shared" si="590"/>
        <v>28557.368399999999</v>
      </c>
      <c r="AG3824" s="14">
        <v>0</v>
      </c>
      <c r="AH3824" s="64">
        <f t="shared" si="592"/>
        <v>237978.07</v>
      </c>
      <c r="AI3824" s="47"/>
      <c r="AJ3824" s="126" t="e">
        <v>#N/A</v>
      </c>
      <c r="AK3824" s="80">
        <f t="shared" si="588"/>
        <v>0</v>
      </c>
      <c r="AM3824" s="85"/>
    </row>
    <row r="3825" spans="1:39" hidden="1" x14ac:dyDescent="0.3">
      <c r="A3825" s="89" t="s">
        <v>3395</v>
      </c>
      <c r="B3825" s="86" t="s">
        <v>35</v>
      </c>
      <c r="C3825" s="86" t="s">
        <v>164</v>
      </c>
      <c r="D3825" s="86" t="s">
        <v>174</v>
      </c>
      <c r="E3825" s="86" t="s">
        <v>651</v>
      </c>
      <c r="F3825" s="86" t="s">
        <v>651</v>
      </c>
      <c r="G3825" s="86" t="s">
        <v>651</v>
      </c>
      <c r="H3825" s="144">
        <v>62</v>
      </c>
      <c r="I3825" s="86" t="s">
        <v>408</v>
      </c>
      <c r="J3825" s="1" t="s">
        <v>3324</v>
      </c>
      <c r="K3825" s="1" t="s">
        <v>3278</v>
      </c>
      <c r="L3825" s="1" t="s">
        <v>35</v>
      </c>
      <c r="M3825" s="86" t="s">
        <v>656</v>
      </c>
      <c r="N3825" s="86"/>
      <c r="O3825" s="47" t="s">
        <v>941</v>
      </c>
      <c r="P3825" s="47" t="s">
        <v>46</v>
      </c>
      <c r="Q3825" s="14">
        <v>0.04</v>
      </c>
      <c r="R3825" s="143">
        <v>1000084508</v>
      </c>
      <c r="S3825" s="47"/>
      <c r="T3825" s="6">
        <v>-32847.320000000007</v>
      </c>
      <c r="U3825" s="6"/>
      <c r="V3825" s="6">
        <v>65644.190000000017</v>
      </c>
      <c r="W3825" s="6">
        <f t="shared" si="593"/>
        <v>-98491.510000000024</v>
      </c>
      <c r="X3825" s="6">
        <f t="shared" si="594"/>
        <v>63119.413461538476</v>
      </c>
      <c r="Y3825" s="13">
        <f t="shared" si="586"/>
        <v>0</v>
      </c>
      <c r="Z3825" s="14">
        <v>0</v>
      </c>
      <c r="AA3825" s="6">
        <v>0</v>
      </c>
      <c r="AB3825" s="4">
        <f t="shared" si="587"/>
        <v>63119.413461538476</v>
      </c>
      <c r="AC3825" s="4">
        <f t="shared" si="589"/>
        <v>2524.7765384615413</v>
      </c>
      <c r="AD3825" s="6">
        <f t="shared" si="591"/>
        <v>65644.190000000017</v>
      </c>
      <c r="AE3825" s="2">
        <f>VLOOKUP(I3825,[1]媒体政策预估表!A:N,MATCH(O3825,[1]媒体政策预估表!$A$2:$M$2,0),0)</f>
        <v>0.12</v>
      </c>
      <c r="AF3825" s="6">
        <f t="shared" si="590"/>
        <v>7877.3028000000013</v>
      </c>
      <c r="AG3825" s="14">
        <v>0</v>
      </c>
      <c r="AH3825" s="64">
        <f t="shared" si="592"/>
        <v>65644.190000000017</v>
      </c>
      <c r="AI3825" s="47"/>
      <c r="AJ3825" s="126" t="e">
        <v>#N/A</v>
      </c>
      <c r="AK3825" s="80">
        <f t="shared" si="588"/>
        <v>0</v>
      </c>
      <c r="AM3825" s="85"/>
    </row>
    <row r="3826" spans="1:39" hidden="1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651</v>
      </c>
      <c r="F3826" s="86" t="s">
        <v>651</v>
      </c>
      <c r="G3826" s="86" t="s">
        <v>651</v>
      </c>
      <c r="H3826" s="144">
        <v>62</v>
      </c>
      <c r="I3826" s="86" t="s">
        <v>408</v>
      </c>
      <c r="J3826" s="1" t="s">
        <v>3324</v>
      </c>
      <c r="K3826" s="1" t="s">
        <v>3278</v>
      </c>
      <c r="L3826" s="1" t="s">
        <v>35</v>
      </c>
      <c r="M3826" s="86" t="s">
        <v>658</v>
      </c>
      <c r="N3826" s="86"/>
      <c r="O3826" s="47" t="s">
        <v>941</v>
      </c>
      <c r="P3826" s="47" t="s">
        <v>46</v>
      </c>
      <c r="Q3826" s="14">
        <v>0.04</v>
      </c>
      <c r="R3826" s="143">
        <v>1000085275</v>
      </c>
      <c r="S3826" s="47"/>
      <c r="T3826" s="6">
        <v>-157896.64999999997</v>
      </c>
      <c r="U3826" s="6"/>
      <c r="V3826" s="6">
        <v>215373.37000000005</v>
      </c>
      <c r="W3826" s="6">
        <f t="shared" si="593"/>
        <v>-373270.02</v>
      </c>
      <c r="X3826" s="6">
        <f t="shared" si="594"/>
        <v>207089.7788461539</v>
      </c>
      <c r="Y3826" s="13">
        <f t="shared" si="586"/>
        <v>0</v>
      </c>
      <c r="Z3826" s="14">
        <v>0</v>
      </c>
      <c r="AA3826" s="6">
        <v>0</v>
      </c>
      <c r="AB3826" s="4">
        <f t="shared" si="587"/>
        <v>207089.7788461539</v>
      </c>
      <c r="AC3826" s="4">
        <f t="shared" si="589"/>
        <v>8283.5911538461514</v>
      </c>
      <c r="AD3826" s="6">
        <f t="shared" si="591"/>
        <v>215373.37000000005</v>
      </c>
      <c r="AE3826" s="2">
        <f>VLOOKUP(I3826,[1]媒体政策预估表!A:N,MATCH(O3826,[1]媒体政策预估表!$A$2:$M$2,0),0)</f>
        <v>0.12</v>
      </c>
      <c r="AF3826" s="6">
        <f t="shared" si="590"/>
        <v>25844.804400000005</v>
      </c>
      <c r="AG3826" s="14">
        <v>0</v>
      </c>
      <c r="AH3826" s="64">
        <f t="shared" si="592"/>
        <v>215373.37000000005</v>
      </c>
      <c r="AI3826" s="47"/>
      <c r="AJ3826" s="126" t="e">
        <v>#N/A</v>
      </c>
      <c r="AK3826" s="80">
        <f t="shared" si="588"/>
        <v>0</v>
      </c>
      <c r="AM3826" s="85"/>
    </row>
    <row r="3827" spans="1:39" hidden="1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651</v>
      </c>
      <c r="F3827" s="86" t="s">
        <v>651</v>
      </c>
      <c r="G3827" s="86" t="s">
        <v>651</v>
      </c>
      <c r="H3827" s="144">
        <v>62</v>
      </c>
      <c r="I3827" s="86" t="s">
        <v>408</v>
      </c>
      <c r="J3827" s="1" t="s">
        <v>3324</v>
      </c>
      <c r="K3827" s="1" t="s">
        <v>3278</v>
      </c>
      <c r="L3827" s="1" t="s">
        <v>35</v>
      </c>
      <c r="M3827" s="86" t="s">
        <v>652</v>
      </c>
      <c r="N3827" s="86"/>
      <c r="O3827" s="47" t="s">
        <v>941</v>
      </c>
      <c r="P3827" s="47" t="s">
        <v>46</v>
      </c>
      <c r="Q3827" s="14">
        <v>0.04</v>
      </c>
      <c r="R3827" s="143">
        <v>1000085487</v>
      </c>
      <c r="S3827" s="47"/>
      <c r="T3827" s="6">
        <v>-45991.64</v>
      </c>
      <c r="U3827" s="6"/>
      <c r="V3827" s="6">
        <v>83431.190000000017</v>
      </c>
      <c r="W3827" s="6">
        <f t="shared" si="593"/>
        <v>-129422.83000000002</v>
      </c>
      <c r="X3827" s="6">
        <f t="shared" si="594"/>
        <v>80222.298076923093</v>
      </c>
      <c r="Y3827" s="13">
        <f t="shared" si="586"/>
        <v>0</v>
      </c>
      <c r="Z3827" s="14">
        <v>0</v>
      </c>
      <c r="AA3827" s="6">
        <v>0</v>
      </c>
      <c r="AB3827" s="4">
        <f t="shared" si="587"/>
        <v>80222.298076923093</v>
      </c>
      <c r="AC3827" s="4">
        <f t="shared" si="589"/>
        <v>3208.8919230769243</v>
      </c>
      <c r="AD3827" s="6">
        <f t="shared" si="591"/>
        <v>83431.190000000017</v>
      </c>
      <c r="AE3827" s="2">
        <f>VLOOKUP(I3827,[1]媒体政策预估表!A:N,MATCH(O3827,[1]媒体政策预估表!$A$2:$M$2,0),0)</f>
        <v>0.12</v>
      </c>
      <c r="AF3827" s="6">
        <f t="shared" si="590"/>
        <v>10011.742800000002</v>
      </c>
      <c r="AG3827" s="14">
        <v>0</v>
      </c>
      <c r="AH3827" s="64">
        <f t="shared" si="592"/>
        <v>83431.190000000017</v>
      </c>
      <c r="AI3827" s="47"/>
      <c r="AJ3827" s="126" t="e">
        <v>#N/A</v>
      </c>
      <c r="AK3827" s="80">
        <f t="shared" si="588"/>
        <v>0</v>
      </c>
      <c r="AM3827" s="85"/>
    </row>
    <row r="3828" spans="1:39" hidden="1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651</v>
      </c>
      <c r="F3828" s="86" t="s">
        <v>651</v>
      </c>
      <c r="G3828" s="86" t="s">
        <v>651</v>
      </c>
      <c r="H3828" s="144">
        <v>62</v>
      </c>
      <c r="I3828" s="86" t="s">
        <v>408</v>
      </c>
      <c r="J3828" s="1" t="s">
        <v>3324</v>
      </c>
      <c r="K3828" s="1" t="s">
        <v>3278</v>
      </c>
      <c r="L3828" s="1" t="s">
        <v>35</v>
      </c>
      <c r="M3828" s="86" t="s">
        <v>653</v>
      </c>
      <c r="N3828" s="86"/>
      <c r="O3828" s="47" t="s">
        <v>941</v>
      </c>
      <c r="P3828" s="47" t="s">
        <v>46</v>
      </c>
      <c r="Q3828" s="14">
        <v>0.04</v>
      </c>
      <c r="R3828" s="143">
        <v>1000088200</v>
      </c>
      <c r="S3828" s="47"/>
      <c r="T3828" s="6">
        <v>-139862.71</v>
      </c>
      <c r="U3828" s="6"/>
      <c r="V3828" s="6">
        <v>247862.79000000004</v>
      </c>
      <c r="W3828" s="6">
        <f t="shared" si="593"/>
        <v>-387725.5</v>
      </c>
      <c r="X3828" s="6">
        <f t="shared" si="594"/>
        <v>238329.60576923081</v>
      </c>
      <c r="Y3828" s="13">
        <f t="shared" si="586"/>
        <v>0</v>
      </c>
      <c r="Z3828" s="14">
        <v>0</v>
      </c>
      <c r="AA3828" s="6">
        <v>0</v>
      </c>
      <c r="AB3828" s="4">
        <f t="shared" si="587"/>
        <v>238329.60576923081</v>
      </c>
      <c r="AC3828" s="4">
        <f t="shared" si="589"/>
        <v>9533.1842307692277</v>
      </c>
      <c r="AD3828" s="6">
        <f t="shared" si="591"/>
        <v>247862.79000000004</v>
      </c>
      <c r="AE3828" s="2">
        <f>VLOOKUP(I3828,[1]媒体政策预估表!A:N,MATCH(O3828,[1]媒体政策预估表!$A$2:$M$2,0),0)</f>
        <v>0.12</v>
      </c>
      <c r="AF3828" s="6">
        <f t="shared" si="590"/>
        <v>29743.534800000005</v>
      </c>
      <c r="AG3828" s="14">
        <v>0</v>
      </c>
      <c r="AH3828" s="64">
        <f t="shared" si="592"/>
        <v>247862.79000000004</v>
      </c>
      <c r="AI3828" s="47"/>
      <c r="AJ3828" s="126" t="e">
        <v>#N/A</v>
      </c>
      <c r="AK3828" s="80">
        <f t="shared" si="588"/>
        <v>0</v>
      </c>
      <c r="AM3828" s="85"/>
    </row>
    <row r="3829" spans="1:39" hidden="1" x14ac:dyDescent="0.3">
      <c r="A3829" s="89" t="s">
        <v>3394</v>
      </c>
      <c r="B3829" s="86" t="s">
        <v>35</v>
      </c>
      <c r="C3829" s="86" t="s">
        <v>47</v>
      </c>
      <c r="D3829" s="86" t="s">
        <v>48</v>
      </c>
      <c r="E3829" s="86" t="s">
        <v>550</v>
      </c>
      <c r="F3829" s="86" t="s">
        <v>551</v>
      </c>
      <c r="G3829" s="86" t="s">
        <v>550</v>
      </c>
      <c r="H3829" s="144">
        <v>62</v>
      </c>
      <c r="I3829" s="86" t="s">
        <v>408</v>
      </c>
      <c r="J3829" s="1" t="s">
        <v>3324</v>
      </c>
      <c r="K3829" s="1" t="s">
        <v>3278</v>
      </c>
      <c r="L3829" s="1" t="s">
        <v>35</v>
      </c>
      <c r="M3829" s="86" t="s">
        <v>552</v>
      </c>
      <c r="N3829" s="86"/>
      <c r="O3829" s="47" t="s">
        <v>941</v>
      </c>
      <c r="P3829" s="47" t="s">
        <v>46</v>
      </c>
      <c r="Q3829" s="14">
        <v>0.02</v>
      </c>
      <c r="R3829" s="143">
        <v>1000100619</v>
      </c>
      <c r="S3829" s="47"/>
      <c r="T3829" s="6">
        <v>-3888.9</v>
      </c>
      <c r="U3829" s="6"/>
      <c r="V3829" s="6">
        <v>310216.00999999989</v>
      </c>
      <c r="W3829" s="6">
        <f t="shared" si="593"/>
        <v>-314104.90999999992</v>
      </c>
      <c r="X3829" s="6">
        <f t="shared" si="594"/>
        <v>304133.34313725476</v>
      </c>
      <c r="Y3829" s="13">
        <f t="shared" si="586"/>
        <v>0</v>
      </c>
      <c r="Z3829" s="14">
        <v>0</v>
      </c>
      <c r="AA3829" s="6">
        <v>0</v>
      </c>
      <c r="AB3829" s="4">
        <f t="shared" si="587"/>
        <v>304133.34313725476</v>
      </c>
      <c r="AC3829" s="4">
        <f t="shared" si="589"/>
        <v>6082.666862745129</v>
      </c>
      <c r="AD3829" s="6">
        <f t="shared" si="591"/>
        <v>310216.00999999989</v>
      </c>
      <c r="AE3829" s="2">
        <f>VLOOKUP(I3829,[1]媒体政策预估表!A:N,MATCH(O3829,[1]媒体政策预估表!$A$2:$M$2,0),0)</f>
        <v>0.12</v>
      </c>
      <c r="AF3829" s="6">
        <f t="shared" si="590"/>
        <v>37225.921199999982</v>
      </c>
      <c r="AG3829" s="14">
        <v>0</v>
      </c>
      <c r="AH3829" s="64">
        <f t="shared" si="592"/>
        <v>310216.00999999989</v>
      </c>
      <c r="AI3829" s="47"/>
      <c r="AJ3829" s="126" t="e">
        <v>#N/A</v>
      </c>
      <c r="AK3829" s="80">
        <f t="shared" si="588"/>
        <v>0</v>
      </c>
      <c r="AM3829" s="85"/>
    </row>
    <row r="3830" spans="1:39" hidden="1" x14ac:dyDescent="0.3">
      <c r="A3830" s="89" t="s">
        <v>3394</v>
      </c>
      <c r="B3830" s="86" t="s">
        <v>35</v>
      </c>
      <c r="C3830" s="86" t="s">
        <v>65</v>
      </c>
      <c r="D3830" s="86" t="s">
        <v>66</v>
      </c>
      <c r="E3830" s="86" t="s">
        <v>1907</v>
      </c>
      <c r="F3830" s="86" t="s">
        <v>1908</v>
      </c>
      <c r="G3830" s="86" t="s">
        <v>1907</v>
      </c>
      <c r="H3830" s="144">
        <v>62</v>
      </c>
      <c r="I3830" s="86" t="s">
        <v>408</v>
      </c>
      <c r="J3830" s="1" t="s">
        <v>3324</v>
      </c>
      <c r="K3830" s="1" t="s">
        <v>3278</v>
      </c>
      <c r="L3830" s="1" t="s">
        <v>35</v>
      </c>
      <c r="M3830" s="86" t="s">
        <v>477</v>
      </c>
      <c r="N3830" s="86"/>
      <c r="O3830" s="47" t="s">
        <v>941</v>
      </c>
      <c r="P3830" s="47" t="s">
        <v>46</v>
      </c>
      <c r="Q3830" s="14">
        <v>0.03</v>
      </c>
      <c r="R3830" s="143">
        <v>1000100635</v>
      </c>
      <c r="S3830" s="47"/>
      <c r="T3830" s="6">
        <v>0</v>
      </c>
      <c r="U3830" s="6"/>
      <c r="V3830" s="6">
        <v>112.01</v>
      </c>
      <c r="W3830" s="6">
        <f t="shared" si="593"/>
        <v>-112.01</v>
      </c>
      <c r="X3830" s="6">
        <f t="shared" si="594"/>
        <v>108.74757281553399</v>
      </c>
      <c r="Y3830" s="13">
        <f t="shared" si="586"/>
        <v>0</v>
      </c>
      <c r="Z3830" s="14">
        <v>0</v>
      </c>
      <c r="AA3830" s="6">
        <v>0</v>
      </c>
      <c r="AB3830" s="4">
        <f t="shared" si="587"/>
        <v>108.74757281553399</v>
      </c>
      <c r="AC3830" s="4">
        <f t="shared" si="589"/>
        <v>3.26242718446602</v>
      </c>
      <c r="AD3830" s="6">
        <f t="shared" si="591"/>
        <v>112.01</v>
      </c>
      <c r="AE3830" s="2">
        <f>VLOOKUP(I3830,[1]媒体政策预估表!A:N,MATCH(O3830,[1]媒体政策预估表!$A$2:$M$2,0),0)</f>
        <v>0.12</v>
      </c>
      <c r="AF3830" s="6">
        <f t="shared" si="590"/>
        <v>13.4412</v>
      </c>
      <c r="AG3830" s="14">
        <v>0</v>
      </c>
      <c r="AH3830" s="64">
        <f t="shared" si="592"/>
        <v>112.01</v>
      </c>
      <c r="AI3830" s="47"/>
      <c r="AJ3830" s="126" t="e">
        <v>#N/A</v>
      </c>
      <c r="AK3830" s="80">
        <f t="shared" si="588"/>
        <v>0</v>
      </c>
      <c r="AM3830" s="85"/>
    </row>
    <row r="3831" spans="1:39" hidden="1" x14ac:dyDescent="0.3">
      <c r="A3831" s="89" t="s">
        <v>3394</v>
      </c>
      <c r="B3831" s="86" t="s">
        <v>35</v>
      </c>
      <c r="C3831" s="86" t="s">
        <v>47</v>
      </c>
      <c r="D3831" s="86" t="s">
        <v>63</v>
      </c>
      <c r="E3831" s="86" t="s">
        <v>533</v>
      </c>
      <c r="F3831" s="86" t="s">
        <v>533</v>
      </c>
      <c r="G3831" s="86" t="s">
        <v>533</v>
      </c>
      <c r="H3831" s="143">
        <v>62</v>
      </c>
      <c r="I3831" s="86" t="s">
        <v>408</v>
      </c>
      <c r="J3831" s="1" t="s">
        <v>3324</v>
      </c>
      <c r="K3831" s="1" t="s">
        <v>3278</v>
      </c>
      <c r="L3831" s="1" t="s">
        <v>35</v>
      </c>
      <c r="M3831" s="86" t="s">
        <v>535</v>
      </c>
      <c r="N3831" s="86"/>
      <c r="O3831" s="47" t="s">
        <v>941</v>
      </c>
      <c r="P3831" s="47" t="s">
        <v>46</v>
      </c>
      <c r="Q3831" s="14">
        <v>0.02</v>
      </c>
      <c r="R3831" s="143">
        <v>1000073749</v>
      </c>
      <c r="S3831" s="47"/>
      <c r="T3831" s="6">
        <v>-94324.159999999989</v>
      </c>
      <c r="U3831" s="6"/>
      <c r="V3831" s="6">
        <v>0</v>
      </c>
      <c r="W3831" s="6">
        <f t="shared" si="593"/>
        <v>-94324.159999999989</v>
      </c>
      <c r="X3831" s="6">
        <f t="shared" si="594"/>
        <v>0</v>
      </c>
      <c r="Y3831" s="13">
        <f t="shared" si="586"/>
        <v>0</v>
      </c>
      <c r="Z3831" s="14">
        <v>0</v>
      </c>
      <c r="AA3831" s="6">
        <v>0</v>
      </c>
      <c r="AB3831" s="4">
        <f t="shared" si="587"/>
        <v>0</v>
      </c>
      <c r="AC3831" s="4">
        <f t="shared" si="589"/>
        <v>0</v>
      </c>
      <c r="AD3831" s="6">
        <f t="shared" si="591"/>
        <v>0</v>
      </c>
      <c r="AE3831" s="2">
        <f>VLOOKUP(I3831,[1]媒体政策预估表!A:N,MATCH(O3831,[1]媒体政策预估表!$A$2:$M$2,0),0)</f>
        <v>0.12</v>
      </c>
      <c r="AF3831" s="6">
        <f t="shared" si="590"/>
        <v>0</v>
      </c>
      <c r="AG3831" s="14">
        <v>0</v>
      </c>
      <c r="AH3831" s="64">
        <f t="shared" si="592"/>
        <v>0</v>
      </c>
      <c r="AI3831" s="47"/>
      <c r="AJ3831" s="126" t="e">
        <v>#N/A</v>
      </c>
      <c r="AK3831" s="80">
        <f t="shared" si="588"/>
        <v>0</v>
      </c>
      <c r="AM3831" s="85"/>
    </row>
    <row r="3832" spans="1:39" hidden="1" x14ac:dyDescent="0.3">
      <c r="A3832" s="89" t="s">
        <v>3394</v>
      </c>
      <c r="B3832" s="86" t="s">
        <v>35</v>
      </c>
      <c r="C3832" s="86" t="s">
        <v>36</v>
      </c>
      <c r="D3832" s="86" t="s">
        <v>54</v>
      </c>
      <c r="E3832" s="86" t="s">
        <v>1069</v>
      </c>
      <c r="F3832" s="86" t="s">
        <v>1194</v>
      </c>
      <c r="G3832" s="86" t="s">
        <v>1069</v>
      </c>
      <c r="H3832" s="144">
        <v>62</v>
      </c>
      <c r="I3832" s="86" t="s">
        <v>408</v>
      </c>
      <c r="J3832" s="1" t="s">
        <v>3324</v>
      </c>
      <c r="K3832" s="1" t="s">
        <v>3278</v>
      </c>
      <c r="L3832" s="1" t="s">
        <v>35</v>
      </c>
      <c r="M3832" s="86" t="s">
        <v>3440</v>
      </c>
      <c r="N3832" s="86"/>
      <c r="O3832" s="47" t="s">
        <v>3479</v>
      </c>
      <c r="P3832" s="47" t="s">
        <v>46</v>
      </c>
      <c r="Q3832" s="14">
        <v>0.04</v>
      </c>
      <c r="R3832" s="143">
        <v>1000101654</v>
      </c>
      <c r="S3832" s="47"/>
      <c r="T3832" s="6">
        <v>0</v>
      </c>
      <c r="U3832" s="6">
        <v>0</v>
      </c>
      <c r="V3832" s="6">
        <v>2290.64</v>
      </c>
      <c r="W3832" s="6">
        <f t="shared" si="593"/>
        <v>-2290.64</v>
      </c>
      <c r="X3832" s="6">
        <f t="shared" si="594"/>
        <v>2202.5384615384614</v>
      </c>
      <c r="Y3832" s="13">
        <f t="shared" si="586"/>
        <v>0</v>
      </c>
      <c r="Z3832" s="14">
        <v>0</v>
      </c>
      <c r="AA3832" s="6">
        <v>0</v>
      </c>
      <c r="AB3832" s="4">
        <f t="shared" si="587"/>
        <v>2202.5384615384614</v>
      </c>
      <c r="AC3832" s="4">
        <f t="shared" si="589"/>
        <v>88.101538461538439</v>
      </c>
      <c r="AD3832" s="6">
        <f t="shared" si="591"/>
        <v>2290.64</v>
      </c>
      <c r="AE3832" s="2">
        <f>VLOOKUP(I3832,[1]媒体政策预估表!A:N,MATCH(O3832,[1]媒体政策预估表!$A$2:$M$2,0),0)</f>
        <v>0.12</v>
      </c>
      <c r="AF3832" s="6">
        <f t="shared" si="590"/>
        <v>274.8768</v>
      </c>
      <c r="AG3832" s="14">
        <v>0</v>
      </c>
      <c r="AH3832" s="64">
        <f t="shared" si="592"/>
        <v>2290.64</v>
      </c>
      <c r="AI3832" s="47"/>
      <c r="AJ3832" s="126" t="e">
        <v>#N/A</v>
      </c>
      <c r="AK3832" s="80">
        <f t="shared" si="588"/>
        <v>0</v>
      </c>
      <c r="AM3832" s="85"/>
    </row>
    <row r="3833" spans="1:39" hidden="1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3477</v>
      </c>
      <c r="F3833" s="86" t="s">
        <v>3477</v>
      </c>
      <c r="G3833" s="86" t="s">
        <v>3477</v>
      </c>
      <c r="H3833" s="144">
        <v>62</v>
      </c>
      <c r="I3833" s="86" t="s">
        <v>408</v>
      </c>
      <c r="J3833" s="1" t="s">
        <v>3324</v>
      </c>
      <c r="K3833" s="1" t="s">
        <v>3278</v>
      </c>
      <c r="L3833" s="1" t="s">
        <v>35</v>
      </c>
      <c r="M3833" s="86" t="s">
        <v>3478</v>
      </c>
      <c r="N3833" s="86"/>
      <c r="O3833" s="47" t="s">
        <v>3480</v>
      </c>
      <c r="P3833" s="47" t="s">
        <v>46</v>
      </c>
      <c r="Q3833" s="14">
        <v>0.04</v>
      </c>
      <c r="R3833" s="143">
        <v>1000101920</v>
      </c>
      <c r="S3833" s="47"/>
      <c r="T3833" s="6">
        <v>0</v>
      </c>
      <c r="U3833" s="6">
        <v>0</v>
      </c>
      <c r="V3833" s="6">
        <v>1503.1599999999999</v>
      </c>
      <c r="W3833" s="6">
        <v>0</v>
      </c>
      <c r="X3833" s="6">
        <f t="shared" si="594"/>
        <v>1445.3461538461536</v>
      </c>
      <c r="Y3833" s="13">
        <f t="shared" si="586"/>
        <v>0</v>
      </c>
      <c r="Z3833" s="14">
        <v>0</v>
      </c>
      <c r="AA3833" s="6">
        <v>0</v>
      </c>
      <c r="AB3833" s="4">
        <f t="shared" si="587"/>
        <v>1445.3461538461536</v>
      </c>
      <c r="AC3833" s="4">
        <f t="shared" si="589"/>
        <v>57.813846153846271</v>
      </c>
      <c r="AD3833" s="6">
        <f t="shared" si="591"/>
        <v>1503.1599999999999</v>
      </c>
      <c r="AE3833" s="2">
        <f>VLOOKUP(I3833,[1]媒体政策预估表!A:N,MATCH(O3833,[1]媒体政策预估表!$A$2:$M$2,0),0)</f>
        <v>0.12</v>
      </c>
      <c r="AF3833" s="6">
        <f t="shared" si="590"/>
        <v>180.37919999999997</v>
      </c>
      <c r="AG3833" s="14">
        <v>0</v>
      </c>
      <c r="AH3833" s="64">
        <f t="shared" si="592"/>
        <v>1503.1599999999999</v>
      </c>
      <c r="AI3833" s="47"/>
      <c r="AJ3833" s="126" t="e">
        <v>#N/A</v>
      </c>
      <c r="AK3833" s="80">
        <f t="shared" si="588"/>
        <v>0</v>
      </c>
      <c r="AM3833" s="85"/>
    </row>
    <row r="3834" spans="1:39" hidden="1" x14ac:dyDescent="0.3">
      <c r="A3834" s="89" t="s">
        <v>3394</v>
      </c>
      <c r="B3834" s="86" t="s">
        <v>35</v>
      </c>
      <c r="C3834" s="86" t="s">
        <v>59</v>
      </c>
      <c r="D3834" s="86" t="s">
        <v>60</v>
      </c>
      <c r="E3834" s="86" t="s">
        <v>76</v>
      </c>
      <c r="F3834" s="86" t="s">
        <v>76</v>
      </c>
      <c r="G3834" s="86" t="s">
        <v>76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3481</v>
      </c>
      <c r="N3834" s="86"/>
      <c r="O3834" s="47" t="s">
        <v>410</v>
      </c>
      <c r="P3834" s="47" t="s">
        <v>75</v>
      </c>
      <c r="Q3834" s="14">
        <v>0.06</v>
      </c>
      <c r="R3834" s="143" t="s">
        <v>3482</v>
      </c>
      <c r="S3834" s="47"/>
      <c r="T3834" s="6">
        <v>0</v>
      </c>
      <c r="U3834" s="6">
        <v>10000</v>
      </c>
      <c r="V3834" s="6">
        <v>1991.39</v>
      </c>
      <c r="W3834" s="6">
        <f>T3834+U3834-V3834</f>
        <v>8008.61</v>
      </c>
      <c r="X3834" s="6">
        <f>IF(P3834="折扣",V3834*Q3834,IF(P3834="返现",V3834,V3834/(1+Q3834)))</f>
        <v>1991.39</v>
      </c>
      <c r="Y3834" s="13">
        <f t="shared" si="586"/>
        <v>0</v>
      </c>
      <c r="Z3834" s="14">
        <v>0</v>
      </c>
      <c r="AA3834" s="6">
        <v>0</v>
      </c>
      <c r="AB3834" s="4">
        <f t="shared" si="587"/>
        <v>1991.39</v>
      </c>
      <c r="AC3834" s="4">
        <f t="shared" si="589"/>
        <v>119.4834</v>
      </c>
      <c r="AD3834" s="6">
        <f>V3834</f>
        <v>1991.39</v>
      </c>
      <c r="AE3834" s="2">
        <f>VLOOKUP(I3834,[1]媒体政策预估表!A:N,MATCH(O3834,[1]媒体政策预估表!$A$2:$M$2,0),0)</f>
        <v>7.0000000000000007E-2</v>
      </c>
      <c r="AF3834" s="6">
        <f t="shared" si="590"/>
        <v>139.39730000000003</v>
      </c>
      <c r="AG3834" s="14">
        <v>0</v>
      </c>
      <c r="AH3834" s="65">
        <f>V3834</f>
        <v>1991.39</v>
      </c>
      <c r="AI3834" s="47"/>
      <c r="AJ3834" s="126" t="e">
        <v>#N/A</v>
      </c>
      <c r="AK3834" s="80">
        <f t="shared" si="588"/>
        <v>0</v>
      </c>
      <c r="AM3834" s="85"/>
    </row>
    <row r="3835" spans="1:39" hidden="1" x14ac:dyDescent="0.3">
      <c r="A3835" s="89" t="s">
        <v>3395</v>
      </c>
      <c r="B3835" s="86" t="s">
        <v>35</v>
      </c>
      <c r="C3835" s="86" t="s">
        <v>59</v>
      </c>
      <c r="D3835" s="86" t="s">
        <v>60</v>
      </c>
      <c r="E3835" s="86" t="s">
        <v>76</v>
      </c>
      <c r="F3835" s="86" t="s">
        <v>76</v>
      </c>
      <c r="G3835" s="86" t="s">
        <v>76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1061</v>
      </c>
      <c r="N3835" s="86"/>
      <c r="O3835" s="47" t="s">
        <v>410</v>
      </c>
      <c r="P3835" s="47" t="s">
        <v>75</v>
      </c>
      <c r="Q3835" s="14">
        <v>0.06</v>
      </c>
      <c r="R3835" s="143">
        <v>18511605911</v>
      </c>
      <c r="S3835" s="47"/>
      <c r="T3835" s="6">
        <v>20000</v>
      </c>
      <c r="U3835" s="6">
        <v>400</v>
      </c>
      <c r="V3835" s="6">
        <v>10811</v>
      </c>
      <c r="W3835" s="6">
        <f t="shared" ref="W3835:W3898" si="595">T3835+U3835-V3835</f>
        <v>9589</v>
      </c>
      <c r="X3835" s="6">
        <f t="shared" ref="X3835:X3898" si="596">IF(P3835="折扣",V3835*Q3835,IF(P3835="返现",V3835,V3835/(1+Q3835)))</f>
        <v>10811</v>
      </c>
      <c r="Y3835" s="13">
        <f t="shared" si="586"/>
        <v>0</v>
      </c>
      <c r="Z3835" s="14">
        <v>0</v>
      </c>
      <c r="AA3835" s="6">
        <v>0</v>
      </c>
      <c r="AB3835" s="4">
        <f t="shared" si="587"/>
        <v>10811</v>
      </c>
      <c r="AC3835" s="4">
        <f t="shared" si="589"/>
        <v>648.66</v>
      </c>
      <c r="AD3835" s="6">
        <f t="shared" ref="AD3835:AD3898" si="597">V3835</f>
        <v>10811</v>
      </c>
      <c r="AE3835" s="2">
        <f>VLOOKUP(I3835,[1]媒体政策预估表!A:N,MATCH(O3835,[1]媒体政策预估表!$A$2:$M$2,0),0)</f>
        <v>7.0000000000000007E-2</v>
      </c>
      <c r="AF3835" s="6">
        <f t="shared" si="590"/>
        <v>756.7700000000001</v>
      </c>
      <c r="AG3835" s="14">
        <v>0</v>
      </c>
      <c r="AH3835" s="65">
        <f t="shared" ref="AH3835:AH3898" si="598">V3835</f>
        <v>10811</v>
      </c>
      <c r="AI3835" s="47"/>
      <c r="AJ3835" s="126" t="e">
        <v>#N/A</v>
      </c>
      <c r="AK3835" s="80">
        <f t="shared" si="588"/>
        <v>0</v>
      </c>
      <c r="AM3835" s="85"/>
    </row>
    <row r="3836" spans="1:39" hidden="1" x14ac:dyDescent="0.3">
      <c r="A3836" s="89" t="s">
        <v>3394</v>
      </c>
      <c r="B3836" s="86" t="s">
        <v>35</v>
      </c>
      <c r="C3836" s="86" t="s">
        <v>59</v>
      </c>
      <c r="D3836" s="86" t="s">
        <v>60</v>
      </c>
      <c r="E3836" s="86" t="s">
        <v>610</v>
      </c>
      <c r="F3836" s="86" t="s">
        <v>1062</v>
      </c>
      <c r="G3836" s="86" t="s">
        <v>610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610</v>
      </c>
      <c r="N3836" s="86"/>
      <c r="O3836" s="47" t="s">
        <v>410</v>
      </c>
      <c r="P3836" s="47" t="s">
        <v>46</v>
      </c>
      <c r="Q3836" s="14">
        <v>0.02</v>
      </c>
      <c r="R3836" s="143" t="s">
        <v>1063</v>
      </c>
      <c r="S3836" s="47"/>
      <c r="T3836" s="6">
        <v>4961</v>
      </c>
      <c r="U3836" s="6">
        <v>50000</v>
      </c>
      <c r="V3836" s="6">
        <v>29464.5</v>
      </c>
      <c r="W3836" s="6">
        <f t="shared" si="595"/>
        <v>25496.5</v>
      </c>
      <c r="X3836" s="6">
        <f t="shared" si="596"/>
        <v>28886.764705882353</v>
      </c>
      <c r="Y3836" s="13">
        <f t="shared" si="586"/>
        <v>0</v>
      </c>
      <c r="Z3836" s="14">
        <v>0</v>
      </c>
      <c r="AA3836" s="6">
        <v>0</v>
      </c>
      <c r="AB3836" s="4">
        <f t="shared" si="587"/>
        <v>28886.764705882353</v>
      </c>
      <c r="AC3836" s="4">
        <f t="shared" si="589"/>
        <v>577.73529411764684</v>
      </c>
      <c r="AD3836" s="6">
        <f t="shared" si="597"/>
        <v>29464.5</v>
      </c>
      <c r="AE3836" s="2">
        <f>VLOOKUP(I3836,[1]媒体政策预估表!A:N,MATCH(O3836,[1]媒体政策预估表!$A$2:$M$2,0),0)</f>
        <v>7.0000000000000007E-2</v>
      </c>
      <c r="AF3836" s="6">
        <f t="shared" si="590"/>
        <v>2062.5150000000003</v>
      </c>
      <c r="AG3836" s="14">
        <v>0</v>
      </c>
      <c r="AH3836" s="65">
        <f t="shared" si="598"/>
        <v>29464.5</v>
      </c>
      <c r="AI3836" s="47"/>
      <c r="AJ3836" s="126" t="e">
        <v>#N/A</v>
      </c>
      <c r="AK3836" s="80">
        <f t="shared" si="588"/>
        <v>0</v>
      </c>
      <c r="AM3836" s="85"/>
    </row>
    <row r="3837" spans="1:39" hidden="1" x14ac:dyDescent="0.3">
      <c r="A3837" s="89" t="s">
        <v>3394</v>
      </c>
      <c r="B3837" s="86" t="s">
        <v>35</v>
      </c>
      <c r="C3837" s="86" t="s">
        <v>59</v>
      </c>
      <c r="D3837" s="86" t="s">
        <v>60</v>
      </c>
      <c r="E3837" s="86" t="s">
        <v>412</v>
      </c>
      <c r="F3837" s="86" t="s">
        <v>412</v>
      </c>
      <c r="G3837" s="86" t="s">
        <v>412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412</v>
      </c>
      <c r="N3837" s="86"/>
      <c r="O3837" s="47" t="s">
        <v>410</v>
      </c>
      <c r="P3837" s="47" t="s">
        <v>46</v>
      </c>
      <c r="Q3837" s="14">
        <v>0.02</v>
      </c>
      <c r="R3837" s="143" t="s">
        <v>1064</v>
      </c>
      <c r="S3837" s="47"/>
      <c r="T3837" s="6">
        <v>7229.6600000000035</v>
      </c>
      <c r="U3837" s="6">
        <v>30000</v>
      </c>
      <c r="V3837" s="6">
        <v>34383.599999999999</v>
      </c>
      <c r="W3837" s="6">
        <f t="shared" si="595"/>
        <v>2846.0600000000049</v>
      </c>
      <c r="X3837" s="6">
        <f t="shared" si="596"/>
        <v>33709.411764705881</v>
      </c>
      <c r="Y3837" s="13">
        <f t="shared" si="586"/>
        <v>0</v>
      </c>
      <c r="Z3837" s="14">
        <v>0</v>
      </c>
      <c r="AA3837" s="6">
        <v>0</v>
      </c>
      <c r="AB3837" s="4">
        <f t="shared" si="587"/>
        <v>33709.411764705881</v>
      </c>
      <c r="AC3837" s="4">
        <f t="shared" si="589"/>
        <v>674.18823529411748</v>
      </c>
      <c r="AD3837" s="6">
        <f t="shared" si="597"/>
        <v>34383.599999999999</v>
      </c>
      <c r="AE3837" s="2">
        <f>VLOOKUP(I3837,[1]媒体政策预估表!A:N,MATCH(O3837,[1]媒体政策预估表!$A$2:$M$2,0),0)</f>
        <v>7.0000000000000007E-2</v>
      </c>
      <c r="AF3837" s="6">
        <f t="shared" si="590"/>
        <v>2406.8520000000003</v>
      </c>
      <c r="AG3837" s="14">
        <v>0</v>
      </c>
      <c r="AH3837" s="65">
        <f t="shared" si="598"/>
        <v>34383.599999999999</v>
      </c>
      <c r="AI3837" s="47"/>
      <c r="AJ3837" s="126" t="e">
        <v>#N/A</v>
      </c>
      <c r="AK3837" s="80">
        <f t="shared" si="588"/>
        <v>0</v>
      </c>
      <c r="AM3837" s="85"/>
    </row>
    <row r="3838" spans="1:39" hidden="1" x14ac:dyDescent="0.3">
      <c r="A3838" s="89" t="s">
        <v>3395</v>
      </c>
      <c r="B3838" s="86" t="s">
        <v>35</v>
      </c>
      <c r="C3838" s="86" t="s">
        <v>59</v>
      </c>
      <c r="D3838" s="86" t="s">
        <v>60</v>
      </c>
      <c r="E3838" s="86" t="s">
        <v>1072</v>
      </c>
      <c r="F3838" s="86" t="s">
        <v>1072</v>
      </c>
      <c r="G3838" s="86" t="s">
        <v>1072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1072</v>
      </c>
      <c r="N3838" s="86"/>
      <c r="O3838" s="47" t="s">
        <v>410</v>
      </c>
      <c r="P3838" s="47" t="s">
        <v>41</v>
      </c>
      <c r="Q3838" s="14">
        <v>0</v>
      </c>
      <c r="R3838" s="143" t="s">
        <v>1073</v>
      </c>
      <c r="S3838" s="47"/>
      <c r="T3838" s="6">
        <v>3970.3999999999996</v>
      </c>
      <c r="U3838" s="6">
        <v>5000</v>
      </c>
      <c r="V3838" s="6">
        <v>6391.1</v>
      </c>
      <c r="W3838" s="6">
        <f t="shared" si="595"/>
        <v>2579.2999999999993</v>
      </c>
      <c r="X3838" s="6">
        <f t="shared" si="596"/>
        <v>6391.1</v>
      </c>
      <c r="Y3838" s="13">
        <f t="shared" si="586"/>
        <v>0</v>
      </c>
      <c r="Z3838" s="14">
        <v>0</v>
      </c>
      <c r="AA3838" s="6">
        <v>0</v>
      </c>
      <c r="AB3838" s="4">
        <f t="shared" si="587"/>
        <v>6391.1</v>
      </c>
      <c r="AC3838" s="4">
        <f t="shared" si="589"/>
        <v>0</v>
      </c>
      <c r="AD3838" s="6">
        <f t="shared" si="597"/>
        <v>6391.1</v>
      </c>
      <c r="AE3838" s="2">
        <f>VLOOKUP(I3838,[1]媒体政策预估表!A:N,MATCH(O3838,[1]媒体政策预估表!$A$2:$M$2,0),0)</f>
        <v>7.0000000000000007E-2</v>
      </c>
      <c r="AF3838" s="6">
        <f t="shared" si="590"/>
        <v>447.37700000000007</v>
      </c>
      <c r="AG3838" s="14">
        <v>0</v>
      </c>
      <c r="AH3838" s="65">
        <f t="shared" si="598"/>
        <v>6391.1</v>
      </c>
      <c r="AI3838" s="47"/>
      <c r="AJ3838" s="126" t="e">
        <v>#N/A</v>
      </c>
      <c r="AK3838" s="80">
        <f t="shared" si="588"/>
        <v>0</v>
      </c>
      <c r="AM3838" s="85"/>
    </row>
    <row r="3839" spans="1:39" hidden="1" x14ac:dyDescent="0.3">
      <c r="A3839" s="89" t="s">
        <v>3394</v>
      </c>
      <c r="B3839" s="86" t="s">
        <v>35</v>
      </c>
      <c r="C3839" s="86" t="s">
        <v>59</v>
      </c>
      <c r="D3839" s="86" t="s">
        <v>60</v>
      </c>
      <c r="E3839" s="86" t="s">
        <v>61</v>
      </c>
      <c r="F3839" s="86" t="s">
        <v>62</v>
      </c>
      <c r="G3839" s="86" t="s">
        <v>61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61</v>
      </c>
      <c r="N3839" s="86"/>
      <c r="O3839" s="47" t="s">
        <v>410</v>
      </c>
      <c r="P3839" s="47" t="s">
        <v>46</v>
      </c>
      <c r="Q3839" s="14">
        <v>0.02</v>
      </c>
      <c r="R3839" s="143" t="s">
        <v>1074</v>
      </c>
      <c r="S3839" s="47"/>
      <c r="T3839" s="6">
        <v>44680.179999999993</v>
      </c>
      <c r="U3839" s="6">
        <v>50000</v>
      </c>
      <c r="V3839" s="6">
        <v>41367</v>
      </c>
      <c r="W3839" s="6">
        <f t="shared" si="595"/>
        <v>53313.179999999993</v>
      </c>
      <c r="X3839" s="6">
        <f t="shared" si="596"/>
        <v>40555.882352941175</v>
      </c>
      <c r="Y3839" s="13">
        <f t="shared" si="586"/>
        <v>0</v>
      </c>
      <c r="Z3839" s="14">
        <v>0</v>
      </c>
      <c r="AA3839" s="6">
        <v>0</v>
      </c>
      <c r="AB3839" s="4">
        <f t="shared" si="587"/>
        <v>40555.882352941175</v>
      </c>
      <c r="AC3839" s="4">
        <f t="shared" si="589"/>
        <v>811.11764705882524</v>
      </c>
      <c r="AD3839" s="6">
        <f t="shared" si="597"/>
        <v>41367</v>
      </c>
      <c r="AE3839" s="2">
        <f>VLOOKUP(I3839,[1]媒体政策预估表!A:N,MATCH(O3839,[1]媒体政策预估表!$A$2:$M$2,0),0)</f>
        <v>7.0000000000000007E-2</v>
      </c>
      <c r="AF3839" s="6">
        <f t="shared" si="590"/>
        <v>2895.69</v>
      </c>
      <c r="AG3839" s="14">
        <v>0</v>
      </c>
      <c r="AH3839" s="65">
        <f t="shared" si="598"/>
        <v>41367</v>
      </c>
      <c r="AI3839" s="47"/>
      <c r="AJ3839" s="126" t="e">
        <v>#N/A</v>
      </c>
      <c r="AK3839" s="80">
        <f t="shared" si="588"/>
        <v>0</v>
      </c>
      <c r="AM3839" s="85"/>
    </row>
    <row r="3840" spans="1:39" hidden="1" x14ac:dyDescent="0.3">
      <c r="A3840" s="89" t="s">
        <v>3394</v>
      </c>
      <c r="B3840" s="86" t="s">
        <v>35</v>
      </c>
      <c r="C3840" s="86" t="s">
        <v>59</v>
      </c>
      <c r="D3840" s="86" t="s">
        <v>60</v>
      </c>
      <c r="E3840" s="86" t="s">
        <v>765</v>
      </c>
      <c r="F3840" s="86" t="s">
        <v>766</v>
      </c>
      <c r="G3840" s="86" t="s">
        <v>765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765</v>
      </c>
      <c r="N3840" s="86"/>
      <c r="O3840" s="47" t="s">
        <v>410</v>
      </c>
      <c r="P3840" s="47" t="s">
        <v>46</v>
      </c>
      <c r="Q3840" s="14">
        <v>0.02</v>
      </c>
      <c r="R3840" s="143" t="s">
        <v>1078</v>
      </c>
      <c r="S3840" s="47"/>
      <c r="T3840" s="6">
        <v>2131129.0605500001</v>
      </c>
      <c r="U3840" s="6">
        <v>3055646.8200000003</v>
      </c>
      <c r="V3840" s="6">
        <v>332711.73</v>
      </c>
      <c r="W3840" s="6">
        <f t="shared" si="595"/>
        <v>4854064.1505500004</v>
      </c>
      <c r="X3840" s="6">
        <f t="shared" si="596"/>
        <v>326187.97058823524</v>
      </c>
      <c r="Y3840" s="13">
        <f t="shared" si="586"/>
        <v>0</v>
      </c>
      <c r="Z3840" s="14">
        <v>0</v>
      </c>
      <c r="AA3840" s="6">
        <v>0</v>
      </c>
      <c r="AB3840" s="4">
        <f t="shared" si="587"/>
        <v>326187.97058823524</v>
      </c>
      <c r="AC3840" s="4">
        <f t="shared" si="589"/>
        <v>6523.7594117647386</v>
      </c>
      <c r="AD3840" s="6">
        <f t="shared" si="597"/>
        <v>332711.73</v>
      </c>
      <c r="AE3840" s="2">
        <f>VLOOKUP(I3840,[1]媒体政策预估表!A:N,MATCH(O3840,[1]媒体政策预估表!$A$2:$M$2,0),0)</f>
        <v>7.0000000000000007E-2</v>
      </c>
      <c r="AF3840" s="6">
        <f t="shared" si="590"/>
        <v>23289.821100000001</v>
      </c>
      <c r="AG3840" s="14">
        <v>0</v>
      </c>
      <c r="AH3840" s="65">
        <f t="shared" si="598"/>
        <v>332711.73</v>
      </c>
      <c r="AI3840" s="47"/>
      <c r="AJ3840" s="126" t="e">
        <v>#N/A</v>
      </c>
      <c r="AK3840" s="80">
        <f t="shared" si="588"/>
        <v>0</v>
      </c>
      <c r="AM3840" s="85"/>
    </row>
    <row r="3841" spans="1:39" hidden="1" x14ac:dyDescent="0.3">
      <c r="A3841" s="89" t="s">
        <v>3395</v>
      </c>
      <c r="B3841" s="86" t="s">
        <v>35</v>
      </c>
      <c r="C3841" s="86" t="s">
        <v>59</v>
      </c>
      <c r="D3841" s="86" t="s">
        <v>60</v>
      </c>
      <c r="E3841" s="86" t="s">
        <v>774</v>
      </c>
      <c r="F3841" s="86" t="s">
        <v>774</v>
      </c>
      <c r="G3841" s="86" t="s">
        <v>774</v>
      </c>
      <c r="H3841" s="143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784</v>
      </c>
      <c r="N3841" s="86"/>
      <c r="O3841" s="47" t="s">
        <v>410</v>
      </c>
      <c r="P3841" s="47" t="s">
        <v>46</v>
      </c>
      <c r="Q3841" s="14">
        <v>0.02</v>
      </c>
      <c r="R3841" s="143" t="s">
        <v>1079</v>
      </c>
      <c r="S3841" s="47"/>
      <c r="T3841" s="6">
        <v>15000</v>
      </c>
      <c r="U3841" s="6">
        <v>25000</v>
      </c>
      <c r="V3841" s="6">
        <v>0</v>
      </c>
      <c r="W3841" s="6">
        <f t="shared" si="595"/>
        <v>40000</v>
      </c>
      <c r="X3841" s="6">
        <f t="shared" si="596"/>
        <v>0</v>
      </c>
      <c r="Y3841" s="13">
        <f t="shared" si="586"/>
        <v>0</v>
      </c>
      <c r="Z3841" s="14">
        <v>0</v>
      </c>
      <c r="AA3841" s="6">
        <v>0</v>
      </c>
      <c r="AB3841" s="4">
        <f t="shared" si="587"/>
        <v>0</v>
      </c>
      <c r="AC3841" s="4">
        <f t="shared" si="589"/>
        <v>0</v>
      </c>
      <c r="AD3841" s="6">
        <f t="shared" si="597"/>
        <v>0</v>
      </c>
      <c r="AE3841" s="2">
        <f>VLOOKUP(I3841,[1]媒体政策预估表!A:N,MATCH(O3841,[1]媒体政策预估表!$A$2:$M$2,0),0)</f>
        <v>7.0000000000000007E-2</v>
      </c>
      <c r="AF3841" s="6">
        <f t="shared" si="590"/>
        <v>0</v>
      </c>
      <c r="AG3841" s="14">
        <v>0</v>
      </c>
      <c r="AH3841" s="65">
        <f t="shared" si="598"/>
        <v>0</v>
      </c>
      <c r="AI3841" s="47"/>
      <c r="AJ3841" s="126" t="e">
        <v>#N/A</v>
      </c>
      <c r="AK3841" s="80">
        <f t="shared" si="588"/>
        <v>0</v>
      </c>
      <c r="AM3841" s="85"/>
    </row>
    <row r="3842" spans="1:39" hidden="1" x14ac:dyDescent="0.3">
      <c r="A3842" s="89" t="s">
        <v>3395</v>
      </c>
      <c r="B3842" s="86" t="s">
        <v>35</v>
      </c>
      <c r="C3842" s="86" t="s">
        <v>59</v>
      </c>
      <c r="D3842" s="86" t="s">
        <v>60</v>
      </c>
      <c r="E3842" s="86" t="s">
        <v>1083</v>
      </c>
      <c r="F3842" s="86" t="s">
        <v>1084</v>
      </c>
      <c r="G3842" s="86" t="s">
        <v>1083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1085</v>
      </c>
      <c r="N3842" s="86"/>
      <c r="O3842" s="47" t="s">
        <v>410</v>
      </c>
      <c r="P3842" s="47" t="s">
        <v>41</v>
      </c>
      <c r="Q3842" s="14">
        <v>0</v>
      </c>
      <c r="R3842" s="143" t="s">
        <v>1086</v>
      </c>
      <c r="S3842" s="47"/>
      <c r="T3842" s="6">
        <v>11957.600000000006</v>
      </c>
      <c r="U3842" s="6">
        <v>57500</v>
      </c>
      <c r="V3842" s="6">
        <v>59751.4</v>
      </c>
      <c r="W3842" s="6">
        <f t="shared" si="595"/>
        <v>9706.2000000000044</v>
      </c>
      <c r="X3842" s="6">
        <f t="shared" si="596"/>
        <v>59751.4</v>
      </c>
      <c r="Y3842" s="13">
        <f t="shared" si="586"/>
        <v>0</v>
      </c>
      <c r="Z3842" s="14">
        <v>0</v>
      </c>
      <c r="AA3842" s="6">
        <v>0</v>
      </c>
      <c r="AB3842" s="4">
        <f t="shared" si="587"/>
        <v>59751.4</v>
      </c>
      <c r="AC3842" s="4">
        <f t="shared" si="589"/>
        <v>0</v>
      </c>
      <c r="AD3842" s="6">
        <f t="shared" si="597"/>
        <v>59751.4</v>
      </c>
      <c r="AE3842" s="2">
        <f>VLOOKUP(I3842,[1]媒体政策预估表!A:N,MATCH(O3842,[1]媒体政策预估表!$A$2:$M$2,0),0)</f>
        <v>7.0000000000000007E-2</v>
      </c>
      <c r="AF3842" s="6">
        <f t="shared" si="590"/>
        <v>4182.5980000000009</v>
      </c>
      <c r="AG3842" s="14">
        <v>0</v>
      </c>
      <c r="AH3842" s="65">
        <f t="shared" si="598"/>
        <v>59751.4</v>
      </c>
      <c r="AI3842" s="47"/>
      <c r="AJ3842" s="126" t="e">
        <v>#N/A</v>
      </c>
      <c r="AK3842" s="80">
        <f t="shared" si="588"/>
        <v>0</v>
      </c>
      <c r="AM3842" s="85"/>
    </row>
    <row r="3843" spans="1:39" hidden="1" x14ac:dyDescent="0.3">
      <c r="A3843" s="89" t="s">
        <v>3394</v>
      </c>
      <c r="B3843" s="86" t="s">
        <v>35</v>
      </c>
      <c r="C3843" s="86" t="s">
        <v>59</v>
      </c>
      <c r="D3843" s="86" t="s">
        <v>60</v>
      </c>
      <c r="E3843" s="86" t="s">
        <v>1083</v>
      </c>
      <c r="F3843" s="86" t="s">
        <v>1084</v>
      </c>
      <c r="G3843" s="86" t="s">
        <v>1083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1087</v>
      </c>
      <c r="N3843" s="86"/>
      <c r="O3843" s="47" t="s">
        <v>410</v>
      </c>
      <c r="P3843" s="47" t="s">
        <v>41</v>
      </c>
      <c r="Q3843" s="14">
        <v>0</v>
      </c>
      <c r="R3843" s="143" t="s">
        <v>1088</v>
      </c>
      <c r="S3843" s="47"/>
      <c r="T3843" s="6">
        <v>7598.3000000000029</v>
      </c>
      <c r="U3843" s="6">
        <v>89000</v>
      </c>
      <c r="V3843" s="6">
        <v>84071.3</v>
      </c>
      <c r="W3843" s="6">
        <f t="shared" si="595"/>
        <v>12527</v>
      </c>
      <c r="X3843" s="6">
        <f t="shared" si="596"/>
        <v>84071.3</v>
      </c>
      <c r="Y3843" s="13">
        <f t="shared" ref="Y3843:Y3906" si="599">IF(X3843-AD3843&lt;=0,0,IF(P3843="返现",MAX(X3843-AC3843-AD3843,0),MAX(X3843-AD3843)))</f>
        <v>0</v>
      </c>
      <c r="Z3843" s="14">
        <v>0</v>
      </c>
      <c r="AA3843" s="6">
        <v>0</v>
      </c>
      <c r="AB3843" s="4">
        <f t="shared" ref="AB3843:AB3906" si="600">X3843+AA3843</f>
        <v>84071.3</v>
      </c>
      <c r="AC3843" s="4">
        <f t="shared" si="589"/>
        <v>0</v>
      </c>
      <c r="AD3843" s="6">
        <f t="shared" si="597"/>
        <v>84071.3</v>
      </c>
      <c r="AE3843" s="2">
        <f>VLOOKUP(I3843,[1]媒体政策预估表!A:N,MATCH(O3843,[1]媒体政策预估表!$A$2:$M$2,0),0)</f>
        <v>7.0000000000000007E-2</v>
      </c>
      <c r="AF3843" s="6">
        <f t="shared" si="590"/>
        <v>5884.9910000000009</v>
      </c>
      <c r="AG3843" s="14">
        <v>0</v>
      </c>
      <c r="AH3843" s="65">
        <f t="shared" si="598"/>
        <v>84071.3</v>
      </c>
      <c r="AI3843" s="47"/>
      <c r="AJ3843" s="126" t="e">
        <v>#N/A</v>
      </c>
      <c r="AK3843" s="80">
        <f t="shared" ref="AK3843:AK3906" si="601">X3843+AA3843-AB3843</f>
        <v>0</v>
      </c>
      <c r="AM3843" s="85"/>
    </row>
    <row r="3844" spans="1:39" hidden="1" x14ac:dyDescent="0.3">
      <c r="A3844" s="89" t="s">
        <v>3394</v>
      </c>
      <c r="B3844" s="86" t="s">
        <v>35</v>
      </c>
      <c r="C3844" s="86" t="s">
        <v>59</v>
      </c>
      <c r="D3844" s="86" t="s">
        <v>60</v>
      </c>
      <c r="E3844" s="86" t="s">
        <v>1083</v>
      </c>
      <c r="F3844" s="86" t="s">
        <v>1084</v>
      </c>
      <c r="G3844" s="86" t="s">
        <v>1083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1089</v>
      </c>
      <c r="N3844" s="86"/>
      <c r="O3844" s="47" t="s">
        <v>410</v>
      </c>
      <c r="P3844" s="47" t="s">
        <v>41</v>
      </c>
      <c r="Q3844" s="14">
        <v>0</v>
      </c>
      <c r="R3844" s="143" t="s">
        <v>1090</v>
      </c>
      <c r="S3844" s="47"/>
      <c r="T3844" s="6">
        <v>26783.199999999997</v>
      </c>
      <c r="U3844" s="6">
        <v>89000</v>
      </c>
      <c r="V3844" s="6">
        <v>93952.8</v>
      </c>
      <c r="W3844" s="6">
        <f t="shared" si="595"/>
        <v>21830.399999999994</v>
      </c>
      <c r="X3844" s="6">
        <f t="shared" si="596"/>
        <v>93952.8</v>
      </c>
      <c r="Y3844" s="13">
        <f t="shared" si="599"/>
        <v>0</v>
      </c>
      <c r="Z3844" s="14">
        <v>0</v>
      </c>
      <c r="AA3844" s="6">
        <v>0</v>
      </c>
      <c r="AB3844" s="4">
        <f t="shared" si="600"/>
        <v>93952.8</v>
      </c>
      <c r="AC3844" s="4">
        <f t="shared" si="589"/>
        <v>0</v>
      </c>
      <c r="AD3844" s="6">
        <f t="shared" si="597"/>
        <v>93952.8</v>
      </c>
      <c r="AE3844" s="2">
        <f>VLOOKUP(I3844,[1]媒体政策预估表!A:N,MATCH(O3844,[1]媒体政策预估表!$A$2:$M$2,0),0)</f>
        <v>7.0000000000000007E-2</v>
      </c>
      <c r="AF3844" s="6">
        <f t="shared" si="590"/>
        <v>6576.6960000000008</v>
      </c>
      <c r="AG3844" s="14">
        <v>0</v>
      </c>
      <c r="AH3844" s="65">
        <f t="shared" si="598"/>
        <v>93952.8</v>
      </c>
      <c r="AI3844" s="47"/>
      <c r="AJ3844" s="126" t="e">
        <v>#N/A</v>
      </c>
      <c r="AK3844" s="80">
        <f t="shared" si="601"/>
        <v>0</v>
      </c>
      <c r="AM3844" s="85"/>
    </row>
    <row r="3845" spans="1:39" hidden="1" x14ac:dyDescent="0.3">
      <c r="A3845" s="89" t="s">
        <v>3394</v>
      </c>
      <c r="B3845" s="86" t="s">
        <v>35</v>
      </c>
      <c r="C3845" s="86" t="s">
        <v>59</v>
      </c>
      <c r="D3845" s="86" t="s">
        <v>60</v>
      </c>
      <c r="E3845" s="86" t="s">
        <v>425</v>
      </c>
      <c r="F3845" s="86" t="s">
        <v>425</v>
      </c>
      <c r="G3845" s="86" t="s">
        <v>425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3483</v>
      </c>
      <c r="N3845" s="86"/>
      <c r="O3845" s="47" t="s">
        <v>410</v>
      </c>
      <c r="P3845" s="47" t="s">
        <v>46</v>
      </c>
      <c r="Q3845" s="14">
        <v>0.02</v>
      </c>
      <c r="R3845" s="143" t="s">
        <v>3484</v>
      </c>
      <c r="S3845" s="47"/>
      <c r="T3845" s="6">
        <v>0</v>
      </c>
      <c r="U3845" s="6">
        <v>90000</v>
      </c>
      <c r="V3845" s="6">
        <v>75265.3</v>
      </c>
      <c r="W3845" s="6">
        <f t="shared" si="595"/>
        <v>14734.699999999997</v>
      </c>
      <c r="X3845" s="6">
        <f t="shared" si="596"/>
        <v>73789.509803921566</v>
      </c>
      <c r="Y3845" s="13">
        <f t="shared" si="599"/>
        <v>0</v>
      </c>
      <c r="Z3845" s="14">
        <v>0</v>
      </c>
      <c r="AA3845" s="6">
        <v>0</v>
      </c>
      <c r="AB3845" s="4">
        <f t="shared" si="600"/>
        <v>73789.509803921566</v>
      </c>
      <c r="AC3845" s="4">
        <f t="shared" si="589"/>
        <v>1475.7901960784366</v>
      </c>
      <c r="AD3845" s="6">
        <f t="shared" si="597"/>
        <v>75265.3</v>
      </c>
      <c r="AE3845" s="2">
        <f>VLOOKUP(I3845,[1]媒体政策预估表!A:N,MATCH(O3845,[1]媒体政策预估表!$A$2:$M$2,0),0)</f>
        <v>7.0000000000000007E-2</v>
      </c>
      <c r="AF3845" s="6">
        <f t="shared" si="590"/>
        <v>5268.5710000000008</v>
      </c>
      <c r="AG3845" s="14">
        <v>0</v>
      </c>
      <c r="AH3845" s="65">
        <f t="shared" si="598"/>
        <v>75265.3</v>
      </c>
      <c r="AI3845" s="47"/>
      <c r="AJ3845" s="126" t="e">
        <v>#N/A</v>
      </c>
      <c r="AK3845" s="80">
        <f t="shared" si="601"/>
        <v>0</v>
      </c>
      <c r="AM3845" s="85"/>
    </row>
    <row r="3846" spans="1:39" hidden="1" x14ac:dyDescent="0.3">
      <c r="A3846" s="89" t="s">
        <v>3395</v>
      </c>
      <c r="B3846" s="86" t="s">
        <v>35</v>
      </c>
      <c r="C3846" s="86" t="s">
        <v>36</v>
      </c>
      <c r="D3846" s="86" t="s">
        <v>224</v>
      </c>
      <c r="E3846" s="86" t="s">
        <v>1097</v>
      </c>
      <c r="F3846" s="86" t="s">
        <v>1097</v>
      </c>
      <c r="G3846" s="86" t="s">
        <v>1097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1097</v>
      </c>
      <c r="N3846" s="86"/>
      <c r="O3846" s="47" t="s">
        <v>410</v>
      </c>
      <c r="P3846" s="47" t="s">
        <v>41</v>
      </c>
      <c r="Q3846" s="14">
        <v>0</v>
      </c>
      <c r="R3846" s="143" t="s">
        <v>1098</v>
      </c>
      <c r="S3846" s="47"/>
      <c r="T3846" s="6">
        <v>19966.900000000038</v>
      </c>
      <c r="U3846" s="6">
        <v>90000</v>
      </c>
      <c r="V3846" s="6">
        <v>88333.8</v>
      </c>
      <c r="W3846" s="6">
        <f t="shared" si="595"/>
        <v>21633.100000000035</v>
      </c>
      <c r="X3846" s="6">
        <f t="shared" si="596"/>
        <v>88333.8</v>
      </c>
      <c r="Y3846" s="13">
        <f t="shared" si="599"/>
        <v>0</v>
      </c>
      <c r="Z3846" s="14">
        <v>0</v>
      </c>
      <c r="AA3846" s="6">
        <v>0</v>
      </c>
      <c r="AB3846" s="4">
        <f t="shared" si="600"/>
        <v>88333.8</v>
      </c>
      <c r="AC3846" s="4">
        <f t="shared" si="589"/>
        <v>0</v>
      </c>
      <c r="AD3846" s="6">
        <f t="shared" si="597"/>
        <v>88333.8</v>
      </c>
      <c r="AE3846" s="2">
        <f>VLOOKUP(I3846,[1]媒体政策预估表!A:N,MATCH(O3846,[1]媒体政策预估表!$A$2:$M$2,0),0)</f>
        <v>7.0000000000000007E-2</v>
      </c>
      <c r="AF3846" s="6">
        <f t="shared" si="590"/>
        <v>6183.3660000000009</v>
      </c>
      <c r="AG3846" s="14">
        <v>0</v>
      </c>
      <c r="AH3846" s="65">
        <f t="shared" si="598"/>
        <v>88333.8</v>
      </c>
      <c r="AI3846" s="47"/>
      <c r="AJ3846" s="126" t="e">
        <v>#N/A</v>
      </c>
      <c r="AK3846" s="80">
        <f t="shared" si="601"/>
        <v>0</v>
      </c>
      <c r="AM3846" s="85"/>
    </row>
    <row r="3847" spans="1:39" hidden="1" x14ac:dyDescent="0.3">
      <c r="A3847" s="89" t="s">
        <v>3394</v>
      </c>
      <c r="B3847" s="86" t="s">
        <v>35</v>
      </c>
      <c r="C3847" s="86" t="s">
        <v>36</v>
      </c>
      <c r="D3847" s="86" t="s">
        <v>224</v>
      </c>
      <c r="E3847" s="86" t="s">
        <v>1101</v>
      </c>
      <c r="F3847" s="86" t="s">
        <v>1101</v>
      </c>
      <c r="G3847" s="86" t="s">
        <v>1101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1101</v>
      </c>
      <c r="N3847" s="86"/>
      <c r="O3847" s="47" t="s">
        <v>410</v>
      </c>
      <c r="P3847" s="47" t="s">
        <v>41</v>
      </c>
      <c r="Q3847" s="14">
        <v>0</v>
      </c>
      <c r="R3847" s="143" t="s">
        <v>1102</v>
      </c>
      <c r="S3847" s="47"/>
      <c r="T3847" s="6">
        <v>13496.260000000009</v>
      </c>
      <c r="U3847" s="6">
        <v>90000</v>
      </c>
      <c r="V3847" s="6">
        <v>86102.2</v>
      </c>
      <c r="W3847" s="6">
        <f t="shared" si="595"/>
        <v>17394.060000000012</v>
      </c>
      <c r="X3847" s="6">
        <f t="shared" si="596"/>
        <v>86102.2</v>
      </c>
      <c r="Y3847" s="13">
        <f t="shared" si="599"/>
        <v>0</v>
      </c>
      <c r="Z3847" s="14">
        <v>0</v>
      </c>
      <c r="AA3847" s="6">
        <v>0</v>
      </c>
      <c r="AB3847" s="4">
        <f t="shared" si="600"/>
        <v>86102.2</v>
      </c>
      <c r="AC3847" s="4">
        <f t="shared" si="589"/>
        <v>0</v>
      </c>
      <c r="AD3847" s="6">
        <f t="shared" si="597"/>
        <v>86102.2</v>
      </c>
      <c r="AE3847" s="2">
        <f>VLOOKUP(I3847,[1]媒体政策预估表!A:N,MATCH(O3847,[1]媒体政策预估表!$A$2:$M$2,0),0)</f>
        <v>7.0000000000000007E-2</v>
      </c>
      <c r="AF3847" s="6">
        <f t="shared" si="590"/>
        <v>6027.1540000000005</v>
      </c>
      <c r="AG3847" s="14">
        <v>0</v>
      </c>
      <c r="AH3847" s="65">
        <f t="shared" si="598"/>
        <v>86102.2</v>
      </c>
      <c r="AI3847" s="47"/>
      <c r="AJ3847" s="126" t="e">
        <v>#N/A</v>
      </c>
      <c r="AK3847" s="80">
        <f t="shared" si="601"/>
        <v>0</v>
      </c>
      <c r="AM3847" s="85"/>
    </row>
    <row r="3848" spans="1:39" hidden="1" x14ac:dyDescent="0.3">
      <c r="A3848" s="89" t="s">
        <v>3395</v>
      </c>
      <c r="B3848" s="86" t="s">
        <v>35</v>
      </c>
      <c r="C3848" s="86" t="s">
        <v>36</v>
      </c>
      <c r="D3848" s="86" t="s">
        <v>224</v>
      </c>
      <c r="E3848" s="86" t="s">
        <v>1103</v>
      </c>
      <c r="F3848" s="86" t="s">
        <v>1103</v>
      </c>
      <c r="G3848" s="86" t="s">
        <v>1103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1104</v>
      </c>
      <c r="N3848" s="86"/>
      <c r="O3848" s="47" t="s">
        <v>410</v>
      </c>
      <c r="P3848" s="47" t="s">
        <v>41</v>
      </c>
      <c r="Q3848" s="14">
        <v>0</v>
      </c>
      <c r="R3848" s="143" t="s">
        <v>1105</v>
      </c>
      <c r="S3848" s="47"/>
      <c r="T3848" s="6">
        <v>5315.5</v>
      </c>
      <c r="U3848" s="6">
        <v>140000</v>
      </c>
      <c r="V3848" s="6">
        <v>46215.3</v>
      </c>
      <c r="W3848" s="6">
        <f t="shared" si="595"/>
        <v>99100.2</v>
      </c>
      <c r="X3848" s="6">
        <f t="shared" si="596"/>
        <v>46215.3</v>
      </c>
      <c r="Y3848" s="13">
        <f t="shared" si="599"/>
        <v>0</v>
      </c>
      <c r="Z3848" s="14">
        <v>0</v>
      </c>
      <c r="AA3848" s="6">
        <v>0</v>
      </c>
      <c r="AB3848" s="4">
        <f t="shared" si="600"/>
        <v>46215.3</v>
      </c>
      <c r="AC3848" s="4">
        <f t="shared" si="589"/>
        <v>0</v>
      </c>
      <c r="AD3848" s="6">
        <f t="shared" si="597"/>
        <v>46215.3</v>
      </c>
      <c r="AE3848" s="2">
        <f>VLOOKUP(I3848,[1]媒体政策预估表!A:N,MATCH(O3848,[1]媒体政策预估表!$A$2:$M$2,0),0)</f>
        <v>7.0000000000000007E-2</v>
      </c>
      <c r="AF3848" s="6">
        <f t="shared" si="590"/>
        <v>3235.0710000000004</v>
      </c>
      <c r="AG3848" s="14">
        <v>0</v>
      </c>
      <c r="AH3848" s="65">
        <f t="shared" si="598"/>
        <v>46215.3</v>
      </c>
      <c r="AI3848" s="47"/>
      <c r="AJ3848" s="126" t="e">
        <v>#N/A</v>
      </c>
      <c r="AK3848" s="80">
        <f t="shared" si="601"/>
        <v>0</v>
      </c>
      <c r="AM3848" s="85"/>
    </row>
    <row r="3849" spans="1:39" hidden="1" x14ac:dyDescent="0.3">
      <c r="A3849" s="89" t="s">
        <v>3394</v>
      </c>
      <c r="B3849" s="86" t="s">
        <v>35</v>
      </c>
      <c r="C3849" s="86" t="s">
        <v>36</v>
      </c>
      <c r="D3849" s="86" t="s">
        <v>224</v>
      </c>
      <c r="E3849" s="86" t="s">
        <v>1106</v>
      </c>
      <c r="F3849" s="86" t="s">
        <v>1106</v>
      </c>
      <c r="G3849" s="86" t="s">
        <v>1106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1106</v>
      </c>
      <c r="N3849" s="86"/>
      <c r="O3849" s="47" t="s">
        <v>410</v>
      </c>
      <c r="P3849" s="47" t="s">
        <v>41</v>
      </c>
      <c r="Q3849" s="14">
        <v>0</v>
      </c>
      <c r="R3849" s="143" t="s">
        <v>1107</v>
      </c>
      <c r="S3849" s="47"/>
      <c r="T3849" s="6">
        <v>1745.3000000000029</v>
      </c>
      <c r="U3849" s="6">
        <v>20000</v>
      </c>
      <c r="V3849" s="6">
        <v>19118.5</v>
      </c>
      <c r="W3849" s="6">
        <f t="shared" si="595"/>
        <v>2626.8000000000029</v>
      </c>
      <c r="X3849" s="6">
        <f t="shared" si="596"/>
        <v>19118.5</v>
      </c>
      <c r="Y3849" s="13">
        <f t="shared" si="599"/>
        <v>0</v>
      </c>
      <c r="Z3849" s="14">
        <v>0</v>
      </c>
      <c r="AA3849" s="6">
        <v>0</v>
      </c>
      <c r="AB3849" s="4">
        <f t="shared" si="600"/>
        <v>19118.5</v>
      </c>
      <c r="AC3849" s="4">
        <f t="shared" si="589"/>
        <v>0</v>
      </c>
      <c r="AD3849" s="6">
        <f t="shared" si="597"/>
        <v>19118.5</v>
      </c>
      <c r="AE3849" s="2">
        <f>VLOOKUP(I3849,[1]媒体政策预估表!A:N,MATCH(O3849,[1]媒体政策预估表!$A$2:$M$2,0),0)</f>
        <v>7.0000000000000007E-2</v>
      </c>
      <c r="AF3849" s="6">
        <f t="shared" si="590"/>
        <v>1338.2950000000001</v>
      </c>
      <c r="AG3849" s="14">
        <v>0</v>
      </c>
      <c r="AH3849" s="65">
        <f t="shared" si="598"/>
        <v>19118.5</v>
      </c>
      <c r="AI3849" s="47"/>
      <c r="AJ3849" s="126" t="e">
        <v>#N/A</v>
      </c>
      <c r="AK3849" s="80">
        <f t="shared" si="601"/>
        <v>0</v>
      </c>
      <c r="AM3849" s="85"/>
    </row>
    <row r="3850" spans="1:39" hidden="1" x14ac:dyDescent="0.3">
      <c r="A3850" s="89" t="s">
        <v>3395</v>
      </c>
      <c r="B3850" s="86" t="s">
        <v>35</v>
      </c>
      <c r="C3850" s="86" t="s">
        <v>36</v>
      </c>
      <c r="D3850" s="86" t="s">
        <v>224</v>
      </c>
      <c r="E3850" s="86" t="s">
        <v>1113</v>
      </c>
      <c r="F3850" s="86" t="s">
        <v>1113</v>
      </c>
      <c r="G3850" s="86" t="s">
        <v>1113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1113</v>
      </c>
      <c r="N3850" s="86"/>
      <c r="O3850" s="47" t="s">
        <v>410</v>
      </c>
      <c r="P3850" s="47" t="s">
        <v>41</v>
      </c>
      <c r="Q3850" s="14">
        <v>0</v>
      </c>
      <c r="R3850" s="143">
        <v>18381006076</v>
      </c>
      <c r="S3850" s="47"/>
      <c r="T3850" s="6">
        <v>7849.1</v>
      </c>
      <c r="U3850" s="6">
        <v>-4551.5</v>
      </c>
      <c r="V3850" s="6">
        <v>3297.6</v>
      </c>
      <c r="W3850" s="6">
        <f t="shared" si="595"/>
        <v>0</v>
      </c>
      <c r="X3850" s="6">
        <f t="shared" si="596"/>
        <v>3297.6</v>
      </c>
      <c r="Y3850" s="13">
        <f t="shared" si="599"/>
        <v>0</v>
      </c>
      <c r="Z3850" s="14">
        <v>0</v>
      </c>
      <c r="AA3850" s="6">
        <v>0</v>
      </c>
      <c r="AB3850" s="4">
        <f t="shared" si="600"/>
        <v>3297.6</v>
      </c>
      <c r="AC3850" s="4">
        <f t="shared" si="589"/>
        <v>0</v>
      </c>
      <c r="AD3850" s="6">
        <f t="shared" si="597"/>
        <v>3297.6</v>
      </c>
      <c r="AE3850" s="2">
        <f>VLOOKUP(I3850,[1]媒体政策预估表!A:N,MATCH(O3850,[1]媒体政策预估表!$A$2:$M$2,0),0)</f>
        <v>7.0000000000000007E-2</v>
      </c>
      <c r="AF3850" s="6">
        <f t="shared" si="590"/>
        <v>230.83200000000002</v>
      </c>
      <c r="AG3850" s="14">
        <v>0</v>
      </c>
      <c r="AH3850" s="65">
        <f t="shared" si="598"/>
        <v>3297.6</v>
      </c>
      <c r="AI3850" s="47"/>
      <c r="AJ3850" s="126" t="e">
        <v>#N/A</v>
      </c>
      <c r="AK3850" s="80">
        <f t="shared" si="601"/>
        <v>0</v>
      </c>
      <c r="AM3850" s="85"/>
    </row>
    <row r="3851" spans="1:39" hidden="1" x14ac:dyDescent="0.3">
      <c r="A3851" s="89" t="s">
        <v>3394</v>
      </c>
      <c r="B3851" s="86" t="s">
        <v>35</v>
      </c>
      <c r="C3851" s="86" t="s">
        <v>36</v>
      </c>
      <c r="D3851" s="86" t="s">
        <v>224</v>
      </c>
      <c r="E3851" s="86" t="s">
        <v>1116</v>
      </c>
      <c r="F3851" s="86" t="s">
        <v>1116</v>
      </c>
      <c r="G3851" s="86" t="s">
        <v>1116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1116</v>
      </c>
      <c r="N3851" s="86"/>
      <c r="O3851" s="47" t="s">
        <v>410</v>
      </c>
      <c r="P3851" s="47" t="s">
        <v>41</v>
      </c>
      <c r="Q3851" s="14">
        <v>0</v>
      </c>
      <c r="R3851" s="143" t="s">
        <v>1117</v>
      </c>
      <c r="S3851" s="47"/>
      <c r="T3851" s="6">
        <v>7189.4000000000015</v>
      </c>
      <c r="U3851" s="6">
        <v>15000</v>
      </c>
      <c r="V3851" s="6">
        <v>17372.2</v>
      </c>
      <c r="W3851" s="6">
        <f t="shared" si="595"/>
        <v>4817.2000000000007</v>
      </c>
      <c r="X3851" s="6">
        <f t="shared" si="596"/>
        <v>17372.2</v>
      </c>
      <c r="Y3851" s="13">
        <f t="shared" si="599"/>
        <v>0</v>
      </c>
      <c r="Z3851" s="14">
        <v>0</v>
      </c>
      <c r="AA3851" s="6">
        <v>0</v>
      </c>
      <c r="AB3851" s="4">
        <f t="shared" si="600"/>
        <v>17372.2</v>
      </c>
      <c r="AC3851" s="4">
        <f t="shared" si="589"/>
        <v>0</v>
      </c>
      <c r="AD3851" s="6">
        <f t="shared" si="597"/>
        <v>17372.2</v>
      </c>
      <c r="AE3851" s="2">
        <f>VLOOKUP(I3851,[1]媒体政策预估表!A:N,MATCH(O3851,[1]媒体政策预估表!$A$2:$M$2,0),0)</f>
        <v>7.0000000000000007E-2</v>
      </c>
      <c r="AF3851" s="6">
        <f t="shared" si="590"/>
        <v>1216.0540000000001</v>
      </c>
      <c r="AG3851" s="14">
        <v>0</v>
      </c>
      <c r="AH3851" s="65">
        <f t="shared" si="598"/>
        <v>17372.2</v>
      </c>
      <c r="AI3851" s="47"/>
      <c r="AJ3851" s="126" t="e">
        <v>#N/A</v>
      </c>
      <c r="AK3851" s="80">
        <f t="shared" si="601"/>
        <v>0</v>
      </c>
      <c r="AM3851" s="85"/>
    </row>
    <row r="3852" spans="1:39" hidden="1" x14ac:dyDescent="0.3">
      <c r="A3852" s="89" t="s">
        <v>3395</v>
      </c>
      <c r="B3852" s="86" t="s">
        <v>35</v>
      </c>
      <c r="C3852" s="86" t="s">
        <v>36</v>
      </c>
      <c r="D3852" s="86" t="s">
        <v>224</v>
      </c>
      <c r="E3852" s="86" t="s">
        <v>1118</v>
      </c>
      <c r="F3852" s="86" t="s">
        <v>1118</v>
      </c>
      <c r="G3852" s="86" t="s">
        <v>1118</v>
      </c>
      <c r="H3852" s="143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1118</v>
      </c>
      <c r="N3852" s="86"/>
      <c r="O3852" s="47" t="s">
        <v>410</v>
      </c>
      <c r="P3852" s="47" t="s">
        <v>41</v>
      </c>
      <c r="Q3852" s="14">
        <v>0</v>
      </c>
      <c r="R3852" s="143" t="s">
        <v>1119</v>
      </c>
      <c r="S3852" s="47"/>
      <c r="T3852" s="6">
        <v>6018.4</v>
      </c>
      <c r="U3852" s="6">
        <v>-6018.4</v>
      </c>
      <c r="V3852" s="6">
        <v>0</v>
      </c>
      <c r="W3852" s="6">
        <f t="shared" si="595"/>
        <v>0</v>
      </c>
      <c r="X3852" s="6">
        <f t="shared" si="596"/>
        <v>0</v>
      </c>
      <c r="Y3852" s="13">
        <f t="shared" si="599"/>
        <v>0</v>
      </c>
      <c r="Z3852" s="14">
        <v>0</v>
      </c>
      <c r="AA3852" s="6">
        <v>0</v>
      </c>
      <c r="AB3852" s="4">
        <f t="shared" si="600"/>
        <v>0</v>
      </c>
      <c r="AC3852" s="4">
        <f t="shared" ref="AC3852:AC3915" si="602">IF(P3852="返现",X3852*Q3852,V3852-X3852)</f>
        <v>0</v>
      </c>
      <c r="AD3852" s="6">
        <f t="shared" si="597"/>
        <v>0</v>
      </c>
      <c r="AE3852" s="2">
        <f>VLOOKUP(I3852,[1]媒体政策预估表!A:N,MATCH(O3852,[1]媒体政策预估表!$A$2:$M$2,0),0)</f>
        <v>7.0000000000000007E-2</v>
      </c>
      <c r="AF3852" s="6">
        <f t="shared" ref="AF3852:AF3915" si="603">AD3852*AE3852</f>
        <v>0</v>
      </c>
      <c r="AG3852" s="14">
        <v>0</v>
      </c>
      <c r="AH3852" s="65">
        <f t="shared" si="598"/>
        <v>0</v>
      </c>
      <c r="AI3852" s="47"/>
      <c r="AJ3852" s="126" t="e">
        <v>#N/A</v>
      </c>
      <c r="AK3852" s="80">
        <f t="shared" si="601"/>
        <v>0</v>
      </c>
      <c r="AM3852" s="85"/>
    </row>
    <row r="3853" spans="1:39" hidden="1" x14ac:dyDescent="0.3">
      <c r="A3853" s="89" t="s">
        <v>3395</v>
      </c>
      <c r="B3853" s="86" t="s">
        <v>35</v>
      </c>
      <c r="C3853" s="86" t="s">
        <v>36</v>
      </c>
      <c r="D3853" s="86" t="s">
        <v>224</v>
      </c>
      <c r="E3853" s="86" t="s">
        <v>1123</v>
      </c>
      <c r="F3853" s="86" t="s">
        <v>1123</v>
      </c>
      <c r="G3853" s="86" t="s">
        <v>1123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1123</v>
      </c>
      <c r="N3853" s="86"/>
      <c r="O3853" s="47" t="s">
        <v>410</v>
      </c>
      <c r="P3853" s="47" t="s">
        <v>41</v>
      </c>
      <c r="Q3853" s="14">
        <v>0</v>
      </c>
      <c r="R3853" s="143" t="s">
        <v>1124</v>
      </c>
      <c r="S3853" s="47"/>
      <c r="T3853" s="6">
        <v>8110.2999999999993</v>
      </c>
      <c r="U3853" s="6">
        <v>15000</v>
      </c>
      <c r="V3853" s="6">
        <v>14057.12</v>
      </c>
      <c r="W3853" s="6">
        <f t="shared" si="595"/>
        <v>9053.1799999999985</v>
      </c>
      <c r="X3853" s="6">
        <f t="shared" si="596"/>
        <v>14057.12</v>
      </c>
      <c r="Y3853" s="13">
        <f t="shared" si="599"/>
        <v>0</v>
      </c>
      <c r="Z3853" s="14">
        <v>0</v>
      </c>
      <c r="AA3853" s="6">
        <v>0</v>
      </c>
      <c r="AB3853" s="4">
        <f t="shared" si="600"/>
        <v>14057.12</v>
      </c>
      <c r="AC3853" s="4">
        <f t="shared" si="602"/>
        <v>0</v>
      </c>
      <c r="AD3853" s="6">
        <f t="shared" si="597"/>
        <v>14057.12</v>
      </c>
      <c r="AE3853" s="2">
        <f>VLOOKUP(I3853,[1]媒体政策预估表!A:N,MATCH(O3853,[1]媒体政策预估表!$A$2:$M$2,0),0)</f>
        <v>7.0000000000000007E-2</v>
      </c>
      <c r="AF3853" s="6">
        <f t="shared" si="603"/>
        <v>983.99840000000017</v>
      </c>
      <c r="AG3853" s="14">
        <v>0</v>
      </c>
      <c r="AH3853" s="65">
        <f t="shared" si="598"/>
        <v>14057.12</v>
      </c>
      <c r="AI3853" s="47"/>
      <c r="AJ3853" s="126" t="e">
        <v>#N/A</v>
      </c>
      <c r="AK3853" s="80">
        <f t="shared" si="601"/>
        <v>0</v>
      </c>
      <c r="AM3853" s="85"/>
    </row>
    <row r="3854" spans="1:39" hidden="1" x14ac:dyDescent="0.3">
      <c r="A3854" s="89" t="s">
        <v>3395</v>
      </c>
      <c r="B3854" s="86" t="s">
        <v>35</v>
      </c>
      <c r="C3854" s="86" t="s">
        <v>36</v>
      </c>
      <c r="D3854" s="86" t="s">
        <v>224</v>
      </c>
      <c r="E3854" s="86" t="s">
        <v>1130</v>
      </c>
      <c r="F3854" s="86" t="s">
        <v>1130</v>
      </c>
      <c r="G3854" s="86" t="s">
        <v>1130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1130</v>
      </c>
      <c r="N3854" s="86"/>
      <c r="O3854" s="47" t="s">
        <v>410</v>
      </c>
      <c r="P3854" s="47" t="s">
        <v>41</v>
      </c>
      <c r="Q3854" s="14">
        <v>0</v>
      </c>
      <c r="R3854" s="143" t="s">
        <v>1131</v>
      </c>
      <c r="S3854" s="47"/>
      <c r="T3854" s="6">
        <v>5551.8999999999942</v>
      </c>
      <c r="U3854" s="6">
        <v>15000</v>
      </c>
      <c r="V3854" s="6">
        <v>3279.8</v>
      </c>
      <c r="W3854" s="6">
        <f t="shared" si="595"/>
        <v>17272.099999999995</v>
      </c>
      <c r="X3854" s="6">
        <f t="shared" si="596"/>
        <v>3279.8</v>
      </c>
      <c r="Y3854" s="13">
        <f t="shared" si="599"/>
        <v>0</v>
      </c>
      <c r="Z3854" s="14">
        <v>0</v>
      </c>
      <c r="AA3854" s="6">
        <v>0</v>
      </c>
      <c r="AB3854" s="4">
        <f t="shared" si="600"/>
        <v>3279.8</v>
      </c>
      <c r="AC3854" s="4">
        <f t="shared" si="602"/>
        <v>0</v>
      </c>
      <c r="AD3854" s="6">
        <f t="shared" si="597"/>
        <v>3279.8</v>
      </c>
      <c r="AE3854" s="2">
        <f>VLOOKUP(I3854,[1]媒体政策预估表!A:N,MATCH(O3854,[1]媒体政策预估表!$A$2:$M$2,0),0)</f>
        <v>7.0000000000000007E-2</v>
      </c>
      <c r="AF3854" s="6">
        <f t="shared" si="603"/>
        <v>229.58600000000004</v>
      </c>
      <c r="AG3854" s="14">
        <v>0</v>
      </c>
      <c r="AH3854" s="65">
        <f t="shared" si="598"/>
        <v>3279.8</v>
      </c>
      <c r="AI3854" s="47"/>
      <c r="AJ3854" s="126" t="e">
        <v>#N/A</v>
      </c>
      <c r="AK3854" s="80">
        <f t="shared" si="601"/>
        <v>0</v>
      </c>
      <c r="AM3854" s="85"/>
    </row>
    <row r="3855" spans="1:39" hidden="1" x14ac:dyDescent="0.3">
      <c r="A3855" s="89" t="s">
        <v>3394</v>
      </c>
      <c r="B3855" s="86" t="s">
        <v>35</v>
      </c>
      <c r="C3855" s="86" t="s">
        <v>36</v>
      </c>
      <c r="D3855" s="86" t="s">
        <v>224</v>
      </c>
      <c r="E3855" s="86" t="s">
        <v>1132</v>
      </c>
      <c r="F3855" s="86" t="s">
        <v>1132</v>
      </c>
      <c r="G3855" s="86" t="s">
        <v>1132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1132</v>
      </c>
      <c r="N3855" s="86"/>
      <c r="O3855" s="47" t="s">
        <v>410</v>
      </c>
      <c r="P3855" s="47" t="s">
        <v>41</v>
      </c>
      <c r="Q3855" s="14">
        <v>0</v>
      </c>
      <c r="R3855" s="143" t="s">
        <v>1133</v>
      </c>
      <c r="S3855" s="47"/>
      <c r="T3855" s="6">
        <v>8409.2199999999975</v>
      </c>
      <c r="U3855" s="6">
        <v>10000</v>
      </c>
      <c r="V3855" s="6">
        <v>8223.7999999999993</v>
      </c>
      <c r="W3855" s="6">
        <f t="shared" si="595"/>
        <v>10185.419999999998</v>
      </c>
      <c r="X3855" s="6">
        <f t="shared" si="596"/>
        <v>8223.7999999999993</v>
      </c>
      <c r="Y3855" s="13">
        <f t="shared" si="599"/>
        <v>0</v>
      </c>
      <c r="Z3855" s="14">
        <v>0</v>
      </c>
      <c r="AA3855" s="6">
        <v>0</v>
      </c>
      <c r="AB3855" s="4">
        <f t="shared" si="600"/>
        <v>8223.7999999999993</v>
      </c>
      <c r="AC3855" s="4">
        <f t="shared" si="602"/>
        <v>0</v>
      </c>
      <c r="AD3855" s="6">
        <f t="shared" si="597"/>
        <v>8223.7999999999993</v>
      </c>
      <c r="AE3855" s="2">
        <f>VLOOKUP(I3855,[1]媒体政策预估表!A:N,MATCH(O3855,[1]媒体政策预估表!$A$2:$M$2,0),0)</f>
        <v>7.0000000000000007E-2</v>
      </c>
      <c r="AF3855" s="6">
        <f t="shared" si="603"/>
        <v>575.66600000000005</v>
      </c>
      <c r="AG3855" s="14">
        <v>0</v>
      </c>
      <c r="AH3855" s="65">
        <f t="shared" si="598"/>
        <v>8223.7999999999993</v>
      </c>
      <c r="AI3855" s="47"/>
      <c r="AJ3855" s="126" t="e">
        <v>#N/A</v>
      </c>
      <c r="AK3855" s="80">
        <f t="shared" si="601"/>
        <v>0</v>
      </c>
      <c r="AM3855" s="85"/>
    </row>
    <row r="3856" spans="1:39" hidden="1" x14ac:dyDescent="0.3">
      <c r="A3856" s="89" t="s">
        <v>3395</v>
      </c>
      <c r="B3856" s="86" t="s">
        <v>35</v>
      </c>
      <c r="C3856" s="86" t="s">
        <v>36</v>
      </c>
      <c r="D3856" s="86" t="s">
        <v>224</v>
      </c>
      <c r="E3856" s="86" t="s">
        <v>1136</v>
      </c>
      <c r="F3856" s="86" t="s">
        <v>1136</v>
      </c>
      <c r="G3856" s="86" t="s">
        <v>1136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1136</v>
      </c>
      <c r="N3856" s="86"/>
      <c r="O3856" s="47" t="s">
        <v>410</v>
      </c>
      <c r="P3856" s="47" t="s">
        <v>46</v>
      </c>
      <c r="Q3856" s="14">
        <v>0.02</v>
      </c>
      <c r="R3856" s="143" t="s">
        <v>1137</v>
      </c>
      <c r="S3856" s="47"/>
      <c r="T3856" s="6">
        <v>9920.1</v>
      </c>
      <c r="U3856" s="6">
        <v>30000</v>
      </c>
      <c r="V3856" s="6">
        <v>39442.9</v>
      </c>
      <c r="W3856" s="6">
        <f t="shared" si="595"/>
        <v>477.19999999999709</v>
      </c>
      <c r="X3856" s="6">
        <f t="shared" si="596"/>
        <v>38669.509803921566</v>
      </c>
      <c r="Y3856" s="13">
        <f t="shared" si="599"/>
        <v>0</v>
      </c>
      <c r="Z3856" s="14">
        <v>0</v>
      </c>
      <c r="AA3856" s="6">
        <v>0</v>
      </c>
      <c r="AB3856" s="4">
        <f t="shared" si="600"/>
        <v>38669.509803921566</v>
      </c>
      <c r="AC3856" s="4">
        <f t="shared" si="602"/>
        <v>773.39019607843511</v>
      </c>
      <c r="AD3856" s="6">
        <f t="shared" si="597"/>
        <v>39442.9</v>
      </c>
      <c r="AE3856" s="2">
        <f>VLOOKUP(I3856,[1]媒体政策预估表!A:N,MATCH(O3856,[1]媒体政策预估表!$A$2:$M$2,0),0)</f>
        <v>7.0000000000000007E-2</v>
      </c>
      <c r="AF3856" s="6">
        <f t="shared" si="603"/>
        <v>2761.0030000000002</v>
      </c>
      <c r="AG3856" s="14">
        <v>0</v>
      </c>
      <c r="AH3856" s="65">
        <f t="shared" si="598"/>
        <v>39442.9</v>
      </c>
      <c r="AI3856" s="47"/>
      <c r="AJ3856" s="126" t="e">
        <v>#N/A</v>
      </c>
      <c r="AK3856" s="80">
        <f t="shared" si="601"/>
        <v>0</v>
      </c>
      <c r="AM3856" s="85"/>
    </row>
    <row r="3857" spans="1:39" hidden="1" x14ac:dyDescent="0.3">
      <c r="A3857" s="89" t="s">
        <v>3394</v>
      </c>
      <c r="B3857" s="86" t="s">
        <v>35</v>
      </c>
      <c r="C3857" s="86" t="s">
        <v>36</v>
      </c>
      <c r="D3857" s="86" t="s">
        <v>224</v>
      </c>
      <c r="E3857" s="86" t="s">
        <v>1138</v>
      </c>
      <c r="F3857" s="86" t="s">
        <v>1138</v>
      </c>
      <c r="G3857" s="86" t="s">
        <v>1138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1138</v>
      </c>
      <c r="N3857" s="86"/>
      <c r="O3857" s="47" t="s">
        <v>410</v>
      </c>
      <c r="P3857" s="47" t="s">
        <v>41</v>
      </c>
      <c r="Q3857" s="14">
        <v>0</v>
      </c>
      <c r="R3857" s="143">
        <v>905160651</v>
      </c>
      <c r="S3857" s="47"/>
      <c r="T3857" s="6">
        <v>14385.5</v>
      </c>
      <c r="U3857" s="6">
        <v>70000</v>
      </c>
      <c r="V3857" s="6">
        <v>60481.2</v>
      </c>
      <c r="W3857" s="6">
        <f t="shared" si="595"/>
        <v>23904.300000000003</v>
      </c>
      <c r="X3857" s="6">
        <f t="shared" si="596"/>
        <v>60481.2</v>
      </c>
      <c r="Y3857" s="13">
        <f t="shared" si="599"/>
        <v>0</v>
      </c>
      <c r="Z3857" s="14">
        <v>0</v>
      </c>
      <c r="AA3857" s="6">
        <v>0</v>
      </c>
      <c r="AB3857" s="4">
        <f t="shared" si="600"/>
        <v>60481.2</v>
      </c>
      <c r="AC3857" s="4">
        <f t="shared" si="602"/>
        <v>0</v>
      </c>
      <c r="AD3857" s="6">
        <f t="shared" si="597"/>
        <v>60481.2</v>
      </c>
      <c r="AE3857" s="2">
        <f>VLOOKUP(I3857,[1]媒体政策预估表!A:N,MATCH(O3857,[1]媒体政策预估表!$A$2:$M$2,0),0)</f>
        <v>7.0000000000000007E-2</v>
      </c>
      <c r="AF3857" s="6">
        <f t="shared" si="603"/>
        <v>4233.6840000000002</v>
      </c>
      <c r="AG3857" s="14">
        <v>0</v>
      </c>
      <c r="AH3857" s="65">
        <f t="shared" si="598"/>
        <v>60481.2</v>
      </c>
      <c r="AI3857" s="47"/>
      <c r="AJ3857" s="126" t="e">
        <v>#N/A</v>
      </c>
      <c r="AK3857" s="80">
        <f t="shared" si="601"/>
        <v>0</v>
      </c>
      <c r="AM3857" s="85"/>
    </row>
    <row r="3858" spans="1:39" hidden="1" x14ac:dyDescent="0.3">
      <c r="A3858" s="89" t="s">
        <v>3395</v>
      </c>
      <c r="B3858" s="86" t="s">
        <v>35</v>
      </c>
      <c r="C3858" s="86" t="s">
        <v>36</v>
      </c>
      <c r="D3858" s="86" t="s">
        <v>224</v>
      </c>
      <c r="E3858" s="86" t="s">
        <v>1139</v>
      </c>
      <c r="F3858" s="86" t="s">
        <v>1139</v>
      </c>
      <c r="G3858" s="86" t="s">
        <v>1139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1139</v>
      </c>
      <c r="N3858" s="86"/>
      <c r="O3858" s="47" t="s">
        <v>410</v>
      </c>
      <c r="P3858" s="47" t="s">
        <v>41</v>
      </c>
      <c r="Q3858" s="14">
        <v>0</v>
      </c>
      <c r="R3858" s="143" t="s">
        <v>1140</v>
      </c>
      <c r="S3858" s="47"/>
      <c r="T3858" s="6">
        <v>81706.900000000023</v>
      </c>
      <c r="U3858" s="6">
        <v>220000</v>
      </c>
      <c r="V3858" s="6">
        <v>251186.6</v>
      </c>
      <c r="W3858" s="6">
        <f t="shared" si="595"/>
        <v>50520.300000000017</v>
      </c>
      <c r="X3858" s="6">
        <f t="shared" si="596"/>
        <v>251186.6</v>
      </c>
      <c r="Y3858" s="13">
        <f t="shared" si="599"/>
        <v>0</v>
      </c>
      <c r="Z3858" s="14">
        <v>0</v>
      </c>
      <c r="AA3858" s="6">
        <v>0</v>
      </c>
      <c r="AB3858" s="4">
        <f t="shared" si="600"/>
        <v>251186.6</v>
      </c>
      <c r="AC3858" s="4">
        <f t="shared" si="602"/>
        <v>0</v>
      </c>
      <c r="AD3858" s="6">
        <f t="shared" si="597"/>
        <v>251186.6</v>
      </c>
      <c r="AE3858" s="2">
        <f>VLOOKUP(I3858,[1]媒体政策预估表!A:N,MATCH(O3858,[1]媒体政策预估表!$A$2:$M$2,0),0)</f>
        <v>7.0000000000000007E-2</v>
      </c>
      <c r="AF3858" s="6">
        <f t="shared" si="603"/>
        <v>17583.062000000002</v>
      </c>
      <c r="AG3858" s="14">
        <v>0</v>
      </c>
      <c r="AH3858" s="65">
        <f t="shared" si="598"/>
        <v>251186.6</v>
      </c>
      <c r="AI3858" s="47"/>
      <c r="AJ3858" s="126" t="e">
        <v>#N/A</v>
      </c>
      <c r="AK3858" s="80">
        <f t="shared" si="601"/>
        <v>0</v>
      </c>
      <c r="AM3858" s="85"/>
    </row>
    <row r="3859" spans="1:39" hidden="1" x14ac:dyDescent="0.3">
      <c r="A3859" s="89" t="s">
        <v>3394</v>
      </c>
      <c r="B3859" s="86" t="s">
        <v>35</v>
      </c>
      <c r="C3859" s="86" t="s">
        <v>36</v>
      </c>
      <c r="D3859" s="86" t="s">
        <v>224</v>
      </c>
      <c r="E3859" s="86" t="s">
        <v>1141</v>
      </c>
      <c r="F3859" s="86" t="s">
        <v>1141</v>
      </c>
      <c r="G3859" s="86" t="s">
        <v>1141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1141</v>
      </c>
      <c r="N3859" s="86"/>
      <c r="O3859" s="47" t="s">
        <v>410</v>
      </c>
      <c r="P3859" s="47" t="s">
        <v>46</v>
      </c>
      <c r="Q3859" s="14">
        <v>0.01</v>
      </c>
      <c r="R3859" s="143" t="s">
        <v>1142</v>
      </c>
      <c r="S3859" s="47"/>
      <c r="T3859" s="6">
        <v>31832.800000000047</v>
      </c>
      <c r="U3859" s="6">
        <v>1100000</v>
      </c>
      <c r="V3859" s="6">
        <v>1058550.1840600001</v>
      </c>
      <c r="W3859" s="6">
        <f t="shared" si="595"/>
        <v>73282.615939999931</v>
      </c>
      <c r="X3859" s="6">
        <f t="shared" si="596"/>
        <v>1048069.4891683169</v>
      </c>
      <c r="Y3859" s="13">
        <f t="shared" si="599"/>
        <v>0</v>
      </c>
      <c r="Z3859" s="14">
        <v>0</v>
      </c>
      <c r="AA3859" s="6">
        <v>0</v>
      </c>
      <c r="AB3859" s="4">
        <f t="shared" si="600"/>
        <v>1048069.4891683169</v>
      </c>
      <c r="AC3859" s="4">
        <f t="shared" si="602"/>
        <v>10480.694891683175</v>
      </c>
      <c r="AD3859" s="6">
        <f t="shared" si="597"/>
        <v>1058550.1840600001</v>
      </c>
      <c r="AE3859" s="2">
        <f>VLOOKUP(I3859,[1]媒体政策预估表!A:N,MATCH(O3859,[1]媒体政策预估表!$A$2:$M$2,0),0)</f>
        <v>7.0000000000000007E-2</v>
      </c>
      <c r="AF3859" s="6">
        <f t="shared" si="603"/>
        <v>74098.512884200012</v>
      </c>
      <c r="AG3859" s="14">
        <v>0</v>
      </c>
      <c r="AH3859" s="65">
        <f t="shared" si="598"/>
        <v>1058550.1840600001</v>
      </c>
      <c r="AI3859" s="47"/>
      <c r="AJ3859" s="126" t="e">
        <v>#N/A</v>
      </c>
      <c r="AK3859" s="80">
        <f t="shared" si="601"/>
        <v>0</v>
      </c>
      <c r="AM3859" s="85"/>
    </row>
    <row r="3860" spans="1:39" hidden="1" x14ac:dyDescent="0.3">
      <c r="A3860" s="89" t="s">
        <v>3394</v>
      </c>
      <c r="B3860" s="86" t="s">
        <v>35</v>
      </c>
      <c r="C3860" s="86" t="s">
        <v>36</v>
      </c>
      <c r="D3860" s="86" t="s">
        <v>224</v>
      </c>
      <c r="E3860" s="86" t="s">
        <v>1143</v>
      </c>
      <c r="F3860" s="86" t="s">
        <v>1143</v>
      </c>
      <c r="G3860" s="86" t="s">
        <v>1143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1143</v>
      </c>
      <c r="N3860" s="86"/>
      <c r="O3860" s="47" t="s">
        <v>410</v>
      </c>
      <c r="P3860" s="47" t="s">
        <v>41</v>
      </c>
      <c r="Q3860" s="14">
        <v>0</v>
      </c>
      <c r="R3860" s="143" t="s">
        <v>1144</v>
      </c>
      <c r="S3860" s="47"/>
      <c r="T3860" s="6">
        <v>4220.5</v>
      </c>
      <c r="U3860" s="6">
        <v>5000</v>
      </c>
      <c r="V3860" s="6">
        <v>7452.6</v>
      </c>
      <c r="W3860" s="6">
        <f t="shared" si="595"/>
        <v>1767.8999999999996</v>
      </c>
      <c r="X3860" s="6">
        <f t="shared" si="596"/>
        <v>7452.6</v>
      </c>
      <c r="Y3860" s="13">
        <f t="shared" si="599"/>
        <v>0</v>
      </c>
      <c r="Z3860" s="14">
        <v>0</v>
      </c>
      <c r="AA3860" s="6">
        <v>0</v>
      </c>
      <c r="AB3860" s="4">
        <f t="shared" si="600"/>
        <v>7452.6</v>
      </c>
      <c r="AC3860" s="4">
        <f t="shared" si="602"/>
        <v>0</v>
      </c>
      <c r="AD3860" s="6">
        <f t="shared" si="597"/>
        <v>7452.6</v>
      </c>
      <c r="AE3860" s="2">
        <f>VLOOKUP(I3860,[1]媒体政策预估表!A:N,MATCH(O3860,[1]媒体政策预估表!$A$2:$M$2,0),0)</f>
        <v>7.0000000000000007E-2</v>
      </c>
      <c r="AF3860" s="6">
        <f t="shared" si="603"/>
        <v>521.68200000000013</v>
      </c>
      <c r="AG3860" s="14">
        <v>0</v>
      </c>
      <c r="AH3860" s="65">
        <f t="shared" si="598"/>
        <v>7452.6</v>
      </c>
      <c r="AI3860" s="47"/>
      <c r="AJ3860" s="126" t="e">
        <v>#N/A</v>
      </c>
      <c r="AK3860" s="80">
        <f t="shared" si="601"/>
        <v>0</v>
      </c>
      <c r="AM3860" s="85"/>
    </row>
    <row r="3861" spans="1:39" hidden="1" x14ac:dyDescent="0.3">
      <c r="A3861" s="89" t="s">
        <v>3394</v>
      </c>
      <c r="B3861" s="86" t="s">
        <v>35</v>
      </c>
      <c r="C3861" s="86" t="s">
        <v>36</v>
      </c>
      <c r="D3861" s="86" t="s">
        <v>224</v>
      </c>
      <c r="E3861" s="86" t="s">
        <v>1145</v>
      </c>
      <c r="F3861" s="86" t="s">
        <v>1145</v>
      </c>
      <c r="G3861" s="86" t="s">
        <v>1145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1145</v>
      </c>
      <c r="N3861" s="86"/>
      <c r="O3861" s="47" t="s">
        <v>410</v>
      </c>
      <c r="P3861" s="47" t="s">
        <v>41</v>
      </c>
      <c r="Q3861" s="14">
        <v>0</v>
      </c>
      <c r="R3861" s="143" t="s">
        <v>1146</v>
      </c>
      <c r="S3861" s="47"/>
      <c r="T3861" s="6">
        <v>4396.5600100000011</v>
      </c>
      <c r="U3861" s="6">
        <v>75000</v>
      </c>
      <c r="V3861" s="6">
        <v>76080.100000000006</v>
      </c>
      <c r="W3861" s="6">
        <f t="shared" si="595"/>
        <v>3316.4600099999952</v>
      </c>
      <c r="X3861" s="6">
        <f t="shared" si="596"/>
        <v>76080.100000000006</v>
      </c>
      <c r="Y3861" s="13">
        <f t="shared" si="599"/>
        <v>0</v>
      </c>
      <c r="Z3861" s="14">
        <v>0</v>
      </c>
      <c r="AA3861" s="6">
        <v>0</v>
      </c>
      <c r="AB3861" s="4">
        <f t="shared" si="600"/>
        <v>76080.100000000006</v>
      </c>
      <c r="AC3861" s="4">
        <f t="shared" si="602"/>
        <v>0</v>
      </c>
      <c r="AD3861" s="6">
        <f t="shared" si="597"/>
        <v>76080.100000000006</v>
      </c>
      <c r="AE3861" s="2">
        <f>VLOOKUP(I3861,[1]媒体政策预估表!A:N,MATCH(O3861,[1]媒体政策预估表!$A$2:$M$2,0),0)</f>
        <v>7.0000000000000007E-2</v>
      </c>
      <c r="AF3861" s="6">
        <f t="shared" si="603"/>
        <v>5325.6070000000009</v>
      </c>
      <c r="AG3861" s="14">
        <v>0</v>
      </c>
      <c r="AH3861" s="65">
        <f t="shared" si="598"/>
        <v>76080.100000000006</v>
      </c>
      <c r="AI3861" s="47"/>
      <c r="AJ3861" s="126" t="e">
        <v>#N/A</v>
      </c>
      <c r="AK3861" s="80">
        <f t="shared" si="601"/>
        <v>0</v>
      </c>
      <c r="AM3861" s="85"/>
    </row>
    <row r="3862" spans="1:39" hidden="1" x14ac:dyDescent="0.3">
      <c r="A3862" s="89" t="s">
        <v>3394</v>
      </c>
      <c r="B3862" s="86" t="s">
        <v>35</v>
      </c>
      <c r="C3862" s="86" t="s">
        <v>36</v>
      </c>
      <c r="D3862" s="86" t="s">
        <v>224</v>
      </c>
      <c r="E3862" s="86" t="s">
        <v>1145</v>
      </c>
      <c r="F3862" s="86" t="s">
        <v>1145</v>
      </c>
      <c r="G3862" s="86" t="s">
        <v>1145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1147</v>
      </c>
      <c r="N3862" s="86"/>
      <c r="O3862" s="47" t="s">
        <v>410</v>
      </c>
      <c r="P3862" s="47" t="s">
        <v>41</v>
      </c>
      <c r="Q3862" s="14">
        <v>0</v>
      </c>
      <c r="R3862" s="143" t="s">
        <v>1148</v>
      </c>
      <c r="S3862" s="47"/>
      <c r="T3862" s="6">
        <v>4696</v>
      </c>
      <c r="U3862" s="6">
        <v>120000</v>
      </c>
      <c r="V3862" s="6">
        <v>108657.34</v>
      </c>
      <c r="W3862" s="6">
        <f t="shared" si="595"/>
        <v>16038.660000000003</v>
      </c>
      <c r="X3862" s="6">
        <f t="shared" si="596"/>
        <v>108657.34</v>
      </c>
      <c r="Y3862" s="13">
        <f t="shared" si="599"/>
        <v>0</v>
      </c>
      <c r="Z3862" s="14">
        <v>0</v>
      </c>
      <c r="AA3862" s="6">
        <v>0</v>
      </c>
      <c r="AB3862" s="4">
        <f t="shared" si="600"/>
        <v>108657.34</v>
      </c>
      <c r="AC3862" s="4">
        <f t="shared" si="602"/>
        <v>0</v>
      </c>
      <c r="AD3862" s="6">
        <f t="shared" si="597"/>
        <v>108657.34</v>
      </c>
      <c r="AE3862" s="2">
        <f>VLOOKUP(I3862,[1]媒体政策预估表!A:N,MATCH(O3862,[1]媒体政策预估表!$A$2:$M$2,0),0)</f>
        <v>7.0000000000000007E-2</v>
      </c>
      <c r="AF3862" s="6">
        <f t="shared" si="603"/>
        <v>7606.0138000000006</v>
      </c>
      <c r="AG3862" s="14">
        <v>0</v>
      </c>
      <c r="AH3862" s="65">
        <f t="shared" si="598"/>
        <v>108657.34</v>
      </c>
      <c r="AI3862" s="47"/>
      <c r="AJ3862" s="126" t="e">
        <v>#N/A</v>
      </c>
      <c r="AK3862" s="80">
        <f t="shared" si="601"/>
        <v>0</v>
      </c>
      <c r="AM3862" s="85"/>
    </row>
    <row r="3863" spans="1:39" hidden="1" x14ac:dyDescent="0.3">
      <c r="A3863" s="89" t="s">
        <v>3395</v>
      </c>
      <c r="B3863" s="86" t="s">
        <v>35</v>
      </c>
      <c r="C3863" s="86" t="s">
        <v>36</v>
      </c>
      <c r="D3863" s="86" t="s">
        <v>224</v>
      </c>
      <c r="E3863" s="86" t="s">
        <v>1145</v>
      </c>
      <c r="F3863" s="86" t="s">
        <v>1145</v>
      </c>
      <c r="G3863" s="86" t="s">
        <v>1145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1149</v>
      </c>
      <c r="N3863" s="86"/>
      <c r="O3863" s="47" t="s">
        <v>410</v>
      </c>
      <c r="P3863" s="47" t="s">
        <v>41</v>
      </c>
      <c r="Q3863" s="14">
        <v>0</v>
      </c>
      <c r="R3863" s="143" t="s">
        <v>1150</v>
      </c>
      <c r="S3863" s="47"/>
      <c r="T3863" s="6">
        <v>6309.6500000000233</v>
      </c>
      <c r="U3863" s="6">
        <v>82000</v>
      </c>
      <c r="V3863" s="6">
        <v>84954.2</v>
      </c>
      <c r="W3863" s="6">
        <f t="shared" si="595"/>
        <v>3355.4500000000262</v>
      </c>
      <c r="X3863" s="6">
        <f t="shared" si="596"/>
        <v>84954.2</v>
      </c>
      <c r="Y3863" s="13">
        <f t="shared" si="599"/>
        <v>0</v>
      </c>
      <c r="Z3863" s="14">
        <v>0</v>
      </c>
      <c r="AA3863" s="6">
        <v>0</v>
      </c>
      <c r="AB3863" s="4">
        <f t="shared" si="600"/>
        <v>84954.2</v>
      </c>
      <c r="AC3863" s="4">
        <f t="shared" si="602"/>
        <v>0</v>
      </c>
      <c r="AD3863" s="6">
        <f t="shared" si="597"/>
        <v>84954.2</v>
      </c>
      <c r="AE3863" s="2">
        <f>VLOOKUP(I3863,[1]媒体政策预估表!A:N,MATCH(O3863,[1]媒体政策预估表!$A$2:$M$2,0),0)</f>
        <v>7.0000000000000007E-2</v>
      </c>
      <c r="AF3863" s="6">
        <f t="shared" si="603"/>
        <v>5946.7940000000008</v>
      </c>
      <c r="AG3863" s="14">
        <v>0</v>
      </c>
      <c r="AH3863" s="65">
        <f t="shared" si="598"/>
        <v>84954.2</v>
      </c>
      <c r="AI3863" s="47"/>
      <c r="AJ3863" s="126" t="e">
        <v>#N/A</v>
      </c>
      <c r="AK3863" s="80">
        <f t="shared" si="601"/>
        <v>0</v>
      </c>
      <c r="AM3863" s="85"/>
    </row>
    <row r="3864" spans="1:39" hidden="1" x14ac:dyDescent="0.3">
      <c r="A3864" s="89" t="s">
        <v>3394</v>
      </c>
      <c r="B3864" s="86" t="s">
        <v>35</v>
      </c>
      <c r="C3864" s="86" t="s">
        <v>36</v>
      </c>
      <c r="D3864" s="86" t="s">
        <v>224</v>
      </c>
      <c r="E3864" s="86" t="s">
        <v>1151</v>
      </c>
      <c r="F3864" s="86" t="s">
        <v>1151</v>
      </c>
      <c r="G3864" s="86" t="s">
        <v>1151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644</v>
      </c>
      <c r="N3864" s="86"/>
      <c r="O3864" s="47" t="s">
        <v>410</v>
      </c>
      <c r="P3864" s="47" t="s">
        <v>46</v>
      </c>
      <c r="Q3864" s="14">
        <v>0.02</v>
      </c>
      <c r="R3864" s="143" t="s">
        <v>1152</v>
      </c>
      <c r="S3864" s="47"/>
      <c r="T3864" s="6">
        <v>19224.64</v>
      </c>
      <c r="U3864" s="6">
        <v>220000</v>
      </c>
      <c r="V3864" s="6">
        <v>214843.12</v>
      </c>
      <c r="W3864" s="6">
        <f t="shared" si="595"/>
        <v>24381.520000000019</v>
      </c>
      <c r="X3864" s="6">
        <f t="shared" si="596"/>
        <v>210630.50980392157</v>
      </c>
      <c r="Y3864" s="13">
        <f t="shared" si="599"/>
        <v>0</v>
      </c>
      <c r="Z3864" s="14">
        <v>0</v>
      </c>
      <c r="AA3864" s="6">
        <v>0</v>
      </c>
      <c r="AB3864" s="4">
        <f t="shared" si="600"/>
        <v>210630.50980392157</v>
      </c>
      <c r="AC3864" s="4">
        <f t="shared" si="602"/>
        <v>4212.610196078429</v>
      </c>
      <c r="AD3864" s="6">
        <f t="shared" si="597"/>
        <v>214843.12</v>
      </c>
      <c r="AE3864" s="2">
        <f>VLOOKUP(I3864,[1]媒体政策预估表!A:N,MATCH(O3864,[1]媒体政策预估表!$A$2:$M$2,0),0)</f>
        <v>7.0000000000000007E-2</v>
      </c>
      <c r="AF3864" s="6">
        <f t="shared" si="603"/>
        <v>15039.018400000001</v>
      </c>
      <c r="AG3864" s="14">
        <v>0</v>
      </c>
      <c r="AH3864" s="65">
        <f t="shared" si="598"/>
        <v>214843.12</v>
      </c>
      <c r="AI3864" s="47"/>
      <c r="AJ3864" s="126" t="e">
        <v>#N/A</v>
      </c>
      <c r="AK3864" s="80">
        <f t="shared" si="601"/>
        <v>0</v>
      </c>
      <c r="AM3864" s="85"/>
    </row>
    <row r="3865" spans="1:39" hidden="1" x14ac:dyDescent="0.3">
      <c r="A3865" s="89" t="s">
        <v>3395</v>
      </c>
      <c r="B3865" s="86" t="s">
        <v>35</v>
      </c>
      <c r="C3865" s="86" t="s">
        <v>36</v>
      </c>
      <c r="D3865" s="86" t="s">
        <v>224</v>
      </c>
      <c r="E3865" s="86" t="s">
        <v>1151</v>
      </c>
      <c r="F3865" s="86" t="s">
        <v>1151</v>
      </c>
      <c r="G3865" s="86" t="s">
        <v>1151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1153</v>
      </c>
      <c r="N3865" s="86"/>
      <c r="O3865" s="47" t="s">
        <v>410</v>
      </c>
      <c r="P3865" s="47" t="s">
        <v>46</v>
      </c>
      <c r="Q3865" s="14">
        <v>0.02</v>
      </c>
      <c r="R3865" s="143" t="s">
        <v>1154</v>
      </c>
      <c r="S3865" s="47"/>
      <c r="T3865" s="6">
        <v>49192.799999999988</v>
      </c>
      <c r="U3865" s="6">
        <v>400000</v>
      </c>
      <c r="V3865" s="6">
        <v>350375.8</v>
      </c>
      <c r="W3865" s="6">
        <f t="shared" si="595"/>
        <v>98817</v>
      </c>
      <c r="X3865" s="6">
        <f t="shared" si="596"/>
        <v>343505.68627450976</v>
      </c>
      <c r="Y3865" s="13">
        <f t="shared" si="599"/>
        <v>0</v>
      </c>
      <c r="Z3865" s="14">
        <v>0</v>
      </c>
      <c r="AA3865" s="6">
        <v>0</v>
      </c>
      <c r="AB3865" s="4">
        <f t="shared" si="600"/>
        <v>343505.68627450976</v>
      </c>
      <c r="AC3865" s="4">
        <f t="shared" si="602"/>
        <v>6870.1137254902278</v>
      </c>
      <c r="AD3865" s="6">
        <f t="shared" si="597"/>
        <v>350375.8</v>
      </c>
      <c r="AE3865" s="2">
        <f>VLOOKUP(I3865,[1]媒体政策预估表!A:N,MATCH(O3865,[1]媒体政策预估表!$A$2:$M$2,0),0)</f>
        <v>7.0000000000000007E-2</v>
      </c>
      <c r="AF3865" s="6">
        <f t="shared" si="603"/>
        <v>24526.306</v>
      </c>
      <c r="AG3865" s="14">
        <v>0</v>
      </c>
      <c r="AH3865" s="65">
        <f t="shared" si="598"/>
        <v>350375.8</v>
      </c>
      <c r="AI3865" s="47"/>
      <c r="AJ3865" s="126" t="e">
        <v>#N/A</v>
      </c>
      <c r="AK3865" s="80">
        <f t="shared" si="601"/>
        <v>0</v>
      </c>
      <c r="AM3865" s="85"/>
    </row>
    <row r="3866" spans="1:39" hidden="1" x14ac:dyDescent="0.3">
      <c r="A3866" s="89" t="s">
        <v>3394</v>
      </c>
      <c r="B3866" s="86" t="s">
        <v>35</v>
      </c>
      <c r="C3866" s="86" t="s">
        <v>36</v>
      </c>
      <c r="D3866" s="86" t="s">
        <v>224</v>
      </c>
      <c r="E3866" s="86" t="s">
        <v>1151</v>
      </c>
      <c r="F3866" s="86" t="s">
        <v>1151</v>
      </c>
      <c r="G3866" s="86" t="s">
        <v>1151</v>
      </c>
      <c r="H3866" s="144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1155</v>
      </c>
      <c r="N3866" s="86"/>
      <c r="O3866" s="47" t="s">
        <v>410</v>
      </c>
      <c r="P3866" s="47" t="s">
        <v>46</v>
      </c>
      <c r="Q3866" s="14">
        <v>0.02</v>
      </c>
      <c r="R3866" s="143" t="s">
        <v>1156</v>
      </c>
      <c r="S3866" s="47"/>
      <c r="T3866" s="6">
        <v>25633.600000000006</v>
      </c>
      <c r="U3866" s="6">
        <v>2250000</v>
      </c>
      <c r="V3866" s="6">
        <v>1997798.8015099999</v>
      </c>
      <c r="W3866" s="6">
        <f t="shared" si="595"/>
        <v>277834.79849000019</v>
      </c>
      <c r="X3866" s="6">
        <f t="shared" si="596"/>
        <v>1958626.275990196</v>
      </c>
      <c r="Y3866" s="13">
        <f t="shared" si="599"/>
        <v>0</v>
      </c>
      <c r="Z3866" s="14">
        <v>0</v>
      </c>
      <c r="AA3866" s="6">
        <v>0</v>
      </c>
      <c r="AB3866" s="4">
        <f t="shared" si="600"/>
        <v>1958626.275990196</v>
      </c>
      <c r="AC3866" s="4">
        <f t="shared" si="602"/>
        <v>39172.525519803865</v>
      </c>
      <c r="AD3866" s="6">
        <f t="shared" si="597"/>
        <v>1997798.8015099999</v>
      </c>
      <c r="AE3866" s="2">
        <f>VLOOKUP(I3866,[1]媒体政策预估表!A:N,MATCH(O3866,[1]媒体政策预估表!$A$2:$M$2,0),0)</f>
        <v>7.0000000000000007E-2</v>
      </c>
      <c r="AF3866" s="6">
        <f t="shared" si="603"/>
        <v>139845.91610570002</v>
      </c>
      <c r="AG3866" s="14">
        <v>0</v>
      </c>
      <c r="AH3866" s="65">
        <f t="shared" si="598"/>
        <v>1997798.8015099999</v>
      </c>
      <c r="AI3866" s="47"/>
      <c r="AJ3866" s="126" t="e">
        <v>#N/A</v>
      </c>
      <c r="AK3866" s="80">
        <f t="shared" si="601"/>
        <v>0</v>
      </c>
      <c r="AM3866" s="85"/>
    </row>
    <row r="3867" spans="1:39" hidden="1" x14ac:dyDescent="0.3">
      <c r="A3867" s="89" t="s">
        <v>3395</v>
      </c>
      <c r="B3867" s="86" t="s">
        <v>35</v>
      </c>
      <c r="C3867" s="86" t="s">
        <v>36</v>
      </c>
      <c r="D3867" s="86" t="s">
        <v>224</v>
      </c>
      <c r="E3867" s="86" t="s">
        <v>1151</v>
      </c>
      <c r="F3867" s="86" t="s">
        <v>1151</v>
      </c>
      <c r="G3867" s="86" t="s">
        <v>1151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1157</v>
      </c>
      <c r="N3867" s="86"/>
      <c r="O3867" s="47" t="s">
        <v>410</v>
      </c>
      <c r="P3867" s="47" t="s">
        <v>46</v>
      </c>
      <c r="Q3867" s="14">
        <v>0.02</v>
      </c>
      <c r="R3867" s="143" t="s">
        <v>1158</v>
      </c>
      <c r="S3867" s="47"/>
      <c r="T3867" s="6">
        <v>436579.0517500001</v>
      </c>
      <c r="U3867" s="6">
        <v>2150000</v>
      </c>
      <c r="V3867" s="6">
        <v>2188135.82363</v>
      </c>
      <c r="W3867" s="6">
        <f t="shared" si="595"/>
        <v>398443.2281200001</v>
      </c>
      <c r="X3867" s="6">
        <f t="shared" si="596"/>
        <v>2145231.1996372547</v>
      </c>
      <c r="Y3867" s="13">
        <f t="shared" si="599"/>
        <v>0</v>
      </c>
      <c r="Z3867" s="14">
        <v>0</v>
      </c>
      <c r="AA3867" s="6">
        <v>0</v>
      </c>
      <c r="AB3867" s="4">
        <f t="shared" si="600"/>
        <v>2145231.1996372547</v>
      </c>
      <c r="AC3867" s="4">
        <f t="shared" si="602"/>
        <v>42904.623992745299</v>
      </c>
      <c r="AD3867" s="6">
        <f t="shared" si="597"/>
        <v>2188135.82363</v>
      </c>
      <c r="AE3867" s="2">
        <f>VLOOKUP(I3867,[1]媒体政策预估表!A:N,MATCH(O3867,[1]媒体政策预估表!$A$2:$M$2,0),0)</f>
        <v>7.0000000000000007E-2</v>
      </c>
      <c r="AF3867" s="6">
        <f t="shared" si="603"/>
        <v>153169.50765410002</v>
      </c>
      <c r="AG3867" s="14">
        <v>0</v>
      </c>
      <c r="AH3867" s="65">
        <f t="shared" si="598"/>
        <v>2188135.82363</v>
      </c>
      <c r="AI3867" s="47"/>
      <c r="AJ3867" s="126" t="e">
        <v>#N/A</v>
      </c>
      <c r="AK3867" s="80">
        <f t="shared" si="601"/>
        <v>0</v>
      </c>
      <c r="AM3867" s="85"/>
    </row>
    <row r="3868" spans="1:39" hidden="1" x14ac:dyDescent="0.3">
      <c r="A3868" s="89" t="s">
        <v>3394</v>
      </c>
      <c r="B3868" s="86" t="s">
        <v>35</v>
      </c>
      <c r="C3868" s="86" t="s">
        <v>36</v>
      </c>
      <c r="D3868" s="86" t="s">
        <v>224</v>
      </c>
      <c r="E3868" s="86" t="s">
        <v>1151</v>
      </c>
      <c r="F3868" s="86" t="s">
        <v>1151</v>
      </c>
      <c r="G3868" s="86" t="s">
        <v>1151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1159</v>
      </c>
      <c r="N3868" s="86"/>
      <c r="O3868" s="47" t="s">
        <v>410</v>
      </c>
      <c r="P3868" s="47" t="s">
        <v>46</v>
      </c>
      <c r="Q3868" s="14">
        <v>0.02</v>
      </c>
      <c r="R3868" s="143">
        <v>18917841742</v>
      </c>
      <c r="S3868" s="47"/>
      <c r="T3868" s="6">
        <v>425408.83018999989</v>
      </c>
      <c r="U3868" s="6">
        <v>1700000</v>
      </c>
      <c r="V3868" s="6">
        <v>1787012.27149</v>
      </c>
      <c r="W3868" s="6">
        <f t="shared" si="595"/>
        <v>338396.55870000017</v>
      </c>
      <c r="X3868" s="6">
        <f t="shared" si="596"/>
        <v>1751972.8151862745</v>
      </c>
      <c r="Y3868" s="13">
        <f t="shared" si="599"/>
        <v>0</v>
      </c>
      <c r="Z3868" s="14">
        <v>0</v>
      </c>
      <c r="AA3868" s="6">
        <v>0</v>
      </c>
      <c r="AB3868" s="4">
        <f t="shared" si="600"/>
        <v>1751972.8151862745</v>
      </c>
      <c r="AC3868" s="4">
        <f t="shared" si="602"/>
        <v>35039.456303725485</v>
      </c>
      <c r="AD3868" s="6">
        <f t="shared" si="597"/>
        <v>1787012.27149</v>
      </c>
      <c r="AE3868" s="2">
        <f>VLOOKUP(I3868,[1]媒体政策预估表!A:N,MATCH(O3868,[1]媒体政策预估表!$A$2:$M$2,0),0)</f>
        <v>7.0000000000000007E-2</v>
      </c>
      <c r="AF3868" s="6">
        <f t="shared" si="603"/>
        <v>125090.85900430001</v>
      </c>
      <c r="AG3868" s="14">
        <v>0</v>
      </c>
      <c r="AH3868" s="65">
        <f t="shared" si="598"/>
        <v>1787012.27149</v>
      </c>
      <c r="AI3868" s="47"/>
      <c r="AJ3868" s="126" t="e">
        <v>#N/A</v>
      </c>
      <c r="AK3868" s="80">
        <f t="shared" si="601"/>
        <v>0</v>
      </c>
      <c r="AM3868" s="85"/>
    </row>
    <row r="3869" spans="1:39" hidden="1" x14ac:dyDescent="0.3">
      <c r="A3869" s="89" t="s">
        <v>3394</v>
      </c>
      <c r="B3869" s="86" t="s">
        <v>35</v>
      </c>
      <c r="C3869" s="86" t="s">
        <v>36</v>
      </c>
      <c r="D3869" s="86" t="s">
        <v>224</v>
      </c>
      <c r="E3869" s="86" t="s">
        <v>1160</v>
      </c>
      <c r="F3869" s="86" t="s">
        <v>1160</v>
      </c>
      <c r="G3869" s="86" t="s">
        <v>1160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1161</v>
      </c>
      <c r="N3869" s="86"/>
      <c r="O3869" s="47" t="s">
        <v>410</v>
      </c>
      <c r="P3869" s="47" t="s">
        <v>41</v>
      </c>
      <c r="Q3869" s="14">
        <v>0</v>
      </c>
      <c r="R3869" s="143" t="s">
        <v>1162</v>
      </c>
      <c r="S3869" s="47"/>
      <c r="T3869" s="6">
        <v>1741.1199999999981</v>
      </c>
      <c r="U3869" s="6">
        <v>80000</v>
      </c>
      <c r="V3869" s="6">
        <v>55980.800000000003</v>
      </c>
      <c r="W3869" s="6">
        <f t="shared" si="595"/>
        <v>25760.319999999992</v>
      </c>
      <c r="X3869" s="6">
        <f t="shared" si="596"/>
        <v>55980.800000000003</v>
      </c>
      <c r="Y3869" s="13">
        <f t="shared" si="599"/>
        <v>0</v>
      </c>
      <c r="Z3869" s="14">
        <v>0</v>
      </c>
      <c r="AA3869" s="6">
        <v>0</v>
      </c>
      <c r="AB3869" s="4">
        <f t="shared" si="600"/>
        <v>55980.800000000003</v>
      </c>
      <c r="AC3869" s="4">
        <f t="shared" si="602"/>
        <v>0</v>
      </c>
      <c r="AD3869" s="6">
        <f t="shared" si="597"/>
        <v>55980.800000000003</v>
      </c>
      <c r="AE3869" s="2">
        <f>VLOOKUP(I3869,[1]媒体政策预估表!A:N,MATCH(O3869,[1]媒体政策预估表!$A$2:$M$2,0),0)</f>
        <v>7.0000000000000007E-2</v>
      </c>
      <c r="AF3869" s="6">
        <f t="shared" si="603"/>
        <v>3918.6560000000004</v>
      </c>
      <c r="AG3869" s="14">
        <v>0</v>
      </c>
      <c r="AH3869" s="65">
        <f t="shared" si="598"/>
        <v>55980.800000000003</v>
      </c>
      <c r="AI3869" s="47"/>
      <c r="AJ3869" s="126" t="e">
        <v>#N/A</v>
      </c>
      <c r="AK3869" s="80">
        <f t="shared" si="601"/>
        <v>0</v>
      </c>
      <c r="AM3869" s="85"/>
    </row>
    <row r="3870" spans="1:39" hidden="1" x14ac:dyDescent="0.3">
      <c r="A3870" s="89" t="s">
        <v>3395</v>
      </c>
      <c r="B3870" s="86" t="s">
        <v>35</v>
      </c>
      <c r="C3870" s="86" t="s">
        <v>36</v>
      </c>
      <c r="D3870" s="86" t="s">
        <v>224</v>
      </c>
      <c r="E3870" s="86" t="s">
        <v>1163</v>
      </c>
      <c r="F3870" s="86" t="s">
        <v>1163</v>
      </c>
      <c r="G3870" s="86" t="s">
        <v>1163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1163</v>
      </c>
      <c r="N3870" s="86"/>
      <c r="O3870" s="47" t="s">
        <v>410</v>
      </c>
      <c r="P3870" s="47" t="s">
        <v>41</v>
      </c>
      <c r="Q3870" s="14">
        <v>0</v>
      </c>
      <c r="R3870" s="143" t="s">
        <v>1164</v>
      </c>
      <c r="S3870" s="47"/>
      <c r="T3870" s="6">
        <v>3560</v>
      </c>
      <c r="U3870" s="6">
        <v>19000</v>
      </c>
      <c r="V3870" s="6">
        <v>20585.599999999999</v>
      </c>
      <c r="W3870" s="6">
        <f t="shared" si="595"/>
        <v>1974.4000000000015</v>
      </c>
      <c r="X3870" s="6">
        <f t="shared" si="596"/>
        <v>20585.599999999999</v>
      </c>
      <c r="Y3870" s="13">
        <f t="shared" si="599"/>
        <v>0</v>
      </c>
      <c r="Z3870" s="14">
        <v>0</v>
      </c>
      <c r="AA3870" s="6">
        <v>0</v>
      </c>
      <c r="AB3870" s="4">
        <f t="shared" si="600"/>
        <v>20585.599999999999</v>
      </c>
      <c r="AC3870" s="4">
        <f t="shared" si="602"/>
        <v>0</v>
      </c>
      <c r="AD3870" s="6">
        <f t="shared" si="597"/>
        <v>20585.599999999999</v>
      </c>
      <c r="AE3870" s="2">
        <f>VLOOKUP(I3870,[1]媒体政策预估表!A:N,MATCH(O3870,[1]媒体政策预估表!$A$2:$M$2,0),0)</f>
        <v>7.0000000000000007E-2</v>
      </c>
      <c r="AF3870" s="6">
        <f t="shared" si="603"/>
        <v>1440.992</v>
      </c>
      <c r="AG3870" s="14">
        <v>0</v>
      </c>
      <c r="AH3870" s="65">
        <f t="shared" si="598"/>
        <v>20585.599999999999</v>
      </c>
      <c r="AI3870" s="47"/>
      <c r="AJ3870" s="126" t="e">
        <v>#N/A</v>
      </c>
      <c r="AK3870" s="80">
        <f t="shared" si="601"/>
        <v>0</v>
      </c>
      <c r="AM3870" s="85"/>
    </row>
    <row r="3871" spans="1:39" hidden="1" x14ac:dyDescent="0.3">
      <c r="A3871" s="89" t="s">
        <v>3394</v>
      </c>
      <c r="B3871" s="86" t="s">
        <v>35</v>
      </c>
      <c r="C3871" s="86" t="s">
        <v>36</v>
      </c>
      <c r="D3871" s="86" t="s">
        <v>224</v>
      </c>
      <c r="E3871" s="86" t="s">
        <v>1165</v>
      </c>
      <c r="F3871" s="86" t="s">
        <v>1165</v>
      </c>
      <c r="G3871" s="86" t="s">
        <v>1165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1165</v>
      </c>
      <c r="N3871" s="86"/>
      <c r="O3871" s="47" t="s">
        <v>410</v>
      </c>
      <c r="P3871" s="47" t="s">
        <v>41</v>
      </c>
      <c r="Q3871" s="14">
        <v>0</v>
      </c>
      <c r="R3871" s="143" t="s">
        <v>1166</v>
      </c>
      <c r="S3871" s="47"/>
      <c r="T3871" s="6">
        <v>11081.979999999996</v>
      </c>
      <c r="U3871" s="6">
        <v>310000</v>
      </c>
      <c r="V3871" s="6">
        <v>107963.7</v>
      </c>
      <c r="W3871" s="6">
        <f t="shared" si="595"/>
        <v>213118.27999999997</v>
      </c>
      <c r="X3871" s="6">
        <f t="shared" si="596"/>
        <v>107963.7</v>
      </c>
      <c r="Y3871" s="13">
        <f t="shared" si="599"/>
        <v>0</v>
      </c>
      <c r="Z3871" s="14">
        <v>0</v>
      </c>
      <c r="AA3871" s="6">
        <v>0</v>
      </c>
      <c r="AB3871" s="4">
        <f t="shared" si="600"/>
        <v>107963.7</v>
      </c>
      <c r="AC3871" s="4">
        <f t="shared" si="602"/>
        <v>0</v>
      </c>
      <c r="AD3871" s="6">
        <f t="shared" si="597"/>
        <v>107963.7</v>
      </c>
      <c r="AE3871" s="2">
        <f>VLOOKUP(I3871,[1]媒体政策预估表!A:N,MATCH(O3871,[1]媒体政策预估表!$A$2:$M$2,0),0)</f>
        <v>7.0000000000000007E-2</v>
      </c>
      <c r="AF3871" s="6">
        <f t="shared" si="603"/>
        <v>7557.4590000000007</v>
      </c>
      <c r="AG3871" s="14">
        <v>0</v>
      </c>
      <c r="AH3871" s="65">
        <f t="shared" si="598"/>
        <v>107963.7</v>
      </c>
      <c r="AI3871" s="47"/>
      <c r="AJ3871" s="126" t="e">
        <v>#N/A</v>
      </c>
      <c r="AK3871" s="80">
        <f t="shared" si="601"/>
        <v>0</v>
      </c>
      <c r="AM3871" s="85"/>
    </row>
    <row r="3872" spans="1:39" hidden="1" x14ac:dyDescent="0.3">
      <c r="A3872" s="89" t="s">
        <v>3395</v>
      </c>
      <c r="B3872" s="86" t="s">
        <v>35</v>
      </c>
      <c r="C3872" s="86" t="s">
        <v>36</v>
      </c>
      <c r="D3872" s="86" t="s">
        <v>224</v>
      </c>
      <c r="E3872" s="86" t="s">
        <v>1169</v>
      </c>
      <c r="F3872" s="86" t="s">
        <v>1169</v>
      </c>
      <c r="G3872" s="86" t="s">
        <v>1169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1170</v>
      </c>
      <c r="N3872" s="86"/>
      <c r="O3872" s="47" t="s">
        <v>410</v>
      </c>
      <c r="P3872" s="47" t="s">
        <v>41</v>
      </c>
      <c r="Q3872" s="14">
        <v>0</v>
      </c>
      <c r="R3872" s="143" t="s">
        <v>1171</v>
      </c>
      <c r="S3872" s="47"/>
      <c r="T3872" s="6">
        <v>2941.7999999999993</v>
      </c>
      <c r="U3872" s="6">
        <v>40000</v>
      </c>
      <c r="V3872" s="6">
        <v>35107.5</v>
      </c>
      <c r="W3872" s="6">
        <f t="shared" si="595"/>
        <v>7834.3000000000029</v>
      </c>
      <c r="X3872" s="6">
        <f t="shared" si="596"/>
        <v>35107.5</v>
      </c>
      <c r="Y3872" s="13">
        <f t="shared" si="599"/>
        <v>0</v>
      </c>
      <c r="Z3872" s="14">
        <v>0</v>
      </c>
      <c r="AA3872" s="6">
        <v>0</v>
      </c>
      <c r="AB3872" s="4">
        <f t="shared" si="600"/>
        <v>35107.5</v>
      </c>
      <c r="AC3872" s="4">
        <f t="shared" si="602"/>
        <v>0</v>
      </c>
      <c r="AD3872" s="6">
        <f t="shared" si="597"/>
        <v>35107.5</v>
      </c>
      <c r="AE3872" s="2">
        <f>VLOOKUP(I3872,[1]媒体政策预估表!A:N,MATCH(O3872,[1]媒体政策预估表!$A$2:$M$2,0),0)</f>
        <v>7.0000000000000007E-2</v>
      </c>
      <c r="AF3872" s="6">
        <f t="shared" si="603"/>
        <v>2457.5250000000001</v>
      </c>
      <c r="AG3872" s="14">
        <v>0</v>
      </c>
      <c r="AH3872" s="65">
        <f t="shared" si="598"/>
        <v>35107.5</v>
      </c>
      <c r="AI3872" s="47"/>
      <c r="AJ3872" s="126" t="e">
        <v>#N/A</v>
      </c>
      <c r="AK3872" s="80">
        <f t="shared" si="601"/>
        <v>0</v>
      </c>
      <c r="AM3872" s="85"/>
    </row>
    <row r="3873" spans="1:39" hidden="1" x14ac:dyDescent="0.3">
      <c r="A3873" s="89" t="s">
        <v>3394</v>
      </c>
      <c r="B3873" s="86" t="s">
        <v>35</v>
      </c>
      <c r="C3873" s="86" t="s">
        <v>36</v>
      </c>
      <c r="D3873" s="86" t="s">
        <v>224</v>
      </c>
      <c r="E3873" s="86" t="s">
        <v>1172</v>
      </c>
      <c r="F3873" s="86" t="s">
        <v>1172</v>
      </c>
      <c r="G3873" s="86" t="s">
        <v>1172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1172</v>
      </c>
      <c r="N3873" s="86"/>
      <c r="O3873" s="47" t="s">
        <v>410</v>
      </c>
      <c r="P3873" s="47" t="s">
        <v>41</v>
      </c>
      <c r="Q3873" s="14">
        <v>0</v>
      </c>
      <c r="R3873" s="143" t="s">
        <v>1173</v>
      </c>
      <c r="S3873" s="47"/>
      <c r="T3873" s="6">
        <v>29301.100000000006</v>
      </c>
      <c r="U3873" s="6">
        <v>70000</v>
      </c>
      <c r="V3873" s="6">
        <v>92407.8</v>
      </c>
      <c r="W3873" s="6">
        <f t="shared" si="595"/>
        <v>6893.3000000000029</v>
      </c>
      <c r="X3873" s="6">
        <f t="shared" si="596"/>
        <v>92407.8</v>
      </c>
      <c r="Y3873" s="13">
        <f t="shared" si="599"/>
        <v>0</v>
      </c>
      <c r="Z3873" s="14">
        <v>0</v>
      </c>
      <c r="AA3873" s="6">
        <v>0</v>
      </c>
      <c r="AB3873" s="4">
        <f t="shared" si="600"/>
        <v>92407.8</v>
      </c>
      <c r="AC3873" s="4">
        <f t="shared" si="602"/>
        <v>0</v>
      </c>
      <c r="AD3873" s="6">
        <f t="shared" si="597"/>
        <v>92407.8</v>
      </c>
      <c r="AE3873" s="2">
        <f>VLOOKUP(I3873,[1]媒体政策预估表!A:N,MATCH(O3873,[1]媒体政策预估表!$A$2:$M$2,0),0)</f>
        <v>7.0000000000000007E-2</v>
      </c>
      <c r="AF3873" s="6">
        <f t="shared" si="603"/>
        <v>6468.5460000000012</v>
      </c>
      <c r="AG3873" s="14">
        <v>0</v>
      </c>
      <c r="AH3873" s="65">
        <f t="shared" si="598"/>
        <v>92407.8</v>
      </c>
      <c r="AI3873" s="47"/>
      <c r="AJ3873" s="126" t="e">
        <v>#N/A</v>
      </c>
      <c r="AK3873" s="80">
        <f t="shared" si="601"/>
        <v>0</v>
      </c>
      <c r="AM3873" s="85"/>
    </row>
    <row r="3874" spans="1:39" hidden="1" x14ac:dyDescent="0.3">
      <c r="A3874" s="89" t="s">
        <v>3394</v>
      </c>
      <c r="B3874" s="86" t="s">
        <v>35</v>
      </c>
      <c r="C3874" s="86" t="s">
        <v>36</v>
      </c>
      <c r="D3874" s="86" t="s">
        <v>224</v>
      </c>
      <c r="E3874" s="86" t="s">
        <v>1174</v>
      </c>
      <c r="F3874" s="86" t="s">
        <v>1175</v>
      </c>
      <c r="G3874" s="86" t="s">
        <v>1174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1176</v>
      </c>
      <c r="N3874" s="86"/>
      <c r="O3874" s="47" t="s">
        <v>410</v>
      </c>
      <c r="P3874" s="47" t="s">
        <v>41</v>
      </c>
      <c r="Q3874" s="14">
        <v>0</v>
      </c>
      <c r="R3874" s="143" t="s">
        <v>1177</v>
      </c>
      <c r="S3874" s="47"/>
      <c r="T3874" s="6">
        <v>0.2000000000007276</v>
      </c>
      <c r="U3874" s="6">
        <v>10000</v>
      </c>
      <c r="V3874" s="6">
        <v>7119.6</v>
      </c>
      <c r="W3874" s="6">
        <f t="shared" si="595"/>
        <v>2880.6000000000004</v>
      </c>
      <c r="X3874" s="6">
        <f t="shared" si="596"/>
        <v>7119.6</v>
      </c>
      <c r="Y3874" s="13">
        <f t="shared" si="599"/>
        <v>0</v>
      </c>
      <c r="Z3874" s="14">
        <v>0</v>
      </c>
      <c r="AA3874" s="6">
        <v>0</v>
      </c>
      <c r="AB3874" s="4">
        <f t="shared" si="600"/>
        <v>7119.6</v>
      </c>
      <c r="AC3874" s="4">
        <f t="shared" si="602"/>
        <v>0</v>
      </c>
      <c r="AD3874" s="6">
        <f t="shared" si="597"/>
        <v>7119.6</v>
      </c>
      <c r="AE3874" s="2">
        <f>VLOOKUP(I3874,[1]媒体政策预估表!A:N,MATCH(O3874,[1]媒体政策预估表!$A$2:$M$2,0),0)</f>
        <v>7.0000000000000007E-2</v>
      </c>
      <c r="AF3874" s="6">
        <f t="shared" si="603"/>
        <v>498.37200000000007</v>
      </c>
      <c r="AG3874" s="14">
        <v>0</v>
      </c>
      <c r="AH3874" s="65">
        <f t="shared" si="598"/>
        <v>7119.6</v>
      </c>
      <c r="AI3874" s="47"/>
      <c r="AJ3874" s="126" t="s">
        <v>4221</v>
      </c>
      <c r="AK3874" s="80">
        <f t="shared" si="601"/>
        <v>0</v>
      </c>
      <c r="AL3874" s="150"/>
      <c r="AM3874" s="85"/>
    </row>
    <row r="3875" spans="1:39" hidden="1" x14ac:dyDescent="0.3">
      <c r="A3875" s="89" t="s">
        <v>3395</v>
      </c>
      <c r="B3875" s="86" t="s">
        <v>35</v>
      </c>
      <c r="C3875" s="86" t="s">
        <v>36</v>
      </c>
      <c r="D3875" s="86" t="s">
        <v>224</v>
      </c>
      <c r="E3875" s="86" t="s">
        <v>1174</v>
      </c>
      <c r="F3875" s="86" t="s">
        <v>1175</v>
      </c>
      <c r="G3875" s="86" t="s">
        <v>1174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1174</v>
      </c>
      <c r="N3875" s="86"/>
      <c r="O3875" s="47" t="s">
        <v>410</v>
      </c>
      <c r="P3875" s="47" t="s">
        <v>41</v>
      </c>
      <c r="Q3875" s="14">
        <v>0</v>
      </c>
      <c r="R3875" s="143" t="s">
        <v>1178</v>
      </c>
      <c r="S3875" s="47"/>
      <c r="T3875" s="6">
        <v>1.3899999999994179</v>
      </c>
      <c r="U3875" s="6">
        <v>30000</v>
      </c>
      <c r="V3875" s="6">
        <v>28680.5</v>
      </c>
      <c r="W3875" s="6">
        <f t="shared" si="595"/>
        <v>1320.8899999999994</v>
      </c>
      <c r="X3875" s="6">
        <f t="shared" si="596"/>
        <v>28680.5</v>
      </c>
      <c r="Y3875" s="13">
        <f t="shared" si="599"/>
        <v>0</v>
      </c>
      <c r="Z3875" s="14">
        <v>0</v>
      </c>
      <c r="AA3875" s="6">
        <v>0</v>
      </c>
      <c r="AB3875" s="4">
        <f>X3875+AA3875-20000</f>
        <v>8680.5</v>
      </c>
      <c r="AC3875" s="4">
        <f t="shared" si="602"/>
        <v>0</v>
      </c>
      <c r="AD3875" s="6">
        <f t="shared" si="597"/>
        <v>28680.5</v>
      </c>
      <c r="AE3875" s="2">
        <f>VLOOKUP(I3875,[1]媒体政策预估表!A:N,MATCH(O3875,[1]媒体政策预估表!$A$2:$M$2,0),0)</f>
        <v>7.0000000000000007E-2</v>
      </c>
      <c r="AF3875" s="6">
        <f t="shared" si="603"/>
        <v>2007.6350000000002</v>
      </c>
      <c r="AG3875" s="14">
        <v>0</v>
      </c>
      <c r="AH3875" s="65">
        <f t="shared" si="598"/>
        <v>28680.5</v>
      </c>
      <c r="AI3875" s="47"/>
      <c r="AJ3875" s="126" t="s">
        <v>4221</v>
      </c>
      <c r="AK3875" s="80">
        <f t="shared" si="601"/>
        <v>20000</v>
      </c>
      <c r="AL3875" s="150"/>
      <c r="AM3875" s="85"/>
    </row>
    <row r="3876" spans="1:39" hidden="1" x14ac:dyDescent="0.3">
      <c r="A3876" s="89" t="s">
        <v>3395</v>
      </c>
      <c r="B3876" s="86" t="s">
        <v>35</v>
      </c>
      <c r="C3876" s="86" t="s">
        <v>36</v>
      </c>
      <c r="D3876" s="86" t="s">
        <v>224</v>
      </c>
      <c r="E3876" s="86" t="s">
        <v>1174</v>
      </c>
      <c r="F3876" s="86" t="s">
        <v>1179</v>
      </c>
      <c r="G3876" s="86" t="s">
        <v>1174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1180</v>
      </c>
      <c r="N3876" s="86"/>
      <c r="O3876" s="47" t="s">
        <v>410</v>
      </c>
      <c r="P3876" s="47" t="s">
        <v>41</v>
      </c>
      <c r="Q3876" s="14">
        <v>0</v>
      </c>
      <c r="R3876" s="143" t="s">
        <v>1181</v>
      </c>
      <c r="S3876" s="47"/>
      <c r="T3876" s="6">
        <v>0</v>
      </c>
      <c r="U3876" s="6">
        <v>5000</v>
      </c>
      <c r="V3876" s="6">
        <v>4989.03</v>
      </c>
      <c r="W3876" s="6">
        <f t="shared" si="595"/>
        <v>10.970000000000255</v>
      </c>
      <c r="X3876" s="6">
        <f t="shared" si="596"/>
        <v>4989.03</v>
      </c>
      <c r="Y3876" s="13">
        <f t="shared" si="599"/>
        <v>0</v>
      </c>
      <c r="Z3876" s="14">
        <v>0</v>
      </c>
      <c r="AA3876" s="6">
        <v>0</v>
      </c>
      <c r="AB3876" s="4">
        <f t="shared" si="600"/>
        <v>4989.03</v>
      </c>
      <c r="AC3876" s="4">
        <f t="shared" si="602"/>
        <v>0</v>
      </c>
      <c r="AD3876" s="6">
        <f t="shared" si="597"/>
        <v>4989.03</v>
      </c>
      <c r="AE3876" s="2">
        <f>VLOOKUP(I3876,[1]媒体政策预估表!A:N,MATCH(O3876,[1]媒体政策预估表!$A$2:$M$2,0),0)</f>
        <v>7.0000000000000007E-2</v>
      </c>
      <c r="AF3876" s="6">
        <f t="shared" si="603"/>
        <v>349.2321</v>
      </c>
      <c r="AG3876" s="14">
        <v>0</v>
      </c>
      <c r="AH3876" s="65">
        <f t="shared" si="598"/>
        <v>4989.03</v>
      </c>
      <c r="AI3876" s="47"/>
      <c r="AJ3876" s="126" t="s">
        <v>4221</v>
      </c>
      <c r="AK3876" s="80">
        <f t="shared" si="601"/>
        <v>0</v>
      </c>
      <c r="AL3876" s="150"/>
      <c r="AM3876" s="85"/>
    </row>
    <row r="3877" spans="1:39" hidden="1" x14ac:dyDescent="0.3">
      <c r="A3877" s="89" t="s">
        <v>3395</v>
      </c>
      <c r="B3877" s="86" t="s">
        <v>35</v>
      </c>
      <c r="C3877" s="86" t="s">
        <v>36</v>
      </c>
      <c r="D3877" s="86" t="s">
        <v>224</v>
      </c>
      <c r="E3877" s="86" t="s">
        <v>1174</v>
      </c>
      <c r="F3877" s="86" t="s">
        <v>1179</v>
      </c>
      <c r="G3877" s="86" t="s">
        <v>1174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1174</v>
      </c>
      <c r="N3877" s="86"/>
      <c r="O3877" s="47" t="s">
        <v>410</v>
      </c>
      <c r="P3877" s="47" t="s">
        <v>41</v>
      </c>
      <c r="Q3877" s="14">
        <v>0</v>
      </c>
      <c r="R3877" s="143" t="s">
        <v>1182</v>
      </c>
      <c r="S3877" s="47"/>
      <c r="T3877" s="6">
        <v>2679.0999999999985</v>
      </c>
      <c r="U3877" s="6">
        <v>30000</v>
      </c>
      <c r="V3877" s="6">
        <v>25850.799999999999</v>
      </c>
      <c r="W3877" s="6">
        <f t="shared" si="595"/>
        <v>6828.2999999999993</v>
      </c>
      <c r="X3877" s="6">
        <f t="shared" si="596"/>
        <v>25850.799999999999</v>
      </c>
      <c r="Y3877" s="13">
        <f t="shared" si="599"/>
        <v>0</v>
      </c>
      <c r="Z3877" s="14">
        <v>0</v>
      </c>
      <c r="AA3877" s="6">
        <v>0</v>
      </c>
      <c r="AB3877" s="4">
        <f>X3877+AA3877-20000</f>
        <v>5850.7999999999993</v>
      </c>
      <c r="AC3877" s="4">
        <f t="shared" si="602"/>
        <v>0</v>
      </c>
      <c r="AD3877" s="6">
        <f t="shared" si="597"/>
        <v>25850.799999999999</v>
      </c>
      <c r="AE3877" s="2">
        <f>VLOOKUP(I3877,[1]媒体政策预估表!A:N,MATCH(O3877,[1]媒体政策预估表!$A$2:$M$2,0),0)</f>
        <v>7.0000000000000007E-2</v>
      </c>
      <c r="AF3877" s="6">
        <f t="shared" si="603"/>
        <v>1809.556</v>
      </c>
      <c r="AG3877" s="14">
        <v>0</v>
      </c>
      <c r="AH3877" s="65">
        <f t="shared" si="598"/>
        <v>25850.799999999999</v>
      </c>
      <c r="AI3877" s="47"/>
      <c r="AJ3877" s="126" t="s">
        <v>4221</v>
      </c>
      <c r="AK3877" s="80">
        <f t="shared" si="601"/>
        <v>20000</v>
      </c>
      <c r="AL3877" s="150"/>
      <c r="AM3877" s="85"/>
    </row>
    <row r="3878" spans="1:39" hidden="1" x14ac:dyDescent="0.3">
      <c r="A3878" s="89" t="s">
        <v>3394</v>
      </c>
      <c r="B3878" s="86" t="s">
        <v>35</v>
      </c>
      <c r="C3878" s="86" t="s">
        <v>36</v>
      </c>
      <c r="D3878" s="86" t="s">
        <v>224</v>
      </c>
      <c r="E3878" s="86" t="s">
        <v>1174</v>
      </c>
      <c r="F3878" s="86" t="s">
        <v>1179</v>
      </c>
      <c r="G3878" s="86" t="s">
        <v>1174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1183</v>
      </c>
      <c r="N3878" s="86"/>
      <c r="O3878" s="47" t="s">
        <v>410</v>
      </c>
      <c r="P3878" s="47" t="s">
        <v>41</v>
      </c>
      <c r="Q3878" s="14">
        <v>0</v>
      </c>
      <c r="R3878" s="143" t="s">
        <v>1184</v>
      </c>
      <c r="S3878" s="47"/>
      <c r="T3878" s="6">
        <v>2183.4000000000015</v>
      </c>
      <c r="U3878" s="6">
        <v>30000</v>
      </c>
      <c r="V3878" s="6">
        <v>21997</v>
      </c>
      <c r="W3878" s="6">
        <f t="shared" si="595"/>
        <v>10186.400000000001</v>
      </c>
      <c r="X3878" s="6">
        <f t="shared" si="596"/>
        <v>21997</v>
      </c>
      <c r="Y3878" s="13">
        <f t="shared" si="599"/>
        <v>0</v>
      </c>
      <c r="Z3878" s="14">
        <v>0</v>
      </c>
      <c r="AA3878" s="6">
        <v>0</v>
      </c>
      <c r="AB3878" s="4">
        <f t="shared" si="600"/>
        <v>21997</v>
      </c>
      <c r="AC3878" s="4">
        <f t="shared" si="602"/>
        <v>0</v>
      </c>
      <c r="AD3878" s="6">
        <f t="shared" si="597"/>
        <v>21997</v>
      </c>
      <c r="AE3878" s="2">
        <f>VLOOKUP(I3878,[1]媒体政策预估表!A:N,MATCH(O3878,[1]媒体政策预估表!$A$2:$M$2,0),0)</f>
        <v>7.0000000000000007E-2</v>
      </c>
      <c r="AF3878" s="6">
        <f t="shared" si="603"/>
        <v>1539.7900000000002</v>
      </c>
      <c r="AG3878" s="14">
        <v>0</v>
      </c>
      <c r="AH3878" s="65">
        <f t="shared" si="598"/>
        <v>21997</v>
      </c>
      <c r="AI3878" s="47"/>
      <c r="AJ3878" s="126" t="s">
        <v>4221</v>
      </c>
      <c r="AK3878" s="80">
        <f t="shared" si="601"/>
        <v>0</v>
      </c>
      <c r="AL3878" s="150"/>
      <c r="AM3878" s="85"/>
    </row>
    <row r="3879" spans="1:39" hidden="1" x14ac:dyDescent="0.3">
      <c r="A3879" s="89" t="s">
        <v>3395</v>
      </c>
      <c r="B3879" s="86" t="s">
        <v>35</v>
      </c>
      <c r="C3879" s="86" t="s">
        <v>36</v>
      </c>
      <c r="D3879" s="86" t="s">
        <v>224</v>
      </c>
      <c r="E3879" s="86" t="s">
        <v>3485</v>
      </c>
      <c r="F3879" s="86" t="s">
        <v>3485</v>
      </c>
      <c r="G3879" s="86" t="s">
        <v>3485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3485</v>
      </c>
      <c r="N3879" s="86"/>
      <c r="O3879" s="47" t="s">
        <v>410</v>
      </c>
      <c r="P3879" s="47" t="s">
        <v>41</v>
      </c>
      <c r="Q3879" s="14">
        <v>0</v>
      </c>
      <c r="R3879" s="143">
        <v>305327016</v>
      </c>
      <c r="S3879" s="47"/>
      <c r="T3879" s="6">
        <v>0</v>
      </c>
      <c r="U3879" s="6">
        <v>10000</v>
      </c>
      <c r="V3879" s="6">
        <v>4990.5</v>
      </c>
      <c r="W3879" s="6">
        <f t="shared" si="595"/>
        <v>5009.5</v>
      </c>
      <c r="X3879" s="6">
        <f t="shared" si="596"/>
        <v>4990.5</v>
      </c>
      <c r="Y3879" s="13">
        <f t="shared" si="599"/>
        <v>0</v>
      </c>
      <c r="Z3879" s="14">
        <v>0</v>
      </c>
      <c r="AA3879" s="6">
        <v>0</v>
      </c>
      <c r="AB3879" s="4">
        <f t="shared" si="600"/>
        <v>4990.5</v>
      </c>
      <c r="AC3879" s="4">
        <f t="shared" si="602"/>
        <v>0</v>
      </c>
      <c r="AD3879" s="6">
        <f t="shared" si="597"/>
        <v>4990.5</v>
      </c>
      <c r="AE3879" s="2">
        <f>VLOOKUP(I3879,[1]媒体政策预估表!A:N,MATCH(O3879,[1]媒体政策预估表!$A$2:$M$2,0),0)</f>
        <v>7.0000000000000007E-2</v>
      </c>
      <c r="AF3879" s="6">
        <f t="shared" si="603"/>
        <v>349.33500000000004</v>
      </c>
      <c r="AG3879" s="14">
        <v>0</v>
      </c>
      <c r="AH3879" s="65">
        <f t="shared" si="598"/>
        <v>4990.5</v>
      </c>
      <c r="AI3879" s="47"/>
      <c r="AJ3879" s="126" t="e">
        <v>#N/A</v>
      </c>
      <c r="AK3879" s="80">
        <f t="shared" si="601"/>
        <v>0</v>
      </c>
      <c r="AM3879" s="85"/>
    </row>
    <row r="3880" spans="1:39" hidden="1" x14ac:dyDescent="0.3">
      <c r="A3880" s="89" t="s">
        <v>3394</v>
      </c>
      <c r="B3880" s="86" t="s">
        <v>35</v>
      </c>
      <c r="C3880" s="86" t="s">
        <v>36</v>
      </c>
      <c r="D3880" s="86" t="s">
        <v>224</v>
      </c>
      <c r="E3880" s="86" t="s">
        <v>1187</v>
      </c>
      <c r="F3880" s="86" t="s">
        <v>1187</v>
      </c>
      <c r="G3880" s="86" t="s">
        <v>1187</v>
      </c>
      <c r="H3880" s="144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1188</v>
      </c>
      <c r="N3880" s="86"/>
      <c r="O3880" s="47" t="s">
        <v>410</v>
      </c>
      <c r="P3880" s="47" t="s">
        <v>41</v>
      </c>
      <c r="Q3880" s="14">
        <v>0</v>
      </c>
      <c r="R3880" s="143" t="s">
        <v>1189</v>
      </c>
      <c r="S3880" s="47"/>
      <c r="T3880" s="6">
        <v>3493.8000000000029</v>
      </c>
      <c r="U3880" s="6">
        <v>60000</v>
      </c>
      <c r="V3880" s="6">
        <v>45209.599999999999</v>
      </c>
      <c r="W3880" s="6">
        <f t="shared" si="595"/>
        <v>18284.200000000004</v>
      </c>
      <c r="X3880" s="6">
        <f t="shared" si="596"/>
        <v>45209.599999999999</v>
      </c>
      <c r="Y3880" s="13">
        <f t="shared" si="599"/>
        <v>0</v>
      </c>
      <c r="Z3880" s="14">
        <v>0</v>
      </c>
      <c r="AA3880" s="6">
        <v>0</v>
      </c>
      <c r="AB3880" s="4">
        <f t="shared" si="600"/>
        <v>45209.599999999999</v>
      </c>
      <c r="AC3880" s="4">
        <f t="shared" si="602"/>
        <v>0</v>
      </c>
      <c r="AD3880" s="6">
        <f t="shared" si="597"/>
        <v>45209.599999999999</v>
      </c>
      <c r="AE3880" s="2">
        <f>VLOOKUP(I3880,[1]媒体政策预估表!A:N,MATCH(O3880,[1]媒体政策预估表!$A$2:$M$2,0),0)</f>
        <v>7.0000000000000007E-2</v>
      </c>
      <c r="AF3880" s="6">
        <f t="shared" si="603"/>
        <v>3164.672</v>
      </c>
      <c r="AG3880" s="14">
        <v>0</v>
      </c>
      <c r="AH3880" s="65">
        <f t="shared" si="598"/>
        <v>45209.599999999999</v>
      </c>
      <c r="AI3880" s="47"/>
      <c r="AJ3880" s="126" t="e">
        <v>#N/A</v>
      </c>
      <c r="AK3880" s="80">
        <f t="shared" si="601"/>
        <v>0</v>
      </c>
      <c r="AM3880" s="85"/>
    </row>
    <row r="3881" spans="1:39" hidden="1" x14ac:dyDescent="0.3">
      <c r="A3881" s="89" t="s">
        <v>3394</v>
      </c>
      <c r="B3881" s="86" t="s">
        <v>35</v>
      </c>
      <c r="C3881" s="86" t="s">
        <v>36</v>
      </c>
      <c r="D3881" s="86" t="s">
        <v>54</v>
      </c>
      <c r="E3881" s="86" t="s">
        <v>1347</v>
      </c>
      <c r="F3881" s="86" t="s">
        <v>1347</v>
      </c>
      <c r="G3881" s="86" t="s">
        <v>1347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1347</v>
      </c>
      <c r="N3881" s="86"/>
      <c r="O3881" s="47" t="s">
        <v>410</v>
      </c>
      <c r="P3881" s="47" t="s">
        <v>46</v>
      </c>
      <c r="Q3881" s="14">
        <v>0.02</v>
      </c>
      <c r="R3881" s="143" t="s">
        <v>1348</v>
      </c>
      <c r="S3881" s="47"/>
      <c r="T3881" s="6">
        <v>81201.899999999994</v>
      </c>
      <c r="U3881" s="6">
        <v>412000</v>
      </c>
      <c r="V3881" s="6">
        <v>374225.1</v>
      </c>
      <c r="W3881" s="6">
        <f t="shared" si="595"/>
        <v>118976.80000000005</v>
      </c>
      <c r="X3881" s="6">
        <f t="shared" si="596"/>
        <v>366887.35294117645</v>
      </c>
      <c r="Y3881" s="13">
        <f t="shared" si="599"/>
        <v>0</v>
      </c>
      <c r="Z3881" s="14">
        <v>0</v>
      </c>
      <c r="AA3881" s="6">
        <v>0</v>
      </c>
      <c r="AB3881" s="4">
        <f t="shared" si="600"/>
        <v>366887.35294117645</v>
      </c>
      <c r="AC3881" s="4">
        <f t="shared" si="602"/>
        <v>7337.7470588235301</v>
      </c>
      <c r="AD3881" s="6">
        <f t="shared" si="597"/>
        <v>374225.1</v>
      </c>
      <c r="AE3881" s="2">
        <f>VLOOKUP(I3881,[1]媒体政策预估表!A:N,MATCH(O3881,[1]媒体政策预估表!$A$2:$M$2,0),0)</f>
        <v>7.0000000000000007E-2</v>
      </c>
      <c r="AF3881" s="6">
        <f t="shared" si="603"/>
        <v>26195.757000000001</v>
      </c>
      <c r="AG3881" s="14">
        <v>0</v>
      </c>
      <c r="AH3881" s="65">
        <f t="shared" si="598"/>
        <v>374225.1</v>
      </c>
      <c r="AI3881" s="47"/>
      <c r="AJ3881" s="126" t="e">
        <v>#N/A</v>
      </c>
      <c r="AK3881" s="80">
        <f t="shared" si="601"/>
        <v>0</v>
      </c>
      <c r="AM3881" s="85"/>
    </row>
    <row r="3882" spans="1:39" hidden="1" x14ac:dyDescent="0.3">
      <c r="A3882" s="89" t="s">
        <v>3394</v>
      </c>
      <c r="B3882" s="86" t="s">
        <v>35</v>
      </c>
      <c r="C3882" s="86" t="s">
        <v>36</v>
      </c>
      <c r="D3882" s="86" t="s">
        <v>3486</v>
      </c>
      <c r="E3882" s="86" t="s">
        <v>1349</v>
      </c>
      <c r="F3882" s="86" t="s">
        <v>1349</v>
      </c>
      <c r="G3882" s="86" t="s">
        <v>1349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1350</v>
      </c>
      <c r="N3882" s="86"/>
      <c r="O3882" s="47" t="s">
        <v>410</v>
      </c>
      <c r="P3882" s="47" t="s">
        <v>41</v>
      </c>
      <c r="Q3882" s="14">
        <v>0</v>
      </c>
      <c r="R3882" s="143" t="s">
        <v>1351</v>
      </c>
      <c r="S3882" s="47"/>
      <c r="T3882" s="6">
        <v>23919.400000000023</v>
      </c>
      <c r="U3882" s="6">
        <v>300000</v>
      </c>
      <c r="V3882" s="6">
        <v>279952.3</v>
      </c>
      <c r="W3882" s="6">
        <f t="shared" si="595"/>
        <v>43967.100000000035</v>
      </c>
      <c r="X3882" s="6">
        <f t="shared" si="596"/>
        <v>279952.3</v>
      </c>
      <c r="Y3882" s="13">
        <f t="shared" si="599"/>
        <v>0</v>
      </c>
      <c r="Z3882" s="14">
        <v>0</v>
      </c>
      <c r="AA3882" s="6">
        <v>0</v>
      </c>
      <c r="AB3882" s="4">
        <f t="shared" si="600"/>
        <v>279952.3</v>
      </c>
      <c r="AC3882" s="4">
        <f t="shared" si="602"/>
        <v>0</v>
      </c>
      <c r="AD3882" s="6">
        <f t="shared" si="597"/>
        <v>279952.3</v>
      </c>
      <c r="AE3882" s="2">
        <f>VLOOKUP(I3882,[1]媒体政策预估表!A:N,MATCH(O3882,[1]媒体政策预估表!$A$2:$M$2,0),0)</f>
        <v>7.0000000000000007E-2</v>
      </c>
      <c r="AF3882" s="6">
        <f t="shared" si="603"/>
        <v>19596.661</v>
      </c>
      <c r="AG3882" s="14">
        <v>0</v>
      </c>
      <c r="AH3882" s="65">
        <f t="shared" si="598"/>
        <v>279952.3</v>
      </c>
      <c r="AI3882" s="47"/>
      <c r="AJ3882" s="126" t="e">
        <v>#N/A</v>
      </c>
      <c r="AK3882" s="80">
        <f t="shared" si="601"/>
        <v>0</v>
      </c>
      <c r="AM3882" s="85"/>
    </row>
    <row r="3883" spans="1:39" hidden="1" x14ac:dyDescent="0.3">
      <c r="A3883" s="89" t="s">
        <v>3394</v>
      </c>
      <c r="B3883" s="86" t="s">
        <v>35</v>
      </c>
      <c r="C3883" s="86" t="s">
        <v>36</v>
      </c>
      <c r="D3883" s="86" t="s">
        <v>3486</v>
      </c>
      <c r="E3883" s="86" t="s">
        <v>1349</v>
      </c>
      <c r="F3883" s="86" t="s">
        <v>1352</v>
      </c>
      <c r="G3883" s="86" t="s">
        <v>1349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1349</v>
      </c>
      <c r="N3883" s="86"/>
      <c r="O3883" s="47" t="s">
        <v>410</v>
      </c>
      <c r="P3883" s="47" t="s">
        <v>41</v>
      </c>
      <c r="Q3883" s="14">
        <v>0</v>
      </c>
      <c r="R3883" s="143" t="s">
        <v>1353</v>
      </c>
      <c r="S3883" s="47"/>
      <c r="T3883" s="6">
        <v>160692.69999999995</v>
      </c>
      <c r="U3883" s="6">
        <v>750000</v>
      </c>
      <c r="V3883" s="6">
        <v>712464.6</v>
      </c>
      <c r="W3883" s="6">
        <f t="shared" si="595"/>
        <v>198228.09999999998</v>
      </c>
      <c r="X3883" s="6">
        <f t="shared" si="596"/>
        <v>712464.6</v>
      </c>
      <c r="Y3883" s="13">
        <f t="shared" si="599"/>
        <v>0</v>
      </c>
      <c r="Z3883" s="14">
        <v>0</v>
      </c>
      <c r="AA3883" s="6">
        <v>0</v>
      </c>
      <c r="AB3883" s="4">
        <f t="shared" si="600"/>
        <v>712464.6</v>
      </c>
      <c r="AC3883" s="4">
        <f t="shared" si="602"/>
        <v>0</v>
      </c>
      <c r="AD3883" s="6">
        <f t="shared" si="597"/>
        <v>712464.6</v>
      </c>
      <c r="AE3883" s="2">
        <f>VLOOKUP(I3883,[1]媒体政策预估表!A:N,MATCH(O3883,[1]媒体政策预估表!$A$2:$M$2,0),0)</f>
        <v>7.0000000000000007E-2</v>
      </c>
      <c r="AF3883" s="6">
        <f t="shared" si="603"/>
        <v>49872.522000000004</v>
      </c>
      <c r="AG3883" s="14">
        <v>0</v>
      </c>
      <c r="AH3883" s="65">
        <f t="shared" si="598"/>
        <v>712464.6</v>
      </c>
      <c r="AI3883" s="47"/>
      <c r="AJ3883" s="126" t="e">
        <v>#N/A</v>
      </c>
      <c r="AK3883" s="80">
        <f t="shared" si="601"/>
        <v>0</v>
      </c>
      <c r="AM3883" s="85"/>
    </row>
    <row r="3884" spans="1:39" hidden="1" x14ac:dyDescent="0.3">
      <c r="A3884" s="89" t="s">
        <v>3394</v>
      </c>
      <c r="B3884" s="86" t="s">
        <v>35</v>
      </c>
      <c r="C3884" s="86" t="s">
        <v>36</v>
      </c>
      <c r="D3884" s="86" t="s">
        <v>54</v>
      </c>
      <c r="E3884" s="86" t="s">
        <v>1069</v>
      </c>
      <c r="F3884" s="86" t="s">
        <v>1194</v>
      </c>
      <c r="G3884" s="86" t="s">
        <v>1069</v>
      </c>
      <c r="H3884" s="144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1195</v>
      </c>
      <c r="N3884" s="86"/>
      <c r="O3884" s="47" t="s">
        <v>410</v>
      </c>
      <c r="P3884" s="47" t="s">
        <v>46</v>
      </c>
      <c r="Q3884" s="14">
        <v>0.03</v>
      </c>
      <c r="R3884" s="143" t="s">
        <v>1199</v>
      </c>
      <c r="S3884" s="47"/>
      <c r="T3884" s="6">
        <v>37579.599999999999</v>
      </c>
      <c r="U3884" s="6">
        <v>45000</v>
      </c>
      <c r="V3884" s="6">
        <v>28933.8</v>
      </c>
      <c r="W3884" s="6">
        <f t="shared" si="595"/>
        <v>53645.8</v>
      </c>
      <c r="X3884" s="6">
        <f t="shared" si="596"/>
        <v>28091.067961165048</v>
      </c>
      <c r="Y3884" s="13">
        <f t="shared" si="599"/>
        <v>0</v>
      </c>
      <c r="Z3884" s="14">
        <v>0</v>
      </c>
      <c r="AA3884" s="6">
        <v>0</v>
      </c>
      <c r="AB3884" s="4">
        <f t="shared" si="600"/>
        <v>28091.067961165048</v>
      </c>
      <c r="AC3884" s="4">
        <f t="shared" si="602"/>
        <v>842.7320388349508</v>
      </c>
      <c r="AD3884" s="6">
        <f t="shared" si="597"/>
        <v>28933.8</v>
      </c>
      <c r="AE3884" s="2">
        <f>VLOOKUP(I3884,[1]媒体政策预估表!A:N,MATCH(O3884,[1]媒体政策预估表!$A$2:$M$2,0),0)</f>
        <v>7.0000000000000007E-2</v>
      </c>
      <c r="AF3884" s="6">
        <f t="shared" si="603"/>
        <v>2025.3660000000002</v>
      </c>
      <c r="AG3884" s="14">
        <v>0</v>
      </c>
      <c r="AH3884" s="65">
        <f t="shared" si="598"/>
        <v>28933.8</v>
      </c>
      <c r="AI3884" s="47"/>
      <c r="AJ3884" s="126" t="e">
        <v>#N/A</v>
      </c>
      <c r="AK3884" s="80">
        <f t="shared" si="601"/>
        <v>0</v>
      </c>
      <c r="AM3884" s="85"/>
    </row>
    <row r="3885" spans="1:39" hidden="1" x14ac:dyDescent="0.3">
      <c r="A3885" s="89" t="s">
        <v>3394</v>
      </c>
      <c r="B3885" s="86" t="s">
        <v>35</v>
      </c>
      <c r="C3885" s="86" t="s">
        <v>36</v>
      </c>
      <c r="D3885" s="86" t="s">
        <v>54</v>
      </c>
      <c r="E3885" s="86" t="s">
        <v>1325</v>
      </c>
      <c r="F3885" s="86" t="s">
        <v>1325</v>
      </c>
      <c r="G3885" s="86" t="s">
        <v>1325</v>
      </c>
      <c r="H3885" s="144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1325</v>
      </c>
      <c r="N3885" s="86"/>
      <c r="O3885" s="47" t="s">
        <v>410</v>
      </c>
      <c r="P3885" s="47" t="s">
        <v>41</v>
      </c>
      <c r="Q3885" s="14">
        <v>0</v>
      </c>
      <c r="R3885" s="143" t="s">
        <v>1326</v>
      </c>
      <c r="S3885" s="47"/>
      <c r="T3885" s="6">
        <v>7619.570000000007</v>
      </c>
      <c r="U3885" s="6">
        <v>75000</v>
      </c>
      <c r="V3885" s="6">
        <v>76930.2</v>
      </c>
      <c r="W3885" s="6">
        <f t="shared" si="595"/>
        <v>5689.3700000000099</v>
      </c>
      <c r="X3885" s="6">
        <f t="shared" si="596"/>
        <v>76930.2</v>
      </c>
      <c r="Y3885" s="13">
        <f t="shared" si="599"/>
        <v>0</v>
      </c>
      <c r="Z3885" s="14">
        <v>0</v>
      </c>
      <c r="AA3885" s="6">
        <v>0</v>
      </c>
      <c r="AB3885" s="4">
        <f t="shared" si="600"/>
        <v>76930.2</v>
      </c>
      <c r="AC3885" s="4">
        <f t="shared" si="602"/>
        <v>0</v>
      </c>
      <c r="AD3885" s="6">
        <f t="shared" si="597"/>
        <v>76930.2</v>
      </c>
      <c r="AE3885" s="2">
        <f>VLOOKUP(I3885,[1]媒体政策预估表!A:N,MATCH(O3885,[1]媒体政策预估表!$A$2:$M$2,0),0)</f>
        <v>7.0000000000000007E-2</v>
      </c>
      <c r="AF3885" s="6">
        <f t="shared" si="603"/>
        <v>5385.1140000000005</v>
      </c>
      <c r="AG3885" s="14">
        <v>0</v>
      </c>
      <c r="AH3885" s="65">
        <f t="shared" si="598"/>
        <v>76930.2</v>
      </c>
      <c r="AI3885" s="47"/>
      <c r="AJ3885" s="126" t="e">
        <v>#N/A</v>
      </c>
      <c r="AK3885" s="80">
        <f t="shared" si="601"/>
        <v>0</v>
      </c>
      <c r="AM3885" s="85"/>
    </row>
    <row r="3886" spans="1:39" hidden="1" x14ac:dyDescent="0.3">
      <c r="A3886" s="89" t="s">
        <v>3395</v>
      </c>
      <c r="B3886" s="86" t="s">
        <v>35</v>
      </c>
      <c r="C3886" s="86" t="s">
        <v>36</v>
      </c>
      <c r="D3886" s="86" t="s">
        <v>54</v>
      </c>
      <c r="E3886" s="86" t="s">
        <v>1361</v>
      </c>
      <c r="F3886" s="86" t="s">
        <v>1361</v>
      </c>
      <c r="G3886" s="86" t="s">
        <v>1361</v>
      </c>
      <c r="H3886" s="144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1362</v>
      </c>
      <c r="N3886" s="86"/>
      <c r="O3886" s="47" t="s">
        <v>410</v>
      </c>
      <c r="P3886" s="47" t="s">
        <v>41</v>
      </c>
      <c r="Q3886" s="14">
        <v>0</v>
      </c>
      <c r="R3886" s="143" t="s">
        <v>1363</v>
      </c>
      <c r="S3886" s="47"/>
      <c r="T3886" s="6">
        <v>49626.100000000006</v>
      </c>
      <c r="U3886" s="6">
        <v>150000</v>
      </c>
      <c r="V3886" s="6">
        <v>134315.70000000001</v>
      </c>
      <c r="W3886" s="6">
        <f t="shared" si="595"/>
        <v>65310.399999999994</v>
      </c>
      <c r="X3886" s="6">
        <f t="shared" si="596"/>
        <v>134315.70000000001</v>
      </c>
      <c r="Y3886" s="13">
        <f t="shared" si="599"/>
        <v>0</v>
      </c>
      <c r="Z3886" s="14">
        <v>0</v>
      </c>
      <c r="AA3886" s="6">
        <v>0</v>
      </c>
      <c r="AB3886" s="4">
        <f t="shared" si="600"/>
        <v>134315.70000000001</v>
      </c>
      <c r="AC3886" s="4">
        <f t="shared" si="602"/>
        <v>0</v>
      </c>
      <c r="AD3886" s="6">
        <f t="shared" si="597"/>
        <v>134315.70000000001</v>
      </c>
      <c r="AE3886" s="2">
        <f>VLOOKUP(I3886,[1]媒体政策预估表!A:N,MATCH(O3886,[1]媒体政策预估表!$A$2:$M$2,0),0)</f>
        <v>7.0000000000000007E-2</v>
      </c>
      <c r="AF3886" s="6">
        <f t="shared" si="603"/>
        <v>9402.099000000002</v>
      </c>
      <c r="AG3886" s="14">
        <v>0</v>
      </c>
      <c r="AH3886" s="65">
        <f t="shared" si="598"/>
        <v>134315.70000000001</v>
      </c>
      <c r="AI3886" s="47"/>
      <c r="AJ3886" s="126" t="e">
        <v>#N/A</v>
      </c>
      <c r="AK3886" s="80">
        <f t="shared" si="601"/>
        <v>0</v>
      </c>
      <c r="AM3886" s="85"/>
    </row>
    <row r="3887" spans="1:39" hidden="1" x14ac:dyDescent="0.3">
      <c r="A3887" s="89" t="s">
        <v>3397</v>
      </c>
      <c r="B3887" s="86" t="s">
        <v>35</v>
      </c>
      <c r="C3887" s="86" t="s">
        <v>36</v>
      </c>
      <c r="D3887" s="86" t="s">
        <v>54</v>
      </c>
      <c r="E3887" s="86" t="s">
        <v>1200</v>
      </c>
      <c r="F3887" s="86" t="s">
        <v>1201</v>
      </c>
      <c r="G3887" s="86" t="s">
        <v>1200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1200</v>
      </c>
      <c r="N3887" s="86"/>
      <c r="O3887" s="47" t="s">
        <v>410</v>
      </c>
      <c r="P3887" s="47" t="s">
        <v>41</v>
      </c>
      <c r="Q3887" s="14">
        <v>0</v>
      </c>
      <c r="R3887" s="143" t="s">
        <v>1202</v>
      </c>
      <c r="S3887" s="47"/>
      <c r="T3887" s="6">
        <v>25670.979999999981</v>
      </c>
      <c r="U3887" s="6">
        <v>100000</v>
      </c>
      <c r="V3887" s="6">
        <v>98589.5</v>
      </c>
      <c r="W3887" s="6">
        <f t="shared" si="595"/>
        <v>27081.479999999981</v>
      </c>
      <c r="X3887" s="6">
        <f t="shared" si="596"/>
        <v>98589.5</v>
      </c>
      <c r="Y3887" s="13">
        <f t="shared" si="599"/>
        <v>0</v>
      </c>
      <c r="Z3887" s="14">
        <v>0</v>
      </c>
      <c r="AA3887" s="6">
        <v>0</v>
      </c>
      <c r="AB3887" s="4">
        <f t="shared" si="600"/>
        <v>98589.5</v>
      </c>
      <c r="AC3887" s="4">
        <f t="shared" si="602"/>
        <v>0</v>
      </c>
      <c r="AD3887" s="6">
        <f t="shared" si="597"/>
        <v>98589.5</v>
      </c>
      <c r="AE3887" s="2">
        <f>VLOOKUP(I3887,[1]媒体政策预估表!A:N,MATCH(O3887,[1]媒体政策预估表!$A$2:$M$2,0),0)</f>
        <v>7.0000000000000007E-2</v>
      </c>
      <c r="AF3887" s="6">
        <f t="shared" si="603"/>
        <v>6901.2650000000003</v>
      </c>
      <c r="AG3887" s="14">
        <v>0</v>
      </c>
      <c r="AH3887" s="65">
        <f t="shared" si="598"/>
        <v>98589.5</v>
      </c>
      <c r="AI3887" s="47"/>
      <c r="AJ3887" s="126" t="e">
        <v>#N/A</v>
      </c>
      <c r="AK3887" s="80">
        <f t="shared" si="601"/>
        <v>0</v>
      </c>
      <c r="AM3887" s="85"/>
    </row>
    <row r="3888" spans="1:39" hidden="1" x14ac:dyDescent="0.3">
      <c r="A3888" s="89" t="s">
        <v>3394</v>
      </c>
      <c r="B3888" s="86" t="s">
        <v>35</v>
      </c>
      <c r="C3888" s="86" t="s">
        <v>36</v>
      </c>
      <c r="D3888" s="86" t="s">
        <v>54</v>
      </c>
      <c r="E3888" s="86" t="s">
        <v>1206</v>
      </c>
      <c r="F3888" s="86" t="s">
        <v>1207</v>
      </c>
      <c r="G3888" s="86" t="s">
        <v>1206</v>
      </c>
      <c r="H3888" s="144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1208</v>
      </c>
      <c r="N3888" s="86"/>
      <c r="O3888" s="47" t="s">
        <v>410</v>
      </c>
      <c r="P3888" s="47" t="s">
        <v>46</v>
      </c>
      <c r="Q3888" s="14">
        <v>0.02</v>
      </c>
      <c r="R3888" s="143" t="s">
        <v>3487</v>
      </c>
      <c r="S3888" s="47"/>
      <c r="T3888" s="6">
        <v>0</v>
      </c>
      <c r="U3888" s="6">
        <v>50000</v>
      </c>
      <c r="V3888" s="6">
        <v>4039.1</v>
      </c>
      <c r="W3888" s="6">
        <f t="shared" si="595"/>
        <v>45960.9</v>
      </c>
      <c r="X3888" s="6">
        <f t="shared" si="596"/>
        <v>3959.9019607843134</v>
      </c>
      <c r="Y3888" s="13">
        <f t="shared" si="599"/>
        <v>0</v>
      </c>
      <c r="Z3888" s="14">
        <v>0</v>
      </c>
      <c r="AA3888" s="6">
        <v>0</v>
      </c>
      <c r="AB3888" s="4">
        <f t="shared" si="600"/>
        <v>3959.9019607843134</v>
      </c>
      <c r="AC3888" s="4">
        <f t="shared" si="602"/>
        <v>79.198039215686549</v>
      </c>
      <c r="AD3888" s="6">
        <f t="shared" si="597"/>
        <v>4039.1</v>
      </c>
      <c r="AE3888" s="2">
        <f>VLOOKUP(I3888,[1]媒体政策预估表!A:N,MATCH(O3888,[1]媒体政策预估表!$A$2:$M$2,0),0)</f>
        <v>7.0000000000000007E-2</v>
      </c>
      <c r="AF3888" s="6">
        <f t="shared" si="603"/>
        <v>282.73700000000002</v>
      </c>
      <c r="AG3888" s="14">
        <v>0</v>
      </c>
      <c r="AH3888" s="65">
        <f t="shared" si="598"/>
        <v>4039.1</v>
      </c>
      <c r="AI3888" s="47"/>
      <c r="AJ3888" s="126" t="e">
        <v>#N/A</v>
      </c>
      <c r="AK3888" s="80">
        <f t="shared" si="601"/>
        <v>0</v>
      </c>
      <c r="AM3888" s="85"/>
    </row>
    <row r="3889" spans="1:39" hidden="1" x14ac:dyDescent="0.3">
      <c r="A3889" s="89" t="s">
        <v>3394</v>
      </c>
      <c r="B3889" s="86" t="s">
        <v>35</v>
      </c>
      <c r="C3889" s="86" t="s">
        <v>36</v>
      </c>
      <c r="D3889" s="86" t="s">
        <v>54</v>
      </c>
      <c r="E3889" s="86" t="s">
        <v>1206</v>
      </c>
      <c r="F3889" s="86" t="s">
        <v>1207</v>
      </c>
      <c r="G3889" s="86" t="s">
        <v>1206</v>
      </c>
      <c r="H3889" s="144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1208</v>
      </c>
      <c r="N3889" s="86"/>
      <c r="O3889" s="47" t="s">
        <v>410</v>
      </c>
      <c r="P3889" s="47" t="s">
        <v>46</v>
      </c>
      <c r="Q3889" s="14">
        <v>0.02</v>
      </c>
      <c r="R3889" s="143" t="s">
        <v>1209</v>
      </c>
      <c r="S3889" s="47"/>
      <c r="T3889" s="6">
        <v>38819.300000000003</v>
      </c>
      <c r="U3889" s="6">
        <v>100000</v>
      </c>
      <c r="V3889" s="6">
        <v>84438.9</v>
      </c>
      <c r="W3889" s="6">
        <f t="shared" si="595"/>
        <v>54380.399999999994</v>
      </c>
      <c r="X3889" s="6">
        <f t="shared" si="596"/>
        <v>82783.235294117636</v>
      </c>
      <c r="Y3889" s="13">
        <f t="shared" si="599"/>
        <v>0</v>
      </c>
      <c r="Z3889" s="14">
        <v>0</v>
      </c>
      <c r="AA3889" s="6">
        <v>0</v>
      </c>
      <c r="AB3889" s="4">
        <f t="shared" si="600"/>
        <v>82783.235294117636</v>
      </c>
      <c r="AC3889" s="4">
        <f t="shared" si="602"/>
        <v>1655.6647058823582</v>
      </c>
      <c r="AD3889" s="6">
        <f t="shared" si="597"/>
        <v>84438.9</v>
      </c>
      <c r="AE3889" s="2">
        <f>VLOOKUP(I3889,[1]媒体政策预估表!A:N,MATCH(O3889,[1]媒体政策预估表!$A$2:$M$2,0),0)</f>
        <v>7.0000000000000007E-2</v>
      </c>
      <c r="AF3889" s="6">
        <f t="shared" si="603"/>
        <v>5910.723</v>
      </c>
      <c r="AG3889" s="14">
        <v>0</v>
      </c>
      <c r="AH3889" s="65">
        <f t="shared" si="598"/>
        <v>84438.9</v>
      </c>
      <c r="AI3889" s="47"/>
      <c r="AJ3889" s="126" t="e">
        <v>#N/A</v>
      </c>
      <c r="AK3889" s="80">
        <f t="shared" si="601"/>
        <v>0</v>
      </c>
      <c r="AM3889" s="85"/>
    </row>
    <row r="3890" spans="1:39" hidden="1" x14ac:dyDescent="0.3">
      <c r="A3890" s="89" t="s">
        <v>3395</v>
      </c>
      <c r="B3890" s="86" t="s">
        <v>35</v>
      </c>
      <c r="C3890" s="86" t="s">
        <v>36</v>
      </c>
      <c r="D3890" s="86" t="s">
        <v>54</v>
      </c>
      <c r="E3890" s="86" t="s">
        <v>1334</v>
      </c>
      <c r="F3890" s="86" t="s">
        <v>1334</v>
      </c>
      <c r="G3890" s="86" t="s">
        <v>1334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1334</v>
      </c>
      <c r="N3890" s="86"/>
      <c r="O3890" s="47" t="s">
        <v>410</v>
      </c>
      <c r="P3890" s="47" t="s">
        <v>41</v>
      </c>
      <c r="Q3890" s="14">
        <v>0</v>
      </c>
      <c r="R3890" s="143" t="s">
        <v>1335</v>
      </c>
      <c r="S3890" s="47"/>
      <c r="T3890" s="6">
        <v>4193.6300000000047</v>
      </c>
      <c r="U3890" s="6">
        <v>90000</v>
      </c>
      <c r="V3890" s="6">
        <v>46516.6</v>
      </c>
      <c r="W3890" s="6">
        <f t="shared" si="595"/>
        <v>47677.030000000006</v>
      </c>
      <c r="X3890" s="6">
        <f t="shared" si="596"/>
        <v>46516.6</v>
      </c>
      <c r="Y3890" s="13">
        <f t="shared" si="599"/>
        <v>0</v>
      </c>
      <c r="Z3890" s="14">
        <v>0</v>
      </c>
      <c r="AA3890" s="6">
        <v>0</v>
      </c>
      <c r="AB3890" s="4">
        <f t="shared" si="600"/>
        <v>46516.6</v>
      </c>
      <c r="AC3890" s="4">
        <f t="shared" si="602"/>
        <v>0</v>
      </c>
      <c r="AD3890" s="6">
        <f t="shared" si="597"/>
        <v>46516.6</v>
      </c>
      <c r="AE3890" s="2">
        <f>VLOOKUP(I3890,[1]媒体政策预估表!A:N,MATCH(O3890,[1]媒体政策预估表!$A$2:$M$2,0),0)</f>
        <v>7.0000000000000007E-2</v>
      </c>
      <c r="AF3890" s="6">
        <f t="shared" si="603"/>
        <v>3256.1620000000003</v>
      </c>
      <c r="AG3890" s="14">
        <v>0</v>
      </c>
      <c r="AH3890" s="65">
        <f t="shared" si="598"/>
        <v>46516.6</v>
      </c>
      <c r="AI3890" s="47"/>
      <c r="AJ3890" s="126" t="e">
        <v>#N/A</v>
      </c>
      <c r="AK3890" s="80">
        <f t="shared" si="601"/>
        <v>0</v>
      </c>
      <c r="AM3890" s="85"/>
    </row>
    <row r="3891" spans="1:39" hidden="1" x14ac:dyDescent="0.3">
      <c r="A3891" s="89" t="s">
        <v>3394</v>
      </c>
      <c r="B3891" s="86" t="s">
        <v>35</v>
      </c>
      <c r="C3891" s="86" t="s">
        <v>36</v>
      </c>
      <c r="D3891" s="86" t="s">
        <v>3488</v>
      </c>
      <c r="E3891" s="86" t="s">
        <v>1336</v>
      </c>
      <c r="F3891" s="86" t="s">
        <v>1337</v>
      </c>
      <c r="G3891" s="86" t="s">
        <v>1336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1336</v>
      </c>
      <c r="N3891" s="86"/>
      <c r="O3891" s="47" t="s">
        <v>45</v>
      </c>
      <c r="P3891" s="47" t="s">
        <v>41</v>
      </c>
      <c r="Q3891" s="14">
        <v>0</v>
      </c>
      <c r="R3891" s="143" t="s">
        <v>1338</v>
      </c>
      <c r="S3891" s="47"/>
      <c r="T3891" s="6">
        <v>250000</v>
      </c>
      <c r="U3891" s="6">
        <v>150000</v>
      </c>
      <c r="V3891" s="6">
        <v>0</v>
      </c>
      <c r="W3891" s="6">
        <f t="shared" si="595"/>
        <v>400000</v>
      </c>
      <c r="X3891" s="6">
        <f t="shared" si="596"/>
        <v>0</v>
      </c>
      <c r="Y3891" s="13">
        <f t="shared" si="599"/>
        <v>0</v>
      </c>
      <c r="Z3891" s="14">
        <v>0</v>
      </c>
      <c r="AA3891" s="6">
        <v>0</v>
      </c>
      <c r="AB3891" s="4">
        <f t="shared" si="600"/>
        <v>0</v>
      </c>
      <c r="AC3891" s="4">
        <f t="shared" si="602"/>
        <v>0</v>
      </c>
      <c r="AD3891" s="6">
        <f t="shared" si="597"/>
        <v>0</v>
      </c>
      <c r="AE3891" s="2">
        <f>VLOOKUP(I3891,[1]媒体政策预估表!A:N,MATCH(O3891,[1]媒体政策预估表!$A$2:$M$2,0),0)</f>
        <v>0.12</v>
      </c>
      <c r="AF3891" s="6">
        <f t="shared" si="603"/>
        <v>0</v>
      </c>
      <c r="AG3891" s="14">
        <v>0</v>
      </c>
      <c r="AH3891" s="65">
        <f t="shared" si="598"/>
        <v>0</v>
      </c>
      <c r="AI3891" s="47"/>
      <c r="AJ3891" s="126" t="e">
        <v>#N/A</v>
      </c>
      <c r="AK3891" s="80">
        <f t="shared" si="601"/>
        <v>0</v>
      </c>
      <c r="AM3891" s="85"/>
    </row>
    <row r="3892" spans="1:39" hidden="1" x14ac:dyDescent="0.3">
      <c r="A3892" s="89" t="s">
        <v>3394</v>
      </c>
      <c r="B3892" s="86" t="s">
        <v>35</v>
      </c>
      <c r="C3892" s="86" t="s">
        <v>36</v>
      </c>
      <c r="D3892" s="86" t="s">
        <v>3486</v>
      </c>
      <c r="E3892" s="86" t="s">
        <v>1336</v>
      </c>
      <c r="F3892" s="86" t="s">
        <v>1337</v>
      </c>
      <c r="G3892" s="86" t="s">
        <v>1336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1336</v>
      </c>
      <c r="N3892" s="86"/>
      <c r="O3892" s="47" t="s">
        <v>45</v>
      </c>
      <c r="P3892" s="47" t="s">
        <v>41</v>
      </c>
      <c r="Q3892" s="14">
        <v>0</v>
      </c>
      <c r="R3892" s="143" t="s">
        <v>1339</v>
      </c>
      <c r="S3892" s="47"/>
      <c r="T3892" s="6">
        <v>1254605.8</v>
      </c>
      <c r="U3892" s="6">
        <v>1000000</v>
      </c>
      <c r="V3892" s="6">
        <v>84576.45</v>
      </c>
      <c r="W3892" s="6">
        <f t="shared" si="595"/>
        <v>2170029.3499999996</v>
      </c>
      <c r="X3892" s="6">
        <f t="shared" si="596"/>
        <v>84576.45</v>
      </c>
      <c r="Y3892" s="13">
        <f t="shared" si="599"/>
        <v>0</v>
      </c>
      <c r="Z3892" s="14">
        <v>0</v>
      </c>
      <c r="AA3892" s="6">
        <v>0</v>
      </c>
      <c r="AB3892" s="4">
        <f t="shared" si="600"/>
        <v>84576.45</v>
      </c>
      <c r="AC3892" s="4">
        <f t="shared" si="602"/>
        <v>0</v>
      </c>
      <c r="AD3892" s="6">
        <f t="shared" si="597"/>
        <v>84576.45</v>
      </c>
      <c r="AE3892" s="2">
        <f>VLOOKUP(I3892,[1]媒体政策预估表!A:N,MATCH(O3892,[1]媒体政策预估表!$A$2:$M$2,0),0)</f>
        <v>0.12</v>
      </c>
      <c r="AF3892" s="6">
        <f t="shared" si="603"/>
        <v>10149.173999999999</v>
      </c>
      <c r="AG3892" s="14">
        <v>0</v>
      </c>
      <c r="AH3892" s="65">
        <f t="shared" si="598"/>
        <v>84576.45</v>
      </c>
      <c r="AI3892" s="47"/>
      <c r="AJ3892" s="126" t="e">
        <v>#N/A</v>
      </c>
      <c r="AK3892" s="80">
        <f t="shared" si="601"/>
        <v>0</v>
      </c>
      <c r="AM3892" s="85"/>
    </row>
    <row r="3893" spans="1:39" hidden="1" x14ac:dyDescent="0.3">
      <c r="A3893" s="89" t="s">
        <v>3394</v>
      </c>
      <c r="B3893" s="86" t="s">
        <v>35</v>
      </c>
      <c r="C3893" s="86" t="s">
        <v>36</v>
      </c>
      <c r="D3893" s="86" t="s">
        <v>3488</v>
      </c>
      <c r="E3893" s="86" t="s">
        <v>1336</v>
      </c>
      <c r="F3893" s="86" t="s">
        <v>1337</v>
      </c>
      <c r="G3893" s="86" t="s">
        <v>1336</v>
      </c>
      <c r="H3893" s="144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1336</v>
      </c>
      <c r="N3893" s="86"/>
      <c r="O3893" s="47" t="s">
        <v>410</v>
      </c>
      <c r="P3893" s="47" t="s">
        <v>41</v>
      </c>
      <c r="Q3893" s="14">
        <v>0</v>
      </c>
      <c r="R3893" s="143" t="s">
        <v>1340</v>
      </c>
      <c r="S3893" s="47"/>
      <c r="T3893" s="6">
        <v>46474.600000000006</v>
      </c>
      <c r="U3893" s="6">
        <v>150000</v>
      </c>
      <c r="V3893" s="6">
        <v>139555.5</v>
      </c>
      <c r="W3893" s="6">
        <f t="shared" si="595"/>
        <v>56919.100000000006</v>
      </c>
      <c r="X3893" s="6">
        <f t="shared" si="596"/>
        <v>139555.5</v>
      </c>
      <c r="Y3893" s="13">
        <f t="shared" si="599"/>
        <v>0</v>
      </c>
      <c r="Z3893" s="14">
        <v>0</v>
      </c>
      <c r="AA3893" s="6">
        <v>0</v>
      </c>
      <c r="AB3893" s="4">
        <f t="shared" si="600"/>
        <v>139555.5</v>
      </c>
      <c r="AC3893" s="4">
        <f t="shared" si="602"/>
        <v>0</v>
      </c>
      <c r="AD3893" s="6">
        <f t="shared" si="597"/>
        <v>139555.5</v>
      </c>
      <c r="AE3893" s="2">
        <f>VLOOKUP(I3893,[1]媒体政策预估表!A:N,MATCH(O3893,[1]媒体政策预估表!$A$2:$M$2,0),0)</f>
        <v>7.0000000000000007E-2</v>
      </c>
      <c r="AF3893" s="6">
        <f t="shared" si="603"/>
        <v>9768.8850000000002</v>
      </c>
      <c r="AG3893" s="14">
        <v>0</v>
      </c>
      <c r="AH3893" s="65">
        <f t="shared" si="598"/>
        <v>139555.5</v>
      </c>
      <c r="AI3893" s="47"/>
      <c r="AJ3893" s="126" t="e">
        <v>#N/A</v>
      </c>
      <c r="AK3893" s="80">
        <f t="shared" si="601"/>
        <v>0</v>
      </c>
      <c r="AM3893" s="85"/>
    </row>
    <row r="3894" spans="1:39" hidden="1" x14ac:dyDescent="0.3">
      <c r="A3894" s="89" t="s">
        <v>3395</v>
      </c>
      <c r="B3894" s="86" t="s">
        <v>35</v>
      </c>
      <c r="C3894" s="86" t="s">
        <v>36</v>
      </c>
      <c r="D3894" s="86" t="s">
        <v>3486</v>
      </c>
      <c r="E3894" s="86" t="s">
        <v>1336</v>
      </c>
      <c r="F3894" s="86" t="s">
        <v>1337</v>
      </c>
      <c r="G3894" s="86" t="s">
        <v>1336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1341</v>
      </c>
      <c r="N3894" s="86"/>
      <c r="O3894" s="47" t="s">
        <v>410</v>
      </c>
      <c r="P3894" s="47" t="s">
        <v>41</v>
      </c>
      <c r="Q3894" s="14">
        <v>0</v>
      </c>
      <c r="R3894" s="143" t="s">
        <v>1342</v>
      </c>
      <c r="S3894" s="47"/>
      <c r="T3894" s="6">
        <v>40640.799999999988</v>
      </c>
      <c r="U3894" s="6">
        <v>200000</v>
      </c>
      <c r="V3894" s="6">
        <v>223400.6</v>
      </c>
      <c r="W3894" s="6">
        <f t="shared" si="595"/>
        <v>17240.199999999983</v>
      </c>
      <c r="X3894" s="6">
        <f t="shared" si="596"/>
        <v>223400.6</v>
      </c>
      <c r="Y3894" s="13">
        <f t="shared" si="599"/>
        <v>0</v>
      </c>
      <c r="Z3894" s="14">
        <v>0</v>
      </c>
      <c r="AA3894" s="6">
        <v>0</v>
      </c>
      <c r="AB3894" s="4">
        <f t="shared" si="600"/>
        <v>223400.6</v>
      </c>
      <c r="AC3894" s="4">
        <f t="shared" si="602"/>
        <v>0</v>
      </c>
      <c r="AD3894" s="6">
        <f t="shared" si="597"/>
        <v>223400.6</v>
      </c>
      <c r="AE3894" s="2">
        <f>VLOOKUP(I3894,[1]媒体政策预估表!A:N,MATCH(O3894,[1]媒体政策预估表!$A$2:$M$2,0),0)</f>
        <v>7.0000000000000007E-2</v>
      </c>
      <c r="AF3894" s="6">
        <f t="shared" si="603"/>
        <v>15638.042000000001</v>
      </c>
      <c r="AG3894" s="14">
        <v>0</v>
      </c>
      <c r="AH3894" s="65">
        <f t="shared" si="598"/>
        <v>223400.6</v>
      </c>
      <c r="AI3894" s="47"/>
      <c r="AJ3894" s="126" t="e">
        <v>#N/A</v>
      </c>
      <c r="AK3894" s="80">
        <f t="shared" si="601"/>
        <v>0</v>
      </c>
      <c r="AM3894" s="85"/>
    </row>
    <row r="3895" spans="1:39" hidden="1" x14ac:dyDescent="0.3">
      <c r="A3895" s="89" t="s">
        <v>3394</v>
      </c>
      <c r="B3895" s="86" t="s">
        <v>35</v>
      </c>
      <c r="C3895" s="86" t="s">
        <v>36</v>
      </c>
      <c r="D3895" s="86" t="s">
        <v>54</v>
      </c>
      <c r="E3895" s="86" t="s">
        <v>64</v>
      </c>
      <c r="F3895" s="86" t="s">
        <v>1343</v>
      </c>
      <c r="G3895" s="86" t="s">
        <v>64</v>
      </c>
      <c r="H3895" s="143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64</v>
      </c>
      <c r="N3895" s="86"/>
      <c r="O3895" s="47" t="s">
        <v>45</v>
      </c>
      <c r="P3895" s="47" t="s">
        <v>46</v>
      </c>
      <c r="Q3895" s="14">
        <v>0.04</v>
      </c>
      <c r="R3895" s="143" t="s">
        <v>1344</v>
      </c>
      <c r="S3895" s="47"/>
      <c r="T3895" s="6">
        <v>37058.829999999987</v>
      </c>
      <c r="U3895" s="6">
        <v>200000</v>
      </c>
      <c r="V3895" s="6">
        <v>0</v>
      </c>
      <c r="W3895" s="6">
        <f t="shared" si="595"/>
        <v>237058.83</v>
      </c>
      <c r="X3895" s="6">
        <f t="shared" si="596"/>
        <v>0</v>
      </c>
      <c r="Y3895" s="13">
        <f t="shared" si="599"/>
        <v>0</v>
      </c>
      <c r="Z3895" s="14">
        <v>0</v>
      </c>
      <c r="AA3895" s="6">
        <v>0</v>
      </c>
      <c r="AB3895" s="4">
        <f t="shared" si="600"/>
        <v>0</v>
      </c>
      <c r="AC3895" s="4">
        <f t="shared" si="602"/>
        <v>0</v>
      </c>
      <c r="AD3895" s="6">
        <f t="shared" si="597"/>
        <v>0</v>
      </c>
      <c r="AE3895" s="2">
        <f>VLOOKUP(I3895,[1]媒体政策预估表!A:N,MATCH(O3895,[1]媒体政策预估表!$A$2:$M$2,0),0)</f>
        <v>0.12</v>
      </c>
      <c r="AF3895" s="6">
        <f t="shared" si="603"/>
        <v>0</v>
      </c>
      <c r="AG3895" s="14">
        <v>0</v>
      </c>
      <c r="AH3895" s="65">
        <f t="shared" si="598"/>
        <v>0</v>
      </c>
      <c r="AI3895" s="47"/>
      <c r="AJ3895" s="126" t="e">
        <v>#N/A</v>
      </c>
      <c r="AK3895" s="80">
        <f t="shared" si="601"/>
        <v>0</v>
      </c>
      <c r="AM3895" s="85"/>
    </row>
    <row r="3896" spans="1:39" hidden="1" x14ac:dyDescent="0.3">
      <c r="A3896" s="89" t="s">
        <v>3394</v>
      </c>
      <c r="B3896" s="86" t="s">
        <v>35</v>
      </c>
      <c r="C3896" s="86" t="s">
        <v>36</v>
      </c>
      <c r="D3896" s="86" t="s">
        <v>54</v>
      </c>
      <c r="E3896" s="86" t="s">
        <v>64</v>
      </c>
      <c r="F3896" s="86" t="s">
        <v>1343</v>
      </c>
      <c r="G3896" s="86" t="s">
        <v>64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64</v>
      </c>
      <c r="N3896" s="86"/>
      <c r="O3896" s="47" t="s">
        <v>45</v>
      </c>
      <c r="P3896" s="47" t="s">
        <v>46</v>
      </c>
      <c r="Q3896" s="14">
        <v>0.04</v>
      </c>
      <c r="R3896" s="143" t="s">
        <v>1345</v>
      </c>
      <c r="S3896" s="47"/>
      <c r="T3896" s="6">
        <v>10000</v>
      </c>
      <c r="U3896" s="6">
        <v>100000</v>
      </c>
      <c r="V3896" s="6">
        <v>0</v>
      </c>
      <c r="W3896" s="6">
        <f t="shared" si="595"/>
        <v>110000</v>
      </c>
      <c r="X3896" s="6">
        <f t="shared" si="596"/>
        <v>0</v>
      </c>
      <c r="Y3896" s="13">
        <f t="shared" si="599"/>
        <v>0</v>
      </c>
      <c r="Z3896" s="14">
        <v>0</v>
      </c>
      <c r="AA3896" s="6">
        <v>0</v>
      </c>
      <c r="AB3896" s="4">
        <f t="shared" si="600"/>
        <v>0</v>
      </c>
      <c r="AC3896" s="4">
        <f t="shared" si="602"/>
        <v>0</v>
      </c>
      <c r="AD3896" s="6">
        <f t="shared" si="597"/>
        <v>0</v>
      </c>
      <c r="AE3896" s="2">
        <f>VLOOKUP(I3896,[1]媒体政策预估表!A:N,MATCH(O3896,[1]媒体政策预估表!$A$2:$M$2,0),0)</f>
        <v>0.12</v>
      </c>
      <c r="AF3896" s="6">
        <f t="shared" si="603"/>
        <v>0</v>
      </c>
      <c r="AG3896" s="14">
        <v>0</v>
      </c>
      <c r="AH3896" s="65">
        <f t="shared" si="598"/>
        <v>0</v>
      </c>
      <c r="AI3896" s="47"/>
      <c r="AJ3896" s="126" t="e">
        <v>#N/A</v>
      </c>
      <c r="AK3896" s="80">
        <f t="shared" si="601"/>
        <v>0</v>
      </c>
      <c r="AM3896" s="85"/>
    </row>
    <row r="3897" spans="1:39" hidden="1" x14ac:dyDescent="0.3">
      <c r="A3897" s="89" t="s">
        <v>3394</v>
      </c>
      <c r="B3897" s="86" t="s">
        <v>35</v>
      </c>
      <c r="C3897" s="86" t="s">
        <v>36</v>
      </c>
      <c r="D3897" s="86" t="s">
        <v>54</v>
      </c>
      <c r="E3897" s="86" t="s">
        <v>64</v>
      </c>
      <c r="F3897" s="86" t="s">
        <v>1343</v>
      </c>
      <c r="G3897" s="86" t="s">
        <v>64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64</v>
      </c>
      <c r="N3897" s="86"/>
      <c r="O3897" s="47" t="s">
        <v>410</v>
      </c>
      <c r="P3897" s="47" t="s">
        <v>46</v>
      </c>
      <c r="Q3897" s="14">
        <v>0.02</v>
      </c>
      <c r="R3897" s="143" t="s">
        <v>1346</v>
      </c>
      <c r="S3897" s="47"/>
      <c r="T3897" s="6">
        <v>658067.68136999989</v>
      </c>
      <c r="U3897" s="6">
        <v>2700000</v>
      </c>
      <c r="V3897" s="6">
        <v>999883.52422000002</v>
      </c>
      <c r="W3897" s="6">
        <f t="shared" si="595"/>
        <v>2358184.1571499999</v>
      </c>
      <c r="X3897" s="6">
        <f t="shared" si="596"/>
        <v>980277.96492156864</v>
      </c>
      <c r="Y3897" s="13">
        <f t="shared" si="599"/>
        <v>0</v>
      </c>
      <c r="Z3897" s="14">
        <v>0</v>
      </c>
      <c r="AA3897" s="6">
        <v>0</v>
      </c>
      <c r="AB3897" s="4">
        <f t="shared" si="600"/>
        <v>980277.96492156864</v>
      </c>
      <c r="AC3897" s="4">
        <f t="shared" si="602"/>
        <v>19605.559298431384</v>
      </c>
      <c r="AD3897" s="6">
        <f t="shared" si="597"/>
        <v>999883.52422000002</v>
      </c>
      <c r="AE3897" s="2">
        <f>VLOOKUP(I3897,[1]媒体政策预估表!A:N,MATCH(O3897,[1]媒体政策预估表!$A$2:$M$2,0),0)</f>
        <v>7.0000000000000007E-2</v>
      </c>
      <c r="AF3897" s="6">
        <f t="shared" si="603"/>
        <v>69991.846695400003</v>
      </c>
      <c r="AG3897" s="14">
        <v>0</v>
      </c>
      <c r="AH3897" s="65">
        <f t="shared" si="598"/>
        <v>999883.52422000002</v>
      </c>
      <c r="AI3897" s="47"/>
      <c r="AJ3897" s="126" t="e">
        <v>#N/A</v>
      </c>
      <c r="AK3897" s="80">
        <f t="shared" si="601"/>
        <v>0</v>
      </c>
      <c r="AM3897" s="85"/>
    </row>
    <row r="3898" spans="1:39" hidden="1" x14ac:dyDescent="0.3">
      <c r="A3898" s="89" t="s">
        <v>3394</v>
      </c>
      <c r="B3898" s="86" t="s">
        <v>35</v>
      </c>
      <c r="C3898" s="86" t="s">
        <v>36</v>
      </c>
      <c r="D3898" s="86" t="s">
        <v>37</v>
      </c>
      <c r="E3898" s="86" t="s">
        <v>285</v>
      </c>
      <c r="F3898" s="86" t="s">
        <v>460</v>
      </c>
      <c r="G3898" s="86" t="s">
        <v>285</v>
      </c>
      <c r="H3898" s="144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1217</v>
      </c>
      <c r="N3898" s="86"/>
      <c r="O3898" s="47" t="s">
        <v>410</v>
      </c>
      <c r="P3898" s="47" t="s">
        <v>41</v>
      </c>
      <c r="Q3898" s="14">
        <v>0</v>
      </c>
      <c r="R3898" s="143" t="s">
        <v>1218</v>
      </c>
      <c r="S3898" s="47"/>
      <c r="T3898" s="6">
        <v>0.2999999999992724</v>
      </c>
      <c r="U3898" s="6">
        <v>13000</v>
      </c>
      <c r="V3898" s="6">
        <v>8260.7000000000007</v>
      </c>
      <c r="W3898" s="6">
        <f t="shared" si="595"/>
        <v>4739.5999999999985</v>
      </c>
      <c r="X3898" s="6">
        <f t="shared" si="596"/>
        <v>8260.7000000000007</v>
      </c>
      <c r="Y3898" s="13">
        <f t="shared" si="599"/>
        <v>0</v>
      </c>
      <c r="Z3898" s="14">
        <v>0</v>
      </c>
      <c r="AA3898" s="6">
        <v>0</v>
      </c>
      <c r="AB3898" s="4">
        <f t="shared" si="600"/>
        <v>8260.7000000000007</v>
      </c>
      <c r="AC3898" s="4">
        <f t="shared" si="602"/>
        <v>0</v>
      </c>
      <c r="AD3898" s="6">
        <f t="shared" si="597"/>
        <v>8260.7000000000007</v>
      </c>
      <c r="AE3898" s="2">
        <f>VLOOKUP(I3898,[1]媒体政策预估表!A:N,MATCH(O3898,[1]媒体政策预估表!$A$2:$M$2,0),0)</f>
        <v>7.0000000000000007E-2</v>
      </c>
      <c r="AF3898" s="6">
        <f t="shared" si="603"/>
        <v>578.24900000000014</v>
      </c>
      <c r="AG3898" s="14">
        <v>0</v>
      </c>
      <c r="AH3898" s="65">
        <f t="shared" si="598"/>
        <v>8260.7000000000007</v>
      </c>
      <c r="AI3898" s="47"/>
      <c r="AJ3898" s="126" t="e">
        <v>#N/A</v>
      </c>
      <c r="AK3898" s="80">
        <f t="shared" si="601"/>
        <v>0</v>
      </c>
      <c r="AM3898" s="85"/>
    </row>
    <row r="3899" spans="1:39" hidden="1" x14ac:dyDescent="0.3">
      <c r="A3899" s="89" t="s">
        <v>3394</v>
      </c>
      <c r="B3899" s="86" t="s">
        <v>35</v>
      </c>
      <c r="C3899" s="86" t="s">
        <v>36</v>
      </c>
      <c r="D3899" s="86" t="s">
        <v>37</v>
      </c>
      <c r="E3899" s="86" t="s">
        <v>285</v>
      </c>
      <c r="F3899" s="86" t="s">
        <v>460</v>
      </c>
      <c r="G3899" s="86" t="s">
        <v>285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1219</v>
      </c>
      <c r="N3899" s="86"/>
      <c r="O3899" s="47" t="s">
        <v>410</v>
      </c>
      <c r="P3899" s="47" t="s">
        <v>41</v>
      </c>
      <c r="Q3899" s="14">
        <v>0</v>
      </c>
      <c r="R3899" s="143" t="s">
        <v>1220</v>
      </c>
      <c r="S3899" s="47"/>
      <c r="T3899" s="6">
        <v>56496.099999999991</v>
      </c>
      <c r="U3899" s="6">
        <v>90000</v>
      </c>
      <c r="V3899" s="6">
        <v>105605.8</v>
      </c>
      <c r="W3899" s="6">
        <f t="shared" ref="W3899:W3962" si="604">T3899+U3899-V3899</f>
        <v>40890.299999999974</v>
      </c>
      <c r="X3899" s="6">
        <f t="shared" ref="X3899:X3962" si="605">IF(P3899="折扣",V3899*Q3899,IF(P3899="返现",V3899,V3899/(1+Q3899)))</f>
        <v>105605.8</v>
      </c>
      <c r="Y3899" s="13">
        <f t="shared" si="599"/>
        <v>0</v>
      </c>
      <c r="Z3899" s="14">
        <v>0</v>
      </c>
      <c r="AA3899" s="6">
        <v>0</v>
      </c>
      <c r="AB3899" s="4">
        <f t="shared" si="600"/>
        <v>105605.8</v>
      </c>
      <c r="AC3899" s="4">
        <f t="shared" si="602"/>
        <v>0</v>
      </c>
      <c r="AD3899" s="6">
        <f t="shared" ref="AD3899:AD3962" si="606">V3899</f>
        <v>105605.8</v>
      </c>
      <c r="AE3899" s="2">
        <f>VLOOKUP(I3899,[1]媒体政策预估表!A:N,MATCH(O3899,[1]媒体政策预估表!$A$2:$M$2,0),0)</f>
        <v>7.0000000000000007E-2</v>
      </c>
      <c r="AF3899" s="6">
        <f t="shared" si="603"/>
        <v>7392.4060000000009</v>
      </c>
      <c r="AG3899" s="14">
        <v>0</v>
      </c>
      <c r="AH3899" s="65">
        <f t="shared" ref="AH3899:AH3962" si="607">V3899</f>
        <v>105605.8</v>
      </c>
      <c r="AI3899" s="47"/>
      <c r="AJ3899" s="126" t="e">
        <v>#N/A</v>
      </c>
      <c r="AK3899" s="80">
        <f t="shared" si="601"/>
        <v>0</v>
      </c>
      <c r="AM3899" s="85"/>
    </row>
    <row r="3900" spans="1:39" hidden="1" x14ac:dyDescent="0.3">
      <c r="A3900" s="89" t="s">
        <v>3395</v>
      </c>
      <c r="B3900" s="86" t="s">
        <v>35</v>
      </c>
      <c r="C3900" s="86" t="s">
        <v>36</v>
      </c>
      <c r="D3900" s="86" t="s">
        <v>37</v>
      </c>
      <c r="E3900" s="86" t="s">
        <v>1221</v>
      </c>
      <c r="F3900" s="86" t="s">
        <v>1221</v>
      </c>
      <c r="G3900" s="86" t="s">
        <v>1221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1221</v>
      </c>
      <c r="N3900" s="86"/>
      <c r="O3900" s="47" t="s">
        <v>410</v>
      </c>
      <c r="P3900" s="47" t="s">
        <v>41</v>
      </c>
      <c r="Q3900" s="14">
        <v>0</v>
      </c>
      <c r="R3900" s="143" t="s">
        <v>1222</v>
      </c>
      <c r="S3900" s="47"/>
      <c r="T3900" s="6">
        <v>172399.2</v>
      </c>
      <c r="U3900" s="6">
        <v>300000</v>
      </c>
      <c r="V3900" s="6">
        <v>200933.4</v>
      </c>
      <c r="W3900" s="6">
        <f t="shared" si="604"/>
        <v>271465.80000000005</v>
      </c>
      <c r="X3900" s="6">
        <f t="shared" si="605"/>
        <v>200933.4</v>
      </c>
      <c r="Y3900" s="13">
        <f t="shared" si="599"/>
        <v>0</v>
      </c>
      <c r="Z3900" s="14">
        <v>0</v>
      </c>
      <c r="AA3900" s="6">
        <v>0</v>
      </c>
      <c r="AB3900" s="4">
        <f t="shared" si="600"/>
        <v>200933.4</v>
      </c>
      <c r="AC3900" s="4">
        <f t="shared" si="602"/>
        <v>0</v>
      </c>
      <c r="AD3900" s="6">
        <f t="shared" si="606"/>
        <v>200933.4</v>
      </c>
      <c r="AE3900" s="2">
        <f>VLOOKUP(I3900,[1]媒体政策预估表!A:N,MATCH(O3900,[1]媒体政策预估表!$A$2:$M$2,0),0)</f>
        <v>7.0000000000000007E-2</v>
      </c>
      <c r="AF3900" s="6">
        <f t="shared" si="603"/>
        <v>14065.338000000002</v>
      </c>
      <c r="AG3900" s="14">
        <v>0</v>
      </c>
      <c r="AH3900" s="65">
        <f t="shared" si="607"/>
        <v>200933.4</v>
      </c>
      <c r="AI3900" s="47"/>
      <c r="AJ3900" s="126" t="e">
        <v>#N/A</v>
      </c>
      <c r="AK3900" s="80">
        <f t="shared" si="601"/>
        <v>0</v>
      </c>
      <c r="AM3900" s="85"/>
    </row>
    <row r="3901" spans="1:39" hidden="1" x14ac:dyDescent="0.3">
      <c r="A3901" s="89" t="s">
        <v>3394</v>
      </c>
      <c r="B3901" s="86" t="s">
        <v>35</v>
      </c>
      <c r="C3901" s="86" t="s">
        <v>36</v>
      </c>
      <c r="D3901" s="86" t="s">
        <v>37</v>
      </c>
      <c r="E3901" s="86" t="s">
        <v>1223</v>
      </c>
      <c r="F3901" s="86" t="s">
        <v>1223</v>
      </c>
      <c r="G3901" s="86" t="s">
        <v>1223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1223</v>
      </c>
      <c r="N3901" s="86"/>
      <c r="O3901" s="47" t="s">
        <v>410</v>
      </c>
      <c r="P3901" s="47" t="s">
        <v>41</v>
      </c>
      <c r="Q3901" s="14">
        <v>0</v>
      </c>
      <c r="R3901" s="143" t="s">
        <v>1224</v>
      </c>
      <c r="S3901" s="47"/>
      <c r="T3901" s="6">
        <v>61910.100000000006</v>
      </c>
      <c r="U3901" s="6">
        <v>180000</v>
      </c>
      <c r="V3901" s="6">
        <v>206702.9</v>
      </c>
      <c r="W3901" s="6">
        <f t="shared" si="604"/>
        <v>35207.200000000012</v>
      </c>
      <c r="X3901" s="6">
        <f t="shared" si="605"/>
        <v>206702.9</v>
      </c>
      <c r="Y3901" s="13">
        <f t="shared" si="599"/>
        <v>0</v>
      </c>
      <c r="Z3901" s="14">
        <v>0</v>
      </c>
      <c r="AA3901" s="6">
        <v>0</v>
      </c>
      <c r="AB3901" s="4">
        <f t="shared" si="600"/>
        <v>206702.9</v>
      </c>
      <c r="AC3901" s="4">
        <f t="shared" si="602"/>
        <v>0</v>
      </c>
      <c r="AD3901" s="6">
        <f t="shared" si="606"/>
        <v>206702.9</v>
      </c>
      <c r="AE3901" s="2">
        <f>VLOOKUP(I3901,[1]媒体政策预估表!A:N,MATCH(O3901,[1]媒体政策预估表!$A$2:$M$2,0),0)</f>
        <v>7.0000000000000007E-2</v>
      </c>
      <c r="AF3901" s="6">
        <f t="shared" si="603"/>
        <v>14469.203000000001</v>
      </c>
      <c r="AG3901" s="14">
        <v>0</v>
      </c>
      <c r="AH3901" s="65">
        <f t="shared" si="607"/>
        <v>206702.9</v>
      </c>
      <c r="AI3901" s="47"/>
      <c r="AJ3901" s="126" t="e">
        <v>#N/A</v>
      </c>
      <c r="AK3901" s="80">
        <f t="shared" si="601"/>
        <v>0</v>
      </c>
      <c r="AM3901" s="85"/>
    </row>
    <row r="3902" spans="1:39" hidden="1" x14ac:dyDescent="0.3">
      <c r="A3902" s="89" t="s">
        <v>3395</v>
      </c>
      <c r="B3902" s="86" t="s">
        <v>35</v>
      </c>
      <c r="C3902" s="86" t="s">
        <v>36</v>
      </c>
      <c r="D3902" s="86" t="s">
        <v>37</v>
      </c>
      <c r="E3902" s="86" t="s">
        <v>1225</v>
      </c>
      <c r="F3902" s="86" t="s">
        <v>1226</v>
      </c>
      <c r="G3902" s="86" t="s">
        <v>1225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1225</v>
      </c>
      <c r="N3902" s="86"/>
      <c r="O3902" s="47" t="s">
        <v>410</v>
      </c>
      <c r="P3902" s="47" t="s">
        <v>41</v>
      </c>
      <c r="Q3902" s="14">
        <v>0</v>
      </c>
      <c r="R3902" s="143" t="s">
        <v>1227</v>
      </c>
      <c r="S3902" s="47"/>
      <c r="T3902" s="6">
        <v>59377.5</v>
      </c>
      <c r="U3902" s="6">
        <v>450000</v>
      </c>
      <c r="V3902" s="6">
        <v>366060.3</v>
      </c>
      <c r="W3902" s="6">
        <f t="shared" si="604"/>
        <v>143317.20000000001</v>
      </c>
      <c r="X3902" s="6">
        <f t="shared" si="605"/>
        <v>366060.3</v>
      </c>
      <c r="Y3902" s="13">
        <f t="shared" si="599"/>
        <v>0</v>
      </c>
      <c r="Z3902" s="14">
        <v>0</v>
      </c>
      <c r="AA3902" s="6">
        <v>0</v>
      </c>
      <c r="AB3902" s="4">
        <f t="shared" si="600"/>
        <v>366060.3</v>
      </c>
      <c r="AC3902" s="4">
        <f t="shared" si="602"/>
        <v>0</v>
      </c>
      <c r="AD3902" s="6">
        <f t="shared" si="606"/>
        <v>366060.3</v>
      </c>
      <c r="AE3902" s="2">
        <f>VLOOKUP(I3902,[1]媒体政策预估表!A:N,MATCH(O3902,[1]媒体政策预估表!$A$2:$M$2,0),0)</f>
        <v>7.0000000000000007E-2</v>
      </c>
      <c r="AF3902" s="6">
        <f t="shared" si="603"/>
        <v>25624.221000000001</v>
      </c>
      <c r="AG3902" s="14">
        <v>0</v>
      </c>
      <c r="AH3902" s="65">
        <f t="shared" si="607"/>
        <v>366060.3</v>
      </c>
      <c r="AI3902" s="47"/>
      <c r="AJ3902" s="126" t="e">
        <v>#N/A</v>
      </c>
      <c r="AK3902" s="80">
        <f t="shared" si="601"/>
        <v>0</v>
      </c>
      <c r="AM3902" s="85"/>
    </row>
    <row r="3903" spans="1:39" hidden="1" x14ac:dyDescent="0.3">
      <c r="A3903" s="89" t="s">
        <v>3395</v>
      </c>
      <c r="B3903" s="86" t="s">
        <v>35</v>
      </c>
      <c r="C3903" s="86" t="s">
        <v>65</v>
      </c>
      <c r="D3903" s="86" t="s">
        <v>66</v>
      </c>
      <c r="E3903" s="86" t="s">
        <v>1228</v>
      </c>
      <c r="F3903" s="86" t="s">
        <v>1228</v>
      </c>
      <c r="G3903" s="86" t="s">
        <v>1228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1228</v>
      </c>
      <c r="N3903" s="86"/>
      <c r="O3903" s="47" t="s">
        <v>410</v>
      </c>
      <c r="P3903" s="47" t="s">
        <v>46</v>
      </c>
      <c r="Q3903" s="14">
        <v>0.01</v>
      </c>
      <c r="R3903" s="143" t="s">
        <v>1229</v>
      </c>
      <c r="S3903" s="47"/>
      <c r="T3903" s="6">
        <v>64716.234999999986</v>
      </c>
      <c r="U3903" s="6">
        <v>400000</v>
      </c>
      <c r="V3903" s="6">
        <v>448311.63</v>
      </c>
      <c r="W3903" s="6">
        <f t="shared" si="604"/>
        <v>16404.604999999981</v>
      </c>
      <c r="X3903" s="6">
        <f t="shared" si="605"/>
        <v>443872.90099009901</v>
      </c>
      <c r="Y3903" s="13">
        <f t="shared" si="599"/>
        <v>0</v>
      </c>
      <c r="Z3903" s="14">
        <v>0</v>
      </c>
      <c r="AA3903" s="6">
        <v>0</v>
      </c>
      <c r="AB3903" s="4">
        <f t="shared" si="600"/>
        <v>443872.90099009901</v>
      </c>
      <c r="AC3903" s="4">
        <f t="shared" si="602"/>
        <v>4438.7290099009988</v>
      </c>
      <c r="AD3903" s="6">
        <f t="shared" si="606"/>
        <v>448311.63</v>
      </c>
      <c r="AE3903" s="2">
        <f>VLOOKUP(I3903,[1]媒体政策预估表!A:N,MATCH(O3903,[1]媒体政策预估表!$A$2:$M$2,0),0)</f>
        <v>7.0000000000000007E-2</v>
      </c>
      <c r="AF3903" s="6">
        <f t="shared" si="603"/>
        <v>31381.814100000003</v>
      </c>
      <c r="AG3903" s="14">
        <v>0</v>
      </c>
      <c r="AH3903" s="65">
        <f t="shared" si="607"/>
        <v>448311.63</v>
      </c>
      <c r="AI3903" s="47"/>
      <c r="AJ3903" s="126" t="e">
        <v>#N/A</v>
      </c>
      <c r="AK3903" s="80">
        <f t="shared" si="601"/>
        <v>0</v>
      </c>
      <c r="AM3903" s="85"/>
    </row>
    <row r="3904" spans="1:39" hidden="1" x14ac:dyDescent="0.3">
      <c r="A3904" s="89" t="s">
        <v>3394</v>
      </c>
      <c r="B3904" s="86" t="s">
        <v>35</v>
      </c>
      <c r="C3904" s="86" t="s">
        <v>65</v>
      </c>
      <c r="D3904" s="86" t="s">
        <v>66</v>
      </c>
      <c r="E3904" s="86" t="s">
        <v>491</v>
      </c>
      <c r="F3904" s="86" t="s">
        <v>491</v>
      </c>
      <c r="G3904" s="86" t="s">
        <v>491</v>
      </c>
      <c r="H3904" s="144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491</v>
      </c>
      <c r="N3904" s="86"/>
      <c r="O3904" s="47" t="s">
        <v>410</v>
      </c>
      <c r="P3904" s="47" t="s">
        <v>46</v>
      </c>
      <c r="Q3904" s="14">
        <v>0.02</v>
      </c>
      <c r="R3904" s="143" t="s">
        <v>1230</v>
      </c>
      <c r="S3904" s="47"/>
      <c r="T3904" s="6">
        <v>43942.7</v>
      </c>
      <c r="U3904" s="6">
        <v>100000</v>
      </c>
      <c r="V3904" s="6">
        <v>46639.8</v>
      </c>
      <c r="W3904" s="6">
        <f t="shared" si="604"/>
        <v>97302.900000000009</v>
      </c>
      <c r="X3904" s="6">
        <f t="shared" si="605"/>
        <v>45725.294117647063</v>
      </c>
      <c r="Y3904" s="13">
        <f t="shared" si="599"/>
        <v>0</v>
      </c>
      <c r="Z3904" s="14">
        <v>0</v>
      </c>
      <c r="AA3904" s="6">
        <v>0</v>
      </c>
      <c r="AB3904" s="4">
        <f t="shared" si="600"/>
        <v>45725.294117647063</v>
      </c>
      <c r="AC3904" s="4">
        <f t="shared" si="602"/>
        <v>914.50588235293981</v>
      </c>
      <c r="AD3904" s="6">
        <f t="shared" si="606"/>
        <v>46639.8</v>
      </c>
      <c r="AE3904" s="2">
        <f>VLOOKUP(I3904,[1]媒体政策预估表!A:N,MATCH(O3904,[1]媒体政策预估表!$A$2:$M$2,0),0)</f>
        <v>7.0000000000000007E-2</v>
      </c>
      <c r="AF3904" s="6">
        <f t="shared" si="603"/>
        <v>3264.7860000000005</v>
      </c>
      <c r="AG3904" s="14">
        <v>0</v>
      </c>
      <c r="AH3904" s="65">
        <f t="shared" si="607"/>
        <v>46639.8</v>
      </c>
      <c r="AI3904" s="47"/>
      <c r="AJ3904" s="126" t="e">
        <v>#N/A</v>
      </c>
      <c r="AK3904" s="80">
        <f t="shared" si="601"/>
        <v>0</v>
      </c>
      <c r="AM3904" s="85"/>
    </row>
    <row r="3905" spans="1:39" hidden="1" x14ac:dyDescent="0.3">
      <c r="A3905" s="89" t="s">
        <v>3397</v>
      </c>
      <c r="B3905" s="86" t="s">
        <v>35</v>
      </c>
      <c r="C3905" s="86" t="s">
        <v>65</v>
      </c>
      <c r="D3905" s="86" t="s">
        <v>66</v>
      </c>
      <c r="E3905" s="86" t="s">
        <v>3489</v>
      </c>
      <c r="F3905" s="86" t="s">
        <v>3489</v>
      </c>
      <c r="G3905" s="86" t="s">
        <v>3489</v>
      </c>
      <c r="H3905" s="144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3489</v>
      </c>
      <c r="N3905" s="86"/>
      <c r="O3905" s="47" t="s">
        <v>410</v>
      </c>
      <c r="P3905" s="47" t="s">
        <v>41</v>
      </c>
      <c r="Q3905" s="14">
        <v>0</v>
      </c>
      <c r="R3905" s="143" t="s">
        <v>3490</v>
      </c>
      <c r="S3905" s="47"/>
      <c r="T3905" s="6">
        <v>0</v>
      </c>
      <c r="U3905" s="6">
        <v>50000</v>
      </c>
      <c r="V3905" s="6">
        <v>30235.5</v>
      </c>
      <c r="W3905" s="6">
        <f t="shared" si="604"/>
        <v>19764.5</v>
      </c>
      <c r="X3905" s="6">
        <f t="shared" si="605"/>
        <v>30235.5</v>
      </c>
      <c r="Y3905" s="13">
        <f t="shared" si="599"/>
        <v>0</v>
      </c>
      <c r="Z3905" s="14">
        <v>0</v>
      </c>
      <c r="AA3905" s="6">
        <v>0</v>
      </c>
      <c r="AB3905" s="4">
        <f t="shared" si="600"/>
        <v>30235.5</v>
      </c>
      <c r="AC3905" s="4">
        <f t="shared" si="602"/>
        <v>0</v>
      </c>
      <c r="AD3905" s="6">
        <f t="shared" si="606"/>
        <v>30235.5</v>
      </c>
      <c r="AE3905" s="2">
        <f>VLOOKUP(I3905,[1]媒体政策预估表!A:N,MATCH(O3905,[1]媒体政策预估表!$A$2:$M$2,0),0)</f>
        <v>7.0000000000000007E-2</v>
      </c>
      <c r="AF3905" s="6">
        <f t="shared" si="603"/>
        <v>2116.4850000000001</v>
      </c>
      <c r="AG3905" s="14">
        <v>0</v>
      </c>
      <c r="AH3905" s="65">
        <f t="shared" si="607"/>
        <v>30235.5</v>
      </c>
      <c r="AI3905" s="47"/>
      <c r="AJ3905" s="126" t="e">
        <v>#N/A</v>
      </c>
      <c r="AK3905" s="80">
        <f t="shared" si="601"/>
        <v>0</v>
      </c>
      <c r="AM3905" s="85"/>
    </row>
    <row r="3906" spans="1:39" hidden="1" x14ac:dyDescent="0.3">
      <c r="A3906" s="89" t="s">
        <v>3395</v>
      </c>
      <c r="B3906" s="86" t="s">
        <v>35</v>
      </c>
      <c r="C3906" s="86" t="s">
        <v>65</v>
      </c>
      <c r="D3906" s="86" t="s">
        <v>66</v>
      </c>
      <c r="E3906" s="86" t="s">
        <v>1881</v>
      </c>
      <c r="F3906" s="86" t="s">
        <v>1881</v>
      </c>
      <c r="G3906" s="86" t="s">
        <v>1881</v>
      </c>
      <c r="H3906" s="143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1881</v>
      </c>
      <c r="N3906" s="86"/>
      <c r="O3906" s="47" t="s">
        <v>45</v>
      </c>
      <c r="P3906" s="47" t="s">
        <v>46</v>
      </c>
      <c r="Q3906" s="14">
        <v>0.02</v>
      </c>
      <c r="R3906" s="143" t="s">
        <v>3491</v>
      </c>
      <c r="S3906" s="47"/>
      <c r="T3906" s="6">
        <v>0</v>
      </c>
      <c r="U3906" s="6">
        <v>700000</v>
      </c>
      <c r="V3906" s="6">
        <v>0</v>
      </c>
      <c r="W3906" s="6">
        <f t="shared" si="604"/>
        <v>700000</v>
      </c>
      <c r="X3906" s="6">
        <f t="shared" si="605"/>
        <v>0</v>
      </c>
      <c r="Y3906" s="13">
        <f t="shared" si="599"/>
        <v>0</v>
      </c>
      <c r="Z3906" s="14">
        <v>0</v>
      </c>
      <c r="AA3906" s="6">
        <v>0</v>
      </c>
      <c r="AB3906" s="4">
        <f t="shared" si="600"/>
        <v>0</v>
      </c>
      <c r="AC3906" s="4">
        <f t="shared" si="602"/>
        <v>0</v>
      </c>
      <c r="AD3906" s="6">
        <f t="shared" si="606"/>
        <v>0</v>
      </c>
      <c r="AE3906" s="2">
        <f>VLOOKUP(I3906,[1]媒体政策预估表!A:N,MATCH(O3906,[1]媒体政策预估表!$A$2:$M$2,0),0)</f>
        <v>0.12</v>
      </c>
      <c r="AF3906" s="6">
        <f t="shared" si="603"/>
        <v>0</v>
      </c>
      <c r="AG3906" s="14">
        <v>0</v>
      </c>
      <c r="AH3906" s="65">
        <f t="shared" si="607"/>
        <v>0</v>
      </c>
      <c r="AI3906" s="47"/>
      <c r="AJ3906" s="126" t="e">
        <v>#N/A</v>
      </c>
      <c r="AK3906" s="80">
        <f t="shared" si="601"/>
        <v>0</v>
      </c>
      <c r="AM3906" s="85"/>
    </row>
    <row r="3907" spans="1:39" hidden="1" x14ac:dyDescent="0.3">
      <c r="A3907" s="89" t="s">
        <v>3395</v>
      </c>
      <c r="B3907" s="86" t="s">
        <v>35</v>
      </c>
      <c r="C3907" s="86" t="s">
        <v>65</v>
      </c>
      <c r="D3907" s="86" t="s">
        <v>66</v>
      </c>
      <c r="E3907" s="86" t="s">
        <v>1881</v>
      </c>
      <c r="F3907" s="86" t="s">
        <v>1881</v>
      </c>
      <c r="G3907" s="86" t="s">
        <v>1881</v>
      </c>
      <c r="H3907" s="143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1881</v>
      </c>
      <c r="N3907" s="86"/>
      <c r="O3907" s="47" t="s">
        <v>45</v>
      </c>
      <c r="P3907" s="47" t="s">
        <v>46</v>
      </c>
      <c r="Q3907" s="14">
        <v>0.02</v>
      </c>
      <c r="R3907" s="143" t="s">
        <v>3492</v>
      </c>
      <c r="S3907" s="47"/>
      <c r="T3907" s="6">
        <v>0</v>
      </c>
      <c r="U3907" s="6">
        <v>1000000</v>
      </c>
      <c r="V3907" s="6">
        <v>0</v>
      </c>
      <c r="W3907" s="6">
        <f t="shared" si="604"/>
        <v>1000000</v>
      </c>
      <c r="X3907" s="6">
        <f t="shared" si="605"/>
        <v>0</v>
      </c>
      <c r="Y3907" s="13">
        <f t="shared" ref="Y3907:Y3970" si="608">IF(X3907-AD3907&lt;=0,0,IF(P3907="返现",MAX(X3907-AC3907-AD3907,0),MAX(X3907-AD3907)))</f>
        <v>0</v>
      </c>
      <c r="Z3907" s="14">
        <v>0</v>
      </c>
      <c r="AA3907" s="6">
        <v>0</v>
      </c>
      <c r="AB3907" s="4">
        <f t="shared" ref="AB3907:AB3970" si="609">X3907+AA3907</f>
        <v>0</v>
      </c>
      <c r="AC3907" s="4">
        <f t="shared" si="602"/>
        <v>0</v>
      </c>
      <c r="AD3907" s="6">
        <f t="shared" si="606"/>
        <v>0</v>
      </c>
      <c r="AE3907" s="2">
        <f>VLOOKUP(I3907,[1]媒体政策预估表!A:N,MATCH(O3907,[1]媒体政策预估表!$A$2:$M$2,0),0)</f>
        <v>0.12</v>
      </c>
      <c r="AF3907" s="6">
        <f t="shared" si="603"/>
        <v>0</v>
      </c>
      <c r="AG3907" s="14">
        <v>0</v>
      </c>
      <c r="AH3907" s="65">
        <f t="shared" si="607"/>
        <v>0</v>
      </c>
      <c r="AI3907" s="47"/>
      <c r="AJ3907" s="126" t="e">
        <v>#N/A</v>
      </c>
      <c r="AK3907" s="80">
        <f t="shared" ref="AK3907:AK3970" si="610">X3907+AA3907-AB3907</f>
        <v>0</v>
      </c>
      <c r="AM3907" s="85"/>
    </row>
    <row r="3908" spans="1:39" hidden="1" x14ac:dyDescent="0.3">
      <c r="A3908" s="89" t="s">
        <v>3394</v>
      </c>
      <c r="B3908" s="86" t="s">
        <v>35</v>
      </c>
      <c r="C3908" s="86" t="s">
        <v>65</v>
      </c>
      <c r="D3908" s="86" t="s">
        <v>66</v>
      </c>
      <c r="E3908" s="86" t="s">
        <v>1881</v>
      </c>
      <c r="F3908" s="86" t="s">
        <v>1881</v>
      </c>
      <c r="G3908" s="86" t="s">
        <v>1881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1881</v>
      </c>
      <c r="N3908" s="86"/>
      <c r="O3908" s="47" t="s">
        <v>45</v>
      </c>
      <c r="P3908" s="47" t="s">
        <v>46</v>
      </c>
      <c r="Q3908" s="14">
        <v>0.02</v>
      </c>
      <c r="R3908" s="143" t="s">
        <v>1883</v>
      </c>
      <c r="S3908" s="47"/>
      <c r="T3908" s="6">
        <v>2294920.5</v>
      </c>
      <c r="U3908" s="6">
        <v>-2300000</v>
      </c>
      <c r="V3908" s="6">
        <v>0</v>
      </c>
      <c r="W3908" s="6">
        <f t="shared" si="604"/>
        <v>-5079.5</v>
      </c>
      <c r="X3908" s="6">
        <f t="shared" si="605"/>
        <v>0</v>
      </c>
      <c r="Y3908" s="13">
        <f t="shared" si="608"/>
        <v>0</v>
      </c>
      <c r="Z3908" s="14">
        <v>0</v>
      </c>
      <c r="AA3908" s="6">
        <v>0</v>
      </c>
      <c r="AB3908" s="4">
        <f t="shared" si="609"/>
        <v>0</v>
      </c>
      <c r="AC3908" s="4">
        <f t="shared" si="602"/>
        <v>0</v>
      </c>
      <c r="AD3908" s="6">
        <f t="shared" si="606"/>
        <v>0</v>
      </c>
      <c r="AE3908" s="2">
        <f>VLOOKUP(I3908,[1]媒体政策预估表!A:N,MATCH(O3908,[1]媒体政策预估表!$A$2:$M$2,0),0)</f>
        <v>0.12</v>
      </c>
      <c r="AF3908" s="6">
        <f t="shared" si="603"/>
        <v>0</v>
      </c>
      <c r="AG3908" s="14">
        <v>0</v>
      </c>
      <c r="AH3908" s="65">
        <f t="shared" si="607"/>
        <v>0</v>
      </c>
      <c r="AI3908" s="47"/>
      <c r="AJ3908" s="126" t="e">
        <v>#N/A</v>
      </c>
      <c r="AK3908" s="80">
        <f t="shared" si="610"/>
        <v>0</v>
      </c>
      <c r="AM3908" s="85"/>
    </row>
    <row r="3909" spans="1:39" hidden="1" x14ac:dyDescent="0.3">
      <c r="A3909" s="89" t="s">
        <v>3394</v>
      </c>
      <c r="B3909" s="86" t="s">
        <v>35</v>
      </c>
      <c r="C3909" s="86" t="s">
        <v>65</v>
      </c>
      <c r="D3909" s="86" t="s">
        <v>66</v>
      </c>
      <c r="E3909" s="86" t="s">
        <v>1881</v>
      </c>
      <c r="F3909" s="86" t="s">
        <v>1881</v>
      </c>
      <c r="G3909" s="86" t="s">
        <v>1881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1881</v>
      </c>
      <c r="N3909" s="86"/>
      <c r="O3909" s="47" t="s">
        <v>410</v>
      </c>
      <c r="P3909" s="47" t="s">
        <v>41</v>
      </c>
      <c r="Q3909" s="14">
        <v>0</v>
      </c>
      <c r="R3909" s="143" t="s">
        <v>3491</v>
      </c>
      <c r="S3909" s="47"/>
      <c r="T3909" s="6">
        <v>0</v>
      </c>
      <c r="U3909" s="6">
        <v>-700000</v>
      </c>
      <c r="V3909" s="6">
        <v>0</v>
      </c>
      <c r="W3909" s="6">
        <f t="shared" si="604"/>
        <v>-700000</v>
      </c>
      <c r="X3909" s="6">
        <f t="shared" si="605"/>
        <v>0</v>
      </c>
      <c r="Y3909" s="13">
        <f t="shared" si="608"/>
        <v>0</v>
      </c>
      <c r="Z3909" s="14">
        <v>0</v>
      </c>
      <c r="AA3909" s="6">
        <v>0</v>
      </c>
      <c r="AB3909" s="4">
        <f t="shared" si="609"/>
        <v>0</v>
      </c>
      <c r="AC3909" s="4">
        <f t="shared" si="602"/>
        <v>0</v>
      </c>
      <c r="AD3909" s="6">
        <f t="shared" si="606"/>
        <v>0</v>
      </c>
      <c r="AE3909" s="2">
        <f>VLOOKUP(I3909,[1]媒体政策预估表!A:N,MATCH(O3909,[1]媒体政策预估表!$A$2:$M$2,0),0)</f>
        <v>7.0000000000000007E-2</v>
      </c>
      <c r="AF3909" s="6">
        <f t="shared" si="603"/>
        <v>0</v>
      </c>
      <c r="AG3909" s="14">
        <v>0</v>
      </c>
      <c r="AH3909" s="65">
        <f t="shared" si="607"/>
        <v>0</v>
      </c>
      <c r="AI3909" s="47"/>
      <c r="AJ3909" s="126" t="e">
        <v>#N/A</v>
      </c>
      <c r="AK3909" s="80">
        <f t="shared" si="610"/>
        <v>0</v>
      </c>
      <c r="AM3909" s="85"/>
    </row>
    <row r="3910" spans="1:39" hidden="1" x14ac:dyDescent="0.3">
      <c r="A3910" s="89" t="s">
        <v>3394</v>
      </c>
      <c r="B3910" s="86" t="s">
        <v>35</v>
      </c>
      <c r="C3910" s="86" t="s">
        <v>65</v>
      </c>
      <c r="D3910" s="86" t="s">
        <v>66</v>
      </c>
      <c r="E3910" s="86" t="s">
        <v>1881</v>
      </c>
      <c r="F3910" s="86" t="s">
        <v>1881</v>
      </c>
      <c r="G3910" s="86" t="s">
        <v>1881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1881</v>
      </c>
      <c r="N3910" s="86"/>
      <c r="O3910" s="47" t="s">
        <v>410</v>
      </c>
      <c r="P3910" s="47" t="s">
        <v>41</v>
      </c>
      <c r="Q3910" s="14">
        <v>0</v>
      </c>
      <c r="R3910" s="143" t="s">
        <v>3492</v>
      </c>
      <c r="S3910" s="47"/>
      <c r="T3910" s="6">
        <v>0</v>
      </c>
      <c r="U3910" s="6">
        <v>-1000000</v>
      </c>
      <c r="V3910" s="6">
        <v>0</v>
      </c>
      <c r="W3910" s="6">
        <f t="shared" si="604"/>
        <v>-1000000</v>
      </c>
      <c r="X3910" s="6">
        <f t="shared" si="605"/>
        <v>0</v>
      </c>
      <c r="Y3910" s="13">
        <f t="shared" si="608"/>
        <v>0</v>
      </c>
      <c r="Z3910" s="14">
        <v>0</v>
      </c>
      <c r="AA3910" s="6">
        <v>0</v>
      </c>
      <c r="AB3910" s="4">
        <f t="shared" si="609"/>
        <v>0</v>
      </c>
      <c r="AC3910" s="4">
        <f t="shared" si="602"/>
        <v>0</v>
      </c>
      <c r="AD3910" s="6">
        <f t="shared" si="606"/>
        <v>0</v>
      </c>
      <c r="AE3910" s="2">
        <f>VLOOKUP(I3910,[1]媒体政策预估表!A:N,MATCH(O3910,[1]媒体政策预估表!$A$2:$M$2,0),0)</f>
        <v>7.0000000000000007E-2</v>
      </c>
      <c r="AF3910" s="6">
        <f t="shared" si="603"/>
        <v>0</v>
      </c>
      <c r="AG3910" s="14">
        <v>0</v>
      </c>
      <c r="AH3910" s="65">
        <f t="shared" si="607"/>
        <v>0</v>
      </c>
      <c r="AI3910" s="47"/>
      <c r="AJ3910" s="126" t="e">
        <v>#N/A</v>
      </c>
      <c r="AK3910" s="80">
        <f t="shared" si="610"/>
        <v>0</v>
      </c>
      <c r="AM3910" s="85"/>
    </row>
    <row r="3911" spans="1:39" hidden="1" x14ac:dyDescent="0.3">
      <c r="A3911" s="89" t="s">
        <v>3394</v>
      </c>
      <c r="B3911" s="86" t="s">
        <v>35</v>
      </c>
      <c r="C3911" s="86" t="s">
        <v>65</v>
      </c>
      <c r="D3911" s="86" t="s">
        <v>66</v>
      </c>
      <c r="E3911" s="86" t="s">
        <v>1881</v>
      </c>
      <c r="F3911" s="86" t="s">
        <v>1881</v>
      </c>
      <c r="G3911" s="86" t="s">
        <v>1881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1881</v>
      </c>
      <c r="N3911" s="86"/>
      <c r="O3911" s="47" t="s">
        <v>410</v>
      </c>
      <c r="P3911" s="47" t="s">
        <v>41</v>
      </c>
      <c r="Q3911" s="14">
        <v>0</v>
      </c>
      <c r="R3911" s="143" t="s">
        <v>1883</v>
      </c>
      <c r="S3911" s="47"/>
      <c r="T3911" s="6">
        <v>-2299872.2176199993</v>
      </c>
      <c r="U3911" s="6">
        <v>2300000</v>
      </c>
      <c r="V3911" s="6">
        <v>0</v>
      </c>
      <c r="W3911" s="6">
        <f t="shared" si="604"/>
        <v>127.78238000068814</v>
      </c>
      <c r="X3911" s="6">
        <f t="shared" si="605"/>
        <v>0</v>
      </c>
      <c r="Y3911" s="13">
        <f t="shared" si="608"/>
        <v>0</v>
      </c>
      <c r="Z3911" s="14">
        <v>0</v>
      </c>
      <c r="AA3911" s="6">
        <v>0</v>
      </c>
      <c r="AB3911" s="4">
        <f t="shared" si="609"/>
        <v>0</v>
      </c>
      <c r="AC3911" s="4">
        <f t="shared" si="602"/>
        <v>0</v>
      </c>
      <c r="AD3911" s="6">
        <f t="shared" si="606"/>
        <v>0</v>
      </c>
      <c r="AE3911" s="2">
        <f>VLOOKUP(I3911,[1]媒体政策预估表!A:N,MATCH(O3911,[1]媒体政策预估表!$A$2:$M$2,0),0)</f>
        <v>7.0000000000000007E-2</v>
      </c>
      <c r="AF3911" s="6">
        <f t="shared" si="603"/>
        <v>0</v>
      </c>
      <c r="AG3911" s="14">
        <v>0</v>
      </c>
      <c r="AH3911" s="65">
        <f t="shared" si="607"/>
        <v>0</v>
      </c>
      <c r="AI3911" s="47"/>
      <c r="AJ3911" s="126" t="e">
        <v>#N/A</v>
      </c>
      <c r="AK3911" s="80">
        <f t="shared" si="610"/>
        <v>0</v>
      </c>
      <c r="AM3911" s="85"/>
    </row>
    <row r="3912" spans="1:39" hidden="1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3493</v>
      </c>
      <c r="F3912" s="86" t="s">
        <v>3493</v>
      </c>
      <c r="G3912" s="86" t="s">
        <v>3493</v>
      </c>
      <c r="H3912" s="144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3493</v>
      </c>
      <c r="N3912" s="86"/>
      <c r="O3912" s="47" t="s">
        <v>410</v>
      </c>
      <c r="P3912" s="47" t="s">
        <v>46</v>
      </c>
      <c r="Q3912" s="14">
        <v>0.01</v>
      </c>
      <c r="R3912" s="143" t="s">
        <v>3494</v>
      </c>
      <c r="S3912" s="47"/>
      <c r="T3912" s="6">
        <v>0</v>
      </c>
      <c r="U3912" s="6">
        <v>200000</v>
      </c>
      <c r="V3912" s="6">
        <v>87773.315000000002</v>
      </c>
      <c r="W3912" s="6">
        <f t="shared" si="604"/>
        <v>112226.685</v>
      </c>
      <c r="X3912" s="6">
        <f t="shared" si="605"/>
        <v>86904.272277227719</v>
      </c>
      <c r="Y3912" s="13">
        <f t="shared" si="608"/>
        <v>0</v>
      </c>
      <c r="Z3912" s="14">
        <v>0</v>
      </c>
      <c r="AA3912" s="6">
        <v>0</v>
      </c>
      <c r="AB3912" s="4">
        <f t="shared" si="609"/>
        <v>86904.272277227719</v>
      </c>
      <c r="AC3912" s="4">
        <f t="shared" si="602"/>
        <v>869.04272277228301</v>
      </c>
      <c r="AD3912" s="6">
        <f t="shared" si="606"/>
        <v>87773.315000000002</v>
      </c>
      <c r="AE3912" s="2">
        <f>VLOOKUP(I3912,[1]媒体政策预估表!A:N,MATCH(O3912,[1]媒体政策预估表!$A$2:$M$2,0),0)</f>
        <v>7.0000000000000007E-2</v>
      </c>
      <c r="AF3912" s="6">
        <f t="shared" si="603"/>
        <v>6144.1320500000011</v>
      </c>
      <c r="AG3912" s="14">
        <v>0</v>
      </c>
      <c r="AH3912" s="65">
        <f t="shared" si="607"/>
        <v>87773.315000000002</v>
      </c>
      <c r="AI3912" s="47"/>
      <c r="AJ3912" s="126" t="e">
        <v>#N/A</v>
      </c>
      <c r="AK3912" s="80">
        <f t="shared" si="610"/>
        <v>0</v>
      </c>
      <c r="AM3912" s="85"/>
    </row>
    <row r="3913" spans="1:39" hidden="1" x14ac:dyDescent="0.3">
      <c r="A3913" s="89" t="s">
        <v>3394</v>
      </c>
      <c r="B3913" s="86" t="s">
        <v>35</v>
      </c>
      <c r="C3913" s="86" t="s">
        <v>65</v>
      </c>
      <c r="D3913" s="86" t="s">
        <v>66</v>
      </c>
      <c r="E3913" s="86" t="s">
        <v>499</v>
      </c>
      <c r="F3913" s="86" t="s">
        <v>499</v>
      </c>
      <c r="G3913" s="86" t="s">
        <v>499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499</v>
      </c>
      <c r="N3913" s="86"/>
      <c r="O3913" s="47" t="s">
        <v>410</v>
      </c>
      <c r="P3913" s="47" t="s">
        <v>41</v>
      </c>
      <c r="Q3913" s="14">
        <v>0</v>
      </c>
      <c r="R3913" s="143" t="s">
        <v>1231</v>
      </c>
      <c r="S3913" s="47"/>
      <c r="T3913" s="6">
        <v>2354.9000000000015</v>
      </c>
      <c r="U3913" s="6">
        <v>80000</v>
      </c>
      <c r="V3913" s="6">
        <v>49150.8</v>
      </c>
      <c r="W3913" s="6">
        <f t="shared" si="604"/>
        <v>33204.099999999991</v>
      </c>
      <c r="X3913" s="6">
        <f t="shared" si="605"/>
        <v>49150.8</v>
      </c>
      <c r="Y3913" s="13">
        <f t="shared" si="608"/>
        <v>0</v>
      </c>
      <c r="Z3913" s="14">
        <v>0</v>
      </c>
      <c r="AA3913" s="6">
        <v>0</v>
      </c>
      <c r="AB3913" s="4">
        <f t="shared" si="609"/>
        <v>49150.8</v>
      </c>
      <c r="AC3913" s="4">
        <f t="shared" si="602"/>
        <v>0</v>
      </c>
      <c r="AD3913" s="6">
        <f t="shared" si="606"/>
        <v>49150.8</v>
      </c>
      <c r="AE3913" s="2">
        <f>VLOOKUP(I3913,[1]媒体政策预估表!A:N,MATCH(O3913,[1]媒体政策预估表!$A$2:$M$2,0),0)</f>
        <v>7.0000000000000007E-2</v>
      </c>
      <c r="AF3913" s="6">
        <f t="shared" si="603"/>
        <v>3440.5560000000005</v>
      </c>
      <c r="AG3913" s="14">
        <v>0</v>
      </c>
      <c r="AH3913" s="65">
        <f t="shared" si="607"/>
        <v>49150.8</v>
      </c>
      <c r="AI3913" s="47"/>
      <c r="AJ3913" s="126" t="e">
        <v>#N/A</v>
      </c>
      <c r="AK3913" s="80">
        <f t="shared" si="610"/>
        <v>0</v>
      </c>
      <c r="AM3913" s="85"/>
    </row>
    <row r="3914" spans="1:39" hidden="1" x14ac:dyDescent="0.3">
      <c r="A3914" s="89" t="s">
        <v>3394</v>
      </c>
      <c r="B3914" s="86" t="s">
        <v>35</v>
      </c>
      <c r="C3914" s="86" t="s">
        <v>65</v>
      </c>
      <c r="D3914" s="86" t="s">
        <v>66</v>
      </c>
      <c r="E3914" s="86" t="s">
        <v>1234</v>
      </c>
      <c r="F3914" s="86" t="s">
        <v>1234</v>
      </c>
      <c r="G3914" s="86" t="s">
        <v>1234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1235</v>
      </c>
      <c r="N3914" s="86"/>
      <c r="O3914" s="47" t="s">
        <v>410</v>
      </c>
      <c r="P3914" s="47" t="s">
        <v>46</v>
      </c>
      <c r="Q3914" s="14">
        <v>0.02</v>
      </c>
      <c r="R3914" s="143" t="s">
        <v>1236</v>
      </c>
      <c r="S3914" s="47"/>
      <c r="T3914" s="6">
        <v>43652.600000000006</v>
      </c>
      <c r="U3914" s="6">
        <v>-43612.6</v>
      </c>
      <c r="V3914" s="6">
        <v>40</v>
      </c>
      <c r="W3914" s="6">
        <f t="shared" si="604"/>
        <v>7.2759576141834259E-12</v>
      </c>
      <c r="X3914" s="6">
        <f t="shared" si="605"/>
        <v>39.215686274509807</v>
      </c>
      <c r="Y3914" s="13">
        <f t="shared" si="608"/>
        <v>0</v>
      </c>
      <c r="Z3914" s="14">
        <v>0</v>
      </c>
      <c r="AA3914" s="6">
        <v>0</v>
      </c>
      <c r="AB3914" s="4">
        <f t="shared" si="609"/>
        <v>39.215686274509807</v>
      </c>
      <c r="AC3914" s="4">
        <f t="shared" si="602"/>
        <v>0.78431372549019329</v>
      </c>
      <c r="AD3914" s="6">
        <f t="shared" si="606"/>
        <v>40</v>
      </c>
      <c r="AE3914" s="2">
        <f>VLOOKUP(I3914,[1]媒体政策预估表!A:N,MATCH(O3914,[1]媒体政策预估表!$A$2:$M$2,0),0)</f>
        <v>7.0000000000000007E-2</v>
      </c>
      <c r="AF3914" s="6">
        <f t="shared" si="603"/>
        <v>2.8000000000000003</v>
      </c>
      <c r="AG3914" s="14">
        <v>0</v>
      </c>
      <c r="AH3914" s="65">
        <f t="shared" si="607"/>
        <v>40</v>
      </c>
      <c r="AI3914" s="47"/>
      <c r="AJ3914" s="126" t="e">
        <v>#N/A</v>
      </c>
      <c r="AK3914" s="80">
        <f t="shared" si="610"/>
        <v>0</v>
      </c>
      <c r="AM3914" s="85"/>
    </row>
    <row r="3915" spans="1:39" hidden="1" x14ac:dyDescent="0.3">
      <c r="A3915" s="89" t="s">
        <v>3394</v>
      </c>
      <c r="B3915" s="86" t="s">
        <v>35</v>
      </c>
      <c r="C3915" s="86" t="s">
        <v>65</v>
      </c>
      <c r="D3915" s="86" t="s">
        <v>66</v>
      </c>
      <c r="E3915" s="86" t="s">
        <v>1234</v>
      </c>
      <c r="F3915" s="86" t="s">
        <v>1234</v>
      </c>
      <c r="G3915" s="86" t="s">
        <v>1234</v>
      </c>
      <c r="H3915" s="144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1237</v>
      </c>
      <c r="N3915" s="86"/>
      <c r="O3915" s="47" t="s">
        <v>410</v>
      </c>
      <c r="P3915" s="47" t="s">
        <v>46</v>
      </c>
      <c r="Q3915" s="14">
        <v>0.02</v>
      </c>
      <c r="R3915" s="143" t="s">
        <v>1238</v>
      </c>
      <c r="S3915" s="47"/>
      <c r="T3915" s="6">
        <v>12080.899999999994</v>
      </c>
      <c r="U3915" s="6">
        <v>193612.6</v>
      </c>
      <c r="V3915" s="6">
        <v>115326.8</v>
      </c>
      <c r="W3915" s="6">
        <f t="shared" si="604"/>
        <v>90366.7</v>
      </c>
      <c r="X3915" s="6">
        <f t="shared" si="605"/>
        <v>113065.49019607843</v>
      </c>
      <c r="Y3915" s="13">
        <f t="shared" si="608"/>
        <v>0</v>
      </c>
      <c r="Z3915" s="14">
        <v>0</v>
      </c>
      <c r="AA3915" s="6">
        <v>0</v>
      </c>
      <c r="AB3915" s="4">
        <f t="shared" si="609"/>
        <v>113065.49019607843</v>
      </c>
      <c r="AC3915" s="4">
        <f t="shared" si="602"/>
        <v>2261.3098039215693</v>
      </c>
      <c r="AD3915" s="6">
        <f t="shared" si="606"/>
        <v>115326.8</v>
      </c>
      <c r="AE3915" s="2">
        <f>VLOOKUP(I3915,[1]媒体政策预估表!A:N,MATCH(O3915,[1]媒体政策预估表!$A$2:$M$2,0),0)</f>
        <v>7.0000000000000007E-2</v>
      </c>
      <c r="AF3915" s="6">
        <f t="shared" si="603"/>
        <v>8072.8760000000011</v>
      </c>
      <c r="AG3915" s="14">
        <v>0</v>
      </c>
      <c r="AH3915" s="65">
        <f t="shared" si="607"/>
        <v>115326.8</v>
      </c>
      <c r="AI3915" s="47"/>
      <c r="AJ3915" s="126" t="e">
        <v>#N/A</v>
      </c>
      <c r="AK3915" s="80">
        <f t="shared" si="610"/>
        <v>0</v>
      </c>
      <c r="AM3915" s="85"/>
    </row>
    <row r="3916" spans="1:39" hidden="1" x14ac:dyDescent="0.3">
      <c r="A3916" s="89" t="s">
        <v>3394</v>
      </c>
      <c r="B3916" s="86" t="s">
        <v>35</v>
      </c>
      <c r="C3916" s="86" t="s">
        <v>65</v>
      </c>
      <c r="D3916" s="86" t="s">
        <v>66</v>
      </c>
      <c r="E3916" s="86" t="s">
        <v>1241</v>
      </c>
      <c r="F3916" s="86" t="s">
        <v>1241</v>
      </c>
      <c r="G3916" s="86" t="s">
        <v>1241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1241</v>
      </c>
      <c r="N3916" s="86"/>
      <c r="O3916" s="47" t="s">
        <v>410</v>
      </c>
      <c r="P3916" s="47" t="s">
        <v>41</v>
      </c>
      <c r="Q3916" s="14">
        <v>0</v>
      </c>
      <c r="R3916" s="143" t="s">
        <v>1242</v>
      </c>
      <c r="S3916" s="47"/>
      <c r="T3916" s="6">
        <v>37394.199999999997</v>
      </c>
      <c r="U3916" s="6">
        <v>100000</v>
      </c>
      <c r="V3916" s="6">
        <v>93511.7</v>
      </c>
      <c r="W3916" s="6">
        <f t="shared" si="604"/>
        <v>43882.500000000015</v>
      </c>
      <c r="X3916" s="6">
        <f t="shared" si="605"/>
        <v>93511.7</v>
      </c>
      <c r="Y3916" s="13">
        <f t="shared" si="608"/>
        <v>0</v>
      </c>
      <c r="Z3916" s="14">
        <v>0</v>
      </c>
      <c r="AA3916" s="6">
        <v>0</v>
      </c>
      <c r="AB3916" s="4">
        <f t="shared" si="609"/>
        <v>93511.7</v>
      </c>
      <c r="AC3916" s="4">
        <f t="shared" ref="AC3916:AC3979" si="611">IF(P3916="返现",X3916*Q3916,V3916-X3916)</f>
        <v>0</v>
      </c>
      <c r="AD3916" s="6">
        <f t="shared" si="606"/>
        <v>93511.7</v>
      </c>
      <c r="AE3916" s="2">
        <f>VLOOKUP(I3916,[1]媒体政策预估表!A:N,MATCH(O3916,[1]媒体政策预估表!$A$2:$M$2,0),0)</f>
        <v>7.0000000000000007E-2</v>
      </c>
      <c r="AF3916" s="6">
        <f t="shared" ref="AF3916:AF3979" si="612">AD3916*AE3916</f>
        <v>6545.8190000000004</v>
      </c>
      <c r="AG3916" s="14">
        <v>0</v>
      </c>
      <c r="AH3916" s="65">
        <f t="shared" si="607"/>
        <v>93511.7</v>
      </c>
      <c r="AI3916" s="47"/>
      <c r="AJ3916" s="126" t="e">
        <v>#N/A</v>
      </c>
      <c r="AK3916" s="80">
        <f t="shared" si="610"/>
        <v>0</v>
      </c>
      <c r="AM3916" s="85"/>
    </row>
    <row r="3917" spans="1:39" hidden="1" x14ac:dyDescent="0.3">
      <c r="A3917" s="89" t="s">
        <v>3394</v>
      </c>
      <c r="B3917" s="86" t="s">
        <v>35</v>
      </c>
      <c r="C3917" s="86" t="s">
        <v>65</v>
      </c>
      <c r="D3917" s="86" t="s">
        <v>122</v>
      </c>
      <c r="E3917" s="86" t="s">
        <v>1245</v>
      </c>
      <c r="F3917" s="86" t="s">
        <v>1245</v>
      </c>
      <c r="G3917" s="86" t="s">
        <v>1246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1245</v>
      </c>
      <c r="N3917" s="86"/>
      <c r="O3917" s="47" t="s">
        <v>410</v>
      </c>
      <c r="P3917" s="47" t="s">
        <v>41</v>
      </c>
      <c r="Q3917" s="14">
        <v>0</v>
      </c>
      <c r="R3917" s="143" t="s">
        <v>1247</v>
      </c>
      <c r="S3917" s="47"/>
      <c r="T3917" s="6">
        <v>1796.1999999999971</v>
      </c>
      <c r="U3917" s="6">
        <v>100000</v>
      </c>
      <c r="V3917" s="6">
        <v>31836.37</v>
      </c>
      <c r="W3917" s="6">
        <f t="shared" si="604"/>
        <v>69959.83</v>
      </c>
      <c r="X3917" s="6">
        <f t="shared" si="605"/>
        <v>31836.37</v>
      </c>
      <c r="Y3917" s="13">
        <f t="shared" si="608"/>
        <v>0</v>
      </c>
      <c r="Z3917" s="14">
        <v>0</v>
      </c>
      <c r="AA3917" s="6">
        <v>0</v>
      </c>
      <c r="AB3917" s="4">
        <f t="shared" si="609"/>
        <v>31836.37</v>
      </c>
      <c r="AC3917" s="4">
        <f t="shared" si="611"/>
        <v>0</v>
      </c>
      <c r="AD3917" s="6">
        <f t="shared" si="606"/>
        <v>31836.37</v>
      </c>
      <c r="AE3917" s="2">
        <f>VLOOKUP(I3917,[1]媒体政策预估表!A:N,MATCH(O3917,[1]媒体政策预估表!$A$2:$M$2,0),0)</f>
        <v>7.0000000000000007E-2</v>
      </c>
      <c r="AF3917" s="6">
        <f t="shared" si="612"/>
        <v>2228.5459000000001</v>
      </c>
      <c r="AG3917" s="14">
        <v>0</v>
      </c>
      <c r="AH3917" s="65">
        <f t="shared" si="607"/>
        <v>31836.37</v>
      </c>
      <c r="AI3917" s="47"/>
      <c r="AJ3917" s="126" t="e">
        <v>#N/A</v>
      </c>
      <c r="AK3917" s="80">
        <f t="shared" si="610"/>
        <v>0</v>
      </c>
      <c r="AM3917" s="85"/>
    </row>
    <row r="3918" spans="1:39" hidden="1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507</v>
      </c>
      <c r="F3918" s="86" t="s">
        <v>507</v>
      </c>
      <c r="G3918" s="86" t="s">
        <v>507</v>
      </c>
      <c r="H3918" s="144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1248</v>
      </c>
      <c r="N3918" s="86"/>
      <c r="O3918" s="47" t="s">
        <v>410</v>
      </c>
      <c r="P3918" s="47" t="s">
        <v>41</v>
      </c>
      <c r="Q3918" s="14">
        <v>0</v>
      </c>
      <c r="R3918" s="143" t="s">
        <v>1249</v>
      </c>
      <c r="S3918" s="47"/>
      <c r="T3918" s="6">
        <v>17050.380000000005</v>
      </c>
      <c r="U3918" s="6">
        <v>190000</v>
      </c>
      <c r="V3918" s="6">
        <v>155616.315</v>
      </c>
      <c r="W3918" s="6">
        <f t="shared" si="604"/>
        <v>51434.065000000002</v>
      </c>
      <c r="X3918" s="6">
        <f t="shared" si="605"/>
        <v>155616.315</v>
      </c>
      <c r="Y3918" s="13">
        <f t="shared" si="608"/>
        <v>0</v>
      </c>
      <c r="Z3918" s="14">
        <v>0</v>
      </c>
      <c r="AA3918" s="6">
        <v>0</v>
      </c>
      <c r="AB3918" s="4">
        <f t="shared" si="609"/>
        <v>155616.315</v>
      </c>
      <c r="AC3918" s="4">
        <f t="shared" si="611"/>
        <v>0</v>
      </c>
      <c r="AD3918" s="6">
        <f t="shared" si="606"/>
        <v>155616.315</v>
      </c>
      <c r="AE3918" s="2">
        <f>VLOOKUP(I3918,[1]媒体政策预估表!A:N,MATCH(O3918,[1]媒体政策预估表!$A$2:$M$2,0),0)</f>
        <v>7.0000000000000007E-2</v>
      </c>
      <c r="AF3918" s="6">
        <f t="shared" si="612"/>
        <v>10893.14205</v>
      </c>
      <c r="AG3918" s="14">
        <v>0</v>
      </c>
      <c r="AH3918" s="65">
        <f t="shared" si="607"/>
        <v>155616.315</v>
      </c>
      <c r="AI3918" s="47"/>
      <c r="AJ3918" s="126" t="e">
        <v>#N/A</v>
      </c>
      <c r="AK3918" s="80">
        <f t="shared" si="610"/>
        <v>0</v>
      </c>
      <c r="AM3918" s="85"/>
    </row>
    <row r="3919" spans="1:39" hidden="1" x14ac:dyDescent="0.3">
      <c r="A3919" s="89" t="s">
        <v>3395</v>
      </c>
      <c r="B3919" s="86" t="s">
        <v>35</v>
      </c>
      <c r="C3919" s="86" t="s">
        <v>65</v>
      </c>
      <c r="D3919" s="86" t="s">
        <v>122</v>
      </c>
      <c r="E3919" s="86" t="s">
        <v>507</v>
      </c>
      <c r="F3919" s="86" t="s">
        <v>507</v>
      </c>
      <c r="G3919" s="86" t="s">
        <v>507</v>
      </c>
      <c r="H3919" s="144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3495</v>
      </c>
      <c r="N3919" s="86"/>
      <c r="O3919" s="47" t="s">
        <v>410</v>
      </c>
      <c r="P3919" s="47" t="s">
        <v>41</v>
      </c>
      <c r="Q3919" s="14">
        <v>0</v>
      </c>
      <c r="R3919" s="143" t="s">
        <v>3496</v>
      </c>
      <c r="S3919" s="47"/>
      <c r="T3919" s="6">
        <v>0</v>
      </c>
      <c r="U3919" s="6">
        <v>30000</v>
      </c>
      <c r="V3919" s="6">
        <v>24066.7</v>
      </c>
      <c r="W3919" s="6">
        <f t="shared" si="604"/>
        <v>5933.2999999999993</v>
      </c>
      <c r="X3919" s="6">
        <f t="shared" si="605"/>
        <v>24066.7</v>
      </c>
      <c r="Y3919" s="13">
        <f t="shared" si="608"/>
        <v>0</v>
      </c>
      <c r="Z3919" s="14">
        <v>0</v>
      </c>
      <c r="AA3919" s="6">
        <v>0</v>
      </c>
      <c r="AB3919" s="4">
        <f t="shared" si="609"/>
        <v>24066.7</v>
      </c>
      <c r="AC3919" s="4">
        <f t="shared" si="611"/>
        <v>0</v>
      </c>
      <c r="AD3919" s="6">
        <f t="shared" si="606"/>
        <v>24066.7</v>
      </c>
      <c r="AE3919" s="2">
        <f>VLOOKUP(I3919,[1]媒体政策预估表!A:N,MATCH(O3919,[1]媒体政策预估表!$A$2:$M$2,0),0)</f>
        <v>7.0000000000000007E-2</v>
      </c>
      <c r="AF3919" s="6">
        <f t="shared" si="612"/>
        <v>1684.6690000000003</v>
      </c>
      <c r="AG3919" s="14">
        <v>0</v>
      </c>
      <c r="AH3919" s="65">
        <f t="shared" si="607"/>
        <v>24066.7</v>
      </c>
      <c r="AI3919" s="47"/>
      <c r="AJ3919" s="126" t="e">
        <v>#N/A</v>
      </c>
      <c r="AK3919" s="80">
        <f t="shared" si="610"/>
        <v>0</v>
      </c>
      <c r="AM3919" s="85"/>
    </row>
    <row r="3920" spans="1:39" hidden="1" x14ac:dyDescent="0.3">
      <c r="A3920" s="89" t="s">
        <v>3394</v>
      </c>
      <c r="B3920" s="86" t="s">
        <v>35</v>
      </c>
      <c r="C3920" s="86" t="s">
        <v>65</v>
      </c>
      <c r="D3920" s="86" t="s">
        <v>122</v>
      </c>
      <c r="E3920" s="86" t="s">
        <v>1250</v>
      </c>
      <c r="F3920" s="86" t="s">
        <v>1250</v>
      </c>
      <c r="G3920" s="86" t="s">
        <v>1250</v>
      </c>
      <c r="H3920" s="143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1250</v>
      </c>
      <c r="N3920" s="86"/>
      <c r="O3920" s="47" t="s">
        <v>410</v>
      </c>
      <c r="P3920" s="47" t="s">
        <v>41</v>
      </c>
      <c r="Q3920" s="14">
        <v>0</v>
      </c>
      <c r="R3920" s="143" t="s">
        <v>1251</v>
      </c>
      <c r="S3920" s="47"/>
      <c r="T3920" s="6">
        <v>24564.87000000001</v>
      </c>
      <c r="U3920" s="6">
        <v>-24564.87</v>
      </c>
      <c r="V3920" s="6">
        <v>0</v>
      </c>
      <c r="W3920" s="6">
        <f t="shared" si="604"/>
        <v>1.0913936421275139E-11</v>
      </c>
      <c r="X3920" s="6">
        <f t="shared" si="605"/>
        <v>0</v>
      </c>
      <c r="Y3920" s="13">
        <f t="shared" si="608"/>
        <v>0</v>
      </c>
      <c r="Z3920" s="14">
        <v>0</v>
      </c>
      <c r="AA3920" s="6">
        <v>0</v>
      </c>
      <c r="AB3920" s="4">
        <f t="shared" si="609"/>
        <v>0</v>
      </c>
      <c r="AC3920" s="4">
        <f t="shared" si="611"/>
        <v>0</v>
      </c>
      <c r="AD3920" s="6">
        <f t="shared" si="606"/>
        <v>0</v>
      </c>
      <c r="AE3920" s="2">
        <f>VLOOKUP(I3920,[1]媒体政策预估表!A:N,MATCH(O3920,[1]媒体政策预估表!$A$2:$M$2,0),0)</f>
        <v>7.0000000000000007E-2</v>
      </c>
      <c r="AF3920" s="6">
        <f t="shared" si="612"/>
        <v>0</v>
      </c>
      <c r="AG3920" s="14">
        <v>0</v>
      </c>
      <c r="AH3920" s="65">
        <f t="shared" si="607"/>
        <v>0</v>
      </c>
      <c r="AI3920" s="47"/>
      <c r="AJ3920" s="126" t="e">
        <v>#N/A</v>
      </c>
      <c r="AK3920" s="80">
        <f t="shared" si="610"/>
        <v>0</v>
      </c>
      <c r="AM3920" s="85"/>
    </row>
    <row r="3921" spans="1:39" hidden="1" x14ac:dyDescent="0.3">
      <c r="A3921" s="89" t="s">
        <v>3395</v>
      </c>
      <c r="B3921" s="86" t="s">
        <v>35</v>
      </c>
      <c r="C3921" s="86" t="s">
        <v>65</v>
      </c>
      <c r="D3921" s="86" t="s">
        <v>122</v>
      </c>
      <c r="E3921" s="86" t="s">
        <v>3497</v>
      </c>
      <c r="F3921" s="86" t="s">
        <v>3497</v>
      </c>
      <c r="G3921" s="86" t="s">
        <v>3497</v>
      </c>
      <c r="H3921" s="144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3497</v>
      </c>
      <c r="N3921" s="86"/>
      <c r="O3921" s="47" t="s">
        <v>410</v>
      </c>
      <c r="P3921" s="47" t="s">
        <v>41</v>
      </c>
      <c r="Q3921" s="14">
        <v>0</v>
      </c>
      <c r="R3921" s="143" t="s">
        <v>3498</v>
      </c>
      <c r="S3921" s="47"/>
      <c r="T3921" s="6">
        <v>0</v>
      </c>
      <c r="U3921" s="6">
        <v>10000</v>
      </c>
      <c r="V3921" s="6">
        <v>5110</v>
      </c>
      <c r="W3921" s="6">
        <f t="shared" si="604"/>
        <v>4890</v>
      </c>
      <c r="X3921" s="6">
        <f t="shared" si="605"/>
        <v>5110</v>
      </c>
      <c r="Y3921" s="13">
        <f t="shared" si="608"/>
        <v>0</v>
      </c>
      <c r="Z3921" s="14">
        <v>0</v>
      </c>
      <c r="AA3921" s="6">
        <v>0</v>
      </c>
      <c r="AB3921" s="4">
        <f t="shared" si="609"/>
        <v>5110</v>
      </c>
      <c r="AC3921" s="4">
        <f t="shared" si="611"/>
        <v>0</v>
      </c>
      <c r="AD3921" s="6">
        <f t="shared" si="606"/>
        <v>5110</v>
      </c>
      <c r="AE3921" s="2">
        <f>VLOOKUP(I3921,[1]媒体政策预估表!A:N,MATCH(O3921,[1]媒体政策预估表!$A$2:$M$2,0),0)</f>
        <v>7.0000000000000007E-2</v>
      </c>
      <c r="AF3921" s="6">
        <f t="shared" si="612"/>
        <v>357.70000000000005</v>
      </c>
      <c r="AG3921" s="14">
        <v>0</v>
      </c>
      <c r="AH3921" s="65">
        <f t="shared" si="607"/>
        <v>5110</v>
      </c>
      <c r="AI3921" s="47"/>
      <c r="AJ3921" s="126" t="e">
        <v>#N/A</v>
      </c>
      <c r="AK3921" s="80">
        <f t="shared" si="610"/>
        <v>0</v>
      </c>
      <c r="AM3921" s="85"/>
    </row>
    <row r="3922" spans="1:39" hidden="1" x14ac:dyDescent="0.3">
      <c r="A3922" s="89" t="s">
        <v>3395</v>
      </c>
      <c r="B3922" s="86" t="s">
        <v>35</v>
      </c>
      <c r="C3922" s="86" t="s">
        <v>65</v>
      </c>
      <c r="D3922" s="86" t="s">
        <v>122</v>
      </c>
      <c r="E3922" s="86" t="s">
        <v>1253</v>
      </c>
      <c r="F3922" s="86" t="s">
        <v>1253</v>
      </c>
      <c r="G3922" s="86" t="s">
        <v>1253</v>
      </c>
      <c r="H3922" s="144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1254</v>
      </c>
      <c r="N3922" s="86"/>
      <c r="O3922" s="47" t="s">
        <v>410</v>
      </c>
      <c r="P3922" s="47" t="s">
        <v>41</v>
      </c>
      <c r="Q3922" s="14">
        <v>0</v>
      </c>
      <c r="R3922" s="143" t="s">
        <v>1255</v>
      </c>
      <c r="S3922" s="47"/>
      <c r="T3922" s="6">
        <v>3684.7999999999993</v>
      </c>
      <c r="U3922" s="6">
        <v>20000</v>
      </c>
      <c r="V3922" s="6">
        <v>20265.400000000001</v>
      </c>
      <c r="W3922" s="6">
        <f t="shared" si="604"/>
        <v>3419.3999999999978</v>
      </c>
      <c r="X3922" s="6">
        <f t="shared" si="605"/>
        <v>20265.400000000001</v>
      </c>
      <c r="Y3922" s="13">
        <f t="shared" si="608"/>
        <v>0</v>
      </c>
      <c r="Z3922" s="14">
        <v>0</v>
      </c>
      <c r="AA3922" s="6">
        <v>0</v>
      </c>
      <c r="AB3922" s="4">
        <f t="shared" si="609"/>
        <v>20265.400000000001</v>
      </c>
      <c r="AC3922" s="4">
        <f t="shared" si="611"/>
        <v>0</v>
      </c>
      <c r="AD3922" s="6">
        <f t="shared" si="606"/>
        <v>20265.400000000001</v>
      </c>
      <c r="AE3922" s="2">
        <f>VLOOKUP(I3922,[1]媒体政策预估表!A:N,MATCH(O3922,[1]媒体政策预估表!$A$2:$M$2,0),0)</f>
        <v>7.0000000000000007E-2</v>
      </c>
      <c r="AF3922" s="6">
        <f t="shared" si="612"/>
        <v>1418.5780000000002</v>
      </c>
      <c r="AG3922" s="14">
        <v>0</v>
      </c>
      <c r="AH3922" s="65">
        <f t="shared" si="607"/>
        <v>20265.400000000001</v>
      </c>
      <c r="AI3922" s="47"/>
      <c r="AJ3922" s="126" t="e">
        <v>#N/A</v>
      </c>
      <c r="AK3922" s="80">
        <f t="shared" si="610"/>
        <v>0</v>
      </c>
      <c r="AM3922" s="85"/>
    </row>
    <row r="3923" spans="1:39" hidden="1" x14ac:dyDescent="0.3">
      <c r="A3923" s="89" t="s">
        <v>3394</v>
      </c>
      <c r="B3923" s="86" t="s">
        <v>35</v>
      </c>
      <c r="C3923" s="86" t="s">
        <v>65</v>
      </c>
      <c r="D3923" s="86" t="s">
        <v>122</v>
      </c>
      <c r="E3923" s="86" t="s">
        <v>1253</v>
      </c>
      <c r="F3923" s="86" t="s">
        <v>1253</v>
      </c>
      <c r="G3923" s="86" t="s">
        <v>1253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1259</v>
      </c>
      <c r="N3923" s="86"/>
      <c r="O3923" s="47" t="s">
        <v>410</v>
      </c>
      <c r="P3923" s="47" t="s">
        <v>41</v>
      </c>
      <c r="Q3923" s="14">
        <v>0</v>
      </c>
      <c r="R3923" s="143" t="s">
        <v>3499</v>
      </c>
      <c r="S3923" s="47"/>
      <c r="T3923" s="6">
        <v>0</v>
      </c>
      <c r="U3923" s="6">
        <v>10000</v>
      </c>
      <c r="V3923" s="6">
        <v>873</v>
      </c>
      <c r="W3923" s="6">
        <f t="shared" si="604"/>
        <v>9127</v>
      </c>
      <c r="X3923" s="6">
        <f t="shared" si="605"/>
        <v>873</v>
      </c>
      <c r="Y3923" s="13">
        <f t="shared" si="608"/>
        <v>0</v>
      </c>
      <c r="Z3923" s="14">
        <v>0</v>
      </c>
      <c r="AA3923" s="6">
        <v>0</v>
      </c>
      <c r="AB3923" s="4">
        <f t="shared" si="609"/>
        <v>873</v>
      </c>
      <c r="AC3923" s="4">
        <f t="shared" si="611"/>
        <v>0</v>
      </c>
      <c r="AD3923" s="6">
        <f t="shared" si="606"/>
        <v>873</v>
      </c>
      <c r="AE3923" s="2">
        <f>VLOOKUP(I3923,[1]媒体政策预估表!A:N,MATCH(O3923,[1]媒体政策预估表!$A$2:$M$2,0),0)</f>
        <v>7.0000000000000007E-2</v>
      </c>
      <c r="AF3923" s="6">
        <f t="shared" si="612"/>
        <v>61.110000000000007</v>
      </c>
      <c r="AG3923" s="14">
        <v>0</v>
      </c>
      <c r="AH3923" s="65">
        <f t="shared" si="607"/>
        <v>873</v>
      </c>
      <c r="AI3923" s="47"/>
      <c r="AJ3923" s="126" t="e">
        <v>#N/A</v>
      </c>
      <c r="AK3923" s="80">
        <f t="shared" si="610"/>
        <v>0</v>
      </c>
      <c r="AM3923" s="85"/>
    </row>
    <row r="3924" spans="1:39" hidden="1" x14ac:dyDescent="0.3">
      <c r="A3924" s="89" t="s">
        <v>3394</v>
      </c>
      <c r="B3924" s="86" t="s">
        <v>35</v>
      </c>
      <c r="C3924" s="86" t="s">
        <v>65</v>
      </c>
      <c r="D3924" s="86" t="s">
        <v>122</v>
      </c>
      <c r="E3924" s="86" t="s">
        <v>1253</v>
      </c>
      <c r="F3924" s="86" t="s">
        <v>1253</v>
      </c>
      <c r="G3924" s="86" t="s">
        <v>1253</v>
      </c>
      <c r="H3924" s="144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1259</v>
      </c>
      <c r="N3924" s="86"/>
      <c r="O3924" s="47" t="s">
        <v>410</v>
      </c>
      <c r="P3924" s="47" t="s">
        <v>41</v>
      </c>
      <c r="Q3924" s="14">
        <v>0</v>
      </c>
      <c r="R3924" s="143" t="s">
        <v>1260</v>
      </c>
      <c r="S3924" s="47"/>
      <c r="T3924" s="6">
        <v>8562.1</v>
      </c>
      <c r="U3924" s="6">
        <v>10000</v>
      </c>
      <c r="V3924" s="6">
        <v>15088.4</v>
      </c>
      <c r="W3924" s="6">
        <f t="shared" si="604"/>
        <v>3473.6999999999989</v>
      </c>
      <c r="X3924" s="6">
        <f t="shared" si="605"/>
        <v>15088.4</v>
      </c>
      <c r="Y3924" s="13">
        <f t="shared" si="608"/>
        <v>0</v>
      </c>
      <c r="Z3924" s="14">
        <v>0</v>
      </c>
      <c r="AA3924" s="6">
        <v>0</v>
      </c>
      <c r="AB3924" s="4">
        <f t="shared" si="609"/>
        <v>15088.4</v>
      </c>
      <c r="AC3924" s="4">
        <f t="shared" si="611"/>
        <v>0</v>
      </c>
      <c r="AD3924" s="6">
        <f t="shared" si="606"/>
        <v>15088.4</v>
      </c>
      <c r="AE3924" s="2">
        <f>VLOOKUP(I3924,[1]媒体政策预估表!A:N,MATCH(O3924,[1]媒体政策预估表!$A$2:$M$2,0),0)</f>
        <v>7.0000000000000007E-2</v>
      </c>
      <c r="AF3924" s="6">
        <f t="shared" si="612"/>
        <v>1056.1880000000001</v>
      </c>
      <c r="AG3924" s="14">
        <v>0</v>
      </c>
      <c r="AH3924" s="65">
        <f t="shared" si="607"/>
        <v>15088.4</v>
      </c>
      <c r="AI3924" s="47"/>
      <c r="AJ3924" s="126" t="e">
        <v>#N/A</v>
      </c>
      <c r="AK3924" s="80">
        <f t="shared" si="610"/>
        <v>0</v>
      </c>
      <c r="AM3924" s="85"/>
    </row>
    <row r="3925" spans="1:39" hidden="1" x14ac:dyDescent="0.3">
      <c r="A3925" s="89" t="s">
        <v>3394</v>
      </c>
      <c r="B3925" s="86" t="s">
        <v>35</v>
      </c>
      <c r="C3925" s="86" t="s">
        <v>65</v>
      </c>
      <c r="D3925" s="86" t="s">
        <v>122</v>
      </c>
      <c r="E3925" s="86" t="s">
        <v>1253</v>
      </c>
      <c r="F3925" s="86" t="s">
        <v>1253</v>
      </c>
      <c r="G3925" s="86" t="s">
        <v>1253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1261</v>
      </c>
      <c r="N3925" s="86"/>
      <c r="O3925" s="47" t="s">
        <v>410</v>
      </c>
      <c r="P3925" s="47" t="s">
        <v>41</v>
      </c>
      <c r="Q3925" s="14">
        <v>0</v>
      </c>
      <c r="R3925" s="143" t="s">
        <v>1262</v>
      </c>
      <c r="S3925" s="47"/>
      <c r="T3925" s="6">
        <v>20111.2</v>
      </c>
      <c r="U3925" s="6">
        <v>10000</v>
      </c>
      <c r="V3925" s="6">
        <v>19951.8</v>
      </c>
      <c r="W3925" s="6">
        <f t="shared" si="604"/>
        <v>10159.400000000001</v>
      </c>
      <c r="X3925" s="6">
        <f t="shared" si="605"/>
        <v>19951.8</v>
      </c>
      <c r="Y3925" s="13">
        <f t="shared" si="608"/>
        <v>0</v>
      </c>
      <c r="Z3925" s="14">
        <v>0</v>
      </c>
      <c r="AA3925" s="6">
        <v>0</v>
      </c>
      <c r="AB3925" s="4">
        <f t="shared" si="609"/>
        <v>19951.8</v>
      </c>
      <c r="AC3925" s="4">
        <f t="shared" si="611"/>
        <v>0</v>
      </c>
      <c r="AD3925" s="6">
        <f t="shared" si="606"/>
        <v>19951.8</v>
      </c>
      <c r="AE3925" s="2">
        <f>VLOOKUP(I3925,[1]媒体政策预估表!A:N,MATCH(O3925,[1]媒体政策预估表!$A$2:$M$2,0),0)</f>
        <v>7.0000000000000007E-2</v>
      </c>
      <c r="AF3925" s="6">
        <f t="shared" si="612"/>
        <v>1396.626</v>
      </c>
      <c r="AG3925" s="14">
        <v>0</v>
      </c>
      <c r="AH3925" s="65">
        <f t="shared" si="607"/>
        <v>19951.8</v>
      </c>
      <c r="AI3925" s="47"/>
      <c r="AJ3925" s="126" t="e">
        <v>#N/A</v>
      </c>
      <c r="AK3925" s="80">
        <f t="shared" si="610"/>
        <v>0</v>
      </c>
      <c r="AM3925" s="85"/>
    </row>
    <row r="3926" spans="1:39" hidden="1" x14ac:dyDescent="0.3">
      <c r="A3926" s="89" t="s">
        <v>3394</v>
      </c>
      <c r="B3926" s="86" t="s">
        <v>35</v>
      </c>
      <c r="C3926" s="86" t="s">
        <v>65</v>
      </c>
      <c r="D3926" s="86" t="s">
        <v>122</v>
      </c>
      <c r="E3926" s="86" t="s">
        <v>1253</v>
      </c>
      <c r="F3926" s="86" t="s">
        <v>1253</v>
      </c>
      <c r="G3926" s="86" t="s">
        <v>1253</v>
      </c>
      <c r="H3926" s="144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3500</v>
      </c>
      <c r="N3926" s="86"/>
      <c r="O3926" s="47" t="s">
        <v>410</v>
      </c>
      <c r="P3926" s="47" t="s">
        <v>41</v>
      </c>
      <c r="Q3926" s="14">
        <v>0</v>
      </c>
      <c r="R3926" s="143">
        <v>2818921990</v>
      </c>
      <c r="S3926" s="47"/>
      <c r="T3926" s="6">
        <v>0</v>
      </c>
      <c r="U3926" s="6">
        <v>20000</v>
      </c>
      <c r="V3926" s="6">
        <v>1831.5</v>
      </c>
      <c r="W3926" s="6">
        <f t="shared" si="604"/>
        <v>18168.5</v>
      </c>
      <c r="X3926" s="6">
        <f t="shared" si="605"/>
        <v>1831.5</v>
      </c>
      <c r="Y3926" s="13">
        <f t="shared" si="608"/>
        <v>0</v>
      </c>
      <c r="Z3926" s="14">
        <v>0</v>
      </c>
      <c r="AA3926" s="6">
        <v>0</v>
      </c>
      <c r="AB3926" s="4">
        <f t="shared" si="609"/>
        <v>1831.5</v>
      </c>
      <c r="AC3926" s="4">
        <f t="shared" si="611"/>
        <v>0</v>
      </c>
      <c r="AD3926" s="6">
        <f t="shared" si="606"/>
        <v>1831.5</v>
      </c>
      <c r="AE3926" s="2">
        <f>VLOOKUP(I3926,[1]媒体政策预估表!A:N,MATCH(O3926,[1]媒体政策预估表!$A$2:$M$2,0),0)</f>
        <v>7.0000000000000007E-2</v>
      </c>
      <c r="AF3926" s="6">
        <f t="shared" si="612"/>
        <v>128.20500000000001</v>
      </c>
      <c r="AG3926" s="14">
        <v>0</v>
      </c>
      <c r="AH3926" s="65">
        <f t="shared" si="607"/>
        <v>1831.5</v>
      </c>
      <c r="AI3926" s="47"/>
      <c r="AJ3926" s="126" t="e">
        <v>#N/A</v>
      </c>
      <c r="AK3926" s="80">
        <f t="shared" si="610"/>
        <v>0</v>
      </c>
      <c r="AM3926" s="85"/>
    </row>
    <row r="3927" spans="1:39" hidden="1" x14ac:dyDescent="0.3">
      <c r="A3927" s="89" t="s">
        <v>3394</v>
      </c>
      <c r="B3927" s="86" t="s">
        <v>35</v>
      </c>
      <c r="C3927" s="86" t="s">
        <v>65</v>
      </c>
      <c r="D3927" s="86" t="s">
        <v>122</v>
      </c>
      <c r="E3927" s="86" t="s">
        <v>1264</v>
      </c>
      <c r="F3927" s="86" t="s">
        <v>1264</v>
      </c>
      <c r="G3927" s="86" t="s">
        <v>1264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1264</v>
      </c>
      <c r="N3927" s="86"/>
      <c r="O3927" s="47" t="s">
        <v>410</v>
      </c>
      <c r="P3927" s="47" t="s">
        <v>41</v>
      </c>
      <c r="Q3927" s="14">
        <v>0</v>
      </c>
      <c r="R3927" s="143" t="s">
        <v>1265</v>
      </c>
      <c r="S3927" s="47"/>
      <c r="T3927" s="6">
        <v>68578.350000000006</v>
      </c>
      <c r="U3927" s="6">
        <v>100000</v>
      </c>
      <c r="V3927" s="6">
        <v>49224.800000000003</v>
      </c>
      <c r="W3927" s="6">
        <f t="shared" si="604"/>
        <v>119353.55</v>
      </c>
      <c r="X3927" s="6">
        <f t="shared" si="605"/>
        <v>49224.800000000003</v>
      </c>
      <c r="Y3927" s="13">
        <f t="shared" si="608"/>
        <v>0</v>
      </c>
      <c r="Z3927" s="14">
        <v>0</v>
      </c>
      <c r="AA3927" s="6">
        <v>0</v>
      </c>
      <c r="AB3927" s="4">
        <f t="shared" si="609"/>
        <v>49224.800000000003</v>
      </c>
      <c r="AC3927" s="4">
        <f t="shared" si="611"/>
        <v>0</v>
      </c>
      <c r="AD3927" s="6">
        <f t="shared" si="606"/>
        <v>49224.800000000003</v>
      </c>
      <c r="AE3927" s="2">
        <f>VLOOKUP(I3927,[1]媒体政策预估表!A:N,MATCH(O3927,[1]媒体政策预估表!$A$2:$M$2,0),0)</f>
        <v>7.0000000000000007E-2</v>
      </c>
      <c r="AF3927" s="6">
        <f t="shared" si="612"/>
        <v>3445.7360000000003</v>
      </c>
      <c r="AG3927" s="14">
        <v>0</v>
      </c>
      <c r="AH3927" s="65">
        <f t="shared" si="607"/>
        <v>49224.800000000003</v>
      </c>
      <c r="AI3927" s="47"/>
      <c r="AJ3927" s="126" t="e">
        <v>#N/A</v>
      </c>
      <c r="AK3927" s="80">
        <f t="shared" si="610"/>
        <v>0</v>
      </c>
      <c r="AM3927" s="85"/>
    </row>
    <row r="3928" spans="1:39" hidden="1" x14ac:dyDescent="0.3">
      <c r="A3928" s="89" t="s">
        <v>3395</v>
      </c>
      <c r="B3928" s="86" t="s">
        <v>35</v>
      </c>
      <c r="C3928" s="86" t="s">
        <v>65</v>
      </c>
      <c r="D3928" s="86" t="s">
        <v>122</v>
      </c>
      <c r="E3928" s="86" t="s">
        <v>3501</v>
      </c>
      <c r="F3928" s="86" t="s">
        <v>3501</v>
      </c>
      <c r="G3928" s="86" t="s">
        <v>3501</v>
      </c>
      <c r="H3928" s="144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3502</v>
      </c>
      <c r="N3928" s="86"/>
      <c r="O3928" s="47" t="s">
        <v>410</v>
      </c>
      <c r="P3928" s="47" t="s">
        <v>41</v>
      </c>
      <c r="Q3928" s="14">
        <v>0</v>
      </c>
      <c r="R3928" s="143" t="s">
        <v>3503</v>
      </c>
      <c r="S3928" s="47"/>
      <c r="T3928" s="6">
        <v>0</v>
      </c>
      <c r="U3928" s="6">
        <v>20000</v>
      </c>
      <c r="V3928" s="6">
        <v>8254.2000000000007</v>
      </c>
      <c r="W3928" s="6">
        <f t="shared" si="604"/>
        <v>11745.8</v>
      </c>
      <c r="X3928" s="6">
        <f t="shared" si="605"/>
        <v>8254.2000000000007</v>
      </c>
      <c r="Y3928" s="13">
        <f t="shared" si="608"/>
        <v>0</v>
      </c>
      <c r="Z3928" s="14">
        <v>0</v>
      </c>
      <c r="AA3928" s="6">
        <v>0</v>
      </c>
      <c r="AB3928" s="4">
        <f t="shared" si="609"/>
        <v>8254.2000000000007</v>
      </c>
      <c r="AC3928" s="4">
        <f t="shared" si="611"/>
        <v>0</v>
      </c>
      <c r="AD3928" s="6">
        <f t="shared" si="606"/>
        <v>8254.2000000000007</v>
      </c>
      <c r="AE3928" s="2">
        <f>VLOOKUP(I3928,[1]媒体政策预估表!A:N,MATCH(O3928,[1]媒体政策预估表!$A$2:$M$2,0),0)</f>
        <v>7.0000000000000007E-2</v>
      </c>
      <c r="AF3928" s="6">
        <f t="shared" si="612"/>
        <v>577.7940000000001</v>
      </c>
      <c r="AG3928" s="14">
        <v>0</v>
      </c>
      <c r="AH3928" s="65">
        <f t="shared" si="607"/>
        <v>8254.2000000000007</v>
      </c>
      <c r="AI3928" s="47"/>
      <c r="AJ3928" s="126" t="e">
        <v>#N/A</v>
      </c>
      <c r="AK3928" s="80">
        <f t="shared" si="610"/>
        <v>0</v>
      </c>
      <c r="AM3928" s="85"/>
    </row>
    <row r="3929" spans="1:39" hidden="1" x14ac:dyDescent="0.3">
      <c r="A3929" s="89" t="s">
        <v>3395</v>
      </c>
      <c r="B3929" s="86" t="s">
        <v>35</v>
      </c>
      <c r="C3929" s="86" t="s">
        <v>65</v>
      </c>
      <c r="D3929" s="86" t="s">
        <v>122</v>
      </c>
      <c r="E3929" s="86" t="s">
        <v>1266</v>
      </c>
      <c r="F3929" s="15" t="s">
        <v>3687</v>
      </c>
      <c r="G3929" s="86" t="s">
        <v>1266</v>
      </c>
      <c r="H3929" s="144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1267</v>
      </c>
      <c r="N3929" s="86"/>
      <c r="O3929" s="47" t="s">
        <v>410</v>
      </c>
      <c r="P3929" s="47" t="s">
        <v>41</v>
      </c>
      <c r="Q3929" s="14">
        <v>0</v>
      </c>
      <c r="R3929" s="143" t="s">
        <v>1268</v>
      </c>
      <c r="S3929" s="47"/>
      <c r="T3929" s="6">
        <v>-3446.1</v>
      </c>
      <c r="U3929" s="6">
        <v>0</v>
      </c>
      <c r="V3929" s="6">
        <v>772.2</v>
      </c>
      <c r="W3929" s="6">
        <f t="shared" si="604"/>
        <v>-4218.3</v>
      </c>
      <c r="X3929" s="6">
        <f t="shared" si="605"/>
        <v>772.2</v>
      </c>
      <c r="Y3929" s="13">
        <f t="shared" si="608"/>
        <v>0</v>
      </c>
      <c r="Z3929" s="14">
        <v>0</v>
      </c>
      <c r="AA3929" s="6">
        <v>0</v>
      </c>
      <c r="AB3929" s="4">
        <f t="shared" si="609"/>
        <v>772.2</v>
      </c>
      <c r="AC3929" s="4">
        <f t="shared" si="611"/>
        <v>0</v>
      </c>
      <c r="AD3929" s="6">
        <f t="shared" si="606"/>
        <v>772.2</v>
      </c>
      <c r="AE3929" s="2">
        <f>VLOOKUP(I3929,[1]媒体政策预估表!A:N,MATCH(O3929,[1]媒体政策预估表!$A$2:$M$2,0),0)</f>
        <v>7.0000000000000007E-2</v>
      </c>
      <c r="AF3929" s="6">
        <f t="shared" si="612"/>
        <v>54.054000000000009</v>
      </c>
      <c r="AG3929" s="14">
        <v>0</v>
      </c>
      <c r="AH3929" s="65">
        <f t="shared" si="607"/>
        <v>772.2</v>
      </c>
      <c r="AI3929" s="47"/>
      <c r="AJ3929" s="126" t="e">
        <v>#N/A</v>
      </c>
      <c r="AK3929" s="80">
        <f t="shared" si="610"/>
        <v>0</v>
      </c>
      <c r="AM3929" s="85"/>
    </row>
    <row r="3930" spans="1:39" hidden="1" x14ac:dyDescent="0.3">
      <c r="A3930" s="89" t="s">
        <v>3395</v>
      </c>
      <c r="B3930" s="86" t="s">
        <v>35</v>
      </c>
      <c r="C3930" s="86" t="s">
        <v>65</v>
      </c>
      <c r="D3930" s="86" t="s">
        <v>122</v>
      </c>
      <c r="E3930" s="86" t="s">
        <v>1266</v>
      </c>
      <c r="F3930" s="86" t="s">
        <v>1266</v>
      </c>
      <c r="G3930" s="86" t="s">
        <v>1266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1267</v>
      </c>
      <c r="N3930" s="86"/>
      <c r="O3930" s="47" t="s">
        <v>410</v>
      </c>
      <c r="P3930" s="47" t="s">
        <v>41</v>
      </c>
      <c r="Q3930" s="14">
        <v>0</v>
      </c>
      <c r="R3930" s="143" t="s">
        <v>1269</v>
      </c>
      <c r="S3930" s="47"/>
      <c r="T3930" s="6">
        <v>10000</v>
      </c>
      <c r="U3930" s="6">
        <v>-10000</v>
      </c>
      <c r="V3930" s="6">
        <v>0</v>
      </c>
      <c r="W3930" s="6">
        <f t="shared" si="604"/>
        <v>0</v>
      </c>
      <c r="X3930" s="6">
        <f t="shared" si="605"/>
        <v>0</v>
      </c>
      <c r="Y3930" s="13">
        <f t="shared" si="608"/>
        <v>0</v>
      </c>
      <c r="Z3930" s="14">
        <v>0</v>
      </c>
      <c r="AA3930" s="6">
        <v>0</v>
      </c>
      <c r="AB3930" s="4">
        <f t="shared" si="609"/>
        <v>0</v>
      </c>
      <c r="AC3930" s="4">
        <f t="shared" si="611"/>
        <v>0</v>
      </c>
      <c r="AD3930" s="6">
        <f t="shared" si="606"/>
        <v>0</v>
      </c>
      <c r="AE3930" s="2">
        <f>VLOOKUP(I3930,[1]媒体政策预估表!A:N,MATCH(O3930,[1]媒体政策预估表!$A$2:$M$2,0),0)</f>
        <v>7.0000000000000007E-2</v>
      </c>
      <c r="AF3930" s="6">
        <f t="shared" si="612"/>
        <v>0</v>
      </c>
      <c r="AG3930" s="14">
        <v>0</v>
      </c>
      <c r="AH3930" s="65">
        <f t="shared" si="607"/>
        <v>0</v>
      </c>
      <c r="AI3930" s="47"/>
      <c r="AJ3930" s="126" t="e">
        <v>#N/A</v>
      </c>
      <c r="AK3930" s="80">
        <f t="shared" si="610"/>
        <v>0</v>
      </c>
      <c r="AM3930" s="85"/>
    </row>
    <row r="3931" spans="1:39" hidden="1" x14ac:dyDescent="0.3">
      <c r="A3931" s="89" t="s">
        <v>3395</v>
      </c>
      <c r="B3931" s="86" t="s">
        <v>35</v>
      </c>
      <c r="C3931" s="86" t="s">
        <v>65</v>
      </c>
      <c r="D3931" s="86" t="s">
        <v>122</v>
      </c>
      <c r="E3931" s="86" t="s">
        <v>1266</v>
      </c>
      <c r="F3931" s="86" t="s">
        <v>1266</v>
      </c>
      <c r="G3931" s="86" t="s">
        <v>1266</v>
      </c>
      <c r="H3931" s="144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1266</v>
      </c>
      <c r="N3931" s="86"/>
      <c r="O3931" s="47" t="s">
        <v>45</v>
      </c>
      <c r="P3931" s="47" t="s">
        <v>41</v>
      </c>
      <c r="Q3931" s="14">
        <v>0</v>
      </c>
      <c r="R3931" s="143" t="s">
        <v>3504</v>
      </c>
      <c r="S3931" s="47"/>
      <c r="T3931" s="6">
        <v>0</v>
      </c>
      <c r="U3931" s="6">
        <v>20000</v>
      </c>
      <c r="V3931" s="6">
        <v>9769.2049200000001</v>
      </c>
      <c r="W3931" s="6">
        <f t="shared" si="604"/>
        <v>10230.79508</v>
      </c>
      <c r="X3931" s="6">
        <f t="shared" si="605"/>
        <v>9769.2049200000001</v>
      </c>
      <c r="Y3931" s="13">
        <f t="shared" si="608"/>
        <v>0</v>
      </c>
      <c r="Z3931" s="14">
        <v>0</v>
      </c>
      <c r="AA3931" s="6">
        <v>0</v>
      </c>
      <c r="AB3931" s="4">
        <f t="shared" si="609"/>
        <v>9769.2049200000001</v>
      </c>
      <c r="AC3931" s="4">
        <f t="shared" si="611"/>
        <v>0</v>
      </c>
      <c r="AD3931" s="6">
        <f t="shared" si="606"/>
        <v>9769.2049200000001</v>
      </c>
      <c r="AE3931" s="2">
        <f>VLOOKUP(I3931,[1]媒体政策预估表!A:N,MATCH(O3931,[1]媒体政策预估表!$A$2:$M$2,0),0)</f>
        <v>0.12</v>
      </c>
      <c r="AF3931" s="6">
        <f t="shared" si="612"/>
        <v>1172.3045904000001</v>
      </c>
      <c r="AG3931" s="14">
        <v>0</v>
      </c>
      <c r="AH3931" s="65">
        <f t="shared" si="607"/>
        <v>9769.2049200000001</v>
      </c>
      <c r="AI3931" s="47"/>
      <c r="AJ3931" s="126" t="e">
        <v>#N/A</v>
      </c>
      <c r="AK3931" s="80">
        <f t="shared" si="610"/>
        <v>0</v>
      </c>
      <c r="AM3931" s="85"/>
    </row>
    <row r="3932" spans="1:39" hidden="1" x14ac:dyDescent="0.3">
      <c r="A3932" s="89" t="s">
        <v>3395</v>
      </c>
      <c r="B3932" s="86" t="s">
        <v>35</v>
      </c>
      <c r="C3932" s="86" t="s">
        <v>65</v>
      </c>
      <c r="D3932" s="86" t="s">
        <v>122</v>
      </c>
      <c r="E3932" s="86" t="s">
        <v>1266</v>
      </c>
      <c r="F3932" s="86" t="s">
        <v>1266</v>
      </c>
      <c r="G3932" s="86" t="s">
        <v>1266</v>
      </c>
      <c r="H3932" s="144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1271</v>
      </c>
      <c r="N3932" s="86"/>
      <c r="O3932" s="47" t="s">
        <v>45</v>
      </c>
      <c r="P3932" s="47" t="s">
        <v>41</v>
      </c>
      <c r="Q3932" s="14">
        <v>0</v>
      </c>
      <c r="R3932" s="143" t="s">
        <v>1272</v>
      </c>
      <c r="S3932" s="47"/>
      <c r="T3932" s="6">
        <v>38784.707439999998</v>
      </c>
      <c r="U3932" s="6">
        <v>50000</v>
      </c>
      <c r="V3932" s="6">
        <v>28769.208780000001</v>
      </c>
      <c r="W3932" s="6">
        <f t="shared" si="604"/>
        <v>60015.498659999997</v>
      </c>
      <c r="X3932" s="6">
        <f t="shared" si="605"/>
        <v>28769.208780000001</v>
      </c>
      <c r="Y3932" s="13">
        <f t="shared" si="608"/>
        <v>0</v>
      </c>
      <c r="Z3932" s="14">
        <v>0</v>
      </c>
      <c r="AA3932" s="6">
        <v>0</v>
      </c>
      <c r="AB3932" s="4">
        <f t="shared" si="609"/>
        <v>28769.208780000001</v>
      </c>
      <c r="AC3932" s="4">
        <f t="shared" si="611"/>
        <v>0</v>
      </c>
      <c r="AD3932" s="6">
        <f t="shared" si="606"/>
        <v>28769.208780000001</v>
      </c>
      <c r="AE3932" s="2">
        <f>VLOOKUP(I3932,[1]媒体政策预估表!A:N,MATCH(O3932,[1]媒体政策预估表!$A$2:$M$2,0),0)</f>
        <v>0.12</v>
      </c>
      <c r="AF3932" s="6">
        <f t="shared" si="612"/>
        <v>3452.3050536000001</v>
      </c>
      <c r="AG3932" s="14">
        <v>0</v>
      </c>
      <c r="AH3932" s="65">
        <f t="shared" si="607"/>
        <v>28769.208780000001</v>
      </c>
      <c r="AI3932" s="47"/>
      <c r="AJ3932" s="126" t="e">
        <v>#N/A</v>
      </c>
      <c r="AK3932" s="80">
        <f t="shared" si="610"/>
        <v>0</v>
      </c>
      <c r="AM3932" s="85"/>
    </row>
    <row r="3933" spans="1:39" hidden="1" x14ac:dyDescent="0.3">
      <c r="A3933" s="89" t="s">
        <v>3395</v>
      </c>
      <c r="B3933" s="86" t="s">
        <v>35</v>
      </c>
      <c r="C3933" s="86" t="s">
        <v>65</v>
      </c>
      <c r="D3933" s="86" t="s">
        <v>122</v>
      </c>
      <c r="E3933" s="86" t="s">
        <v>1266</v>
      </c>
      <c r="F3933" s="86" t="s">
        <v>1266</v>
      </c>
      <c r="G3933" s="86" t="s">
        <v>1266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3505</v>
      </c>
      <c r="N3933" s="86"/>
      <c r="O3933" s="47" t="s">
        <v>45</v>
      </c>
      <c r="P3933" s="47" t="s">
        <v>41</v>
      </c>
      <c r="Q3933" s="14">
        <v>0</v>
      </c>
      <c r="R3933" s="143" t="s">
        <v>3506</v>
      </c>
      <c r="S3933" s="47"/>
      <c r="T3933" s="6">
        <v>0</v>
      </c>
      <c r="U3933" s="6">
        <v>100000</v>
      </c>
      <c r="V3933" s="6">
        <v>86609.218580000001</v>
      </c>
      <c r="W3933" s="6">
        <f t="shared" si="604"/>
        <v>13390.781419999999</v>
      </c>
      <c r="X3933" s="6">
        <f t="shared" si="605"/>
        <v>86609.218580000001</v>
      </c>
      <c r="Y3933" s="13">
        <f t="shared" si="608"/>
        <v>0</v>
      </c>
      <c r="Z3933" s="14">
        <v>0</v>
      </c>
      <c r="AA3933" s="6">
        <v>0</v>
      </c>
      <c r="AB3933" s="4">
        <f t="shared" si="609"/>
        <v>86609.218580000001</v>
      </c>
      <c r="AC3933" s="4">
        <f t="shared" si="611"/>
        <v>0</v>
      </c>
      <c r="AD3933" s="6">
        <f t="shared" si="606"/>
        <v>86609.218580000001</v>
      </c>
      <c r="AE3933" s="2">
        <f>VLOOKUP(I3933,[1]媒体政策预估表!A:N,MATCH(O3933,[1]媒体政策预估表!$A$2:$M$2,0),0)</f>
        <v>0.12</v>
      </c>
      <c r="AF3933" s="6">
        <f t="shared" si="612"/>
        <v>10393.1062296</v>
      </c>
      <c r="AG3933" s="14">
        <v>0</v>
      </c>
      <c r="AH3933" s="65">
        <f t="shared" si="607"/>
        <v>86609.218580000001</v>
      </c>
      <c r="AI3933" s="47"/>
      <c r="AJ3933" s="126" t="e">
        <v>#N/A</v>
      </c>
      <c r="AK3933" s="80">
        <f t="shared" si="610"/>
        <v>0</v>
      </c>
      <c r="AM3933" s="85"/>
    </row>
    <row r="3934" spans="1:39" hidden="1" x14ac:dyDescent="0.3">
      <c r="A3934" s="89" t="s">
        <v>3394</v>
      </c>
      <c r="B3934" s="86" t="s">
        <v>35</v>
      </c>
      <c r="C3934" s="86" t="s">
        <v>65</v>
      </c>
      <c r="D3934" s="86" t="s">
        <v>122</v>
      </c>
      <c r="E3934" s="86" t="s">
        <v>1266</v>
      </c>
      <c r="F3934" s="86" t="s">
        <v>1266</v>
      </c>
      <c r="G3934" s="86" t="s">
        <v>1266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3505</v>
      </c>
      <c r="N3934" s="86"/>
      <c r="O3934" s="47" t="s">
        <v>410</v>
      </c>
      <c r="P3934" s="47" t="s">
        <v>41</v>
      </c>
      <c r="Q3934" s="14">
        <v>0</v>
      </c>
      <c r="R3934" s="143" t="s">
        <v>3506</v>
      </c>
      <c r="S3934" s="47"/>
      <c r="T3934" s="6">
        <v>0</v>
      </c>
      <c r="U3934" s="6">
        <v>100000</v>
      </c>
      <c r="V3934" s="6">
        <v>0</v>
      </c>
      <c r="W3934" s="6">
        <f t="shared" si="604"/>
        <v>100000</v>
      </c>
      <c r="X3934" s="6">
        <f t="shared" si="605"/>
        <v>0</v>
      </c>
      <c r="Y3934" s="13">
        <f t="shared" si="608"/>
        <v>0</v>
      </c>
      <c r="Z3934" s="14">
        <v>0</v>
      </c>
      <c r="AA3934" s="6">
        <v>0</v>
      </c>
      <c r="AB3934" s="4">
        <f t="shared" si="609"/>
        <v>0</v>
      </c>
      <c r="AC3934" s="4">
        <f t="shared" si="611"/>
        <v>0</v>
      </c>
      <c r="AD3934" s="6">
        <f t="shared" si="606"/>
        <v>0</v>
      </c>
      <c r="AE3934" s="2">
        <f>VLOOKUP(I3934,[1]媒体政策预估表!A:N,MATCH(O3934,[1]媒体政策预估表!$A$2:$M$2,0),0)</f>
        <v>7.0000000000000007E-2</v>
      </c>
      <c r="AF3934" s="6">
        <f t="shared" si="612"/>
        <v>0</v>
      </c>
      <c r="AG3934" s="14">
        <v>0</v>
      </c>
      <c r="AH3934" s="65">
        <f t="shared" si="607"/>
        <v>0</v>
      </c>
      <c r="AI3934" s="47"/>
      <c r="AJ3934" s="126" t="e">
        <v>#N/A</v>
      </c>
      <c r="AK3934" s="80">
        <f t="shared" si="610"/>
        <v>0</v>
      </c>
      <c r="AM3934" s="85"/>
    </row>
    <row r="3935" spans="1:39" hidden="1" x14ac:dyDescent="0.3">
      <c r="A3935" s="89" t="s">
        <v>3394</v>
      </c>
      <c r="B3935" s="86" t="s">
        <v>35</v>
      </c>
      <c r="C3935" s="86" t="s">
        <v>65</v>
      </c>
      <c r="D3935" s="86" t="s">
        <v>122</v>
      </c>
      <c r="E3935" s="86" t="s">
        <v>1266</v>
      </c>
      <c r="F3935" s="86" t="s">
        <v>1266</v>
      </c>
      <c r="G3935" s="86" t="s">
        <v>1266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1274</v>
      </c>
      <c r="N3935" s="86"/>
      <c r="O3935" s="47" t="s">
        <v>45</v>
      </c>
      <c r="P3935" s="47" t="s">
        <v>41</v>
      </c>
      <c r="Q3935" s="14">
        <v>0</v>
      </c>
      <c r="R3935" s="143" t="s">
        <v>3507</v>
      </c>
      <c r="S3935" s="47"/>
      <c r="T3935" s="6">
        <v>0</v>
      </c>
      <c r="U3935" s="6">
        <v>150000</v>
      </c>
      <c r="V3935" s="6">
        <v>66129.613110000006</v>
      </c>
      <c r="W3935" s="6">
        <f t="shared" si="604"/>
        <v>83870.386889999994</v>
      </c>
      <c r="X3935" s="6">
        <f t="shared" si="605"/>
        <v>66129.613110000006</v>
      </c>
      <c r="Y3935" s="13">
        <f t="shared" si="608"/>
        <v>0</v>
      </c>
      <c r="Z3935" s="14">
        <v>0</v>
      </c>
      <c r="AA3935" s="6">
        <v>0</v>
      </c>
      <c r="AB3935" s="4">
        <f t="shared" si="609"/>
        <v>66129.613110000006</v>
      </c>
      <c r="AC3935" s="4">
        <f t="shared" si="611"/>
        <v>0</v>
      </c>
      <c r="AD3935" s="6">
        <f t="shared" si="606"/>
        <v>66129.613110000006</v>
      </c>
      <c r="AE3935" s="2">
        <f>VLOOKUP(I3935,[1]媒体政策预估表!A:N,MATCH(O3935,[1]媒体政策预估表!$A$2:$M$2,0),0)</f>
        <v>0.12</v>
      </c>
      <c r="AF3935" s="6">
        <f t="shared" si="612"/>
        <v>7935.5535732000008</v>
      </c>
      <c r="AG3935" s="14">
        <v>0</v>
      </c>
      <c r="AH3935" s="65">
        <f t="shared" si="607"/>
        <v>66129.613110000006</v>
      </c>
      <c r="AI3935" s="47"/>
      <c r="AJ3935" s="126" t="e">
        <v>#N/A</v>
      </c>
      <c r="AK3935" s="80">
        <f t="shared" si="610"/>
        <v>0</v>
      </c>
      <c r="AM3935" s="85"/>
    </row>
    <row r="3936" spans="1:39" hidden="1" x14ac:dyDescent="0.3">
      <c r="A3936" s="89" t="s">
        <v>3394</v>
      </c>
      <c r="B3936" s="86" t="s">
        <v>35</v>
      </c>
      <c r="C3936" s="86" t="s">
        <v>65</v>
      </c>
      <c r="D3936" s="86" t="s">
        <v>122</v>
      </c>
      <c r="E3936" s="86" t="s">
        <v>1266</v>
      </c>
      <c r="F3936" s="86" t="s">
        <v>1266</v>
      </c>
      <c r="G3936" s="86" t="s">
        <v>1266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1274</v>
      </c>
      <c r="N3936" s="86"/>
      <c r="O3936" s="47" t="s">
        <v>45</v>
      </c>
      <c r="P3936" s="47" t="s">
        <v>41</v>
      </c>
      <c r="Q3936" s="14">
        <v>0</v>
      </c>
      <c r="R3936" s="143" t="s">
        <v>1275</v>
      </c>
      <c r="S3936" s="47"/>
      <c r="T3936" s="6">
        <v>526047.58449000004</v>
      </c>
      <c r="U3936" s="6">
        <v>430000</v>
      </c>
      <c r="V3936" s="6">
        <v>216433.71038999999</v>
      </c>
      <c r="W3936" s="6">
        <f t="shared" si="604"/>
        <v>739613.87410000002</v>
      </c>
      <c r="X3936" s="6">
        <f t="shared" si="605"/>
        <v>216433.71038999999</v>
      </c>
      <c r="Y3936" s="13">
        <f t="shared" si="608"/>
        <v>0</v>
      </c>
      <c r="Z3936" s="14">
        <v>0</v>
      </c>
      <c r="AA3936" s="6">
        <v>0</v>
      </c>
      <c r="AB3936" s="4">
        <f t="shared" si="609"/>
        <v>216433.71038999999</v>
      </c>
      <c r="AC3936" s="4">
        <f t="shared" si="611"/>
        <v>0</v>
      </c>
      <c r="AD3936" s="6">
        <f t="shared" si="606"/>
        <v>216433.71038999999</v>
      </c>
      <c r="AE3936" s="2">
        <f>VLOOKUP(I3936,[1]媒体政策预估表!A:N,MATCH(O3936,[1]媒体政策预估表!$A$2:$M$2,0),0)</f>
        <v>0.12</v>
      </c>
      <c r="AF3936" s="6">
        <f t="shared" si="612"/>
        <v>25972.045246799997</v>
      </c>
      <c r="AG3936" s="14">
        <v>0</v>
      </c>
      <c r="AH3936" s="65">
        <f t="shared" si="607"/>
        <v>216433.71038999999</v>
      </c>
      <c r="AI3936" s="47"/>
      <c r="AJ3936" s="126" t="e">
        <v>#N/A</v>
      </c>
      <c r="AK3936" s="80">
        <f t="shared" si="610"/>
        <v>0</v>
      </c>
      <c r="AM3936" s="85"/>
    </row>
    <row r="3937" spans="1:39" hidden="1" x14ac:dyDescent="0.3">
      <c r="A3937" s="89" t="s">
        <v>3394</v>
      </c>
      <c r="B3937" s="86" t="s">
        <v>35</v>
      </c>
      <c r="C3937" s="86" t="s">
        <v>65</v>
      </c>
      <c r="D3937" s="86" t="s">
        <v>122</v>
      </c>
      <c r="E3937" s="86" t="s">
        <v>3508</v>
      </c>
      <c r="F3937" s="86" t="s">
        <v>3508</v>
      </c>
      <c r="G3937" s="86" t="s">
        <v>3508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3508</v>
      </c>
      <c r="N3937" s="86"/>
      <c r="O3937" s="47" t="s">
        <v>410</v>
      </c>
      <c r="P3937" s="47" t="s">
        <v>46</v>
      </c>
      <c r="Q3937" s="14">
        <v>0.01</v>
      </c>
      <c r="R3937" s="143" t="s">
        <v>3509</v>
      </c>
      <c r="S3937" s="47"/>
      <c r="T3937" s="6">
        <v>0</v>
      </c>
      <c r="U3937" s="6">
        <v>10000</v>
      </c>
      <c r="V3937" s="6">
        <v>4551</v>
      </c>
      <c r="W3937" s="6">
        <f t="shared" si="604"/>
        <v>5449</v>
      </c>
      <c r="X3937" s="6">
        <f t="shared" si="605"/>
        <v>4505.9405940594061</v>
      </c>
      <c r="Y3937" s="13">
        <f t="shared" si="608"/>
        <v>0</v>
      </c>
      <c r="Z3937" s="14">
        <v>0</v>
      </c>
      <c r="AA3937" s="6">
        <v>0</v>
      </c>
      <c r="AB3937" s="4">
        <f t="shared" si="609"/>
        <v>4505.9405940594061</v>
      </c>
      <c r="AC3937" s="4">
        <f t="shared" si="611"/>
        <v>45.059405940593933</v>
      </c>
      <c r="AD3937" s="6">
        <f t="shared" si="606"/>
        <v>4551</v>
      </c>
      <c r="AE3937" s="2">
        <f>VLOOKUP(I3937,[1]媒体政策预估表!A:N,MATCH(O3937,[1]媒体政策预估表!$A$2:$M$2,0),0)</f>
        <v>7.0000000000000007E-2</v>
      </c>
      <c r="AF3937" s="6">
        <f t="shared" si="612"/>
        <v>318.57000000000005</v>
      </c>
      <c r="AG3937" s="14">
        <v>0</v>
      </c>
      <c r="AH3937" s="65">
        <f t="shared" si="607"/>
        <v>4551</v>
      </c>
      <c r="AI3937" s="47"/>
      <c r="AJ3937" s="126" t="e">
        <v>#N/A</v>
      </c>
      <c r="AK3937" s="80">
        <f t="shared" si="610"/>
        <v>0</v>
      </c>
      <c r="AM3937" s="85"/>
    </row>
    <row r="3938" spans="1:39" hidden="1" x14ac:dyDescent="0.3">
      <c r="A3938" s="89" t="s">
        <v>3394</v>
      </c>
      <c r="B3938" s="86" t="s">
        <v>35</v>
      </c>
      <c r="C3938" s="86" t="s">
        <v>65</v>
      </c>
      <c r="D3938" s="86" t="s">
        <v>122</v>
      </c>
      <c r="E3938" s="86" t="s">
        <v>1277</v>
      </c>
      <c r="F3938" s="86" t="s">
        <v>1277</v>
      </c>
      <c r="G3938" s="86" t="s">
        <v>1277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1277</v>
      </c>
      <c r="N3938" s="86"/>
      <c r="O3938" s="47" t="s">
        <v>410</v>
      </c>
      <c r="P3938" s="47" t="s">
        <v>46</v>
      </c>
      <c r="Q3938" s="14">
        <v>0.02</v>
      </c>
      <c r="R3938" s="143" t="s">
        <v>1278</v>
      </c>
      <c r="S3938" s="47"/>
      <c r="T3938" s="6">
        <v>29487.399999999994</v>
      </c>
      <c r="U3938" s="6">
        <v>120000</v>
      </c>
      <c r="V3938" s="6">
        <v>126054.39999999999</v>
      </c>
      <c r="W3938" s="6">
        <f t="shared" si="604"/>
        <v>23433</v>
      </c>
      <c r="X3938" s="6">
        <f t="shared" si="605"/>
        <v>123582.7450980392</v>
      </c>
      <c r="Y3938" s="13">
        <f t="shared" si="608"/>
        <v>0</v>
      </c>
      <c r="Z3938" s="14">
        <v>0</v>
      </c>
      <c r="AA3938" s="6">
        <v>0</v>
      </c>
      <c r="AB3938" s="4">
        <f t="shared" si="609"/>
        <v>123582.7450980392</v>
      </c>
      <c r="AC3938" s="4">
        <f t="shared" si="611"/>
        <v>2471.6549019607919</v>
      </c>
      <c r="AD3938" s="6">
        <f t="shared" si="606"/>
        <v>126054.39999999999</v>
      </c>
      <c r="AE3938" s="2">
        <f>VLOOKUP(I3938,[1]媒体政策预估表!A:N,MATCH(O3938,[1]媒体政策预估表!$A$2:$M$2,0),0)</f>
        <v>7.0000000000000007E-2</v>
      </c>
      <c r="AF3938" s="6">
        <f t="shared" si="612"/>
        <v>8823.8080000000009</v>
      </c>
      <c r="AG3938" s="14">
        <v>0</v>
      </c>
      <c r="AH3938" s="65">
        <f t="shared" si="607"/>
        <v>126054.39999999999</v>
      </c>
      <c r="AI3938" s="47"/>
      <c r="AJ3938" s="126" t="e">
        <v>#N/A</v>
      </c>
      <c r="AK3938" s="80">
        <f t="shared" si="610"/>
        <v>0</v>
      </c>
      <c r="AM3938" s="85"/>
    </row>
    <row r="3939" spans="1:39" hidden="1" x14ac:dyDescent="0.3">
      <c r="A3939" s="89" t="s">
        <v>3394</v>
      </c>
      <c r="B3939" s="86" t="s">
        <v>35</v>
      </c>
      <c r="C3939" s="86" t="s">
        <v>65</v>
      </c>
      <c r="D3939" s="86" t="s">
        <v>122</v>
      </c>
      <c r="E3939" s="86" t="s">
        <v>1279</v>
      </c>
      <c r="F3939" s="86" t="s">
        <v>1279</v>
      </c>
      <c r="G3939" s="86" t="s">
        <v>1279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1281</v>
      </c>
      <c r="N3939" s="86"/>
      <c r="O3939" s="47" t="s">
        <v>410</v>
      </c>
      <c r="P3939" s="47" t="s">
        <v>46</v>
      </c>
      <c r="Q3939" s="14">
        <v>0.02</v>
      </c>
      <c r="R3939" s="143" t="s">
        <v>1282</v>
      </c>
      <c r="S3939" s="47"/>
      <c r="T3939" s="6">
        <v>161578.34</v>
      </c>
      <c r="U3939" s="6">
        <v>270000</v>
      </c>
      <c r="V3939" s="6">
        <v>354298.15</v>
      </c>
      <c r="W3939" s="6">
        <f t="shared" si="604"/>
        <v>77280.189999999944</v>
      </c>
      <c r="X3939" s="6">
        <f t="shared" si="605"/>
        <v>347351.12745098042</v>
      </c>
      <c r="Y3939" s="13">
        <f t="shared" si="608"/>
        <v>0</v>
      </c>
      <c r="Z3939" s="14">
        <v>0</v>
      </c>
      <c r="AA3939" s="6">
        <v>0</v>
      </c>
      <c r="AB3939" s="4">
        <f t="shared" si="609"/>
        <v>347351.12745098042</v>
      </c>
      <c r="AC3939" s="4">
        <f t="shared" si="611"/>
        <v>6947.0225490196026</v>
      </c>
      <c r="AD3939" s="6">
        <f t="shared" si="606"/>
        <v>354298.15</v>
      </c>
      <c r="AE3939" s="2">
        <f>VLOOKUP(I3939,[1]媒体政策预估表!A:N,MATCH(O3939,[1]媒体政策预估表!$A$2:$M$2,0),0)</f>
        <v>7.0000000000000007E-2</v>
      </c>
      <c r="AF3939" s="6">
        <f t="shared" si="612"/>
        <v>24800.870500000005</v>
      </c>
      <c r="AG3939" s="14">
        <v>0</v>
      </c>
      <c r="AH3939" s="65">
        <f t="shared" si="607"/>
        <v>354298.15</v>
      </c>
      <c r="AI3939" s="47"/>
      <c r="AJ3939" s="126" t="e">
        <v>#N/A</v>
      </c>
      <c r="AK3939" s="80">
        <f t="shared" si="610"/>
        <v>0</v>
      </c>
      <c r="AM3939" s="85"/>
    </row>
    <row r="3940" spans="1:39" hidden="1" x14ac:dyDescent="0.3">
      <c r="A3940" s="89" t="s">
        <v>3394</v>
      </c>
      <c r="B3940" s="86" t="s">
        <v>35</v>
      </c>
      <c r="C3940" s="86" t="s">
        <v>65</v>
      </c>
      <c r="D3940" s="86" t="s">
        <v>125</v>
      </c>
      <c r="E3940" s="86" t="s">
        <v>1283</v>
      </c>
      <c r="F3940" s="86" t="s">
        <v>1284</v>
      </c>
      <c r="G3940" s="86" t="s">
        <v>1283</v>
      </c>
      <c r="H3940" s="144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1283</v>
      </c>
      <c r="N3940" s="86"/>
      <c r="O3940" s="47" t="s">
        <v>410</v>
      </c>
      <c r="P3940" s="47" t="s">
        <v>46</v>
      </c>
      <c r="Q3940" s="14">
        <v>0.01</v>
      </c>
      <c r="R3940" s="143" t="s">
        <v>1285</v>
      </c>
      <c r="S3940" s="47"/>
      <c r="T3940" s="6">
        <v>111320.09999999998</v>
      </c>
      <c r="U3940" s="6">
        <v>151000</v>
      </c>
      <c r="V3940" s="6">
        <v>248842.8</v>
      </c>
      <c r="W3940" s="6">
        <f t="shared" si="604"/>
        <v>13477.299999999988</v>
      </c>
      <c r="X3940" s="6">
        <f t="shared" si="605"/>
        <v>246379.00990099009</v>
      </c>
      <c r="Y3940" s="13">
        <f t="shared" si="608"/>
        <v>0</v>
      </c>
      <c r="Z3940" s="14">
        <v>0</v>
      </c>
      <c r="AA3940" s="6">
        <v>0</v>
      </c>
      <c r="AB3940" s="4">
        <f t="shared" si="609"/>
        <v>246379.00990099009</v>
      </c>
      <c r="AC3940" s="4">
        <f t="shared" si="611"/>
        <v>2463.7900990099006</v>
      </c>
      <c r="AD3940" s="6">
        <f t="shared" si="606"/>
        <v>248842.8</v>
      </c>
      <c r="AE3940" s="2">
        <f>VLOOKUP(I3940,[1]媒体政策预估表!A:N,MATCH(O3940,[1]媒体政策预估表!$A$2:$M$2,0),0)</f>
        <v>7.0000000000000007E-2</v>
      </c>
      <c r="AF3940" s="6">
        <f t="shared" si="612"/>
        <v>17418.995999999999</v>
      </c>
      <c r="AG3940" s="14">
        <v>0</v>
      </c>
      <c r="AH3940" s="65">
        <f t="shared" si="607"/>
        <v>248842.8</v>
      </c>
      <c r="AI3940" s="47"/>
      <c r="AJ3940" s="126" t="e">
        <v>#N/A</v>
      </c>
      <c r="AK3940" s="80">
        <f t="shared" si="610"/>
        <v>0</v>
      </c>
      <c r="AM3940" s="85"/>
    </row>
    <row r="3941" spans="1:39" hidden="1" x14ac:dyDescent="0.3">
      <c r="A3941" s="89" t="s">
        <v>3395</v>
      </c>
      <c r="B3941" s="86" t="s">
        <v>35</v>
      </c>
      <c r="C3941" s="86" t="s">
        <v>65</v>
      </c>
      <c r="D3941" s="86" t="s">
        <v>125</v>
      </c>
      <c r="E3941" s="86" t="s">
        <v>1900</v>
      </c>
      <c r="F3941" s="86" t="s">
        <v>1900</v>
      </c>
      <c r="G3941" s="86" t="s">
        <v>1900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1901</v>
      </c>
      <c r="N3941" s="86"/>
      <c r="O3941" s="47" t="s">
        <v>410</v>
      </c>
      <c r="P3941" s="47" t="s">
        <v>46</v>
      </c>
      <c r="Q3941" s="14">
        <v>0.04</v>
      </c>
      <c r="R3941" s="143" t="s">
        <v>1902</v>
      </c>
      <c r="S3941" s="47"/>
      <c r="T3941" s="6">
        <v>257.24999999999818</v>
      </c>
      <c r="U3941" s="6">
        <v>1470.86</v>
      </c>
      <c r="V3941" s="6">
        <v>1721.7</v>
      </c>
      <c r="W3941" s="6">
        <f t="shared" si="604"/>
        <v>6.4099999999980355</v>
      </c>
      <c r="X3941" s="6">
        <f t="shared" si="605"/>
        <v>1655.4807692307693</v>
      </c>
      <c r="Y3941" s="13">
        <f t="shared" si="608"/>
        <v>0</v>
      </c>
      <c r="Z3941" s="14">
        <v>0</v>
      </c>
      <c r="AA3941" s="6">
        <v>0</v>
      </c>
      <c r="AB3941" s="4">
        <f t="shared" si="609"/>
        <v>1655.4807692307693</v>
      </c>
      <c r="AC3941" s="4">
        <f t="shared" si="611"/>
        <v>66.219230769230762</v>
      </c>
      <c r="AD3941" s="6">
        <f t="shared" si="606"/>
        <v>1721.7</v>
      </c>
      <c r="AE3941" s="2">
        <f>VLOOKUP(I3941,[1]媒体政策预估表!A:N,MATCH(O3941,[1]媒体政策预估表!$A$2:$M$2,0),0)</f>
        <v>7.0000000000000007E-2</v>
      </c>
      <c r="AF3941" s="6">
        <f t="shared" si="612"/>
        <v>120.51900000000002</v>
      </c>
      <c r="AG3941" s="14">
        <v>0</v>
      </c>
      <c r="AH3941" s="65">
        <f t="shared" si="607"/>
        <v>1721.7</v>
      </c>
      <c r="AI3941" s="47"/>
      <c r="AJ3941" s="126" t="e">
        <v>#N/A</v>
      </c>
      <c r="AK3941" s="80">
        <f t="shared" si="610"/>
        <v>0</v>
      </c>
      <c r="AM3941" s="85"/>
    </row>
    <row r="3942" spans="1:39" hidden="1" x14ac:dyDescent="0.3">
      <c r="A3942" s="89" t="s">
        <v>3395</v>
      </c>
      <c r="B3942" s="86" t="s">
        <v>35</v>
      </c>
      <c r="C3942" s="86" t="s">
        <v>65</v>
      </c>
      <c r="D3942" s="86" t="s">
        <v>1291</v>
      </c>
      <c r="E3942" s="86" t="s">
        <v>1292</v>
      </c>
      <c r="F3942" s="86" t="s">
        <v>1293</v>
      </c>
      <c r="G3942" s="86" t="s">
        <v>1292</v>
      </c>
      <c r="H3942" s="144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1292</v>
      </c>
      <c r="N3942" s="86"/>
      <c r="O3942" s="47" t="s">
        <v>410</v>
      </c>
      <c r="P3942" s="47" t="s">
        <v>41</v>
      </c>
      <c r="Q3942" s="14">
        <v>0</v>
      </c>
      <c r="R3942" s="143" t="s">
        <v>1294</v>
      </c>
      <c r="S3942" s="47"/>
      <c r="T3942" s="6">
        <v>27932.800000000003</v>
      </c>
      <c r="U3942" s="6">
        <v>150000</v>
      </c>
      <c r="V3942" s="6">
        <v>120939.7</v>
      </c>
      <c r="W3942" s="6">
        <f t="shared" si="604"/>
        <v>56993.099999999991</v>
      </c>
      <c r="X3942" s="6">
        <f t="shared" si="605"/>
        <v>120939.7</v>
      </c>
      <c r="Y3942" s="13">
        <f t="shared" si="608"/>
        <v>0</v>
      </c>
      <c r="Z3942" s="14">
        <v>0</v>
      </c>
      <c r="AA3942" s="6">
        <v>0</v>
      </c>
      <c r="AB3942" s="4">
        <f t="shared" si="609"/>
        <v>120939.7</v>
      </c>
      <c r="AC3942" s="4">
        <f t="shared" si="611"/>
        <v>0</v>
      </c>
      <c r="AD3942" s="6">
        <f t="shared" si="606"/>
        <v>120939.7</v>
      </c>
      <c r="AE3942" s="2">
        <f>VLOOKUP(I3942,[1]媒体政策预估表!A:N,MATCH(O3942,[1]媒体政策预估表!$A$2:$M$2,0),0)</f>
        <v>7.0000000000000007E-2</v>
      </c>
      <c r="AF3942" s="6">
        <f t="shared" si="612"/>
        <v>8465.7790000000005</v>
      </c>
      <c r="AG3942" s="14">
        <v>0</v>
      </c>
      <c r="AH3942" s="65">
        <f t="shared" si="607"/>
        <v>120939.7</v>
      </c>
      <c r="AI3942" s="47"/>
      <c r="AJ3942" s="126" t="e">
        <v>#N/A</v>
      </c>
      <c r="AK3942" s="80">
        <f t="shared" si="610"/>
        <v>0</v>
      </c>
      <c r="AM3942" s="85"/>
    </row>
    <row r="3943" spans="1:39" hidden="1" x14ac:dyDescent="0.3">
      <c r="A3943" s="89" t="s">
        <v>3394</v>
      </c>
      <c r="B3943" s="86" t="s">
        <v>35</v>
      </c>
      <c r="C3943" s="86" t="s">
        <v>65</v>
      </c>
      <c r="D3943" s="86" t="s">
        <v>1291</v>
      </c>
      <c r="E3943" s="86" t="s">
        <v>1295</v>
      </c>
      <c r="F3943" s="86" t="s">
        <v>1295</v>
      </c>
      <c r="G3943" s="86" t="s">
        <v>1295</v>
      </c>
      <c r="H3943" s="144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1295</v>
      </c>
      <c r="N3943" s="86"/>
      <c r="O3943" s="47" t="s">
        <v>410</v>
      </c>
      <c r="P3943" s="47" t="s">
        <v>46</v>
      </c>
      <c r="Q3943" s="14">
        <v>0.01</v>
      </c>
      <c r="R3943" s="143" t="s">
        <v>1296</v>
      </c>
      <c r="S3943" s="47"/>
      <c r="T3943" s="6">
        <v>2668.7999999999993</v>
      </c>
      <c r="U3943" s="6">
        <v>30000</v>
      </c>
      <c r="V3943" s="6">
        <v>12636.4</v>
      </c>
      <c r="W3943" s="6">
        <f t="shared" si="604"/>
        <v>20032.400000000001</v>
      </c>
      <c r="X3943" s="6">
        <f t="shared" si="605"/>
        <v>12511.287128712871</v>
      </c>
      <c r="Y3943" s="13">
        <f t="shared" si="608"/>
        <v>0</v>
      </c>
      <c r="Z3943" s="14">
        <v>0</v>
      </c>
      <c r="AA3943" s="6">
        <v>0</v>
      </c>
      <c r="AB3943" s="4">
        <f t="shared" si="609"/>
        <v>12511.287128712871</v>
      </c>
      <c r="AC3943" s="4">
        <f t="shared" si="611"/>
        <v>125.11287128712866</v>
      </c>
      <c r="AD3943" s="6">
        <f t="shared" si="606"/>
        <v>12636.4</v>
      </c>
      <c r="AE3943" s="2">
        <f>VLOOKUP(I3943,[1]媒体政策预估表!A:N,MATCH(O3943,[1]媒体政策预估表!$A$2:$M$2,0),0)</f>
        <v>7.0000000000000007E-2</v>
      </c>
      <c r="AF3943" s="6">
        <f t="shared" si="612"/>
        <v>884.54800000000012</v>
      </c>
      <c r="AG3943" s="14">
        <v>0</v>
      </c>
      <c r="AH3943" s="65">
        <f t="shared" si="607"/>
        <v>12636.4</v>
      </c>
      <c r="AI3943" s="47"/>
      <c r="AJ3943" s="126" t="e">
        <v>#N/A</v>
      </c>
      <c r="AK3943" s="80">
        <f t="shared" si="610"/>
        <v>0</v>
      </c>
      <c r="AM3943" s="85"/>
    </row>
    <row r="3944" spans="1:39" hidden="1" x14ac:dyDescent="0.3">
      <c r="A3944" s="89" t="s">
        <v>3395</v>
      </c>
      <c r="B3944" s="86" t="s">
        <v>35</v>
      </c>
      <c r="C3944" s="86" t="s">
        <v>65</v>
      </c>
      <c r="D3944" s="86" t="s">
        <v>1291</v>
      </c>
      <c r="E3944" s="86" t="s">
        <v>1297</v>
      </c>
      <c r="F3944" s="86" t="s">
        <v>1297</v>
      </c>
      <c r="G3944" s="86" t="s">
        <v>1297</v>
      </c>
      <c r="H3944" s="144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1297</v>
      </c>
      <c r="N3944" s="86"/>
      <c r="O3944" s="47" t="s">
        <v>410</v>
      </c>
      <c r="P3944" s="47" t="s">
        <v>41</v>
      </c>
      <c r="Q3944" s="14">
        <v>0</v>
      </c>
      <c r="R3944" s="143" t="s">
        <v>1298</v>
      </c>
      <c r="S3944" s="47"/>
      <c r="T3944" s="6">
        <v>6140.8</v>
      </c>
      <c r="U3944" s="6">
        <v>20000</v>
      </c>
      <c r="V3944" s="6">
        <v>11804.4</v>
      </c>
      <c r="W3944" s="6">
        <f t="shared" si="604"/>
        <v>14336.4</v>
      </c>
      <c r="X3944" s="6">
        <f t="shared" si="605"/>
        <v>11804.4</v>
      </c>
      <c r="Y3944" s="13">
        <f t="shared" si="608"/>
        <v>0</v>
      </c>
      <c r="Z3944" s="14">
        <v>0</v>
      </c>
      <c r="AA3944" s="6">
        <v>0</v>
      </c>
      <c r="AB3944" s="4">
        <f t="shared" si="609"/>
        <v>11804.4</v>
      </c>
      <c r="AC3944" s="4">
        <f t="shared" si="611"/>
        <v>0</v>
      </c>
      <c r="AD3944" s="6">
        <f t="shared" si="606"/>
        <v>11804.4</v>
      </c>
      <c r="AE3944" s="2">
        <f>VLOOKUP(I3944,[1]媒体政策预估表!A:N,MATCH(O3944,[1]媒体政策预估表!$A$2:$M$2,0),0)</f>
        <v>7.0000000000000007E-2</v>
      </c>
      <c r="AF3944" s="6">
        <f t="shared" si="612"/>
        <v>826.30800000000011</v>
      </c>
      <c r="AG3944" s="14">
        <v>0</v>
      </c>
      <c r="AH3944" s="65">
        <f t="shared" si="607"/>
        <v>11804.4</v>
      </c>
      <c r="AI3944" s="47"/>
      <c r="AJ3944" s="126" t="e">
        <v>#N/A</v>
      </c>
      <c r="AK3944" s="80">
        <f t="shared" si="610"/>
        <v>0</v>
      </c>
      <c r="AM3944" s="85"/>
    </row>
    <row r="3945" spans="1:39" hidden="1" x14ac:dyDescent="0.3">
      <c r="A3945" s="89" t="s">
        <v>3395</v>
      </c>
      <c r="B3945" s="86" t="s">
        <v>35</v>
      </c>
      <c r="C3945" s="86" t="s">
        <v>65</v>
      </c>
      <c r="D3945" s="86" t="s">
        <v>1291</v>
      </c>
      <c r="E3945" s="86" t="s">
        <v>3433</v>
      </c>
      <c r="F3945" s="86" t="s">
        <v>3433</v>
      </c>
      <c r="G3945" s="86" t="s">
        <v>3433</v>
      </c>
      <c r="H3945" s="144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3433</v>
      </c>
      <c r="N3945" s="86"/>
      <c r="O3945" s="47" t="s">
        <v>410</v>
      </c>
      <c r="P3945" s="47" t="s">
        <v>46</v>
      </c>
      <c r="Q3945" s="14">
        <v>0.02</v>
      </c>
      <c r="R3945" s="143">
        <v>19858918739</v>
      </c>
      <c r="S3945" s="47"/>
      <c r="T3945" s="6">
        <v>0</v>
      </c>
      <c r="U3945" s="6">
        <v>50000</v>
      </c>
      <c r="V3945" s="6">
        <v>17434.45</v>
      </c>
      <c r="W3945" s="6">
        <f t="shared" si="604"/>
        <v>32565.55</v>
      </c>
      <c r="X3945" s="6">
        <f t="shared" si="605"/>
        <v>17092.598039215685</v>
      </c>
      <c r="Y3945" s="13">
        <f t="shared" si="608"/>
        <v>0</v>
      </c>
      <c r="Z3945" s="14">
        <v>0</v>
      </c>
      <c r="AA3945" s="6">
        <v>0</v>
      </c>
      <c r="AB3945" s="4">
        <f t="shared" si="609"/>
        <v>17092.598039215685</v>
      </c>
      <c r="AC3945" s="4">
        <f t="shared" si="611"/>
        <v>341.85196078431545</v>
      </c>
      <c r="AD3945" s="6">
        <f t="shared" si="606"/>
        <v>17434.45</v>
      </c>
      <c r="AE3945" s="2">
        <f>VLOOKUP(I3945,[1]媒体政策预估表!A:N,MATCH(O3945,[1]媒体政策预估表!$A$2:$M$2,0),0)</f>
        <v>7.0000000000000007E-2</v>
      </c>
      <c r="AF3945" s="6">
        <f t="shared" si="612"/>
        <v>1220.4115000000002</v>
      </c>
      <c r="AG3945" s="14">
        <v>0</v>
      </c>
      <c r="AH3945" s="65">
        <f t="shared" si="607"/>
        <v>17434.45</v>
      </c>
      <c r="AI3945" s="47"/>
      <c r="AJ3945" s="126" t="e">
        <v>#N/A</v>
      </c>
      <c r="AK3945" s="80">
        <f t="shared" si="610"/>
        <v>0</v>
      </c>
      <c r="AM3945" s="85"/>
    </row>
    <row r="3946" spans="1:39" hidden="1" x14ac:dyDescent="0.3">
      <c r="A3946" s="89" t="s">
        <v>3394</v>
      </c>
      <c r="B3946" s="86" t="s">
        <v>35</v>
      </c>
      <c r="C3946" s="86" t="s">
        <v>65</v>
      </c>
      <c r="D3946" s="86" t="s">
        <v>1291</v>
      </c>
      <c r="E3946" s="86" t="s">
        <v>1299</v>
      </c>
      <c r="F3946" s="86" t="s">
        <v>1299</v>
      </c>
      <c r="G3946" s="86" t="s">
        <v>1299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1300</v>
      </c>
      <c r="N3946" s="86"/>
      <c r="O3946" s="47" t="s">
        <v>410</v>
      </c>
      <c r="P3946" s="47" t="s">
        <v>41</v>
      </c>
      <c r="Q3946" s="14">
        <v>0</v>
      </c>
      <c r="R3946" s="143" t="s">
        <v>1301</v>
      </c>
      <c r="S3946" s="47"/>
      <c r="T3946" s="6">
        <v>5021.5999999999985</v>
      </c>
      <c r="U3946" s="6">
        <v>20000</v>
      </c>
      <c r="V3946" s="6">
        <v>25021.600000000006</v>
      </c>
      <c r="W3946" s="6">
        <f t="shared" si="604"/>
        <v>0</v>
      </c>
      <c r="X3946" s="6">
        <f t="shared" si="605"/>
        <v>25021.600000000006</v>
      </c>
      <c r="Y3946" s="13">
        <f t="shared" si="608"/>
        <v>0</v>
      </c>
      <c r="Z3946" s="14">
        <v>0</v>
      </c>
      <c r="AA3946" s="6">
        <v>0</v>
      </c>
      <c r="AB3946" s="4">
        <f t="shared" si="609"/>
        <v>25021.600000000006</v>
      </c>
      <c r="AC3946" s="4">
        <f t="shared" si="611"/>
        <v>0</v>
      </c>
      <c r="AD3946" s="6">
        <f t="shared" si="606"/>
        <v>25021.600000000006</v>
      </c>
      <c r="AE3946" s="2">
        <f>VLOOKUP(I3946,[1]媒体政策预估表!A:N,MATCH(O3946,[1]媒体政策预估表!$A$2:$M$2,0),0)</f>
        <v>7.0000000000000007E-2</v>
      </c>
      <c r="AF3946" s="6">
        <f t="shared" si="612"/>
        <v>1751.5120000000006</v>
      </c>
      <c r="AG3946" s="14">
        <v>0</v>
      </c>
      <c r="AH3946" s="65">
        <f t="shared" si="607"/>
        <v>25021.600000000006</v>
      </c>
      <c r="AI3946" s="47"/>
      <c r="AJ3946" s="126" t="e">
        <v>#N/A</v>
      </c>
      <c r="AK3946" s="80">
        <f t="shared" si="610"/>
        <v>0</v>
      </c>
      <c r="AM3946" s="85"/>
    </row>
    <row r="3947" spans="1:39" hidden="1" x14ac:dyDescent="0.3">
      <c r="A3947" s="89" t="s">
        <v>3395</v>
      </c>
      <c r="B3947" s="86" t="s">
        <v>35</v>
      </c>
      <c r="C3947" s="86" t="s">
        <v>65</v>
      </c>
      <c r="D3947" s="86" t="s">
        <v>1291</v>
      </c>
      <c r="E3947" s="86" t="s">
        <v>1302</v>
      </c>
      <c r="F3947" s="86" t="s">
        <v>1303</v>
      </c>
      <c r="G3947" s="86" t="s">
        <v>1302</v>
      </c>
      <c r="H3947" s="144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1304</v>
      </c>
      <c r="N3947" s="86"/>
      <c r="O3947" s="47" t="s">
        <v>410</v>
      </c>
      <c r="P3947" s="47" t="s">
        <v>41</v>
      </c>
      <c r="Q3947" s="14">
        <v>0</v>
      </c>
      <c r="R3947" s="143" t="s">
        <v>1305</v>
      </c>
      <c r="S3947" s="47"/>
      <c r="T3947" s="6">
        <v>18961.479999999996</v>
      </c>
      <c r="U3947" s="6">
        <v>50000</v>
      </c>
      <c r="V3947" s="6">
        <v>27680.7</v>
      </c>
      <c r="W3947" s="6">
        <f t="shared" si="604"/>
        <v>41280.78</v>
      </c>
      <c r="X3947" s="6">
        <f t="shared" si="605"/>
        <v>27680.7</v>
      </c>
      <c r="Y3947" s="13">
        <f t="shared" si="608"/>
        <v>0</v>
      </c>
      <c r="Z3947" s="14">
        <v>0</v>
      </c>
      <c r="AA3947" s="6">
        <v>0</v>
      </c>
      <c r="AB3947" s="4">
        <f t="shared" si="609"/>
        <v>27680.7</v>
      </c>
      <c r="AC3947" s="4">
        <f t="shared" si="611"/>
        <v>0</v>
      </c>
      <c r="AD3947" s="6">
        <f t="shared" si="606"/>
        <v>27680.7</v>
      </c>
      <c r="AE3947" s="2">
        <f>VLOOKUP(I3947,[1]媒体政策预估表!A:N,MATCH(O3947,[1]媒体政策预估表!$A$2:$M$2,0),0)</f>
        <v>7.0000000000000007E-2</v>
      </c>
      <c r="AF3947" s="6">
        <f t="shared" si="612"/>
        <v>1937.6490000000003</v>
      </c>
      <c r="AG3947" s="14">
        <v>0</v>
      </c>
      <c r="AH3947" s="65">
        <f t="shared" si="607"/>
        <v>27680.7</v>
      </c>
      <c r="AI3947" s="47"/>
      <c r="AJ3947" s="126" t="e">
        <v>#N/A</v>
      </c>
      <c r="AK3947" s="80">
        <f t="shared" si="610"/>
        <v>0</v>
      </c>
      <c r="AM3947" s="85"/>
    </row>
    <row r="3948" spans="1:39" hidden="1" x14ac:dyDescent="0.3">
      <c r="A3948" s="89" t="s">
        <v>3395</v>
      </c>
      <c r="B3948" s="86" t="s">
        <v>35</v>
      </c>
      <c r="C3948" s="86" t="s">
        <v>65</v>
      </c>
      <c r="D3948" s="86" t="s">
        <v>1291</v>
      </c>
      <c r="E3948" s="86" t="s">
        <v>1306</v>
      </c>
      <c r="F3948" s="86" t="s">
        <v>1306</v>
      </c>
      <c r="G3948" s="86" t="s">
        <v>1306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1306</v>
      </c>
      <c r="N3948" s="86"/>
      <c r="O3948" s="47" t="s">
        <v>410</v>
      </c>
      <c r="P3948" s="47" t="s">
        <v>41</v>
      </c>
      <c r="Q3948" s="14">
        <v>0</v>
      </c>
      <c r="R3948" s="143" t="s">
        <v>1307</v>
      </c>
      <c r="S3948" s="47"/>
      <c r="T3948" s="6">
        <v>10000</v>
      </c>
      <c r="U3948" s="6">
        <v>12000</v>
      </c>
      <c r="V3948" s="6">
        <v>0</v>
      </c>
      <c r="W3948" s="6">
        <f t="shared" si="604"/>
        <v>22000</v>
      </c>
      <c r="X3948" s="6">
        <f t="shared" si="605"/>
        <v>0</v>
      </c>
      <c r="Y3948" s="13">
        <f t="shared" si="608"/>
        <v>0</v>
      </c>
      <c r="Z3948" s="14">
        <v>0</v>
      </c>
      <c r="AA3948" s="6">
        <v>0</v>
      </c>
      <c r="AB3948" s="4">
        <f t="shared" si="609"/>
        <v>0</v>
      </c>
      <c r="AC3948" s="4">
        <f t="shared" si="611"/>
        <v>0</v>
      </c>
      <c r="AD3948" s="6">
        <f t="shared" si="606"/>
        <v>0</v>
      </c>
      <c r="AE3948" s="2">
        <f>VLOOKUP(I3948,[1]媒体政策预估表!A:N,MATCH(O3948,[1]媒体政策预估表!$A$2:$M$2,0),0)</f>
        <v>7.0000000000000007E-2</v>
      </c>
      <c r="AF3948" s="6">
        <f t="shared" si="612"/>
        <v>0</v>
      </c>
      <c r="AG3948" s="14">
        <v>0</v>
      </c>
      <c r="AH3948" s="65">
        <f t="shared" si="607"/>
        <v>0</v>
      </c>
      <c r="AI3948" s="47"/>
      <c r="AJ3948" s="126" t="e">
        <v>#N/A</v>
      </c>
      <c r="AK3948" s="80">
        <f t="shared" si="610"/>
        <v>0</v>
      </c>
      <c r="AM3948" s="85"/>
    </row>
    <row r="3949" spans="1:39" hidden="1" x14ac:dyDescent="0.3">
      <c r="A3949" s="89" t="s">
        <v>3395</v>
      </c>
      <c r="B3949" s="86" t="s">
        <v>35</v>
      </c>
      <c r="C3949" s="86" t="s">
        <v>65</v>
      </c>
      <c r="D3949" s="86" t="s">
        <v>1291</v>
      </c>
      <c r="E3949" s="86" t="s">
        <v>1300</v>
      </c>
      <c r="F3949" s="86" t="s">
        <v>1300</v>
      </c>
      <c r="G3949" s="86" t="s">
        <v>1300</v>
      </c>
      <c r="H3949" s="144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1300</v>
      </c>
      <c r="N3949" s="86"/>
      <c r="O3949" s="47" t="s">
        <v>410</v>
      </c>
      <c r="P3949" s="47" t="s">
        <v>41</v>
      </c>
      <c r="Q3949" s="14">
        <v>0</v>
      </c>
      <c r="R3949" s="143" t="s">
        <v>1301</v>
      </c>
      <c r="S3949" s="47"/>
      <c r="T3949" s="6">
        <v>0</v>
      </c>
      <c r="U3949" s="6">
        <v>60000</v>
      </c>
      <c r="V3949" s="6">
        <v>43197.5</v>
      </c>
      <c r="W3949" s="6">
        <f t="shared" si="604"/>
        <v>16802.5</v>
      </c>
      <c r="X3949" s="6">
        <f t="shared" si="605"/>
        <v>43197.5</v>
      </c>
      <c r="Y3949" s="13">
        <f t="shared" si="608"/>
        <v>0</v>
      </c>
      <c r="Z3949" s="14">
        <v>0</v>
      </c>
      <c r="AA3949" s="6">
        <v>0</v>
      </c>
      <c r="AB3949" s="4">
        <f t="shared" si="609"/>
        <v>43197.5</v>
      </c>
      <c r="AC3949" s="4">
        <f t="shared" si="611"/>
        <v>0</v>
      </c>
      <c r="AD3949" s="6">
        <f t="shared" si="606"/>
        <v>43197.5</v>
      </c>
      <c r="AE3949" s="2">
        <f>VLOOKUP(I3949,[1]媒体政策预估表!A:N,MATCH(O3949,[1]媒体政策预估表!$A$2:$M$2,0),0)</f>
        <v>7.0000000000000007E-2</v>
      </c>
      <c r="AF3949" s="6">
        <f t="shared" si="612"/>
        <v>3023.8250000000003</v>
      </c>
      <c r="AG3949" s="14">
        <v>0</v>
      </c>
      <c r="AH3949" s="65">
        <f t="shared" si="607"/>
        <v>43197.5</v>
      </c>
      <c r="AI3949" s="47"/>
      <c r="AJ3949" s="126" t="e">
        <v>#N/A</v>
      </c>
      <c r="AK3949" s="80">
        <f t="shared" si="610"/>
        <v>0</v>
      </c>
      <c r="AM3949" s="85"/>
    </row>
    <row r="3950" spans="1:39" hidden="1" x14ac:dyDescent="0.3">
      <c r="A3950" s="89" t="s">
        <v>3394</v>
      </c>
      <c r="B3950" s="86" t="s">
        <v>35</v>
      </c>
      <c r="C3950" s="86" t="s">
        <v>65</v>
      </c>
      <c r="D3950" s="86" t="s">
        <v>1291</v>
      </c>
      <c r="E3950" s="86" t="s">
        <v>1311</v>
      </c>
      <c r="F3950" s="86" t="s">
        <v>1311</v>
      </c>
      <c r="G3950" s="86" t="s">
        <v>1311</v>
      </c>
      <c r="H3950" s="144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3510</v>
      </c>
      <c r="N3950" s="86"/>
      <c r="O3950" s="47" t="s">
        <v>410</v>
      </c>
      <c r="P3950" s="47" t="s">
        <v>41</v>
      </c>
      <c r="Q3950" s="14">
        <v>0</v>
      </c>
      <c r="R3950" s="143" t="s">
        <v>3511</v>
      </c>
      <c r="S3950" s="47"/>
      <c r="T3950" s="6">
        <v>0</v>
      </c>
      <c r="U3950" s="6">
        <v>10000</v>
      </c>
      <c r="V3950" s="6">
        <v>181.5</v>
      </c>
      <c r="W3950" s="6">
        <f t="shared" si="604"/>
        <v>9818.5</v>
      </c>
      <c r="X3950" s="6">
        <f t="shared" si="605"/>
        <v>181.5</v>
      </c>
      <c r="Y3950" s="13">
        <f t="shared" si="608"/>
        <v>0</v>
      </c>
      <c r="Z3950" s="14">
        <v>0</v>
      </c>
      <c r="AA3950" s="6">
        <v>0</v>
      </c>
      <c r="AB3950" s="4">
        <f t="shared" si="609"/>
        <v>181.5</v>
      </c>
      <c r="AC3950" s="4">
        <f t="shared" si="611"/>
        <v>0</v>
      </c>
      <c r="AD3950" s="6">
        <f t="shared" si="606"/>
        <v>181.5</v>
      </c>
      <c r="AE3950" s="2">
        <f>VLOOKUP(I3950,[1]媒体政策预估表!A:N,MATCH(O3950,[1]媒体政策预估表!$A$2:$M$2,0),0)</f>
        <v>7.0000000000000007E-2</v>
      </c>
      <c r="AF3950" s="6">
        <f t="shared" si="612"/>
        <v>12.705000000000002</v>
      </c>
      <c r="AG3950" s="14">
        <v>0</v>
      </c>
      <c r="AH3950" s="65">
        <f t="shared" si="607"/>
        <v>181.5</v>
      </c>
      <c r="AI3950" s="47"/>
      <c r="AJ3950" s="126" t="e">
        <v>#N/A</v>
      </c>
      <c r="AK3950" s="80">
        <f t="shared" si="610"/>
        <v>0</v>
      </c>
      <c r="AM3950" s="85"/>
    </row>
    <row r="3951" spans="1:39" hidden="1" x14ac:dyDescent="0.3">
      <c r="A3951" s="89" t="s">
        <v>3395</v>
      </c>
      <c r="B3951" s="86" t="s">
        <v>35</v>
      </c>
      <c r="C3951" s="86" t="s">
        <v>65</v>
      </c>
      <c r="D3951" s="86" t="s">
        <v>1291</v>
      </c>
      <c r="E3951" s="86" t="s">
        <v>1311</v>
      </c>
      <c r="F3951" s="86" t="s">
        <v>1312</v>
      </c>
      <c r="G3951" s="86" t="s">
        <v>1311</v>
      </c>
      <c r="H3951" s="144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1311</v>
      </c>
      <c r="N3951" s="86"/>
      <c r="O3951" s="47" t="s">
        <v>410</v>
      </c>
      <c r="P3951" s="47" t="s">
        <v>41</v>
      </c>
      <c r="Q3951" s="14">
        <v>0</v>
      </c>
      <c r="R3951" s="143" t="s">
        <v>1313</v>
      </c>
      <c r="S3951" s="47"/>
      <c r="T3951" s="6">
        <v>11952</v>
      </c>
      <c r="U3951" s="6">
        <v>39000</v>
      </c>
      <c r="V3951" s="6">
        <v>41723</v>
      </c>
      <c r="W3951" s="6">
        <f t="shared" si="604"/>
        <v>9229</v>
      </c>
      <c r="X3951" s="6">
        <f t="shared" si="605"/>
        <v>41723</v>
      </c>
      <c r="Y3951" s="13">
        <f t="shared" si="608"/>
        <v>0</v>
      </c>
      <c r="Z3951" s="14">
        <v>0</v>
      </c>
      <c r="AA3951" s="6">
        <v>0</v>
      </c>
      <c r="AB3951" s="4">
        <f t="shared" si="609"/>
        <v>41723</v>
      </c>
      <c r="AC3951" s="4">
        <f t="shared" si="611"/>
        <v>0</v>
      </c>
      <c r="AD3951" s="6">
        <f t="shared" si="606"/>
        <v>41723</v>
      </c>
      <c r="AE3951" s="2">
        <f>VLOOKUP(I3951,[1]媒体政策预估表!A:N,MATCH(O3951,[1]媒体政策预估表!$A$2:$M$2,0),0)</f>
        <v>7.0000000000000007E-2</v>
      </c>
      <c r="AF3951" s="6">
        <f t="shared" si="612"/>
        <v>2920.61</v>
      </c>
      <c r="AG3951" s="14">
        <v>0</v>
      </c>
      <c r="AH3951" s="65">
        <f t="shared" si="607"/>
        <v>41723</v>
      </c>
      <c r="AI3951" s="47"/>
      <c r="AJ3951" s="126" t="e">
        <v>#N/A</v>
      </c>
      <c r="AK3951" s="80">
        <f t="shared" si="610"/>
        <v>0</v>
      </c>
      <c r="AM3951" s="85"/>
    </row>
    <row r="3952" spans="1:39" hidden="1" x14ac:dyDescent="0.3">
      <c r="A3952" s="89" t="s">
        <v>3394</v>
      </c>
      <c r="B3952" s="86" t="s">
        <v>35</v>
      </c>
      <c r="C3952" s="86" t="s">
        <v>65</v>
      </c>
      <c r="D3952" s="86" t="s">
        <v>1291</v>
      </c>
      <c r="E3952" s="86" t="s">
        <v>1314</v>
      </c>
      <c r="F3952" s="86" t="s">
        <v>1314</v>
      </c>
      <c r="G3952" s="86" t="s">
        <v>1314</v>
      </c>
      <c r="H3952" s="144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1315</v>
      </c>
      <c r="N3952" s="86"/>
      <c r="O3952" s="47" t="s">
        <v>410</v>
      </c>
      <c r="P3952" s="47" t="s">
        <v>41</v>
      </c>
      <c r="Q3952" s="14">
        <v>0</v>
      </c>
      <c r="R3952" s="143" t="s">
        <v>1316</v>
      </c>
      <c r="S3952" s="47"/>
      <c r="T3952" s="6">
        <v>192.40000000000146</v>
      </c>
      <c r="U3952" s="6">
        <v>30000</v>
      </c>
      <c r="V3952" s="6">
        <v>27854.6</v>
      </c>
      <c r="W3952" s="6">
        <f t="shared" si="604"/>
        <v>2337.8000000000029</v>
      </c>
      <c r="X3952" s="6">
        <f t="shared" si="605"/>
        <v>27854.6</v>
      </c>
      <c r="Y3952" s="13">
        <f t="shared" si="608"/>
        <v>0</v>
      </c>
      <c r="Z3952" s="14">
        <v>0</v>
      </c>
      <c r="AA3952" s="6">
        <v>0</v>
      </c>
      <c r="AB3952" s="4">
        <f t="shared" si="609"/>
        <v>27854.6</v>
      </c>
      <c r="AC3952" s="4">
        <f t="shared" si="611"/>
        <v>0</v>
      </c>
      <c r="AD3952" s="6">
        <f t="shared" si="606"/>
        <v>27854.6</v>
      </c>
      <c r="AE3952" s="2">
        <f>VLOOKUP(I3952,[1]媒体政策预估表!A:N,MATCH(O3952,[1]媒体政策预估表!$A$2:$M$2,0),0)</f>
        <v>7.0000000000000007E-2</v>
      </c>
      <c r="AF3952" s="6">
        <f t="shared" si="612"/>
        <v>1949.8220000000001</v>
      </c>
      <c r="AG3952" s="14">
        <v>0</v>
      </c>
      <c r="AH3952" s="65">
        <f t="shared" si="607"/>
        <v>27854.6</v>
      </c>
      <c r="AI3952" s="47"/>
      <c r="AJ3952" s="126" t="e">
        <v>#N/A</v>
      </c>
      <c r="AK3952" s="80">
        <f t="shared" si="610"/>
        <v>0</v>
      </c>
      <c r="AM3952" s="85"/>
    </row>
    <row r="3953" spans="1:39" hidden="1" x14ac:dyDescent="0.3">
      <c r="A3953" s="89" t="s">
        <v>3394</v>
      </c>
      <c r="B3953" s="86" t="s">
        <v>35</v>
      </c>
      <c r="C3953" s="86" t="s">
        <v>47</v>
      </c>
      <c r="D3953" s="86" t="s">
        <v>1317</v>
      </c>
      <c r="E3953" s="86" t="s">
        <v>1318</v>
      </c>
      <c r="F3953" s="86" t="s">
        <v>1318</v>
      </c>
      <c r="G3953" s="86" t="s">
        <v>1318</v>
      </c>
      <c r="H3953" s="144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1318</v>
      </c>
      <c r="N3953" s="86"/>
      <c r="O3953" s="47" t="s">
        <v>410</v>
      </c>
      <c r="P3953" s="47" t="s">
        <v>41</v>
      </c>
      <c r="Q3953" s="14">
        <v>0</v>
      </c>
      <c r="R3953" s="143" t="s">
        <v>1319</v>
      </c>
      <c r="S3953" s="47"/>
      <c r="T3953" s="6">
        <v>9081.239999999998</v>
      </c>
      <c r="U3953" s="6">
        <v>20000</v>
      </c>
      <c r="V3953" s="6">
        <v>15330.5</v>
      </c>
      <c r="W3953" s="6">
        <f t="shared" si="604"/>
        <v>13750.739999999998</v>
      </c>
      <c r="X3953" s="6">
        <f t="shared" si="605"/>
        <v>15330.5</v>
      </c>
      <c r="Y3953" s="13">
        <f t="shared" si="608"/>
        <v>0</v>
      </c>
      <c r="Z3953" s="14">
        <v>0</v>
      </c>
      <c r="AA3953" s="6">
        <v>0</v>
      </c>
      <c r="AB3953" s="4">
        <f t="shared" si="609"/>
        <v>15330.5</v>
      </c>
      <c r="AC3953" s="4">
        <f t="shared" si="611"/>
        <v>0</v>
      </c>
      <c r="AD3953" s="6">
        <f t="shared" si="606"/>
        <v>15330.5</v>
      </c>
      <c r="AE3953" s="2">
        <f>VLOOKUP(I3953,[1]媒体政策预估表!A:N,MATCH(O3953,[1]媒体政策预估表!$A$2:$M$2,0),0)</f>
        <v>7.0000000000000007E-2</v>
      </c>
      <c r="AF3953" s="6">
        <f t="shared" si="612"/>
        <v>1073.135</v>
      </c>
      <c r="AG3953" s="14">
        <v>0</v>
      </c>
      <c r="AH3953" s="65">
        <f t="shared" si="607"/>
        <v>15330.5</v>
      </c>
      <c r="AI3953" s="47"/>
      <c r="AJ3953" s="126" t="e">
        <v>#N/A</v>
      </c>
      <c r="AK3953" s="80">
        <f t="shared" si="610"/>
        <v>0</v>
      </c>
      <c r="AM3953" s="85"/>
    </row>
    <row r="3954" spans="1:39" hidden="1" x14ac:dyDescent="0.3">
      <c r="A3954" s="89" t="s">
        <v>3395</v>
      </c>
      <c r="B3954" s="86" t="s">
        <v>35</v>
      </c>
      <c r="C3954" s="86" t="s">
        <v>47</v>
      </c>
      <c r="D3954" s="86" t="s">
        <v>1317</v>
      </c>
      <c r="E3954" s="86" t="s">
        <v>3512</v>
      </c>
      <c r="F3954" s="86" t="s">
        <v>3512</v>
      </c>
      <c r="G3954" s="86" t="s">
        <v>3512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3512</v>
      </c>
      <c r="N3954" s="86"/>
      <c r="O3954" s="47" t="s">
        <v>410</v>
      </c>
      <c r="P3954" s="47" t="s">
        <v>41</v>
      </c>
      <c r="Q3954" s="14">
        <v>0</v>
      </c>
      <c r="R3954" s="143">
        <v>18122458657</v>
      </c>
      <c r="S3954" s="47"/>
      <c r="T3954" s="6">
        <v>0</v>
      </c>
      <c r="U3954" s="6">
        <v>50000</v>
      </c>
      <c r="V3954" s="6">
        <v>39234.949929999995</v>
      </c>
      <c r="W3954" s="6">
        <f t="shared" si="604"/>
        <v>10765.050070000005</v>
      </c>
      <c r="X3954" s="6">
        <f t="shared" si="605"/>
        <v>39234.949929999995</v>
      </c>
      <c r="Y3954" s="13">
        <f t="shared" si="608"/>
        <v>0</v>
      </c>
      <c r="Z3954" s="14">
        <v>0</v>
      </c>
      <c r="AA3954" s="6">
        <v>0</v>
      </c>
      <c r="AB3954" s="4">
        <f t="shared" si="609"/>
        <v>39234.949929999995</v>
      </c>
      <c r="AC3954" s="4">
        <f t="shared" si="611"/>
        <v>0</v>
      </c>
      <c r="AD3954" s="6">
        <f t="shared" si="606"/>
        <v>39234.949929999995</v>
      </c>
      <c r="AE3954" s="2">
        <f>VLOOKUP(I3954,[1]媒体政策预估表!A:N,MATCH(O3954,[1]媒体政策预估表!$A$2:$M$2,0),0)</f>
        <v>7.0000000000000007E-2</v>
      </c>
      <c r="AF3954" s="6">
        <f t="shared" si="612"/>
        <v>2746.4464951</v>
      </c>
      <c r="AG3954" s="14">
        <v>0</v>
      </c>
      <c r="AH3954" s="65">
        <f t="shared" si="607"/>
        <v>39234.949929999995</v>
      </c>
      <c r="AI3954" s="47"/>
      <c r="AJ3954" s="126" t="e">
        <v>#N/A</v>
      </c>
      <c r="AK3954" s="80">
        <f t="shared" si="610"/>
        <v>0</v>
      </c>
      <c r="AM3954" s="85"/>
    </row>
    <row r="3955" spans="1:39" hidden="1" x14ac:dyDescent="0.3">
      <c r="A3955" s="89" t="s">
        <v>3395</v>
      </c>
      <c r="B3955" s="86" t="s">
        <v>35</v>
      </c>
      <c r="C3955" s="86" t="s">
        <v>47</v>
      </c>
      <c r="D3955" s="86" t="s">
        <v>63</v>
      </c>
      <c r="E3955" s="86" t="s">
        <v>1320</v>
      </c>
      <c r="F3955" s="86" t="s">
        <v>1321</v>
      </c>
      <c r="G3955" s="86" t="s">
        <v>1320</v>
      </c>
      <c r="H3955" s="144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1320</v>
      </c>
      <c r="N3955" s="86"/>
      <c r="O3955" s="47" t="s">
        <v>410</v>
      </c>
      <c r="P3955" s="47" t="s">
        <v>41</v>
      </c>
      <c r="Q3955" s="14">
        <v>0</v>
      </c>
      <c r="R3955" s="143" t="s">
        <v>1322</v>
      </c>
      <c r="S3955" s="47"/>
      <c r="T3955" s="6">
        <v>175200.76280000014</v>
      </c>
      <c r="U3955" s="6">
        <v>2400000</v>
      </c>
      <c r="V3955" s="6">
        <v>2340136.7085299999</v>
      </c>
      <c r="W3955" s="6">
        <f t="shared" si="604"/>
        <v>235064.0542700002</v>
      </c>
      <c r="X3955" s="6">
        <f t="shared" si="605"/>
        <v>2340136.7085299999</v>
      </c>
      <c r="Y3955" s="13">
        <f t="shared" si="608"/>
        <v>0</v>
      </c>
      <c r="Z3955" s="14">
        <v>0</v>
      </c>
      <c r="AA3955" s="6">
        <v>0</v>
      </c>
      <c r="AB3955" s="4">
        <f t="shared" si="609"/>
        <v>2340136.7085299999</v>
      </c>
      <c r="AC3955" s="4">
        <f t="shared" si="611"/>
        <v>0</v>
      </c>
      <c r="AD3955" s="6">
        <f t="shared" si="606"/>
        <v>2340136.7085299999</v>
      </c>
      <c r="AE3955" s="2">
        <f>VLOOKUP(I3955,[1]媒体政策预估表!A:N,MATCH(O3955,[1]媒体政策预估表!$A$2:$M$2,0),0)</f>
        <v>7.0000000000000007E-2</v>
      </c>
      <c r="AF3955" s="6">
        <f t="shared" si="612"/>
        <v>163809.56959710002</v>
      </c>
      <c r="AG3955" s="14">
        <v>0</v>
      </c>
      <c r="AH3955" s="65">
        <f t="shared" si="607"/>
        <v>2340136.7085299999</v>
      </c>
      <c r="AI3955" s="47"/>
      <c r="AJ3955" s="126" t="e">
        <v>#N/A</v>
      </c>
      <c r="AK3955" s="80">
        <f t="shared" si="610"/>
        <v>0</v>
      </c>
      <c r="AM3955" s="85"/>
    </row>
    <row r="3956" spans="1:39" hidden="1" x14ac:dyDescent="0.3">
      <c r="A3956" s="89" t="s">
        <v>3394</v>
      </c>
      <c r="B3956" s="86" t="s">
        <v>35</v>
      </c>
      <c r="C3956" s="86" t="s">
        <v>47</v>
      </c>
      <c r="D3956" s="86" t="s">
        <v>48</v>
      </c>
      <c r="E3956" s="86" t="s">
        <v>540</v>
      </c>
      <c r="F3956" s="86" t="s">
        <v>541</v>
      </c>
      <c r="G3956" s="86" t="s">
        <v>540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540</v>
      </c>
      <c r="N3956" s="86"/>
      <c r="O3956" s="47" t="s">
        <v>410</v>
      </c>
      <c r="P3956" s="47" t="s">
        <v>41</v>
      </c>
      <c r="Q3956" s="14">
        <v>0</v>
      </c>
      <c r="R3956" s="143" t="s">
        <v>1355</v>
      </c>
      <c r="S3956" s="47"/>
      <c r="T3956" s="6">
        <v>14654.400000000001</v>
      </c>
      <c r="U3956" s="6">
        <v>250000</v>
      </c>
      <c r="V3956" s="6">
        <v>155798</v>
      </c>
      <c r="W3956" s="6">
        <f t="shared" si="604"/>
        <v>108856.40000000002</v>
      </c>
      <c r="X3956" s="6">
        <f t="shared" si="605"/>
        <v>155798</v>
      </c>
      <c r="Y3956" s="13">
        <f t="shared" si="608"/>
        <v>0</v>
      </c>
      <c r="Z3956" s="14">
        <v>0</v>
      </c>
      <c r="AA3956" s="6">
        <v>0</v>
      </c>
      <c r="AB3956" s="4">
        <f t="shared" si="609"/>
        <v>155798</v>
      </c>
      <c r="AC3956" s="4">
        <f t="shared" si="611"/>
        <v>0</v>
      </c>
      <c r="AD3956" s="6">
        <f t="shared" si="606"/>
        <v>155798</v>
      </c>
      <c r="AE3956" s="2">
        <f>VLOOKUP(I3956,[1]媒体政策预估表!A:N,MATCH(O3956,[1]媒体政策预估表!$A$2:$M$2,0),0)</f>
        <v>7.0000000000000007E-2</v>
      </c>
      <c r="AF3956" s="6">
        <f t="shared" si="612"/>
        <v>10905.86</v>
      </c>
      <c r="AG3956" s="14">
        <v>0</v>
      </c>
      <c r="AH3956" s="65">
        <f t="shared" si="607"/>
        <v>155798</v>
      </c>
      <c r="AI3956" s="47"/>
      <c r="AJ3956" s="126" t="e">
        <v>#N/A</v>
      </c>
      <c r="AK3956" s="80">
        <f t="shared" si="610"/>
        <v>0</v>
      </c>
      <c r="AM3956" s="85"/>
    </row>
    <row r="3957" spans="1:39" hidden="1" x14ac:dyDescent="0.3">
      <c r="A3957" s="89" t="s">
        <v>3394</v>
      </c>
      <c r="B3957" s="86" t="s">
        <v>35</v>
      </c>
      <c r="C3957" s="86" t="s">
        <v>47</v>
      </c>
      <c r="D3957" s="86" t="s">
        <v>48</v>
      </c>
      <c r="E3957" s="86" t="s">
        <v>1356</v>
      </c>
      <c r="F3957" s="86" t="s">
        <v>1356</v>
      </c>
      <c r="G3957" s="86" t="s">
        <v>1356</v>
      </c>
      <c r="H3957" s="144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1357</v>
      </c>
      <c r="N3957" s="86"/>
      <c r="O3957" s="47" t="s">
        <v>410</v>
      </c>
      <c r="P3957" s="47" t="s">
        <v>46</v>
      </c>
      <c r="Q3957" s="14">
        <v>0.02</v>
      </c>
      <c r="R3957" s="143" t="s">
        <v>1358</v>
      </c>
      <c r="S3957" s="47"/>
      <c r="T3957" s="6">
        <v>9963.7000300000072</v>
      </c>
      <c r="U3957" s="6">
        <v>239999.89</v>
      </c>
      <c r="V3957" s="6">
        <v>199780.2</v>
      </c>
      <c r="W3957" s="6">
        <f t="shared" si="604"/>
        <v>50183.39003000001</v>
      </c>
      <c r="X3957" s="6">
        <f t="shared" si="605"/>
        <v>195862.9411764706</v>
      </c>
      <c r="Y3957" s="13">
        <f t="shared" si="608"/>
        <v>0</v>
      </c>
      <c r="Z3957" s="14">
        <v>0</v>
      </c>
      <c r="AA3957" s="6">
        <v>0</v>
      </c>
      <c r="AB3957" s="4">
        <f t="shared" si="609"/>
        <v>195862.9411764706</v>
      </c>
      <c r="AC3957" s="4">
        <f t="shared" si="611"/>
        <v>3917.2588235294097</v>
      </c>
      <c r="AD3957" s="6">
        <f t="shared" si="606"/>
        <v>199780.2</v>
      </c>
      <c r="AE3957" s="2">
        <f>VLOOKUP(I3957,[1]媒体政策预估表!A:N,MATCH(O3957,[1]媒体政策预估表!$A$2:$M$2,0),0)</f>
        <v>7.0000000000000007E-2</v>
      </c>
      <c r="AF3957" s="6">
        <f t="shared" si="612"/>
        <v>13984.614000000001</v>
      </c>
      <c r="AG3957" s="14">
        <v>0</v>
      </c>
      <c r="AH3957" s="65">
        <f t="shared" si="607"/>
        <v>199780.2</v>
      </c>
      <c r="AI3957" s="47"/>
      <c r="AJ3957" s="126" t="e">
        <v>#N/A</v>
      </c>
      <c r="AK3957" s="80">
        <f t="shared" si="610"/>
        <v>0</v>
      </c>
      <c r="AM3957" s="85"/>
    </row>
    <row r="3958" spans="1:39" hidden="1" x14ac:dyDescent="0.3">
      <c r="A3958" s="89" t="s">
        <v>3395</v>
      </c>
      <c r="B3958" s="86" t="s">
        <v>35</v>
      </c>
      <c r="C3958" s="86" t="s">
        <v>47</v>
      </c>
      <c r="D3958" s="86" t="s">
        <v>48</v>
      </c>
      <c r="E3958" s="86" t="s">
        <v>1356</v>
      </c>
      <c r="F3958" s="86" t="s">
        <v>1356</v>
      </c>
      <c r="G3958" s="86" t="s">
        <v>1356</v>
      </c>
      <c r="H3958" s="144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1359</v>
      </c>
      <c r="N3958" s="86"/>
      <c r="O3958" s="47" t="s">
        <v>410</v>
      </c>
      <c r="P3958" s="47" t="s">
        <v>46</v>
      </c>
      <c r="Q3958" s="14">
        <v>0.02</v>
      </c>
      <c r="R3958" s="143" t="s">
        <v>1360</v>
      </c>
      <c r="S3958" s="47"/>
      <c r="T3958" s="6">
        <v>27561.51999999999</v>
      </c>
      <c r="U3958" s="6">
        <v>119999.89</v>
      </c>
      <c r="V3958" s="6">
        <v>123269.4</v>
      </c>
      <c r="W3958" s="6">
        <f t="shared" si="604"/>
        <v>24292.00999999998</v>
      </c>
      <c r="X3958" s="6">
        <f t="shared" si="605"/>
        <v>120852.35294117646</v>
      </c>
      <c r="Y3958" s="13">
        <f t="shared" si="608"/>
        <v>0</v>
      </c>
      <c r="Z3958" s="14">
        <v>0</v>
      </c>
      <c r="AA3958" s="6">
        <v>0</v>
      </c>
      <c r="AB3958" s="4">
        <f t="shared" si="609"/>
        <v>120852.35294117646</v>
      </c>
      <c r="AC3958" s="4">
        <f t="shared" si="611"/>
        <v>2417.047058823533</v>
      </c>
      <c r="AD3958" s="6">
        <f t="shared" si="606"/>
        <v>123269.4</v>
      </c>
      <c r="AE3958" s="2">
        <f>VLOOKUP(I3958,[1]媒体政策预估表!A:N,MATCH(O3958,[1]媒体政策预估表!$A$2:$M$2,0),0)</f>
        <v>7.0000000000000007E-2</v>
      </c>
      <c r="AF3958" s="6">
        <f t="shared" si="612"/>
        <v>8628.8580000000002</v>
      </c>
      <c r="AG3958" s="14">
        <v>0</v>
      </c>
      <c r="AH3958" s="65">
        <f t="shared" si="607"/>
        <v>123269.4</v>
      </c>
      <c r="AI3958" s="47"/>
      <c r="AJ3958" s="126" t="e">
        <v>#N/A</v>
      </c>
      <c r="AK3958" s="80">
        <f t="shared" si="610"/>
        <v>0</v>
      </c>
      <c r="AM3958" s="85"/>
    </row>
    <row r="3959" spans="1:39" hidden="1" x14ac:dyDescent="0.3">
      <c r="A3959" s="89" t="s">
        <v>3394</v>
      </c>
      <c r="B3959" s="86" t="s">
        <v>35</v>
      </c>
      <c r="C3959" s="86" t="s">
        <v>47</v>
      </c>
      <c r="D3959" s="86" t="s">
        <v>48</v>
      </c>
      <c r="E3959" s="86" t="s">
        <v>3513</v>
      </c>
      <c r="F3959" s="86" t="s">
        <v>3513</v>
      </c>
      <c r="G3959" s="86" t="s">
        <v>3513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3513</v>
      </c>
      <c r="N3959" s="86"/>
      <c r="O3959" s="47" t="s">
        <v>410</v>
      </c>
      <c r="P3959" s="47" t="s">
        <v>41</v>
      </c>
      <c r="Q3959" s="14">
        <v>0</v>
      </c>
      <c r="R3959" s="143" t="s">
        <v>3514</v>
      </c>
      <c r="S3959" s="47"/>
      <c r="T3959" s="6">
        <v>0</v>
      </c>
      <c r="U3959" s="6">
        <v>10000</v>
      </c>
      <c r="V3959" s="6">
        <v>9997.98</v>
      </c>
      <c r="W3959" s="6">
        <f t="shared" si="604"/>
        <v>2.0200000000004366</v>
      </c>
      <c r="X3959" s="6">
        <f t="shared" si="605"/>
        <v>9997.98</v>
      </c>
      <c r="Y3959" s="13">
        <f t="shared" si="608"/>
        <v>0</v>
      </c>
      <c r="Z3959" s="14">
        <v>0</v>
      </c>
      <c r="AA3959" s="6">
        <v>0</v>
      </c>
      <c r="AB3959" s="4">
        <f t="shared" si="609"/>
        <v>9997.98</v>
      </c>
      <c r="AC3959" s="4">
        <f t="shared" si="611"/>
        <v>0</v>
      </c>
      <c r="AD3959" s="6">
        <f t="shared" si="606"/>
        <v>9997.98</v>
      </c>
      <c r="AE3959" s="2">
        <f>VLOOKUP(I3959,[1]媒体政策预估表!A:N,MATCH(O3959,[1]媒体政策预估表!$A$2:$M$2,0),0)</f>
        <v>7.0000000000000007E-2</v>
      </c>
      <c r="AF3959" s="6">
        <f t="shared" si="612"/>
        <v>699.85860000000002</v>
      </c>
      <c r="AG3959" s="14">
        <v>0</v>
      </c>
      <c r="AH3959" s="65">
        <f t="shared" si="607"/>
        <v>9997.98</v>
      </c>
      <c r="AI3959" s="47"/>
      <c r="AJ3959" s="126" t="e">
        <v>#N/A</v>
      </c>
      <c r="AK3959" s="80">
        <f t="shared" si="610"/>
        <v>0</v>
      </c>
      <c r="AM3959" s="85"/>
    </row>
    <row r="3960" spans="1:39" hidden="1" x14ac:dyDescent="0.3">
      <c r="A3960" s="89" t="s">
        <v>3394</v>
      </c>
      <c r="B3960" s="86" t="s">
        <v>35</v>
      </c>
      <c r="C3960" s="86" t="s">
        <v>47</v>
      </c>
      <c r="D3960" s="86" t="s">
        <v>48</v>
      </c>
      <c r="E3960" s="86" t="s">
        <v>1364</v>
      </c>
      <c r="F3960" s="86" t="s">
        <v>1364</v>
      </c>
      <c r="G3960" s="86" t="s">
        <v>1364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1364</v>
      </c>
      <c r="N3960" s="86"/>
      <c r="O3960" s="47" t="s">
        <v>410</v>
      </c>
      <c r="P3960" s="47" t="s">
        <v>41</v>
      </c>
      <c r="Q3960" s="14">
        <v>0</v>
      </c>
      <c r="R3960" s="143" t="s">
        <v>1365</v>
      </c>
      <c r="S3960" s="47"/>
      <c r="T3960" s="6">
        <v>33372.799999999988</v>
      </c>
      <c r="U3960" s="6">
        <v>250000</v>
      </c>
      <c r="V3960" s="6">
        <v>123063.86</v>
      </c>
      <c r="W3960" s="6">
        <f t="shared" si="604"/>
        <v>160308.94</v>
      </c>
      <c r="X3960" s="6">
        <f t="shared" si="605"/>
        <v>123063.86</v>
      </c>
      <c r="Y3960" s="13">
        <f t="shared" si="608"/>
        <v>0</v>
      </c>
      <c r="Z3960" s="14">
        <v>0</v>
      </c>
      <c r="AA3960" s="6">
        <v>0</v>
      </c>
      <c r="AB3960" s="4">
        <f t="shared" si="609"/>
        <v>123063.86</v>
      </c>
      <c r="AC3960" s="4">
        <f t="shared" si="611"/>
        <v>0</v>
      </c>
      <c r="AD3960" s="6">
        <f t="shared" si="606"/>
        <v>123063.86</v>
      </c>
      <c r="AE3960" s="2">
        <f>VLOOKUP(I3960,[1]媒体政策预估表!A:N,MATCH(O3960,[1]媒体政策预估表!$A$2:$M$2,0),0)</f>
        <v>7.0000000000000007E-2</v>
      </c>
      <c r="AF3960" s="6">
        <f t="shared" si="612"/>
        <v>8614.4702000000016</v>
      </c>
      <c r="AG3960" s="14">
        <v>0</v>
      </c>
      <c r="AH3960" s="65">
        <f t="shared" si="607"/>
        <v>123063.86</v>
      </c>
      <c r="AI3960" s="47"/>
      <c r="AJ3960" s="126" t="e">
        <v>#N/A</v>
      </c>
      <c r="AK3960" s="80">
        <f t="shared" si="610"/>
        <v>0</v>
      </c>
      <c r="AM3960" s="85"/>
    </row>
    <row r="3961" spans="1:39" hidden="1" x14ac:dyDescent="0.3">
      <c r="A3961" s="89" t="s">
        <v>3394</v>
      </c>
      <c r="B3961" s="86" t="s">
        <v>35</v>
      </c>
      <c r="C3961" s="86" t="s">
        <v>47</v>
      </c>
      <c r="D3961" s="86" t="s">
        <v>48</v>
      </c>
      <c r="E3961" s="86" t="s">
        <v>1366</v>
      </c>
      <c r="F3961" s="86" t="s">
        <v>1367</v>
      </c>
      <c r="G3961" s="86" t="s">
        <v>1366</v>
      </c>
      <c r="H3961" s="144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1368</v>
      </c>
      <c r="N3961" s="86"/>
      <c r="O3961" s="47" t="s">
        <v>410</v>
      </c>
      <c r="P3961" s="47" t="s">
        <v>41</v>
      </c>
      <c r="Q3961" s="14">
        <v>0</v>
      </c>
      <c r="R3961" s="143" t="s">
        <v>1369</v>
      </c>
      <c r="S3961" s="47"/>
      <c r="T3961" s="6">
        <v>360615.29971000005</v>
      </c>
      <c r="U3961" s="6">
        <v>700000</v>
      </c>
      <c r="V3961" s="6">
        <v>579932.71600000001</v>
      </c>
      <c r="W3961" s="6">
        <f t="shared" si="604"/>
        <v>480682.58370999992</v>
      </c>
      <c r="X3961" s="6">
        <f t="shared" si="605"/>
        <v>579932.71600000001</v>
      </c>
      <c r="Y3961" s="13">
        <f t="shared" si="608"/>
        <v>0</v>
      </c>
      <c r="Z3961" s="14">
        <v>0</v>
      </c>
      <c r="AA3961" s="6">
        <v>0</v>
      </c>
      <c r="AB3961" s="4">
        <f t="shared" si="609"/>
        <v>579932.71600000001</v>
      </c>
      <c r="AC3961" s="4">
        <f t="shared" si="611"/>
        <v>0</v>
      </c>
      <c r="AD3961" s="6">
        <f t="shared" si="606"/>
        <v>579932.71600000001</v>
      </c>
      <c r="AE3961" s="2">
        <f>VLOOKUP(I3961,[1]媒体政策预估表!A:N,MATCH(O3961,[1]媒体政策预估表!$A$2:$M$2,0),0)</f>
        <v>7.0000000000000007E-2</v>
      </c>
      <c r="AF3961" s="6">
        <f t="shared" si="612"/>
        <v>40595.290120000005</v>
      </c>
      <c r="AG3961" s="14">
        <v>0</v>
      </c>
      <c r="AH3961" s="65">
        <f t="shared" si="607"/>
        <v>579932.71600000001</v>
      </c>
      <c r="AI3961" s="47"/>
      <c r="AJ3961" s="126" t="e">
        <v>#N/A</v>
      </c>
      <c r="AK3961" s="80">
        <f t="shared" si="610"/>
        <v>0</v>
      </c>
      <c r="AM3961" s="85"/>
    </row>
    <row r="3962" spans="1:39" hidden="1" x14ac:dyDescent="0.3">
      <c r="A3962" s="89" t="s">
        <v>3394</v>
      </c>
      <c r="B3962" s="86" t="s">
        <v>35</v>
      </c>
      <c r="C3962" s="86" t="s">
        <v>144</v>
      </c>
      <c r="D3962" s="86" t="s">
        <v>145</v>
      </c>
      <c r="E3962" s="86" t="s">
        <v>1374</v>
      </c>
      <c r="F3962" s="86" t="s">
        <v>1374</v>
      </c>
      <c r="G3962" s="86" t="s">
        <v>1374</v>
      </c>
      <c r="H3962" s="144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3515</v>
      </c>
      <c r="N3962" s="86"/>
      <c r="O3962" s="47" t="s">
        <v>410</v>
      </c>
      <c r="P3962" s="47" t="s">
        <v>46</v>
      </c>
      <c r="Q3962" s="14">
        <v>0.02</v>
      </c>
      <c r="R3962" s="143" t="s">
        <v>3516</v>
      </c>
      <c r="S3962" s="47"/>
      <c r="T3962" s="6">
        <v>0</v>
      </c>
      <c r="U3962" s="6">
        <v>1400</v>
      </c>
      <c r="V3962" s="6">
        <v>916.3</v>
      </c>
      <c r="W3962" s="6">
        <f t="shared" si="604"/>
        <v>483.70000000000005</v>
      </c>
      <c r="X3962" s="6">
        <f t="shared" si="605"/>
        <v>898.33333333333326</v>
      </c>
      <c r="Y3962" s="13">
        <f t="shared" si="608"/>
        <v>0</v>
      </c>
      <c r="Z3962" s="14">
        <v>0</v>
      </c>
      <c r="AA3962" s="6">
        <v>0</v>
      </c>
      <c r="AB3962" s="4">
        <f t="shared" si="609"/>
        <v>898.33333333333326</v>
      </c>
      <c r="AC3962" s="4">
        <f t="shared" si="611"/>
        <v>17.966666666666697</v>
      </c>
      <c r="AD3962" s="6">
        <f t="shared" si="606"/>
        <v>916.3</v>
      </c>
      <c r="AE3962" s="2">
        <f>VLOOKUP(I3962,[1]媒体政策预估表!A:N,MATCH(O3962,[1]媒体政策预估表!$A$2:$M$2,0),0)</f>
        <v>7.0000000000000007E-2</v>
      </c>
      <c r="AF3962" s="6">
        <f t="shared" si="612"/>
        <v>64.141000000000005</v>
      </c>
      <c r="AG3962" s="14">
        <v>0</v>
      </c>
      <c r="AH3962" s="65">
        <f t="shared" si="607"/>
        <v>916.3</v>
      </c>
      <c r="AI3962" s="47"/>
      <c r="AJ3962" s="126" t="e">
        <v>#N/A</v>
      </c>
      <c r="AK3962" s="80">
        <f t="shared" si="610"/>
        <v>0</v>
      </c>
      <c r="AM3962" s="85"/>
    </row>
    <row r="3963" spans="1:39" hidden="1" x14ac:dyDescent="0.3">
      <c r="A3963" s="89" t="s">
        <v>3394</v>
      </c>
      <c r="B3963" s="86" t="s">
        <v>35</v>
      </c>
      <c r="C3963" s="86" t="s">
        <v>144</v>
      </c>
      <c r="D3963" s="86" t="s">
        <v>145</v>
      </c>
      <c r="E3963" s="86" t="s">
        <v>1374</v>
      </c>
      <c r="F3963" s="86" t="s">
        <v>1374</v>
      </c>
      <c r="G3963" s="86" t="s">
        <v>1374</v>
      </c>
      <c r="H3963" s="144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1375</v>
      </c>
      <c r="N3963" s="86"/>
      <c r="O3963" s="47" t="s">
        <v>410</v>
      </c>
      <c r="P3963" s="47" t="s">
        <v>46</v>
      </c>
      <c r="Q3963" s="14">
        <v>0.02</v>
      </c>
      <c r="R3963" s="143" t="s">
        <v>1376</v>
      </c>
      <c r="S3963" s="47"/>
      <c r="T3963" s="6">
        <v>7174.5999999999985</v>
      </c>
      <c r="U3963" s="6">
        <v>25000</v>
      </c>
      <c r="V3963" s="6">
        <v>20273.8</v>
      </c>
      <c r="W3963" s="6">
        <f t="shared" ref="W3963:W4026" si="613">T3963+U3963-V3963</f>
        <v>11900.8</v>
      </c>
      <c r="X3963" s="6">
        <f t="shared" ref="X3963:X4026" si="614">IF(P3963="折扣",V3963*Q3963,IF(P3963="返现",V3963,V3963/(1+Q3963)))</f>
        <v>19876.274509803919</v>
      </c>
      <c r="Y3963" s="13">
        <f t="shared" si="608"/>
        <v>0</v>
      </c>
      <c r="Z3963" s="14">
        <v>0</v>
      </c>
      <c r="AA3963" s="6">
        <v>0</v>
      </c>
      <c r="AB3963" s="4">
        <f t="shared" si="609"/>
        <v>19876.274509803919</v>
      </c>
      <c r="AC3963" s="4">
        <f t="shared" si="611"/>
        <v>397.52549019607977</v>
      </c>
      <c r="AD3963" s="6">
        <f t="shared" ref="AD3963:AD4026" si="615">V3963</f>
        <v>20273.8</v>
      </c>
      <c r="AE3963" s="2">
        <f>VLOOKUP(I3963,[1]媒体政策预估表!A:N,MATCH(O3963,[1]媒体政策预估表!$A$2:$M$2,0),0)</f>
        <v>7.0000000000000007E-2</v>
      </c>
      <c r="AF3963" s="6">
        <f t="shared" si="612"/>
        <v>1419.1660000000002</v>
      </c>
      <c r="AG3963" s="14">
        <v>0</v>
      </c>
      <c r="AH3963" s="65">
        <f t="shared" ref="AH3963:AH4026" si="616">V3963</f>
        <v>20273.8</v>
      </c>
      <c r="AI3963" s="47"/>
      <c r="AJ3963" s="126" t="e">
        <v>#N/A</v>
      </c>
      <c r="AK3963" s="80">
        <f t="shared" si="610"/>
        <v>0</v>
      </c>
      <c r="AM3963" s="85"/>
    </row>
    <row r="3964" spans="1:39" hidden="1" x14ac:dyDescent="0.3">
      <c r="A3964" s="89" t="s">
        <v>3394</v>
      </c>
      <c r="B3964" s="86" t="s">
        <v>35</v>
      </c>
      <c r="C3964" s="86" t="s">
        <v>144</v>
      </c>
      <c r="D3964" s="86" t="s">
        <v>145</v>
      </c>
      <c r="E3964" s="86" t="s">
        <v>1380</v>
      </c>
      <c r="F3964" s="86" t="s">
        <v>1380</v>
      </c>
      <c r="G3964" s="86" t="s">
        <v>1380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1381</v>
      </c>
      <c r="N3964" s="86"/>
      <c r="O3964" s="47" t="s">
        <v>410</v>
      </c>
      <c r="P3964" s="47" t="s">
        <v>41</v>
      </c>
      <c r="Q3964" s="14">
        <v>0</v>
      </c>
      <c r="R3964" s="143" t="s">
        <v>1382</v>
      </c>
      <c r="S3964" s="47"/>
      <c r="T3964" s="6">
        <v>16686.099999999999</v>
      </c>
      <c r="U3964" s="6">
        <v>140000</v>
      </c>
      <c r="V3964" s="6">
        <v>135792.6</v>
      </c>
      <c r="W3964" s="6">
        <f t="shared" si="613"/>
        <v>20893.5</v>
      </c>
      <c r="X3964" s="6">
        <f t="shared" si="614"/>
        <v>135792.6</v>
      </c>
      <c r="Y3964" s="13">
        <f t="shared" si="608"/>
        <v>0</v>
      </c>
      <c r="Z3964" s="14">
        <v>0</v>
      </c>
      <c r="AA3964" s="6">
        <v>0</v>
      </c>
      <c r="AB3964" s="4">
        <f t="shared" si="609"/>
        <v>135792.6</v>
      </c>
      <c r="AC3964" s="4">
        <f t="shared" si="611"/>
        <v>0</v>
      </c>
      <c r="AD3964" s="6">
        <f t="shared" si="615"/>
        <v>135792.6</v>
      </c>
      <c r="AE3964" s="2">
        <f>VLOOKUP(I3964,[1]媒体政策预估表!A:N,MATCH(O3964,[1]媒体政策预估表!$A$2:$M$2,0),0)</f>
        <v>7.0000000000000007E-2</v>
      </c>
      <c r="AF3964" s="6">
        <f t="shared" si="612"/>
        <v>9505.4820000000018</v>
      </c>
      <c r="AG3964" s="14">
        <v>0</v>
      </c>
      <c r="AH3964" s="65">
        <f t="shared" si="616"/>
        <v>135792.6</v>
      </c>
      <c r="AI3964" s="47"/>
      <c r="AJ3964" s="126" t="e">
        <v>#N/A</v>
      </c>
      <c r="AK3964" s="80">
        <f t="shared" si="610"/>
        <v>0</v>
      </c>
      <c r="AM3964" s="85"/>
    </row>
    <row r="3965" spans="1:39" hidden="1" x14ac:dyDescent="0.3">
      <c r="A3965" s="89" t="s">
        <v>3395</v>
      </c>
      <c r="B3965" s="86" t="s">
        <v>35</v>
      </c>
      <c r="C3965" s="86" t="s">
        <v>144</v>
      </c>
      <c r="D3965" s="86" t="s">
        <v>145</v>
      </c>
      <c r="E3965" s="86" t="s">
        <v>565</v>
      </c>
      <c r="F3965" s="86" t="s">
        <v>566</v>
      </c>
      <c r="G3965" s="86" t="s">
        <v>565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565</v>
      </c>
      <c r="N3965" s="86"/>
      <c r="O3965" s="47" t="s">
        <v>410</v>
      </c>
      <c r="P3965" s="47" t="s">
        <v>41</v>
      </c>
      <c r="Q3965" s="14">
        <v>0</v>
      </c>
      <c r="R3965" s="143" t="s">
        <v>1383</v>
      </c>
      <c r="S3965" s="47"/>
      <c r="T3965" s="6">
        <v>13239.300050000005</v>
      </c>
      <c r="U3965" s="6">
        <v>50000</v>
      </c>
      <c r="V3965" s="6">
        <v>57841.2</v>
      </c>
      <c r="W3965" s="6">
        <f t="shared" si="613"/>
        <v>5398.1000500000082</v>
      </c>
      <c r="X3965" s="6">
        <f t="shared" si="614"/>
        <v>57841.2</v>
      </c>
      <c r="Y3965" s="13">
        <f t="shared" si="608"/>
        <v>0</v>
      </c>
      <c r="Z3965" s="14">
        <v>0</v>
      </c>
      <c r="AA3965" s="6">
        <v>0</v>
      </c>
      <c r="AB3965" s="4">
        <f t="shared" si="609"/>
        <v>57841.2</v>
      </c>
      <c r="AC3965" s="4">
        <f t="shared" si="611"/>
        <v>0</v>
      </c>
      <c r="AD3965" s="6">
        <f t="shared" si="615"/>
        <v>57841.2</v>
      </c>
      <c r="AE3965" s="2">
        <f>VLOOKUP(I3965,[1]媒体政策预估表!A:N,MATCH(O3965,[1]媒体政策预估表!$A$2:$M$2,0),0)</f>
        <v>7.0000000000000007E-2</v>
      </c>
      <c r="AF3965" s="6">
        <f t="shared" si="612"/>
        <v>4048.884</v>
      </c>
      <c r="AG3965" s="14">
        <v>0</v>
      </c>
      <c r="AH3965" s="65">
        <f t="shared" si="616"/>
        <v>57841.2</v>
      </c>
      <c r="AI3965" s="47"/>
      <c r="AJ3965" s="126" t="e">
        <v>#N/A</v>
      </c>
      <c r="AK3965" s="80">
        <f t="shared" si="610"/>
        <v>0</v>
      </c>
      <c r="AM3965" s="85"/>
    </row>
    <row r="3966" spans="1:39" hidden="1" x14ac:dyDescent="0.3">
      <c r="A3966" s="89" t="s">
        <v>3394</v>
      </c>
      <c r="B3966" s="86" t="s">
        <v>35</v>
      </c>
      <c r="C3966" s="86" t="s">
        <v>144</v>
      </c>
      <c r="D3966" s="86" t="s">
        <v>145</v>
      </c>
      <c r="E3966" s="86" t="s">
        <v>568</v>
      </c>
      <c r="F3966" s="86" t="s">
        <v>568</v>
      </c>
      <c r="G3966" s="86" t="s">
        <v>568</v>
      </c>
      <c r="H3966" s="144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568</v>
      </c>
      <c r="N3966" s="86"/>
      <c r="O3966" s="47" t="s">
        <v>410</v>
      </c>
      <c r="P3966" s="47" t="s">
        <v>41</v>
      </c>
      <c r="Q3966" s="14">
        <v>0</v>
      </c>
      <c r="R3966" s="143" t="s">
        <v>2369</v>
      </c>
      <c r="S3966" s="47"/>
      <c r="T3966" s="6">
        <v>3221.8799999999997</v>
      </c>
      <c r="U3966" s="6">
        <v>10000</v>
      </c>
      <c r="V3966" s="6">
        <v>7248.3</v>
      </c>
      <c r="W3966" s="6">
        <f t="shared" si="613"/>
        <v>5973.579999999999</v>
      </c>
      <c r="X3966" s="6">
        <f t="shared" si="614"/>
        <v>7248.3</v>
      </c>
      <c r="Y3966" s="13">
        <f t="shared" si="608"/>
        <v>0</v>
      </c>
      <c r="Z3966" s="14">
        <v>0</v>
      </c>
      <c r="AA3966" s="6">
        <v>0</v>
      </c>
      <c r="AB3966" s="4">
        <f t="shared" si="609"/>
        <v>7248.3</v>
      </c>
      <c r="AC3966" s="4">
        <f t="shared" si="611"/>
        <v>0</v>
      </c>
      <c r="AD3966" s="6">
        <f t="shared" si="615"/>
        <v>7248.3</v>
      </c>
      <c r="AE3966" s="2">
        <f>VLOOKUP(I3966,[1]媒体政策预估表!A:N,MATCH(O3966,[1]媒体政策预估表!$A$2:$M$2,0),0)</f>
        <v>7.0000000000000007E-2</v>
      </c>
      <c r="AF3966" s="6">
        <f t="shared" si="612"/>
        <v>507.38100000000009</v>
      </c>
      <c r="AG3966" s="14">
        <v>0</v>
      </c>
      <c r="AH3966" s="65">
        <f t="shared" si="616"/>
        <v>7248.3</v>
      </c>
      <c r="AI3966" s="47"/>
      <c r="AJ3966" s="126" t="e">
        <v>#N/A</v>
      </c>
      <c r="AK3966" s="80">
        <f t="shared" si="610"/>
        <v>0</v>
      </c>
      <c r="AM3966" s="85"/>
    </row>
    <row r="3967" spans="1:39" hidden="1" x14ac:dyDescent="0.3">
      <c r="A3967" s="89" t="s">
        <v>3394</v>
      </c>
      <c r="B3967" s="86" t="s">
        <v>35</v>
      </c>
      <c r="C3967" s="86" t="s">
        <v>144</v>
      </c>
      <c r="D3967" s="86" t="s">
        <v>145</v>
      </c>
      <c r="E3967" s="86" t="s">
        <v>1390</v>
      </c>
      <c r="F3967" s="86" t="s">
        <v>1390</v>
      </c>
      <c r="G3967" s="86" t="s">
        <v>1390</v>
      </c>
      <c r="H3967" s="144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1390</v>
      </c>
      <c r="N3967" s="86"/>
      <c r="O3967" s="47" t="s">
        <v>410</v>
      </c>
      <c r="P3967" s="47" t="s">
        <v>46</v>
      </c>
      <c r="Q3967" s="14">
        <v>0.02</v>
      </c>
      <c r="R3967" s="143" t="s">
        <v>1391</v>
      </c>
      <c r="S3967" s="47"/>
      <c r="T3967" s="6">
        <v>10670.899999999998</v>
      </c>
      <c r="U3967" s="6">
        <v>20000</v>
      </c>
      <c r="V3967" s="6">
        <v>25453.200000000001</v>
      </c>
      <c r="W3967" s="6">
        <f t="shared" si="613"/>
        <v>5217.6999999999971</v>
      </c>
      <c r="X3967" s="6">
        <f t="shared" si="614"/>
        <v>24954.117647058825</v>
      </c>
      <c r="Y3967" s="13">
        <f t="shared" si="608"/>
        <v>0</v>
      </c>
      <c r="Z3967" s="14">
        <v>0</v>
      </c>
      <c r="AA3967" s="6">
        <v>0</v>
      </c>
      <c r="AB3967" s="4">
        <f t="shared" si="609"/>
        <v>24954.117647058825</v>
      </c>
      <c r="AC3967" s="4">
        <f t="shared" si="611"/>
        <v>499.08235294117549</v>
      </c>
      <c r="AD3967" s="6">
        <f t="shared" si="615"/>
        <v>25453.200000000001</v>
      </c>
      <c r="AE3967" s="2">
        <f>VLOOKUP(I3967,[1]媒体政策预估表!A:N,MATCH(O3967,[1]媒体政策预估表!$A$2:$M$2,0),0)</f>
        <v>7.0000000000000007E-2</v>
      </c>
      <c r="AF3967" s="6">
        <f t="shared" si="612"/>
        <v>1781.7240000000002</v>
      </c>
      <c r="AG3967" s="14">
        <v>0</v>
      </c>
      <c r="AH3967" s="65">
        <f t="shared" si="616"/>
        <v>25453.200000000001</v>
      </c>
      <c r="AI3967" s="47"/>
      <c r="AJ3967" s="126" t="e">
        <v>#N/A</v>
      </c>
      <c r="AK3967" s="80">
        <f t="shared" si="610"/>
        <v>0</v>
      </c>
      <c r="AM3967" s="85"/>
    </row>
    <row r="3968" spans="1:39" hidden="1" x14ac:dyDescent="0.3">
      <c r="A3968" s="89" t="s">
        <v>3395</v>
      </c>
      <c r="B3968" s="86" t="s">
        <v>35</v>
      </c>
      <c r="C3968" s="86" t="s">
        <v>144</v>
      </c>
      <c r="D3968" s="86" t="s">
        <v>145</v>
      </c>
      <c r="E3968" s="86" t="s">
        <v>1395</v>
      </c>
      <c r="F3968" s="86" t="s">
        <v>1396</v>
      </c>
      <c r="G3968" s="86" t="s">
        <v>1395</v>
      </c>
      <c r="H3968" s="144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1395</v>
      </c>
      <c r="N3968" s="86"/>
      <c r="O3968" s="47" t="s">
        <v>410</v>
      </c>
      <c r="P3968" s="47" t="s">
        <v>46</v>
      </c>
      <c r="Q3968" s="14">
        <v>0.01</v>
      </c>
      <c r="R3968" s="143" t="s">
        <v>1397</v>
      </c>
      <c r="S3968" s="47"/>
      <c r="T3968" s="6">
        <v>310981.59999999998</v>
      </c>
      <c r="U3968" s="6">
        <v>321150</v>
      </c>
      <c r="V3968" s="6">
        <v>377448.6</v>
      </c>
      <c r="W3968" s="6">
        <f t="shared" si="613"/>
        <v>254683</v>
      </c>
      <c r="X3968" s="6">
        <f t="shared" si="614"/>
        <v>373711.48514851485</v>
      </c>
      <c r="Y3968" s="13">
        <f t="shared" si="608"/>
        <v>0</v>
      </c>
      <c r="Z3968" s="14">
        <v>0</v>
      </c>
      <c r="AA3968" s="6">
        <v>0</v>
      </c>
      <c r="AB3968" s="4">
        <f t="shared" si="609"/>
        <v>373711.48514851485</v>
      </c>
      <c r="AC3968" s="4">
        <f t="shared" si="611"/>
        <v>3737.1148514851229</v>
      </c>
      <c r="AD3968" s="6">
        <f t="shared" si="615"/>
        <v>377448.6</v>
      </c>
      <c r="AE3968" s="2">
        <f>VLOOKUP(I3968,[1]媒体政策预估表!A:N,MATCH(O3968,[1]媒体政策预估表!$A$2:$M$2,0),0)</f>
        <v>7.0000000000000007E-2</v>
      </c>
      <c r="AF3968" s="6">
        <f t="shared" si="612"/>
        <v>26421.402000000002</v>
      </c>
      <c r="AG3968" s="14">
        <v>0</v>
      </c>
      <c r="AH3968" s="65">
        <f t="shared" si="616"/>
        <v>377448.6</v>
      </c>
      <c r="AI3968" s="47"/>
      <c r="AJ3968" s="126" t="e">
        <v>#N/A</v>
      </c>
      <c r="AK3968" s="80">
        <f t="shared" si="610"/>
        <v>0</v>
      </c>
      <c r="AM3968" s="85"/>
    </row>
    <row r="3969" spans="1:39" hidden="1" x14ac:dyDescent="0.3">
      <c r="A3969" s="89" t="s">
        <v>3395</v>
      </c>
      <c r="B3969" s="86" t="s">
        <v>35</v>
      </c>
      <c r="C3969" s="86" t="s">
        <v>144</v>
      </c>
      <c r="D3969" s="86" t="s">
        <v>145</v>
      </c>
      <c r="E3969" s="86" t="s">
        <v>1398</v>
      </c>
      <c r="F3969" s="86" t="s">
        <v>1398</v>
      </c>
      <c r="G3969" s="86" t="s">
        <v>1398</v>
      </c>
      <c r="H3969" s="144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1398</v>
      </c>
      <c r="N3969" s="86"/>
      <c r="O3969" s="47" t="s">
        <v>410</v>
      </c>
      <c r="P3969" s="47" t="s">
        <v>46</v>
      </c>
      <c r="Q3969" s="14">
        <v>0.02</v>
      </c>
      <c r="R3969" s="143">
        <v>13588565997</v>
      </c>
      <c r="S3969" s="47"/>
      <c r="T3969" s="6">
        <v>29239.110000000015</v>
      </c>
      <c r="U3969" s="6">
        <v>50000</v>
      </c>
      <c r="V3969" s="6">
        <v>43201.8</v>
      </c>
      <c r="W3969" s="6">
        <f t="shared" si="613"/>
        <v>36037.310000000012</v>
      </c>
      <c r="X3969" s="6">
        <f t="shared" si="614"/>
        <v>42354.705882352944</v>
      </c>
      <c r="Y3969" s="13">
        <f t="shared" si="608"/>
        <v>0</v>
      </c>
      <c r="Z3969" s="14">
        <v>0</v>
      </c>
      <c r="AA3969" s="6">
        <v>0</v>
      </c>
      <c r="AB3969" s="4">
        <f t="shared" si="609"/>
        <v>42354.705882352944</v>
      </c>
      <c r="AC3969" s="4">
        <f t="shared" si="611"/>
        <v>847.09411764705874</v>
      </c>
      <c r="AD3969" s="6">
        <f t="shared" si="615"/>
        <v>43201.8</v>
      </c>
      <c r="AE3969" s="2">
        <f>VLOOKUP(I3969,[1]媒体政策预估表!A:N,MATCH(O3969,[1]媒体政策预估表!$A$2:$M$2,0),0)</f>
        <v>7.0000000000000007E-2</v>
      </c>
      <c r="AF3969" s="6">
        <f t="shared" si="612"/>
        <v>3024.1260000000007</v>
      </c>
      <c r="AG3969" s="14">
        <v>0</v>
      </c>
      <c r="AH3969" s="65">
        <f t="shared" si="616"/>
        <v>43201.8</v>
      </c>
      <c r="AI3969" s="47"/>
      <c r="AJ3969" s="126" t="e">
        <v>#N/A</v>
      </c>
      <c r="AK3969" s="80">
        <f t="shared" si="610"/>
        <v>0</v>
      </c>
      <c r="AM3969" s="85"/>
    </row>
    <row r="3970" spans="1:39" hidden="1" x14ac:dyDescent="0.3">
      <c r="A3970" s="89" t="s">
        <v>3395</v>
      </c>
      <c r="B3970" s="86" t="s">
        <v>35</v>
      </c>
      <c r="C3970" s="86" t="s">
        <v>144</v>
      </c>
      <c r="D3970" s="86" t="s">
        <v>145</v>
      </c>
      <c r="E3970" s="86" t="s">
        <v>1399</v>
      </c>
      <c r="F3970" s="86" t="s">
        <v>1399</v>
      </c>
      <c r="G3970" s="86" t="s">
        <v>1399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1399</v>
      </c>
      <c r="N3970" s="86"/>
      <c r="O3970" s="47" t="s">
        <v>410</v>
      </c>
      <c r="P3970" s="47" t="s">
        <v>41</v>
      </c>
      <c r="Q3970" s="14">
        <v>0</v>
      </c>
      <c r="R3970" s="143" t="s">
        <v>1400</v>
      </c>
      <c r="S3970" s="47"/>
      <c r="T3970" s="6">
        <v>63010.999999999985</v>
      </c>
      <c r="U3970" s="6">
        <v>100000</v>
      </c>
      <c r="V3970" s="6">
        <v>57345.9</v>
      </c>
      <c r="W3970" s="6">
        <f t="shared" si="613"/>
        <v>105665.1</v>
      </c>
      <c r="X3970" s="6">
        <f t="shared" si="614"/>
        <v>57345.9</v>
      </c>
      <c r="Y3970" s="13">
        <f t="shared" si="608"/>
        <v>0</v>
      </c>
      <c r="Z3970" s="14">
        <v>0</v>
      </c>
      <c r="AA3970" s="6">
        <v>0</v>
      </c>
      <c r="AB3970" s="4">
        <f t="shared" si="609"/>
        <v>57345.9</v>
      </c>
      <c r="AC3970" s="4">
        <f t="shared" si="611"/>
        <v>0</v>
      </c>
      <c r="AD3970" s="6">
        <f t="shared" si="615"/>
        <v>57345.9</v>
      </c>
      <c r="AE3970" s="2">
        <f>VLOOKUP(I3970,[1]媒体政策预估表!A:N,MATCH(O3970,[1]媒体政策预估表!$A$2:$M$2,0),0)</f>
        <v>7.0000000000000007E-2</v>
      </c>
      <c r="AF3970" s="6">
        <f t="shared" si="612"/>
        <v>4014.2130000000006</v>
      </c>
      <c r="AG3970" s="14">
        <v>0</v>
      </c>
      <c r="AH3970" s="65">
        <f t="shared" si="616"/>
        <v>57345.9</v>
      </c>
      <c r="AI3970" s="47"/>
      <c r="AJ3970" s="126" t="e">
        <v>#N/A</v>
      </c>
      <c r="AK3970" s="80">
        <f t="shared" si="610"/>
        <v>0</v>
      </c>
      <c r="AM3970" s="85"/>
    </row>
    <row r="3971" spans="1:39" hidden="1" x14ac:dyDescent="0.3">
      <c r="A3971" s="89" t="s">
        <v>3394</v>
      </c>
      <c r="B3971" s="86" t="s">
        <v>35</v>
      </c>
      <c r="C3971" s="86" t="s">
        <v>144</v>
      </c>
      <c r="D3971" s="86" t="s">
        <v>145</v>
      </c>
      <c r="E3971" s="86" t="s">
        <v>1402</v>
      </c>
      <c r="F3971" s="86" t="s">
        <v>1403</v>
      </c>
      <c r="G3971" s="86" t="s">
        <v>1402</v>
      </c>
      <c r="H3971" s="144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1402</v>
      </c>
      <c r="N3971" s="86"/>
      <c r="O3971" s="47" t="s">
        <v>410</v>
      </c>
      <c r="P3971" s="47" t="s">
        <v>41</v>
      </c>
      <c r="Q3971" s="14">
        <v>0</v>
      </c>
      <c r="R3971" s="143" t="s">
        <v>1404</v>
      </c>
      <c r="S3971" s="47"/>
      <c r="T3971" s="6">
        <v>13116.199999999997</v>
      </c>
      <c r="U3971" s="6">
        <v>80000</v>
      </c>
      <c r="V3971" s="6">
        <v>87639.9</v>
      </c>
      <c r="W3971" s="6">
        <f t="shared" si="613"/>
        <v>5476.3000000000029</v>
      </c>
      <c r="X3971" s="6">
        <f t="shared" si="614"/>
        <v>87639.9</v>
      </c>
      <c r="Y3971" s="13">
        <f t="shared" ref="Y3971:Y4034" si="617">IF(X3971-AD3971&lt;=0,0,IF(P3971="返现",MAX(X3971-AC3971-AD3971,0),MAX(X3971-AD3971)))</f>
        <v>0</v>
      </c>
      <c r="Z3971" s="14">
        <v>0</v>
      </c>
      <c r="AA3971" s="6">
        <v>0</v>
      </c>
      <c r="AB3971" s="4">
        <f t="shared" ref="AB3971:AB4034" si="618">X3971+AA3971</f>
        <v>87639.9</v>
      </c>
      <c r="AC3971" s="4">
        <f t="shared" si="611"/>
        <v>0</v>
      </c>
      <c r="AD3971" s="6">
        <f t="shared" si="615"/>
        <v>87639.9</v>
      </c>
      <c r="AE3971" s="2">
        <f>VLOOKUP(I3971,[1]媒体政策预估表!A:N,MATCH(O3971,[1]媒体政策预估表!$A$2:$M$2,0),0)</f>
        <v>7.0000000000000007E-2</v>
      </c>
      <c r="AF3971" s="6">
        <f t="shared" si="612"/>
        <v>6134.7930000000006</v>
      </c>
      <c r="AG3971" s="14">
        <v>0</v>
      </c>
      <c r="AH3971" s="65">
        <f t="shared" si="616"/>
        <v>87639.9</v>
      </c>
      <c r="AI3971" s="47"/>
      <c r="AJ3971" s="126" t="e">
        <v>#N/A</v>
      </c>
      <c r="AK3971" s="80">
        <f t="shared" ref="AK3971:AK4034" si="619">X3971+AA3971-AB3971</f>
        <v>0</v>
      </c>
      <c r="AM3971" s="85"/>
    </row>
    <row r="3972" spans="1:39" hidden="1" x14ac:dyDescent="0.3">
      <c r="A3972" s="89" t="s">
        <v>3394</v>
      </c>
      <c r="B3972" s="86" t="s">
        <v>35</v>
      </c>
      <c r="C3972" s="86" t="s">
        <v>144</v>
      </c>
      <c r="D3972" s="86" t="s">
        <v>145</v>
      </c>
      <c r="E3972" s="86" t="s">
        <v>576</v>
      </c>
      <c r="F3972" s="86" t="s">
        <v>577</v>
      </c>
      <c r="G3972" s="86" t="s">
        <v>577</v>
      </c>
      <c r="H3972" s="144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576</v>
      </c>
      <c r="N3972" s="86"/>
      <c r="O3972" s="47" t="s">
        <v>410</v>
      </c>
      <c r="P3972" s="47" t="s">
        <v>41</v>
      </c>
      <c r="Q3972" s="14">
        <v>0</v>
      </c>
      <c r="R3972" s="143" t="s">
        <v>1405</v>
      </c>
      <c r="S3972" s="47"/>
      <c r="T3972" s="6">
        <v>18261.400000000001</v>
      </c>
      <c r="U3972" s="6">
        <v>10000</v>
      </c>
      <c r="V3972" s="6">
        <v>23632.3</v>
      </c>
      <c r="W3972" s="6">
        <f t="shared" si="613"/>
        <v>4629.1000000000022</v>
      </c>
      <c r="X3972" s="6">
        <f t="shared" si="614"/>
        <v>23632.3</v>
      </c>
      <c r="Y3972" s="13">
        <f t="shared" si="617"/>
        <v>0</v>
      </c>
      <c r="Z3972" s="14">
        <v>0</v>
      </c>
      <c r="AA3972" s="6">
        <v>0</v>
      </c>
      <c r="AB3972" s="4">
        <f t="shared" si="618"/>
        <v>23632.3</v>
      </c>
      <c r="AC3972" s="4">
        <f t="shared" si="611"/>
        <v>0</v>
      </c>
      <c r="AD3972" s="6">
        <f t="shared" si="615"/>
        <v>23632.3</v>
      </c>
      <c r="AE3972" s="2">
        <f>VLOOKUP(I3972,[1]媒体政策预估表!A:N,MATCH(O3972,[1]媒体政策预估表!$A$2:$M$2,0),0)</f>
        <v>7.0000000000000007E-2</v>
      </c>
      <c r="AF3972" s="6">
        <f t="shared" si="612"/>
        <v>1654.2610000000002</v>
      </c>
      <c r="AG3972" s="14">
        <v>0</v>
      </c>
      <c r="AH3972" s="65">
        <f t="shared" si="616"/>
        <v>23632.3</v>
      </c>
      <c r="AI3972" s="47"/>
      <c r="AJ3972" s="126" t="e">
        <v>#N/A</v>
      </c>
      <c r="AK3972" s="80">
        <f t="shared" si="619"/>
        <v>0</v>
      </c>
      <c r="AM3972" s="85"/>
    </row>
    <row r="3973" spans="1:39" hidden="1" x14ac:dyDescent="0.3">
      <c r="A3973" s="89" t="s">
        <v>3394</v>
      </c>
      <c r="B3973" s="86" t="s">
        <v>35</v>
      </c>
      <c r="C3973" s="86" t="s">
        <v>144</v>
      </c>
      <c r="D3973" s="86" t="s">
        <v>145</v>
      </c>
      <c r="E3973" s="86" t="s">
        <v>1409</v>
      </c>
      <c r="F3973" s="86" t="s">
        <v>1409</v>
      </c>
      <c r="G3973" s="86" t="s">
        <v>1409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1410</v>
      </c>
      <c r="N3973" s="86"/>
      <c r="O3973" s="47" t="s">
        <v>410</v>
      </c>
      <c r="P3973" s="47" t="s">
        <v>41</v>
      </c>
      <c r="Q3973" s="14">
        <v>0</v>
      </c>
      <c r="R3973" s="143" t="s">
        <v>1411</v>
      </c>
      <c r="S3973" s="47"/>
      <c r="T3973" s="6">
        <v>7704.0299999999988</v>
      </c>
      <c r="U3973" s="6">
        <v>50000</v>
      </c>
      <c r="V3973" s="6">
        <v>51983.5</v>
      </c>
      <c r="W3973" s="6">
        <f t="shared" si="613"/>
        <v>5720.5299999999988</v>
      </c>
      <c r="X3973" s="6">
        <f t="shared" si="614"/>
        <v>51983.5</v>
      </c>
      <c r="Y3973" s="13">
        <f t="shared" si="617"/>
        <v>0</v>
      </c>
      <c r="Z3973" s="14">
        <v>0</v>
      </c>
      <c r="AA3973" s="6">
        <v>0</v>
      </c>
      <c r="AB3973" s="4">
        <f t="shared" si="618"/>
        <v>51983.5</v>
      </c>
      <c r="AC3973" s="4">
        <f t="shared" si="611"/>
        <v>0</v>
      </c>
      <c r="AD3973" s="6">
        <f t="shared" si="615"/>
        <v>51983.5</v>
      </c>
      <c r="AE3973" s="2">
        <f>VLOOKUP(I3973,[1]媒体政策预估表!A:N,MATCH(O3973,[1]媒体政策预估表!$A$2:$M$2,0),0)</f>
        <v>7.0000000000000007E-2</v>
      </c>
      <c r="AF3973" s="6">
        <f t="shared" si="612"/>
        <v>3638.8450000000003</v>
      </c>
      <c r="AG3973" s="14">
        <v>0</v>
      </c>
      <c r="AH3973" s="65">
        <f t="shared" si="616"/>
        <v>51983.5</v>
      </c>
      <c r="AI3973" s="47"/>
      <c r="AJ3973" s="126" t="e">
        <v>#N/A</v>
      </c>
      <c r="AK3973" s="80">
        <f t="shared" si="619"/>
        <v>0</v>
      </c>
      <c r="AM3973" s="85"/>
    </row>
    <row r="3974" spans="1:39" hidden="1" x14ac:dyDescent="0.3">
      <c r="A3974" s="89" t="s">
        <v>3395</v>
      </c>
      <c r="B3974" s="86" t="s">
        <v>35</v>
      </c>
      <c r="C3974" s="86" t="s">
        <v>144</v>
      </c>
      <c r="D3974" s="86" t="s">
        <v>145</v>
      </c>
      <c r="E3974" s="86" t="s">
        <v>1412</v>
      </c>
      <c r="F3974" s="86" t="s">
        <v>1412</v>
      </c>
      <c r="G3974" s="86" t="s">
        <v>1412</v>
      </c>
      <c r="H3974" s="144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1413</v>
      </c>
      <c r="N3974" s="86"/>
      <c r="O3974" s="47" t="s">
        <v>410</v>
      </c>
      <c r="P3974" s="47" t="s">
        <v>46</v>
      </c>
      <c r="Q3974" s="14">
        <v>0.02</v>
      </c>
      <c r="R3974" s="143" t="s">
        <v>1414</v>
      </c>
      <c r="S3974" s="47"/>
      <c r="T3974" s="6">
        <v>9628.6</v>
      </c>
      <c r="U3974" s="6">
        <v>110000</v>
      </c>
      <c r="V3974" s="6">
        <v>83020.3</v>
      </c>
      <c r="W3974" s="6">
        <f t="shared" si="613"/>
        <v>36608.300000000003</v>
      </c>
      <c r="X3974" s="6">
        <f t="shared" si="614"/>
        <v>81392.450980392154</v>
      </c>
      <c r="Y3974" s="13">
        <f t="shared" si="617"/>
        <v>0</v>
      </c>
      <c r="Z3974" s="14">
        <v>0</v>
      </c>
      <c r="AA3974" s="6">
        <v>0</v>
      </c>
      <c r="AB3974" s="4">
        <f t="shared" si="618"/>
        <v>81392.450980392154</v>
      </c>
      <c r="AC3974" s="4">
        <f t="shared" si="611"/>
        <v>1627.8490196078492</v>
      </c>
      <c r="AD3974" s="6">
        <f t="shared" si="615"/>
        <v>83020.3</v>
      </c>
      <c r="AE3974" s="2">
        <f>VLOOKUP(I3974,[1]媒体政策预估表!A:N,MATCH(O3974,[1]媒体政策预估表!$A$2:$M$2,0),0)</f>
        <v>7.0000000000000007E-2</v>
      </c>
      <c r="AF3974" s="6">
        <f t="shared" si="612"/>
        <v>5811.4210000000012</v>
      </c>
      <c r="AG3974" s="14">
        <v>0</v>
      </c>
      <c r="AH3974" s="65">
        <f t="shared" si="616"/>
        <v>83020.3</v>
      </c>
      <c r="AI3974" s="47"/>
      <c r="AJ3974" s="126" t="e">
        <v>#N/A</v>
      </c>
      <c r="AK3974" s="80">
        <f t="shared" si="619"/>
        <v>0</v>
      </c>
      <c r="AM3974" s="85"/>
    </row>
    <row r="3975" spans="1:39" hidden="1" x14ac:dyDescent="0.3">
      <c r="A3975" s="89" t="s">
        <v>3394</v>
      </c>
      <c r="B3975" s="86" t="s">
        <v>35</v>
      </c>
      <c r="C3975" s="86" t="s">
        <v>144</v>
      </c>
      <c r="D3975" s="86" t="s">
        <v>145</v>
      </c>
      <c r="E3975" s="86" t="s">
        <v>581</v>
      </c>
      <c r="F3975" s="86" t="s">
        <v>581</v>
      </c>
      <c r="G3975" s="86" t="s">
        <v>581</v>
      </c>
      <c r="H3975" s="144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581</v>
      </c>
      <c r="N3975" s="86"/>
      <c r="O3975" s="47" t="s">
        <v>410</v>
      </c>
      <c r="P3975" s="47" t="s">
        <v>41</v>
      </c>
      <c r="Q3975" s="14">
        <v>0</v>
      </c>
      <c r="R3975" s="143" t="s">
        <v>1415</v>
      </c>
      <c r="S3975" s="47"/>
      <c r="T3975" s="6">
        <v>4427</v>
      </c>
      <c r="U3975" s="6">
        <v>20000</v>
      </c>
      <c r="V3975" s="6">
        <v>15072</v>
      </c>
      <c r="W3975" s="6">
        <f t="shared" si="613"/>
        <v>9355</v>
      </c>
      <c r="X3975" s="6">
        <f t="shared" si="614"/>
        <v>15072</v>
      </c>
      <c r="Y3975" s="13">
        <f t="shared" si="617"/>
        <v>0</v>
      </c>
      <c r="Z3975" s="14">
        <v>0</v>
      </c>
      <c r="AA3975" s="6">
        <v>0</v>
      </c>
      <c r="AB3975" s="4">
        <f t="shared" si="618"/>
        <v>15072</v>
      </c>
      <c r="AC3975" s="4">
        <f t="shared" si="611"/>
        <v>0</v>
      </c>
      <c r="AD3975" s="6">
        <f t="shared" si="615"/>
        <v>15072</v>
      </c>
      <c r="AE3975" s="2">
        <f>VLOOKUP(I3975,[1]媒体政策预估表!A:N,MATCH(O3975,[1]媒体政策预估表!$A$2:$M$2,0),0)</f>
        <v>7.0000000000000007E-2</v>
      </c>
      <c r="AF3975" s="6">
        <f t="shared" si="612"/>
        <v>1055.0400000000002</v>
      </c>
      <c r="AG3975" s="14">
        <v>0</v>
      </c>
      <c r="AH3975" s="65">
        <f t="shared" si="616"/>
        <v>15072</v>
      </c>
      <c r="AI3975" s="47"/>
      <c r="AJ3975" s="126" t="e">
        <v>#N/A</v>
      </c>
      <c r="AK3975" s="80">
        <f t="shared" si="619"/>
        <v>0</v>
      </c>
      <c r="AM3975" s="85"/>
    </row>
    <row r="3976" spans="1:39" hidden="1" x14ac:dyDescent="0.3">
      <c r="A3976" s="89" t="s">
        <v>3394</v>
      </c>
      <c r="B3976" s="86" t="s">
        <v>35</v>
      </c>
      <c r="C3976" s="86" t="s">
        <v>144</v>
      </c>
      <c r="D3976" s="86" t="s">
        <v>145</v>
      </c>
      <c r="E3976" s="86" t="s">
        <v>925</v>
      </c>
      <c r="F3976" s="86" t="s">
        <v>925</v>
      </c>
      <c r="G3976" s="86" t="s">
        <v>925</v>
      </c>
      <c r="H3976" s="143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2189</v>
      </c>
      <c r="N3976" s="86"/>
      <c r="O3976" s="47" t="s">
        <v>45</v>
      </c>
      <c r="P3976" s="47" t="s">
        <v>46</v>
      </c>
      <c r="Q3976" s="14">
        <v>7.0000000000000007E-2</v>
      </c>
      <c r="R3976" s="143" t="s">
        <v>2190</v>
      </c>
      <c r="S3976" s="47"/>
      <c r="T3976" s="6">
        <v>10400</v>
      </c>
      <c r="U3976" s="6">
        <v>-10400</v>
      </c>
      <c r="V3976" s="6">
        <v>0</v>
      </c>
      <c r="W3976" s="6">
        <f t="shared" si="613"/>
        <v>0</v>
      </c>
      <c r="X3976" s="6">
        <f t="shared" si="614"/>
        <v>0</v>
      </c>
      <c r="Y3976" s="13">
        <f t="shared" si="617"/>
        <v>0</v>
      </c>
      <c r="Z3976" s="14">
        <v>0</v>
      </c>
      <c r="AA3976" s="6">
        <v>0</v>
      </c>
      <c r="AB3976" s="4">
        <f t="shared" si="618"/>
        <v>0</v>
      </c>
      <c r="AC3976" s="4">
        <f t="shared" si="611"/>
        <v>0</v>
      </c>
      <c r="AD3976" s="6">
        <f t="shared" si="615"/>
        <v>0</v>
      </c>
      <c r="AE3976" s="2">
        <f>VLOOKUP(I3976,[1]媒体政策预估表!A:N,MATCH(O3976,[1]媒体政策预估表!$A$2:$M$2,0),0)</f>
        <v>0.12</v>
      </c>
      <c r="AF3976" s="6">
        <f t="shared" si="612"/>
        <v>0</v>
      </c>
      <c r="AG3976" s="14">
        <v>0</v>
      </c>
      <c r="AH3976" s="65">
        <f t="shared" si="616"/>
        <v>0</v>
      </c>
      <c r="AI3976" s="47"/>
      <c r="AJ3976" s="126" t="e">
        <v>#N/A</v>
      </c>
      <c r="AK3976" s="80">
        <f t="shared" si="619"/>
        <v>0</v>
      </c>
      <c r="AM3976" s="85"/>
    </row>
    <row r="3977" spans="1:39" hidden="1" x14ac:dyDescent="0.3">
      <c r="A3977" s="89" t="s">
        <v>3395</v>
      </c>
      <c r="B3977" s="86" t="s">
        <v>35</v>
      </c>
      <c r="C3977" s="86" t="s">
        <v>144</v>
      </c>
      <c r="D3977" s="86" t="s">
        <v>145</v>
      </c>
      <c r="E3977" s="86" t="s">
        <v>925</v>
      </c>
      <c r="F3977" s="86" t="s">
        <v>925</v>
      </c>
      <c r="G3977" s="86" t="s">
        <v>925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2189</v>
      </c>
      <c r="N3977" s="86"/>
      <c r="O3977" s="47" t="s">
        <v>45</v>
      </c>
      <c r="P3977" s="47" t="s">
        <v>46</v>
      </c>
      <c r="Q3977" s="14">
        <v>0.02</v>
      </c>
      <c r="R3977" s="143" t="s">
        <v>2190</v>
      </c>
      <c r="S3977" s="47"/>
      <c r="T3977" s="6">
        <v>0</v>
      </c>
      <c r="U3977" s="6">
        <v>9914.01</v>
      </c>
      <c r="V3977" s="6">
        <v>0</v>
      </c>
      <c r="W3977" s="6">
        <f t="shared" si="613"/>
        <v>9914.01</v>
      </c>
      <c r="X3977" s="6">
        <f t="shared" si="614"/>
        <v>0</v>
      </c>
      <c r="Y3977" s="13">
        <f t="shared" si="617"/>
        <v>0</v>
      </c>
      <c r="Z3977" s="14">
        <v>0</v>
      </c>
      <c r="AA3977" s="6">
        <v>0</v>
      </c>
      <c r="AB3977" s="4">
        <f t="shared" si="618"/>
        <v>0</v>
      </c>
      <c r="AC3977" s="4">
        <f t="shared" si="611"/>
        <v>0</v>
      </c>
      <c r="AD3977" s="6">
        <f t="shared" si="615"/>
        <v>0</v>
      </c>
      <c r="AE3977" s="2">
        <f>VLOOKUP(I3977,[1]媒体政策预估表!A:N,MATCH(O3977,[1]媒体政策预估表!$A$2:$M$2,0),0)</f>
        <v>0.12</v>
      </c>
      <c r="AF3977" s="6">
        <f t="shared" si="612"/>
        <v>0</v>
      </c>
      <c r="AG3977" s="14">
        <v>0</v>
      </c>
      <c r="AH3977" s="65">
        <f t="shared" si="616"/>
        <v>0</v>
      </c>
      <c r="AI3977" s="47"/>
      <c r="AJ3977" s="126" t="e">
        <v>#N/A</v>
      </c>
      <c r="AK3977" s="80">
        <f t="shared" si="619"/>
        <v>0</v>
      </c>
      <c r="AM3977" s="85"/>
    </row>
    <row r="3978" spans="1:39" hidden="1" x14ac:dyDescent="0.3">
      <c r="A3978" s="89" t="s">
        <v>3394</v>
      </c>
      <c r="B3978" s="86" t="s">
        <v>35</v>
      </c>
      <c r="C3978" s="86" t="s">
        <v>144</v>
      </c>
      <c r="D3978" s="86" t="s">
        <v>145</v>
      </c>
      <c r="E3978" s="86" t="s">
        <v>1416</v>
      </c>
      <c r="F3978" s="86" t="s">
        <v>1416</v>
      </c>
      <c r="G3978" s="86" t="s">
        <v>1416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1416</v>
      </c>
      <c r="N3978" s="86"/>
      <c r="O3978" s="47" t="s">
        <v>45</v>
      </c>
      <c r="P3978" s="47" t="s">
        <v>46</v>
      </c>
      <c r="Q3978" s="14">
        <v>0.02</v>
      </c>
      <c r="R3978" s="143" t="s">
        <v>3517</v>
      </c>
      <c r="S3978" s="47"/>
      <c r="T3978" s="6">
        <v>0</v>
      </c>
      <c r="U3978" s="6">
        <v>20000</v>
      </c>
      <c r="V3978" s="6">
        <v>2183.8692000000001</v>
      </c>
      <c r="W3978" s="6">
        <f t="shared" si="613"/>
        <v>17816.130799999999</v>
      </c>
      <c r="X3978" s="6">
        <f t="shared" si="614"/>
        <v>2141.0482352941176</v>
      </c>
      <c r="Y3978" s="13">
        <f t="shared" si="617"/>
        <v>0</v>
      </c>
      <c r="Z3978" s="14">
        <v>0</v>
      </c>
      <c r="AA3978" s="6">
        <v>0</v>
      </c>
      <c r="AB3978" s="4">
        <f t="shared" si="618"/>
        <v>2141.0482352941176</v>
      </c>
      <c r="AC3978" s="4">
        <f t="shared" si="611"/>
        <v>42.820964705882488</v>
      </c>
      <c r="AD3978" s="6">
        <f t="shared" si="615"/>
        <v>2183.8692000000001</v>
      </c>
      <c r="AE3978" s="2">
        <f>VLOOKUP(I3978,[1]媒体政策预估表!A:N,MATCH(O3978,[1]媒体政策预估表!$A$2:$M$2,0),0)</f>
        <v>0.12</v>
      </c>
      <c r="AF3978" s="6">
        <f t="shared" si="612"/>
        <v>262.06430399999999</v>
      </c>
      <c r="AG3978" s="14">
        <v>0</v>
      </c>
      <c r="AH3978" s="65">
        <f t="shared" si="616"/>
        <v>2183.8692000000001</v>
      </c>
      <c r="AI3978" s="47"/>
      <c r="AJ3978" s="126" t="e">
        <v>#N/A</v>
      </c>
      <c r="AK3978" s="80">
        <f t="shared" si="619"/>
        <v>0</v>
      </c>
      <c r="AM3978" s="85"/>
    </row>
    <row r="3979" spans="1:39" hidden="1" x14ac:dyDescent="0.3">
      <c r="A3979" s="89" t="s">
        <v>3394</v>
      </c>
      <c r="B3979" s="86" t="s">
        <v>35</v>
      </c>
      <c r="C3979" s="86" t="s">
        <v>144</v>
      </c>
      <c r="D3979" s="86" t="s">
        <v>145</v>
      </c>
      <c r="E3979" s="86" t="s">
        <v>1416</v>
      </c>
      <c r="F3979" s="86" t="s">
        <v>1416</v>
      </c>
      <c r="G3979" s="86" t="s">
        <v>1416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1416</v>
      </c>
      <c r="N3979" s="86"/>
      <c r="O3979" s="47" t="s">
        <v>410</v>
      </c>
      <c r="P3979" s="47" t="s">
        <v>41</v>
      </c>
      <c r="Q3979" s="14">
        <v>0</v>
      </c>
      <c r="R3979" s="143" t="s">
        <v>3518</v>
      </c>
      <c r="S3979" s="47"/>
      <c r="T3979" s="6">
        <v>0</v>
      </c>
      <c r="U3979" s="6">
        <v>50000</v>
      </c>
      <c r="V3979" s="6">
        <v>0</v>
      </c>
      <c r="W3979" s="6">
        <f t="shared" si="613"/>
        <v>50000</v>
      </c>
      <c r="X3979" s="6">
        <f t="shared" si="614"/>
        <v>0</v>
      </c>
      <c r="Y3979" s="13">
        <f t="shared" si="617"/>
        <v>0</v>
      </c>
      <c r="Z3979" s="14">
        <v>0</v>
      </c>
      <c r="AA3979" s="6">
        <v>0</v>
      </c>
      <c r="AB3979" s="4">
        <f t="shared" si="618"/>
        <v>0</v>
      </c>
      <c r="AC3979" s="4">
        <f t="shared" si="611"/>
        <v>0</v>
      </c>
      <c r="AD3979" s="6">
        <f t="shared" si="615"/>
        <v>0</v>
      </c>
      <c r="AE3979" s="2">
        <f>VLOOKUP(I3979,[1]媒体政策预估表!A:N,MATCH(O3979,[1]媒体政策预估表!$A$2:$M$2,0),0)</f>
        <v>7.0000000000000007E-2</v>
      </c>
      <c r="AF3979" s="6">
        <f t="shared" si="612"/>
        <v>0</v>
      </c>
      <c r="AG3979" s="14">
        <v>0</v>
      </c>
      <c r="AH3979" s="65">
        <f t="shared" si="616"/>
        <v>0</v>
      </c>
      <c r="AI3979" s="47"/>
      <c r="AJ3979" s="126" t="e">
        <v>#N/A</v>
      </c>
      <c r="AK3979" s="80">
        <f t="shared" si="619"/>
        <v>0</v>
      </c>
      <c r="AM3979" s="85"/>
    </row>
    <row r="3980" spans="1:39" hidden="1" x14ac:dyDescent="0.3">
      <c r="A3980" s="89" t="s">
        <v>3397</v>
      </c>
      <c r="B3980" s="86" t="s">
        <v>35</v>
      </c>
      <c r="C3980" s="86" t="s">
        <v>144</v>
      </c>
      <c r="D3980" s="86" t="s">
        <v>145</v>
      </c>
      <c r="E3980" s="86" t="s">
        <v>1416</v>
      </c>
      <c r="F3980" s="86" t="s">
        <v>1416</v>
      </c>
      <c r="G3980" s="86" t="s">
        <v>1416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1417</v>
      </c>
      <c r="N3980" s="86"/>
      <c r="O3980" s="47" t="s">
        <v>410</v>
      </c>
      <c r="P3980" s="47" t="s">
        <v>41</v>
      </c>
      <c r="Q3980" s="14">
        <v>0</v>
      </c>
      <c r="R3980" s="143" t="s">
        <v>1418</v>
      </c>
      <c r="S3980" s="47"/>
      <c r="T3980" s="6">
        <v>182555.29000000004</v>
      </c>
      <c r="U3980" s="6">
        <v>400000</v>
      </c>
      <c r="V3980" s="6">
        <v>444768.9</v>
      </c>
      <c r="W3980" s="6">
        <f t="shared" si="613"/>
        <v>137786.39000000001</v>
      </c>
      <c r="X3980" s="6">
        <f t="shared" si="614"/>
        <v>444768.9</v>
      </c>
      <c r="Y3980" s="13">
        <f t="shared" si="617"/>
        <v>0</v>
      </c>
      <c r="Z3980" s="14">
        <v>0</v>
      </c>
      <c r="AA3980" s="6">
        <v>0</v>
      </c>
      <c r="AB3980" s="4">
        <f t="shared" si="618"/>
        <v>444768.9</v>
      </c>
      <c r="AC3980" s="4">
        <f t="shared" ref="AC3980:AC4043" si="620">IF(P3980="返现",X3980*Q3980,V3980-X3980)</f>
        <v>0</v>
      </c>
      <c r="AD3980" s="6">
        <f t="shared" si="615"/>
        <v>444768.9</v>
      </c>
      <c r="AE3980" s="2">
        <f>VLOOKUP(I3980,[1]媒体政策预估表!A:N,MATCH(O3980,[1]媒体政策预估表!$A$2:$M$2,0),0)</f>
        <v>7.0000000000000007E-2</v>
      </c>
      <c r="AF3980" s="6">
        <f t="shared" ref="AF3980:AF4043" si="621">AD3980*AE3980</f>
        <v>31133.823000000004</v>
      </c>
      <c r="AG3980" s="14">
        <v>0</v>
      </c>
      <c r="AH3980" s="65">
        <f t="shared" si="616"/>
        <v>444768.9</v>
      </c>
      <c r="AI3980" s="47"/>
      <c r="AJ3980" s="126" t="e">
        <v>#N/A</v>
      </c>
      <c r="AK3980" s="80">
        <f t="shared" si="619"/>
        <v>0</v>
      </c>
      <c r="AM3980" s="85"/>
    </row>
    <row r="3981" spans="1:39" hidden="1" x14ac:dyDescent="0.3">
      <c r="A3981" s="89" t="s">
        <v>3395</v>
      </c>
      <c r="B3981" s="86" t="s">
        <v>35</v>
      </c>
      <c r="C3981" s="86" t="s">
        <v>144</v>
      </c>
      <c r="D3981" s="86" t="s">
        <v>145</v>
      </c>
      <c r="E3981" s="86" t="s">
        <v>1421</v>
      </c>
      <c r="F3981" s="86" t="s">
        <v>1421</v>
      </c>
      <c r="G3981" s="86" t="s">
        <v>1421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1424</v>
      </c>
      <c r="N3981" s="86"/>
      <c r="O3981" s="47" t="s">
        <v>410</v>
      </c>
      <c r="P3981" s="47" t="s">
        <v>46</v>
      </c>
      <c r="Q3981" s="14">
        <v>0.02</v>
      </c>
      <c r="R3981" s="143" t="s">
        <v>1425</v>
      </c>
      <c r="S3981" s="47"/>
      <c r="T3981" s="6">
        <v>0</v>
      </c>
      <c r="U3981" s="6">
        <v>0</v>
      </c>
      <c r="V3981" s="6">
        <v>0</v>
      </c>
      <c r="W3981" s="6">
        <f t="shared" si="613"/>
        <v>0</v>
      </c>
      <c r="X3981" s="6">
        <f t="shared" si="614"/>
        <v>0</v>
      </c>
      <c r="Y3981" s="13">
        <f t="shared" si="617"/>
        <v>0</v>
      </c>
      <c r="Z3981" s="14">
        <v>0</v>
      </c>
      <c r="AA3981" s="6">
        <v>0</v>
      </c>
      <c r="AB3981" s="4">
        <f t="shared" si="618"/>
        <v>0</v>
      </c>
      <c r="AC3981" s="4">
        <f t="shared" si="620"/>
        <v>0</v>
      </c>
      <c r="AD3981" s="6">
        <f t="shared" si="615"/>
        <v>0</v>
      </c>
      <c r="AE3981" s="2">
        <f>VLOOKUP(I3981,[1]媒体政策预估表!A:N,MATCH(O3981,[1]媒体政策预估表!$A$2:$M$2,0),0)</f>
        <v>7.0000000000000007E-2</v>
      </c>
      <c r="AF3981" s="6">
        <f t="shared" si="621"/>
        <v>0</v>
      </c>
      <c r="AG3981" s="14">
        <v>0</v>
      </c>
      <c r="AH3981" s="65">
        <f t="shared" si="616"/>
        <v>0</v>
      </c>
      <c r="AI3981" s="47"/>
      <c r="AJ3981" s="126" t="e">
        <v>#N/A</v>
      </c>
      <c r="AK3981" s="80">
        <f t="shared" si="619"/>
        <v>0</v>
      </c>
      <c r="AM3981" s="85"/>
    </row>
    <row r="3982" spans="1:39" hidden="1" x14ac:dyDescent="0.3">
      <c r="A3982" s="89" t="s">
        <v>3395</v>
      </c>
      <c r="B3982" s="86" t="s">
        <v>35</v>
      </c>
      <c r="C3982" s="86" t="s">
        <v>144</v>
      </c>
      <c r="D3982" s="86" t="s">
        <v>145</v>
      </c>
      <c r="E3982" s="86" t="s">
        <v>1421</v>
      </c>
      <c r="F3982" s="86" t="s">
        <v>1421</v>
      </c>
      <c r="G3982" s="86" t="s">
        <v>1421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1426</v>
      </c>
      <c r="N3982" s="86"/>
      <c r="O3982" s="47" t="s">
        <v>410</v>
      </c>
      <c r="P3982" s="47" t="s">
        <v>46</v>
      </c>
      <c r="Q3982" s="14">
        <v>0.02</v>
      </c>
      <c r="R3982" s="143" t="s">
        <v>1427</v>
      </c>
      <c r="S3982" s="47"/>
      <c r="T3982" s="6">
        <v>0</v>
      </c>
      <c r="U3982" s="6">
        <v>0</v>
      </c>
      <c r="V3982" s="6">
        <v>0</v>
      </c>
      <c r="W3982" s="6">
        <f t="shared" si="613"/>
        <v>0</v>
      </c>
      <c r="X3982" s="6">
        <f t="shared" si="614"/>
        <v>0</v>
      </c>
      <c r="Y3982" s="13">
        <f t="shared" si="617"/>
        <v>0</v>
      </c>
      <c r="Z3982" s="14">
        <v>0</v>
      </c>
      <c r="AA3982" s="6">
        <v>0</v>
      </c>
      <c r="AB3982" s="4">
        <f t="shared" si="618"/>
        <v>0</v>
      </c>
      <c r="AC3982" s="4">
        <f t="shared" si="620"/>
        <v>0</v>
      </c>
      <c r="AD3982" s="6">
        <f t="shared" si="615"/>
        <v>0</v>
      </c>
      <c r="AE3982" s="2">
        <f>VLOOKUP(I3982,[1]媒体政策预估表!A:N,MATCH(O3982,[1]媒体政策预估表!$A$2:$M$2,0),0)</f>
        <v>7.0000000000000007E-2</v>
      </c>
      <c r="AF3982" s="6">
        <f t="shared" si="621"/>
        <v>0</v>
      </c>
      <c r="AG3982" s="14">
        <v>0</v>
      </c>
      <c r="AH3982" s="65">
        <f t="shared" si="616"/>
        <v>0</v>
      </c>
      <c r="AI3982" s="47"/>
      <c r="AJ3982" s="126" t="e">
        <v>#N/A</v>
      </c>
      <c r="AK3982" s="80">
        <f t="shared" si="619"/>
        <v>0</v>
      </c>
      <c r="AM3982" s="85"/>
    </row>
    <row r="3983" spans="1:39" hidden="1" x14ac:dyDescent="0.3">
      <c r="A3983" s="89" t="s">
        <v>3395</v>
      </c>
      <c r="B3983" s="86" t="s">
        <v>35</v>
      </c>
      <c r="C3983" s="86" t="s">
        <v>144</v>
      </c>
      <c r="D3983" s="86" t="s">
        <v>145</v>
      </c>
      <c r="E3983" s="86" t="s">
        <v>1421</v>
      </c>
      <c r="F3983" s="86" t="s">
        <v>1421</v>
      </c>
      <c r="G3983" s="86" t="s">
        <v>1421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1434</v>
      </c>
      <c r="N3983" s="86"/>
      <c r="O3983" s="47" t="s">
        <v>410</v>
      </c>
      <c r="P3983" s="47" t="s">
        <v>46</v>
      </c>
      <c r="Q3983" s="14">
        <v>0.02</v>
      </c>
      <c r="R3983" s="143" t="s">
        <v>1435</v>
      </c>
      <c r="S3983" s="47"/>
      <c r="T3983" s="6">
        <v>0</v>
      </c>
      <c r="U3983" s="6">
        <v>0</v>
      </c>
      <c r="V3983" s="6">
        <v>0</v>
      </c>
      <c r="W3983" s="6">
        <f t="shared" si="613"/>
        <v>0</v>
      </c>
      <c r="X3983" s="6">
        <f t="shared" si="614"/>
        <v>0</v>
      </c>
      <c r="Y3983" s="13">
        <f t="shared" si="617"/>
        <v>0</v>
      </c>
      <c r="Z3983" s="14">
        <v>0</v>
      </c>
      <c r="AA3983" s="6">
        <v>0</v>
      </c>
      <c r="AB3983" s="4">
        <f t="shared" si="618"/>
        <v>0</v>
      </c>
      <c r="AC3983" s="4">
        <f t="shared" si="620"/>
        <v>0</v>
      </c>
      <c r="AD3983" s="6">
        <f t="shared" si="615"/>
        <v>0</v>
      </c>
      <c r="AE3983" s="2">
        <f>VLOOKUP(I3983,[1]媒体政策预估表!A:N,MATCH(O3983,[1]媒体政策预估表!$A$2:$M$2,0),0)</f>
        <v>7.0000000000000007E-2</v>
      </c>
      <c r="AF3983" s="6">
        <f t="shared" si="621"/>
        <v>0</v>
      </c>
      <c r="AG3983" s="14">
        <v>0</v>
      </c>
      <c r="AH3983" s="65">
        <f t="shared" si="616"/>
        <v>0</v>
      </c>
      <c r="AI3983" s="47"/>
      <c r="AJ3983" s="126" t="e">
        <v>#N/A</v>
      </c>
      <c r="AK3983" s="80">
        <f t="shared" si="619"/>
        <v>0</v>
      </c>
      <c r="AM3983" s="85"/>
    </row>
    <row r="3984" spans="1:39" hidden="1" x14ac:dyDescent="0.3">
      <c r="A3984" s="89" t="s">
        <v>3394</v>
      </c>
      <c r="B3984" s="86" t="s">
        <v>35</v>
      </c>
      <c r="C3984" s="86" t="s">
        <v>144</v>
      </c>
      <c r="D3984" s="86" t="s">
        <v>145</v>
      </c>
      <c r="E3984" s="86" t="s">
        <v>1421</v>
      </c>
      <c r="F3984" s="86" t="s">
        <v>1421</v>
      </c>
      <c r="G3984" s="86" t="s">
        <v>1421</v>
      </c>
      <c r="H3984" s="144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1422</v>
      </c>
      <c r="N3984" s="86"/>
      <c r="O3984" s="47" t="s">
        <v>410</v>
      </c>
      <c r="P3984" s="47" t="s">
        <v>41</v>
      </c>
      <c r="Q3984" s="14">
        <v>0</v>
      </c>
      <c r="R3984" s="143" t="s">
        <v>1423</v>
      </c>
      <c r="S3984" s="47"/>
      <c r="T3984" s="6">
        <v>2937.239999999998</v>
      </c>
      <c r="U3984" s="6">
        <v>5000</v>
      </c>
      <c r="V3984" s="6">
        <v>3881</v>
      </c>
      <c r="W3984" s="6">
        <f t="shared" si="613"/>
        <v>4056.239999999998</v>
      </c>
      <c r="X3984" s="6">
        <f t="shared" si="614"/>
        <v>3881</v>
      </c>
      <c r="Y3984" s="13">
        <f t="shared" si="617"/>
        <v>0</v>
      </c>
      <c r="Z3984" s="14">
        <v>0</v>
      </c>
      <c r="AA3984" s="6">
        <v>0</v>
      </c>
      <c r="AB3984" s="4">
        <f t="shared" si="618"/>
        <v>3881</v>
      </c>
      <c r="AC3984" s="4">
        <f t="shared" si="620"/>
        <v>0</v>
      </c>
      <c r="AD3984" s="6">
        <f t="shared" si="615"/>
        <v>3881</v>
      </c>
      <c r="AE3984" s="2">
        <f>VLOOKUP(I3984,[1]媒体政策预估表!A:N,MATCH(O3984,[1]媒体政策预估表!$A$2:$M$2,0),0)</f>
        <v>7.0000000000000007E-2</v>
      </c>
      <c r="AF3984" s="6">
        <f t="shared" si="621"/>
        <v>271.67</v>
      </c>
      <c r="AG3984" s="14">
        <v>0</v>
      </c>
      <c r="AH3984" s="65">
        <f t="shared" si="616"/>
        <v>3881</v>
      </c>
      <c r="AI3984" s="47"/>
      <c r="AJ3984" s="126" t="e">
        <v>#N/A</v>
      </c>
      <c r="AK3984" s="80">
        <f t="shared" si="619"/>
        <v>0</v>
      </c>
      <c r="AM3984" s="85"/>
    </row>
    <row r="3985" spans="1:39" hidden="1" x14ac:dyDescent="0.3">
      <c r="A3985" s="89" t="s">
        <v>3394</v>
      </c>
      <c r="B3985" s="86" t="s">
        <v>35</v>
      </c>
      <c r="C3985" s="86" t="s">
        <v>144</v>
      </c>
      <c r="D3985" s="86" t="s">
        <v>145</v>
      </c>
      <c r="E3985" s="86" t="s">
        <v>1421</v>
      </c>
      <c r="F3985" s="86" t="s">
        <v>1421</v>
      </c>
      <c r="G3985" s="86" t="s">
        <v>1421</v>
      </c>
      <c r="H3985" s="144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1424</v>
      </c>
      <c r="N3985" s="86"/>
      <c r="O3985" s="47" t="s">
        <v>410</v>
      </c>
      <c r="P3985" s="47" t="s">
        <v>41</v>
      </c>
      <c r="Q3985" s="14">
        <v>0</v>
      </c>
      <c r="R3985" s="143" t="s">
        <v>1425</v>
      </c>
      <c r="S3985" s="47"/>
      <c r="T3985" s="6">
        <v>19155.050000000047</v>
      </c>
      <c r="U3985" s="6">
        <v>170000</v>
      </c>
      <c r="V3985" s="6">
        <v>169427.7</v>
      </c>
      <c r="W3985" s="6">
        <f t="shared" si="613"/>
        <v>19727.350000000035</v>
      </c>
      <c r="X3985" s="6">
        <f t="shared" si="614"/>
        <v>169427.7</v>
      </c>
      <c r="Y3985" s="13">
        <f t="shared" si="617"/>
        <v>0</v>
      </c>
      <c r="Z3985" s="14">
        <v>0</v>
      </c>
      <c r="AA3985" s="6">
        <v>0</v>
      </c>
      <c r="AB3985" s="4">
        <f t="shared" si="618"/>
        <v>169427.7</v>
      </c>
      <c r="AC3985" s="4">
        <f t="shared" si="620"/>
        <v>0</v>
      </c>
      <c r="AD3985" s="6">
        <f t="shared" si="615"/>
        <v>169427.7</v>
      </c>
      <c r="AE3985" s="2">
        <f>VLOOKUP(I3985,[1]媒体政策预估表!A:N,MATCH(O3985,[1]媒体政策预估表!$A$2:$M$2,0),0)</f>
        <v>7.0000000000000007E-2</v>
      </c>
      <c r="AF3985" s="6">
        <f t="shared" si="621"/>
        <v>11859.939000000002</v>
      </c>
      <c r="AG3985" s="14">
        <v>0</v>
      </c>
      <c r="AH3985" s="65">
        <f t="shared" si="616"/>
        <v>169427.7</v>
      </c>
      <c r="AI3985" s="47"/>
      <c r="AJ3985" s="126" t="e">
        <v>#N/A</v>
      </c>
      <c r="AK3985" s="80">
        <f t="shared" si="619"/>
        <v>0</v>
      </c>
      <c r="AM3985" s="85"/>
    </row>
    <row r="3986" spans="1:39" hidden="1" x14ac:dyDescent="0.3">
      <c r="A3986" s="89" t="s">
        <v>3394</v>
      </c>
      <c r="B3986" s="86" t="s">
        <v>35</v>
      </c>
      <c r="C3986" s="86" t="s">
        <v>144</v>
      </c>
      <c r="D3986" s="86" t="s">
        <v>145</v>
      </c>
      <c r="E3986" s="86" t="s">
        <v>1421</v>
      </c>
      <c r="F3986" s="86" t="s">
        <v>1421</v>
      </c>
      <c r="G3986" s="86" t="s">
        <v>1421</v>
      </c>
      <c r="H3986" s="144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1426</v>
      </c>
      <c r="N3986" s="86"/>
      <c r="O3986" s="47" t="s">
        <v>410</v>
      </c>
      <c r="P3986" s="47" t="s">
        <v>41</v>
      </c>
      <c r="Q3986" s="14">
        <v>0</v>
      </c>
      <c r="R3986" s="143" t="s">
        <v>1427</v>
      </c>
      <c r="S3986" s="47"/>
      <c r="T3986" s="6">
        <v>17180.400000000009</v>
      </c>
      <c r="U3986" s="6">
        <v>110000</v>
      </c>
      <c r="V3986" s="6">
        <v>107618.6</v>
      </c>
      <c r="W3986" s="6">
        <f t="shared" si="613"/>
        <v>19561.800000000003</v>
      </c>
      <c r="X3986" s="6">
        <f t="shared" si="614"/>
        <v>107618.6</v>
      </c>
      <c r="Y3986" s="13">
        <f t="shared" si="617"/>
        <v>0</v>
      </c>
      <c r="Z3986" s="14">
        <v>0</v>
      </c>
      <c r="AA3986" s="6">
        <v>0</v>
      </c>
      <c r="AB3986" s="4">
        <f t="shared" si="618"/>
        <v>107618.6</v>
      </c>
      <c r="AC3986" s="4">
        <f t="shared" si="620"/>
        <v>0</v>
      </c>
      <c r="AD3986" s="6">
        <f t="shared" si="615"/>
        <v>107618.6</v>
      </c>
      <c r="AE3986" s="2">
        <f>VLOOKUP(I3986,[1]媒体政策预估表!A:N,MATCH(O3986,[1]媒体政策预估表!$A$2:$M$2,0),0)</f>
        <v>7.0000000000000007E-2</v>
      </c>
      <c r="AF3986" s="6">
        <f t="shared" si="621"/>
        <v>7533.3020000000015</v>
      </c>
      <c r="AG3986" s="14">
        <v>0</v>
      </c>
      <c r="AH3986" s="65">
        <f t="shared" si="616"/>
        <v>107618.6</v>
      </c>
      <c r="AI3986" s="47"/>
      <c r="AJ3986" s="126" t="e">
        <v>#N/A</v>
      </c>
      <c r="AK3986" s="80">
        <f t="shared" si="619"/>
        <v>0</v>
      </c>
      <c r="AM3986" s="85"/>
    </row>
    <row r="3987" spans="1:39" hidden="1" x14ac:dyDescent="0.3">
      <c r="A3987" s="89" t="s">
        <v>3394</v>
      </c>
      <c r="B3987" s="86" t="s">
        <v>35</v>
      </c>
      <c r="C3987" s="86" t="s">
        <v>144</v>
      </c>
      <c r="D3987" s="86" t="s">
        <v>145</v>
      </c>
      <c r="E3987" s="86" t="s">
        <v>1421</v>
      </c>
      <c r="F3987" s="86" t="s">
        <v>1421</v>
      </c>
      <c r="G3987" s="86" t="s">
        <v>1421</v>
      </c>
      <c r="H3987" s="144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1428</v>
      </c>
      <c r="N3987" s="86"/>
      <c r="O3987" s="47" t="s">
        <v>410</v>
      </c>
      <c r="P3987" s="47" t="s">
        <v>41</v>
      </c>
      <c r="Q3987" s="14">
        <v>0</v>
      </c>
      <c r="R3987" s="143" t="s">
        <v>1429</v>
      </c>
      <c r="S3987" s="47"/>
      <c r="T3987" s="6">
        <v>4275.8999999999978</v>
      </c>
      <c r="U3987" s="6">
        <v>5000</v>
      </c>
      <c r="V3987" s="6">
        <v>3138.7</v>
      </c>
      <c r="W3987" s="6">
        <f t="shared" si="613"/>
        <v>6137.199999999998</v>
      </c>
      <c r="X3987" s="6">
        <f t="shared" si="614"/>
        <v>3138.7</v>
      </c>
      <c r="Y3987" s="13">
        <f t="shared" si="617"/>
        <v>0</v>
      </c>
      <c r="Z3987" s="14">
        <v>0</v>
      </c>
      <c r="AA3987" s="6">
        <v>0</v>
      </c>
      <c r="AB3987" s="4">
        <f t="shared" si="618"/>
        <v>3138.7</v>
      </c>
      <c r="AC3987" s="4">
        <f t="shared" si="620"/>
        <v>0</v>
      </c>
      <c r="AD3987" s="6">
        <f t="shared" si="615"/>
        <v>3138.7</v>
      </c>
      <c r="AE3987" s="2">
        <f>VLOOKUP(I3987,[1]媒体政策预估表!A:N,MATCH(O3987,[1]媒体政策预估表!$A$2:$M$2,0),0)</f>
        <v>7.0000000000000007E-2</v>
      </c>
      <c r="AF3987" s="6">
        <f t="shared" si="621"/>
        <v>219.709</v>
      </c>
      <c r="AG3987" s="14">
        <v>0</v>
      </c>
      <c r="AH3987" s="65">
        <f t="shared" si="616"/>
        <v>3138.7</v>
      </c>
      <c r="AI3987" s="47"/>
      <c r="AJ3987" s="126" t="e">
        <v>#N/A</v>
      </c>
      <c r="AK3987" s="80">
        <f t="shared" si="619"/>
        <v>0</v>
      </c>
      <c r="AM3987" s="85"/>
    </row>
    <row r="3988" spans="1:39" hidden="1" x14ac:dyDescent="0.3">
      <c r="A3988" s="89" t="s">
        <v>3394</v>
      </c>
      <c r="B3988" s="86" t="s">
        <v>35</v>
      </c>
      <c r="C3988" s="86" t="s">
        <v>144</v>
      </c>
      <c r="D3988" s="86" t="s">
        <v>145</v>
      </c>
      <c r="E3988" s="86" t="s">
        <v>1421</v>
      </c>
      <c r="F3988" s="86" t="s">
        <v>1421</v>
      </c>
      <c r="G3988" s="86" t="s">
        <v>1421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1430</v>
      </c>
      <c r="N3988" s="86"/>
      <c r="O3988" s="47" t="s">
        <v>410</v>
      </c>
      <c r="P3988" s="47" t="s">
        <v>41</v>
      </c>
      <c r="Q3988" s="14">
        <v>0</v>
      </c>
      <c r="R3988" s="143" t="s">
        <v>1431</v>
      </c>
      <c r="S3988" s="47"/>
      <c r="T3988" s="6">
        <v>15625.599999999999</v>
      </c>
      <c r="U3988" s="6">
        <v>100000</v>
      </c>
      <c r="V3988" s="6">
        <v>96620.1</v>
      </c>
      <c r="W3988" s="6">
        <f t="shared" si="613"/>
        <v>19005.5</v>
      </c>
      <c r="X3988" s="6">
        <f t="shared" si="614"/>
        <v>96620.1</v>
      </c>
      <c r="Y3988" s="13">
        <f t="shared" si="617"/>
        <v>0</v>
      </c>
      <c r="Z3988" s="14">
        <v>0</v>
      </c>
      <c r="AA3988" s="6">
        <v>0</v>
      </c>
      <c r="AB3988" s="4">
        <f t="shared" si="618"/>
        <v>96620.1</v>
      </c>
      <c r="AC3988" s="4">
        <f t="shared" si="620"/>
        <v>0</v>
      </c>
      <c r="AD3988" s="6">
        <f t="shared" si="615"/>
        <v>96620.1</v>
      </c>
      <c r="AE3988" s="2">
        <f>VLOOKUP(I3988,[1]媒体政策预估表!A:N,MATCH(O3988,[1]媒体政策预估表!$A$2:$M$2,0),0)</f>
        <v>7.0000000000000007E-2</v>
      </c>
      <c r="AF3988" s="6">
        <f t="shared" si="621"/>
        <v>6763.4070000000011</v>
      </c>
      <c r="AG3988" s="14">
        <v>0</v>
      </c>
      <c r="AH3988" s="65">
        <f t="shared" si="616"/>
        <v>96620.1</v>
      </c>
      <c r="AI3988" s="47"/>
      <c r="AJ3988" s="126" t="e">
        <v>#N/A</v>
      </c>
      <c r="AK3988" s="80">
        <f t="shared" si="619"/>
        <v>0</v>
      </c>
      <c r="AM3988" s="85"/>
    </row>
    <row r="3989" spans="1:39" hidden="1" x14ac:dyDescent="0.3">
      <c r="A3989" s="89" t="s">
        <v>3394</v>
      </c>
      <c r="B3989" s="86" t="s">
        <v>35</v>
      </c>
      <c r="C3989" s="86" t="s">
        <v>144</v>
      </c>
      <c r="D3989" s="86" t="s">
        <v>145</v>
      </c>
      <c r="E3989" s="86" t="s">
        <v>1421</v>
      </c>
      <c r="F3989" s="86" t="s">
        <v>1421</v>
      </c>
      <c r="G3989" s="86" t="s">
        <v>1421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1432</v>
      </c>
      <c r="N3989" s="86"/>
      <c r="O3989" s="47" t="s">
        <v>410</v>
      </c>
      <c r="P3989" s="47" t="s">
        <v>41</v>
      </c>
      <c r="Q3989" s="14">
        <v>0</v>
      </c>
      <c r="R3989" s="143" t="s">
        <v>1433</v>
      </c>
      <c r="S3989" s="47"/>
      <c r="T3989" s="6">
        <v>2248.5</v>
      </c>
      <c r="U3989" s="6">
        <v>25000</v>
      </c>
      <c r="V3989" s="6">
        <v>21267.5</v>
      </c>
      <c r="W3989" s="6">
        <f t="shared" si="613"/>
        <v>5981</v>
      </c>
      <c r="X3989" s="6">
        <f t="shared" si="614"/>
        <v>21267.5</v>
      </c>
      <c r="Y3989" s="13">
        <f t="shared" si="617"/>
        <v>0</v>
      </c>
      <c r="Z3989" s="14">
        <v>0</v>
      </c>
      <c r="AA3989" s="6">
        <v>0</v>
      </c>
      <c r="AB3989" s="4">
        <f t="shared" si="618"/>
        <v>21267.5</v>
      </c>
      <c r="AC3989" s="4">
        <f t="shared" si="620"/>
        <v>0</v>
      </c>
      <c r="AD3989" s="6">
        <f t="shared" si="615"/>
        <v>21267.5</v>
      </c>
      <c r="AE3989" s="2">
        <f>VLOOKUP(I3989,[1]媒体政策预估表!A:N,MATCH(O3989,[1]媒体政策预估表!$A$2:$M$2,0),0)</f>
        <v>7.0000000000000007E-2</v>
      </c>
      <c r="AF3989" s="6">
        <f t="shared" si="621"/>
        <v>1488.7250000000001</v>
      </c>
      <c r="AG3989" s="14">
        <v>0</v>
      </c>
      <c r="AH3989" s="65">
        <f t="shared" si="616"/>
        <v>21267.5</v>
      </c>
      <c r="AI3989" s="47"/>
      <c r="AJ3989" s="126" t="e">
        <v>#N/A</v>
      </c>
      <c r="AK3989" s="80">
        <f t="shared" si="619"/>
        <v>0</v>
      </c>
      <c r="AM3989" s="85"/>
    </row>
    <row r="3990" spans="1:39" hidden="1" x14ac:dyDescent="0.3">
      <c r="A3990" s="89" t="s">
        <v>3394</v>
      </c>
      <c r="B3990" s="86" t="s">
        <v>35</v>
      </c>
      <c r="C3990" s="86" t="s">
        <v>144</v>
      </c>
      <c r="D3990" s="86" t="s">
        <v>145</v>
      </c>
      <c r="E3990" s="86" t="s">
        <v>1421</v>
      </c>
      <c r="F3990" s="86" t="s">
        <v>1421</v>
      </c>
      <c r="G3990" s="86" t="s">
        <v>1421</v>
      </c>
      <c r="H3990" s="144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1434</v>
      </c>
      <c r="N3990" s="86"/>
      <c r="O3990" s="47" t="s">
        <v>410</v>
      </c>
      <c r="P3990" s="47" t="s">
        <v>41</v>
      </c>
      <c r="Q3990" s="14">
        <v>0</v>
      </c>
      <c r="R3990" s="143" t="s">
        <v>1435</v>
      </c>
      <c r="S3990" s="47"/>
      <c r="T3990" s="6">
        <v>2145.7999999999993</v>
      </c>
      <c r="U3990" s="6">
        <v>10000</v>
      </c>
      <c r="V3990" s="6">
        <v>5989.8</v>
      </c>
      <c r="W3990" s="6">
        <f t="shared" si="613"/>
        <v>6155.9999999999991</v>
      </c>
      <c r="X3990" s="6">
        <f t="shared" si="614"/>
        <v>5989.8</v>
      </c>
      <c r="Y3990" s="13">
        <f t="shared" si="617"/>
        <v>0</v>
      </c>
      <c r="Z3990" s="14">
        <v>0</v>
      </c>
      <c r="AA3990" s="6">
        <v>0</v>
      </c>
      <c r="AB3990" s="4">
        <f t="shared" si="618"/>
        <v>5989.8</v>
      </c>
      <c r="AC3990" s="4">
        <f t="shared" si="620"/>
        <v>0</v>
      </c>
      <c r="AD3990" s="6">
        <f t="shared" si="615"/>
        <v>5989.8</v>
      </c>
      <c r="AE3990" s="2">
        <f>VLOOKUP(I3990,[1]媒体政策预估表!A:N,MATCH(O3990,[1]媒体政策预估表!$A$2:$M$2,0),0)</f>
        <v>7.0000000000000007E-2</v>
      </c>
      <c r="AF3990" s="6">
        <f t="shared" si="621"/>
        <v>419.28600000000006</v>
      </c>
      <c r="AG3990" s="14">
        <v>0</v>
      </c>
      <c r="AH3990" s="65">
        <f t="shared" si="616"/>
        <v>5989.8</v>
      </c>
      <c r="AI3990" s="47"/>
      <c r="AJ3990" s="126" t="e">
        <v>#N/A</v>
      </c>
      <c r="AK3990" s="80">
        <f t="shared" si="619"/>
        <v>0</v>
      </c>
      <c r="AM3990" s="85"/>
    </row>
    <row r="3991" spans="1:39" hidden="1" x14ac:dyDescent="0.3">
      <c r="A3991" s="89" t="s">
        <v>3395</v>
      </c>
      <c r="B3991" s="86" t="s">
        <v>35</v>
      </c>
      <c r="C3991" s="86" t="s">
        <v>144</v>
      </c>
      <c r="D3991" s="86" t="s">
        <v>145</v>
      </c>
      <c r="E3991" s="86" t="s">
        <v>1421</v>
      </c>
      <c r="F3991" s="86" t="s">
        <v>1421</v>
      </c>
      <c r="G3991" s="86" t="s">
        <v>1421</v>
      </c>
      <c r="H3991" s="144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1436</v>
      </c>
      <c r="N3991" s="86"/>
      <c r="O3991" s="47" t="s">
        <v>410</v>
      </c>
      <c r="P3991" s="47" t="s">
        <v>41</v>
      </c>
      <c r="Q3991" s="14">
        <v>0</v>
      </c>
      <c r="R3991" s="143" t="s">
        <v>1437</v>
      </c>
      <c r="S3991" s="47"/>
      <c r="T3991" s="6">
        <v>3794.9099999999926</v>
      </c>
      <c r="U3991" s="6">
        <v>5000</v>
      </c>
      <c r="V3991" s="6">
        <v>3757.5</v>
      </c>
      <c r="W3991" s="6">
        <f t="shared" si="613"/>
        <v>5037.4099999999926</v>
      </c>
      <c r="X3991" s="6">
        <f t="shared" si="614"/>
        <v>3757.5</v>
      </c>
      <c r="Y3991" s="13">
        <f t="shared" si="617"/>
        <v>0</v>
      </c>
      <c r="Z3991" s="14">
        <v>0</v>
      </c>
      <c r="AA3991" s="6">
        <v>0</v>
      </c>
      <c r="AB3991" s="4">
        <f t="shared" si="618"/>
        <v>3757.5</v>
      </c>
      <c r="AC3991" s="4">
        <f t="shared" si="620"/>
        <v>0</v>
      </c>
      <c r="AD3991" s="6">
        <f t="shared" si="615"/>
        <v>3757.5</v>
      </c>
      <c r="AE3991" s="2">
        <f>VLOOKUP(I3991,[1]媒体政策预估表!A:N,MATCH(O3991,[1]媒体政策预估表!$A$2:$M$2,0),0)</f>
        <v>7.0000000000000007E-2</v>
      </c>
      <c r="AF3991" s="6">
        <f t="shared" si="621"/>
        <v>263.02500000000003</v>
      </c>
      <c r="AG3991" s="14">
        <v>0</v>
      </c>
      <c r="AH3991" s="65">
        <f t="shared" si="616"/>
        <v>3757.5</v>
      </c>
      <c r="AI3991" s="47"/>
      <c r="AJ3991" s="126" t="e">
        <v>#N/A</v>
      </c>
      <c r="AK3991" s="80">
        <f t="shared" si="619"/>
        <v>0</v>
      </c>
      <c r="AM3991" s="85"/>
    </row>
    <row r="3992" spans="1:39" hidden="1" x14ac:dyDescent="0.3">
      <c r="A3992" s="89" t="s">
        <v>3394</v>
      </c>
      <c r="B3992" s="86" t="s">
        <v>35</v>
      </c>
      <c r="C3992" s="86" t="s">
        <v>144</v>
      </c>
      <c r="D3992" s="86" t="s">
        <v>145</v>
      </c>
      <c r="E3992" s="86" t="s">
        <v>1421</v>
      </c>
      <c r="F3992" s="86" t="s">
        <v>1421</v>
      </c>
      <c r="G3992" s="86" t="s">
        <v>1421</v>
      </c>
      <c r="H3992" s="144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1438</v>
      </c>
      <c r="N3992" s="86"/>
      <c r="O3992" s="47" t="s">
        <v>410</v>
      </c>
      <c r="P3992" s="47" t="s">
        <v>41</v>
      </c>
      <c r="Q3992" s="14">
        <v>0</v>
      </c>
      <c r="R3992" s="143" t="s">
        <v>1439</v>
      </c>
      <c r="S3992" s="47"/>
      <c r="T3992" s="6">
        <v>17494.7</v>
      </c>
      <c r="U3992" s="6">
        <v>30000</v>
      </c>
      <c r="V3992" s="6">
        <v>34251.800000000003</v>
      </c>
      <c r="W3992" s="6">
        <f t="shared" si="613"/>
        <v>13242.899999999994</v>
      </c>
      <c r="X3992" s="6">
        <f t="shared" si="614"/>
        <v>34251.800000000003</v>
      </c>
      <c r="Y3992" s="13">
        <f t="shared" si="617"/>
        <v>0</v>
      </c>
      <c r="Z3992" s="14">
        <v>0</v>
      </c>
      <c r="AA3992" s="6">
        <v>0</v>
      </c>
      <c r="AB3992" s="4">
        <f t="shared" si="618"/>
        <v>34251.800000000003</v>
      </c>
      <c r="AC3992" s="4">
        <f t="shared" si="620"/>
        <v>0</v>
      </c>
      <c r="AD3992" s="6">
        <f t="shared" si="615"/>
        <v>34251.800000000003</v>
      </c>
      <c r="AE3992" s="2">
        <f>VLOOKUP(I3992,[1]媒体政策预估表!A:N,MATCH(O3992,[1]媒体政策预估表!$A$2:$M$2,0),0)</f>
        <v>7.0000000000000007E-2</v>
      </c>
      <c r="AF3992" s="6">
        <f t="shared" si="621"/>
        <v>2397.6260000000007</v>
      </c>
      <c r="AG3992" s="14">
        <v>0</v>
      </c>
      <c r="AH3992" s="65">
        <f t="shared" si="616"/>
        <v>34251.800000000003</v>
      </c>
      <c r="AI3992" s="47"/>
      <c r="AJ3992" s="126" t="e">
        <v>#N/A</v>
      </c>
      <c r="AK3992" s="80">
        <f t="shared" si="619"/>
        <v>0</v>
      </c>
      <c r="AM3992" s="85"/>
    </row>
    <row r="3993" spans="1:39" hidden="1" x14ac:dyDescent="0.3">
      <c r="A3993" s="89" t="s">
        <v>3394</v>
      </c>
      <c r="B3993" s="86" t="s">
        <v>35</v>
      </c>
      <c r="C3993" s="86" t="s">
        <v>144</v>
      </c>
      <c r="D3993" s="86" t="s">
        <v>145</v>
      </c>
      <c r="E3993" s="86" t="s">
        <v>1421</v>
      </c>
      <c r="F3993" s="86" t="s">
        <v>1421</v>
      </c>
      <c r="G3993" s="86" t="s">
        <v>1421</v>
      </c>
      <c r="H3993" s="144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3519</v>
      </c>
      <c r="N3993" s="86"/>
      <c r="O3993" s="47" t="s">
        <v>410</v>
      </c>
      <c r="P3993" s="47" t="s">
        <v>41</v>
      </c>
      <c r="Q3993" s="14">
        <v>0</v>
      </c>
      <c r="R3993" s="143" t="s">
        <v>3520</v>
      </c>
      <c r="S3993" s="47"/>
      <c r="T3993" s="6">
        <v>0</v>
      </c>
      <c r="U3993" s="6">
        <v>260000</v>
      </c>
      <c r="V3993" s="6">
        <v>167997.7</v>
      </c>
      <c r="W3993" s="6">
        <f t="shared" si="613"/>
        <v>92002.299999999988</v>
      </c>
      <c r="X3993" s="6">
        <f t="shared" si="614"/>
        <v>167997.7</v>
      </c>
      <c r="Y3993" s="13">
        <f t="shared" si="617"/>
        <v>0</v>
      </c>
      <c r="Z3993" s="14">
        <v>0</v>
      </c>
      <c r="AA3993" s="6">
        <v>0</v>
      </c>
      <c r="AB3993" s="4">
        <f t="shared" si="618"/>
        <v>167997.7</v>
      </c>
      <c r="AC3993" s="4">
        <f t="shared" si="620"/>
        <v>0</v>
      </c>
      <c r="AD3993" s="6">
        <f t="shared" si="615"/>
        <v>167997.7</v>
      </c>
      <c r="AE3993" s="2">
        <f>VLOOKUP(I3993,[1]媒体政策预估表!A:N,MATCH(O3993,[1]媒体政策预估表!$A$2:$M$2,0),0)</f>
        <v>7.0000000000000007E-2</v>
      </c>
      <c r="AF3993" s="6">
        <f t="shared" si="621"/>
        <v>11759.839000000002</v>
      </c>
      <c r="AG3993" s="14">
        <v>0</v>
      </c>
      <c r="AH3993" s="65">
        <f t="shared" si="616"/>
        <v>167997.7</v>
      </c>
      <c r="AI3993" s="47"/>
      <c r="AJ3993" s="126" t="e">
        <v>#N/A</v>
      </c>
      <c r="AK3993" s="80">
        <f t="shared" si="619"/>
        <v>0</v>
      </c>
      <c r="AM3993" s="85"/>
    </row>
    <row r="3994" spans="1:39" hidden="1" x14ac:dyDescent="0.3">
      <c r="A3994" s="89" t="s">
        <v>3395</v>
      </c>
      <c r="B3994" s="86" t="s">
        <v>35</v>
      </c>
      <c r="C3994" s="86" t="s">
        <v>144</v>
      </c>
      <c r="D3994" s="86" t="s">
        <v>145</v>
      </c>
      <c r="E3994" s="86" t="s">
        <v>1421</v>
      </c>
      <c r="F3994" s="86" t="s">
        <v>1421</v>
      </c>
      <c r="G3994" s="86" t="s">
        <v>1421</v>
      </c>
      <c r="H3994" s="144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1440</v>
      </c>
      <c r="N3994" s="86"/>
      <c r="O3994" s="47" t="s">
        <v>410</v>
      </c>
      <c r="P3994" s="47" t="s">
        <v>41</v>
      </c>
      <c r="Q3994" s="14">
        <v>0</v>
      </c>
      <c r="R3994" s="143" t="s">
        <v>1441</v>
      </c>
      <c r="S3994" s="47"/>
      <c r="T3994" s="6">
        <v>6210.2999999999993</v>
      </c>
      <c r="U3994" s="6">
        <v>5000</v>
      </c>
      <c r="V3994" s="6">
        <v>5912.2</v>
      </c>
      <c r="W3994" s="6">
        <f t="shared" si="613"/>
        <v>5298.0999999999995</v>
      </c>
      <c r="X3994" s="6">
        <f t="shared" si="614"/>
        <v>5912.2</v>
      </c>
      <c r="Y3994" s="13">
        <f t="shared" si="617"/>
        <v>0</v>
      </c>
      <c r="Z3994" s="14">
        <v>0</v>
      </c>
      <c r="AA3994" s="6">
        <v>0</v>
      </c>
      <c r="AB3994" s="4">
        <f t="shared" si="618"/>
        <v>5912.2</v>
      </c>
      <c r="AC3994" s="4">
        <f t="shared" si="620"/>
        <v>0</v>
      </c>
      <c r="AD3994" s="6">
        <f t="shared" si="615"/>
        <v>5912.2</v>
      </c>
      <c r="AE3994" s="2">
        <f>VLOOKUP(I3994,[1]媒体政策预估表!A:N,MATCH(O3994,[1]媒体政策预估表!$A$2:$M$2,0),0)</f>
        <v>7.0000000000000007E-2</v>
      </c>
      <c r="AF3994" s="6">
        <f t="shared" si="621"/>
        <v>413.85400000000004</v>
      </c>
      <c r="AG3994" s="14">
        <v>0</v>
      </c>
      <c r="AH3994" s="65">
        <f t="shared" si="616"/>
        <v>5912.2</v>
      </c>
      <c r="AI3994" s="47"/>
      <c r="AJ3994" s="126" t="e">
        <v>#N/A</v>
      </c>
      <c r="AK3994" s="80">
        <f t="shared" si="619"/>
        <v>0</v>
      </c>
      <c r="AM3994" s="85"/>
    </row>
    <row r="3995" spans="1:39" hidden="1" x14ac:dyDescent="0.3">
      <c r="A3995" s="89" t="s">
        <v>3394</v>
      </c>
      <c r="B3995" s="86" t="s">
        <v>35</v>
      </c>
      <c r="C3995" s="86" t="s">
        <v>144</v>
      </c>
      <c r="D3995" s="86" t="s">
        <v>145</v>
      </c>
      <c r="E3995" s="86" t="s">
        <v>1421</v>
      </c>
      <c r="F3995" s="86" t="s">
        <v>1421</v>
      </c>
      <c r="G3995" s="86" t="s">
        <v>1421</v>
      </c>
      <c r="H3995" s="144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1442</v>
      </c>
      <c r="N3995" s="86"/>
      <c r="O3995" s="47" t="s">
        <v>410</v>
      </c>
      <c r="P3995" s="47" t="s">
        <v>41</v>
      </c>
      <c r="Q3995" s="14">
        <v>0</v>
      </c>
      <c r="R3995" s="143" t="s">
        <v>1443</v>
      </c>
      <c r="S3995" s="47"/>
      <c r="T3995" s="6">
        <v>36415.899999999994</v>
      </c>
      <c r="U3995" s="6">
        <v>200000</v>
      </c>
      <c r="V3995" s="6">
        <v>212833.5</v>
      </c>
      <c r="W3995" s="6">
        <f t="shared" si="613"/>
        <v>23582.399999999994</v>
      </c>
      <c r="X3995" s="6">
        <f t="shared" si="614"/>
        <v>212833.5</v>
      </c>
      <c r="Y3995" s="13">
        <f t="shared" si="617"/>
        <v>0</v>
      </c>
      <c r="Z3995" s="14">
        <v>0</v>
      </c>
      <c r="AA3995" s="6">
        <v>0</v>
      </c>
      <c r="AB3995" s="4">
        <f t="shared" si="618"/>
        <v>212833.5</v>
      </c>
      <c r="AC3995" s="4">
        <f t="shared" si="620"/>
        <v>0</v>
      </c>
      <c r="AD3995" s="6">
        <f t="shared" si="615"/>
        <v>212833.5</v>
      </c>
      <c r="AE3995" s="2">
        <f>VLOOKUP(I3995,[1]媒体政策预估表!A:N,MATCH(O3995,[1]媒体政策预估表!$A$2:$M$2,0),0)</f>
        <v>7.0000000000000007E-2</v>
      </c>
      <c r="AF3995" s="6">
        <f t="shared" si="621"/>
        <v>14898.345000000001</v>
      </c>
      <c r="AG3995" s="14">
        <v>0</v>
      </c>
      <c r="AH3995" s="65">
        <f t="shared" si="616"/>
        <v>212833.5</v>
      </c>
      <c r="AI3995" s="47"/>
      <c r="AJ3995" s="126" t="e">
        <v>#N/A</v>
      </c>
      <c r="AK3995" s="80">
        <f t="shared" si="619"/>
        <v>0</v>
      </c>
      <c r="AM3995" s="85"/>
    </row>
    <row r="3996" spans="1:39" hidden="1" x14ac:dyDescent="0.3">
      <c r="A3996" s="89" t="s">
        <v>3394</v>
      </c>
      <c r="B3996" s="86" t="s">
        <v>35</v>
      </c>
      <c r="C3996" s="86" t="s">
        <v>144</v>
      </c>
      <c r="D3996" s="86" t="s">
        <v>145</v>
      </c>
      <c r="E3996" s="86" t="s">
        <v>585</v>
      </c>
      <c r="F3996" s="86" t="s">
        <v>586</v>
      </c>
      <c r="G3996" s="86" t="s">
        <v>585</v>
      </c>
      <c r="H3996" s="144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1444</v>
      </c>
      <c r="N3996" s="86"/>
      <c r="O3996" s="47" t="s">
        <v>410</v>
      </c>
      <c r="P3996" s="47" t="s">
        <v>46</v>
      </c>
      <c r="Q3996" s="14">
        <v>0.02</v>
      </c>
      <c r="R3996" s="143" t="s">
        <v>1445</v>
      </c>
      <c r="S3996" s="47"/>
      <c r="T3996" s="6">
        <v>30728.569999999992</v>
      </c>
      <c r="U3996" s="6">
        <v>80000</v>
      </c>
      <c r="V3996" s="6">
        <v>58660.5</v>
      </c>
      <c r="W3996" s="6">
        <f t="shared" si="613"/>
        <v>52068.069999999992</v>
      </c>
      <c r="X3996" s="6">
        <f t="shared" si="614"/>
        <v>57510.294117647056</v>
      </c>
      <c r="Y3996" s="13">
        <f t="shared" si="617"/>
        <v>0</v>
      </c>
      <c r="Z3996" s="14">
        <v>0</v>
      </c>
      <c r="AA3996" s="6">
        <v>0</v>
      </c>
      <c r="AB3996" s="4">
        <f t="shared" si="618"/>
        <v>57510.294117647056</v>
      </c>
      <c r="AC3996" s="4">
        <f t="shared" si="620"/>
        <v>1150.2058823529442</v>
      </c>
      <c r="AD3996" s="6">
        <f t="shared" si="615"/>
        <v>58660.5</v>
      </c>
      <c r="AE3996" s="2">
        <f>VLOOKUP(I3996,[1]媒体政策预估表!A:N,MATCH(O3996,[1]媒体政策预估表!$A$2:$M$2,0),0)</f>
        <v>7.0000000000000007E-2</v>
      </c>
      <c r="AF3996" s="6">
        <f t="shared" si="621"/>
        <v>4106.2350000000006</v>
      </c>
      <c r="AG3996" s="14">
        <v>0</v>
      </c>
      <c r="AH3996" s="65">
        <f t="shared" si="616"/>
        <v>58660.5</v>
      </c>
      <c r="AI3996" s="47"/>
      <c r="AJ3996" s="126" t="e">
        <v>#N/A</v>
      </c>
      <c r="AK3996" s="80">
        <f t="shared" si="619"/>
        <v>0</v>
      </c>
      <c r="AM3996" s="85"/>
    </row>
    <row r="3997" spans="1:39" hidden="1" x14ac:dyDescent="0.3">
      <c r="A3997" s="89" t="s">
        <v>3394</v>
      </c>
      <c r="B3997" s="86" t="s">
        <v>35</v>
      </c>
      <c r="C3997" s="86" t="s">
        <v>144</v>
      </c>
      <c r="D3997" s="86" t="s">
        <v>145</v>
      </c>
      <c r="E3997" s="86" t="s">
        <v>3521</v>
      </c>
      <c r="F3997" s="86" t="s">
        <v>3522</v>
      </c>
      <c r="G3997" s="86" t="s">
        <v>3521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3523</v>
      </c>
      <c r="N3997" s="86"/>
      <c r="O3997" s="47" t="s">
        <v>410</v>
      </c>
      <c r="P3997" s="47" t="s">
        <v>41</v>
      </c>
      <c r="Q3997" s="14">
        <v>0</v>
      </c>
      <c r="R3997" s="143" t="s">
        <v>3524</v>
      </c>
      <c r="S3997" s="47"/>
      <c r="T3997" s="6">
        <v>0</v>
      </c>
      <c r="U3997" s="6">
        <v>5000</v>
      </c>
      <c r="V3997" s="6">
        <v>0</v>
      </c>
      <c r="W3997" s="6">
        <f t="shared" si="613"/>
        <v>5000</v>
      </c>
      <c r="X3997" s="6">
        <f t="shared" si="614"/>
        <v>0</v>
      </c>
      <c r="Y3997" s="13">
        <f t="shared" si="617"/>
        <v>0</v>
      </c>
      <c r="Z3997" s="14">
        <v>0</v>
      </c>
      <c r="AA3997" s="6">
        <v>0</v>
      </c>
      <c r="AB3997" s="4">
        <f t="shared" si="618"/>
        <v>0</v>
      </c>
      <c r="AC3997" s="4">
        <f t="shared" si="620"/>
        <v>0</v>
      </c>
      <c r="AD3997" s="6">
        <f t="shared" si="615"/>
        <v>0</v>
      </c>
      <c r="AE3997" s="2">
        <f>VLOOKUP(I3997,[1]媒体政策预估表!A:N,MATCH(O3997,[1]媒体政策预估表!$A$2:$M$2,0),0)</f>
        <v>7.0000000000000007E-2</v>
      </c>
      <c r="AF3997" s="6">
        <f t="shared" si="621"/>
        <v>0</v>
      </c>
      <c r="AG3997" s="14">
        <v>0</v>
      </c>
      <c r="AH3997" s="65">
        <f t="shared" si="616"/>
        <v>0</v>
      </c>
      <c r="AI3997" s="47"/>
      <c r="AJ3997" s="126" t="e">
        <v>#N/A</v>
      </c>
      <c r="AK3997" s="80">
        <f t="shared" si="619"/>
        <v>0</v>
      </c>
      <c r="AM3997" s="85"/>
    </row>
    <row r="3998" spans="1:39" hidden="1" x14ac:dyDescent="0.3">
      <c r="A3998" s="89" t="s">
        <v>3394</v>
      </c>
      <c r="B3998" s="86" t="s">
        <v>35</v>
      </c>
      <c r="C3998" s="86" t="s">
        <v>144</v>
      </c>
      <c r="D3998" s="86" t="s">
        <v>145</v>
      </c>
      <c r="E3998" s="86" t="s">
        <v>1447</v>
      </c>
      <c r="F3998" s="86" t="s">
        <v>1447</v>
      </c>
      <c r="G3998" s="86" t="s">
        <v>1447</v>
      </c>
      <c r="H3998" s="144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1447</v>
      </c>
      <c r="N3998" s="86"/>
      <c r="O3998" s="47" t="s">
        <v>410</v>
      </c>
      <c r="P3998" s="47" t="s">
        <v>46</v>
      </c>
      <c r="Q3998" s="14">
        <v>0.01</v>
      </c>
      <c r="R3998" s="143" t="s">
        <v>1448</v>
      </c>
      <c r="S3998" s="47"/>
      <c r="T3998" s="6">
        <v>453.20000000000073</v>
      </c>
      <c r="U3998" s="6">
        <v>20000</v>
      </c>
      <c r="V3998" s="6">
        <v>7135.82</v>
      </c>
      <c r="W3998" s="6">
        <f t="shared" si="613"/>
        <v>13317.380000000001</v>
      </c>
      <c r="X3998" s="6">
        <f t="shared" si="614"/>
        <v>7065.1683168316831</v>
      </c>
      <c r="Y3998" s="13">
        <f t="shared" si="617"/>
        <v>0</v>
      </c>
      <c r="Z3998" s="14">
        <v>0</v>
      </c>
      <c r="AA3998" s="6">
        <v>0</v>
      </c>
      <c r="AB3998" s="4">
        <f t="shared" si="618"/>
        <v>7065.1683168316831</v>
      </c>
      <c r="AC3998" s="4">
        <f t="shared" si="620"/>
        <v>70.651683168316595</v>
      </c>
      <c r="AD3998" s="6">
        <f t="shared" si="615"/>
        <v>7135.82</v>
      </c>
      <c r="AE3998" s="2">
        <f>VLOOKUP(I3998,[1]媒体政策预估表!A:N,MATCH(O3998,[1]媒体政策预估表!$A$2:$M$2,0),0)</f>
        <v>7.0000000000000007E-2</v>
      </c>
      <c r="AF3998" s="6">
        <f t="shared" si="621"/>
        <v>499.50740000000002</v>
      </c>
      <c r="AG3998" s="14">
        <v>0</v>
      </c>
      <c r="AH3998" s="65">
        <f t="shared" si="616"/>
        <v>7135.82</v>
      </c>
      <c r="AI3998" s="47"/>
      <c r="AJ3998" s="126" t="e">
        <v>#N/A</v>
      </c>
      <c r="AK3998" s="80">
        <f t="shared" si="619"/>
        <v>0</v>
      </c>
      <c r="AM3998" s="85"/>
    </row>
    <row r="3999" spans="1:39" hidden="1" x14ac:dyDescent="0.3">
      <c r="A3999" s="89" t="s">
        <v>3394</v>
      </c>
      <c r="B3999" s="86" t="s">
        <v>35</v>
      </c>
      <c r="C3999" s="86" t="s">
        <v>144</v>
      </c>
      <c r="D3999" s="86" t="s">
        <v>145</v>
      </c>
      <c r="E3999" s="86" t="s">
        <v>1451</v>
      </c>
      <c r="F3999" s="86" t="s">
        <v>1452</v>
      </c>
      <c r="G3999" s="86" t="s">
        <v>1451</v>
      </c>
      <c r="H3999" s="144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1453</v>
      </c>
      <c r="N3999" s="86"/>
      <c r="O3999" s="47" t="s">
        <v>410</v>
      </c>
      <c r="P3999" s="47" t="s">
        <v>46</v>
      </c>
      <c r="Q3999" s="14">
        <v>0.01</v>
      </c>
      <c r="R3999" s="143" t="s">
        <v>1454</v>
      </c>
      <c r="S3999" s="47"/>
      <c r="T3999" s="6">
        <v>4177.1000000000058</v>
      </c>
      <c r="U3999" s="6">
        <v>55000</v>
      </c>
      <c r="V3999" s="6">
        <v>50794.5</v>
      </c>
      <c r="W3999" s="6">
        <f t="shared" si="613"/>
        <v>8382.6000000000058</v>
      </c>
      <c r="X3999" s="6">
        <f t="shared" si="614"/>
        <v>50291.584158415841</v>
      </c>
      <c r="Y3999" s="13">
        <f t="shared" si="617"/>
        <v>0</v>
      </c>
      <c r="Z3999" s="14">
        <v>0</v>
      </c>
      <c r="AA3999" s="6">
        <v>0</v>
      </c>
      <c r="AB3999" s="4">
        <f t="shared" si="618"/>
        <v>50291.584158415841</v>
      </c>
      <c r="AC3999" s="4">
        <f t="shared" si="620"/>
        <v>502.91584158415935</v>
      </c>
      <c r="AD3999" s="6">
        <f t="shared" si="615"/>
        <v>50794.5</v>
      </c>
      <c r="AE3999" s="2">
        <f>VLOOKUP(I3999,[1]媒体政策预估表!A:N,MATCH(O3999,[1]媒体政策预估表!$A$2:$M$2,0),0)</f>
        <v>7.0000000000000007E-2</v>
      </c>
      <c r="AF3999" s="6">
        <f t="shared" si="621"/>
        <v>3555.6150000000002</v>
      </c>
      <c r="AG3999" s="14">
        <v>0</v>
      </c>
      <c r="AH3999" s="65">
        <f t="shared" si="616"/>
        <v>50794.5</v>
      </c>
      <c r="AI3999" s="47"/>
      <c r="AJ3999" s="126" t="e">
        <v>#N/A</v>
      </c>
      <c r="AK3999" s="80">
        <f t="shared" si="619"/>
        <v>0</v>
      </c>
      <c r="AM3999" s="85"/>
    </row>
    <row r="4000" spans="1:39" hidden="1" x14ac:dyDescent="0.3">
      <c r="A4000" s="89" t="s">
        <v>3394</v>
      </c>
      <c r="B4000" s="86" t="s">
        <v>35</v>
      </c>
      <c r="C4000" s="86" t="s">
        <v>144</v>
      </c>
      <c r="D4000" s="86" t="s">
        <v>145</v>
      </c>
      <c r="E4000" s="86" t="s">
        <v>1451</v>
      </c>
      <c r="F4000" s="86" t="s">
        <v>1452</v>
      </c>
      <c r="G4000" s="86" t="s">
        <v>1451</v>
      </c>
      <c r="H4000" s="144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1455</v>
      </c>
      <c r="N4000" s="86"/>
      <c r="O4000" s="47" t="s">
        <v>410</v>
      </c>
      <c r="P4000" s="47" t="s">
        <v>46</v>
      </c>
      <c r="Q4000" s="14">
        <v>0.01</v>
      </c>
      <c r="R4000" s="143" t="s">
        <v>1456</v>
      </c>
      <c r="S4000" s="47"/>
      <c r="T4000" s="6">
        <v>6645.98</v>
      </c>
      <c r="U4000" s="6">
        <v>20000</v>
      </c>
      <c r="V4000" s="6">
        <v>16361.3</v>
      </c>
      <c r="W4000" s="6">
        <f t="shared" si="613"/>
        <v>10284.68</v>
      </c>
      <c r="X4000" s="6">
        <f t="shared" si="614"/>
        <v>16199.306930693068</v>
      </c>
      <c r="Y4000" s="13">
        <f t="shared" si="617"/>
        <v>0</v>
      </c>
      <c r="Z4000" s="14">
        <v>0</v>
      </c>
      <c r="AA4000" s="6">
        <v>0</v>
      </c>
      <c r="AB4000" s="4">
        <f t="shared" si="618"/>
        <v>16199.306930693068</v>
      </c>
      <c r="AC4000" s="4">
        <f t="shared" si="620"/>
        <v>161.99306930693092</v>
      </c>
      <c r="AD4000" s="6">
        <f t="shared" si="615"/>
        <v>16361.3</v>
      </c>
      <c r="AE4000" s="2">
        <f>VLOOKUP(I4000,[1]媒体政策预估表!A:N,MATCH(O4000,[1]媒体政策预估表!$A$2:$M$2,0),0)</f>
        <v>7.0000000000000007E-2</v>
      </c>
      <c r="AF4000" s="6">
        <f t="shared" si="621"/>
        <v>1145.2910000000002</v>
      </c>
      <c r="AG4000" s="14">
        <v>0</v>
      </c>
      <c r="AH4000" s="65">
        <f t="shared" si="616"/>
        <v>16361.3</v>
      </c>
      <c r="AI4000" s="47"/>
      <c r="AJ4000" s="126" t="e">
        <v>#N/A</v>
      </c>
      <c r="AK4000" s="80">
        <f t="shared" si="619"/>
        <v>0</v>
      </c>
      <c r="AM4000" s="85"/>
    </row>
    <row r="4001" spans="1:39" hidden="1" x14ac:dyDescent="0.3">
      <c r="A4001" s="89" t="s">
        <v>3395</v>
      </c>
      <c r="B4001" s="86" t="s">
        <v>35</v>
      </c>
      <c r="C4001" s="86" t="s">
        <v>144</v>
      </c>
      <c r="D4001" s="86" t="s">
        <v>145</v>
      </c>
      <c r="E4001" s="86" t="s">
        <v>3525</v>
      </c>
      <c r="F4001" s="86" t="s">
        <v>3525</v>
      </c>
      <c r="G4001" s="86" t="s">
        <v>3525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3525</v>
      </c>
      <c r="N4001" s="86"/>
      <c r="O4001" s="47" t="s">
        <v>410</v>
      </c>
      <c r="P4001" s="47" t="s">
        <v>41</v>
      </c>
      <c r="Q4001" s="14">
        <v>0</v>
      </c>
      <c r="R4001" s="143" t="s">
        <v>3526</v>
      </c>
      <c r="S4001" s="47"/>
      <c r="T4001" s="6">
        <v>0</v>
      </c>
      <c r="U4001" s="6">
        <v>0</v>
      </c>
      <c r="V4001" s="6">
        <v>0</v>
      </c>
      <c r="W4001" s="6">
        <f t="shared" si="613"/>
        <v>0</v>
      </c>
      <c r="X4001" s="6">
        <f t="shared" si="614"/>
        <v>0</v>
      </c>
      <c r="Y4001" s="13">
        <f t="shared" si="617"/>
        <v>0</v>
      </c>
      <c r="Z4001" s="14">
        <v>0</v>
      </c>
      <c r="AA4001" s="6">
        <v>0</v>
      </c>
      <c r="AB4001" s="4">
        <f t="shared" si="618"/>
        <v>0</v>
      </c>
      <c r="AC4001" s="4">
        <f t="shared" si="620"/>
        <v>0</v>
      </c>
      <c r="AD4001" s="6">
        <f t="shared" si="615"/>
        <v>0</v>
      </c>
      <c r="AE4001" s="2">
        <f>VLOOKUP(I4001,[1]媒体政策预估表!A:N,MATCH(O4001,[1]媒体政策预估表!$A$2:$M$2,0),0)</f>
        <v>7.0000000000000007E-2</v>
      </c>
      <c r="AF4001" s="6">
        <f t="shared" si="621"/>
        <v>0</v>
      </c>
      <c r="AG4001" s="14">
        <v>0</v>
      </c>
      <c r="AH4001" s="65">
        <f t="shared" si="616"/>
        <v>0</v>
      </c>
      <c r="AI4001" s="47"/>
      <c r="AJ4001" s="126" t="e">
        <v>#N/A</v>
      </c>
      <c r="AK4001" s="80">
        <f t="shared" si="619"/>
        <v>0</v>
      </c>
      <c r="AM4001" s="85"/>
    </row>
    <row r="4002" spans="1:39" hidden="1" x14ac:dyDescent="0.3">
      <c r="A4002" s="89" t="s">
        <v>3394</v>
      </c>
      <c r="B4002" s="86" t="s">
        <v>35</v>
      </c>
      <c r="C4002" s="86" t="s">
        <v>144</v>
      </c>
      <c r="D4002" s="86" t="s">
        <v>145</v>
      </c>
      <c r="E4002" s="86" t="s">
        <v>3525</v>
      </c>
      <c r="F4002" s="86" t="s">
        <v>3525</v>
      </c>
      <c r="G4002" s="86" t="s">
        <v>3525</v>
      </c>
      <c r="H4002" s="144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3525</v>
      </c>
      <c r="N4002" s="86"/>
      <c r="O4002" s="47" t="s">
        <v>410</v>
      </c>
      <c r="P4002" s="47" t="s">
        <v>41</v>
      </c>
      <c r="Q4002" s="14">
        <v>0</v>
      </c>
      <c r="R4002" s="143" t="s">
        <v>3527</v>
      </c>
      <c r="S4002" s="47"/>
      <c r="T4002" s="6">
        <v>0</v>
      </c>
      <c r="U4002" s="6">
        <v>40000</v>
      </c>
      <c r="V4002" s="6">
        <v>25532.1</v>
      </c>
      <c r="W4002" s="6">
        <f t="shared" si="613"/>
        <v>14467.900000000001</v>
      </c>
      <c r="X4002" s="6">
        <f t="shared" si="614"/>
        <v>25532.1</v>
      </c>
      <c r="Y4002" s="13">
        <f t="shared" si="617"/>
        <v>0</v>
      </c>
      <c r="Z4002" s="14">
        <v>0</v>
      </c>
      <c r="AA4002" s="6">
        <v>0</v>
      </c>
      <c r="AB4002" s="4">
        <f t="shared" si="618"/>
        <v>25532.1</v>
      </c>
      <c r="AC4002" s="4">
        <f t="shared" si="620"/>
        <v>0</v>
      </c>
      <c r="AD4002" s="6">
        <f t="shared" si="615"/>
        <v>25532.1</v>
      </c>
      <c r="AE4002" s="2">
        <f>VLOOKUP(I4002,[1]媒体政策预估表!A:N,MATCH(O4002,[1]媒体政策预估表!$A$2:$M$2,0),0)</f>
        <v>7.0000000000000007E-2</v>
      </c>
      <c r="AF4002" s="6">
        <f t="shared" si="621"/>
        <v>1787.2470000000001</v>
      </c>
      <c r="AG4002" s="14">
        <v>0</v>
      </c>
      <c r="AH4002" s="65">
        <f t="shared" si="616"/>
        <v>25532.1</v>
      </c>
      <c r="AI4002" s="47"/>
      <c r="AJ4002" s="126" t="e">
        <v>#N/A</v>
      </c>
      <c r="AK4002" s="80">
        <f t="shared" si="619"/>
        <v>0</v>
      </c>
      <c r="AM4002" s="85"/>
    </row>
    <row r="4003" spans="1:39" hidden="1" x14ac:dyDescent="0.3">
      <c r="A4003" s="89" t="s">
        <v>3394</v>
      </c>
      <c r="B4003" s="86" t="s">
        <v>35</v>
      </c>
      <c r="C4003" s="86" t="s">
        <v>144</v>
      </c>
      <c r="D4003" s="86" t="s">
        <v>145</v>
      </c>
      <c r="E4003" s="86" t="s">
        <v>1457</v>
      </c>
      <c r="F4003" s="86" t="s">
        <v>1458</v>
      </c>
      <c r="G4003" s="86" t="s">
        <v>1457</v>
      </c>
      <c r="H4003" s="144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1457</v>
      </c>
      <c r="N4003" s="86"/>
      <c r="O4003" s="47" t="s">
        <v>410</v>
      </c>
      <c r="P4003" s="47" t="s">
        <v>41</v>
      </c>
      <c r="Q4003" s="14">
        <v>0</v>
      </c>
      <c r="R4003" s="143" t="s">
        <v>1459</v>
      </c>
      <c r="S4003" s="47"/>
      <c r="T4003" s="6">
        <v>1944.0999999999985</v>
      </c>
      <c r="U4003" s="6">
        <v>30000</v>
      </c>
      <c r="V4003" s="6">
        <v>24098.1</v>
      </c>
      <c r="W4003" s="6">
        <f t="shared" si="613"/>
        <v>7846</v>
      </c>
      <c r="X4003" s="6">
        <f t="shared" si="614"/>
        <v>24098.1</v>
      </c>
      <c r="Y4003" s="13">
        <f t="shared" si="617"/>
        <v>0</v>
      </c>
      <c r="Z4003" s="14">
        <v>0</v>
      </c>
      <c r="AA4003" s="6">
        <v>0</v>
      </c>
      <c r="AB4003" s="4">
        <f t="shared" si="618"/>
        <v>24098.1</v>
      </c>
      <c r="AC4003" s="4">
        <f t="shared" si="620"/>
        <v>0</v>
      </c>
      <c r="AD4003" s="6">
        <f t="shared" si="615"/>
        <v>24098.1</v>
      </c>
      <c r="AE4003" s="2">
        <f>VLOOKUP(I4003,[1]媒体政策预估表!A:N,MATCH(O4003,[1]媒体政策预估表!$A$2:$M$2,0),0)</f>
        <v>7.0000000000000007E-2</v>
      </c>
      <c r="AF4003" s="6">
        <f t="shared" si="621"/>
        <v>1686.867</v>
      </c>
      <c r="AG4003" s="14">
        <v>0</v>
      </c>
      <c r="AH4003" s="65">
        <f t="shared" si="616"/>
        <v>24098.1</v>
      </c>
      <c r="AI4003" s="47"/>
      <c r="AJ4003" s="126" t="e">
        <v>#N/A</v>
      </c>
      <c r="AK4003" s="80">
        <f t="shared" si="619"/>
        <v>0</v>
      </c>
      <c r="AM4003" s="85"/>
    </row>
    <row r="4004" spans="1:39" hidden="1" x14ac:dyDescent="0.3">
      <c r="A4004" s="89" t="s">
        <v>3394</v>
      </c>
      <c r="B4004" s="86" t="s">
        <v>35</v>
      </c>
      <c r="C4004" s="86" t="s">
        <v>144</v>
      </c>
      <c r="D4004" s="86" t="s">
        <v>152</v>
      </c>
      <c r="E4004" s="86" t="s">
        <v>1460</v>
      </c>
      <c r="F4004" s="86" t="s">
        <v>1460</v>
      </c>
      <c r="G4004" s="86" t="s">
        <v>1460</v>
      </c>
      <c r="H4004" s="144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1461</v>
      </c>
      <c r="N4004" s="86"/>
      <c r="O4004" s="47" t="s">
        <v>410</v>
      </c>
      <c r="P4004" s="47" t="s">
        <v>41</v>
      </c>
      <c r="Q4004" s="14">
        <v>0</v>
      </c>
      <c r="R4004" s="143" t="s">
        <v>1462</v>
      </c>
      <c r="S4004" s="47"/>
      <c r="T4004" s="6">
        <v>3330.2000000000007</v>
      </c>
      <c r="U4004" s="6">
        <v>26000</v>
      </c>
      <c r="V4004" s="6">
        <v>25538</v>
      </c>
      <c r="W4004" s="6">
        <f t="shared" si="613"/>
        <v>3792.2000000000007</v>
      </c>
      <c r="X4004" s="6">
        <f t="shared" si="614"/>
        <v>25538</v>
      </c>
      <c r="Y4004" s="13">
        <f t="shared" si="617"/>
        <v>0</v>
      </c>
      <c r="Z4004" s="14">
        <v>0</v>
      </c>
      <c r="AA4004" s="6">
        <v>0</v>
      </c>
      <c r="AB4004" s="4">
        <f t="shared" si="618"/>
        <v>25538</v>
      </c>
      <c r="AC4004" s="4">
        <f t="shared" si="620"/>
        <v>0</v>
      </c>
      <c r="AD4004" s="6">
        <f t="shared" si="615"/>
        <v>25538</v>
      </c>
      <c r="AE4004" s="2">
        <f>VLOOKUP(I4004,[1]媒体政策预估表!A:N,MATCH(O4004,[1]媒体政策预估表!$A$2:$M$2,0),0)</f>
        <v>7.0000000000000007E-2</v>
      </c>
      <c r="AF4004" s="6">
        <f t="shared" si="621"/>
        <v>1787.66</v>
      </c>
      <c r="AG4004" s="14">
        <v>0</v>
      </c>
      <c r="AH4004" s="65">
        <f t="shared" si="616"/>
        <v>25538</v>
      </c>
      <c r="AI4004" s="47"/>
      <c r="AJ4004" s="126" t="e">
        <v>#N/A</v>
      </c>
      <c r="AK4004" s="80">
        <f t="shared" si="619"/>
        <v>0</v>
      </c>
      <c r="AM4004" s="85"/>
    </row>
    <row r="4005" spans="1:39" hidden="1" x14ac:dyDescent="0.3">
      <c r="A4005" s="89" t="s">
        <v>3394</v>
      </c>
      <c r="B4005" s="86" t="s">
        <v>35</v>
      </c>
      <c r="C4005" s="86" t="s">
        <v>144</v>
      </c>
      <c r="D4005" s="86" t="s">
        <v>152</v>
      </c>
      <c r="E4005" s="86" t="s">
        <v>155</v>
      </c>
      <c r="F4005" s="86" t="s">
        <v>1465</v>
      </c>
      <c r="G4005" s="86" t="s">
        <v>155</v>
      </c>
      <c r="H4005" s="144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2048</v>
      </c>
      <c r="N4005" s="86"/>
      <c r="O4005" s="47" t="s">
        <v>410</v>
      </c>
      <c r="P4005" s="47" t="s">
        <v>41</v>
      </c>
      <c r="Q4005" s="14">
        <v>0</v>
      </c>
      <c r="R4005" s="143" t="s">
        <v>2049</v>
      </c>
      <c r="S4005" s="47"/>
      <c r="T4005" s="6">
        <v>0</v>
      </c>
      <c r="U4005" s="6">
        <v>165000</v>
      </c>
      <c r="V4005" s="6">
        <v>154129.06000000003</v>
      </c>
      <c r="W4005" s="6">
        <f t="shared" si="613"/>
        <v>10870.939999999973</v>
      </c>
      <c r="X4005" s="6">
        <f t="shared" si="614"/>
        <v>154129.06000000003</v>
      </c>
      <c r="Y4005" s="13">
        <f t="shared" si="617"/>
        <v>0</v>
      </c>
      <c r="Z4005" s="14">
        <v>0</v>
      </c>
      <c r="AA4005" s="6">
        <v>0</v>
      </c>
      <c r="AB4005" s="4">
        <f t="shared" si="618"/>
        <v>154129.06000000003</v>
      </c>
      <c r="AC4005" s="4">
        <f t="shared" si="620"/>
        <v>0</v>
      </c>
      <c r="AD4005" s="6">
        <f t="shared" si="615"/>
        <v>154129.06000000003</v>
      </c>
      <c r="AE4005" s="2">
        <f>VLOOKUP(I4005,[1]媒体政策预估表!A:N,MATCH(O4005,[1]媒体政策预估表!$A$2:$M$2,0),0)</f>
        <v>7.0000000000000007E-2</v>
      </c>
      <c r="AF4005" s="6">
        <f t="shared" si="621"/>
        <v>10789.034200000004</v>
      </c>
      <c r="AG4005" s="14">
        <v>0</v>
      </c>
      <c r="AH4005" s="65">
        <f t="shared" si="616"/>
        <v>154129.06000000003</v>
      </c>
      <c r="AI4005" s="47"/>
      <c r="AJ4005" s="126" t="e">
        <v>#N/A</v>
      </c>
      <c r="AK4005" s="80">
        <f t="shared" si="619"/>
        <v>0</v>
      </c>
      <c r="AM4005" s="85"/>
    </row>
    <row r="4006" spans="1:39" hidden="1" x14ac:dyDescent="0.3">
      <c r="A4006" s="89" t="s">
        <v>3394</v>
      </c>
      <c r="B4006" s="86" t="s">
        <v>35</v>
      </c>
      <c r="C4006" s="86" t="s">
        <v>144</v>
      </c>
      <c r="D4006" s="86" t="s">
        <v>152</v>
      </c>
      <c r="E4006" s="86" t="s">
        <v>155</v>
      </c>
      <c r="F4006" s="86" t="s">
        <v>1465</v>
      </c>
      <c r="G4006" s="86" t="s">
        <v>155</v>
      </c>
      <c r="H4006" s="144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3528</v>
      </c>
      <c r="N4006" s="86"/>
      <c r="O4006" s="47" t="s">
        <v>410</v>
      </c>
      <c r="P4006" s="47" t="s">
        <v>41</v>
      </c>
      <c r="Q4006" s="14">
        <v>0</v>
      </c>
      <c r="R4006" s="143" t="s">
        <v>3529</v>
      </c>
      <c r="S4006" s="47"/>
      <c r="T4006" s="6">
        <v>0</v>
      </c>
      <c r="U4006" s="6">
        <v>14952.939999999999</v>
      </c>
      <c r="V4006" s="6">
        <v>14952.94</v>
      </c>
      <c r="W4006" s="6">
        <f t="shared" si="613"/>
        <v>0</v>
      </c>
      <c r="X4006" s="6">
        <f t="shared" si="614"/>
        <v>14952.94</v>
      </c>
      <c r="Y4006" s="13">
        <f t="shared" si="617"/>
        <v>0</v>
      </c>
      <c r="Z4006" s="14">
        <v>0</v>
      </c>
      <c r="AA4006" s="6">
        <v>0</v>
      </c>
      <c r="AB4006" s="4">
        <f t="shared" si="618"/>
        <v>14952.94</v>
      </c>
      <c r="AC4006" s="4">
        <f t="shared" si="620"/>
        <v>0</v>
      </c>
      <c r="AD4006" s="6">
        <f t="shared" si="615"/>
        <v>14952.94</v>
      </c>
      <c r="AE4006" s="2">
        <f>VLOOKUP(I4006,[1]媒体政策预估表!A:N,MATCH(O4006,[1]媒体政策预估表!$A$2:$M$2,0),0)</f>
        <v>7.0000000000000007E-2</v>
      </c>
      <c r="AF4006" s="6">
        <f t="shared" si="621"/>
        <v>1046.7058000000002</v>
      </c>
      <c r="AG4006" s="14">
        <v>0</v>
      </c>
      <c r="AH4006" s="65">
        <f t="shared" si="616"/>
        <v>14952.94</v>
      </c>
      <c r="AI4006" s="47"/>
      <c r="AJ4006" s="126" t="e">
        <v>#N/A</v>
      </c>
      <c r="AK4006" s="80">
        <f t="shared" si="619"/>
        <v>0</v>
      </c>
      <c r="AM4006" s="85"/>
    </row>
    <row r="4007" spans="1:39" hidden="1" x14ac:dyDescent="0.3">
      <c r="A4007" s="89" t="s">
        <v>3394</v>
      </c>
      <c r="B4007" s="86" t="s">
        <v>35</v>
      </c>
      <c r="C4007" s="86" t="s">
        <v>144</v>
      </c>
      <c r="D4007" s="86" t="s">
        <v>152</v>
      </c>
      <c r="E4007" s="86" t="s">
        <v>155</v>
      </c>
      <c r="F4007" s="86" t="s">
        <v>1465</v>
      </c>
      <c r="G4007" s="86" t="s">
        <v>155</v>
      </c>
      <c r="H4007" s="144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1466</v>
      </c>
      <c r="N4007" s="86"/>
      <c r="O4007" s="47" t="s">
        <v>410</v>
      </c>
      <c r="P4007" s="47" t="s">
        <v>41</v>
      </c>
      <c r="Q4007" s="14">
        <v>0</v>
      </c>
      <c r="R4007" s="143" t="s">
        <v>1467</v>
      </c>
      <c r="S4007" s="47"/>
      <c r="T4007" s="6">
        <v>71223.230000000127</v>
      </c>
      <c r="U4007" s="6">
        <v>376096.25</v>
      </c>
      <c r="V4007" s="6">
        <v>393732.9</v>
      </c>
      <c r="W4007" s="6">
        <f t="shared" si="613"/>
        <v>53586.580000000075</v>
      </c>
      <c r="X4007" s="6">
        <f t="shared" si="614"/>
        <v>393732.9</v>
      </c>
      <c r="Y4007" s="13">
        <f t="shared" si="617"/>
        <v>0</v>
      </c>
      <c r="Z4007" s="14">
        <v>0</v>
      </c>
      <c r="AA4007" s="6">
        <v>0</v>
      </c>
      <c r="AB4007" s="4">
        <f t="shared" si="618"/>
        <v>393732.9</v>
      </c>
      <c r="AC4007" s="4">
        <f t="shared" si="620"/>
        <v>0</v>
      </c>
      <c r="AD4007" s="6">
        <f t="shared" si="615"/>
        <v>393732.9</v>
      </c>
      <c r="AE4007" s="2">
        <f>VLOOKUP(I4007,[1]媒体政策预估表!A:N,MATCH(O4007,[1]媒体政策预估表!$A$2:$M$2,0),0)</f>
        <v>7.0000000000000007E-2</v>
      </c>
      <c r="AF4007" s="6">
        <f t="shared" si="621"/>
        <v>27561.303000000004</v>
      </c>
      <c r="AG4007" s="14">
        <v>0</v>
      </c>
      <c r="AH4007" s="65">
        <f t="shared" si="616"/>
        <v>393732.9</v>
      </c>
      <c r="AI4007" s="47"/>
      <c r="AJ4007" s="126" t="e">
        <v>#N/A</v>
      </c>
      <c r="AK4007" s="80">
        <f t="shared" si="619"/>
        <v>0</v>
      </c>
      <c r="AM4007" s="85"/>
    </row>
    <row r="4008" spans="1:39" hidden="1" x14ac:dyDescent="0.3">
      <c r="A4008" s="89" t="s">
        <v>3394</v>
      </c>
      <c r="B4008" s="86" t="s">
        <v>35</v>
      </c>
      <c r="C4008" s="86" t="s">
        <v>144</v>
      </c>
      <c r="D4008" s="86" t="s">
        <v>152</v>
      </c>
      <c r="E4008" s="86" t="s">
        <v>155</v>
      </c>
      <c r="F4008" s="86" t="s">
        <v>1465</v>
      </c>
      <c r="G4008" s="86" t="s">
        <v>155</v>
      </c>
      <c r="H4008" s="144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1466</v>
      </c>
      <c r="N4008" s="86"/>
      <c r="O4008" s="47" t="s">
        <v>410</v>
      </c>
      <c r="P4008" s="47" t="s">
        <v>41</v>
      </c>
      <c r="Q4008" s="14">
        <v>0</v>
      </c>
      <c r="R4008" s="143" t="s">
        <v>2082</v>
      </c>
      <c r="S4008" s="47"/>
      <c r="T4008" s="6">
        <v>0</v>
      </c>
      <c r="U4008" s="6">
        <v>-26049.19</v>
      </c>
      <c r="V4008" s="6">
        <v>-26049.19</v>
      </c>
      <c r="W4008" s="6">
        <f t="shared" si="613"/>
        <v>0</v>
      </c>
      <c r="X4008" s="6">
        <f t="shared" si="614"/>
        <v>-26049.19</v>
      </c>
      <c r="Y4008" s="13">
        <f t="shared" si="617"/>
        <v>0</v>
      </c>
      <c r="Z4008" s="14">
        <v>0</v>
      </c>
      <c r="AA4008" s="6">
        <v>0</v>
      </c>
      <c r="AB4008" s="4">
        <f t="shared" si="618"/>
        <v>-26049.19</v>
      </c>
      <c r="AC4008" s="4">
        <f t="shared" si="620"/>
        <v>0</v>
      </c>
      <c r="AD4008" s="6">
        <f t="shared" si="615"/>
        <v>-26049.19</v>
      </c>
      <c r="AE4008" s="2">
        <f>VLOOKUP(I4008,[1]媒体政策预估表!A:N,MATCH(O4008,[1]媒体政策预估表!$A$2:$M$2,0),0)</f>
        <v>7.0000000000000007E-2</v>
      </c>
      <c r="AF4008" s="6">
        <f t="shared" si="621"/>
        <v>-1823.4433000000001</v>
      </c>
      <c r="AG4008" s="14">
        <v>0</v>
      </c>
      <c r="AH4008" s="65">
        <f t="shared" si="616"/>
        <v>-26049.19</v>
      </c>
      <c r="AI4008" s="47"/>
      <c r="AJ4008" s="126" t="e">
        <v>#N/A</v>
      </c>
      <c r="AK4008" s="80">
        <f t="shared" si="619"/>
        <v>0</v>
      </c>
      <c r="AM4008" s="85"/>
    </row>
    <row r="4009" spans="1:39" hidden="1" x14ac:dyDescent="0.3">
      <c r="A4009" s="89" t="s">
        <v>3394</v>
      </c>
      <c r="B4009" s="86" t="s">
        <v>35</v>
      </c>
      <c r="C4009" s="86" t="s">
        <v>144</v>
      </c>
      <c r="D4009" s="86" t="s">
        <v>152</v>
      </c>
      <c r="E4009" s="86" t="s">
        <v>157</v>
      </c>
      <c r="F4009" s="86" t="s">
        <v>157</v>
      </c>
      <c r="G4009" s="86" t="s">
        <v>157</v>
      </c>
      <c r="H4009" s="144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157</v>
      </c>
      <c r="N4009" s="86"/>
      <c r="O4009" s="47" t="s">
        <v>410</v>
      </c>
      <c r="P4009" s="47" t="s">
        <v>41</v>
      </c>
      <c r="Q4009" s="14">
        <v>0</v>
      </c>
      <c r="R4009" s="143" t="s">
        <v>1471</v>
      </c>
      <c r="S4009" s="47"/>
      <c r="T4009" s="6">
        <v>-39825.900000000023</v>
      </c>
      <c r="U4009" s="6">
        <v>450000</v>
      </c>
      <c r="V4009" s="6">
        <v>402787.2</v>
      </c>
      <c r="W4009" s="6">
        <f t="shared" si="613"/>
        <v>7386.8999999999651</v>
      </c>
      <c r="X4009" s="6">
        <f t="shared" si="614"/>
        <v>402787.2</v>
      </c>
      <c r="Y4009" s="13">
        <f t="shared" si="617"/>
        <v>0</v>
      </c>
      <c r="Z4009" s="14">
        <v>0</v>
      </c>
      <c r="AA4009" s="6">
        <v>0</v>
      </c>
      <c r="AB4009" s="4">
        <f t="shared" si="618"/>
        <v>402787.2</v>
      </c>
      <c r="AC4009" s="4">
        <f t="shared" si="620"/>
        <v>0</v>
      </c>
      <c r="AD4009" s="6">
        <f t="shared" si="615"/>
        <v>402787.2</v>
      </c>
      <c r="AE4009" s="2">
        <f>VLOOKUP(I4009,[1]媒体政策预估表!A:N,MATCH(O4009,[1]媒体政策预估表!$A$2:$M$2,0),0)</f>
        <v>7.0000000000000007E-2</v>
      </c>
      <c r="AF4009" s="6">
        <f t="shared" si="621"/>
        <v>28195.104000000003</v>
      </c>
      <c r="AG4009" s="14">
        <v>0</v>
      </c>
      <c r="AH4009" s="65">
        <f t="shared" si="616"/>
        <v>402787.2</v>
      </c>
      <c r="AI4009" s="47"/>
      <c r="AJ4009" s="126" t="e">
        <v>#N/A</v>
      </c>
      <c r="AK4009" s="80">
        <f t="shared" si="619"/>
        <v>0</v>
      </c>
      <c r="AM4009" s="85"/>
    </row>
    <row r="4010" spans="1:39" hidden="1" x14ac:dyDescent="0.3">
      <c r="A4010" s="89" t="s">
        <v>3394</v>
      </c>
      <c r="B4010" s="86" t="s">
        <v>35</v>
      </c>
      <c r="C4010" s="86" t="s">
        <v>144</v>
      </c>
      <c r="D4010" s="86" t="s">
        <v>152</v>
      </c>
      <c r="E4010" s="86" t="s">
        <v>1472</v>
      </c>
      <c r="F4010" s="86" t="s">
        <v>1472</v>
      </c>
      <c r="G4010" s="86" t="s">
        <v>1472</v>
      </c>
      <c r="H4010" s="144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1472</v>
      </c>
      <c r="N4010" s="86"/>
      <c r="O4010" s="47" t="s">
        <v>410</v>
      </c>
      <c r="P4010" s="47" t="s">
        <v>41</v>
      </c>
      <c r="Q4010" s="14">
        <v>0</v>
      </c>
      <c r="R4010" s="143" t="s">
        <v>1473</v>
      </c>
      <c r="S4010" s="47"/>
      <c r="T4010" s="6">
        <v>29971</v>
      </c>
      <c r="U4010" s="6">
        <v>130000</v>
      </c>
      <c r="V4010" s="6">
        <v>140311.9</v>
      </c>
      <c r="W4010" s="6">
        <f t="shared" si="613"/>
        <v>19659.100000000006</v>
      </c>
      <c r="X4010" s="6">
        <f t="shared" si="614"/>
        <v>140311.9</v>
      </c>
      <c r="Y4010" s="13">
        <f t="shared" si="617"/>
        <v>0</v>
      </c>
      <c r="Z4010" s="14">
        <v>0</v>
      </c>
      <c r="AA4010" s="6">
        <v>0</v>
      </c>
      <c r="AB4010" s="4">
        <f t="shared" si="618"/>
        <v>140311.9</v>
      </c>
      <c r="AC4010" s="4">
        <f t="shared" si="620"/>
        <v>0</v>
      </c>
      <c r="AD4010" s="6">
        <f t="shared" si="615"/>
        <v>140311.9</v>
      </c>
      <c r="AE4010" s="2">
        <f>VLOOKUP(I4010,[1]媒体政策预估表!A:N,MATCH(O4010,[1]媒体政策预估表!$A$2:$M$2,0),0)</f>
        <v>7.0000000000000007E-2</v>
      </c>
      <c r="AF4010" s="6">
        <f t="shared" si="621"/>
        <v>9821.8330000000005</v>
      </c>
      <c r="AG4010" s="14">
        <v>0</v>
      </c>
      <c r="AH4010" s="65">
        <f t="shared" si="616"/>
        <v>140311.9</v>
      </c>
      <c r="AI4010" s="47"/>
      <c r="AJ4010" s="126" t="e">
        <v>#N/A</v>
      </c>
      <c r="AK4010" s="80">
        <f t="shared" si="619"/>
        <v>0</v>
      </c>
      <c r="AM4010" s="85"/>
    </row>
    <row r="4011" spans="1:39" hidden="1" x14ac:dyDescent="0.3">
      <c r="A4011" s="89" t="s">
        <v>3395</v>
      </c>
      <c r="B4011" s="86" t="s">
        <v>35</v>
      </c>
      <c r="C4011" s="86" t="s">
        <v>144</v>
      </c>
      <c r="D4011" s="86" t="s">
        <v>152</v>
      </c>
      <c r="E4011" s="86" t="s">
        <v>3211</v>
      </c>
      <c r="F4011" s="86" t="s">
        <v>3530</v>
      </c>
      <c r="G4011" s="86" t="s">
        <v>3211</v>
      </c>
      <c r="H4011" s="144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3531</v>
      </c>
      <c r="N4011" s="86"/>
      <c r="O4011" s="47" t="s">
        <v>410</v>
      </c>
      <c r="P4011" s="47" t="s">
        <v>46</v>
      </c>
      <c r="Q4011" s="14">
        <v>0.02</v>
      </c>
      <c r="R4011" s="143" t="s">
        <v>3532</v>
      </c>
      <c r="S4011" s="47"/>
      <c r="T4011" s="6">
        <v>0</v>
      </c>
      <c r="U4011" s="6">
        <v>20000</v>
      </c>
      <c r="V4011" s="6">
        <v>14845</v>
      </c>
      <c r="W4011" s="6">
        <f t="shared" si="613"/>
        <v>5155</v>
      </c>
      <c r="X4011" s="6">
        <f t="shared" si="614"/>
        <v>14553.921568627451</v>
      </c>
      <c r="Y4011" s="13">
        <f t="shared" si="617"/>
        <v>0</v>
      </c>
      <c r="Z4011" s="14">
        <v>0</v>
      </c>
      <c r="AA4011" s="6">
        <v>0</v>
      </c>
      <c r="AB4011" s="4">
        <f t="shared" si="618"/>
        <v>14553.921568627451</v>
      </c>
      <c r="AC4011" s="4">
        <f t="shared" si="620"/>
        <v>291.07843137254895</v>
      </c>
      <c r="AD4011" s="6">
        <f t="shared" si="615"/>
        <v>14845</v>
      </c>
      <c r="AE4011" s="2">
        <f>VLOOKUP(I4011,[1]媒体政策预估表!A:N,MATCH(O4011,[1]媒体政策预估表!$A$2:$M$2,0),0)</f>
        <v>7.0000000000000007E-2</v>
      </c>
      <c r="AF4011" s="6">
        <f t="shared" si="621"/>
        <v>1039.1500000000001</v>
      </c>
      <c r="AG4011" s="14">
        <v>0</v>
      </c>
      <c r="AH4011" s="65">
        <f t="shared" si="616"/>
        <v>14845</v>
      </c>
      <c r="AI4011" s="47"/>
      <c r="AJ4011" s="126" t="e">
        <v>#N/A</v>
      </c>
      <c r="AK4011" s="80">
        <f t="shared" si="619"/>
        <v>0</v>
      </c>
      <c r="AM4011" s="85"/>
    </row>
    <row r="4012" spans="1:39" hidden="1" x14ac:dyDescent="0.3">
      <c r="A4012" s="89" t="s">
        <v>3394</v>
      </c>
      <c r="B4012" s="86" t="s">
        <v>35</v>
      </c>
      <c r="C4012" s="86" t="s">
        <v>144</v>
      </c>
      <c r="D4012" s="86" t="s">
        <v>152</v>
      </c>
      <c r="E4012" s="86" t="s">
        <v>1474</v>
      </c>
      <c r="F4012" s="86" t="s">
        <v>1474</v>
      </c>
      <c r="G4012" s="86" t="s">
        <v>1474</v>
      </c>
      <c r="H4012" s="144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1475</v>
      </c>
      <c r="N4012" s="86"/>
      <c r="O4012" s="47" t="s">
        <v>410</v>
      </c>
      <c r="P4012" s="47" t="s">
        <v>46</v>
      </c>
      <c r="Q4012" s="14">
        <v>0.01</v>
      </c>
      <c r="R4012" s="143" t="s">
        <v>1476</v>
      </c>
      <c r="S4012" s="47"/>
      <c r="T4012" s="6">
        <v>35354.560000000056</v>
      </c>
      <c r="U4012" s="6">
        <v>480000</v>
      </c>
      <c r="V4012" s="6">
        <v>500199.1</v>
      </c>
      <c r="W4012" s="6">
        <f t="shared" si="613"/>
        <v>15155.460000000079</v>
      </c>
      <c r="X4012" s="6">
        <f t="shared" si="614"/>
        <v>495246.63366336632</v>
      </c>
      <c r="Y4012" s="13">
        <f t="shared" si="617"/>
        <v>0</v>
      </c>
      <c r="Z4012" s="14">
        <v>0</v>
      </c>
      <c r="AA4012" s="6">
        <v>0</v>
      </c>
      <c r="AB4012" s="4">
        <f t="shared" si="618"/>
        <v>495246.63366336632</v>
      </c>
      <c r="AC4012" s="4">
        <f t="shared" si="620"/>
        <v>4952.4663366336608</v>
      </c>
      <c r="AD4012" s="6">
        <f t="shared" si="615"/>
        <v>500199.1</v>
      </c>
      <c r="AE4012" s="2">
        <f>VLOOKUP(I4012,[1]媒体政策预估表!A:N,MATCH(O4012,[1]媒体政策预估表!$A$2:$M$2,0),0)</f>
        <v>7.0000000000000007E-2</v>
      </c>
      <c r="AF4012" s="6">
        <f t="shared" si="621"/>
        <v>35013.936999999998</v>
      </c>
      <c r="AG4012" s="14">
        <v>0</v>
      </c>
      <c r="AH4012" s="65">
        <f t="shared" si="616"/>
        <v>500199.1</v>
      </c>
      <c r="AI4012" s="47"/>
      <c r="AJ4012" s="126" t="e">
        <v>#N/A</v>
      </c>
      <c r="AK4012" s="80">
        <f t="shared" si="619"/>
        <v>0</v>
      </c>
      <c r="AM4012" s="85"/>
    </row>
    <row r="4013" spans="1:39" hidden="1" x14ac:dyDescent="0.3">
      <c r="A4013" s="89" t="s">
        <v>3394</v>
      </c>
      <c r="B4013" s="86" t="s">
        <v>35</v>
      </c>
      <c r="C4013" s="86" t="s">
        <v>144</v>
      </c>
      <c r="D4013" s="86" t="s">
        <v>152</v>
      </c>
      <c r="E4013" s="86" t="s">
        <v>1474</v>
      </c>
      <c r="F4013" s="86" t="s">
        <v>1474</v>
      </c>
      <c r="G4013" s="86" t="s">
        <v>1474</v>
      </c>
      <c r="H4013" s="144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1474</v>
      </c>
      <c r="N4013" s="86"/>
      <c r="O4013" s="47" t="s">
        <v>410</v>
      </c>
      <c r="P4013" s="47" t="s">
        <v>46</v>
      </c>
      <c r="Q4013" s="14">
        <v>0.01</v>
      </c>
      <c r="R4013" s="143" t="s">
        <v>1477</v>
      </c>
      <c r="S4013" s="47"/>
      <c r="T4013" s="6">
        <v>93349.200149999815</v>
      </c>
      <c r="U4013" s="6">
        <v>1180000</v>
      </c>
      <c r="V4013" s="6">
        <v>1241127.0999</v>
      </c>
      <c r="W4013" s="6">
        <f t="shared" si="613"/>
        <v>32222.100249999901</v>
      </c>
      <c r="X4013" s="6">
        <f t="shared" si="614"/>
        <v>1228838.7127722772</v>
      </c>
      <c r="Y4013" s="13">
        <f t="shared" si="617"/>
        <v>0</v>
      </c>
      <c r="Z4013" s="14">
        <v>0</v>
      </c>
      <c r="AA4013" s="6">
        <v>0</v>
      </c>
      <c r="AB4013" s="4">
        <f t="shared" si="618"/>
        <v>1228838.7127722772</v>
      </c>
      <c r="AC4013" s="4">
        <f t="shared" si="620"/>
        <v>12288.387127722846</v>
      </c>
      <c r="AD4013" s="6">
        <f t="shared" si="615"/>
        <v>1241127.0999</v>
      </c>
      <c r="AE4013" s="2">
        <f>VLOOKUP(I4013,[1]媒体政策预估表!A:N,MATCH(O4013,[1]媒体政策预估表!$A$2:$M$2,0),0)</f>
        <v>7.0000000000000007E-2</v>
      </c>
      <c r="AF4013" s="6">
        <f t="shared" si="621"/>
        <v>86878.896993000017</v>
      </c>
      <c r="AG4013" s="14">
        <v>0</v>
      </c>
      <c r="AH4013" s="65">
        <f t="shared" si="616"/>
        <v>1241127.0999</v>
      </c>
      <c r="AI4013" s="47"/>
      <c r="AJ4013" s="126" t="e">
        <v>#N/A</v>
      </c>
      <c r="AK4013" s="80">
        <f t="shared" si="619"/>
        <v>0</v>
      </c>
      <c r="AM4013" s="85"/>
    </row>
    <row r="4014" spans="1:39" hidden="1" x14ac:dyDescent="0.3">
      <c r="A4014" s="89" t="s">
        <v>3395</v>
      </c>
      <c r="B4014" s="86" t="s">
        <v>35</v>
      </c>
      <c r="C4014" s="86" t="s">
        <v>144</v>
      </c>
      <c r="D4014" s="86" t="s">
        <v>152</v>
      </c>
      <c r="E4014" s="86" t="s">
        <v>1406</v>
      </c>
      <c r="F4014" s="86" t="s">
        <v>1406</v>
      </c>
      <c r="G4014" s="86" t="s">
        <v>1406</v>
      </c>
      <c r="H4014" s="144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1407</v>
      </c>
      <c r="N4014" s="86"/>
      <c r="O4014" s="47" t="s">
        <v>410</v>
      </c>
      <c r="P4014" s="47" t="s">
        <v>41</v>
      </c>
      <c r="Q4014" s="14">
        <v>0</v>
      </c>
      <c r="R4014" s="143" t="s">
        <v>1408</v>
      </c>
      <c r="S4014" s="47"/>
      <c r="T4014" s="6">
        <v>97769.800000000047</v>
      </c>
      <c r="U4014" s="6">
        <v>150000</v>
      </c>
      <c r="V4014" s="6">
        <v>222323.1</v>
      </c>
      <c r="W4014" s="6">
        <f t="shared" si="613"/>
        <v>25446.700000000041</v>
      </c>
      <c r="X4014" s="6">
        <f t="shared" si="614"/>
        <v>222323.1</v>
      </c>
      <c r="Y4014" s="13">
        <f t="shared" si="617"/>
        <v>0</v>
      </c>
      <c r="Z4014" s="14">
        <v>0</v>
      </c>
      <c r="AA4014" s="6">
        <v>0</v>
      </c>
      <c r="AB4014" s="4">
        <f t="shared" si="618"/>
        <v>222323.1</v>
      </c>
      <c r="AC4014" s="4">
        <f t="shared" si="620"/>
        <v>0</v>
      </c>
      <c r="AD4014" s="6">
        <f t="shared" si="615"/>
        <v>222323.1</v>
      </c>
      <c r="AE4014" s="2">
        <f>VLOOKUP(I4014,[1]媒体政策预估表!A:N,MATCH(O4014,[1]媒体政策预估表!$A$2:$M$2,0),0)</f>
        <v>7.0000000000000007E-2</v>
      </c>
      <c r="AF4014" s="6">
        <f t="shared" si="621"/>
        <v>15562.617000000002</v>
      </c>
      <c r="AG4014" s="14">
        <v>0</v>
      </c>
      <c r="AH4014" s="65">
        <f t="shared" si="616"/>
        <v>222323.1</v>
      </c>
      <c r="AI4014" s="47"/>
      <c r="AJ4014" s="126" t="e">
        <v>#N/A</v>
      </c>
      <c r="AK4014" s="80">
        <f t="shared" si="619"/>
        <v>0</v>
      </c>
      <c r="AM4014" s="85"/>
    </row>
    <row r="4015" spans="1:39" hidden="1" x14ac:dyDescent="0.3">
      <c r="A4015" s="89" t="s">
        <v>3395</v>
      </c>
      <c r="B4015" s="86" t="s">
        <v>35</v>
      </c>
      <c r="C4015" s="86" t="s">
        <v>144</v>
      </c>
      <c r="D4015" s="86" t="s">
        <v>152</v>
      </c>
      <c r="E4015" s="86" t="s">
        <v>1478</v>
      </c>
      <c r="F4015" s="86" t="s">
        <v>1478</v>
      </c>
      <c r="G4015" s="86" t="s">
        <v>1478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1479</v>
      </c>
      <c r="N4015" s="86"/>
      <c r="O4015" s="47" t="s">
        <v>410</v>
      </c>
      <c r="P4015" s="47" t="s">
        <v>46</v>
      </c>
      <c r="Q4015" s="14">
        <v>0.02</v>
      </c>
      <c r="R4015" s="143" t="s">
        <v>3533</v>
      </c>
      <c r="S4015" s="47"/>
      <c r="T4015" s="6">
        <v>0</v>
      </c>
      <c r="U4015" s="6">
        <v>120000</v>
      </c>
      <c r="V4015" s="6">
        <v>0</v>
      </c>
      <c r="W4015" s="6">
        <f t="shared" si="613"/>
        <v>120000</v>
      </c>
      <c r="X4015" s="6">
        <f t="shared" si="614"/>
        <v>0</v>
      </c>
      <c r="Y4015" s="13">
        <f t="shared" si="617"/>
        <v>0</v>
      </c>
      <c r="Z4015" s="14">
        <v>0</v>
      </c>
      <c r="AA4015" s="6">
        <v>0</v>
      </c>
      <c r="AB4015" s="4">
        <f t="shared" si="618"/>
        <v>0</v>
      </c>
      <c r="AC4015" s="4">
        <f t="shared" si="620"/>
        <v>0</v>
      </c>
      <c r="AD4015" s="6">
        <f t="shared" si="615"/>
        <v>0</v>
      </c>
      <c r="AE4015" s="2">
        <f>VLOOKUP(I4015,[1]媒体政策预估表!A:N,MATCH(O4015,[1]媒体政策预估表!$A$2:$M$2,0),0)</f>
        <v>7.0000000000000007E-2</v>
      </c>
      <c r="AF4015" s="6">
        <f t="shared" si="621"/>
        <v>0</v>
      </c>
      <c r="AG4015" s="14">
        <v>0</v>
      </c>
      <c r="AH4015" s="65">
        <f t="shared" si="616"/>
        <v>0</v>
      </c>
      <c r="AI4015" s="47"/>
      <c r="AJ4015" s="126" t="e">
        <v>#N/A</v>
      </c>
      <c r="AK4015" s="80">
        <f t="shared" si="619"/>
        <v>0</v>
      </c>
      <c r="AM4015" s="85"/>
    </row>
    <row r="4016" spans="1:39" hidden="1" x14ac:dyDescent="0.3">
      <c r="A4016" s="89" t="s">
        <v>3395</v>
      </c>
      <c r="B4016" s="86" t="s">
        <v>35</v>
      </c>
      <c r="C4016" s="86" t="s">
        <v>144</v>
      </c>
      <c r="D4016" s="86" t="s">
        <v>152</v>
      </c>
      <c r="E4016" s="86" t="s">
        <v>1478</v>
      </c>
      <c r="F4016" s="86" t="s">
        <v>1478</v>
      </c>
      <c r="G4016" s="86" t="s">
        <v>1478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1479</v>
      </c>
      <c r="N4016" s="86"/>
      <c r="O4016" s="47" t="s">
        <v>410</v>
      </c>
      <c r="P4016" s="47" t="s">
        <v>46</v>
      </c>
      <c r="Q4016" s="14">
        <v>0.02</v>
      </c>
      <c r="R4016" s="143" t="s">
        <v>1480</v>
      </c>
      <c r="S4016" s="47"/>
      <c r="T4016" s="6">
        <v>700000</v>
      </c>
      <c r="U4016" s="6">
        <v>1430000</v>
      </c>
      <c r="V4016" s="6">
        <v>0</v>
      </c>
      <c r="W4016" s="6">
        <f t="shared" si="613"/>
        <v>2130000</v>
      </c>
      <c r="X4016" s="6">
        <f t="shared" si="614"/>
        <v>0</v>
      </c>
      <c r="Y4016" s="13">
        <f t="shared" si="617"/>
        <v>0</v>
      </c>
      <c r="Z4016" s="14">
        <v>0</v>
      </c>
      <c r="AA4016" s="6">
        <v>0</v>
      </c>
      <c r="AB4016" s="4">
        <f t="shared" si="618"/>
        <v>0</v>
      </c>
      <c r="AC4016" s="4">
        <f t="shared" si="620"/>
        <v>0</v>
      </c>
      <c r="AD4016" s="6">
        <f t="shared" si="615"/>
        <v>0</v>
      </c>
      <c r="AE4016" s="2">
        <f>VLOOKUP(I4016,[1]媒体政策预估表!A:N,MATCH(O4016,[1]媒体政策预估表!$A$2:$M$2,0),0)</f>
        <v>7.0000000000000007E-2</v>
      </c>
      <c r="AF4016" s="6">
        <f t="shared" si="621"/>
        <v>0</v>
      </c>
      <c r="AG4016" s="14">
        <v>0</v>
      </c>
      <c r="AH4016" s="65">
        <f t="shared" si="616"/>
        <v>0</v>
      </c>
      <c r="AI4016" s="47"/>
      <c r="AJ4016" s="126" t="e">
        <v>#N/A</v>
      </c>
      <c r="AK4016" s="80">
        <f t="shared" si="619"/>
        <v>0</v>
      </c>
      <c r="AM4016" s="85"/>
    </row>
    <row r="4017" spans="1:39" hidden="1" x14ac:dyDescent="0.3">
      <c r="A4017" s="89" t="s">
        <v>3395</v>
      </c>
      <c r="B4017" s="86" t="s">
        <v>35</v>
      </c>
      <c r="C4017" s="86" t="s">
        <v>144</v>
      </c>
      <c r="D4017" s="86" t="s">
        <v>152</v>
      </c>
      <c r="E4017" s="86" t="s">
        <v>1482</v>
      </c>
      <c r="F4017" s="86" t="s">
        <v>1482</v>
      </c>
      <c r="G4017" s="86" t="s">
        <v>1482</v>
      </c>
      <c r="H4017" s="144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1482</v>
      </c>
      <c r="N4017" s="86"/>
      <c r="O4017" s="47" t="s">
        <v>410</v>
      </c>
      <c r="P4017" s="47" t="s">
        <v>41</v>
      </c>
      <c r="Q4017" s="14">
        <v>0</v>
      </c>
      <c r="R4017" s="143" t="s">
        <v>1483</v>
      </c>
      <c r="S4017" s="47"/>
      <c r="T4017" s="6">
        <v>10927.5</v>
      </c>
      <c r="U4017" s="6">
        <v>14064.34</v>
      </c>
      <c r="V4017" s="6">
        <v>13773.9</v>
      </c>
      <c r="W4017" s="6">
        <f t="shared" si="613"/>
        <v>11217.94</v>
      </c>
      <c r="X4017" s="6">
        <f t="shared" si="614"/>
        <v>13773.9</v>
      </c>
      <c r="Y4017" s="13">
        <f t="shared" si="617"/>
        <v>0</v>
      </c>
      <c r="Z4017" s="14">
        <v>0</v>
      </c>
      <c r="AA4017" s="6">
        <v>0</v>
      </c>
      <c r="AB4017" s="4">
        <f t="shared" si="618"/>
        <v>13773.9</v>
      </c>
      <c r="AC4017" s="4">
        <f t="shared" si="620"/>
        <v>0</v>
      </c>
      <c r="AD4017" s="6">
        <f t="shared" si="615"/>
        <v>13773.9</v>
      </c>
      <c r="AE4017" s="2">
        <f>VLOOKUP(I4017,[1]媒体政策预估表!A:N,MATCH(O4017,[1]媒体政策预估表!$A$2:$M$2,0),0)</f>
        <v>7.0000000000000007E-2</v>
      </c>
      <c r="AF4017" s="6">
        <f t="shared" si="621"/>
        <v>964.17300000000012</v>
      </c>
      <c r="AG4017" s="14">
        <v>0</v>
      </c>
      <c r="AH4017" s="65">
        <f t="shared" si="616"/>
        <v>13773.9</v>
      </c>
      <c r="AI4017" s="47"/>
      <c r="AJ4017" s="126" t="e">
        <v>#N/A</v>
      </c>
      <c r="AK4017" s="80">
        <f t="shared" si="619"/>
        <v>0</v>
      </c>
      <c r="AM4017" s="85"/>
    </row>
    <row r="4018" spans="1:39" hidden="1" x14ac:dyDescent="0.3">
      <c r="A4018" s="89" t="s">
        <v>3397</v>
      </c>
      <c r="B4018" s="86" t="s">
        <v>35</v>
      </c>
      <c r="C4018" s="86" t="s">
        <v>144</v>
      </c>
      <c r="D4018" s="86" t="s">
        <v>152</v>
      </c>
      <c r="E4018" s="86" t="s">
        <v>1484</v>
      </c>
      <c r="F4018" s="86" t="s">
        <v>1485</v>
      </c>
      <c r="G4018" s="86" t="s">
        <v>1484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1486</v>
      </c>
      <c r="N4018" s="86"/>
      <c r="O4018" s="47" t="s">
        <v>410</v>
      </c>
      <c r="P4018" s="47" t="s">
        <v>46</v>
      </c>
      <c r="Q4018" s="14">
        <v>0.02</v>
      </c>
      <c r="R4018" s="143" t="s">
        <v>1487</v>
      </c>
      <c r="S4018" s="47"/>
      <c r="T4018" s="6">
        <v>291548.18693000003</v>
      </c>
      <c r="U4018" s="6">
        <v>-291548.18</v>
      </c>
      <c r="V4018" s="6">
        <v>0</v>
      </c>
      <c r="W4018" s="6">
        <f t="shared" si="613"/>
        <v>6.9300000322982669E-3</v>
      </c>
      <c r="X4018" s="6">
        <f t="shared" si="614"/>
        <v>0</v>
      </c>
      <c r="Y4018" s="13">
        <f t="shared" si="617"/>
        <v>0</v>
      </c>
      <c r="Z4018" s="14">
        <v>0</v>
      </c>
      <c r="AA4018" s="6">
        <v>0</v>
      </c>
      <c r="AB4018" s="4">
        <f t="shared" si="618"/>
        <v>0</v>
      </c>
      <c r="AC4018" s="4">
        <f t="shared" si="620"/>
        <v>0</v>
      </c>
      <c r="AD4018" s="6">
        <f t="shared" si="615"/>
        <v>0</v>
      </c>
      <c r="AE4018" s="2">
        <f>VLOOKUP(I4018,[1]媒体政策预估表!A:N,MATCH(O4018,[1]媒体政策预估表!$A$2:$M$2,0),0)</f>
        <v>7.0000000000000007E-2</v>
      </c>
      <c r="AF4018" s="6">
        <f t="shared" si="621"/>
        <v>0</v>
      </c>
      <c r="AG4018" s="14">
        <v>0</v>
      </c>
      <c r="AH4018" s="65">
        <f t="shared" si="616"/>
        <v>0</v>
      </c>
      <c r="AI4018" s="47"/>
      <c r="AJ4018" s="126" t="e">
        <v>#N/A</v>
      </c>
      <c r="AK4018" s="80">
        <f t="shared" si="619"/>
        <v>0</v>
      </c>
      <c r="AM4018" s="85"/>
    </row>
    <row r="4019" spans="1:39" hidden="1" x14ac:dyDescent="0.3">
      <c r="A4019" s="89" t="s">
        <v>3394</v>
      </c>
      <c r="B4019" s="86" t="s">
        <v>35</v>
      </c>
      <c r="C4019" s="86" t="s">
        <v>144</v>
      </c>
      <c r="D4019" s="86" t="s">
        <v>152</v>
      </c>
      <c r="E4019" s="86" t="s">
        <v>1484</v>
      </c>
      <c r="F4019" s="86" t="s">
        <v>1485</v>
      </c>
      <c r="G4019" s="86" t="s">
        <v>1484</v>
      </c>
      <c r="H4019" s="144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1486</v>
      </c>
      <c r="N4019" s="86"/>
      <c r="O4019" s="47" t="s">
        <v>410</v>
      </c>
      <c r="P4019" s="47" t="s">
        <v>41</v>
      </c>
      <c r="Q4019" s="14">
        <v>0</v>
      </c>
      <c r="R4019" s="143" t="s">
        <v>1487</v>
      </c>
      <c r="S4019" s="47"/>
      <c r="T4019" s="6">
        <v>559501.62028000038</v>
      </c>
      <c r="U4019" s="6">
        <v>4291548.18</v>
      </c>
      <c r="V4019" s="6">
        <v>4560419.62</v>
      </c>
      <c r="W4019" s="6">
        <f t="shared" si="613"/>
        <v>290630.18027999997</v>
      </c>
      <c r="X4019" s="6">
        <f t="shared" si="614"/>
        <v>4560419.62</v>
      </c>
      <c r="Y4019" s="13">
        <f t="shared" si="617"/>
        <v>0</v>
      </c>
      <c r="Z4019" s="14">
        <v>0</v>
      </c>
      <c r="AA4019" s="6">
        <v>0</v>
      </c>
      <c r="AB4019" s="4">
        <f t="shared" si="618"/>
        <v>4560419.62</v>
      </c>
      <c r="AC4019" s="4">
        <f t="shared" si="620"/>
        <v>0</v>
      </c>
      <c r="AD4019" s="6">
        <f t="shared" si="615"/>
        <v>4560419.62</v>
      </c>
      <c r="AE4019" s="2">
        <f>VLOOKUP(I4019,[1]媒体政策预估表!A:N,MATCH(O4019,[1]媒体政策预估表!$A$2:$M$2,0),0)</f>
        <v>7.0000000000000007E-2</v>
      </c>
      <c r="AF4019" s="6">
        <f t="shared" si="621"/>
        <v>319229.37340000004</v>
      </c>
      <c r="AG4019" s="14">
        <v>0</v>
      </c>
      <c r="AH4019" s="65">
        <f t="shared" si="616"/>
        <v>4560419.62</v>
      </c>
      <c r="AI4019" s="47"/>
      <c r="AJ4019" s="126" t="e">
        <v>#N/A</v>
      </c>
      <c r="AK4019" s="80">
        <f t="shared" si="619"/>
        <v>0</v>
      </c>
      <c r="AM4019" s="85"/>
    </row>
    <row r="4020" spans="1:39" hidden="1" x14ac:dyDescent="0.3">
      <c r="A4020" s="89" t="s">
        <v>3395</v>
      </c>
      <c r="B4020" s="86" t="s">
        <v>35</v>
      </c>
      <c r="C4020" s="86" t="s">
        <v>144</v>
      </c>
      <c r="D4020" s="86" t="s">
        <v>152</v>
      </c>
      <c r="E4020" s="86" t="s">
        <v>1488</v>
      </c>
      <c r="F4020" s="86" t="s">
        <v>1488</v>
      </c>
      <c r="G4020" s="86" t="s">
        <v>1488</v>
      </c>
      <c r="H4020" s="144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1489</v>
      </c>
      <c r="N4020" s="86"/>
      <c r="O4020" s="47" t="s">
        <v>410</v>
      </c>
      <c r="P4020" s="47" t="s">
        <v>41</v>
      </c>
      <c r="Q4020" s="14">
        <v>0</v>
      </c>
      <c r="R4020" s="143" t="s">
        <v>1490</v>
      </c>
      <c r="S4020" s="47"/>
      <c r="T4020" s="6">
        <v>50731.100000000006</v>
      </c>
      <c r="U4020" s="6">
        <v>880000</v>
      </c>
      <c r="V4020" s="6">
        <v>724293.1</v>
      </c>
      <c r="W4020" s="6">
        <f t="shared" si="613"/>
        <v>206438</v>
      </c>
      <c r="X4020" s="6">
        <f t="shared" si="614"/>
        <v>724293.1</v>
      </c>
      <c r="Y4020" s="13">
        <f t="shared" si="617"/>
        <v>0</v>
      </c>
      <c r="Z4020" s="14">
        <v>0</v>
      </c>
      <c r="AA4020" s="6">
        <v>0</v>
      </c>
      <c r="AB4020" s="4">
        <f t="shared" si="618"/>
        <v>724293.1</v>
      </c>
      <c r="AC4020" s="4">
        <f t="shared" si="620"/>
        <v>0</v>
      </c>
      <c r="AD4020" s="6">
        <f t="shared" si="615"/>
        <v>724293.1</v>
      </c>
      <c r="AE4020" s="2">
        <f>VLOOKUP(I4020,[1]媒体政策预估表!A:N,MATCH(O4020,[1]媒体政策预估表!$A$2:$M$2,0),0)</f>
        <v>7.0000000000000007E-2</v>
      </c>
      <c r="AF4020" s="6">
        <f t="shared" si="621"/>
        <v>50700.517</v>
      </c>
      <c r="AG4020" s="14">
        <v>0</v>
      </c>
      <c r="AH4020" s="65">
        <f t="shared" si="616"/>
        <v>724293.1</v>
      </c>
      <c r="AI4020" s="47"/>
      <c r="AJ4020" s="126" t="e">
        <v>#N/A</v>
      </c>
      <c r="AK4020" s="80">
        <f t="shared" si="619"/>
        <v>0</v>
      </c>
      <c r="AM4020" s="85"/>
    </row>
    <row r="4021" spans="1:39" hidden="1" x14ac:dyDescent="0.3">
      <c r="A4021" s="89" t="s">
        <v>3395</v>
      </c>
      <c r="B4021" s="86" t="s">
        <v>35</v>
      </c>
      <c r="C4021" s="86" t="s">
        <v>144</v>
      </c>
      <c r="D4021" s="86" t="s">
        <v>152</v>
      </c>
      <c r="E4021" s="86" t="s">
        <v>1488</v>
      </c>
      <c r="F4021" s="86" t="s">
        <v>1488</v>
      </c>
      <c r="G4021" s="86" t="s">
        <v>1488</v>
      </c>
      <c r="H4021" s="144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1491</v>
      </c>
      <c r="N4021" s="86"/>
      <c r="O4021" s="47" t="s">
        <v>410</v>
      </c>
      <c r="P4021" s="47" t="s">
        <v>41</v>
      </c>
      <c r="Q4021" s="14">
        <v>0</v>
      </c>
      <c r="R4021" s="143" t="s">
        <v>1492</v>
      </c>
      <c r="S4021" s="47"/>
      <c r="T4021" s="6">
        <v>115036.10000000003</v>
      </c>
      <c r="U4021" s="6">
        <v>720000</v>
      </c>
      <c r="V4021" s="6">
        <v>652094.80000000005</v>
      </c>
      <c r="W4021" s="6">
        <f t="shared" si="613"/>
        <v>182941.30000000005</v>
      </c>
      <c r="X4021" s="6">
        <f t="shared" si="614"/>
        <v>652094.80000000005</v>
      </c>
      <c r="Y4021" s="13">
        <f t="shared" si="617"/>
        <v>0</v>
      </c>
      <c r="Z4021" s="14">
        <v>0</v>
      </c>
      <c r="AA4021" s="6">
        <v>0</v>
      </c>
      <c r="AB4021" s="4">
        <f t="shared" si="618"/>
        <v>652094.80000000005</v>
      </c>
      <c r="AC4021" s="4">
        <f t="shared" si="620"/>
        <v>0</v>
      </c>
      <c r="AD4021" s="6">
        <f t="shared" si="615"/>
        <v>652094.80000000005</v>
      </c>
      <c r="AE4021" s="2">
        <f>VLOOKUP(I4021,[1]媒体政策预估表!A:N,MATCH(O4021,[1]媒体政策预估表!$A$2:$M$2,0),0)</f>
        <v>7.0000000000000007E-2</v>
      </c>
      <c r="AF4021" s="6">
        <f t="shared" si="621"/>
        <v>45646.636000000006</v>
      </c>
      <c r="AG4021" s="14">
        <v>0</v>
      </c>
      <c r="AH4021" s="65">
        <f t="shared" si="616"/>
        <v>652094.80000000005</v>
      </c>
      <c r="AI4021" s="47"/>
      <c r="AJ4021" s="126" t="e">
        <v>#N/A</v>
      </c>
      <c r="AK4021" s="80">
        <f t="shared" si="619"/>
        <v>0</v>
      </c>
      <c r="AM4021" s="85"/>
    </row>
    <row r="4022" spans="1:39" hidden="1" x14ac:dyDescent="0.3">
      <c r="A4022" s="89" t="s">
        <v>3395</v>
      </c>
      <c r="B4022" s="86" t="s">
        <v>35</v>
      </c>
      <c r="C4022" s="86" t="s">
        <v>144</v>
      </c>
      <c r="D4022" s="86" t="s">
        <v>152</v>
      </c>
      <c r="E4022" s="86" t="s">
        <v>1493</v>
      </c>
      <c r="F4022" s="86" t="s">
        <v>1493</v>
      </c>
      <c r="G4022" s="86" t="s">
        <v>1493</v>
      </c>
      <c r="H4022" s="144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1494</v>
      </c>
      <c r="N4022" s="86"/>
      <c r="O4022" s="47" t="s">
        <v>410</v>
      </c>
      <c r="P4022" s="47" t="s">
        <v>46</v>
      </c>
      <c r="Q4022" s="14">
        <v>0.01</v>
      </c>
      <c r="R4022" s="143" t="s">
        <v>1495</v>
      </c>
      <c r="S4022" s="47"/>
      <c r="T4022" s="6">
        <v>15186.600000000006</v>
      </c>
      <c r="U4022" s="6">
        <v>50000</v>
      </c>
      <c r="V4022" s="6">
        <v>35154.6</v>
      </c>
      <c r="W4022" s="6">
        <f t="shared" si="613"/>
        <v>30032.000000000007</v>
      </c>
      <c r="X4022" s="6">
        <f t="shared" si="614"/>
        <v>34806.534653465344</v>
      </c>
      <c r="Y4022" s="13">
        <f t="shared" si="617"/>
        <v>0</v>
      </c>
      <c r="Z4022" s="14">
        <v>0</v>
      </c>
      <c r="AA4022" s="6">
        <v>0</v>
      </c>
      <c r="AB4022" s="4">
        <f t="shared" si="618"/>
        <v>34806.534653465344</v>
      </c>
      <c r="AC4022" s="4">
        <f t="shared" si="620"/>
        <v>348.06534653465496</v>
      </c>
      <c r="AD4022" s="6">
        <f t="shared" si="615"/>
        <v>35154.6</v>
      </c>
      <c r="AE4022" s="2">
        <f>VLOOKUP(I4022,[1]媒体政策预估表!A:N,MATCH(O4022,[1]媒体政策预估表!$A$2:$M$2,0),0)</f>
        <v>7.0000000000000007E-2</v>
      </c>
      <c r="AF4022" s="6">
        <f t="shared" si="621"/>
        <v>2460.8220000000001</v>
      </c>
      <c r="AG4022" s="14">
        <v>0</v>
      </c>
      <c r="AH4022" s="65">
        <f t="shared" si="616"/>
        <v>35154.6</v>
      </c>
      <c r="AI4022" s="47"/>
      <c r="AJ4022" s="126" t="e">
        <v>#N/A</v>
      </c>
      <c r="AK4022" s="80">
        <f t="shared" si="619"/>
        <v>0</v>
      </c>
      <c r="AM4022" s="85"/>
    </row>
    <row r="4023" spans="1:39" hidden="1" x14ac:dyDescent="0.3">
      <c r="A4023" s="89" t="s">
        <v>3394</v>
      </c>
      <c r="B4023" s="86" t="s">
        <v>35</v>
      </c>
      <c r="C4023" s="86" t="s">
        <v>144</v>
      </c>
      <c r="D4023" s="86" t="s">
        <v>152</v>
      </c>
      <c r="E4023" s="86" t="s">
        <v>1496</v>
      </c>
      <c r="F4023" s="86" t="s">
        <v>1497</v>
      </c>
      <c r="G4023" s="86" t="s">
        <v>1496</v>
      </c>
      <c r="H4023" s="144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1498</v>
      </c>
      <c r="N4023" s="86"/>
      <c r="O4023" s="47" t="s">
        <v>410</v>
      </c>
      <c r="P4023" s="47" t="s">
        <v>46</v>
      </c>
      <c r="Q4023" s="14">
        <v>0.02</v>
      </c>
      <c r="R4023" s="143" t="s">
        <v>1499</v>
      </c>
      <c r="S4023" s="47"/>
      <c r="T4023" s="6">
        <v>34561.049999999988</v>
      </c>
      <c r="U4023" s="6">
        <v>50000</v>
      </c>
      <c r="V4023" s="6">
        <v>58509</v>
      </c>
      <c r="W4023" s="6">
        <f t="shared" si="613"/>
        <v>26052.049999999988</v>
      </c>
      <c r="X4023" s="6">
        <f t="shared" si="614"/>
        <v>57361.76470588235</v>
      </c>
      <c r="Y4023" s="13">
        <f t="shared" si="617"/>
        <v>0</v>
      </c>
      <c r="Z4023" s="14">
        <v>0</v>
      </c>
      <c r="AA4023" s="6">
        <v>0</v>
      </c>
      <c r="AB4023" s="4">
        <f t="shared" si="618"/>
        <v>57361.76470588235</v>
      </c>
      <c r="AC4023" s="4">
        <f t="shared" si="620"/>
        <v>1147.2352941176505</v>
      </c>
      <c r="AD4023" s="6">
        <f t="shared" si="615"/>
        <v>58509</v>
      </c>
      <c r="AE4023" s="2">
        <f>VLOOKUP(I4023,[1]媒体政策预估表!A:N,MATCH(O4023,[1]媒体政策预估表!$A$2:$M$2,0),0)</f>
        <v>7.0000000000000007E-2</v>
      </c>
      <c r="AF4023" s="6">
        <f t="shared" si="621"/>
        <v>4095.6300000000006</v>
      </c>
      <c r="AG4023" s="14">
        <v>0</v>
      </c>
      <c r="AH4023" s="65">
        <f t="shared" si="616"/>
        <v>58509</v>
      </c>
      <c r="AI4023" s="47"/>
      <c r="AJ4023" s="126" t="e">
        <v>#N/A</v>
      </c>
      <c r="AK4023" s="80">
        <f t="shared" si="619"/>
        <v>0</v>
      </c>
      <c r="AM4023" s="85"/>
    </row>
    <row r="4024" spans="1:39" hidden="1" x14ac:dyDescent="0.3">
      <c r="A4024" s="89" t="s">
        <v>3394</v>
      </c>
      <c r="B4024" s="86" t="s">
        <v>35</v>
      </c>
      <c r="C4024" s="86" t="s">
        <v>144</v>
      </c>
      <c r="D4024" s="86" t="s">
        <v>152</v>
      </c>
      <c r="E4024" s="86" t="s">
        <v>178</v>
      </c>
      <c r="F4024" s="86" t="s">
        <v>3534</v>
      </c>
      <c r="G4024" s="86" t="s">
        <v>178</v>
      </c>
      <c r="H4024" s="144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3535</v>
      </c>
      <c r="N4024" s="86"/>
      <c r="O4024" s="47" t="s">
        <v>410</v>
      </c>
      <c r="P4024" s="47" t="s">
        <v>41</v>
      </c>
      <c r="Q4024" s="14">
        <v>0</v>
      </c>
      <c r="R4024" s="143" t="s">
        <v>3536</v>
      </c>
      <c r="S4024" s="47"/>
      <c r="T4024" s="6">
        <v>0</v>
      </c>
      <c r="U4024" s="6">
        <v>20000</v>
      </c>
      <c r="V4024" s="6">
        <v>1010</v>
      </c>
      <c r="W4024" s="6">
        <f t="shared" si="613"/>
        <v>18990</v>
      </c>
      <c r="X4024" s="6">
        <f t="shared" si="614"/>
        <v>1010</v>
      </c>
      <c r="Y4024" s="13">
        <f t="shared" si="617"/>
        <v>0</v>
      </c>
      <c r="Z4024" s="14">
        <v>0</v>
      </c>
      <c r="AA4024" s="6">
        <v>0</v>
      </c>
      <c r="AB4024" s="4">
        <f t="shared" si="618"/>
        <v>1010</v>
      </c>
      <c r="AC4024" s="4">
        <f t="shared" si="620"/>
        <v>0</v>
      </c>
      <c r="AD4024" s="6">
        <f t="shared" si="615"/>
        <v>1010</v>
      </c>
      <c r="AE4024" s="2">
        <f>VLOOKUP(I4024,[1]媒体政策预估表!A:N,MATCH(O4024,[1]媒体政策预估表!$A$2:$M$2,0),0)</f>
        <v>7.0000000000000007E-2</v>
      </c>
      <c r="AF4024" s="6">
        <f t="shared" si="621"/>
        <v>70.7</v>
      </c>
      <c r="AG4024" s="14">
        <v>0</v>
      </c>
      <c r="AH4024" s="65">
        <f t="shared" si="616"/>
        <v>1010</v>
      </c>
      <c r="AI4024" s="47"/>
      <c r="AJ4024" s="126" t="e">
        <v>#N/A</v>
      </c>
      <c r="AK4024" s="80">
        <f t="shared" si="619"/>
        <v>0</v>
      </c>
      <c r="AM4024" s="85"/>
    </row>
    <row r="4025" spans="1:39" hidden="1" x14ac:dyDescent="0.3">
      <c r="A4025" s="89" t="s">
        <v>3395</v>
      </c>
      <c r="B4025" s="86" t="s">
        <v>35</v>
      </c>
      <c r="C4025" s="86" t="s">
        <v>144</v>
      </c>
      <c r="D4025" s="86" t="s">
        <v>161</v>
      </c>
      <c r="E4025" s="86" t="s">
        <v>3537</v>
      </c>
      <c r="F4025" s="86" t="s">
        <v>3537</v>
      </c>
      <c r="G4025" s="86" t="s">
        <v>3537</v>
      </c>
      <c r="H4025" s="144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1512</v>
      </c>
      <c r="N4025" s="86"/>
      <c r="O4025" s="47" t="s">
        <v>410</v>
      </c>
      <c r="P4025" s="47" t="s">
        <v>46</v>
      </c>
      <c r="Q4025" s="14">
        <v>0.02</v>
      </c>
      <c r="R4025" s="143" t="s">
        <v>1513</v>
      </c>
      <c r="S4025" s="47"/>
      <c r="T4025" s="6">
        <v>0</v>
      </c>
      <c r="U4025" s="6">
        <v>20000</v>
      </c>
      <c r="V4025" s="6">
        <v>20000</v>
      </c>
      <c r="W4025" s="6">
        <f t="shared" si="613"/>
        <v>0</v>
      </c>
      <c r="X4025" s="6">
        <f t="shared" si="614"/>
        <v>19607.843137254902</v>
      </c>
      <c r="Y4025" s="13">
        <f t="shared" si="617"/>
        <v>0</v>
      </c>
      <c r="Z4025" s="14">
        <v>0</v>
      </c>
      <c r="AA4025" s="6">
        <v>0</v>
      </c>
      <c r="AB4025" s="4">
        <f t="shared" si="618"/>
        <v>19607.843137254902</v>
      </c>
      <c r="AC4025" s="4">
        <f t="shared" si="620"/>
        <v>392.1568627450979</v>
      </c>
      <c r="AD4025" s="6">
        <f t="shared" si="615"/>
        <v>20000</v>
      </c>
      <c r="AE4025" s="2">
        <f>VLOOKUP(I4025,[1]媒体政策预估表!A:N,MATCH(O4025,[1]媒体政策预估表!$A$2:$M$2,0),0)</f>
        <v>7.0000000000000007E-2</v>
      </c>
      <c r="AF4025" s="6">
        <f t="shared" si="621"/>
        <v>1400.0000000000002</v>
      </c>
      <c r="AG4025" s="14">
        <v>0</v>
      </c>
      <c r="AH4025" s="65">
        <f t="shared" si="616"/>
        <v>20000</v>
      </c>
      <c r="AI4025" s="47"/>
      <c r="AJ4025" s="126" t="e">
        <v>#N/A</v>
      </c>
      <c r="AK4025" s="80">
        <f t="shared" si="619"/>
        <v>0</v>
      </c>
      <c r="AM4025" s="85"/>
    </row>
    <row r="4026" spans="1:39" hidden="1" x14ac:dyDescent="0.3">
      <c r="A4026" s="89" t="s">
        <v>3395</v>
      </c>
      <c r="B4026" s="86" t="s">
        <v>35</v>
      </c>
      <c r="C4026" s="86" t="s">
        <v>144</v>
      </c>
      <c r="D4026" s="86" t="s">
        <v>161</v>
      </c>
      <c r="E4026" s="86" t="s">
        <v>1504</v>
      </c>
      <c r="F4026" s="86" t="s">
        <v>1505</v>
      </c>
      <c r="G4026" s="86" t="s">
        <v>1504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1506</v>
      </c>
      <c r="N4026" s="86"/>
      <c r="O4026" s="47" t="s">
        <v>410</v>
      </c>
      <c r="P4026" s="47" t="s">
        <v>46</v>
      </c>
      <c r="Q4026" s="14">
        <v>0.02</v>
      </c>
      <c r="R4026" s="143" t="s">
        <v>1507</v>
      </c>
      <c r="S4026" s="47"/>
      <c r="T4026" s="6">
        <v>8618.3799999999974</v>
      </c>
      <c r="U4026" s="6">
        <v>36879.69</v>
      </c>
      <c r="V4026" s="6">
        <v>41638.959999999999</v>
      </c>
      <c r="W4026" s="6">
        <f t="shared" si="613"/>
        <v>3859.1100000000006</v>
      </c>
      <c r="X4026" s="6">
        <f t="shared" si="614"/>
        <v>40822.509803921566</v>
      </c>
      <c r="Y4026" s="13">
        <f t="shared" si="617"/>
        <v>0</v>
      </c>
      <c r="Z4026" s="14">
        <v>0</v>
      </c>
      <c r="AA4026" s="6">
        <v>0</v>
      </c>
      <c r="AB4026" s="4">
        <f t="shared" si="618"/>
        <v>40822.509803921566</v>
      </c>
      <c r="AC4026" s="4">
        <f t="shared" si="620"/>
        <v>816.45019607843278</v>
      </c>
      <c r="AD4026" s="6">
        <f t="shared" si="615"/>
        <v>41638.959999999999</v>
      </c>
      <c r="AE4026" s="2">
        <f>VLOOKUP(I4026,[1]媒体政策预估表!A:N,MATCH(O4026,[1]媒体政策预估表!$A$2:$M$2,0),0)</f>
        <v>7.0000000000000007E-2</v>
      </c>
      <c r="AF4026" s="6">
        <f t="shared" si="621"/>
        <v>2914.7272000000003</v>
      </c>
      <c r="AG4026" s="14">
        <v>0</v>
      </c>
      <c r="AH4026" s="65">
        <f t="shared" si="616"/>
        <v>41638.959999999999</v>
      </c>
      <c r="AI4026" s="47"/>
      <c r="AJ4026" s="126" t="e">
        <v>#N/A</v>
      </c>
      <c r="AK4026" s="80">
        <f t="shared" si="619"/>
        <v>0</v>
      </c>
      <c r="AM4026" s="85"/>
    </row>
    <row r="4027" spans="1:39" hidden="1" x14ac:dyDescent="0.3">
      <c r="A4027" s="89" t="s">
        <v>3395</v>
      </c>
      <c r="B4027" s="86" t="s">
        <v>35</v>
      </c>
      <c r="C4027" s="86" t="s">
        <v>144</v>
      </c>
      <c r="D4027" s="86" t="s">
        <v>161</v>
      </c>
      <c r="E4027" s="86" t="s">
        <v>162</v>
      </c>
      <c r="F4027" s="86" t="s">
        <v>162</v>
      </c>
      <c r="G4027" s="86" t="s">
        <v>162</v>
      </c>
      <c r="H4027" s="144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162</v>
      </c>
      <c r="N4027" s="86"/>
      <c r="O4027" s="47" t="s">
        <v>45</v>
      </c>
      <c r="P4027" s="47" t="s">
        <v>46</v>
      </c>
      <c r="Q4027" s="14">
        <v>0.02</v>
      </c>
      <c r="R4027" s="143" t="s">
        <v>1508</v>
      </c>
      <c r="S4027" s="47"/>
      <c r="T4027" s="6">
        <v>546650.35304999992</v>
      </c>
      <c r="U4027" s="6">
        <v>400000</v>
      </c>
      <c r="V4027" s="6">
        <v>910.19723999999997</v>
      </c>
      <c r="W4027" s="6">
        <f t="shared" ref="W4027:W4090" si="622">T4027+U4027-V4027</f>
        <v>945740.15580999991</v>
      </c>
      <c r="X4027" s="6">
        <f t="shared" ref="X4027:X4090" si="623">IF(P4027="折扣",V4027*Q4027,IF(P4027="返现",V4027,V4027/(1+Q4027)))</f>
        <v>892.35023529411762</v>
      </c>
      <c r="Y4027" s="13">
        <f t="shared" si="617"/>
        <v>0</v>
      </c>
      <c r="Z4027" s="14">
        <v>0</v>
      </c>
      <c r="AA4027" s="6">
        <v>0</v>
      </c>
      <c r="AB4027" s="4">
        <f t="shared" si="618"/>
        <v>892.35023529411762</v>
      </c>
      <c r="AC4027" s="4">
        <f t="shared" si="620"/>
        <v>17.847004705882341</v>
      </c>
      <c r="AD4027" s="6">
        <f t="shared" ref="AD4027:AD4090" si="624">V4027</f>
        <v>910.19723999999997</v>
      </c>
      <c r="AE4027" s="2">
        <f>VLOOKUP(I4027,[1]媒体政策预估表!A:N,MATCH(O4027,[1]媒体政策预估表!$A$2:$M$2,0),0)</f>
        <v>0.12</v>
      </c>
      <c r="AF4027" s="6">
        <f t="shared" si="621"/>
        <v>109.2236688</v>
      </c>
      <c r="AG4027" s="14">
        <v>0</v>
      </c>
      <c r="AH4027" s="65">
        <f t="shared" ref="AH4027:AH4090" si="625">V4027</f>
        <v>910.19723999999997</v>
      </c>
      <c r="AI4027" s="47"/>
      <c r="AJ4027" s="126" t="e">
        <v>#N/A</v>
      </c>
      <c r="AK4027" s="80">
        <f t="shared" si="619"/>
        <v>0</v>
      </c>
      <c r="AM4027" s="85"/>
    </row>
    <row r="4028" spans="1:39" hidden="1" x14ac:dyDescent="0.3">
      <c r="A4028" s="89" t="s">
        <v>3394</v>
      </c>
      <c r="B4028" s="86" t="s">
        <v>35</v>
      </c>
      <c r="C4028" s="86" t="s">
        <v>144</v>
      </c>
      <c r="D4028" s="86" t="s">
        <v>161</v>
      </c>
      <c r="E4028" s="86" t="s">
        <v>162</v>
      </c>
      <c r="F4028" s="86" t="s">
        <v>162</v>
      </c>
      <c r="G4028" s="86" t="s">
        <v>162</v>
      </c>
      <c r="H4028" s="144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162</v>
      </c>
      <c r="N4028" s="86"/>
      <c r="O4028" s="47" t="s">
        <v>410</v>
      </c>
      <c r="P4028" s="47" t="s">
        <v>46</v>
      </c>
      <c r="Q4028" s="14">
        <v>0.02</v>
      </c>
      <c r="R4028" s="143" t="s">
        <v>1509</v>
      </c>
      <c r="S4028" s="47"/>
      <c r="T4028" s="6">
        <v>265602.80493999925</v>
      </c>
      <c r="U4028" s="6">
        <v>7100000</v>
      </c>
      <c r="V4028" s="6">
        <v>5619789.4023700003</v>
      </c>
      <c r="W4028" s="6">
        <f t="shared" si="622"/>
        <v>1745813.402569999</v>
      </c>
      <c r="X4028" s="6">
        <f t="shared" si="623"/>
        <v>5509597.453303922</v>
      </c>
      <c r="Y4028" s="13">
        <f t="shared" si="617"/>
        <v>0</v>
      </c>
      <c r="Z4028" s="14">
        <v>0</v>
      </c>
      <c r="AA4028" s="6">
        <v>0</v>
      </c>
      <c r="AB4028" s="4">
        <f t="shared" si="618"/>
        <v>5509597.453303922</v>
      </c>
      <c r="AC4028" s="4">
        <f t="shared" si="620"/>
        <v>110191.94906607829</v>
      </c>
      <c r="AD4028" s="6">
        <f t="shared" si="624"/>
        <v>5619789.4023700003</v>
      </c>
      <c r="AE4028" s="2">
        <f>VLOOKUP(I4028,[1]媒体政策预估表!A:N,MATCH(O4028,[1]媒体政策预估表!$A$2:$M$2,0),0)</f>
        <v>7.0000000000000007E-2</v>
      </c>
      <c r="AF4028" s="6">
        <f t="shared" si="621"/>
        <v>393385.25816590007</v>
      </c>
      <c r="AG4028" s="14">
        <v>0</v>
      </c>
      <c r="AH4028" s="65">
        <f t="shared" si="625"/>
        <v>5619789.4023700003</v>
      </c>
      <c r="AI4028" s="47"/>
      <c r="AJ4028" s="126" t="e">
        <v>#N/A</v>
      </c>
      <c r="AK4028" s="80">
        <f t="shared" si="619"/>
        <v>0</v>
      </c>
      <c r="AM4028" s="85"/>
    </row>
    <row r="4029" spans="1:39" hidden="1" x14ac:dyDescent="0.3">
      <c r="A4029" s="89" t="s">
        <v>3394</v>
      </c>
      <c r="B4029" s="86" t="s">
        <v>35</v>
      </c>
      <c r="C4029" s="86" t="s">
        <v>144</v>
      </c>
      <c r="D4029" s="86" t="s">
        <v>161</v>
      </c>
      <c r="E4029" s="86" t="s">
        <v>1510</v>
      </c>
      <c r="F4029" s="86" t="s">
        <v>1510</v>
      </c>
      <c r="G4029" s="86" t="s">
        <v>1510</v>
      </c>
      <c r="H4029" s="144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1510</v>
      </c>
      <c r="N4029" s="86"/>
      <c r="O4029" s="47" t="s">
        <v>410</v>
      </c>
      <c r="P4029" s="47" t="s">
        <v>46</v>
      </c>
      <c r="Q4029" s="14">
        <v>0.02</v>
      </c>
      <c r="R4029" s="143" t="s">
        <v>1511</v>
      </c>
      <c r="S4029" s="47"/>
      <c r="T4029" s="6">
        <v>89432.115000000049</v>
      </c>
      <c r="U4029" s="6">
        <v>150000</v>
      </c>
      <c r="V4029" s="6">
        <v>127381.21</v>
      </c>
      <c r="W4029" s="6">
        <f t="shared" si="622"/>
        <v>112050.90500000004</v>
      </c>
      <c r="X4029" s="6">
        <f t="shared" si="623"/>
        <v>124883.53921568628</v>
      </c>
      <c r="Y4029" s="13">
        <f t="shared" si="617"/>
        <v>0</v>
      </c>
      <c r="Z4029" s="14">
        <v>0</v>
      </c>
      <c r="AA4029" s="6">
        <v>0</v>
      </c>
      <c r="AB4029" s="4">
        <f t="shared" si="618"/>
        <v>124883.53921568628</v>
      </c>
      <c r="AC4029" s="4">
        <f t="shared" si="620"/>
        <v>2497.6707843137265</v>
      </c>
      <c r="AD4029" s="6">
        <f t="shared" si="624"/>
        <v>127381.21</v>
      </c>
      <c r="AE4029" s="2">
        <f>VLOOKUP(I4029,[1]媒体政策预估表!A:N,MATCH(O4029,[1]媒体政策预估表!$A$2:$M$2,0),0)</f>
        <v>7.0000000000000007E-2</v>
      </c>
      <c r="AF4029" s="6">
        <f t="shared" si="621"/>
        <v>8916.6847000000016</v>
      </c>
      <c r="AG4029" s="14">
        <v>0</v>
      </c>
      <c r="AH4029" s="65">
        <f t="shared" si="625"/>
        <v>127381.21</v>
      </c>
      <c r="AI4029" s="47"/>
      <c r="AJ4029" s="126" t="e">
        <v>#N/A</v>
      </c>
      <c r="AK4029" s="80">
        <f t="shared" si="619"/>
        <v>0</v>
      </c>
      <c r="AM4029" s="85"/>
    </row>
    <row r="4030" spans="1:39" hidden="1" x14ac:dyDescent="0.3">
      <c r="A4030" s="89" t="s">
        <v>3394</v>
      </c>
      <c r="B4030" s="86" t="s">
        <v>35</v>
      </c>
      <c r="C4030" s="86" t="s">
        <v>144</v>
      </c>
      <c r="D4030" s="86" t="s">
        <v>161</v>
      </c>
      <c r="E4030" s="86" t="s">
        <v>1512</v>
      </c>
      <c r="F4030" s="86" t="s">
        <v>1512</v>
      </c>
      <c r="G4030" s="86" t="s">
        <v>1512</v>
      </c>
      <c r="H4030" s="144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1512</v>
      </c>
      <c r="N4030" s="86"/>
      <c r="O4030" s="47" t="s">
        <v>410</v>
      </c>
      <c r="P4030" s="47" t="s">
        <v>46</v>
      </c>
      <c r="Q4030" s="14">
        <v>0.02</v>
      </c>
      <c r="R4030" s="143" t="s">
        <v>1513</v>
      </c>
      <c r="S4030" s="47"/>
      <c r="T4030" s="6">
        <v>1451.429999999993</v>
      </c>
      <c r="U4030" s="6">
        <v>50000</v>
      </c>
      <c r="V4030" s="6">
        <v>48704.59</v>
      </c>
      <c r="W4030" s="6">
        <f t="shared" si="622"/>
        <v>2746.8399999999965</v>
      </c>
      <c r="X4030" s="6">
        <f t="shared" si="623"/>
        <v>47749.598039215685</v>
      </c>
      <c r="Y4030" s="13">
        <f t="shared" si="617"/>
        <v>0</v>
      </c>
      <c r="Z4030" s="14">
        <v>0</v>
      </c>
      <c r="AA4030" s="6">
        <v>0</v>
      </c>
      <c r="AB4030" s="4">
        <f t="shared" si="618"/>
        <v>47749.598039215685</v>
      </c>
      <c r="AC4030" s="4">
        <f t="shared" si="620"/>
        <v>954.99196078431123</v>
      </c>
      <c r="AD4030" s="6">
        <f t="shared" si="624"/>
        <v>48704.59</v>
      </c>
      <c r="AE4030" s="2">
        <f>VLOOKUP(I4030,[1]媒体政策预估表!A:N,MATCH(O4030,[1]媒体政策预估表!$A$2:$M$2,0),0)</f>
        <v>7.0000000000000007E-2</v>
      </c>
      <c r="AF4030" s="6">
        <f t="shared" si="621"/>
        <v>3409.3213000000001</v>
      </c>
      <c r="AG4030" s="14">
        <v>0</v>
      </c>
      <c r="AH4030" s="65">
        <f t="shared" si="625"/>
        <v>48704.59</v>
      </c>
      <c r="AI4030" s="47"/>
      <c r="AJ4030" s="126" t="e">
        <v>#N/A</v>
      </c>
      <c r="AK4030" s="80">
        <f t="shared" si="619"/>
        <v>0</v>
      </c>
      <c r="AM4030" s="85"/>
    </row>
    <row r="4031" spans="1:39" hidden="1" x14ac:dyDescent="0.3">
      <c r="A4031" s="89" t="s">
        <v>3395</v>
      </c>
      <c r="B4031" s="86" t="s">
        <v>35</v>
      </c>
      <c r="C4031" s="86" t="s">
        <v>144</v>
      </c>
      <c r="D4031" s="86" t="s">
        <v>161</v>
      </c>
      <c r="E4031" s="86" t="s">
        <v>1514</v>
      </c>
      <c r="F4031" s="86" t="s">
        <v>1514</v>
      </c>
      <c r="G4031" s="86" t="s">
        <v>1514</v>
      </c>
      <c r="H4031" s="144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1515</v>
      </c>
      <c r="N4031" s="86"/>
      <c r="O4031" s="47" t="s">
        <v>410</v>
      </c>
      <c r="P4031" s="47" t="s">
        <v>46</v>
      </c>
      <c r="Q4031" s="14">
        <v>0.02</v>
      </c>
      <c r="R4031" s="143" t="s">
        <v>1516</v>
      </c>
      <c r="S4031" s="47"/>
      <c r="T4031" s="6">
        <v>228.14000000000669</v>
      </c>
      <c r="U4031" s="6">
        <v>50000</v>
      </c>
      <c r="V4031" s="6">
        <v>11573.8</v>
      </c>
      <c r="W4031" s="6">
        <f t="shared" si="622"/>
        <v>38654.340000000011</v>
      </c>
      <c r="X4031" s="6">
        <f t="shared" si="623"/>
        <v>11346.862745098038</v>
      </c>
      <c r="Y4031" s="13">
        <f t="shared" si="617"/>
        <v>0</v>
      </c>
      <c r="Z4031" s="14">
        <v>0</v>
      </c>
      <c r="AA4031" s="6">
        <v>0</v>
      </c>
      <c r="AB4031" s="4">
        <f t="shared" si="618"/>
        <v>11346.862745098038</v>
      </c>
      <c r="AC4031" s="4">
        <f t="shared" si="620"/>
        <v>226.93725490196084</v>
      </c>
      <c r="AD4031" s="6">
        <f t="shared" si="624"/>
        <v>11573.8</v>
      </c>
      <c r="AE4031" s="2">
        <f>VLOOKUP(I4031,[1]媒体政策预估表!A:N,MATCH(O4031,[1]媒体政策预估表!$A$2:$M$2,0),0)</f>
        <v>7.0000000000000007E-2</v>
      </c>
      <c r="AF4031" s="6">
        <f t="shared" si="621"/>
        <v>810.16600000000005</v>
      </c>
      <c r="AG4031" s="14">
        <v>0</v>
      </c>
      <c r="AH4031" s="65">
        <f t="shared" si="625"/>
        <v>11573.8</v>
      </c>
      <c r="AI4031" s="47"/>
      <c r="AJ4031" s="126" t="e">
        <v>#N/A</v>
      </c>
      <c r="AK4031" s="80">
        <f t="shared" si="619"/>
        <v>0</v>
      </c>
      <c r="AM4031" s="85"/>
    </row>
    <row r="4032" spans="1:39" hidden="1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1517</v>
      </c>
      <c r="F4032" s="86" t="s">
        <v>1517</v>
      </c>
      <c r="G4032" s="86" t="s">
        <v>1517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1517</v>
      </c>
      <c r="N4032" s="86"/>
      <c r="O4032" s="47" t="s">
        <v>410</v>
      </c>
      <c r="P4032" s="47" t="s">
        <v>41</v>
      </c>
      <c r="Q4032" s="14">
        <v>0</v>
      </c>
      <c r="R4032" s="143" t="s">
        <v>1518</v>
      </c>
      <c r="S4032" s="47"/>
      <c r="T4032" s="6">
        <v>15985.100000000006</v>
      </c>
      <c r="U4032" s="6">
        <v>130000</v>
      </c>
      <c r="V4032" s="6">
        <v>99849</v>
      </c>
      <c r="W4032" s="6">
        <f t="shared" si="622"/>
        <v>46136.100000000006</v>
      </c>
      <c r="X4032" s="6">
        <f t="shared" si="623"/>
        <v>99849</v>
      </c>
      <c r="Y4032" s="13">
        <f t="shared" si="617"/>
        <v>0</v>
      </c>
      <c r="Z4032" s="14">
        <v>0</v>
      </c>
      <c r="AA4032" s="6">
        <v>0</v>
      </c>
      <c r="AB4032" s="4">
        <f t="shared" si="618"/>
        <v>99849</v>
      </c>
      <c r="AC4032" s="4">
        <f t="shared" si="620"/>
        <v>0</v>
      </c>
      <c r="AD4032" s="6">
        <f t="shared" si="624"/>
        <v>99849</v>
      </c>
      <c r="AE4032" s="2">
        <f>VLOOKUP(I4032,[1]媒体政策预估表!A:N,MATCH(O4032,[1]媒体政策预估表!$A$2:$M$2,0),0)</f>
        <v>7.0000000000000007E-2</v>
      </c>
      <c r="AF4032" s="6">
        <f t="shared" si="621"/>
        <v>6989.43</v>
      </c>
      <c r="AG4032" s="14">
        <v>0</v>
      </c>
      <c r="AH4032" s="65">
        <f t="shared" si="625"/>
        <v>99849</v>
      </c>
      <c r="AI4032" s="47"/>
      <c r="AJ4032" s="126" t="e">
        <v>#N/A</v>
      </c>
      <c r="AK4032" s="80">
        <f t="shared" si="619"/>
        <v>0</v>
      </c>
      <c r="AM4032" s="85"/>
    </row>
    <row r="4033" spans="1:39" hidden="1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1519</v>
      </c>
      <c r="F4033" s="86" t="s">
        <v>1519</v>
      </c>
      <c r="G4033" s="86" t="s">
        <v>1519</v>
      </c>
      <c r="H4033" s="144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1519</v>
      </c>
      <c r="N4033" s="86"/>
      <c r="O4033" s="47" t="s">
        <v>410</v>
      </c>
      <c r="P4033" s="47" t="s">
        <v>46</v>
      </c>
      <c r="Q4033" s="14">
        <v>0.02</v>
      </c>
      <c r="R4033" s="143" t="s">
        <v>1520</v>
      </c>
      <c r="S4033" s="47"/>
      <c r="T4033" s="6">
        <v>487</v>
      </c>
      <c r="U4033" s="6">
        <v>70000</v>
      </c>
      <c r="V4033" s="6">
        <v>61968</v>
      </c>
      <c r="W4033" s="6">
        <f t="shared" si="622"/>
        <v>8519</v>
      </c>
      <c r="X4033" s="6">
        <f t="shared" si="623"/>
        <v>60752.941176470587</v>
      </c>
      <c r="Y4033" s="13">
        <f t="shared" si="617"/>
        <v>0</v>
      </c>
      <c r="Z4033" s="14">
        <v>0</v>
      </c>
      <c r="AA4033" s="6">
        <v>0</v>
      </c>
      <c r="AB4033" s="4">
        <f t="shared" si="618"/>
        <v>60752.941176470587</v>
      </c>
      <c r="AC4033" s="4">
        <f t="shared" si="620"/>
        <v>1215.0588235294126</v>
      </c>
      <c r="AD4033" s="6">
        <f t="shared" si="624"/>
        <v>61968</v>
      </c>
      <c r="AE4033" s="2">
        <f>VLOOKUP(I4033,[1]媒体政策预估表!A:N,MATCH(O4033,[1]媒体政策预估表!$A$2:$M$2,0),0)</f>
        <v>7.0000000000000007E-2</v>
      </c>
      <c r="AF4033" s="6">
        <f t="shared" si="621"/>
        <v>4337.76</v>
      </c>
      <c r="AG4033" s="14">
        <v>0</v>
      </c>
      <c r="AH4033" s="65">
        <f t="shared" si="625"/>
        <v>61968</v>
      </c>
      <c r="AI4033" s="47"/>
      <c r="AJ4033" s="126" t="e">
        <v>#N/A</v>
      </c>
      <c r="AK4033" s="80">
        <f t="shared" si="619"/>
        <v>0</v>
      </c>
      <c r="AM4033" s="85"/>
    </row>
    <row r="4034" spans="1:39" hidden="1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1933</v>
      </c>
      <c r="F4034" s="86" t="s">
        <v>1933</v>
      </c>
      <c r="G4034" s="86" t="s">
        <v>1933</v>
      </c>
      <c r="H4034" s="144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1933</v>
      </c>
      <c r="N4034" s="86"/>
      <c r="O4034" s="47" t="s">
        <v>410</v>
      </c>
      <c r="P4034" s="47" t="s">
        <v>46</v>
      </c>
      <c r="Q4034" s="14">
        <v>0.02</v>
      </c>
      <c r="R4034" s="143" t="s">
        <v>1934</v>
      </c>
      <c r="S4034" s="47"/>
      <c r="T4034" s="6">
        <v>0</v>
      </c>
      <c r="U4034" s="6">
        <v>152999.95000000001</v>
      </c>
      <c r="V4034" s="6">
        <v>116280.80000000002</v>
      </c>
      <c r="W4034" s="6">
        <f t="shared" si="622"/>
        <v>36719.149999999994</v>
      </c>
      <c r="X4034" s="6">
        <f t="shared" si="623"/>
        <v>114000.78431372551</v>
      </c>
      <c r="Y4034" s="13">
        <f t="shared" si="617"/>
        <v>0</v>
      </c>
      <c r="Z4034" s="14">
        <v>0</v>
      </c>
      <c r="AA4034" s="6">
        <v>0</v>
      </c>
      <c r="AB4034" s="4">
        <f t="shared" si="618"/>
        <v>114000.78431372551</v>
      </c>
      <c r="AC4034" s="4">
        <f t="shared" si="620"/>
        <v>2280.0156862745062</v>
      </c>
      <c r="AD4034" s="6">
        <f t="shared" si="624"/>
        <v>116280.80000000002</v>
      </c>
      <c r="AE4034" s="2">
        <f>VLOOKUP(I4034,[1]媒体政策预估表!A:N,MATCH(O4034,[1]媒体政策预估表!$A$2:$M$2,0),0)</f>
        <v>7.0000000000000007E-2</v>
      </c>
      <c r="AF4034" s="6">
        <f t="shared" si="621"/>
        <v>8139.6560000000018</v>
      </c>
      <c r="AG4034" s="14">
        <v>0</v>
      </c>
      <c r="AH4034" s="65">
        <f t="shared" si="625"/>
        <v>116280.80000000002</v>
      </c>
      <c r="AI4034" s="47"/>
      <c r="AJ4034" s="126" t="e">
        <v>#N/A</v>
      </c>
      <c r="AK4034" s="80">
        <f t="shared" si="619"/>
        <v>0</v>
      </c>
      <c r="AM4034" s="85"/>
    </row>
    <row r="4035" spans="1:39" hidden="1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1522</v>
      </c>
      <c r="F4035" s="86" t="s">
        <v>1522</v>
      </c>
      <c r="G4035" s="86" t="s">
        <v>1522</v>
      </c>
      <c r="H4035" s="144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1523</v>
      </c>
      <c r="N4035" s="86"/>
      <c r="O4035" s="47" t="s">
        <v>410</v>
      </c>
      <c r="P4035" s="47" t="s">
        <v>41</v>
      </c>
      <c r="Q4035" s="14">
        <v>0</v>
      </c>
      <c r="R4035" s="143" t="s">
        <v>1524</v>
      </c>
      <c r="S4035" s="47"/>
      <c r="T4035" s="6">
        <v>5116.3000000000029</v>
      </c>
      <c r="U4035" s="6">
        <v>65000</v>
      </c>
      <c r="V4035" s="6">
        <v>62416.5</v>
      </c>
      <c r="W4035" s="6">
        <f t="shared" si="622"/>
        <v>7699.8000000000029</v>
      </c>
      <c r="X4035" s="6">
        <f t="shared" si="623"/>
        <v>62416.5</v>
      </c>
      <c r="Y4035" s="13">
        <f t="shared" ref="Y4035:Y4098" si="626">IF(X4035-AD4035&lt;=0,0,IF(P4035="返现",MAX(X4035-AC4035-AD4035,0),MAX(X4035-AD4035)))</f>
        <v>0</v>
      </c>
      <c r="Z4035" s="14">
        <v>0</v>
      </c>
      <c r="AA4035" s="6">
        <v>0</v>
      </c>
      <c r="AB4035" s="4">
        <f t="shared" ref="AB4035:AB4098" si="627">X4035+AA4035</f>
        <v>62416.5</v>
      </c>
      <c r="AC4035" s="4">
        <f t="shared" si="620"/>
        <v>0</v>
      </c>
      <c r="AD4035" s="6">
        <f t="shared" si="624"/>
        <v>62416.5</v>
      </c>
      <c r="AE4035" s="2">
        <f>VLOOKUP(I4035,[1]媒体政策预估表!A:N,MATCH(O4035,[1]媒体政策预估表!$A$2:$M$2,0),0)</f>
        <v>7.0000000000000007E-2</v>
      </c>
      <c r="AF4035" s="6">
        <f t="shared" si="621"/>
        <v>4369.1550000000007</v>
      </c>
      <c r="AG4035" s="14">
        <v>0</v>
      </c>
      <c r="AH4035" s="65">
        <f t="shared" si="625"/>
        <v>62416.5</v>
      </c>
      <c r="AI4035" s="47"/>
      <c r="AJ4035" s="126" t="e">
        <v>#N/A</v>
      </c>
      <c r="AK4035" s="80">
        <f t="shared" ref="AK4035:AK4098" si="628">X4035+AA4035-AB4035</f>
        <v>0</v>
      </c>
      <c r="AM4035" s="85"/>
    </row>
    <row r="4036" spans="1:39" hidden="1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1522</v>
      </c>
      <c r="F4036" s="86" t="s">
        <v>1522</v>
      </c>
      <c r="G4036" s="86" t="s">
        <v>1522</v>
      </c>
      <c r="H4036" s="144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1523</v>
      </c>
      <c r="N4036" s="86"/>
      <c r="O4036" s="47" t="s">
        <v>410</v>
      </c>
      <c r="P4036" s="47" t="s">
        <v>41</v>
      </c>
      <c r="Q4036" s="14">
        <v>0</v>
      </c>
      <c r="R4036" s="143" t="s">
        <v>3538</v>
      </c>
      <c r="S4036" s="47"/>
      <c r="T4036" s="6">
        <v>0</v>
      </c>
      <c r="U4036" s="6">
        <v>90000</v>
      </c>
      <c r="V4036" s="6">
        <v>53165.4</v>
      </c>
      <c r="W4036" s="6">
        <f t="shared" si="622"/>
        <v>36834.6</v>
      </c>
      <c r="X4036" s="6">
        <f t="shared" si="623"/>
        <v>53165.4</v>
      </c>
      <c r="Y4036" s="13">
        <f t="shared" si="626"/>
        <v>0</v>
      </c>
      <c r="Z4036" s="14">
        <v>0</v>
      </c>
      <c r="AA4036" s="6">
        <v>0</v>
      </c>
      <c r="AB4036" s="4">
        <f t="shared" si="627"/>
        <v>53165.4</v>
      </c>
      <c r="AC4036" s="4">
        <f t="shared" si="620"/>
        <v>0</v>
      </c>
      <c r="AD4036" s="6">
        <f t="shared" si="624"/>
        <v>53165.4</v>
      </c>
      <c r="AE4036" s="2">
        <f>VLOOKUP(I4036,[1]媒体政策预估表!A:N,MATCH(O4036,[1]媒体政策预估表!$A$2:$M$2,0),0)</f>
        <v>7.0000000000000007E-2</v>
      </c>
      <c r="AF4036" s="6">
        <f t="shared" si="621"/>
        <v>3721.5780000000004</v>
      </c>
      <c r="AG4036" s="14">
        <v>0</v>
      </c>
      <c r="AH4036" s="65">
        <f t="shared" si="625"/>
        <v>53165.4</v>
      </c>
      <c r="AI4036" s="47"/>
      <c r="AJ4036" s="126" t="e">
        <v>#N/A</v>
      </c>
      <c r="AK4036" s="80">
        <f t="shared" si="628"/>
        <v>0</v>
      </c>
      <c r="AM4036" s="85"/>
    </row>
    <row r="4037" spans="1:39" hidden="1" x14ac:dyDescent="0.3">
      <c r="A4037" s="89" t="s">
        <v>3395</v>
      </c>
      <c r="B4037" s="86" t="s">
        <v>35</v>
      </c>
      <c r="C4037" s="86" t="s">
        <v>144</v>
      </c>
      <c r="D4037" s="86" t="s">
        <v>161</v>
      </c>
      <c r="E4037" s="86" t="s">
        <v>1522</v>
      </c>
      <c r="F4037" s="86" t="s">
        <v>1522</v>
      </c>
      <c r="G4037" s="86" t="s">
        <v>1522</v>
      </c>
      <c r="H4037" s="144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1525</v>
      </c>
      <c r="N4037" s="86"/>
      <c r="O4037" s="47" t="s">
        <v>410</v>
      </c>
      <c r="P4037" s="47" t="s">
        <v>41</v>
      </c>
      <c r="Q4037" s="14">
        <v>0</v>
      </c>
      <c r="R4037" s="143" t="s">
        <v>1526</v>
      </c>
      <c r="S4037" s="47"/>
      <c r="T4037" s="6">
        <v>3790.9000000000015</v>
      </c>
      <c r="U4037" s="6">
        <v>90000</v>
      </c>
      <c r="V4037" s="6">
        <v>86085.66</v>
      </c>
      <c r="W4037" s="6">
        <f t="shared" si="622"/>
        <v>7705.2399999999907</v>
      </c>
      <c r="X4037" s="6">
        <f t="shared" si="623"/>
        <v>86085.66</v>
      </c>
      <c r="Y4037" s="13">
        <f t="shared" si="626"/>
        <v>0</v>
      </c>
      <c r="Z4037" s="14">
        <v>0</v>
      </c>
      <c r="AA4037" s="6">
        <v>0</v>
      </c>
      <c r="AB4037" s="4">
        <f t="shared" si="627"/>
        <v>86085.66</v>
      </c>
      <c r="AC4037" s="4">
        <f t="shared" si="620"/>
        <v>0</v>
      </c>
      <c r="AD4037" s="6">
        <f t="shared" si="624"/>
        <v>86085.66</v>
      </c>
      <c r="AE4037" s="2">
        <f>VLOOKUP(I4037,[1]媒体政策预估表!A:N,MATCH(O4037,[1]媒体政策预估表!$A$2:$M$2,0),0)</f>
        <v>7.0000000000000007E-2</v>
      </c>
      <c r="AF4037" s="6">
        <f t="shared" si="621"/>
        <v>6025.9962000000005</v>
      </c>
      <c r="AG4037" s="14">
        <v>0</v>
      </c>
      <c r="AH4037" s="65">
        <f t="shared" si="625"/>
        <v>86085.66</v>
      </c>
      <c r="AI4037" s="47"/>
      <c r="AJ4037" s="126" t="e">
        <v>#N/A</v>
      </c>
      <c r="AK4037" s="80">
        <f t="shared" si="628"/>
        <v>0</v>
      </c>
      <c r="AM4037" s="85"/>
    </row>
    <row r="4038" spans="1:39" hidden="1" x14ac:dyDescent="0.3">
      <c r="A4038" s="89" t="s">
        <v>3394</v>
      </c>
      <c r="B4038" s="86" t="s">
        <v>35</v>
      </c>
      <c r="C4038" s="86" t="s">
        <v>144</v>
      </c>
      <c r="D4038" s="86" t="s">
        <v>161</v>
      </c>
      <c r="E4038" s="86" t="s">
        <v>1522</v>
      </c>
      <c r="F4038" s="86" t="s">
        <v>1522</v>
      </c>
      <c r="G4038" s="86" t="s">
        <v>1522</v>
      </c>
      <c r="H4038" s="144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1522</v>
      </c>
      <c r="N4038" s="86"/>
      <c r="O4038" s="47" t="s">
        <v>410</v>
      </c>
      <c r="P4038" s="47" t="s">
        <v>41</v>
      </c>
      <c r="Q4038" s="14">
        <v>0</v>
      </c>
      <c r="R4038" s="143" t="s">
        <v>1528</v>
      </c>
      <c r="S4038" s="47"/>
      <c r="T4038" s="6">
        <v>5905.3900100000028</v>
      </c>
      <c r="U4038" s="6">
        <v>210000</v>
      </c>
      <c r="V4038" s="6">
        <v>207529.4</v>
      </c>
      <c r="W4038" s="6">
        <f t="shared" si="622"/>
        <v>8375.9900100000086</v>
      </c>
      <c r="X4038" s="6">
        <f t="shared" si="623"/>
        <v>207529.4</v>
      </c>
      <c r="Y4038" s="13">
        <f t="shared" si="626"/>
        <v>0</v>
      </c>
      <c r="Z4038" s="14">
        <v>0</v>
      </c>
      <c r="AA4038" s="6">
        <v>0</v>
      </c>
      <c r="AB4038" s="4">
        <f t="shared" si="627"/>
        <v>207529.4</v>
      </c>
      <c r="AC4038" s="4">
        <f t="shared" si="620"/>
        <v>0</v>
      </c>
      <c r="AD4038" s="6">
        <f t="shared" si="624"/>
        <v>207529.4</v>
      </c>
      <c r="AE4038" s="2">
        <f>VLOOKUP(I4038,[1]媒体政策预估表!A:N,MATCH(O4038,[1]媒体政策预估表!$A$2:$M$2,0),0)</f>
        <v>7.0000000000000007E-2</v>
      </c>
      <c r="AF4038" s="6">
        <f t="shared" si="621"/>
        <v>14527.058000000001</v>
      </c>
      <c r="AG4038" s="14">
        <v>0</v>
      </c>
      <c r="AH4038" s="65">
        <f t="shared" si="625"/>
        <v>207529.4</v>
      </c>
      <c r="AI4038" s="47"/>
      <c r="AJ4038" s="126" t="e">
        <v>#N/A</v>
      </c>
      <c r="AK4038" s="80">
        <f t="shared" si="628"/>
        <v>0</v>
      </c>
      <c r="AM4038" s="85"/>
    </row>
    <row r="4039" spans="1:39" hidden="1" x14ac:dyDescent="0.3">
      <c r="A4039" s="89" t="s">
        <v>3394</v>
      </c>
      <c r="B4039" s="86" t="s">
        <v>35</v>
      </c>
      <c r="C4039" s="86" t="s">
        <v>144</v>
      </c>
      <c r="D4039" s="86" t="s">
        <v>161</v>
      </c>
      <c r="E4039" s="86" t="s">
        <v>1529</v>
      </c>
      <c r="F4039" s="86" t="s">
        <v>1529</v>
      </c>
      <c r="G4039" s="86" t="s">
        <v>1529</v>
      </c>
      <c r="H4039" s="144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1529</v>
      </c>
      <c r="N4039" s="86"/>
      <c r="O4039" s="47" t="s">
        <v>410</v>
      </c>
      <c r="P4039" s="47" t="s">
        <v>41</v>
      </c>
      <c r="Q4039" s="14">
        <v>0</v>
      </c>
      <c r="R4039" s="143" t="s">
        <v>1530</v>
      </c>
      <c r="S4039" s="47"/>
      <c r="T4039" s="6">
        <v>605130.80000000005</v>
      </c>
      <c r="U4039" s="6">
        <v>950000</v>
      </c>
      <c r="V4039" s="6">
        <v>107154.1</v>
      </c>
      <c r="W4039" s="6">
        <f t="shared" si="622"/>
        <v>1447976.7</v>
      </c>
      <c r="X4039" s="6">
        <f t="shared" si="623"/>
        <v>107154.1</v>
      </c>
      <c r="Y4039" s="13">
        <f t="shared" si="626"/>
        <v>0</v>
      </c>
      <c r="Z4039" s="14">
        <v>0</v>
      </c>
      <c r="AA4039" s="6">
        <v>0</v>
      </c>
      <c r="AB4039" s="4">
        <f t="shared" si="627"/>
        <v>107154.1</v>
      </c>
      <c r="AC4039" s="4">
        <f t="shared" si="620"/>
        <v>0</v>
      </c>
      <c r="AD4039" s="6">
        <f t="shared" si="624"/>
        <v>107154.1</v>
      </c>
      <c r="AE4039" s="2">
        <f>VLOOKUP(I4039,[1]媒体政策预估表!A:N,MATCH(O4039,[1]媒体政策预估表!$A$2:$M$2,0),0)</f>
        <v>7.0000000000000007E-2</v>
      </c>
      <c r="AF4039" s="6">
        <f t="shared" si="621"/>
        <v>7500.7870000000012</v>
      </c>
      <c r="AG4039" s="14">
        <v>0</v>
      </c>
      <c r="AH4039" s="65">
        <f t="shared" si="625"/>
        <v>107154.1</v>
      </c>
      <c r="AI4039" s="47"/>
      <c r="AJ4039" s="126" t="e">
        <v>#N/A</v>
      </c>
      <c r="AK4039" s="80">
        <f t="shared" si="628"/>
        <v>0</v>
      </c>
      <c r="AM4039" s="85"/>
    </row>
    <row r="4040" spans="1:39" hidden="1" x14ac:dyDescent="0.3">
      <c r="A4040" s="89" t="s">
        <v>3395</v>
      </c>
      <c r="B4040" s="86" t="s">
        <v>35</v>
      </c>
      <c r="C4040" s="86" t="s">
        <v>164</v>
      </c>
      <c r="D4040" s="86" t="s">
        <v>3407</v>
      </c>
      <c r="E4040" s="86" t="s">
        <v>3539</v>
      </c>
      <c r="F4040" s="86" t="s">
        <v>3540</v>
      </c>
      <c r="G4040" s="86" t="s">
        <v>3539</v>
      </c>
      <c r="H4040" s="144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3539</v>
      </c>
      <c r="N4040" s="86"/>
      <c r="O4040" s="47" t="s">
        <v>410</v>
      </c>
      <c r="P4040" s="47" t="s">
        <v>41</v>
      </c>
      <c r="Q4040" s="14">
        <v>0</v>
      </c>
      <c r="R4040" s="143" t="s">
        <v>3541</v>
      </c>
      <c r="S4040" s="47"/>
      <c r="T4040" s="6">
        <v>0</v>
      </c>
      <c r="U4040" s="6">
        <v>20000</v>
      </c>
      <c r="V4040" s="6">
        <v>19156.8</v>
      </c>
      <c r="W4040" s="6">
        <f t="shared" si="622"/>
        <v>843.20000000000073</v>
      </c>
      <c r="X4040" s="6">
        <f t="shared" si="623"/>
        <v>19156.8</v>
      </c>
      <c r="Y4040" s="13">
        <f t="shared" si="626"/>
        <v>0</v>
      </c>
      <c r="Z4040" s="14">
        <v>0</v>
      </c>
      <c r="AA4040" s="6">
        <v>0</v>
      </c>
      <c r="AB4040" s="4">
        <f t="shared" si="627"/>
        <v>19156.8</v>
      </c>
      <c r="AC4040" s="4">
        <f t="shared" si="620"/>
        <v>0</v>
      </c>
      <c r="AD4040" s="6">
        <f t="shared" si="624"/>
        <v>19156.8</v>
      </c>
      <c r="AE4040" s="2">
        <f>VLOOKUP(I4040,[1]媒体政策预估表!A:N,MATCH(O4040,[1]媒体政策预估表!$A$2:$M$2,0),0)</f>
        <v>7.0000000000000007E-2</v>
      </c>
      <c r="AF4040" s="6">
        <f t="shared" si="621"/>
        <v>1340.9760000000001</v>
      </c>
      <c r="AG4040" s="14">
        <v>0</v>
      </c>
      <c r="AH4040" s="65">
        <f t="shared" si="625"/>
        <v>19156.8</v>
      </c>
      <c r="AI4040" s="47"/>
      <c r="AJ4040" s="126" t="e">
        <v>#N/A</v>
      </c>
      <c r="AK4040" s="80">
        <f t="shared" si="628"/>
        <v>0</v>
      </c>
      <c r="AM4040" s="85"/>
    </row>
    <row r="4041" spans="1:39" hidden="1" x14ac:dyDescent="0.3">
      <c r="A4041" s="89" t="s">
        <v>3395</v>
      </c>
      <c r="B4041" s="86" t="s">
        <v>35</v>
      </c>
      <c r="C4041" s="86" t="s">
        <v>164</v>
      </c>
      <c r="D4041" s="86" t="s">
        <v>3407</v>
      </c>
      <c r="E4041" s="86" t="s">
        <v>1538</v>
      </c>
      <c r="F4041" s="86" t="s">
        <v>1538</v>
      </c>
      <c r="G4041" s="86" t="s">
        <v>1538</v>
      </c>
      <c r="H4041" s="144">
        <v>364</v>
      </c>
      <c r="I4041" s="86" t="s">
        <v>887</v>
      </c>
      <c r="J4041" s="1" t="s">
        <v>3323</v>
      </c>
      <c r="K4041" s="1" t="s">
        <v>3277</v>
      </c>
      <c r="L4041" s="1" t="s">
        <v>35</v>
      </c>
      <c r="M4041" s="86" t="s">
        <v>1539</v>
      </c>
      <c r="N4041" s="86"/>
      <c r="O4041" s="47" t="s">
        <v>410</v>
      </c>
      <c r="P4041" s="47" t="s">
        <v>41</v>
      </c>
      <c r="Q4041" s="14">
        <v>0</v>
      </c>
      <c r="R4041" s="143" t="s">
        <v>1540</v>
      </c>
      <c r="S4041" s="47"/>
      <c r="T4041" s="6">
        <v>0</v>
      </c>
      <c r="U4041" s="6">
        <v>500000</v>
      </c>
      <c r="V4041" s="6">
        <v>500000</v>
      </c>
      <c r="W4041" s="6">
        <f t="shared" si="622"/>
        <v>0</v>
      </c>
      <c r="X4041" s="6">
        <f t="shared" si="623"/>
        <v>500000</v>
      </c>
      <c r="Y4041" s="13">
        <f t="shared" si="626"/>
        <v>0</v>
      </c>
      <c r="Z4041" s="14">
        <v>0</v>
      </c>
      <c r="AA4041" s="6">
        <v>0</v>
      </c>
      <c r="AB4041" s="4">
        <f t="shared" si="627"/>
        <v>500000</v>
      </c>
      <c r="AC4041" s="4">
        <f t="shared" si="620"/>
        <v>0</v>
      </c>
      <c r="AD4041" s="6">
        <f t="shared" si="624"/>
        <v>500000</v>
      </c>
      <c r="AE4041" s="2">
        <f>VLOOKUP(I4041,[1]媒体政策预估表!A:N,MATCH(O4041,[1]媒体政策预估表!$A$2:$M$2,0),0)</f>
        <v>0.02</v>
      </c>
      <c r="AF4041" s="6">
        <f t="shared" si="621"/>
        <v>10000</v>
      </c>
      <c r="AG4041" s="14">
        <v>0</v>
      </c>
      <c r="AH4041" s="65">
        <f t="shared" si="625"/>
        <v>500000</v>
      </c>
      <c r="AI4041" s="47"/>
      <c r="AJ4041" s="126" t="e">
        <v>#N/A</v>
      </c>
      <c r="AK4041" s="80">
        <f t="shared" si="628"/>
        <v>0</v>
      </c>
      <c r="AM4041" s="85"/>
    </row>
    <row r="4042" spans="1:39" hidden="1" x14ac:dyDescent="0.3">
      <c r="A4042" s="89" t="s">
        <v>3397</v>
      </c>
      <c r="B4042" s="86" t="s">
        <v>35</v>
      </c>
      <c r="C4042" s="86" t="s">
        <v>164</v>
      </c>
      <c r="D4042" s="86" t="s">
        <v>3407</v>
      </c>
      <c r="E4042" s="86" t="s">
        <v>1544</v>
      </c>
      <c r="F4042" s="86" t="s">
        <v>1544</v>
      </c>
      <c r="G4042" s="86" t="s">
        <v>1544</v>
      </c>
      <c r="H4042" s="144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1545</v>
      </c>
      <c r="N4042" s="86"/>
      <c r="O4042" s="47" t="s">
        <v>410</v>
      </c>
      <c r="P4042" s="47" t="s">
        <v>41</v>
      </c>
      <c r="Q4042" s="14">
        <v>0</v>
      </c>
      <c r="R4042" s="143" t="s">
        <v>1546</v>
      </c>
      <c r="S4042" s="47"/>
      <c r="T4042" s="6">
        <v>0</v>
      </c>
      <c r="U4042" s="6">
        <v>20000</v>
      </c>
      <c r="V4042" s="6">
        <v>1165.5</v>
      </c>
      <c r="W4042" s="6">
        <f t="shared" si="622"/>
        <v>18834.5</v>
      </c>
      <c r="X4042" s="6">
        <f t="shared" si="623"/>
        <v>1165.5</v>
      </c>
      <c r="Y4042" s="13">
        <f t="shared" si="626"/>
        <v>0</v>
      </c>
      <c r="Z4042" s="14">
        <v>0</v>
      </c>
      <c r="AA4042" s="6">
        <v>0</v>
      </c>
      <c r="AB4042" s="4">
        <f t="shared" si="627"/>
        <v>1165.5</v>
      </c>
      <c r="AC4042" s="4">
        <f t="shared" si="620"/>
        <v>0</v>
      </c>
      <c r="AD4042" s="6">
        <f t="shared" si="624"/>
        <v>1165.5</v>
      </c>
      <c r="AE4042" s="2">
        <f>VLOOKUP(I4042,[1]媒体政策预估表!A:N,MATCH(O4042,[1]媒体政策预估表!$A$2:$M$2,0),0)</f>
        <v>7.0000000000000007E-2</v>
      </c>
      <c r="AF4042" s="6">
        <f t="shared" si="621"/>
        <v>81.585000000000008</v>
      </c>
      <c r="AG4042" s="14">
        <v>0</v>
      </c>
      <c r="AH4042" s="65">
        <f t="shared" si="625"/>
        <v>1165.5</v>
      </c>
      <c r="AI4042" s="47"/>
      <c r="AJ4042" s="126" t="e">
        <v>#N/A</v>
      </c>
      <c r="AK4042" s="80">
        <f t="shared" si="628"/>
        <v>0</v>
      </c>
      <c r="AM4042" s="85"/>
    </row>
    <row r="4043" spans="1:39" hidden="1" x14ac:dyDescent="0.3">
      <c r="A4043" s="89" t="s">
        <v>3394</v>
      </c>
      <c r="B4043" s="86" t="s">
        <v>35</v>
      </c>
      <c r="C4043" s="86" t="s">
        <v>164</v>
      </c>
      <c r="D4043" s="86" t="s">
        <v>3407</v>
      </c>
      <c r="E4043" s="86" t="s">
        <v>3542</v>
      </c>
      <c r="F4043" s="86" t="s">
        <v>3542</v>
      </c>
      <c r="G4043" s="86" t="s">
        <v>3542</v>
      </c>
      <c r="H4043" s="144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263</v>
      </c>
      <c r="N4043" s="86"/>
      <c r="O4043" s="47" t="s">
        <v>410</v>
      </c>
      <c r="P4043" s="47" t="s">
        <v>41</v>
      </c>
      <c r="Q4043" s="14">
        <v>0</v>
      </c>
      <c r="R4043" s="143" t="s">
        <v>3543</v>
      </c>
      <c r="S4043" s="47"/>
      <c r="T4043" s="6">
        <v>0</v>
      </c>
      <c r="U4043" s="6">
        <v>50000</v>
      </c>
      <c r="V4043" s="6">
        <v>50000</v>
      </c>
      <c r="W4043" s="6">
        <f t="shared" si="622"/>
        <v>0</v>
      </c>
      <c r="X4043" s="6">
        <f t="shared" si="623"/>
        <v>50000</v>
      </c>
      <c r="Y4043" s="13">
        <f t="shared" si="626"/>
        <v>0</v>
      </c>
      <c r="Z4043" s="14">
        <v>0</v>
      </c>
      <c r="AA4043" s="6">
        <v>0</v>
      </c>
      <c r="AB4043" s="4">
        <f t="shared" si="627"/>
        <v>50000</v>
      </c>
      <c r="AC4043" s="4">
        <f t="shared" si="620"/>
        <v>0</v>
      </c>
      <c r="AD4043" s="6">
        <f t="shared" si="624"/>
        <v>50000</v>
      </c>
      <c r="AE4043" s="2">
        <f>VLOOKUP(I4043,[1]媒体政策预估表!A:N,MATCH(O4043,[1]媒体政策预估表!$A$2:$M$2,0),0)</f>
        <v>7.0000000000000007E-2</v>
      </c>
      <c r="AF4043" s="6">
        <f t="shared" si="621"/>
        <v>3500.0000000000005</v>
      </c>
      <c r="AG4043" s="14">
        <v>0</v>
      </c>
      <c r="AH4043" s="65">
        <f t="shared" si="625"/>
        <v>50000</v>
      </c>
      <c r="AI4043" s="47"/>
      <c r="AJ4043" s="126" t="e">
        <v>#N/A</v>
      </c>
      <c r="AK4043" s="80">
        <f t="shared" si="628"/>
        <v>0</v>
      </c>
      <c r="AM4043" s="85"/>
    </row>
    <row r="4044" spans="1:39" hidden="1" x14ac:dyDescent="0.3">
      <c r="A4044" s="89" t="s">
        <v>3395</v>
      </c>
      <c r="B4044" s="86" t="s">
        <v>35</v>
      </c>
      <c r="C4044" s="86" t="s">
        <v>164</v>
      </c>
      <c r="D4044" s="86" t="s">
        <v>3407</v>
      </c>
      <c r="E4044" s="86" t="s">
        <v>3539</v>
      </c>
      <c r="F4044" s="86" t="s">
        <v>3540</v>
      </c>
      <c r="G4044" s="86" t="s">
        <v>3539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3539</v>
      </c>
      <c r="N4044" s="86"/>
      <c r="O4044" s="47" t="s">
        <v>410</v>
      </c>
      <c r="P4044" s="47" t="s">
        <v>41</v>
      </c>
      <c r="Q4044" s="14">
        <v>0</v>
      </c>
      <c r="R4044" s="143" t="s">
        <v>3541</v>
      </c>
      <c r="S4044" s="47"/>
      <c r="T4044" s="6">
        <v>0</v>
      </c>
      <c r="U4044" s="6">
        <v>20000</v>
      </c>
      <c r="V4044" s="6">
        <v>0</v>
      </c>
      <c r="W4044" s="6">
        <f t="shared" si="622"/>
        <v>20000</v>
      </c>
      <c r="X4044" s="6">
        <f t="shared" si="623"/>
        <v>0</v>
      </c>
      <c r="Y4044" s="13">
        <f t="shared" si="626"/>
        <v>0</v>
      </c>
      <c r="Z4044" s="14">
        <v>0</v>
      </c>
      <c r="AA4044" s="6">
        <v>0</v>
      </c>
      <c r="AB4044" s="4">
        <f t="shared" si="627"/>
        <v>0</v>
      </c>
      <c r="AC4044" s="4">
        <f t="shared" ref="AC4044:AC4107" si="629">IF(P4044="返现",X4044*Q4044,V4044-X4044)</f>
        <v>0</v>
      </c>
      <c r="AD4044" s="6">
        <f t="shared" si="624"/>
        <v>0</v>
      </c>
      <c r="AE4044" s="2">
        <f>VLOOKUP(I4044,[1]媒体政策预估表!A:N,MATCH(O4044,[1]媒体政策预估表!$A$2:$M$2,0),0)</f>
        <v>7.0000000000000007E-2</v>
      </c>
      <c r="AF4044" s="6">
        <f t="shared" ref="AF4044:AF4107" si="630">AD4044*AE4044</f>
        <v>0</v>
      </c>
      <c r="AG4044" s="14">
        <v>0</v>
      </c>
      <c r="AH4044" s="65">
        <f t="shared" si="625"/>
        <v>0</v>
      </c>
      <c r="AI4044" s="47"/>
      <c r="AJ4044" s="126" t="e">
        <v>#N/A</v>
      </c>
      <c r="AK4044" s="80">
        <f t="shared" si="628"/>
        <v>0</v>
      </c>
      <c r="AM4044" s="85"/>
    </row>
    <row r="4045" spans="1:39" hidden="1" x14ac:dyDescent="0.3">
      <c r="A4045" s="89" t="s">
        <v>3395</v>
      </c>
      <c r="B4045" s="86" t="s">
        <v>35</v>
      </c>
      <c r="C4045" s="86" t="s">
        <v>164</v>
      </c>
      <c r="D4045" s="86" t="s">
        <v>165</v>
      </c>
      <c r="E4045" s="86" t="s">
        <v>1535</v>
      </c>
      <c r="F4045" s="86" t="s">
        <v>1536</v>
      </c>
      <c r="G4045" s="86" t="s">
        <v>1535</v>
      </c>
      <c r="H4045" s="144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1535</v>
      </c>
      <c r="N4045" s="86"/>
      <c r="O4045" s="47" t="s">
        <v>410</v>
      </c>
      <c r="P4045" s="47" t="s">
        <v>41</v>
      </c>
      <c r="Q4045" s="14">
        <v>0</v>
      </c>
      <c r="R4045" s="143" t="s">
        <v>1537</v>
      </c>
      <c r="S4045" s="47"/>
      <c r="T4045" s="6">
        <v>43482.400040000008</v>
      </c>
      <c r="U4045" s="6">
        <v>143000</v>
      </c>
      <c r="V4045" s="6">
        <v>178684</v>
      </c>
      <c r="W4045" s="6">
        <f t="shared" si="622"/>
        <v>7798.4000400000077</v>
      </c>
      <c r="X4045" s="6">
        <f t="shared" si="623"/>
        <v>178684</v>
      </c>
      <c r="Y4045" s="13">
        <f t="shared" si="626"/>
        <v>0</v>
      </c>
      <c r="Z4045" s="14">
        <v>0</v>
      </c>
      <c r="AA4045" s="6">
        <v>0</v>
      </c>
      <c r="AB4045" s="4">
        <f t="shared" si="627"/>
        <v>178684</v>
      </c>
      <c r="AC4045" s="4">
        <f t="shared" si="629"/>
        <v>0</v>
      </c>
      <c r="AD4045" s="6">
        <f t="shared" si="624"/>
        <v>178684</v>
      </c>
      <c r="AE4045" s="2">
        <f>VLOOKUP(I4045,[1]媒体政策预估表!A:N,MATCH(O4045,[1]媒体政策预估表!$A$2:$M$2,0),0)</f>
        <v>7.0000000000000007E-2</v>
      </c>
      <c r="AF4045" s="6">
        <f t="shared" si="630"/>
        <v>12507.880000000001</v>
      </c>
      <c r="AG4045" s="14">
        <v>0</v>
      </c>
      <c r="AH4045" s="65">
        <f t="shared" si="625"/>
        <v>178684</v>
      </c>
      <c r="AI4045" s="47"/>
      <c r="AJ4045" s="126" t="e">
        <v>#N/A</v>
      </c>
      <c r="AK4045" s="80">
        <f t="shared" si="628"/>
        <v>0</v>
      </c>
      <c r="AM4045" s="85"/>
    </row>
    <row r="4046" spans="1:39" hidden="1" x14ac:dyDescent="0.3">
      <c r="A4046" s="89" t="s">
        <v>3397</v>
      </c>
      <c r="B4046" s="86" t="s">
        <v>35</v>
      </c>
      <c r="C4046" s="86" t="s">
        <v>164</v>
      </c>
      <c r="D4046" s="86" t="s">
        <v>165</v>
      </c>
      <c r="E4046" s="86" t="s">
        <v>1538</v>
      </c>
      <c r="F4046" s="86" t="s">
        <v>1538</v>
      </c>
      <c r="G4046" s="86" t="s">
        <v>1538</v>
      </c>
      <c r="H4046" s="144">
        <v>364</v>
      </c>
      <c r="I4046" s="86" t="s">
        <v>887</v>
      </c>
      <c r="J4046" s="1" t="s">
        <v>3323</v>
      </c>
      <c r="K4046" s="1" t="s">
        <v>3277</v>
      </c>
      <c r="L4046" s="1" t="s">
        <v>35</v>
      </c>
      <c r="M4046" s="86" t="s">
        <v>1539</v>
      </c>
      <c r="N4046" s="86"/>
      <c r="O4046" s="47" t="s">
        <v>410</v>
      </c>
      <c r="P4046" s="47" t="s">
        <v>41</v>
      </c>
      <c r="Q4046" s="14">
        <v>0</v>
      </c>
      <c r="R4046" s="143" t="s">
        <v>1540</v>
      </c>
      <c r="S4046" s="47"/>
      <c r="T4046" s="6">
        <v>4135318.1500100009</v>
      </c>
      <c r="U4046" s="6">
        <v>1000000</v>
      </c>
      <c r="V4046" s="6">
        <v>503657.90633999999</v>
      </c>
      <c r="W4046" s="6">
        <f t="shared" si="622"/>
        <v>4631660.2436700007</v>
      </c>
      <c r="X4046" s="6">
        <f t="shared" si="623"/>
        <v>503657.90633999999</v>
      </c>
      <c r="Y4046" s="13">
        <f t="shared" si="626"/>
        <v>0</v>
      </c>
      <c r="Z4046" s="14">
        <v>0</v>
      </c>
      <c r="AA4046" s="6">
        <v>0</v>
      </c>
      <c r="AB4046" s="4">
        <f t="shared" si="627"/>
        <v>503657.90633999999</v>
      </c>
      <c r="AC4046" s="4">
        <f t="shared" si="629"/>
        <v>0</v>
      </c>
      <c r="AD4046" s="6">
        <f t="shared" si="624"/>
        <v>503657.90633999999</v>
      </c>
      <c r="AE4046" s="2">
        <f>VLOOKUP(I4046,[1]媒体政策预估表!A:N,MATCH(O4046,[1]媒体政策预估表!$A$2:$M$2,0),0)</f>
        <v>0.02</v>
      </c>
      <c r="AF4046" s="6">
        <f t="shared" si="630"/>
        <v>10073.158126799999</v>
      </c>
      <c r="AG4046" s="14">
        <v>0</v>
      </c>
      <c r="AH4046" s="65">
        <f t="shared" si="625"/>
        <v>503657.90633999999</v>
      </c>
      <c r="AI4046" s="47"/>
      <c r="AJ4046" s="126" t="e">
        <v>#N/A</v>
      </c>
      <c r="AK4046" s="80">
        <f t="shared" si="628"/>
        <v>0</v>
      </c>
      <c r="AM4046" s="85"/>
    </row>
    <row r="4047" spans="1:39" hidden="1" x14ac:dyDescent="0.3">
      <c r="A4047" s="89" t="s">
        <v>3394</v>
      </c>
      <c r="B4047" s="86" t="s">
        <v>35</v>
      </c>
      <c r="C4047" s="86" t="s">
        <v>164</v>
      </c>
      <c r="D4047" s="86" t="s">
        <v>165</v>
      </c>
      <c r="E4047" s="86" t="s">
        <v>1541</v>
      </c>
      <c r="F4047" s="86" t="s">
        <v>1541</v>
      </c>
      <c r="G4047" s="86" t="s">
        <v>1541</v>
      </c>
      <c r="H4047" s="144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1541</v>
      </c>
      <c r="N4047" s="86"/>
      <c r="O4047" s="47" t="s">
        <v>410</v>
      </c>
      <c r="P4047" s="47" t="s">
        <v>41</v>
      </c>
      <c r="Q4047" s="14">
        <v>0</v>
      </c>
      <c r="R4047" s="143" t="s">
        <v>1542</v>
      </c>
      <c r="S4047" s="47"/>
      <c r="T4047" s="6">
        <v>104827.77999999997</v>
      </c>
      <c r="U4047" s="6">
        <v>510000</v>
      </c>
      <c r="V4047" s="6">
        <v>551916.69999999995</v>
      </c>
      <c r="W4047" s="6">
        <f t="shared" si="622"/>
        <v>62911.080000000075</v>
      </c>
      <c r="X4047" s="6">
        <f t="shared" si="623"/>
        <v>551916.69999999995</v>
      </c>
      <c r="Y4047" s="13">
        <f t="shared" si="626"/>
        <v>0</v>
      </c>
      <c r="Z4047" s="14">
        <v>0</v>
      </c>
      <c r="AA4047" s="6">
        <v>0</v>
      </c>
      <c r="AB4047" s="4">
        <f t="shared" si="627"/>
        <v>551916.69999999995</v>
      </c>
      <c r="AC4047" s="4">
        <f t="shared" si="629"/>
        <v>0</v>
      </c>
      <c r="AD4047" s="6">
        <f t="shared" si="624"/>
        <v>551916.69999999995</v>
      </c>
      <c r="AE4047" s="2">
        <f>VLOOKUP(I4047,[1]媒体政策预估表!A:N,MATCH(O4047,[1]媒体政策预估表!$A$2:$M$2,0),0)</f>
        <v>7.0000000000000007E-2</v>
      </c>
      <c r="AF4047" s="6">
        <f t="shared" si="630"/>
        <v>38634.169000000002</v>
      </c>
      <c r="AG4047" s="14">
        <v>0</v>
      </c>
      <c r="AH4047" s="65">
        <f t="shared" si="625"/>
        <v>551916.69999999995</v>
      </c>
      <c r="AI4047" s="47"/>
      <c r="AJ4047" s="126" t="e">
        <v>#N/A</v>
      </c>
      <c r="AK4047" s="80">
        <f t="shared" si="628"/>
        <v>0</v>
      </c>
      <c r="AM4047" s="85"/>
    </row>
    <row r="4048" spans="1:39" hidden="1" x14ac:dyDescent="0.3">
      <c r="A4048" s="89" t="s">
        <v>3394</v>
      </c>
      <c r="B4048" s="86" t="s">
        <v>35</v>
      </c>
      <c r="C4048" s="86" t="s">
        <v>164</v>
      </c>
      <c r="D4048" s="86" t="s">
        <v>165</v>
      </c>
      <c r="E4048" s="86" t="s">
        <v>1543</v>
      </c>
      <c r="F4048" s="86" t="s">
        <v>1543</v>
      </c>
      <c r="G4048" s="86" t="s">
        <v>1543</v>
      </c>
      <c r="H4048" s="144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1543</v>
      </c>
      <c r="N4048" s="86"/>
      <c r="O4048" s="47" t="s">
        <v>410</v>
      </c>
      <c r="P4048" s="47" t="s">
        <v>41</v>
      </c>
      <c r="Q4048" s="14">
        <v>0</v>
      </c>
      <c r="R4048" s="143">
        <v>17728178884</v>
      </c>
      <c r="S4048" s="47"/>
      <c r="T4048" s="6">
        <v>10093.799999999999</v>
      </c>
      <c r="U4048" s="6">
        <v>85000</v>
      </c>
      <c r="V4048" s="6">
        <v>56777.7</v>
      </c>
      <c r="W4048" s="6">
        <f t="shared" si="622"/>
        <v>38316.100000000006</v>
      </c>
      <c r="X4048" s="6">
        <f t="shared" si="623"/>
        <v>56777.7</v>
      </c>
      <c r="Y4048" s="13">
        <f t="shared" si="626"/>
        <v>0</v>
      </c>
      <c r="Z4048" s="14">
        <v>0</v>
      </c>
      <c r="AA4048" s="6">
        <v>0</v>
      </c>
      <c r="AB4048" s="4">
        <f t="shared" si="627"/>
        <v>56777.7</v>
      </c>
      <c r="AC4048" s="4">
        <f t="shared" si="629"/>
        <v>0</v>
      </c>
      <c r="AD4048" s="6">
        <f t="shared" si="624"/>
        <v>56777.7</v>
      </c>
      <c r="AE4048" s="2">
        <f>VLOOKUP(I4048,[1]媒体政策预估表!A:N,MATCH(O4048,[1]媒体政策预估表!$A$2:$M$2,0),0)</f>
        <v>7.0000000000000007E-2</v>
      </c>
      <c r="AF4048" s="6">
        <f t="shared" si="630"/>
        <v>3974.4390000000003</v>
      </c>
      <c r="AG4048" s="14">
        <v>0</v>
      </c>
      <c r="AH4048" s="65">
        <f t="shared" si="625"/>
        <v>56777.7</v>
      </c>
      <c r="AI4048" s="47"/>
      <c r="AJ4048" s="126" t="e">
        <v>#N/A</v>
      </c>
      <c r="AK4048" s="80">
        <f t="shared" si="628"/>
        <v>0</v>
      </c>
      <c r="AM4048" s="85"/>
    </row>
    <row r="4049" spans="1:39" hidden="1" x14ac:dyDescent="0.3">
      <c r="A4049" s="89" t="s">
        <v>3394</v>
      </c>
      <c r="B4049" s="86" t="s">
        <v>35</v>
      </c>
      <c r="C4049" s="86" t="s">
        <v>164</v>
      </c>
      <c r="D4049" s="86" t="s">
        <v>165</v>
      </c>
      <c r="E4049" s="86" t="s">
        <v>1544</v>
      </c>
      <c r="F4049" s="86" t="s">
        <v>1544</v>
      </c>
      <c r="G4049" s="86" t="s">
        <v>1544</v>
      </c>
      <c r="H4049" s="144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1545</v>
      </c>
      <c r="N4049" s="86"/>
      <c r="O4049" s="47" t="s">
        <v>410</v>
      </c>
      <c r="P4049" s="47" t="s">
        <v>41</v>
      </c>
      <c r="Q4049" s="14">
        <v>0</v>
      </c>
      <c r="R4049" s="143" t="s">
        <v>1546</v>
      </c>
      <c r="S4049" s="47"/>
      <c r="T4049" s="6">
        <v>3769.7000000000007</v>
      </c>
      <c r="U4049" s="6">
        <v>10000</v>
      </c>
      <c r="V4049" s="6">
        <v>13769.7</v>
      </c>
      <c r="W4049" s="6">
        <f t="shared" si="622"/>
        <v>0</v>
      </c>
      <c r="X4049" s="6">
        <f t="shared" si="623"/>
        <v>13769.7</v>
      </c>
      <c r="Y4049" s="13">
        <f t="shared" si="626"/>
        <v>0</v>
      </c>
      <c r="Z4049" s="14">
        <v>0</v>
      </c>
      <c r="AA4049" s="6">
        <v>0</v>
      </c>
      <c r="AB4049" s="4">
        <f t="shared" si="627"/>
        <v>13769.7</v>
      </c>
      <c r="AC4049" s="4">
        <f t="shared" si="629"/>
        <v>0</v>
      </c>
      <c r="AD4049" s="6">
        <f t="shared" si="624"/>
        <v>13769.7</v>
      </c>
      <c r="AE4049" s="2">
        <f>VLOOKUP(I4049,[1]媒体政策预估表!A:N,MATCH(O4049,[1]媒体政策预估表!$A$2:$M$2,0),0)</f>
        <v>7.0000000000000007E-2</v>
      </c>
      <c r="AF4049" s="6">
        <f t="shared" si="630"/>
        <v>963.87900000000013</v>
      </c>
      <c r="AG4049" s="14">
        <v>0</v>
      </c>
      <c r="AH4049" s="65">
        <f t="shared" si="625"/>
        <v>13769.7</v>
      </c>
      <c r="AI4049" s="47"/>
      <c r="AJ4049" s="126" t="e">
        <v>#N/A</v>
      </c>
      <c r="AK4049" s="80">
        <f t="shared" si="628"/>
        <v>0</v>
      </c>
      <c r="AM4049" s="85"/>
    </row>
    <row r="4050" spans="1:39" hidden="1" x14ac:dyDescent="0.3">
      <c r="A4050" s="89" t="s">
        <v>3395</v>
      </c>
      <c r="B4050" s="86" t="s">
        <v>35</v>
      </c>
      <c r="C4050" s="86" t="s">
        <v>164</v>
      </c>
      <c r="D4050" s="86" t="s">
        <v>165</v>
      </c>
      <c r="E4050" s="86" t="s">
        <v>1544</v>
      </c>
      <c r="F4050" s="86" t="s">
        <v>1544</v>
      </c>
      <c r="G4050" s="86" t="s">
        <v>1544</v>
      </c>
      <c r="H4050" s="144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3544</v>
      </c>
      <c r="N4050" s="86"/>
      <c r="O4050" s="47" t="s">
        <v>410</v>
      </c>
      <c r="P4050" s="47" t="s">
        <v>41</v>
      </c>
      <c r="Q4050" s="14">
        <v>0</v>
      </c>
      <c r="R4050" s="143" t="s">
        <v>3545</v>
      </c>
      <c r="S4050" s="47"/>
      <c r="T4050" s="6">
        <v>0</v>
      </c>
      <c r="U4050" s="6">
        <v>10000</v>
      </c>
      <c r="V4050" s="6">
        <v>7482.7</v>
      </c>
      <c r="W4050" s="6">
        <f t="shared" si="622"/>
        <v>2517.3000000000002</v>
      </c>
      <c r="X4050" s="6">
        <f t="shared" si="623"/>
        <v>7482.7</v>
      </c>
      <c r="Y4050" s="13">
        <f t="shared" si="626"/>
        <v>0</v>
      </c>
      <c r="Z4050" s="14">
        <v>0</v>
      </c>
      <c r="AA4050" s="6">
        <v>0</v>
      </c>
      <c r="AB4050" s="4">
        <f t="shared" si="627"/>
        <v>7482.7</v>
      </c>
      <c r="AC4050" s="4">
        <f t="shared" si="629"/>
        <v>0</v>
      </c>
      <c r="AD4050" s="6">
        <f t="shared" si="624"/>
        <v>7482.7</v>
      </c>
      <c r="AE4050" s="2">
        <f>VLOOKUP(I4050,[1]媒体政策预估表!A:N,MATCH(O4050,[1]媒体政策预估表!$A$2:$M$2,0),0)</f>
        <v>7.0000000000000007E-2</v>
      </c>
      <c r="AF4050" s="6">
        <f t="shared" si="630"/>
        <v>523.78899999999999</v>
      </c>
      <c r="AG4050" s="14">
        <v>0</v>
      </c>
      <c r="AH4050" s="65">
        <f t="shared" si="625"/>
        <v>7482.7</v>
      </c>
      <c r="AI4050" s="47"/>
      <c r="AJ4050" s="126" t="e">
        <v>#N/A</v>
      </c>
      <c r="AK4050" s="80">
        <f t="shared" si="628"/>
        <v>0</v>
      </c>
      <c r="AM4050" s="85"/>
    </row>
    <row r="4051" spans="1:39" hidden="1" x14ac:dyDescent="0.3">
      <c r="A4051" s="89" t="s">
        <v>3394</v>
      </c>
      <c r="B4051" s="86" t="s">
        <v>35</v>
      </c>
      <c r="C4051" s="86" t="s">
        <v>164</v>
      </c>
      <c r="D4051" s="86" t="s">
        <v>165</v>
      </c>
      <c r="E4051" s="86" t="s">
        <v>1544</v>
      </c>
      <c r="F4051" s="86" t="s">
        <v>1544</v>
      </c>
      <c r="G4051" s="86" t="s">
        <v>1544</v>
      </c>
      <c r="H4051" s="144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1547</v>
      </c>
      <c r="N4051" s="86"/>
      <c r="O4051" s="47" t="s">
        <v>410</v>
      </c>
      <c r="P4051" s="47" t="s">
        <v>41</v>
      </c>
      <c r="Q4051" s="14">
        <v>0</v>
      </c>
      <c r="R4051" s="143" t="s">
        <v>1548</v>
      </c>
      <c r="S4051" s="47"/>
      <c r="T4051" s="6">
        <v>2707.9600000000064</v>
      </c>
      <c r="U4051" s="6">
        <v>90000</v>
      </c>
      <c r="V4051" s="6">
        <v>65650</v>
      </c>
      <c r="W4051" s="6">
        <f t="shared" si="622"/>
        <v>27057.960000000006</v>
      </c>
      <c r="X4051" s="6">
        <f t="shared" si="623"/>
        <v>65650</v>
      </c>
      <c r="Y4051" s="13">
        <f t="shared" si="626"/>
        <v>0</v>
      </c>
      <c r="Z4051" s="14">
        <v>0</v>
      </c>
      <c r="AA4051" s="6">
        <v>0</v>
      </c>
      <c r="AB4051" s="4">
        <f t="shared" si="627"/>
        <v>65650</v>
      </c>
      <c r="AC4051" s="4">
        <f t="shared" si="629"/>
        <v>0</v>
      </c>
      <c r="AD4051" s="6">
        <f t="shared" si="624"/>
        <v>65650</v>
      </c>
      <c r="AE4051" s="2">
        <f>VLOOKUP(I4051,[1]媒体政策预估表!A:N,MATCH(O4051,[1]媒体政策预估表!$A$2:$M$2,0),0)</f>
        <v>7.0000000000000007E-2</v>
      </c>
      <c r="AF4051" s="6">
        <f t="shared" si="630"/>
        <v>4595.5</v>
      </c>
      <c r="AG4051" s="14">
        <v>0</v>
      </c>
      <c r="AH4051" s="65">
        <f t="shared" si="625"/>
        <v>65650</v>
      </c>
      <c r="AI4051" s="47"/>
      <c r="AJ4051" s="126" t="e">
        <v>#N/A</v>
      </c>
      <c r="AK4051" s="80">
        <f t="shared" si="628"/>
        <v>0</v>
      </c>
      <c r="AM4051" s="85"/>
    </row>
    <row r="4052" spans="1:39" hidden="1" x14ac:dyDescent="0.3">
      <c r="A4052" s="89" t="s">
        <v>3395</v>
      </c>
      <c r="B4052" s="86" t="s">
        <v>35</v>
      </c>
      <c r="C4052" s="86" t="s">
        <v>164</v>
      </c>
      <c r="D4052" s="86" t="s">
        <v>165</v>
      </c>
      <c r="E4052" s="86" t="s">
        <v>3546</v>
      </c>
      <c r="F4052" s="86" t="s">
        <v>3546</v>
      </c>
      <c r="G4052" s="86" t="s">
        <v>3546</v>
      </c>
      <c r="H4052" s="144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3546</v>
      </c>
      <c r="N4052" s="86"/>
      <c r="O4052" s="47" t="s">
        <v>410</v>
      </c>
      <c r="P4052" s="47" t="s">
        <v>46</v>
      </c>
      <c r="Q4052" s="14">
        <v>0.02</v>
      </c>
      <c r="R4052" s="143" t="s">
        <v>3547</v>
      </c>
      <c r="S4052" s="47"/>
      <c r="T4052" s="6">
        <v>0</v>
      </c>
      <c r="U4052" s="6">
        <v>25000</v>
      </c>
      <c r="V4052" s="6">
        <v>18833.8</v>
      </c>
      <c r="W4052" s="6">
        <f t="shared" si="622"/>
        <v>6166.2000000000007</v>
      </c>
      <c r="X4052" s="6">
        <f t="shared" si="623"/>
        <v>18464.509803921566</v>
      </c>
      <c r="Y4052" s="13">
        <f t="shared" si="626"/>
        <v>0</v>
      </c>
      <c r="Z4052" s="14">
        <v>0</v>
      </c>
      <c r="AA4052" s="6">
        <v>0</v>
      </c>
      <c r="AB4052" s="4">
        <f t="shared" si="627"/>
        <v>18464.509803921566</v>
      </c>
      <c r="AC4052" s="4">
        <f t="shared" si="629"/>
        <v>369.29019607843293</v>
      </c>
      <c r="AD4052" s="6">
        <f t="shared" si="624"/>
        <v>18833.8</v>
      </c>
      <c r="AE4052" s="2">
        <f>VLOOKUP(I4052,[1]媒体政策预估表!A:N,MATCH(O4052,[1]媒体政策预估表!$A$2:$M$2,0),0)</f>
        <v>7.0000000000000007E-2</v>
      </c>
      <c r="AF4052" s="6">
        <f t="shared" si="630"/>
        <v>1318.366</v>
      </c>
      <c r="AG4052" s="14">
        <v>0</v>
      </c>
      <c r="AH4052" s="65">
        <f t="shared" si="625"/>
        <v>18833.8</v>
      </c>
      <c r="AI4052" s="47"/>
      <c r="AJ4052" s="126" t="e">
        <v>#N/A</v>
      </c>
      <c r="AK4052" s="80">
        <f t="shared" si="628"/>
        <v>0</v>
      </c>
      <c r="AM4052" s="85"/>
    </row>
    <row r="4053" spans="1:39" hidden="1" x14ac:dyDescent="0.3">
      <c r="A4053" s="89" t="s">
        <v>3394</v>
      </c>
      <c r="B4053" s="86" t="s">
        <v>35</v>
      </c>
      <c r="C4053" s="86" t="s">
        <v>164</v>
      </c>
      <c r="D4053" s="86" t="s">
        <v>165</v>
      </c>
      <c r="E4053" s="86" t="s">
        <v>3546</v>
      </c>
      <c r="F4053" s="86" t="s">
        <v>3546</v>
      </c>
      <c r="G4053" s="86" t="s">
        <v>3546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3546</v>
      </c>
      <c r="N4053" s="86"/>
      <c r="O4053" s="47" t="s">
        <v>410</v>
      </c>
      <c r="P4053" s="47" t="s">
        <v>41</v>
      </c>
      <c r="Q4053" s="14">
        <v>0</v>
      </c>
      <c r="R4053" s="143" t="s">
        <v>3547</v>
      </c>
      <c r="S4053" s="47"/>
      <c r="T4053" s="6">
        <v>0</v>
      </c>
      <c r="U4053" s="6">
        <v>5000</v>
      </c>
      <c r="V4053" s="6">
        <v>0</v>
      </c>
      <c r="W4053" s="6">
        <f t="shared" si="622"/>
        <v>5000</v>
      </c>
      <c r="X4053" s="6">
        <f t="shared" si="623"/>
        <v>0</v>
      </c>
      <c r="Y4053" s="13">
        <f t="shared" si="626"/>
        <v>0</v>
      </c>
      <c r="Z4053" s="14">
        <v>0</v>
      </c>
      <c r="AA4053" s="6">
        <v>0</v>
      </c>
      <c r="AB4053" s="4">
        <f t="shared" si="627"/>
        <v>0</v>
      </c>
      <c r="AC4053" s="4">
        <f t="shared" si="629"/>
        <v>0</v>
      </c>
      <c r="AD4053" s="6">
        <f t="shared" si="624"/>
        <v>0</v>
      </c>
      <c r="AE4053" s="2">
        <f>VLOOKUP(I4053,[1]媒体政策预估表!A:N,MATCH(O4053,[1]媒体政策预估表!$A$2:$M$2,0),0)</f>
        <v>7.0000000000000007E-2</v>
      </c>
      <c r="AF4053" s="6">
        <f t="shared" si="630"/>
        <v>0</v>
      </c>
      <c r="AG4053" s="14">
        <v>0</v>
      </c>
      <c r="AH4053" s="65">
        <f t="shared" si="625"/>
        <v>0</v>
      </c>
      <c r="AI4053" s="47"/>
      <c r="AJ4053" s="126" t="e">
        <v>#N/A</v>
      </c>
      <c r="AK4053" s="80">
        <f t="shared" si="628"/>
        <v>0</v>
      </c>
      <c r="AM4053" s="85"/>
    </row>
    <row r="4054" spans="1:39" hidden="1" x14ac:dyDescent="0.3">
      <c r="A4054" s="89" t="s">
        <v>3395</v>
      </c>
      <c r="B4054" s="86" t="s">
        <v>35</v>
      </c>
      <c r="C4054" s="86" t="s">
        <v>164</v>
      </c>
      <c r="D4054" s="86" t="s">
        <v>165</v>
      </c>
      <c r="E4054" s="86" t="s">
        <v>1549</v>
      </c>
      <c r="F4054" s="86" t="s">
        <v>1550</v>
      </c>
      <c r="G4054" s="86" t="s">
        <v>1549</v>
      </c>
      <c r="H4054" s="144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1551</v>
      </c>
      <c r="N4054" s="86"/>
      <c r="O4054" s="47" t="s">
        <v>410</v>
      </c>
      <c r="P4054" s="47" t="s">
        <v>41</v>
      </c>
      <c r="Q4054" s="14">
        <v>0</v>
      </c>
      <c r="R4054" s="143" t="s">
        <v>1552</v>
      </c>
      <c r="S4054" s="47"/>
      <c r="T4054" s="6">
        <v>1009.7999999999993</v>
      </c>
      <c r="U4054" s="6">
        <v>20000</v>
      </c>
      <c r="V4054" s="6">
        <v>8778</v>
      </c>
      <c r="W4054" s="6">
        <f t="shared" si="622"/>
        <v>12231.8</v>
      </c>
      <c r="X4054" s="6">
        <f t="shared" si="623"/>
        <v>8778</v>
      </c>
      <c r="Y4054" s="13">
        <f t="shared" si="626"/>
        <v>0</v>
      </c>
      <c r="Z4054" s="14">
        <v>0</v>
      </c>
      <c r="AA4054" s="6">
        <v>0</v>
      </c>
      <c r="AB4054" s="4">
        <f t="shared" si="627"/>
        <v>8778</v>
      </c>
      <c r="AC4054" s="4">
        <f t="shared" si="629"/>
        <v>0</v>
      </c>
      <c r="AD4054" s="6">
        <f t="shared" si="624"/>
        <v>8778</v>
      </c>
      <c r="AE4054" s="2">
        <f>VLOOKUP(I4054,[1]媒体政策预估表!A:N,MATCH(O4054,[1]媒体政策预估表!$A$2:$M$2,0),0)</f>
        <v>7.0000000000000007E-2</v>
      </c>
      <c r="AF4054" s="6">
        <f t="shared" si="630"/>
        <v>614.46</v>
      </c>
      <c r="AG4054" s="14">
        <v>0</v>
      </c>
      <c r="AH4054" s="65">
        <f t="shared" si="625"/>
        <v>8778</v>
      </c>
      <c r="AI4054" s="47"/>
      <c r="AJ4054" s="126" t="e">
        <v>#N/A</v>
      </c>
      <c r="AK4054" s="80">
        <f t="shared" si="628"/>
        <v>0</v>
      </c>
      <c r="AM4054" s="85"/>
    </row>
    <row r="4055" spans="1:39" hidden="1" x14ac:dyDescent="0.3">
      <c r="A4055" s="89" t="s">
        <v>3395</v>
      </c>
      <c r="B4055" s="86" t="s">
        <v>35</v>
      </c>
      <c r="C4055" s="86" t="s">
        <v>164</v>
      </c>
      <c r="D4055" s="86" t="s">
        <v>165</v>
      </c>
      <c r="E4055" s="86" t="s">
        <v>1549</v>
      </c>
      <c r="F4055" s="86" t="s">
        <v>1550</v>
      </c>
      <c r="G4055" s="86" t="s">
        <v>1549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1549</v>
      </c>
      <c r="N4055" s="86"/>
      <c r="O4055" s="47" t="s">
        <v>410</v>
      </c>
      <c r="P4055" s="47" t="s">
        <v>41</v>
      </c>
      <c r="Q4055" s="14">
        <v>0</v>
      </c>
      <c r="R4055" s="143" t="s">
        <v>1553</v>
      </c>
      <c r="S4055" s="47"/>
      <c r="T4055" s="6">
        <v>11155.569999999992</v>
      </c>
      <c r="U4055" s="6">
        <v>70000</v>
      </c>
      <c r="V4055" s="6">
        <v>68610.399999999994</v>
      </c>
      <c r="W4055" s="6">
        <f t="shared" si="622"/>
        <v>12545.169999999998</v>
      </c>
      <c r="X4055" s="6">
        <f t="shared" si="623"/>
        <v>68610.399999999994</v>
      </c>
      <c r="Y4055" s="13">
        <f t="shared" si="626"/>
        <v>0</v>
      </c>
      <c r="Z4055" s="14">
        <v>0</v>
      </c>
      <c r="AA4055" s="6">
        <v>0</v>
      </c>
      <c r="AB4055" s="4">
        <f t="shared" si="627"/>
        <v>68610.399999999994</v>
      </c>
      <c r="AC4055" s="4">
        <f t="shared" si="629"/>
        <v>0</v>
      </c>
      <c r="AD4055" s="6">
        <f t="shared" si="624"/>
        <v>68610.399999999994</v>
      </c>
      <c r="AE4055" s="2">
        <f>VLOOKUP(I4055,[1]媒体政策预估表!A:N,MATCH(O4055,[1]媒体政策预估表!$A$2:$M$2,0),0)</f>
        <v>7.0000000000000007E-2</v>
      </c>
      <c r="AF4055" s="6">
        <f t="shared" si="630"/>
        <v>4802.7280000000001</v>
      </c>
      <c r="AG4055" s="14">
        <v>0</v>
      </c>
      <c r="AH4055" s="65">
        <f t="shared" si="625"/>
        <v>68610.399999999994</v>
      </c>
      <c r="AI4055" s="47"/>
      <c r="AJ4055" s="126" t="e">
        <v>#N/A</v>
      </c>
      <c r="AK4055" s="80">
        <f t="shared" si="628"/>
        <v>0</v>
      </c>
      <c r="AM4055" s="85"/>
    </row>
    <row r="4056" spans="1:39" hidden="1" x14ac:dyDescent="0.3">
      <c r="A4056" s="89" t="s">
        <v>3394</v>
      </c>
      <c r="B4056" s="86" t="s">
        <v>35</v>
      </c>
      <c r="C4056" s="86" t="s">
        <v>164</v>
      </c>
      <c r="D4056" s="86" t="s">
        <v>165</v>
      </c>
      <c r="E4056" s="86" t="s">
        <v>3548</v>
      </c>
      <c r="F4056" s="86" t="s">
        <v>3548</v>
      </c>
      <c r="G4056" s="86" t="s">
        <v>3548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3548</v>
      </c>
      <c r="N4056" s="86"/>
      <c r="O4056" s="47" t="s">
        <v>410</v>
      </c>
      <c r="P4056" s="47" t="s">
        <v>41</v>
      </c>
      <c r="Q4056" s="14">
        <v>0</v>
      </c>
      <c r="R4056" s="143">
        <v>13666008323</v>
      </c>
      <c r="S4056" s="47"/>
      <c r="T4056" s="6">
        <v>0</v>
      </c>
      <c r="U4056" s="6">
        <v>20000</v>
      </c>
      <c r="V4056" s="6">
        <v>0</v>
      </c>
      <c r="W4056" s="6">
        <f t="shared" si="622"/>
        <v>20000</v>
      </c>
      <c r="X4056" s="6">
        <f t="shared" si="623"/>
        <v>0</v>
      </c>
      <c r="Y4056" s="13">
        <f t="shared" si="626"/>
        <v>0</v>
      </c>
      <c r="Z4056" s="14">
        <v>0</v>
      </c>
      <c r="AA4056" s="6">
        <v>0</v>
      </c>
      <c r="AB4056" s="4">
        <f t="shared" si="627"/>
        <v>0</v>
      </c>
      <c r="AC4056" s="4">
        <f t="shared" si="629"/>
        <v>0</v>
      </c>
      <c r="AD4056" s="6">
        <f t="shared" si="624"/>
        <v>0</v>
      </c>
      <c r="AE4056" s="2">
        <f>VLOOKUP(I4056,[1]媒体政策预估表!A:N,MATCH(O4056,[1]媒体政策预估表!$A$2:$M$2,0),0)</f>
        <v>7.0000000000000007E-2</v>
      </c>
      <c r="AF4056" s="6">
        <f t="shared" si="630"/>
        <v>0</v>
      </c>
      <c r="AG4056" s="14">
        <v>0</v>
      </c>
      <c r="AH4056" s="65">
        <f t="shared" si="625"/>
        <v>0</v>
      </c>
      <c r="AI4056" s="47"/>
      <c r="AJ4056" s="126" t="e">
        <v>#N/A</v>
      </c>
      <c r="AK4056" s="80">
        <f t="shared" si="628"/>
        <v>0</v>
      </c>
      <c r="AM4056" s="85"/>
    </row>
    <row r="4057" spans="1:39" hidden="1" x14ac:dyDescent="0.3">
      <c r="A4057" s="89" t="s">
        <v>3394</v>
      </c>
      <c r="B4057" s="86" t="s">
        <v>35</v>
      </c>
      <c r="C4057" s="86" t="s">
        <v>164</v>
      </c>
      <c r="D4057" s="86" t="s">
        <v>165</v>
      </c>
      <c r="E4057" s="86" t="s">
        <v>3542</v>
      </c>
      <c r="F4057" s="86" t="s">
        <v>3542</v>
      </c>
      <c r="G4057" s="86" t="s">
        <v>3542</v>
      </c>
      <c r="H4057" s="144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263</v>
      </c>
      <c r="N4057" s="86"/>
      <c r="O4057" s="47" t="s">
        <v>410</v>
      </c>
      <c r="P4057" s="47" t="s">
        <v>41</v>
      </c>
      <c r="Q4057" s="14">
        <v>0</v>
      </c>
      <c r="R4057" s="143" t="s">
        <v>3543</v>
      </c>
      <c r="S4057" s="47"/>
      <c r="T4057" s="6">
        <v>0</v>
      </c>
      <c r="U4057" s="6">
        <v>100000</v>
      </c>
      <c r="V4057" s="6">
        <v>59221.549979999996</v>
      </c>
      <c r="W4057" s="6">
        <f t="shared" si="622"/>
        <v>40778.450020000004</v>
      </c>
      <c r="X4057" s="6">
        <f t="shared" si="623"/>
        <v>59221.549979999996</v>
      </c>
      <c r="Y4057" s="13">
        <f t="shared" si="626"/>
        <v>0</v>
      </c>
      <c r="Z4057" s="14">
        <v>0</v>
      </c>
      <c r="AA4057" s="6">
        <v>0</v>
      </c>
      <c r="AB4057" s="4">
        <f t="shared" si="627"/>
        <v>59221.549979999996</v>
      </c>
      <c r="AC4057" s="4">
        <f t="shared" si="629"/>
        <v>0</v>
      </c>
      <c r="AD4057" s="6">
        <f t="shared" si="624"/>
        <v>59221.549979999996</v>
      </c>
      <c r="AE4057" s="2">
        <f>VLOOKUP(I4057,[1]媒体政策预估表!A:N,MATCH(O4057,[1]媒体政策预估表!$A$2:$M$2,0),0)</f>
        <v>7.0000000000000007E-2</v>
      </c>
      <c r="AF4057" s="6">
        <f t="shared" si="630"/>
        <v>4145.5084986000002</v>
      </c>
      <c r="AG4057" s="14">
        <v>0</v>
      </c>
      <c r="AH4057" s="65">
        <f t="shared" si="625"/>
        <v>59221.549979999996</v>
      </c>
      <c r="AI4057" s="47"/>
      <c r="AJ4057" s="126" t="e">
        <v>#N/A</v>
      </c>
      <c r="AK4057" s="80">
        <f t="shared" si="628"/>
        <v>0</v>
      </c>
      <c r="AM4057" s="85"/>
    </row>
    <row r="4058" spans="1:39" hidden="1" x14ac:dyDescent="0.3">
      <c r="A4058" s="89" t="s">
        <v>3394</v>
      </c>
      <c r="B4058" s="86" t="s">
        <v>35</v>
      </c>
      <c r="C4058" s="86" t="s">
        <v>164</v>
      </c>
      <c r="D4058" s="86" t="s">
        <v>165</v>
      </c>
      <c r="E4058" s="86" t="s">
        <v>3542</v>
      </c>
      <c r="F4058" s="86" t="s">
        <v>3542</v>
      </c>
      <c r="G4058" s="86" t="s">
        <v>3542</v>
      </c>
      <c r="H4058" s="144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3549</v>
      </c>
      <c r="N4058" s="86"/>
      <c r="O4058" s="47" t="s">
        <v>410</v>
      </c>
      <c r="P4058" s="47" t="s">
        <v>41</v>
      </c>
      <c r="Q4058" s="14">
        <v>0</v>
      </c>
      <c r="R4058" s="143" t="s">
        <v>3550</v>
      </c>
      <c r="S4058" s="47"/>
      <c r="T4058" s="6">
        <v>0</v>
      </c>
      <c r="U4058" s="6">
        <v>130000</v>
      </c>
      <c r="V4058" s="6">
        <v>110779.49991</v>
      </c>
      <c r="W4058" s="6">
        <f t="shared" si="622"/>
        <v>19220.500090000001</v>
      </c>
      <c r="X4058" s="6">
        <f t="shared" si="623"/>
        <v>110779.49991</v>
      </c>
      <c r="Y4058" s="13">
        <f t="shared" si="626"/>
        <v>0</v>
      </c>
      <c r="Z4058" s="14">
        <v>0</v>
      </c>
      <c r="AA4058" s="6">
        <v>0</v>
      </c>
      <c r="AB4058" s="4">
        <f t="shared" si="627"/>
        <v>110779.49991</v>
      </c>
      <c r="AC4058" s="4">
        <f t="shared" si="629"/>
        <v>0</v>
      </c>
      <c r="AD4058" s="6">
        <f t="shared" si="624"/>
        <v>110779.49991</v>
      </c>
      <c r="AE4058" s="2">
        <f>VLOOKUP(I4058,[1]媒体政策预估表!A:N,MATCH(O4058,[1]媒体政策预估表!$A$2:$M$2,0),0)</f>
        <v>7.0000000000000007E-2</v>
      </c>
      <c r="AF4058" s="6">
        <f t="shared" si="630"/>
        <v>7754.5649937000007</v>
      </c>
      <c r="AG4058" s="14">
        <v>0</v>
      </c>
      <c r="AH4058" s="65">
        <f t="shared" si="625"/>
        <v>110779.49991</v>
      </c>
      <c r="AI4058" s="47"/>
      <c r="AJ4058" s="126" t="e">
        <v>#N/A</v>
      </c>
      <c r="AK4058" s="80">
        <f t="shared" si="628"/>
        <v>0</v>
      </c>
      <c r="AM4058" s="85"/>
    </row>
    <row r="4059" spans="1:39" hidden="1" x14ac:dyDescent="0.3">
      <c r="A4059" s="89" t="s">
        <v>3394</v>
      </c>
      <c r="B4059" s="86" t="s">
        <v>35</v>
      </c>
      <c r="C4059" s="86" t="s">
        <v>164</v>
      </c>
      <c r="D4059" s="86" t="s">
        <v>165</v>
      </c>
      <c r="E4059" s="86" t="s">
        <v>3542</v>
      </c>
      <c r="F4059" s="86" t="s">
        <v>3542</v>
      </c>
      <c r="G4059" s="86" t="s">
        <v>3542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3551</v>
      </c>
      <c r="N4059" s="86"/>
      <c r="O4059" s="47" t="s">
        <v>410</v>
      </c>
      <c r="P4059" s="47" t="s">
        <v>41</v>
      </c>
      <c r="Q4059" s="14">
        <v>0</v>
      </c>
      <c r="R4059" s="143" t="s">
        <v>3552</v>
      </c>
      <c r="S4059" s="47"/>
      <c r="T4059" s="6">
        <v>0</v>
      </c>
      <c r="U4059" s="6">
        <v>140000</v>
      </c>
      <c r="V4059" s="6">
        <v>109400.3</v>
      </c>
      <c r="W4059" s="6">
        <f t="shared" si="622"/>
        <v>30599.699999999997</v>
      </c>
      <c r="X4059" s="6">
        <f t="shared" si="623"/>
        <v>109400.3</v>
      </c>
      <c r="Y4059" s="13">
        <f t="shared" si="626"/>
        <v>0</v>
      </c>
      <c r="Z4059" s="14">
        <v>0</v>
      </c>
      <c r="AA4059" s="6">
        <v>0</v>
      </c>
      <c r="AB4059" s="4">
        <f t="shared" si="627"/>
        <v>109400.3</v>
      </c>
      <c r="AC4059" s="4">
        <f t="shared" si="629"/>
        <v>0</v>
      </c>
      <c r="AD4059" s="6">
        <f t="shared" si="624"/>
        <v>109400.3</v>
      </c>
      <c r="AE4059" s="2">
        <f>VLOOKUP(I4059,[1]媒体政策预估表!A:N,MATCH(O4059,[1]媒体政策预估表!$A$2:$M$2,0),0)</f>
        <v>7.0000000000000007E-2</v>
      </c>
      <c r="AF4059" s="6">
        <f t="shared" si="630"/>
        <v>7658.0210000000006</v>
      </c>
      <c r="AG4059" s="14">
        <v>0</v>
      </c>
      <c r="AH4059" s="65">
        <f t="shared" si="625"/>
        <v>109400.3</v>
      </c>
      <c r="AI4059" s="47"/>
      <c r="AJ4059" s="126" t="e">
        <v>#N/A</v>
      </c>
      <c r="AK4059" s="80">
        <f t="shared" si="628"/>
        <v>0</v>
      </c>
      <c r="AM4059" s="85"/>
    </row>
    <row r="4060" spans="1:39" hidden="1" x14ac:dyDescent="0.3">
      <c r="A4060" s="89" t="s">
        <v>3394</v>
      </c>
      <c r="B4060" s="86" t="s">
        <v>35</v>
      </c>
      <c r="C4060" s="86" t="s">
        <v>164</v>
      </c>
      <c r="D4060" s="86" t="s">
        <v>165</v>
      </c>
      <c r="E4060" s="86" t="s">
        <v>3542</v>
      </c>
      <c r="F4060" s="86" t="s">
        <v>3542</v>
      </c>
      <c r="G4060" s="86" t="s">
        <v>3542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167</v>
      </c>
      <c r="N4060" s="86"/>
      <c r="O4060" s="47" t="s">
        <v>410</v>
      </c>
      <c r="P4060" s="47" t="s">
        <v>41</v>
      </c>
      <c r="Q4060" s="14">
        <v>0</v>
      </c>
      <c r="R4060" s="143" t="s">
        <v>1562</v>
      </c>
      <c r="S4060" s="47"/>
      <c r="T4060" s="6">
        <v>0</v>
      </c>
      <c r="U4060" s="6">
        <v>130000</v>
      </c>
      <c r="V4060" s="6">
        <v>105004.2</v>
      </c>
      <c r="W4060" s="6">
        <f t="shared" si="622"/>
        <v>24995.800000000003</v>
      </c>
      <c r="X4060" s="6">
        <f t="shared" si="623"/>
        <v>105004.2</v>
      </c>
      <c r="Y4060" s="13">
        <f t="shared" si="626"/>
        <v>0</v>
      </c>
      <c r="Z4060" s="14">
        <v>0</v>
      </c>
      <c r="AA4060" s="6">
        <v>0</v>
      </c>
      <c r="AB4060" s="4">
        <f t="shared" si="627"/>
        <v>105004.2</v>
      </c>
      <c r="AC4060" s="4">
        <f t="shared" si="629"/>
        <v>0</v>
      </c>
      <c r="AD4060" s="6">
        <f t="shared" si="624"/>
        <v>105004.2</v>
      </c>
      <c r="AE4060" s="2">
        <f>VLOOKUP(I4060,[1]媒体政策预估表!A:N,MATCH(O4060,[1]媒体政策预估表!$A$2:$M$2,0),0)</f>
        <v>7.0000000000000007E-2</v>
      </c>
      <c r="AF4060" s="6">
        <f t="shared" si="630"/>
        <v>7350.2940000000008</v>
      </c>
      <c r="AG4060" s="14">
        <v>0</v>
      </c>
      <c r="AH4060" s="65">
        <f t="shared" si="625"/>
        <v>105004.2</v>
      </c>
      <c r="AI4060" s="47"/>
      <c r="AJ4060" s="126" t="e">
        <v>#N/A</v>
      </c>
      <c r="AK4060" s="80">
        <f t="shared" si="628"/>
        <v>0</v>
      </c>
      <c r="AM4060" s="85"/>
    </row>
    <row r="4061" spans="1:39" hidden="1" x14ac:dyDescent="0.3">
      <c r="A4061" s="89" t="s">
        <v>3394</v>
      </c>
      <c r="B4061" s="86" t="s">
        <v>35</v>
      </c>
      <c r="C4061" s="86" t="s">
        <v>164</v>
      </c>
      <c r="D4061" s="86" t="s">
        <v>165</v>
      </c>
      <c r="E4061" s="86" t="s">
        <v>1557</v>
      </c>
      <c r="F4061" s="86" t="s">
        <v>1558</v>
      </c>
      <c r="G4061" s="86" t="s">
        <v>1557</v>
      </c>
      <c r="H4061" s="144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1557</v>
      </c>
      <c r="N4061" s="86"/>
      <c r="O4061" s="47" t="s">
        <v>410</v>
      </c>
      <c r="P4061" s="47" t="s">
        <v>46</v>
      </c>
      <c r="Q4061" s="14">
        <v>0.02</v>
      </c>
      <c r="R4061" s="143" t="s">
        <v>1559</v>
      </c>
      <c r="S4061" s="47"/>
      <c r="T4061" s="6">
        <v>19796.040000000008</v>
      </c>
      <c r="U4061" s="6">
        <v>836258.34</v>
      </c>
      <c r="V4061" s="6">
        <v>626748</v>
      </c>
      <c r="W4061" s="6">
        <f t="shared" si="622"/>
        <v>229306.38</v>
      </c>
      <c r="X4061" s="6">
        <f t="shared" si="623"/>
        <v>614458.82352941181</v>
      </c>
      <c r="Y4061" s="13">
        <f t="shared" si="626"/>
        <v>0</v>
      </c>
      <c r="Z4061" s="14">
        <v>0</v>
      </c>
      <c r="AA4061" s="6">
        <v>0</v>
      </c>
      <c r="AB4061" s="4">
        <f t="shared" si="627"/>
        <v>614458.82352941181</v>
      </c>
      <c r="AC4061" s="4">
        <f t="shared" si="629"/>
        <v>12289.176470588194</v>
      </c>
      <c r="AD4061" s="6">
        <f t="shared" si="624"/>
        <v>626748</v>
      </c>
      <c r="AE4061" s="2">
        <f>VLOOKUP(I4061,[1]媒体政策预估表!A:N,MATCH(O4061,[1]媒体政策预估表!$A$2:$M$2,0),0)</f>
        <v>7.0000000000000007E-2</v>
      </c>
      <c r="AF4061" s="6">
        <f t="shared" si="630"/>
        <v>43872.36</v>
      </c>
      <c r="AG4061" s="14">
        <v>0</v>
      </c>
      <c r="AH4061" s="65">
        <f t="shared" si="625"/>
        <v>626748</v>
      </c>
      <c r="AI4061" s="47"/>
      <c r="AJ4061" s="126" t="e">
        <v>#N/A</v>
      </c>
      <c r="AK4061" s="80">
        <f t="shared" si="628"/>
        <v>0</v>
      </c>
      <c r="AM4061" s="85"/>
    </row>
    <row r="4062" spans="1:39" hidden="1" x14ac:dyDescent="0.3">
      <c r="A4062" s="89" t="s">
        <v>3395</v>
      </c>
      <c r="B4062" s="86" t="s">
        <v>35</v>
      </c>
      <c r="C4062" s="86" t="s">
        <v>164</v>
      </c>
      <c r="D4062" s="86" t="s">
        <v>165</v>
      </c>
      <c r="E4062" s="86" t="s">
        <v>3553</v>
      </c>
      <c r="F4062" s="86" t="s">
        <v>3553</v>
      </c>
      <c r="G4062" s="86" t="s">
        <v>3553</v>
      </c>
      <c r="H4062" s="144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3553</v>
      </c>
      <c r="N4062" s="86"/>
      <c r="O4062" s="47" t="s">
        <v>410</v>
      </c>
      <c r="P4062" s="47" t="s">
        <v>41</v>
      </c>
      <c r="Q4062" s="14">
        <v>0</v>
      </c>
      <c r="R4062" s="143" t="s">
        <v>3554</v>
      </c>
      <c r="S4062" s="47"/>
      <c r="T4062" s="6">
        <v>0</v>
      </c>
      <c r="U4062" s="6">
        <v>10000</v>
      </c>
      <c r="V4062" s="6">
        <v>2597.6</v>
      </c>
      <c r="W4062" s="6">
        <f t="shared" si="622"/>
        <v>7402.4</v>
      </c>
      <c r="X4062" s="6">
        <f t="shared" si="623"/>
        <v>2597.6</v>
      </c>
      <c r="Y4062" s="13">
        <f t="shared" si="626"/>
        <v>0</v>
      </c>
      <c r="Z4062" s="14">
        <v>0</v>
      </c>
      <c r="AA4062" s="6">
        <v>0</v>
      </c>
      <c r="AB4062" s="4">
        <f t="shared" si="627"/>
        <v>2597.6</v>
      </c>
      <c r="AC4062" s="4">
        <f t="shared" si="629"/>
        <v>0</v>
      </c>
      <c r="AD4062" s="6">
        <f t="shared" si="624"/>
        <v>2597.6</v>
      </c>
      <c r="AE4062" s="2">
        <f>VLOOKUP(I4062,[1]媒体政策预估表!A:N,MATCH(O4062,[1]媒体政策预估表!$A$2:$M$2,0),0)</f>
        <v>7.0000000000000007E-2</v>
      </c>
      <c r="AF4062" s="6">
        <f t="shared" si="630"/>
        <v>181.83200000000002</v>
      </c>
      <c r="AG4062" s="14">
        <v>0</v>
      </c>
      <c r="AH4062" s="65">
        <f t="shared" si="625"/>
        <v>2597.6</v>
      </c>
      <c r="AI4062" s="47"/>
      <c r="AJ4062" s="126" t="e">
        <v>#N/A</v>
      </c>
      <c r="AK4062" s="80">
        <f t="shared" si="628"/>
        <v>0</v>
      </c>
      <c r="AM4062" s="85"/>
    </row>
    <row r="4063" spans="1:39" hidden="1" x14ac:dyDescent="0.3">
      <c r="A4063" s="89" t="s">
        <v>3395</v>
      </c>
      <c r="B4063" s="86" t="s">
        <v>35</v>
      </c>
      <c r="C4063" s="86" t="s">
        <v>164</v>
      </c>
      <c r="D4063" s="86" t="s">
        <v>165</v>
      </c>
      <c r="E4063" s="86" t="s">
        <v>1566</v>
      </c>
      <c r="F4063" s="86" t="s">
        <v>1566</v>
      </c>
      <c r="G4063" s="86" t="s">
        <v>1566</v>
      </c>
      <c r="H4063" s="144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1566</v>
      </c>
      <c r="N4063" s="86"/>
      <c r="O4063" s="47" t="s">
        <v>410</v>
      </c>
      <c r="P4063" s="47" t="s">
        <v>41</v>
      </c>
      <c r="Q4063" s="14">
        <v>0</v>
      </c>
      <c r="R4063" s="143" t="s">
        <v>1567</v>
      </c>
      <c r="S4063" s="47"/>
      <c r="T4063" s="6">
        <v>1025.7100000000501</v>
      </c>
      <c r="U4063" s="6">
        <v>145000</v>
      </c>
      <c r="V4063" s="6">
        <v>131932.79999999999</v>
      </c>
      <c r="W4063" s="6">
        <f t="shared" si="622"/>
        <v>14092.910000000062</v>
      </c>
      <c r="X4063" s="6">
        <f t="shared" si="623"/>
        <v>131932.79999999999</v>
      </c>
      <c r="Y4063" s="13">
        <f t="shared" si="626"/>
        <v>0</v>
      </c>
      <c r="Z4063" s="14">
        <v>0</v>
      </c>
      <c r="AA4063" s="6">
        <v>0</v>
      </c>
      <c r="AB4063" s="4">
        <f t="shared" si="627"/>
        <v>131932.79999999999</v>
      </c>
      <c r="AC4063" s="4">
        <f t="shared" si="629"/>
        <v>0</v>
      </c>
      <c r="AD4063" s="6">
        <f t="shared" si="624"/>
        <v>131932.79999999999</v>
      </c>
      <c r="AE4063" s="2">
        <f>VLOOKUP(I4063,[1]媒体政策预估表!A:N,MATCH(O4063,[1]媒体政策预估表!$A$2:$M$2,0),0)</f>
        <v>7.0000000000000007E-2</v>
      </c>
      <c r="AF4063" s="6">
        <f t="shared" si="630"/>
        <v>9235.2960000000003</v>
      </c>
      <c r="AG4063" s="14">
        <v>0</v>
      </c>
      <c r="AH4063" s="65">
        <f t="shared" si="625"/>
        <v>131932.79999999999</v>
      </c>
      <c r="AI4063" s="47"/>
      <c r="AJ4063" s="126" t="e">
        <v>#N/A</v>
      </c>
      <c r="AK4063" s="80">
        <f t="shared" si="628"/>
        <v>0</v>
      </c>
      <c r="AM4063" s="85"/>
    </row>
    <row r="4064" spans="1:39" hidden="1" x14ac:dyDescent="0.3">
      <c r="A4064" s="89" t="s">
        <v>3395</v>
      </c>
      <c r="B4064" s="86" t="s">
        <v>35</v>
      </c>
      <c r="C4064" s="86" t="s">
        <v>164</v>
      </c>
      <c r="D4064" s="86" t="s">
        <v>165</v>
      </c>
      <c r="E4064" s="86" t="s">
        <v>1570</v>
      </c>
      <c r="F4064" s="86" t="s">
        <v>1570</v>
      </c>
      <c r="G4064" s="86" t="s">
        <v>1570</v>
      </c>
      <c r="H4064" s="144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1570</v>
      </c>
      <c r="N4064" s="86"/>
      <c r="O4064" s="47" t="s">
        <v>410</v>
      </c>
      <c r="P4064" s="47" t="s">
        <v>41</v>
      </c>
      <c r="Q4064" s="14">
        <v>0</v>
      </c>
      <c r="R4064" s="143">
        <v>17638827813</v>
      </c>
      <c r="S4064" s="47"/>
      <c r="T4064" s="6">
        <v>450.70000000000073</v>
      </c>
      <c r="U4064" s="6">
        <v>5000</v>
      </c>
      <c r="V4064" s="6">
        <v>609</v>
      </c>
      <c r="W4064" s="6">
        <f t="shared" si="622"/>
        <v>4841.7000000000007</v>
      </c>
      <c r="X4064" s="6">
        <f t="shared" si="623"/>
        <v>609</v>
      </c>
      <c r="Y4064" s="13">
        <f t="shared" si="626"/>
        <v>0</v>
      </c>
      <c r="Z4064" s="14">
        <v>0</v>
      </c>
      <c r="AA4064" s="6">
        <v>0</v>
      </c>
      <c r="AB4064" s="4">
        <f t="shared" si="627"/>
        <v>609</v>
      </c>
      <c r="AC4064" s="4">
        <f t="shared" si="629"/>
        <v>0</v>
      </c>
      <c r="AD4064" s="6">
        <f t="shared" si="624"/>
        <v>609</v>
      </c>
      <c r="AE4064" s="2">
        <f>VLOOKUP(I4064,[1]媒体政策预估表!A:N,MATCH(O4064,[1]媒体政策预估表!$A$2:$M$2,0),0)</f>
        <v>7.0000000000000007E-2</v>
      </c>
      <c r="AF4064" s="6">
        <f t="shared" si="630"/>
        <v>42.63</v>
      </c>
      <c r="AG4064" s="14">
        <v>0</v>
      </c>
      <c r="AH4064" s="65">
        <f t="shared" si="625"/>
        <v>609</v>
      </c>
      <c r="AI4064" s="47"/>
      <c r="AJ4064" s="126" t="e">
        <v>#N/A</v>
      </c>
      <c r="AK4064" s="80">
        <f t="shared" si="628"/>
        <v>0</v>
      </c>
      <c r="AM4064" s="85"/>
    </row>
    <row r="4065" spans="1:39" hidden="1" x14ac:dyDescent="0.3">
      <c r="A4065" s="89" t="s">
        <v>3397</v>
      </c>
      <c r="B4065" s="86" t="s">
        <v>35</v>
      </c>
      <c r="C4065" s="86" t="s">
        <v>164</v>
      </c>
      <c r="D4065" s="86" t="s">
        <v>165</v>
      </c>
      <c r="E4065" s="86" t="s">
        <v>1571</v>
      </c>
      <c r="F4065" s="86" t="s">
        <v>1571</v>
      </c>
      <c r="G4065" s="86" t="s">
        <v>1571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1571</v>
      </c>
      <c r="N4065" s="86"/>
      <c r="O4065" s="47" t="s">
        <v>410</v>
      </c>
      <c r="P4065" s="47" t="s">
        <v>41</v>
      </c>
      <c r="Q4065" s="14">
        <v>0</v>
      </c>
      <c r="R4065" s="143" t="s">
        <v>1572</v>
      </c>
      <c r="S4065" s="47"/>
      <c r="T4065" s="6">
        <v>10497.08501000001</v>
      </c>
      <c r="U4065" s="6">
        <v>60000</v>
      </c>
      <c r="V4065" s="6">
        <v>57833.4</v>
      </c>
      <c r="W4065" s="6">
        <f t="shared" si="622"/>
        <v>12663.685010000008</v>
      </c>
      <c r="X4065" s="6">
        <f t="shared" si="623"/>
        <v>57833.4</v>
      </c>
      <c r="Y4065" s="13">
        <f t="shared" si="626"/>
        <v>0</v>
      </c>
      <c r="Z4065" s="14">
        <v>0</v>
      </c>
      <c r="AA4065" s="6">
        <v>0</v>
      </c>
      <c r="AB4065" s="4">
        <f t="shared" si="627"/>
        <v>57833.4</v>
      </c>
      <c r="AC4065" s="4">
        <f t="shared" si="629"/>
        <v>0</v>
      </c>
      <c r="AD4065" s="6">
        <f t="shared" si="624"/>
        <v>57833.4</v>
      </c>
      <c r="AE4065" s="2">
        <f>VLOOKUP(I4065,[1]媒体政策预估表!A:N,MATCH(O4065,[1]媒体政策预估表!$A$2:$M$2,0),0)</f>
        <v>7.0000000000000007E-2</v>
      </c>
      <c r="AF4065" s="6">
        <f t="shared" si="630"/>
        <v>4048.3380000000006</v>
      </c>
      <c r="AG4065" s="14">
        <v>0</v>
      </c>
      <c r="AH4065" s="65">
        <f t="shared" si="625"/>
        <v>57833.4</v>
      </c>
      <c r="AI4065" s="47"/>
      <c r="AJ4065" s="126" t="e">
        <v>#N/A</v>
      </c>
      <c r="AK4065" s="80">
        <f t="shared" si="628"/>
        <v>0</v>
      </c>
      <c r="AM4065" s="85"/>
    </row>
    <row r="4066" spans="1:39" hidden="1" x14ac:dyDescent="0.3">
      <c r="A4066" s="89" t="s">
        <v>3394</v>
      </c>
      <c r="B4066" s="86" t="s">
        <v>35</v>
      </c>
      <c r="C4066" s="86" t="s">
        <v>164</v>
      </c>
      <c r="D4066" s="86" t="s">
        <v>169</v>
      </c>
      <c r="E4066" s="86" t="s">
        <v>1573</v>
      </c>
      <c r="F4066" s="86" t="s">
        <v>1573</v>
      </c>
      <c r="G4066" s="86" t="s">
        <v>1573</v>
      </c>
      <c r="H4066" s="144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1573</v>
      </c>
      <c r="N4066" s="86"/>
      <c r="O4066" s="47" t="s">
        <v>410</v>
      </c>
      <c r="P4066" s="47" t="s">
        <v>41</v>
      </c>
      <c r="Q4066" s="14">
        <v>0</v>
      </c>
      <c r="R4066" s="143" t="s">
        <v>1574</v>
      </c>
      <c r="S4066" s="47"/>
      <c r="T4066" s="6">
        <v>8283</v>
      </c>
      <c r="U4066" s="6">
        <v>50000</v>
      </c>
      <c r="V4066" s="6">
        <v>34214.9</v>
      </c>
      <c r="W4066" s="6">
        <f t="shared" si="622"/>
        <v>24068.1</v>
      </c>
      <c r="X4066" s="6">
        <f t="shared" si="623"/>
        <v>34214.9</v>
      </c>
      <c r="Y4066" s="13">
        <f t="shared" si="626"/>
        <v>0</v>
      </c>
      <c r="Z4066" s="14">
        <v>0</v>
      </c>
      <c r="AA4066" s="6">
        <v>0</v>
      </c>
      <c r="AB4066" s="4">
        <f t="shared" si="627"/>
        <v>34214.9</v>
      </c>
      <c r="AC4066" s="4">
        <f t="shared" si="629"/>
        <v>0</v>
      </c>
      <c r="AD4066" s="6">
        <f t="shared" si="624"/>
        <v>34214.9</v>
      </c>
      <c r="AE4066" s="2">
        <f>VLOOKUP(I4066,[1]媒体政策预估表!A:N,MATCH(O4066,[1]媒体政策预估表!$A$2:$M$2,0),0)</f>
        <v>7.0000000000000007E-2</v>
      </c>
      <c r="AF4066" s="6">
        <f t="shared" si="630"/>
        <v>2395.0430000000001</v>
      </c>
      <c r="AG4066" s="14">
        <v>0</v>
      </c>
      <c r="AH4066" s="65">
        <f t="shared" si="625"/>
        <v>34214.9</v>
      </c>
      <c r="AI4066" s="47"/>
      <c r="AJ4066" s="126" t="e">
        <v>#N/A</v>
      </c>
      <c r="AK4066" s="80">
        <f t="shared" si="628"/>
        <v>0</v>
      </c>
      <c r="AM4066" s="85"/>
    </row>
    <row r="4067" spans="1:39" hidden="1" x14ac:dyDescent="0.3">
      <c r="A4067" s="89" t="s">
        <v>3395</v>
      </c>
      <c r="B4067" s="86" t="s">
        <v>35</v>
      </c>
      <c r="C4067" s="86" t="s">
        <v>164</v>
      </c>
      <c r="D4067" s="86" t="s">
        <v>169</v>
      </c>
      <c r="E4067" s="86" t="s">
        <v>1575</v>
      </c>
      <c r="F4067" s="86" t="s">
        <v>1575</v>
      </c>
      <c r="G4067" s="86" t="s">
        <v>1575</v>
      </c>
      <c r="H4067" s="144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1575</v>
      </c>
      <c r="N4067" s="86"/>
      <c r="O4067" s="47" t="s">
        <v>410</v>
      </c>
      <c r="P4067" s="47" t="s">
        <v>41</v>
      </c>
      <c r="Q4067" s="14">
        <v>0</v>
      </c>
      <c r="R4067" s="143" t="s">
        <v>1576</v>
      </c>
      <c r="S4067" s="47"/>
      <c r="T4067" s="6">
        <v>87418.800000000047</v>
      </c>
      <c r="U4067" s="6">
        <v>2240000</v>
      </c>
      <c r="V4067" s="6">
        <v>1469046.8</v>
      </c>
      <c r="W4067" s="6">
        <f t="shared" si="622"/>
        <v>858371.99999999977</v>
      </c>
      <c r="X4067" s="6">
        <f t="shared" si="623"/>
        <v>1469046.8</v>
      </c>
      <c r="Y4067" s="13">
        <f t="shared" si="626"/>
        <v>0</v>
      </c>
      <c r="Z4067" s="14">
        <v>0</v>
      </c>
      <c r="AA4067" s="6">
        <v>0</v>
      </c>
      <c r="AB4067" s="4">
        <f t="shared" si="627"/>
        <v>1469046.8</v>
      </c>
      <c r="AC4067" s="4">
        <f t="shared" si="629"/>
        <v>0</v>
      </c>
      <c r="AD4067" s="6">
        <f t="shared" si="624"/>
        <v>1469046.8</v>
      </c>
      <c r="AE4067" s="2">
        <f>VLOOKUP(I4067,[1]媒体政策预估表!A:N,MATCH(O4067,[1]媒体政策预估表!$A$2:$M$2,0),0)</f>
        <v>7.0000000000000007E-2</v>
      </c>
      <c r="AF4067" s="6">
        <f t="shared" si="630"/>
        <v>102833.27600000001</v>
      </c>
      <c r="AG4067" s="14">
        <v>0</v>
      </c>
      <c r="AH4067" s="65">
        <f t="shared" si="625"/>
        <v>1469046.8</v>
      </c>
      <c r="AI4067" s="47"/>
      <c r="AJ4067" s="126" t="e">
        <v>#N/A</v>
      </c>
      <c r="AK4067" s="80">
        <f t="shared" si="628"/>
        <v>0</v>
      </c>
      <c r="AM4067" s="85"/>
    </row>
    <row r="4068" spans="1:39" hidden="1" x14ac:dyDescent="0.3">
      <c r="A4068" s="89" t="s">
        <v>3395</v>
      </c>
      <c r="B4068" s="86" t="s">
        <v>35</v>
      </c>
      <c r="C4068" s="86" t="s">
        <v>164</v>
      </c>
      <c r="D4068" s="86" t="s">
        <v>169</v>
      </c>
      <c r="E4068" s="86" t="s">
        <v>1577</v>
      </c>
      <c r="F4068" s="86" t="s">
        <v>1577</v>
      </c>
      <c r="G4068" s="86" t="s">
        <v>1577</v>
      </c>
      <c r="H4068" s="144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1577</v>
      </c>
      <c r="N4068" s="86"/>
      <c r="O4068" s="47" t="s">
        <v>410</v>
      </c>
      <c r="P4068" s="47" t="s">
        <v>41</v>
      </c>
      <c r="Q4068" s="14">
        <v>0</v>
      </c>
      <c r="R4068" s="143" t="s">
        <v>1578</v>
      </c>
      <c r="S4068" s="47"/>
      <c r="T4068" s="6">
        <v>110677.50083999988</v>
      </c>
      <c r="U4068" s="6">
        <v>2650000</v>
      </c>
      <c r="V4068" s="6">
        <v>2608887.2599999998</v>
      </c>
      <c r="W4068" s="6">
        <f t="shared" si="622"/>
        <v>151790.2408400001</v>
      </c>
      <c r="X4068" s="6">
        <f t="shared" si="623"/>
        <v>2608887.2599999998</v>
      </c>
      <c r="Y4068" s="13">
        <f t="shared" si="626"/>
        <v>0</v>
      </c>
      <c r="Z4068" s="14">
        <v>0</v>
      </c>
      <c r="AA4068" s="6">
        <v>0</v>
      </c>
      <c r="AB4068" s="4">
        <f t="shared" si="627"/>
        <v>2608887.2599999998</v>
      </c>
      <c r="AC4068" s="4">
        <f t="shared" si="629"/>
        <v>0</v>
      </c>
      <c r="AD4068" s="6">
        <f t="shared" si="624"/>
        <v>2608887.2599999998</v>
      </c>
      <c r="AE4068" s="2">
        <f>VLOOKUP(I4068,[1]媒体政策预估表!A:N,MATCH(O4068,[1]媒体政策预估表!$A$2:$M$2,0),0)</f>
        <v>7.0000000000000007E-2</v>
      </c>
      <c r="AF4068" s="6">
        <f t="shared" si="630"/>
        <v>182622.10819999999</v>
      </c>
      <c r="AG4068" s="14">
        <v>0</v>
      </c>
      <c r="AH4068" s="65">
        <f t="shared" si="625"/>
        <v>2608887.2599999998</v>
      </c>
      <c r="AI4068" s="47"/>
      <c r="AJ4068" s="126" t="e">
        <v>#N/A</v>
      </c>
      <c r="AK4068" s="80">
        <f t="shared" si="628"/>
        <v>0</v>
      </c>
      <c r="AM4068" s="85"/>
    </row>
    <row r="4069" spans="1:39" hidden="1" x14ac:dyDescent="0.3">
      <c r="A4069" s="89" t="s">
        <v>3395</v>
      </c>
      <c r="B4069" s="86" t="s">
        <v>35</v>
      </c>
      <c r="C4069" s="86" t="s">
        <v>164</v>
      </c>
      <c r="D4069" s="86" t="s">
        <v>169</v>
      </c>
      <c r="E4069" s="86" t="s">
        <v>1579</v>
      </c>
      <c r="F4069" s="86" t="s">
        <v>1579</v>
      </c>
      <c r="G4069" s="86" t="s">
        <v>1579</v>
      </c>
      <c r="H4069" s="144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1579</v>
      </c>
      <c r="N4069" s="86"/>
      <c r="O4069" s="47" t="s">
        <v>410</v>
      </c>
      <c r="P4069" s="47" t="s">
        <v>41</v>
      </c>
      <c r="Q4069" s="14">
        <v>0</v>
      </c>
      <c r="R4069" s="143" t="s">
        <v>1580</v>
      </c>
      <c r="S4069" s="47"/>
      <c r="T4069" s="6">
        <v>95326.900000000023</v>
      </c>
      <c r="U4069" s="6">
        <v>620000</v>
      </c>
      <c r="V4069" s="6">
        <v>528119.6</v>
      </c>
      <c r="W4069" s="6">
        <f t="shared" si="622"/>
        <v>187207.30000000005</v>
      </c>
      <c r="X4069" s="6">
        <f t="shared" si="623"/>
        <v>528119.6</v>
      </c>
      <c r="Y4069" s="13">
        <f t="shared" si="626"/>
        <v>0</v>
      </c>
      <c r="Z4069" s="14">
        <v>0</v>
      </c>
      <c r="AA4069" s="6">
        <v>0</v>
      </c>
      <c r="AB4069" s="4">
        <f t="shared" si="627"/>
        <v>528119.6</v>
      </c>
      <c r="AC4069" s="4">
        <f t="shared" si="629"/>
        <v>0</v>
      </c>
      <c r="AD4069" s="6">
        <f t="shared" si="624"/>
        <v>528119.6</v>
      </c>
      <c r="AE4069" s="2">
        <f>VLOOKUP(I4069,[1]媒体政策预估表!A:N,MATCH(O4069,[1]媒体政策预估表!$A$2:$M$2,0),0)</f>
        <v>7.0000000000000007E-2</v>
      </c>
      <c r="AF4069" s="6">
        <f t="shared" si="630"/>
        <v>36968.372000000003</v>
      </c>
      <c r="AG4069" s="14">
        <v>0</v>
      </c>
      <c r="AH4069" s="65">
        <f t="shared" si="625"/>
        <v>528119.6</v>
      </c>
      <c r="AI4069" s="47"/>
      <c r="AJ4069" s="126" t="e">
        <v>#N/A</v>
      </c>
      <c r="AK4069" s="80">
        <f t="shared" si="628"/>
        <v>0</v>
      </c>
      <c r="AM4069" s="85"/>
    </row>
    <row r="4070" spans="1:39" hidden="1" x14ac:dyDescent="0.3">
      <c r="A4070" s="89" t="s">
        <v>3395</v>
      </c>
      <c r="B4070" s="86" t="s">
        <v>35</v>
      </c>
      <c r="C4070" s="86" t="s">
        <v>164</v>
      </c>
      <c r="D4070" s="86" t="s">
        <v>169</v>
      </c>
      <c r="E4070" s="86" t="s">
        <v>724</v>
      </c>
      <c r="F4070" s="86" t="s">
        <v>724</v>
      </c>
      <c r="G4070" s="86" t="s">
        <v>724</v>
      </c>
      <c r="H4070" s="144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1581</v>
      </c>
      <c r="N4070" s="86"/>
      <c r="O4070" s="47" t="s">
        <v>410</v>
      </c>
      <c r="P4070" s="47" t="s">
        <v>41</v>
      </c>
      <c r="Q4070" s="14">
        <v>0</v>
      </c>
      <c r="R4070" s="143" t="s">
        <v>1582</v>
      </c>
      <c r="S4070" s="47"/>
      <c r="T4070" s="6">
        <v>8632</v>
      </c>
      <c r="U4070" s="6">
        <v>20000</v>
      </c>
      <c r="V4070" s="6">
        <v>19497.599999999999</v>
      </c>
      <c r="W4070" s="6">
        <f t="shared" si="622"/>
        <v>9134.4000000000015</v>
      </c>
      <c r="X4070" s="6">
        <f t="shared" si="623"/>
        <v>19497.599999999999</v>
      </c>
      <c r="Y4070" s="13">
        <f t="shared" si="626"/>
        <v>0</v>
      </c>
      <c r="Z4070" s="14">
        <v>0</v>
      </c>
      <c r="AA4070" s="6">
        <v>0</v>
      </c>
      <c r="AB4070" s="4">
        <f t="shared" si="627"/>
        <v>19497.599999999999</v>
      </c>
      <c r="AC4070" s="4">
        <f t="shared" si="629"/>
        <v>0</v>
      </c>
      <c r="AD4070" s="6">
        <f t="shared" si="624"/>
        <v>19497.599999999999</v>
      </c>
      <c r="AE4070" s="2">
        <f>VLOOKUP(I4070,[1]媒体政策预估表!A:N,MATCH(O4070,[1]媒体政策预估表!$A$2:$M$2,0),0)</f>
        <v>7.0000000000000007E-2</v>
      </c>
      <c r="AF4070" s="6">
        <f t="shared" si="630"/>
        <v>1364.8320000000001</v>
      </c>
      <c r="AG4070" s="14">
        <v>0</v>
      </c>
      <c r="AH4070" s="65">
        <f t="shared" si="625"/>
        <v>19497.599999999999</v>
      </c>
      <c r="AI4070" s="47"/>
      <c r="AJ4070" s="126" t="e">
        <v>#N/A</v>
      </c>
      <c r="AK4070" s="80">
        <f t="shared" si="628"/>
        <v>0</v>
      </c>
      <c r="AM4070" s="85"/>
    </row>
    <row r="4071" spans="1:39" hidden="1" x14ac:dyDescent="0.3">
      <c r="A4071" s="89" t="s">
        <v>3395</v>
      </c>
      <c r="B4071" s="86" t="s">
        <v>35</v>
      </c>
      <c r="C4071" s="86" t="s">
        <v>164</v>
      </c>
      <c r="D4071" s="86" t="s">
        <v>169</v>
      </c>
      <c r="E4071" s="86" t="s">
        <v>724</v>
      </c>
      <c r="F4071" s="86" t="s">
        <v>724</v>
      </c>
      <c r="G4071" s="86" t="s">
        <v>724</v>
      </c>
      <c r="H4071" s="144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1583</v>
      </c>
      <c r="N4071" s="86"/>
      <c r="O4071" s="47" t="s">
        <v>410</v>
      </c>
      <c r="P4071" s="47" t="s">
        <v>41</v>
      </c>
      <c r="Q4071" s="14">
        <v>0</v>
      </c>
      <c r="R4071" s="143" t="s">
        <v>1584</v>
      </c>
      <c r="S4071" s="47"/>
      <c r="T4071" s="6">
        <v>26385.1</v>
      </c>
      <c r="U4071" s="6">
        <v>0</v>
      </c>
      <c r="V4071" s="6">
        <v>21112.799999999999</v>
      </c>
      <c r="W4071" s="6">
        <f t="shared" si="622"/>
        <v>5272.2999999999993</v>
      </c>
      <c r="X4071" s="6">
        <f t="shared" si="623"/>
        <v>21112.799999999999</v>
      </c>
      <c r="Y4071" s="13">
        <f t="shared" si="626"/>
        <v>0</v>
      </c>
      <c r="Z4071" s="14">
        <v>0</v>
      </c>
      <c r="AA4071" s="6">
        <v>0</v>
      </c>
      <c r="AB4071" s="4">
        <f t="shared" si="627"/>
        <v>21112.799999999999</v>
      </c>
      <c r="AC4071" s="4">
        <f t="shared" si="629"/>
        <v>0</v>
      </c>
      <c r="AD4071" s="6">
        <f t="shared" si="624"/>
        <v>21112.799999999999</v>
      </c>
      <c r="AE4071" s="2">
        <f>VLOOKUP(I4071,[1]媒体政策预估表!A:N,MATCH(O4071,[1]媒体政策预估表!$A$2:$M$2,0),0)</f>
        <v>7.0000000000000007E-2</v>
      </c>
      <c r="AF4071" s="6">
        <f t="shared" si="630"/>
        <v>1477.8960000000002</v>
      </c>
      <c r="AG4071" s="14">
        <v>0</v>
      </c>
      <c r="AH4071" s="65">
        <f t="shared" si="625"/>
        <v>21112.799999999999</v>
      </c>
      <c r="AI4071" s="47"/>
      <c r="AJ4071" s="126" t="e">
        <v>#N/A</v>
      </c>
      <c r="AK4071" s="80">
        <f t="shared" si="628"/>
        <v>0</v>
      </c>
      <c r="AM4071" s="85"/>
    </row>
    <row r="4072" spans="1:39" hidden="1" x14ac:dyDescent="0.3">
      <c r="A4072" s="89" t="s">
        <v>3395</v>
      </c>
      <c r="B4072" s="86" t="s">
        <v>35</v>
      </c>
      <c r="C4072" s="86" t="s">
        <v>164</v>
      </c>
      <c r="D4072" s="86" t="s">
        <v>169</v>
      </c>
      <c r="E4072" s="86" t="s">
        <v>724</v>
      </c>
      <c r="F4072" s="86" t="s">
        <v>724</v>
      </c>
      <c r="G4072" s="86" t="s">
        <v>724</v>
      </c>
      <c r="H4072" s="144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724</v>
      </c>
      <c r="N4072" s="86"/>
      <c r="O4072" s="47" t="s">
        <v>410</v>
      </c>
      <c r="P4072" s="47" t="s">
        <v>41</v>
      </c>
      <c r="Q4072" s="14">
        <v>0</v>
      </c>
      <c r="R4072" s="143" t="s">
        <v>1585</v>
      </c>
      <c r="S4072" s="47"/>
      <c r="T4072" s="6">
        <v>72160.100000000006</v>
      </c>
      <c r="U4072" s="6">
        <v>350000</v>
      </c>
      <c r="V4072" s="6">
        <v>334016.59999999998</v>
      </c>
      <c r="W4072" s="6">
        <f t="shared" si="622"/>
        <v>88143.5</v>
      </c>
      <c r="X4072" s="6">
        <f t="shared" si="623"/>
        <v>334016.59999999998</v>
      </c>
      <c r="Y4072" s="13">
        <f t="shared" si="626"/>
        <v>0</v>
      </c>
      <c r="Z4072" s="14">
        <v>0</v>
      </c>
      <c r="AA4072" s="6">
        <v>0</v>
      </c>
      <c r="AB4072" s="4">
        <f t="shared" si="627"/>
        <v>334016.59999999998</v>
      </c>
      <c r="AC4072" s="4">
        <f t="shared" si="629"/>
        <v>0</v>
      </c>
      <c r="AD4072" s="6">
        <f t="shared" si="624"/>
        <v>334016.59999999998</v>
      </c>
      <c r="AE4072" s="2">
        <f>VLOOKUP(I4072,[1]媒体政策预估表!A:N,MATCH(O4072,[1]媒体政策预估表!$A$2:$M$2,0),0)</f>
        <v>7.0000000000000007E-2</v>
      </c>
      <c r="AF4072" s="6">
        <f t="shared" si="630"/>
        <v>23381.162</v>
      </c>
      <c r="AG4072" s="14">
        <v>0</v>
      </c>
      <c r="AH4072" s="65">
        <f t="shared" si="625"/>
        <v>334016.59999999998</v>
      </c>
      <c r="AI4072" s="47"/>
      <c r="AJ4072" s="126" t="e">
        <v>#N/A</v>
      </c>
      <c r="AK4072" s="80">
        <f t="shared" si="628"/>
        <v>0</v>
      </c>
      <c r="AM4072" s="85"/>
    </row>
    <row r="4073" spans="1:39" hidden="1" x14ac:dyDescent="0.3">
      <c r="A4073" s="89" t="s">
        <v>3395</v>
      </c>
      <c r="B4073" s="86" t="s">
        <v>35</v>
      </c>
      <c r="C4073" s="86" t="s">
        <v>164</v>
      </c>
      <c r="D4073" s="86" t="s">
        <v>169</v>
      </c>
      <c r="E4073" s="86" t="s">
        <v>724</v>
      </c>
      <c r="F4073" s="86" t="s">
        <v>724</v>
      </c>
      <c r="G4073" s="86" t="s">
        <v>724</v>
      </c>
      <c r="H4073" s="144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1586</v>
      </c>
      <c r="N4073" s="86"/>
      <c r="O4073" s="47" t="s">
        <v>410</v>
      </c>
      <c r="P4073" s="47" t="s">
        <v>41</v>
      </c>
      <c r="Q4073" s="14">
        <v>0</v>
      </c>
      <c r="R4073" s="143" t="s">
        <v>1587</v>
      </c>
      <c r="S4073" s="47"/>
      <c r="T4073" s="6">
        <v>45229.899999999994</v>
      </c>
      <c r="U4073" s="6">
        <v>60000</v>
      </c>
      <c r="V4073" s="6">
        <v>60963.4</v>
      </c>
      <c r="W4073" s="6">
        <f t="shared" si="622"/>
        <v>44266.499999999993</v>
      </c>
      <c r="X4073" s="6">
        <f t="shared" si="623"/>
        <v>60963.4</v>
      </c>
      <c r="Y4073" s="13">
        <f t="shared" si="626"/>
        <v>0</v>
      </c>
      <c r="Z4073" s="14">
        <v>0</v>
      </c>
      <c r="AA4073" s="6">
        <v>0</v>
      </c>
      <c r="AB4073" s="4">
        <f t="shared" si="627"/>
        <v>60963.4</v>
      </c>
      <c r="AC4073" s="4">
        <f t="shared" si="629"/>
        <v>0</v>
      </c>
      <c r="AD4073" s="6">
        <f t="shared" si="624"/>
        <v>60963.4</v>
      </c>
      <c r="AE4073" s="2">
        <f>VLOOKUP(I4073,[1]媒体政策预估表!A:N,MATCH(O4073,[1]媒体政策预估表!$A$2:$M$2,0),0)</f>
        <v>7.0000000000000007E-2</v>
      </c>
      <c r="AF4073" s="6">
        <f t="shared" si="630"/>
        <v>4267.4380000000001</v>
      </c>
      <c r="AG4073" s="14">
        <v>0</v>
      </c>
      <c r="AH4073" s="65">
        <f t="shared" si="625"/>
        <v>60963.4</v>
      </c>
      <c r="AI4073" s="47"/>
      <c r="AJ4073" s="126" t="e">
        <v>#N/A</v>
      </c>
      <c r="AK4073" s="80">
        <f t="shared" si="628"/>
        <v>0</v>
      </c>
      <c r="AM4073" s="85"/>
    </row>
    <row r="4074" spans="1:39" hidden="1" x14ac:dyDescent="0.3">
      <c r="A4074" s="89" t="s">
        <v>3394</v>
      </c>
      <c r="B4074" s="86" t="s">
        <v>35</v>
      </c>
      <c r="C4074" s="86" t="s">
        <v>164</v>
      </c>
      <c r="D4074" s="86" t="s">
        <v>169</v>
      </c>
      <c r="E4074" s="86" t="s">
        <v>1588</v>
      </c>
      <c r="F4074" s="86" t="s">
        <v>1588</v>
      </c>
      <c r="G4074" s="86" t="s">
        <v>1588</v>
      </c>
      <c r="H4074" s="144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1589</v>
      </c>
      <c r="N4074" s="86"/>
      <c r="O4074" s="47" t="s">
        <v>410</v>
      </c>
      <c r="P4074" s="47" t="s">
        <v>41</v>
      </c>
      <c r="Q4074" s="14">
        <v>0</v>
      </c>
      <c r="R4074" s="143" t="s">
        <v>1590</v>
      </c>
      <c r="S4074" s="47"/>
      <c r="T4074" s="6">
        <v>14724</v>
      </c>
      <c r="U4074" s="6">
        <v>80000</v>
      </c>
      <c r="V4074" s="6">
        <v>64854.3</v>
      </c>
      <c r="W4074" s="6">
        <f t="shared" si="622"/>
        <v>29869.699999999997</v>
      </c>
      <c r="X4074" s="6">
        <f t="shared" si="623"/>
        <v>64854.3</v>
      </c>
      <c r="Y4074" s="13">
        <f t="shared" si="626"/>
        <v>0</v>
      </c>
      <c r="Z4074" s="14">
        <v>0</v>
      </c>
      <c r="AA4074" s="6">
        <v>0</v>
      </c>
      <c r="AB4074" s="4">
        <f t="shared" si="627"/>
        <v>64854.3</v>
      </c>
      <c r="AC4074" s="4">
        <f t="shared" si="629"/>
        <v>0</v>
      </c>
      <c r="AD4074" s="6">
        <f t="shared" si="624"/>
        <v>64854.3</v>
      </c>
      <c r="AE4074" s="2">
        <f>VLOOKUP(I4074,[1]媒体政策预估表!A:N,MATCH(O4074,[1]媒体政策预估表!$A$2:$M$2,0),0)</f>
        <v>7.0000000000000007E-2</v>
      </c>
      <c r="AF4074" s="6">
        <f t="shared" si="630"/>
        <v>4539.8010000000004</v>
      </c>
      <c r="AG4074" s="14">
        <v>0</v>
      </c>
      <c r="AH4074" s="65">
        <f t="shared" si="625"/>
        <v>64854.3</v>
      </c>
      <c r="AI4074" s="47"/>
      <c r="AJ4074" s="126" t="e">
        <v>#N/A</v>
      </c>
      <c r="AK4074" s="80">
        <f t="shared" si="628"/>
        <v>0</v>
      </c>
      <c r="AM4074" s="85"/>
    </row>
    <row r="4075" spans="1:39" hidden="1" x14ac:dyDescent="0.3">
      <c r="A4075" s="89" t="s">
        <v>3394</v>
      </c>
      <c r="B4075" s="86" t="s">
        <v>35</v>
      </c>
      <c r="C4075" s="86" t="s">
        <v>164</v>
      </c>
      <c r="D4075" s="86" t="s">
        <v>169</v>
      </c>
      <c r="E4075" s="86" t="s">
        <v>1588</v>
      </c>
      <c r="F4075" s="86" t="s">
        <v>1588</v>
      </c>
      <c r="G4075" s="86" t="s">
        <v>1588</v>
      </c>
      <c r="H4075" s="144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1591</v>
      </c>
      <c r="N4075" s="86"/>
      <c r="O4075" s="47" t="s">
        <v>410</v>
      </c>
      <c r="P4075" s="47" t="s">
        <v>41</v>
      </c>
      <c r="Q4075" s="14">
        <v>0</v>
      </c>
      <c r="R4075" s="143" t="s">
        <v>1592</v>
      </c>
      <c r="S4075" s="47"/>
      <c r="T4075" s="6">
        <v>14695.70000000003</v>
      </c>
      <c r="U4075" s="6">
        <v>80000</v>
      </c>
      <c r="V4075" s="6">
        <v>62696.3</v>
      </c>
      <c r="W4075" s="6">
        <f t="shared" si="622"/>
        <v>31999.400000000023</v>
      </c>
      <c r="X4075" s="6">
        <f t="shared" si="623"/>
        <v>62696.3</v>
      </c>
      <c r="Y4075" s="13">
        <f t="shared" si="626"/>
        <v>0</v>
      </c>
      <c r="Z4075" s="14">
        <v>0</v>
      </c>
      <c r="AA4075" s="6">
        <v>0</v>
      </c>
      <c r="AB4075" s="4">
        <f t="shared" si="627"/>
        <v>62696.3</v>
      </c>
      <c r="AC4075" s="4">
        <f t="shared" si="629"/>
        <v>0</v>
      </c>
      <c r="AD4075" s="6">
        <f t="shared" si="624"/>
        <v>62696.3</v>
      </c>
      <c r="AE4075" s="2">
        <f>VLOOKUP(I4075,[1]媒体政策预估表!A:N,MATCH(O4075,[1]媒体政策预估表!$A$2:$M$2,0),0)</f>
        <v>7.0000000000000007E-2</v>
      </c>
      <c r="AF4075" s="6">
        <f t="shared" si="630"/>
        <v>4388.7410000000009</v>
      </c>
      <c r="AG4075" s="14">
        <v>0</v>
      </c>
      <c r="AH4075" s="65">
        <f t="shared" si="625"/>
        <v>62696.3</v>
      </c>
      <c r="AI4075" s="47"/>
      <c r="AJ4075" s="126" t="e">
        <v>#N/A</v>
      </c>
      <c r="AK4075" s="80">
        <f t="shared" si="628"/>
        <v>0</v>
      </c>
      <c r="AM4075" s="85"/>
    </row>
    <row r="4076" spans="1:39" hidden="1" x14ac:dyDescent="0.3">
      <c r="A4076" s="89" t="s">
        <v>3394</v>
      </c>
      <c r="B4076" s="86" t="s">
        <v>35</v>
      </c>
      <c r="C4076" s="86" t="s">
        <v>164</v>
      </c>
      <c r="D4076" s="86" t="s">
        <v>169</v>
      </c>
      <c r="E4076" s="86" t="s">
        <v>1958</v>
      </c>
      <c r="F4076" s="86" t="s">
        <v>1958</v>
      </c>
      <c r="G4076" s="86" t="s">
        <v>1958</v>
      </c>
      <c r="H4076" s="144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1958</v>
      </c>
      <c r="N4076" s="86"/>
      <c r="O4076" s="47" t="s">
        <v>410</v>
      </c>
      <c r="P4076" s="47" t="s">
        <v>41</v>
      </c>
      <c r="Q4076" s="14">
        <v>0</v>
      </c>
      <c r="R4076" s="143" t="s">
        <v>1959</v>
      </c>
      <c r="S4076" s="47"/>
      <c r="T4076" s="6">
        <v>13516.5</v>
      </c>
      <c r="U4076" s="6">
        <v>100000</v>
      </c>
      <c r="V4076" s="6">
        <v>73817.5</v>
      </c>
      <c r="W4076" s="6">
        <f t="shared" si="622"/>
        <v>39699</v>
      </c>
      <c r="X4076" s="6">
        <f t="shared" si="623"/>
        <v>73817.5</v>
      </c>
      <c r="Y4076" s="13">
        <f t="shared" si="626"/>
        <v>0</v>
      </c>
      <c r="Z4076" s="14">
        <v>0</v>
      </c>
      <c r="AA4076" s="6">
        <v>0</v>
      </c>
      <c r="AB4076" s="4">
        <f t="shared" si="627"/>
        <v>73817.5</v>
      </c>
      <c r="AC4076" s="4">
        <f t="shared" si="629"/>
        <v>0</v>
      </c>
      <c r="AD4076" s="6">
        <f t="shared" si="624"/>
        <v>73817.5</v>
      </c>
      <c r="AE4076" s="2">
        <f>VLOOKUP(I4076,[1]媒体政策预估表!A:N,MATCH(O4076,[1]媒体政策预估表!$A$2:$M$2,0),0)</f>
        <v>7.0000000000000007E-2</v>
      </c>
      <c r="AF4076" s="6">
        <f t="shared" si="630"/>
        <v>5167.2250000000004</v>
      </c>
      <c r="AG4076" s="14">
        <v>0</v>
      </c>
      <c r="AH4076" s="65">
        <f t="shared" si="625"/>
        <v>73817.5</v>
      </c>
      <c r="AI4076" s="47"/>
      <c r="AJ4076" s="126" t="e">
        <v>#N/A</v>
      </c>
      <c r="AK4076" s="80">
        <f t="shared" si="628"/>
        <v>0</v>
      </c>
      <c r="AM4076" s="85"/>
    </row>
    <row r="4077" spans="1:39" hidden="1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1593</v>
      </c>
      <c r="F4077" s="86" t="s">
        <v>1594</v>
      </c>
      <c r="G4077" s="86" t="s">
        <v>1593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1595</v>
      </c>
      <c r="N4077" s="86"/>
      <c r="O4077" s="47" t="s">
        <v>410</v>
      </c>
      <c r="P4077" s="47" t="s">
        <v>41</v>
      </c>
      <c r="Q4077" s="14">
        <v>0</v>
      </c>
      <c r="R4077" s="143" t="s">
        <v>3555</v>
      </c>
      <c r="S4077" s="47"/>
      <c r="T4077" s="6">
        <v>321122.7</v>
      </c>
      <c r="U4077" s="6">
        <v>400000</v>
      </c>
      <c r="V4077" s="6">
        <v>329794.02687</v>
      </c>
      <c r="W4077" s="6">
        <f t="shared" si="622"/>
        <v>391328.67312999995</v>
      </c>
      <c r="X4077" s="6">
        <f t="shared" si="623"/>
        <v>329794.02687</v>
      </c>
      <c r="Y4077" s="13">
        <f t="shared" si="626"/>
        <v>0</v>
      </c>
      <c r="Z4077" s="14">
        <v>0</v>
      </c>
      <c r="AA4077" s="6">
        <v>0</v>
      </c>
      <c r="AB4077" s="4">
        <f t="shared" si="627"/>
        <v>329794.02687</v>
      </c>
      <c r="AC4077" s="4">
        <f t="shared" si="629"/>
        <v>0</v>
      </c>
      <c r="AD4077" s="6">
        <f t="shared" si="624"/>
        <v>329794.02687</v>
      </c>
      <c r="AE4077" s="2">
        <f>VLOOKUP(I4077,[1]媒体政策预估表!A:N,MATCH(O4077,[1]媒体政策预估表!$A$2:$M$2,0),0)</f>
        <v>7.0000000000000007E-2</v>
      </c>
      <c r="AF4077" s="6">
        <f t="shared" si="630"/>
        <v>23085.581880900001</v>
      </c>
      <c r="AG4077" s="14">
        <v>0</v>
      </c>
      <c r="AH4077" s="65">
        <f t="shared" si="625"/>
        <v>329794.02687</v>
      </c>
      <c r="AI4077" s="47"/>
      <c r="AJ4077" s="126" t="e">
        <v>#N/A</v>
      </c>
      <c r="AK4077" s="80">
        <f t="shared" si="628"/>
        <v>0</v>
      </c>
      <c r="AM4077" s="85"/>
    </row>
    <row r="4078" spans="1:39" hidden="1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1597</v>
      </c>
      <c r="F4078" s="86" t="s">
        <v>1597</v>
      </c>
      <c r="G4078" s="86" t="s">
        <v>1597</v>
      </c>
      <c r="H4078" s="144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1597</v>
      </c>
      <c r="N4078" s="86"/>
      <c r="O4078" s="47" t="s">
        <v>410</v>
      </c>
      <c r="P4078" s="47" t="s">
        <v>46</v>
      </c>
      <c r="Q4078" s="14">
        <v>0.01</v>
      </c>
      <c r="R4078" s="143" t="s">
        <v>1599</v>
      </c>
      <c r="S4078" s="47"/>
      <c r="T4078" s="6">
        <v>73212.040000000095</v>
      </c>
      <c r="U4078" s="6">
        <v>100000</v>
      </c>
      <c r="V4078" s="6">
        <v>75332.3</v>
      </c>
      <c r="W4078" s="6">
        <f t="shared" si="622"/>
        <v>97879.740000000093</v>
      </c>
      <c r="X4078" s="6">
        <f t="shared" si="623"/>
        <v>74586.435643564357</v>
      </c>
      <c r="Y4078" s="13">
        <f t="shared" si="626"/>
        <v>0</v>
      </c>
      <c r="Z4078" s="14">
        <v>0</v>
      </c>
      <c r="AA4078" s="6">
        <v>0</v>
      </c>
      <c r="AB4078" s="4">
        <f t="shared" si="627"/>
        <v>74586.435643564357</v>
      </c>
      <c r="AC4078" s="4">
        <f t="shared" si="629"/>
        <v>745.86435643564619</v>
      </c>
      <c r="AD4078" s="6">
        <f t="shared" si="624"/>
        <v>75332.3</v>
      </c>
      <c r="AE4078" s="2">
        <f>VLOOKUP(I4078,[1]媒体政策预估表!A:N,MATCH(O4078,[1]媒体政策预估表!$A$2:$M$2,0),0)</f>
        <v>7.0000000000000007E-2</v>
      </c>
      <c r="AF4078" s="6">
        <f t="shared" si="630"/>
        <v>5273.2610000000004</v>
      </c>
      <c r="AG4078" s="14">
        <v>0</v>
      </c>
      <c r="AH4078" s="65">
        <f t="shared" si="625"/>
        <v>75332.3</v>
      </c>
      <c r="AI4078" s="47"/>
      <c r="AJ4078" s="126" t="e">
        <v>#N/A</v>
      </c>
      <c r="AK4078" s="80">
        <f t="shared" si="628"/>
        <v>0</v>
      </c>
      <c r="AM4078" s="85"/>
    </row>
    <row r="4079" spans="1:39" hidden="1" x14ac:dyDescent="0.3">
      <c r="A4079" s="89" t="s">
        <v>3394</v>
      </c>
      <c r="B4079" s="86" t="s">
        <v>35</v>
      </c>
      <c r="C4079" s="86" t="s">
        <v>164</v>
      </c>
      <c r="D4079" s="86" t="s">
        <v>174</v>
      </c>
      <c r="E4079" s="86" t="s">
        <v>1600</v>
      </c>
      <c r="F4079" s="86" t="s">
        <v>1600</v>
      </c>
      <c r="G4079" s="86" t="s">
        <v>1600</v>
      </c>
      <c r="H4079" s="144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1601</v>
      </c>
      <c r="N4079" s="86"/>
      <c r="O4079" s="47" t="s">
        <v>410</v>
      </c>
      <c r="P4079" s="47" t="s">
        <v>41</v>
      </c>
      <c r="Q4079" s="14">
        <v>0</v>
      </c>
      <c r="R4079" s="143" t="s">
        <v>1602</v>
      </c>
      <c r="S4079" s="47"/>
      <c r="T4079" s="6">
        <v>2277172.35873</v>
      </c>
      <c r="U4079" s="6">
        <v>130000</v>
      </c>
      <c r="V4079" s="6">
        <v>1160365.0171300001</v>
      </c>
      <c r="W4079" s="6">
        <f t="shared" si="622"/>
        <v>1246807.3415999999</v>
      </c>
      <c r="X4079" s="6">
        <f t="shared" si="623"/>
        <v>1160365.0171300001</v>
      </c>
      <c r="Y4079" s="13">
        <f t="shared" si="626"/>
        <v>0</v>
      </c>
      <c r="Z4079" s="14">
        <v>0</v>
      </c>
      <c r="AA4079" s="6">
        <v>0</v>
      </c>
      <c r="AB4079" s="4">
        <f t="shared" si="627"/>
        <v>1160365.0171300001</v>
      </c>
      <c r="AC4079" s="4">
        <f t="shared" si="629"/>
        <v>0</v>
      </c>
      <c r="AD4079" s="6">
        <f t="shared" si="624"/>
        <v>1160365.0171300001</v>
      </c>
      <c r="AE4079" s="2">
        <f>VLOOKUP(I4079,[1]媒体政策预估表!A:N,MATCH(O4079,[1]媒体政策预估表!$A$2:$M$2,0),0)</f>
        <v>7.0000000000000007E-2</v>
      </c>
      <c r="AF4079" s="6">
        <f t="shared" si="630"/>
        <v>81225.551199100009</v>
      </c>
      <c r="AG4079" s="14">
        <v>0</v>
      </c>
      <c r="AH4079" s="65">
        <f t="shared" si="625"/>
        <v>1160365.0171300001</v>
      </c>
      <c r="AI4079" s="47"/>
      <c r="AJ4079" s="126" t="e">
        <v>#N/A</v>
      </c>
      <c r="AK4079" s="80">
        <f t="shared" si="628"/>
        <v>0</v>
      </c>
      <c r="AM4079" s="85"/>
    </row>
    <row r="4080" spans="1:39" hidden="1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3556</v>
      </c>
      <c r="F4080" s="86" t="s">
        <v>3557</v>
      </c>
      <c r="G4080" s="86" t="s">
        <v>3556</v>
      </c>
      <c r="H4080" s="144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3558</v>
      </c>
      <c r="N4080" s="86"/>
      <c r="O4080" s="47" t="s">
        <v>410</v>
      </c>
      <c r="P4080" s="47" t="s">
        <v>46</v>
      </c>
      <c r="Q4080" s="14">
        <v>0.02</v>
      </c>
      <c r="R4080" s="143" t="s">
        <v>3559</v>
      </c>
      <c r="S4080" s="47"/>
      <c r="T4080" s="6">
        <v>0</v>
      </c>
      <c r="U4080" s="6">
        <v>10000</v>
      </c>
      <c r="V4080" s="6">
        <v>583.5</v>
      </c>
      <c r="W4080" s="6">
        <f t="shared" si="622"/>
        <v>9416.5</v>
      </c>
      <c r="X4080" s="6">
        <f t="shared" si="623"/>
        <v>572.05882352941171</v>
      </c>
      <c r="Y4080" s="13">
        <f t="shared" si="626"/>
        <v>0</v>
      </c>
      <c r="Z4080" s="14">
        <v>0</v>
      </c>
      <c r="AA4080" s="6">
        <v>0</v>
      </c>
      <c r="AB4080" s="4">
        <f t="shared" si="627"/>
        <v>572.05882352941171</v>
      </c>
      <c r="AC4080" s="4">
        <f t="shared" si="629"/>
        <v>11.441176470588289</v>
      </c>
      <c r="AD4080" s="6">
        <f t="shared" si="624"/>
        <v>583.5</v>
      </c>
      <c r="AE4080" s="2">
        <f>VLOOKUP(I4080,[1]媒体政策预估表!A:N,MATCH(O4080,[1]媒体政策预估表!$A$2:$M$2,0),0)</f>
        <v>7.0000000000000007E-2</v>
      </c>
      <c r="AF4080" s="6">
        <f t="shared" si="630"/>
        <v>40.845000000000006</v>
      </c>
      <c r="AG4080" s="14">
        <v>0</v>
      </c>
      <c r="AH4080" s="65">
        <f t="shared" si="625"/>
        <v>583.5</v>
      </c>
      <c r="AI4080" s="47"/>
      <c r="AJ4080" s="126" t="e">
        <v>#N/A</v>
      </c>
      <c r="AK4080" s="80">
        <f t="shared" si="628"/>
        <v>0</v>
      </c>
      <c r="AM4080" s="85"/>
    </row>
    <row r="4081" spans="1:39" hidden="1" x14ac:dyDescent="0.3">
      <c r="A4081" s="89" t="s">
        <v>3394</v>
      </c>
      <c r="B4081" s="86" t="s">
        <v>35</v>
      </c>
      <c r="C4081" s="86" t="s">
        <v>164</v>
      </c>
      <c r="D4081" s="86" t="s">
        <v>174</v>
      </c>
      <c r="E4081" s="86" t="s">
        <v>1966</v>
      </c>
      <c r="F4081" s="86" t="s">
        <v>1966</v>
      </c>
      <c r="G4081" s="86" t="s">
        <v>1966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1967</v>
      </c>
      <c r="N4081" s="86"/>
      <c r="O4081" s="47" t="s">
        <v>45</v>
      </c>
      <c r="P4081" s="47" t="s">
        <v>41</v>
      </c>
      <c r="Q4081" s="14">
        <v>0</v>
      </c>
      <c r="R4081" s="143" t="s">
        <v>2372</v>
      </c>
      <c r="S4081" s="47"/>
      <c r="T4081" s="6">
        <v>0</v>
      </c>
      <c r="U4081" s="6">
        <v>0</v>
      </c>
      <c r="V4081" s="6">
        <v>0</v>
      </c>
      <c r="W4081" s="6">
        <f t="shared" si="622"/>
        <v>0</v>
      </c>
      <c r="X4081" s="6">
        <f t="shared" si="623"/>
        <v>0</v>
      </c>
      <c r="Y4081" s="13">
        <f t="shared" si="626"/>
        <v>0</v>
      </c>
      <c r="Z4081" s="14">
        <v>0</v>
      </c>
      <c r="AA4081" s="6">
        <v>0</v>
      </c>
      <c r="AB4081" s="4">
        <f t="shared" si="627"/>
        <v>0</v>
      </c>
      <c r="AC4081" s="4">
        <f t="shared" si="629"/>
        <v>0</v>
      </c>
      <c r="AD4081" s="6">
        <f t="shared" si="624"/>
        <v>0</v>
      </c>
      <c r="AE4081" s="2">
        <f>VLOOKUP(I4081,[1]媒体政策预估表!A:N,MATCH(O4081,[1]媒体政策预估表!$A$2:$M$2,0),0)</f>
        <v>0.12</v>
      </c>
      <c r="AF4081" s="6">
        <f t="shared" si="630"/>
        <v>0</v>
      </c>
      <c r="AG4081" s="14">
        <v>0</v>
      </c>
      <c r="AH4081" s="65">
        <f t="shared" si="625"/>
        <v>0</v>
      </c>
      <c r="AI4081" s="47"/>
      <c r="AJ4081" s="126" t="e">
        <v>#N/A</v>
      </c>
      <c r="AK4081" s="80">
        <f t="shared" si="628"/>
        <v>0</v>
      </c>
      <c r="AM4081" s="85"/>
    </row>
    <row r="4082" spans="1:39" hidden="1" x14ac:dyDescent="0.3">
      <c r="A4082" s="89" t="s">
        <v>3395</v>
      </c>
      <c r="B4082" s="86" t="s">
        <v>35</v>
      </c>
      <c r="C4082" s="86" t="s">
        <v>164</v>
      </c>
      <c r="D4082" s="86" t="s">
        <v>174</v>
      </c>
      <c r="E4082" s="86" t="s">
        <v>1966</v>
      </c>
      <c r="F4082" s="86" t="s">
        <v>1966</v>
      </c>
      <c r="G4082" s="86" t="s">
        <v>1966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1967</v>
      </c>
      <c r="N4082" s="86"/>
      <c r="O4082" s="47" t="s">
        <v>45</v>
      </c>
      <c r="P4082" s="47" t="s">
        <v>41</v>
      </c>
      <c r="Q4082" s="14">
        <v>0</v>
      </c>
      <c r="R4082" s="143" t="s">
        <v>1968</v>
      </c>
      <c r="S4082" s="47"/>
      <c r="T4082" s="6">
        <v>0</v>
      </c>
      <c r="U4082" s="6">
        <v>0</v>
      </c>
      <c r="V4082" s="6">
        <v>0</v>
      </c>
      <c r="W4082" s="6">
        <f t="shared" si="622"/>
        <v>0</v>
      </c>
      <c r="X4082" s="6">
        <f t="shared" si="623"/>
        <v>0</v>
      </c>
      <c r="Y4082" s="13">
        <f t="shared" si="626"/>
        <v>0</v>
      </c>
      <c r="Z4082" s="14">
        <v>0</v>
      </c>
      <c r="AA4082" s="6">
        <v>0</v>
      </c>
      <c r="AB4082" s="4">
        <f t="shared" si="627"/>
        <v>0</v>
      </c>
      <c r="AC4082" s="4">
        <f t="shared" si="629"/>
        <v>0</v>
      </c>
      <c r="AD4082" s="6">
        <f t="shared" si="624"/>
        <v>0</v>
      </c>
      <c r="AE4082" s="2">
        <f>VLOOKUP(I4082,[1]媒体政策预估表!A:N,MATCH(O4082,[1]媒体政策预估表!$A$2:$M$2,0),0)</f>
        <v>0.12</v>
      </c>
      <c r="AF4082" s="6">
        <f t="shared" si="630"/>
        <v>0</v>
      </c>
      <c r="AG4082" s="14">
        <v>0</v>
      </c>
      <c r="AH4082" s="65">
        <f t="shared" si="625"/>
        <v>0</v>
      </c>
      <c r="AI4082" s="47"/>
      <c r="AJ4082" s="126" t="e">
        <v>#N/A</v>
      </c>
      <c r="AK4082" s="80">
        <f t="shared" si="628"/>
        <v>0</v>
      </c>
      <c r="AM4082" s="85"/>
    </row>
    <row r="4083" spans="1:39" hidden="1" x14ac:dyDescent="0.3">
      <c r="A4083" s="89" t="s">
        <v>3394</v>
      </c>
      <c r="B4083" s="86" t="s">
        <v>35</v>
      </c>
      <c r="C4083" s="86" t="s">
        <v>164</v>
      </c>
      <c r="D4083" s="86" t="s">
        <v>174</v>
      </c>
      <c r="E4083" s="86" t="s">
        <v>1610</v>
      </c>
      <c r="F4083" s="86" t="s">
        <v>1610</v>
      </c>
      <c r="G4083" s="86" t="s">
        <v>1610</v>
      </c>
      <c r="H4083" s="144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1610</v>
      </c>
      <c r="N4083" s="86"/>
      <c r="O4083" s="47" t="s">
        <v>410</v>
      </c>
      <c r="P4083" s="47" t="s">
        <v>41</v>
      </c>
      <c r="Q4083" s="14">
        <v>0</v>
      </c>
      <c r="R4083" s="143" t="s">
        <v>1611</v>
      </c>
      <c r="S4083" s="47"/>
      <c r="T4083" s="6">
        <v>2218.1000000000004</v>
      </c>
      <c r="U4083" s="6">
        <v>5000</v>
      </c>
      <c r="V4083" s="6">
        <v>5392.64</v>
      </c>
      <c r="W4083" s="6">
        <f t="shared" si="622"/>
        <v>1825.46</v>
      </c>
      <c r="X4083" s="6">
        <f t="shared" si="623"/>
        <v>5392.64</v>
      </c>
      <c r="Y4083" s="13">
        <f t="shared" si="626"/>
        <v>0</v>
      </c>
      <c r="Z4083" s="14">
        <v>0</v>
      </c>
      <c r="AA4083" s="6">
        <v>0</v>
      </c>
      <c r="AB4083" s="4">
        <f t="shared" si="627"/>
        <v>5392.64</v>
      </c>
      <c r="AC4083" s="4">
        <f t="shared" si="629"/>
        <v>0</v>
      </c>
      <c r="AD4083" s="6">
        <f t="shared" si="624"/>
        <v>5392.64</v>
      </c>
      <c r="AE4083" s="2">
        <f>VLOOKUP(I4083,[1]媒体政策预估表!A:N,MATCH(O4083,[1]媒体政策预估表!$A$2:$M$2,0),0)</f>
        <v>7.0000000000000007E-2</v>
      </c>
      <c r="AF4083" s="6">
        <f t="shared" si="630"/>
        <v>377.48480000000006</v>
      </c>
      <c r="AG4083" s="14">
        <v>0</v>
      </c>
      <c r="AH4083" s="65">
        <f t="shared" si="625"/>
        <v>5392.64</v>
      </c>
      <c r="AI4083" s="47"/>
      <c r="AJ4083" s="126" t="e">
        <v>#N/A</v>
      </c>
      <c r="AK4083" s="80">
        <f t="shared" si="628"/>
        <v>0</v>
      </c>
      <c r="AM4083" s="85"/>
    </row>
    <row r="4084" spans="1:39" hidden="1" x14ac:dyDescent="0.3">
      <c r="A4084" s="89" t="s">
        <v>3394</v>
      </c>
      <c r="B4084" s="86" t="s">
        <v>35</v>
      </c>
      <c r="C4084" s="86" t="s">
        <v>164</v>
      </c>
      <c r="D4084" s="86" t="s">
        <v>174</v>
      </c>
      <c r="E4084" s="86" t="s">
        <v>1612</v>
      </c>
      <c r="F4084" s="86" t="s">
        <v>1612</v>
      </c>
      <c r="G4084" s="86" t="s">
        <v>1612</v>
      </c>
      <c r="H4084" s="144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1612</v>
      </c>
      <c r="N4084" s="86"/>
      <c r="O4084" s="47" t="s">
        <v>410</v>
      </c>
      <c r="P4084" s="47" t="s">
        <v>41</v>
      </c>
      <c r="Q4084" s="14">
        <v>0</v>
      </c>
      <c r="R4084" s="143" t="s">
        <v>1613</v>
      </c>
      <c r="S4084" s="47" t="s">
        <v>3560</v>
      </c>
      <c r="T4084" s="6">
        <v>454.59999999999854</v>
      </c>
      <c r="U4084" s="6">
        <v>110600</v>
      </c>
      <c r="V4084" s="6">
        <v>101985.58</v>
      </c>
      <c r="W4084" s="6">
        <f t="shared" si="622"/>
        <v>9069.0200000000041</v>
      </c>
      <c r="X4084" s="6">
        <f>V4084-600</f>
        <v>101385.58</v>
      </c>
      <c r="Y4084" s="13">
        <f t="shared" si="626"/>
        <v>0</v>
      </c>
      <c r="Z4084" s="14">
        <v>0</v>
      </c>
      <c r="AA4084" s="6">
        <v>0</v>
      </c>
      <c r="AB4084" s="4">
        <f t="shared" si="627"/>
        <v>101385.58</v>
      </c>
      <c r="AC4084" s="4">
        <f t="shared" si="629"/>
        <v>600</v>
      </c>
      <c r="AD4084" s="6">
        <f t="shared" si="624"/>
        <v>101985.58</v>
      </c>
      <c r="AE4084" s="2">
        <f>VLOOKUP(I4084,[1]媒体政策预估表!A:N,MATCH(O4084,[1]媒体政策预估表!$A$2:$M$2,0),0)</f>
        <v>7.0000000000000007E-2</v>
      </c>
      <c r="AF4084" s="6">
        <f t="shared" si="630"/>
        <v>7138.990600000001</v>
      </c>
      <c r="AG4084" s="14">
        <v>0</v>
      </c>
      <c r="AH4084" s="65">
        <f t="shared" si="625"/>
        <v>101985.58</v>
      </c>
      <c r="AI4084" s="47"/>
      <c r="AJ4084" s="126" t="e">
        <v>#N/A</v>
      </c>
      <c r="AK4084" s="80">
        <f t="shared" si="628"/>
        <v>0</v>
      </c>
      <c r="AM4084" s="85"/>
    </row>
    <row r="4085" spans="1:39" hidden="1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1967</v>
      </c>
      <c r="F4085" s="86" t="s">
        <v>1967</v>
      </c>
      <c r="G4085" s="86" t="s">
        <v>1967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1967</v>
      </c>
      <c r="N4085" s="86"/>
      <c r="O4085" s="47" t="s">
        <v>45</v>
      </c>
      <c r="P4085" s="47" t="s">
        <v>41</v>
      </c>
      <c r="Q4085" s="14">
        <v>0</v>
      </c>
      <c r="R4085" s="143" t="s">
        <v>2372</v>
      </c>
      <c r="S4085" s="47"/>
      <c r="T4085" s="6">
        <v>335563.2</v>
      </c>
      <c r="U4085" s="6">
        <v>-335563.18</v>
      </c>
      <c r="V4085" s="6">
        <v>0</v>
      </c>
      <c r="W4085" s="6">
        <v>0</v>
      </c>
      <c r="X4085" s="6">
        <f t="shared" si="623"/>
        <v>0</v>
      </c>
      <c r="Y4085" s="13">
        <f t="shared" si="626"/>
        <v>0</v>
      </c>
      <c r="Z4085" s="14">
        <v>0</v>
      </c>
      <c r="AA4085" s="6">
        <v>0</v>
      </c>
      <c r="AB4085" s="4">
        <f t="shared" si="627"/>
        <v>0</v>
      </c>
      <c r="AC4085" s="4">
        <f t="shared" si="629"/>
        <v>0</v>
      </c>
      <c r="AD4085" s="6">
        <f t="shared" si="624"/>
        <v>0</v>
      </c>
      <c r="AE4085" s="2">
        <f>VLOOKUP(I4085,[1]媒体政策预估表!A:N,MATCH(O4085,[1]媒体政策预估表!$A$2:$M$2,0),0)</f>
        <v>0.12</v>
      </c>
      <c r="AF4085" s="6">
        <f t="shared" si="630"/>
        <v>0</v>
      </c>
      <c r="AG4085" s="14">
        <v>0</v>
      </c>
      <c r="AH4085" s="65">
        <f t="shared" si="625"/>
        <v>0</v>
      </c>
      <c r="AI4085" s="47"/>
      <c r="AJ4085" s="126" t="e">
        <v>#N/A</v>
      </c>
      <c r="AK4085" s="80">
        <f t="shared" si="628"/>
        <v>0</v>
      </c>
      <c r="AM4085" s="85"/>
    </row>
    <row r="4086" spans="1:39" hidden="1" x14ac:dyDescent="0.3">
      <c r="A4086" s="89" t="s">
        <v>3395</v>
      </c>
      <c r="B4086" s="86" t="s">
        <v>35</v>
      </c>
      <c r="C4086" s="86" t="s">
        <v>164</v>
      </c>
      <c r="D4086" s="86" t="s">
        <v>174</v>
      </c>
      <c r="E4086" s="86" t="s">
        <v>1967</v>
      </c>
      <c r="F4086" s="86" t="s">
        <v>1967</v>
      </c>
      <c r="G4086" s="86" t="s">
        <v>1967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1967</v>
      </c>
      <c r="N4086" s="86"/>
      <c r="O4086" s="47" t="s">
        <v>45</v>
      </c>
      <c r="P4086" s="47" t="s">
        <v>41</v>
      </c>
      <c r="Q4086" s="14">
        <v>0</v>
      </c>
      <c r="R4086" s="143" t="s">
        <v>1968</v>
      </c>
      <c r="S4086" s="47"/>
      <c r="T4086" s="6">
        <v>203229.41</v>
      </c>
      <c r="U4086" s="6">
        <v>-203229.41999999998</v>
      </c>
      <c r="V4086" s="6">
        <v>0</v>
      </c>
      <c r="W4086" s="6">
        <v>0</v>
      </c>
      <c r="X4086" s="6">
        <f t="shared" si="623"/>
        <v>0</v>
      </c>
      <c r="Y4086" s="13">
        <f t="shared" si="626"/>
        <v>0</v>
      </c>
      <c r="Z4086" s="14">
        <v>0</v>
      </c>
      <c r="AA4086" s="6">
        <v>0</v>
      </c>
      <c r="AB4086" s="4">
        <f t="shared" si="627"/>
        <v>0</v>
      </c>
      <c r="AC4086" s="4">
        <f t="shared" si="629"/>
        <v>0</v>
      </c>
      <c r="AD4086" s="6">
        <f t="shared" si="624"/>
        <v>0</v>
      </c>
      <c r="AE4086" s="2">
        <f>VLOOKUP(I4086,[1]媒体政策预估表!A:N,MATCH(O4086,[1]媒体政策预估表!$A$2:$M$2,0),0)</f>
        <v>0.12</v>
      </c>
      <c r="AF4086" s="6">
        <f t="shared" si="630"/>
        <v>0</v>
      </c>
      <c r="AG4086" s="14">
        <v>0</v>
      </c>
      <c r="AH4086" s="65">
        <f t="shared" si="625"/>
        <v>0</v>
      </c>
      <c r="AI4086" s="47"/>
      <c r="AJ4086" s="126" t="e">
        <v>#N/A</v>
      </c>
      <c r="AK4086" s="80">
        <f t="shared" si="628"/>
        <v>0</v>
      </c>
      <c r="AM4086" s="85"/>
    </row>
    <row r="4087" spans="1:39" hidden="1" x14ac:dyDescent="0.3">
      <c r="A4087" s="89" t="s">
        <v>3395</v>
      </c>
      <c r="B4087" s="86" t="s">
        <v>35</v>
      </c>
      <c r="C4087" s="86" t="s">
        <v>164</v>
      </c>
      <c r="D4087" s="86" t="s">
        <v>174</v>
      </c>
      <c r="E4087" s="86" t="s">
        <v>644</v>
      </c>
      <c r="F4087" s="86" t="s">
        <v>644</v>
      </c>
      <c r="G4087" s="86" t="s">
        <v>644</v>
      </c>
      <c r="H4087" s="144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1614</v>
      </c>
      <c r="N4087" s="86"/>
      <c r="O4087" s="47" t="s">
        <v>410</v>
      </c>
      <c r="P4087" s="47" t="s">
        <v>41</v>
      </c>
      <c r="Q4087" s="14">
        <v>0</v>
      </c>
      <c r="R4087" s="143" t="s">
        <v>1615</v>
      </c>
      <c r="S4087" s="47"/>
      <c r="T4087" s="6">
        <v>20026.8</v>
      </c>
      <c r="U4087" s="6">
        <v>10000</v>
      </c>
      <c r="V4087" s="6">
        <v>15607.5</v>
      </c>
      <c r="W4087" s="6">
        <f t="shared" si="622"/>
        <v>14419.3</v>
      </c>
      <c r="X4087" s="6">
        <f t="shared" si="623"/>
        <v>15607.5</v>
      </c>
      <c r="Y4087" s="13">
        <f t="shared" si="626"/>
        <v>0</v>
      </c>
      <c r="Z4087" s="14">
        <v>0</v>
      </c>
      <c r="AA4087" s="6">
        <v>0</v>
      </c>
      <c r="AB4087" s="4">
        <f t="shared" si="627"/>
        <v>15607.5</v>
      </c>
      <c r="AC4087" s="4">
        <f t="shared" si="629"/>
        <v>0</v>
      </c>
      <c r="AD4087" s="6">
        <f t="shared" si="624"/>
        <v>15607.5</v>
      </c>
      <c r="AE4087" s="2">
        <f>VLOOKUP(I4087,[1]媒体政策预估表!A:N,MATCH(O4087,[1]媒体政策预估表!$A$2:$M$2,0),0)</f>
        <v>7.0000000000000007E-2</v>
      </c>
      <c r="AF4087" s="6">
        <f t="shared" si="630"/>
        <v>1092.5250000000001</v>
      </c>
      <c r="AG4087" s="14">
        <v>0</v>
      </c>
      <c r="AH4087" s="65">
        <f t="shared" si="625"/>
        <v>15607.5</v>
      </c>
      <c r="AI4087" s="47"/>
      <c r="AJ4087" s="126" t="e">
        <v>#N/A</v>
      </c>
      <c r="AK4087" s="80">
        <f t="shared" si="628"/>
        <v>0</v>
      </c>
      <c r="AM4087" s="85"/>
    </row>
    <row r="4088" spans="1:39" hidden="1" x14ac:dyDescent="0.3">
      <c r="A4088" s="89" t="s">
        <v>3395</v>
      </c>
      <c r="B4088" s="86" t="s">
        <v>35</v>
      </c>
      <c r="C4088" s="86" t="s">
        <v>164</v>
      </c>
      <c r="D4088" s="86" t="s">
        <v>174</v>
      </c>
      <c r="E4088" s="86" t="s">
        <v>646</v>
      </c>
      <c r="F4088" s="86" t="s">
        <v>646</v>
      </c>
      <c r="G4088" s="86" t="s">
        <v>646</v>
      </c>
      <c r="H4088" s="144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646</v>
      </c>
      <c r="N4088" s="86"/>
      <c r="O4088" s="47" t="s">
        <v>410</v>
      </c>
      <c r="P4088" s="47" t="s">
        <v>41</v>
      </c>
      <c r="Q4088" s="14">
        <v>0</v>
      </c>
      <c r="R4088" s="143" t="s">
        <v>1616</v>
      </c>
      <c r="S4088" s="47"/>
      <c r="T4088" s="6">
        <v>3498</v>
      </c>
      <c r="U4088" s="6">
        <v>50000</v>
      </c>
      <c r="V4088" s="6">
        <v>26772.5</v>
      </c>
      <c r="W4088" s="6">
        <f t="shared" si="622"/>
        <v>26725.5</v>
      </c>
      <c r="X4088" s="6">
        <f t="shared" si="623"/>
        <v>26772.5</v>
      </c>
      <c r="Y4088" s="13">
        <f t="shared" si="626"/>
        <v>0</v>
      </c>
      <c r="Z4088" s="14">
        <v>0</v>
      </c>
      <c r="AA4088" s="6">
        <v>0</v>
      </c>
      <c r="AB4088" s="4">
        <f t="shared" si="627"/>
        <v>26772.5</v>
      </c>
      <c r="AC4088" s="4">
        <f t="shared" si="629"/>
        <v>0</v>
      </c>
      <c r="AD4088" s="6">
        <f t="shared" si="624"/>
        <v>26772.5</v>
      </c>
      <c r="AE4088" s="2">
        <f>VLOOKUP(I4088,[1]媒体政策预估表!A:N,MATCH(O4088,[1]媒体政策预估表!$A$2:$M$2,0),0)</f>
        <v>7.0000000000000007E-2</v>
      </c>
      <c r="AF4088" s="6">
        <f t="shared" si="630"/>
        <v>1874.0750000000003</v>
      </c>
      <c r="AG4088" s="14">
        <v>0</v>
      </c>
      <c r="AH4088" s="65">
        <f t="shared" si="625"/>
        <v>26772.5</v>
      </c>
      <c r="AI4088" s="47"/>
      <c r="AJ4088" s="126" t="e">
        <v>#N/A</v>
      </c>
      <c r="AK4088" s="80">
        <f t="shared" si="628"/>
        <v>0</v>
      </c>
      <c r="AM4088" s="85"/>
    </row>
    <row r="4089" spans="1:39" hidden="1" x14ac:dyDescent="0.3">
      <c r="A4089" s="89" t="s">
        <v>3397</v>
      </c>
      <c r="B4089" s="86" t="s">
        <v>35</v>
      </c>
      <c r="C4089" s="86" t="s">
        <v>164</v>
      </c>
      <c r="D4089" s="86" t="s">
        <v>174</v>
      </c>
      <c r="E4089" s="86" t="s">
        <v>1617</v>
      </c>
      <c r="F4089" s="86" t="s">
        <v>1617</v>
      </c>
      <c r="G4089" s="86" t="s">
        <v>1617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1617</v>
      </c>
      <c r="N4089" s="86"/>
      <c r="O4089" s="47" t="s">
        <v>45</v>
      </c>
      <c r="P4089" s="47" t="s">
        <v>46</v>
      </c>
      <c r="Q4089" s="14">
        <v>0.01</v>
      </c>
      <c r="R4089" s="143" t="s">
        <v>1618</v>
      </c>
      <c r="S4089" s="47"/>
      <c r="T4089" s="6">
        <v>248341.90879000002</v>
      </c>
      <c r="U4089" s="6">
        <v>20000</v>
      </c>
      <c r="V4089" s="6">
        <v>25260.290229999999</v>
      </c>
      <c r="W4089" s="6">
        <f t="shared" si="622"/>
        <v>243081.61856000003</v>
      </c>
      <c r="X4089" s="6">
        <f t="shared" si="623"/>
        <v>25010.188346534651</v>
      </c>
      <c r="Y4089" s="13">
        <f t="shared" si="626"/>
        <v>0</v>
      </c>
      <c r="Z4089" s="14">
        <v>0</v>
      </c>
      <c r="AA4089" s="6">
        <v>0</v>
      </c>
      <c r="AB4089" s="4">
        <f t="shared" si="627"/>
        <v>25010.188346534651</v>
      </c>
      <c r="AC4089" s="4">
        <f t="shared" si="629"/>
        <v>250.10188346534778</v>
      </c>
      <c r="AD4089" s="6">
        <f t="shared" si="624"/>
        <v>25260.290229999999</v>
      </c>
      <c r="AE4089" s="2">
        <f>VLOOKUP(I4089,[1]媒体政策预估表!A:N,MATCH(O4089,[1]媒体政策预估表!$A$2:$M$2,0),0)</f>
        <v>0.12</v>
      </c>
      <c r="AF4089" s="6">
        <f t="shared" si="630"/>
        <v>3031.2348275999998</v>
      </c>
      <c r="AG4089" s="14">
        <v>0</v>
      </c>
      <c r="AH4089" s="65">
        <f t="shared" si="625"/>
        <v>25260.290229999999</v>
      </c>
      <c r="AI4089" s="47"/>
      <c r="AJ4089" s="126" t="e">
        <v>#N/A</v>
      </c>
      <c r="AK4089" s="80">
        <f t="shared" si="628"/>
        <v>0</v>
      </c>
      <c r="AM4089" s="85"/>
    </row>
    <row r="4090" spans="1:39" hidden="1" x14ac:dyDescent="0.3">
      <c r="A4090" s="89" t="s">
        <v>3394</v>
      </c>
      <c r="B4090" s="86" t="s">
        <v>35</v>
      </c>
      <c r="C4090" s="86" t="s">
        <v>164</v>
      </c>
      <c r="D4090" s="86" t="s">
        <v>174</v>
      </c>
      <c r="E4090" s="86" t="s">
        <v>1617</v>
      </c>
      <c r="F4090" s="86" t="s">
        <v>1617</v>
      </c>
      <c r="G4090" s="86" t="s">
        <v>1617</v>
      </c>
      <c r="H4090" s="144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1617</v>
      </c>
      <c r="N4090" s="86"/>
      <c r="O4090" s="47" t="s">
        <v>45</v>
      </c>
      <c r="P4090" s="47" t="s">
        <v>46</v>
      </c>
      <c r="Q4090" s="14">
        <v>0.01</v>
      </c>
      <c r="R4090" s="143" t="s">
        <v>1619</v>
      </c>
      <c r="S4090" s="47"/>
      <c r="T4090" s="6">
        <v>733648.9463999999</v>
      </c>
      <c r="U4090" s="6">
        <v>80000</v>
      </c>
      <c r="V4090" s="6">
        <v>14612.157869999999</v>
      </c>
      <c r="W4090" s="6">
        <f t="shared" si="622"/>
        <v>799036.7885299999</v>
      </c>
      <c r="X4090" s="6">
        <f t="shared" si="623"/>
        <v>14467.48303960396</v>
      </c>
      <c r="Y4090" s="13">
        <f t="shared" si="626"/>
        <v>0</v>
      </c>
      <c r="Z4090" s="14">
        <v>0</v>
      </c>
      <c r="AA4090" s="6">
        <v>0</v>
      </c>
      <c r="AB4090" s="4">
        <f t="shared" si="627"/>
        <v>14467.48303960396</v>
      </c>
      <c r="AC4090" s="4">
        <f t="shared" si="629"/>
        <v>144.6748303960394</v>
      </c>
      <c r="AD4090" s="6">
        <f t="shared" si="624"/>
        <v>14612.157869999999</v>
      </c>
      <c r="AE4090" s="2">
        <f>VLOOKUP(I4090,[1]媒体政策预估表!A:N,MATCH(O4090,[1]媒体政策预估表!$A$2:$M$2,0),0)</f>
        <v>0.12</v>
      </c>
      <c r="AF4090" s="6">
        <f t="shared" si="630"/>
        <v>1753.4589443999998</v>
      </c>
      <c r="AG4090" s="14">
        <v>0</v>
      </c>
      <c r="AH4090" s="65">
        <f t="shared" si="625"/>
        <v>14612.157869999999</v>
      </c>
      <c r="AI4090" s="47"/>
      <c r="AJ4090" s="126" t="e">
        <v>#N/A</v>
      </c>
      <c r="AK4090" s="80">
        <f t="shared" si="628"/>
        <v>0</v>
      </c>
      <c r="AM4090" s="85"/>
    </row>
    <row r="4091" spans="1:39" hidden="1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1617</v>
      </c>
      <c r="F4091" s="86" t="s">
        <v>1617</v>
      </c>
      <c r="G4091" s="86" t="s">
        <v>1617</v>
      </c>
      <c r="H4091" s="144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1617</v>
      </c>
      <c r="N4091" s="86"/>
      <c r="O4091" s="47" t="s">
        <v>45</v>
      </c>
      <c r="P4091" s="47" t="s">
        <v>46</v>
      </c>
      <c r="Q4091" s="14">
        <v>0.01</v>
      </c>
      <c r="R4091" s="143" t="s">
        <v>1620</v>
      </c>
      <c r="S4091" s="47"/>
      <c r="T4091" s="6">
        <v>180000</v>
      </c>
      <c r="U4091" s="6">
        <v>120000</v>
      </c>
      <c r="V4091" s="6">
        <v>10284.28419</v>
      </c>
      <c r="W4091" s="6">
        <f t="shared" ref="W4091:W4154" si="631">T4091+U4091-V4091</f>
        <v>289715.71581000002</v>
      </c>
      <c r="X4091" s="6">
        <f t="shared" ref="X4091:X4154" si="632">IF(P4091="折扣",V4091*Q4091,IF(P4091="返现",V4091,V4091/(1+Q4091)))</f>
        <v>10182.459594059406</v>
      </c>
      <c r="Y4091" s="13">
        <f t="shared" si="626"/>
        <v>0</v>
      </c>
      <c r="Z4091" s="14">
        <v>0</v>
      </c>
      <c r="AA4091" s="6">
        <v>0</v>
      </c>
      <c r="AB4091" s="4">
        <f t="shared" si="627"/>
        <v>10182.459594059406</v>
      </c>
      <c r="AC4091" s="4">
        <f t="shared" si="629"/>
        <v>101.82459594059401</v>
      </c>
      <c r="AD4091" s="6">
        <f t="shared" ref="AD4091:AD4154" si="633">V4091</f>
        <v>10284.28419</v>
      </c>
      <c r="AE4091" s="2">
        <f>VLOOKUP(I4091,[1]媒体政策预估表!A:N,MATCH(O4091,[1]媒体政策预估表!$A$2:$M$2,0),0)</f>
        <v>0.12</v>
      </c>
      <c r="AF4091" s="6">
        <f t="shared" si="630"/>
        <v>1234.1141028</v>
      </c>
      <c r="AG4091" s="14">
        <v>0</v>
      </c>
      <c r="AH4091" s="65">
        <f t="shared" ref="AH4091:AH4154" si="634">V4091</f>
        <v>10284.28419</v>
      </c>
      <c r="AI4091" s="47"/>
      <c r="AJ4091" s="126" t="e">
        <v>#N/A</v>
      </c>
      <c r="AK4091" s="80">
        <f t="shared" si="628"/>
        <v>0</v>
      </c>
      <c r="AM4091" s="85"/>
    </row>
    <row r="4092" spans="1:39" hidden="1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1617</v>
      </c>
      <c r="F4092" s="86" t="s">
        <v>1617</v>
      </c>
      <c r="G4092" s="86" t="s">
        <v>1617</v>
      </c>
      <c r="H4092" s="144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1617</v>
      </c>
      <c r="N4092" s="86"/>
      <c r="O4092" s="47" t="s">
        <v>45</v>
      </c>
      <c r="P4092" s="47" t="s">
        <v>46</v>
      </c>
      <c r="Q4092" s="14">
        <v>0.01</v>
      </c>
      <c r="R4092" s="143" t="s">
        <v>1622</v>
      </c>
      <c r="S4092" s="47"/>
      <c r="T4092" s="6">
        <v>85412.393280000004</v>
      </c>
      <c r="U4092" s="6">
        <v>50000</v>
      </c>
      <c r="V4092" s="6">
        <v>1255.30863</v>
      </c>
      <c r="W4092" s="6">
        <f t="shared" si="631"/>
        <v>134157.08465</v>
      </c>
      <c r="X4092" s="6">
        <f t="shared" si="632"/>
        <v>1242.8798316831683</v>
      </c>
      <c r="Y4092" s="13">
        <f t="shared" si="626"/>
        <v>0</v>
      </c>
      <c r="Z4092" s="14">
        <v>0</v>
      </c>
      <c r="AA4092" s="6">
        <v>0</v>
      </c>
      <c r="AB4092" s="4">
        <f t="shared" si="627"/>
        <v>1242.8798316831683</v>
      </c>
      <c r="AC4092" s="4">
        <f t="shared" si="629"/>
        <v>12.428798316831717</v>
      </c>
      <c r="AD4092" s="6">
        <f t="shared" si="633"/>
        <v>1255.30863</v>
      </c>
      <c r="AE4092" s="2">
        <f>VLOOKUP(I4092,[1]媒体政策预估表!A:N,MATCH(O4092,[1]媒体政策预估表!$A$2:$M$2,0),0)</f>
        <v>0.12</v>
      </c>
      <c r="AF4092" s="6">
        <f t="shared" si="630"/>
        <v>150.63703559999999</v>
      </c>
      <c r="AG4092" s="14">
        <v>0</v>
      </c>
      <c r="AH4092" s="65">
        <f t="shared" si="634"/>
        <v>1255.30863</v>
      </c>
      <c r="AI4092" s="47"/>
      <c r="AJ4092" s="126" t="e">
        <v>#N/A</v>
      </c>
      <c r="AK4092" s="80">
        <f t="shared" si="628"/>
        <v>0</v>
      </c>
      <c r="AM4092" s="85"/>
    </row>
    <row r="4093" spans="1:39" hidden="1" x14ac:dyDescent="0.3">
      <c r="A4093" s="89" t="s">
        <v>3394</v>
      </c>
      <c r="B4093" s="86" t="s">
        <v>35</v>
      </c>
      <c r="C4093" s="86" t="s">
        <v>164</v>
      </c>
      <c r="D4093" s="86" t="s">
        <v>174</v>
      </c>
      <c r="E4093" s="86" t="s">
        <v>1617</v>
      </c>
      <c r="F4093" s="86" t="s">
        <v>1617</v>
      </c>
      <c r="G4093" s="86" t="s">
        <v>1617</v>
      </c>
      <c r="H4093" s="144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1617</v>
      </c>
      <c r="N4093" s="86"/>
      <c r="O4093" s="47" t="s">
        <v>410</v>
      </c>
      <c r="P4093" s="47" t="s">
        <v>41</v>
      </c>
      <c r="Q4093" s="14">
        <v>0</v>
      </c>
      <c r="R4093" s="143" t="s">
        <v>1623</v>
      </c>
      <c r="S4093" s="47"/>
      <c r="T4093" s="6">
        <v>2324214.6256900011</v>
      </c>
      <c r="U4093" s="6">
        <v>6800000</v>
      </c>
      <c r="V4093" s="6">
        <v>6978062.2397800004</v>
      </c>
      <c r="W4093" s="6">
        <f t="shared" si="631"/>
        <v>2146152.3859100016</v>
      </c>
      <c r="X4093" s="6">
        <f t="shared" si="632"/>
        <v>6978062.2397800004</v>
      </c>
      <c r="Y4093" s="13">
        <f t="shared" si="626"/>
        <v>0</v>
      </c>
      <c r="Z4093" s="14">
        <v>0</v>
      </c>
      <c r="AA4093" s="6">
        <v>0</v>
      </c>
      <c r="AB4093" s="4">
        <f t="shared" si="627"/>
        <v>6978062.2397800004</v>
      </c>
      <c r="AC4093" s="4">
        <f t="shared" si="629"/>
        <v>0</v>
      </c>
      <c r="AD4093" s="6">
        <f t="shared" si="633"/>
        <v>6978062.2397800004</v>
      </c>
      <c r="AE4093" s="2">
        <f>VLOOKUP(I4093,[1]媒体政策预估表!A:N,MATCH(O4093,[1]媒体政策预估表!$A$2:$M$2,0),0)</f>
        <v>7.0000000000000007E-2</v>
      </c>
      <c r="AF4093" s="6">
        <f t="shared" si="630"/>
        <v>488464.35678460007</v>
      </c>
      <c r="AG4093" s="14">
        <v>0</v>
      </c>
      <c r="AH4093" s="65">
        <f t="shared" si="634"/>
        <v>6978062.2397800004</v>
      </c>
      <c r="AI4093" s="47"/>
      <c r="AJ4093" s="126" t="e">
        <v>#N/A</v>
      </c>
      <c r="AK4093" s="80">
        <f t="shared" si="628"/>
        <v>0</v>
      </c>
      <c r="AM4093" s="85"/>
    </row>
    <row r="4094" spans="1:39" hidden="1" x14ac:dyDescent="0.3">
      <c r="A4094" s="89" t="s">
        <v>3394</v>
      </c>
      <c r="B4094" s="86" t="s">
        <v>35</v>
      </c>
      <c r="C4094" s="86" t="s">
        <v>164</v>
      </c>
      <c r="D4094" s="86" t="s">
        <v>174</v>
      </c>
      <c r="E4094" s="86" t="s">
        <v>1624</v>
      </c>
      <c r="F4094" s="86" t="s">
        <v>1624</v>
      </c>
      <c r="G4094" s="86" t="s">
        <v>1624</v>
      </c>
      <c r="H4094" s="144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1625</v>
      </c>
      <c r="N4094" s="86"/>
      <c r="O4094" s="47" t="s">
        <v>410</v>
      </c>
      <c r="P4094" s="47" t="s">
        <v>41</v>
      </c>
      <c r="Q4094" s="14">
        <v>0</v>
      </c>
      <c r="R4094" s="143" t="s">
        <v>1626</v>
      </c>
      <c r="S4094" s="47"/>
      <c r="T4094" s="6">
        <v>21972.900000000023</v>
      </c>
      <c r="U4094" s="6">
        <v>800000</v>
      </c>
      <c r="V4094" s="6">
        <v>764179.9</v>
      </c>
      <c r="W4094" s="6">
        <f t="shared" si="631"/>
        <v>57793</v>
      </c>
      <c r="X4094" s="6">
        <f t="shared" si="632"/>
        <v>764179.9</v>
      </c>
      <c r="Y4094" s="13">
        <f t="shared" si="626"/>
        <v>0</v>
      </c>
      <c r="Z4094" s="14">
        <v>0</v>
      </c>
      <c r="AA4094" s="6">
        <v>0</v>
      </c>
      <c r="AB4094" s="4">
        <f t="shared" si="627"/>
        <v>764179.9</v>
      </c>
      <c r="AC4094" s="4">
        <f t="shared" si="629"/>
        <v>0</v>
      </c>
      <c r="AD4094" s="6">
        <f t="shared" si="633"/>
        <v>764179.9</v>
      </c>
      <c r="AE4094" s="2">
        <f>VLOOKUP(I4094,[1]媒体政策预估表!A:N,MATCH(O4094,[1]媒体政策预估表!$A$2:$M$2,0),0)</f>
        <v>7.0000000000000007E-2</v>
      </c>
      <c r="AF4094" s="6">
        <f t="shared" si="630"/>
        <v>53492.593000000008</v>
      </c>
      <c r="AG4094" s="14">
        <v>0</v>
      </c>
      <c r="AH4094" s="65">
        <f t="shared" si="634"/>
        <v>764179.9</v>
      </c>
      <c r="AI4094" s="47"/>
      <c r="AJ4094" s="126" t="e">
        <v>#N/A</v>
      </c>
      <c r="AK4094" s="80">
        <f t="shared" si="628"/>
        <v>0</v>
      </c>
      <c r="AM4094" s="85"/>
    </row>
    <row r="4095" spans="1:39" hidden="1" x14ac:dyDescent="0.3">
      <c r="A4095" s="89" t="s">
        <v>3394</v>
      </c>
      <c r="B4095" s="86" t="s">
        <v>35</v>
      </c>
      <c r="C4095" s="86" t="s">
        <v>164</v>
      </c>
      <c r="D4095" s="86" t="s">
        <v>174</v>
      </c>
      <c r="E4095" s="86" t="s">
        <v>1624</v>
      </c>
      <c r="F4095" s="86" t="s">
        <v>1624</v>
      </c>
      <c r="G4095" s="86" t="s">
        <v>1624</v>
      </c>
      <c r="H4095" s="144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1624</v>
      </c>
      <c r="N4095" s="86"/>
      <c r="O4095" s="47" t="s">
        <v>410</v>
      </c>
      <c r="P4095" s="47" t="s">
        <v>41</v>
      </c>
      <c r="Q4095" s="14">
        <v>0</v>
      </c>
      <c r="R4095" s="143" t="s">
        <v>1627</v>
      </c>
      <c r="S4095" s="47"/>
      <c r="T4095" s="6">
        <v>61440.290000000037</v>
      </c>
      <c r="U4095" s="6">
        <v>300000</v>
      </c>
      <c r="V4095" s="6">
        <v>266362.7</v>
      </c>
      <c r="W4095" s="6">
        <f t="shared" si="631"/>
        <v>95077.590000000026</v>
      </c>
      <c r="X4095" s="6">
        <f t="shared" si="632"/>
        <v>266362.7</v>
      </c>
      <c r="Y4095" s="13">
        <f t="shared" si="626"/>
        <v>0</v>
      </c>
      <c r="Z4095" s="14">
        <v>0</v>
      </c>
      <c r="AA4095" s="6">
        <v>0</v>
      </c>
      <c r="AB4095" s="4">
        <f t="shared" si="627"/>
        <v>266362.7</v>
      </c>
      <c r="AC4095" s="4">
        <f t="shared" si="629"/>
        <v>0</v>
      </c>
      <c r="AD4095" s="6">
        <f t="shared" si="633"/>
        <v>266362.7</v>
      </c>
      <c r="AE4095" s="2">
        <f>VLOOKUP(I4095,[1]媒体政策预估表!A:N,MATCH(O4095,[1]媒体政策预估表!$A$2:$M$2,0),0)</f>
        <v>7.0000000000000007E-2</v>
      </c>
      <c r="AF4095" s="6">
        <f t="shared" si="630"/>
        <v>18645.389000000003</v>
      </c>
      <c r="AG4095" s="14">
        <v>0</v>
      </c>
      <c r="AH4095" s="65">
        <f t="shared" si="634"/>
        <v>266362.7</v>
      </c>
      <c r="AI4095" s="47"/>
      <c r="AJ4095" s="126" t="e">
        <v>#N/A</v>
      </c>
      <c r="AK4095" s="80">
        <f t="shared" si="628"/>
        <v>0</v>
      </c>
      <c r="AM4095" s="85"/>
    </row>
    <row r="4096" spans="1:39" hidden="1" x14ac:dyDescent="0.3">
      <c r="A4096" s="89" t="s">
        <v>3395</v>
      </c>
      <c r="B4096" s="86" t="s">
        <v>35</v>
      </c>
      <c r="C4096" s="86" t="s">
        <v>164</v>
      </c>
      <c r="D4096" s="86" t="s">
        <v>174</v>
      </c>
      <c r="E4096" s="86" t="s">
        <v>1639</v>
      </c>
      <c r="F4096" s="86" t="s">
        <v>1639</v>
      </c>
      <c r="G4096" s="86" t="s">
        <v>1639</v>
      </c>
      <c r="H4096" s="144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1639</v>
      </c>
      <c r="N4096" s="86"/>
      <c r="O4096" s="47" t="s">
        <v>410</v>
      </c>
      <c r="P4096" s="47" t="s">
        <v>41</v>
      </c>
      <c r="Q4096" s="14">
        <v>0</v>
      </c>
      <c r="R4096" s="143" t="s">
        <v>1641</v>
      </c>
      <c r="S4096" s="47"/>
      <c r="T4096" s="6">
        <v>37645.240000000005</v>
      </c>
      <c r="U4096" s="6">
        <v>100000</v>
      </c>
      <c r="V4096" s="6">
        <v>76043.899999999994</v>
      </c>
      <c r="W4096" s="6">
        <f t="shared" si="631"/>
        <v>61601.34</v>
      </c>
      <c r="X4096" s="6">
        <f t="shared" si="632"/>
        <v>76043.899999999994</v>
      </c>
      <c r="Y4096" s="13">
        <f t="shared" si="626"/>
        <v>0</v>
      </c>
      <c r="Z4096" s="14">
        <v>0</v>
      </c>
      <c r="AA4096" s="6">
        <v>0</v>
      </c>
      <c r="AB4096" s="4">
        <f t="shared" si="627"/>
        <v>76043.899999999994</v>
      </c>
      <c r="AC4096" s="4">
        <f t="shared" si="629"/>
        <v>0</v>
      </c>
      <c r="AD4096" s="6">
        <f t="shared" si="633"/>
        <v>76043.899999999994</v>
      </c>
      <c r="AE4096" s="2">
        <f>VLOOKUP(I4096,[1]媒体政策预估表!A:N,MATCH(O4096,[1]媒体政策预估表!$A$2:$M$2,0),0)</f>
        <v>7.0000000000000007E-2</v>
      </c>
      <c r="AF4096" s="6">
        <f t="shared" si="630"/>
        <v>5323.0730000000003</v>
      </c>
      <c r="AG4096" s="14">
        <v>0</v>
      </c>
      <c r="AH4096" s="65">
        <f t="shared" si="634"/>
        <v>76043.899999999994</v>
      </c>
      <c r="AI4096" s="47"/>
      <c r="AJ4096" s="126" t="e">
        <v>#N/A</v>
      </c>
      <c r="AK4096" s="80">
        <f t="shared" si="628"/>
        <v>0</v>
      </c>
      <c r="AM4096" s="85"/>
    </row>
    <row r="4097" spans="1:39" hidden="1" x14ac:dyDescent="0.3">
      <c r="A4097" s="89" t="s">
        <v>3394</v>
      </c>
      <c r="B4097" s="86" t="s">
        <v>35</v>
      </c>
      <c r="C4097" s="86" t="s">
        <v>164</v>
      </c>
      <c r="D4097" s="86" t="s">
        <v>174</v>
      </c>
      <c r="E4097" s="86" t="s">
        <v>1642</v>
      </c>
      <c r="F4097" s="86" t="s">
        <v>1642</v>
      </c>
      <c r="G4097" s="86" t="s">
        <v>1642</v>
      </c>
      <c r="H4097" s="144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1644</v>
      </c>
      <c r="N4097" s="86"/>
      <c r="O4097" s="47" t="s">
        <v>410</v>
      </c>
      <c r="P4097" s="47" t="s">
        <v>46</v>
      </c>
      <c r="Q4097" s="14">
        <v>0.02</v>
      </c>
      <c r="R4097" s="143" t="s">
        <v>1645</v>
      </c>
      <c r="S4097" s="47"/>
      <c r="T4097" s="6">
        <v>60766.5</v>
      </c>
      <c r="U4097" s="6">
        <v>520000</v>
      </c>
      <c r="V4097" s="6">
        <v>300803.19</v>
      </c>
      <c r="W4097" s="6">
        <f t="shared" si="631"/>
        <v>279963.31</v>
      </c>
      <c r="X4097" s="6">
        <f t="shared" si="632"/>
        <v>294905.0882352941</v>
      </c>
      <c r="Y4097" s="13">
        <f t="shared" si="626"/>
        <v>0</v>
      </c>
      <c r="Z4097" s="14">
        <v>0</v>
      </c>
      <c r="AA4097" s="6">
        <v>0</v>
      </c>
      <c r="AB4097" s="4">
        <f t="shared" si="627"/>
        <v>294905.0882352941</v>
      </c>
      <c r="AC4097" s="4">
        <f t="shared" si="629"/>
        <v>5898.1017647059052</v>
      </c>
      <c r="AD4097" s="6">
        <f t="shared" si="633"/>
        <v>300803.19</v>
      </c>
      <c r="AE4097" s="2">
        <f>VLOOKUP(I4097,[1]媒体政策预估表!A:N,MATCH(O4097,[1]媒体政策预估表!$A$2:$M$2,0),0)</f>
        <v>7.0000000000000007E-2</v>
      </c>
      <c r="AF4097" s="6">
        <f t="shared" si="630"/>
        <v>21056.223300000001</v>
      </c>
      <c r="AG4097" s="14">
        <v>0</v>
      </c>
      <c r="AH4097" s="65">
        <f t="shared" si="634"/>
        <v>300803.19</v>
      </c>
      <c r="AI4097" s="47"/>
      <c r="AJ4097" s="126" t="e">
        <v>#N/A</v>
      </c>
      <c r="AK4097" s="80">
        <f t="shared" si="628"/>
        <v>0</v>
      </c>
      <c r="AM4097" s="85"/>
    </row>
    <row r="4098" spans="1:39" hidden="1" x14ac:dyDescent="0.3">
      <c r="A4098" s="89" t="s">
        <v>3394</v>
      </c>
      <c r="B4098" s="86" t="s">
        <v>35</v>
      </c>
      <c r="C4098" s="86" t="s">
        <v>164</v>
      </c>
      <c r="D4098" s="86" t="s">
        <v>174</v>
      </c>
      <c r="E4098" s="86" t="s">
        <v>3561</v>
      </c>
      <c r="F4098" s="86" t="s">
        <v>3561</v>
      </c>
      <c r="G4098" s="86" t="s">
        <v>3561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3561</v>
      </c>
      <c r="N4098" s="86"/>
      <c r="O4098" s="47" t="s">
        <v>410</v>
      </c>
      <c r="P4098" s="47" t="s">
        <v>41</v>
      </c>
      <c r="Q4098" s="14">
        <v>0</v>
      </c>
      <c r="R4098" s="143" t="s">
        <v>3562</v>
      </c>
      <c r="S4098" s="47"/>
      <c r="T4098" s="6">
        <v>0</v>
      </c>
      <c r="U4098" s="6">
        <v>0</v>
      </c>
      <c r="V4098" s="6">
        <v>0</v>
      </c>
      <c r="W4098" s="6">
        <f t="shared" si="631"/>
        <v>0</v>
      </c>
      <c r="X4098" s="6">
        <f t="shared" si="632"/>
        <v>0</v>
      </c>
      <c r="Y4098" s="13">
        <f t="shared" si="626"/>
        <v>0</v>
      </c>
      <c r="Z4098" s="14">
        <v>0</v>
      </c>
      <c r="AA4098" s="6">
        <v>0</v>
      </c>
      <c r="AB4098" s="4">
        <f t="shared" si="627"/>
        <v>0</v>
      </c>
      <c r="AC4098" s="4">
        <f t="shared" si="629"/>
        <v>0</v>
      </c>
      <c r="AD4098" s="6">
        <f t="shared" si="633"/>
        <v>0</v>
      </c>
      <c r="AE4098" s="2">
        <f>VLOOKUP(I4098,[1]媒体政策预估表!A:N,MATCH(O4098,[1]媒体政策预估表!$A$2:$M$2,0),0)</f>
        <v>7.0000000000000007E-2</v>
      </c>
      <c r="AF4098" s="6">
        <f t="shared" si="630"/>
        <v>0</v>
      </c>
      <c r="AG4098" s="14">
        <v>0</v>
      </c>
      <c r="AH4098" s="65">
        <f t="shared" si="634"/>
        <v>0</v>
      </c>
      <c r="AI4098" s="47"/>
      <c r="AJ4098" s="126" t="e">
        <v>#N/A</v>
      </c>
      <c r="AK4098" s="80">
        <f t="shared" si="628"/>
        <v>0</v>
      </c>
      <c r="AM4098" s="85"/>
    </row>
    <row r="4099" spans="1:39" hidden="1" x14ac:dyDescent="0.3">
      <c r="A4099" s="89" t="s">
        <v>3394</v>
      </c>
      <c r="B4099" s="86" t="s">
        <v>35</v>
      </c>
      <c r="C4099" s="86" t="s">
        <v>164</v>
      </c>
      <c r="D4099" s="86" t="s">
        <v>174</v>
      </c>
      <c r="E4099" s="86" t="s">
        <v>3561</v>
      </c>
      <c r="F4099" s="86" t="s">
        <v>3561</v>
      </c>
      <c r="G4099" s="86" t="s">
        <v>3561</v>
      </c>
      <c r="H4099" s="144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3563</v>
      </c>
      <c r="N4099" s="86"/>
      <c r="O4099" s="47" t="s">
        <v>410</v>
      </c>
      <c r="P4099" s="47" t="s">
        <v>41</v>
      </c>
      <c r="Q4099" s="14">
        <v>0</v>
      </c>
      <c r="R4099" s="143" t="s">
        <v>3564</v>
      </c>
      <c r="S4099" s="47"/>
      <c r="T4099" s="6">
        <v>0</v>
      </c>
      <c r="U4099" s="6">
        <v>30000</v>
      </c>
      <c r="V4099" s="6">
        <v>14097.8</v>
      </c>
      <c r="W4099" s="6">
        <f t="shared" si="631"/>
        <v>15902.2</v>
      </c>
      <c r="X4099" s="6">
        <f t="shared" si="632"/>
        <v>14097.8</v>
      </c>
      <c r="Y4099" s="13">
        <f t="shared" ref="Y4099:Y4162" si="635">IF(X4099-AD4099&lt;=0,0,IF(P4099="返现",MAX(X4099-AC4099-AD4099,0),MAX(X4099-AD4099)))</f>
        <v>0</v>
      </c>
      <c r="Z4099" s="14">
        <v>0</v>
      </c>
      <c r="AA4099" s="6">
        <v>0</v>
      </c>
      <c r="AB4099" s="4">
        <f t="shared" ref="AB4099:AB4162" si="636">X4099+AA4099</f>
        <v>14097.8</v>
      </c>
      <c r="AC4099" s="4">
        <f t="shared" si="629"/>
        <v>0</v>
      </c>
      <c r="AD4099" s="6">
        <f t="shared" si="633"/>
        <v>14097.8</v>
      </c>
      <c r="AE4099" s="2">
        <f>VLOOKUP(I4099,[1]媒体政策预估表!A:N,MATCH(O4099,[1]媒体政策预估表!$A$2:$M$2,0),0)</f>
        <v>7.0000000000000007E-2</v>
      </c>
      <c r="AF4099" s="6">
        <f t="shared" si="630"/>
        <v>986.846</v>
      </c>
      <c r="AG4099" s="14">
        <v>0</v>
      </c>
      <c r="AH4099" s="65">
        <f t="shared" si="634"/>
        <v>14097.8</v>
      </c>
      <c r="AI4099" s="47"/>
      <c r="AJ4099" s="126" t="e">
        <v>#N/A</v>
      </c>
      <c r="AK4099" s="80">
        <f t="shared" ref="AK4099:AK4162" si="637">X4099+AA4099-AB4099</f>
        <v>0</v>
      </c>
      <c r="AM4099" s="85"/>
    </row>
    <row r="4100" spans="1:39" hidden="1" x14ac:dyDescent="0.3">
      <c r="A4100" s="89" t="s">
        <v>3394</v>
      </c>
      <c r="B4100" s="86" t="s">
        <v>35</v>
      </c>
      <c r="C4100" s="86" t="s">
        <v>164</v>
      </c>
      <c r="D4100" s="86" t="s">
        <v>174</v>
      </c>
      <c r="E4100" s="86" t="s">
        <v>1651</v>
      </c>
      <c r="F4100" s="86" t="s">
        <v>1651</v>
      </c>
      <c r="G4100" s="86" t="s">
        <v>1651</v>
      </c>
      <c r="H4100" s="144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1652</v>
      </c>
      <c r="N4100" s="86"/>
      <c r="O4100" s="47" t="s">
        <v>410</v>
      </c>
      <c r="P4100" s="47" t="s">
        <v>41</v>
      </c>
      <c r="Q4100" s="14">
        <v>0</v>
      </c>
      <c r="R4100" s="143" t="s">
        <v>1653</v>
      </c>
      <c r="S4100" s="47"/>
      <c r="T4100" s="6">
        <v>3358.74</v>
      </c>
      <c r="U4100" s="6">
        <v>10000</v>
      </c>
      <c r="V4100" s="6">
        <v>12465.7</v>
      </c>
      <c r="W4100" s="6">
        <f t="shared" si="631"/>
        <v>893.03999999999905</v>
      </c>
      <c r="X4100" s="6">
        <f t="shared" si="632"/>
        <v>12465.7</v>
      </c>
      <c r="Y4100" s="13">
        <f t="shared" si="635"/>
        <v>0</v>
      </c>
      <c r="Z4100" s="14">
        <v>0</v>
      </c>
      <c r="AA4100" s="6">
        <v>0</v>
      </c>
      <c r="AB4100" s="4">
        <f t="shared" si="636"/>
        <v>12465.7</v>
      </c>
      <c r="AC4100" s="4">
        <f t="shared" si="629"/>
        <v>0</v>
      </c>
      <c r="AD4100" s="6">
        <f t="shared" si="633"/>
        <v>12465.7</v>
      </c>
      <c r="AE4100" s="2">
        <f>VLOOKUP(I4100,[1]媒体政策预估表!A:N,MATCH(O4100,[1]媒体政策预估表!$A$2:$M$2,0),0)</f>
        <v>7.0000000000000007E-2</v>
      </c>
      <c r="AF4100" s="6">
        <f t="shared" si="630"/>
        <v>872.59900000000016</v>
      </c>
      <c r="AG4100" s="14">
        <v>0</v>
      </c>
      <c r="AH4100" s="65">
        <f t="shared" si="634"/>
        <v>12465.7</v>
      </c>
      <c r="AI4100" s="47"/>
      <c r="AJ4100" s="126" t="e">
        <v>#N/A</v>
      </c>
      <c r="AK4100" s="80">
        <f t="shared" si="637"/>
        <v>0</v>
      </c>
      <c r="AM4100" s="85"/>
    </row>
    <row r="4101" spans="1:39" hidden="1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1654</v>
      </c>
      <c r="F4101" s="86" t="s">
        <v>1654</v>
      </c>
      <c r="G4101" s="86" t="s">
        <v>1654</v>
      </c>
      <c r="H4101" s="144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1654</v>
      </c>
      <c r="N4101" s="86"/>
      <c r="O4101" s="47" t="s">
        <v>410</v>
      </c>
      <c r="P4101" s="47" t="s">
        <v>41</v>
      </c>
      <c r="Q4101" s="14">
        <v>0</v>
      </c>
      <c r="R4101" s="143" t="s">
        <v>1655</v>
      </c>
      <c r="S4101" s="47"/>
      <c r="T4101" s="6">
        <v>2294.1500000000005</v>
      </c>
      <c r="U4101" s="6">
        <v>9000</v>
      </c>
      <c r="V4101" s="6">
        <v>8768.9</v>
      </c>
      <c r="W4101" s="6">
        <f t="shared" si="631"/>
        <v>2525.2500000000018</v>
      </c>
      <c r="X4101" s="6">
        <f t="shared" si="632"/>
        <v>8768.9</v>
      </c>
      <c r="Y4101" s="13">
        <f t="shared" si="635"/>
        <v>0</v>
      </c>
      <c r="Z4101" s="14">
        <v>0</v>
      </c>
      <c r="AA4101" s="6">
        <v>0</v>
      </c>
      <c r="AB4101" s="4">
        <f t="shared" si="636"/>
        <v>8768.9</v>
      </c>
      <c r="AC4101" s="4">
        <f t="shared" si="629"/>
        <v>0</v>
      </c>
      <c r="AD4101" s="6">
        <f t="shared" si="633"/>
        <v>8768.9</v>
      </c>
      <c r="AE4101" s="2">
        <f>VLOOKUP(I4101,[1]媒体政策预估表!A:N,MATCH(O4101,[1]媒体政策预估表!$A$2:$M$2,0),0)</f>
        <v>7.0000000000000007E-2</v>
      </c>
      <c r="AF4101" s="6">
        <f t="shared" si="630"/>
        <v>613.82299999999998</v>
      </c>
      <c r="AG4101" s="14">
        <v>0</v>
      </c>
      <c r="AH4101" s="65">
        <f t="shared" si="634"/>
        <v>8768.9</v>
      </c>
      <c r="AI4101" s="47"/>
      <c r="AJ4101" s="126" t="e">
        <v>#N/A</v>
      </c>
      <c r="AK4101" s="80">
        <f t="shared" si="637"/>
        <v>0</v>
      </c>
      <c r="AM4101" s="85"/>
    </row>
    <row r="4102" spans="1:39" hidden="1" x14ac:dyDescent="0.3">
      <c r="A4102" s="89" t="s">
        <v>3394</v>
      </c>
      <c r="B4102" s="86" t="s">
        <v>35</v>
      </c>
      <c r="C4102" s="86" t="s">
        <v>164</v>
      </c>
      <c r="D4102" s="86" t="s">
        <v>174</v>
      </c>
      <c r="E4102" s="86" t="s">
        <v>1656</v>
      </c>
      <c r="F4102" s="86" t="s">
        <v>1656</v>
      </c>
      <c r="G4102" s="86" t="s">
        <v>1656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1656</v>
      </c>
      <c r="N4102" s="86"/>
      <c r="O4102" s="47" t="s">
        <v>410</v>
      </c>
      <c r="P4102" s="47" t="s">
        <v>41</v>
      </c>
      <c r="Q4102" s="14">
        <v>0</v>
      </c>
      <c r="R4102" s="143" t="s">
        <v>1657</v>
      </c>
      <c r="S4102" s="47"/>
      <c r="T4102" s="6">
        <v>6984.7000000000007</v>
      </c>
      <c r="U4102" s="6">
        <v>5000</v>
      </c>
      <c r="V4102" s="6">
        <v>10299.200000000001</v>
      </c>
      <c r="W4102" s="6">
        <f t="shared" si="631"/>
        <v>1685.5</v>
      </c>
      <c r="X4102" s="6">
        <f t="shared" si="632"/>
        <v>10299.200000000001</v>
      </c>
      <c r="Y4102" s="13">
        <f t="shared" si="635"/>
        <v>0</v>
      </c>
      <c r="Z4102" s="14">
        <v>0</v>
      </c>
      <c r="AA4102" s="6">
        <v>0</v>
      </c>
      <c r="AB4102" s="4"/>
      <c r="AC4102" s="4">
        <f t="shared" si="629"/>
        <v>0</v>
      </c>
      <c r="AD4102" s="6">
        <f t="shared" si="633"/>
        <v>10299.200000000001</v>
      </c>
      <c r="AE4102" s="2">
        <f>VLOOKUP(I4102,[1]媒体政策预估表!A:N,MATCH(O4102,[1]媒体政策预估表!$A$2:$M$2,0),0)</f>
        <v>7.0000000000000007E-2</v>
      </c>
      <c r="AF4102" s="6">
        <f t="shared" si="630"/>
        <v>720.94400000000007</v>
      </c>
      <c r="AG4102" s="14">
        <v>0</v>
      </c>
      <c r="AH4102" s="65">
        <f t="shared" si="634"/>
        <v>10299.200000000001</v>
      </c>
      <c r="AI4102" s="47"/>
      <c r="AJ4102" s="126">
        <v>114</v>
      </c>
      <c r="AK4102" s="80">
        <f t="shared" si="637"/>
        <v>10299.200000000001</v>
      </c>
      <c r="AM4102" s="85"/>
    </row>
    <row r="4103" spans="1:39" hidden="1" x14ac:dyDescent="0.3">
      <c r="A4103" s="89" t="s">
        <v>3394</v>
      </c>
      <c r="B4103" s="86" t="s">
        <v>35</v>
      </c>
      <c r="C4103" s="86" t="s">
        <v>164</v>
      </c>
      <c r="D4103" s="86" t="s">
        <v>174</v>
      </c>
      <c r="E4103" s="86" t="s">
        <v>1658</v>
      </c>
      <c r="F4103" s="86" t="s">
        <v>1658</v>
      </c>
      <c r="G4103" s="86" t="s">
        <v>1658</v>
      </c>
      <c r="H4103" s="144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1659</v>
      </c>
      <c r="N4103" s="86"/>
      <c r="O4103" s="47" t="s">
        <v>410</v>
      </c>
      <c r="P4103" s="47" t="s">
        <v>41</v>
      </c>
      <c r="Q4103" s="14">
        <v>0</v>
      </c>
      <c r="R4103" s="143" t="s">
        <v>1660</v>
      </c>
      <c r="S4103" s="47"/>
      <c r="T4103" s="6">
        <v>3619.74</v>
      </c>
      <c r="U4103" s="6">
        <v>40000</v>
      </c>
      <c r="V4103" s="6">
        <v>31676.3</v>
      </c>
      <c r="W4103" s="6">
        <f t="shared" si="631"/>
        <v>11943.439999999999</v>
      </c>
      <c r="X4103" s="6">
        <f t="shared" si="632"/>
        <v>31676.3</v>
      </c>
      <c r="Y4103" s="13">
        <f t="shared" si="635"/>
        <v>0</v>
      </c>
      <c r="Z4103" s="14">
        <v>0</v>
      </c>
      <c r="AA4103" s="6">
        <v>0</v>
      </c>
      <c r="AB4103" s="4">
        <f t="shared" si="636"/>
        <v>31676.3</v>
      </c>
      <c r="AC4103" s="4">
        <f t="shared" si="629"/>
        <v>0</v>
      </c>
      <c r="AD4103" s="6">
        <f t="shared" si="633"/>
        <v>31676.3</v>
      </c>
      <c r="AE4103" s="2">
        <f>VLOOKUP(I4103,[1]媒体政策预估表!A:N,MATCH(O4103,[1]媒体政策预估表!$A$2:$M$2,0),0)</f>
        <v>7.0000000000000007E-2</v>
      </c>
      <c r="AF4103" s="6">
        <f t="shared" si="630"/>
        <v>2217.3410000000003</v>
      </c>
      <c r="AG4103" s="14">
        <v>0</v>
      </c>
      <c r="AH4103" s="65">
        <f t="shared" si="634"/>
        <v>31676.3</v>
      </c>
      <c r="AI4103" s="47"/>
      <c r="AJ4103" s="126" t="e">
        <v>#N/A</v>
      </c>
      <c r="AK4103" s="80">
        <f t="shared" si="637"/>
        <v>0</v>
      </c>
      <c r="AM4103" s="85"/>
    </row>
    <row r="4104" spans="1:39" hidden="1" x14ac:dyDescent="0.3">
      <c r="A4104" s="89" t="s">
        <v>3394</v>
      </c>
      <c r="B4104" s="86" t="s">
        <v>35</v>
      </c>
      <c r="C4104" s="86" t="s">
        <v>164</v>
      </c>
      <c r="D4104" s="86" t="s">
        <v>174</v>
      </c>
      <c r="E4104" s="86" t="s">
        <v>1662</v>
      </c>
      <c r="F4104" s="86" t="s">
        <v>1662</v>
      </c>
      <c r="G4104" s="86" t="s">
        <v>1662</v>
      </c>
      <c r="H4104" s="144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1662</v>
      </c>
      <c r="N4104" s="86"/>
      <c r="O4104" s="47" t="s">
        <v>410</v>
      </c>
      <c r="P4104" s="47" t="s">
        <v>41</v>
      </c>
      <c r="Q4104" s="14">
        <v>0</v>
      </c>
      <c r="R4104" s="143" t="s">
        <v>1663</v>
      </c>
      <c r="S4104" s="47"/>
      <c r="T4104" s="6">
        <v>7551.4000000000015</v>
      </c>
      <c r="U4104" s="6">
        <v>30000</v>
      </c>
      <c r="V4104" s="6">
        <v>32109</v>
      </c>
      <c r="W4104" s="6">
        <f t="shared" si="631"/>
        <v>5442.4000000000015</v>
      </c>
      <c r="X4104" s="6">
        <f t="shared" si="632"/>
        <v>32109</v>
      </c>
      <c r="Y4104" s="13">
        <f t="shared" si="635"/>
        <v>0</v>
      </c>
      <c r="Z4104" s="14">
        <v>0</v>
      </c>
      <c r="AA4104" s="6">
        <v>0</v>
      </c>
      <c r="AB4104" s="4">
        <f t="shared" si="636"/>
        <v>32109</v>
      </c>
      <c r="AC4104" s="4">
        <f t="shared" si="629"/>
        <v>0</v>
      </c>
      <c r="AD4104" s="6">
        <f t="shared" si="633"/>
        <v>32109</v>
      </c>
      <c r="AE4104" s="2">
        <f>VLOOKUP(I4104,[1]媒体政策预估表!A:N,MATCH(O4104,[1]媒体政策预估表!$A$2:$M$2,0),0)</f>
        <v>7.0000000000000007E-2</v>
      </c>
      <c r="AF4104" s="6">
        <f t="shared" si="630"/>
        <v>2247.63</v>
      </c>
      <c r="AG4104" s="14">
        <v>0</v>
      </c>
      <c r="AH4104" s="65">
        <f t="shared" si="634"/>
        <v>32109</v>
      </c>
      <c r="AI4104" s="47"/>
      <c r="AJ4104" s="126" t="e">
        <v>#N/A</v>
      </c>
      <c r="AK4104" s="80">
        <f t="shared" si="637"/>
        <v>0</v>
      </c>
      <c r="AM4104" s="85"/>
    </row>
    <row r="4105" spans="1:39" hidden="1" x14ac:dyDescent="0.3">
      <c r="A4105" s="89" t="s">
        <v>3394</v>
      </c>
      <c r="B4105" s="86" t="s">
        <v>35</v>
      </c>
      <c r="C4105" s="86" t="s">
        <v>164</v>
      </c>
      <c r="D4105" s="86" t="s">
        <v>174</v>
      </c>
      <c r="E4105" s="86" t="s">
        <v>1664</v>
      </c>
      <c r="F4105" s="86" t="s">
        <v>1664</v>
      </c>
      <c r="G4105" s="86" t="s">
        <v>1664</v>
      </c>
      <c r="H4105" s="144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1664</v>
      </c>
      <c r="N4105" s="86"/>
      <c r="O4105" s="47" t="s">
        <v>410</v>
      </c>
      <c r="P4105" s="47" t="s">
        <v>41</v>
      </c>
      <c r="Q4105" s="14">
        <v>0</v>
      </c>
      <c r="R4105" s="143" t="s">
        <v>1665</v>
      </c>
      <c r="S4105" s="47"/>
      <c r="T4105" s="6">
        <v>85382.700000000041</v>
      </c>
      <c r="U4105" s="6">
        <v>280000</v>
      </c>
      <c r="V4105" s="6">
        <v>243280.9</v>
      </c>
      <c r="W4105" s="6">
        <f t="shared" si="631"/>
        <v>122101.80000000008</v>
      </c>
      <c r="X4105" s="6">
        <f t="shared" si="632"/>
        <v>243280.9</v>
      </c>
      <c r="Y4105" s="13">
        <f t="shared" si="635"/>
        <v>0</v>
      </c>
      <c r="Z4105" s="14">
        <v>0</v>
      </c>
      <c r="AA4105" s="6">
        <v>0</v>
      </c>
      <c r="AB4105" s="4">
        <f t="shared" si="636"/>
        <v>243280.9</v>
      </c>
      <c r="AC4105" s="4">
        <f t="shared" si="629"/>
        <v>0</v>
      </c>
      <c r="AD4105" s="6">
        <f t="shared" si="633"/>
        <v>243280.9</v>
      </c>
      <c r="AE4105" s="2">
        <f>VLOOKUP(I4105,[1]媒体政策预估表!A:N,MATCH(O4105,[1]媒体政策预估表!$A$2:$M$2,0),0)</f>
        <v>7.0000000000000007E-2</v>
      </c>
      <c r="AF4105" s="6">
        <f t="shared" si="630"/>
        <v>17029.663</v>
      </c>
      <c r="AG4105" s="14">
        <v>0</v>
      </c>
      <c r="AH4105" s="65">
        <f t="shared" si="634"/>
        <v>243280.9</v>
      </c>
      <c r="AI4105" s="47"/>
      <c r="AJ4105" s="126" t="e">
        <v>#N/A</v>
      </c>
      <c r="AK4105" s="80">
        <f t="shared" si="637"/>
        <v>0</v>
      </c>
      <c r="AM4105" s="85"/>
    </row>
    <row r="4106" spans="1:39" hidden="1" x14ac:dyDescent="0.3">
      <c r="A4106" s="89" t="s">
        <v>3394</v>
      </c>
      <c r="B4106" s="86" t="s">
        <v>35</v>
      </c>
      <c r="C4106" s="86" t="s">
        <v>164</v>
      </c>
      <c r="D4106" s="86" t="s">
        <v>174</v>
      </c>
      <c r="E4106" s="86" t="s">
        <v>1666</v>
      </c>
      <c r="F4106" s="86" t="s">
        <v>1666</v>
      </c>
      <c r="G4106" s="86" t="s">
        <v>1666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1666</v>
      </c>
      <c r="N4106" s="86"/>
      <c r="O4106" s="47" t="s">
        <v>410</v>
      </c>
      <c r="P4106" s="47" t="s">
        <v>41</v>
      </c>
      <c r="Q4106" s="14">
        <v>0</v>
      </c>
      <c r="R4106" s="143" t="s">
        <v>1667</v>
      </c>
      <c r="S4106" s="47"/>
      <c r="T4106" s="6">
        <v>8418.7999999999993</v>
      </c>
      <c r="U4106" s="6">
        <v>5000</v>
      </c>
      <c r="V4106" s="6">
        <v>5926.4</v>
      </c>
      <c r="W4106" s="6">
        <f t="shared" si="631"/>
        <v>7492.4</v>
      </c>
      <c r="X4106" s="6">
        <f t="shared" si="632"/>
        <v>5926.4</v>
      </c>
      <c r="Y4106" s="13">
        <f t="shared" si="635"/>
        <v>0</v>
      </c>
      <c r="Z4106" s="14">
        <v>0</v>
      </c>
      <c r="AA4106" s="6">
        <v>0</v>
      </c>
      <c r="AB4106" s="4"/>
      <c r="AC4106" s="4">
        <f t="shared" si="629"/>
        <v>0</v>
      </c>
      <c r="AD4106" s="6">
        <f t="shared" si="633"/>
        <v>5926.4</v>
      </c>
      <c r="AE4106" s="2">
        <f>VLOOKUP(I4106,[1]媒体政策预估表!A:N,MATCH(O4106,[1]媒体政策预估表!$A$2:$M$2,0),0)</f>
        <v>7.0000000000000007E-2</v>
      </c>
      <c r="AF4106" s="6">
        <f t="shared" si="630"/>
        <v>414.84800000000001</v>
      </c>
      <c r="AG4106" s="14">
        <v>0</v>
      </c>
      <c r="AH4106" s="65">
        <f t="shared" si="634"/>
        <v>5926.4</v>
      </c>
      <c r="AI4106" s="47"/>
      <c r="AJ4106" s="126">
        <v>111</v>
      </c>
      <c r="AK4106" s="80">
        <f t="shared" si="637"/>
        <v>5926.4</v>
      </c>
      <c r="AM4106" s="85"/>
    </row>
    <row r="4107" spans="1:39" hidden="1" x14ac:dyDescent="0.3">
      <c r="A4107" s="89" t="s">
        <v>3394</v>
      </c>
      <c r="B4107" s="86" t="s">
        <v>35</v>
      </c>
      <c r="C4107" s="86" t="s">
        <v>164</v>
      </c>
      <c r="D4107" s="86" t="s">
        <v>174</v>
      </c>
      <c r="E4107" s="86" t="s">
        <v>1668</v>
      </c>
      <c r="F4107" s="86" t="s">
        <v>1669</v>
      </c>
      <c r="G4107" s="86" t="s">
        <v>1668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1668</v>
      </c>
      <c r="N4107" s="86"/>
      <c r="O4107" s="47" t="s">
        <v>410</v>
      </c>
      <c r="P4107" s="47" t="s">
        <v>46</v>
      </c>
      <c r="Q4107" s="14">
        <v>0.02</v>
      </c>
      <c r="R4107" s="143" t="s">
        <v>1670</v>
      </c>
      <c r="S4107" s="47"/>
      <c r="T4107" s="6">
        <v>25084.840000000004</v>
      </c>
      <c r="U4107" s="6">
        <v>130000</v>
      </c>
      <c r="V4107" s="6">
        <v>154370.5</v>
      </c>
      <c r="W4107" s="6">
        <f t="shared" si="631"/>
        <v>714.33999999999651</v>
      </c>
      <c r="X4107" s="6">
        <f t="shared" si="632"/>
        <v>151343.62745098039</v>
      </c>
      <c r="Y4107" s="13">
        <f t="shared" si="635"/>
        <v>0</v>
      </c>
      <c r="Z4107" s="14">
        <v>0</v>
      </c>
      <c r="AA4107" s="6">
        <v>0</v>
      </c>
      <c r="AB4107" s="4">
        <f t="shared" si="636"/>
        <v>151343.62745098039</v>
      </c>
      <c r="AC4107" s="4">
        <f t="shared" si="629"/>
        <v>3026.8725490196084</v>
      </c>
      <c r="AD4107" s="6">
        <f t="shared" si="633"/>
        <v>154370.5</v>
      </c>
      <c r="AE4107" s="2">
        <f>VLOOKUP(I4107,[1]媒体政策预估表!A:N,MATCH(O4107,[1]媒体政策预估表!$A$2:$M$2,0),0)</f>
        <v>7.0000000000000007E-2</v>
      </c>
      <c r="AF4107" s="6">
        <f t="shared" si="630"/>
        <v>10805.935000000001</v>
      </c>
      <c r="AG4107" s="14">
        <v>0</v>
      </c>
      <c r="AH4107" s="65">
        <f t="shared" si="634"/>
        <v>154370.5</v>
      </c>
      <c r="AI4107" s="47"/>
      <c r="AJ4107" s="126" t="e">
        <v>#N/A</v>
      </c>
      <c r="AK4107" s="80">
        <f t="shared" si="637"/>
        <v>0</v>
      </c>
      <c r="AM4107" s="85"/>
    </row>
    <row r="4108" spans="1:39" hidden="1" x14ac:dyDescent="0.3">
      <c r="A4108" s="89" t="s">
        <v>3394</v>
      </c>
      <c r="B4108" s="86" t="s">
        <v>35</v>
      </c>
      <c r="C4108" s="86" t="s">
        <v>164</v>
      </c>
      <c r="D4108" s="86" t="s">
        <v>174</v>
      </c>
      <c r="E4108" s="86" t="s">
        <v>1671</v>
      </c>
      <c r="F4108" s="86" t="s">
        <v>1671</v>
      </c>
      <c r="G4108" s="86" t="s">
        <v>1671</v>
      </c>
      <c r="H4108" s="144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1671</v>
      </c>
      <c r="N4108" s="86"/>
      <c r="O4108" s="47" t="s">
        <v>410</v>
      </c>
      <c r="P4108" s="47" t="s">
        <v>41</v>
      </c>
      <c r="Q4108" s="14">
        <v>0</v>
      </c>
      <c r="R4108" s="143" t="s">
        <v>1672</v>
      </c>
      <c r="S4108" s="47"/>
      <c r="T4108" s="6">
        <v>15726.649999999987</v>
      </c>
      <c r="U4108" s="6">
        <v>40000</v>
      </c>
      <c r="V4108" s="6">
        <v>55292.6</v>
      </c>
      <c r="W4108" s="6">
        <f t="shared" si="631"/>
        <v>434.04999999998836</v>
      </c>
      <c r="X4108" s="6">
        <f t="shared" si="632"/>
        <v>55292.6</v>
      </c>
      <c r="Y4108" s="13">
        <f t="shared" si="635"/>
        <v>0</v>
      </c>
      <c r="Z4108" s="14">
        <v>0</v>
      </c>
      <c r="AA4108" s="6">
        <v>0</v>
      </c>
      <c r="AB4108" s="4">
        <f t="shared" si="636"/>
        <v>55292.6</v>
      </c>
      <c r="AC4108" s="4">
        <f t="shared" ref="AC4108:AC4171" si="638">IF(P4108="返现",X4108*Q4108,V4108-X4108)</f>
        <v>0</v>
      </c>
      <c r="AD4108" s="6">
        <f t="shared" si="633"/>
        <v>55292.6</v>
      </c>
      <c r="AE4108" s="2">
        <f>VLOOKUP(I4108,[1]媒体政策预估表!A:N,MATCH(O4108,[1]媒体政策预估表!$A$2:$M$2,0),0)</f>
        <v>7.0000000000000007E-2</v>
      </c>
      <c r="AF4108" s="6">
        <f t="shared" ref="AF4108:AF4171" si="639">AD4108*AE4108</f>
        <v>3870.4820000000004</v>
      </c>
      <c r="AG4108" s="14">
        <v>0</v>
      </c>
      <c r="AH4108" s="65">
        <f t="shared" si="634"/>
        <v>55292.6</v>
      </c>
      <c r="AI4108" s="47"/>
      <c r="AJ4108" s="126" t="e">
        <v>#N/A</v>
      </c>
      <c r="AK4108" s="80">
        <f t="shared" si="637"/>
        <v>0</v>
      </c>
      <c r="AM4108" s="85"/>
    </row>
    <row r="4109" spans="1:39" hidden="1" x14ac:dyDescent="0.3">
      <c r="A4109" s="89" t="s">
        <v>3394</v>
      </c>
      <c r="B4109" s="86" t="s">
        <v>35</v>
      </c>
      <c r="C4109" s="86" t="s">
        <v>164</v>
      </c>
      <c r="D4109" s="86" t="s">
        <v>174</v>
      </c>
      <c r="E4109" s="86" t="s">
        <v>1673</v>
      </c>
      <c r="F4109" s="86" t="s">
        <v>1674</v>
      </c>
      <c r="G4109" s="86" t="s">
        <v>1673</v>
      </c>
      <c r="H4109" s="144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1673</v>
      </c>
      <c r="N4109" s="86"/>
      <c r="O4109" s="47" t="s">
        <v>410</v>
      </c>
      <c r="P4109" s="47" t="s">
        <v>41</v>
      </c>
      <c r="Q4109" s="14">
        <v>0</v>
      </c>
      <c r="R4109" s="143" t="s">
        <v>1675</v>
      </c>
      <c r="S4109" s="47"/>
      <c r="T4109" s="6">
        <v>510.5</v>
      </c>
      <c r="U4109" s="6">
        <v>130000</v>
      </c>
      <c r="V4109" s="6">
        <v>125331.9</v>
      </c>
      <c r="W4109" s="6">
        <f t="shared" si="631"/>
        <v>5178.6000000000058</v>
      </c>
      <c r="X4109" s="6">
        <f t="shared" si="632"/>
        <v>125331.9</v>
      </c>
      <c r="Y4109" s="13">
        <f t="shared" si="635"/>
        <v>0</v>
      </c>
      <c r="Z4109" s="14">
        <v>0</v>
      </c>
      <c r="AA4109" s="6">
        <v>0</v>
      </c>
      <c r="AB4109" s="4">
        <f t="shared" si="636"/>
        <v>125331.9</v>
      </c>
      <c r="AC4109" s="4">
        <f t="shared" si="638"/>
        <v>0</v>
      </c>
      <c r="AD4109" s="6">
        <f t="shared" si="633"/>
        <v>125331.9</v>
      </c>
      <c r="AE4109" s="2">
        <f>VLOOKUP(I4109,[1]媒体政策预估表!A:N,MATCH(O4109,[1]媒体政策预估表!$A$2:$M$2,0),0)</f>
        <v>7.0000000000000007E-2</v>
      </c>
      <c r="AF4109" s="6">
        <f t="shared" si="639"/>
        <v>8773.2330000000002</v>
      </c>
      <c r="AG4109" s="14">
        <v>0</v>
      </c>
      <c r="AH4109" s="65">
        <f t="shared" si="634"/>
        <v>125331.9</v>
      </c>
      <c r="AI4109" s="47"/>
      <c r="AJ4109" s="126" t="e">
        <v>#N/A</v>
      </c>
      <c r="AK4109" s="80">
        <f t="shared" si="637"/>
        <v>0</v>
      </c>
      <c r="AM4109" s="85"/>
    </row>
    <row r="4110" spans="1:39" hidden="1" x14ac:dyDescent="0.3">
      <c r="A4110" s="89" t="s">
        <v>3394</v>
      </c>
      <c r="B4110" s="86" t="s">
        <v>35</v>
      </c>
      <c r="C4110" s="86" t="s">
        <v>164</v>
      </c>
      <c r="D4110" s="86" t="s">
        <v>174</v>
      </c>
      <c r="E4110" s="86" t="s">
        <v>1678</v>
      </c>
      <c r="F4110" s="86" t="s">
        <v>1678</v>
      </c>
      <c r="G4110" s="86" t="s">
        <v>1678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1678</v>
      </c>
      <c r="N4110" s="86"/>
      <c r="O4110" s="47" t="s">
        <v>410</v>
      </c>
      <c r="P4110" s="47" t="s">
        <v>46</v>
      </c>
      <c r="Q4110" s="14">
        <v>0.02</v>
      </c>
      <c r="R4110" s="143" t="s">
        <v>1680</v>
      </c>
      <c r="S4110" s="47"/>
      <c r="T4110" s="6">
        <v>10439.330000000002</v>
      </c>
      <c r="U4110" s="6">
        <v>-10439.33</v>
      </c>
      <c r="V4110" s="6">
        <v>0</v>
      </c>
      <c r="W4110" s="6">
        <v>0</v>
      </c>
      <c r="X4110" s="6">
        <f t="shared" si="632"/>
        <v>0</v>
      </c>
      <c r="Y4110" s="13">
        <f t="shared" si="635"/>
        <v>0</v>
      </c>
      <c r="Z4110" s="14">
        <v>0</v>
      </c>
      <c r="AA4110" s="6">
        <v>0</v>
      </c>
      <c r="AB4110" s="4">
        <f t="shared" si="636"/>
        <v>0</v>
      </c>
      <c r="AC4110" s="4">
        <f t="shared" si="638"/>
        <v>0</v>
      </c>
      <c r="AD4110" s="6">
        <f t="shared" si="633"/>
        <v>0</v>
      </c>
      <c r="AE4110" s="2">
        <f>VLOOKUP(I4110,[1]媒体政策预估表!A:N,MATCH(O4110,[1]媒体政策预估表!$A$2:$M$2,0),0)</f>
        <v>7.0000000000000007E-2</v>
      </c>
      <c r="AF4110" s="6">
        <f t="shared" si="639"/>
        <v>0</v>
      </c>
      <c r="AG4110" s="14">
        <v>0</v>
      </c>
      <c r="AH4110" s="65">
        <f t="shared" si="634"/>
        <v>0</v>
      </c>
      <c r="AI4110" s="47"/>
      <c r="AJ4110" s="126" t="e">
        <v>#N/A</v>
      </c>
      <c r="AK4110" s="80">
        <f t="shared" si="637"/>
        <v>0</v>
      </c>
      <c r="AM4110" s="85"/>
    </row>
    <row r="4111" spans="1:39" hidden="1" x14ac:dyDescent="0.3">
      <c r="A4111" s="89" t="s">
        <v>3394</v>
      </c>
      <c r="B4111" s="86" t="s">
        <v>35</v>
      </c>
      <c r="C4111" s="86" t="s">
        <v>164</v>
      </c>
      <c r="D4111" s="86" t="s">
        <v>174</v>
      </c>
      <c r="E4111" s="86" t="s">
        <v>1678</v>
      </c>
      <c r="F4111" s="86" t="s">
        <v>1678</v>
      </c>
      <c r="G4111" s="86" t="s">
        <v>1678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1678</v>
      </c>
      <c r="N4111" s="86"/>
      <c r="O4111" s="47" t="s">
        <v>410</v>
      </c>
      <c r="P4111" s="47" t="s">
        <v>41</v>
      </c>
      <c r="Q4111" s="14">
        <v>0</v>
      </c>
      <c r="R4111" s="143" t="s">
        <v>1680</v>
      </c>
      <c r="S4111" s="47"/>
      <c r="T4111" s="6">
        <v>50000</v>
      </c>
      <c r="U4111" s="6">
        <v>-50000</v>
      </c>
      <c r="V4111" s="6">
        <v>0</v>
      </c>
      <c r="W4111" s="6">
        <f t="shared" si="631"/>
        <v>0</v>
      </c>
      <c r="X4111" s="6">
        <f t="shared" si="632"/>
        <v>0</v>
      </c>
      <c r="Y4111" s="13">
        <f t="shared" si="635"/>
        <v>0</v>
      </c>
      <c r="Z4111" s="14">
        <v>0</v>
      </c>
      <c r="AA4111" s="6">
        <v>0</v>
      </c>
      <c r="AB4111" s="4">
        <f t="shared" si="636"/>
        <v>0</v>
      </c>
      <c r="AC4111" s="4">
        <f t="shared" si="638"/>
        <v>0</v>
      </c>
      <c r="AD4111" s="6">
        <f t="shared" si="633"/>
        <v>0</v>
      </c>
      <c r="AE4111" s="2">
        <f>VLOOKUP(I4111,[1]媒体政策预估表!A:N,MATCH(O4111,[1]媒体政策预估表!$A$2:$M$2,0),0)</f>
        <v>7.0000000000000007E-2</v>
      </c>
      <c r="AF4111" s="6">
        <f t="shared" si="639"/>
        <v>0</v>
      </c>
      <c r="AG4111" s="14">
        <v>0</v>
      </c>
      <c r="AH4111" s="65">
        <f t="shared" si="634"/>
        <v>0</v>
      </c>
      <c r="AI4111" s="47"/>
      <c r="AJ4111" s="126" t="e">
        <v>#N/A</v>
      </c>
      <c r="AK4111" s="80">
        <f t="shared" si="637"/>
        <v>0</v>
      </c>
      <c r="AM4111" s="85"/>
    </row>
    <row r="4112" spans="1:39" hidden="1" x14ac:dyDescent="0.3">
      <c r="A4112" s="89" t="s">
        <v>3394</v>
      </c>
      <c r="B4112" s="86" t="s">
        <v>35</v>
      </c>
      <c r="C4112" s="86" t="s">
        <v>164</v>
      </c>
      <c r="D4112" s="86" t="s">
        <v>174</v>
      </c>
      <c r="E4112" s="86" t="s">
        <v>1681</v>
      </c>
      <c r="F4112" s="86" t="s">
        <v>1682</v>
      </c>
      <c r="G4112" s="86" t="s">
        <v>1681</v>
      </c>
      <c r="H4112" s="144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1683</v>
      </c>
      <c r="N4112" s="86"/>
      <c r="O4112" s="47" t="s">
        <v>410</v>
      </c>
      <c r="P4112" s="47" t="s">
        <v>41</v>
      </c>
      <c r="Q4112" s="14">
        <v>0</v>
      </c>
      <c r="R4112" s="143" t="s">
        <v>1684</v>
      </c>
      <c r="S4112" s="47"/>
      <c r="T4112" s="6">
        <v>35217.31</v>
      </c>
      <c r="U4112" s="6">
        <v>110000</v>
      </c>
      <c r="V4112" s="6">
        <v>123414.9</v>
      </c>
      <c r="W4112" s="6">
        <f t="shared" si="631"/>
        <v>21802.410000000003</v>
      </c>
      <c r="X4112" s="6">
        <f t="shared" si="632"/>
        <v>123414.9</v>
      </c>
      <c r="Y4112" s="13">
        <f t="shared" si="635"/>
        <v>0</v>
      </c>
      <c r="Z4112" s="14">
        <v>0</v>
      </c>
      <c r="AA4112" s="6">
        <v>0</v>
      </c>
      <c r="AB4112" s="4">
        <f t="shared" si="636"/>
        <v>123414.9</v>
      </c>
      <c r="AC4112" s="4">
        <f t="shared" si="638"/>
        <v>0</v>
      </c>
      <c r="AD4112" s="6">
        <f t="shared" si="633"/>
        <v>123414.9</v>
      </c>
      <c r="AE4112" s="2">
        <f>VLOOKUP(I4112,[1]媒体政策预估表!A:N,MATCH(O4112,[1]媒体政策预估表!$A$2:$M$2,0),0)</f>
        <v>7.0000000000000007E-2</v>
      </c>
      <c r="AF4112" s="6">
        <f t="shared" si="639"/>
        <v>8639.0429999999997</v>
      </c>
      <c r="AG4112" s="14">
        <v>0</v>
      </c>
      <c r="AH4112" s="65">
        <f t="shared" si="634"/>
        <v>123414.9</v>
      </c>
      <c r="AI4112" s="47"/>
      <c r="AJ4112" s="126" t="e">
        <v>#N/A</v>
      </c>
      <c r="AK4112" s="80">
        <f t="shared" si="637"/>
        <v>0</v>
      </c>
      <c r="AM4112" s="85"/>
    </row>
    <row r="4113" spans="1:39" hidden="1" x14ac:dyDescent="0.3">
      <c r="A4113" s="89" t="s">
        <v>3394</v>
      </c>
      <c r="B4113" s="86" t="s">
        <v>35</v>
      </c>
      <c r="C4113" s="86" t="s">
        <v>164</v>
      </c>
      <c r="D4113" s="86" t="s">
        <v>174</v>
      </c>
      <c r="E4113" s="86" t="s">
        <v>1681</v>
      </c>
      <c r="F4113" s="86" t="s">
        <v>1682</v>
      </c>
      <c r="G4113" s="86" t="s">
        <v>1681</v>
      </c>
      <c r="H4113" s="143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1685</v>
      </c>
      <c r="N4113" s="86"/>
      <c r="O4113" s="47" t="s">
        <v>410</v>
      </c>
      <c r="P4113" s="47" t="s">
        <v>46</v>
      </c>
      <c r="Q4113" s="14">
        <v>0.02</v>
      </c>
      <c r="R4113" s="143" t="s">
        <v>1686</v>
      </c>
      <c r="S4113" s="47" t="s">
        <v>3565</v>
      </c>
      <c r="T4113" s="6">
        <v>0</v>
      </c>
      <c r="U4113" s="6">
        <v>1162.3699999999999</v>
      </c>
      <c r="V4113" s="6">
        <v>1162.3699999999999</v>
      </c>
      <c r="W4113" s="6">
        <f t="shared" si="631"/>
        <v>0</v>
      </c>
      <c r="X4113" s="6">
        <v>0</v>
      </c>
      <c r="Y4113" s="13">
        <f t="shared" si="635"/>
        <v>0</v>
      </c>
      <c r="Z4113" s="14">
        <v>0</v>
      </c>
      <c r="AA4113" s="6">
        <v>0</v>
      </c>
      <c r="AB4113" s="4">
        <f t="shared" si="636"/>
        <v>0</v>
      </c>
      <c r="AC4113" s="4">
        <f t="shared" si="638"/>
        <v>1162.3699999999999</v>
      </c>
      <c r="AD4113" s="6">
        <f t="shared" si="633"/>
        <v>1162.3699999999999</v>
      </c>
      <c r="AE4113" s="2">
        <f>VLOOKUP(I4113,[1]媒体政策预估表!A:N,MATCH(O4113,[1]媒体政策预估表!$A$2:$M$2,0),0)</f>
        <v>7.0000000000000007E-2</v>
      </c>
      <c r="AF4113" s="6">
        <f t="shared" si="639"/>
        <v>81.365899999999996</v>
      </c>
      <c r="AG4113" s="14">
        <v>0</v>
      </c>
      <c r="AH4113" s="65">
        <f t="shared" si="634"/>
        <v>1162.3699999999999</v>
      </c>
      <c r="AI4113" s="47"/>
      <c r="AJ4113" s="126" t="e">
        <v>#N/A</v>
      </c>
      <c r="AK4113" s="80">
        <f t="shared" si="637"/>
        <v>0</v>
      </c>
      <c r="AM4113" s="85"/>
    </row>
    <row r="4114" spans="1:39" hidden="1" x14ac:dyDescent="0.3">
      <c r="A4114" s="89" t="s">
        <v>3394</v>
      </c>
      <c r="B4114" s="86" t="s">
        <v>35</v>
      </c>
      <c r="C4114" s="86" t="s">
        <v>164</v>
      </c>
      <c r="D4114" s="86" t="s">
        <v>174</v>
      </c>
      <c r="E4114" s="86" t="s">
        <v>1681</v>
      </c>
      <c r="F4114" s="86" t="s">
        <v>1682</v>
      </c>
      <c r="G4114" s="86" t="s">
        <v>1681</v>
      </c>
      <c r="H4114" s="144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1685</v>
      </c>
      <c r="N4114" s="86"/>
      <c r="O4114" s="47" t="s">
        <v>410</v>
      </c>
      <c r="P4114" s="47" t="s">
        <v>41</v>
      </c>
      <c r="Q4114" s="14">
        <v>0</v>
      </c>
      <c r="R4114" s="143" t="s">
        <v>1686</v>
      </c>
      <c r="S4114" s="47"/>
      <c r="T4114" s="6">
        <v>75620.050000000047</v>
      </c>
      <c r="U4114" s="6">
        <v>110000</v>
      </c>
      <c r="V4114" s="6">
        <v>146498.89000000001</v>
      </c>
      <c r="W4114" s="6">
        <f t="shared" si="631"/>
        <v>39121.160000000033</v>
      </c>
      <c r="X4114" s="6">
        <f t="shared" si="632"/>
        <v>146498.89000000001</v>
      </c>
      <c r="Y4114" s="13">
        <f t="shared" si="635"/>
        <v>0</v>
      </c>
      <c r="Z4114" s="14">
        <v>0</v>
      </c>
      <c r="AA4114" s="6">
        <v>0</v>
      </c>
      <c r="AB4114" s="4">
        <f t="shared" si="636"/>
        <v>146498.89000000001</v>
      </c>
      <c r="AC4114" s="4">
        <f t="shared" si="638"/>
        <v>0</v>
      </c>
      <c r="AD4114" s="6">
        <f t="shared" si="633"/>
        <v>146498.89000000001</v>
      </c>
      <c r="AE4114" s="2">
        <f>VLOOKUP(I4114,[1]媒体政策预估表!A:N,MATCH(O4114,[1]媒体政策预估表!$A$2:$M$2,0),0)</f>
        <v>7.0000000000000007E-2</v>
      </c>
      <c r="AF4114" s="6">
        <f t="shared" si="639"/>
        <v>10254.922300000002</v>
      </c>
      <c r="AG4114" s="14">
        <v>0</v>
      </c>
      <c r="AH4114" s="65">
        <f t="shared" si="634"/>
        <v>146498.89000000001</v>
      </c>
      <c r="AI4114" s="47"/>
      <c r="AJ4114" s="126" t="e">
        <v>#N/A</v>
      </c>
      <c r="AK4114" s="80">
        <f t="shared" si="637"/>
        <v>0</v>
      </c>
      <c r="AM4114" s="85"/>
    </row>
    <row r="4115" spans="1:39" hidden="1" x14ac:dyDescent="0.3">
      <c r="A4115" s="89" t="s">
        <v>3394</v>
      </c>
      <c r="B4115" s="86" t="s">
        <v>35</v>
      </c>
      <c r="C4115" s="86" t="s">
        <v>164</v>
      </c>
      <c r="D4115" s="86" t="s">
        <v>174</v>
      </c>
      <c r="E4115" s="86" t="s">
        <v>1694</v>
      </c>
      <c r="F4115" s="86" t="s">
        <v>1694</v>
      </c>
      <c r="G4115" s="86" t="s">
        <v>1694</v>
      </c>
      <c r="H4115" s="144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1694</v>
      </c>
      <c r="N4115" s="86"/>
      <c r="O4115" s="47" t="s">
        <v>410</v>
      </c>
      <c r="P4115" s="47" t="s">
        <v>41</v>
      </c>
      <c r="Q4115" s="14">
        <v>0</v>
      </c>
      <c r="R4115" s="143" t="s">
        <v>1695</v>
      </c>
      <c r="S4115" s="47"/>
      <c r="T4115" s="6">
        <v>5514.9000000000015</v>
      </c>
      <c r="U4115" s="6">
        <v>5000</v>
      </c>
      <c r="V4115" s="6">
        <v>5576.6750000000002</v>
      </c>
      <c r="W4115" s="6">
        <f t="shared" si="631"/>
        <v>4938.2250000000013</v>
      </c>
      <c r="X4115" s="6">
        <f t="shared" si="632"/>
        <v>5576.6750000000002</v>
      </c>
      <c r="Y4115" s="13">
        <f t="shared" si="635"/>
        <v>0</v>
      </c>
      <c r="Z4115" s="14">
        <v>0</v>
      </c>
      <c r="AA4115" s="6">
        <v>0</v>
      </c>
      <c r="AB4115" s="4">
        <f t="shared" si="636"/>
        <v>5576.6750000000002</v>
      </c>
      <c r="AC4115" s="4">
        <f t="shared" si="638"/>
        <v>0</v>
      </c>
      <c r="AD4115" s="6">
        <f t="shared" si="633"/>
        <v>5576.6750000000002</v>
      </c>
      <c r="AE4115" s="2">
        <f>VLOOKUP(I4115,[1]媒体政策预估表!A:N,MATCH(O4115,[1]媒体政策预估表!$A$2:$M$2,0),0)</f>
        <v>7.0000000000000007E-2</v>
      </c>
      <c r="AF4115" s="6">
        <f t="shared" si="639"/>
        <v>390.36725000000007</v>
      </c>
      <c r="AG4115" s="14">
        <v>0</v>
      </c>
      <c r="AH4115" s="65">
        <f t="shared" si="634"/>
        <v>5576.6750000000002</v>
      </c>
      <c r="AI4115" s="47"/>
      <c r="AJ4115" s="126" t="e">
        <v>#N/A</v>
      </c>
      <c r="AK4115" s="80">
        <f t="shared" si="637"/>
        <v>0</v>
      </c>
      <c r="AM4115" s="85"/>
    </row>
    <row r="4116" spans="1:39" hidden="1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1696</v>
      </c>
      <c r="F4116" s="86" t="s">
        <v>1696</v>
      </c>
      <c r="G4116" s="86" t="s">
        <v>1696</v>
      </c>
      <c r="H4116" s="144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1696</v>
      </c>
      <c r="N4116" s="86"/>
      <c r="O4116" s="47" t="s">
        <v>410</v>
      </c>
      <c r="P4116" s="47" t="s">
        <v>46</v>
      </c>
      <c r="Q4116" s="14">
        <v>0.02</v>
      </c>
      <c r="R4116" s="143" t="s">
        <v>1697</v>
      </c>
      <c r="S4116" s="47"/>
      <c r="T4116" s="6">
        <v>120062.09999999998</v>
      </c>
      <c r="U4116" s="6">
        <v>400000</v>
      </c>
      <c r="V4116" s="6">
        <v>455673.59999999998</v>
      </c>
      <c r="W4116" s="6">
        <f t="shared" si="631"/>
        <v>64388.5</v>
      </c>
      <c r="X4116" s="6">
        <f t="shared" si="632"/>
        <v>446738.82352941175</v>
      </c>
      <c r="Y4116" s="13">
        <f t="shared" si="635"/>
        <v>0</v>
      </c>
      <c r="Z4116" s="14">
        <v>0</v>
      </c>
      <c r="AA4116" s="6">
        <v>0</v>
      </c>
      <c r="AB4116" s="4">
        <f t="shared" si="636"/>
        <v>446738.82352941175</v>
      </c>
      <c r="AC4116" s="4">
        <f t="shared" si="638"/>
        <v>8934.7764705882291</v>
      </c>
      <c r="AD4116" s="6">
        <f t="shared" si="633"/>
        <v>455673.59999999998</v>
      </c>
      <c r="AE4116" s="2">
        <f>VLOOKUP(I4116,[1]媒体政策预估表!A:N,MATCH(O4116,[1]媒体政策预估表!$A$2:$M$2,0),0)</f>
        <v>7.0000000000000007E-2</v>
      </c>
      <c r="AF4116" s="6">
        <f t="shared" si="639"/>
        <v>31897.152000000002</v>
      </c>
      <c r="AG4116" s="14">
        <v>0</v>
      </c>
      <c r="AH4116" s="65">
        <f t="shared" si="634"/>
        <v>455673.59999999998</v>
      </c>
      <c r="AI4116" s="47"/>
      <c r="AJ4116" s="126" t="e">
        <v>#N/A</v>
      </c>
      <c r="AK4116" s="80">
        <f t="shared" si="637"/>
        <v>0</v>
      </c>
      <c r="AM4116" s="85"/>
    </row>
    <row r="4117" spans="1:39" hidden="1" x14ac:dyDescent="0.3">
      <c r="A4117" s="89" t="s">
        <v>3395</v>
      </c>
      <c r="B4117" s="86" t="s">
        <v>35</v>
      </c>
      <c r="C4117" s="86" t="s">
        <v>164</v>
      </c>
      <c r="D4117" s="86" t="s">
        <v>174</v>
      </c>
      <c r="E4117" s="86" t="s">
        <v>1698</v>
      </c>
      <c r="F4117" s="86" t="s">
        <v>1699</v>
      </c>
      <c r="G4117" s="86" t="s">
        <v>1698</v>
      </c>
      <c r="H4117" s="144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1698</v>
      </c>
      <c r="N4117" s="86"/>
      <c r="O4117" s="47" t="s">
        <v>410</v>
      </c>
      <c r="P4117" s="47" t="s">
        <v>41</v>
      </c>
      <c r="Q4117" s="14">
        <v>0</v>
      </c>
      <c r="R4117" s="143">
        <v>13989814374</v>
      </c>
      <c r="S4117" s="47"/>
      <c r="T4117" s="6">
        <v>2786.2000000000007</v>
      </c>
      <c r="U4117" s="6">
        <v>20000</v>
      </c>
      <c r="V4117" s="6">
        <v>13220.9</v>
      </c>
      <c r="W4117" s="6">
        <f t="shared" si="631"/>
        <v>9565.3000000000011</v>
      </c>
      <c r="X4117" s="6">
        <f t="shared" si="632"/>
        <v>13220.9</v>
      </c>
      <c r="Y4117" s="13">
        <f t="shared" si="635"/>
        <v>0</v>
      </c>
      <c r="Z4117" s="14">
        <v>0</v>
      </c>
      <c r="AA4117" s="6">
        <v>0</v>
      </c>
      <c r="AB4117" s="4">
        <f t="shared" si="636"/>
        <v>13220.9</v>
      </c>
      <c r="AC4117" s="4">
        <f t="shared" si="638"/>
        <v>0</v>
      </c>
      <c r="AD4117" s="6">
        <f t="shared" si="633"/>
        <v>13220.9</v>
      </c>
      <c r="AE4117" s="2">
        <f>VLOOKUP(I4117,[1]媒体政策预估表!A:N,MATCH(O4117,[1]媒体政策预估表!$A$2:$M$2,0),0)</f>
        <v>7.0000000000000007E-2</v>
      </c>
      <c r="AF4117" s="6">
        <f t="shared" si="639"/>
        <v>925.46300000000008</v>
      </c>
      <c r="AG4117" s="14">
        <v>0</v>
      </c>
      <c r="AH4117" s="65">
        <f t="shared" si="634"/>
        <v>13220.9</v>
      </c>
      <c r="AI4117" s="47"/>
      <c r="AJ4117" s="126" t="e">
        <v>#N/A</v>
      </c>
      <c r="AK4117" s="80">
        <f t="shared" si="637"/>
        <v>0</v>
      </c>
      <c r="AM4117" s="85"/>
    </row>
    <row r="4118" spans="1:39" hidden="1" x14ac:dyDescent="0.3">
      <c r="A4118" s="89" t="s">
        <v>3394</v>
      </c>
      <c r="B4118" s="86" t="s">
        <v>35</v>
      </c>
      <c r="C4118" s="86" t="s">
        <v>164</v>
      </c>
      <c r="D4118" s="86" t="s">
        <v>174</v>
      </c>
      <c r="E4118" s="86" t="s">
        <v>1700</v>
      </c>
      <c r="F4118" s="86" t="s">
        <v>1700</v>
      </c>
      <c r="G4118" s="86" t="s">
        <v>1700</v>
      </c>
      <c r="H4118" s="144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1701</v>
      </c>
      <c r="N4118" s="86"/>
      <c r="O4118" s="47" t="s">
        <v>410</v>
      </c>
      <c r="P4118" s="47" t="s">
        <v>41</v>
      </c>
      <c r="Q4118" s="14">
        <v>0</v>
      </c>
      <c r="R4118" s="143" t="s">
        <v>1702</v>
      </c>
      <c r="S4118" s="47"/>
      <c r="T4118" s="6">
        <v>56369.010000000009</v>
      </c>
      <c r="U4118" s="6">
        <v>100000</v>
      </c>
      <c r="V4118" s="6">
        <v>143669.1</v>
      </c>
      <c r="W4118" s="6">
        <f t="shared" si="631"/>
        <v>12699.910000000003</v>
      </c>
      <c r="X4118" s="6">
        <f t="shared" si="632"/>
        <v>143669.1</v>
      </c>
      <c r="Y4118" s="13">
        <f t="shared" si="635"/>
        <v>0</v>
      </c>
      <c r="Z4118" s="14">
        <v>0</v>
      </c>
      <c r="AA4118" s="6">
        <v>0</v>
      </c>
      <c r="AB4118" s="4">
        <f t="shared" si="636"/>
        <v>143669.1</v>
      </c>
      <c r="AC4118" s="4">
        <f t="shared" si="638"/>
        <v>0</v>
      </c>
      <c r="AD4118" s="6">
        <f t="shared" si="633"/>
        <v>143669.1</v>
      </c>
      <c r="AE4118" s="2">
        <f>VLOOKUP(I4118,[1]媒体政策预估表!A:N,MATCH(O4118,[1]媒体政策预估表!$A$2:$M$2,0),0)</f>
        <v>7.0000000000000007E-2</v>
      </c>
      <c r="AF4118" s="6">
        <f t="shared" si="639"/>
        <v>10056.837000000001</v>
      </c>
      <c r="AG4118" s="14">
        <v>0</v>
      </c>
      <c r="AH4118" s="65">
        <f t="shared" si="634"/>
        <v>143669.1</v>
      </c>
      <c r="AI4118" s="47"/>
      <c r="AJ4118" s="126" t="e">
        <v>#N/A</v>
      </c>
      <c r="AK4118" s="80">
        <f t="shared" si="637"/>
        <v>0</v>
      </c>
      <c r="AM4118" s="85"/>
    </row>
    <row r="4119" spans="1:39" hidden="1" x14ac:dyDescent="0.3">
      <c r="A4119" s="89" t="s">
        <v>3394</v>
      </c>
      <c r="B4119" s="86" t="s">
        <v>35</v>
      </c>
      <c r="C4119" s="86" t="s">
        <v>164</v>
      </c>
      <c r="D4119" s="86" t="s">
        <v>174</v>
      </c>
      <c r="E4119" s="86" t="s">
        <v>1703</v>
      </c>
      <c r="F4119" s="86" t="s">
        <v>1703</v>
      </c>
      <c r="G4119" s="86" t="s">
        <v>1703</v>
      </c>
      <c r="H4119" s="144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1703</v>
      </c>
      <c r="N4119" s="86"/>
      <c r="O4119" s="47" t="s">
        <v>410</v>
      </c>
      <c r="P4119" s="47" t="s">
        <v>41</v>
      </c>
      <c r="Q4119" s="14">
        <v>0</v>
      </c>
      <c r="R4119" s="143" t="s">
        <v>1704</v>
      </c>
      <c r="S4119" s="47"/>
      <c r="T4119" s="6">
        <v>4786.5099999999802</v>
      </c>
      <c r="U4119" s="6">
        <v>95000</v>
      </c>
      <c r="V4119" s="6">
        <v>91359.2</v>
      </c>
      <c r="W4119" s="6">
        <f t="shared" si="631"/>
        <v>8427.3099999999831</v>
      </c>
      <c r="X4119" s="6">
        <f t="shared" si="632"/>
        <v>91359.2</v>
      </c>
      <c r="Y4119" s="13">
        <f t="shared" si="635"/>
        <v>0</v>
      </c>
      <c r="Z4119" s="14">
        <v>0</v>
      </c>
      <c r="AA4119" s="6">
        <v>0</v>
      </c>
      <c r="AB4119" s="4">
        <f t="shared" si="636"/>
        <v>91359.2</v>
      </c>
      <c r="AC4119" s="4">
        <f t="shared" si="638"/>
        <v>0</v>
      </c>
      <c r="AD4119" s="6">
        <f t="shared" si="633"/>
        <v>91359.2</v>
      </c>
      <c r="AE4119" s="2">
        <f>VLOOKUP(I4119,[1]媒体政策预估表!A:N,MATCH(O4119,[1]媒体政策预估表!$A$2:$M$2,0),0)</f>
        <v>7.0000000000000007E-2</v>
      </c>
      <c r="AF4119" s="6">
        <f t="shared" si="639"/>
        <v>6395.1440000000002</v>
      </c>
      <c r="AG4119" s="14">
        <v>0</v>
      </c>
      <c r="AH4119" s="65">
        <f t="shared" si="634"/>
        <v>91359.2</v>
      </c>
      <c r="AI4119" s="47"/>
      <c r="AJ4119" s="126" t="e">
        <v>#N/A</v>
      </c>
      <c r="AK4119" s="80">
        <f t="shared" si="637"/>
        <v>0</v>
      </c>
      <c r="AM4119" s="85"/>
    </row>
    <row r="4120" spans="1:39" hidden="1" x14ac:dyDescent="0.3">
      <c r="A4120" s="89" t="s">
        <v>3394</v>
      </c>
      <c r="B4120" s="86" t="s">
        <v>35</v>
      </c>
      <c r="C4120" s="86" t="s">
        <v>164</v>
      </c>
      <c r="D4120" s="86" t="s">
        <v>174</v>
      </c>
      <c r="E4120" s="86" t="s">
        <v>1703</v>
      </c>
      <c r="F4120" s="86" t="s">
        <v>1703</v>
      </c>
      <c r="G4120" s="86" t="s">
        <v>1703</v>
      </c>
      <c r="H4120" s="144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1705</v>
      </c>
      <c r="N4120" s="86"/>
      <c r="O4120" s="47" t="s">
        <v>410</v>
      </c>
      <c r="P4120" s="47" t="s">
        <v>41</v>
      </c>
      <c r="Q4120" s="14">
        <v>0</v>
      </c>
      <c r="R4120" s="143" t="s">
        <v>1706</v>
      </c>
      <c r="S4120" s="47"/>
      <c r="T4120" s="6">
        <v>2771.9</v>
      </c>
      <c r="U4120" s="6">
        <v>5000</v>
      </c>
      <c r="V4120" s="6">
        <v>3049.8</v>
      </c>
      <c r="W4120" s="6">
        <f t="shared" si="631"/>
        <v>4722.0999999999995</v>
      </c>
      <c r="X4120" s="6">
        <f t="shared" si="632"/>
        <v>3049.8</v>
      </c>
      <c r="Y4120" s="13">
        <f t="shared" si="635"/>
        <v>0</v>
      </c>
      <c r="Z4120" s="14">
        <v>0</v>
      </c>
      <c r="AA4120" s="6">
        <v>0</v>
      </c>
      <c r="AB4120" s="4">
        <f t="shared" si="636"/>
        <v>3049.8</v>
      </c>
      <c r="AC4120" s="4">
        <f t="shared" si="638"/>
        <v>0</v>
      </c>
      <c r="AD4120" s="6">
        <f t="shared" si="633"/>
        <v>3049.8</v>
      </c>
      <c r="AE4120" s="2">
        <f>VLOOKUP(I4120,[1]媒体政策预估表!A:N,MATCH(O4120,[1]媒体政策预估表!$A$2:$M$2,0),0)</f>
        <v>7.0000000000000007E-2</v>
      </c>
      <c r="AF4120" s="6">
        <f t="shared" si="639"/>
        <v>213.48600000000005</v>
      </c>
      <c r="AG4120" s="14">
        <v>0</v>
      </c>
      <c r="AH4120" s="65">
        <f t="shared" si="634"/>
        <v>3049.8</v>
      </c>
      <c r="AI4120" s="47"/>
      <c r="AJ4120" s="126" t="e">
        <v>#N/A</v>
      </c>
      <c r="AK4120" s="80">
        <f t="shared" si="637"/>
        <v>0</v>
      </c>
      <c r="AM4120" s="85"/>
    </row>
    <row r="4121" spans="1:39" hidden="1" x14ac:dyDescent="0.3">
      <c r="A4121" s="89" t="s">
        <v>3395</v>
      </c>
      <c r="B4121" s="86" t="s">
        <v>35</v>
      </c>
      <c r="C4121" s="86" t="s">
        <v>164</v>
      </c>
      <c r="D4121" s="86" t="s">
        <v>174</v>
      </c>
      <c r="E4121" s="86" t="s">
        <v>1703</v>
      </c>
      <c r="F4121" s="86" t="s">
        <v>1703</v>
      </c>
      <c r="G4121" s="86" t="s">
        <v>1703</v>
      </c>
      <c r="H4121" s="144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1707</v>
      </c>
      <c r="N4121" s="86"/>
      <c r="O4121" s="47" t="s">
        <v>410</v>
      </c>
      <c r="P4121" s="47" t="s">
        <v>41</v>
      </c>
      <c r="Q4121" s="14">
        <v>0</v>
      </c>
      <c r="R4121" s="143" t="s">
        <v>1708</v>
      </c>
      <c r="S4121" s="47"/>
      <c r="T4121" s="6">
        <v>5650.4</v>
      </c>
      <c r="U4121" s="6">
        <v>60000</v>
      </c>
      <c r="V4121" s="6">
        <v>57855.040000000001</v>
      </c>
      <c r="W4121" s="6">
        <f t="shared" si="631"/>
        <v>7795.3599999999933</v>
      </c>
      <c r="X4121" s="6">
        <f t="shared" si="632"/>
        <v>57855.040000000001</v>
      </c>
      <c r="Y4121" s="13">
        <f t="shared" si="635"/>
        <v>0</v>
      </c>
      <c r="Z4121" s="14">
        <v>0</v>
      </c>
      <c r="AA4121" s="6">
        <v>0</v>
      </c>
      <c r="AB4121" s="4">
        <f t="shared" si="636"/>
        <v>57855.040000000001</v>
      </c>
      <c r="AC4121" s="4">
        <f t="shared" si="638"/>
        <v>0</v>
      </c>
      <c r="AD4121" s="6">
        <f t="shared" si="633"/>
        <v>57855.040000000001</v>
      </c>
      <c r="AE4121" s="2">
        <f>VLOOKUP(I4121,[1]媒体政策预估表!A:N,MATCH(O4121,[1]媒体政策预估表!$A$2:$M$2,0),0)</f>
        <v>7.0000000000000007E-2</v>
      </c>
      <c r="AF4121" s="6">
        <f t="shared" si="639"/>
        <v>4049.8528000000006</v>
      </c>
      <c r="AG4121" s="14">
        <v>0</v>
      </c>
      <c r="AH4121" s="65">
        <f t="shared" si="634"/>
        <v>57855.040000000001</v>
      </c>
      <c r="AI4121" s="47"/>
      <c r="AJ4121" s="126" t="e">
        <v>#N/A</v>
      </c>
      <c r="AK4121" s="80">
        <f t="shared" si="637"/>
        <v>0</v>
      </c>
      <c r="AM4121" s="85"/>
    </row>
    <row r="4122" spans="1:39" hidden="1" x14ac:dyDescent="0.3">
      <c r="A4122" s="89" t="s">
        <v>3395</v>
      </c>
      <c r="B4122" s="86" t="s">
        <v>35</v>
      </c>
      <c r="C4122" s="86" t="s">
        <v>164</v>
      </c>
      <c r="D4122" s="86" t="s">
        <v>174</v>
      </c>
      <c r="E4122" s="86" t="s">
        <v>1711</v>
      </c>
      <c r="F4122" s="86" t="s">
        <v>1711</v>
      </c>
      <c r="G4122" s="86" t="s">
        <v>1711</v>
      </c>
      <c r="H4122" s="144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1711</v>
      </c>
      <c r="N4122" s="86"/>
      <c r="O4122" s="47" t="s">
        <v>45</v>
      </c>
      <c r="P4122" s="47" t="s">
        <v>41</v>
      </c>
      <c r="Q4122" s="14">
        <v>0</v>
      </c>
      <c r="R4122" s="143" t="s">
        <v>1712</v>
      </c>
      <c r="S4122" s="47"/>
      <c r="T4122" s="6">
        <v>18788.027909999997</v>
      </c>
      <c r="U4122" s="6">
        <v>35000</v>
      </c>
      <c r="V4122" s="6">
        <v>9961.6032300000006</v>
      </c>
      <c r="W4122" s="6">
        <f t="shared" si="631"/>
        <v>43826.424679999996</v>
      </c>
      <c r="X4122" s="6">
        <f t="shared" si="632"/>
        <v>9961.6032300000006</v>
      </c>
      <c r="Y4122" s="13">
        <f t="shared" si="635"/>
        <v>0</v>
      </c>
      <c r="Z4122" s="14">
        <v>0</v>
      </c>
      <c r="AA4122" s="6">
        <v>0</v>
      </c>
      <c r="AB4122" s="4">
        <f t="shared" si="636"/>
        <v>9961.6032300000006</v>
      </c>
      <c r="AC4122" s="4">
        <f t="shared" si="638"/>
        <v>0</v>
      </c>
      <c r="AD4122" s="6">
        <f t="shared" si="633"/>
        <v>9961.6032300000006</v>
      </c>
      <c r="AE4122" s="2">
        <f>VLOOKUP(I4122,[1]媒体政策预估表!A:N,MATCH(O4122,[1]媒体政策预估表!$A$2:$M$2,0),0)</f>
        <v>0.12</v>
      </c>
      <c r="AF4122" s="6">
        <f t="shared" si="639"/>
        <v>1195.3923876000001</v>
      </c>
      <c r="AG4122" s="14">
        <v>0</v>
      </c>
      <c r="AH4122" s="65">
        <f t="shared" si="634"/>
        <v>9961.6032300000006</v>
      </c>
      <c r="AI4122" s="47"/>
      <c r="AJ4122" s="126" t="e">
        <v>#N/A</v>
      </c>
      <c r="AK4122" s="80">
        <f t="shared" si="637"/>
        <v>0</v>
      </c>
      <c r="AM4122" s="85"/>
    </row>
    <row r="4123" spans="1:39" hidden="1" x14ac:dyDescent="0.3">
      <c r="A4123" s="89" t="s">
        <v>3395</v>
      </c>
      <c r="B4123" s="86" t="s">
        <v>35</v>
      </c>
      <c r="C4123" s="86" t="s">
        <v>164</v>
      </c>
      <c r="D4123" s="86" t="s">
        <v>174</v>
      </c>
      <c r="E4123" s="86" t="s">
        <v>1711</v>
      </c>
      <c r="F4123" s="86" t="s">
        <v>1711</v>
      </c>
      <c r="G4123" s="86" t="s">
        <v>1711</v>
      </c>
      <c r="H4123" s="144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1711</v>
      </c>
      <c r="N4123" s="86"/>
      <c r="O4123" s="47" t="s">
        <v>45</v>
      </c>
      <c r="P4123" s="47" t="s">
        <v>41</v>
      </c>
      <c r="Q4123" s="14">
        <v>0</v>
      </c>
      <c r="R4123" s="143" t="s">
        <v>1987</v>
      </c>
      <c r="S4123" s="47"/>
      <c r="T4123" s="6">
        <v>0</v>
      </c>
      <c r="U4123" s="6">
        <v>25000</v>
      </c>
      <c r="V4123" s="6">
        <v>3093.9684099999949</v>
      </c>
      <c r="W4123" s="6">
        <f t="shared" si="631"/>
        <v>21906.031590000006</v>
      </c>
      <c r="X4123" s="6">
        <f t="shared" si="632"/>
        <v>3093.9684099999949</v>
      </c>
      <c r="Y4123" s="13">
        <f t="shared" si="635"/>
        <v>0</v>
      </c>
      <c r="Z4123" s="14">
        <v>0</v>
      </c>
      <c r="AA4123" s="6">
        <v>0</v>
      </c>
      <c r="AB4123" s="4">
        <f t="shared" si="636"/>
        <v>3093.9684099999949</v>
      </c>
      <c r="AC4123" s="4">
        <f t="shared" si="638"/>
        <v>0</v>
      </c>
      <c r="AD4123" s="6">
        <f t="shared" si="633"/>
        <v>3093.9684099999949</v>
      </c>
      <c r="AE4123" s="2">
        <f>VLOOKUP(I4123,[1]媒体政策预估表!A:N,MATCH(O4123,[1]媒体政策预估表!$A$2:$M$2,0),0)</f>
        <v>0.12</v>
      </c>
      <c r="AF4123" s="6">
        <f t="shared" si="639"/>
        <v>371.27620919999936</v>
      </c>
      <c r="AG4123" s="14">
        <v>0</v>
      </c>
      <c r="AH4123" s="65">
        <f t="shared" si="634"/>
        <v>3093.9684099999949</v>
      </c>
      <c r="AI4123" s="47"/>
      <c r="AJ4123" s="126" t="e">
        <v>#N/A</v>
      </c>
      <c r="AK4123" s="80">
        <f t="shared" si="637"/>
        <v>0</v>
      </c>
      <c r="AM4123" s="85"/>
    </row>
    <row r="4124" spans="1:39" hidden="1" x14ac:dyDescent="0.3">
      <c r="A4124" s="89" t="s">
        <v>3394</v>
      </c>
      <c r="B4124" s="86" t="s">
        <v>35</v>
      </c>
      <c r="C4124" s="86" t="s">
        <v>164</v>
      </c>
      <c r="D4124" s="86" t="s">
        <v>174</v>
      </c>
      <c r="E4124" s="86" t="s">
        <v>1711</v>
      </c>
      <c r="F4124" s="86" t="s">
        <v>1711</v>
      </c>
      <c r="G4124" s="86" t="s">
        <v>1711</v>
      </c>
      <c r="H4124" s="144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1711</v>
      </c>
      <c r="N4124" s="86"/>
      <c r="O4124" s="47" t="s">
        <v>410</v>
      </c>
      <c r="P4124" s="47" t="s">
        <v>41</v>
      </c>
      <c r="Q4124" s="14">
        <v>0</v>
      </c>
      <c r="R4124" s="143" t="s">
        <v>1713</v>
      </c>
      <c r="S4124" s="47"/>
      <c r="T4124" s="6">
        <v>34630.24000000002</v>
      </c>
      <c r="U4124" s="6">
        <v>190000</v>
      </c>
      <c r="V4124" s="6">
        <v>148668.39000000001</v>
      </c>
      <c r="W4124" s="6">
        <f t="shared" si="631"/>
        <v>75961.850000000006</v>
      </c>
      <c r="X4124" s="6">
        <f t="shared" si="632"/>
        <v>148668.39000000001</v>
      </c>
      <c r="Y4124" s="13">
        <f t="shared" si="635"/>
        <v>0</v>
      </c>
      <c r="Z4124" s="14">
        <v>0</v>
      </c>
      <c r="AA4124" s="6">
        <v>0</v>
      </c>
      <c r="AB4124" s="4">
        <f t="shared" si="636"/>
        <v>148668.39000000001</v>
      </c>
      <c r="AC4124" s="4">
        <f t="shared" si="638"/>
        <v>0</v>
      </c>
      <c r="AD4124" s="6">
        <f t="shared" si="633"/>
        <v>148668.39000000001</v>
      </c>
      <c r="AE4124" s="2">
        <f>VLOOKUP(I4124,[1]媒体政策预估表!A:N,MATCH(O4124,[1]媒体政策预估表!$A$2:$M$2,0),0)</f>
        <v>7.0000000000000007E-2</v>
      </c>
      <c r="AF4124" s="6">
        <f t="shared" si="639"/>
        <v>10406.787300000002</v>
      </c>
      <c r="AG4124" s="14">
        <v>0</v>
      </c>
      <c r="AH4124" s="65">
        <f t="shared" si="634"/>
        <v>148668.39000000001</v>
      </c>
      <c r="AI4124" s="47"/>
      <c r="AJ4124" s="126" t="e">
        <v>#N/A</v>
      </c>
      <c r="AK4124" s="80">
        <f t="shared" si="637"/>
        <v>0</v>
      </c>
      <c r="AM4124" s="85"/>
    </row>
    <row r="4125" spans="1:39" hidden="1" x14ac:dyDescent="0.3">
      <c r="A4125" s="89" t="s">
        <v>3395</v>
      </c>
      <c r="B4125" s="86" t="s">
        <v>35</v>
      </c>
      <c r="C4125" s="86" t="s">
        <v>164</v>
      </c>
      <c r="D4125" s="86" t="s">
        <v>174</v>
      </c>
      <c r="E4125" s="86" t="s">
        <v>1715</v>
      </c>
      <c r="F4125" s="86" t="s">
        <v>1716</v>
      </c>
      <c r="G4125" s="86" t="s">
        <v>1715</v>
      </c>
      <c r="H4125" s="144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1715</v>
      </c>
      <c r="N4125" s="86"/>
      <c r="O4125" s="47" t="s">
        <v>410</v>
      </c>
      <c r="P4125" s="47" t="s">
        <v>41</v>
      </c>
      <c r="Q4125" s="14">
        <v>0</v>
      </c>
      <c r="R4125" s="143" t="s">
        <v>1717</v>
      </c>
      <c r="S4125" s="47"/>
      <c r="T4125" s="6">
        <v>18830.170000000042</v>
      </c>
      <c r="U4125" s="6">
        <v>40000</v>
      </c>
      <c r="V4125" s="6">
        <v>48732</v>
      </c>
      <c r="W4125" s="6">
        <f t="shared" si="631"/>
        <v>10098.170000000042</v>
      </c>
      <c r="X4125" s="6">
        <f t="shared" si="632"/>
        <v>48732</v>
      </c>
      <c r="Y4125" s="13">
        <f t="shared" si="635"/>
        <v>0</v>
      </c>
      <c r="Z4125" s="14">
        <v>0</v>
      </c>
      <c r="AA4125" s="6">
        <v>0</v>
      </c>
      <c r="AB4125" s="4">
        <f t="shared" si="636"/>
        <v>48732</v>
      </c>
      <c r="AC4125" s="4">
        <f t="shared" si="638"/>
        <v>0</v>
      </c>
      <c r="AD4125" s="6">
        <f t="shared" si="633"/>
        <v>48732</v>
      </c>
      <c r="AE4125" s="2">
        <f>VLOOKUP(I4125,[1]媒体政策预估表!A:N,MATCH(O4125,[1]媒体政策预估表!$A$2:$M$2,0),0)</f>
        <v>7.0000000000000007E-2</v>
      </c>
      <c r="AF4125" s="6">
        <f t="shared" si="639"/>
        <v>3411.2400000000002</v>
      </c>
      <c r="AG4125" s="14">
        <v>0</v>
      </c>
      <c r="AH4125" s="65">
        <f t="shared" si="634"/>
        <v>48732</v>
      </c>
      <c r="AI4125" s="47"/>
      <c r="AJ4125" s="126" t="e">
        <v>#N/A</v>
      </c>
      <c r="AK4125" s="80">
        <f t="shared" si="637"/>
        <v>0</v>
      </c>
      <c r="AM4125" s="85"/>
    </row>
    <row r="4126" spans="1:39" hidden="1" x14ac:dyDescent="0.3">
      <c r="A4126" s="89" t="s">
        <v>3394</v>
      </c>
      <c r="B4126" s="86" t="s">
        <v>35</v>
      </c>
      <c r="C4126" s="86" t="s">
        <v>164</v>
      </c>
      <c r="D4126" s="86" t="s">
        <v>174</v>
      </c>
      <c r="E4126" s="86" t="s">
        <v>1718</v>
      </c>
      <c r="F4126" s="86" t="s">
        <v>1719</v>
      </c>
      <c r="G4126" s="86" t="s">
        <v>1718</v>
      </c>
      <c r="H4126" s="144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1720</v>
      </c>
      <c r="N4126" s="86"/>
      <c r="O4126" s="47" t="s">
        <v>410</v>
      </c>
      <c r="P4126" s="47" t="s">
        <v>41</v>
      </c>
      <c r="Q4126" s="14">
        <v>0</v>
      </c>
      <c r="R4126" s="143" t="s">
        <v>1721</v>
      </c>
      <c r="S4126" s="47"/>
      <c r="T4126" s="6">
        <v>57734.638420000032</v>
      </c>
      <c r="U4126" s="6">
        <v>250000</v>
      </c>
      <c r="V4126" s="6">
        <v>237963.37</v>
      </c>
      <c r="W4126" s="6">
        <f t="shared" si="631"/>
        <v>69771.268420000037</v>
      </c>
      <c r="X4126" s="6">
        <f t="shared" si="632"/>
        <v>237963.37</v>
      </c>
      <c r="Y4126" s="13">
        <f t="shared" si="635"/>
        <v>0</v>
      </c>
      <c r="Z4126" s="14">
        <v>0</v>
      </c>
      <c r="AA4126" s="6">
        <v>0</v>
      </c>
      <c r="AB4126" s="4">
        <f t="shared" si="636"/>
        <v>237963.37</v>
      </c>
      <c r="AC4126" s="4">
        <f t="shared" si="638"/>
        <v>0</v>
      </c>
      <c r="AD4126" s="6">
        <f t="shared" si="633"/>
        <v>237963.37</v>
      </c>
      <c r="AE4126" s="2">
        <f>VLOOKUP(I4126,[1]媒体政策预估表!A:N,MATCH(O4126,[1]媒体政策预估表!$A$2:$M$2,0),0)</f>
        <v>7.0000000000000007E-2</v>
      </c>
      <c r="AF4126" s="6">
        <f t="shared" si="639"/>
        <v>16657.4359</v>
      </c>
      <c r="AG4126" s="14">
        <v>0</v>
      </c>
      <c r="AH4126" s="65">
        <f t="shared" si="634"/>
        <v>237963.37</v>
      </c>
      <c r="AI4126" s="47"/>
      <c r="AJ4126" s="126" t="e">
        <v>#N/A</v>
      </c>
      <c r="AK4126" s="80">
        <f t="shared" si="637"/>
        <v>0</v>
      </c>
      <c r="AM4126" s="85"/>
    </row>
    <row r="4127" spans="1:39" hidden="1" x14ac:dyDescent="0.3">
      <c r="A4127" s="89" t="s">
        <v>3394</v>
      </c>
      <c r="B4127" s="86" t="s">
        <v>35</v>
      </c>
      <c r="C4127" s="86" t="s">
        <v>164</v>
      </c>
      <c r="D4127" s="86" t="s">
        <v>174</v>
      </c>
      <c r="E4127" s="86" t="s">
        <v>1718</v>
      </c>
      <c r="F4127" s="86" t="s">
        <v>1719</v>
      </c>
      <c r="G4127" s="86" t="s">
        <v>1718</v>
      </c>
      <c r="H4127" s="144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1722</v>
      </c>
      <c r="N4127" s="86"/>
      <c r="O4127" s="47" t="s">
        <v>410</v>
      </c>
      <c r="P4127" s="47" t="s">
        <v>41</v>
      </c>
      <c r="Q4127" s="14">
        <v>0</v>
      </c>
      <c r="R4127" s="143" t="s">
        <v>1988</v>
      </c>
      <c r="S4127" s="47"/>
      <c r="T4127" s="6">
        <v>45488.899999999994</v>
      </c>
      <c r="U4127" s="6">
        <v>60000</v>
      </c>
      <c r="V4127" s="6">
        <v>84517.7</v>
      </c>
      <c r="W4127" s="6">
        <f t="shared" si="631"/>
        <v>20971.199999999997</v>
      </c>
      <c r="X4127" s="6">
        <f t="shared" si="632"/>
        <v>84517.7</v>
      </c>
      <c r="Y4127" s="13">
        <f t="shared" si="635"/>
        <v>0</v>
      </c>
      <c r="Z4127" s="14">
        <v>0</v>
      </c>
      <c r="AA4127" s="6">
        <v>0</v>
      </c>
      <c r="AB4127" s="4">
        <f t="shared" si="636"/>
        <v>84517.7</v>
      </c>
      <c r="AC4127" s="4">
        <f t="shared" si="638"/>
        <v>0</v>
      </c>
      <c r="AD4127" s="6">
        <f t="shared" si="633"/>
        <v>84517.7</v>
      </c>
      <c r="AE4127" s="2">
        <f>VLOOKUP(I4127,[1]媒体政策预估表!A:N,MATCH(O4127,[1]媒体政策预估表!$A$2:$M$2,0),0)</f>
        <v>7.0000000000000007E-2</v>
      </c>
      <c r="AF4127" s="6">
        <f t="shared" si="639"/>
        <v>5916.2390000000005</v>
      </c>
      <c r="AG4127" s="14">
        <v>0</v>
      </c>
      <c r="AH4127" s="65">
        <f t="shared" si="634"/>
        <v>84517.7</v>
      </c>
      <c r="AI4127" s="47"/>
      <c r="AJ4127" s="126" t="e">
        <v>#N/A</v>
      </c>
      <c r="AK4127" s="80">
        <f t="shared" si="637"/>
        <v>0</v>
      </c>
      <c r="AM4127" s="85"/>
    </row>
    <row r="4128" spans="1:39" hidden="1" x14ac:dyDescent="0.3">
      <c r="A4128" s="89" t="s">
        <v>3394</v>
      </c>
      <c r="B4128" s="86" t="s">
        <v>35</v>
      </c>
      <c r="C4128" s="86" t="s">
        <v>164</v>
      </c>
      <c r="D4128" s="86" t="s">
        <v>174</v>
      </c>
      <c r="E4128" s="86" t="s">
        <v>1718</v>
      </c>
      <c r="F4128" s="86" t="s">
        <v>1719</v>
      </c>
      <c r="G4128" s="86" t="s">
        <v>1718</v>
      </c>
      <c r="H4128" s="144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1722</v>
      </c>
      <c r="N4128" s="86"/>
      <c r="O4128" s="47" t="s">
        <v>410</v>
      </c>
      <c r="P4128" s="47" t="s">
        <v>41</v>
      </c>
      <c r="Q4128" s="14">
        <v>0</v>
      </c>
      <c r="R4128" s="143" t="s">
        <v>1724</v>
      </c>
      <c r="S4128" s="47"/>
      <c r="T4128" s="6">
        <v>41238.200000000012</v>
      </c>
      <c r="U4128" s="6">
        <v>420000</v>
      </c>
      <c r="V4128" s="6">
        <v>244521.7</v>
      </c>
      <c r="W4128" s="6">
        <f t="shared" si="631"/>
        <v>216716.5</v>
      </c>
      <c r="X4128" s="6">
        <f t="shared" si="632"/>
        <v>244521.7</v>
      </c>
      <c r="Y4128" s="13">
        <f t="shared" si="635"/>
        <v>0</v>
      </c>
      <c r="Z4128" s="14">
        <v>0</v>
      </c>
      <c r="AA4128" s="6">
        <v>0</v>
      </c>
      <c r="AB4128" s="4">
        <f t="shared" si="636"/>
        <v>244521.7</v>
      </c>
      <c r="AC4128" s="4">
        <f t="shared" si="638"/>
        <v>0</v>
      </c>
      <c r="AD4128" s="6">
        <f t="shared" si="633"/>
        <v>244521.7</v>
      </c>
      <c r="AE4128" s="2">
        <f>VLOOKUP(I4128,[1]媒体政策预估表!A:N,MATCH(O4128,[1]媒体政策预估表!$A$2:$M$2,0),0)</f>
        <v>7.0000000000000007E-2</v>
      </c>
      <c r="AF4128" s="6">
        <f t="shared" si="639"/>
        <v>17116.519000000004</v>
      </c>
      <c r="AG4128" s="14">
        <v>0</v>
      </c>
      <c r="AH4128" s="65">
        <f t="shared" si="634"/>
        <v>244521.7</v>
      </c>
      <c r="AI4128" s="47"/>
      <c r="AJ4128" s="126" t="e">
        <v>#N/A</v>
      </c>
      <c r="AK4128" s="80">
        <f t="shared" si="637"/>
        <v>0</v>
      </c>
      <c r="AM4128" s="85"/>
    </row>
    <row r="4129" spans="1:39" hidden="1" x14ac:dyDescent="0.3">
      <c r="A4129" s="89" t="s">
        <v>3394</v>
      </c>
      <c r="B4129" s="86" t="s">
        <v>35</v>
      </c>
      <c r="C4129" s="86" t="s">
        <v>164</v>
      </c>
      <c r="D4129" s="86" t="s">
        <v>174</v>
      </c>
      <c r="E4129" s="86" t="s">
        <v>1718</v>
      </c>
      <c r="F4129" s="86" t="s">
        <v>1719</v>
      </c>
      <c r="G4129" s="86" t="s">
        <v>1718</v>
      </c>
      <c r="H4129" s="144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1725</v>
      </c>
      <c r="N4129" s="86"/>
      <c r="O4129" s="47" t="s">
        <v>410</v>
      </c>
      <c r="P4129" s="47" t="s">
        <v>41</v>
      </c>
      <c r="Q4129" s="14">
        <v>0</v>
      </c>
      <c r="R4129" s="143" t="s">
        <v>1726</v>
      </c>
      <c r="S4129" s="47"/>
      <c r="T4129" s="6">
        <v>50423.3</v>
      </c>
      <c r="U4129" s="6">
        <v>80000</v>
      </c>
      <c r="V4129" s="6">
        <v>87099.9</v>
      </c>
      <c r="W4129" s="6">
        <f t="shared" si="631"/>
        <v>43323.400000000009</v>
      </c>
      <c r="X4129" s="6">
        <f t="shared" si="632"/>
        <v>87099.9</v>
      </c>
      <c r="Y4129" s="13">
        <f t="shared" si="635"/>
        <v>0</v>
      </c>
      <c r="Z4129" s="14">
        <v>0</v>
      </c>
      <c r="AA4129" s="6">
        <v>0</v>
      </c>
      <c r="AB4129" s="4">
        <f t="shared" si="636"/>
        <v>87099.9</v>
      </c>
      <c r="AC4129" s="4">
        <f t="shared" si="638"/>
        <v>0</v>
      </c>
      <c r="AD4129" s="6">
        <f t="shared" si="633"/>
        <v>87099.9</v>
      </c>
      <c r="AE4129" s="2">
        <f>VLOOKUP(I4129,[1]媒体政策预估表!A:N,MATCH(O4129,[1]媒体政策预估表!$A$2:$M$2,0),0)</f>
        <v>7.0000000000000007E-2</v>
      </c>
      <c r="AF4129" s="6">
        <f t="shared" si="639"/>
        <v>6096.9930000000004</v>
      </c>
      <c r="AG4129" s="14">
        <v>0</v>
      </c>
      <c r="AH4129" s="65">
        <f t="shared" si="634"/>
        <v>87099.9</v>
      </c>
      <c r="AI4129" s="47"/>
      <c r="AJ4129" s="126" t="e">
        <v>#N/A</v>
      </c>
      <c r="AK4129" s="80">
        <f t="shared" si="637"/>
        <v>0</v>
      </c>
      <c r="AM4129" s="85"/>
    </row>
    <row r="4130" spans="1:39" hidden="1" x14ac:dyDescent="0.3">
      <c r="A4130" s="89" t="s">
        <v>3395</v>
      </c>
      <c r="B4130" s="86" t="s">
        <v>35</v>
      </c>
      <c r="C4130" s="86" t="s">
        <v>164</v>
      </c>
      <c r="D4130" s="86" t="s">
        <v>174</v>
      </c>
      <c r="E4130" s="86" t="s">
        <v>1727</v>
      </c>
      <c r="F4130" s="86" t="s">
        <v>1727</v>
      </c>
      <c r="G4130" s="86" t="s">
        <v>1727</v>
      </c>
      <c r="H4130" s="144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1728</v>
      </c>
      <c r="N4130" s="86"/>
      <c r="O4130" s="47" t="s">
        <v>410</v>
      </c>
      <c r="P4130" s="47" t="s">
        <v>41</v>
      </c>
      <c r="Q4130" s="14">
        <v>0</v>
      </c>
      <c r="R4130" s="143" t="s">
        <v>1729</v>
      </c>
      <c r="S4130" s="47"/>
      <c r="T4130" s="6">
        <v>12147.300000000003</v>
      </c>
      <c r="U4130" s="6">
        <v>40000</v>
      </c>
      <c r="V4130" s="6">
        <v>44750.2</v>
      </c>
      <c r="W4130" s="6">
        <f t="shared" si="631"/>
        <v>7397.1000000000058</v>
      </c>
      <c r="X4130" s="6">
        <f t="shared" si="632"/>
        <v>44750.2</v>
      </c>
      <c r="Y4130" s="13">
        <f t="shared" si="635"/>
        <v>0</v>
      </c>
      <c r="Z4130" s="14">
        <v>0</v>
      </c>
      <c r="AA4130" s="6">
        <v>0</v>
      </c>
      <c r="AB4130" s="4">
        <f t="shared" si="636"/>
        <v>44750.2</v>
      </c>
      <c r="AC4130" s="4">
        <f t="shared" si="638"/>
        <v>0</v>
      </c>
      <c r="AD4130" s="6">
        <f t="shared" si="633"/>
        <v>44750.2</v>
      </c>
      <c r="AE4130" s="2">
        <f>VLOOKUP(I4130,[1]媒体政策预估表!A:N,MATCH(O4130,[1]媒体政策预估表!$A$2:$M$2,0),0)</f>
        <v>7.0000000000000007E-2</v>
      </c>
      <c r="AF4130" s="6">
        <f t="shared" si="639"/>
        <v>3132.5140000000001</v>
      </c>
      <c r="AG4130" s="14">
        <v>0</v>
      </c>
      <c r="AH4130" s="65">
        <f t="shared" si="634"/>
        <v>44750.2</v>
      </c>
      <c r="AI4130" s="47"/>
      <c r="AJ4130" s="126" t="e">
        <v>#N/A</v>
      </c>
      <c r="AK4130" s="80">
        <f t="shared" si="637"/>
        <v>0</v>
      </c>
      <c r="AM4130" s="85"/>
    </row>
    <row r="4131" spans="1:39" hidden="1" x14ac:dyDescent="0.3">
      <c r="A4131" s="89" t="s">
        <v>3394</v>
      </c>
      <c r="B4131" s="86" t="s">
        <v>35</v>
      </c>
      <c r="C4131" s="86" t="s">
        <v>164</v>
      </c>
      <c r="D4131" s="86" t="s">
        <v>174</v>
      </c>
      <c r="E4131" s="86" t="s">
        <v>1730</v>
      </c>
      <c r="F4131" s="86" t="s">
        <v>1730</v>
      </c>
      <c r="G4131" s="86" t="s">
        <v>1730</v>
      </c>
      <c r="H4131" s="144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1730</v>
      </c>
      <c r="N4131" s="86"/>
      <c r="O4131" s="47" t="s">
        <v>410</v>
      </c>
      <c r="P4131" s="47" t="s">
        <v>41</v>
      </c>
      <c r="Q4131" s="14">
        <v>0</v>
      </c>
      <c r="R4131" s="143" t="s">
        <v>1731</v>
      </c>
      <c r="S4131" s="47"/>
      <c r="T4131" s="6">
        <v>9326.7200000000012</v>
      </c>
      <c r="U4131" s="6">
        <v>30000</v>
      </c>
      <c r="V4131" s="6">
        <v>34567.9</v>
      </c>
      <c r="W4131" s="6">
        <f t="shared" si="631"/>
        <v>4758.82</v>
      </c>
      <c r="X4131" s="6">
        <f t="shared" si="632"/>
        <v>34567.9</v>
      </c>
      <c r="Y4131" s="13">
        <f t="shared" si="635"/>
        <v>0</v>
      </c>
      <c r="Z4131" s="14">
        <v>0</v>
      </c>
      <c r="AA4131" s="6">
        <v>0</v>
      </c>
      <c r="AB4131" s="4">
        <v>34567.9</v>
      </c>
      <c r="AC4131" s="4">
        <f t="shared" si="638"/>
        <v>0</v>
      </c>
      <c r="AD4131" s="6">
        <f t="shared" si="633"/>
        <v>34567.9</v>
      </c>
      <c r="AE4131" s="2">
        <f>VLOOKUP(I4131,[1]媒体政策预估表!A:N,MATCH(O4131,[1]媒体政策预估表!$A$2:$M$2,0),0)</f>
        <v>7.0000000000000007E-2</v>
      </c>
      <c r="AF4131" s="6">
        <f t="shared" si="639"/>
        <v>2419.7530000000002</v>
      </c>
      <c r="AG4131" s="14">
        <v>0</v>
      </c>
      <c r="AH4131" s="65">
        <f t="shared" si="634"/>
        <v>34567.9</v>
      </c>
      <c r="AI4131" s="47"/>
      <c r="AJ4131" s="126" t="s">
        <v>4225</v>
      </c>
      <c r="AK4131" s="80">
        <f t="shared" si="637"/>
        <v>0</v>
      </c>
      <c r="AM4131" s="85"/>
    </row>
    <row r="4132" spans="1:39" hidden="1" x14ac:dyDescent="0.3">
      <c r="A4132" s="89" t="s">
        <v>3394</v>
      </c>
      <c r="B4132" s="86" t="s">
        <v>35</v>
      </c>
      <c r="C4132" s="86" t="s">
        <v>164</v>
      </c>
      <c r="D4132" s="86" t="s">
        <v>174</v>
      </c>
      <c r="E4132" s="86" t="s">
        <v>1732</v>
      </c>
      <c r="F4132" s="86" t="s">
        <v>1732</v>
      </c>
      <c r="G4132" s="86" t="s">
        <v>1732</v>
      </c>
      <c r="H4132" s="144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1733</v>
      </c>
      <c r="N4132" s="86"/>
      <c r="O4132" s="47" t="s">
        <v>410</v>
      </c>
      <c r="P4132" s="47" t="s">
        <v>41</v>
      </c>
      <c r="Q4132" s="14">
        <v>0</v>
      </c>
      <c r="R4132" s="143" t="s">
        <v>1734</v>
      </c>
      <c r="S4132" s="47"/>
      <c r="T4132" s="6">
        <v>8131.1000000000058</v>
      </c>
      <c r="U4132" s="6">
        <v>140000</v>
      </c>
      <c r="V4132" s="6">
        <v>133607</v>
      </c>
      <c r="W4132" s="6">
        <f t="shared" si="631"/>
        <v>14524.100000000006</v>
      </c>
      <c r="X4132" s="6">
        <f t="shared" si="632"/>
        <v>133607</v>
      </c>
      <c r="Y4132" s="13">
        <f t="shared" si="635"/>
        <v>0</v>
      </c>
      <c r="Z4132" s="14">
        <v>0</v>
      </c>
      <c r="AA4132" s="6">
        <v>0</v>
      </c>
      <c r="AB4132" s="4">
        <f t="shared" si="636"/>
        <v>133607</v>
      </c>
      <c r="AC4132" s="4">
        <f t="shared" si="638"/>
        <v>0</v>
      </c>
      <c r="AD4132" s="6">
        <f t="shared" si="633"/>
        <v>133607</v>
      </c>
      <c r="AE4132" s="2">
        <f>VLOOKUP(I4132,[1]媒体政策预估表!A:N,MATCH(O4132,[1]媒体政策预估表!$A$2:$M$2,0),0)</f>
        <v>7.0000000000000007E-2</v>
      </c>
      <c r="AF4132" s="6">
        <f t="shared" si="639"/>
        <v>9352.4900000000016</v>
      </c>
      <c r="AG4132" s="14">
        <v>0</v>
      </c>
      <c r="AH4132" s="65">
        <f t="shared" si="634"/>
        <v>133607</v>
      </c>
      <c r="AI4132" s="47"/>
      <c r="AJ4132" s="126" t="e">
        <v>#N/A</v>
      </c>
      <c r="AK4132" s="80">
        <f t="shared" si="637"/>
        <v>0</v>
      </c>
      <c r="AM4132" s="85"/>
    </row>
    <row r="4133" spans="1:39" hidden="1" x14ac:dyDescent="0.3">
      <c r="A4133" s="89" t="s">
        <v>3395</v>
      </c>
      <c r="B4133" s="86" t="s">
        <v>35</v>
      </c>
      <c r="C4133" s="86" t="s">
        <v>164</v>
      </c>
      <c r="D4133" s="86" t="s">
        <v>174</v>
      </c>
      <c r="E4133" s="86" t="s">
        <v>1735</v>
      </c>
      <c r="F4133" s="86" t="s">
        <v>1735</v>
      </c>
      <c r="G4133" s="86" t="s">
        <v>1735</v>
      </c>
      <c r="H4133" s="144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1735</v>
      </c>
      <c r="N4133" s="86"/>
      <c r="O4133" s="47" t="s">
        <v>410</v>
      </c>
      <c r="P4133" s="47" t="s">
        <v>41</v>
      </c>
      <c r="Q4133" s="14">
        <v>0</v>
      </c>
      <c r="R4133" s="143" t="s">
        <v>1736</v>
      </c>
      <c r="S4133" s="47"/>
      <c r="T4133" s="6">
        <v>67635.889999999956</v>
      </c>
      <c r="U4133" s="6">
        <v>300000</v>
      </c>
      <c r="V4133" s="6">
        <v>290578.90000000002</v>
      </c>
      <c r="W4133" s="6">
        <f t="shared" si="631"/>
        <v>77056.989999999932</v>
      </c>
      <c r="X4133" s="6">
        <f t="shared" si="632"/>
        <v>290578.90000000002</v>
      </c>
      <c r="Y4133" s="13">
        <f t="shared" si="635"/>
        <v>0</v>
      </c>
      <c r="Z4133" s="14">
        <v>0</v>
      </c>
      <c r="AA4133" s="6">
        <v>0</v>
      </c>
      <c r="AB4133" s="4">
        <f t="shared" si="636"/>
        <v>290578.90000000002</v>
      </c>
      <c r="AC4133" s="4">
        <f t="shared" si="638"/>
        <v>0</v>
      </c>
      <c r="AD4133" s="6">
        <f t="shared" si="633"/>
        <v>290578.90000000002</v>
      </c>
      <c r="AE4133" s="2">
        <f>VLOOKUP(I4133,[1]媒体政策预估表!A:N,MATCH(O4133,[1]媒体政策预估表!$A$2:$M$2,0),0)</f>
        <v>7.0000000000000007E-2</v>
      </c>
      <c r="AF4133" s="6">
        <f t="shared" si="639"/>
        <v>20340.523000000005</v>
      </c>
      <c r="AG4133" s="14">
        <v>0</v>
      </c>
      <c r="AH4133" s="65">
        <f t="shared" si="634"/>
        <v>290578.90000000002</v>
      </c>
      <c r="AI4133" s="47"/>
      <c r="AJ4133" s="126" t="e">
        <v>#N/A</v>
      </c>
      <c r="AK4133" s="80">
        <f t="shared" si="637"/>
        <v>0</v>
      </c>
      <c r="AM4133" s="85"/>
    </row>
    <row r="4134" spans="1:39" hidden="1" x14ac:dyDescent="0.3">
      <c r="A4134" s="89" t="s">
        <v>3394</v>
      </c>
      <c r="B4134" s="86" t="s">
        <v>35</v>
      </c>
      <c r="C4134" s="86" t="s">
        <v>164</v>
      </c>
      <c r="D4134" s="86" t="s">
        <v>174</v>
      </c>
      <c r="E4134" s="86" t="s">
        <v>1737</v>
      </c>
      <c r="F4134" s="86" t="s">
        <v>1737</v>
      </c>
      <c r="G4134" s="86" t="s">
        <v>1737</v>
      </c>
      <c r="H4134" s="144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1738</v>
      </c>
      <c r="N4134" s="86"/>
      <c r="O4134" s="47" t="s">
        <v>410</v>
      </c>
      <c r="P4134" s="47" t="s">
        <v>46</v>
      </c>
      <c r="Q4134" s="14">
        <v>0.01</v>
      </c>
      <c r="R4134" s="143" t="s">
        <v>1739</v>
      </c>
      <c r="S4134" s="47"/>
      <c r="T4134" s="6">
        <v>19200.699999999997</v>
      </c>
      <c r="U4134" s="6">
        <v>10000</v>
      </c>
      <c r="V4134" s="6">
        <v>25863.8</v>
      </c>
      <c r="W4134" s="6">
        <f t="shared" si="631"/>
        <v>3336.8999999999978</v>
      </c>
      <c r="X4134" s="6">
        <f t="shared" si="632"/>
        <v>25607.722772277226</v>
      </c>
      <c r="Y4134" s="13">
        <f t="shared" si="635"/>
        <v>0</v>
      </c>
      <c r="Z4134" s="14">
        <v>0</v>
      </c>
      <c r="AA4134" s="6">
        <v>0</v>
      </c>
      <c r="AB4134" s="4">
        <f t="shared" si="636"/>
        <v>25607.722772277226</v>
      </c>
      <c r="AC4134" s="4">
        <f t="shared" si="638"/>
        <v>256.07722772277339</v>
      </c>
      <c r="AD4134" s="6">
        <f t="shared" si="633"/>
        <v>25863.8</v>
      </c>
      <c r="AE4134" s="2">
        <f>VLOOKUP(I4134,[1]媒体政策预估表!A:N,MATCH(O4134,[1]媒体政策预估表!$A$2:$M$2,0),0)</f>
        <v>7.0000000000000007E-2</v>
      </c>
      <c r="AF4134" s="6">
        <f t="shared" si="639"/>
        <v>1810.4660000000001</v>
      </c>
      <c r="AG4134" s="14">
        <v>0</v>
      </c>
      <c r="AH4134" s="65">
        <f t="shared" si="634"/>
        <v>25863.8</v>
      </c>
      <c r="AI4134" s="47"/>
      <c r="AJ4134" s="126" t="e">
        <v>#N/A</v>
      </c>
      <c r="AK4134" s="80">
        <f t="shared" si="637"/>
        <v>0</v>
      </c>
      <c r="AM4134" s="85"/>
    </row>
    <row r="4135" spans="1:39" hidden="1" x14ac:dyDescent="0.3">
      <c r="A4135" s="89" t="s">
        <v>3394</v>
      </c>
      <c r="B4135" s="86" t="s">
        <v>35</v>
      </c>
      <c r="C4135" s="86" t="s">
        <v>164</v>
      </c>
      <c r="D4135" s="86" t="s">
        <v>174</v>
      </c>
      <c r="E4135" s="86" t="s">
        <v>1737</v>
      </c>
      <c r="F4135" s="86" t="s">
        <v>1737</v>
      </c>
      <c r="G4135" s="86" t="s">
        <v>1737</v>
      </c>
      <c r="H4135" s="144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1740</v>
      </c>
      <c r="N4135" s="86"/>
      <c r="O4135" s="47" t="s">
        <v>410</v>
      </c>
      <c r="P4135" s="47" t="s">
        <v>46</v>
      </c>
      <c r="Q4135" s="14">
        <v>0.01</v>
      </c>
      <c r="R4135" s="143" t="s">
        <v>1741</v>
      </c>
      <c r="S4135" s="47"/>
      <c r="T4135" s="6">
        <v>11922.800000000003</v>
      </c>
      <c r="U4135" s="6">
        <v>30300</v>
      </c>
      <c r="V4135" s="6">
        <v>15404.9</v>
      </c>
      <c r="W4135" s="6">
        <f t="shared" si="631"/>
        <v>26817.9</v>
      </c>
      <c r="X4135" s="6">
        <f t="shared" si="632"/>
        <v>15252.376237623763</v>
      </c>
      <c r="Y4135" s="13">
        <f t="shared" si="635"/>
        <v>0</v>
      </c>
      <c r="Z4135" s="14">
        <v>0</v>
      </c>
      <c r="AA4135" s="6">
        <v>0</v>
      </c>
      <c r="AB4135" s="4">
        <f t="shared" si="636"/>
        <v>15252.376237623763</v>
      </c>
      <c r="AC4135" s="4">
        <f t="shared" si="638"/>
        <v>152.52376237623685</v>
      </c>
      <c r="AD4135" s="6">
        <f t="shared" si="633"/>
        <v>15404.9</v>
      </c>
      <c r="AE4135" s="2">
        <f>VLOOKUP(I4135,[1]媒体政策预估表!A:N,MATCH(O4135,[1]媒体政策预估表!$A$2:$M$2,0),0)</f>
        <v>7.0000000000000007E-2</v>
      </c>
      <c r="AF4135" s="6">
        <f t="shared" si="639"/>
        <v>1078.3430000000001</v>
      </c>
      <c r="AG4135" s="14">
        <v>0</v>
      </c>
      <c r="AH4135" s="65">
        <f t="shared" si="634"/>
        <v>15404.9</v>
      </c>
      <c r="AI4135" s="47"/>
      <c r="AJ4135" s="126" t="e">
        <v>#N/A</v>
      </c>
      <c r="AK4135" s="80">
        <f t="shared" si="637"/>
        <v>0</v>
      </c>
      <c r="AM4135" s="85"/>
    </row>
    <row r="4136" spans="1:39" hidden="1" x14ac:dyDescent="0.3">
      <c r="A4136" s="89" t="s">
        <v>3394</v>
      </c>
      <c r="B4136" s="86" t="s">
        <v>35</v>
      </c>
      <c r="C4136" s="86" t="s">
        <v>164</v>
      </c>
      <c r="D4136" s="86" t="s">
        <v>174</v>
      </c>
      <c r="E4136" s="86" t="s">
        <v>1742</v>
      </c>
      <c r="F4136" s="86" t="s">
        <v>1742</v>
      </c>
      <c r="G4136" s="86" t="s">
        <v>1742</v>
      </c>
      <c r="H4136" s="144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1743</v>
      </c>
      <c r="N4136" s="86"/>
      <c r="O4136" s="47" t="s">
        <v>410</v>
      </c>
      <c r="P4136" s="47" t="s">
        <v>41</v>
      </c>
      <c r="Q4136" s="14">
        <v>0</v>
      </c>
      <c r="R4136" s="143" t="s">
        <v>1744</v>
      </c>
      <c r="S4136" s="47"/>
      <c r="T4136" s="6">
        <v>152606.75000000012</v>
      </c>
      <c r="U4136" s="6">
        <v>300000</v>
      </c>
      <c r="V4136" s="6">
        <v>401464.1</v>
      </c>
      <c r="W4136" s="6">
        <f t="shared" si="631"/>
        <v>51142.65000000014</v>
      </c>
      <c r="X4136" s="6">
        <f t="shared" si="632"/>
        <v>401464.1</v>
      </c>
      <c r="Y4136" s="13">
        <f t="shared" si="635"/>
        <v>0</v>
      </c>
      <c r="Z4136" s="14">
        <v>0</v>
      </c>
      <c r="AA4136" s="6">
        <v>0</v>
      </c>
      <c r="AB4136" s="4">
        <f t="shared" si="636"/>
        <v>401464.1</v>
      </c>
      <c r="AC4136" s="4">
        <f t="shared" si="638"/>
        <v>0</v>
      </c>
      <c r="AD4136" s="6">
        <f t="shared" si="633"/>
        <v>401464.1</v>
      </c>
      <c r="AE4136" s="2">
        <f>VLOOKUP(I4136,[1]媒体政策预估表!A:N,MATCH(O4136,[1]媒体政策预估表!$A$2:$M$2,0),0)</f>
        <v>7.0000000000000007E-2</v>
      </c>
      <c r="AF4136" s="6">
        <f t="shared" si="639"/>
        <v>28102.487000000001</v>
      </c>
      <c r="AG4136" s="14">
        <v>0</v>
      </c>
      <c r="AH4136" s="65">
        <f t="shared" si="634"/>
        <v>401464.1</v>
      </c>
      <c r="AI4136" s="47"/>
      <c r="AJ4136" s="126" t="e">
        <v>#N/A</v>
      </c>
      <c r="AK4136" s="80">
        <f t="shared" si="637"/>
        <v>0</v>
      </c>
      <c r="AM4136" s="85"/>
    </row>
    <row r="4137" spans="1:39" hidden="1" x14ac:dyDescent="0.3">
      <c r="A4137" s="89" t="s">
        <v>3394</v>
      </c>
      <c r="B4137" s="86" t="s">
        <v>35</v>
      </c>
      <c r="C4137" s="86" t="s">
        <v>164</v>
      </c>
      <c r="D4137" s="86" t="s">
        <v>174</v>
      </c>
      <c r="E4137" s="86" t="s">
        <v>1742</v>
      </c>
      <c r="F4137" s="86" t="s">
        <v>1742</v>
      </c>
      <c r="G4137" s="86" t="s">
        <v>1742</v>
      </c>
      <c r="H4137" s="144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1742</v>
      </c>
      <c r="N4137" s="86"/>
      <c r="O4137" s="47" t="s">
        <v>410</v>
      </c>
      <c r="P4137" s="47" t="s">
        <v>41</v>
      </c>
      <c r="Q4137" s="14">
        <v>0</v>
      </c>
      <c r="R4137" s="143" t="s">
        <v>1745</v>
      </c>
      <c r="S4137" s="47"/>
      <c r="T4137" s="6">
        <v>322508.05006999976</v>
      </c>
      <c r="U4137" s="6">
        <v>600000</v>
      </c>
      <c r="V4137" s="6">
        <v>791832</v>
      </c>
      <c r="W4137" s="6">
        <f t="shared" si="631"/>
        <v>130676.05006999976</v>
      </c>
      <c r="X4137" s="6">
        <f t="shared" si="632"/>
        <v>791832</v>
      </c>
      <c r="Y4137" s="13">
        <f t="shared" si="635"/>
        <v>0</v>
      </c>
      <c r="Z4137" s="14">
        <v>0</v>
      </c>
      <c r="AA4137" s="6">
        <v>0</v>
      </c>
      <c r="AB4137" s="4">
        <f t="shared" si="636"/>
        <v>791832</v>
      </c>
      <c r="AC4137" s="4">
        <f t="shared" si="638"/>
        <v>0</v>
      </c>
      <c r="AD4137" s="6">
        <f t="shared" si="633"/>
        <v>791832</v>
      </c>
      <c r="AE4137" s="2">
        <f>VLOOKUP(I4137,[1]媒体政策预估表!A:N,MATCH(O4137,[1]媒体政策预估表!$A$2:$M$2,0),0)</f>
        <v>7.0000000000000007E-2</v>
      </c>
      <c r="AF4137" s="6">
        <f t="shared" si="639"/>
        <v>55428.240000000005</v>
      </c>
      <c r="AG4137" s="14">
        <v>0</v>
      </c>
      <c r="AH4137" s="65">
        <f t="shared" si="634"/>
        <v>791832</v>
      </c>
      <c r="AI4137" s="47"/>
      <c r="AJ4137" s="126" t="e">
        <v>#N/A</v>
      </c>
      <c r="AK4137" s="80">
        <f t="shared" si="637"/>
        <v>0</v>
      </c>
      <c r="AM4137" s="85"/>
    </row>
    <row r="4138" spans="1:39" hidden="1" x14ac:dyDescent="0.3">
      <c r="A4138" s="89" t="s">
        <v>3394</v>
      </c>
      <c r="B4138" s="86" t="s">
        <v>35</v>
      </c>
      <c r="C4138" s="86" t="s">
        <v>164</v>
      </c>
      <c r="D4138" s="86" t="s">
        <v>174</v>
      </c>
      <c r="E4138" s="86" t="s">
        <v>1748</v>
      </c>
      <c r="F4138" s="86" t="s">
        <v>1748</v>
      </c>
      <c r="G4138" s="86" t="s">
        <v>1748</v>
      </c>
      <c r="H4138" s="144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1748</v>
      </c>
      <c r="N4138" s="86"/>
      <c r="O4138" s="47" t="s">
        <v>410</v>
      </c>
      <c r="P4138" s="47" t="s">
        <v>46</v>
      </c>
      <c r="Q4138" s="14">
        <v>0.02</v>
      </c>
      <c r="R4138" s="143" t="s">
        <v>1749</v>
      </c>
      <c r="S4138" s="47"/>
      <c r="T4138" s="6">
        <v>211454.22999999998</v>
      </c>
      <c r="U4138" s="6">
        <v>2000000</v>
      </c>
      <c r="V4138" s="6">
        <v>1928773.2</v>
      </c>
      <c r="W4138" s="6">
        <f t="shared" si="631"/>
        <v>282681.03000000003</v>
      </c>
      <c r="X4138" s="6">
        <f t="shared" si="632"/>
        <v>1890954.1176470588</v>
      </c>
      <c r="Y4138" s="13">
        <f t="shared" si="635"/>
        <v>0</v>
      </c>
      <c r="Z4138" s="14">
        <v>0</v>
      </c>
      <c r="AA4138" s="6">
        <v>0</v>
      </c>
      <c r="AB4138" s="4">
        <f t="shared" si="636"/>
        <v>1890954.1176470588</v>
      </c>
      <c r="AC4138" s="4">
        <f t="shared" si="638"/>
        <v>37819.082352941157</v>
      </c>
      <c r="AD4138" s="6">
        <f t="shared" si="633"/>
        <v>1928773.2</v>
      </c>
      <c r="AE4138" s="2">
        <f>VLOOKUP(I4138,[1]媒体政策预估表!A:N,MATCH(O4138,[1]媒体政策预估表!$A$2:$M$2,0),0)</f>
        <v>7.0000000000000007E-2</v>
      </c>
      <c r="AF4138" s="6">
        <f t="shared" si="639"/>
        <v>135014.12400000001</v>
      </c>
      <c r="AG4138" s="14">
        <v>0</v>
      </c>
      <c r="AH4138" s="65">
        <f t="shared" si="634"/>
        <v>1928773.2</v>
      </c>
      <c r="AI4138" s="47"/>
      <c r="AJ4138" s="126" t="e">
        <v>#N/A</v>
      </c>
      <c r="AK4138" s="80">
        <f t="shared" si="637"/>
        <v>0</v>
      </c>
      <c r="AM4138" s="85"/>
    </row>
    <row r="4139" spans="1:39" hidden="1" x14ac:dyDescent="0.3">
      <c r="A4139" s="89" t="s">
        <v>3395</v>
      </c>
      <c r="B4139" s="86" t="s">
        <v>35</v>
      </c>
      <c r="C4139" s="86" t="s">
        <v>164</v>
      </c>
      <c r="D4139" s="86" t="s">
        <v>174</v>
      </c>
      <c r="E4139" s="86" t="s">
        <v>1750</v>
      </c>
      <c r="F4139" s="86" t="s">
        <v>1750</v>
      </c>
      <c r="G4139" s="86" t="s">
        <v>1750</v>
      </c>
      <c r="H4139" s="144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1751</v>
      </c>
      <c r="N4139" s="86"/>
      <c r="O4139" s="47" t="s">
        <v>410</v>
      </c>
      <c r="P4139" s="47" t="s">
        <v>41</v>
      </c>
      <c r="Q4139" s="14">
        <v>0</v>
      </c>
      <c r="R4139" s="143" t="s">
        <v>1752</v>
      </c>
      <c r="S4139" s="47"/>
      <c r="T4139" s="6">
        <v>22238.3</v>
      </c>
      <c r="U4139" s="6">
        <v>50000</v>
      </c>
      <c r="V4139" s="6">
        <v>12839.6</v>
      </c>
      <c r="W4139" s="6">
        <f t="shared" si="631"/>
        <v>59398.700000000004</v>
      </c>
      <c r="X4139" s="6">
        <f t="shared" si="632"/>
        <v>12839.6</v>
      </c>
      <c r="Y4139" s="13">
        <f t="shared" si="635"/>
        <v>0</v>
      </c>
      <c r="Z4139" s="14">
        <v>0</v>
      </c>
      <c r="AA4139" s="6">
        <v>0</v>
      </c>
      <c r="AB4139" s="4">
        <f t="shared" si="636"/>
        <v>12839.6</v>
      </c>
      <c r="AC4139" s="4">
        <f t="shared" si="638"/>
        <v>0</v>
      </c>
      <c r="AD4139" s="6">
        <f t="shared" si="633"/>
        <v>12839.6</v>
      </c>
      <c r="AE4139" s="2">
        <f>VLOOKUP(I4139,[1]媒体政策预估表!A:N,MATCH(O4139,[1]媒体政策预估表!$A$2:$M$2,0),0)</f>
        <v>7.0000000000000007E-2</v>
      </c>
      <c r="AF4139" s="6">
        <f t="shared" si="639"/>
        <v>898.77200000000016</v>
      </c>
      <c r="AG4139" s="14">
        <v>0</v>
      </c>
      <c r="AH4139" s="65">
        <f t="shared" si="634"/>
        <v>12839.6</v>
      </c>
      <c r="AI4139" s="47"/>
      <c r="AJ4139" s="126" t="e">
        <v>#N/A</v>
      </c>
      <c r="AK4139" s="80">
        <f t="shared" si="637"/>
        <v>0</v>
      </c>
      <c r="AM4139" s="85"/>
    </row>
    <row r="4140" spans="1:39" hidden="1" x14ac:dyDescent="0.3">
      <c r="A4140" s="89" t="s">
        <v>3394</v>
      </c>
      <c r="B4140" s="86" t="s">
        <v>35</v>
      </c>
      <c r="C4140" s="86" t="s">
        <v>164</v>
      </c>
      <c r="D4140" s="86" t="s">
        <v>174</v>
      </c>
      <c r="E4140" s="86" t="s">
        <v>1750</v>
      </c>
      <c r="F4140" s="86" t="s">
        <v>1750</v>
      </c>
      <c r="G4140" s="86" t="s">
        <v>1750</v>
      </c>
      <c r="H4140" s="144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1750</v>
      </c>
      <c r="N4140" s="86"/>
      <c r="O4140" s="47" t="s">
        <v>410</v>
      </c>
      <c r="P4140" s="47" t="s">
        <v>41</v>
      </c>
      <c r="Q4140" s="14">
        <v>0</v>
      </c>
      <c r="R4140" s="143" t="s">
        <v>1753</v>
      </c>
      <c r="S4140" s="47"/>
      <c r="T4140" s="6">
        <v>14365.699999999997</v>
      </c>
      <c r="U4140" s="6">
        <v>100000</v>
      </c>
      <c r="V4140" s="6">
        <v>61515.9</v>
      </c>
      <c r="W4140" s="6">
        <f t="shared" si="631"/>
        <v>52849.799999999996</v>
      </c>
      <c r="X4140" s="6">
        <f t="shared" si="632"/>
        <v>61515.9</v>
      </c>
      <c r="Y4140" s="13">
        <f t="shared" si="635"/>
        <v>0</v>
      </c>
      <c r="Z4140" s="14">
        <v>0</v>
      </c>
      <c r="AA4140" s="6">
        <v>0</v>
      </c>
      <c r="AB4140" s="4">
        <f t="shared" si="636"/>
        <v>61515.9</v>
      </c>
      <c r="AC4140" s="4">
        <f t="shared" si="638"/>
        <v>0</v>
      </c>
      <c r="AD4140" s="6">
        <f t="shared" si="633"/>
        <v>61515.9</v>
      </c>
      <c r="AE4140" s="2">
        <f>VLOOKUP(I4140,[1]媒体政策预估表!A:N,MATCH(O4140,[1]媒体政策预估表!$A$2:$M$2,0),0)</f>
        <v>7.0000000000000007E-2</v>
      </c>
      <c r="AF4140" s="6">
        <f t="shared" si="639"/>
        <v>4306.1130000000003</v>
      </c>
      <c r="AG4140" s="14">
        <v>0</v>
      </c>
      <c r="AH4140" s="65">
        <f t="shared" si="634"/>
        <v>61515.9</v>
      </c>
      <c r="AI4140" s="47"/>
      <c r="AJ4140" s="126" t="e">
        <v>#N/A</v>
      </c>
      <c r="AK4140" s="80">
        <f t="shared" si="637"/>
        <v>0</v>
      </c>
      <c r="AM4140" s="85"/>
    </row>
    <row r="4141" spans="1:39" hidden="1" x14ac:dyDescent="0.3">
      <c r="A4141" s="89" t="s">
        <v>3394</v>
      </c>
      <c r="B4141" s="86" t="s">
        <v>35</v>
      </c>
      <c r="C4141" s="86" t="s">
        <v>164</v>
      </c>
      <c r="D4141" s="86" t="s">
        <v>174</v>
      </c>
      <c r="E4141" s="86" t="s">
        <v>1756</v>
      </c>
      <c r="F4141" s="86" t="s">
        <v>1756</v>
      </c>
      <c r="G4141" s="86" t="s">
        <v>1756</v>
      </c>
      <c r="H4141" s="144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1757</v>
      </c>
      <c r="N4141" s="86"/>
      <c r="O4141" s="47" t="s">
        <v>410</v>
      </c>
      <c r="P4141" s="47" t="s">
        <v>41</v>
      </c>
      <c r="Q4141" s="14">
        <v>0</v>
      </c>
      <c r="R4141" s="143" t="s">
        <v>1758</v>
      </c>
      <c r="S4141" s="47"/>
      <c r="T4141" s="6">
        <v>90280.8</v>
      </c>
      <c r="U4141" s="6">
        <v>200000</v>
      </c>
      <c r="V4141" s="6">
        <v>82172.100000000006</v>
      </c>
      <c r="W4141" s="6">
        <f t="shared" si="631"/>
        <v>208108.69999999998</v>
      </c>
      <c r="X4141" s="6">
        <f t="shared" si="632"/>
        <v>82172.100000000006</v>
      </c>
      <c r="Y4141" s="13">
        <f t="shared" si="635"/>
        <v>0</v>
      </c>
      <c r="Z4141" s="14">
        <v>0</v>
      </c>
      <c r="AA4141" s="6">
        <v>0</v>
      </c>
      <c r="AB4141" s="4">
        <f t="shared" si="636"/>
        <v>82172.100000000006</v>
      </c>
      <c r="AC4141" s="4">
        <f t="shared" si="638"/>
        <v>0</v>
      </c>
      <c r="AD4141" s="6">
        <f t="shared" si="633"/>
        <v>82172.100000000006</v>
      </c>
      <c r="AE4141" s="2">
        <f>VLOOKUP(I4141,[1]媒体政策预估表!A:N,MATCH(O4141,[1]媒体政策预估表!$A$2:$M$2,0),0)</f>
        <v>7.0000000000000007E-2</v>
      </c>
      <c r="AF4141" s="6">
        <f t="shared" si="639"/>
        <v>5752.0470000000014</v>
      </c>
      <c r="AG4141" s="14">
        <v>0</v>
      </c>
      <c r="AH4141" s="65">
        <f t="shared" si="634"/>
        <v>82172.100000000006</v>
      </c>
      <c r="AI4141" s="47"/>
      <c r="AJ4141" s="126" t="e">
        <v>#N/A</v>
      </c>
      <c r="AK4141" s="80">
        <f t="shared" si="637"/>
        <v>0</v>
      </c>
      <c r="AM4141" s="85"/>
    </row>
    <row r="4142" spans="1:39" hidden="1" x14ac:dyDescent="0.3">
      <c r="A4142" s="89" t="s">
        <v>3397</v>
      </c>
      <c r="B4142" s="86" t="s">
        <v>35</v>
      </c>
      <c r="C4142" s="86" t="s">
        <v>164</v>
      </c>
      <c r="D4142" s="86" t="s">
        <v>174</v>
      </c>
      <c r="E4142" s="86" t="s">
        <v>1756</v>
      </c>
      <c r="F4142" s="86" t="s">
        <v>1756</v>
      </c>
      <c r="G4142" s="86" t="s">
        <v>1756</v>
      </c>
      <c r="H4142" s="144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1759</v>
      </c>
      <c r="N4142" s="86"/>
      <c r="O4142" s="47" t="s">
        <v>410</v>
      </c>
      <c r="P4142" s="47" t="s">
        <v>41</v>
      </c>
      <c r="Q4142" s="14">
        <v>0</v>
      </c>
      <c r="R4142" s="143" t="s">
        <v>1760</v>
      </c>
      <c r="S4142" s="47"/>
      <c r="T4142" s="6">
        <v>300194.7</v>
      </c>
      <c r="U4142" s="6">
        <v>550000</v>
      </c>
      <c r="V4142" s="6">
        <v>80701.3</v>
      </c>
      <c r="W4142" s="6">
        <f t="shared" si="631"/>
        <v>769493.39999999991</v>
      </c>
      <c r="X4142" s="6">
        <f t="shared" si="632"/>
        <v>80701.3</v>
      </c>
      <c r="Y4142" s="13">
        <f t="shared" si="635"/>
        <v>0</v>
      </c>
      <c r="Z4142" s="14">
        <v>0</v>
      </c>
      <c r="AA4142" s="6">
        <v>0</v>
      </c>
      <c r="AB4142" s="4">
        <f t="shared" si="636"/>
        <v>80701.3</v>
      </c>
      <c r="AC4142" s="4">
        <f t="shared" si="638"/>
        <v>0</v>
      </c>
      <c r="AD4142" s="6">
        <f t="shared" si="633"/>
        <v>80701.3</v>
      </c>
      <c r="AE4142" s="2">
        <f>VLOOKUP(I4142,[1]媒体政策预估表!A:N,MATCH(O4142,[1]媒体政策预估表!$A$2:$M$2,0),0)</f>
        <v>7.0000000000000007E-2</v>
      </c>
      <c r="AF4142" s="6">
        <f t="shared" si="639"/>
        <v>5649.0910000000003</v>
      </c>
      <c r="AG4142" s="14">
        <v>0</v>
      </c>
      <c r="AH4142" s="65">
        <f t="shared" si="634"/>
        <v>80701.3</v>
      </c>
      <c r="AI4142" s="47"/>
      <c r="AJ4142" s="126" t="e">
        <v>#N/A</v>
      </c>
      <c r="AK4142" s="80">
        <f t="shared" si="637"/>
        <v>0</v>
      </c>
      <c r="AM4142" s="85"/>
    </row>
    <row r="4143" spans="1:39" hidden="1" x14ac:dyDescent="0.3">
      <c r="A4143" s="89" t="s">
        <v>3394</v>
      </c>
      <c r="B4143" s="86" t="s">
        <v>35</v>
      </c>
      <c r="C4143" s="86" t="s">
        <v>164</v>
      </c>
      <c r="D4143" s="86" t="s">
        <v>174</v>
      </c>
      <c r="E4143" s="86" t="s">
        <v>1761</v>
      </c>
      <c r="F4143" s="86" t="s">
        <v>1761</v>
      </c>
      <c r="G4143" s="86" t="s">
        <v>1761</v>
      </c>
      <c r="H4143" s="144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1761</v>
      </c>
      <c r="N4143" s="86"/>
      <c r="O4143" s="47" t="s">
        <v>410</v>
      </c>
      <c r="P4143" s="47" t="s">
        <v>41</v>
      </c>
      <c r="Q4143" s="14">
        <v>0</v>
      </c>
      <c r="R4143" s="143" t="s">
        <v>1762</v>
      </c>
      <c r="S4143" s="47"/>
      <c r="T4143" s="6">
        <v>86150</v>
      </c>
      <c r="U4143" s="6">
        <v>400000</v>
      </c>
      <c r="V4143" s="6">
        <v>456018.2</v>
      </c>
      <c r="W4143" s="6">
        <f t="shared" si="631"/>
        <v>30131.799999999988</v>
      </c>
      <c r="X4143" s="6">
        <f t="shared" si="632"/>
        <v>456018.2</v>
      </c>
      <c r="Y4143" s="13">
        <f t="shared" si="635"/>
        <v>0</v>
      </c>
      <c r="Z4143" s="14">
        <v>0</v>
      </c>
      <c r="AA4143" s="6">
        <v>0</v>
      </c>
      <c r="AB4143" s="4">
        <f t="shared" si="636"/>
        <v>456018.2</v>
      </c>
      <c r="AC4143" s="4">
        <f t="shared" si="638"/>
        <v>0</v>
      </c>
      <c r="AD4143" s="6">
        <f t="shared" si="633"/>
        <v>456018.2</v>
      </c>
      <c r="AE4143" s="2">
        <f>VLOOKUP(I4143,[1]媒体政策预估表!A:N,MATCH(O4143,[1]媒体政策预估表!$A$2:$M$2,0),0)</f>
        <v>7.0000000000000007E-2</v>
      </c>
      <c r="AF4143" s="6">
        <f t="shared" si="639"/>
        <v>31921.274000000005</v>
      </c>
      <c r="AG4143" s="14">
        <v>0</v>
      </c>
      <c r="AH4143" s="65">
        <f t="shared" si="634"/>
        <v>456018.2</v>
      </c>
      <c r="AI4143" s="47"/>
      <c r="AJ4143" s="126" t="e">
        <v>#N/A</v>
      </c>
      <c r="AK4143" s="80">
        <f t="shared" si="637"/>
        <v>0</v>
      </c>
      <c r="AM4143" s="85"/>
    </row>
    <row r="4144" spans="1:39" hidden="1" x14ac:dyDescent="0.3">
      <c r="A4144" s="89" t="s">
        <v>3394</v>
      </c>
      <c r="B4144" s="86" t="s">
        <v>35</v>
      </c>
      <c r="C4144" s="86" t="s">
        <v>164</v>
      </c>
      <c r="D4144" s="86" t="s">
        <v>174</v>
      </c>
      <c r="E4144" s="86" t="s">
        <v>1763</v>
      </c>
      <c r="F4144" s="86" t="s">
        <v>1763</v>
      </c>
      <c r="G4144" s="86" t="s">
        <v>1763</v>
      </c>
      <c r="H4144" s="144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1763</v>
      </c>
      <c r="N4144" s="86"/>
      <c r="O4144" s="47" t="s">
        <v>410</v>
      </c>
      <c r="P4144" s="47" t="s">
        <v>41</v>
      </c>
      <c r="Q4144" s="14">
        <v>0</v>
      </c>
      <c r="R4144" s="143" t="s">
        <v>1764</v>
      </c>
      <c r="S4144" s="47"/>
      <c r="T4144" s="6">
        <v>5520.7000000000007</v>
      </c>
      <c r="U4144" s="6">
        <v>10000</v>
      </c>
      <c r="V4144" s="6">
        <v>8381.5</v>
      </c>
      <c r="W4144" s="6">
        <f t="shared" si="631"/>
        <v>7139.2000000000007</v>
      </c>
      <c r="X4144" s="6">
        <f t="shared" si="632"/>
        <v>8381.5</v>
      </c>
      <c r="Y4144" s="13">
        <f t="shared" si="635"/>
        <v>0</v>
      </c>
      <c r="Z4144" s="14">
        <v>0</v>
      </c>
      <c r="AA4144" s="6">
        <v>0</v>
      </c>
      <c r="AB4144" s="4">
        <f t="shared" si="636"/>
        <v>8381.5</v>
      </c>
      <c r="AC4144" s="4">
        <f t="shared" si="638"/>
        <v>0</v>
      </c>
      <c r="AD4144" s="6">
        <f t="shared" si="633"/>
        <v>8381.5</v>
      </c>
      <c r="AE4144" s="2">
        <f>VLOOKUP(I4144,[1]媒体政策预估表!A:N,MATCH(O4144,[1]媒体政策预估表!$A$2:$M$2,0),0)</f>
        <v>7.0000000000000007E-2</v>
      </c>
      <c r="AF4144" s="6">
        <f t="shared" si="639"/>
        <v>586.70500000000004</v>
      </c>
      <c r="AG4144" s="14">
        <v>0</v>
      </c>
      <c r="AH4144" s="65">
        <f t="shared" si="634"/>
        <v>8381.5</v>
      </c>
      <c r="AI4144" s="47"/>
      <c r="AJ4144" s="126" t="e">
        <v>#N/A</v>
      </c>
      <c r="AK4144" s="80">
        <f t="shared" si="637"/>
        <v>0</v>
      </c>
      <c r="AM4144" s="85"/>
    </row>
    <row r="4145" spans="1:39" hidden="1" x14ac:dyDescent="0.3">
      <c r="A4145" s="89" t="s">
        <v>3394</v>
      </c>
      <c r="B4145" s="86" t="s">
        <v>35</v>
      </c>
      <c r="C4145" s="86" t="s">
        <v>164</v>
      </c>
      <c r="D4145" s="86" t="s">
        <v>174</v>
      </c>
      <c r="E4145" s="86" t="s">
        <v>1765</v>
      </c>
      <c r="F4145" s="86" t="s">
        <v>1765</v>
      </c>
      <c r="G4145" s="86" t="s">
        <v>1765</v>
      </c>
      <c r="H4145" s="144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1766</v>
      </c>
      <c r="N4145" s="86"/>
      <c r="O4145" s="47" t="s">
        <v>410</v>
      </c>
      <c r="P4145" s="47" t="s">
        <v>41</v>
      </c>
      <c r="Q4145" s="14">
        <v>0</v>
      </c>
      <c r="R4145" s="143" t="s">
        <v>1767</v>
      </c>
      <c r="S4145" s="47"/>
      <c r="T4145" s="6">
        <v>22070.300000000003</v>
      </c>
      <c r="U4145" s="6">
        <v>60000</v>
      </c>
      <c r="V4145" s="6">
        <v>71765.5</v>
      </c>
      <c r="W4145" s="6">
        <f t="shared" si="631"/>
        <v>10304.800000000003</v>
      </c>
      <c r="X4145" s="6">
        <f t="shared" si="632"/>
        <v>71765.5</v>
      </c>
      <c r="Y4145" s="13">
        <f t="shared" si="635"/>
        <v>0</v>
      </c>
      <c r="Z4145" s="14">
        <v>0</v>
      </c>
      <c r="AA4145" s="6">
        <v>0</v>
      </c>
      <c r="AB4145" s="4">
        <f t="shared" si="636"/>
        <v>71765.5</v>
      </c>
      <c r="AC4145" s="4">
        <f t="shared" si="638"/>
        <v>0</v>
      </c>
      <c r="AD4145" s="6">
        <f t="shared" si="633"/>
        <v>71765.5</v>
      </c>
      <c r="AE4145" s="2">
        <f>VLOOKUP(I4145,[1]媒体政策预估表!A:N,MATCH(O4145,[1]媒体政策预估表!$A$2:$M$2,0),0)</f>
        <v>7.0000000000000007E-2</v>
      </c>
      <c r="AF4145" s="6">
        <f t="shared" si="639"/>
        <v>5023.585</v>
      </c>
      <c r="AG4145" s="14">
        <v>0</v>
      </c>
      <c r="AH4145" s="65">
        <f t="shared" si="634"/>
        <v>71765.5</v>
      </c>
      <c r="AI4145" s="47"/>
      <c r="AJ4145" s="126" t="e">
        <v>#N/A</v>
      </c>
      <c r="AK4145" s="80">
        <f t="shared" si="637"/>
        <v>0</v>
      </c>
      <c r="AM4145" s="85"/>
    </row>
    <row r="4146" spans="1:39" hidden="1" x14ac:dyDescent="0.3">
      <c r="A4146" s="89" t="s">
        <v>3394</v>
      </c>
      <c r="B4146" s="86" t="s">
        <v>35</v>
      </c>
      <c r="C4146" s="86" t="s">
        <v>164</v>
      </c>
      <c r="D4146" s="86" t="s">
        <v>174</v>
      </c>
      <c r="E4146" s="86" t="s">
        <v>3566</v>
      </c>
      <c r="F4146" s="86" t="s">
        <v>3566</v>
      </c>
      <c r="G4146" s="86" t="s">
        <v>3566</v>
      </c>
      <c r="H4146" s="144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3567</v>
      </c>
      <c r="N4146" s="86"/>
      <c r="O4146" s="47" t="s">
        <v>410</v>
      </c>
      <c r="P4146" s="47" t="s">
        <v>41</v>
      </c>
      <c r="Q4146" s="14">
        <v>0</v>
      </c>
      <c r="R4146" s="143" t="s">
        <v>3568</v>
      </c>
      <c r="S4146" s="47"/>
      <c r="T4146" s="6">
        <v>0</v>
      </c>
      <c r="U4146" s="6">
        <v>20000</v>
      </c>
      <c r="V4146" s="6">
        <v>2992.5</v>
      </c>
      <c r="W4146" s="6">
        <f t="shared" si="631"/>
        <v>17007.5</v>
      </c>
      <c r="X4146" s="6">
        <f t="shared" si="632"/>
        <v>2992.5</v>
      </c>
      <c r="Y4146" s="13">
        <f t="shared" si="635"/>
        <v>0</v>
      </c>
      <c r="Z4146" s="14">
        <v>0</v>
      </c>
      <c r="AA4146" s="6">
        <v>0</v>
      </c>
      <c r="AB4146" s="4">
        <f t="shared" si="636"/>
        <v>2992.5</v>
      </c>
      <c r="AC4146" s="4">
        <f t="shared" si="638"/>
        <v>0</v>
      </c>
      <c r="AD4146" s="6">
        <f t="shared" si="633"/>
        <v>2992.5</v>
      </c>
      <c r="AE4146" s="2">
        <f>VLOOKUP(I4146,[1]媒体政策预估表!A:N,MATCH(O4146,[1]媒体政策预估表!$A$2:$M$2,0),0)</f>
        <v>7.0000000000000007E-2</v>
      </c>
      <c r="AF4146" s="6">
        <f t="shared" si="639"/>
        <v>209.47500000000002</v>
      </c>
      <c r="AG4146" s="14">
        <v>0</v>
      </c>
      <c r="AH4146" s="65">
        <f t="shared" si="634"/>
        <v>2992.5</v>
      </c>
      <c r="AI4146" s="47"/>
      <c r="AJ4146" s="126" t="e">
        <v>#N/A</v>
      </c>
      <c r="AK4146" s="80">
        <f t="shared" si="637"/>
        <v>0</v>
      </c>
      <c r="AM4146" s="85"/>
    </row>
    <row r="4147" spans="1:39" hidden="1" x14ac:dyDescent="0.3">
      <c r="A4147" s="89" t="s">
        <v>3394</v>
      </c>
      <c r="B4147" s="86" t="s">
        <v>35</v>
      </c>
      <c r="C4147" s="86" t="s">
        <v>164</v>
      </c>
      <c r="D4147" s="86" t="s">
        <v>174</v>
      </c>
      <c r="E4147" s="86" t="s">
        <v>1769</v>
      </c>
      <c r="F4147" s="86" t="s">
        <v>1769</v>
      </c>
      <c r="G4147" s="86" t="s">
        <v>1769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1770</v>
      </c>
      <c r="N4147" s="86"/>
      <c r="O4147" s="47" t="s">
        <v>410</v>
      </c>
      <c r="P4147" s="47" t="s">
        <v>41</v>
      </c>
      <c r="Q4147" s="14">
        <v>0</v>
      </c>
      <c r="R4147" s="143" t="s">
        <v>1771</v>
      </c>
      <c r="S4147" s="47"/>
      <c r="T4147" s="6">
        <v>8563.1999999999971</v>
      </c>
      <c r="U4147" s="6">
        <v>80000</v>
      </c>
      <c r="V4147" s="6">
        <v>86167.2</v>
      </c>
      <c r="W4147" s="6">
        <f t="shared" si="631"/>
        <v>2396</v>
      </c>
      <c r="X4147" s="6">
        <f t="shared" si="632"/>
        <v>86167.2</v>
      </c>
      <c r="Y4147" s="13">
        <f t="shared" si="635"/>
        <v>0</v>
      </c>
      <c r="Z4147" s="14">
        <v>0</v>
      </c>
      <c r="AA4147" s="6">
        <v>0</v>
      </c>
      <c r="AB4147" s="4"/>
      <c r="AC4147" s="4">
        <f t="shared" si="638"/>
        <v>0</v>
      </c>
      <c r="AD4147" s="6">
        <f t="shared" si="633"/>
        <v>86167.2</v>
      </c>
      <c r="AE4147" s="2">
        <f>VLOOKUP(I4147,[1]媒体政策预估表!A:N,MATCH(O4147,[1]媒体政策预估表!$A$2:$M$2,0),0)</f>
        <v>7.0000000000000007E-2</v>
      </c>
      <c r="AF4147" s="6">
        <f t="shared" si="639"/>
        <v>6031.7040000000006</v>
      </c>
      <c r="AG4147" s="14">
        <v>0</v>
      </c>
      <c r="AH4147" s="65">
        <f t="shared" si="634"/>
        <v>86167.2</v>
      </c>
      <c r="AI4147" s="47"/>
      <c r="AJ4147" s="126">
        <v>113</v>
      </c>
      <c r="AK4147" s="80">
        <f t="shared" si="637"/>
        <v>86167.2</v>
      </c>
      <c r="AM4147" s="85"/>
    </row>
    <row r="4148" spans="1:39" hidden="1" x14ac:dyDescent="0.3">
      <c r="A4148" s="89" t="s">
        <v>3395</v>
      </c>
      <c r="B4148" s="86" t="s">
        <v>35</v>
      </c>
      <c r="C4148" s="86" t="s">
        <v>164</v>
      </c>
      <c r="D4148" s="86" t="s">
        <v>174</v>
      </c>
      <c r="E4148" s="86" t="s">
        <v>1772</v>
      </c>
      <c r="F4148" s="86" t="s">
        <v>1772</v>
      </c>
      <c r="G4148" s="86" t="s">
        <v>1772</v>
      </c>
      <c r="H4148" s="144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1773</v>
      </c>
      <c r="N4148" s="86"/>
      <c r="O4148" s="47" t="s">
        <v>410</v>
      </c>
      <c r="P4148" s="47" t="s">
        <v>41</v>
      </c>
      <c r="Q4148" s="14">
        <v>0</v>
      </c>
      <c r="R4148" s="143" t="s">
        <v>1774</v>
      </c>
      <c r="S4148" s="47"/>
      <c r="T4148" s="6">
        <v>46141.25</v>
      </c>
      <c r="U4148" s="6">
        <v>160000</v>
      </c>
      <c r="V4148" s="6">
        <v>168901.2</v>
      </c>
      <c r="W4148" s="6">
        <f t="shared" si="631"/>
        <v>37240.049999999988</v>
      </c>
      <c r="X4148" s="6">
        <f t="shared" si="632"/>
        <v>168901.2</v>
      </c>
      <c r="Y4148" s="13">
        <f t="shared" si="635"/>
        <v>0</v>
      </c>
      <c r="Z4148" s="14">
        <v>0</v>
      </c>
      <c r="AA4148" s="6">
        <v>0</v>
      </c>
      <c r="AB4148" s="4">
        <f t="shared" si="636"/>
        <v>168901.2</v>
      </c>
      <c r="AC4148" s="4">
        <f t="shared" si="638"/>
        <v>0</v>
      </c>
      <c r="AD4148" s="6">
        <f t="shared" si="633"/>
        <v>168901.2</v>
      </c>
      <c r="AE4148" s="2">
        <f>VLOOKUP(I4148,[1]媒体政策预估表!A:N,MATCH(O4148,[1]媒体政策预估表!$A$2:$M$2,0),0)</f>
        <v>7.0000000000000007E-2</v>
      </c>
      <c r="AF4148" s="6">
        <f t="shared" si="639"/>
        <v>11823.084000000003</v>
      </c>
      <c r="AG4148" s="14">
        <v>0</v>
      </c>
      <c r="AH4148" s="65">
        <f t="shared" si="634"/>
        <v>168901.2</v>
      </c>
      <c r="AI4148" s="47"/>
      <c r="AJ4148" s="126" t="e">
        <v>#N/A</v>
      </c>
      <c r="AK4148" s="80">
        <f t="shared" si="637"/>
        <v>0</v>
      </c>
      <c r="AM4148" s="85"/>
    </row>
    <row r="4149" spans="1:39" hidden="1" x14ac:dyDescent="0.3">
      <c r="A4149" s="89" t="s">
        <v>3394</v>
      </c>
      <c r="B4149" s="86" t="s">
        <v>35</v>
      </c>
      <c r="C4149" s="86" t="s">
        <v>164</v>
      </c>
      <c r="D4149" s="86" t="s">
        <v>174</v>
      </c>
      <c r="E4149" s="86" t="s">
        <v>1775</v>
      </c>
      <c r="F4149" s="86" t="s">
        <v>1775</v>
      </c>
      <c r="G4149" s="86" t="s">
        <v>1775</v>
      </c>
      <c r="H4149" s="144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1775</v>
      </c>
      <c r="N4149" s="86"/>
      <c r="O4149" s="47" t="s">
        <v>410</v>
      </c>
      <c r="P4149" s="47" t="s">
        <v>41</v>
      </c>
      <c r="Q4149" s="14">
        <v>0</v>
      </c>
      <c r="R4149" s="143" t="s">
        <v>1776</v>
      </c>
      <c r="S4149" s="47"/>
      <c r="T4149" s="6">
        <v>3788.5</v>
      </c>
      <c r="U4149" s="6">
        <v>30000</v>
      </c>
      <c r="V4149" s="6">
        <v>30161.3</v>
      </c>
      <c r="W4149" s="6">
        <f t="shared" si="631"/>
        <v>3627.2000000000007</v>
      </c>
      <c r="X4149" s="6">
        <f t="shared" si="632"/>
        <v>30161.3</v>
      </c>
      <c r="Y4149" s="13">
        <f t="shared" si="635"/>
        <v>0</v>
      </c>
      <c r="Z4149" s="14">
        <v>0</v>
      </c>
      <c r="AA4149" s="6">
        <v>0</v>
      </c>
      <c r="AB4149" s="4">
        <f t="shared" si="636"/>
        <v>30161.3</v>
      </c>
      <c r="AC4149" s="4">
        <f t="shared" si="638"/>
        <v>0</v>
      </c>
      <c r="AD4149" s="6">
        <f t="shared" si="633"/>
        <v>30161.3</v>
      </c>
      <c r="AE4149" s="2">
        <f>VLOOKUP(I4149,[1]媒体政策预估表!A:N,MATCH(O4149,[1]媒体政策预估表!$A$2:$M$2,0),0)</f>
        <v>7.0000000000000007E-2</v>
      </c>
      <c r="AF4149" s="6">
        <f t="shared" si="639"/>
        <v>2111.2910000000002</v>
      </c>
      <c r="AG4149" s="14">
        <v>0</v>
      </c>
      <c r="AH4149" s="65">
        <f t="shared" si="634"/>
        <v>30161.3</v>
      </c>
      <c r="AI4149" s="47"/>
      <c r="AJ4149" s="126" t="e">
        <v>#N/A</v>
      </c>
      <c r="AK4149" s="80">
        <f t="shared" si="637"/>
        <v>0</v>
      </c>
      <c r="AM4149" s="85"/>
    </row>
    <row r="4150" spans="1:39" hidden="1" x14ac:dyDescent="0.3">
      <c r="A4150" s="89" t="s">
        <v>3395</v>
      </c>
      <c r="B4150" s="86" t="s">
        <v>35</v>
      </c>
      <c r="C4150" s="86" t="s">
        <v>164</v>
      </c>
      <c r="D4150" s="86" t="s">
        <v>174</v>
      </c>
      <c r="E4150" s="86" t="s">
        <v>1777</v>
      </c>
      <c r="F4150" s="86" t="s">
        <v>1777</v>
      </c>
      <c r="G4150" s="86" t="s">
        <v>1777</v>
      </c>
      <c r="H4150" s="144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1780</v>
      </c>
      <c r="N4150" s="86"/>
      <c r="O4150" s="47" t="s">
        <v>410</v>
      </c>
      <c r="P4150" s="47" t="s">
        <v>46</v>
      </c>
      <c r="Q4150" s="14">
        <v>0.01</v>
      </c>
      <c r="R4150" s="143" t="s">
        <v>1781</v>
      </c>
      <c r="S4150" s="47"/>
      <c r="T4150" s="6">
        <v>7461.8799999999974</v>
      </c>
      <c r="U4150" s="6">
        <v>40000</v>
      </c>
      <c r="V4150" s="6">
        <v>37225.5</v>
      </c>
      <c r="W4150" s="6">
        <f t="shared" si="631"/>
        <v>10236.379999999997</v>
      </c>
      <c r="X4150" s="6">
        <f t="shared" si="632"/>
        <v>36856.930693069306</v>
      </c>
      <c r="Y4150" s="13">
        <f t="shared" si="635"/>
        <v>0</v>
      </c>
      <c r="Z4150" s="14">
        <v>0</v>
      </c>
      <c r="AA4150" s="6">
        <v>0</v>
      </c>
      <c r="AB4150" s="4">
        <f t="shared" si="636"/>
        <v>36856.930693069306</v>
      </c>
      <c r="AC4150" s="4">
        <f t="shared" si="638"/>
        <v>368.56930693069444</v>
      </c>
      <c r="AD4150" s="6">
        <f t="shared" si="633"/>
        <v>37225.5</v>
      </c>
      <c r="AE4150" s="2">
        <f>VLOOKUP(I4150,[1]媒体政策预估表!A:N,MATCH(O4150,[1]媒体政策预估表!$A$2:$M$2,0),0)</f>
        <v>7.0000000000000007E-2</v>
      </c>
      <c r="AF4150" s="6">
        <f t="shared" si="639"/>
        <v>2605.7850000000003</v>
      </c>
      <c r="AG4150" s="14">
        <v>0</v>
      </c>
      <c r="AH4150" s="65">
        <f t="shared" si="634"/>
        <v>37225.5</v>
      </c>
      <c r="AI4150" s="47"/>
      <c r="AJ4150" s="126" t="e">
        <v>#N/A</v>
      </c>
      <c r="AK4150" s="80">
        <f t="shared" si="637"/>
        <v>0</v>
      </c>
      <c r="AM4150" s="85"/>
    </row>
    <row r="4151" spans="1:39" hidden="1" x14ac:dyDescent="0.3">
      <c r="A4151" s="89" t="s">
        <v>3394</v>
      </c>
      <c r="B4151" s="86" t="s">
        <v>35</v>
      </c>
      <c r="C4151" s="86" t="s">
        <v>164</v>
      </c>
      <c r="D4151" s="86" t="s">
        <v>174</v>
      </c>
      <c r="E4151" s="86" t="s">
        <v>1777</v>
      </c>
      <c r="F4151" s="86" t="s">
        <v>1777</v>
      </c>
      <c r="G4151" s="86" t="s">
        <v>1777</v>
      </c>
      <c r="H4151" s="144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1777</v>
      </c>
      <c r="N4151" s="86"/>
      <c r="O4151" s="47" t="s">
        <v>410</v>
      </c>
      <c r="P4151" s="47" t="s">
        <v>46</v>
      </c>
      <c r="Q4151" s="14">
        <v>0.01</v>
      </c>
      <c r="R4151" s="143" t="s">
        <v>1782</v>
      </c>
      <c r="S4151" s="47"/>
      <c r="T4151" s="6">
        <v>13779.60000000002</v>
      </c>
      <c r="U4151" s="6">
        <v>155000</v>
      </c>
      <c r="V4151" s="6">
        <v>148681</v>
      </c>
      <c r="W4151" s="6">
        <f t="shared" si="631"/>
        <v>20098.600000000035</v>
      </c>
      <c r="X4151" s="6">
        <f t="shared" si="632"/>
        <v>147208.91089108909</v>
      </c>
      <c r="Y4151" s="13">
        <f t="shared" si="635"/>
        <v>0</v>
      </c>
      <c r="Z4151" s="14">
        <v>0</v>
      </c>
      <c r="AA4151" s="6">
        <v>0</v>
      </c>
      <c r="AB4151" s="4">
        <f t="shared" si="636"/>
        <v>147208.91089108909</v>
      </c>
      <c r="AC4151" s="4">
        <f t="shared" si="638"/>
        <v>1472.0891089109064</v>
      </c>
      <c r="AD4151" s="6">
        <f t="shared" si="633"/>
        <v>148681</v>
      </c>
      <c r="AE4151" s="2">
        <f>VLOOKUP(I4151,[1]媒体政策预估表!A:N,MATCH(O4151,[1]媒体政策预估表!$A$2:$M$2,0),0)</f>
        <v>7.0000000000000007E-2</v>
      </c>
      <c r="AF4151" s="6">
        <f t="shared" si="639"/>
        <v>10407.670000000002</v>
      </c>
      <c r="AG4151" s="14">
        <v>0</v>
      </c>
      <c r="AH4151" s="65">
        <f t="shared" si="634"/>
        <v>148681</v>
      </c>
      <c r="AI4151" s="47"/>
      <c r="AJ4151" s="126" t="e">
        <v>#N/A</v>
      </c>
      <c r="AK4151" s="80">
        <f t="shared" si="637"/>
        <v>0</v>
      </c>
      <c r="AM4151" s="85"/>
    </row>
    <row r="4152" spans="1:39" hidden="1" x14ac:dyDescent="0.3">
      <c r="A4152" s="89" t="s">
        <v>3394</v>
      </c>
      <c r="B4152" s="86" t="s">
        <v>35</v>
      </c>
      <c r="C4152" s="86" t="s">
        <v>164</v>
      </c>
      <c r="D4152" s="86" t="s">
        <v>174</v>
      </c>
      <c r="E4152" s="86" t="s">
        <v>1999</v>
      </c>
      <c r="F4152" s="86" t="s">
        <v>1999</v>
      </c>
      <c r="G4152" s="86" t="s">
        <v>1999</v>
      </c>
      <c r="H4152" s="144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1999</v>
      </c>
      <c r="N4152" s="86"/>
      <c r="O4152" s="47" t="s">
        <v>410</v>
      </c>
      <c r="P4152" s="47" t="s">
        <v>41</v>
      </c>
      <c r="Q4152" s="14">
        <v>0</v>
      </c>
      <c r="R4152" s="143" t="s">
        <v>2000</v>
      </c>
      <c r="S4152" s="47"/>
      <c r="T4152" s="6">
        <v>0</v>
      </c>
      <c r="U4152" s="6">
        <v>20000</v>
      </c>
      <c r="V4152" s="6">
        <v>11986.81</v>
      </c>
      <c r="W4152" s="6">
        <f t="shared" si="631"/>
        <v>8013.1900000000005</v>
      </c>
      <c r="X4152" s="6">
        <f t="shared" si="632"/>
        <v>11986.81</v>
      </c>
      <c r="Y4152" s="13">
        <f t="shared" si="635"/>
        <v>0</v>
      </c>
      <c r="Z4152" s="14">
        <v>0</v>
      </c>
      <c r="AA4152" s="6">
        <v>0</v>
      </c>
      <c r="AB4152" s="4">
        <f t="shared" si="636"/>
        <v>11986.81</v>
      </c>
      <c r="AC4152" s="4">
        <f t="shared" si="638"/>
        <v>0</v>
      </c>
      <c r="AD4152" s="6">
        <f t="shared" si="633"/>
        <v>11986.81</v>
      </c>
      <c r="AE4152" s="2">
        <f>VLOOKUP(I4152,[1]媒体政策预估表!A:N,MATCH(O4152,[1]媒体政策预估表!$A$2:$M$2,0),0)</f>
        <v>7.0000000000000007E-2</v>
      </c>
      <c r="AF4152" s="6">
        <f t="shared" si="639"/>
        <v>839.07670000000007</v>
      </c>
      <c r="AG4152" s="14">
        <v>0</v>
      </c>
      <c r="AH4152" s="65">
        <f t="shared" si="634"/>
        <v>11986.81</v>
      </c>
      <c r="AI4152" s="47"/>
      <c r="AJ4152" s="126" t="e">
        <v>#N/A</v>
      </c>
      <c r="AK4152" s="80">
        <f t="shared" si="637"/>
        <v>0</v>
      </c>
      <c r="AM4152" s="85"/>
    </row>
    <row r="4153" spans="1:39" hidden="1" x14ac:dyDescent="0.3">
      <c r="A4153" s="89" t="s">
        <v>3395</v>
      </c>
      <c r="B4153" s="86" t="s">
        <v>35</v>
      </c>
      <c r="C4153" s="86" t="s">
        <v>164</v>
      </c>
      <c r="D4153" s="86" t="s">
        <v>174</v>
      </c>
      <c r="E4153" s="86" t="s">
        <v>1785</v>
      </c>
      <c r="F4153" s="86" t="s">
        <v>1785</v>
      </c>
      <c r="G4153" s="86" t="s">
        <v>1785</v>
      </c>
      <c r="H4153" s="144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3569</v>
      </c>
      <c r="N4153" s="86"/>
      <c r="O4153" s="47" t="s">
        <v>410</v>
      </c>
      <c r="P4153" s="47" t="s">
        <v>46</v>
      </c>
      <c r="Q4153" s="14">
        <v>0.02</v>
      </c>
      <c r="R4153" s="143" t="s">
        <v>3570</v>
      </c>
      <c r="S4153" s="47"/>
      <c r="T4153" s="6">
        <v>0</v>
      </c>
      <c r="U4153" s="6">
        <v>420000</v>
      </c>
      <c r="V4153" s="6">
        <v>283141.59999999998</v>
      </c>
      <c r="W4153" s="6">
        <f t="shared" si="631"/>
        <v>136858.40000000002</v>
      </c>
      <c r="X4153" s="6">
        <f t="shared" si="632"/>
        <v>277589.80392156861</v>
      </c>
      <c r="Y4153" s="13">
        <f t="shared" si="635"/>
        <v>0</v>
      </c>
      <c r="Z4153" s="14">
        <v>0</v>
      </c>
      <c r="AA4153" s="6">
        <v>0</v>
      </c>
      <c r="AB4153" s="4">
        <f t="shared" si="636"/>
        <v>277589.80392156861</v>
      </c>
      <c r="AC4153" s="4">
        <f t="shared" si="638"/>
        <v>5551.7960784313618</v>
      </c>
      <c r="AD4153" s="6">
        <f t="shared" si="633"/>
        <v>283141.59999999998</v>
      </c>
      <c r="AE4153" s="2">
        <f>VLOOKUP(I4153,[1]媒体政策预估表!A:N,MATCH(O4153,[1]媒体政策预估表!$A$2:$M$2,0),0)</f>
        <v>7.0000000000000007E-2</v>
      </c>
      <c r="AF4153" s="6">
        <f t="shared" si="639"/>
        <v>19819.912</v>
      </c>
      <c r="AG4153" s="14">
        <v>0</v>
      </c>
      <c r="AH4153" s="65">
        <f t="shared" si="634"/>
        <v>283141.59999999998</v>
      </c>
      <c r="AI4153" s="47"/>
      <c r="AJ4153" s="126" t="e">
        <v>#N/A</v>
      </c>
      <c r="AK4153" s="80">
        <f t="shared" si="637"/>
        <v>0</v>
      </c>
      <c r="AM4153" s="85"/>
    </row>
    <row r="4154" spans="1:39" hidden="1" x14ac:dyDescent="0.3">
      <c r="A4154" s="89" t="s">
        <v>3394</v>
      </c>
      <c r="B4154" s="86" t="s">
        <v>35</v>
      </c>
      <c r="C4154" s="86" t="s">
        <v>164</v>
      </c>
      <c r="D4154" s="86" t="s">
        <v>174</v>
      </c>
      <c r="E4154" s="86" t="s">
        <v>1785</v>
      </c>
      <c r="F4154" s="86" t="s">
        <v>1785</v>
      </c>
      <c r="G4154" s="86" t="s">
        <v>1785</v>
      </c>
      <c r="H4154" s="144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1783</v>
      </c>
      <c r="N4154" s="86"/>
      <c r="O4154" s="47" t="s">
        <v>410</v>
      </c>
      <c r="P4154" s="47" t="s">
        <v>46</v>
      </c>
      <c r="Q4154" s="14">
        <v>0.02</v>
      </c>
      <c r="R4154" s="143" t="s">
        <v>1784</v>
      </c>
      <c r="S4154" s="47"/>
      <c r="T4154" s="6">
        <v>149063.34000000003</v>
      </c>
      <c r="U4154" s="6">
        <v>500000</v>
      </c>
      <c r="V4154" s="6">
        <v>564256.55000000005</v>
      </c>
      <c r="W4154" s="6">
        <f t="shared" si="631"/>
        <v>84806.790000000037</v>
      </c>
      <c r="X4154" s="6">
        <f t="shared" si="632"/>
        <v>553192.69607843144</v>
      </c>
      <c r="Y4154" s="13">
        <f t="shared" si="635"/>
        <v>0</v>
      </c>
      <c r="Z4154" s="14">
        <v>0</v>
      </c>
      <c r="AA4154" s="6">
        <v>0</v>
      </c>
      <c r="AB4154" s="4">
        <f t="shared" si="636"/>
        <v>553192.69607843144</v>
      </c>
      <c r="AC4154" s="4">
        <f t="shared" si="638"/>
        <v>11063.853921568603</v>
      </c>
      <c r="AD4154" s="6">
        <f t="shared" si="633"/>
        <v>564256.55000000005</v>
      </c>
      <c r="AE4154" s="2">
        <f>VLOOKUP(I4154,[1]媒体政策预估表!A:N,MATCH(O4154,[1]媒体政策预估表!$A$2:$M$2,0),0)</f>
        <v>7.0000000000000007E-2</v>
      </c>
      <c r="AF4154" s="6">
        <f t="shared" si="639"/>
        <v>39497.958500000008</v>
      </c>
      <c r="AG4154" s="14">
        <v>0</v>
      </c>
      <c r="AH4154" s="65">
        <f t="shared" si="634"/>
        <v>564256.55000000005</v>
      </c>
      <c r="AI4154" s="47"/>
      <c r="AJ4154" s="126" t="e">
        <v>#N/A</v>
      </c>
      <c r="AK4154" s="80">
        <f t="shared" si="637"/>
        <v>0</v>
      </c>
      <c r="AM4154" s="85"/>
    </row>
    <row r="4155" spans="1:39" hidden="1" x14ac:dyDescent="0.3">
      <c r="A4155" s="89" t="s">
        <v>3394</v>
      </c>
      <c r="B4155" s="86" t="s">
        <v>35</v>
      </c>
      <c r="C4155" s="86" t="s">
        <v>164</v>
      </c>
      <c r="D4155" s="86" t="s">
        <v>174</v>
      </c>
      <c r="E4155" s="86" t="s">
        <v>1786</v>
      </c>
      <c r="F4155" s="86" t="s">
        <v>1786</v>
      </c>
      <c r="G4155" s="86" t="s">
        <v>1786</v>
      </c>
      <c r="H4155" s="144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1786</v>
      </c>
      <c r="N4155" s="86"/>
      <c r="O4155" s="47" t="s">
        <v>410</v>
      </c>
      <c r="P4155" s="47" t="s">
        <v>46</v>
      </c>
      <c r="Q4155" s="14">
        <v>0.02</v>
      </c>
      <c r="R4155" s="143" t="s">
        <v>1787</v>
      </c>
      <c r="S4155" s="47"/>
      <c r="T4155" s="6">
        <v>14739.800000000001</v>
      </c>
      <c r="U4155" s="6">
        <v>15000</v>
      </c>
      <c r="V4155" s="6">
        <v>18586.099999999999</v>
      </c>
      <c r="W4155" s="6">
        <f t="shared" ref="W4155:W4218" si="640">T4155+U4155-V4155</f>
        <v>11153.700000000004</v>
      </c>
      <c r="X4155" s="6">
        <f t="shared" ref="X4155:X4218" si="641">IF(P4155="折扣",V4155*Q4155,IF(P4155="返现",V4155,V4155/(1+Q4155)))</f>
        <v>18221.666666666664</v>
      </c>
      <c r="Y4155" s="13">
        <f t="shared" si="635"/>
        <v>0</v>
      </c>
      <c r="Z4155" s="14">
        <v>0</v>
      </c>
      <c r="AA4155" s="6">
        <v>0</v>
      </c>
      <c r="AB4155" s="4">
        <f t="shared" si="636"/>
        <v>18221.666666666664</v>
      </c>
      <c r="AC4155" s="4">
        <f t="shared" si="638"/>
        <v>364.4333333333343</v>
      </c>
      <c r="AD4155" s="6">
        <f t="shared" ref="AD4155:AD4218" si="642">V4155</f>
        <v>18586.099999999999</v>
      </c>
      <c r="AE4155" s="2">
        <f>VLOOKUP(I4155,[1]媒体政策预估表!A:N,MATCH(O4155,[1]媒体政策预估表!$A$2:$M$2,0),0)</f>
        <v>7.0000000000000007E-2</v>
      </c>
      <c r="AF4155" s="6">
        <f t="shared" si="639"/>
        <v>1301.027</v>
      </c>
      <c r="AG4155" s="14">
        <v>0</v>
      </c>
      <c r="AH4155" s="65">
        <f t="shared" ref="AH4155:AH4218" si="643">V4155</f>
        <v>18586.099999999999</v>
      </c>
      <c r="AI4155" s="47"/>
      <c r="AJ4155" s="126" t="e">
        <v>#N/A</v>
      </c>
      <c r="AK4155" s="80">
        <f t="shared" si="637"/>
        <v>0</v>
      </c>
      <c r="AM4155" s="85"/>
    </row>
    <row r="4156" spans="1:39" hidden="1" x14ac:dyDescent="0.3">
      <c r="A4156" s="89" t="s">
        <v>3394</v>
      </c>
      <c r="B4156" s="86" t="s">
        <v>35</v>
      </c>
      <c r="C4156" s="86" t="s">
        <v>164</v>
      </c>
      <c r="D4156" s="86" t="s">
        <v>174</v>
      </c>
      <c r="E4156" s="86" t="s">
        <v>685</v>
      </c>
      <c r="F4156" s="86" t="s">
        <v>686</v>
      </c>
      <c r="G4156" s="86" t="s">
        <v>685</v>
      </c>
      <c r="H4156" s="144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685</v>
      </c>
      <c r="N4156" s="86"/>
      <c r="O4156" s="47" t="s">
        <v>410</v>
      </c>
      <c r="P4156" s="47" t="s">
        <v>41</v>
      </c>
      <c r="Q4156" s="14">
        <v>0</v>
      </c>
      <c r="R4156" s="143" t="s">
        <v>1788</v>
      </c>
      <c r="S4156" s="47"/>
      <c r="T4156" s="6">
        <v>569</v>
      </c>
      <c r="U4156" s="6">
        <v>10000</v>
      </c>
      <c r="V4156" s="6">
        <v>8869.5</v>
      </c>
      <c r="W4156" s="6">
        <f t="shared" si="640"/>
        <v>1699.5</v>
      </c>
      <c r="X4156" s="6">
        <f t="shared" si="641"/>
        <v>8869.5</v>
      </c>
      <c r="Y4156" s="13">
        <f t="shared" si="635"/>
        <v>0</v>
      </c>
      <c r="Z4156" s="14">
        <v>0</v>
      </c>
      <c r="AA4156" s="6">
        <v>0</v>
      </c>
      <c r="AB4156" s="4">
        <f t="shared" si="636"/>
        <v>8869.5</v>
      </c>
      <c r="AC4156" s="4">
        <f t="shared" si="638"/>
        <v>0</v>
      </c>
      <c r="AD4156" s="6">
        <f t="shared" si="642"/>
        <v>8869.5</v>
      </c>
      <c r="AE4156" s="2">
        <f>VLOOKUP(I4156,[1]媒体政策预估表!A:N,MATCH(O4156,[1]媒体政策预估表!$A$2:$M$2,0),0)</f>
        <v>7.0000000000000007E-2</v>
      </c>
      <c r="AF4156" s="6">
        <f t="shared" si="639"/>
        <v>620.86500000000001</v>
      </c>
      <c r="AG4156" s="14">
        <v>0</v>
      </c>
      <c r="AH4156" s="65">
        <f t="shared" si="643"/>
        <v>8869.5</v>
      </c>
      <c r="AI4156" s="47"/>
      <c r="AJ4156" s="126" t="e">
        <v>#N/A</v>
      </c>
      <c r="AK4156" s="80">
        <f t="shared" si="637"/>
        <v>0</v>
      </c>
      <c r="AM4156" s="85"/>
    </row>
    <row r="4157" spans="1:39" hidden="1" x14ac:dyDescent="0.3">
      <c r="A4157" s="89" t="s">
        <v>3394</v>
      </c>
      <c r="B4157" s="86" t="s">
        <v>35</v>
      </c>
      <c r="C4157" s="86" t="s">
        <v>164</v>
      </c>
      <c r="D4157" s="86" t="s">
        <v>174</v>
      </c>
      <c r="E4157" s="86" t="s">
        <v>1789</v>
      </c>
      <c r="F4157" s="86" t="s">
        <v>1789</v>
      </c>
      <c r="G4157" s="86" t="s">
        <v>1789</v>
      </c>
      <c r="H4157" s="144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1789</v>
      </c>
      <c r="N4157" s="86"/>
      <c r="O4157" s="47" t="s">
        <v>410</v>
      </c>
      <c r="P4157" s="47" t="s">
        <v>41</v>
      </c>
      <c r="Q4157" s="14">
        <v>0</v>
      </c>
      <c r="R4157" s="143" t="s">
        <v>1790</v>
      </c>
      <c r="S4157" s="47"/>
      <c r="T4157" s="6">
        <v>242.70000000000073</v>
      </c>
      <c r="U4157" s="6">
        <v>100000</v>
      </c>
      <c r="V4157" s="6">
        <v>100241.9</v>
      </c>
      <c r="W4157" s="6">
        <f t="shared" si="640"/>
        <v>0.80000000000291038</v>
      </c>
      <c r="X4157" s="6">
        <f t="shared" si="641"/>
        <v>100241.9</v>
      </c>
      <c r="Y4157" s="13">
        <f t="shared" si="635"/>
        <v>0</v>
      </c>
      <c r="Z4157" s="14">
        <v>0</v>
      </c>
      <c r="AA4157" s="6">
        <v>0</v>
      </c>
      <c r="AB4157" s="4">
        <f t="shared" si="636"/>
        <v>100241.9</v>
      </c>
      <c r="AC4157" s="4">
        <f t="shared" si="638"/>
        <v>0</v>
      </c>
      <c r="AD4157" s="6">
        <f t="shared" si="642"/>
        <v>100241.9</v>
      </c>
      <c r="AE4157" s="2">
        <f>VLOOKUP(I4157,[1]媒体政策预估表!A:N,MATCH(O4157,[1]媒体政策预估表!$A$2:$M$2,0),0)</f>
        <v>7.0000000000000007E-2</v>
      </c>
      <c r="AF4157" s="6">
        <f t="shared" si="639"/>
        <v>7016.933</v>
      </c>
      <c r="AG4157" s="14">
        <v>0</v>
      </c>
      <c r="AH4157" s="65">
        <f t="shared" si="643"/>
        <v>100241.9</v>
      </c>
      <c r="AI4157" s="47"/>
      <c r="AJ4157" s="126" t="e">
        <v>#N/A</v>
      </c>
      <c r="AK4157" s="80">
        <f t="shared" si="637"/>
        <v>0</v>
      </c>
      <c r="AM4157" s="85"/>
    </row>
    <row r="4158" spans="1:39" hidden="1" x14ac:dyDescent="0.3">
      <c r="A4158" s="89" t="s">
        <v>3394</v>
      </c>
      <c r="B4158" s="86" t="s">
        <v>35</v>
      </c>
      <c r="C4158" s="86" t="s">
        <v>164</v>
      </c>
      <c r="D4158" s="86" t="s">
        <v>174</v>
      </c>
      <c r="E4158" s="86" t="s">
        <v>1800</v>
      </c>
      <c r="F4158" s="86" t="s">
        <v>1800</v>
      </c>
      <c r="G4158" s="86" t="s">
        <v>1800</v>
      </c>
      <c r="H4158" s="144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1800</v>
      </c>
      <c r="N4158" s="86"/>
      <c r="O4158" s="47" t="s">
        <v>410</v>
      </c>
      <c r="P4158" s="47" t="s">
        <v>46</v>
      </c>
      <c r="Q4158" s="14">
        <v>0.01</v>
      </c>
      <c r="R4158" s="143" t="s">
        <v>1801</v>
      </c>
      <c r="S4158" s="47"/>
      <c r="T4158" s="6">
        <v>35027.900000000023</v>
      </c>
      <c r="U4158" s="6">
        <v>150000</v>
      </c>
      <c r="V4158" s="6">
        <v>129598.5</v>
      </c>
      <c r="W4158" s="6">
        <f t="shared" si="640"/>
        <v>55429.400000000023</v>
      </c>
      <c r="X4158" s="6">
        <f t="shared" si="641"/>
        <v>128315.34653465346</v>
      </c>
      <c r="Y4158" s="13">
        <f t="shared" si="635"/>
        <v>0</v>
      </c>
      <c r="Z4158" s="14">
        <v>0</v>
      </c>
      <c r="AA4158" s="6">
        <v>0</v>
      </c>
      <c r="AB4158" s="4">
        <f t="shared" si="636"/>
        <v>128315.34653465346</v>
      </c>
      <c r="AC4158" s="4">
        <f t="shared" si="638"/>
        <v>1283.1534653465351</v>
      </c>
      <c r="AD4158" s="6">
        <f t="shared" si="642"/>
        <v>129598.5</v>
      </c>
      <c r="AE4158" s="2">
        <f>VLOOKUP(I4158,[1]媒体政策预估表!A:N,MATCH(O4158,[1]媒体政策预估表!$A$2:$M$2,0),0)</f>
        <v>7.0000000000000007E-2</v>
      </c>
      <c r="AF4158" s="6">
        <f t="shared" si="639"/>
        <v>9071.8950000000004</v>
      </c>
      <c r="AG4158" s="14">
        <v>0</v>
      </c>
      <c r="AH4158" s="65">
        <f t="shared" si="643"/>
        <v>129598.5</v>
      </c>
      <c r="AI4158" s="47"/>
      <c r="AJ4158" s="126" t="e">
        <v>#N/A</v>
      </c>
      <c r="AK4158" s="80">
        <f t="shared" si="637"/>
        <v>0</v>
      </c>
      <c r="AM4158" s="85"/>
    </row>
    <row r="4159" spans="1:39" hidden="1" x14ac:dyDescent="0.3">
      <c r="A4159" s="89" t="s">
        <v>3394</v>
      </c>
      <c r="B4159" s="86" t="s">
        <v>35</v>
      </c>
      <c r="C4159" s="86" t="s">
        <v>164</v>
      </c>
      <c r="D4159" s="86" t="s">
        <v>174</v>
      </c>
      <c r="E4159" s="86" t="s">
        <v>1804</v>
      </c>
      <c r="F4159" s="86" t="s">
        <v>1804</v>
      </c>
      <c r="G4159" s="86" t="s">
        <v>1804</v>
      </c>
      <c r="H4159" s="144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1804</v>
      </c>
      <c r="N4159" s="86"/>
      <c r="O4159" s="47" t="s">
        <v>410</v>
      </c>
      <c r="P4159" s="47" t="s">
        <v>41</v>
      </c>
      <c r="Q4159" s="14">
        <v>0</v>
      </c>
      <c r="R4159" s="143" t="s">
        <v>1805</v>
      </c>
      <c r="S4159" s="47"/>
      <c r="T4159" s="6">
        <v>1804.5</v>
      </c>
      <c r="U4159" s="6">
        <v>20000</v>
      </c>
      <c r="V4159" s="6">
        <v>7195.5</v>
      </c>
      <c r="W4159" s="6">
        <f t="shared" si="640"/>
        <v>14609</v>
      </c>
      <c r="X4159" s="6">
        <f t="shared" si="641"/>
        <v>7195.5</v>
      </c>
      <c r="Y4159" s="13">
        <f t="shared" si="635"/>
        <v>0</v>
      </c>
      <c r="Z4159" s="14">
        <v>0</v>
      </c>
      <c r="AA4159" s="6">
        <v>0</v>
      </c>
      <c r="AB4159" s="4">
        <f t="shared" si="636"/>
        <v>7195.5</v>
      </c>
      <c r="AC4159" s="4">
        <f t="shared" si="638"/>
        <v>0</v>
      </c>
      <c r="AD4159" s="6">
        <f t="shared" si="642"/>
        <v>7195.5</v>
      </c>
      <c r="AE4159" s="2">
        <f>VLOOKUP(I4159,[1]媒体政策预估表!A:N,MATCH(O4159,[1]媒体政策预估表!$A$2:$M$2,0),0)</f>
        <v>7.0000000000000007E-2</v>
      </c>
      <c r="AF4159" s="6">
        <f t="shared" si="639"/>
        <v>503.68500000000006</v>
      </c>
      <c r="AG4159" s="14">
        <v>0</v>
      </c>
      <c r="AH4159" s="65">
        <f t="shared" si="643"/>
        <v>7195.5</v>
      </c>
      <c r="AI4159" s="47"/>
      <c r="AJ4159" s="126" t="e">
        <v>#N/A</v>
      </c>
      <c r="AK4159" s="80">
        <f t="shared" si="637"/>
        <v>0</v>
      </c>
      <c r="AM4159" s="85"/>
    </row>
    <row r="4160" spans="1:39" hidden="1" x14ac:dyDescent="0.3">
      <c r="A4160" s="89" t="s">
        <v>3395</v>
      </c>
      <c r="B4160" s="86" t="s">
        <v>35</v>
      </c>
      <c r="C4160" s="86" t="s">
        <v>164</v>
      </c>
      <c r="D4160" s="86" t="s">
        <v>174</v>
      </c>
      <c r="E4160" s="86" t="s">
        <v>178</v>
      </c>
      <c r="F4160" s="86" t="s">
        <v>178</v>
      </c>
      <c r="G4160" s="86" t="s">
        <v>178</v>
      </c>
      <c r="H4160" s="144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178</v>
      </c>
      <c r="N4160" s="86"/>
      <c r="O4160" s="47" t="s">
        <v>410</v>
      </c>
      <c r="P4160" s="47" t="s">
        <v>41</v>
      </c>
      <c r="Q4160" s="14">
        <v>0</v>
      </c>
      <c r="R4160" s="143" t="s">
        <v>1806</v>
      </c>
      <c r="S4160" s="47"/>
      <c r="T4160" s="6">
        <v>89417.100000000093</v>
      </c>
      <c r="U4160" s="6">
        <v>2200000</v>
      </c>
      <c r="V4160" s="6">
        <v>1976411.8</v>
      </c>
      <c r="W4160" s="6">
        <f t="shared" si="640"/>
        <v>313005.30000000005</v>
      </c>
      <c r="X4160" s="6">
        <f t="shared" si="641"/>
        <v>1976411.8</v>
      </c>
      <c r="Y4160" s="13">
        <f t="shared" si="635"/>
        <v>0</v>
      </c>
      <c r="Z4160" s="14">
        <v>0</v>
      </c>
      <c r="AA4160" s="6">
        <v>0</v>
      </c>
      <c r="AB4160" s="4">
        <f t="shared" si="636"/>
        <v>1976411.8</v>
      </c>
      <c r="AC4160" s="4">
        <f t="shared" si="638"/>
        <v>0</v>
      </c>
      <c r="AD4160" s="6">
        <f t="shared" si="642"/>
        <v>1976411.8</v>
      </c>
      <c r="AE4160" s="2">
        <f>VLOOKUP(I4160,[1]媒体政策预估表!A:N,MATCH(O4160,[1]媒体政策预估表!$A$2:$M$2,0),0)</f>
        <v>7.0000000000000007E-2</v>
      </c>
      <c r="AF4160" s="6">
        <f t="shared" si="639"/>
        <v>138348.82600000003</v>
      </c>
      <c r="AG4160" s="14">
        <v>0</v>
      </c>
      <c r="AH4160" s="65">
        <f t="shared" si="643"/>
        <v>1976411.8</v>
      </c>
      <c r="AI4160" s="47"/>
      <c r="AJ4160" s="126" t="e">
        <v>#N/A</v>
      </c>
      <c r="AK4160" s="80">
        <f t="shared" si="637"/>
        <v>0</v>
      </c>
      <c r="AM4160" s="85"/>
    </row>
    <row r="4161" spans="1:39" hidden="1" x14ac:dyDescent="0.3">
      <c r="A4161" s="89" t="s">
        <v>3395</v>
      </c>
      <c r="B4161" s="86" t="s">
        <v>35</v>
      </c>
      <c r="C4161" s="86" t="s">
        <v>164</v>
      </c>
      <c r="D4161" s="86" t="s">
        <v>174</v>
      </c>
      <c r="E4161" s="86" t="s">
        <v>2007</v>
      </c>
      <c r="F4161" s="86" t="s">
        <v>2007</v>
      </c>
      <c r="G4161" s="86" t="s">
        <v>2007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2007</v>
      </c>
      <c r="N4161" s="86"/>
      <c r="O4161" s="47" t="s">
        <v>45</v>
      </c>
      <c r="P4161" s="47" t="s">
        <v>41</v>
      </c>
      <c r="Q4161" s="14">
        <v>0</v>
      </c>
      <c r="R4161" s="143" t="s">
        <v>3571</v>
      </c>
      <c r="S4161" s="47"/>
      <c r="T4161" s="6">
        <v>0</v>
      </c>
      <c r="U4161" s="6">
        <v>10000</v>
      </c>
      <c r="V4161" s="6">
        <v>0</v>
      </c>
      <c r="W4161" s="6">
        <f t="shared" si="640"/>
        <v>10000</v>
      </c>
      <c r="X4161" s="6">
        <f t="shared" si="641"/>
        <v>0</v>
      </c>
      <c r="Y4161" s="13">
        <f t="shared" si="635"/>
        <v>0</v>
      </c>
      <c r="Z4161" s="14">
        <v>0</v>
      </c>
      <c r="AA4161" s="6">
        <v>0</v>
      </c>
      <c r="AB4161" s="4">
        <f t="shared" si="636"/>
        <v>0</v>
      </c>
      <c r="AC4161" s="4">
        <f t="shared" si="638"/>
        <v>0</v>
      </c>
      <c r="AD4161" s="6">
        <f t="shared" si="642"/>
        <v>0</v>
      </c>
      <c r="AE4161" s="2">
        <f>VLOOKUP(I4161,[1]媒体政策预估表!A:N,MATCH(O4161,[1]媒体政策预估表!$A$2:$M$2,0),0)</f>
        <v>0.12</v>
      </c>
      <c r="AF4161" s="6">
        <f t="shared" si="639"/>
        <v>0</v>
      </c>
      <c r="AG4161" s="14">
        <v>0</v>
      </c>
      <c r="AH4161" s="65">
        <f t="shared" si="643"/>
        <v>0</v>
      </c>
      <c r="AI4161" s="47"/>
      <c r="AJ4161" s="126" t="e">
        <v>#N/A</v>
      </c>
      <c r="AK4161" s="80">
        <f t="shared" si="637"/>
        <v>0</v>
      </c>
      <c r="AM4161" s="85"/>
    </row>
    <row r="4162" spans="1:39" hidden="1" x14ac:dyDescent="0.3">
      <c r="A4162" s="89" t="s">
        <v>3394</v>
      </c>
      <c r="B4162" s="86" t="s">
        <v>35</v>
      </c>
      <c r="C4162" s="86" t="s">
        <v>164</v>
      </c>
      <c r="D4162" s="86" t="s">
        <v>174</v>
      </c>
      <c r="E4162" s="86" t="s">
        <v>2007</v>
      </c>
      <c r="F4162" s="86" t="s">
        <v>2007</v>
      </c>
      <c r="G4162" s="86" t="s">
        <v>2007</v>
      </c>
      <c r="H4162" s="144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2007</v>
      </c>
      <c r="N4162" s="86"/>
      <c r="O4162" s="47" t="s">
        <v>410</v>
      </c>
      <c r="P4162" s="47" t="s">
        <v>41</v>
      </c>
      <c r="Q4162" s="14">
        <v>0</v>
      </c>
      <c r="R4162" s="143" t="s">
        <v>2008</v>
      </c>
      <c r="S4162" s="47"/>
      <c r="T4162" s="6">
        <v>7195.4000000000015</v>
      </c>
      <c r="U4162" s="6">
        <v>100000</v>
      </c>
      <c r="V4162" s="6">
        <v>49040.6</v>
      </c>
      <c r="W4162" s="6">
        <f t="shared" si="640"/>
        <v>58154.799999999996</v>
      </c>
      <c r="X4162" s="6">
        <f t="shared" si="641"/>
        <v>49040.6</v>
      </c>
      <c r="Y4162" s="13">
        <f t="shared" si="635"/>
        <v>0</v>
      </c>
      <c r="Z4162" s="14">
        <v>0</v>
      </c>
      <c r="AA4162" s="6">
        <v>0</v>
      </c>
      <c r="AB4162" s="4">
        <f t="shared" si="636"/>
        <v>49040.6</v>
      </c>
      <c r="AC4162" s="4">
        <f t="shared" si="638"/>
        <v>0</v>
      </c>
      <c r="AD4162" s="6">
        <f t="shared" si="642"/>
        <v>49040.6</v>
      </c>
      <c r="AE4162" s="2">
        <f>VLOOKUP(I4162,[1]媒体政策预估表!A:N,MATCH(O4162,[1]媒体政策预估表!$A$2:$M$2,0),0)</f>
        <v>7.0000000000000007E-2</v>
      </c>
      <c r="AF4162" s="6">
        <f t="shared" si="639"/>
        <v>3432.8420000000001</v>
      </c>
      <c r="AG4162" s="14">
        <v>0</v>
      </c>
      <c r="AH4162" s="65">
        <f t="shared" si="643"/>
        <v>49040.6</v>
      </c>
      <c r="AI4162" s="47"/>
      <c r="AJ4162" s="126" t="e">
        <v>#N/A</v>
      </c>
      <c r="AK4162" s="80">
        <f t="shared" si="637"/>
        <v>0</v>
      </c>
      <c r="AM4162" s="85"/>
    </row>
    <row r="4163" spans="1:39" hidden="1" x14ac:dyDescent="0.3">
      <c r="A4163" s="89" t="s">
        <v>3394</v>
      </c>
      <c r="B4163" s="86" t="s">
        <v>35</v>
      </c>
      <c r="C4163" s="86" t="s">
        <v>164</v>
      </c>
      <c r="D4163" s="86" t="s">
        <v>174</v>
      </c>
      <c r="E4163" s="86" t="s">
        <v>1809</v>
      </c>
      <c r="F4163" s="86" t="s">
        <v>1809</v>
      </c>
      <c r="G4163" s="86" t="s">
        <v>1809</v>
      </c>
      <c r="H4163" s="144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1678</v>
      </c>
      <c r="N4163" s="86"/>
      <c r="O4163" s="47" t="s">
        <v>410</v>
      </c>
      <c r="P4163" s="47" t="s">
        <v>41</v>
      </c>
      <c r="Q4163" s="14">
        <v>0</v>
      </c>
      <c r="R4163" s="143" t="s">
        <v>1680</v>
      </c>
      <c r="S4163" s="47"/>
      <c r="T4163" s="6">
        <v>-25235.100000000035</v>
      </c>
      <c r="U4163" s="6">
        <v>310439.33</v>
      </c>
      <c r="V4163" s="6">
        <v>195458</v>
      </c>
      <c r="W4163" s="6">
        <f t="shared" si="640"/>
        <v>89746.229999999981</v>
      </c>
      <c r="X4163" s="6">
        <f t="shared" si="641"/>
        <v>195458</v>
      </c>
      <c r="Y4163" s="13">
        <f t="shared" ref="Y4163:Y4226" si="644">IF(X4163-AD4163&lt;=0,0,IF(P4163="返现",MAX(X4163-AC4163-AD4163,0),MAX(X4163-AD4163)))</f>
        <v>0</v>
      </c>
      <c r="Z4163" s="14">
        <v>0</v>
      </c>
      <c r="AA4163" s="6">
        <v>0</v>
      </c>
      <c r="AB4163" s="4">
        <f t="shared" ref="AB4163:AB4226" si="645">X4163+AA4163</f>
        <v>195458</v>
      </c>
      <c r="AC4163" s="4">
        <f t="shared" si="638"/>
        <v>0</v>
      </c>
      <c r="AD4163" s="6">
        <f t="shared" si="642"/>
        <v>195458</v>
      </c>
      <c r="AE4163" s="2">
        <f>VLOOKUP(I4163,[1]媒体政策预估表!A:N,MATCH(O4163,[1]媒体政策预估表!$A$2:$M$2,0),0)</f>
        <v>7.0000000000000007E-2</v>
      </c>
      <c r="AF4163" s="6">
        <f t="shared" si="639"/>
        <v>13682.060000000001</v>
      </c>
      <c r="AG4163" s="14">
        <v>0</v>
      </c>
      <c r="AH4163" s="65">
        <f t="shared" si="643"/>
        <v>195458</v>
      </c>
      <c r="AI4163" s="47"/>
      <c r="AJ4163" s="126" t="e">
        <v>#N/A</v>
      </c>
      <c r="AK4163" s="80">
        <f t="shared" ref="AK4163:AK4226" si="646">X4163+AA4163-AB4163</f>
        <v>0</v>
      </c>
      <c r="AM4163" s="85"/>
    </row>
    <row r="4164" spans="1:39" hidden="1" x14ac:dyDescent="0.3">
      <c r="A4164" s="89" t="s">
        <v>3395</v>
      </c>
      <c r="B4164" s="86" t="s">
        <v>35</v>
      </c>
      <c r="C4164" s="86" t="s">
        <v>164</v>
      </c>
      <c r="D4164" s="86" t="s">
        <v>174</v>
      </c>
      <c r="E4164" s="86" t="s">
        <v>1813</v>
      </c>
      <c r="F4164" s="86" t="s">
        <v>1813</v>
      </c>
      <c r="G4164" s="86" t="s">
        <v>1813</v>
      </c>
      <c r="H4164" s="144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1814</v>
      </c>
      <c r="N4164" s="86"/>
      <c r="O4164" s="47" t="s">
        <v>410</v>
      </c>
      <c r="P4164" s="47" t="s">
        <v>41</v>
      </c>
      <c r="Q4164" s="14">
        <v>0</v>
      </c>
      <c r="R4164" s="143" t="s">
        <v>1815</v>
      </c>
      <c r="S4164" s="47"/>
      <c r="T4164" s="6">
        <v>86786.6</v>
      </c>
      <c r="U4164" s="6">
        <v>200000</v>
      </c>
      <c r="V4164" s="6">
        <v>60763.9</v>
      </c>
      <c r="W4164" s="6">
        <f t="shared" si="640"/>
        <v>226022.69999999998</v>
      </c>
      <c r="X4164" s="6">
        <f t="shared" si="641"/>
        <v>60763.9</v>
      </c>
      <c r="Y4164" s="13">
        <f t="shared" si="644"/>
        <v>0</v>
      </c>
      <c r="Z4164" s="14">
        <v>0</v>
      </c>
      <c r="AA4164" s="6">
        <v>0</v>
      </c>
      <c r="AB4164" s="4">
        <f t="shared" si="645"/>
        <v>60763.9</v>
      </c>
      <c r="AC4164" s="4">
        <f t="shared" si="638"/>
        <v>0</v>
      </c>
      <c r="AD4164" s="6">
        <f t="shared" si="642"/>
        <v>60763.9</v>
      </c>
      <c r="AE4164" s="2">
        <f>VLOOKUP(I4164,[1]媒体政策预估表!A:N,MATCH(O4164,[1]媒体政策预估表!$A$2:$M$2,0),0)</f>
        <v>7.0000000000000007E-2</v>
      </c>
      <c r="AF4164" s="6">
        <f t="shared" si="639"/>
        <v>4253.4730000000009</v>
      </c>
      <c r="AG4164" s="14">
        <v>0</v>
      </c>
      <c r="AH4164" s="65">
        <f t="shared" si="643"/>
        <v>60763.9</v>
      </c>
      <c r="AI4164" s="47"/>
      <c r="AJ4164" s="126" t="e">
        <v>#N/A</v>
      </c>
      <c r="AK4164" s="80">
        <f t="shared" si="646"/>
        <v>0</v>
      </c>
      <c r="AM4164" s="85"/>
    </row>
    <row r="4165" spans="1:39" hidden="1" x14ac:dyDescent="0.3">
      <c r="A4165" s="89" t="s">
        <v>3394</v>
      </c>
      <c r="B4165" s="86" t="s">
        <v>35</v>
      </c>
      <c r="C4165" s="86" t="s">
        <v>164</v>
      </c>
      <c r="D4165" s="86" t="s">
        <v>174</v>
      </c>
      <c r="E4165" s="86" t="s">
        <v>180</v>
      </c>
      <c r="F4165" s="86" t="s">
        <v>180</v>
      </c>
      <c r="G4165" s="86" t="s">
        <v>180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1816</v>
      </c>
      <c r="N4165" s="86"/>
      <c r="O4165" s="47" t="s">
        <v>410</v>
      </c>
      <c r="P4165" s="47" t="s">
        <v>41</v>
      </c>
      <c r="Q4165" s="14">
        <v>0</v>
      </c>
      <c r="R4165" s="143" t="s">
        <v>1817</v>
      </c>
      <c r="S4165" s="47"/>
      <c r="T4165" s="6">
        <v>240000</v>
      </c>
      <c r="U4165" s="6">
        <v>300000</v>
      </c>
      <c r="V4165" s="6">
        <v>0</v>
      </c>
      <c r="W4165" s="6">
        <f t="shared" si="640"/>
        <v>540000</v>
      </c>
      <c r="X4165" s="6">
        <f t="shared" si="641"/>
        <v>0</v>
      </c>
      <c r="Y4165" s="13">
        <f t="shared" si="644"/>
        <v>0</v>
      </c>
      <c r="Z4165" s="14">
        <v>0</v>
      </c>
      <c r="AA4165" s="6">
        <v>0</v>
      </c>
      <c r="AB4165" s="4">
        <f t="shared" si="645"/>
        <v>0</v>
      </c>
      <c r="AC4165" s="4">
        <f t="shared" si="638"/>
        <v>0</v>
      </c>
      <c r="AD4165" s="6">
        <f t="shared" si="642"/>
        <v>0</v>
      </c>
      <c r="AE4165" s="2">
        <f>VLOOKUP(I4165,[1]媒体政策预估表!A:N,MATCH(O4165,[1]媒体政策预估表!$A$2:$M$2,0),0)</f>
        <v>7.0000000000000007E-2</v>
      </c>
      <c r="AF4165" s="6">
        <f t="shared" si="639"/>
        <v>0</v>
      </c>
      <c r="AG4165" s="14">
        <v>0</v>
      </c>
      <c r="AH4165" s="65">
        <f t="shared" si="643"/>
        <v>0</v>
      </c>
      <c r="AI4165" s="47"/>
      <c r="AJ4165" s="126" t="e">
        <v>#N/A</v>
      </c>
      <c r="AK4165" s="80">
        <f t="shared" si="646"/>
        <v>0</v>
      </c>
      <c r="AM4165" s="85"/>
    </row>
    <row r="4166" spans="1:39" hidden="1" x14ac:dyDescent="0.3">
      <c r="A4166" s="89" t="s">
        <v>3394</v>
      </c>
      <c r="B4166" s="86" t="s">
        <v>35</v>
      </c>
      <c r="C4166" s="86" t="s">
        <v>164</v>
      </c>
      <c r="D4166" s="86" t="s">
        <v>174</v>
      </c>
      <c r="E4166" s="86" t="s">
        <v>180</v>
      </c>
      <c r="F4166" s="86" t="s">
        <v>180</v>
      </c>
      <c r="G4166" s="86" t="s">
        <v>180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1818</v>
      </c>
      <c r="N4166" s="86"/>
      <c r="O4166" s="47" t="s">
        <v>410</v>
      </c>
      <c r="P4166" s="47" t="s">
        <v>41</v>
      </c>
      <c r="Q4166" s="14">
        <v>0</v>
      </c>
      <c r="R4166" s="143" t="s">
        <v>1819</v>
      </c>
      <c r="S4166" s="47"/>
      <c r="T4166" s="6">
        <v>130000</v>
      </c>
      <c r="U4166" s="6">
        <v>350000</v>
      </c>
      <c r="V4166" s="6">
        <v>0</v>
      </c>
      <c r="W4166" s="6">
        <f t="shared" si="640"/>
        <v>480000</v>
      </c>
      <c r="X4166" s="6">
        <f t="shared" si="641"/>
        <v>0</v>
      </c>
      <c r="Y4166" s="13">
        <f t="shared" si="644"/>
        <v>0</v>
      </c>
      <c r="Z4166" s="14">
        <v>0</v>
      </c>
      <c r="AA4166" s="6">
        <v>0</v>
      </c>
      <c r="AB4166" s="4">
        <f t="shared" si="645"/>
        <v>0</v>
      </c>
      <c r="AC4166" s="4">
        <f t="shared" si="638"/>
        <v>0</v>
      </c>
      <c r="AD4166" s="6">
        <f t="shared" si="642"/>
        <v>0</v>
      </c>
      <c r="AE4166" s="2">
        <f>VLOOKUP(I4166,[1]媒体政策预估表!A:N,MATCH(O4166,[1]媒体政策预估表!$A$2:$M$2,0),0)</f>
        <v>7.0000000000000007E-2</v>
      </c>
      <c r="AF4166" s="6">
        <f t="shared" si="639"/>
        <v>0</v>
      </c>
      <c r="AG4166" s="14">
        <v>0</v>
      </c>
      <c r="AH4166" s="65">
        <f t="shared" si="643"/>
        <v>0</v>
      </c>
      <c r="AI4166" s="47"/>
      <c r="AJ4166" s="126" t="e">
        <v>#N/A</v>
      </c>
      <c r="AK4166" s="80">
        <f t="shared" si="646"/>
        <v>0</v>
      </c>
      <c r="AM4166" s="85"/>
    </row>
    <row r="4167" spans="1:39" hidden="1" x14ac:dyDescent="0.3">
      <c r="A4167" s="89" t="s">
        <v>3394</v>
      </c>
      <c r="B4167" s="86" t="s">
        <v>35</v>
      </c>
      <c r="C4167" s="86" t="s">
        <v>164</v>
      </c>
      <c r="D4167" s="86" t="s">
        <v>174</v>
      </c>
      <c r="E4167" s="86" t="s">
        <v>180</v>
      </c>
      <c r="F4167" s="86" t="s">
        <v>180</v>
      </c>
      <c r="G4167" s="86" t="s">
        <v>180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1820</v>
      </c>
      <c r="N4167" s="86"/>
      <c r="O4167" s="47" t="s">
        <v>410</v>
      </c>
      <c r="P4167" s="47" t="s">
        <v>41</v>
      </c>
      <c r="Q4167" s="14">
        <v>0</v>
      </c>
      <c r="R4167" s="143" t="s">
        <v>1821</v>
      </c>
      <c r="S4167" s="47"/>
      <c r="T4167" s="6">
        <v>1050000</v>
      </c>
      <c r="U4167" s="6">
        <v>900000</v>
      </c>
      <c r="V4167" s="6">
        <v>0</v>
      </c>
      <c r="W4167" s="6">
        <f t="shared" si="640"/>
        <v>1950000</v>
      </c>
      <c r="X4167" s="6">
        <f t="shared" si="641"/>
        <v>0</v>
      </c>
      <c r="Y4167" s="13">
        <f t="shared" si="644"/>
        <v>0</v>
      </c>
      <c r="Z4167" s="14">
        <v>0</v>
      </c>
      <c r="AA4167" s="6">
        <v>0</v>
      </c>
      <c r="AB4167" s="4">
        <f t="shared" si="645"/>
        <v>0</v>
      </c>
      <c r="AC4167" s="4">
        <f t="shared" si="638"/>
        <v>0</v>
      </c>
      <c r="AD4167" s="6">
        <f t="shared" si="642"/>
        <v>0</v>
      </c>
      <c r="AE4167" s="2">
        <f>VLOOKUP(I4167,[1]媒体政策预估表!A:N,MATCH(O4167,[1]媒体政策预估表!$A$2:$M$2,0),0)</f>
        <v>7.0000000000000007E-2</v>
      </c>
      <c r="AF4167" s="6">
        <f t="shared" si="639"/>
        <v>0</v>
      </c>
      <c r="AG4167" s="14">
        <v>0</v>
      </c>
      <c r="AH4167" s="65">
        <f t="shared" si="643"/>
        <v>0</v>
      </c>
      <c r="AI4167" s="47"/>
      <c r="AJ4167" s="126" t="e">
        <v>#N/A</v>
      </c>
      <c r="AK4167" s="80">
        <f t="shared" si="646"/>
        <v>0</v>
      </c>
      <c r="AM4167" s="85"/>
    </row>
    <row r="4168" spans="1:39" hidden="1" x14ac:dyDescent="0.3">
      <c r="A4168" s="89" t="s">
        <v>3394</v>
      </c>
      <c r="B4168" s="86" t="s">
        <v>35</v>
      </c>
      <c r="C4168" s="86" t="s">
        <v>164</v>
      </c>
      <c r="D4168" s="86" t="s">
        <v>174</v>
      </c>
      <c r="E4168" s="86" t="s">
        <v>180</v>
      </c>
      <c r="F4168" s="86" t="s">
        <v>180</v>
      </c>
      <c r="G4168" s="86" t="s">
        <v>180</v>
      </c>
      <c r="H4168" s="144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180</v>
      </c>
      <c r="N4168" s="86"/>
      <c r="O4168" s="47" t="s">
        <v>410</v>
      </c>
      <c r="P4168" s="47" t="s">
        <v>41</v>
      </c>
      <c r="Q4168" s="14">
        <v>0</v>
      </c>
      <c r="R4168" s="143" t="s">
        <v>1823</v>
      </c>
      <c r="S4168" s="47"/>
      <c r="T4168" s="6">
        <v>1146170</v>
      </c>
      <c r="U4168" s="6">
        <v>1450000</v>
      </c>
      <c r="V4168" s="6">
        <v>63450.3</v>
      </c>
      <c r="W4168" s="6">
        <f t="shared" si="640"/>
        <v>2532719.7000000002</v>
      </c>
      <c r="X4168" s="6">
        <f t="shared" si="641"/>
        <v>63450.3</v>
      </c>
      <c r="Y4168" s="13">
        <f t="shared" si="644"/>
        <v>0</v>
      </c>
      <c r="Z4168" s="14">
        <v>0</v>
      </c>
      <c r="AA4168" s="6">
        <v>0</v>
      </c>
      <c r="AB4168" s="4">
        <f t="shared" si="645"/>
        <v>63450.3</v>
      </c>
      <c r="AC4168" s="4">
        <f t="shared" si="638"/>
        <v>0</v>
      </c>
      <c r="AD4168" s="6">
        <f t="shared" si="642"/>
        <v>63450.3</v>
      </c>
      <c r="AE4168" s="2">
        <f>VLOOKUP(I4168,[1]媒体政策预估表!A:N,MATCH(O4168,[1]媒体政策预估表!$A$2:$M$2,0),0)</f>
        <v>7.0000000000000007E-2</v>
      </c>
      <c r="AF4168" s="6">
        <f t="shared" si="639"/>
        <v>4441.5210000000006</v>
      </c>
      <c r="AG4168" s="14">
        <v>0</v>
      </c>
      <c r="AH4168" s="65">
        <f t="shared" si="643"/>
        <v>63450.3</v>
      </c>
      <c r="AI4168" s="47"/>
      <c r="AJ4168" s="126" t="e">
        <v>#N/A</v>
      </c>
      <c r="AK4168" s="80">
        <f t="shared" si="646"/>
        <v>0</v>
      </c>
      <c r="AM4168" s="85"/>
    </row>
    <row r="4169" spans="1:39" hidden="1" x14ac:dyDescent="0.3">
      <c r="A4169" s="89" t="s">
        <v>3394</v>
      </c>
      <c r="B4169" s="86" t="s">
        <v>35</v>
      </c>
      <c r="C4169" s="86" t="s">
        <v>164</v>
      </c>
      <c r="D4169" s="86" t="s">
        <v>174</v>
      </c>
      <c r="E4169" s="86" t="s">
        <v>180</v>
      </c>
      <c r="F4169" s="86" t="s">
        <v>180</v>
      </c>
      <c r="G4169" s="86" t="s">
        <v>180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180</v>
      </c>
      <c r="N4169" s="86"/>
      <c r="O4169" s="47" t="s">
        <v>410</v>
      </c>
      <c r="P4169" s="47" t="s">
        <v>41</v>
      </c>
      <c r="Q4169" s="14">
        <v>0</v>
      </c>
      <c r="R4169" s="143" t="s">
        <v>1824</v>
      </c>
      <c r="S4169" s="47"/>
      <c r="T4169" s="6">
        <v>1430000</v>
      </c>
      <c r="U4169" s="6">
        <v>1450000</v>
      </c>
      <c r="V4169" s="6">
        <v>0</v>
      </c>
      <c r="W4169" s="6">
        <f t="shared" si="640"/>
        <v>2880000</v>
      </c>
      <c r="X4169" s="6">
        <f t="shared" si="641"/>
        <v>0</v>
      </c>
      <c r="Y4169" s="13">
        <f t="shared" si="644"/>
        <v>0</v>
      </c>
      <c r="Z4169" s="14">
        <v>0</v>
      </c>
      <c r="AA4169" s="6">
        <v>0</v>
      </c>
      <c r="AB4169" s="4">
        <f t="shared" si="645"/>
        <v>0</v>
      </c>
      <c r="AC4169" s="4">
        <f t="shared" si="638"/>
        <v>0</v>
      </c>
      <c r="AD4169" s="6">
        <f t="shared" si="642"/>
        <v>0</v>
      </c>
      <c r="AE4169" s="2">
        <f>VLOOKUP(I4169,[1]媒体政策预估表!A:N,MATCH(O4169,[1]媒体政策预估表!$A$2:$M$2,0),0)</f>
        <v>7.0000000000000007E-2</v>
      </c>
      <c r="AF4169" s="6">
        <f t="shared" si="639"/>
        <v>0</v>
      </c>
      <c r="AG4169" s="14">
        <v>0</v>
      </c>
      <c r="AH4169" s="65">
        <f t="shared" si="643"/>
        <v>0</v>
      </c>
      <c r="AI4169" s="47"/>
      <c r="AJ4169" s="126" t="e">
        <v>#N/A</v>
      </c>
      <c r="AK4169" s="80">
        <f t="shared" si="646"/>
        <v>0</v>
      </c>
      <c r="AM4169" s="85"/>
    </row>
    <row r="4170" spans="1:39" hidden="1" x14ac:dyDescent="0.3">
      <c r="A4170" s="89" t="s">
        <v>3394</v>
      </c>
      <c r="B4170" s="86" t="s">
        <v>35</v>
      </c>
      <c r="C4170" s="86" t="s">
        <v>164</v>
      </c>
      <c r="D4170" s="86" t="s">
        <v>174</v>
      </c>
      <c r="E4170" s="86" t="s">
        <v>180</v>
      </c>
      <c r="F4170" s="86" t="s">
        <v>180</v>
      </c>
      <c r="G4170" s="86" t="s">
        <v>180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1825</v>
      </c>
      <c r="N4170" s="86"/>
      <c r="O4170" s="47" t="s">
        <v>410</v>
      </c>
      <c r="P4170" s="47" t="s">
        <v>41</v>
      </c>
      <c r="Q4170" s="14">
        <v>0</v>
      </c>
      <c r="R4170" s="143" t="s">
        <v>1826</v>
      </c>
      <c r="S4170" s="47"/>
      <c r="T4170" s="6">
        <v>350000</v>
      </c>
      <c r="U4170" s="6">
        <v>500000</v>
      </c>
      <c r="V4170" s="6">
        <v>0</v>
      </c>
      <c r="W4170" s="6">
        <f t="shared" si="640"/>
        <v>850000</v>
      </c>
      <c r="X4170" s="6">
        <f t="shared" si="641"/>
        <v>0</v>
      </c>
      <c r="Y4170" s="13">
        <f t="shared" si="644"/>
        <v>0</v>
      </c>
      <c r="Z4170" s="14">
        <v>0</v>
      </c>
      <c r="AA4170" s="6">
        <v>0</v>
      </c>
      <c r="AB4170" s="4">
        <f t="shared" si="645"/>
        <v>0</v>
      </c>
      <c r="AC4170" s="4">
        <f t="shared" si="638"/>
        <v>0</v>
      </c>
      <c r="AD4170" s="6">
        <f t="shared" si="642"/>
        <v>0</v>
      </c>
      <c r="AE4170" s="2">
        <f>VLOOKUP(I4170,[1]媒体政策预估表!A:N,MATCH(O4170,[1]媒体政策预估表!$A$2:$M$2,0),0)</f>
        <v>7.0000000000000007E-2</v>
      </c>
      <c r="AF4170" s="6">
        <f t="shared" si="639"/>
        <v>0</v>
      </c>
      <c r="AG4170" s="14">
        <v>0</v>
      </c>
      <c r="AH4170" s="65">
        <f t="shared" si="643"/>
        <v>0</v>
      </c>
      <c r="AI4170" s="47"/>
      <c r="AJ4170" s="126" t="e">
        <v>#N/A</v>
      </c>
      <c r="AK4170" s="80">
        <f t="shared" si="646"/>
        <v>0</v>
      </c>
      <c r="AM4170" s="85"/>
    </row>
    <row r="4171" spans="1:39" hidden="1" x14ac:dyDescent="0.3">
      <c r="A4171" s="89" t="s">
        <v>3397</v>
      </c>
      <c r="B4171" s="86" t="s">
        <v>35</v>
      </c>
      <c r="C4171" s="86" t="s">
        <v>59</v>
      </c>
      <c r="D4171" s="86" t="s">
        <v>60</v>
      </c>
      <c r="E4171" s="86" t="s">
        <v>1065</v>
      </c>
      <c r="F4171" s="86" t="s">
        <v>1066</v>
      </c>
      <c r="G4171" s="86" t="s">
        <v>1065</v>
      </c>
      <c r="H4171" s="144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1067</v>
      </c>
      <c r="N4171" s="86"/>
      <c r="O4171" s="47" t="s">
        <v>410</v>
      </c>
      <c r="P4171" s="47" t="s">
        <v>46</v>
      </c>
      <c r="Q4171" s="14">
        <v>0.02</v>
      </c>
      <c r="R4171" s="143" t="s">
        <v>1068</v>
      </c>
      <c r="S4171" s="47"/>
      <c r="T4171" s="6">
        <v>42713.2</v>
      </c>
      <c r="U4171" s="6"/>
      <c r="V4171" s="6">
        <v>20541.5</v>
      </c>
      <c r="W4171" s="6">
        <f t="shared" si="640"/>
        <v>22171.699999999997</v>
      </c>
      <c r="X4171" s="6">
        <f t="shared" si="641"/>
        <v>20138.725490196077</v>
      </c>
      <c r="Y4171" s="13">
        <f t="shared" si="644"/>
        <v>0</v>
      </c>
      <c r="Z4171" s="14">
        <v>0</v>
      </c>
      <c r="AA4171" s="6">
        <v>0</v>
      </c>
      <c r="AB4171" s="4">
        <v>20138.725490196077</v>
      </c>
      <c r="AC4171" s="4">
        <f t="shared" si="638"/>
        <v>402.77450980392314</v>
      </c>
      <c r="AD4171" s="6">
        <f t="shared" si="642"/>
        <v>20541.5</v>
      </c>
      <c r="AE4171" s="2">
        <f>VLOOKUP(I4171,[1]媒体政策预估表!A:N,MATCH(O4171,[1]媒体政策预估表!$A$2:$M$2,0),0)</f>
        <v>7.0000000000000007E-2</v>
      </c>
      <c r="AF4171" s="6">
        <f t="shared" si="639"/>
        <v>1437.9050000000002</v>
      </c>
      <c r="AG4171" s="14">
        <v>0</v>
      </c>
      <c r="AH4171" s="65">
        <f t="shared" si="643"/>
        <v>20541.5</v>
      </c>
      <c r="AI4171" s="47"/>
      <c r="AJ4171" s="126">
        <v>34</v>
      </c>
      <c r="AK4171" s="80">
        <f t="shared" si="646"/>
        <v>0</v>
      </c>
      <c r="AM4171" s="85"/>
    </row>
    <row r="4172" spans="1:39" hidden="1" x14ac:dyDescent="0.3">
      <c r="A4172" s="89" t="s">
        <v>3394</v>
      </c>
      <c r="B4172" s="86" t="s">
        <v>35</v>
      </c>
      <c r="C4172" s="86" t="s">
        <v>59</v>
      </c>
      <c r="D4172" s="86" t="s">
        <v>60</v>
      </c>
      <c r="E4172" s="86" t="s">
        <v>1069</v>
      </c>
      <c r="F4172" s="86" t="s">
        <v>1069</v>
      </c>
      <c r="G4172" s="86" t="s">
        <v>1069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1070</v>
      </c>
      <c r="N4172" s="86"/>
      <c r="O4172" s="47" t="s">
        <v>410</v>
      </c>
      <c r="P4172" s="47" t="s">
        <v>46</v>
      </c>
      <c r="Q4172" s="14">
        <v>0.02</v>
      </c>
      <c r="R4172" s="143" t="s">
        <v>1071</v>
      </c>
      <c r="S4172" s="47"/>
      <c r="T4172" s="6">
        <v>109509.4</v>
      </c>
      <c r="U4172" s="6"/>
      <c r="V4172" s="6">
        <v>0</v>
      </c>
      <c r="W4172" s="6">
        <f t="shared" si="640"/>
        <v>109509.4</v>
      </c>
      <c r="X4172" s="6">
        <f t="shared" si="641"/>
        <v>0</v>
      </c>
      <c r="Y4172" s="13">
        <f t="shared" si="644"/>
        <v>0</v>
      </c>
      <c r="Z4172" s="14">
        <v>0</v>
      </c>
      <c r="AA4172" s="6">
        <v>0</v>
      </c>
      <c r="AB4172" s="4">
        <f t="shared" si="645"/>
        <v>0</v>
      </c>
      <c r="AC4172" s="4">
        <f t="shared" ref="AC4172:AC4235" si="647">IF(P4172="返现",X4172*Q4172,V4172-X4172)</f>
        <v>0</v>
      </c>
      <c r="AD4172" s="6">
        <f t="shared" si="642"/>
        <v>0</v>
      </c>
      <c r="AE4172" s="2">
        <f>VLOOKUP(I4172,[1]媒体政策预估表!A:N,MATCH(O4172,[1]媒体政策预估表!$A$2:$M$2,0),0)</f>
        <v>7.0000000000000007E-2</v>
      </c>
      <c r="AF4172" s="6">
        <f t="shared" ref="AF4172:AF4235" si="648">AD4172*AE4172</f>
        <v>0</v>
      </c>
      <c r="AG4172" s="14">
        <v>0</v>
      </c>
      <c r="AH4172" s="65">
        <f t="shared" si="643"/>
        <v>0</v>
      </c>
      <c r="AI4172" s="47"/>
      <c r="AJ4172" s="126" t="e">
        <v>#N/A</v>
      </c>
      <c r="AK4172" s="80">
        <f t="shared" si="646"/>
        <v>0</v>
      </c>
      <c r="AM4172" s="85"/>
    </row>
    <row r="4173" spans="1:39" hidden="1" x14ac:dyDescent="0.3">
      <c r="A4173" s="89" t="s">
        <v>3394</v>
      </c>
      <c r="B4173" s="86" t="s">
        <v>35</v>
      </c>
      <c r="C4173" s="86" t="s">
        <v>59</v>
      </c>
      <c r="D4173" s="86" t="s">
        <v>60</v>
      </c>
      <c r="E4173" s="86" t="s">
        <v>1075</v>
      </c>
      <c r="F4173" s="86" t="s">
        <v>1076</v>
      </c>
      <c r="G4173" s="86" t="s">
        <v>1075</v>
      </c>
      <c r="H4173" s="144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1075</v>
      </c>
      <c r="N4173" s="86"/>
      <c r="O4173" s="47" t="s">
        <v>410</v>
      </c>
      <c r="P4173" s="47" t="s">
        <v>46</v>
      </c>
      <c r="Q4173" s="14">
        <v>0.02</v>
      </c>
      <c r="R4173" s="143" t="s">
        <v>1077</v>
      </c>
      <c r="S4173" s="47"/>
      <c r="T4173" s="6">
        <v>23055.1</v>
      </c>
      <c r="U4173" s="6"/>
      <c r="V4173" s="6">
        <v>22990</v>
      </c>
      <c r="W4173" s="6">
        <f t="shared" si="640"/>
        <v>65.099999999998545</v>
      </c>
      <c r="X4173" s="6">
        <f t="shared" si="641"/>
        <v>22539.215686274511</v>
      </c>
      <c r="Y4173" s="13">
        <f t="shared" si="644"/>
        <v>0</v>
      </c>
      <c r="Z4173" s="14">
        <v>0</v>
      </c>
      <c r="AA4173" s="6">
        <v>0</v>
      </c>
      <c r="AB4173" s="4">
        <f t="shared" si="645"/>
        <v>22539.215686274511</v>
      </c>
      <c r="AC4173" s="4">
        <f t="shared" si="647"/>
        <v>450.78431372548948</v>
      </c>
      <c r="AD4173" s="6">
        <f t="shared" si="642"/>
        <v>22990</v>
      </c>
      <c r="AE4173" s="2">
        <f>VLOOKUP(I4173,[1]媒体政策预估表!A:N,MATCH(O4173,[1]媒体政策预估表!$A$2:$M$2,0),0)</f>
        <v>7.0000000000000007E-2</v>
      </c>
      <c r="AF4173" s="6">
        <f t="shared" si="648"/>
        <v>1609.3000000000002</v>
      </c>
      <c r="AG4173" s="14">
        <v>0</v>
      </c>
      <c r="AH4173" s="65">
        <f t="shared" si="643"/>
        <v>22990</v>
      </c>
      <c r="AI4173" s="47"/>
      <c r="AJ4173" s="126" t="e">
        <v>#N/A</v>
      </c>
      <c r="AK4173" s="80">
        <f t="shared" si="646"/>
        <v>0</v>
      </c>
      <c r="AM4173" s="85"/>
    </row>
    <row r="4174" spans="1:39" hidden="1" x14ac:dyDescent="0.3">
      <c r="A4174" s="89" t="s">
        <v>3394</v>
      </c>
      <c r="B4174" s="86" t="s">
        <v>35</v>
      </c>
      <c r="C4174" s="86" t="s">
        <v>59</v>
      </c>
      <c r="D4174" s="86" t="s">
        <v>60</v>
      </c>
      <c r="E4174" s="86" t="s">
        <v>1080</v>
      </c>
      <c r="F4174" s="86" t="s">
        <v>1080</v>
      </c>
      <c r="G4174" s="86" t="s">
        <v>1080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1080</v>
      </c>
      <c r="N4174" s="86"/>
      <c r="O4174" s="47" t="s">
        <v>410</v>
      </c>
      <c r="P4174" s="47" t="s">
        <v>46</v>
      </c>
      <c r="Q4174" s="14">
        <v>0.02</v>
      </c>
      <c r="R4174" s="143" t="s">
        <v>1081</v>
      </c>
      <c r="S4174" s="47"/>
      <c r="T4174" s="6">
        <v>381</v>
      </c>
      <c r="U4174" s="6"/>
      <c r="V4174" s="6">
        <v>0</v>
      </c>
      <c r="W4174" s="6">
        <f t="shared" si="640"/>
        <v>381</v>
      </c>
      <c r="X4174" s="6">
        <f t="shared" si="641"/>
        <v>0</v>
      </c>
      <c r="Y4174" s="13">
        <f t="shared" si="644"/>
        <v>0</v>
      </c>
      <c r="Z4174" s="14">
        <v>0</v>
      </c>
      <c r="AA4174" s="6">
        <v>0</v>
      </c>
      <c r="AB4174" s="4">
        <f t="shared" si="645"/>
        <v>0</v>
      </c>
      <c r="AC4174" s="4">
        <f t="shared" si="647"/>
        <v>0</v>
      </c>
      <c r="AD4174" s="6">
        <f t="shared" si="642"/>
        <v>0</v>
      </c>
      <c r="AE4174" s="2">
        <f>VLOOKUP(I4174,[1]媒体政策预估表!A:N,MATCH(O4174,[1]媒体政策预估表!$A$2:$M$2,0),0)</f>
        <v>7.0000000000000007E-2</v>
      </c>
      <c r="AF4174" s="6">
        <f t="shared" si="648"/>
        <v>0</v>
      </c>
      <c r="AG4174" s="14">
        <v>0</v>
      </c>
      <c r="AH4174" s="65">
        <f t="shared" si="643"/>
        <v>0</v>
      </c>
      <c r="AI4174" s="47"/>
      <c r="AJ4174" s="126" t="e">
        <v>#N/A</v>
      </c>
      <c r="AK4174" s="80">
        <f t="shared" si="646"/>
        <v>0</v>
      </c>
      <c r="AM4174" s="85"/>
    </row>
    <row r="4175" spans="1:39" hidden="1" x14ac:dyDescent="0.3">
      <c r="A4175" s="89" t="s">
        <v>3394</v>
      </c>
      <c r="B4175" s="86" t="s">
        <v>35</v>
      </c>
      <c r="C4175" s="86" t="s">
        <v>59</v>
      </c>
      <c r="D4175" s="86" t="s">
        <v>60</v>
      </c>
      <c r="E4175" s="86" t="s">
        <v>419</v>
      </c>
      <c r="F4175" s="86" t="s">
        <v>419</v>
      </c>
      <c r="G4175" s="86" t="s">
        <v>419</v>
      </c>
      <c r="H4175" s="144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419</v>
      </c>
      <c r="N4175" s="86"/>
      <c r="O4175" s="47" t="s">
        <v>410</v>
      </c>
      <c r="P4175" s="47" t="s">
        <v>46</v>
      </c>
      <c r="Q4175" s="14">
        <v>0.02</v>
      </c>
      <c r="R4175" s="143" t="s">
        <v>1082</v>
      </c>
      <c r="S4175" s="47"/>
      <c r="T4175" s="6">
        <v>20000</v>
      </c>
      <c r="U4175" s="6"/>
      <c r="V4175" s="6">
        <v>6426.2</v>
      </c>
      <c r="W4175" s="6">
        <f t="shared" si="640"/>
        <v>13573.8</v>
      </c>
      <c r="X4175" s="6">
        <f t="shared" si="641"/>
        <v>6300.1960784313724</v>
      </c>
      <c r="Y4175" s="13">
        <f t="shared" si="644"/>
        <v>0</v>
      </c>
      <c r="Z4175" s="14">
        <v>0</v>
      </c>
      <c r="AA4175" s="6">
        <v>0</v>
      </c>
      <c r="AB4175" s="4">
        <f t="shared" si="645"/>
        <v>6300.1960784313724</v>
      </c>
      <c r="AC4175" s="4">
        <f t="shared" si="647"/>
        <v>126.00392156862745</v>
      </c>
      <c r="AD4175" s="6">
        <f t="shared" si="642"/>
        <v>6426.2</v>
      </c>
      <c r="AE4175" s="2">
        <f>VLOOKUP(I4175,[1]媒体政策预估表!A:N,MATCH(O4175,[1]媒体政策预估表!$A$2:$M$2,0),0)</f>
        <v>7.0000000000000007E-2</v>
      </c>
      <c r="AF4175" s="6">
        <f t="shared" si="648"/>
        <v>449.834</v>
      </c>
      <c r="AG4175" s="14">
        <v>0</v>
      </c>
      <c r="AH4175" s="65">
        <f t="shared" si="643"/>
        <v>6426.2</v>
      </c>
      <c r="AI4175" s="47"/>
      <c r="AJ4175" s="126" t="e">
        <v>#N/A</v>
      </c>
      <c r="AK4175" s="80">
        <f t="shared" si="646"/>
        <v>0</v>
      </c>
      <c r="AM4175" s="85"/>
    </row>
    <row r="4176" spans="1:39" hidden="1" x14ac:dyDescent="0.3">
      <c r="A4176" s="89" t="s">
        <v>3394</v>
      </c>
      <c r="B4176" s="86" t="s">
        <v>35</v>
      </c>
      <c r="C4176" s="86" t="s">
        <v>59</v>
      </c>
      <c r="D4176" s="86" t="s">
        <v>60</v>
      </c>
      <c r="E4176" s="86" t="s">
        <v>784</v>
      </c>
      <c r="F4176" s="86" t="s">
        <v>784</v>
      </c>
      <c r="G4176" s="86" t="s">
        <v>784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784</v>
      </c>
      <c r="N4176" s="86"/>
      <c r="O4176" s="47" t="s">
        <v>410</v>
      </c>
      <c r="P4176" s="47" t="s">
        <v>46</v>
      </c>
      <c r="Q4176" s="14">
        <v>0.02</v>
      </c>
      <c r="R4176" s="143" t="s">
        <v>1079</v>
      </c>
      <c r="S4176" s="47"/>
      <c r="T4176" s="6">
        <v>14216.96</v>
      </c>
      <c r="U4176" s="6"/>
      <c r="V4176" s="6">
        <v>2347.5</v>
      </c>
      <c r="W4176" s="6">
        <f t="shared" si="640"/>
        <v>11869.46</v>
      </c>
      <c r="X4176" s="6">
        <f t="shared" si="641"/>
        <v>2301.4705882352941</v>
      </c>
      <c r="Y4176" s="13">
        <f t="shared" si="644"/>
        <v>0</v>
      </c>
      <c r="Z4176" s="14">
        <v>0</v>
      </c>
      <c r="AA4176" s="6">
        <v>0</v>
      </c>
      <c r="AB4176" s="4">
        <f t="shared" si="645"/>
        <v>2301.4705882352941</v>
      </c>
      <c r="AC4176" s="4">
        <f t="shared" si="647"/>
        <v>46.029411764705856</v>
      </c>
      <c r="AD4176" s="6">
        <f t="shared" si="642"/>
        <v>2347.5</v>
      </c>
      <c r="AE4176" s="2">
        <f>VLOOKUP(I4176,[1]媒体政策预估表!A:N,MATCH(O4176,[1]媒体政策预估表!$A$2:$M$2,0),0)</f>
        <v>7.0000000000000007E-2</v>
      </c>
      <c r="AF4176" s="6">
        <f t="shared" si="648"/>
        <v>164.32500000000002</v>
      </c>
      <c r="AG4176" s="14">
        <v>0</v>
      </c>
      <c r="AH4176" s="65">
        <f t="shared" si="643"/>
        <v>2347.5</v>
      </c>
      <c r="AI4176" s="47"/>
      <c r="AJ4176" s="126" t="e">
        <v>#N/A</v>
      </c>
      <c r="AK4176" s="80">
        <f t="shared" si="646"/>
        <v>0</v>
      </c>
      <c r="AM4176" s="85"/>
    </row>
    <row r="4177" spans="1:39" hidden="1" x14ac:dyDescent="0.3">
      <c r="A4177" s="89" t="s">
        <v>3394</v>
      </c>
      <c r="B4177" s="86" t="s">
        <v>35</v>
      </c>
      <c r="C4177" s="86" t="s">
        <v>59</v>
      </c>
      <c r="D4177" s="86" t="s">
        <v>60</v>
      </c>
      <c r="E4177" s="86" t="s">
        <v>1093</v>
      </c>
      <c r="F4177" s="86" t="s">
        <v>1093</v>
      </c>
      <c r="G4177" s="86" t="s">
        <v>1093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1093</v>
      </c>
      <c r="N4177" s="86"/>
      <c r="O4177" s="47" t="s">
        <v>410</v>
      </c>
      <c r="P4177" s="47" t="s">
        <v>41</v>
      </c>
      <c r="Q4177" s="14">
        <v>0</v>
      </c>
      <c r="R4177" s="143" t="s">
        <v>1094</v>
      </c>
      <c r="S4177" s="47"/>
      <c r="T4177" s="6">
        <v>1</v>
      </c>
      <c r="U4177" s="6"/>
      <c r="V4177" s="6">
        <v>0</v>
      </c>
      <c r="W4177" s="6">
        <f t="shared" si="640"/>
        <v>1</v>
      </c>
      <c r="X4177" s="6">
        <f t="shared" si="641"/>
        <v>0</v>
      </c>
      <c r="Y4177" s="13">
        <f t="shared" si="644"/>
        <v>0</v>
      </c>
      <c r="Z4177" s="14">
        <v>0</v>
      </c>
      <c r="AA4177" s="6">
        <v>0</v>
      </c>
      <c r="AB4177" s="4">
        <f t="shared" si="645"/>
        <v>0</v>
      </c>
      <c r="AC4177" s="4">
        <f t="shared" si="647"/>
        <v>0</v>
      </c>
      <c r="AD4177" s="6">
        <f t="shared" si="642"/>
        <v>0</v>
      </c>
      <c r="AE4177" s="2">
        <f>VLOOKUP(I4177,[1]媒体政策预估表!A:N,MATCH(O4177,[1]媒体政策预估表!$A$2:$M$2,0),0)</f>
        <v>7.0000000000000007E-2</v>
      </c>
      <c r="AF4177" s="6">
        <f t="shared" si="648"/>
        <v>0</v>
      </c>
      <c r="AG4177" s="14">
        <v>0</v>
      </c>
      <c r="AH4177" s="65">
        <f t="shared" si="643"/>
        <v>0</v>
      </c>
      <c r="AI4177" s="47"/>
      <c r="AJ4177" s="126" t="e">
        <v>#N/A</v>
      </c>
      <c r="AK4177" s="80">
        <f t="shared" si="646"/>
        <v>0</v>
      </c>
      <c r="AM4177" s="85"/>
    </row>
    <row r="4178" spans="1:39" hidden="1" x14ac:dyDescent="0.3">
      <c r="A4178" s="89" t="s">
        <v>3395</v>
      </c>
      <c r="B4178" s="86" t="s">
        <v>35</v>
      </c>
      <c r="C4178" s="86" t="s">
        <v>36</v>
      </c>
      <c r="D4178" s="86" t="s">
        <v>224</v>
      </c>
      <c r="E4178" s="86" t="s">
        <v>1095</v>
      </c>
      <c r="F4178" s="86" t="s">
        <v>1095</v>
      </c>
      <c r="G4178" s="86" t="s">
        <v>1095</v>
      </c>
      <c r="H4178" s="144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1095</v>
      </c>
      <c r="N4178" s="86"/>
      <c r="O4178" s="47" t="s">
        <v>410</v>
      </c>
      <c r="P4178" s="47" t="s">
        <v>46</v>
      </c>
      <c r="Q4178" s="14">
        <v>0.02</v>
      </c>
      <c r="R4178" s="143" t="s">
        <v>1096</v>
      </c>
      <c r="S4178" s="47"/>
      <c r="T4178" s="6">
        <v>8869.1</v>
      </c>
      <c r="U4178" s="6"/>
      <c r="V4178" s="6">
        <v>2335</v>
      </c>
      <c r="W4178" s="6">
        <f t="shared" si="640"/>
        <v>6534.1</v>
      </c>
      <c r="X4178" s="6">
        <f t="shared" si="641"/>
        <v>2289.2156862745096</v>
      </c>
      <c r="Y4178" s="13">
        <f t="shared" si="644"/>
        <v>0</v>
      </c>
      <c r="Z4178" s="14">
        <v>0</v>
      </c>
      <c r="AA4178" s="6">
        <v>0</v>
      </c>
      <c r="AB4178" s="4">
        <f t="shared" si="645"/>
        <v>2289.2156862745096</v>
      </c>
      <c r="AC4178" s="4">
        <f t="shared" si="647"/>
        <v>45.784313725490392</v>
      </c>
      <c r="AD4178" s="6">
        <f t="shared" si="642"/>
        <v>2335</v>
      </c>
      <c r="AE4178" s="2">
        <f>VLOOKUP(I4178,[1]媒体政策预估表!A:N,MATCH(O4178,[1]媒体政策预估表!$A$2:$M$2,0),0)</f>
        <v>7.0000000000000007E-2</v>
      </c>
      <c r="AF4178" s="6">
        <f t="shared" si="648"/>
        <v>163.45000000000002</v>
      </c>
      <c r="AG4178" s="14">
        <v>0</v>
      </c>
      <c r="AH4178" s="65">
        <f t="shared" si="643"/>
        <v>2335</v>
      </c>
      <c r="AI4178" s="47"/>
      <c r="AJ4178" s="126" t="e">
        <v>#N/A</v>
      </c>
      <c r="AK4178" s="80">
        <f t="shared" si="646"/>
        <v>0</v>
      </c>
      <c r="AM4178" s="85"/>
    </row>
    <row r="4179" spans="1:39" hidden="1" x14ac:dyDescent="0.3">
      <c r="A4179" s="89" t="s">
        <v>3395</v>
      </c>
      <c r="B4179" s="86" t="s">
        <v>35</v>
      </c>
      <c r="C4179" s="86" t="s">
        <v>36</v>
      </c>
      <c r="D4179" s="86" t="s">
        <v>224</v>
      </c>
      <c r="E4179" s="86" t="s">
        <v>1099</v>
      </c>
      <c r="F4179" s="86" t="s">
        <v>1099</v>
      </c>
      <c r="G4179" s="86" t="s">
        <v>1099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1099</v>
      </c>
      <c r="N4179" s="86"/>
      <c r="O4179" s="47" t="s">
        <v>410</v>
      </c>
      <c r="P4179" s="47" t="s">
        <v>41</v>
      </c>
      <c r="Q4179" s="14">
        <v>0</v>
      </c>
      <c r="R4179" s="143" t="s">
        <v>1100</v>
      </c>
      <c r="S4179" s="47"/>
      <c r="T4179" s="6">
        <v>1</v>
      </c>
      <c r="U4179" s="6"/>
      <c r="V4179" s="6">
        <v>0</v>
      </c>
      <c r="W4179" s="6">
        <f t="shared" si="640"/>
        <v>1</v>
      </c>
      <c r="X4179" s="6">
        <f t="shared" si="641"/>
        <v>0</v>
      </c>
      <c r="Y4179" s="13">
        <f t="shared" si="644"/>
        <v>0</v>
      </c>
      <c r="Z4179" s="14">
        <v>0</v>
      </c>
      <c r="AA4179" s="6">
        <v>0</v>
      </c>
      <c r="AB4179" s="4">
        <f t="shared" si="645"/>
        <v>0</v>
      </c>
      <c r="AC4179" s="4">
        <f t="shared" si="647"/>
        <v>0</v>
      </c>
      <c r="AD4179" s="6">
        <f t="shared" si="642"/>
        <v>0</v>
      </c>
      <c r="AE4179" s="2">
        <f>VLOOKUP(I4179,[1]媒体政策预估表!A:N,MATCH(O4179,[1]媒体政策预估表!$A$2:$M$2,0),0)</f>
        <v>7.0000000000000007E-2</v>
      </c>
      <c r="AF4179" s="6">
        <f t="shared" si="648"/>
        <v>0</v>
      </c>
      <c r="AG4179" s="14">
        <v>0</v>
      </c>
      <c r="AH4179" s="65">
        <f t="shared" si="643"/>
        <v>0</v>
      </c>
      <c r="AI4179" s="47"/>
      <c r="AJ4179" s="126" t="e">
        <v>#N/A</v>
      </c>
      <c r="AK4179" s="80">
        <f t="shared" si="646"/>
        <v>0</v>
      </c>
      <c r="AM4179" s="85"/>
    </row>
    <row r="4180" spans="1:39" hidden="1" x14ac:dyDescent="0.3">
      <c r="A4180" s="89" t="s">
        <v>3394</v>
      </c>
      <c r="B4180" s="86" t="s">
        <v>35</v>
      </c>
      <c r="C4180" s="86" t="s">
        <v>36</v>
      </c>
      <c r="D4180" s="86" t="s">
        <v>224</v>
      </c>
      <c r="E4180" s="86" t="s">
        <v>1108</v>
      </c>
      <c r="F4180" s="86" t="s">
        <v>1108</v>
      </c>
      <c r="G4180" s="86" t="s">
        <v>1108</v>
      </c>
      <c r="H4180" s="144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1108</v>
      </c>
      <c r="N4180" s="86"/>
      <c r="O4180" s="47" t="s">
        <v>410</v>
      </c>
      <c r="P4180" s="47" t="s">
        <v>41</v>
      </c>
      <c r="Q4180" s="14">
        <v>0</v>
      </c>
      <c r="R4180" s="143" t="s">
        <v>1109</v>
      </c>
      <c r="S4180" s="47"/>
      <c r="T4180" s="6">
        <v>6502</v>
      </c>
      <c r="U4180" s="6"/>
      <c r="V4180" s="6">
        <v>494.7</v>
      </c>
      <c r="W4180" s="6">
        <f t="shared" si="640"/>
        <v>6007.3</v>
      </c>
      <c r="X4180" s="6">
        <f t="shared" si="641"/>
        <v>494.7</v>
      </c>
      <c r="Y4180" s="13">
        <f t="shared" si="644"/>
        <v>0</v>
      </c>
      <c r="Z4180" s="14">
        <v>0</v>
      </c>
      <c r="AA4180" s="6">
        <v>0</v>
      </c>
      <c r="AB4180" s="4">
        <f t="shared" si="645"/>
        <v>494.7</v>
      </c>
      <c r="AC4180" s="4">
        <f t="shared" si="647"/>
        <v>0</v>
      </c>
      <c r="AD4180" s="6">
        <f t="shared" si="642"/>
        <v>494.7</v>
      </c>
      <c r="AE4180" s="2">
        <f>VLOOKUP(I4180,[1]媒体政策预估表!A:N,MATCH(O4180,[1]媒体政策预估表!$A$2:$M$2,0),0)</f>
        <v>7.0000000000000007E-2</v>
      </c>
      <c r="AF4180" s="6">
        <f t="shared" si="648"/>
        <v>34.629000000000005</v>
      </c>
      <c r="AG4180" s="14">
        <v>0</v>
      </c>
      <c r="AH4180" s="65">
        <f t="shared" si="643"/>
        <v>494.7</v>
      </c>
      <c r="AI4180" s="47"/>
      <c r="AJ4180" s="126" t="e">
        <v>#N/A</v>
      </c>
      <c r="AK4180" s="80">
        <f t="shared" si="646"/>
        <v>0</v>
      </c>
      <c r="AM4180" s="85"/>
    </row>
    <row r="4181" spans="1:39" hidden="1" x14ac:dyDescent="0.3">
      <c r="A4181" s="89" t="s">
        <v>3394</v>
      </c>
      <c r="B4181" s="86" t="s">
        <v>35</v>
      </c>
      <c r="C4181" s="86" t="s">
        <v>36</v>
      </c>
      <c r="D4181" s="86" t="s">
        <v>224</v>
      </c>
      <c r="E4181" s="86" t="s">
        <v>1114</v>
      </c>
      <c r="F4181" s="86" t="s">
        <v>1114</v>
      </c>
      <c r="G4181" s="86" t="s">
        <v>1114</v>
      </c>
      <c r="H4181" s="144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1114</v>
      </c>
      <c r="N4181" s="86"/>
      <c r="O4181" s="47" t="s">
        <v>410</v>
      </c>
      <c r="P4181" s="47" t="s">
        <v>41</v>
      </c>
      <c r="Q4181" s="14">
        <v>0</v>
      </c>
      <c r="R4181" s="143" t="s">
        <v>1115</v>
      </c>
      <c r="S4181" s="47"/>
      <c r="T4181" s="6">
        <v>2177.5</v>
      </c>
      <c r="U4181" s="6"/>
      <c r="V4181" s="6">
        <v>2173.5</v>
      </c>
      <c r="W4181" s="6">
        <f t="shared" si="640"/>
        <v>4</v>
      </c>
      <c r="X4181" s="6">
        <f t="shared" si="641"/>
        <v>2173.5</v>
      </c>
      <c r="Y4181" s="13">
        <f t="shared" si="644"/>
        <v>0</v>
      </c>
      <c r="Z4181" s="14">
        <v>0</v>
      </c>
      <c r="AA4181" s="6">
        <v>0</v>
      </c>
      <c r="AB4181" s="4">
        <f t="shared" si="645"/>
        <v>2173.5</v>
      </c>
      <c r="AC4181" s="4">
        <f t="shared" si="647"/>
        <v>0</v>
      </c>
      <c r="AD4181" s="6">
        <f t="shared" si="642"/>
        <v>2173.5</v>
      </c>
      <c r="AE4181" s="2">
        <f>VLOOKUP(I4181,[1]媒体政策预估表!A:N,MATCH(O4181,[1]媒体政策预估表!$A$2:$M$2,0),0)</f>
        <v>7.0000000000000007E-2</v>
      </c>
      <c r="AF4181" s="6">
        <f t="shared" si="648"/>
        <v>152.14500000000001</v>
      </c>
      <c r="AG4181" s="14">
        <v>0</v>
      </c>
      <c r="AH4181" s="65">
        <f t="shared" si="643"/>
        <v>2173.5</v>
      </c>
      <c r="AI4181" s="47"/>
      <c r="AJ4181" s="126" t="e">
        <v>#N/A</v>
      </c>
      <c r="AK4181" s="80">
        <f t="shared" si="646"/>
        <v>0</v>
      </c>
      <c r="AM4181" s="85"/>
    </row>
    <row r="4182" spans="1:39" hidden="1" x14ac:dyDescent="0.3">
      <c r="A4182" s="89" t="s">
        <v>3394</v>
      </c>
      <c r="B4182" s="86" t="s">
        <v>35</v>
      </c>
      <c r="C4182" s="86" t="s">
        <v>36</v>
      </c>
      <c r="D4182" s="86" t="s">
        <v>224</v>
      </c>
      <c r="E4182" s="86" t="s">
        <v>1120</v>
      </c>
      <c r="F4182" s="86" t="s">
        <v>1121</v>
      </c>
      <c r="G4182" s="86" t="s">
        <v>1120</v>
      </c>
      <c r="H4182" s="144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1120</v>
      </c>
      <c r="N4182" s="86"/>
      <c r="O4182" s="47" t="s">
        <v>410</v>
      </c>
      <c r="P4182" s="47" t="s">
        <v>41</v>
      </c>
      <c r="Q4182" s="14">
        <v>0</v>
      </c>
      <c r="R4182" s="143" t="s">
        <v>1122</v>
      </c>
      <c r="S4182" s="47"/>
      <c r="T4182" s="6">
        <v>9455.9</v>
      </c>
      <c r="U4182" s="6"/>
      <c r="V4182" s="6">
        <v>2622</v>
      </c>
      <c r="W4182" s="6">
        <f t="shared" si="640"/>
        <v>6833.9</v>
      </c>
      <c r="X4182" s="6">
        <f t="shared" si="641"/>
        <v>2622</v>
      </c>
      <c r="Y4182" s="13">
        <f t="shared" si="644"/>
        <v>0</v>
      </c>
      <c r="Z4182" s="14">
        <v>0</v>
      </c>
      <c r="AA4182" s="6">
        <v>0</v>
      </c>
      <c r="AB4182" s="4">
        <f t="shared" si="645"/>
        <v>2622</v>
      </c>
      <c r="AC4182" s="4">
        <f t="shared" si="647"/>
        <v>0</v>
      </c>
      <c r="AD4182" s="6">
        <f t="shared" si="642"/>
        <v>2622</v>
      </c>
      <c r="AE4182" s="2">
        <f>VLOOKUP(I4182,[1]媒体政策预估表!A:N,MATCH(O4182,[1]媒体政策预估表!$A$2:$M$2,0),0)</f>
        <v>7.0000000000000007E-2</v>
      </c>
      <c r="AF4182" s="6">
        <f t="shared" si="648"/>
        <v>183.54000000000002</v>
      </c>
      <c r="AG4182" s="14">
        <v>0</v>
      </c>
      <c r="AH4182" s="65">
        <f t="shared" si="643"/>
        <v>2622</v>
      </c>
      <c r="AI4182" s="47"/>
      <c r="AJ4182" s="126" t="e">
        <v>#N/A</v>
      </c>
      <c r="AK4182" s="80">
        <f t="shared" si="646"/>
        <v>0</v>
      </c>
      <c r="AM4182" s="85"/>
    </row>
    <row r="4183" spans="1:39" hidden="1" x14ac:dyDescent="0.3">
      <c r="A4183" s="89" t="s">
        <v>3395</v>
      </c>
      <c r="B4183" s="86" t="s">
        <v>35</v>
      </c>
      <c r="C4183" s="86" t="s">
        <v>36</v>
      </c>
      <c r="D4183" s="86" t="s">
        <v>224</v>
      </c>
      <c r="E4183" s="86" t="s">
        <v>1125</v>
      </c>
      <c r="F4183" s="86" t="s">
        <v>1125</v>
      </c>
      <c r="G4183" s="86" t="s">
        <v>1125</v>
      </c>
      <c r="H4183" s="144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1126</v>
      </c>
      <c r="N4183" s="86"/>
      <c r="O4183" s="47" t="s">
        <v>410</v>
      </c>
      <c r="P4183" s="47" t="s">
        <v>46</v>
      </c>
      <c r="Q4183" s="14">
        <v>0.02</v>
      </c>
      <c r="R4183" s="143" t="s">
        <v>1127</v>
      </c>
      <c r="S4183" s="47"/>
      <c r="T4183" s="6">
        <v>5187.1000000000004</v>
      </c>
      <c r="U4183" s="6"/>
      <c r="V4183" s="6">
        <v>9.8000000000000007</v>
      </c>
      <c r="W4183" s="6">
        <f t="shared" si="640"/>
        <v>5177.3</v>
      </c>
      <c r="X4183" s="6">
        <f t="shared" si="641"/>
        <v>9.6078431372549034</v>
      </c>
      <c r="Y4183" s="13">
        <f t="shared" si="644"/>
        <v>0</v>
      </c>
      <c r="Z4183" s="14">
        <v>0</v>
      </c>
      <c r="AA4183" s="6">
        <v>0</v>
      </c>
      <c r="AB4183" s="4">
        <f t="shared" si="645"/>
        <v>9.6078431372549034</v>
      </c>
      <c r="AC4183" s="4">
        <f t="shared" si="647"/>
        <v>0.19215686274509736</v>
      </c>
      <c r="AD4183" s="6">
        <f t="shared" si="642"/>
        <v>9.8000000000000007</v>
      </c>
      <c r="AE4183" s="2">
        <f>VLOOKUP(I4183,[1]媒体政策预估表!A:N,MATCH(O4183,[1]媒体政策预估表!$A$2:$M$2,0),0)</f>
        <v>7.0000000000000007E-2</v>
      </c>
      <c r="AF4183" s="6">
        <f t="shared" si="648"/>
        <v>0.68600000000000017</v>
      </c>
      <c r="AG4183" s="14">
        <v>0</v>
      </c>
      <c r="AH4183" s="65">
        <f t="shared" si="643"/>
        <v>9.8000000000000007</v>
      </c>
      <c r="AI4183" s="47"/>
      <c r="AJ4183" s="126" t="e">
        <v>#N/A</v>
      </c>
      <c r="AK4183" s="80">
        <f t="shared" si="646"/>
        <v>0</v>
      </c>
      <c r="AM4183" s="85"/>
    </row>
    <row r="4184" spans="1:39" hidden="1" x14ac:dyDescent="0.3">
      <c r="A4184" s="89" t="s">
        <v>3394</v>
      </c>
      <c r="B4184" s="86" t="s">
        <v>35</v>
      </c>
      <c r="C4184" s="86" t="s">
        <v>36</v>
      </c>
      <c r="D4184" s="86" t="s">
        <v>224</v>
      </c>
      <c r="E4184" s="86" t="s">
        <v>1185</v>
      </c>
      <c r="F4184" s="86" t="s">
        <v>1185</v>
      </c>
      <c r="G4184" s="86" t="s">
        <v>1185</v>
      </c>
      <c r="H4184" s="144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1185</v>
      </c>
      <c r="N4184" s="86"/>
      <c r="O4184" s="47" t="s">
        <v>410</v>
      </c>
      <c r="P4184" s="47" t="s">
        <v>41</v>
      </c>
      <c r="Q4184" s="14">
        <v>0</v>
      </c>
      <c r="R4184" s="143" t="s">
        <v>1186</v>
      </c>
      <c r="S4184" s="47"/>
      <c r="T4184" s="6">
        <v>9940.6000000000058</v>
      </c>
      <c r="U4184" s="6"/>
      <c r="V4184" s="6">
        <v>9939.7000000000007</v>
      </c>
      <c r="W4184" s="6">
        <f t="shared" si="640"/>
        <v>0.90000000000509317</v>
      </c>
      <c r="X4184" s="6">
        <f t="shared" si="641"/>
        <v>9939.7000000000007</v>
      </c>
      <c r="Y4184" s="13">
        <f t="shared" si="644"/>
        <v>0</v>
      </c>
      <c r="Z4184" s="14">
        <v>0</v>
      </c>
      <c r="AA4184" s="6">
        <v>0</v>
      </c>
      <c r="AB4184" s="4">
        <f t="shared" si="645"/>
        <v>9939.7000000000007</v>
      </c>
      <c r="AC4184" s="4">
        <f t="shared" si="647"/>
        <v>0</v>
      </c>
      <c r="AD4184" s="6">
        <f t="shared" si="642"/>
        <v>9939.7000000000007</v>
      </c>
      <c r="AE4184" s="2">
        <f>VLOOKUP(I4184,[1]媒体政策预估表!A:N,MATCH(O4184,[1]媒体政策预估表!$A$2:$M$2,0),0)</f>
        <v>7.0000000000000007E-2</v>
      </c>
      <c r="AF4184" s="6">
        <f t="shared" si="648"/>
        <v>695.77900000000011</v>
      </c>
      <c r="AG4184" s="14">
        <v>0</v>
      </c>
      <c r="AH4184" s="65">
        <f t="shared" si="643"/>
        <v>9939.7000000000007</v>
      </c>
      <c r="AI4184" s="47"/>
      <c r="AJ4184" s="126" t="e">
        <v>#N/A</v>
      </c>
      <c r="AK4184" s="80">
        <f t="shared" si="646"/>
        <v>0</v>
      </c>
      <c r="AM4184" s="85"/>
    </row>
    <row r="4185" spans="1:39" hidden="1" x14ac:dyDescent="0.3">
      <c r="A4185" s="89" t="s">
        <v>3394</v>
      </c>
      <c r="B4185" s="86" t="s">
        <v>35</v>
      </c>
      <c r="C4185" s="86" t="s">
        <v>36</v>
      </c>
      <c r="D4185" s="86" t="s">
        <v>224</v>
      </c>
      <c r="E4185" s="86" t="s">
        <v>1190</v>
      </c>
      <c r="F4185" s="86" t="s">
        <v>1190</v>
      </c>
      <c r="G4185" s="86" t="s">
        <v>1190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1190</v>
      </c>
      <c r="N4185" s="86"/>
      <c r="O4185" s="47" t="s">
        <v>410</v>
      </c>
      <c r="P4185" s="47" t="s">
        <v>41</v>
      </c>
      <c r="Q4185" s="14">
        <v>0</v>
      </c>
      <c r="R4185" s="143" t="s">
        <v>1191</v>
      </c>
      <c r="S4185" s="47"/>
      <c r="T4185" s="6">
        <v>14520.699999999997</v>
      </c>
      <c r="U4185" s="6"/>
      <c r="V4185" s="6">
        <v>0</v>
      </c>
      <c r="W4185" s="6">
        <f t="shared" si="640"/>
        <v>14520.699999999997</v>
      </c>
      <c r="X4185" s="6">
        <f t="shared" si="641"/>
        <v>0</v>
      </c>
      <c r="Y4185" s="13">
        <f t="shared" si="644"/>
        <v>0</v>
      </c>
      <c r="Z4185" s="14">
        <v>0</v>
      </c>
      <c r="AA4185" s="6">
        <v>0</v>
      </c>
      <c r="AB4185" s="4">
        <f t="shared" si="645"/>
        <v>0</v>
      </c>
      <c r="AC4185" s="4">
        <f t="shared" si="647"/>
        <v>0</v>
      </c>
      <c r="AD4185" s="6">
        <f t="shared" si="642"/>
        <v>0</v>
      </c>
      <c r="AE4185" s="2">
        <f>VLOOKUP(I4185,[1]媒体政策预估表!A:N,MATCH(O4185,[1]媒体政策预估表!$A$2:$M$2,0),0)</f>
        <v>7.0000000000000007E-2</v>
      </c>
      <c r="AF4185" s="6">
        <f t="shared" si="648"/>
        <v>0</v>
      </c>
      <c r="AG4185" s="14">
        <v>0</v>
      </c>
      <c r="AH4185" s="65">
        <f t="shared" si="643"/>
        <v>0</v>
      </c>
      <c r="AI4185" s="47"/>
      <c r="AJ4185" s="126" t="e">
        <v>#N/A</v>
      </c>
      <c r="AK4185" s="80">
        <f t="shared" si="646"/>
        <v>0</v>
      </c>
      <c r="AM4185" s="85"/>
    </row>
    <row r="4186" spans="1:39" hidden="1" x14ac:dyDescent="0.3">
      <c r="A4186" s="89" t="s">
        <v>3394</v>
      </c>
      <c r="B4186" s="86" t="s">
        <v>35</v>
      </c>
      <c r="C4186" s="86" t="s">
        <v>36</v>
      </c>
      <c r="D4186" s="86" t="s">
        <v>54</v>
      </c>
      <c r="E4186" s="86" t="s">
        <v>1069</v>
      </c>
      <c r="F4186" s="86" t="s">
        <v>1194</v>
      </c>
      <c r="G4186" s="86" t="s">
        <v>1069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1195</v>
      </c>
      <c r="N4186" s="86"/>
      <c r="O4186" s="47" t="s">
        <v>45</v>
      </c>
      <c r="P4186" s="47" t="s">
        <v>46</v>
      </c>
      <c r="Q4186" s="14">
        <v>0.04</v>
      </c>
      <c r="R4186" s="143" t="s">
        <v>1197</v>
      </c>
      <c r="S4186" s="47"/>
      <c r="T4186" s="6">
        <v>10000</v>
      </c>
      <c r="U4186" s="6"/>
      <c r="V4186" s="6">
        <v>0</v>
      </c>
      <c r="W4186" s="6">
        <f t="shared" si="640"/>
        <v>10000</v>
      </c>
      <c r="X4186" s="6">
        <f t="shared" si="641"/>
        <v>0</v>
      </c>
      <c r="Y4186" s="13">
        <f t="shared" si="644"/>
        <v>0</v>
      </c>
      <c r="Z4186" s="14">
        <v>0</v>
      </c>
      <c r="AA4186" s="6">
        <v>0</v>
      </c>
      <c r="AB4186" s="4">
        <f t="shared" si="645"/>
        <v>0</v>
      </c>
      <c r="AC4186" s="4">
        <f t="shared" si="647"/>
        <v>0</v>
      </c>
      <c r="AD4186" s="6">
        <f t="shared" si="642"/>
        <v>0</v>
      </c>
      <c r="AE4186" s="2">
        <f>VLOOKUP(I4186,[1]媒体政策预估表!A:N,MATCH(O4186,[1]媒体政策预估表!$A$2:$M$2,0),0)</f>
        <v>0.12</v>
      </c>
      <c r="AF4186" s="6">
        <f t="shared" si="648"/>
        <v>0</v>
      </c>
      <c r="AG4186" s="14">
        <v>0</v>
      </c>
      <c r="AH4186" s="65">
        <f t="shared" si="643"/>
        <v>0</v>
      </c>
      <c r="AI4186" s="47"/>
      <c r="AJ4186" s="126" t="e">
        <v>#N/A</v>
      </c>
      <c r="AK4186" s="80">
        <f t="shared" si="646"/>
        <v>0</v>
      </c>
      <c r="AM4186" s="85"/>
    </row>
    <row r="4187" spans="1:39" hidden="1" x14ac:dyDescent="0.3">
      <c r="A4187" s="89" t="s">
        <v>3394</v>
      </c>
      <c r="B4187" s="86" t="s">
        <v>35</v>
      </c>
      <c r="C4187" s="86" t="s">
        <v>36</v>
      </c>
      <c r="D4187" s="86" t="s">
        <v>54</v>
      </c>
      <c r="E4187" s="86" t="s">
        <v>1069</v>
      </c>
      <c r="F4187" s="86" t="s">
        <v>1194</v>
      </c>
      <c r="G4187" s="86" t="s">
        <v>1069</v>
      </c>
      <c r="H4187" s="144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1195</v>
      </c>
      <c r="N4187" s="86"/>
      <c r="O4187" s="47" t="s">
        <v>45</v>
      </c>
      <c r="P4187" s="47" t="s">
        <v>46</v>
      </c>
      <c r="Q4187" s="14">
        <v>0.04</v>
      </c>
      <c r="R4187" s="143" t="s">
        <v>1198</v>
      </c>
      <c r="S4187" s="47"/>
      <c r="T4187" s="6">
        <v>112943.86639</v>
      </c>
      <c r="U4187" s="6"/>
      <c r="V4187" s="6">
        <v>3075.1666799999998</v>
      </c>
      <c r="W4187" s="6">
        <f t="shared" si="640"/>
        <v>109868.69971</v>
      </c>
      <c r="X4187" s="6">
        <f t="shared" si="641"/>
        <v>2956.8910384615383</v>
      </c>
      <c r="Y4187" s="13">
        <f t="shared" si="644"/>
        <v>0</v>
      </c>
      <c r="Z4187" s="14">
        <v>0</v>
      </c>
      <c r="AA4187" s="6">
        <v>0</v>
      </c>
      <c r="AB4187" s="4">
        <f t="shared" si="645"/>
        <v>2956.8910384615383</v>
      </c>
      <c r="AC4187" s="4">
        <f t="shared" si="647"/>
        <v>118.27564153846151</v>
      </c>
      <c r="AD4187" s="6">
        <f t="shared" si="642"/>
        <v>3075.1666799999998</v>
      </c>
      <c r="AE4187" s="2">
        <f>VLOOKUP(I4187,[1]媒体政策预估表!A:N,MATCH(O4187,[1]媒体政策预估表!$A$2:$M$2,0),0)</f>
        <v>0.12</v>
      </c>
      <c r="AF4187" s="6">
        <f t="shared" si="648"/>
        <v>369.02000159999994</v>
      </c>
      <c r="AG4187" s="14">
        <v>0</v>
      </c>
      <c r="AH4187" s="65">
        <f t="shared" si="643"/>
        <v>3075.1666799999998</v>
      </c>
      <c r="AI4187" s="47"/>
      <c r="AJ4187" s="126" t="e">
        <v>#N/A</v>
      </c>
      <c r="AK4187" s="80">
        <f t="shared" si="646"/>
        <v>0</v>
      </c>
      <c r="AM4187" s="85"/>
    </row>
    <row r="4188" spans="1:39" hidden="1" x14ac:dyDescent="0.3">
      <c r="A4188" s="89" t="s">
        <v>3394</v>
      </c>
      <c r="B4188" s="86" t="s">
        <v>35</v>
      </c>
      <c r="C4188" s="86" t="s">
        <v>36</v>
      </c>
      <c r="D4188" s="86" t="s">
        <v>54</v>
      </c>
      <c r="E4188" s="86" t="s">
        <v>1200</v>
      </c>
      <c r="F4188" s="86" t="s">
        <v>1201</v>
      </c>
      <c r="G4188" s="86" t="s">
        <v>1200</v>
      </c>
      <c r="H4188" s="144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1200</v>
      </c>
      <c r="N4188" s="86"/>
      <c r="O4188" s="47" t="s">
        <v>45</v>
      </c>
      <c r="P4188" s="47" t="s">
        <v>41</v>
      </c>
      <c r="Q4188" s="14">
        <v>0</v>
      </c>
      <c r="R4188" s="143" t="s">
        <v>1202</v>
      </c>
      <c r="S4188" s="47"/>
      <c r="T4188" s="6">
        <v>-787.71024</v>
      </c>
      <c r="U4188" s="6"/>
      <c r="V4188" s="6">
        <v>0.54920999999999998</v>
      </c>
      <c r="W4188" s="6">
        <f t="shared" si="640"/>
        <v>-788.25945000000002</v>
      </c>
      <c r="X4188" s="6">
        <f t="shared" si="641"/>
        <v>0.54920999999999998</v>
      </c>
      <c r="Y4188" s="13">
        <f t="shared" si="644"/>
        <v>0</v>
      </c>
      <c r="Z4188" s="14">
        <v>0</v>
      </c>
      <c r="AA4188" s="6">
        <v>0</v>
      </c>
      <c r="AB4188" s="4">
        <f t="shared" si="645"/>
        <v>0.54920999999999998</v>
      </c>
      <c r="AC4188" s="4">
        <f t="shared" si="647"/>
        <v>0</v>
      </c>
      <c r="AD4188" s="6">
        <f t="shared" si="642"/>
        <v>0.54920999999999998</v>
      </c>
      <c r="AE4188" s="2">
        <f>VLOOKUP(I4188,[1]媒体政策预估表!A:N,MATCH(O4188,[1]媒体政策预估表!$A$2:$M$2,0),0)</f>
        <v>0.12</v>
      </c>
      <c r="AF4188" s="6">
        <f t="shared" si="648"/>
        <v>6.5905199999999997E-2</v>
      </c>
      <c r="AG4188" s="14">
        <v>0</v>
      </c>
      <c r="AH4188" s="65">
        <f t="shared" si="643"/>
        <v>0.54920999999999998</v>
      </c>
      <c r="AI4188" s="47"/>
      <c r="AJ4188" s="126" t="e">
        <v>#N/A</v>
      </c>
      <c r="AK4188" s="80">
        <f t="shared" si="646"/>
        <v>0</v>
      </c>
      <c r="AM4188" s="85"/>
    </row>
    <row r="4189" spans="1:39" hidden="1" x14ac:dyDescent="0.3">
      <c r="A4189" s="89" t="s">
        <v>3394</v>
      </c>
      <c r="B4189" s="86" t="s">
        <v>35</v>
      </c>
      <c r="C4189" s="86" t="s">
        <v>36</v>
      </c>
      <c r="D4189" s="86" t="s">
        <v>54</v>
      </c>
      <c r="E4189" s="86" t="s">
        <v>1204</v>
      </c>
      <c r="F4189" s="86" t="s">
        <v>1204</v>
      </c>
      <c r="G4189" s="86" t="s">
        <v>1204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1204</v>
      </c>
      <c r="N4189" s="86"/>
      <c r="O4189" s="47" t="s">
        <v>410</v>
      </c>
      <c r="P4189" s="47" t="s">
        <v>41</v>
      </c>
      <c r="Q4189" s="14">
        <v>0</v>
      </c>
      <c r="R4189" s="143" t="s">
        <v>1205</v>
      </c>
      <c r="S4189" s="47"/>
      <c r="T4189" s="6">
        <v>8412.8999999999978</v>
      </c>
      <c r="U4189" s="6"/>
      <c r="V4189" s="6">
        <v>0</v>
      </c>
      <c r="W4189" s="6">
        <f t="shared" si="640"/>
        <v>8412.8999999999978</v>
      </c>
      <c r="X4189" s="6">
        <f t="shared" si="641"/>
        <v>0</v>
      </c>
      <c r="Y4189" s="13">
        <f t="shared" si="644"/>
        <v>0</v>
      </c>
      <c r="Z4189" s="14">
        <v>0</v>
      </c>
      <c r="AA4189" s="6">
        <v>0</v>
      </c>
      <c r="AB4189" s="4">
        <f t="shared" si="645"/>
        <v>0</v>
      </c>
      <c r="AC4189" s="4">
        <f t="shared" si="647"/>
        <v>0</v>
      </c>
      <c r="AD4189" s="6">
        <f t="shared" si="642"/>
        <v>0</v>
      </c>
      <c r="AE4189" s="2">
        <f>VLOOKUP(I4189,[1]媒体政策预估表!A:N,MATCH(O4189,[1]媒体政策预估表!$A$2:$M$2,0),0)</f>
        <v>7.0000000000000007E-2</v>
      </c>
      <c r="AF4189" s="6">
        <f t="shared" si="648"/>
        <v>0</v>
      </c>
      <c r="AG4189" s="14">
        <v>0</v>
      </c>
      <c r="AH4189" s="65">
        <f t="shared" si="643"/>
        <v>0</v>
      </c>
      <c r="AI4189" s="47"/>
      <c r="AJ4189" s="126" t="e">
        <v>#N/A</v>
      </c>
      <c r="AK4189" s="80">
        <f t="shared" si="646"/>
        <v>0</v>
      </c>
      <c r="AM4189" s="85"/>
    </row>
    <row r="4190" spans="1:39" hidden="1" x14ac:dyDescent="0.3">
      <c r="A4190" s="89" t="s">
        <v>3394</v>
      </c>
      <c r="B4190" s="86" t="s">
        <v>35</v>
      </c>
      <c r="C4190" s="86" t="s">
        <v>36</v>
      </c>
      <c r="D4190" s="86" t="s">
        <v>54</v>
      </c>
      <c r="E4190" s="86" t="s">
        <v>1210</v>
      </c>
      <c r="F4190" s="86" t="s">
        <v>1210</v>
      </c>
      <c r="G4190" s="86" t="s">
        <v>1210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1211</v>
      </c>
      <c r="N4190" s="86"/>
      <c r="O4190" s="47" t="s">
        <v>45</v>
      </c>
      <c r="P4190" s="47" t="s">
        <v>46</v>
      </c>
      <c r="Q4190" s="14">
        <v>0.02</v>
      </c>
      <c r="R4190" s="143" t="s">
        <v>1212</v>
      </c>
      <c r="S4190" s="47"/>
      <c r="T4190" s="6">
        <v>-0.01</v>
      </c>
      <c r="U4190" s="6"/>
      <c r="V4190" s="6">
        <v>0</v>
      </c>
      <c r="W4190" s="6">
        <f t="shared" si="640"/>
        <v>-0.01</v>
      </c>
      <c r="X4190" s="6">
        <f t="shared" si="641"/>
        <v>0</v>
      </c>
      <c r="Y4190" s="13">
        <f t="shared" si="644"/>
        <v>0</v>
      </c>
      <c r="Z4190" s="14">
        <v>0</v>
      </c>
      <c r="AA4190" s="6">
        <v>0</v>
      </c>
      <c r="AB4190" s="4">
        <f t="shared" si="645"/>
        <v>0</v>
      </c>
      <c r="AC4190" s="4">
        <f t="shared" si="647"/>
        <v>0</v>
      </c>
      <c r="AD4190" s="6">
        <f t="shared" si="642"/>
        <v>0</v>
      </c>
      <c r="AE4190" s="2">
        <f>VLOOKUP(I4190,[1]媒体政策预估表!A:N,MATCH(O4190,[1]媒体政策预估表!$A$2:$M$2,0),0)</f>
        <v>0.12</v>
      </c>
      <c r="AF4190" s="6">
        <f t="shared" si="648"/>
        <v>0</v>
      </c>
      <c r="AG4190" s="14">
        <v>0</v>
      </c>
      <c r="AH4190" s="65">
        <f t="shared" si="643"/>
        <v>0</v>
      </c>
      <c r="AI4190" s="47"/>
      <c r="AJ4190" s="126" t="e">
        <v>#N/A</v>
      </c>
      <c r="AK4190" s="80">
        <f t="shared" si="646"/>
        <v>0</v>
      </c>
      <c r="AM4190" s="85"/>
    </row>
    <row r="4191" spans="1:39" hidden="1" x14ac:dyDescent="0.3">
      <c r="A4191" s="89" t="s">
        <v>3394</v>
      </c>
      <c r="B4191" s="86" t="s">
        <v>35</v>
      </c>
      <c r="C4191" s="86" t="s">
        <v>36</v>
      </c>
      <c r="D4191" s="86" t="s">
        <v>54</v>
      </c>
      <c r="E4191" s="86" t="s">
        <v>1215</v>
      </c>
      <c r="F4191" s="86" t="s">
        <v>1215</v>
      </c>
      <c r="G4191" s="86" t="s">
        <v>1215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1215</v>
      </c>
      <c r="N4191" s="86"/>
      <c r="O4191" s="47" t="s">
        <v>410</v>
      </c>
      <c r="P4191" s="47" t="s">
        <v>41</v>
      </c>
      <c r="Q4191" s="14">
        <v>0</v>
      </c>
      <c r="R4191" s="143" t="s">
        <v>1216</v>
      </c>
      <c r="S4191" s="47"/>
      <c r="T4191" s="6">
        <v>5.7999999999992724</v>
      </c>
      <c r="U4191" s="6"/>
      <c r="V4191" s="6">
        <v>0</v>
      </c>
      <c r="W4191" s="6">
        <f t="shared" si="640"/>
        <v>5.7999999999992724</v>
      </c>
      <c r="X4191" s="6">
        <f t="shared" si="641"/>
        <v>0</v>
      </c>
      <c r="Y4191" s="13">
        <f t="shared" si="644"/>
        <v>0</v>
      </c>
      <c r="Z4191" s="14">
        <v>0</v>
      </c>
      <c r="AA4191" s="6">
        <v>0</v>
      </c>
      <c r="AB4191" s="4">
        <f t="shared" si="645"/>
        <v>0</v>
      </c>
      <c r="AC4191" s="4">
        <f t="shared" si="647"/>
        <v>0</v>
      </c>
      <c r="AD4191" s="6">
        <f t="shared" si="642"/>
        <v>0</v>
      </c>
      <c r="AE4191" s="2">
        <f>VLOOKUP(I4191,[1]媒体政策预估表!A:N,MATCH(O4191,[1]媒体政策预估表!$A$2:$M$2,0),0)</f>
        <v>7.0000000000000007E-2</v>
      </c>
      <c r="AF4191" s="6">
        <f t="shared" si="648"/>
        <v>0</v>
      </c>
      <c r="AG4191" s="14">
        <v>0</v>
      </c>
      <c r="AH4191" s="65">
        <f t="shared" si="643"/>
        <v>0</v>
      </c>
      <c r="AI4191" s="47"/>
      <c r="AJ4191" s="126" t="e">
        <v>#N/A</v>
      </c>
      <c r="AK4191" s="80">
        <f t="shared" si="646"/>
        <v>0</v>
      </c>
      <c r="AM4191" s="85"/>
    </row>
    <row r="4192" spans="1:39" hidden="1" x14ac:dyDescent="0.3">
      <c r="A4192" s="89" t="s">
        <v>3395</v>
      </c>
      <c r="B4192" s="86" t="s">
        <v>35</v>
      </c>
      <c r="C4192" s="86" t="s">
        <v>65</v>
      </c>
      <c r="D4192" s="86" t="s">
        <v>66</v>
      </c>
      <c r="E4192" s="86" t="s">
        <v>1239</v>
      </c>
      <c r="F4192" s="86" t="s">
        <v>1239</v>
      </c>
      <c r="G4192" s="86" t="s">
        <v>1239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1239</v>
      </c>
      <c r="N4192" s="86"/>
      <c r="O4192" s="47" t="s">
        <v>410</v>
      </c>
      <c r="P4192" s="47" t="s">
        <v>41</v>
      </c>
      <c r="Q4192" s="14">
        <v>0</v>
      </c>
      <c r="R4192" s="143" t="s">
        <v>1240</v>
      </c>
      <c r="S4192" s="47"/>
      <c r="T4192" s="6">
        <v>10000</v>
      </c>
      <c r="U4192" s="6"/>
      <c r="V4192" s="6">
        <v>0</v>
      </c>
      <c r="W4192" s="6">
        <f t="shared" si="640"/>
        <v>10000</v>
      </c>
      <c r="X4192" s="6">
        <f t="shared" si="641"/>
        <v>0</v>
      </c>
      <c r="Y4192" s="13">
        <f t="shared" si="644"/>
        <v>0</v>
      </c>
      <c r="Z4192" s="14">
        <v>0</v>
      </c>
      <c r="AA4192" s="6">
        <v>0</v>
      </c>
      <c r="AB4192" s="4">
        <f t="shared" si="645"/>
        <v>0</v>
      </c>
      <c r="AC4192" s="4">
        <f t="shared" si="647"/>
        <v>0</v>
      </c>
      <c r="AD4192" s="6">
        <f t="shared" si="642"/>
        <v>0</v>
      </c>
      <c r="AE4192" s="2">
        <f>VLOOKUP(I4192,[1]媒体政策预估表!A:N,MATCH(O4192,[1]媒体政策预估表!$A$2:$M$2,0),0)</f>
        <v>7.0000000000000007E-2</v>
      </c>
      <c r="AF4192" s="6">
        <f t="shared" si="648"/>
        <v>0</v>
      </c>
      <c r="AG4192" s="14">
        <v>0</v>
      </c>
      <c r="AH4192" s="65">
        <f t="shared" si="643"/>
        <v>0</v>
      </c>
      <c r="AI4192" s="47"/>
      <c r="AJ4192" s="126" t="e">
        <v>#N/A</v>
      </c>
      <c r="AK4192" s="80">
        <f t="shared" si="646"/>
        <v>0</v>
      </c>
      <c r="AM4192" s="85"/>
    </row>
    <row r="4193" spans="1:39" hidden="1" x14ac:dyDescent="0.3">
      <c r="A4193" s="89" t="s">
        <v>3394</v>
      </c>
      <c r="B4193" s="86" t="s">
        <v>35</v>
      </c>
      <c r="C4193" s="86" t="s">
        <v>65</v>
      </c>
      <c r="D4193" s="86" t="s">
        <v>66</v>
      </c>
      <c r="E4193" s="86" t="s">
        <v>1243</v>
      </c>
      <c r="F4193" s="86" t="s">
        <v>1243</v>
      </c>
      <c r="G4193" s="86" t="s">
        <v>1243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1243</v>
      </c>
      <c r="N4193" s="86"/>
      <c r="O4193" s="47" t="s">
        <v>410</v>
      </c>
      <c r="P4193" s="47" t="s">
        <v>41</v>
      </c>
      <c r="Q4193" s="14">
        <v>0</v>
      </c>
      <c r="R4193" s="143" t="s">
        <v>1244</v>
      </c>
      <c r="S4193" s="47"/>
      <c r="T4193" s="6">
        <v>456.5</v>
      </c>
      <c r="U4193" s="6"/>
      <c r="V4193" s="6">
        <v>0</v>
      </c>
      <c r="W4193" s="6">
        <f t="shared" si="640"/>
        <v>456.5</v>
      </c>
      <c r="X4193" s="6">
        <f t="shared" si="641"/>
        <v>0</v>
      </c>
      <c r="Y4193" s="13">
        <f t="shared" si="644"/>
        <v>0</v>
      </c>
      <c r="Z4193" s="14">
        <v>0</v>
      </c>
      <c r="AA4193" s="6">
        <v>0</v>
      </c>
      <c r="AB4193" s="4">
        <f t="shared" si="645"/>
        <v>0</v>
      </c>
      <c r="AC4193" s="4">
        <f t="shared" si="647"/>
        <v>0</v>
      </c>
      <c r="AD4193" s="6">
        <f t="shared" si="642"/>
        <v>0</v>
      </c>
      <c r="AE4193" s="2">
        <f>VLOOKUP(I4193,[1]媒体政策预估表!A:N,MATCH(O4193,[1]媒体政策预估表!$A$2:$M$2,0),0)</f>
        <v>7.0000000000000007E-2</v>
      </c>
      <c r="AF4193" s="6">
        <f t="shared" si="648"/>
        <v>0</v>
      </c>
      <c r="AG4193" s="14">
        <v>0</v>
      </c>
      <c r="AH4193" s="65">
        <f t="shared" si="643"/>
        <v>0</v>
      </c>
      <c r="AI4193" s="47"/>
      <c r="AJ4193" s="126" t="e">
        <v>#N/A</v>
      </c>
      <c r="AK4193" s="80">
        <f t="shared" si="646"/>
        <v>0</v>
      </c>
      <c r="AM4193" s="85"/>
    </row>
    <row r="4194" spans="1:39" hidden="1" x14ac:dyDescent="0.3">
      <c r="A4194" s="89" t="s">
        <v>3394</v>
      </c>
      <c r="B4194" s="86" t="s">
        <v>35</v>
      </c>
      <c r="C4194" s="86" t="s">
        <v>65</v>
      </c>
      <c r="D4194" s="86" t="s">
        <v>122</v>
      </c>
      <c r="E4194" s="86" t="s">
        <v>1253</v>
      </c>
      <c r="F4194" s="86" t="s">
        <v>1253</v>
      </c>
      <c r="G4194" s="86" t="s">
        <v>1253</v>
      </c>
      <c r="H4194" s="144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1256</v>
      </c>
      <c r="N4194" s="86"/>
      <c r="O4194" s="47" t="s">
        <v>410</v>
      </c>
      <c r="P4194" s="47" t="s">
        <v>41</v>
      </c>
      <c r="Q4194" s="14">
        <v>0</v>
      </c>
      <c r="R4194" s="143" t="s">
        <v>1257</v>
      </c>
      <c r="S4194" s="47"/>
      <c r="T4194" s="6">
        <v>9396.5</v>
      </c>
      <c r="U4194" s="6"/>
      <c r="V4194" s="6">
        <v>691.5</v>
      </c>
      <c r="W4194" s="6">
        <f t="shared" si="640"/>
        <v>8705</v>
      </c>
      <c r="X4194" s="6">
        <f t="shared" si="641"/>
        <v>691.5</v>
      </c>
      <c r="Y4194" s="13">
        <f t="shared" si="644"/>
        <v>0</v>
      </c>
      <c r="Z4194" s="14">
        <v>0</v>
      </c>
      <c r="AA4194" s="6">
        <v>0</v>
      </c>
      <c r="AB4194" s="4">
        <f t="shared" si="645"/>
        <v>691.5</v>
      </c>
      <c r="AC4194" s="4">
        <f t="shared" si="647"/>
        <v>0</v>
      </c>
      <c r="AD4194" s="6">
        <f t="shared" si="642"/>
        <v>691.5</v>
      </c>
      <c r="AE4194" s="2">
        <f>VLOOKUP(I4194,[1]媒体政策预估表!A:N,MATCH(O4194,[1]媒体政策预估表!$A$2:$M$2,0),0)</f>
        <v>7.0000000000000007E-2</v>
      </c>
      <c r="AF4194" s="6">
        <f t="shared" si="648"/>
        <v>48.405000000000001</v>
      </c>
      <c r="AG4194" s="14">
        <v>0</v>
      </c>
      <c r="AH4194" s="65">
        <f t="shared" si="643"/>
        <v>691.5</v>
      </c>
      <c r="AI4194" s="47"/>
      <c r="AJ4194" s="126" t="e">
        <v>#N/A</v>
      </c>
      <c r="AK4194" s="80">
        <f t="shared" si="646"/>
        <v>0</v>
      </c>
      <c r="AM4194" s="85"/>
    </row>
    <row r="4195" spans="1:39" hidden="1" x14ac:dyDescent="0.3">
      <c r="A4195" s="89" t="s">
        <v>3394</v>
      </c>
      <c r="B4195" s="86" t="s">
        <v>35</v>
      </c>
      <c r="C4195" s="86" t="s">
        <v>65</v>
      </c>
      <c r="D4195" s="86" t="s">
        <v>122</v>
      </c>
      <c r="E4195" s="86" t="s">
        <v>1253</v>
      </c>
      <c r="F4195" s="86" t="s">
        <v>1253</v>
      </c>
      <c r="G4195" s="86" t="s">
        <v>1253</v>
      </c>
      <c r="H4195" s="144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1253</v>
      </c>
      <c r="N4195" s="86"/>
      <c r="O4195" s="47" t="s">
        <v>410</v>
      </c>
      <c r="P4195" s="47" t="s">
        <v>41</v>
      </c>
      <c r="Q4195" s="14">
        <v>0</v>
      </c>
      <c r="R4195" s="143" t="s">
        <v>1258</v>
      </c>
      <c r="S4195" s="47"/>
      <c r="T4195" s="6">
        <v>10000</v>
      </c>
      <c r="U4195" s="6"/>
      <c r="V4195" s="6">
        <v>633</v>
      </c>
      <c r="W4195" s="6">
        <f t="shared" si="640"/>
        <v>9367</v>
      </c>
      <c r="X4195" s="6">
        <f t="shared" si="641"/>
        <v>633</v>
      </c>
      <c r="Y4195" s="13">
        <f t="shared" si="644"/>
        <v>0</v>
      </c>
      <c r="Z4195" s="14">
        <v>0</v>
      </c>
      <c r="AA4195" s="6">
        <v>0</v>
      </c>
      <c r="AB4195" s="4">
        <f t="shared" si="645"/>
        <v>633</v>
      </c>
      <c r="AC4195" s="4">
        <f t="shared" si="647"/>
        <v>0</v>
      </c>
      <c r="AD4195" s="6">
        <f t="shared" si="642"/>
        <v>633</v>
      </c>
      <c r="AE4195" s="2">
        <f>VLOOKUP(I4195,[1]媒体政策预估表!A:N,MATCH(O4195,[1]媒体政策预估表!$A$2:$M$2,0),0)</f>
        <v>7.0000000000000007E-2</v>
      </c>
      <c r="AF4195" s="6">
        <f t="shared" si="648"/>
        <v>44.31</v>
      </c>
      <c r="AG4195" s="14">
        <v>0</v>
      </c>
      <c r="AH4195" s="65">
        <f t="shared" si="643"/>
        <v>633</v>
      </c>
      <c r="AI4195" s="47"/>
      <c r="AJ4195" s="126" t="e">
        <v>#N/A</v>
      </c>
      <c r="AK4195" s="80">
        <f t="shared" si="646"/>
        <v>0</v>
      </c>
      <c r="AM4195" s="85"/>
    </row>
    <row r="4196" spans="1:39" hidden="1" x14ac:dyDescent="0.3">
      <c r="A4196" s="89" t="s">
        <v>3395</v>
      </c>
      <c r="B4196" s="86" t="s">
        <v>35</v>
      </c>
      <c r="C4196" s="86" t="s">
        <v>65</v>
      </c>
      <c r="D4196" s="86" t="s">
        <v>122</v>
      </c>
      <c r="E4196" s="86" t="s">
        <v>1253</v>
      </c>
      <c r="F4196" s="86" t="s">
        <v>1253</v>
      </c>
      <c r="G4196" s="86" t="s">
        <v>1253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1261</v>
      </c>
      <c r="N4196" s="86"/>
      <c r="O4196" s="47" t="s">
        <v>410</v>
      </c>
      <c r="P4196" s="47" t="s">
        <v>41</v>
      </c>
      <c r="Q4196" s="14">
        <v>0</v>
      </c>
      <c r="R4196" s="143" t="s">
        <v>1263</v>
      </c>
      <c r="S4196" s="47"/>
      <c r="T4196" s="6">
        <v>7640.5</v>
      </c>
      <c r="U4196" s="6"/>
      <c r="V4196" s="6">
        <v>0</v>
      </c>
      <c r="W4196" s="6">
        <f t="shared" si="640"/>
        <v>7640.5</v>
      </c>
      <c r="X4196" s="6">
        <f t="shared" si="641"/>
        <v>0</v>
      </c>
      <c r="Y4196" s="13">
        <f t="shared" si="644"/>
        <v>0</v>
      </c>
      <c r="Z4196" s="14">
        <v>0</v>
      </c>
      <c r="AA4196" s="6">
        <v>0</v>
      </c>
      <c r="AB4196" s="4">
        <f t="shared" si="645"/>
        <v>0</v>
      </c>
      <c r="AC4196" s="4">
        <f t="shared" si="647"/>
        <v>0</v>
      </c>
      <c r="AD4196" s="6">
        <f t="shared" si="642"/>
        <v>0</v>
      </c>
      <c r="AE4196" s="2">
        <f>VLOOKUP(I4196,[1]媒体政策预估表!A:N,MATCH(O4196,[1]媒体政策预估表!$A$2:$M$2,0),0)</f>
        <v>7.0000000000000007E-2</v>
      </c>
      <c r="AF4196" s="6">
        <f t="shared" si="648"/>
        <v>0</v>
      </c>
      <c r="AG4196" s="14">
        <v>0</v>
      </c>
      <c r="AH4196" s="65">
        <f t="shared" si="643"/>
        <v>0</v>
      </c>
      <c r="AI4196" s="47"/>
      <c r="AJ4196" s="126" t="e">
        <v>#N/A</v>
      </c>
      <c r="AK4196" s="80">
        <f t="shared" si="646"/>
        <v>0</v>
      </c>
      <c r="AM4196" s="85"/>
    </row>
    <row r="4197" spans="1:39" hidden="1" x14ac:dyDescent="0.3">
      <c r="A4197" s="89" t="s">
        <v>3394</v>
      </c>
      <c r="B4197" s="86" t="s">
        <v>35</v>
      </c>
      <c r="C4197" s="86" t="s">
        <v>65</v>
      </c>
      <c r="D4197" s="86" t="s">
        <v>122</v>
      </c>
      <c r="E4197" s="86" t="s">
        <v>1266</v>
      </c>
      <c r="F4197" s="15" t="s">
        <v>3687</v>
      </c>
      <c r="G4197" s="86" t="s">
        <v>1266</v>
      </c>
      <c r="H4197" s="144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1267</v>
      </c>
      <c r="N4197" s="86"/>
      <c r="O4197" s="47" t="s">
        <v>45</v>
      </c>
      <c r="P4197" s="8" t="s">
        <v>3688</v>
      </c>
      <c r="Q4197" s="14">
        <v>0.02</v>
      </c>
      <c r="R4197" s="143" t="s">
        <v>1268</v>
      </c>
      <c r="S4197" s="47"/>
      <c r="T4197" s="6">
        <v>-4004.1947100000002</v>
      </c>
      <c r="U4197" s="6"/>
      <c r="V4197" s="6">
        <v>1163.5298600000001</v>
      </c>
      <c r="W4197" s="6">
        <f t="shared" si="640"/>
        <v>-5167.7245700000003</v>
      </c>
      <c r="X4197" s="6">
        <f t="shared" si="641"/>
        <v>1140.715549019608</v>
      </c>
      <c r="Y4197" s="13">
        <f t="shared" si="644"/>
        <v>0</v>
      </c>
      <c r="Z4197" s="14">
        <v>0</v>
      </c>
      <c r="AA4197" s="6">
        <v>0</v>
      </c>
      <c r="AB4197" s="4">
        <f t="shared" si="645"/>
        <v>1140.715549019608</v>
      </c>
      <c r="AC4197" s="4">
        <f t="shared" si="647"/>
        <v>22.814310980392065</v>
      </c>
      <c r="AD4197" s="6">
        <f t="shared" si="642"/>
        <v>1163.5298600000001</v>
      </c>
      <c r="AE4197" s="2">
        <f>VLOOKUP(I4197,[1]媒体政策预估表!A:N,MATCH(O4197,[1]媒体政策预估表!$A$2:$M$2,0),0)</f>
        <v>0.12</v>
      </c>
      <c r="AF4197" s="6">
        <f t="shared" si="648"/>
        <v>139.62358320000001</v>
      </c>
      <c r="AG4197" s="14">
        <v>0</v>
      </c>
      <c r="AH4197" s="65">
        <f t="shared" si="643"/>
        <v>1163.5298600000001</v>
      </c>
      <c r="AI4197" s="47"/>
      <c r="AJ4197" s="126" t="e">
        <v>#N/A</v>
      </c>
      <c r="AK4197" s="80">
        <f t="shared" si="646"/>
        <v>0</v>
      </c>
      <c r="AM4197" s="85"/>
    </row>
    <row r="4198" spans="1:39" hidden="1" x14ac:dyDescent="0.3">
      <c r="A4198" s="89" t="s">
        <v>3395</v>
      </c>
      <c r="B4198" s="86" t="s">
        <v>35</v>
      </c>
      <c r="C4198" s="86" t="s">
        <v>65</v>
      </c>
      <c r="D4198" s="86" t="s">
        <v>122</v>
      </c>
      <c r="E4198" s="86" t="s">
        <v>1266</v>
      </c>
      <c r="F4198" s="86" t="s">
        <v>1266</v>
      </c>
      <c r="G4198" s="86" t="s">
        <v>1266</v>
      </c>
      <c r="H4198" s="144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1266</v>
      </c>
      <c r="N4198" s="86"/>
      <c r="O4198" s="47" t="s">
        <v>45</v>
      </c>
      <c r="P4198" s="47" t="s">
        <v>41</v>
      </c>
      <c r="Q4198" s="14">
        <v>0</v>
      </c>
      <c r="R4198" s="143" t="s">
        <v>1270</v>
      </c>
      <c r="S4198" s="47"/>
      <c r="T4198" s="6">
        <v>27714.299920000001</v>
      </c>
      <c r="U4198" s="6"/>
      <c r="V4198" s="6">
        <v>5235.4366399999999</v>
      </c>
      <c r="W4198" s="6">
        <f t="shared" si="640"/>
        <v>22478.863280000001</v>
      </c>
      <c r="X4198" s="6">
        <f t="shared" si="641"/>
        <v>5235.4366399999999</v>
      </c>
      <c r="Y4198" s="13">
        <f t="shared" si="644"/>
        <v>0</v>
      </c>
      <c r="Z4198" s="14">
        <v>0</v>
      </c>
      <c r="AA4198" s="6">
        <v>0</v>
      </c>
      <c r="AB4198" s="4">
        <f t="shared" si="645"/>
        <v>5235.4366399999999</v>
      </c>
      <c r="AC4198" s="4">
        <f t="shared" si="647"/>
        <v>0</v>
      </c>
      <c r="AD4198" s="6">
        <f t="shared" si="642"/>
        <v>5235.4366399999999</v>
      </c>
      <c r="AE4198" s="2">
        <f>VLOOKUP(I4198,[1]媒体政策预估表!A:N,MATCH(O4198,[1]媒体政策预估表!$A$2:$M$2,0),0)</f>
        <v>0.12</v>
      </c>
      <c r="AF4198" s="6">
        <f t="shared" si="648"/>
        <v>628.25239679999993</v>
      </c>
      <c r="AG4198" s="14">
        <v>0</v>
      </c>
      <c r="AH4198" s="65">
        <f t="shared" si="643"/>
        <v>5235.4366399999999</v>
      </c>
      <c r="AI4198" s="47"/>
      <c r="AJ4198" s="126" t="e">
        <v>#N/A</v>
      </c>
      <c r="AK4198" s="80">
        <f t="shared" si="646"/>
        <v>0</v>
      </c>
      <c r="AM4198" s="85"/>
    </row>
    <row r="4199" spans="1:39" hidden="1" x14ac:dyDescent="0.3">
      <c r="A4199" s="89" t="s">
        <v>3395</v>
      </c>
      <c r="B4199" s="86" t="s">
        <v>35</v>
      </c>
      <c r="C4199" s="86" t="s">
        <v>65</v>
      </c>
      <c r="D4199" s="86" t="s">
        <v>122</v>
      </c>
      <c r="E4199" s="86" t="s">
        <v>1266</v>
      </c>
      <c r="F4199" s="86" t="s">
        <v>1266</v>
      </c>
      <c r="G4199" s="86" t="s">
        <v>1266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1271</v>
      </c>
      <c r="N4199" s="86"/>
      <c r="O4199" s="47" t="s">
        <v>45</v>
      </c>
      <c r="P4199" s="47" t="s">
        <v>41</v>
      </c>
      <c r="Q4199" s="14">
        <v>0</v>
      </c>
      <c r="R4199" s="143" t="s">
        <v>1273</v>
      </c>
      <c r="S4199" s="47"/>
      <c r="T4199" s="6">
        <v>56998.99338</v>
      </c>
      <c r="U4199" s="6"/>
      <c r="V4199" s="6">
        <v>0</v>
      </c>
      <c r="W4199" s="6">
        <f t="shared" si="640"/>
        <v>56998.99338</v>
      </c>
      <c r="X4199" s="6">
        <f t="shared" si="641"/>
        <v>0</v>
      </c>
      <c r="Y4199" s="13">
        <f t="shared" si="644"/>
        <v>0</v>
      </c>
      <c r="Z4199" s="14">
        <v>0</v>
      </c>
      <c r="AA4199" s="6">
        <v>0</v>
      </c>
      <c r="AB4199" s="4">
        <f t="shared" si="645"/>
        <v>0</v>
      </c>
      <c r="AC4199" s="4">
        <f t="shared" si="647"/>
        <v>0</v>
      </c>
      <c r="AD4199" s="6">
        <f t="shared" si="642"/>
        <v>0</v>
      </c>
      <c r="AE4199" s="2">
        <f>VLOOKUP(I4199,[1]媒体政策预估表!A:N,MATCH(O4199,[1]媒体政策预估表!$A$2:$M$2,0),0)</f>
        <v>0.12</v>
      </c>
      <c r="AF4199" s="6">
        <f t="shared" si="648"/>
        <v>0</v>
      </c>
      <c r="AG4199" s="14">
        <v>0</v>
      </c>
      <c r="AH4199" s="65">
        <f t="shared" si="643"/>
        <v>0</v>
      </c>
      <c r="AI4199" s="47"/>
      <c r="AJ4199" s="126" t="e">
        <v>#N/A</v>
      </c>
      <c r="AK4199" s="80">
        <f t="shared" si="646"/>
        <v>0</v>
      </c>
      <c r="AM4199" s="85"/>
    </row>
    <row r="4200" spans="1:39" hidden="1" x14ac:dyDescent="0.3">
      <c r="A4200" s="89" t="s">
        <v>3394</v>
      </c>
      <c r="B4200" s="86" t="s">
        <v>35</v>
      </c>
      <c r="C4200" s="86" t="s">
        <v>65</v>
      </c>
      <c r="D4200" s="86" t="s">
        <v>122</v>
      </c>
      <c r="E4200" s="86" t="s">
        <v>1266</v>
      </c>
      <c r="F4200" s="86" t="s">
        <v>1266</v>
      </c>
      <c r="G4200" s="86" t="s">
        <v>1266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1274</v>
      </c>
      <c r="N4200" s="86"/>
      <c r="O4200" s="47" t="s">
        <v>45</v>
      </c>
      <c r="P4200" s="47" t="s">
        <v>41</v>
      </c>
      <c r="Q4200" s="14">
        <v>0</v>
      </c>
      <c r="R4200" s="143" t="s">
        <v>1276</v>
      </c>
      <c r="S4200" s="47"/>
      <c r="T4200" s="6">
        <v>50000</v>
      </c>
      <c r="U4200" s="6"/>
      <c r="V4200" s="6">
        <v>0</v>
      </c>
      <c r="W4200" s="6">
        <f t="shared" si="640"/>
        <v>50000</v>
      </c>
      <c r="X4200" s="6">
        <f t="shared" si="641"/>
        <v>0</v>
      </c>
      <c r="Y4200" s="13">
        <f t="shared" si="644"/>
        <v>0</v>
      </c>
      <c r="Z4200" s="14">
        <v>0</v>
      </c>
      <c r="AA4200" s="6">
        <v>0</v>
      </c>
      <c r="AB4200" s="4">
        <f t="shared" si="645"/>
        <v>0</v>
      </c>
      <c r="AC4200" s="4">
        <f t="shared" si="647"/>
        <v>0</v>
      </c>
      <c r="AD4200" s="6">
        <f t="shared" si="642"/>
        <v>0</v>
      </c>
      <c r="AE4200" s="2">
        <f>VLOOKUP(I4200,[1]媒体政策预估表!A:N,MATCH(O4200,[1]媒体政策预估表!$A$2:$M$2,0),0)</f>
        <v>0.12</v>
      </c>
      <c r="AF4200" s="6">
        <f t="shared" si="648"/>
        <v>0</v>
      </c>
      <c r="AG4200" s="14">
        <v>0</v>
      </c>
      <c r="AH4200" s="65">
        <f t="shared" si="643"/>
        <v>0</v>
      </c>
      <c r="AI4200" s="47"/>
      <c r="AJ4200" s="126" t="e">
        <v>#N/A</v>
      </c>
      <c r="AK4200" s="80">
        <f t="shared" si="646"/>
        <v>0</v>
      </c>
      <c r="AM4200" s="85"/>
    </row>
    <row r="4201" spans="1:39" hidden="1" x14ac:dyDescent="0.3">
      <c r="A4201" s="89" t="s">
        <v>3395</v>
      </c>
      <c r="B4201" s="86" t="s">
        <v>35</v>
      </c>
      <c r="C4201" s="86" t="s">
        <v>65</v>
      </c>
      <c r="D4201" s="86" t="s">
        <v>122</v>
      </c>
      <c r="E4201" s="86" t="s">
        <v>1279</v>
      </c>
      <c r="F4201" s="86" t="s">
        <v>1279</v>
      </c>
      <c r="G4201" s="86" t="s">
        <v>1279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1279</v>
      </c>
      <c r="N4201" s="86"/>
      <c r="O4201" s="47" t="s">
        <v>410</v>
      </c>
      <c r="P4201" s="47" t="s">
        <v>46</v>
      </c>
      <c r="Q4201" s="14">
        <v>0.02</v>
      </c>
      <c r="R4201" s="143" t="s">
        <v>1280</v>
      </c>
      <c r="S4201" s="47"/>
      <c r="T4201" s="6">
        <v>26780.400000000001</v>
      </c>
      <c r="U4201" s="6"/>
      <c r="V4201" s="6">
        <v>10628.4</v>
      </c>
      <c r="W4201" s="6">
        <f t="shared" si="640"/>
        <v>16152.000000000002</v>
      </c>
      <c r="X4201" s="6">
        <f t="shared" si="641"/>
        <v>10420</v>
      </c>
      <c r="Y4201" s="13">
        <f t="shared" si="644"/>
        <v>0</v>
      </c>
      <c r="Z4201" s="14">
        <v>0</v>
      </c>
      <c r="AA4201" s="6">
        <v>0</v>
      </c>
      <c r="AB4201" s="4">
        <f t="shared" si="645"/>
        <v>10420</v>
      </c>
      <c r="AC4201" s="4">
        <f t="shared" si="647"/>
        <v>208.39999999999964</v>
      </c>
      <c r="AD4201" s="6">
        <f t="shared" si="642"/>
        <v>10628.4</v>
      </c>
      <c r="AE4201" s="2">
        <f>VLOOKUP(I4201,[1]媒体政策预估表!A:N,MATCH(O4201,[1]媒体政策预估表!$A$2:$M$2,0),0)</f>
        <v>7.0000000000000007E-2</v>
      </c>
      <c r="AF4201" s="6">
        <f t="shared" si="648"/>
        <v>743.98800000000006</v>
      </c>
      <c r="AG4201" s="14">
        <v>0</v>
      </c>
      <c r="AH4201" s="65">
        <f t="shared" si="643"/>
        <v>10628.4</v>
      </c>
      <c r="AI4201" s="47"/>
      <c r="AJ4201" s="126" t="e">
        <v>#N/A</v>
      </c>
      <c r="AK4201" s="80">
        <f t="shared" si="646"/>
        <v>0</v>
      </c>
      <c r="AM4201" s="85"/>
    </row>
    <row r="4202" spans="1:39" hidden="1" x14ac:dyDescent="0.3">
      <c r="A4202" s="89" t="s">
        <v>3397</v>
      </c>
      <c r="B4202" s="86" t="s">
        <v>35</v>
      </c>
      <c r="C4202" s="86" t="s">
        <v>65</v>
      </c>
      <c r="D4202" s="86" t="s">
        <v>125</v>
      </c>
      <c r="E4202" s="86" t="s">
        <v>1286</v>
      </c>
      <c r="F4202" s="86" t="s">
        <v>1286</v>
      </c>
      <c r="G4202" s="86" t="s">
        <v>1286</v>
      </c>
      <c r="H4202" s="143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1287</v>
      </c>
      <c r="N4202" s="86"/>
      <c r="O4202" s="47" t="s">
        <v>410</v>
      </c>
      <c r="P4202" s="47" t="s">
        <v>46</v>
      </c>
      <c r="Q4202" s="14">
        <v>0.01</v>
      </c>
      <c r="R4202" s="143" t="s">
        <v>1288</v>
      </c>
      <c r="S4202" s="47"/>
      <c r="T4202" s="6">
        <v>-3.8000000000104706</v>
      </c>
      <c r="U4202" s="6"/>
      <c r="V4202" s="6">
        <v>0</v>
      </c>
      <c r="W4202" s="6">
        <f t="shared" si="640"/>
        <v>-3.8000000000104706</v>
      </c>
      <c r="X4202" s="6">
        <f t="shared" si="641"/>
        <v>0</v>
      </c>
      <c r="Y4202" s="13">
        <f t="shared" si="644"/>
        <v>0</v>
      </c>
      <c r="Z4202" s="14">
        <v>0</v>
      </c>
      <c r="AA4202" s="6">
        <v>0</v>
      </c>
      <c r="AB4202" s="4">
        <f t="shared" si="645"/>
        <v>0</v>
      </c>
      <c r="AC4202" s="4">
        <f t="shared" si="647"/>
        <v>0</v>
      </c>
      <c r="AD4202" s="6">
        <f t="shared" si="642"/>
        <v>0</v>
      </c>
      <c r="AE4202" s="2">
        <f>VLOOKUP(I4202,[1]媒体政策预估表!A:N,MATCH(O4202,[1]媒体政策预估表!$A$2:$M$2,0),0)</f>
        <v>7.0000000000000007E-2</v>
      </c>
      <c r="AF4202" s="6">
        <f t="shared" si="648"/>
        <v>0</v>
      </c>
      <c r="AG4202" s="14">
        <v>0</v>
      </c>
      <c r="AH4202" s="65">
        <f t="shared" si="643"/>
        <v>0</v>
      </c>
      <c r="AI4202" s="47"/>
      <c r="AJ4202" s="126" t="e">
        <v>#N/A</v>
      </c>
      <c r="AK4202" s="80">
        <f t="shared" si="646"/>
        <v>0</v>
      </c>
      <c r="AM4202" s="85"/>
    </row>
    <row r="4203" spans="1:39" hidden="1" x14ac:dyDescent="0.3">
      <c r="A4203" s="89" t="s">
        <v>3394</v>
      </c>
      <c r="B4203" s="86" t="s">
        <v>35</v>
      </c>
      <c r="C4203" s="86" t="s">
        <v>65</v>
      </c>
      <c r="D4203" s="86" t="s">
        <v>125</v>
      </c>
      <c r="E4203" s="86" t="s">
        <v>1289</v>
      </c>
      <c r="F4203" s="86" t="s">
        <v>1289</v>
      </c>
      <c r="G4203" s="86" t="s">
        <v>1289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1289</v>
      </c>
      <c r="N4203" s="86"/>
      <c r="O4203" s="47" t="s">
        <v>410</v>
      </c>
      <c r="P4203" s="47" t="s">
        <v>41</v>
      </c>
      <c r="Q4203" s="14">
        <v>0</v>
      </c>
      <c r="R4203" s="143" t="s">
        <v>1290</v>
      </c>
      <c r="S4203" s="47"/>
      <c r="T4203" s="6">
        <v>0.7000000000007276</v>
      </c>
      <c r="U4203" s="6"/>
      <c r="V4203" s="6">
        <v>0</v>
      </c>
      <c r="W4203" s="6">
        <f t="shared" si="640"/>
        <v>0.7000000000007276</v>
      </c>
      <c r="X4203" s="6">
        <f t="shared" si="641"/>
        <v>0</v>
      </c>
      <c r="Y4203" s="13">
        <f t="shared" si="644"/>
        <v>0</v>
      </c>
      <c r="Z4203" s="14">
        <v>0</v>
      </c>
      <c r="AA4203" s="6">
        <v>0</v>
      </c>
      <c r="AB4203" s="4">
        <f t="shared" si="645"/>
        <v>0</v>
      </c>
      <c r="AC4203" s="4">
        <f t="shared" si="647"/>
        <v>0</v>
      </c>
      <c r="AD4203" s="6">
        <f t="shared" si="642"/>
        <v>0</v>
      </c>
      <c r="AE4203" s="2">
        <f>VLOOKUP(I4203,[1]媒体政策预估表!A:N,MATCH(O4203,[1]媒体政策预估表!$A$2:$M$2,0),0)</f>
        <v>7.0000000000000007E-2</v>
      </c>
      <c r="AF4203" s="6">
        <f t="shared" si="648"/>
        <v>0</v>
      </c>
      <c r="AG4203" s="14">
        <v>0</v>
      </c>
      <c r="AH4203" s="65">
        <f t="shared" si="643"/>
        <v>0</v>
      </c>
      <c r="AI4203" s="47"/>
      <c r="AJ4203" s="126" t="e">
        <v>#N/A</v>
      </c>
      <c r="AK4203" s="80">
        <f t="shared" si="646"/>
        <v>0</v>
      </c>
      <c r="AM4203" s="85"/>
    </row>
    <row r="4204" spans="1:39" hidden="1" x14ac:dyDescent="0.3">
      <c r="A4204" s="89" t="s">
        <v>3394</v>
      </c>
      <c r="B4204" s="86" t="s">
        <v>35</v>
      </c>
      <c r="C4204" s="86" t="s">
        <v>65</v>
      </c>
      <c r="D4204" s="86" t="s">
        <v>1291</v>
      </c>
      <c r="E4204" s="86" t="s">
        <v>1308</v>
      </c>
      <c r="F4204" s="86" t="s">
        <v>1309</v>
      </c>
      <c r="G4204" s="86" t="s">
        <v>1308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1308</v>
      </c>
      <c r="N4204" s="86"/>
      <c r="O4204" s="47" t="s">
        <v>410</v>
      </c>
      <c r="P4204" s="47" t="s">
        <v>41</v>
      </c>
      <c r="Q4204" s="14">
        <v>0</v>
      </c>
      <c r="R4204" s="143" t="s">
        <v>1310</v>
      </c>
      <c r="S4204" s="47"/>
      <c r="T4204" s="6">
        <v>148812.20000000001</v>
      </c>
      <c r="U4204" s="6"/>
      <c r="V4204" s="6">
        <v>127237.8</v>
      </c>
      <c r="W4204" s="6">
        <f t="shared" si="640"/>
        <v>21574.400000000009</v>
      </c>
      <c r="X4204" s="6">
        <f t="shared" si="641"/>
        <v>127237.8</v>
      </c>
      <c r="Y4204" s="13">
        <f t="shared" si="644"/>
        <v>0</v>
      </c>
      <c r="Z4204" s="14">
        <v>0</v>
      </c>
      <c r="AA4204" s="6">
        <v>0</v>
      </c>
      <c r="AB4204" s="4">
        <f t="shared" si="645"/>
        <v>127237.8</v>
      </c>
      <c r="AC4204" s="4">
        <f t="shared" si="647"/>
        <v>0</v>
      </c>
      <c r="AD4204" s="6">
        <f t="shared" si="642"/>
        <v>127237.8</v>
      </c>
      <c r="AE4204" s="2">
        <f>VLOOKUP(I4204,[1]媒体政策预估表!A:N,MATCH(O4204,[1]媒体政策预估表!$A$2:$M$2,0),0)</f>
        <v>7.0000000000000007E-2</v>
      </c>
      <c r="AF4204" s="6">
        <f t="shared" si="648"/>
        <v>8906.6460000000006</v>
      </c>
      <c r="AG4204" s="14">
        <v>0</v>
      </c>
      <c r="AH4204" s="65">
        <f t="shared" si="643"/>
        <v>127237.8</v>
      </c>
      <c r="AI4204" s="47"/>
      <c r="AJ4204" s="126" t="e">
        <v>#N/A</v>
      </c>
      <c r="AK4204" s="80">
        <f t="shared" si="646"/>
        <v>0</v>
      </c>
      <c r="AM4204" s="85"/>
    </row>
    <row r="4205" spans="1:39" hidden="1" x14ac:dyDescent="0.3">
      <c r="A4205" s="89" t="s">
        <v>3394</v>
      </c>
      <c r="B4205" s="86" t="s">
        <v>35</v>
      </c>
      <c r="C4205" s="86" t="s">
        <v>47</v>
      </c>
      <c r="D4205" s="86" t="s">
        <v>63</v>
      </c>
      <c r="E4205" s="86" t="s">
        <v>1323</v>
      </c>
      <c r="F4205" s="86" t="s">
        <v>1323</v>
      </c>
      <c r="G4205" s="86" t="s">
        <v>1323</v>
      </c>
      <c r="H4205" s="143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1323</v>
      </c>
      <c r="N4205" s="86"/>
      <c r="O4205" s="47" t="s">
        <v>410</v>
      </c>
      <c r="P4205" s="47" t="s">
        <v>92</v>
      </c>
      <c r="Q4205" s="14">
        <v>0.98</v>
      </c>
      <c r="R4205" s="143" t="s">
        <v>1324</v>
      </c>
      <c r="S4205" s="47"/>
      <c r="T4205" s="6">
        <v>21986</v>
      </c>
      <c r="U4205" s="6"/>
      <c r="V4205" s="6">
        <v>0</v>
      </c>
      <c r="W4205" s="6">
        <f t="shared" si="640"/>
        <v>21986</v>
      </c>
      <c r="X4205" s="6">
        <f t="shared" si="641"/>
        <v>0</v>
      </c>
      <c r="Y4205" s="13">
        <f t="shared" si="644"/>
        <v>0</v>
      </c>
      <c r="Z4205" s="14">
        <v>0</v>
      </c>
      <c r="AA4205" s="6">
        <v>0</v>
      </c>
      <c r="AB4205" s="4">
        <f t="shared" si="645"/>
        <v>0</v>
      </c>
      <c r="AC4205" s="4">
        <f t="shared" si="647"/>
        <v>0</v>
      </c>
      <c r="AD4205" s="6">
        <f t="shared" si="642"/>
        <v>0</v>
      </c>
      <c r="AE4205" s="2">
        <f>VLOOKUP(I4205,[1]媒体政策预估表!A:N,MATCH(O4205,[1]媒体政策预估表!$A$2:$M$2,0),0)</f>
        <v>7.0000000000000007E-2</v>
      </c>
      <c r="AF4205" s="6">
        <f t="shared" si="648"/>
        <v>0</v>
      </c>
      <c r="AG4205" s="14">
        <v>0</v>
      </c>
      <c r="AH4205" s="65">
        <f t="shared" si="643"/>
        <v>0</v>
      </c>
      <c r="AI4205" s="47"/>
      <c r="AJ4205" s="126" t="e">
        <v>#N/A</v>
      </c>
      <c r="AK4205" s="80">
        <f t="shared" si="646"/>
        <v>0</v>
      </c>
      <c r="AM4205" s="85"/>
    </row>
    <row r="4206" spans="1:39" hidden="1" x14ac:dyDescent="0.3">
      <c r="A4206" s="89" t="s">
        <v>3394</v>
      </c>
      <c r="B4206" s="86" t="s">
        <v>35</v>
      </c>
      <c r="C4206" s="86" t="s">
        <v>47</v>
      </c>
      <c r="D4206" s="86" t="s">
        <v>63</v>
      </c>
      <c r="E4206" s="86" t="s">
        <v>1328</v>
      </c>
      <c r="F4206" s="86" t="s">
        <v>1328</v>
      </c>
      <c r="G4206" s="86" t="s">
        <v>1328</v>
      </c>
      <c r="H4206" s="144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1328</v>
      </c>
      <c r="N4206" s="86"/>
      <c r="O4206" s="47" t="s">
        <v>410</v>
      </c>
      <c r="P4206" s="47" t="s">
        <v>41</v>
      </c>
      <c r="Q4206" s="14">
        <v>0</v>
      </c>
      <c r="R4206" s="143">
        <v>18122458657</v>
      </c>
      <c r="S4206" s="47"/>
      <c r="T4206" s="6">
        <v>430.45007000000624</v>
      </c>
      <c r="U4206" s="6"/>
      <c r="V4206" s="6">
        <v>430.45007000000624</v>
      </c>
      <c r="W4206" s="6">
        <f t="shared" si="640"/>
        <v>0</v>
      </c>
      <c r="X4206" s="6">
        <f t="shared" si="641"/>
        <v>430.45007000000624</v>
      </c>
      <c r="Y4206" s="13">
        <f t="shared" si="644"/>
        <v>0</v>
      </c>
      <c r="Z4206" s="14">
        <v>0</v>
      </c>
      <c r="AA4206" s="6">
        <v>0</v>
      </c>
      <c r="AB4206" s="4">
        <f t="shared" si="645"/>
        <v>430.45007000000624</v>
      </c>
      <c r="AC4206" s="4">
        <f t="shared" si="647"/>
        <v>0</v>
      </c>
      <c r="AD4206" s="6">
        <f t="shared" si="642"/>
        <v>430.45007000000624</v>
      </c>
      <c r="AE4206" s="2">
        <f>VLOOKUP(I4206,[1]媒体政策预估表!A:N,MATCH(O4206,[1]媒体政策预估表!$A$2:$M$2,0),0)</f>
        <v>7.0000000000000007E-2</v>
      </c>
      <c r="AF4206" s="6">
        <f t="shared" si="648"/>
        <v>30.13150490000044</v>
      </c>
      <c r="AG4206" s="14">
        <v>0</v>
      </c>
      <c r="AH4206" s="65">
        <f t="shared" si="643"/>
        <v>430.45007000000624</v>
      </c>
      <c r="AI4206" s="47"/>
      <c r="AJ4206" s="126" t="e">
        <v>#N/A</v>
      </c>
      <c r="AK4206" s="80">
        <f t="shared" si="646"/>
        <v>0</v>
      </c>
      <c r="AM4206" s="85"/>
    </row>
    <row r="4207" spans="1:39" hidden="1" x14ac:dyDescent="0.3">
      <c r="A4207" s="89" t="s">
        <v>3394</v>
      </c>
      <c r="B4207" s="86" t="s">
        <v>35</v>
      </c>
      <c r="C4207" s="86" t="s">
        <v>47</v>
      </c>
      <c r="D4207" s="86" t="s">
        <v>63</v>
      </c>
      <c r="E4207" s="86" t="s">
        <v>1329</v>
      </c>
      <c r="F4207" s="86" t="s">
        <v>1330</v>
      </c>
      <c r="G4207" s="86" t="s">
        <v>1329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1329</v>
      </c>
      <c r="N4207" s="86"/>
      <c r="O4207" s="47" t="s">
        <v>410</v>
      </c>
      <c r="P4207" s="47" t="s">
        <v>46</v>
      </c>
      <c r="Q4207" s="14">
        <v>0.02</v>
      </c>
      <c r="R4207" s="143" t="s">
        <v>1331</v>
      </c>
      <c r="S4207" s="47"/>
      <c r="T4207" s="6">
        <v>36961.9</v>
      </c>
      <c r="U4207" s="6"/>
      <c r="V4207" s="6">
        <v>0</v>
      </c>
      <c r="W4207" s="6">
        <f t="shared" si="640"/>
        <v>36961.9</v>
      </c>
      <c r="X4207" s="6">
        <f t="shared" si="641"/>
        <v>0</v>
      </c>
      <c r="Y4207" s="13">
        <f t="shared" si="644"/>
        <v>0</v>
      </c>
      <c r="Z4207" s="14">
        <v>0</v>
      </c>
      <c r="AA4207" s="6">
        <v>0</v>
      </c>
      <c r="AB4207" s="4">
        <f t="shared" si="645"/>
        <v>0</v>
      </c>
      <c r="AC4207" s="4">
        <f t="shared" si="647"/>
        <v>0</v>
      </c>
      <c r="AD4207" s="6">
        <f t="shared" si="642"/>
        <v>0</v>
      </c>
      <c r="AE4207" s="2">
        <f>VLOOKUP(I4207,[1]媒体政策预估表!A:N,MATCH(O4207,[1]媒体政策预估表!$A$2:$M$2,0),0)</f>
        <v>7.0000000000000007E-2</v>
      </c>
      <c r="AF4207" s="6">
        <f t="shared" si="648"/>
        <v>0</v>
      </c>
      <c r="AG4207" s="14">
        <v>0</v>
      </c>
      <c r="AH4207" s="65">
        <f t="shared" si="643"/>
        <v>0</v>
      </c>
      <c r="AI4207" s="47"/>
      <c r="AJ4207" s="126" t="e">
        <v>#N/A</v>
      </c>
      <c r="AK4207" s="80">
        <f t="shared" si="646"/>
        <v>0</v>
      </c>
      <c r="AM4207" s="85"/>
    </row>
    <row r="4208" spans="1:39" hidden="1" x14ac:dyDescent="0.3">
      <c r="A4208" s="89" t="s">
        <v>3394</v>
      </c>
      <c r="B4208" s="86" t="s">
        <v>35</v>
      </c>
      <c r="C4208" s="86" t="s">
        <v>47</v>
      </c>
      <c r="D4208" s="86" t="s">
        <v>63</v>
      </c>
      <c r="E4208" s="86" t="s">
        <v>1332</v>
      </c>
      <c r="F4208" s="86" t="s">
        <v>1332</v>
      </c>
      <c r="G4208" s="86" t="s">
        <v>1332</v>
      </c>
      <c r="H4208" s="144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1332</v>
      </c>
      <c r="N4208" s="86"/>
      <c r="O4208" s="47" t="s">
        <v>410</v>
      </c>
      <c r="P4208" s="47" t="s">
        <v>41</v>
      </c>
      <c r="Q4208" s="14">
        <v>0</v>
      </c>
      <c r="R4208" s="143" t="s">
        <v>1333</v>
      </c>
      <c r="S4208" s="47"/>
      <c r="T4208" s="6">
        <v>930860.17</v>
      </c>
      <c r="U4208" s="6"/>
      <c r="V4208" s="6">
        <v>483406.88</v>
      </c>
      <c r="W4208" s="6">
        <f t="shared" si="640"/>
        <v>447453.29000000004</v>
      </c>
      <c r="X4208" s="6">
        <f t="shared" si="641"/>
        <v>483406.88</v>
      </c>
      <c r="Y4208" s="13">
        <f t="shared" si="644"/>
        <v>0</v>
      </c>
      <c r="Z4208" s="14">
        <v>0</v>
      </c>
      <c r="AA4208" s="6">
        <v>0</v>
      </c>
      <c r="AB4208" s="4">
        <f t="shared" si="645"/>
        <v>483406.88</v>
      </c>
      <c r="AC4208" s="4">
        <f t="shared" si="647"/>
        <v>0</v>
      </c>
      <c r="AD4208" s="6">
        <f t="shared" si="642"/>
        <v>483406.88</v>
      </c>
      <c r="AE4208" s="2">
        <f>VLOOKUP(I4208,[1]媒体政策预估表!A:N,MATCH(O4208,[1]媒体政策预估表!$A$2:$M$2,0),0)</f>
        <v>7.0000000000000007E-2</v>
      </c>
      <c r="AF4208" s="6">
        <f t="shared" si="648"/>
        <v>33838.481600000006</v>
      </c>
      <c r="AG4208" s="14">
        <v>0</v>
      </c>
      <c r="AH4208" s="65">
        <f t="shared" si="643"/>
        <v>483406.88</v>
      </c>
      <c r="AI4208" s="47"/>
      <c r="AJ4208" s="126" t="e">
        <v>#N/A</v>
      </c>
      <c r="AK4208" s="80">
        <f t="shared" si="646"/>
        <v>0</v>
      </c>
      <c r="AM4208" s="85"/>
    </row>
    <row r="4209" spans="1:39" hidden="1" x14ac:dyDescent="0.3">
      <c r="A4209" s="89" t="s">
        <v>3394</v>
      </c>
      <c r="B4209" s="86" t="s">
        <v>35</v>
      </c>
      <c r="C4209" s="86" t="s">
        <v>36</v>
      </c>
      <c r="D4209" s="86" t="s">
        <v>3486</v>
      </c>
      <c r="E4209" s="86" t="s">
        <v>1336</v>
      </c>
      <c r="F4209" s="86" t="s">
        <v>1337</v>
      </c>
      <c r="G4209" s="86" t="s">
        <v>1336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1336</v>
      </c>
      <c r="N4209" s="86"/>
      <c r="O4209" s="47" t="s">
        <v>410</v>
      </c>
      <c r="P4209" s="47" t="s">
        <v>41</v>
      </c>
      <c r="Q4209" s="14">
        <v>0</v>
      </c>
      <c r="R4209" s="143" t="s">
        <v>1339</v>
      </c>
      <c r="S4209" s="47"/>
      <c r="T4209" s="6">
        <v>600000</v>
      </c>
      <c r="U4209" s="6"/>
      <c r="V4209" s="6">
        <v>0</v>
      </c>
      <c r="W4209" s="6">
        <f t="shared" si="640"/>
        <v>600000</v>
      </c>
      <c r="X4209" s="6">
        <f t="shared" si="641"/>
        <v>0</v>
      </c>
      <c r="Y4209" s="13">
        <f t="shared" si="644"/>
        <v>0</v>
      </c>
      <c r="Z4209" s="14">
        <v>0</v>
      </c>
      <c r="AA4209" s="6">
        <v>0</v>
      </c>
      <c r="AB4209" s="4">
        <f t="shared" si="645"/>
        <v>0</v>
      </c>
      <c r="AC4209" s="4">
        <f t="shared" si="647"/>
        <v>0</v>
      </c>
      <c r="AD4209" s="6">
        <f t="shared" si="642"/>
        <v>0</v>
      </c>
      <c r="AE4209" s="2">
        <f>VLOOKUP(I4209,[1]媒体政策预估表!A:N,MATCH(O4209,[1]媒体政策预估表!$A$2:$M$2,0),0)</f>
        <v>7.0000000000000007E-2</v>
      </c>
      <c r="AF4209" s="6">
        <f t="shared" si="648"/>
        <v>0</v>
      </c>
      <c r="AG4209" s="14">
        <v>0</v>
      </c>
      <c r="AH4209" s="65">
        <f t="shared" si="643"/>
        <v>0</v>
      </c>
      <c r="AI4209" s="47"/>
      <c r="AJ4209" s="126" t="e">
        <v>#N/A</v>
      </c>
      <c r="AK4209" s="80">
        <f t="shared" si="646"/>
        <v>0</v>
      </c>
      <c r="AM4209" s="85"/>
    </row>
    <row r="4210" spans="1:39" hidden="1" x14ac:dyDescent="0.3">
      <c r="A4210" s="89" t="s">
        <v>3394</v>
      </c>
      <c r="B4210" s="86" t="s">
        <v>35</v>
      </c>
      <c r="C4210" s="86" t="s">
        <v>47</v>
      </c>
      <c r="D4210" s="86" t="s">
        <v>48</v>
      </c>
      <c r="E4210" s="86" t="s">
        <v>540</v>
      </c>
      <c r="F4210" s="86" t="s">
        <v>541</v>
      </c>
      <c r="G4210" s="86" t="s">
        <v>540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540</v>
      </c>
      <c r="N4210" s="86"/>
      <c r="O4210" s="47" t="s">
        <v>410</v>
      </c>
      <c r="P4210" s="47" t="s">
        <v>41</v>
      </c>
      <c r="Q4210" s="14">
        <v>0</v>
      </c>
      <c r="R4210" s="143" t="s">
        <v>1354</v>
      </c>
      <c r="S4210" s="47"/>
      <c r="T4210" s="6">
        <v>37145.1</v>
      </c>
      <c r="U4210" s="6"/>
      <c r="V4210" s="6">
        <v>0</v>
      </c>
      <c r="W4210" s="6">
        <f t="shared" si="640"/>
        <v>37145.1</v>
      </c>
      <c r="X4210" s="6">
        <f t="shared" si="641"/>
        <v>0</v>
      </c>
      <c r="Y4210" s="13">
        <f t="shared" si="644"/>
        <v>0</v>
      </c>
      <c r="Z4210" s="14">
        <v>0</v>
      </c>
      <c r="AA4210" s="6">
        <v>0</v>
      </c>
      <c r="AB4210" s="4">
        <f t="shared" si="645"/>
        <v>0</v>
      </c>
      <c r="AC4210" s="4">
        <f t="shared" si="647"/>
        <v>0</v>
      </c>
      <c r="AD4210" s="6">
        <f t="shared" si="642"/>
        <v>0</v>
      </c>
      <c r="AE4210" s="2">
        <f>VLOOKUP(I4210,[1]媒体政策预估表!A:N,MATCH(O4210,[1]媒体政策预估表!$A$2:$M$2,0),0)</f>
        <v>7.0000000000000007E-2</v>
      </c>
      <c r="AF4210" s="6">
        <f t="shared" si="648"/>
        <v>0</v>
      </c>
      <c r="AG4210" s="14">
        <v>0</v>
      </c>
      <c r="AH4210" s="65">
        <f t="shared" si="643"/>
        <v>0</v>
      </c>
      <c r="AI4210" s="47"/>
      <c r="AJ4210" s="126" t="e">
        <v>#N/A</v>
      </c>
      <c r="AK4210" s="80">
        <f t="shared" si="646"/>
        <v>0</v>
      </c>
      <c r="AM4210" s="85"/>
    </row>
    <row r="4211" spans="1:39" hidden="1" x14ac:dyDescent="0.3">
      <c r="A4211" s="89" t="s">
        <v>3394</v>
      </c>
      <c r="B4211" s="86" t="s">
        <v>35</v>
      </c>
      <c r="C4211" s="86" t="s">
        <v>47</v>
      </c>
      <c r="D4211" s="86" t="s">
        <v>48</v>
      </c>
      <c r="E4211" s="86" t="s">
        <v>1366</v>
      </c>
      <c r="F4211" s="86" t="s">
        <v>1367</v>
      </c>
      <c r="G4211" s="86" t="s">
        <v>1366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540</v>
      </c>
      <c r="N4211" s="86"/>
      <c r="O4211" s="47" t="s">
        <v>410</v>
      </c>
      <c r="P4211" s="47" t="s">
        <v>41</v>
      </c>
      <c r="Q4211" s="14">
        <v>0</v>
      </c>
      <c r="R4211" s="143" t="s">
        <v>1370</v>
      </c>
      <c r="S4211" s="47"/>
      <c r="T4211" s="6">
        <v>4250</v>
      </c>
      <c r="U4211" s="6"/>
      <c r="V4211" s="6">
        <v>0</v>
      </c>
      <c r="W4211" s="6">
        <f t="shared" si="640"/>
        <v>4250</v>
      </c>
      <c r="X4211" s="6">
        <f t="shared" si="641"/>
        <v>0</v>
      </c>
      <c r="Y4211" s="13">
        <f t="shared" si="644"/>
        <v>0</v>
      </c>
      <c r="Z4211" s="14">
        <v>0</v>
      </c>
      <c r="AA4211" s="6">
        <v>0</v>
      </c>
      <c r="AB4211" s="4">
        <f t="shared" si="645"/>
        <v>0</v>
      </c>
      <c r="AC4211" s="4">
        <f t="shared" si="647"/>
        <v>0</v>
      </c>
      <c r="AD4211" s="6">
        <f t="shared" si="642"/>
        <v>0</v>
      </c>
      <c r="AE4211" s="2">
        <f>VLOOKUP(I4211,[1]媒体政策预估表!A:N,MATCH(O4211,[1]媒体政策预估表!$A$2:$M$2,0),0)</f>
        <v>7.0000000000000007E-2</v>
      </c>
      <c r="AF4211" s="6">
        <f t="shared" si="648"/>
        <v>0</v>
      </c>
      <c r="AG4211" s="14">
        <v>0</v>
      </c>
      <c r="AH4211" s="65">
        <f t="shared" si="643"/>
        <v>0</v>
      </c>
      <c r="AI4211" s="47"/>
      <c r="AJ4211" s="126" t="e">
        <v>#N/A</v>
      </c>
      <c r="AK4211" s="80">
        <f t="shared" si="646"/>
        <v>0</v>
      </c>
      <c r="AM4211" s="85"/>
    </row>
    <row r="4212" spans="1:39" hidden="1" x14ac:dyDescent="0.3">
      <c r="A4212" s="89" t="s">
        <v>3394</v>
      </c>
      <c r="B4212" s="86" t="s">
        <v>35</v>
      </c>
      <c r="C4212" s="86" t="s">
        <v>47</v>
      </c>
      <c r="D4212" s="86" t="s">
        <v>48</v>
      </c>
      <c r="E4212" s="86" t="s">
        <v>1366</v>
      </c>
      <c r="F4212" s="86" t="s">
        <v>1367</v>
      </c>
      <c r="G4212" s="86" t="s">
        <v>1366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1366</v>
      </c>
      <c r="N4212" s="86"/>
      <c r="O4212" s="47" t="s">
        <v>410</v>
      </c>
      <c r="P4212" s="47" t="s">
        <v>41</v>
      </c>
      <c r="Q4212" s="14">
        <v>0</v>
      </c>
      <c r="R4212" s="143" t="s">
        <v>1371</v>
      </c>
      <c r="S4212" s="47"/>
      <c r="T4212" s="6">
        <v>45402.7</v>
      </c>
      <c r="U4212" s="6"/>
      <c r="V4212" s="6">
        <v>0</v>
      </c>
      <c r="W4212" s="6">
        <f t="shared" si="640"/>
        <v>45402.7</v>
      </c>
      <c r="X4212" s="6">
        <f t="shared" si="641"/>
        <v>0</v>
      </c>
      <c r="Y4212" s="13">
        <f t="shared" si="644"/>
        <v>0</v>
      </c>
      <c r="Z4212" s="14">
        <v>0</v>
      </c>
      <c r="AA4212" s="6">
        <v>0</v>
      </c>
      <c r="AB4212" s="4">
        <f t="shared" si="645"/>
        <v>0</v>
      </c>
      <c r="AC4212" s="4">
        <f t="shared" si="647"/>
        <v>0</v>
      </c>
      <c r="AD4212" s="6">
        <f t="shared" si="642"/>
        <v>0</v>
      </c>
      <c r="AE4212" s="2">
        <f>VLOOKUP(I4212,[1]媒体政策预估表!A:N,MATCH(O4212,[1]媒体政策预估表!$A$2:$M$2,0),0)</f>
        <v>7.0000000000000007E-2</v>
      </c>
      <c r="AF4212" s="6">
        <f t="shared" si="648"/>
        <v>0</v>
      </c>
      <c r="AG4212" s="14">
        <v>0</v>
      </c>
      <c r="AH4212" s="65">
        <f t="shared" si="643"/>
        <v>0</v>
      </c>
      <c r="AI4212" s="47"/>
      <c r="AJ4212" s="126" t="e">
        <v>#N/A</v>
      </c>
      <c r="AK4212" s="80">
        <f t="shared" si="646"/>
        <v>0</v>
      </c>
      <c r="AM4212" s="85"/>
    </row>
    <row r="4213" spans="1:39" hidden="1" x14ac:dyDescent="0.3">
      <c r="A4213" s="89" t="s">
        <v>3395</v>
      </c>
      <c r="B4213" s="86" t="s">
        <v>35</v>
      </c>
      <c r="C4213" s="86" t="s">
        <v>47</v>
      </c>
      <c r="D4213" s="86" t="s">
        <v>48</v>
      </c>
      <c r="E4213" s="86" t="s">
        <v>1366</v>
      </c>
      <c r="F4213" s="86" t="s">
        <v>1367</v>
      </c>
      <c r="G4213" s="86" t="s">
        <v>1366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1366</v>
      </c>
      <c r="N4213" s="86"/>
      <c r="O4213" s="47" t="s">
        <v>410</v>
      </c>
      <c r="P4213" s="47" t="s">
        <v>41</v>
      </c>
      <c r="Q4213" s="14">
        <v>0</v>
      </c>
      <c r="R4213" s="143" t="s">
        <v>1372</v>
      </c>
      <c r="S4213" s="47"/>
      <c r="T4213" s="6">
        <v>38794.9</v>
      </c>
      <c r="U4213" s="6"/>
      <c r="V4213" s="6">
        <v>0</v>
      </c>
      <c r="W4213" s="6">
        <f t="shared" si="640"/>
        <v>38794.9</v>
      </c>
      <c r="X4213" s="6">
        <f t="shared" si="641"/>
        <v>0</v>
      </c>
      <c r="Y4213" s="13">
        <f t="shared" si="644"/>
        <v>0</v>
      </c>
      <c r="Z4213" s="14">
        <v>0</v>
      </c>
      <c r="AA4213" s="6">
        <v>0</v>
      </c>
      <c r="AB4213" s="4">
        <f t="shared" si="645"/>
        <v>0</v>
      </c>
      <c r="AC4213" s="4">
        <f t="shared" si="647"/>
        <v>0</v>
      </c>
      <c r="AD4213" s="6">
        <f t="shared" si="642"/>
        <v>0</v>
      </c>
      <c r="AE4213" s="2">
        <f>VLOOKUP(I4213,[1]媒体政策预估表!A:N,MATCH(O4213,[1]媒体政策预估表!$A$2:$M$2,0),0)</f>
        <v>7.0000000000000007E-2</v>
      </c>
      <c r="AF4213" s="6">
        <f t="shared" si="648"/>
        <v>0</v>
      </c>
      <c r="AG4213" s="14">
        <v>0</v>
      </c>
      <c r="AH4213" s="65">
        <f t="shared" si="643"/>
        <v>0</v>
      </c>
      <c r="AI4213" s="47"/>
      <c r="AJ4213" s="126" t="e">
        <v>#N/A</v>
      </c>
      <c r="AK4213" s="80">
        <f t="shared" si="646"/>
        <v>0</v>
      </c>
      <c r="AM4213" s="85"/>
    </row>
    <row r="4214" spans="1:39" hidden="1" x14ac:dyDescent="0.3">
      <c r="A4214" s="89" t="s">
        <v>3394</v>
      </c>
      <c r="B4214" s="86" t="s">
        <v>35</v>
      </c>
      <c r="C4214" s="86" t="s">
        <v>144</v>
      </c>
      <c r="D4214" s="86" t="s">
        <v>145</v>
      </c>
      <c r="E4214" s="86" t="s">
        <v>561</v>
      </c>
      <c r="F4214" s="86" t="s">
        <v>561</v>
      </c>
      <c r="G4214" s="86" t="s">
        <v>561</v>
      </c>
      <c r="H4214" s="144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561</v>
      </c>
      <c r="N4214" s="86"/>
      <c r="O4214" s="47" t="s">
        <v>410</v>
      </c>
      <c r="P4214" s="47" t="s">
        <v>46</v>
      </c>
      <c r="Q4214" s="14">
        <v>0.02</v>
      </c>
      <c r="R4214" s="143" t="s">
        <v>1373</v>
      </c>
      <c r="S4214" s="47"/>
      <c r="T4214" s="6">
        <v>9422.5</v>
      </c>
      <c r="U4214" s="6"/>
      <c r="V4214" s="6">
        <v>3787.5</v>
      </c>
      <c r="W4214" s="6">
        <f t="shared" si="640"/>
        <v>5635</v>
      </c>
      <c r="X4214" s="6">
        <f t="shared" si="641"/>
        <v>3713.2352941176468</v>
      </c>
      <c r="Y4214" s="13">
        <f t="shared" si="644"/>
        <v>0</v>
      </c>
      <c r="Z4214" s="14">
        <v>0</v>
      </c>
      <c r="AA4214" s="6">
        <v>0</v>
      </c>
      <c r="AB4214" s="4">
        <f t="shared" si="645"/>
        <v>3713.2352941176468</v>
      </c>
      <c r="AC4214" s="4">
        <f t="shared" si="647"/>
        <v>74.264705882353155</v>
      </c>
      <c r="AD4214" s="6">
        <f t="shared" si="642"/>
        <v>3787.5</v>
      </c>
      <c r="AE4214" s="2">
        <f>VLOOKUP(I4214,[1]媒体政策预估表!A:N,MATCH(O4214,[1]媒体政策预估表!$A$2:$M$2,0),0)</f>
        <v>7.0000000000000007E-2</v>
      </c>
      <c r="AF4214" s="6">
        <f t="shared" si="648"/>
        <v>265.125</v>
      </c>
      <c r="AG4214" s="14">
        <v>0</v>
      </c>
      <c r="AH4214" s="65">
        <f t="shared" si="643"/>
        <v>3787.5</v>
      </c>
      <c r="AI4214" s="47"/>
      <c r="AJ4214" s="126" t="e">
        <v>#N/A</v>
      </c>
      <c r="AK4214" s="80">
        <f t="shared" si="646"/>
        <v>0</v>
      </c>
      <c r="AM4214" s="85"/>
    </row>
    <row r="4215" spans="1:39" hidden="1" x14ac:dyDescent="0.3">
      <c r="A4215" s="89" t="s">
        <v>3394</v>
      </c>
      <c r="B4215" s="86" t="s">
        <v>35</v>
      </c>
      <c r="C4215" s="86" t="s">
        <v>144</v>
      </c>
      <c r="D4215" s="86" t="s">
        <v>145</v>
      </c>
      <c r="E4215" s="86" t="s">
        <v>1377</v>
      </c>
      <c r="F4215" s="86" t="s">
        <v>1377</v>
      </c>
      <c r="G4215" s="86" t="s">
        <v>1377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1378</v>
      </c>
      <c r="N4215" s="86"/>
      <c r="O4215" s="47" t="s">
        <v>410</v>
      </c>
      <c r="P4215" s="47" t="s">
        <v>41</v>
      </c>
      <c r="Q4215" s="14">
        <v>0</v>
      </c>
      <c r="R4215" s="143" t="s">
        <v>1379</v>
      </c>
      <c r="S4215" s="47"/>
      <c r="T4215" s="6">
        <v>0.90000000000145519</v>
      </c>
      <c r="U4215" s="6"/>
      <c r="V4215" s="6">
        <v>0</v>
      </c>
      <c r="W4215" s="6">
        <f t="shared" si="640"/>
        <v>0.90000000000145519</v>
      </c>
      <c r="X4215" s="6">
        <f t="shared" si="641"/>
        <v>0</v>
      </c>
      <c r="Y4215" s="13">
        <f t="shared" si="644"/>
        <v>0</v>
      </c>
      <c r="Z4215" s="14">
        <v>0</v>
      </c>
      <c r="AA4215" s="6">
        <v>0</v>
      </c>
      <c r="AB4215" s="4">
        <f t="shared" si="645"/>
        <v>0</v>
      </c>
      <c r="AC4215" s="4">
        <f t="shared" si="647"/>
        <v>0</v>
      </c>
      <c r="AD4215" s="6">
        <f t="shared" si="642"/>
        <v>0</v>
      </c>
      <c r="AE4215" s="2">
        <f>VLOOKUP(I4215,[1]媒体政策预估表!A:N,MATCH(O4215,[1]媒体政策预估表!$A$2:$M$2,0),0)</f>
        <v>7.0000000000000007E-2</v>
      </c>
      <c r="AF4215" s="6">
        <f t="shared" si="648"/>
        <v>0</v>
      </c>
      <c r="AG4215" s="14">
        <v>0</v>
      </c>
      <c r="AH4215" s="65">
        <f t="shared" si="643"/>
        <v>0</v>
      </c>
      <c r="AI4215" s="47"/>
      <c r="AJ4215" s="126" t="e">
        <v>#N/A</v>
      </c>
      <c r="AK4215" s="80">
        <f t="shared" si="646"/>
        <v>0</v>
      </c>
      <c r="AM4215" s="85"/>
    </row>
    <row r="4216" spans="1:39" hidden="1" x14ac:dyDescent="0.3">
      <c r="A4216" s="89" t="s">
        <v>3394</v>
      </c>
      <c r="B4216" s="86" t="s">
        <v>35</v>
      </c>
      <c r="C4216" s="86" t="s">
        <v>144</v>
      </c>
      <c r="D4216" s="86" t="s">
        <v>145</v>
      </c>
      <c r="E4216" s="86" t="s">
        <v>146</v>
      </c>
      <c r="F4216" s="86" t="s">
        <v>146</v>
      </c>
      <c r="G4216" s="86" t="s">
        <v>146</v>
      </c>
      <c r="H4216" s="144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146</v>
      </c>
      <c r="N4216" s="86"/>
      <c r="O4216" s="47" t="s">
        <v>410</v>
      </c>
      <c r="P4216" s="47" t="s">
        <v>41</v>
      </c>
      <c r="Q4216" s="14">
        <v>0</v>
      </c>
      <c r="R4216" s="143" t="s">
        <v>1384</v>
      </c>
      <c r="S4216" s="47"/>
      <c r="T4216" s="6">
        <v>120974.40000000002</v>
      </c>
      <c r="U4216" s="6"/>
      <c r="V4216" s="6">
        <v>97768.1</v>
      </c>
      <c r="W4216" s="6">
        <f t="shared" si="640"/>
        <v>23206.300000000017</v>
      </c>
      <c r="X4216" s="6">
        <f t="shared" si="641"/>
        <v>97768.1</v>
      </c>
      <c r="Y4216" s="13">
        <f t="shared" si="644"/>
        <v>0</v>
      </c>
      <c r="Z4216" s="14">
        <v>0</v>
      </c>
      <c r="AA4216" s="6">
        <v>0</v>
      </c>
      <c r="AB4216" s="4">
        <f t="shared" si="645"/>
        <v>97768.1</v>
      </c>
      <c r="AC4216" s="4">
        <f t="shared" si="647"/>
        <v>0</v>
      </c>
      <c r="AD4216" s="6">
        <f t="shared" si="642"/>
        <v>97768.1</v>
      </c>
      <c r="AE4216" s="2">
        <f>VLOOKUP(I4216,[1]媒体政策预估表!A:N,MATCH(O4216,[1]媒体政策预估表!$A$2:$M$2,0),0)</f>
        <v>7.0000000000000007E-2</v>
      </c>
      <c r="AF4216" s="6">
        <f t="shared" si="648"/>
        <v>6843.7670000000007</v>
      </c>
      <c r="AG4216" s="14">
        <v>0</v>
      </c>
      <c r="AH4216" s="65">
        <f t="shared" si="643"/>
        <v>97768.1</v>
      </c>
      <c r="AI4216" s="47"/>
      <c r="AJ4216" s="126" t="e">
        <v>#N/A</v>
      </c>
      <c r="AK4216" s="80">
        <f t="shared" si="646"/>
        <v>0</v>
      </c>
      <c r="AM4216" s="85"/>
    </row>
    <row r="4217" spans="1:39" hidden="1" x14ac:dyDescent="0.3">
      <c r="A4217" s="89" t="s">
        <v>3394</v>
      </c>
      <c r="B4217" s="86" t="s">
        <v>35</v>
      </c>
      <c r="C4217" s="86" t="s">
        <v>144</v>
      </c>
      <c r="D4217" s="86" t="s">
        <v>145</v>
      </c>
      <c r="E4217" s="86" t="s">
        <v>1385</v>
      </c>
      <c r="F4217" s="86" t="s">
        <v>1386</v>
      </c>
      <c r="G4217" s="86" t="s">
        <v>1385</v>
      </c>
      <c r="H4217" s="144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1385</v>
      </c>
      <c r="N4217" s="86"/>
      <c r="O4217" s="47" t="s">
        <v>410</v>
      </c>
      <c r="P4217" s="47" t="s">
        <v>41</v>
      </c>
      <c r="Q4217" s="14">
        <v>0</v>
      </c>
      <c r="R4217" s="143" t="s">
        <v>1387</v>
      </c>
      <c r="S4217" s="47"/>
      <c r="T4217" s="6">
        <v>173630.30000000005</v>
      </c>
      <c r="U4217" s="6"/>
      <c r="V4217" s="6">
        <v>78754.600000000006</v>
      </c>
      <c r="W4217" s="6">
        <f t="shared" si="640"/>
        <v>94875.700000000041</v>
      </c>
      <c r="X4217" s="6">
        <f t="shared" si="641"/>
        <v>78754.600000000006</v>
      </c>
      <c r="Y4217" s="13">
        <f t="shared" si="644"/>
        <v>0</v>
      </c>
      <c r="Z4217" s="14">
        <v>0</v>
      </c>
      <c r="AA4217" s="6">
        <v>0</v>
      </c>
      <c r="AB4217" s="4">
        <f t="shared" si="645"/>
        <v>78754.600000000006</v>
      </c>
      <c r="AC4217" s="4">
        <f t="shared" si="647"/>
        <v>0</v>
      </c>
      <c r="AD4217" s="6">
        <f t="shared" si="642"/>
        <v>78754.600000000006</v>
      </c>
      <c r="AE4217" s="2">
        <f>VLOOKUP(I4217,[1]媒体政策预估表!A:N,MATCH(O4217,[1]媒体政策预估表!$A$2:$M$2,0),0)</f>
        <v>7.0000000000000007E-2</v>
      </c>
      <c r="AF4217" s="6">
        <f t="shared" si="648"/>
        <v>5512.822000000001</v>
      </c>
      <c r="AG4217" s="14">
        <v>0</v>
      </c>
      <c r="AH4217" s="65">
        <f t="shared" si="643"/>
        <v>78754.600000000006</v>
      </c>
      <c r="AI4217" s="47"/>
      <c r="AJ4217" s="126" t="e">
        <v>#N/A</v>
      </c>
      <c r="AK4217" s="80">
        <f t="shared" si="646"/>
        <v>0</v>
      </c>
      <c r="AM4217" s="85"/>
    </row>
    <row r="4218" spans="1:39" hidden="1" x14ac:dyDescent="0.3">
      <c r="A4218" s="89" t="s">
        <v>3394</v>
      </c>
      <c r="B4218" s="86" t="s">
        <v>35</v>
      </c>
      <c r="C4218" s="86" t="s">
        <v>144</v>
      </c>
      <c r="D4218" s="86" t="s">
        <v>145</v>
      </c>
      <c r="E4218" s="86" t="s">
        <v>1388</v>
      </c>
      <c r="F4218" s="86" t="s">
        <v>1388</v>
      </c>
      <c r="G4218" s="86" t="s">
        <v>1388</v>
      </c>
      <c r="H4218" s="144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1388</v>
      </c>
      <c r="N4218" s="86"/>
      <c r="O4218" s="47" t="s">
        <v>410</v>
      </c>
      <c r="P4218" s="47" t="s">
        <v>41</v>
      </c>
      <c r="Q4218" s="14">
        <v>0</v>
      </c>
      <c r="R4218" s="143" t="s">
        <v>1389</v>
      </c>
      <c r="S4218" s="47"/>
      <c r="T4218" s="6">
        <v>11995.59</v>
      </c>
      <c r="U4218" s="6"/>
      <c r="V4218" s="6">
        <v>1800</v>
      </c>
      <c r="W4218" s="6">
        <f t="shared" si="640"/>
        <v>10195.59</v>
      </c>
      <c r="X4218" s="6">
        <f t="shared" si="641"/>
        <v>1800</v>
      </c>
      <c r="Y4218" s="13">
        <f t="shared" si="644"/>
        <v>0</v>
      </c>
      <c r="Z4218" s="14">
        <v>0</v>
      </c>
      <c r="AA4218" s="6">
        <v>0</v>
      </c>
      <c r="AB4218" s="4">
        <f t="shared" si="645"/>
        <v>1800</v>
      </c>
      <c r="AC4218" s="4">
        <f t="shared" si="647"/>
        <v>0</v>
      </c>
      <c r="AD4218" s="6">
        <f t="shared" si="642"/>
        <v>1800</v>
      </c>
      <c r="AE4218" s="2">
        <f>VLOOKUP(I4218,[1]媒体政策预估表!A:N,MATCH(O4218,[1]媒体政策预估表!$A$2:$M$2,0),0)</f>
        <v>7.0000000000000007E-2</v>
      </c>
      <c r="AF4218" s="6">
        <f t="shared" si="648"/>
        <v>126.00000000000001</v>
      </c>
      <c r="AG4218" s="14">
        <v>0</v>
      </c>
      <c r="AH4218" s="65">
        <f t="shared" si="643"/>
        <v>1800</v>
      </c>
      <c r="AI4218" s="47"/>
      <c r="AJ4218" s="126" t="e">
        <v>#N/A</v>
      </c>
      <c r="AK4218" s="80">
        <f t="shared" si="646"/>
        <v>0</v>
      </c>
      <c r="AM4218" s="85"/>
    </row>
    <row r="4219" spans="1:39" hidden="1" x14ac:dyDescent="0.3">
      <c r="A4219" s="89" t="s">
        <v>3394</v>
      </c>
      <c r="B4219" s="86" t="s">
        <v>35</v>
      </c>
      <c r="C4219" s="86" t="s">
        <v>144</v>
      </c>
      <c r="D4219" s="86" t="s">
        <v>145</v>
      </c>
      <c r="E4219" s="86" t="s">
        <v>1392</v>
      </c>
      <c r="F4219" s="86" t="s">
        <v>1392</v>
      </c>
      <c r="G4219" s="86" t="s">
        <v>1392</v>
      </c>
      <c r="H4219" s="144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1392</v>
      </c>
      <c r="N4219" s="86"/>
      <c r="O4219" s="47" t="s">
        <v>410</v>
      </c>
      <c r="P4219" s="47" t="s">
        <v>41</v>
      </c>
      <c r="Q4219" s="14">
        <v>0</v>
      </c>
      <c r="R4219" s="143" t="s">
        <v>1393</v>
      </c>
      <c r="S4219" s="47"/>
      <c r="T4219" s="6">
        <v>13666.5</v>
      </c>
      <c r="U4219" s="6"/>
      <c r="V4219" s="6">
        <v>3150</v>
      </c>
      <c r="W4219" s="6">
        <f t="shared" ref="W4219:W4282" si="649">T4219+U4219-V4219</f>
        <v>10516.5</v>
      </c>
      <c r="X4219" s="6">
        <f t="shared" ref="X4219:X4282" si="650">IF(P4219="折扣",V4219*Q4219,IF(P4219="返现",V4219,V4219/(1+Q4219)))</f>
        <v>3150</v>
      </c>
      <c r="Y4219" s="13">
        <f t="shared" si="644"/>
        <v>0</v>
      </c>
      <c r="Z4219" s="14">
        <v>0</v>
      </c>
      <c r="AA4219" s="6">
        <v>0</v>
      </c>
      <c r="AB4219" s="4">
        <f t="shared" si="645"/>
        <v>3150</v>
      </c>
      <c r="AC4219" s="4">
        <f t="shared" si="647"/>
        <v>0</v>
      </c>
      <c r="AD4219" s="6">
        <f t="shared" ref="AD4219:AD4282" si="651">V4219</f>
        <v>3150</v>
      </c>
      <c r="AE4219" s="2">
        <f>VLOOKUP(I4219,[1]媒体政策预估表!A:N,MATCH(O4219,[1]媒体政策预估表!$A$2:$M$2,0),0)</f>
        <v>7.0000000000000007E-2</v>
      </c>
      <c r="AF4219" s="6">
        <f t="shared" si="648"/>
        <v>220.50000000000003</v>
      </c>
      <c r="AG4219" s="14">
        <v>0</v>
      </c>
      <c r="AH4219" s="65">
        <f t="shared" ref="AH4219:AH4282" si="652">V4219</f>
        <v>3150</v>
      </c>
      <c r="AI4219" s="47"/>
      <c r="AJ4219" s="126" t="e">
        <v>#N/A</v>
      </c>
      <c r="AK4219" s="80">
        <f t="shared" si="646"/>
        <v>0</v>
      </c>
      <c r="AM4219" s="85"/>
    </row>
    <row r="4220" spans="1:39" hidden="1" x14ac:dyDescent="0.3">
      <c r="A4220" s="89" t="s">
        <v>3394</v>
      </c>
      <c r="B4220" s="86" t="s">
        <v>35</v>
      </c>
      <c r="C4220" s="86" t="s">
        <v>144</v>
      </c>
      <c r="D4220" s="86" t="s">
        <v>145</v>
      </c>
      <c r="E4220" s="86" t="s">
        <v>1394</v>
      </c>
      <c r="F4220" s="86" t="s">
        <v>1394</v>
      </c>
      <c r="G4220" s="86" t="s">
        <v>1394</v>
      </c>
      <c r="H4220" s="144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1394</v>
      </c>
      <c r="N4220" s="86"/>
      <c r="O4220" s="47" t="s">
        <v>410</v>
      </c>
      <c r="P4220" s="47" t="s">
        <v>41</v>
      </c>
      <c r="Q4220" s="14">
        <v>0</v>
      </c>
      <c r="R4220" s="143">
        <v>9925076</v>
      </c>
      <c r="S4220" s="47"/>
      <c r="T4220" s="6">
        <v>18222.599999999999</v>
      </c>
      <c r="U4220" s="6"/>
      <c r="V4220" s="6">
        <v>11188.5</v>
      </c>
      <c r="W4220" s="6">
        <f t="shared" si="649"/>
        <v>7034.0999999999985</v>
      </c>
      <c r="X4220" s="6">
        <f t="shared" si="650"/>
        <v>11188.5</v>
      </c>
      <c r="Y4220" s="13">
        <f t="shared" si="644"/>
        <v>0</v>
      </c>
      <c r="Z4220" s="14">
        <v>0</v>
      </c>
      <c r="AA4220" s="6">
        <v>0</v>
      </c>
      <c r="AB4220" s="4">
        <f t="shared" si="645"/>
        <v>11188.5</v>
      </c>
      <c r="AC4220" s="4">
        <f t="shared" si="647"/>
        <v>0</v>
      </c>
      <c r="AD4220" s="6">
        <f t="shared" si="651"/>
        <v>11188.5</v>
      </c>
      <c r="AE4220" s="2">
        <f>VLOOKUP(I4220,[1]媒体政策预估表!A:N,MATCH(O4220,[1]媒体政策预估表!$A$2:$M$2,0),0)</f>
        <v>7.0000000000000007E-2</v>
      </c>
      <c r="AF4220" s="6">
        <f t="shared" si="648"/>
        <v>783.19500000000005</v>
      </c>
      <c r="AG4220" s="14">
        <v>0</v>
      </c>
      <c r="AH4220" s="65">
        <f t="shared" si="652"/>
        <v>11188.5</v>
      </c>
      <c r="AI4220" s="47"/>
      <c r="AJ4220" s="126" t="e">
        <v>#N/A</v>
      </c>
      <c r="AK4220" s="80">
        <f t="shared" si="646"/>
        <v>0</v>
      </c>
      <c r="AM4220" s="85"/>
    </row>
    <row r="4221" spans="1:39" hidden="1" x14ac:dyDescent="0.3">
      <c r="A4221" s="89" t="s">
        <v>3395</v>
      </c>
      <c r="B4221" s="86" t="s">
        <v>35</v>
      </c>
      <c r="C4221" s="86" t="s">
        <v>144</v>
      </c>
      <c r="D4221" s="86" t="s">
        <v>145</v>
      </c>
      <c r="E4221" s="86" t="s">
        <v>805</v>
      </c>
      <c r="F4221" s="86" t="s">
        <v>805</v>
      </c>
      <c r="G4221" s="86" t="s">
        <v>805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805</v>
      </c>
      <c r="N4221" s="86"/>
      <c r="O4221" s="47" t="s">
        <v>410</v>
      </c>
      <c r="P4221" s="47" t="s">
        <v>46</v>
      </c>
      <c r="Q4221" s="14">
        <v>0.02</v>
      </c>
      <c r="R4221" s="143" t="s">
        <v>1401</v>
      </c>
      <c r="S4221" s="47"/>
      <c r="T4221" s="6">
        <v>20000</v>
      </c>
      <c r="U4221" s="6"/>
      <c r="V4221" s="6">
        <v>0</v>
      </c>
      <c r="W4221" s="6">
        <f t="shared" si="649"/>
        <v>20000</v>
      </c>
      <c r="X4221" s="6">
        <f t="shared" si="650"/>
        <v>0</v>
      </c>
      <c r="Y4221" s="13">
        <f t="shared" si="644"/>
        <v>0</v>
      </c>
      <c r="Z4221" s="14">
        <v>0</v>
      </c>
      <c r="AA4221" s="6">
        <v>0</v>
      </c>
      <c r="AB4221" s="4">
        <f t="shared" si="645"/>
        <v>0</v>
      </c>
      <c r="AC4221" s="4">
        <f t="shared" si="647"/>
        <v>0</v>
      </c>
      <c r="AD4221" s="6">
        <f t="shared" si="651"/>
        <v>0</v>
      </c>
      <c r="AE4221" s="2">
        <f>VLOOKUP(I4221,[1]媒体政策预估表!A:N,MATCH(O4221,[1]媒体政策预估表!$A$2:$M$2,0),0)</f>
        <v>7.0000000000000007E-2</v>
      </c>
      <c r="AF4221" s="6">
        <f t="shared" si="648"/>
        <v>0</v>
      </c>
      <c r="AG4221" s="14">
        <v>0</v>
      </c>
      <c r="AH4221" s="65">
        <f t="shared" si="652"/>
        <v>0</v>
      </c>
      <c r="AI4221" s="47"/>
      <c r="AJ4221" s="126" t="e">
        <v>#N/A</v>
      </c>
      <c r="AK4221" s="80">
        <f t="shared" si="646"/>
        <v>0</v>
      </c>
      <c r="AM4221" s="85"/>
    </row>
    <row r="4222" spans="1:39" hidden="1" x14ac:dyDescent="0.3">
      <c r="A4222" s="89" t="s">
        <v>3394</v>
      </c>
      <c r="B4222" s="86" t="s">
        <v>35</v>
      </c>
      <c r="C4222" s="86" t="s">
        <v>144</v>
      </c>
      <c r="D4222" s="86" t="s">
        <v>145</v>
      </c>
      <c r="E4222" s="86" t="s">
        <v>1419</v>
      </c>
      <c r="F4222" s="86" t="s">
        <v>1419</v>
      </c>
      <c r="G4222" s="86" t="s">
        <v>1419</v>
      </c>
      <c r="H4222" s="144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1419</v>
      </c>
      <c r="N4222" s="86"/>
      <c r="O4222" s="47" t="s">
        <v>410</v>
      </c>
      <c r="P4222" s="47" t="s">
        <v>41</v>
      </c>
      <c r="Q4222" s="14">
        <v>0</v>
      </c>
      <c r="R4222" s="143" t="s">
        <v>1420</v>
      </c>
      <c r="S4222" s="47"/>
      <c r="T4222" s="6">
        <v>650.10000000000036</v>
      </c>
      <c r="U4222" s="6"/>
      <c r="V4222" s="6">
        <v>199.6</v>
      </c>
      <c r="W4222" s="6">
        <f t="shared" si="649"/>
        <v>450.50000000000034</v>
      </c>
      <c r="X4222" s="6">
        <f t="shared" si="650"/>
        <v>199.6</v>
      </c>
      <c r="Y4222" s="13">
        <f t="shared" si="644"/>
        <v>0</v>
      </c>
      <c r="Z4222" s="14">
        <v>0</v>
      </c>
      <c r="AA4222" s="6">
        <v>0</v>
      </c>
      <c r="AB4222" s="4">
        <f t="shared" si="645"/>
        <v>199.6</v>
      </c>
      <c r="AC4222" s="4">
        <f t="shared" si="647"/>
        <v>0</v>
      </c>
      <c r="AD4222" s="6">
        <f t="shared" si="651"/>
        <v>199.6</v>
      </c>
      <c r="AE4222" s="2">
        <f>VLOOKUP(I4222,[1]媒体政策预估表!A:N,MATCH(O4222,[1]媒体政策预估表!$A$2:$M$2,0),0)</f>
        <v>7.0000000000000007E-2</v>
      </c>
      <c r="AF4222" s="6">
        <f t="shared" si="648"/>
        <v>13.972000000000001</v>
      </c>
      <c r="AG4222" s="14">
        <v>0</v>
      </c>
      <c r="AH4222" s="65">
        <f t="shared" si="652"/>
        <v>199.6</v>
      </c>
      <c r="AI4222" s="47"/>
      <c r="AJ4222" s="126" t="e">
        <v>#N/A</v>
      </c>
      <c r="AK4222" s="80">
        <f t="shared" si="646"/>
        <v>0</v>
      </c>
      <c r="AM4222" s="85"/>
    </row>
    <row r="4223" spans="1:39" hidden="1" x14ac:dyDescent="0.3">
      <c r="A4223" s="89" t="s">
        <v>3394</v>
      </c>
      <c r="B4223" s="86" t="s">
        <v>35</v>
      </c>
      <c r="C4223" s="86" t="s">
        <v>144</v>
      </c>
      <c r="D4223" s="86" t="s">
        <v>145</v>
      </c>
      <c r="E4223" s="86" t="s">
        <v>1449</v>
      </c>
      <c r="F4223" s="86" t="s">
        <v>1449</v>
      </c>
      <c r="G4223" s="86" t="s">
        <v>1449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1449</v>
      </c>
      <c r="N4223" s="86"/>
      <c r="O4223" s="47" t="s">
        <v>410</v>
      </c>
      <c r="P4223" s="47" t="s">
        <v>46</v>
      </c>
      <c r="Q4223" s="14">
        <v>0.02</v>
      </c>
      <c r="R4223" s="143" t="s">
        <v>1450</v>
      </c>
      <c r="S4223" s="47"/>
      <c r="T4223" s="6">
        <v>15490.5</v>
      </c>
      <c r="U4223" s="6"/>
      <c r="V4223" s="6">
        <v>0</v>
      </c>
      <c r="W4223" s="6">
        <f t="shared" si="649"/>
        <v>15490.5</v>
      </c>
      <c r="X4223" s="6">
        <f t="shared" si="650"/>
        <v>0</v>
      </c>
      <c r="Y4223" s="13">
        <f t="shared" si="644"/>
        <v>0</v>
      </c>
      <c r="Z4223" s="14">
        <v>0</v>
      </c>
      <c r="AA4223" s="6">
        <v>0</v>
      </c>
      <c r="AB4223" s="4">
        <f t="shared" si="645"/>
        <v>0</v>
      </c>
      <c r="AC4223" s="4">
        <f t="shared" si="647"/>
        <v>0</v>
      </c>
      <c r="AD4223" s="6">
        <f t="shared" si="651"/>
        <v>0</v>
      </c>
      <c r="AE4223" s="2">
        <f>VLOOKUP(I4223,[1]媒体政策预估表!A:N,MATCH(O4223,[1]媒体政策预估表!$A$2:$M$2,0),0)</f>
        <v>7.0000000000000007E-2</v>
      </c>
      <c r="AF4223" s="6">
        <f t="shared" si="648"/>
        <v>0</v>
      </c>
      <c r="AG4223" s="14">
        <v>0</v>
      </c>
      <c r="AH4223" s="65">
        <f t="shared" si="652"/>
        <v>0</v>
      </c>
      <c r="AI4223" s="47"/>
      <c r="AJ4223" s="126" t="e">
        <v>#N/A</v>
      </c>
      <c r="AK4223" s="80">
        <f t="shared" si="646"/>
        <v>0</v>
      </c>
      <c r="AM4223" s="85"/>
    </row>
    <row r="4224" spans="1:39" hidden="1" x14ac:dyDescent="0.3">
      <c r="A4224" s="89" t="s">
        <v>3394</v>
      </c>
      <c r="B4224" s="86" t="s">
        <v>35</v>
      </c>
      <c r="C4224" s="86" t="s">
        <v>144</v>
      </c>
      <c r="D4224" s="86" t="s">
        <v>152</v>
      </c>
      <c r="E4224" s="86" t="s">
        <v>1463</v>
      </c>
      <c r="F4224" s="86" t="s">
        <v>1463</v>
      </c>
      <c r="G4224" s="86" t="s">
        <v>1463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1463</v>
      </c>
      <c r="N4224" s="86"/>
      <c r="O4224" s="47" t="s">
        <v>410</v>
      </c>
      <c r="P4224" s="47" t="s">
        <v>41</v>
      </c>
      <c r="Q4224" s="14">
        <v>0</v>
      </c>
      <c r="R4224" s="143" t="s">
        <v>1464</v>
      </c>
      <c r="S4224" s="47"/>
      <c r="T4224" s="6">
        <v>50392.36</v>
      </c>
      <c r="U4224" s="6"/>
      <c r="V4224" s="6">
        <v>0</v>
      </c>
      <c r="W4224" s="6">
        <f t="shared" si="649"/>
        <v>50392.36</v>
      </c>
      <c r="X4224" s="6">
        <f t="shared" si="650"/>
        <v>0</v>
      </c>
      <c r="Y4224" s="13">
        <f t="shared" si="644"/>
        <v>0</v>
      </c>
      <c r="Z4224" s="14">
        <v>0</v>
      </c>
      <c r="AA4224" s="6">
        <v>0</v>
      </c>
      <c r="AB4224" s="4">
        <f t="shared" si="645"/>
        <v>0</v>
      </c>
      <c r="AC4224" s="4">
        <f t="shared" si="647"/>
        <v>0</v>
      </c>
      <c r="AD4224" s="6">
        <f t="shared" si="651"/>
        <v>0</v>
      </c>
      <c r="AE4224" s="2">
        <f>VLOOKUP(I4224,[1]媒体政策预估表!A:N,MATCH(O4224,[1]媒体政策预估表!$A$2:$M$2,0),0)</f>
        <v>7.0000000000000007E-2</v>
      </c>
      <c r="AF4224" s="6">
        <f t="shared" si="648"/>
        <v>0</v>
      </c>
      <c r="AG4224" s="14">
        <v>0</v>
      </c>
      <c r="AH4224" s="65">
        <f t="shared" si="652"/>
        <v>0</v>
      </c>
      <c r="AI4224" s="47"/>
      <c r="AJ4224" s="126" t="e">
        <v>#N/A</v>
      </c>
      <c r="AK4224" s="80">
        <f t="shared" si="646"/>
        <v>0</v>
      </c>
      <c r="AM4224" s="85"/>
    </row>
    <row r="4225" spans="1:39" hidden="1" x14ac:dyDescent="0.3">
      <c r="A4225" s="89" t="s">
        <v>3395</v>
      </c>
      <c r="B4225" s="86" t="s">
        <v>35</v>
      </c>
      <c r="C4225" s="86" t="s">
        <v>144</v>
      </c>
      <c r="D4225" s="86" t="s">
        <v>152</v>
      </c>
      <c r="E4225" s="86" t="s">
        <v>157</v>
      </c>
      <c r="F4225" s="86" t="s">
        <v>157</v>
      </c>
      <c r="G4225" s="86" t="s">
        <v>157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157</v>
      </c>
      <c r="N4225" s="86"/>
      <c r="O4225" s="47" t="s">
        <v>45</v>
      </c>
      <c r="P4225" s="47" t="s">
        <v>41</v>
      </c>
      <c r="Q4225" s="14">
        <v>0</v>
      </c>
      <c r="R4225" s="143" t="s">
        <v>1470</v>
      </c>
      <c r="S4225" s="47"/>
      <c r="T4225" s="6">
        <v>23099.7</v>
      </c>
      <c r="U4225" s="6"/>
      <c r="V4225" s="6">
        <v>0</v>
      </c>
      <c r="W4225" s="6">
        <f t="shared" si="649"/>
        <v>23099.7</v>
      </c>
      <c r="X4225" s="6">
        <f t="shared" si="650"/>
        <v>0</v>
      </c>
      <c r="Y4225" s="13">
        <f t="shared" si="644"/>
        <v>0</v>
      </c>
      <c r="Z4225" s="14">
        <v>0</v>
      </c>
      <c r="AA4225" s="6">
        <v>0</v>
      </c>
      <c r="AB4225" s="4">
        <f t="shared" si="645"/>
        <v>0</v>
      </c>
      <c r="AC4225" s="4">
        <f t="shared" si="647"/>
        <v>0</v>
      </c>
      <c r="AD4225" s="6">
        <f t="shared" si="651"/>
        <v>0</v>
      </c>
      <c r="AE4225" s="2">
        <f>VLOOKUP(I4225,[1]媒体政策预估表!A:N,MATCH(O4225,[1]媒体政策预估表!$A$2:$M$2,0),0)</f>
        <v>0.12</v>
      </c>
      <c r="AF4225" s="6">
        <f t="shared" si="648"/>
        <v>0</v>
      </c>
      <c r="AG4225" s="14">
        <v>0</v>
      </c>
      <c r="AH4225" s="65">
        <f t="shared" si="652"/>
        <v>0</v>
      </c>
      <c r="AI4225" s="47"/>
      <c r="AJ4225" s="126" t="e">
        <v>#N/A</v>
      </c>
      <c r="AK4225" s="80">
        <f t="shared" si="646"/>
        <v>0</v>
      </c>
      <c r="AM4225" s="85"/>
    </row>
    <row r="4226" spans="1:39" hidden="1" x14ac:dyDescent="0.3">
      <c r="A4226" s="89" t="s">
        <v>3394</v>
      </c>
      <c r="B4226" s="86" t="s">
        <v>35</v>
      </c>
      <c r="C4226" s="86" t="s">
        <v>144</v>
      </c>
      <c r="D4226" s="86" t="s">
        <v>152</v>
      </c>
      <c r="E4226" s="86" t="s">
        <v>157</v>
      </c>
      <c r="F4226" s="86" t="s">
        <v>157</v>
      </c>
      <c r="G4226" s="86" t="s">
        <v>157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157</v>
      </c>
      <c r="N4226" s="86"/>
      <c r="O4226" s="47" t="s">
        <v>45</v>
      </c>
      <c r="P4226" s="47" t="s">
        <v>41</v>
      </c>
      <c r="Q4226" s="14">
        <v>0</v>
      </c>
      <c r="R4226" s="143" t="s">
        <v>1471</v>
      </c>
      <c r="S4226" s="47"/>
      <c r="T4226" s="6">
        <v>100000</v>
      </c>
      <c r="U4226" s="6"/>
      <c r="V4226" s="6">
        <v>0</v>
      </c>
      <c r="W4226" s="6">
        <f t="shared" si="649"/>
        <v>100000</v>
      </c>
      <c r="X4226" s="6">
        <f t="shared" si="650"/>
        <v>0</v>
      </c>
      <c r="Y4226" s="13">
        <f t="shared" si="644"/>
        <v>0</v>
      </c>
      <c r="Z4226" s="14">
        <v>0</v>
      </c>
      <c r="AA4226" s="6">
        <v>0</v>
      </c>
      <c r="AB4226" s="4">
        <f t="shared" si="645"/>
        <v>0</v>
      </c>
      <c r="AC4226" s="4">
        <f t="shared" si="647"/>
        <v>0</v>
      </c>
      <c r="AD4226" s="6">
        <f t="shared" si="651"/>
        <v>0</v>
      </c>
      <c r="AE4226" s="2">
        <f>VLOOKUP(I4226,[1]媒体政策预估表!A:N,MATCH(O4226,[1]媒体政策预估表!$A$2:$M$2,0),0)</f>
        <v>0.12</v>
      </c>
      <c r="AF4226" s="6">
        <f t="shared" si="648"/>
        <v>0</v>
      </c>
      <c r="AG4226" s="14">
        <v>0</v>
      </c>
      <c r="AH4226" s="65">
        <f t="shared" si="652"/>
        <v>0</v>
      </c>
      <c r="AI4226" s="47"/>
      <c r="AJ4226" s="126" t="e">
        <v>#N/A</v>
      </c>
      <c r="AK4226" s="80">
        <f t="shared" si="646"/>
        <v>0</v>
      </c>
      <c r="AM4226" s="85"/>
    </row>
    <row r="4227" spans="1:39" hidden="1" x14ac:dyDescent="0.3">
      <c r="A4227" s="89" t="s">
        <v>3397</v>
      </c>
      <c r="B4227" s="86" t="s">
        <v>35</v>
      </c>
      <c r="C4227" s="86" t="s">
        <v>144</v>
      </c>
      <c r="D4227" s="86" t="s">
        <v>152</v>
      </c>
      <c r="E4227" s="86" t="s">
        <v>1478</v>
      </c>
      <c r="F4227" s="86" t="s">
        <v>1478</v>
      </c>
      <c r="G4227" s="86" t="s">
        <v>1478</v>
      </c>
      <c r="H4227" s="144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1479</v>
      </c>
      <c r="N4227" s="86"/>
      <c r="O4227" s="47" t="s">
        <v>45</v>
      </c>
      <c r="P4227" s="47" t="s">
        <v>46</v>
      </c>
      <c r="Q4227" s="14">
        <v>0.02</v>
      </c>
      <c r="R4227" s="143" t="s">
        <v>1480</v>
      </c>
      <c r="S4227" s="47"/>
      <c r="T4227" s="6">
        <v>45173.540690000002</v>
      </c>
      <c r="U4227" s="6"/>
      <c r="V4227" s="6">
        <v>7959.8770699999995</v>
      </c>
      <c r="W4227" s="6">
        <f t="shared" si="649"/>
        <v>37213.663619999999</v>
      </c>
      <c r="X4227" s="6">
        <f t="shared" si="650"/>
        <v>7803.8010490196075</v>
      </c>
      <c r="Y4227" s="13">
        <f t="shared" ref="Y4227:Y4290" si="653">IF(X4227-AD4227&lt;=0,0,IF(P4227="返现",MAX(X4227-AC4227-AD4227,0),MAX(X4227-AD4227)))</f>
        <v>0</v>
      </c>
      <c r="Z4227" s="14">
        <v>0</v>
      </c>
      <c r="AA4227" s="6">
        <v>0</v>
      </c>
      <c r="AB4227" s="4">
        <f t="shared" ref="AB4227:AB4290" si="654">X4227+AA4227</f>
        <v>7803.8010490196075</v>
      </c>
      <c r="AC4227" s="4">
        <f t="shared" si="647"/>
        <v>156.07602098039206</v>
      </c>
      <c r="AD4227" s="6">
        <f t="shared" si="651"/>
        <v>7959.8770699999995</v>
      </c>
      <c r="AE4227" s="2">
        <f>VLOOKUP(I4227,[1]媒体政策预估表!A:N,MATCH(O4227,[1]媒体政策预估表!$A$2:$M$2,0),0)</f>
        <v>0.12</v>
      </c>
      <c r="AF4227" s="6">
        <f t="shared" si="648"/>
        <v>955.18524839999986</v>
      </c>
      <c r="AG4227" s="14">
        <v>0</v>
      </c>
      <c r="AH4227" s="65">
        <f t="shared" si="652"/>
        <v>7959.8770699999995</v>
      </c>
      <c r="AI4227" s="47"/>
      <c r="AJ4227" s="126" t="e">
        <v>#N/A</v>
      </c>
      <c r="AK4227" s="80">
        <f t="shared" ref="AK4227:AK4290" si="655">X4227+AA4227-AB4227</f>
        <v>0</v>
      </c>
      <c r="AM4227" s="85"/>
    </row>
    <row r="4228" spans="1:39" hidden="1" x14ac:dyDescent="0.3">
      <c r="A4228" s="89" t="s">
        <v>3394</v>
      </c>
      <c r="B4228" s="86" t="s">
        <v>35</v>
      </c>
      <c r="C4228" s="86" t="s">
        <v>144</v>
      </c>
      <c r="D4228" s="86" t="s">
        <v>152</v>
      </c>
      <c r="E4228" s="86" t="s">
        <v>1496</v>
      </c>
      <c r="F4228" s="86" t="s">
        <v>1497</v>
      </c>
      <c r="G4228" s="86" t="s">
        <v>1496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1500</v>
      </c>
      <c r="N4228" s="86"/>
      <c r="O4228" s="47" t="s">
        <v>410</v>
      </c>
      <c r="P4228" s="47" t="s">
        <v>46</v>
      </c>
      <c r="Q4228" s="14">
        <v>0.02</v>
      </c>
      <c r="R4228" s="143" t="s">
        <v>1501</v>
      </c>
      <c r="S4228" s="47"/>
      <c r="T4228" s="6">
        <v>1.1000000000003638</v>
      </c>
      <c r="U4228" s="6"/>
      <c r="V4228" s="6">
        <v>0</v>
      </c>
      <c r="W4228" s="6">
        <f t="shared" si="649"/>
        <v>1.1000000000003638</v>
      </c>
      <c r="X4228" s="6">
        <f t="shared" si="650"/>
        <v>0</v>
      </c>
      <c r="Y4228" s="13">
        <f t="shared" si="653"/>
        <v>0</v>
      </c>
      <c r="Z4228" s="14">
        <v>0</v>
      </c>
      <c r="AA4228" s="6">
        <v>0</v>
      </c>
      <c r="AB4228" s="4">
        <f t="shared" si="654"/>
        <v>0</v>
      </c>
      <c r="AC4228" s="4">
        <f t="shared" si="647"/>
        <v>0</v>
      </c>
      <c r="AD4228" s="6">
        <f t="shared" si="651"/>
        <v>0</v>
      </c>
      <c r="AE4228" s="2">
        <f>VLOOKUP(I4228,[1]媒体政策预估表!A:N,MATCH(O4228,[1]媒体政策预估表!$A$2:$M$2,0),0)</f>
        <v>7.0000000000000007E-2</v>
      </c>
      <c r="AF4228" s="6">
        <f t="shared" si="648"/>
        <v>0</v>
      </c>
      <c r="AG4228" s="14">
        <v>0</v>
      </c>
      <c r="AH4228" s="65">
        <f t="shared" si="652"/>
        <v>0</v>
      </c>
      <c r="AI4228" s="47"/>
      <c r="AJ4228" s="126" t="e">
        <v>#N/A</v>
      </c>
      <c r="AK4228" s="80">
        <f t="shared" si="655"/>
        <v>0</v>
      </c>
      <c r="AM4228" s="85"/>
    </row>
    <row r="4229" spans="1:39" hidden="1" x14ac:dyDescent="0.3">
      <c r="A4229" s="89" t="s">
        <v>3395</v>
      </c>
      <c r="B4229" s="86" t="s">
        <v>35</v>
      </c>
      <c r="C4229" s="86" t="s">
        <v>144</v>
      </c>
      <c r="D4229" s="86" t="s">
        <v>152</v>
      </c>
      <c r="E4229" s="86" t="s">
        <v>1496</v>
      </c>
      <c r="F4229" s="86" t="s">
        <v>1497</v>
      </c>
      <c r="G4229" s="86" t="s">
        <v>1496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1502</v>
      </c>
      <c r="N4229" s="86"/>
      <c r="O4229" s="47" t="s">
        <v>410</v>
      </c>
      <c r="P4229" s="47" t="s">
        <v>46</v>
      </c>
      <c r="Q4229" s="14">
        <v>0.02</v>
      </c>
      <c r="R4229" s="143" t="s">
        <v>1503</v>
      </c>
      <c r="S4229" s="47"/>
      <c r="T4229" s="6">
        <v>482.10000000000036</v>
      </c>
      <c r="U4229" s="6"/>
      <c r="V4229" s="6">
        <v>0</v>
      </c>
      <c r="W4229" s="6">
        <f t="shared" si="649"/>
        <v>482.10000000000036</v>
      </c>
      <c r="X4229" s="6">
        <f t="shared" si="650"/>
        <v>0</v>
      </c>
      <c r="Y4229" s="13">
        <f t="shared" si="653"/>
        <v>0</v>
      </c>
      <c r="Z4229" s="14">
        <v>0</v>
      </c>
      <c r="AA4229" s="6">
        <v>0</v>
      </c>
      <c r="AB4229" s="4">
        <f t="shared" si="654"/>
        <v>0</v>
      </c>
      <c r="AC4229" s="4">
        <f t="shared" si="647"/>
        <v>0</v>
      </c>
      <c r="AD4229" s="6">
        <f t="shared" si="651"/>
        <v>0</v>
      </c>
      <c r="AE4229" s="2">
        <f>VLOOKUP(I4229,[1]媒体政策预估表!A:N,MATCH(O4229,[1]媒体政策预估表!$A$2:$M$2,0),0)</f>
        <v>7.0000000000000007E-2</v>
      </c>
      <c r="AF4229" s="6">
        <f t="shared" si="648"/>
        <v>0</v>
      </c>
      <c r="AG4229" s="14">
        <v>0</v>
      </c>
      <c r="AH4229" s="65">
        <f t="shared" si="652"/>
        <v>0</v>
      </c>
      <c r="AI4229" s="47"/>
      <c r="AJ4229" s="126" t="e">
        <v>#N/A</v>
      </c>
      <c r="AK4229" s="80">
        <f t="shared" si="655"/>
        <v>0</v>
      </c>
      <c r="AM4229" s="85"/>
    </row>
    <row r="4230" spans="1:39" hidden="1" x14ac:dyDescent="0.3">
      <c r="A4230" s="89" t="s">
        <v>3397</v>
      </c>
      <c r="B4230" s="86" t="s">
        <v>35</v>
      </c>
      <c r="C4230" s="86" t="s">
        <v>144</v>
      </c>
      <c r="D4230" s="86" t="s">
        <v>161</v>
      </c>
      <c r="E4230" s="86" t="s">
        <v>162</v>
      </c>
      <c r="F4230" s="86" t="s">
        <v>162</v>
      </c>
      <c r="G4230" s="86" t="s">
        <v>162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162</v>
      </c>
      <c r="N4230" s="86"/>
      <c r="O4230" s="47" t="s">
        <v>410</v>
      </c>
      <c r="P4230" s="47" t="s">
        <v>46</v>
      </c>
      <c r="Q4230" s="14">
        <v>0.02</v>
      </c>
      <c r="R4230" s="143" t="s">
        <v>1508</v>
      </c>
      <c r="S4230" s="47"/>
      <c r="T4230" s="6">
        <v>100000</v>
      </c>
      <c r="U4230" s="6"/>
      <c r="V4230" s="6">
        <v>0</v>
      </c>
      <c r="W4230" s="6">
        <f t="shared" si="649"/>
        <v>100000</v>
      </c>
      <c r="X4230" s="6">
        <f t="shared" si="650"/>
        <v>0</v>
      </c>
      <c r="Y4230" s="13">
        <f t="shared" si="653"/>
        <v>0</v>
      </c>
      <c r="Z4230" s="14">
        <v>0</v>
      </c>
      <c r="AA4230" s="6">
        <v>0</v>
      </c>
      <c r="AB4230" s="4">
        <f t="shared" si="654"/>
        <v>0</v>
      </c>
      <c r="AC4230" s="4">
        <f t="shared" si="647"/>
        <v>0</v>
      </c>
      <c r="AD4230" s="6">
        <f t="shared" si="651"/>
        <v>0</v>
      </c>
      <c r="AE4230" s="2">
        <f>VLOOKUP(I4230,[1]媒体政策预估表!A:N,MATCH(O4230,[1]媒体政策预估表!$A$2:$M$2,0),0)</f>
        <v>7.0000000000000007E-2</v>
      </c>
      <c r="AF4230" s="6">
        <f t="shared" si="648"/>
        <v>0</v>
      </c>
      <c r="AG4230" s="14">
        <v>0</v>
      </c>
      <c r="AH4230" s="65">
        <f t="shared" si="652"/>
        <v>0</v>
      </c>
      <c r="AI4230" s="47"/>
      <c r="AJ4230" s="126" t="e">
        <v>#N/A</v>
      </c>
      <c r="AK4230" s="80">
        <f t="shared" si="655"/>
        <v>0</v>
      </c>
      <c r="AM4230" s="85"/>
    </row>
    <row r="4231" spans="1:39" hidden="1" x14ac:dyDescent="0.3">
      <c r="A4231" s="89" t="s">
        <v>3394</v>
      </c>
      <c r="B4231" s="86" t="s">
        <v>35</v>
      </c>
      <c r="C4231" s="86" t="s">
        <v>144</v>
      </c>
      <c r="D4231" s="86" t="s">
        <v>161</v>
      </c>
      <c r="E4231" s="15" t="s">
        <v>3759</v>
      </c>
      <c r="F4231" s="15" t="s">
        <v>3759</v>
      </c>
      <c r="G4231" s="86" t="s">
        <v>3759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605</v>
      </c>
      <c r="N4231" s="86"/>
      <c r="O4231" s="47" t="s">
        <v>410</v>
      </c>
      <c r="P4231" s="47" t="s">
        <v>46</v>
      </c>
      <c r="Q4231" s="14">
        <v>0.02</v>
      </c>
      <c r="R4231" s="143" t="s">
        <v>1521</v>
      </c>
      <c r="S4231" s="47"/>
      <c r="T4231" s="6">
        <v>6953.7</v>
      </c>
      <c r="U4231" s="6"/>
      <c r="V4231" s="6">
        <v>0</v>
      </c>
      <c r="W4231" s="6">
        <f t="shared" si="649"/>
        <v>6953.7</v>
      </c>
      <c r="X4231" s="6">
        <f t="shared" si="650"/>
        <v>0</v>
      </c>
      <c r="Y4231" s="13">
        <f t="shared" si="653"/>
        <v>0</v>
      </c>
      <c r="Z4231" s="14">
        <v>0</v>
      </c>
      <c r="AA4231" s="6">
        <v>0</v>
      </c>
      <c r="AB4231" s="4">
        <f t="shared" si="654"/>
        <v>0</v>
      </c>
      <c r="AC4231" s="4">
        <f t="shared" si="647"/>
        <v>0</v>
      </c>
      <c r="AD4231" s="6">
        <f t="shared" si="651"/>
        <v>0</v>
      </c>
      <c r="AE4231" s="2">
        <f>VLOOKUP(I4231,[1]媒体政策预估表!A:N,MATCH(O4231,[1]媒体政策预估表!$A$2:$M$2,0),0)</f>
        <v>7.0000000000000007E-2</v>
      </c>
      <c r="AF4231" s="6">
        <f t="shared" si="648"/>
        <v>0</v>
      </c>
      <c r="AG4231" s="14">
        <v>0</v>
      </c>
      <c r="AH4231" s="65">
        <f t="shared" si="652"/>
        <v>0</v>
      </c>
      <c r="AI4231" s="47"/>
      <c r="AJ4231" s="126" t="e">
        <v>#N/A</v>
      </c>
      <c r="AK4231" s="80">
        <f t="shared" si="655"/>
        <v>0</v>
      </c>
      <c r="AM4231" s="85"/>
    </row>
    <row r="4232" spans="1:39" hidden="1" x14ac:dyDescent="0.3">
      <c r="A4232" s="89" t="s">
        <v>3394</v>
      </c>
      <c r="B4232" s="86" t="s">
        <v>35</v>
      </c>
      <c r="C4232" s="86" t="s">
        <v>144</v>
      </c>
      <c r="D4232" s="86" t="s">
        <v>161</v>
      </c>
      <c r="E4232" s="86" t="s">
        <v>1522</v>
      </c>
      <c r="F4232" s="86" t="s">
        <v>1522</v>
      </c>
      <c r="G4232" s="86" t="s">
        <v>1522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1522</v>
      </c>
      <c r="N4232" s="86"/>
      <c r="O4232" s="47" t="s">
        <v>45</v>
      </c>
      <c r="P4232" s="47" t="s">
        <v>41</v>
      </c>
      <c r="Q4232" s="14">
        <v>0</v>
      </c>
      <c r="R4232" s="143" t="s">
        <v>1527</v>
      </c>
      <c r="S4232" s="47"/>
      <c r="T4232" s="6">
        <v>2338.2554</v>
      </c>
      <c r="U4232" s="6"/>
      <c r="V4232" s="6">
        <v>0</v>
      </c>
      <c r="W4232" s="6">
        <f t="shared" si="649"/>
        <v>2338.2554</v>
      </c>
      <c r="X4232" s="6">
        <f t="shared" si="650"/>
        <v>0</v>
      </c>
      <c r="Y4232" s="13">
        <f t="shared" si="653"/>
        <v>0</v>
      </c>
      <c r="Z4232" s="14">
        <v>0</v>
      </c>
      <c r="AA4232" s="6">
        <v>0</v>
      </c>
      <c r="AB4232" s="4">
        <f t="shared" si="654"/>
        <v>0</v>
      </c>
      <c r="AC4232" s="4">
        <f t="shared" si="647"/>
        <v>0</v>
      </c>
      <c r="AD4232" s="6">
        <f t="shared" si="651"/>
        <v>0</v>
      </c>
      <c r="AE4232" s="2">
        <f>VLOOKUP(I4232,[1]媒体政策预估表!A:N,MATCH(O4232,[1]媒体政策预估表!$A$2:$M$2,0),0)</f>
        <v>0.12</v>
      </c>
      <c r="AF4232" s="6">
        <f t="shared" si="648"/>
        <v>0</v>
      </c>
      <c r="AG4232" s="14">
        <v>0</v>
      </c>
      <c r="AH4232" s="65">
        <f t="shared" si="652"/>
        <v>0</v>
      </c>
      <c r="AI4232" s="47"/>
      <c r="AJ4232" s="126" t="e">
        <v>#N/A</v>
      </c>
      <c r="AK4232" s="80">
        <f t="shared" si="655"/>
        <v>0</v>
      </c>
      <c r="AM4232" s="85"/>
    </row>
    <row r="4233" spans="1:39" hidden="1" x14ac:dyDescent="0.3">
      <c r="A4233" s="89" t="s">
        <v>3394</v>
      </c>
      <c r="B4233" s="86" t="s">
        <v>35</v>
      </c>
      <c r="C4233" s="86" t="s">
        <v>144</v>
      </c>
      <c r="D4233" s="86" t="s">
        <v>161</v>
      </c>
      <c r="E4233" s="86" t="s">
        <v>1532</v>
      </c>
      <c r="F4233" s="86" t="s">
        <v>1532</v>
      </c>
      <c r="G4233" s="86" t="s">
        <v>1532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1532</v>
      </c>
      <c r="N4233" s="86"/>
      <c r="O4233" s="47" t="s">
        <v>410</v>
      </c>
      <c r="P4233" s="47" t="s">
        <v>41</v>
      </c>
      <c r="Q4233" s="14">
        <v>0</v>
      </c>
      <c r="R4233" s="143" t="s">
        <v>1533</v>
      </c>
      <c r="S4233" s="47"/>
      <c r="T4233" s="6">
        <v>24827.5</v>
      </c>
      <c r="U4233" s="6"/>
      <c r="V4233" s="6">
        <v>0</v>
      </c>
      <c r="W4233" s="6">
        <f t="shared" si="649"/>
        <v>24827.5</v>
      </c>
      <c r="X4233" s="6">
        <f t="shared" si="650"/>
        <v>0</v>
      </c>
      <c r="Y4233" s="13">
        <f t="shared" si="653"/>
        <v>0</v>
      </c>
      <c r="Z4233" s="14">
        <v>0</v>
      </c>
      <c r="AA4233" s="6">
        <v>0</v>
      </c>
      <c r="AB4233" s="4">
        <f t="shared" si="654"/>
        <v>0</v>
      </c>
      <c r="AC4233" s="4">
        <f t="shared" si="647"/>
        <v>0</v>
      </c>
      <c r="AD4233" s="6">
        <f t="shared" si="651"/>
        <v>0</v>
      </c>
      <c r="AE4233" s="2">
        <f>VLOOKUP(I4233,[1]媒体政策预估表!A:N,MATCH(O4233,[1]媒体政策预估表!$A$2:$M$2,0),0)</f>
        <v>7.0000000000000007E-2</v>
      </c>
      <c r="AF4233" s="6">
        <f t="shared" si="648"/>
        <v>0</v>
      </c>
      <c r="AG4233" s="14">
        <v>0</v>
      </c>
      <c r="AH4233" s="65">
        <f t="shared" si="652"/>
        <v>0</v>
      </c>
      <c r="AI4233" s="47"/>
      <c r="AJ4233" s="126" t="e">
        <v>#N/A</v>
      </c>
      <c r="AK4233" s="80">
        <f t="shared" si="655"/>
        <v>0</v>
      </c>
      <c r="AM4233" s="85"/>
    </row>
    <row r="4234" spans="1:39" hidden="1" x14ac:dyDescent="0.3">
      <c r="A4234" s="89" t="s">
        <v>3394</v>
      </c>
      <c r="B4234" s="86" t="s">
        <v>35</v>
      </c>
      <c r="C4234" s="86" t="s">
        <v>164</v>
      </c>
      <c r="D4234" s="86" t="s">
        <v>165</v>
      </c>
      <c r="E4234" s="86" t="s">
        <v>619</v>
      </c>
      <c r="F4234" s="86" t="s">
        <v>620</v>
      </c>
      <c r="G4234" s="86" t="s">
        <v>619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619</v>
      </c>
      <c r="N4234" s="86"/>
      <c r="O4234" s="47" t="s">
        <v>410</v>
      </c>
      <c r="P4234" s="47" t="s">
        <v>46</v>
      </c>
      <c r="Q4234" s="14">
        <v>0.02</v>
      </c>
      <c r="R4234" s="143" t="s">
        <v>1534</v>
      </c>
      <c r="S4234" s="47"/>
      <c r="T4234" s="6">
        <v>-14999.999960000094</v>
      </c>
      <c r="U4234" s="6"/>
      <c r="V4234" s="6">
        <v>0</v>
      </c>
      <c r="W4234" s="6">
        <f t="shared" si="649"/>
        <v>-14999.999960000094</v>
      </c>
      <c r="X4234" s="6">
        <f t="shared" si="650"/>
        <v>0</v>
      </c>
      <c r="Y4234" s="13">
        <f t="shared" si="653"/>
        <v>0</v>
      </c>
      <c r="Z4234" s="14">
        <v>0</v>
      </c>
      <c r="AA4234" s="6">
        <v>0</v>
      </c>
      <c r="AB4234" s="4">
        <f t="shared" si="654"/>
        <v>0</v>
      </c>
      <c r="AC4234" s="4">
        <f t="shared" si="647"/>
        <v>0</v>
      </c>
      <c r="AD4234" s="6">
        <f t="shared" si="651"/>
        <v>0</v>
      </c>
      <c r="AE4234" s="2">
        <f>VLOOKUP(I4234,[1]媒体政策预估表!A:N,MATCH(O4234,[1]媒体政策预估表!$A$2:$M$2,0),0)</f>
        <v>7.0000000000000007E-2</v>
      </c>
      <c r="AF4234" s="6">
        <f t="shared" si="648"/>
        <v>0</v>
      </c>
      <c r="AG4234" s="14">
        <v>0</v>
      </c>
      <c r="AH4234" s="65">
        <f t="shared" si="652"/>
        <v>0</v>
      </c>
      <c r="AI4234" s="47"/>
      <c r="AJ4234" s="126" t="e">
        <v>#N/A</v>
      </c>
      <c r="AK4234" s="80">
        <f t="shared" si="655"/>
        <v>0</v>
      </c>
      <c r="AM4234" s="85"/>
    </row>
    <row r="4235" spans="1:39" hidden="1" x14ac:dyDescent="0.3">
      <c r="A4235" s="89" t="s">
        <v>3394</v>
      </c>
      <c r="B4235" s="86" t="s">
        <v>35</v>
      </c>
      <c r="C4235" s="86" t="s">
        <v>164</v>
      </c>
      <c r="D4235" s="86" t="s">
        <v>165</v>
      </c>
      <c r="E4235" s="86" t="s">
        <v>1563</v>
      </c>
      <c r="F4235" s="86" t="s">
        <v>1564</v>
      </c>
      <c r="G4235" s="86" t="s">
        <v>1563</v>
      </c>
      <c r="H4235" s="144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1563</v>
      </c>
      <c r="N4235" s="86"/>
      <c r="O4235" s="47" t="s">
        <v>410</v>
      </c>
      <c r="P4235" s="47" t="s">
        <v>46</v>
      </c>
      <c r="Q4235" s="14">
        <v>0.02</v>
      </c>
      <c r="R4235" s="143" t="s">
        <v>1565</v>
      </c>
      <c r="S4235" s="47"/>
      <c r="T4235" s="6">
        <v>14264.8</v>
      </c>
      <c r="U4235" s="6"/>
      <c r="V4235" s="6">
        <v>819.4</v>
      </c>
      <c r="W4235" s="6">
        <f t="shared" si="649"/>
        <v>13445.4</v>
      </c>
      <c r="X4235" s="6">
        <f t="shared" si="650"/>
        <v>803.33333333333326</v>
      </c>
      <c r="Y4235" s="13">
        <f t="shared" si="653"/>
        <v>0</v>
      </c>
      <c r="Z4235" s="14">
        <v>0</v>
      </c>
      <c r="AA4235" s="6">
        <v>0</v>
      </c>
      <c r="AB4235" s="4">
        <f t="shared" si="654"/>
        <v>803.33333333333326</v>
      </c>
      <c r="AC4235" s="4">
        <f t="shared" si="647"/>
        <v>16.06666666666672</v>
      </c>
      <c r="AD4235" s="6">
        <f t="shared" si="651"/>
        <v>819.4</v>
      </c>
      <c r="AE4235" s="2">
        <f>VLOOKUP(I4235,[1]媒体政策预估表!A:N,MATCH(O4235,[1]媒体政策预估表!$A$2:$M$2,0),0)</f>
        <v>7.0000000000000007E-2</v>
      </c>
      <c r="AF4235" s="6">
        <f t="shared" si="648"/>
        <v>57.358000000000004</v>
      </c>
      <c r="AG4235" s="14">
        <v>0</v>
      </c>
      <c r="AH4235" s="65">
        <f t="shared" si="652"/>
        <v>819.4</v>
      </c>
      <c r="AI4235" s="47"/>
      <c r="AJ4235" s="126" t="e">
        <v>#N/A</v>
      </c>
      <c r="AK4235" s="80">
        <f t="shared" si="655"/>
        <v>0</v>
      </c>
      <c r="AM4235" s="85"/>
    </row>
    <row r="4236" spans="1:39" hidden="1" x14ac:dyDescent="0.3">
      <c r="A4236" s="89" t="s">
        <v>3397</v>
      </c>
      <c r="B4236" s="86" t="s">
        <v>35</v>
      </c>
      <c r="C4236" s="86" t="s">
        <v>164</v>
      </c>
      <c r="D4236" s="86" t="s">
        <v>165</v>
      </c>
      <c r="E4236" s="86" t="s">
        <v>1568</v>
      </c>
      <c r="F4236" s="86" t="s">
        <v>1568</v>
      </c>
      <c r="G4236" s="86" t="s">
        <v>1568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1568</v>
      </c>
      <c r="N4236" s="86"/>
      <c r="O4236" s="47" t="s">
        <v>410</v>
      </c>
      <c r="P4236" s="47" t="s">
        <v>41</v>
      </c>
      <c r="Q4236" s="14">
        <v>0</v>
      </c>
      <c r="R4236" s="143" t="s">
        <v>1569</v>
      </c>
      <c r="S4236" s="47"/>
      <c r="T4236" s="6">
        <v>7604.6500000000087</v>
      </c>
      <c r="U4236" s="6"/>
      <c r="V4236" s="6">
        <v>0</v>
      </c>
      <c r="W4236" s="6">
        <f t="shared" si="649"/>
        <v>7604.6500000000087</v>
      </c>
      <c r="X4236" s="6">
        <f t="shared" si="650"/>
        <v>0</v>
      </c>
      <c r="Y4236" s="13">
        <f t="shared" si="653"/>
        <v>0</v>
      </c>
      <c r="Z4236" s="14">
        <v>0</v>
      </c>
      <c r="AA4236" s="6">
        <v>0</v>
      </c>
      <c r="AB4236" s="4">
        <f t="shared" si="654"/>
        <v>0</v>
      </c>
      <c r="AC4236" s="4">
        <f t="shared" ref="AC4236:AC4299" si="656">IF(P4236="返现",X4236*Q4236,V4236-X4236)</f>
        <v>0</v>
      </c>
      <c r="AD4236" s="6">
        <f t="shared" si="651"/>
        <v>0</v>
      </c>
      <c r="AE4236" s="2">
        <f>VLOOKUP(I4236,[1]媒体政策预估表!A:N,MATCH(O4236,[1]媒体政策预估表!$A$2:$M$2,0),0)</f>
        <v>7.0000000000000007E-2</v>
      </c>
      <c r="AF4236" s="6">
        <f t="shared" ref="AF4236:AF4299" si="657">AD4236*AE4236</f>
        <v>0</v>
      </c>
      <c r="AG4236" s="14">
        <v>0</v>
      </c>
      <c r="AH4236" s="65">
        <f t="shared" si="652"/>
        <v>0</v>
      </c>
      <c r="AI4236" s="47"/>
      <c r="AJ4236" s="126" t="e">
        <v>#N/A</v>
      </c>
      <c r="AK4236" s="80">
        <f t="shared" si="655"/>
        <v>0</v>
      </c>
      <c r="AM4236" s="85"/>
    </row>
    <row r="4237" spans="1:39" hidden="1" x14ac:dyDescent="0.3">
      <c r="A4237" s="89" t="s">
        <v>3394</v>
      </c>
      <c r="B4237" s="86" t="s">
        <v>35</v>
      </c>
      <c r="C4237" s="86" t="s">
        <v>164</v>
      </c>
      <c r="D4237" s="86" t="s">
        <v>169</v>
      </c>
      <c r="E4237" s="86" t="s">
        <v>1575</v>
      </c>
      <c r="F4237" s="86" t="s">
        <v>1575</v>
      </c>
      <c r="G4237" s="86" t="s">
        <v>1575</v>
      </c>
      <c r="H4237" s="144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1575</v>
      </c>
      <c r="N4237" s="86"/>
      <c r="O4237" s="47" t="s">
        <v>45</v>
      </c>
      <c r="P4237" s="47" t="s">
        <v>41</v>
      </c>
      <c r="Q4237" s="14">
        <v>0</v>
      </c>
      <c r="R4237" s="143" t="s">
        <v>1576</v>
      </c>
      <c r="S4237" s="47"/>
      <c r="T4237" s="6">
        <v>135692.47920999999</v>
      </c>
      <c r="U4237" s="6"/>
      <c r="V4237" s="6">
        <v>25979.282309999999</v>
      </c>
      <c r="W4237" s="6">
        <f t="shared" si="649"/>
        <v>109713.1969</v>
      </c>
      <c r="X4237" s="6">
        <f t="shared" si="650"/>
        <v>25979.282309999999</v>
      </c>
      <c r="Y4237" s="13">
        <f t="shared" si="653"/>
        <v>0</v>
      </c>
      <c r="Z4237" s="14">
        <v>0</v>
      </c>
      <c r="AA4237" s="6">
        <v>0</v>
      </c>
      <c r="AB4237" s="4">
        <f t="shared" si="654"/>
        <v>25979.282309999999</v>
      </c>
      <c r="AC4237" s="4">
        <f t="shared" si="656"/>
        <v>0</v>
      </c>
      <c r="AD4237" s="6">
        <f t="shared" si="651"/>
        <v>25979.282309999999</v>
      </c>
      <c r="AE4237" s="2">
        <f>VLOOKUP(I4237,[1]媒体政策预估表!A:N,MATCH(O4237,[1]媒体政策预估表!$A$2:$M$2,0),0)</f>
        <v>0.12</v>
      </c>
      <c r="AF4237" s="6">
        <f t="shared" si="657"/>
        <v>3117.5138771999996</v>
      </c>
      <c r="AG4237" s="14">
        <v>0</v>
      </c>
      <c r="AH4237" s="65">
        <f t="shared" si="652"/>
        <v>25979.282309999999</v>
      </c>
      <c r="AI4237" s="47"/>
      <c r="AJ4237" s="126" t="e">
        <v>#N/A</v>
      </c>
      <c r="AK4237" s="80">
        <f t="shared" si="655"/>
        <v>0</v>
      </c>
      <c r="AM4237" s="85"/>
    </row>
    <row r="4238" spans="1:39" hidden="1" x14ac:dyDescent="0.3">
      <c r="A4238" s="89" t="s">
        <v>3395</v>
      </c>
      <c r="B4238" s="86" t="s">
        <v>35</v>
      </c>
      <c r="C4238" s="86" t="s">
        <v>164</v>
      </c>
      <c r="D4238" s="86" t="s">
        <v>174</v>
      </c>
      <c r="E4238" s="86" t="s">
        <v>1597</v>
      </c>
      <c r="F4238" s="86" t="s">
        <v>1597</v>
      </c>
      <c r="G4238" s="86" t="s">
        <v>1597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1597</v>
      </c>
      <c r="N4238" s="86"/>
      <c r="O4238" s="47" t="s">
        <v>45</v>
      </c>
      <c r="P4238" s="47" t="s">
        <v>46</v>
      </c>
      <c r="Q4238" s="14">
        <v>0.02</v>
      </c>
      <c r="R4238" s="143" t="s">
        <v>1598</v>
      </c>
      <c r="S4238" s="47"/>
      <c r="T4238" s="6">
        <v>18510.2</v>
      </c>
      <c r="U4238" s="6"/>
      <c r="V4238" s="6">
        <v>0</v>
      </c>
      <c r="W4238" s="6">
        <f t="shared" si="649"/>
        <v>18510.2</v>
      </c>
      <c r="X4238" s="6">
        <f t="shared" si="650"/>
        <v>0</v>
      </c>
      <c r="Y4238" s="13">
        <f t="shared" si="653"/>
        <v>0</v>
      </c>
      <c r="Z4238" s="14">
        <v>0</v>
      </c>
      <c r="AA4238" s="6">
        <v>0</v>
      </c>
      <c r="AB4238" s="4">
        <f t="shared" si="654"/>
        <v>0</v>
      </c>
      <c r="AC4238" s="4">
        <f t="shared" si="656"/>
        <v>0</v>
      </c>
      <c r="AD4238" s="6">
        <f t="shared" si="651"/>
        <v>0</v>
      </c>
      <c r="AE4238" s="2">
        <f>VLOOKUP(I4238,[1]媒体政策预估表!A:N,MATCH(O4238,[1]媒体政策预估表!$A$2:$M$2,0),0)</f>
        <v>0.12</v>
      </c>
      <c r="AF4238" s="6">
        <f t="shared" si="657"/>
        <v>0</v>
      </c>
      <c r="AG4238" s="14">
        <v>0</v>
      </c>
      <c r="AH4238" s="65">
        <f t="shared" si="652"/>
        <v>0</v>
      </c>
      <c r="AI4238" s="47"/>
      <c r="AJ4238" s="126" t="e">
        <v>#N/A</v>
      </c>
      <c r="AK4238" s="80">
        <f t="shared" si="655"/>
        <v>0</v>
      </c>
      <c r="AM4238" s="85"/>
    </row>
    <row r="4239" spans="1:39" hidden="1" x14ac:dyDescent="0.3">
      <c r="A4239" s="89" t="s">
        <v>3394</v>
      </c>
      <c r="B4239" s="86" t="s">
        <v>35</v>
      </c>
      <c r="C4239" s="86" t="s">
        <v>164</v>
      </c>
      <c r="D4239" s="86" t="s">
        <v>174</v>
      </c>
      <c r="E4239" s="86" t="s">
        <v>1608</v>
      </c>
      <c r="F4239" s="86" t="s">
        <v>1608</v>
      </c>
      <c r="G4239" s="86" t="s">
        <v>1608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1608</v>
      </c>
      <c r="N4239" s="86"/>
      <c r="O4239" s="47" t="s">
        <v>410</v>
      </c>
      <c r="P4239" s="47" t="s">
        <v>41</v>
      </c>
      <c r="Q4239" s="14">
        <v>0</v>
      </c>
      <c r="R4239" s="143" t="s">
        <v>1609</v>
      </c>
      <c r="S4239" s="47"/>
      <c r="T4239" s="6">
        <v>20426.399999999994</v>
      </c>
      <c r="U4239" s="6"/>
      <c r="V4239" s="6">
        <v>0</v>
      </c>
      <c r="W4239" s="6">
        <f t="shared" si="649"/>
        <v>20426.399999999994</v>
      </c>
      <c r="X4239" s="6">
        <f t="shared" si="650"/>
        <v>0</v>
      </c>
      <c r="Y4239" s="13">
        <f t="shared" si="653"/>
        <v>0</v>
      </c>
      <c r="Z4239" s="14">
        <v>0</v>
      </c>
      <c r="AA4239" s="6">
        <v>0</v>
      </c>
      <c r="AB4239" s="4">
        <f t="shared" si="654"/>
        <v>0</v>
      </c>
      <c r="AC4239" s="4">
        <f t="shared" si="656"/>
        <v>0</v>
      </c>
      <c r="AD4239" s="6">
        <f t="shared" si="651"/>
        <v>0</v>
      </c>
      <c r="AE4239" s="2">
        <f>VLOOKUP(I4239,[1]媒体政策预估表!A:N,MATCH(O4239,[1]媒体政策预估表!$A$2:$M$2,0),0)</f>
        <v>7.0000000000000007E-2</v>
      </c>
      <c r="AF4239" s="6">
        <f t="shared" si="657"/>
        <v>0</v>
      </c>
      <c r="AG4239" s="14">
        <v>0</v>
      </c>
      <c r="AH4239" s="65">
        <f t="shared" si="652"/>
        <v>0</v>
      </c>
      <c r="AI4239" s="47"/>
      <c r="AJ4239" s="126" t="e">
        <v>#N/A</v>
      </c>
      <c r="AK4239" s="80">
        <f t="shared" si="655"/>
        <v>0</v>
      </c>
      <c r="AM4239" s="85"/>
    </row>
    <row r="4240" spans="1:39" hidden="1" x14ac:dyDescent="0.3">
      <c r="A4240" s="89" t="s">
        <v>3394</v>
      </c>
      <c r="B4240" s="86" t="s">
        <v>35</v>
      </c>
      <c r="C4240" s="86" t="s">
        <v>164</v>
      </c>
      <c r="D4240" s="86" t="s">
        <v>174</v>
      </c>
      <c r="E4240" s="86" t="s">
        <v>1617</v>
      </c>
      <c r="F4240" s="86" t="s">
        <v>1617</v>
      </c>
      <c r="G4240" s="86" t="s">
        <v>1617</v>
      </c>
      <c r="H4240" s="144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1617</v>
      </c>
      <c r="N4240" s="86"/>
      <c r="O4240" s="47" t="s">
        <v>45</v>
      </c>
      <c r="P4240" s="47" t="s">
        <v>46</v>
      </c>
      <c r="Q4240" s="14">
        <v>0.01</v>
      </c>
      <c r="R4240" s="143" t="s">
        <v>1621</v>
      </c>
      <c r="S4240" s="47"/>
      <c r="T4240" s="6">
        <v>55315.348550000002</v>
      </c>
      <c r="U4240" s="6"/>
      <c r="V4240" s="6">
        <v>31630.404610000001</v>
      </c>
      <c r="W4240" s="6">
        <f t="shared" si="649"/>
        <v>23684.943940000001</v>
      </c>
      <c r="X4240" s="6">
        <f t="shared" si="650"/>
        <v>31317.232287128714</v>
      </c>
      <c r="Y4240" s="13">
        <f t="shared" si="653"/>
        <v>0</v>
      </c>
      <c r="Z4240" s="14">
        <v>0</v>
      </c>
      <c r="AA4240" s="6">
        <v>0</v>
      </c>
      <c r="AB4240" s="4">
        <f t="shared" si="654"/>
        <v>31317.232287128714</v>
      </c>
      <c r="AC4240" s="4">
        <f t="shared" si="656"/>
        <v>313.17232287128718</v>
      </c>
      <c r="AD4240" s="6">
        <f t="shared" si="651"/>
        <v>31630.404610000001</v>
      </c>
      <c r="AE4240" s="2">
        <f>VLOOKUP(I4240,[1]媒体政策预估表!A:N,MATCH(O4240,[1]媒体政策预估表!$A$2:$M$2,0),0)</f>
        <v>0.12</v>
      </c>
      <c r="AF4240" s="6">
        <f t="shared" si="657"/>
        <v>3795.6485532000002</v>
      </c>
      <c r="AG4240" s="14">
        <v>0</v>
      </c>
      <c r="AH4240" s="65">
        <f t="shared" si="652"/>
        <v>31630.404610000001</v>
      </c>
      <c r="AI4240" s="47"/>
      <c r="AJ4240" s="126" t="e">
        <v>#N/A</v>
      </c>
      <c r="AK4240" s="80">
        <f t="shared" si="655"/>
        <v>0</v>
      </c>
      <c r="AM4240" s="85"/>
    </row>
    <row r="4241" spans="1:39" hidden="1" x14ac:dyDescent="0.3">
      <c r="A4241" s="89" t="s">
        <v>3394</v>
      </c>
      <c r="B4241" s="86" t="s">
        <v>35</v>
      </c>
      <c r="C4241" s="86" t="s">
        <v>164</v>
      </c>
      <c r="D4241" s="86" t="s">
        <v>174</v>
      </c>
      <c r="E4241" s="86" t="s">
        <v>1624</v>
      </c>
      <c r="F4241" s="86" t="s">
        <v>1624</v>
      </c>
      <c r="G4241" s="86" t="s">
        <v>1624</v>
      </c>
      <c r="H4241" s="144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1624</v>
      </c>
      <c r="N4241" s="86"/>
      <c r="O4241" s="47" t="s">
        <v>410</v>
      </c>
      <c r="P4241" s="47" t="s">
        <v>41</v>
      </c>
      <c r="Q4241" s="14">
        <v>0</v>
      </c>
      <c r="R4241" s="143" t="s">
        <v>1628</v>
      </c>
      <c r="S4241" s="47"/>
      <c r="T4241" s="6">
        <v>45907</v>
      </c>
      <c r="U4241" s="6"/>
      <c r="V4241" s="6">
        <v>5889.6</v>
      </c>
      <c r="W4241" s="6">
        <f t="shared" si="649"/>
        <v>40017.4</v>
      </c>
      <c r="X4241" s="6">
        <f t="shared" si="650"/>
        <v>5889.6</v>
      </c>
      <c r="Y4241" s="13">
        <f t="shared" si="653"/>
        <v>0</v>
      </c>
      <c r="Z4241" s="14">
        <v>0</v>
      </c>
      <c r="AA4241" s="6">
        <v>0</v>
      </c>
      <c r="AB4241" s="4">
        <f t="shared" si="654"/>
        <v>5889.6</v>
      </c>
      <c r="AC4241" s="4">
        <f t="shared" si="656"/>
        <v>0</v>
      </c>
      <c r="AD4241" s="6">
        <f t="shared" si="651"/>
        <v>5889.6</v>
      </c>
      <c r="AE4241" s="2">
        <f>VLOOKUP(I4241,[1]媒体政策预估表!A:N,MATCH(O4241,[1]媒体政策预估表!$A$2:$M$2,0),0)</f>
        <v>7.0000000000000007E-2</v>
      </c>
      <c r="AF4241" s="6">
        <f t="shared" si="657"/>
        <v>412.27200000000005</v>
      </c>
      <c r="AG4241" s="14">
        <v>0</v>
      </c>
      <c r="AH4241" s="65">
        <f t="shared" si="652"/>
        <v>5889.6</v>
      </c>
      <c r="AI4241" s="47"/>
      <c r="AJ4241" s="126" t="e">
        <v>#N/A</v>
      </c>
      <c r="AK4241" s="80">
        <f t="shared" si="655"/>
        <v>0</v>
      </c>
      <c r="AM4241" s="85"/>
    </row>
    <row r="4242" spans="1:39" hidden="1" x14ac:dyDescent="0.3">
      <c r="A4242" s="89" t="s">
        <v>3394</v>
      </c>
      <c r="B4242" s="86" t="s">
        <v>35</v>
      </c>
      <c r="C4242" s="86" t="s">
        <v>164</v>
      </c>
      <c r="D4242" s="86" t="s">
        <v>174</v>
      </c>
      <c r="E4242" s="86" t="s">
        <v>651</v>
      </c>
      <c r="F4242" s="86" t="s">
        <v>651</v>
      </c>
      <c r="G4242" s="86" t="s">
        <v>651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1629</v>
      </c>
      <c r="N4242" s="86"/>
      <c r="O4242" s="47" t="s">
        <v>45</v>
      </c>
      <c r="P4242" s="47" t="s">
        <v>46</v>
      </c>
      <c r="Q4242" s="14">
        <v>0.06</v>
      </c>
      <c r="R4242" s="143" t="s">
        <v>1630</v>
      </c>
      <c r="S4242" s="47"/>
      <c r="T4242" s="6">
        <v>579382.51341000001</v>
      </c>
      <c r="U4242" s="6"/>
      <c r="V4242" s="6">
        <v>0</v>
      </c>
      <c r="W4242" s="6">
        <f t="shared" si="649"/>
        <v>579382.51341000001</v>
      </c>
      <c r="X4242" s="6">
        <f t="shared" si="650"/>
        <v>0</v>
      </c>
      <c r="Y4242" s="13">
        <f t="shared" si="653"/>
        <v>0</v>
      </c>
      <c r="Z4242" s="14">
        <v>0</v>
      </c>
      <c r="AA4242" s="6">
        <v>0</v>
      </c>
      <c r="AB4242" s="4">
        <f t="shared" si="654"/>
        <v>0</v>
      </c>
      <c r="AC4242" s="4">
        <f t="shared" si="656"/>
        <v>0</v>
      </c>
      <c r="AD4242" s="6">
        <f t="shared" si="651"/>
        <v>0</v>
      </c>
      <c r="AE4242" s="2">
        <f>VLOOKUP(I4242,[1]媒体政策预估表!A:N,MATCH(O4242,[1]媒体政策预估表!$A$2:$M$2,0),0)</f>
        <v>0.12</v>
      </c>
      <c r="AF4242" s="6">
        <f t="shared" si="657"/>
        <v>0</v>
      </c>
      <c r="AG4242" s="14">
        <v>0</v>
      </c>
      <c r="AH4242" s="65">
        <f t="shared" si="652"/>
        <v>0</v>
      </c>
      <c r="AI4242" s="47"/>
      <c r="AJ4242" s="126" t="e">
        <v>#N/A</v>
      </c>
      <c r="AK4242" s="80">
        <f t="shared" si="655"/>
        <v>0</v>
      </c>
      <c r="AM4242" s="85"/>
    </row>
    <row r="4243" spans="1:39" hidden="1" x14ac:dyDescent="0.3">
      <c r="A4243" s="89" t="s">
        <v>3395</v>
      </c>
      <c r="B4243" s="86" t="s">
        <v>35</v>
      </c>
      <c r="C4243" s="86" t="s">
        <v>164</v>
      </c>
      <c r="D4243" s="86" t="s">
        <v>174</v>
      </c>
      <c r="E4243" s="86" t="s">
        <v>1631</v>
      </c>
      <c r="F4243" s="86" t="s">
        <v>1632</v>
      </c>
      <c r="G4243" s="86" t="s">
        <v>1631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1631</v>
      </c>
      <c r="N4243" s="86"/>
      <c r="O4243" s="47" t="s">
        <v>410</v>
      </c>
      <c r="P4243" s="47" t="s">
        <v>41</v>
      </c>
      <c r="Q4243" s="14">
        <v>0</v>
      </c>
      <c r="R4243" s="143" t="s">
        <v>1633</v>
      </c>
      <c r="S4243" s="47"/>
      <c r="T4243" s="6">
        <v>57616.800000000003</v>
      </c>
      <c r="U4243" s="6"/>
      <c r="V4243" s="6">
        <v>0</v>
      </c>
      <c r="W4243" s="6">
        <f t="shared" si="649"/>
        <v>57616.800000000003</v>
      </c>
      <c r="X4243" s="6">
        <f t="shared" si="650"/>
        <v>0</v>
      </c>
      <c r="Y4243" s="13">
        <f t="shared" si="653"/>
        <v>0</v>
      </c>
      <c r="Z4243" s="14">
        <v>0</v>
      </c>
      <c r="AA4243" s="6">
        <v>0</v>
      </c>
      <c r="AB4243" s="4">
        <f t="shared" si="654"/>
        <v>0</v>
      </c>
      <c r="AC4243" s="4">
        <f t="shared" si="656"/>
        <v>0</v>
      </c>
      <c r="AD4243" s="6">
        <f t="shared" si="651"/>
        <v>0</v>
      </c>
      <c r="AE4243" s="2">
        <f>VLOOKUP(I4243,[1]媒体政策预估表!A:N,MATCH(O4243,[1]媒体政策预估表!$A$2:$M$2,0),0)</f>
        <v>7.0000000000000007E-2</v>
      </c>
      <c r="AF4243" s="6">
        <f t="shared" si="657"/>
        <v>0</v>
      </c>
      <c r="AG4243" s="14">
        <v>0</v>
      </c>
      <c r="AH4243" s="65">
        <f t="shared" si="652"/>
        <v>0</v>
      </c>
      <c r="AI4243" s="47"/>
      <c r="AJ4243" s="126" t="e">
        <v>#N/A</v>
      </c>
      <c r="AK4243" s="80">
        <f t="shared" si="655"/>
        <v>0</v>
      </c>
      <c r="AM4243" s="85"/>
    </row>
    <row r="4244" spans="1:39" hidden="1" x14ac:dyDescent="0.3">
      <c r="A4244" s="89" t="s">
        <v>3394</v>
      </c>
      <c r="B4244" s="86" t="s">
        <v>35</v>
      </c>
      <c r="C4244" s="86" t="s">
        <v>164</v>
      </c>
      <c r="D4244" s="86" t="s">
        <v>174</v>
      </c>
      <c r="E4244" s="86" t="s">
        <v>1634</v>
      </c>
      <c r="F4244" s="86" t="s">
        <v>1635</v>
      </c>
      <c r="G4244" s="86" t="s">
        <v>1634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1634</v>
      </c>
      <c r="N4244" s="86"/>
      <c r="O4244" s="47" t="s">
        <v>410</v>
      </c>
      <c r="P4244" s="47" t="s">
        <v>41</v>
      </c>
      <c r="Q4244" s="14">
        <v>0</v>
      </c>
      <c r="R4244" s="143" t="s">
        <v>1636</v>
      </c>
      <c r="S4244" s="47"/>
      <c r="T4244" s="6">
        <v>-4.3100000000849832</v>
      </c>
      <c r="U4244" s="6"/>
      <c r="V4244" s="6">
        <v>0</v>
      </c>
      <c r="W4244" s="6">
        <f t="shared" si="649"/>
        <v>-4.3100000000849832</v>
      </c>
      <c r="X4244" s="6">
        <f t="shared" si="650"/>
        <v>0</v>
      </c>
      <c r="Y4244" s="13">
        <f t="shared" si="653"/>
        <v>0</v>
      </c>
      <c r="Z4244" s="14">
        <v>0</v>
      </c>
      <c r="AA4244" s="6">
        <v>0</v>
      </c>
      <c r="AB4244" s="4">
        <f t="shared" si="654"/>
        <v>0</v>
      </c>
      <c r="AC4244" s="4">
        <f t="shared" si="656"/>
        <v>0</v>
      </c>
      <c r="AD4244" s="6">
        <f t="shared" si="651"/>
        <v>0</v>
      </c>
      <c r="AE4244" s="2">
        <f>VLOOKUP(I4244,[1]媒体政策预估表!A:N,MATCH(O4244,[1]媒体政策预估表!$A$2:$M$2,0),0)</f>
        <v>7.0000000000000007E-2</v>
      </c>
      <c r="AF4244" s="6">
        <f t="shared" si="657"/>
        <v>0</v>
      </c>
      <c r="AG4244" s="14">
        <v>0</v>
      </c>
      <c r="AH4244" s="65">
        <f t="shared" si="652"/>
        <v>0</v>
      </c>
      <c r="AI4244" s="47"/>
      <c r="AJ4244" s="126" t="e">
        <v>#N/A</v>
      </c>
      <c r="AK4244" s="80">
        <f t="shared" si="655"/>
        <v>0</v>
      </c>
      <c r="AM4244" s="85"/>
    </row>
    <row r="4245" spans="1:39" hidden="1" x14ac:dyDescent="0.3">
      <c r="A4245" s="89" t="s">
        <v>3394</v>
      </c>
      <c r="B4245" s="86" t="s">
        <v>35</v>
      </c>
      <c r="C4245" s="86" t="s">
        <v>164</v>
      </c>
      <c r="D4245" s="86" t="s">
        <v>174</v>
      </c>
      <c r="E4245" s="86" t="s">
        <v>1637</v>
      </c>
      <c r="F4245" s="86" t="s">
        <v>1637</v>
      </c>
      <c r="G4245" s="86" t="s">
        <v>1637</v>
      </c>
      <c r="H4245" s="144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1637</v>
      </c>
      <c r="N4245" s="86"/>
      <c r="O4245" s="47" t="s">
        <v>410</v>
      </c>
      <c r="P4245" s="47" t="s">
        <v>41</v>
      </c>
      <c r="Q4245" s="14">
        <v>0</v>
      </c>
      <c r="R4245" s="143" t="s">
        <v>1638</v>
      </c>
      <c r="S4245" s="47"/>
      <c r="T4245" s="6">
        <v>7372.5</v>
      </c>
      <c r="U4245" s="6"/>
      <c r="V4245" s="6">
        <v>6349.1</v>
      </c>
      <c r="W4245" s="6">
        <f t="shared" si="649"/>
        <v>1023.3999999999996</v>
      </c>
      <c r="X4245" s="6">
        <f t="shared" si="650"/>
        <v>6349.1</v>
      </c>
      <c r="Y4245" s="13">
        <f t="shared" si="653"/>
        <v>0</v>
      </c>
      <c r="Z4245" s="14">
        <v>0</v>
      </c>
      <c r="AA4245" s="6">
        <v>0</v>
      </c>
      <c r="AB4245" s="4">
        <f t="shared" si="654"/>
        <v>6349.1</v>
      </c>
      <c r="AC4245" s="4">
        <f t="shared" si="656"/>
        <v>0</v>
      </c>
      <c r="AD4245" s="6">
        <f t="shared" si="651"/>
        <v>6349.1</v>
      </c>
      <c r="AE4245" s="2">
        <f>VLOOKUP(I4245,[1]媒体政策预估表!A:N,MATCH(O4245,[1]媒体政策预估表!$A$2:$M$2,0),0)</f>
        <v>7.0000000000000007E-2</v>
      </c>
      <c r="AF4245" s="6">
        <f t="shared" si="657"/>
        <v>444.43700000000007</v>
      </c>
      <c r="AG4245" s="14">
        <v>0</v>
      </c>
      <c r="AH4245" s="65">
        <f t="shared" si="652"/>
        <v>6349.1</v>
      </c>
      <c r="AI4245" s="47"/>
      <c r="AJ4245" s="126" t="e">
        <v>#N/A</v>
      </c>
      <c r="AK4245" s="80">
        <f t="shared" si="655"/>
        <v>0</v>
      </c>
      <c r="AM4245" s="85"/>
    </row>
    <row r="4246" spans="1:39" hidden="1" x14ac:dyDescent="0.3">
      <c r="A4246" s="89" t="s">
        <v>3394</v>
      </c>
      <c r="B4246" s="86" t="s">
        <v>35</v>
      </c>
      <c r="C4246" s="86" t="s">
        <v>164</v>
      </c>
      <c r="D4246" s="86" t="s">
        <v>174</v>
      </c>
      <c r="E4246" s="86" t="s">
        <v>1661</v>
      </c>
      <c r="F4246" s="86" t="s">
        <v>1661</v>
      </c>
      <c r="G4246" s="86" t="s">
        <v>1661</v>
      </c>
      <c r="H4246" s="144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1661</v>
      </c>
      <c r="N4246" s="86"/>
      <c r="O4246" s="47" t="s">
        <v>410</v>
      </c>
      <c r="P4246" s="47" t="s">
        <v>41</v>
      </c>
      <c r="Q4246" s="14">
        <v>0</v>
      </c>
      <c r="R4246" s="143">
        <v>3157172745</v>
      </c>
      <c r="S4246" s="47"/>
      <c r="T4246" s="6">
        <v>20136.130000000005</v>
      </c>
      <c r="U4246" s="6"/>
      <c r="V4246" s="6">
        <v>19</v>
      </c>
      <c r="W4246" s="6">
        <f t="shared" si="649"/>
        <v>20117.130000000005</v>
      </c>
      <c r="X4246" s="6">
        <f t="shared" si="650"/>
        <v>19</v>
      </c>
      <c r="Y4246" s="13">
        <f t="shared" si="653"/>
        <v>0</v>
      </c>
      <c r="Z4246" s="14">
        <v>0</v>
      </c>
      <c r="AA4246" s="6">
        <v>0</v>
      </c>
      <c r="AB4246" s="4">
        <f t="shared" si="654"/>
        <v>19</v>
      </c>
      <c r="AC4246" s="4">
        <f t="shared" si="656"/>
        <v>0</v>
      </c>
      <c r="AD4246" s="6">
        <f t="shared" si="651"/>
        <v>19</v>
      </c>
      <c r="AE4246" s="2">
        <f>VLOOKUP(I4246,[1]媒体政策预估表!A:N,MATCH(O4246,[1]媒体政策预估表!$A$2:$M$2,0),0)</f>
        <v>7.0000000000000007E-2</v>
      </c>
      <c r="AF4246" s="6">
        <f t="shared" si="657"/>
        <v>1.33</v>
      </c>
      <c r="AG4246" s="14">
        <v>0</v>
      </c>
      <c r="AH4246" s="65">
        <f t="shared" si="652"/>
        <v>19</v>
      </c>
      <c r="AI4246" s="47"/>
      <c r="AJ4246" s="126" t="e">
        <v>#N/A</v>
      </c>
      <c r="AK4246" s="80">
        <f t="shared" si="655"/>
        <v>0</v>
      </c>
      <c r="AM4246" s="85"/>
    </row>
    <row r="4247" spans="1:39" hidden="1" x14ac:dyDescent="0.3">
      <c r="A4247" s="89" t="s">
        <v>3394</v>
      </c>
      <c r="B4247" s="86" t="s">
        <v>35</v>
      </c>
      <c r="C4247" s="86" t="s">
        <v>164</v>
      </c>
      <c r="D4247" s="86" t="s">
        <v>174</v>
      </c>
      <c r="E4247" s="86" t="s">
        <v>1687</v>
      </c>
      <c r="F4247" s="86" t="s">
        <v>1687</v>
      </c>
      <c r="G4247" s="86" t="s">
        <v>1687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1687</v>
      </c>
      <c r="N4247" s="86"/>
      <c r="O4247" s="47" t="s">
        <v>410</v>
      </c>
      <c r="P4247" s="47" t="s">
        <v>41</v>
      </c>
      <c r="Q4247" s="14">
        <v>0</v>
      </c>
      <c r="R4247" s="143">
        <v>18668181711</v>
      </c>
      <c r="S4247" s="47"/>
      <c r="T4247" s="6">
        <v>-1.2800000001006993</v>
      </c>
      <c r="U4247" s="6"/>
      <c r="V4247" s="6">
        <v>0</v>
      </c>
      <c r="W4247" s="6">
        <f t="shared" si="649"/>
        <v>-1.2800000001006993</v>
      </c>
      <c r="X4247" s="6">
        <f t="shared" si="650"/>
        <v>0</v>
      </c>
      <c r="Y4247" s="13">
        <f t="shared" si="653"/>
        <v>0</v>
      </c>
      <c r="Z4247" s="14">
        <v>0</v>
      </c>
      <c r="AA4247" s="6">
        <v>0</v>
      </c>
      <c r="AB4247" s="4">
        <f t="shared" si="654"/>
        <v>0</v>
      </c>
      <c r="AC4247" s="4">
        <f t="shared" si="656"/>
        <v>0</v>
      </c>
      <c r="AD4247" s="6">
        <f t="shared" si="651"/>
        <v>0</v>
      </c>
      <c r="AE4247" s="2">
        <f>VLOOKUP(I4247,[1]媒体政策预估表!A:N,MATCH(O4247,[1]媒体政策预估表!$A$2:$M$2,0),0)</f>
        <v>7.0000000000000007E-2</v>
      </c>
      <c r="AF4247" s="6">
        <f t="shared" si="657"/>
        <v>0</v>
      </c>
      <c r="AG4247" s="14">
        <v>0</v>
      </c>
      <c r="AH4247" s="65">
        <f t="shared" si="652"/>
        <v>0</v>
      </c>
      <c r="AI4247" s="47"/>
      <c r="AJ4247" s="126" t="e">
        <v>#N/A</v>
      </c>
      <c r="AK4247" s="80">
        <f t="shared" si="655"/>
        <v>0</v>
      </c>
      <c r="AM4247" s="85"/>
    </row>
    <row r="4248" spans="1:39" hidden="1" x14ac:dyDescent="0.3">
      <c r="A4248" s="89" t="s">
        <v>3394</v>
      </c>
      <c r="B4248" s="86" t="s">
        <v>35</v>
      </c>
      <c r="C4248" s="86" t="s">
        <v>164</v>
      </c>
      <c r="D4248" s="86" t="s">
        <v>174</v>
      </c>
      <c r="E4248" s="86" t="s">
        <v>1687</v>
      </c>
      <c r="F4248" s="86" t="s">
        <v>1687</v>
      </c>
      <c r="G4248" s="86" t="s">
        <v>1687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1687</v>
      </c>
      <c r="N4248" s="86"/>
      <c r="O4248" s="47" t="s">
        <v>410</v>
      </c>
      <c r="P4248" s="47" t="s">
        <v>41</v>
      </c>
      <c r="Q4248" s="14">
        <v>0</v>
      </c>
      <c r="R4248" s="143" t="s">
        <v>1688</v>
      </c>
      <c r="S4248" s="47"/>
      <c r="T4248" s="6">
        <v>7.0950400000074296</v>
      </c>
      <c r="U4248" s="6"/>
      <c r="V4248" s="6">
        <v>0</v>
      </c>
      <c r="W4248" s="6">
        <f t="shared" si="649"/>
        <v>7.0950400000074296</v>
      </c>
      <c r="X4248" s="6">
        <f t="shared" si="650"/>
        <v>0</v>
      </c>
      <c r="Y4248" s="13">
        <f t="shared" si="653"/>
        <v>0</v>
      </c>
      <c r="Z4248" s="14">
        <v>0</v>
      </c>
      <c r="AA4248" s="6">
        <v>0</v>
      </c>
      <c r="AB4248" s="4">
        <f t="shared" si="654"/>
        <v>0</v>
      </c>
      <c r="AC4248" s="4">
        <f t="shared" si="656"/>
        <v>0</v>
      </c>
      <c r="AD4248" s="6">
        <f t="shared" si="651"/>
        <v>0</v>
      </c>
      <c r="AE4248" s="2">
        <f>VLOOKUP(I4248,[1]媒体政策预估表!A:N,MATCH(O4248,[1]媒体政策预估表!$A$2:$M$2,0),0)</f>
        <v>7.0000000000000007E-2</v>
      </c>
      <c r="AF4248" s="6">
        <f t="shared" si="657"/>
        <v>0</v>
      </c>
      <c r="AG4248" s="14">
        <v>0</v>
      </c>
      <c r="AH4248" s="65">
        <f t="shared" si="652"/>
        <v>0</v>
      </c>
      <c r="AI4248" s="47"/>
      <c r="AJ4248" s="126" t="e">
        <v>#N/A</v>
      </c>
      <c r="AK4248" s="80">
        <f t="shared" si="655"/>
        <v>0</v>
      </c>
      <c r="AM4248" s="85"/>
    </row>
    <row r="4249" spans="1:39" hidden="1" x14ac:dyDescent="0.3">
      <c r="A4249" s="89" t="s">
        <v>3394</v>
      </c>
      <c r="B4249" s="86" t="s">
        <v>35</v>
      </c>
      <c r="C4249" s="86" t="s">
        <v>164</v>
      </c>
      <c r="D4249" s="86" t="s">
        <v>174</v>
      </c>
      <c r="E4249" s="86" t="s">
        <v>1687</v>
      </c>
      <c r="F4249" s="86" t="s">
        <v>1687</v>
      </c>
      <c r="G4249" s="86" t="s">
        <v>1687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1689</v>
      </c>
      <c r="N4249" s="86"/>
      <c r="O4249" s="47" t="s">
        <v>410</v>
      </c>
      <c r="P4249" s="47" t="s">
        <v>41</v>
      </c>
      <c r="Q4249" s="14">
        <v>0</v>
      </c>
      <c r="R4249" s="143" t="s">
        <v>1690</v>
      </c>
      <c r="S4249" s="47"/>
      <c r="T4249" s="6">
        <v>-4.9999999964711606E-2</v>
      </c>
      <c r="U4249" s="6"/>
      <c r="V4249" s="6">
        <v>0</v>
      </c>
      <c r="W4249" s="6">
        <f t="shared" si="649"/>
        <v>-4.9999999964711606E-2</v>
      </c>
      <c r="X4249" s="6">
        <f t="shared" si="650"/>
        <v>0</v>
      </c>
      <c r="Y4249" s="13">
        <f t="shared" si="653"/>
        <v>0</v>
      </c>
      <c r="Z4249" s="14">
        <v>0</v>
      </c>
      <c r="AA4249" s="6">
        <v>0</v>
      </c>
      <c r="AB4249" s="4">
        <f t="shared" si="654"/>
        <v>0</v>
      </c>
      <c r="AC4249" s="4">
        <f t="shared" si="656"/>
        <v>0</v>
      </c>
      <c r="AD4249" s="6">
        <f t="shared" si="651"/>
        <v>0</v>
      </c>
      <c r="AE4249" s="2">
        <f>VLOOKUP(I4249,[1]媒体政策预估表!A:N,MATCH(O4249,[1]媒体政策预估表!$A$2:$M$2,0),0)</f>
        <v>7.0000000000000007E-2</v>
      </c>
      <c r="AF4249" s="6">
        <f t="shared" si="657"/>
        <v>0</v>
      </c>
      <c r="AG4249" s="14">
        <v>0</v>
      </c>
      <c r="AH4249" s="65">
        <f t="shared" si="652"/>
        <v>0</v>
      </c>
      <c r="AI4249" s="47"/>
      <c r="AJ4249" s="126" t="e">
        <v>#N/A</v>
      </c>
      <c r="AK4249" s="80">
        <f t="shared" si="655"/>
        <v>0</v>
      </c>
      <c r="AM4249" s="85"/>
    </row>
    <row r="4250" spans="1:39" hidden="1" x14ac:dyDescent="0.3">
      <c r="A4250" s="89" t="s">
        <v>3394</v>
      </c>
      <c r="B4250" s="86" t="s">
        <v>35</v>
      </c>
      <c r="C4250" s="86" t="s">
        <v>164</v>
      </c>
      <c r="D4250" s="86" t="s">
        <v>174</v>
      </c>
      <c r="E4250" s="86" t="s">
        <v>1687</v>
      </c>
      <c r="F4250" s="86" t="s">
        <v>1687</v>
      </c>
      <c r="G4250" s="86" t="s">
        <v>1687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1692</v>
      </c>
      <c r="N4250" s="86"/>
      <c r="O4250" s="47" t="s">
        <v>410</v>
      </c>
      <c r="P4250" s="47" t="s">
        <v>41</v>
      </c>
      <c r="Q4250" s="14">
        <v>0</v>
      </c>
      <c r="R4250" s="143" t="s">
        <v>1693</v>
      </c>
      <c r="S4250" s="47"/>
      <c r="T4250" s="6">
        <v>-1.9999999995889084E-2</v>
      </c>
      <c r="U4250" s="6"/>
      <c r="V4250" s="6">
        <v>0</v>
      </c>
      <c r="W4250" s="6">
        <f t="shared" si="649"/>
        <v>-1.9999999995889084E-2</v>
      </c>
      <c r="X4250" s="6">
        <f t="shared" si="650"/>
        <v>0</v>
      </c>
      <c r="Y4250" s="13">
        <f t="shared" si="653"/>
        <v>0</v>
      </c>
      <c r="Z4250" s="14">
        <v>0</v>
      </c>
      <c r="AA4250" s="6">
        <v>0</v>
      </c>
      <c r="AB4250" s="4">
        <f t="shared" si="654"/>
        <v>0</v>
      </c>
      <c r="AC4250" s="4">
        <f t="shared" si="656"/>
        <v>0</v>
      </c>
      <c r="AD4250" s="6">
        <f t="shared" si="651"/>
        <v>0</v>
      </c>
      <c r="AE4250" s="2">
        <f>VLOOKUP(I4250,[1]媒体政策预估表!A:N,MATCH(O4250,[1]媒体政策预估表!$A$2:$M$2,0),0)</f>
        <v>7.0000000000000007E-2</v>
      </c>
      <c r="AF4250" s="6">
        <f t="shared" si="657"/>
        <v>0</v>
      </c>
      <c r="AG4250" s="14">
        <v>0</v>
      </c>
      <c r="AH4250" s="65">
        <f t="shared" si="652"/>
        <v>0</v>
      </c>
      <c r="AI4250" s="47"/>
      <c r="AJ4250" s="126" t="e">
        <v>#N/A</v>
      </c>
      <c r="AK4250" s="80">
        <f t="shared" si="655"/>
        <v>0</v>
      </c>
      <c r="AM4250" s="85"/>
    </row>
    <row r="4251" spans="1:39" hidden="1" x14ac:dyDescent="0.3">
      <c r="A4251" s="89" t="s">
        <v>3395</v>
      </c>
      <c r="B4251" s="86" t="s">
        <v>35</v>
      </c>
      <c r="C4251" s="86" t="s">
        <v>164</v>
      </c>
      <c r="D4251" s="86" t="s">
        <v>174</v>
      </c>
      <c r="E4251" s="86" t="s">
        <v>1703</v>
      </c>
      <c r="F4251" s="86" t="s">
        <v>1703</v>
      </c>
      <c r="G4251" s="86" t="s">
        <v>1703</v>
      </c>
      <c r="H4251" s="144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1709</v>
      </c>
      <c r="N4251" s="86"/>
      <c r="O4251" s="47" t="s">
        <v>410</v>
      </c>
      <c r="P4251" s="47" t="s">
        <v>41</v>
      </c>
      <c r="Q4251" s="14">
        <v>0</v>
      </c>
      <c r="R4251" s="143" t="s">
        <v>1710</v>
      </c>
      <c r="S4251" s="47"/>
      <c r="T4251" s="6">
        <v>11663.300000000016</v>
      </c>
      <c r="U4251" s="6"/>
      <c r="V4251" s="6">
        <v>5869.1</v>
      </c>
      <c r="W4251" s="6">
        <f t="shared" si="649"/>
        <v>5794.2000000000153</v>
      </c>
      <c r="X4251" s="6">
        <f t="shared" si="650"/>
        <v>5869.1</v>
      </c>
      <c r="Y4251" s="13">
        <f t="shared" si="653"/>
        <v>0</v>
      </c>
      <c r="Z4251" s="14">
        <v>0</v>
      </c>
      <c r="AA4251" s="6">
        <v>0</v>
      </c>
      <c r="AB4251" s="4">
        <f t="shared" si="654"/>
        <v>5869.1</v>
      </c>
      <c r="AC4251" s="4">
        <f t="shared" si="656"/>
        <v>0</v>
      </c>
      <c r="AD4251" s="6">
        <f t="shared" si="651"/>
        <v>5869.1</v>
      </c>
      <c r="AE4251" s="2">
        <f>VLOOKUP(I4251,[1]媒体政策预估表!A:N,MATCH(O4251,[1]媒体政策预估表!$A$2:$M$2,0),0)</f>
        <v>7.0000000000000007E-2</v>
      </c>
      <c r="AF4251" s="6">
        <f t="shared" si="657"/>
        <v>410.83700000000005</v>
      </c>
      <c r="AG4251" s="14">
        <v>0</v>
      </c>
      <c r="AH4251" s="65">
        <f t="shared" si="652"/>
        <v>5869.1</v>
      </c>
      <c r="AI4251" s="47"/>
      <c r="AJ4251" s="126" t="e">
        <v>#N/A</v>
      </c>
      <c r="AK4251" s="80">
        <f t="shared" si="655"/>
        <v>0</v>
      </c>
      <c r="AM4251" s="85"/>
    </row>
    <row r="4252" spans="1:39" hidden="1" x14ac:dyDescent="0.3">
      <c r="A4252" s="89" t="s">
        <v>3397</v>
      </c>
      <c r="B4252" s="86" t="s">
        <v>35</v>
      </c>
      <c r="C4252" s="86" t="s">
        <v>164</v>
      </c>
      <c r="D4252" s="86" t="s">
        <v>174</v>
      </c>
      <c r="E4252" s="86" t="s">
        <v>666</v>
      </c>
      <c r="F4252" s="86" t="s">
        <v>666</v>
      </c>
      <c r="G4252" s="86" t="s">
        <v>666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666</v>
      </c>
      <c r="N4252" s="86"/>
      <c r="O4252" s="47" t="s">
        <v>410</v>
      </c>
      <c r="P4252" s="47" t="s">
        <v>41</v>
      </c>
      <c r="Q4252" s="14">
        <v>0</v>
      </c>
      <c r="R4252" s="143" t="s">
        <v>1714</v>
      </c>
      <c r="S4252" s="47"/>
      <c r="T4252" s="6">
        <v>352.89999999999964</v>
      </c>
      <c r="U4252" s="6"/>
      <c r="V4252" s="6">
        <v>0</v>
      </c>
      <c r="W4252" s="6">
        <f t="shared" si="649"/>
        <v>352.89999999999964</v>
      </c>
      <c r="X4252" s="6">
        <f t="shared" si="650"/>
        <v>0</v>
      </c>
      <c r="Y4252" s="13">
        <f t="shared" si="653"/>
        <v>0</v>
      </c>
      <c r="Z4252" s="14">
        <v>0</v>
      </c>
      <c r="AA4252" s="6">
        <v>0</v>
      </c>
      <c r="AB4252" s="4">
        <f t="shared" si="654"/>
        <v>0</v>
      </c>
      <c r="AC4252" s="4">
        <f t="shared" si="656"/>
        <v>0</v>
      </c>
      <c r="AD4252" s="6">
        <f t="shared" si="651"/>
        <v>0</v>
      </c>
      <c r="AE4252" s="2">
        <f>VLOOKUP(I4252,[1]媒体政策预估表!A:N,MATCH(O4252,[1]媒体政策预估表!$A$2:$M$2,0),0)</f>
        <v>7.0000000000000007E-2</v>
      </c>
      <c r="AF4252" s="6">
        <f t="shared" si="657"/>
        <v>0</v>
      </c>
      <c r="AG4252" s="14">
        <v>0</v>
      </c>
      <c r="AH4252" s="65">
        <f t="shared" si="652"/>
        <v>0</v>
      </c>
      <c r="AI4252" s="47"/>
      <c r="AJ4252" s="126" t="e">
        <v>#N/A</v>
      </c>
      <c r="AK4252" s="80">
        <f t="shared" si="655"/>
        <v>0</v>
      </c>
      <c r="AM4252" s="85"/>
    </row>
    <row r="4253" spans="1:39" hidden="1" x14ac:dyDescent="0.3">
      <c r="A4253" s="89" t="s">
        <v>3394</v>
      </c>
      <c r="B4253" s="86" t="s">
        <v>35</v>
      </c>
      <c r="C4253" s="86" t="s">
        <v>164</v>
      </c>
      <c r="D4253" s="86" t="s">
        <v>174</v>
      </c>
      <c r="E4253" s="86" t="s">
        <v>1746</v>
      </c>
      <c r="F4253" s="86" t="s">
        <v>1746</v>
      </c>
      <c r="G4253" s="86" t="s">
        <v>1746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1746</v>
      </c>
      <c r="N4253" s="86"/>
      <c r="O4253" s="47" t="s">
        <v>410</v>
      </c>
      <c r="P4253" s="47" t="s">
        <v>41</v>
      </c>
      <c r="Q4253" s="14">
        <v>0</v>
      </c>
      <c r="R4253" s="143" t="s">
        <v>1747</v>
      </c>
      <c r="S4253" s="47"/>
      <c r="T4253" s="6">
        <v>15374.4</v>
      </c>
      <c r="U4253" s="6"/>
      <c r="V4253" s="6">
        <v>0</v>
      </c>
      <c r="W4253" s="6">
        <f t="shared" si="649"/>
        <v>15374.4</v>
      </c>
      <c r="X4253" s="6">
        <f t="shared" si="650"/>
        <v>0</v>
      </c>
      <c r="Y4253" s="13">
        <f t="shared" si="653"/>
        <v>0</v>
      </c>
      <c r="Z4253" s="14">
        <v>0</v>
      </c>
      <c r="AA4253" s="6">
        <v>0</v>
      </c>
      <c r="AB4253" s="4">
        <f t="shared" si="654"/>
        <v>0</v>
      </c>
      <c r="AC4253" s="4">
        <f t="shared" si="656"/>
        <v>0</v>
      </c>
      <c r="AD4253" s="6">
        <f t="shared" si="651"/>
        <v>0</v>
      </c>
      <c r="AE4253" s="2">
        <f>VLOOKUP(I4253,[1]媒体政策预估表!A:N,MATCH(O4253,[1]媒体政策预估表!$A$2:$M$2,0),0)</f>
        <v>7.0000000000000007E-2</v>
      </c>
      <c r="AF4253" s="6">
        <f t="shared" si="657"/>
        <v>0</v>
      </c>
      <c r="AG4253" s="14">
        <v>0</v>
      </c>
      <c r="AH4253" s="65">
        <f t="shared" si="652"/>
        <v>0</v>
      </c>
      <c r="AI4253" s="47"/>
      <c r="AJ4253" s="126" t="e">
        <v>#N/A</v>
      </c>
      <c r="AK4253" s="80">
        <f t="shared" si="655"/>
        <v>0</v>
      </c>
      <c r="AM4253" s="85"/>
    </row>
    <row r="4254" spans="1:39" hidden="1" x14ac:dyDescent="0.3">
      <c r="A4254" s="89" t="s">
        <v>3394</v>
      </c>
      <c r="B4254" s="86" t="s">
        <v>35</v>
      </c>
      <c r="C4254" s="86" t="s">
        <v>164</v>
      </c>
      <c r="D4254" s="86" t="s">
        <v>174</v>
      </c>
      <c r="E4254" s="86" t="s">
        <v>1754</v>
      </c>
      <c r="F4254" s="86" t="s">
        <v>1754</v>
      </c>
      <c r="G4254" s="86" t="s">
        <v>1754</v>
      </c>
      <c r="H4254" s="144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1754</v>
      </c>
      <c r="N4254" s="86"/>
      <c r="O4254" s="47" t="s">
        <v>410</v>
      </c>
      <c r="P4254" s="47" t="s">
        <v>41</v>
      </c>
      <c r="Q4254" s="14">
        <v>0</v>
      </c>
      <c r="R4254" s="143" t="s">
        <v>1755</v>
      </c>
      <c r="S4254" s="47"/>
      <c r="T4254" s="6">
        <v>5435.5</v>
      </c>
      <c r="U4254" s="6"/>
      <c r="V4254" s="6">
        <v>4979.5</v>
      </c>
      <c r="W4254" s="6">
        <f t="shared" si="649"/>
        <v>456</v>
      </c>
      <c r="X4254" s="6">
        <f t="shared" si="650"/>
        <v>4979.5</v>
      </c>
      <c r="Y4254" s="13">
        <f t="shared" si="653"/>
        <v>0</v>
      </c>
      <c r="Z4254" s="14">
        <v>0</v>
      </c>
      <c r="AA4254" s="6">
        <v>0</v>
      </c>
      <c r="AB4254" s="4">
        <f t="shared" si="654"/>
        <v>4979.5</v>
      </c>
      <c r="AC4254" s="4">
        <f t="shared" si="656"/>
        <v>0</v>
      </c>
      <c r="AD4254" s="6">
        <f t="shared" si="651"/>
        <v>4979.5</v>
      </c>
      <c r="AE4254" s="2">
        <f>VLOOKUP(I4254,[1]媒体政策预估表!A:N,MATCH(O4254,[1]媒体政策预估表!$A$2:$M$2,0),0)</f>
        <v>7.0000000000000007E-2</v>
      </c>
      <c r="AF4254" s="6">
        <f t="shared" si="657"/>
        <v>348.56500000000005</v>
      </c>
      <c r="AG4254" s="14">
        <v>0</v>
      </c>
      <c r="AH4254" s="65">
        <f t="shared" si="652"/>
        <v>4979.5</v>
      </c>
      <c r="AI4254" s="47"/>
      <c r="AJ4254" s="126" t="e">
        <v>#N/A</v>
      </c>
      <c r="AK4254" s="80">
        <f t="shared" si="655"/>
        <v>0</v>
      </c>
      <c r="AM4254" s="85"/>
    </row>
    <row r="4255" spans="1:39" hidden="1" x14ac:dyDescent="0.3">
      <c r="A4255" s="89" t="s">
        <v>3394</v>
      </c>
      <c r="B4255" s="86" t="s">
        <v>35</v>
      </c>
      <c r="C4255" s="86" t="s">
        <v>164</v>
      </c>
      <c r="D4255" s="86" t="s">
        <v>174</v>
      </c>
      <c r="E4255" s="86" t="s">
        <v>1765</v>
      </c>
      <c r="F4255" s="86" t="s">
        <v>1765</v>
      </c>
      <c r="G4255" s="86" t="s">
        <v>1765</v>
      </c>
      <c r="H4255" s="143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1766</v>
      </c>
      <c r="N4255" s="86"/>
      <c r="O4255" s="47" t="s">
        <v>410</v>
      </c>
      <c r="P4255" s="47" t="s">
        <v>41</v>
      </c>
      <c r="Q4255" s="14">
        <v>0</v>
      </c>
      <c r="R4255" s="143" t="s">
        <v>1768</v>
      </c>
      <c r="S4255" s="47"/>
      <c r="T4255" s="6">
        <v>2371.5999999999985</v>
      </c>
      <c r="U4255" s="6"/>
      <c r="V4255" s="6">
        <v>0</v>
      </c>
      <c r="W4255" s="6">
        <f t="shared" si="649"/>
        <v>2371.5999999999985</v>
      </c>
      <c r="X4255" s="6">
        <f t="shared" si="650"/>
        <v>0</v>
      </c>
      <c r="Y4255" s="13">
        <f t="shared" si="653"/>
        <v>0</v>
      </c>
      <c r="Z4255" s="14">
        <v>0</v>
      </c>
      <c r="AA4255" s="6">
        <v>0</v>
      </c>
      <c r="AB4255" s="4">
        <f t="shared" si="654"/>
        <v>0</v>
      </c>
      <c r="AC4255" s="4">
        <f t="shared" si="656"/>
        <v>0</v>
      </c>
      <c r="AD4255" s="6">
        <f t="shared" si="651"/>
        <v>0</v>
      </c>
      <c r="AE4255" s="2">
        <f>VLOOKUP(I4255,[1]媒体政策预估表!A:N,MATCH(O4255,[1]媒体政策预估表!$A$2:$M$2,0),0)</f>
        <v>7.0000000000000007E-2</v>
      </c>
      <c r="AF4255" s="6">
        <f t="shared" si="657"/>
        <v>0</v>
      </c>
      <c r="AG4255" s="14">
        <v>0</v>
      </c>
      <c r="AH4255" s="65">
        <f t="shared" si="652"/>
        <v>0</v>
      </c>
      <c r="AI4255" s="47"/>
      <c r="AJ4255" s="126" t="e">
        <v>#N/A</v>
      </c>
      <c r="AK4255" s="80">
        <f t="shared" si="655"/>
        <v>0</v>
      </c>
      <c r="AM4255" s="85"/>
    </row>
    <row r="4256" spans="1:39" hidden="1" x14ac:dyDescent="0.3">
      <c r="A4256" s="89" t="s">
        <v>3394</v>
      </c>
      <c r="B4256" s="86" t="s">
        <v>35</v>
      </c>
      <c r="C4256" s="86" t="s">
        <v>164</v>
      </c>
      <c r="D4256" s="86" t="s">
        <v>174</v>
      </c>
      <c r="E4256" s="86" t="s">
        <v>1769</v>
      </c>
      <c r="F4256" s="86" t="s">
        <v>1769</v>
      </c>
      <c r="G4256" s="86" t="s">
        <v>1769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1769</v>
      </c>
      <c r="N4256" s="86"/>
      <c r="O4256" s="47" t="s">
        <v>410</v>
      </c>
      <c r="P4256" s="47" t="s">
        <v>41</v>
      </c>
      <c r="Q4256" s="14">
        <v>0</v>
      </c>
      <c r="R4256" s="143" t="s">
        <v>1640</v>
      </c>
      <c r="S4256" s="47"/>
      <c r="T4256" s="6">
        <v>3294.7000000000007</v>
      </c>
      <c r="U4256" s="6"/>
      <c r="V4256" s="6">
        <v>2801.98</v>
      </c>
      <c r="W4256" s="6">
        <f t="shared" si="649"/>
        <v>492.72000000000071</v>
      </c>
      <c r="X4256" s="6">
        <f t="shared" si="650"/>
        <v>2801.98</v>
      </c>
      <c r="Y4256" s="13">
        <f t="shared" si="653"/>
        <v>0</v>
      </c>
      <c r="Z4256" s="14">
        <v>0</v>
      </c>
      <c r="AA4256" s="6">
        <v>0</v>
      </c>
      <c r="AB4256" s="4"/>
      <c r="AC4256" s="4">
        <f t="shared" si="656"/>
        <v>0</v>
      </c>
      <c r="AD4256" s="6">
        <f t="shared" si="651"/>
        <v>2801.98</v>
      </c>
      <c r="AE4256" s="2">
        <f>VLOOKUP(I4256,[1]媒体政策预估表!A:N,MATCH(O4256,[1]媒体政策预估表!$A$2:$M$2,0),0)</f>
        <v>7.0000000000000007E-2</v>
      </c>
      <c r="AF4256" s="6">
        <f t="shared" si="657"/>
        <v>196.13860000000003</v>
      </c>
      <c r="AG4256" s="14">
        <v>0</v>
      </c>
      <c r="AH4256" s="65">
        <f t="shared" si="652"/>
        <v>2801.98</v>
      </c>
      <c r="AI4256" s="47"/>
      <c r="AJ4256" s="126">
        <v>113</v>
      </c>
      <c r="AK4256" s="80">
        <f t="shared" si="655"/>
        <v>2801.98</v>
      </c>
      <c r="AM4256" s="85"/>
    </row>
    <row r="4257" spans="1:39" hidden="1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1793</v>
      </c>
      <c r="F4257" s="86" t="s">
        <v>1793</v>
      </c>
      <c r="G4257" s="86" t="s">
        <v>1793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1793</v>
      </c>
      <c r="N4257" s="86"/>
      <c r="O4257" s="47" t="s">
        <v>410</v>
      </c>
      <c r="P4257" s="47" t="s">
        <v>41</v>
      </c>
      <c r="Q4257" s="14">
        <v>0</v>
      </c>
      <c r="R4257" s="143" t="s">
        <v>1794</v>
      </c>
      <c r="S4257" s="47"/>
      <c r="T4257" s="6">
        <v>4097</v>
      </c>
      <c r="U4257" s="6"/>
      <c r="V4257" s="6">
        <v>2692.2</v>
      </c>
      <c r="W4257" s="6">
        <f t="shared" si="649"/>
        <v>1404.8000000000002</v>
      </c>
      <c r="X4257" s="6">
        <f t="shared" si="650"/>
        <v>2692.2</v>
      </c>
      <c r="Y4257" s="13">
        <f t="shared" si="653"/>
        <v>0</v>
      </c>
      <c r="Z4257" s="14">
        <v>0</v>
      </c>
      <c r="AA4257" s="6">
        <v>0</v>
      </c>
      <c r="AB4257" s="4">
        <f t="shared" si="654"/>
        <v>2692.2</v>
      </c>
      <c r="AC4257" s="4">
        <f t="shared" si="656"/>
        <v>0</v>
      </c>
      <c r="AD4257" s="6">
        <f t="shared" si="651"/>
        <v>2692.2</v>
      </c>
      <c r="AE4257" s="2">
        <f>VLOOKUP(I4257,[1]媒体政策预估表!A:N,MATCH(O4257,[1]媒体政策预估表!$A$2:$M$2,0),0)</f>
        <v>7.0000000000000007E-2</v>
      </c>
      <c r="AF4257" s="6">
        <f t="shared" si="657"/>
        <v>188.45400000000001</v>
      </c>
      <c r="AG4257" s="14">
        <v>0</v>
      </c>
      <c r="AH4257" s="65">
        <f t="shared" si="652"/>
        <v>2692.2</v>
      </c>
      <c r="AI4257" s="47"/>
      <c r="AJ4257" s="126" t="e">
        <v>#N/A</v>
      </c>
      <c r="AK4257" s="80">
        <f t="shared" si="655"/>
        <v>0</v>
      </c>
      <c r="AM4257" s="85"/>
    </row>
    <row r="4258" spans="1:39" hidden="1" x14ac:dyDescent="0.3">
      <c r="A4258" s="89" t="s">
        <v>3394</v>
      </c>
      <c r="B4258" s="86" t="s">
        <v>35</v>
      </c>
      <c r="C4258" s="86" t="s">
        <v>164</v>
      </c>
      <c r="D4258" s="86" t="s">
        <v>174</v>
      </c>
      <c r="E4258" s="86" t="s">
        <v>1802</v>
      </c>
      <c r="F4258" s="86" t="s">
        <v>1802</v>
      </c>
      <c r="G4258" s="86" t="s">
        <v>1802</v>
      </c>
      <c r="H4258" s="143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1802</v>
      </c>
      <c r="N4258" s="86"/>
      <c r="O4258" s="47" t="s">
        <v>410</v>
      </c>
      <c r="P4258" s="47" t="s">
        <v>41</v>
      </c>
      <c r="Q4258" s="14">
        <v>0</v>
      </c>
      <c r="R4258" s="143" t="s">
        <v>1803</v>
      </c>
      <c r="S4258" s="47"/>
      <c r="T4258" s="6">
        <v>2741</v>
      </c>
      <c r="U4258" s="6"/>
      <c r="V4258" s="6">
        <v>0</v>
      </c>
      <c r="W4258" s="6">
        <f t="shared" si="649"/>
        <v>2741</v>
      </c>
      <c r="X4258" s="6">
        <f t="shared" si="650"/>
        <v>0</v>
      </c>
      <c r="Y4258" s="13">
        <f t="shared" si="653"/>
        <v>0</v>
      </c>
      <c r="Z4258" s="14">
        <v>0</v>
      </c>
      <c r="AA4258" s="6">
        <v>0</v>
      </c>
      <c r="AB4258" s="4">
        <f t="shared" si="654"/>
        <v>0</v>
      </c>
      <c r="AC4258" s="4">
        <f t="shared" si="656"/>
        <v>0</v>
      </c>
      <c r="AD4258" s="6">
        <f t="shared" si="651"/>
        <v>0</v>
      </c>
      <c r="AE4258" s="2">
        <f>VLOOKUP(I4258,[1]媒体政策预估表!A:N,MATCH(O4258,[1]媒体政策预估表!$A$2:$M$2,0),0)</f>
        <v>7.0000000000000007E-2</v>
      </c>
      <c r="AF4258" s="6">
        <f t="shared" si="657"/>
        <v>0</v>
      </c>
      <c r="AG4258" s="14">
        <v>0</v>
      </c>
      <c r="AH4258" s="65">
        <f t="shared" si="652"/>
        <v>0</v>
      </c>
      <c r="AI4258" s="47"/>
      <c r="AJ4258" s="126" t="e">
        <v>#N/A</v>
      </c>
      <c r="AK4258" s="80">
        <f t="shared" si="655"/>
        <v>0</v>
      </c>
      <c r="AM4258" s="85"/>
    </row>
    <row r="4259" spans="1:39" hidden="1" x14ac:dyDescent="0.3">
      <c r="A4259" s="89" t="s">
        <v>3394</v>
      </c>
      <c r="B4259" s="86" t="s">
        <v>35</v>
      </c>
      <c r="C4259" s="86" t="s">
        <v>164</v>
      </c>
      <c r="D4259" s="86" t="s">
        <v>174</v>
      </c>
      <c r="E4259" s="86" t="s">
        <v>1807</v>
      </c>
      <c r="F4259" s="86" t="s">
        <v>1807</v>
      </c>
      <c r="G4259" s="86" t="s">
        <v>1807</v>
      </c>
      <c r="H4259" s="144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1807</v>
      </c>
      <c r="N4259" s="86"/>
      <c r="O4259" s="47" t="s">
        <v>410</v>
      </c>
      <c r="P4259" s="47" t="s">
        <v>41</v>
      </c>
      <c r="Q4259" s="14">
        <v>0</v>
      </c>
      <c r="R4259" s="143" t="s">
        <v>1808</v>
      </c>
      <c r="S4259" s="47"/>
      <c r="T4259" s="6">
        <v>5627.9</v>
      </c>
      <c r="U4259" s="6"/>
      <c r="V4259" s="6">
        <v>1580.8</v>
      </c>
      <c r="W4259" s="6">
        <f t="shared" si="649"/>
        <v>4047.0999999999995</v>
      </c>
      <c r="X4259" s="6">
        <f t="shared" si="650"/>
        <v>1580.8</v>
      </c>
      <c r="Y4259" s="13">
        <f t="shared" si="653"/>
        <v>0</v>
      </c>
      <c r="Z4259" s="14">
        <v>0</v>
      </c>
      <c r="AA4259" s="6">
        <v>0</v>
      </c>
      <c r="AB4259" s="4">
        <f t="shared" si="654"/>
        <v>1580.8</v>
      </c>
      <c r="AC4259" s="4">
        <f t="shared" si="656"/>
        <v>0</v>
      </c>
      <c r="AD4259" s="6">
        <f t="shared" si="651"/>
        <v>1580.8</v>
      </c>
      <c r="AE4259" s="2">
        <f>VLOOKUP(I4259,[1]媒体政策预估表!A:N,MATCH(O4259,[1]媒体政策预估表!$A$2:$M$2,0),0)</f>
        <v>7.0000000000000007E-2</v>
      </c>
      <c r="AF4259" s="6">
        <f t="shared" si="657"/>
        <v>110.65600000000001</v>
      </c>
      <c r="AG4259" s="14">
        <v>0</v>
      </c>
      <c r="AH4259" s="65">
        <f t="shared" si="652"/>
        <v>1580.8</v>
      </c>
      <c r="AI4259" s="47"/>
      <c r="AJ4259" s="126" t="e">
        <v>#N/A</v>
      </c>
      <c r="AK4259" s="80">
        <f t="shared" si="655"/>
        <v>0</v>
      </c>
      <c r="AM4259" s="85"/>
    </row>
    <row r="4260" spans="1:39" hidden="1" x14ac:dyDescent="0.3">
      <c r="A4260" s="89" t="s">
        <v>3394</v>
      </c>
      <c r="B4260" s="86" t="s">
        <v>35</v>
      </c>
      <c r="C4260" s="86" t="s">
        <v>164</v>
      </c>
      <c r="D4260" s="86" t="s">
        <v>174</v>
      </c>
      <c r="E4260" s="86" t="s">
        <v>692</v>
      </c>
      <c r="F4260" s="86" t="s">
        <v>692</v>
      </c>
      <c r="G4260" s="86" t="s">
        <v>692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1811</v>
      </c>
      <c r="N4260" s="86"/>
      <c r="O4260" s="47" t="s">
        <v>410</v>
      </c>
      <c r="P4260" s="47" t="s">
        <v>41</v>
      </c>
      <c r="Q4260" s="14">
        <v>0</v>
      </c>
      <c r="R4260" s="143" t="s">
        <v>1812</v>
      </c>
      <c r="S4260" s="47"/>
      <c r="T4260" s="6">
        <v>-3.3000000000029104</v>
      </c>
      <c r="U4260" s="6"/>
      <c r="V4260" s="6">
        <v>0</v>
      </c>
      <c r="W4260" s="6">
        <f t="shared" si="649"/>
        <v>-3.3000000000029104</v>
      </c>
      <c r="X4260" s="6">
        <f t="shared" si="650"/>
        <v>0</v>
      </c>
      <c r="Y4260" s="13">
        <f t="shared" si="653"/>
        <v>0</v>
      </c>
      <c r="Z4260" s="14">
        <v>0</v>
      </c>
      <c r="AA4260" s="6">
        <v>0</v>
      </c>
      <c r="AB4260" s="4">
        <f t="shared" si="654"/>
        <v>0</v>
      </c>
      <c r="AC4260" s="4">
        <f t="shared" si="656"/>
        <v>0</v>
      </c>
      <c r="AD4260" s="6">
        <f t="shared" si="651"/>
        <v>0</v>
      </c>
      <c r="AE4260" s="2">
        <f>VLOOKUP(I4260,[1]媒体政策预估表!A:N,MATCH(O4260,[1]媒体政策预估表!$A$2:$M$2,0),0)</f>
        <v>7.0000000000000007E-2</v>
      </c>
      <c r="AF4260" s="6">
        <f t="shared" si="657"/>
        <v>0</v>
      </c>
      <c r="AG4260" s="14">
        <v>0</v>
      </c>
      <c r="AH4260" s="65">
        <f t="shared" si="652"/>
        <v>0</v>
      </c>
      <c r="AI4260" s="47"/>
      <c r="AJ4260" s="126" t="e">
        <v>#N/A</v>
      </c>
      <c r="AK4260" s="80">
        <f t="shared" si="655"/>
        <v>0</v>
      </c>
      <c r="AM4260" s="85"/>
    </row>
    <row r="4261" spans="1:39" hidden="1" x14ac:dyDescent="0.3">
      <c r="A4261" s="89" t="s">
        <v>3394</v>
      </c>
      <c r="B4261" s="86" t="s">
        <v>35</v>
      </c>
      <c r="C4261" s="86" t="s">
        <v>164</v>
      </c>
      <c r="D4261" s="86" t="s">
        <v>174</v>
      </c>
      <c r="E4261" s="86" t="s">
        <v>1827</v>
      </c>
      <c r="F4261" s="86" t="s">
        <v>1827</v>
      </c>
      <c r="G4261" s="86" t="s">
        <v>1827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1827</v>
      </c>
      <c r="N4261" s="86"/>
      <c r="O4261" s="47" t="s">
        <v>410</v>
      </c>
      <c r="P4261" s="47" t="s">
        <v>41</v>
      </c>
      <c r="Q4261" s="14">
        <v>0</v>
      </c>
      <c r="R4261" s="143" t="s">
        <v>1828</v>
      </c>
      <c r="S4261" s="47"/>
      <c r="T4261" s="6">
        <v>12574.1</v>
      </c>
      <c r="U4261" s="6"/>
      <c r="V4261" s="6">
        <v>11376.6</v>
      </c>
      <c r="W4261" s="6">
        <f t="shared" si="649"/>
        <v>1197.5</v>
      </c>
      <c r="X4261" s="6">
        <f t="shared" si="650"/>
        <v>11376.6</v>
      </c>
      <c r="Y4261" s="13">
        <f t="shared" si="653"/>
        <v>0</v>
      </c>
      <c r="Z4261" s="14">
        <v>0</v>
      </c>
      <c r="AA4261" s="6">
        <v>0</v>
      </c>
      <c r="AB4261" s="4">
        <f t="shared" si="654"/>
        <v>11376.6</v>
      </c>
      <c r="AC4261" s="4">
        <f t="shared" si="656"/>
        <v>0</v>
      </c>
      <c r="AD4261" s="6">
        <f t="shared" si="651"/>
        <v>11376.6</v>
      </c>
      <c r="AE4261" s="2">
        <f>VLOOKUP(I4261,[1]媒体政策预估表!A:N,MATCH(O4261,[1]媒体政策预估表!$A$2:$M$2,0),0)</f>
        <v>7.0000000000000007E-2</v>
      </c>
      <c r="AF4261" s="6">
        <f t="shared" si="657"/>
        <v>796.36200000000008</v>
      </c>
      <c r="AG4261" s="14">
        <v>0</v>
      </c>
      <c r="AH4261" s="65">
        <f t="shared" si="652"/>
        <v>11376.6</v>
      </c>
      <c r="AI4261" s="47"/>
      <c r="AJ4261" s="126" t="e">
        <v>#N/A</v>
      </c>
      <c r="AK4261" s="80">
        <f t="shared" si="655"/>
        <v>0</v>
      </c>
      <c r="AM4261" s="85"/>
    </row>
    <row r="4262" spans="1:39" hidden="1" x14ac:dyDescent="0.3">
      <c r="A4262" s="89" t="s">
        <v>3394</v>
      </c>
      <c r="B4262" s="86" t="s">
        <v>35</v>
      </c>
      <c r="C4262" s="86" t="s">
        <v>164</v>
      </c>
      <c r="D4262" s="86" t="s">
        <v>181</v>
      </c>
      <c r="E4262" s="86" t="s">
        <v>182</v>
      </c>
      <c r="F4262" s="86" t="s">
        <v>183</v>
      </c>
      <c r="G4262" s="86" t="s">
        <v>182</v>
      </c>
      <c r="H4262" s="144">
        <v>304</v>
      </c>
      <c r="I4262" s="86" t="s">
        <v>610</v>
      </c>
      <c r="J4262" s="1" t="s">
        <v>3323</v>
      </c>
      <c r="K4262" s="1" t="s">
        <v>3370</v>
      </c>
      <c r="L4262" s="1" t="s">
        <v>35</v>
      </c>
      <c r="M4262" s="86" t="s">
        <v>1829</v>
      </c>
      <c r="N4262" s="86"/>
      <c r="O4262" s="47" t="s">
        <v>410</v>
      </c>
      <c r="P4262" s="47" t="s">
        <v>41</v>
      </c>
      <c r="Q4262" s="14">
        <v>0</v>
      </c>
      <c r="R4262" s="143" t="s">
        <v>1830</v>
      </c>
      <c r="S4262" s="47"/>
      <c r="T4262" s="6">
        <v>37819.02999999997</v>
      </c>
      <c r="U4262" s="6"/>
      <c r="V4262" s="6">
        <v>37817.9</v>
      </c>
      <c r="W4262" s="6">
        <f t="shared" si="649"/>
        <v>1.1299999999682768</v>
      </c>
      <c r="X4262" s="6">
        <f t="shared" si="650"/>
        <v>37817.9</v>
      </c>
      <c r="Y4262" s="13">
        <f t="shared" si="653"/>
        <v>306.4916022144389</v>
      </c>
      <c r="Z4262" s="14">
        <v>0.02</v>
      </c>
      <c r="AA4262" s="6">
        <f t="shared" ref="AA4262:AA4267" si="658">X4262/(1-Z4262)*Z4262</f>
        <v>771.79387755102039</v>
      </c>
      <c r="AB4262" s="4">
        <f t="shared" si="654"/>
        <v>38589.693877551021</v>
      </c>
      <c r="AC4262" s="4">
        <f t="shared" si="656"/>
        <v>0</v>
      </c>
      <c r="AD4262" s="6">
        <f>V4262*0.99189559435573</f>
        <v>37511.408397785563</v>
      </c>
      <c r="AE4262" s="2">
        <f>VLOOKUP(I4262,[1]媒体政策预估表!A:N,MATCH(O4262,[1]媒体政策预估表!$A$2:$M$2,0),0)</f>
        <v>0.02</v>
      </c>
      <c r="AF4262" s="6">
        <f t="shared" si="657"/>
        <v>750.22816795571123</v>
      </c>
      <c r="AG4262" s="14">
        <v>0</v>
      </c>
      <c r="AH4262" s="65">
        <f t="shared" si="652"/>
        <v>37817.9</v>
      </c>
      <c r="AI4262" s="47"/>
      <c r="AJ4262" s="126" t="e">
        <v>#N/A</v>
      </c>
      <c r="AK4262" s="80">
        <f t="shared" si="655"/>
        <v>0</v>
      </c>
      <c r="AM4262" s="85"/>
    </row>
    <row r="4263" spans="1:39" hidden="1" x14ac:dyDescent="0.3">
      <c r="A4263" s="89" t="s">
        <v>3394</v>
      </c>
      <c r="B4263" s="86" t="s">
        <v>35</v>
      </c>
      <c r="C4263" s="86" t="s">
        <v>164</v>
      </c>
      <c r="D4263" s="86" t="s">
        <v>181</v>
      </c>
      <c r="E4263" s="86" t="s">
        <v>182</v>
      </c>
      <c r="F4263" s="86" t="s">
        <v>183</v>
      </c>
      <c r="G4263" s="86" t="s">
        <v>182</v>
      </c>
      <c r="H4263" s="144">
        <v>363</v>
      </c>
      <c r="I4263" s="86" t="s">
        <v>1557</v>
      </c>
      <c r="J4263" s="1" t="s">
        <v>3323</v>
      </c>
      <c r="K4263" s="1" t="s">
        <v>3286</v>
      </c>
      <c r="L4263" s="1" t="s">
        <v>35</v>
      </c>
      <c r="M4263" s="86" t="s">
        <v>182</v>
      </c>
      <c r="N4263" s="86"/>
      <c r="O4263" s="47" t="s">
        <v>410</v>
      </c>
      <c r="P4263" s="47" t="s">
        <v>41</v>
      </c>
      <c r="Q4263" s="14">
        <v>0</v>
      </c>
      <c r="R4263" s="143" t="s">
        <v>1831</v>
      </c>
      <c r="S4263" s="47"/>
      <c r="T4263" s="6">
        <v>82804.050000000047</v>
      </c>
      <c r="U4263" s="6"/>
      <c r="V4263" s="6">
        <v>77327.199999999997</v>
      </c>
      <c r="W4263" s="6">
        <f t="shared" si="649"/>
        <v>5476.8500000000495</v>
      </c>
      <c r="X4263" s="6">
        <f t="shared" si="650"/>
        <v>77327.199999999997</v>
      </c>
      <c r="Y4263" s="13">
        <f t="shared" si="653"/>
        <v>0</v>
      </c>
      <c r="Z4263" s="14">
        <v>0.02</v>
      </c>
      <c r="AA4263" s="6">
        <f t="shared" si="658"/>
        <v>1578.1061224489797</v>
      </c>
      <c r="AB4263" s="4">
        <f t="shared" si="654"/>
        <v>78905.306122448979</v>
      </c>
      <c r="AC4263" s="4">
        <f t="shared" si="656"/>
        <v>0</v>
      </c>
      <c r="AD4263" s="6">
        <f t="shared" si="651"/>
        <v>77327.199999999997</v>
      </c>
      <c r="AE4263" s="2">
        <f>VLOOKUP(I4263,[1]媒体政策预估表!A:N,MATCH(O4263,[1]媒体政策预估表!$A$2:$M$2,0),0)</f>
        <v>0.02</v>
      </c>
      <c r="AF4263" s="6">
        <f t="shared" si="657"/>
        <v>1546.5439999999999</v>
      </c>
      <c r="AG4263" s="14">
        <v>0</v>
      </c>
      <c r="AH4263" s="65">
        <f t="shared" si="652"/>
        <v>77327.199999999997</v>
      </c>
      <c r="AI4263" s="47"/>
      <c r="AJ4263" s="126" t="e">
        <v>#N/A</v>
      </c>
      <c r="AK4263" s="80">
        <f t="shared" si="655"/>
        <v>0</v>
      </c>
      <c r="AM4263" s="85"/>
    </row>
    <row r="4264" spans="1:39" hidden="1" x14ac:dyDescent="0.3">
      <c r="A4264" s="89" t="s">
        <v>3395</v>
      </c>
      <c r="B4264" s="86" t="s">
        <v>35</v>
      </c>
      <c r="C4264" s="86" t="s">
        <v>164</v>
      </c>
      <c r="D4264" s="86" t="s">
        <v>181</v>
      </c>
      <c r="E4264" s="86" t="s">
        <v>182</v>
      </c>
      <c r="F4264" s="86" t="s">
        <v>183</v>
      </c>
      <c r="G4264" s="86" t="s">
        <v>182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182</v>
      </c>
      <c r="N4264" s="86"/>
      <c r="O4264" s="47" t="s">
        <v>410</v>
      </c>
      <c r="P4264" s="47" t="s">
        <v>41</v>
      </c>
      <c r="Q4264" s="14">
        <v>0</v>
      </c>
      <c r="R4264" s="143" t="s">
        <v>1831</v>
      </c>
      <c r="S4264" s="47"/>
      <c r="T4264" s="6">
        <v>-28.299999999871943</v>
      </c>
      <c r="U4264" s="6"/>
      <c r="V4264" s="6">
        <v>0</v>
      </c>
      <c r="W4264" s="6">
        <f t="shared" si="649"/>
        <v>-28.299999999871943</v>
      </c>
      <c r="X4264" s="6">
        <f t="shared" si="650"/>
        <v>0</v>
      </c>
      <c r="Y4264" s="13">
        <f t="shared" si="653"/>
        <v>0</v>
      </c>
      <c r="Z4264" s="14">
        <v>0.02</v>
      </c>
      <c r="AA4264" s="6">
        <f t="shared" si="658"/>
        <v>0</v>
      </c>
      <c r="AB4264" s="4">
        <f t="shared" si="654"/>
        <v>0</v>
      </c>
      <c r="AC4264" s="4">
        <f t="shared" si="656"/>
        <v>0</v>
      </c>
      <c r="AD4264" s="6">
        <f t="shared" si="651"/>
        <v>0</v>
      </c>
      <c r="AE4264" s="2">
        <f>VLOOKUP(I4264,[1]媒体政策预估表!A:N,MATCH(O4264,[1]媒体政策预估表!$A$2:$M$2,0),0)</f>
        <v>7.0000000000000007E-2</v>
      </c>
      <c r="AF4264" s="6">
        <f t="shared" si="657"/>
        <v>0</v>
      </c>
      <c r="AG4264" s="14">
        <v>0</v>
      </c>
      <c r="AH4264" s="65">
        <f t="shared" si="652"/>
        <v>0</v>
      </c>
      <c r="AI4264" s="47"/>
      <c r="AJ4264" s="126" t="e">
        <v>#N/A</v>
      </c>
      <c r="AK4264" s="80">
        <f t="shared" si="655"/>
        <v>0</v>
      </c>
      <c r="AM4264" s="85"/>
    </row>
    <row r="4265" spans="1:39" hidden="1" x14ac:dyDescent="0.3">
      <c r="A4265" s="89" t="s">
        <v>3397</v>
      </c>
      <c r="B4265" s="86" t="s">
        <v>35</v>
      </c>
      <c r="C4265" s="86" t="s">
        <v>164</v>
      </c>
      <c r="D4265" s="86" t="s">
        <v>181</v>
      </c>
      <c r="E4265" s="86" t="s">
        <v>182</v>
      </c>
      <c r="F4265" s="86" t="s">
        <v>183</v>
      </c>
      <c r="G4265" s="86" t="s">
        <v>182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1832</v>
      </c>
      <c r="N4265" s="86"/>
      <c r="O4265" s="47" t="s">
        <v>410</v>
      </c>
      <c r="P4265" s="47" t="s">
        <v>41</v>
      </c>
      <c r="Q4265" s="14">
        <v>0</v>
      </c>
      <c r="R4265" s="143" t="s">
        <v>1833</v>
      </c>
      <c r="S4265" s="47"/>
      <c r="T4265" s="6">
        <v>749953.59717999992</v>
      </c>
      <c r="U4265" s="6"/>
      <c r="V4265" s="6">
        <v>0</v>
      </c>
      <c r="W4265" s="6">
        <f t="shared" si="649"/>
        <v>749953.59717999992</v>
      </c>
      <c r="X4265" s="6">
        <f t="shared" si="650"/>
        <v>0</v>
      </c>
      <c r="Y4265" s="13">
        <f t="shared" si="653"/>
        <v>0</v>
      </c>
      <c r="Z4265" s="14">
        <v>0.02</v>
      </c>
      <c r="AA4265" s="6">
        <f t="shared" si="658"/>
        <v>0</v>
      </c>
      <c r="AB4265" s="4">
        <f t="shared" si="654"/>
        <v>0</v>
      </c>
      <c r="AC4265" s="4">
        <f t="shared" si="656"/>
        <v>0</v>
      </c>
      <c r="AD4265" s="6">
        <f t="shared" si="651"/>
        <v>0</v>
      </c>
      <c r="AE4265" s="2">
        <f>VLOOKUP(I4265,[1]媒体政策预估表!A:N,MATCH(O4265,[1]媒体政策预估表!$A$2:$M$2,0),0)</f>
        <v>7.0000000000000007E-2</v>
      </c>
      <c r="AF4265" s="6">
        <f t="shared" si="657"/>
        <v>0</v>
      </c>
      <c r="AG4265" s="14">
        <v>0</v>
      </c>
      <c r="AH4265" s="65">
        <f t="shared" si="652"/>
        <v>0</v>
      </c>
      <c r="AI4265" s="47"/>
      <c r="AJ4265" s="126" t="e">
        <v>#N/A</v>
      </c>
      <c r="AK4265" s="80">
        <f t="shared" si="655"/>
        <v>0</v>
      </c>
      <c r="AM4265" s="85"/>
    </row>
    <row r="4266" spans="1:39" hidden="1" x14ac:dyDescent="0.3">
      <c r="A4266" s="89" t="s">
        <v>3394</v>
      </c>
      <c r="B4266" s="86" t="s">
        <v>35</v>
      </c>
      <c r="C4266" s="86" t="s">
        <v>164</v>
      </c>
      <c r="D4266" s="86" t="s">
        <v>181</v>
      </c>
      <c r="E4266" s="86" t="s">
        <v>182</v>
      </c>
      <c r="F4266" s="86" t="s">
        <v>183</v>
      </c>
      <c r="G4266" s="86" t="s">
        <v>182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1832</v>
      </c>
      <c r="N4266" s="86"/>
      <c r="O4266" s="47" t="s">
        <v>410</v>
      </c>
      <c r="P4266" s="47" t="s">
        <v>41</v>
      </c>
      <c r="Q4266" s="14">
        <v>0</v>
      </c>
      <c r="R4266" s="143" t="s">
        <v>1834</v>
      </c>
      <c r="S4266" s="47"/>
      <c r="T4266" s="6">
        <v>2303972.0599999996</v>
      </c>
      <c r="U4266" s="6"/>
      <c r="V4266" s="6">
        <v>0</v>
      </c>
      <c r="W4266" s="6">
        <v>0</v>
      </c>
      <c r="X4266" s="6">
        <f t="shared" si="650"/>
        <v>0</v>
      </c>
      <c r="Y4266" s="13">
        <f t="shared" si="653"/>
        <v>0</v>
      </c>
      <c r="Z4266" s="14">
        <v>0.02</v>
      </c>
      <c r="AA4266" s="6">
        <f t="shared" si="658"/>
        <v>0</v>
      </c>
      <c r="AB4266" s="4">
        <f t="shared" si="654"/>
        <v>0</v>
      </c>
      <c r="AC4266" s="4">
        <f t="shared" si="656"/>
        <v>0</v>
      </c>
      <c r="AD4266" s="6">
        <f t="shared" si="651"/>
        <v>0</v>
      </c>
      <c r="AE4266" s="2">
        <f>VLOOKUP(I4266,[1]媒体政策预估表!A:N,MATCH(O4266,[1]媒体政策预估表!$A$2:$M$2,0),0)</f>
        <v>7.0000000000000007E-2</v>
      </c>
      <c r="AF4266" s="6">
        <f t="shared" si="657"/>
        <v>0</v>
      </c>
      <c r="AG4266" s="14">
        <v>0</v>
      </c>
      <c r="AH4266" s="65">
        <f t="shared" si="652"/>
        <v>0</v>
      </c>
      <c r="AI4266" s="47"/>
      <c r="AJ4266" s="126" t="e">
        <v>#N/A</v>
      </c>
      <c r="AK4266" s="80">
        <f t="shared" si="655"/>
        <v>0</v>
      </c>
      <c r="AM4266" s="85"/>
    </row>
    <row r="4267" spans="1:39" hidden="1" x14ac:dyDescent="0.3">
      <c r="A4267" s="89" t="s">
        <v>3394</v>
      </c>
      <c r="B4267" s="86" t="s">
        <v>35</v>
      </c>
      <c r="C4267" s="86" t="s">
        <v>164</v>
      </c>
      <c r="D4267" s="86" t="s">
        <v>181</v>
      </c>
      <c r="E4267" s="86" t="s">
        <v>182</v>
      </c>
      <c r="F4267" s="86" t="s">
        <v>183</v>
      </c>
      <c r="G4267" s="86" t="s">
        <v>182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1829</v>
      </c>
      <c r="N4267" s="86"/>
      <c r="O4267" s="47" t="s">
        <v>410</v>
      </c>
      <c r="P4267" s="47" t="s">
        <v>41</v>
      </c>
      <c r="Q4267" s="14">
        <v>0</v>
      </c>
      <c r="R4267" s="143" t="s">
        <v>1830</v>
      </c>
      <c r="S4267" s="47"/>
      <c r="T4267" s="6">
        <v>23987.050000000338</v>
      </c>
      <c r="U4267" s="6"/>
      <c r="V4267" s="6">
        <v>0</v>
      </c>
      <c r="W4267" s="6">
        <f t="shared" si="649"/>
        <v>23987.050000000338</v>
      </c>
      <c r="X4267" s="6">
        <f t="shared" si="650"/>
        <v>0</v>
      </c>
      <c r="Y4267" s="13">
        <f t="shared" si="653"/>
        <v>0</v>
      </c>
      <c r="Z4267" s="14">
        <v>0.02</v>
      </c>
      <c r="AA4267" s="6">
        <f t="shared" si="658"/>
        <v>0</v>
      </c>
      <c r="AB4267" s="4">
        <f t="shared" si="654"/>
        <v>0</v>
      </c>
      <c r="AC4267" s="4">
        <f t="shared" si="656"/>
        <v>0</v>
      </c>
      <c r="AD4267" s="6">
        <f t="shared" si="651"/>
        <v>0</v>
      </c>
      <c r="AE4267" s="2">
        <f>VLOOKUP(I4267,[1]媒体政策预估表!A:N,MATCH(O4267,[1]媒体政策预估表!$A$2:$M$2,0),0)</f>
        <v>7.0000000000000007E-2</v>
      </c>
      <c r="AF4267" s="6">
        <f t="shared" si="657"/>
        <v>0</v>
      </c>
      <c r="AG4267" s="14">
        <v>0</v>
      </c>
      <c r="AH4267" s="65">
        <f t="shared" si="652"/>
        <v>0</v>
      </c>
      <c r="AI4267" s="47"/>
      <c r="AJ4267" s="126" t="e">
        <v>#N/A</v>
      </c>
      <c r="AK4267" s="80">
        <f t="shared" si="655"/>
        <v>0</v>
      </c>
      <c r="AM4267" s="85"/>
    </row>
    <row r="4268" spans="1:39" hidden="1" x14ac:dyDescent="0.3">
      <c r="A4268" s="89" t="s">
        <v>3394</v>
      </c>
      <c r="B4268" s="86" t="s">
        <v>35</v>
      </c>
      <c r="C4268" s="86" t="s">
        <v>184</v>
      </c>
      <c r="D4268" s="86" t="s">
        <v>298</v>
      </c>
      <c r="E4268" s="86" t="s">
        <v>1547</v>
      </c>
      <c r="F4268" s="86" t="s">
        <v>1547</v>
      </c>
      <c r="G4268" s="86" t="s">
        <v>1547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1835</v>
      </c>
      <c r="N4268" s="86"/>
      <c r="O4268" s="47" t="s">
        <v>410</v>
      </c>
      <c r="P4268" s="47" t="s">
        <v>46</v>
      </c>
      <c r="Q4268" s="14">
        <v>0.02</v>
      </c>
      <c r="R4268" s="143" t="s">
        <v>1837</v>
      </c>
      <c r="S4268" s="47"/>
      <c r="T4268" s="6">
        <v>12.100000000010368</v>
      </c>
      <c r="U4268" s="6"/>
      <c r="V4268" s="6">
        <v>0</v>
      </c>
      <c r="W4268" s="6">
        <f t="shared" si="649"/>
        <v>12.100000000010368</v>
      </c>
      <c r="X4268" s="6">
        <f t="shared" si="650"/>
        <v>0</v>
      </c>
      <c r="Y4268" s="13">
        <f t="shared" si="653"/>
        <v>0</v>
      </c>
      <c r="Z4268" s="14">
        <v>0</v>
      </c>
      <c r="AA4268" s="6">
        <v>0</v>
      </c>
      <c r="AB4268" s="4">
        <f t="shared" si="654"/>
        <v>0</v>
      </c>
      <c r="AC4268" s="4">
        <f t="shared" si="656"/>
        <v>0</v>
      </c>
      <c r="AD4268" s="6">
        <f t="shared" si="651"/>
        <v>0</v>
      </c>
      <c r="AE4268" s="2">
        <f>VLOOKUP(I4268,[1]媒体政策预估表!A:N,MATCH(O4268,[1]媒体政策预估表!$A$2:$M$2,0),0)</f>
        <v>7.0000000000000007E-2</v>
      </c>
      <c r="AF4268" s="6">
        <f t="shared" si="657"/>
        <v>0</v>
      </c>
      <c r="AG4268" s="14">
        <v>0</v>
      </c>
      <c r="AH4268" s="65">
        <f t="shared" si="652"/>
        <v>0</v>
      </c>
      <c r="AI4268" s="47"/>
      <c r="AJ4268" s="126" t="e">
        <v>#N/A</v>
      </c>
      <c r="AK4268" s="80">
        <f t="shared" si="655"/>
        <v>0</v>
      </c>
      <c r="AM4268" s="85"/>
    </row>
    <row r="4269" spans="1:39" hidden="1" x14ac:dyDescent="0.3">
      <c r="A4269" s="89" t="s">
        <v>3394</v>
      </c>
      <c r="B4269" s="86" t="s">
        <v>35</v>
      </c>
      <c r="C4269" s="86" t="s">
        <v>184</v>
      </c>
      <c r="D4269" s="86" t="s">
        <v>298</v>
      </c>
      <c r="E4269" s="86" t="s">
        <v>1547</v>
      </c>
      <c r="F4269" s="86" t="s">
        <v>1547</v>
      </c>
      <c r="G4269" s="86" t="s">
        <v>1547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1545</v>
      </c>
      <c r="N4269" s="86"/>
      <c r="O4269" s="47" t="s">
        <v>45</v>
      </c>
      <c r="P4269" s="47" t="s">
        <v>46</v>
      </c>
      <c r="Q4269" s="14">
        <v>0.04</v>
      </c>
      <c r="R4269" s="143" t="s">
        <v>1546</v>
      </c>
      <c r="S4269" s="47"/>
      <c r="T4269" s="6">
        <v>160</v>
      </c>
      <c r="U4269" s="6"/>
      <c r="V4269" s="6">
        <v>0</v>
      </c>
      <c r="W4269" s="6">
        <f t="shared" si="649"/>
        <v>160</v>
      </c>
      <c r="X4269" s="6">
        <f t="shared" si="650"/>
        <v>0</v>
      </c>
      <c r="Y4269" s="13">
        <f t="shared" si="653"/>
        <v>0</v>
      </c>
      <c r="Z4269" s="14">
        <v>0</v>
      </c>
      <c r="AA4269" s="6">
        <v>0</v>
      </c>
      <c r="AB4269" s="4">
        <f t="shared" si="654"/>
        <v>0</v>
      </c>
      <c r="AC4269" s="4">
        <f t="shared" si="656"/>
        <v>0</v>
      </c>
      <c r="AD4269" s="6">
        <f t="shared" si="651"/>
        <v>0</v>
      </c>
      <c r="AE4269" s="2">
        <f>VLOOKUP(I4269,[1]媒体政策预估表!A:N,MATCH(O4269,[1]媒体政策预估表!$A$2:$M$2,0),0)</f>
        <v>0.12</v>
      </c>
      <c r="AF4269" s="6">
        <f t="shared" si="657"/>
        <v>0</v>
      </c>
      <c r="AG4269" s="14">
        <v>0</v>
      </c>
      <c r="AH4269" s="65">
        <f t="shared" si="652"/>
        <v>0</v>
      </c>
      <c r="AI4269" s="47"/>
      <c r="AJ4269" s="126" t="e">
        <v>#N/A</v>
      </c>
      <c r="AK4269" s="80">
        <f t="shared" si="655"/>
        <v>0</v>
      </c>
      <c r="AM4269" s="85"/>
    </row>
    <row r="4270" spans="1:39" hidden="1" x14ac:dyDescent="0.3">
      <c r="A4270" s="89" t="s">
        <v>3397</v>
      </c>
      <c r="B4270" s="86" t="s">
        <v>35</v>
      </c>
      <c r="C4270" s="86" t="s">
        <v>59</v>
      </c>
      <c r="D4270" s="86" t="s">
        <v>60</v>
      </c>
      <c r="E4270" s="86" t="s">
        <v>61</v>
      </c>
      <c r="F4270" s="86" t="s">
        <v>62</v>
      </c>
      <c r="G4270" s="86" t="s">
        <v>61</v>
      </c>
      <c r="H4270" s="143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61</v>
      </c>
      <c r="N4270" s="86"/>
      <c r="O4270" s="47" t="s">
        <v>410</v>
      </c>
      <c r="P4270" s="47" t="s">
        <v>41</v>
      </c>
      <c r="Q4270" s="14">
        <v>0</v>
      </c>
      <c r="R4270" s="143" t="s">
        <v>1841</v>
      </c>
      <c r="S4270" s="47"/>
      <c r="T4270" s="6">
        <v>1166028.6700099998</v>
      </c>
      <c r="U4270" s="6"/>
      <c r="V4270" s="6">
        <v>0</v>
      </c>
      <c r="W4270" s="6">
        <f t="shared" si="649"/>
        <v>1166028.6700099998</v>
      </c>
      <c r="X4270" s="6">
        <f t="shared" si="650"/>
        <v>0</v>
      </c>
      <c r="Y4270" s="13">
        <f t="shared" si="653"/>
        <v>0</v>
      </c>
      <c r="Z4270" s="14">
        <v>0</v>
      </c>
      <c r="AA4270" s="6">
        <v>0</v>
      </c>
      <c r="AB4270" s="4">
        <f t="shared" si="654"/>
        <v>0</v>
      </c>
      <c r="AC4270" s="4">
        <f t="shared" si="656"/>
        <v>0</v>
      </c>
      <c r="AD4270" s="6">
        <f t="shared" si="651"/>
        <v>0</v>
      </c>
      <c r="AE4270" s="2">
        <f>VLOOKUP(I4270,[1]媒体政策预估表!A:N,MATCH(O4270,[1]媒体政策预估表!$A$2:$M$2,0),0)</f>
        <v>7.0000000000000007E-2</v>
      </c>
      <c r="AF4270" s="6">
        <f t="shared" si="657"/>
        <v>0</v>
      </c>
      <c r="AG4270" s="14">
        <v>0</v>
      </c>
      <c r="AH4270" s="65">
        <f t="shared" si="652"/>
        <v>0</v>
      </c>
      <c r="AI4270" s="47"/>
      <c r="AJ4270" s="126" t="e">
        <v>#N/A</v>
      </c>
      <c r="AK4270" s="80">
        <f t="shared" si="655"/>
        <v>0</v>
      </c>
      <c r="AM4270" s="85"/>
    </row>
    <row r="4271" spans="1:39" hidden="1" x14ac:dyDescent="0.3">
      <c r="A4271" s="89" t="s">
        <v>3395</v>
      </c>
      <c r="B4271" s="86" t="s">
        <v>35</v>
      </c>
      <c r="C4271" s="86" t="s">
        <v>59</v>
      </c>
      <c r="D4271" s="86" t="s">
        <v>60</v>
      </c>
      <c r="E4271" s="86" t="s">
        <v>765</v>
      </c>
      <c r="F4271" s="86" t="s">
        <v>766</v>
      </c>
      <c r="G4271" s="86" t="s">
        <v>765</v>
      </c>
      <c r="H4271" s="144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765</v>
      </c>
      <c r="N4271" s="86"/>
      <c r="O4271" s="47" t="s">
        <v>410</v>
      </c>
      <c r="P4271" s="47" t="s">
        <v>75</v>
      </c>
      <c r="Q4271" s="14">
        <v>0.04</v>
      </c>
      <c r="R4271" s="143" t="s">
        <v>1078</v>
      </c>
      <c r="S4271" s="47"/>
      <c r="T4271" s="6">
        <v>23573.97</v>
      </c>
      <c r="U4271" s="6"/>
      <c r="V4271" s="6">
        <v>23573.97</v>
      </c>
      <c r="W4271" s="6">
        <f t="shared" si="649"/>
        <v>0</v>
      </c>
      <c r="X4271" s="6">
        <f t="shared" si="650"/>
        <v>23573.97</v>
      </c>
      <c r="Y4271" s="13">
        <f t="shared" si="653"/>
        <v>0</v>
      </c>
      <c r="Z4271" s="14">
        <v>0</v>
      </c>
      <c r="AA4271" s="6">
        <v>0</v>
      </c>
      <c r="AB4271" s="4">
        <f t="shared" si="654"/>
        <v>23573.97</v>
      </c>
      <c r="AC4271" s="4">
        <f t="shared" si="656"/>
        <v>942.95880000000011</v>
      </c>
      <c r="AD4271" s="6">
        <f t="shared" si="651"/>
        <v>23573.97</v>
      </c>
      <c r="AE4271" s="2">
        <f>VLOOKUP(I4271,[1]媒体政策预估表!A:N,MATCH(O4271,[1]媒体政策预估表!$A$2:$M$2,0),0)</f>
        <v>7.0000000000000007E-2</v>
      </c>
      <c r="AF4271" s="6">
        <f t="shared" si="657"/>
        <v>1650.1779000000001</v>
      </c>
      <c r="AG4271" s="14">
        <v>0</v>
      </c>
      <c r="AH4271" s="65">
        <f t="shared" si="652"/>
        <v>23573.97</v>
      </c>
      <c r="AI4271" s="47"/>
      <c r="AJ4271" s="126" t="e">
        <v>#N/A</v>
      </c>
      <c r="AK4271" s="80">
        <f t="shared" si="655"/>
        <v>0</v>
      </c>
      <c r="AM4271" s="85"/>
    </row>
    <row r="4272" spans="1:39" hidden="1" x14ac:dyDescent="0.3">
      <c r="A4272" s="89" t="s">
        <v>3394</v>
      </c>
      <c r="B4272" s="86" t="s">
        <v>35</v>
      </c>
      <c r="C4272" s="86" t="s">
        <v>59</v>
      </c>
      <c r="D4272" s="86" t="s">
        <v>60</v>
      </c>
      <c r="E4272" s="86" t="s">
        <v>417</v>
      </c>
      <c r="F4272" s="86" t="s">
        <v>418</v>
      </c>
      <c r="G4272" s="86" t="s">
        <v>417</v>
      </c>
      <c r="H4272" s="144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417</v>
      </c>
      <c r="N4272" s="86"/>
      <c r="O4272" s="47" t="s">
        <v>410</v>
      </c>
      <c r="P4272" s="47" t="s">
        <v>41</v>
      </c>
      <c r="Q4272" s="14">
        <v>0</v>
      </c>
      <c r="R4272" s="143" t="s">
        <v>1843</v>
      </c>
      <c r="S4272" s="47" t="s">
        <v>3572</v>
      </c>
      <c r="T4272" s="6">
        <v>-24.899999999994179</v>
      </c>
      <c r="U4272" s="6"/>
      <c r="V4272" s="6">
        <v>0</v>
      </c>
      <c r="W4272" s="6">
        <f t="shared" si="649"/>
        <v>-24.899999999994179</v>
      </c>
      <c r="X4272" s="6">
        <v>272.82</v>
      </c>
      <c r="Y4272" s="13">
        <f t="shared" si="653"/>
        <v>272.82</v>
      </c>
      <c r="Z4272" s="14">
        <v>0</v>
      </c>
      <c r="AA4272" s="6">
        <v>0</v>
      </c>
      <c r="AB4272" s="4">
        <f t="shared" si="654"/>
        <v>272.82</v>
      </c>
      <c r="AC4272" s="4">
        <f t="shared" si="656"/>
        <v>-272.82</v>
      </c>
      <c r="AD4272" s="6">
        <f t="shared" si="651"/>
        <v>0</v>
      </c>
      <c r="AE4272" s="2">
        <f>VLOOKUP(I4272,[1]媒体政策预估表!A:N,MATCH(O4272,[1]媒体政策预估表!$A$2:$M$2,0),0)</f>
        <v>7.0000000000000007E-2</v>
      </c>
      <c r="AF4272" s="6">
        <f t="shared" si="657"/>
        <v>0</v>
      </c>
      <c r="AG4272" s="14">
        <v>0</v>
      </c>
      <c r="AH4272" s="65">
        <f t="shared" si="652"/>
        <v>0</v>
      </c>
      <c r="AI4272" s="47"/>
      <c r="AJ4272" s="126" t="e">
        <v>#N/A</v>
      </c>
      <c r="AK4272" s="80">
        <f t="shared" si="655"/>
        <v>0</v>
      </c>
      <c r="AM4272" s="85"/>
    </row>
    <row r="4273" spans="1:39" hidden="1" x14ac:dyDescent="0.3">
      <c r="A4273" s="89" t="s">
        <v>3395</v>
      </c>
      <c r="B4273" s="86" t="s">
        <v>35</v>
      </c>
      <c r="C4273" s="86" t="s">
        <v>59</v>
      </c>
      <c r="D4273" s="86" t="s">
        <v>60</v>
      </c>
      <c r="E4273" s="86" t="s">
        <v>1844</v>
      </c>
      <c r="F4273" s="86" t="s">
        <v>1844</v>
      </c>
      <c r="G4273" s="86" t="s">
        <v>1844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1845</v>
      </c>
      <c r="N4273" s="86"/>
      <c r="O4273" s="47" t="s">
        <v>410</v>
      </c>
      <c r="P4273" s="47" t="s">
        <v>41</v>
      </c>
      <c r="Q4273" s="14">
        <v>0</v>
      </c>
      <c r="R4273" s="143" t="s">
        <v>1846</v>
      </c>
      <c r="S4273" s="47"/>
      <c r="T4273" s="6">
        <v>7.999999999992724E-2</v>
      </c>
      <c r="U4273" s="6"/>
      <c r="V4273" s="6">
        <v>0</v>
      </c>
      <c r="W4273" s="6">
        <f t="shared" si="649"/>
        <v>7.999999999992724E-2</v>
      </c>
      <c r="X4273" s="6">
        <f t="shared" si="650"/>
        <v>0</v>
      </c>
      <c r="Y4273" s="13">
        <f t="shared" si="653"/>
        <v>0</v>
      </c>
      <c r="Z4273" s="14">
        <v>0</v>
      </c>
      <c r="AA4273" s="6">
        <v>0</v>
      </c>
      <c r="AB4273" s="4">
        <f t="shared" si="654"/>
        <v>0</v>
      </c>
      <c r="AC4273" s="4">
        <f t="shared" si="656"/>
        <v>0</v>
      </c>
      <c r="AD4273" s="6">
        <f t="shared" si="651"/>
        <v>0</v>
      </c>
      <c r="AE4273" s="2">
        <f>VLOOKUP(I4273,[1]媒体政策预估表!A:N,MATCH(O4273,[1]媒体政策预估表!$A$2:$M$2,0),0)</f>
        <v>7.0000000000000007E-2</v>
      </c>
      <c r="AF4273" s="6">
        <f t="shared" si="657"/>
        <v>0</v>
      </c>
      <c r="AG4273" s="14">
        <v>0</v>
      </c>
      <c r="AH4273" s="65">
        <f t="shared" si="652"/>
        <v>0</v>
      </c>
      <c r="AI4273" s="47"/>
      <c r="AJ4273" s="126" t="e">
        <v>#N/A</v>
      </c>
      <c r="AK4273" s="80">
        <f t="shared" si="655"/>
        <v>0</v>
      </c>
      <c r="AM4273" s="85"/>
    </row>
    <row r="4274" spans="1:39" hidden="1" x14ac:dyDescent="0.3">
      <c r="A4274" s="89" t="s">
        <v>3395</v>
      </c>
      <c r="B4274" s="86" t="s">
        <v>35</v>
      </c>
      <c r="C4274" s="86" t="s">
        <v>59</v>
      </c>
      <c r="D4274" s="86" t="s">
        <v>60</v>
      </c>
      <c r="E4274" s="86" t="s">
        <v>1844</v>
      </c>
      <c r="F4274" s="86" t="s">
        <v>1844</v>
      </c>
      <c r="G4274" s="86" t="s">
        <v>1844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1847</v>
      </c>
      <c r="N4274" s="86"/>
      <c r="O4274" s="47" t="s">
        <v>410</v>
      </c>
      <c r="P4274" s="47" t="s">
        <v>41</v>
      </c>
      <c r="Q4274" s="14">
        <v>0</v>
      </c>
      <c r="R4274" s="143" t="s">
        <v>1848</v>
      </c>
      <c r="S4274" s="47"/>
      <c r="T4274" s="6">
        <v>5.0000000082945917E-2</v>
      </c>
      <c r="U4274" s="6"/>
      <c r="V4274" s="6">
        <v>0</v>
      </c>
      <c r="W4274" s="6">
        <f t="shared" si="649"/>
        <v>5.0000000082945917E-2</v>
      </c>
      <c r="X4274" s="6">
        <f t="shared" si="650"/>
        <v>0</v>
      </c>
      <c r="Y4274" s="13">
        <f t="shared" si="653"/>
        <v>0</v>
      </c>
      <c r="Z4274" s="14">
        <v>0</v>
      </c>
      <c r="AA4274" s="6">
        <v>0</v>
      </c>
      <c r="AB4274" s="4">
        <f t="shared" si="654"/>
        <v>0</v>
      </c>
      <c r="AC4274" s="4">
        <f t="shared" si="656"/>
        <v>0</v>
      </c>
      <c r="AD4274" s="6">
        <f t="shared" si="651"/>
        <v>0</v>
      </c>
      <c r="AE4274" s="2">
        <f>VLOOKUP(I4274,[1]媒体政策预估表!A:N,MATCH(O4274,[1]媒体政策预估表!$A$2:$M$2,0),0)</f>
        <v>7.0000000000000007E-2</v>
      </c>
      <c r="AF4274" s="6">
        <f t="shared" si="657"/>
        <v>0</v>
      </c>
      <c r="AG4274" s="14">
        <v>0</v>
      </c>
      <c r="AH4274" s="65">
        <f t="shared" si="652"/>
        <v>0</v>
      </c>
      <c r="AI4274" s="47"/>
      <c r="AJ4274" s="126" t="e">
        <v>#N/A</v>
      </c>
      <c r="AK4274" s="80">
        <f t="shared" si="655"/>
        <v>0</v>
      </c>
      <c r="AM4274" s="85"/>
    </row>
    <row r="4275" spans="1:39" hidden="1" x14ac:dyDescent="0.3">
      <c r="A4275" s="89" t="s">
        <v>3394</v>
      </c>
      <c r="B4275" s="86" t="s">
        <v>35</v>
      </c>
      <c r="C4275" s="86" t="s">
        <v>59</v>
      </c>
      <c r="D4275" s="86" t="s">
        <v>60</v>
      </c>
      <c r="E4275" s="86" t="s">
        <v>1844</v>
      </c>
      <c r="F4275" s="86" t="s">
        <v>1844</v>
      </c>
      <c r="G4275" s="86" t="s">
        <v>1844</v>
      </c>
      <c r="H4275" s="143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1849</v>
      </c>
      <c r="N4275" s="86"/>
      <c r="O4275" s="47" t="s">
        <v>410</v>
      </c>
      <c r="P4275" s="47" t="s">
        <v>41</v>
      </c>
      <c r="Q4275" s="14">
        <v>0</v>
      </c>
      <c r="R4275" s="143" t="s">
        <v>1850</v>
      </c>
      <c r="S4275" s="47"/>
      <c r="T4275" s="6">
        <v>8.9999999981955625E-2</v>
      </c>
      <c r="U4275" s="6"/>
      <c r="V4275" s="6">
        <v>0</v>
      </c>
      <c r="W4275" s="6">
        <f t="shared" si="649"/>
        <v>8.9999999981955625E-2</v>
      </c>
      <c r="X4275" s="6">
        <f t="shared" si="650"/>
        <v>0</v>
      </c>
      <c r="Y4275" s="13">
        <f t="shared" si="653"/>
        <v>0</v>
      </c>
      <c r="Z4275" s="14">
        <v>0</v>
      </c>
      <c r="AA4275" s="6">
        <v>0</v>
      </c>
      <c r="AB4275" s="4">
        <f t="shared" si="654"/>
        <v>0</v>
      </c>
      <c r="AC4275" s="4">
        <f t="shared" si="656"/>
        <v>0</v>
      </c>
      <c r="AD4275" s="6">
        <f t="shared" si="651"/>
        <v>0</v>
      </c>
      <c r="AE4275" s="2">
        <f>VLOOKUP(I4275,[1]媒体政策预估表!A:N,MATCH(O4275,[1]媒体政策预估表!$A$2:$M$2,0),0)</f>
        <v>7.0000000000000007E-2</v>
      </c>
      <c r="AF4275" s="6">
        <f t="shared" si="657"/>
        <v>0</v>
      </c>
      <c r="AG4275" s="14">
        <v>0</v>
      </c>
      <c r="AH4275" s="65">
        <f t="shared" si="652"/>
        <v>0</v>
      </c>
      <c r="AI4275" s="47"/>
      <c r="AJ4275" s="126" t="e">
        <v>#N/A</v>
      </c>
      <c r="AK4275" s="80">
        <f t="shared" si="655"/>
        <v>0</v>
      </c>
      <c r="AM4275" s="85"/>
    </row>
    <row r="4276" spans="1:39" hidden="1" x14ac:dyDescent="0.3">
      <c r="A4276" s="89" t="s">
        <v>3394</v>
      </c>
      <c r="B4276" s="86" t="s">
        <v>35</v>
      </c>
      <c r="C4276" s="86" t="s">
        <v>59</v>
      </c>
      <c r="D4276" s="86" t="s">
        <v>60</v>
      </c>
      <c r="E4276" s="86" t="s">
        <v>784</v>
      </c>
      <c r="F4276" s="86" t="s">
        <v>784</v>
      </c>
      <c r="G4276" s="86" t="s">
        <v>784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774</v>
      </c>
      <c r="N4276" s="86"/>
      <c r="O4276" s="47" t="s">
        <v>410</v>
      </c>
      <c r="P4276" s="47" t="s">
        <v>46</v>
      </c>
      <c r="Q4276" s="14">
        <v>0.04</v>
      </c>
      <c r="R4276" s="143" t="s">
        <v>1851</v>
      </c>
      <c r="S4276" s="47"/>
      <c r="T4276" s="6">
        <v>23338.525000000023</v>
      </c>
      <c r="U4276" s="6"/>
      <c r="V4276" s="6">
        <v>0</v>
      </c>
      <c r="W4276" s="6">
        <f t="shared" si="649"/>
        <v>23338.525000000023</v>
      </c>
      <c r="X4276" s="6">
        <f t="shared" si="650"/>
        <v>0</v>
      </c>
      <c r="Y4276" s="13">
        <f t="shared" si="653"/>
        <v>0</v>
      </c>
      <c r="Z4276" s="14">
        <v>0</v>
      </c>
      <c r="AA4276" s="6">
        <v>0</v>
      </c>
      <c r="AB4276" s="4">
        <f t="shared" si="654"/>
        <v>0</v>
      </c>
      <c r="AC4276" s="4">
        <f t="shared" si="656"/>
        <v>0</v>
      </c>
      <c r="AD4276" s="6">
        <f t="shared" si="651"/>
        <v>0</v>
      </c>
      <c r="AE4276" s="2">
        <f>VLOOKUP(I4276,[1]媒体政策预估表!A:N,MATCH(O4276,[1]媒体政策预估表!$A$2:$M$2,0),0)</f>
        <v>7.0000000000000007E-2</v>
      </c>
      <c r="AF4276" s="6">
        <f t="shared" si="657"/>
        <v>0</v>
      </c>
      <c r="AG4276" s="14">
        <v>0</v>
      </c>
      <c r="AH4276" s="65">
        <f t="shared" si="652"/>
        <v>0</v>
      </c>
      <c r="AI4276" s="47"/>
      <c r="AJ4276" s="126" t="e">
        <v>#N/A</v>
      </c>
      <c r="AK4276" s="80">
        <f t="shared" si="655"/>
        <v>0</v>
      </c>
      <c r="AM4276" s="85"/>
    </row>
    <row r="4277" spans="1:39" hidden="1" x14ac:dyDescent="0.3">
      <c r="A4277" s="89" t="s">
        <v>3394</v>
      </c>
      <c r="B4277" s="86" t="s">
        <v>35</v>
      </c>
      <c r="C4277" s="86" t="s">
        <v>36</v>
      </c>
      <c r="D4277" s="86" t="s">
        <v>224</v>
      </c>
      <c r="E4277" s="86" t="s">
        <v>1852</v>
      </c>
      <c r="F4277" s="86" t="s">
        <v>1852</v>
      </c>
      <c r="G4277" s="86" t="s">
        <v>1852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1852</v>
      </c>
      <c r="N4277" s="86"/>
      <c r="O4277" s="47" t="s">
        <v>410</v>
      </c>
      <c r="P4277" s="47" t="s">
        <v>46</v>
      </c>
      <c r="Q4277" s="14">
        <v>0.02</v>
      </c>
      <c r="R4277" s="143" t="s">
        <v>1853</v>
      </c>
      <c r="S4277" s="47"/>
      <c r="T4277" s="6">
        <v>-1.1999999999534339</v>
      </c>
      <c r="U4277" s="6"/>
      <c r="V4277" s="6">
        <v>0</v>
      </c>
      <c r="W4277" s="6">
        <f t="shared" si="649"/>
        <v>-1.1999999999534339</v>
      </c>
      <c r="X4277" s="6">
        <f t="shared" si="650"/>
        <v>0</v>
      </c>
      <c r="Y4277" s="13">
        <f t="shared" si="653"/>
        <v>0</v>
      </c>
      <c r="Z4277" s="14">
        <v>0</v>
      </c>
      <c r="AA4277" s="6">
        <v>0</v>
      </c>
      <c r="AB4277" s="4">
        <f t="shared" si="654"/>
        <v>0</v>
      </c>
      <c r="AC4277" s="4">
        <f t="shared" si="656"/>
        <v>0</v>
      </c>
      <c r="AD4277" s="6">
        <f t="shared" si="651"/>
        <v>0</v>
      </c>
      <c r="AE4277" s="2">
        <f>VLOOKUP(I4277,[1]媒体政策预估表!A:N,MATCH(O4277,[1]媒体政策预估表!$A$2:$M$2,0),0)</f>
        <v>7.0000000000000007E-2</v>
      </c>
      <c r="AF4277" s="6">
        <f t="shared" si="657"/>
        <v>0</v>
      </c>
      <c r="AG4277" s="14">
        <v>0</v>
      </c>
      <c r="AH4277" s="65">
        <f t="shared" si="652"/>
        <v>0</v>
      </c>
      <c r="AI4277" s="47"/>
      <c r="AJ4277" s="126" t="e">
        <v>#N/A</v>
      </c>
      <c r="AK4277" s="80">
        <f t="shared" si="655"/>
        <v>0</v>
      </c>
      <c r="AM4277" s="85"/>
    </row>
    <row r="4278" spans="1:39" hidden="1" x14ac:dyDescent="0.3">
      <c r="A4278" s="89" t="s">
        <v>3394</v>
      </c>
      <c r="B4278" s="86" t="s">
        <v>35</v>
      </c>
      <c r="C4278" s="86" t="s">
        <v>36</v>
      </c>
      <c r="D4278" s="86" t="s">
        <v>224</v>
      </c>
      <c r="E4278" s="86" t="s">
        <v>1149</v>
      </c>
      <c r="F4278" s="86" t="s">
        <v>1149</v>
      </c>
      <c r="G4278" s="86" t="s">
        <v>1149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1854</v>
      </c>
      <c r="N4278" s="86"/>
      <c r="O4278" s="47" t="s">
        <v>410</v>
      </c>
      <c r="P4278" s="47" t="s">
        <v>41</v>
      </c>
      <c r="Q4278" s="14">
        <v>0</v>
      </c>
      <c r="R4278" s="143" t="s">
        <v>1855</v>
      </c>
      <c r="S4278" s="47"/>
      <c r="T4278" s="6">
        <v>-52.80000000002326</v>
      </c>
      <c r="U4278" s="6"/>
      <c r="V4278" s="6">
        <v>0</v>
      </c>
      <c r="W4278" s="6">
        <f t="shared" si="649"/>
        <v>-52.80000000002326</v>
      </c>
      <c r="X4278" s="6">
        <f t="shared" si="650"/>
        <v>0</v>
      </c>
      <c r="Y4278" s="13">
        <f t="shared" si="653"/>
        <v>0</v>
      </c>
      <c r="Z4278" s="14">
        <v>0</v>
      </c>
      <c r="AA4278" s="6">
        <v>0</v>
      </c>
      <c r="AB4278" s="4">
        <f t="shared" si="654"/>
        <v>0</v>
      </c>
      <c r="AC4278" s="4">
        <f t="shared" si="656"/>
        <v>0</v>
      </c>
      <c r="AD4278" s="6">
        <f t="shared" si="651"/>
        <v>0</v>
      </c>
      <c r="AE4278" s="2">
        <f>VLOOKUP(I4278,[1]媒体政策预估表!A:N,MATCH(O4278,[1]媒体政策预估表!$A$2:$M$2,0),0)</f>
        <v>7.0000000000000007E-2</v>
      </c>
      <c r="AF4278" s="6">
        <f t="shared" si="657"/>
        <v>0</v>
      </c>
      <c r="AG4278" s="14">
        <v>0</v>
      </c>
      <c r="AH4278" s="65">
        <f t="shared" si="652"/>
        <v>0</v>
      </c>
      <c r="AI4278" s="47"/>
      <c r="AJ4278" s="126" t="e">
        <v>#N/A</v>
      </c>
      <c r="AK4278" s="80">
        <f t="shared" si="655"/>
        <v>0</v>
      </c>
      <c r="AM4278" s="85"/>
    </row>
    <row r="4279" spans="1:39" hidden="1" x14ac:dyDescent="0.3">
      <c r="A4279" s="89" t="s">
        <v>3394</v>
      </c>
      <c r="B4279" s="86" t="s">
        <v>35</v>
      </c>
      <c r="C4279" s="86" t="s">
        <v>36</v>
      </c>
      <c r="D4279" s="86" t="s">
        <v>224</v>
      </c>
      <c r="E4279" s="86" t="s">
        <v>1149</v>
      </c>
      <c r="F4279" s="86" t="s">
        <v>1149</v>
      </c>
      <c r="G4279" s="86" t="s">
        <v>1149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1856</v>
      </c>
      <c r="N4279" s="86"/>
      <c r="O4279" s="47" t="s">
        <v>410</v>
      </c>
      <c r="P4279" s="47" t="s">
        <v>41</v>
      </c>
      <c r="Q4279" s="14">
        <v>0</v>
      </c>
      <c r="R4279" s="143" t="s">
        <v>1857</v>
      </c>
      <c r="S4279" s="47"/>
      <c r="T4279" s="6">
        <v>0.18000000003667083</v>
      </c>
      <c r="U4279" s="6"/>
      <c r="V4279" s="6">
        <v>0</v>
      </c>
      <c r="W4279" s="6">
        <f t="shared" si="649"/>
        <v>0.18000000003667083</v>
      </c>
      <c r="X4279" s="6">
        <f t="shared" si="650"/>
        <v>0</v>
      </c>
      <c r="Y4279" s="13">
        <f t="shared" si="653"/>
        <v>0</v>
      </c>
      <c r="Z4279" s="14">
        <v>0</v>
      </c>
      <c r="AA4279" s="6">
        <v>0</v>
      </c>
      <c r="AB4279" s="4">
        <f t="shared" si="654"/>
        <v>0</v>
      </c>
      <c r="AC4279" s="4">
        <f t="shared" si="656"/>
        <v>0</v>
      </c>
      <c r="AD4279" s="6">
        <f t="shared" si="651"/>
        <v>0</v>
      </c>
      <c r="AE4279" s="2">
        <f>VLOOKUP(I4279,[1]媒体政策预估表!A:N,MATCH(O4279,[1]媒体政策预估表!$A$2:$M$2,0),0)</f>
        <v>7.0000000000000007E-2</v>
      </c>
      <c r="AF4279" s="6">
        <f t="shared" si="657"/>
        <v>0</v>
      </c>
      <c r="AG4279" s="14">
        <v>0</v>
      </c>
      <c r="AH4279" s="65">
        <f t="shared" si="652"/>
        <v>0</v>
      </c>
      <c r="AI4279" s="47"/>
      <c r="AJ4279" s="126" t="e">
        <v>#N/A</v>
      </c>
      <c r="AK4279" s="80">
        <f t="shared" si="655"/>
        <v>0</v>
      </c>
      <c r="AM4279" s="85"/>
    </row>
    <row r="4280" spans="1:39" hidden="1" x14ac:dyDescent="0.3">
      <c r="A4280" s="89" t="s">
        <v>3397</v>
      </c>
      <c r="B4280" s="86" t="s">
        <v>35</v>
      </c>
      <c r="C4280" s="86" t="s">
        <v>36</v>
      </c>
      <c r="D4280" s="86" t="s">
        <v>54</v>
      </c>
      <c r="E4280" s="86" t="s">
        <v>71</v>
      </c>
      <c r="F4280" s="86" t="s">
        <v>71</v>
      </c>
      <c r="G4280" s="86" t="s">
        <v>71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1858</v>
      </c>
      <c r="N4280" s="86"/>
      <c r="O4280" s="47" t="s">
        <v>410</v>
      </c>
      <c r="P4280" s="47" t="s">
        <v>41</v>
      </c>
      <c r="Q4280" s="14">
        <v>0</v>
      </c>
      <c r="R4280" s="143" t="s">
        <v>1859</v>
      </c>
      <c r="S4280" s="47"/>
      <c r="T4280" s="6">
        <v>477114.46809999994</v>
      </c>
      <c r="U4280" s="6"/>
      <c r="V4280" s="6">
        <v>0</v>
      </c>
      <c r="W4280" s="6">
        <f t="shared" si="649"/>
        <v>477114.46809999994</v>
      </c>
      <c r="X4280" s="6">
        <f t="shared" si="650"/>
        <v>0</v>
      </c>
      <c r="Y4280" s="13">
        <f t="shared" si="653"/>
        <v>0</v>
      </c>
      <c r="Z4280" s="14">
        <v>0</v>
      </c>
      <c r="AA4280" s="6">
        <v>0</v>
      </c>
      <c r="AB4280" s="4">
        <f t="shared" si="654"/>
        <v>0</v>
      </c>
      <c r="AC4280" s="4">
        <f t="shared" si="656"/>
        <v>0</v>
      </c>
      <c r="AD4280" s="6">
        <f t="shared" si="651"/>
        <v>0</v>
      </c>
      <c r="AE4280" s="2">
        <f>VLOOKUP(I4280,[1]媒体政策预估表!A:N,MATCH(O4280,[1]媒体政策预估表!$A$2:$M$2,0),0)</f>
        <v>7.0000000000000007E-2</v>
      </c>
      <c r="AF4280" s="6">
        <f t="shared" si="657"/>
        <v>0</v>
      </c>
      <c r="AG4280" s="14">
        <v>0</v>
      </c>
      <c r="AH4280" s="65">
        <f t="shared" si="652"/>
        <v>0</v>
      </c>
      <c r="AI4280" s="47"/>
      <c r="AJ4280" s="126" t="e">
        <v>#N/A</v>
      </c>
      <c r="AK4280" s="80">
        <f t="shared" si="655"/>
        <v>0</v>
      </c>
      <c r="AM4280" s="85"/>
    </row>
    <row r="4281" spans="1:39" hidden="1" x14ac:dyDescent="0.3">
      <c r="A4281" s="89" t="s">
        <v>3395</v>
      </c>
      <c r="B4281" s="86" t="s">
        <v>35</v>
      </c>
      <c r="C4281" s="86" t="s">
        <v>36</v>
      </c>
      <c r="D4281" s="86" t="s">
        <v>54</v>
      </c>
      <c r="E4281" s="86" t="s">
        <v>71</v>
      </c>
      <c r="F4281" s="86" t="s">
        <v>71</v>
      </c>
      <c r="G4281" s="86" t="s">
        <v>71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73</v>
      </c>
      <c r="N4281" s="86"/>
      <c r="O4281" s="47" t="s">
        <v>410</v>
      </c>
      <c r="P4281" s="47" t="s">
        <v>41</v>
      </c>
      <c r="Q4281" s="14">
        <v>0</v>
      </c>
      <c r="R4281" s="143" t="s">
        <v>1860</v>
      </c>
      <c r="S4281" s="47"/>
      <c r="T4281" s="6">
        <v>3848357.4428999987</v>
      </c>
      <c r="U4281" s="6"/>
      <c r="V4281" s="6">
        <v>0</v>
      </c>
      <c r="W4281" s="6">
        <f t="shared" si="649"/>
        <v>3848357.4428999987</v>
      </c>
      <c r="X4281" s="6">
        <f t="shared" si="650"/>
        <v>0</v>
      </c>
      <c r="Y4281" s="13">
        <f t="shared" si="653"/>
        <v>0</v>
      </c>
      <c r="Z4281" s="14">
        <v>0</v>
      </c>
      <c r="AA4281" s="6">
        <v>0</v>
      </c>
      <c r="AB4281" s="4">
        <f t="shared" si="654"/>
        <v>0</v>
      </c>
      <c r="AC4281" s="4">
        <f t="shared" si="656"/>
        <v>0</v>
      </c>
      <c r="AD4281" s="6">
        <f t="shared" si="651"/>
        <v>0</v>
      </c>
      <c r="AE4281" s="2">
        <f>VLOOKUP(I4281,[1]媒体政策预估表!A:N,MATCH(O4281,[1]媒体政策预估表!$A$2:$M$2,0),0)</f>
        <v>7.0000000000000007E-2</v>
      </c>
      <c r="AF4281" s="6">
        <f t="shared" si="657"/>
        <v>0</v>
      </c>
      <c r="AG4281" s="14">
        <v>0</v>
      </c>
      <c r="AH4281" s="65">
        <f t="shared" si="652"/>
        <v>0</v>
      </c>
      <c r="AI4281" s="47"/>
      <c r="AJ4281" s="126" t="e">
        <v>#N/A</v>
      </c>
      <c r="AK4281" s="80">
        <f t="shared" si="655"/>
        <v>0</v>
      </c>
      <c r="AM4281" s="85"/>
    </row>
    <row r="4282" spans="1:39" hidden="1" x14ac:dyDescent="0.3">
      <c r="A4282" s="89" t="s">
        <v>3394</v>
      </c>
      <c r="B4282" s="86" t="s">
        <v>35</v>
      </c>
      <c r="C4282" s="86" t="s">
        <v>36</v>
      </c>
      <c r="D4282" s="86" t="s">
        <v>54</v>
      </c>
      <c r="E4282" s="86" t="s">
        <v>1863</v>
      </c>
      <c r="F4282" s="86" t="s">
        <v>1863</v>
      </c>
      <c r="G4282" s="86" t="s">
        <v>1863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1864</v>
      </c>
      <c r="N4282" s="86"/>
      <c r="O4282" s="47" t="s">
        <v>410</v>
      </c>
      <c r="P4282" s="47" t="s">
        <v>46</v>
      </c>
      <c r="Q4282" s="14">
        <v>0.02</v>
      </c>
      <c r="R4282" s="143" t="s">
        <v>1865</v>
      </c>
      <c r="S4282" s="47"/>
      <c r="T4282" s="6">
        <v>42528.9</v>
      </c>
      <c r="U4282" s="6"/>
      <c r="V4282" s="6">
        <v>0</v>
      </c>
      <c r="W4282" s="6">
        <f t="shared" si="649"/>
        <v>42528.9</v>
      </c>
      <c r="X4282" s="6">
        <f t="shared" si="650"/>
        <v>0</v>
      </c>
      <c r="Y4282" s="13">
        <f t="shared" si="653"/>
        <v>0</v>
      </c>
      <c r="Z4282" s="14">
        <v>0</v>
      </c>
      <c r="AA4282" s="6">
        <v>0</v>
      </c>
      <c r="AB4282" s="4">
        <f t="shared" si="654"/>
        <v>0</v>
      </c>
      <c r="AC4282" s="4">
        <f t="shared" si="656"/>
        <v>0</v>
      </c>
      <c r="AD4282" s="6">
        <f t="shared" si="651"/>
        <v>0</v>
      </c>
      <c r="AE4282" s="2">
        <f>VLOOKUP(I4282,[1]媒体政策预估表!A:N,MATCH(O4282,[1]媒体政策预估表!$A$2:$M$2,0),0)</f>
        <v>7.0000000000000007E-2</v>
      </c>
      <c r="AF4282" s="6">
        <f t="shared" si="657"/>
        <v>0</v>
      </c>
      <c r="AG4282" s="14">
        <v>0</v>
      </c>
      <c r="AH4282" s="65">
        <f t="shared" si="652"/>
        <v>0</v>
      </c>
      <c r="AI4282" s="47"/>
      <c r="AJ4282" s="126" t="e">
        <v>#N/A</v>
      </c>
      <c r="AK4282" s="80">
        <f t="shared" si="655"/>
        <v>0</v>
      </c>
      <c r="AM4282" s="85"/>
    </row>
    <row r="4283" spans="1:39" hidden="1" x14ac:dyDescent="0.3">
      <c r="A4283" s="89" t="s">
        <v>3394</v>
      </c>
      <c r="B4283" s="86" t="s">
        <v>35</v>
      </c>
      <c r="C4283" s="86" t="s">
        <v>36</v>
      </c>
      <c r="D4283" s="86" t="s">
        <v>54</v>
      </c>
      <c r="E4283" s="86" t="s">
        <v>114</v>
      </c>
      <c r="F4283" s="86" t="s">
        <v>114</v>
      </c>
      <c r="G4283" s="86" t="s">
        <v>114</v>
      </c>
      <c r="H4283" s="143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1866</v>
      </c>
      <c r="N4283" s="86"/>
      <c r="O4283" s="47" t="s">
        <v>410</v>
      </c>
      <c r="P4283" s="47" t="s">
        <v>41</v>
      </c>
      <c r="Q4283" s="14">
        <v>0</v>
      </c>
      <c r="R4283" s="143" t="s">
        <v>1867</v>
      </c>
      <c r="S4283" s="47"/>
      <c r="T4283" s="6">
        <v>21736.292979998965</v>
      </c>
      <c r="U4283" s="6"/>
      <c r="V4283" s="6">
        <v>0</v>
      </c>
      <c r="W4283" s="6">
        <f t="shared" ref="W4283:W4346" si="659">T4283+U4283-V4283</f>
        <v>21736.292979998965</v>
      </c>
      <c r="X4283" s="6">
        <f t="shared" ref="X4283:X4346" si="660">IF(P4283="折扣",V4283*Q4283,IF(P4283="返现",V4283,V4283/(1+Q4283)))</f>
        <v>0</v>
      </c>
      <c r="Y4283" s="13">
        <f t="shared" si="653"/>
        <v>0</v>
      </c>
      <c r="Z4283" s="14">
        <v>0</v>
      </c>
      <c r="AA4283" s="6">
        <v>0</v>
      </c>
      <c r="AB4283" s="4">
        <f t="shared" si="654"/>
        <v>0</v>
      </c>
      <c r="AC4283" s="4">
        <f t="shared" si="656"/>
        <v>0</v>
      </c>
      <c r="AD4283" s="6">
        <f t="shared" ref="AD4283:AD4346" si="661">V4283</f>
        <v>0</v>
      </c>
      <c r="AE4283" s="2">
        <f>VLOOKUP(I4283,[1]媒体政策预估表!A:N,MATCH(O4283,[1]媒体政策预估表!$A$2:$M$2,0),0)</f>
        <v>7.0000000000000007E-2</v>
      </c>
      <c r="AF4283" s="6">
        <f t="shared" si="657"/>
        <v>0</v>
      </c>
      <c r="AG4283" s="14">
        <v>0</v>
      </c>
      <c r="AH4283" s="65">
        <f t="shared" ref="AH4283:AH4346" si="662">V4283</f>
        <v>0</v>
      </c>
      <c r="AI4283" s="47"/>
      <c r="AJ4283" s="126" t="e">
        <v>#N/A</v>
      </c>
      <c r="AK4283" s="80">
        <f t="shared" si="655"/>
        <v>0</v>
      </c>
      <c r="AM4283" s="85"/>
    </row>
    <row r="4284" spans="1:39" hidden="1" x14ac:dyDescent="0.3">
      <c r="A4284" s="89" t="s">
        <v>3394</v>
      </c>
      <c r="B4284" s="86" t="s">
        <v>35</v>
      </c>
      <c r="C4284" s="86" t="s">
        <v>36</v>
      </c>
      <c r="D4284" s="86" t="s">
        <v>54</v>
      </c>
      <c r="E4284" s="86" t="s">
        <v>55</v>
      </c>
      <c r="F4284" s="86" t="s">
        <v>55</v>
      </c>
      <c r="G4284" s="86" t="s">
        <v>55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55</v>
      </c>
      <c r="N4284" s="86"/>
      <c r="O4284" s="47" t="s">
        <v>410</v>
      </c>
      <c r="P4284" s="47" t="s">
        <v>41</v>
      </c>
      <c r="Q4284" s="14">
        <v>0</v>
      </c>
      <c r="R4284" s="143" t="s">
        <v>1869</v>
      </c>
      <c r="S4284" s="47"/>
      <c r="T4284" s="6">
        <v>7908627.8600000003</v>
      </c>
      <c r="U4284" s="6"/>
      <c r="V4284" s="6">
        <v>0</v>
      </c>
      <c r="W4284" s="6">
        <f t="shared" si="659"/>
        <v>7908627.8600000003</v>
      </c>
      <c r="X4284" s="6">
        <f t="shared" si="660"/>
        <v>0</v>
      </c>
      <c r="Y4284" s="13">
        <f t="shared" si="653"/>
        <v>0</v>
      </c>
      <c r="Z4284" s="14">
        <v>0</v>
      </c>
      <c r="AA4284" s="6">
        <v>0</v>
      </c>
      <c r="AB4284" s="4">
        <f t="shared" si="654"/>
        <v>0</v>
      </c>
      <c r="AC4284" s="4">
        <f t="shared" si="656"/>
        <v>0</v>
      </c>
      <c r="AD4284" s="6">
        <f t="shared" si="661"/>
        <v>0</v>
      </c>
      <c r="AE4284" s="2">
        <f>VLOOKUP(I4284,[1]媒体政策预估表!A:N,MATCH(O4284,[1]媒体政策预估表!$A$2:$M$2,0),0)</f>
        <v>7.0000000000000007E-2</v>
      </c>
      <c r="AF4284" s="6">
        <f t="shared" si="657"/>
        <v>0</v>
      </c>
      <c r="AG4284" s="14">
        <v>0</v>
      </c>
      <c r="AH4284" s="65">
        <f t="shared" si="662"/>
        <v>0</v>
      </c>
      <c r="AI4284" s="47"/>
      <c r="AJ4284" s="126" t="e">
        <v>#N/A</v>
      </c>
      <c r="AK4284" s="80">
        <f t="shared" si="655"/>
        <v>0</v>
      </c>
      <c r="AM4284" s="85"/>
    </row>
    <row r="4285" spans="1:39" hidden="1" x14ac:dyDescent="0.3">
      <c r="A4285" s="89" t="s">
        <v>3395</v>
      </c>
      <c r="B4285" s="86" t="s">
        <v>35</v>
      </c>
      <c r="C4285" s="86" t="s">
        <v>36</v>
      </c>
      <c r="D4285" s="86" t="s">
        <v>37</v>
      </c>
      <c r="E4285" s="86" t="s">
        <v>1870</v>
      </c>
      <c r="F4285" s="86" t="s">
        <v>1871</v>
      </c>
      <c r="G4285" s="86" t="s">
        <v>1870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1870</v>
      </c>
      <c r="N4285" s="86"/>
      <c r="O4285" s="47" t="s">
        <v>410</v>
      </c>
      <c r="P4285" s="47" t="s">
        <v>41</v>
      </c>
      <c r="Q4285" s="14">
        <v>0</v>
      </c>
      <c r="R4285" s="143" t="s">
        <v>1872</v>
      </c>
      <c r="S4285" s="47"/>
      <c r="T4285" s="6">
        <v>-12.799999999988358</v>
      </c>
      <c r="U4285" s="6"/>
      <c r="V4285" s="6">
        <v>0</v>
      </c>
      <c r="W4285" s="6">
        <f t="shared" si="659"/>
        <v>-12.799999999988358</v>
      </c>
      <c r="X4285" s="6">
        <f t="shared" si="660"/>
        <v>0</v>
      </c>
      <c r="Y4285" s="13">
        <f t="shared" si="653"/>
        <v>0</v>
      </c>
      <c r="Z4285" s="14">
        <v>0</v>
      </c>
      <c r="AA4285" s="6">
        <v>0</v>
      </c>
      <c r="AB4285" s="4">
        <f t="shared" si="654"/>
        <v>0</v>
      </c>
      <c r="AC4285" s="4">
        <f t="shared" si="656"/>
        <v>0</v>
      </c>
      <c r="AD4285" s="6">
        <f t="shared" si="661"/>
        <v>0</v>
      </c>
      <c r="AE4285" s="2">
        <f>VLOOKUP(I4285,[1]媒体政策预估表!A:N,MATCH(O4285,[1]媒体政策预估表!$A$2:$M$2,0),0)</f>
        <v>7.0000000000000007E-2</v>
      </c>
      <c r="AF4285" s="6">
        <f t="shared" si="657"/>
        <v>0</v>
      </c>
      <c r="AG4285" s="14">
        <v>0</v>
      </c>
      <c r="AH4285" s="65">
        <f t="shared" si="662"/>
        <v>0</v>
      </c>
      <c r="AI4285" s="47"/>
      <c r="AJ4285" s="126" t="e">
        <v>#N/A</v>
      </c>
      <c r="AK4285" s="80">
        <f t="shared" si="655"/>
        <v>0</v>
      </c>
      <c r="AM4285" s="85"/>
    </row>
    <row r="4286" spans="1:39" hidden="1" x14ac:dyDescent="0.3">
      <c r="A4286" s="89" t="s">
        <v>3394</v>
      </c>
      <c r="B4286" s="86" t="s">
        <v>35</v>
      </c>
      <c r="C4286" s="86" t="s">
        <v>36</v>
      </c>
      <c r="D4286" s="86" t="s">
        <v>37</v>
      </c>
      <c r="E4286" s="86" t="s">
        <v>57</v>
      </c>
      <c r="F4286" s="86" t="s">
        <v>57</v>
      </c>
      <c r="G4286" s="86" t="s">
        <v>57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57</v>
      </c>
      <c r="N4286" s="86"/>
      <c r="O4286" s="47" t="s">
        <v>410</v>
      </c>
      <c r="P4286" s="47" t="s">
        <v>41</v>
      </c>
      <c r="Q4286" s="14">
        <v>0</v>
      </c>
      <c r="R4286" s="143" t="s">
        <v>1873</v>
      </c>
      <c r="S4286" s="47"/>
      <c r="T4286" s="6">
        <v>-5.2999999999919964</v>
      </c>
      <c r="U4286" s="6"/>
      <c r="V4286" s="6">
        <v>0</v>
      </c>
      <c r="W4286" s="6">
        <f t="shared" si="659"/>
        <v>-5.2999999999919964</v>
      </c>
      <c r="X4286" s="6">
        <f t="shared" si="660"/>
        <v>0</v>
      </c>
      <c r="Y4286" s="13">
        <f t="shared" si="653"/>
        <v>0</v>
      </c>
      <c r="Z4286" s="14">
        <v>0</v>
      </c>
      <c r="AA4286" s="6">
        <v>0</v>
      </c>
      <c r="AB4286" s="4">
        <f t="shared" si="654"/>
        <v>0</v>
      </c>
      <c r="AC4286" s="4">
        <f t="shared" si="656"/>
        <v>0</v>
      </c>
      <c r="AD4286" s="6">
        <f t="shared" si="661"/>
        <v>0</v>
      </c>
      <c r="AE4286" s="2">
        <f>VLOOKUP(I4286,[1]媒体政策预估表!A:N,MATCH(O4286,[1]媒体政策预估表!$A$2:$M$2,0),0)</f>
        <v>7.0000000000000007E-2</v>
      </c>
      <c r="AF4286" s="6">
        <f t="shared" si="657"/>
        <v>0</v>
      </c>
      <c r="AG4286" s="14">
        <v>0</v>
      </c>
      <c r="AH4286" s="65">
        <f t="shared" si="662"/>
        <v>0</v>
      </c>
      <c r="AI4286" s="47"/>
      <c r="AJ4286" s="126" t="e">
        <v>#N/A</v>
      </c>
      <c r="AK4286" s="80">
        <f t="shared" si="655"/>
        <v>0</v>
      </c>
      <c r="AM4286" s="85"/>
    </row>
    <row r="4287" spans="1:39" hidden="1" x14ac:dyDescent="0.3">
      <c r="A4287" s="89" t="s">
        <v>3394</v>
      </c>
      <c r="B4287" s="86" t="s">
        <v>35</v>
      </c>
      <c r="C4287" s="86" t="s">
        <v>65</v>
      </c>
      <c r="D4287" s="86" t="s">
        <v>66</v>
      </c>
      <c r="E4287" s="86" t="s">
        <v>713</v>
      </c>
      <c r="F4287" s="86" t="s">
        <v>713</v>
      </c>
      <c r="G4287" s="86" t="s">
        <v>713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1874</v>
      </c>
      <c r="N4287" s="86"/>
      <c r="O4287" s="47" t="s">
        <v>410</v>
      </c>
      <c r="P4287" s="47" t="s">
        <v>46</v>
      </c>
      <c r="Q4287" s="14">
        <v>0.02</v>
      </c>
      <c r="R4287" s="143" t="s">
        <v>1875</v>
      </c>
      <c r="S4287" s="47"/>
      <c r="T4287" s="6">
        <v>10000</v>
      </c>
      <c r="U4287" s="6"/>
      <c r="V4287" s="6">
        <v>0</v>
      </c>
      <c r="W4287" s="6">
        <f t="shared" si="659"/>
        <v>10000</v>
      </c>
      <c r="X4287" s="6">
        <f t="shared" si="660"/>
        <v>0</v>
      </c>
      <c r="Y4287" s="13">
        <f t="shared" si="653"/>
        <v>0</v>
      </c>
      <c r="Z4287" s="14">
        <v>0</v>
      </c>
      <c r="AA4287" s="6">
        <v>0</v>
      </c>
      <c r="AB4287" s="4">
        <f t="shared" si="654"/>
        <v>0</v>
      </c>
      <c r="AC4287" s="4">
        <f t="shared" si="656"/>
        <v>0</v>
      </c>
      <c r="AD4287" s="6">
        <f t="shared" si="661"/>
        <v>0</v>
      </c>
      <c r="AE4287" s="2">
        <f>VLOOKUP(I4287,[1]媒体政策预估表!A:N,MATCH(O4287,[1]媒体政策预估表!$A$2:$M$2,0),0)</f>
        <v>7.0000000000000007E-2</v>
      </c>
      <c r="AF4287" s="6">
        <f t="shared" si="657"/>
        <v>0</v>
      </c>
      <c r="AG4287" s="14">
        <v>0</v>
      </c>
      <c r="AH4287" s="65">
        <f t="shared" si="662"/>
        <v>0</v>
      </c>
      <c r="AI4287" s="47"/>
      <c r="AJ4287" s="126" t="e">
        <v>#N/A</v>
      </c>
      <c r="AK4287" s="80">
        <f t="shared" si="655"/>
        <v>0</v>
      </c>
      <c r="AM4287" s="85"/>
    </row>
    <row r="4288" spans="1:39" hidden="1" x14ac:dyDescent="0.3">
      <c r="A4288" s="89" t="s">
        <v>3395</v>
      </c>
      <c r="B4288" s="86" t="s">
        <v>35</v>
      </c>
      <c r="C4288" s="86" t="s">
        <v>65</v>
      </c>
      <c r="D4288" s="86" t="s">
        <v>66</v>
      </c>
      <c r="E4288" s="86" t="s">
        <v>493</v>
      </c>
      <c r="F4288" s="86" t="s">
        <v>493</v>
      </c>
      <c r="G4288" s="86" t="s">
        <v>493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493</v>
      </c>
      <c r="N4288" s="86"/>
      <c r="O4288" s="47" t="s">
        <v>410</v>
      </c>
      <c r="P4288" s="47" t="s">
        <v>41</v>
      </c>
      <c r="Q4288" s="14">
        <v>0</v>
      </c>
      <c r="R4288" s="143" t="s">
        <v>1876</v>
      </c>
      <c r="S4288" s="47"/>
      <c r="T4288" s="6">
        <v>-28.555000000167638</v>
      </c>
      <c r="U4288" s="6"/>
      <c r="V4288" s="6">
        <v>0</v>
      </c>
      <c r="W4288" s="6">
        <f t="shared" si="659"/>
        <v>-28.555000000167638</v>
      </c>
      <c r="X4288" s="6">
        <f t="shared" si="660"/>
        <v>0</v>
      </c>
      <c r="Y4288" s="13">
        <f t="shared" si="653"/>
        <v>0</v>
      </c>
      <c r="Z4288" s="14">
        <v>0</v>
      </c>
      <c r="AA4288" s="6">
        <v>0</v>
      </c>
      <c r="AB4288" s="4">
        <f t="shared" si="654"/>
        <v>0</v>
      </c>
      <c r="AC4288" s="4">
        <f t="shared" si="656"/>
        <v>0</v>
      </c>
      <c r="AD4288" s="6">
        <f t="shared" si="661"/>
        <v>0</v>
      </c>
      <c r="AE4288" s="2">
        <f>VLOOKUP(I4288,[1]媒体政策预估表!A:N,MATCH(O4288,[1]媒体政策预估表!$A$2:$M$2,0),0)</f>
        <v>7.0000000000000007E-2</v>
      </c>
      <c r="AF4288" s="6">
        <f t="shared" si="657"/>
        <v>0</v>
      </c>
      <c r="AG4288" s="14">
        <v>0</v>
      </c>
      <c r="AH4288" s="65">
        <f t="shared" si="662"/>
        <v>0</v>
      </c>
      <c r="AI4288" s="47"/>
      <c r="AJ4288" s="126" t="e">
        <v>#N/A</v>
      </c>
      <c r="AK4288" s="80">
        <f t="shared" si="655"/>
        <v>0</v>
      </c>
      <c r="AM4288" s="85"/>
    </row>
    <row r="4289" spans="1:39" hidden="1" x14ac:dyDescent="0.3">
      <c r="A4289" s="89" t="s">
        <v>3394</v>
      </c>
      <c r="B4289" s="86" t="s">
        <v>35</v>
      </c>
      <c r="C4289" s="86" t="s">
        <v>65</v>
      </c>
      <c r="D4289" s="86" t="s">
        <v>66</v>
      </c>
      <c r="E4289" s="86" t="s">
        <v>1877</v>
      </c>
      <c r="F4289" s="86" t="s">
        <v>1877</v>
      </c>
      <c r="G4289" s="86" t="s">
        <v>1877</v>
      </c>
      <c r="H4289" s="143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1877</v>
      </c>
      <c r="N4289" s="86"/>
      <c r="O4289" s="47" t="s">
        <v>45</v>
      </c>
      <c r="P4289" s="47" t="s">
        <v>41</v>
      </c>
      <c r="Q4289" s="14">
        <v>0</v>
      </c>
      <c r="R4289" s="143" t="s">
        <v>1878</v>
      </c>
      <c r="S4289" s="47"/>
      <c r="T4289" s="6">
        <v>283.4900000000016</v>
      </c>
      <c r="U4289" s="6"/>
      <c r="V4289" s="6">
        <v>0</v>
      </c>
      <c r="W4289" s="6">
        <f t="shared" si="659"/>
        <v>283.4900000000016</v>
      </c>
      <c r="X4289" s="6">
        <f t="shared" si="660"/>
        <v>0</v>
      </c>
      <c r="Y4289" s="13">
        <f t="shared" si="653"/>
        <v>0</v>
      </c>
      <c r="Z4289" s="14">
        <v>0</v>
      </c>
      <c r="AA4289" s="6">
        <v>0</v>
      </c>
      <c r="AB4289" s="4">
        <f t="shared" si="654"/>
        <v>0</v>
      </c>
      <c r="AC4289" s="4">
        <f t="shared" si="656"/>
        <v>0</v>
      </c>
      <c r="AD4289" s="6">
        <f t="shared" si="661"/>
        <v>0</v>
      </c>
      <c r="AE4289" s="2">
        <f>VLOOKUP(I4289,[1]媒体政策预估表!A:N,MATCH(O4289,[1]媒体政策预估表!$A$2:$M$2,0),0)</f>
        <v>0.12</v>
      </c>
      <c r="AF4289" s="6">
        <f t="shared" si="657"/>
        <v>0</v>
      </c>
      <c r="AG4289" s="14">
        <v>0</v>
      </c>
      <c r="AH4289" s="65">
        <f t="shared" si="662"/>
        <v>0</v>
      </c>
      <c r="AI4289" s="47"/>
      <c r="AJ4289" s="126" t="e">
        <v>#N/A</v>
      </c>
      <c r="AK4289" s="80">
        <f t="shared" si="655"/>
        <v>0</v>
      </c>
      <c r="AM4289" s="85"/>
    </row>
    <row r="4290" spans="1:39" hidden="1" x14ac:dyDescent="0.3">
      <c r="A4290" s="89" t="s">
        <v>3394</v>
      </c>
      <c r="B4290" s="86" t="s">
        <v>35</v>
      </c>
      <c r="C4290" s="86" t="s">
        <v>65</v>
      </c>
      <c r="D4290" s="86" t="s">
        <v>66</v>
      </c>
      <c r="E4290" s="86" t="s">
        <v>494</v>
      </c>
      <c r="F4290" s="86" t="s">
        <v>494</v>
      </c>
      <c r="G4290" s="86" t="s">
        <v>494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495</v>
      </c>
      <c r="N4290" s="86"/>
      <c r="O4290" s="47" t="s">
        <v>45</v>
      </c>
      <c r="P4290" s="47" t="s">
        <v>46</v>
      </c>
      <c r="Q4290" s="14">
        <v>0.02</v>
      </c>
      <c r="R4290" s="143" t="s">
        <v>1879</v>
      </c>
      <c r="S4290" s="47"/>
      <c r="T4290" s="6">
        <v>108831.65385999993</v>
      </c>
      <c r="U4290" s="6"/>
      <c r="V4290" s="6">
        <v>0</v>
      </c>
      <c r="W4290" s="6">
        <f t="shared" si="659"/>
        <v>108831.65385999993</v>
      </c>
      <c r="X4290" s="6">
        <f t="shared" si="660"/>
        <v>0</v>
      </c>
      <c r="Y4290" s="13">
        <f t="shared" si="653"/>
        <v>0</v>
      </c>
      <c r="Z4290" s="14">
        <v>0</v>
      </c>
      <c r="AA4290" s="6">
        <v>0</v>
      </c>
      <c r="AB4290" s="4">
        <f t="shared" si="654"/>
        <v>0</v>
      </c>
      <c r="AC4290" s="4">
        <f t="shared" si="656"/>
        <v>0</v>
      </c>
      <c r="AD4290" s="6">
        <f t="shared" si="661"/>
        <v>0</v>
      </c>
      <c r="AE4290" s="2">
        <f>VLOOKUP(I4290,[1]媒体政策预估表!A:N,MATCH(O4290,[1]媒体政策预估表!$A$2:$M$2,0),0)</f>
        <v>0.12</v>
      </c>
      <c r="AF4290" s="6">
        <f t="shared" si="657"/>
        <v>0</v>
      </c>
      <c r="AG4290" s="14">
        <v>0</v>
      </c>
      <c r="AH4290" s="65">
        <f t="shared" si="662"/>
        <v>0</v>
      </c>
      <c r="AI4290" s="47"/>
      <c r="AJ4290" s="126" t="e">
        <v>#N/A</v>
      </c>
      <c r="AK4290" s="80">
        <f t="shared" si="655"/>
        <v>0</v>
      </c>
      <c r="AM4290" s="85"/>
    </row>
    <row r="4291" spans="1:39" hidden="1" x14ac:dyDescent="0.3">
      <c r="A4291" s="89" t="s">
        <v>3394</v>
      </c>
      <c r="B4291" s="86" t="s">
        <v>35</v>
      </c>
      <c r="C4291" s="86" t="s">
        <v>65</v>
      </c>
      <c r="D4291" s="86" t="s">
        <v>66</v>
      </c>
      <c r="E4291" s="86" t="s">
        <v>494</v>
      </c>
      <c r="F4291" s="86" t="s">
        <v>494</v>
      </c>
      <c r="G4291" s="86" t="s">
        <v>494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495</v>
      </c>
      <c r="N4291" s="86"/>
      <c r="O4291" s="47" t="s">
        <v>410</v>
      </c>
      <c r="P4291" s="47" t="s">
        <v>41</v>
      </c>
      <c r="Q4291" s="14">
        <v>0</v>
      </c>
      <c r="R4291" s="143" t="s">
        <v>1880</v>
      </c>
      <c r="S4291" s="47"/>
      <c r="T4291" s="6">
        <v>13.353929999982938</v>
      </c>
      <c r="U4291" s="6"/>
      <c r="V4291" s="6">
        <v>0</v>
      </c>
      <c r="W4291" s="6">
        <f t="shared" si="659"/>
        <v>13.353929999982938</v>
      </c>
      <c r="X4291" s="6">
        <f t="shared" si="660"/>
        <v>0</v>
      </c>
      <c r="Y4291" s="13">
        <f t="shared" ref="Y4291:Y4354" si="663">IF(X4291-AD4291&lt;=0,0,IF(P4291="返现",MAX(X4291-AC4291-AD4291,0),MAX(X4291-AD4291)))</f>
        <v>0</v>
      </c>
      <c r="Z4291" s="14">
        <v>0</v>
      </c>
      <c r="AA4291" s="6">
        <v>0</v>
      </c>
      <c r="AB4291" s="4">
        <f t="shared" ref="AB4291:AB4353" si="664">X4291+AA4291</f>
        <v>0</v>
      </c>
      <c r="AC4291" s="4">
        <f t="shared" si="656"/>
        <v>0</v>
      </c>
      <c r="AD4291" s="6">
        <f t="shared" si="661"/>
        <v>0</v>
      </c>
      <c r="AE4291" s="2">
        <f>VLOOKUP(I4291,[1]媒体政策预估表!A:N,MATCH(O4291,[1]媒体政策预估表!$A$2:$M$2,0),0)</f>
        <v>7.0000000000000007E-2</v>
      </c>
      <c r="AF4291" s="6">
        <f t="shared" si="657"/>
        <v>0</v>
      </c>
      <c r="AG4291" s="14">
        <v>0</v>
      </c>
      <c r="AH4291" s="65">
        <f t="shared" si="662"/>
        <v>0</v>
      </c>
      <c r="AI4291" s="47"/>
      <c r="AJ4291" s="126" t="e">
        <v>#N/A</v>
      </c>
      <c r="AK4291" s="80">
        <f t="shared" ref="AK4291:AK4354" si="665">X4291+AA4291-AB4291</f>
        <v>0</v>
      </c>
      <c r="AM4291" s="85"/>
    </row>
    <row r="4292" spans="1:39" hidden="1" x14ac:dyDescent="0.3">
      <c r="A4292" s="89" t="s">
        <v>3394</v>
      </c>
      <c r="B4292" s="86" t="s">
        <v>35</v>
      </c>
      <c r="C4292" s="86" t="s">
        <v>65</v>
      </c>
      <c r="D4292" s="86" t="s">
        <v>66</v>
      </c>
      <c r="E4292" s="86" t="s">
        <v>496</v>
      </c>
      <c r="F4292" s="86" t="s">
        <v>497</v>
      </c>
      <c r="G4292" s="86" t="s">
        <v>496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498</v>
      </c>
      <c r="N4292" s="86"/>
      <c r="O4292" s="47" t="s">
        <v>410</v>
      </c>
      <c r="P4292" s="47" t="s">
        <v>46</v>
      </c>
      <c r="Q4292" s="14">
        <v>0.02</v>
      </c>
      <c r="R4292" s="143" t="s">
        <v>1884</v>
      </c>
      <c r="S4292" s="47"/>
      <c r="T4292" s="6">
        <v>656.99999999994179</v>
      </c>
      <c r="U4292" s="6"/>
      <c r="V4292" s="6">
        <v>0</v>
      </c>
      <c r="W4292" s="6">
        <f t="shared" si="659"/>
        <v>656.99999999994179</v>
      </c>
      <c r="X4292" s="6">
        <f t="shared" si="660"/>
        <v>0</v>
      </c>
      <c r="Y4292" s="13">
        <f t="shared" si="663"/>
        <v>0</v>
      </c>
      <c r="Z4292" s="14">
        <v>0</v>
      </c>
      <c r="AA4292" s="6">
        <v>0</v>
      </c>
      <c r="AB4292" s="4">
        <f t="shared" si="664"/>
        <v>0</v>
      </c>
      <c r="AC4292" s="4">
        <f t="shared" si="656"/>
        <v>0</v>
      </c>
      <c r="AD4292" s="6">
        <f t="shared" si="661"/>
        <v>0</v>
      </c>
      <c r="AE4292" s="2">
        <f>VLOOKUP(I4292,[1]媒体政策预估表!A:N,MATCH(O4292,[1]媒体政策预估表!$A$2:$M$2,0),0)</f>
        <v>7.0000000000000007E-2</v>
      </c>
      <c r="AF4292" s="6">
        <f t="shared" si="657"/>
        <v>0</v>
      </c>
      <c r="AG4292" s="14">
        <v>0</v>
      </c>
      <c r="AH4292" s="65">
        <f t="shared" si="662"/>
        <v>0</v>
      </c>
      <c r="AI4292" s="47"/>
      <c r="AJ4292" s="126" t="e">
        <v>#N/A</v>
      </c>
      <c r="AK4292" s="80">
        <f t="shared" si="665"/>
        <v>0</v>
      </c>
      <c r="AM4292" s="85"/>
    </row>
    <row r="4293" spans="1:39" hidden="1" x14ac:dyDescent="0.3">
      <c r="A4293" s="89" t="s">
        <v>3394</v>
      </c>
      <c r="B4293" s="86" t="s">
        <v>35</v>
      </c>
      <c r="C4293" s="86" t="s">
        <v>65</v>
      </c>
      <c r="D4293" s="86" t="s">
        <v>66</v>
      </c>
      <c r="E4293" s="86" t="s">
        <v>1234</v>
      </c>
      <c r="F4293" s="86" t="s">
        <v>1234</v>
      </c>
      <c r="G4293" s="86" t="s">
        <v>1234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1234</v>
      </c>
      <c r="N4293" s="86"/>
      <c r="O4293" s="47" t="s">
        <v>410</v>
      </c>
      <c r="P4293" s="47" t="s">
        <v>41</v>
      </c>
      <c r="Q4293" s="14">
        <v>0</v>
      </c>
      <c r="R4293" s="143" t="s">
        <v>1885</v>
      </c>
      <c r="S4293" s="47"/>
      <c r="T4293" s="6">
        <v>-47.45000000030268</v>
      </c>
      <c r="U4293" s="6"/>
      <c r="V4293" s="6">
        <v>0</v>
      </c>
      <c r="W4293" s="6">
        <f t="shared" si="659"/>
        <v>-47.45000000030268</v>
      </c>
      <c r="X4293" s="6">
        <f t="shared" si="660"/>
        <v>0</v>
      </c>
      <c r="Y4293" s="13">
        <f t="shared" si="663"/>
        <v>0</v>
      </c>
      <c r="Z4293" s="14">
        <v>0</v>
      </c>
      <c r="AA4293" s="6">
        <v>0</v>
      </c>
      <c r="AB4293" s="4">
        <f t="shared" si="664"/>
        <v>0</v>
      </c>
      <c r="AC4293" s="4">
        <f t="shared" si="656"/>
        <v>0</v>
      </c>
      <c r="AD4293" s="6">
        <f t="shared" si="661"/>
        <v>0</v>
      </c>
      <c r="AE4293" s="2">
        <f>VLOOKUP(I4293,[1]媒体政策预估表!A:N,MATCH(O4293,[1]媒体政策预估表!$A$2:$M$2,0),0)</f>
        <v>7.0000000000000007E-2</v>
      </c>
      <c r="AF4293" s="6">
        <f t="shared" si="657"/>
        <v>0</v>
      </c>
      <c r="AG4293" s="14">
        <v>0</v>
      </c>
      <c r="AH4293" s="65">
        <f t="shared" si="662"/>
        <v>0</v>
      </c>
      <c r="AI4293" s="47"/>
      <c r="AJ4293" s="126" t="e">
        <v>#N/A</v>
      </c>
      <c r="AK4293" s="80">
        <f t="shared" si="665"/>
        <v>0</v>
      </c>
      <c r="AM4293" s="85"/>
    </row>
    <row r="4294" spans="1:39" hidden="1" x14ac:dyDescent="0.3">
      <c r="A4294" s="89" t="s">
        <v>3394</v>
      </c>
      <c r="B4294" s="86" t="s">
        <v>35</v>
      </c>
      <c r="C4294" s="86" t="s">
        <v>65</v>
      </c>
      <c r="D4294" s="86" t="s">
        <v>66</v>
      </c>
      <c r="E4294" s="86" t="s">
        <v>1234</v>
      </c>
      <c r="F4294" s="86" t="s">
        <v>1886</v>
      </c>
      <c r="G4294" s="86" t="s">
        <v>1234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1235</v>
      </c>
      <c r="N4294" s="86"/>
      <c r="O4294" s="47" t="s">
        <v>410</v>
      </c>
      <c r="P4294" s="47" t="s">
        <v>46</v>
      </c>
      <c r="Q4294" s="14">
        <v>0.02</v>
      </c>
      <c r="R4294" s="143" t="s">
        <v>1887</v>
      </c>
      <c r="S4294" s="47"/>
      <c r="T4294" s="6">
        <v>-2.4999999999892566</v>
      </c>
      <c r="U4294" s="6"/>
      <c r="V4294" s="6">
        <v>0</v>
      </c>
      <c r="W4294" s="6">
        <f t="shared" si="659"/>
        <v>-2.4999999999892566</v>
      </c>
      <c r="X4294" s="6">
        <f t="shared" si="660"/>
        <v>0</v>
      </c>
      <c r="Y4294" s="13">
        <f t="shared" si="663"/>
        <v>0</v>
      </c>
      <c r="Z4294" s="14">
        <v>0</v>
      </c>
      <c r="AA4294" s="6">
        <v>0</v>
      </c>
      <c r="AB4294" s="4">
        <f t="shared" si="664"/>
        <v>0</v>
      </c>
      <c r="AC4294" s="4">
        <f t="shared" si="656"/>
        <v>0</v>
      </c>
      <c r="AD4294" s="6">
        <f t="shared" si="661"/>
        <v>0</v>
      </c>
      <c r="AE4294" s="2">
        <f>VLOOKUP(I4294,[1]媒体政策预估表!A:N,MATCH(O4294,[1]媒体政策预估表!$A$2:$M$2,0),0)</f>
        <v>7.0000000000000007E-2</v>
      </c>
      <c r="AF4294" s="6">
        <f t="shared" si="657"/>
        <v>0</v>
      </c>
      <c r="AG4294" s="14">
        <v>0</v>
      </c>
      <c r="AH4294" s="65">
        <f t="shared" si="662"/>
        <v>0</v>
      </c>
      <c r="AI4294" s="47"/>
      <c r="AJ4294" s="126" t="e">
        <v>#N/A</v>
      </c>
      <c r="AK4294" s="80">
        <f t="shared" si="665"/>
        <v>0</v>
      </c>
      <c r="AM4294" s="85"/>
    </row>
    <row r="4295" spans="1:39" hidden="1" x14ac:dyDescent="0.3">
      <c r="A4295" s="89" t="s">
        <v>3394</v>
      </c>
      <c r="B4295" s="86" t="s">
        <v>35</v>
      </c>
      <c r="C4295" s="86" t="s">
        <v>65</v>
      </c>
      <c r="D4295" s="86" t="s">
        <v>66</v>
      </c>
      <c r="E4295" s="86" t="s">
        <v>501</v>
      </c>
      <c r="F4295" s="86" t="s">
        <v>501</v>
      </c>
      <c r="G4295" s="86" t="s">
        <v>501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501</v>
      </c>
      <c r="N4295" s="86"/>
      <c r="O4295" s="47" t="s">
        <v>410</v>
      </c>
      <c r="P4295" s="47" t="s">
        <v>41</v>
      </c>
      <c r="Q4295" s="14">
        <v>0</v>
      </c>
      <c r="R4295" s="143" t="s">
        <v>1888</v>
      </c>
      <c r="S4295" s="47"/>
      <c r="T4295" s="6">
        <v>-4.4999999998719433</v>
      </c>
      <c r="U4295" s="6"/>
      <c r="V4295" s="6">
        <v>0</v>
      </c>
      <c r="W4295" s="6">
        <f t="shared" si="659"/>
        <v>-4.4999999998719433</v>
      </c>
      <c r="X4295" s="6">
        <f t="shared" si="660"/>
        <v>0</v>
      </c>
      <c r="Y4295" s="13">
        <f t="shared" si="663"/>
        <v>0</v>
      </c>
      <c r="Z4295" s="14">
        <v>0</v>
      </c>
      <c r="AA4295" s="6">
        <v>0</v>
      </c>
      <c r="AB4295" s="4">
        <f t="shared" si="664"/>
        <v>0</v>
      </c>
      <c r="AC4295" s="4">
        <f t="shared" si="656"/>
        <v>0</v>
      </c>
      <c r="AD4295" s="6">
        <f t="shared" si="661"/>
        <v>0</v>
      </c>
      <c r="AE4295" s="2">
        <f>VLOOKUP(I4295,[1]媒体政策预估表!A:N,MATCH(O4295,[1]媒体政策预估表!$A$2:$M$2,0),0)</f>
        <v>7.0000000000000007E-2</v>
      </c>
      <c r="AF4295" s="6">
        <f t="shared" si="657"/>
        <v>0</v>
      </c>
      <c r="AG4295" s="14">
        <v>0</v>
      </c>
      <c r="AH4295" s="65">
        <f t="shared" si="662"/>
        <v>0</v>
      </c>
      <c r="AI4295" s="47"/>
      <c r="AJ4295" s="126" t="e">
        <v>#N/A</v>
      </c>
      <c r="AK4295" s="80">
        <f t="shared" si="665"/>
        <v>0</v>
      </c>
      <c r="AM4295" s="85"/>
    </row>
    <row r="4296" spans="1:39" hidden="1" x14ac:dyDescent="0.3">
      <c r="A4296" s="89" t="s">
        <v>3394</v>
      </c>
      <c r="B4296" s="86" t="s">
        <v>35</v>
      </c>
      <c r="C4296" s="86" t="s">
        <v>65</v>
      </c>
      <c r="D4296" s="86" t="s">
        <v>66</v>
      </c>
      <c r="E4296" s="86" t="s">
        <v>1889</v>
      </c>
      <c r="F4296" s="86" t="s">
        <v>1889</v>
      </c>
      <c r="G4296" s="86" t="s">
        <v>1889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1889</v>
      </c>
      <c r="N4296" s="86"/>
      <c r="O4296" s="47" t="s">
        <v>410</v>
      </c>
      <c r="P4296" s="47" t="s">
        <v>46</v>
      </c>
      <c r="Q4296" s="14">
        <v>0.01</v>
      </c>
      <c r="R4296" s="143" t="s">
        <v>1890</v>
      </c>
      <c r="S4296" s="47"/>
      <c r="T4296" s="6">
        <v>-4.1000000000065029</v>
      </c>
      <c r="U4296" s="6"/>
      <c r="V4296" s="6">
        <v>0</v>
      </c>
      <c r="W4296" s="6">
        <f t="shared" si="659"/>
        <v>-4.1000000000065029</v>
      </c>
      <c r="X4296" s="6">
        <f t="shared" si="660"/>
        <v>0</v>
      </c>
      <c r="Y4296" s="13">
        <f t="shared" si="663"/>
        <v>0</v>
      </c>
      <c r="Z4296" s="14">
        <v>0</v>
      </c>
      <c r="AA4296" s="6">
        <v>0</v>
      </c>
      <c r="AB4296" s="4">
        <f t="shared" si="664"/>
        <v>0</v>
      </c>
      <c r="AC4296" s="4">
        <f t="shared" si="656"/>
        <v>0</v>
      </c>
      <c r="AD4296" s="6">
        <f t="shared" si="661"/>
        <v>0</v>
      </c>
      <c r="AE4296" s="2">
        <f>VLOOKUP(I4296,[1]媒体政策预估表!A:N,MATCH(O4296,[1]媒体政策预估表!$A$2:$M$2,0),0)</f>
        <v>7.0000000000000007E-2</v>
      </c>
      <c r="AF4296" s="6">
        <f t="shared" si="657"/>
        <v>0</v>
      </c>
      <c r="AG4296" s="14">
        <v>0</v>
      </c>
      <c r="AH4296" s="65">
        <f t="shared" si="662"/>
        <v>0</v>
      </c>
      <c r="AI4296" s="47"/>
      <c r="AJ4296" s="126" t="e">
        <v>#N/A</v>
      </c>
      <c r="AK4296" s="80">
        <f t="shared" si="665"/>
        <v>0</v>
      </c>
      <c r="AM4296" s="85"/>
    </row>
    <row r="4297" spans="1:39" hidden="1" x14ac:dyDescent="0.3">
      <c r="A4297" s="89" t="s">
        <v>3394</v>
      </c>
      <c r="B4297" s="86" t="s">
        <v>35</v>
      </c>
      <c r="C4297" s="86" t="s">
        <v>65</v>
      </c>
      <c r="D4297" s="86" t="s">
        <v>122</v>
      </c>
      <c r="E4297" s="86" t="s">
        <v>1894</v>
      </c>
      <c r="F4297" s="86" t="s">
        <v>1894</v>
      </c>
      <c r="G4297" s="86" t="s">
        <v>1894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1894</v>
      </c>
      <c r="N4297" s="86"/>
      <c r="O4297" s="47" t="s">
        <v>410</v>
      </c>
      <c r="P4297" s="47" t="s">
        <v>41</v>
      </c>
      <c r="Q4297" s="14">
        <v>0</v>
      </c>
      <c r="R4297" s="143" t="s">
        <v>1895</v>
      </c>
      <c r="S4297" s="47"/>
      <c r="T4297" s="6">
        <v>-88.000000000025466</v>
      </c>
      <c r="U4297" s="6"/>
      <c r="V4297" s="6">
        <v>0</v>
      </c>
      <c r="W4297" s="6">
        <f t="shared" si="659"/>
        <v>-88.000000000025466</v>
      </c>
      <c r="X4297" s="6">
        <f t="shared" si="660"/>
        <v>0</v>
      </c>
      <c r="Y4297" s="13">
        <f t="shared" si="663"/>
        <v>0</v>
      </c>
      <c r="Z4297" s="14">
        <v>0</v>
      </c>
      <c r="AA4297" s="6">
        <v>0</v>
      </c>
      <c r="AB4297" s="4">
        <f t="shared" si="664"/>
        <v>0</v>
      </c>
      <c r="AC4297" s="4">
        <f t="shared" si="656"/>
        <v>0</v>
      </c>
      <c r="AD4297" s="6">
        <f t="shared" si="661"/>
        <v>0</v>
      </c>
      <c r="AE4297" s="2">
        <f>VLOOKUP(I4297,[1]媒体政策预估表!A:N,MATCH(O4297,[1]媒体政策预估表!$A$2:$M$2,0),0)</f>
        <v>7.0000000000000007E-2</v>
      </c>
      <c r="AF4297" s="6">
        <f t="shared" si="657"/>
        <v>0</v>
      </c>
      <c r="AG4297" s="14">
        <v>0</v>
      </c>
      <c r="AH4297" s="65">
        <f t="shared" si="662"/>
        <v>0</v>
      </c>
      <c r="AI4297" s="47"/>
      <c r="AJ4297" s="126" t="e">
        <v>#N/A</v>
      </c>
      <c r="AK4297" s="80">
        <f t="shared" si="665"/>
        <v>0</v>
      </c>
      <c r="AM4297" s="85"/>
    </row>
    <row r="4298" spans="1:39" hidden="1" x14ac:dyDescent="0.3">
      <c r="A4298" s="89" t="s">
        <v>3394</v>
      </c>
      <c r="B4298" s="86" t="s">
        <v>35</v>
      </c>
      <c r="C4298" s="86" t="s">
        <v>65</v>
      </c>
      <c r="D4298" s="86" t="s">
        <v>122</v>
      </c>
      <c r="E4298" s="86" t="s">
        <v>1896</v>
      </c>
      <c r="F4298" s="86" t="s">
        <v>1896</v>
      </c>
      <c r="G4298" s="86" t="s">
        <v>1896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1896</v>
      </c>
      <c r="N4298" s="86"/>
      <c r="O4298" s="47" t="s">
        <v>410</v>
      </c>
      <c r="P4298" s="47" t="s">
        <v>46</v>
      </c>
      <c r="Q4298" s="14">
        <v>0.02</v>
      </c>
      <c r="R4298" s="143" t="s">
        <v>1897</v>
      </c>
      <c r="S4298" s="47"/>
      <c r="T4298" s="6">
        <v>-1.45</v>
      </c>
      <c r="U4298" s="6"/>
      <c r="V4298" s="6">
        <v>0</v>
      </c>
      <c r="W4298" s="6">
        <f t="shared" si="659"/>
        <v>-1.45</v>
      </c>
      <c r="X4298" s="6">
        <f t="shared" si="660"/>
        <v>0</v>
      </c>
      <c r="Y4298" s="13">
        <f t="shared" si="663"/>
        <v>0</v>
      </c>
      <c r="Z4298" s="14">
        <v>0</v>
      </c>
      <c r="AA4298" s="6">
        <v>0</v>
      </c>
      <c r="AB4298" s="4">
        <f t="shared" si="664"/>
        <v>0</v>
      </c>
      <c r="AC4298" s="4">
        <f t="shared" si="656"/>
        <v>0</v>
      </c>
      <c r="AD4298" s="6">
        <f t="shared" si="661"/>
        <v>0</v>
      </c>
      <c r="AE4298" s="2">
        <f>VLOOKUP(I4298,[1]媒体政策预估表!A:N,MATCH(O4298,[1]媒体政策预估表!$A$2:$M$2,0),0)</f>
        <v>7.0000000000000007E-2</v>
      </c>
      <c r="AF4298" s="6">
        <f t="shared" si="657"/>
        <v>0</v>
      </c>
      <c r="AG4298" s="14">
        <v>0</v>
      </c>
      <c r="AH4298" s="65">
        <f t="shared" si="662"/>
        <v>0</v>
      </c>
      <c r="AI4298" s="47"/>
      <c r="AJ4298" s="126" t="e">
        <v>#N/A</v>
      </c>
      <c r="AK4298" s="80">
        <f t="shared" si="665"/>
        <v>0</v>
      </c>
      <c r="AM4298" s="85"/>
    </row>
    <row r="4299" spans="1:39" hidden="1" x14ac:dyDescent="0.3">
      <c r="A4299" s="89" t="s">
        <v>3395</v>
      </c>
      <c r="B4299" s="86" t="s">
        <v>35</v>
      </c>
      <c r="C4299" s="86" t="s">
        <v>65</v>
      </c>
      <c r="D4299" s="86" t="s">
        <v>122</v>
      </c>
      <c r="E4299" s="86" t="s">
        <v>1898</v>
      </c>
      <c r="F4299" s="86" t="s">
        <v>1898</v>
      </c>
      <c r="G4299" s="86" t="s">
        <v>1898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1898</v>
      </c>
      <c r="N4299" s="86"/>
      <c r="O4299" s="47" t="s">
        <v>45</v>
      </c>
      <c r="P4299" s="47" t="s">
        <v>46</v>
      </c>
      <c r="Q4299" s="14">
        <v>0.08</v>
      </c>
      <c r="R4299" s="143" t="s">
        <v>1899</v>
      </c>
      <c r="S4299" s="47"/>
      <c r="T4299" s="6">
        <v>0.29000000000145504</v>
      </c>
      <c r="U4299" s="6"/>
      <c r="V4299" s="6">
        <v>0</v>
      </c>
      <c r="W4299" s="6">
        <f t="shared" si="659"/>
        <v>0.29000000000145504</v>
      </c>
      <c r="X4299" s="6">
        <f t="shared" si="660"/>
        <v>0</v>
      </c>
      <c r="Y4299" s="13">
        <f t="shared" si="663"/>
        <v>0</v>
      </c>
      <c r="Z4299" s="14">
        <v>0</v>
      </c>
      <c r="AA4299" s="6">
        <v>0</v>
      </c>
      <c r="AB4299" s="4">
        <f t="shared" si="664"/>
        <v>0</v>
      </c>
      <c r="AC4299" s="4">
        <f t="shared" si="656"/>
        <v>0</v>
      </c>
      <c r="AD4299" s="6">
        <f t="shared" si="661"/>
        <v>0</v>
      </c>
      <c r="AE4299" s="2">
        <f>VLOOKUP(I4299,[1]媒体政策预估表!A:N,MATCH(O4299,[1]媒体政策预估表!$A$2:$M$2,0),0)</f>
        <v>0.12</v>
      </c>
      <c r="AF4299" s="6">
        <f t="shared" si="657"/>
        <v>0</v>
      </c>
      <c r="AG4299" s="14">
        <v>0</v>
      </c>
      <c r="AH4299" s="65">
        <f t="shared" si="662"/>
        <v>0</v>
      </c>
      <c r="AI4299" s="47"/>
      <c r="AJ4299" s="126" t="e">
        <v>#N/A</v>
      </c>
      <c r="AK4299" s="80">
        <f t="shared" si="665"/>
        <v>0</v>
      </c>
      <c r="AM4299" s="85"/>
    </row>
    <row r="4300" spans="1:39" hidden="1" x14ac:dyDescent="0.3">
      <c r="A4300" s="89" t="s">
        <v>3394</v>
      </c>
      <c r="B4300" s="86" t="s">
        <v>35</v>
      </c>
      <c r="C4300" s="86" t="s">
        <v>65</v>
      </c>
      <c r="D4300" s="86" t="s">
        <v>125</v>
      </c>
      <c r="E4300" s="86" t="s">
        <v>1903</v>
      </c>
      <c r="F4300" s="86" t="s">
        <v>1904</v>
      </c>
      <c r="G4300" s="86" t="s">
        <v>1903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1905</v>
      </c>
      <c r="N4300" s="86"/>
      <c r="O4300" s="47" t="s">
        <v>410</v>
      </c>
      <c r="P4300" s="47" t="s">
        <v>41</v>
      </c>
      <c r="Q4300" s="14">
        <v>0</v>
      </c>
      <c r="R4300" s="143" t="s">
        <v>1906</v>
      </c>
      <c r="S4300" s="47"/>
      <c r="T4300" s="6">
        <v>2768595.0750100003</v>
      </c>
      <c r="U4300" s="6"/>
      <c r="V4300" s="6">
        <v>0</v>
      </c>
      <c r="W4300" s="6">
        <f t="shared" si="659"/>
        <v>2768595.0750100003</v>
      </c>
      <c r="X4300" s="6">
        <f t="shared" si="660"/>
        <v>0</v>
      </c>
      <c r="Y4300" s="13">
        <f t="shared" si="663"/>
        <v>0</v>
      </c>
      <c r="Z4300" s="14">
        <v>0</v>
      </c>
      <c r="AA4300" s="6">
        <v>0</v>
      </c>
      <c r="AB4300" s="4">
        <f t="shared" si="664"/>
        <v>0</v>
      </c>
      <c r="AC4300" s="4">
        <f t="shared" ref="AC4300:AC4363" si="666">IF(P4300="返现",X4300*Q4300,V4300-X4300)</f>
        <v>0</v>
      </c>
      <c r="AD4300" s="6">
        <f t="shared" si="661"/>
        <v>0</v>
      </c>
      <c r="AE4300" s="2">
        <f>VLOOKUP(I4300,[1]媒体政策预估表!A:N,MATCH(O4300,[1]媒体政策预估表!$A$2:$M$2,0),0)</f>
        <v>7.0000000000000007E-2</v>
      </c>
      <c r="AF4300" s="6">
        <f t="shared" ref="AF4300:AF4363" si="667">AD4300*AE4300</f>
        <v>0</v>
      </c>
      <c r="AG4300" s="14">
        <v>0</v>
      </c>
      <c r="AH4300" s="65">
        <f t="shared" si="662"/>
        <v>0</v>
      </c>
      <c r="AI4300" s="47"/>
      <c r="AJ4300" s="126" t="e">
        <v>#N/A</v>
      </c>
      <c r="AK4300" s="80">
        <f t="shared" si="665"/>
        <v>0</v>
      </c>
      <c r="AM4300" s="85"/>
    </row>
    <row r="4301" spans="1:39" hidden="1" x14ac:dyDescent="0.3">
      <c r="A4301" s="89" t="s">
        <v>3394</v>
      </c>
      <c r="B4301" s="86" t="s">
        <v>35</v>
      </c>
      <c r="C4301" s="86" t="s">
        <v>65</v>
      </c>
      <c r="D4301" s="86" t="s">
        <v>232</v>
      </c>
      <c r="E4301" s="86" t="s">
        <v>1907</v>
      </c>
      <c r="F4301" s="86" t="s">
        <v>1908</v>
      </c>
      <c r="G4301" s="86" t="s">
        <v>1907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484</v>
      </c>
      <c r="N4301" s="86"/>
      <c r="O4301" s="47" t="s">
        <v>410</v>
      </c>
      <c r="P4301" s="47" t="s">
        <v>41</v>
      </c>
      <c r="Q4301" s="14">
        <v>0</v>
      </c>
      <c r="R4301" s="143" t="s">
        <v>1909</v>
      </c>
      <c r="S4301" s="47"/>
      <c r="T4301" s="6">
        <v>-6.5200000000186265</v>
      </c>
      <c r="U4301" s="6"/>
      <c r="V4301" s="6">
        <v>0</v>
      </c>
      <c r="W4301" s="6">
        <f t="shared" si="659"/>
        <v>-6.5200000000186265</v>
      </c>
      <c r="X4301" s="6">
        <f t="shared" si="660"/>
        <v>0</v>
      </c>
      <c r="Y4301" s="13">
        <f t="shared" si="663"/>
        <v>0</v>
      </c>
      <c r="Z4301" s="14">
        <v>0</v>
      </c>
      <c r="AA4301" s="6">
        <v>0</v>
      </c>
      <c r="AB4301" s="4">
        <f t="shared" si="664"/>
        <v>0</v>
      </c>
      <c r="AC4301" s="4">
        <f t="shared" si="666"/>
        <v>0</v>
      </c>
      <c r="AD4301" s="6">
        <f t="shared" si="661"/>
        <v>0</v>
      </c>
      <c r="AE4301" s="2">
        <f>VLOOKUP(I4301,[1]媒体政策预估表!A:N,MATCH(O4301,[1]媒体政策预估表!$A$2:$M$2,0),0)</f>
        <v>7.0000000000000007E-2</v>
      </c>
      <c r="AF4301" s="6">
        <f t="shared" si="667"/>
        <v>0</v>
      </c>
      <c r="AG4301" s="14">
        <v>0</v>
      </c>
      <c r="AH4301" s="65">
        <f t="shared" si="662"/>
        <v>0</v>
      </c>
      <c r="AI4301" s="47"/>
      <c r="AJ4301" s="126" t="e">
        <v>#N/A</v>
      </c>
      <c r="AK4301" s="80">
        <f t="shared" si="665"/>
        <v>0</v>
      </c>
      <c r="AM4301" s="85"/>
    </row>
    <row r="4302" spans="1:39" hidden="1" x14ac:dyDescent="0.3">
      <c r="A4302" s="89" t="s">
        <v>3395</v>
      </c>
      <c r="B4302" s="86" t="s">
        <v>35</v>
      </c>
      <c r="C4302" s="86" t="s">
        <v>47</v>
      </c>
      <c r="D4302" s="86" t="s">
        <v>878</v>
      </c>
      <c r="E4302" s="86" t="s">
        <v>1910</v>
      </c>
      <c r="F4302" s="86" t="s">
        <v>1910</v>
      </c>
      <c r="G4302" s="86" t="s">
        <v>1910</v>
      </c>
      <c r="H4302" s="143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1910</v>
      </c>
      <c r="N4302" s="86"/>
      <c r="O4302" s="47" t="s">
        <v>45</v>
      </c>
      <c r="P4302" s="47" t="s">
        <v>46</v>
      </c>
      <c r="Q4302" s="14">
        <v>0.02</v>
      </c>
      <c r="R4302" s="143" t="s">
        <v>1911</v>
      </c>
      <c r="S4302" s="47"/>
      <c r="T4302" s="6">
        <v>0.34000000000014552</v>
      </c>
      <c r="U4302" s="6"/>
      <c r="V4302" s="6">
        <v>0</v>
      </c>
      <c r="W4302" s="6">
        <f t="shared" si="659"/>
        <v>0.34000000000014552</v>
      </c>
      <c r="X4302" s="6">
        <f t="shared" si="660"/>
        <v>0</v>
      </c>
      <c r="Y4302" s="13">
        <f t="shared" si="663"/>
        <v>0</v>
      </c>
      <c r="Z4302" s="14">
        <v>0</v>
      </c>
      <c r="AA4302" s="6">
        <v>0</v>
      </c>
      <c r="AB4302" s="4">
        <f t="shared" si="664"/>
        <v>0</v>
      </c>
      <c r="AC4302" s="4">
        <f t="shared" si="666"/>
        <v>0</v>
      </c>
      <c r="AD4302" s="6">
        <f t="shared" si="661"/>
        <v>0</v>
      </c>
      <c r="AE4302" s="2">
        <f>VLOOKUP(I4302,[1]媒体政策预估表!A:N,MATCH(O4302,[1]媒体政策预估表!$A$2:$M$2,0),0)</f>
        <v>0.12</v>
      </c>
      <c r="AF4302" s="6">
        <f t="shared" si="667"/>
        <v>0</v>
      </c>
      <c r="AG4302" s="14">
        <v>0</v>
      </c>
      <c r="AH4302" s="65">
        <f t="shared" si="662"/>
        <v>0</v>
      </c>
      <c r="AI4302" s="47"/>
      <c r="AJ4302" s="126" t="e">
        <v>#N/A</v>
      </c>
      <c r="AK4302" s="80">
        <f t="shared" si="665"/>
        <v>0</v>
      </c>
      <c r="AM4302" s="85"/>
    </row>
    <row r="4303" spans="1:39" hidden="1" x14ac:dyDescent="0.3">
      <c r="A4303" s="89" t="s">
        <v>3394</v>
      </c>
      <c r="B4303" s="86" t="s">
        <v>35</v>
      </c>
      <c r="C4303" s="86" t="s">
        <v>47</v>
      </c>
      <c r="D4303" s="86" t="s">
        <v>63</v>
      </c>
      <c r="E4303" s="86" t="s">
        <v>1912</v>
      </c>
      <c r="F4303" s="86" t="s">
        <v>1912</v>
      </c>
      <c r="G4303" s="86" t="s">
        <v>1912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1912</v>
      </c>
      <c r="N4303" s="86"/>
      <c r="O4303" s="47" t="s">
        <v>410</v>
      </c>
      <c r="P4303" s="47" t="s">
        <v>46</v>
      </c>
      <c r="Q4303" s="14">
        <v>0.02</v>
      </c>
      <c r="R4303" s="143" t="s">
        <v>1913</v>
      </c>
      <c r="S4303" s="47"/>
      <c r="T4303" s="6">
        <v>-4.0000000007012204E-2</v>
      </c>
      <c r="U4303" s="6"/>
      <c r="V4303" s="6">
        <v>0</v>
      </c>
      <c r="W4303" s="6">
        <f t="shared" si="659"/>
        <v>-4.0000000007012204E-2</v>
      </c>
      <c r="X4303" s="6">
        <f t="shared" si="660"/>
        <v>0</v>
      </c>
      <c r="Y4303" s="13">
        <f t="shared" si="663"/>
        <v>0</v>
      </c>
      <c r="Z4303" s="14">
        <v>0</v>
      </c>
      <c r="AA4303" s="6">
        <v>0</v>
      </c>
      <c r="AB4303" s="4">
        <f t="shared" si="664"/>
        <v>0</v>
      </c>
      <c r="AC4303" s="4">
        <f t="shared" si="666"/>
        <v>0</v>
      </c>
      <c r="AD4303" s="6">
        <f t="shared" si="661"/>
        <v>0</v>
      </c>
      <c r="AE4303" s="2">
        <f>VLOOKUP(I4303,[1]媒体政策预估表!A:N,MATCH(O4303,[1]媒体政策预估表!$A$2:$M$2,0),0)</f>
        <v>7.0000000000000007E-2</v>
      </c>
      <c r="AF4303" s="6">
        <f t="shared" si="667"/>
        <v>0</v>
      </c>
      <c r="AG4303" s="14">
        <v>0</v>
      </c>
      <c r="AH4303" s="65">
        <f t="shared" si="662"/>
        <v>0</v>
      </c>
      <c r="AI4303" s="47"/>
      <c r="AJ4303" s="126" t="e">
        <v>#N/A</v>
      </c>
      <c r="AK4303" s="80">
        <f t="shared" si="665"/>
        <v>0</v>
      </c>
      <c r="AM4303" s="85"/>
    </row>
    <row r="4304" spans="1:39" hidden="1" x14ac:dyDescent="0.3">
      <c r="A4304" s="89" t="s">
        <v>3394</v>
      </c>
      <c r="B4304" s="86" t="s">
        <v>35</v>
      </c>
      <c r="C4304" s="86" t="s">
        <v>47</v>
      </c>
      <c r="D4304" s="86" t="s">
        <v>63</v>
      </c>
      <c r="E4304" s="86" t="s">
        <v>1914</v>
      </c>
      <c r="F4304" s="86" t="s">
        <v>1914</v>
      </c>
      <c r="G4304" s="86" t="s">
        <v>1914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1914</v>
      </c>
      <c r="N4304" s="86"/>
      <c r="O4304" s="47" t="s">
        <v>410</v>
      </c>
      <c r="P4304" s="47" t="s">
        <v>46</v>
      </c>
      <c r="Q4304" s="14">
        <v>0.02</v>
      </c>
      <c r="R4304" s="143" t="s">
        <v>1915</v>
      </c>
      <c r="S4304" s="47"/>
      <c r="T4304" s="6">
        <v>-245.00000000000364</v>
      </c>
      <c r="U4304" s="6"/>
      <c r="V4304" s="6">
        <v>0</v>
      </c>
      <c r="W4304" s="6">
        <f t="shared" si="659"/>
        <v>-245.00000000000364</v>
      </c>
      <c r="X4304" s="6">
        <f t="shared" si="660"/>
        <v>0</v>
      </c>
      <c r="Y4304" s="13">
        <f t="shared" si="663"/>
        <v>0</v>
      </c>
      <c r="Z4304" s="14">
        <v>0</v>
      </c>
      <c r="AA4304" s="6">
        <v>0</v>
      </c>
      <c r="AB4304" s="4">
        <f t="shared" si="664"/>
        <v>0</v>
      </c>
      <c r="AC4304" s="4">
        <f t="shared" si="666"/>
        <v>0</v>
      </c>
      <c r="AD4304" s="6">
        <f t="shared" si="661"/>
        <v>0</v>
      </c>
      <c r="AE4304" s="2">
        <f>VLOOKUP(I4304,[1]媒体政策预估表!A:N,MATCH(O4304,[1]媒体政策预估表!$A$2:$M$2,0),0)</f>
        <v>7.0000000000000007E-2</v>
      </c>
      <c r="AF4304" s="6">
        <f t="shared" si="667"/>
        <v>0</v>
      </c>
      <c r="AG4304" s="14">
        <v>0</v>
      </c>
      <c r="AH4304" s="65">
        <f t="shared" si="662"/>
        <v>0</v>
      </c>
      <c r="AI4304" s="47"/>
      <c r="AJ4304" s="126" t="e">
        <v>#N/A</v>
      </c>
      <c r="AK4304" s="80">
        <f t="shared" si="665"/>
        <v>0</v>
      </c>
      <c r="AM4304" s="85"/>
    </row>
    <row r="4305" spans="1:39" hidden="1" x14ac:dyDescent="0.3">
      <c r="A4305" s="89" t="s">
        <v>3394</v>
      </c>
      <c r="B4305" s="86" t="s">
        <v>35</v>
      </c>
      <c r="C4305" s="86" t="s">
        <v>47</v>
      </c>
      <c r="D4305" s="86" t="s">
        <v>48</v>
      </c>
      <c r="E4305" s="86" t="s">
        <v>1916</v>
      </c>
      <c r="F4305" s="86" t="s">
        <v>1916</v>
      </c>
      <c r="G4305" s="86" t="s">
        <v>1916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1917</v>
      </c>
      <c r="N4305" s="86"/>
      <c r="O4305" s="47" t="s">
        <v>410</v>
      </c>
      <c r="P4305" s="47" t="s">
        <v>41</v>
      </c>
      <c r="Q4305" s="14">
        <v>0</v>
      </c>
      <c r="R4305" s="143" t="s">
        <v>1918</v>
      </c>
      <c r="S4305" s="47"/>
      <c r="T4305" s="6">
        <v>5.8789900001138449</v>
      </c>
      <c r="U4305" s="6"/>
      <c r="V4305" s="6">
        <v>0</v>
      </c>
      <c r="W4305" s="6">
        <f t="shared" si="659"/>
        <v>5.8789900001138449</v>
      </c>
      <c r="X4305" s="6">
        <f t="shared" si="660"/>
        <v>0</v>
      </c>
      <c r="Y4305" s="13">
        <f t="shared" si="663"/>
        <v>0</v>
      </c>
      <c r="Z4305" s="14">
        <v>0</v>
      </c>
      <c r="AA4305" s="6">
        <v>0</v>
      </c>
      <c r="AB4305" s="4">
        <f t="shared" si="664"/>
        <v>0</v>
      </c>
      <c r="AC4305" s="4">
        <f t="shared" si="666"/>
        <v>0</v>
      </c>
      <c r="AD4305" s="6">
        <f t="shared" si="661"/>
        <v>0</v>
      </c>
      <c r="AE4305" s="2">
        <f>VLOOKUP(I4305,[1]媒体政策预估表!A:N,MATCH(O4305,[1]媒体政策预估表!$A$2:$M$2,0),0)</f>
        <v>7.0000000000000007E-2</v>
      </c>
      <c r="AF4305" s="6">
        <f t="shared" si="667"/>
        <v>0</v>
      </c>
      <c r="AG4305" s="14">
        <v>0</v>
      </c>
      <c r="AH4305" s="65">
        <f t="shared" si="662"/>
        <v>0</v>
      </c>
      <c r="AI4305" s="47"/>
      <c r="AJ4305" s="126" t="e">
        <v>#N/A</v>
      </c>
      <c r="AK4305" s="80">
        <f t="shared" si="665"/>
        <v>0</v>
      </c>
      <c r="AM4305" s="85"/>
    </row>
    <row r="4306" spans="1:39" hidden="1" x14ac:dyDescent="0.3">
      <c r="A4306" s="89" t="s">
        <v>3394</v>
      </c>
      <c r="B4306" s="86" t="s">
        <v>35</v>
      </c>
      <c r="C4306" s="86" t="s">
        <v>47</v>
      </c>
      <c r="D4306" s="86" t="s">
        <v>48</v>
      </c>
      <c r="E4306" s="86" t="s">
        <v>542</v>
      </c>
      <c r="F4306" s="86" t="s">
        <v>543</v>
      </c>
      <c r="G4306" s="86" t="s">
        <v>542</v>
      </c>
      <c r="H4306" s="143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542</v>
      </c>
      <c r="N4306" s="86"/>
      <c r="O4306" s="47" t="s">
        <v>410</v>
      </c>
      <c r="P4306" s="47" t="s">
        <v>41</v>
      </c>
      <c r="Q4306" s="14">
        <v>0</v>
      </c>
      <c r="R4306" s="143" t="s">
        <v>1919</v>
      </c>
      <c r="S4306" s="47"/>
      <c r="T4306" s="6">
        <v>35.500050000031479</v>
      </c>
      <c r="U4306" s="6"/>
      <c r="V4306" s="6">
        <v>0</v>
      </c>
      <c r="W4306" s="6">
        <f t="shared" si="659"/>
        <v>35.500050000031479</v>
      </c>
      <c r="X4306" s="6">
        <f t="shared" si="660"/>
        <v>0</v>
      </c>
      <c r="Y4306" s="13">
        <f t="shared" si="663"/>
        <v>0</v>
      </c>
      <c r="Z4306" s="14">
        <v>0</v>
      </c>
      <c r="AA4306" s="6">
        <v>0</v>
      </c>
      <c r="AB4306" s="4">
        <f t="shared" si="664"/>
        <v>0</v>
      </c>
      <c r="AC4306" s="4">
        <f t="shared" si="666"/>
        <v>0</v>
      </c>
      <c r="AD4306" s="6">
        <f t="shared" si="661"/>
        <v>0</v>
      </c>
      <c r="AE4306" s="2">
        <f>VLOOKUP(I4306,[1]媒体政策预估表!A:N,MATCH(O4306,[1]媒体政策预估表!$A$2:$M$2,0),0)</f>
        <v>7.0000000000000007E-2</v>
      </c>
      <c r="AF4306" s="6">
        <f t="shared" si="667"/>
        <v>0</v>
      </c>
      <c r="AG4306" s="14">
        <v>0</v>
      </c>
      <c r="AH4306" s="65">
        <f t="shared" si="662"/>
        <v>0</v>
      </c>
      <c r="AI4306" s="47"/>
      <c r="AJ4306" s="126" t="e">
        <v>#N/A</v>
      </c>
      <c r="AK4306" s="80">
        <f t="shared" si="665"/>
        <v>0</v>
      </c>
      <c r="AM4306" s="85"/>
    </row>
    <row r="4307" spans="1:39" hidden="1" x14ac:dyDescent="0.3">
      <c r="A4307" s="89" t="s">
        <v>3394</v>
      </c>
      <c r="B4307" s="86" t="s">
        <v>35</v>
      </c>
      <c r="C4307" s="86" t="s">
        <v>47</v>
      </c>
      <c r="D4307" s="86" t="s">
        <v>48</v>
      </c>
      <c r="E4307" s="86" t="s">
        <v>550</v>
      </c>
      <c r="F4307" s="86" t="s">
        <v>551</v>
      </c>
      <c r="G4307" s="86" t="s">
        <v>550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550</v>
      </c>
      <c r="N4307" s="86"/>
      <c r="O4307" s="47" t="s">
        <v>410</v>
      </c>
      <c r="P4307" s="47" t="s">
        <v>41</v>
      </c>
      <c r="Q4307" s="14">
        <v>0</v>
      </c>
      <c r="R4307" s="143" t="s">
        <v>1920</v>
      </c>
      <c r="S4307" s="47"/>
      <c r="T4307" s="6">
        <v>190585.96999999997</v>
      </c>
      <c r="U4307" s="6"/>
      <c r="V4307" s="6">
        <v>0</v>
      </c>
      <c r="W4307" s="6">
        <f t="shared" si="659"/>
        <v>190585.96999999997</v>
      </c>
      <c r="X4307" s="6">
        <f t="shared" si="660"/>
        <v>0</v>
      </c>
      <c r="Y4307" s="13">
        <f t="shared" si="663"/>
        <v>0</v>
      </c>
      <c r="Z4307" s="14">
        <v>0</v>
      </c>
      <c r="AA4307" s="6">
        <v>0</v>
      </c>
      <c r="AB4307" s="4">
        <f t="shared" si="664"/>
        <v>0</v>
      </c>
      <c r="AC4307" s="4">
        <f t="shared" si="666"/>
        <v>0</v>
      </c>
      <c r="AD4307" s="6">
        <f t="shared" si="661"/>
        <v>0</v>
      </c>
      <c r="AE4307" s="2">
        <f>VLOOKUP(I4307,[1]媒体政策预估表!A:N,MATCH(O4307,[1]媒体政策预估表!$A$2:$M$2,0),0)</f>
        <v>7.0000000000000007E-2</v>
      </c>
      <c r="AF4307" s="6">
        <f t="shared" si="667"/>
        <v>0</v>
      </c>
      <c r="AG4307" s="14">
        <v>0</v>
      </c>
      <c r="AH4307" s="65">
        <f t="shared" si="662"/>
        <v>0</v>
      </c>
      <c r="AI4307" s="47"/>
      <c r="AJ4307" s="126" t="e">
        <v>#N/A</v>
      </c>
      <c r="AK4307" s="80">
        <f t="shared" si="665"/>
        <v>0</v>
      </c>
      <c r="AM4307" s="85"/>
    </row>
    <row r="4308" spans="1:39" hidden="1" x14ac:dyDescent="0.3">
      <c r="A4308" s="89" t="s">
        <v>3395</v>
      </c>
      <c r="B4308" s="86" t="s">
        <v>35</v>
      </c>
      <c r="C4308" s="86" t="s">
        <v>47</v>
      </c>
      <c r="D4308" s="86" t="s">
        <v>48</v>
      </c>
      <c r="E4308" s="86" t="s">
        <v>1921</v>
      </c>
      <c r="F4308" s="86" t="s">
        <v>1921</v>
      </c>
      <c r="G4308" s="86" t="s">
        <v>1921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1921</v>
      </c>
      <c r="N4308" s="86"/>
      <c r="O4308" s="47" t="s">
        <v>410</v>
      </c>
      <c r="P4308" s="47" t="s">
        <v>41</v>
      </c>
      <c r="Q4308" s="14">
        <v>0</v>
      </c>
      <c r="R4308" s="143" t="s">
        <v>1922</v>
      </c>
      <c r="S4308" s="47"/>
      <c r="T4308" s="6">
        <v>478.91000000000031</v>
      </c>
      <c r="U4308" s="6"/>
      <c r="V4308" s="6">
        <v>0</v>
      </c>
      <c r="W4308" s="6">
        <f t="shared" si="659"/>
        <v>478.91000000000031</v>
      </c>
      <c r="X4308" s="6">
        <f t="shared" si="660"/>
        <v>0</v>
      </c>
      <c r="Y4308" s="13">
        <f t="shared" si="663"/>
        <v>0</v>
      </c>
      <c r="Z4308" s="14">
        <v>0</v>
      </c>
      <c r="AA4308" s="6">
        <v>0</v>
      </c>
      <c r="AB4308" s="4">
        <f t="shared" si="664"/>
        <v>0</v>
      </c>
      <c r="AC4308" s="4">
        <f t="shared" si="666"/>
        <v>0</v>
      </c>
      <c r="AD4308" s="6">
        <f t="shared" si="661"/>
        <v>0</v>
      </c>
      <c r="AE4308" s="2">
        <f>VLOOKUP(I4308,[1]媒体政策预估表!A:N,MATCH(O4308,[1]媒体政策预估表!$A$2:$M$2,0),0)</f>
        <v>7.0000000000000007E-2</v>
      </c>
      <c r="AF4308" s="6">
        <f t="shared" si="667"/>
        <v>0</v>
      </c>
      <c r="AG4308" s="14">
        <v>0</v>
      </c>
      <c r="AH4308" s="65">
        <f t="shared" si="662"/>
        <v>0</v>
      </c>
      <c r="AI4308" s="47"/>
      <c r="AJ4308" s="126" t="e">
        <v>#N/A</v>
      </c>
      <c r="AK4308" s="80">
        <f t="shared" si="665"/>
        <v>0</v>
      </c>
      <c r="AM4308" s="85"/>
    </row>
    <row r="4309" spans="1:39" hidden="1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805</v>
      </c>
      <c r="F4309" s="86" t="s">
        <v>805</v>
      </c>
      <c r="G4309" s="86" t="s">
        <v>805</v>
      </c>
      <c r="H4309" s="144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805</v>
      </c>
      <c r="N4309" s="86"/>
      <c r="O4309" s="47" t="s">
        <v>410</v>
      </c>
      <c r="P4309" s="47" t="s">
        <v>46</v>
      </c>
      <c r="Q4309" s="14">
        <v>0.04</v>
      </c>
      <c r="R4309" s="143" t="s">
        <v>1401</v>
      </c>
      <c r="S4309" s="47"/>
      <c r="T4309" s="6">
        <v>30973.730000000098</v>
      </c>
      <c r="U4309" s="6"/>
      <c r="V4309" s="6">
        <v>16444.599999999999</v>
      </c>
      <c r="W4309" s="6">
        <f t="shared" si="659"/>
        <v>14529.130000000099</v>
      </c>
      <c r="X4309" s="6">
        <f t="shared" si="660"/>
        <v>15812.115384615383</v>
      </c>
      <c r="Y4309" s="13">
        <f t="shared" si="663"/>
        <v>0</v>
      </c>
      <c r="Z4309" s="14">
        <v>0</v>
      </c>
      <c r="AA4309" s="6">
        <v>0</v>
      </c>
      <c r="AB4309" s="4">
        <f t="shared" si="664"/>
        <v>15812.115384615383</v>
      </c>
      <c r="AC4309" s="4">
        <f t="shared" si="666"/>
        <v>632.48461538461561</v>
      </c>
      <c r="AD4309" s="6">
        <f t="shared" si="661"/>
        <v>16444.599999999999</v>
      </c>
      <c r="AE4309" s="2">
        <f>VLOOKUP(I4309,[1]媒体政策预估表!A:N,MATCH(O4309,[1]媒体政策预估表!$A$2:$M$2,0),0)</f>
        <v>7.0000000000000007E-2</v>
      </c>
      <c r="AF4309" s="6">
        <f t="shared" si="667"/>
        <v>1151.1220000000001</v>
      </c>
      <c r="AG4309" s="14">
        <v>0</v>
      </c>
      <c r="AH4309" s="65">
        <f t="shared" si="662"/>
        <v>16444.599999999999</v>
      </c>
      <c r="AI4309" s="47"/>
      <c r="AJ4309" s="126" t="e">
        <v>#N/A</v>
      </c>
      <c r="AK4309" s="80">
        <f t="shared" si="665"/>
        <v>0</v>
      </c>
      <c r="AM4309" s="85"/>
    </row>
    <row r="4310" spans="1:39" hidden="1" x14ac:dyDescent="0.3">
      <c r="A4310" s="89" t="s">
        <v>3394</v>
      </c>
      <c r="B4310" s="86" t="s">
        <v>35</v>
      </c>
      <c r="C4310" s="86" t="s">
        <v>144</v>
      </c>
      <c r="D4310" s="86" t="s">
        <v>145</v>
      </c>
      <c r="E4310" s="86" t="s">
        <v>1416</v>
      </c>
      <c r="F4310" s="86" t="s">
        <v>1416</v>
      </c>
      <c r="G4310" s="86" t="s">
        <v>1416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1417</v>
      </c>
      <c r="N4310" s="86"/>
      <c r="O4310" s="47" t="s">
        <v>45</v>
      </c>
      <c r="P4310" s="47" t="s">
        <v>46</v>
      </c>
      <c r="Q4310" s="14">
        <v>0.02</v>
      </c>
      <c r="R4310" s="143" t="s">
        <v>1924</v>
      </c>
      <c r="S4310" s="47"/>
      <c r="T4310" s="6">
        <v>21905.768390000001</v>
      </c>
      <c r="U4310" s="6"/>
      <c r="V4310" s="6">
        <v>0</v>
      </c>
      <c r="W4310" s="6">
        <f t="shared" si="659"/>
        <v>21905.768390000001</v>
      </c>
      <c r="X4310" s="6">
        <f t="shared" si="660"/>
        <v>0</v>
      </c>
      <c r="Y4310" s="13">
        <f t="shared" si="663"/>
        <v>0</v>
      </c>
      <c r="Z4310" s="14">
        <v>0</v>
      </c>
      <c r="AA4310" s="6">
        <v>0</v>
      </c>
      <c r="AB4310" s="4">
        <f t="shared" si="664"/>
        <v>0</v>
      </c>
      <c r="AC4310" s="4">
        <f t="shared" si="666"/>
        <v>0</v>
      </c>
      <c r="AD4310" s="6">
        <f t="shared" si="661"/>
        <v>0</v>
      </c>
      <c r="AE4310" s="2">
        <f>VLOOKUP(I4310,[1]媒体政策预估表!A:N,MATCH(O4310,[1]媒体政策预估表!$A$2:$M$2,0),0)</f>
        <v>0.12</v>
      </c>
      <c r="AF4310" s="6">
        <f t="shared" si="667"/>
        <v>0</v>
      </c>
      <c r="AG4310" s="14">
        <v>0</v>
      </c>
      <c r="AH4310" s="65">
        <f t="shared" si="662"/>
        <v>0</v>
      </c>
      <c r="AI4310" s="47"/>
      <c r="AJ4310" s="126" t="e">
        <v>#N/A</v>
      </c>
      <c r="AK4310" s="80">
        <f t="shared" si="665"/>
        <v>0</v>
      </c>
      <c r="AM4310" s="85"/>
    </row>
    <row r="4311" spans="1:39" hidden="1" x14ac:dyDescent="0.3">
      <c r="A4311" s="89" t="s">
        <v>3394</v>
      </c>
      <c r="B4311" s="86" t="s">
        <v>35</v>
      </c>
      <c r="C4311" s="86" t="s">
        <v>144</v>
      </c>
      <c r="D4311" s="86" t="s">
        <v>145</v>
      </c>
      <c r="E4311" s="86" t="s">
        <v>1925</v>
      </c>
      <c r="F4311" s="86" t="s">
        <v>1925</v>
      </c>
      <c r="G4311" s="86" t="s">
        <v>1925</v>
      </c>
      <c r="H4311" s="143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1925</v>
      </c>
      <c r="N4311" s="86"/>
      <c r="O4311" s="47" t="s">
        <v>410</v>
      </c>
      <c r="P4311" s="47" t="s">
        <v>46</v>
      </c>
      <c r="Q4311" s="14">
        <v>0.02</v>
      </c>
      <c r="R4311" s="143" t="s">
        <v>1926</v>
      </c>
      <c r="S4311" s="47"/>
      <c r="T4311" s="6">
        <v>-5.5000000007566996E-2</v>
      </c>
      <c r="U4311" s="6"/>
      <c r="V4311" s="6">
        <v>0</v>
      </c>
      <c r="W4311" s="6">
        <f t="shared" si="659"/>
        <v>-5.5000000007566996E-2</v>
      </c>
      <c r="X4311" s="6">
        <f t="shared" si="660"/>
        <v>0</v>
      </c>
      <c r="Y4311" s="13">
        <f t="shared" si="663"/>
        <v>0</v>
      </c>
      <c r="Z4311" s="14">
        <v>0</v>
      </c>
      <c r="AA4311" s="6">
        <v>0</v>
      </c>
      <c r="AB4311" s="4">
        <f t="shared" si="664"/>
        <v>0</v>
      </c>
      <c r="AC4311" s="4">
        <f t="shared" si="666"/>
        <v>0</v>
      </c>
      <c r="AD4311" s="6">
        <f t="shared" si="661"/>
        <v>0</v>
      </c>
      <c r="AE4311" s="2">
        <f>VLOOKUP(I4311,[1]媒体政策预估表!A:N,MATCH(O4311,[1]媒体政策预估表!$A$2:$M$2,0),0)</f>
        <v>7.0000000000000007E-2</v>
      </c>
      <c r="AF4311" s="6">
        <f t="shared" si="667"/>
        <v>0</v>
      </c>
      <c r="AG4311" s="14">
        <v>0</v>
      </c>
      <c r="AH4311" s="65">
        <f t="shared" si="662"/>
        <v>0</v>
      </c>
      <c r="AI4311" s="47"/>
      <c r="AJ4311" s="126" t="e">
        <v>#N/A</v>
      </c>
      <c r="AK4311" s="80">
        <f t="shared" si="665"/>
        <v>0</v>
      </c>
      <c r="AM4311" s="85"/>
    </row>
    <row r="4312" spans="1:39" hidden="1" x14ac:dyDescent="0.3">
      <c r="A4312" s="89" t="s">
        <v>3394</v>
      </c>
      <c r="B4312" s="86" t="s">
        <v>35</v>
      </c>
      <c r="C4312" s="86" t="s">
        <v>144</v>
      </c>
      <c r="D4312" s="86" t="s">
        <v>152</v>
      </c>
      <c r="E4312" s="86" t="s">
        <v>159</v>
      </c>
      <c r="F4312" s="86" t="s">
        <v>159</v>
      </c>
      <c r="G4312" s="86" t="s">
        <v>159</v>
      </c>
      <c r="H4312" s="143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1927</v>
      </c>
      <c r="N4312" s="86"/>
      <c r="O4312" s="47" t="s">
        <v>410</v>
      </c>
      <c r="P4312" s="47" t="s">
        <v>41</v>
      </c>
      <c r="Q4312" s="14">
        <v>0</v>
      </c>
      <c r="R4312" s="143" t="s">
        <v>1928</v>
      </c>
      <c r="S4312" s="47"/>
      <c r="T4312" s="6">
        <v>-36.899999999906868</v>
      </c>
      <c r="U4312" s="6"/>
      <c r="V4312" s="6">
        <v>0</v>
      </c>
      <c r="W4312" s="6">
        <f t="shared" si="659"/>
        <v>-36.899999999906868</v>
      </c>
      <c r="X4312" s="6">
        <f t="shared" si="660"/>
        <v>0</v>
      </c>
      <c r="Y4312" s="13">
        <f t="shared" si="663"/>
        <v>0</v>
      </c>
      <c r="Z4312" s="14">
        <v>0</v>
      </c>
      <c r="AA4312" s="6">
        <v>0</v>
      </c>
      <c r="AB4312" s="4">
        <f t="shared" si="664"/>
        <v>0</v>
      </c>
      <c r="AC4312" s="4">
        <f t="shared" si="666"/>
        <v>0</v>
      </c>
      <c r="AD4312" s="6">
        <f t="shared" si="661"/>
        <v>0</v>
      </c>
      <c r="AE4312" s="2">
        <f>VLOOKUP(I4312,[1]媒体政策预估表!A:N,MATCH(O4312,[1]媒体政策预估表!$A$2:$M$2,0),0)</f>
        <v>7.0000000000000007E-2</v>
      </c>
      <c r="AF4312" s="6">
        <f t="shared" si="667"/>
        <v>0</v>
      </c>
      <c r="AG4312" s="14">
        <v>0</v>
      </c>
      <c r="AH4312" s="65">
        <f t="shared" si="662"/>
        <v>0</v>
      </c>
      <c r="AI4312" s="47"/>
      <c r="AJ4312" s="126" t="e">
        <v>#N/A</v>
      </c>
      <c r="AK4312" s="80">
        <f t="shared" si="665"/>
        <v>0</v>
      </c>
      <c r="AM4312" s="85"/>
    </row>
    <row r="4313" spans="1:39" hidden="1" x14ac:dyDescent="0.3">
      <c r="A4313" s="89" t="s">
        <v>3395</v>
      </c>
      <c r="B4313" s="86" t="s">
        <v>35</v>
      </c>
      <c r="C4313" s="86" t="s">
        <v>144</v>
      </c>
      <c r="D4313" s="86" t="s">
        <v>152</v>
      </c>
      <c r="E4313" s="86" t="s">
        <v>159</v>
      </c>
      <c r="F4313" s="86" t="s">
        <v>159</v>
      </c>
      <c r="G4313" s="86" t="s">
        <v>159</v>
      </c>
      <c r="H4313" s="143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159</v>
      </c>
      <c r="N4313" s="86"/>
      <c r="O4313" s="47" t="s">
        <v>410</v>
      </c>
      <c r="P4313" s="47" t="s">
        <v>41</v>
      </c>
      <c r="Q4313" s="14">
        <v>0</v>
      </c>
      <c r="R4313" s="143" t="s">
        <v>1929</v>
      </c>
      <c r="S4313" s="47" t="s">
        <v>3573</v>
      </c>
      <c r="T4313" s="6">
        <v>-5305.5648600004661</v>
      </c>
      <c r="U4313" s="6">
        <v>4833.33</v>
      </c>
      <c r="V4313" s="6">
        <v>0</v>
      </c>
      <c r="W4313" s="6">
        <f t="shared" si="659"/>
        <v>-472.23486000046614</v>
      </c>
      <c r="X4313" s="6">
        <f t="shared" si="660"/>
        <v>0</v>
      </c>
      <c r="Y4313" s="13">
        <f t="shared" si="663"/>
        <v>0</v>
      </c>
      <c r="Z4313" s="14">
        <v>0</v>
      </c>
      <c r="AA4313" s="6">
        <v>0</v>
      </c>
      <c r="AB4313" s="4">
        <f t="shared" si="664"/>
        <v>0</v>
      </c>
      <c r="AC4313" s="4">
        <f t="shared" si="666"/>
        <v>0</v>
      </c>
      <c r="AD4313" s="6">
        <f t="shared" si="661"/>
        <v>0</v>
      </c>
      <c r="AE4313" s="2">
        <f>VLOOKUP(I4313,[1]媒体政策预估表!A:N,MATCH(O4313,[1]媒体政策预估表!$A$2:$M$2,0),0)</f>
        <v>7.0000000000000007E-2</v>
      </c>
      <c r="AF4313" s="6">
        <f t="shared" si="667"/>
        <v>0</v>
      </c>
      <c r="AG4313" s="14">
        <v>0</v>
      </c>
      <c r="AH4313" s="65">
        <f t="shared" si="662"/>
        <v>0</v>
      </c>
      <c r="AI4313" s="47"/>
      <c r="AJ4313" s="126" t="e">
        <v>#N/A</v>
      </c>
      <c r="AK4313" s="80">
        <f t="shared" si="665"/>
        <v>0</v>
      </c>
      <c r="AM4313" s="85"/>
    </row>
    <row r="4314" spans="1:39" hidden="1" x14ac:dyDescent="0.3">
      <c r="A4314" s="89" t="s">
        <v>3394</v>
      </c>
      <c r="B4314" s="86" t="s">
        <v>35</v>
      </c>
      <c r="C4314" s="86" t="s">
        <v>144</v>
      </c>
      <c r="D4314" s="86" t="s">
        <v>152</v>
      </c>
      <c r="E4314" s="86" t="s">
        <v>1931</v>
      </c>
      <c r="F4314" s="86" t="s">
        <v>1931</v>
      </c>
      <c r="G4314" s="86" t="s">
        <v>1931</v>
      </c>
      <c r="H4314" s="143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1931</v>
      </c>
      <c r="N4314" s="86"/>
      <c r="O4314" s="47" t="s">
        <v>410</v>
      </c>
      <c r="P4314" s="47" t="s">
        <v>46</v>
      </c>
      <c r="Q4314" s="14">
        <v>0.02</v>
      </c>
      <c r="R4314" s="143" t="s">
        <v>1932</v>
      </c>
      <c r="S4314" s="47"/>
      <c r="T4314" s="6">
        <v>-2.1000000000009891</v>
      </c>
      <c r="U4314" s="6"/>
      <c r="V4314" s="6">
        <v>0</v>
      </c>
      <c r="W4314" s="6">
        <f t="shared" si="659"/>
        <v>-2.1000000000009891</v>
      </c>
      <c r="X4314" s="6">
        <f t="shared" si="660"/>
        <v>0</v>
      </c>
      <c r="Y4314" s="13">
        <f t="shared" si="663"/>
        <v>0</v>
      </c>
      <c r="Z4314" s="14">
        <v>0</v>
      </c>
      <c r="AA4314" s="6">
        <v>0</v>
      </c>
      <c r="AB4314" s="4">
        <f t="shared" si="664"/>
        <v>0</v>
      </c>
      <c r="AC4314" s="4">
        <f t="shared" si="666"/>
        <v>0</v>
      </c>
      <c r="AD4314" s="6">
        <f t="shared" si="661"/>
        <v>0</v>
      </c>
      <c r="AE4314" s="2">
        <f>VLOOKUP(I4314,[1]媒体政策预估表!A:N,MATCH(O4314,[1]媒体政策预估表!$A$2:$M$2,0),0)</f>
        <v>7.0000000000000007E-2</v>
      </c>
      <c r="AF4314" s="6">
        <f t="shared" si="667"/>
        <v>0</v>
      </c>
      <c r="AG4314" s="14">
        <v>0</v>
      </c>
      <c r="AH4314" s="65">
        <f t="shared" si="662"/>
        <v>0</v>
      </c>
      <c r="AI4314" s="47"/>
      <c r="AJ4314" s="126" t="e">
        <v>#N/A</v>
      </c>
      <c r="AK4314" s="80">
        <f t="shared" si="665"/>
        <v>0</v>
      </c>
      <c r="AM4314" s="85"/>
    </row>
    <row r="4315" spans="1:39" hidden="1" x14ac:dyDescent="0.3">
      <c r="A4315" s="89" t="s">
        <v>3394</v>
      </c>
      <c r="B4315" s="86" t="s">
        <v>35</v>
      </c>
      <c r="C4315" s="86" t="s">
        <v>144</v>
      </c>
      <c r="D4315" s="86" t="s">
        <v>161</v>
      </c>
      <c r="E4315" s="86" t="s">
        <v>1933</v>
      </c>
      <c r="F4315" s="86" t="s">
        <v>1933</v>
      </c>
      <c r="G4315" s="86" t="s">
        <v>1933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1933</v>
      </c>
      <c r="N4315" s="86"/>
      <c r="O4315" s="47" t="s">
        <v>410</v>
      </c>
      <c r="P4315" s="47" t="s">
        <v>41</v>
      </c>
      <c r="Q4315" s="14">
        <v>0</v>
      </c>
      <c r="R4315" s="143" t="s">
        <v>1934</v>
      </c>
      <c r="S4315" s="47"/>
      <c r="T4315" s="6">
        <v>32530.899999999994</v>
      </c>
      <c r="U4315" s="6"/>
      <c r="V4315" s="6">
        <v>32530.899999999994</v>
      </c>
      <c r="W4315" s="6">
        <f t="shared" si="659"/>
        <v>0</v>
      </c>
      <c r="X4315" s="6">
        <f t="shared" si="660"/>
        <v>32530.899999999994</v>
      </c>
      <c r="Y4315" s="13">
        <f t="shared" si="663"/>
        <v>0</v>
      </c>
      <c r="Z4315" s="14">
        <v>0</v>
      </c>
      <c r="AA4315" s="6">
        <v>0</v>
      </c>
      <c r="AB4315" s="4">
        <f t="shared" si="664"/>
        <v>32530.899999999994</v>
      </c>
      <c r="AC4315" s="4">
        <f t="shared" si="666"/>
        <v>0</v>
      </c>
      <c r="AD4315" s="6">
        <f t="shared" si="661"/>
        <v>32530.899999999994</v>
      </c>
      <c r="AE4315" s="2">
        <f>VLOOKUP(I4315,[1]媒体政策预估表!A:N,MATCH(O4315,[1]媒体政策预估表!$A$2:$M$2,0),0)</f>
        <v>7.0000000000000007E-2</v>
      </c>
      <c r="AF4315" s="6">
        <f t="shared" si="667"/>
        <v>2277.163</v>
      </c>
      <c r="AG4315" s="14">
        <v>0</v>
      </c>
      <c r="AH4315" s="65">
        <f t="shared" si="662"/>
        <v>32530.899999999994</v>
      </c>
      <c r="AI4315" s="47"/>
      <c r="AJ4315" s="126" t="e">
        <v>#N/A</v>
      </c>
      <c r="AK4315" s="80">
        <f t="shared" si="665"/>
        <v>0</v>
      </c>
      <c r="AM4315" s="85"/>
    </row>
    <row r="4316" spans="1:39" hidden="1" x14ac:dyDescent="0.3">
      <c r="A4316" s="89" t="s">
        <v>3394</v>
      </c>
      <c r="B4316" s="86" t="s">
        <v>35</v>
      </c>
      <c r="C4316" s="86" t="s">
        <v>144</v>
      </c>
      <c r="D4316" s="86" t="s">
        <v>161</v>
      </c>
      <c r="E4316" s="86" t="s">
        <v>1935</v>
      </c>
      <c r="F4316" s="86" t="s">
        <v>1935</v>
      </c>
      <c r="G4316" s="86" t="s">
        <v>1935</v>
      </c>
      <c r="H4316" s="143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1935</v>
      </c>
      <c r="N4316" s="86"/>
      <c r="O4316" s="47" t="s">
        <v>410</v>
      </c>
      <c r="P4316" s="47" t="s">
        <v>41</v>
      </c>
      <c r="Q4316" s="14">
        <v>0</v>
      </c>
      <c r="R4316" s="143" t="s">
        <v>1936</v>
      </c>
      <c r="S4316" s="47"/>
      <c r="T4316" s="6">
        <v>-2.5985699997283405</v>
      </c>
      <c r="U4316" s="6"/>
      <c r="V4316" s="6">
        <v>0</v>
      </c>
      <c r="W4316" s="6">
        <f t="shared" si="659"/>
        <v>-2.5985699997283405</v>
      </c>
      <c r="X4316" s="6">
        <f t="shared" si="660"/>
        <v>0</v>
      </c>
      <c r="Y4316" s="13">
        <f t="shared" si="663"/>
        <v>0</v>
      </c>
      <c r="Z4316" s="14">
        <v>0</v>
      </c>
      <c r="AA4316" s="6">
        <v>0</v>
      </c>
      <c r="AB4316" s="4">
        <f t="shared" si="664"/>
        <v>0</v>
      </c>
      <c r="AC4316" s="4">
        <f t="shared" si="666"/>
        <v>0</v>
      </c>
      <c r="AD4316" s="6">
        <f t="shared" si="661"/>
        <v>0</v>
      </c>
      <c r="AE4316" s="2">
        <f>VLOOKUP(I4316,[1]媒体政策预估表!A:N,MATCH(O4316,[1]媒体政策预估表!$A$2:$M$2,0),0)</f>
        <v>7.0000000000000007E-2</v>
      </c>
      <c r="AF4316" s="6">
        <f t="shared" si="667"/>
        <v>0</v>
      </c>
      <c r="AG4316" s="14">
        <v>0</v>
      </c>
      <c r="AH4316" s="65">
        <f t="shared" si="662"/>
        <v>0</v>
      </c>
      <c r="AI4316" s="47"/>
      <c r="AJ4316" s="126" t="e">
        <v>#N/A</v>
      </c>
      <c r="AK4316" s="80">
        <f t="shared" si="665"/>
        <v>0</v>
      </c>
      <c r="AM4316" s="85"/>
    </row>
    <row r="4317" spans="1:39" hidden="1" x14ac:dyDescent="0.3">
      <c r="A4317" s="89" t="s">
        <v>3394</v>
      </c>
      <c r="B4317" s="86" t="s">
        <v>35</v>
      </c>
      <c r="C4317" s="86" t="s">
        <v>144</v>
      </c>
      <c r="D4317" s="86" t="s">
        <v>161</v>
      </c>
      <c r="E4317" s="86" t="s">
        <v>1937</v>
      </c>
      <c r="F4317" s="86" t="s">
        <v>1937</v>
      </c>
      <c r="G4317" s="86" t="s">
        <v>1937</v>
      </c>
      <c r="H4317" s="143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1938</v>
      </c>
      <c r="N4317" s="86"/>
      <c r="O4317" s="47" t="s">
        <v>410</v>
      </c>
      <c r="P4317" s="47" t="s">
        <v>46</v>
      </c>
      <c r="Q4317" s="14">
        <v>0.03</v>
      </c>
      <c r="R4317" s="143" t="s">
        <v>1939</v>
      </c>
      <c r="S4317" s="47"/>
      <c r="T4317" s="6">
        <v>-1.2099999999991269</v>
      </c>
      <c r="U4317" s="6"/>
      <c r="V4317" s="6">
        <v>0</v>
      </c>
      <c r="W4317" s="6">
        <f t="shared" si="659"/>
        <v>-1.2099999999991269</v>
      </c>
      <c r="X4317" s="6">
        <f t="shared" si="660"/>
        <v>0</v>
      </c>
      <c r="Y4317" s="13">
        <f t="shared" si="663"/>
        <v>0</v>
      </c>
      <c r="Z4317" s="14">
        <v>0</v>
      </c>
      <c r="AA4317" s="6">
        <v>0</v>
      </c>
      <c r="AB4317" s="4">
        <f t="shared" si="664"/>
        <v>0</v>
      </c>
      <c r="AC4317" s="4">
        <f t="shared" si="666"/>
        <v>0</v>
      </c>
      <c r="AD4317" s="6">
        <f t="shared" si="661"/>
        <v>0</v>
      </c>
      <c r="AE4317" s="2">
        <f>VLOOKUP(I4317,[1]媒体政策预估表!A:N,MATCH(O4317,[1]媒体政策预估表!$A$2:$M$2,0),0)</f>
        <v>7.0000000000000007E-2</v>
      </c>
      <c r="AF4317" s="6">
        <f t="shared" si="667"/>
        <v>0</v>
      </c>
      <c r="AG4317" s="14">
        <v>0</v>
      </c>
      <c r="AH4317" s="65">
        <f t="shared" si="662"/>
        <v>0</v>
      </c>
      <c r="AI4317" s="47"/>
      <c r="AJ4317" s="126" t="e">
        <v>#N/A</v>
      </c>
      <c r="AK4317" s="80">
        <f t="shared" si="665"/>
        <v>0</v>
      </c>
      <c r="AM4317" s="85"/>
    </row>
    <row r="4318" spans="1:39" hidden="1" x14ac:dyDescent="0.3">
      <c r="A4318" s="89" t="s">
        <v>3394</v>
      </c>
      <c r="B4318" s="86" t="s">
        <v>35</v>
      </c>
      <c r="C4318" s="86" t="s">
        <v>144</v>
      </c>
      <c r="D4318" s="86" t="s">
        <v>161</v>
      </c>
      <c r="E4318" s="86" t="s">
        <v>1937</v>
      </c>
      <c r="F4318" s="86" t="s">
        <v>1937</v>
      </c>
      <c r="G4318" s="86" t="s">
        <v>1937</v>
      </c>
      <c r="H4318" s="143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1940</v>
      </c>
      <c r="N4318" s="86"/>
      <c r="O4318" s="47" t="s">
        <v>410</v>
      </c>
      <c r="P4318" s="47" t="s">
        <v>46</v>
      </c>
      <c r="Q4318" s="14">
        <v>0.03</v>
      </c>
      <c r="R4318" s="143" t="s">
        <v>1941</v>
      </c>
      <c r="S4318" s="47"/>
      <c r="T4318" s="6">
        <v>-0.8000000000174623</v>
      </c>
      <c r="U4318" s="6"/>
      <c r="V4318" s="6">
        <v>0</v>
      </c>
      <c r="W4318" s="6">
        <f t="shared" si="659"/>
        <v>-0.8000000000174623</v>
      </c>
      <c r="X4318" s="6">
        <f t="shared" si="660"/>
        <v>0</v>
      </c>
      <c r="Y4318" s="13">
        <f t="shared" si="663"/>
        <v>0</v>
      </c>
      <c r="Z4318" s="14">
        <v>0</v>
      </c>
      <c r="AA4318" s="6">
        <v>0</v>
      </c>
      <c r="AB4318" s="4">
        <f t="shared" si="664"/>
        <v>0</v>
      </c>
      <c r="AC4318" s="4">
        <f t="shared" si="666"/>
        <v>0</v>
      </c>
      <c r="AD4318" s="6">
        <f t="shared" si="661"/>
        <v>0</v>
      </c>
      <c r="AE4318" s="2">
        <f>VLOOKUP(I4318,[1]媒体政策预估表!A:N,MATCH(O4318,[1]媒体政策预估表!$A$2:$M$2,0),0)</f>
        <v>7.0000000000000007E-2</v>
      </c>
      <c r="AF4318" s="6">
        <f t="shared" si="667"/>
        <v>0</v>
      </c>
      <c r="AG4318" s="14">
        <v>0</v>
      </c>
      <c r="AH4318" s="65">
        <f t="shared" si="662"/>
        <v>0</v>
      </c>
      <c r="AI4318" s="47"/>
      <c r="AJ4318" s="126" t="e">
        <v>#N/A</v>
      </c>
      <c r="AK4318" s="80">
        <f t="shared" si="665"/>
        <v>0</v>
      </c>
      <c r="AM4318" s="85"/>
    </row>
    <row r="4319" spans="1:39" hidden="1" x14ac:dyDescent="0.3">
      <c r="A4319" s="89" t="s">
        <v>3394</v>
      </c>
      <c r="B4319" s="86" t="s">
        <v>35</v>
      </c>
      <c r="C4319" s="86" t="s">
        <v>144</v>
      </c>
      <c r="D4319" s="86" t="s">
        <v>161</v>
      </c>
      <c r="E4319" s="86" t="s">
        <v>1937</v>
      </c>
      <c r="F4319" s="86" t="s">
        <v>1937</v>
      </c>
      <c r="G4319" s="86" t="s">
        <v>1937</v>
      </c>
      <c r="H4319" s="143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1937</v>
      </c>
      <c r="N4319" s="86"/>
      <c r="O4319" s="47" t="s">
        <v>410</v>
      </c>
      <c r="P4319" s="47" t="s">
        <v>46</v>
      </c>
      <c r="Q4319" s="14">
        <v>0.03</v>
      </c>
      <c r="R4319" s="143" t="s">
        <v>1942</v>
      </c>
      <c r="S4319" s="47"/>
      <c r="T4319" s="6">
        <v>7.2300000000104774</v>
      </c>
      <c r="U4319" s="6"/>
      <c r="V4319" s="6">
        <v>0</v>
      </c>
      <c r="W4319" s="6">
        <f t="shared" si="659"/>
        <v>7.2300000000104774</v>
      </c>
      <c r="X4319" s="6">
        <f t="shared" si="660"/>
        <v>0</v>
      </c>
      <c r="Y4319" s="13">
        <f t="shared" si="663"/>
        <v>0</v>
      </c>
      <c r="Z4319" s="14">
        <v>0</v>
      </c>
      <c r="AA4319" s="6">
        <v>0</v>
      </c>
      <c r="AB4319" s="4">
        <f t="shared" si="664"/>
        <v>0</v>
      </c>
      <c r="AC4319" s="4">
        <f t="shared" si="666"/>
        <v>0</v>
      </c>
      <c r="AD4319" s="6">
        <f t="shared" si="661"/>
        <v>0</v>
      </c>
      <c r="AE4319" s="2">
        <f>VLOOKUP(I4319,[1]媒体政策预估表!A:N,MATCH(O4319,[1]媒体政策预估表!$A$2:$M$2,0),0)</f>
        <v>7.0000000000000007E-2</v>
      </c>
      <c r="AF4319" s="6">
        <f t="shared" si="667"/>
        <v>0</v>
      </c>
      <c r="AG4319" s="14">
        <v>0</v>
      </c>
      <c r="AH4319" s="65">
        <f t="shared" si="662"/>
        <v>0</v>
      </c>
      <c r="AI4319" s="47"/>
      <c r="AJ4319" s="126" t="e">
        <v>#N/A</v>
      </c>
      <c r="AK4319" s="80">
        <f t="shared" si="665"/>
        <v>0</v>
      </c>
      <c r="AM4319" s="85"/>
    </row>
    <row r="4320" spans="1:39" hidden="1" x14ac:dyDescent="0.3">
      <c r="A4320" s="89" t="s">
        <v>3394</v>
      </c>
      <c r="B4320" s="86" t="s">
        <v>35</v>
      </c>
      <c r="C4320" s="86" t="s">
        <v>164</v>
      </c>
      <c r="D4320" s="86" t="s">
        <v>165</v>
      </c>
      <c r="E4320" s="86" t="s">
        <v>615</v>
      </c>
      <c r="F4320" s="86" t="s">
        <v>615</v>
      </c>
      <c r="G4320" s="86" t="s">
        <v>615</v>
      </c>
      <c r="H4320" s="143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616</v>
      </c>
      <c r="N4320" s="86"/>
      <c r="O4320" s="47" t="s">
        <v>410</v>
      </c>
      <c r="P4320" s="47" t="s">
        <v>46</v>
      </c>
      <c r="Q4320" s="14">
        <v>0.02</v>
      </c>
      <c r="R4320" s="143" t="s">
        <v>1943</v>
      </c>
      <c r="S4320" s="47"/>
      <c r="T4320" s="6">
        <v>-70.300000000337604</v>
      </c>
      <c r="U4320" s="6"/>
      <c r="V4320" s="6">
        <v>0</v>
      </c>
      <c r="W4320" s="6">
        <f t="shared" si="659"/>
        <v>-70.300000000337604</v>
      </c>
      <c r="X4320" s="6">
        <f t="shared" si="660"/>
        <v>0</v>
      </c>
      <c r="Y4320" s="13">
        <f t="shared" si="663"/>
        <v>0</v>
      </c>
      <c r="Z4320" s="14">
        <v>0</v>
      </c>
      <c r="AA4320" s="6">
        <v>0</v>
      </c>
      <c r="AB4320" s="4">
        <f t="shared" si="664"/>
        <v>0</v>
      </c>
      <c r="AC4320" s="4">
        <f t="shared" si="666"/>
        <v>0</v>
      </c>
      <c r="AD4320" s="6">
        <f t="shared" si="661"/>
        <v>0</v>
      </c>
      <c r="AE4320" s="2">
        <f>VLOOKUP(I4320,[1]媒体政策预估表!A:N,MATCH(O4320,[1]媒体政策预估表!$A$2:$M$2,0),0)</f>
        <v>7.0000000000000007E-2</v>
      </c>
      <c r="AF4320" s="6">
        <f t="shared" si="667"/>
        <v>0</v>
      </c>
      <c r="AG4320" s="14">
        <v>0</v>
      </c>
      <c r="AH4320" s="65">
        <f t="shared" si="662"/>
        <v>0</v>
      </c>
      <c r="AI4320" s="47"/>
      <c r="AJ4320" s="126" t="e">
        <v>#N/A</v>
      </c>
      <c r="AK4320" s="80">
        <f t="shared" si="665"/>
        <v>0</v>
      </c>
      <c r="AM4320" s="85"/>
    </row>
    <row r="4321" spans="1:39" hidden="1" x14ac:dyDescent="0.3">
      <c r="A4321" s="89" t="s">
        <v>3394</v>
      </c>
      <c r="B4321" s="86" t="s">
        <v>35</v>
      </c>
      <c r="C4321" s="86" t="s">
        <v>164</v>
      </c>
      <c r="D4321" s="86" t="s">
        <v>165</v>
      </c>
      <c r="E4321" s="86" t="s">
        <v>1944</v>
      </c>
      <c r="F4321" s="86" t="s">
        <v>1944</v>
      </c>
      <c r="G4321" s="86" t="s">
        <v>1944</v>
      </c>
      <c r="H4321" s="143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1945</v>
      </c>
      <c r="N4321" s="86"/>
      <c r="O4321" s="47" t="s">
        <v>410</v>
      </c>
      <c r="P4321" s="47" t="s">
        <v>46</v>
      </c>
      <c r="Q4321" s="14">
        <v>0.02</v>
      </c>
      <c r="R4321" s="143" t="s">
        <v>1946</v>
      </c>
      <c r="S4321" s="47"/>
      <c r="T4321" s="6">
        <v>-0.9</v>
      </c>
      <c r="U4321" s="6"/>
      <c r="V4321" s="6">
        <v>0</v>
      </c>
      <c r="W4321" s="6">
        <f t="shared" si="659"/>
        <v>-0.9</v>
      </c>
      <c r="X4321" s="6">
        <f t="shared" si="660"/>
        <v>0</v>
      </c>
      <c r="Y4321" s="13">
        <f t="shared" si="663"/>
        <v>0</v>
      </c>
      <c r="Z4321" s="14">
        <v>0</v>
      </c>
      <c r="AA4321" s="6">
        <v>0</v>
      </c>
      <c r="AB4321" s="4">
        <f t="shared" si="664"/>
        <v>0</v>
      </c>
      <c r="AC4321" s="4">
        <f t="shared" si="666"/>
        <v>0</v>
      </c>
      <c r="AD4321" s="6">
        <f t="shared" si="661"/>
        <v>0</v>
      </c>
      <c r="AE4321" s="2">
        <f>VLOOKUP(I4321,[1]媒体政策预估表!A:N,MATCH(O4321,[1]媒体政策预估表!$A$2:$M$2,0),0)</f>
        <v>7.0000000000000007E-2</v>
      </c>
      <c r="AF4321" s="6">
        <f t="shared" si="667"/>
        <v>0</v>
      </c>
      <c r="AG4321" s="14">
        <v>0</v>
      </c>
      <c r="AH4321" s="65">
        <f t="shared" si="662"/>
        <v>0</v>
      </c>
      <c r="AI4321" s="47"/>
      <c r="AJ4321" s="126" t="e">
        <v>#N/A</v>
      </c>
      <c r="AK4321" s="80">
        <f t="shared" si="665"/>
        <v>0</v>
      </c>
      <c r="AM4321" s="85"/>
    </row>
    <row r="4322" spans="1:39" hidden="1" x14ac:dyDescent="0.3">
      <c r="A4322" s="89" t="s">
        <v>3394</v>
      </c>
      <c r="B4322" s="86" t="s">
        <v>35</v>
      </c>
      <c r="C4322" s="86" t="s">
        <v>164</v>
      </c>
      <c r="D4322" s="86" t="s">
        <v>165</v>
      </c>
      <c r="E4322" s="86" t="s">
        <v>619</v>
      </c>
      <c r="F4322" s="86" t="s">
        <v>620</v>
      </c>
      <c r="G4322" s="86" t="s">
        <v>619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619</v>
      </c>
      <c r="N4322" s="86"/>
      <c r="O4322" s="47" t="s">
        <v>45</v>
      </c>
      <c r="P4322" s="47" t="s">
        <v>46</v>
      </c>
      <c r="Q4322" s="14">
        <v>0.04</v>
      </c>
      <c r="R4322" s="143" t="s">
        <v>1534</v>
      </c>
      <c r="S4322" s="47"/>
      <c r="T4322" s="6">
        <v>15000</v>
      </c>
      <c r="U4322" s="6"/>
      <c r="V4322" s="6">
        <v>0</v>
      </c>
      <c r="W4322" s="6">
        <f t="shared" si="659"/>
        <v>15000</v>
      </c>
      <c r="X4322" s="6">
        <f t="shared" si="660"/>
        <v>0</v>
      </c>
      <c r="Y4322" s="13">
        <f t="shared" si="663"/>
        <v>0</v>
      </c>
      <c r="Z4322" s="14">
        <v>0</v>
      </c>
      <c r="AA4322" s="6">
        <v>0</v>
      </c>
      <c r="AB4322" s="4">
        <f t="shared" si="664"/>
        <v>0</v>
      </c>
      <c r="AC4322" s="4">
        <f t="shared" si="666"/>
        <v>0</v>
      </c>
      <c r="AD4322" s="6">
        <f t="shared" si="661"/>
        <v>0</v>
      </c>
      <c r="AE4322" s="2">
        <f>VLOOKUP(I4322,[1]媒体政策预估表!A:N,MATCH(O4322,[1]媒体政策预估表!$A$2:$M$2,0),0)</f>
        <v>0.12</v>
      </c>
      <c r="AF4322" s="6">
        <f t="shared" si="667"/>
        <v>0</v>
      </c>
      <c r="AG4322" s="14">
        <v>0</v>
      </c>
      <c r="AH4322" s="65">
        <f t="shared" si="662"/>
        <v>0</v>
      </c>
      <c r="AI4322" s="47"/>
      <c r="AJ4322" s="126" t="e">
        <v>#N/A</v>
      </c>
      <c r="AK4322" s="80">
        <f t="shared" si="665"/>
        <v>0</v>
      </c>
      <c r="AM4322" s="85"/>
    </row>
    <row r="4323" spans="1:39" hidden="1" x14ac:dyDescent="0.3">
      <c r="A4323" s="89" t="s">
        <v>3394</v>
      </c>
      <c r="B4323" s="86" t="s">
        <v>35</v>
      </c>
      <c r="C4323" s="86" t="s">
        <v>164</v>
      </c>
      <c r="D4323" s="86" t="s">
        <v>165</v>
      </c>
      <c r="E4323" s="86" t="s">
        <v>1541</v>
      </c>
      <c r="F4323" s="86" t="s">
        <v>1541</v>
      </c>
      <c r="G4323" s="86" t="s">
        <v>1541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1947</v>
      </c>
      <c r="N4323" s="86"/>
      <c r="O4323" s="47" t="s">
        <v>410</v>
      </c>
      <c r="P4323" s="47" t="s">
        <v>46</v>
      </c>
      <c r="Q4323" s="14">
        <v>0.02</v>
      </c>
      <c r="R4323" s="143" t="s">
        <v>1948</v>
      </c>
      <c r="S4323" s="47"/>
      <c r="T4323" s="6">
        <v>412.40000000000146</v>
      </c>
      <c r="U4323" s="6"/>
      <c r="V4323" s="6">
        <v>0</v>
      </c>
      <c r="W4323" s="6">
        <f t="shared" si="659"/>
        <v>412.40000000000146</v>
      </c>
      <c r="X4323" s="6">
        <f t="shared" si="660"/>
        <v>0</v>
      </c>
      <c r="Y4323" s="13">
        <f t="shared" si="663"/>
        <v>0</v>
      </c>
      <c r="Z4323" s="14">
        <v>0</v>
      </c>
      <c r="AA4323" s="6">
        <v>0</v>
      </c>
      <c r="AB4323" s="4">
        <f t="shared" si="664"/>
        <v>0</v>
      </c>
      <c r="AC4323" s="4">
        <f t="shared" si="666"/>
        <v>0</v>
      </c>
      <c r="AD4323" s="6">
        <f t="shared" si="661"/>
        <v>0</v>
      </c>
      <c r="AE4323" s="2">
        <f>VLOOKUP(I4323,[1]媒体政策预估表!A:N,MATCH(O4323,[1]媒体政策预估表!$A$2:$M$2,0),0)</f>
        <v>7.0000000000000007E-2</v>
      </c>
      <c r="AF4323" s="6">
        <f t="shared" si="667"/>
        <v>0</v>
      </c>
      <c r="AG4323" s="14">
        <v>0</v>
      </c>
      <c r="AH4323" s="65">
        <f t="shared" si="662"/>
        <v>0</v>
      </c>
      <c r="AI4323" s="47"/>
      <c r="AJ4323" s="126" t="e">
        <v>#N/A</v>
      </c>
      <c r="AK4323" s="80">
        <f t="shared" si="665"/>
        <v>0</v>
      </c>
      <c r="AM4323" s="85"/>
    </row>
    <row r="4324" spans="1:39" hidden="1" x14ac:dyDescent="0.3">
      <c r="A4324" s="89" t="s">
        <v>3394</v>
      </c>
      <c r="B4324" s="86" t="s">
        <v>35</v>
      </c>
      <c r="C4324" s="86" t="s">
        <v>164</v>
      </c>
      <c r="D4324" s="86" t="s">
        <v>165</v>
      </c>
      <c r="E4324" s="86" t="s">
        <v>1949</v>
      </c>
      <c r="F4324" s="86" t="s">
        <v>1949</v>
      </c>
      <c r="G4324" s="86" t="s">
        <v>1949</v>
      </c>
      <c r="H4324" s="143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1950</v>
      </c>
      <c r="N4324" s="86"/>
      <c r="O4324" s="47" t="s">
        <v>410</v>
      </c>
      <c r="P4324" s="47" t="s">
        <v>41</v>
      </c>
      <c r="Q4324" s="14">
        <v>0</v>
      </c>
      <c r="R4324" s="143" t="s">
        <v>1951</v>
      </c>
      <c r="S4324" s="47"/>
      <c r="T4324" s="6">
        <v>442.49999999999636</v>
      </c>
      <c r="U4324" s="6"/>
      <c r="V4324" s="6">
        <v>0</v>
      </c>
      <c r="W4324" s="6">
        <f t="shared" si="659"/>
        <v>442.49999999999636</v>
      </c>
      <c r="X4324" s="6">
        <f t="shared" si="660"/>
        <v>0</v>
      </c>
      <c r="Y4324" s="13">
        <f t="shared" si="663"/>
        <v>0</v>
      </c>
      <c r="Z4324" s="14">
        <v>0</v>
      </c>
      <c r="AA4324" s="6">
        <v>0</v>
      </c>
      <c r="AB4324" s="4">
        <f t="shared" si="664"/>
        <v>0</v>
      </c>
      <c r="AC4324" s="4">
        <f t="shared" si="666"/>
        <v>0</v>
      </c>
      <c r="AD4324" s="6">
        <f t="shared" si="661"/>
        <v>0</v>
      </c>
      <c r="AE4324" s="2">
        <f>VLOOKUP(I4324,[1]媒体政策预估表!A:N,MATCH(O4324,[1]媒体政策预估表!$A$2:$M$2,0),0)</f>
        <v>7.0000000000000007E-2</v>
      </c>
      <c r="AF4324" s="6">
        <f t="shared" si="667"/>
        <v>0</v>
      </c>
      <c r="AG4324" s="14">
        <v>0</v>
      </c>
      <c r="AH4324" s="65">
        <f t="shared" si="662"/>
        <v>0</v>
      </c>
      <c r="AI4324" s="47"/>
      <c r="AJ4324" s="126" t="e">
        <v>#N/A</v>
      </c>
      <c r="AK4324" s="80">
        <f t="shared" si="665"/>
        <v>0</v>
      </c>
      <c r="AM4324" s="85"/>
    </row>
    <row r="4325" spans="1:39" hidden="1" x14ac:dyDescent="0.3">
      <c r="A4325" s="89" t="s">
        <v>3394</v>
      </c>
      <c r="B4325" s="86" t="s">
        <v>35</v>
      </c>
      <c r="C4325" s="86" t="s">
        <v>164</v>
      </c>
      <c r="D4325" s="86" t="s">
        <v>169</v>
      </c>
      <c r="E4325" s="86" t="s">
        <v>1952</v>
      </c>
      <c r="F4325" s="86" t="s">
        <v>1952</v>
      </c>
      <c r="G4325" s="86" t="s">
        <v>1952</v>
      </c>
      <c r="H4325" s="143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1952</v>
      </c>
      <c r="N4325" s="86"/>
      <c r="O4325" s="47" t="s">
        <v>410</v>
      </c>
      <c r="P4325" s="47" t="s">
        <v>46</v>
      </c>
      <c r="Q4325" s="14">
        <v>0.04</v>
      </c>
      <c r="R4325" s="143" t="s">
        <v>1953</v>
      </c>
      <c r="S4325" s="47"/>
      <c r="T4325" s="6">
        <v>-0.1</v>
      </c>
      <c r="U4325" s="6"/>
      <c r="V4325" s="6">
        <v>0</v>
      </c>
      <c r="W4325" s="6">
        <f t="shared" si="659"/>
        <v>-0.1</v>
      </c>
      <c r="X4325" s="6">
        <f t="shared" si="660"/>
        <v>0</v>
      </c>
      <c r="Y4325" s="13">
        <f t="shared" si="663"/>
        <v>0</v>
      </c>
      <c r="Z4325" s="14">
        <v>0</v>
      </c>
      <c r="AA4325" s="6">
        <v>0</v>
      </c>
      <c r="AB4325" s="4">
        <f t="shared" si="664"/>
        <v>0</v>
      </c>
      <c r="AC4325" s="4">
        <f t="shared" si="666"/>
        <v>0</v>
      </c>
      <c r="AD4325" s="6">
        <f t="shared" si="661"/>
        <v>0</v>
      </c>
      <c r="AE4325" s="2">
        <f>VLOOKUP(I4325,[1]媒体政策预估表!A:N,MATCH(O4325,[1]媒体政策预估表!$A$2:$M$2,0),0)</f>
        <v>7.0000000000000007E-2</v>
      </c>
      <c r="AF4325" s="6">
        <f t="shared" si="667"/>
        <v>0</v>
      </c>
      <c r="AG4325" s="14">
        <v>0</v>
      </c>
      <c r="AH4325" s="65">
        <f t="shared" si="662"/>
        <v>0</v>
      </c>
      <c r="AI4325" s="47"/>
      <c r="AJ4325" s="126" t="e">
        <v>#N/A</v>
      </c>
      <c r="AK4325" s="80">
        <f t="shared" si="665"/>
        <v>0</v>
      </c>
      <c r="AM4325" s="85"/>
    </row>
    <row r="4326" spans="1:39" hidden="1" x14ac:dyDescent="0.3">
      <c r="A4326" s="89" t="s">
        <v>3394</v>
      </c>
      <c r="B4326" s="86" t="s">
        <v>35</v>
      </c>
      <c r="C4326" s="86" t="s">
        <v>164</v>
      </c>
      <c r="D4326" s="86" t="s">
        <v>169</v>
      </c>
      <c r="E4326" s="86" t="s">
        <v>1954</v>
      </c>
      <c r="F4326" s="86" t="s">
        <v>1954</v>
      </c>
      <c r="G4326" s="86" t="s">
        <v>1954</v>
      </c>
      <c r="H4326" s="143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1954</v>
      </c>
      <c r="N4326" s="86"/>
      <c r="O4326" s="47" t="s">
        <v>45</v>
      </c>
      <c r="P4326" s="47" t="s">
        <v>46</v>
      </c>
      <c r="Q4326" s="14">
        <v>0.02</v>
      </c>
      <c r="R4326" s="143" t="s">
        <v>1955</v>
      </c>
      <c r="S4326" s="47"/>
      <c r="T4326" s="6">
        <v>569024.13454000012</v>
      </c>
      <c r="U4326" s="6"/>
      <c r="V4326" s="6">
        <v>0</v>
      </c>
      <c r="W4326" s="6">
        <f t="shared" si="659"/>
        <v>569024.13454000012</v>
      </c>
      <c r="X4326" s="6">
        <f t="shared" si="660"/>
        <v>0</v>
      </c>
      <c r="Y4326" s="13">
        <f t="shared" si="663"/>
        <v>0</v>
      </c>
      <c r="Z4326" s="14">
        <v>0</v>
      </c>
      <c r="AA4326" s="6">
        <v>0</v>
      </c>
      <c r="AB4326" s="4">
        <f t="shared" si="664"/>
        <v>0</v>
      </c>
      <c r="AC4326" s="4">
        <f t="shared" si="666"/>
        <v>0</v>
      </c>
      <c r="AD4326" s="6">
        <f t="shared" si="661"/>
        <v>0</v>
      </c>
      <c r="AE4326" s="2">
        <f>VLOOKUP(I4326,[1]媒体政策预估表!A:N,MATCH(O4326,[1]媒体政策预估表!$A$2:$M$2,0),0)</f>
        <v>0.12</v>
      </c>
      <c r="AF4326" s="6">
        <f t="shared" si="667"/>
        <v>0</v>
      </c>
      <c r="AG4326" s="14">
        <v>0</v>
      </c>
      <c r="AH4326" s="65">
        <f t="shared" si="662"/>
        <v>0</v>
      </c>
      <c r="AI4326" s="47"/>
      <c r="AJ4326" s="126" t="e">
        <v>#N/A</v>
      </c>
      <c r="AK4326" s="80">
        <f t="shared" si="665"/>
        <v>0</v>
      </c>
      <c r="AM4326" s="85"/>
    </row>
    <row r="4327" spans="1:39" hidden="1" x14ac:dyDescent="0.3">
      <c r="A4327" s="89" t="s">
        <v>3394</v>
      </c>
      <c r="B4327" s="86" t="s">
        <v>35</v>
      </c>
      <c r="C4327" s="86" t="s">
        <v>164</v>
      </c>
      <c r="D4327" s="86" t="s">
        <v>169</v>
      </c>
      <c r="E4327" s="86" t="s">
        <v>1954</v>
      </c>
      <c r="F4327" s="86" t="s">
        <v>1954</v>
      </c>
      <c r="G4327" s="86" t="s">
        <v>1954</v>
      </c>
      <c r="H4327" s="143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1954</v>
      </c>
      <c r="N4327" s="86"/>
      <c r="O4327" s="47" t="s">
        <v>410</v>
      </c>
      <c r="P4327" s="47" t="s">
        <v>46</v>
      </c>
      <c r="Q4327" s="14">
        <v>0.01</v>
      </c>
      <c r="R4327" s="143" t="s">
        <v>1956</v>
      </c>
      <c r="S4327" s="47"/>
      <c r="T4327" s="6">
        <v>-95730.62</v>
      </c>
      <c r="U4327" s="6"/>
      <c r="V4327" s="6">
        <v>0</v>
      </c>
      <c r="W4327" s="6">
        <f t="shared" si="659"/>
        <v>-95730.62</v>
      </c>
      <c r="X4327" s="6">
        <f t="shared" si="660"/>
        <v>0</v>
      </c>
      <c r="Y4327" s="13">
        <f t="shared" si="663"/>
        <v>0</v>
      </c>
      <c r="Z4327" s="14">
        <v>0</v>
      </c>
      <c r="AA4327" s="6">
        <v>0</v>
      </c>
      <c r="AB4327" s="4">
        <f t="shared" si="664"/>
        <v>0</v>
      </c>
      <c r="AC4327" s="4">
        <f t="shared" si="666"/>
        <v>0</v>
      </c>
      <c r="AD4327" s="6">
        <f t="shared" si="661"/>
        <v>0</v>
      </c>
      <c r="AE4327" s="2">
        <f>VLOOKUP(I4327,[1]媒体政策预估表!A:N,MATCH(O4327,[1]媒体政策预估表!$A$2:$M$2,0),0)</f>
        <v>7.0000000000000007E-2</v>
      </c>
      <c r="AF4327" s="6">
        <f t="shared" si="667"/>
        <v>0</v>
      </c>
      <c r="AG4327" s="14">
        <v>0</v>
      </c>
      <c r="AH4327" s="65">
        <f t="shared" si="662"/>
        <v>0</v>
      </c>
      <c r="AI4327" s="47"/>
      <c r="AJ4327" s="126" t="e">
        <v>#N/A</v>
      </c>
      <c r="AK4327" s="80">
        <f t="shared" si="665"/>
        <v>0</v>
      </c>
      <c r="AM4327" s="85"/>
    </row>
    <row r="4328" spans="1:39" hidden="1" x14ac:dyDescent="0.3">
      <c r="A4328" s="89" t="s">
        <v>3394</v>
      </c>
      <c r="B4328" s="86" t="s">
        <v>35</v>
      </c>
      <c r="C4328" s="86" t="s">
        <v>164</v>
      </c>
      <c r="D4328" s="86" t="s">
        <v>169</v>
      </c>
      <c r="E4328" s="86" t="s">
        <v>628</v>
      </c>
      <c r="F4328" s="86" t="s">
        <v>628</v>
      </c>
      <c r="G4328" s="86" t="s">
        <v>628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628</v>
      </c>
      <c r="N4328" s="86"/>
      <c r="O4328" s="47" t="s">
        <v>45</v>
      </c>
      <c r="P4328" s="47" t="s">
        <v>46</v>
      </c>
      <c r="Q4328" s="14">
        <v>0.1</v>
      </c>
      <c r="R4328" s="143" t="s">
        <v>1957</v>
      </c>
      <c r="S4328" s="47"/>
      <c r="T4328" s="6">
        <v>-69520.026129999998</v>
      </c>
      <c r="U4328" s="6"/>
      <c r="V4328" s="6">
        <v>0</v>
      </c>
      <c r="W4328" s="6">
        <f t="shared" si="659"/>
        <v>-69520.026129999998</v>
      </c>
      <c r="X4328" s="6">
        <f t="shared" si="660"/>
        <v>0</v>
      </c>
      <c r="Y4328" s="13">
        <f t="shared" si="663"/>
        <v>0</v>
      </c>
      <c r="Z4328" s="14">
        <v>0</v>
      </c>
      <c r="AA4328" s="6">
        <v>0</v>
      </c>
      <c r="AB4328" s="4">
        <f t="shared" si="664"/>
        <v>0</v>
      </c>
      <c r="AC4328" s="4">
        <f t="shared" si="666"/>
        <v>0</v>
      </c>
      <c r="AD4328" s="6">
        <f t="shared" si="661"/>
        <v>0</v>
      </c>
      <c r="AE4328" s="2">
        <f>VLOOKUP(I4328,[1]媒体政策预估表!A:N,MATCH(O4328,[1]媒体政策预估表!$A$2:$M$2,0),0)</f>
        <v>0.12</v>
      </c>
      <c r="AF4328" s="6">
        <f t="shared" si="667"/>
        <v>0</v>
      </c>
      <c r="AG4328" s="14">
        <v>0</v>
      </c>
      <c r="AH4328" s="65">
        <f t="shared" si="662"/>
        <v>0</v>
      </c>
      <c r="AI4328" s="47"/>
      <c r="AJ4328" s="126" t="e">
        <v>#N/A</v>
      </c>
      <c r="AK4328" s="80">
        <f t="shared" si="665"/>
        <v>0</v>
      </c>
      <c r="AM4328" s="85"/>
    </row>
    <row r="4329" spans="1:39" hidden="1" x14ac:dyDescent="0.3">
      <c r="A4329" s="89" t="s">
        <v>3395</v>
      </c>
      <c r="B4329" s="86" t="s">
        <v>35</v>
      </c>
      <c r="C4329" s="86" t="s">
        <v>164</v>
      </c>
      <c r="D4329" s="86" t="s">
        <v>169</v>
      </c>
      <c r="E4329" s="86" t="s">
        <v>628</v>
      </c>
      <c r="F4329" s="86" t="s">
        <v>628</v>
      </c>
      <c r="G4329" s="86" t="s">
        <v>628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628</v>
      </c>
      <c r="N4329" s="86"/>
      <c r="O4329" s="47" t="s">
        <v>410</v>
      </c>
      <c r="P4329" s="47" t="s">
        <v>46</v>
      </c>
      <c r="Q4329" s="14">
        <v>0.05</v>
      </c>
      <c r="R4329" s="143" t="s">
        <v>1957</v>
      </c>
      <c r="S4329" s="47"/>
      <c r="T4329" s="6">
        <v>95503.372560000047</v>
      </c>
      <c r="U4329" s="6"/>
      <c r="V4329" s="6">
        <v>0</v>
      </c>
      <c r="W4329" s="6">
        <f t="shared" si="659"/>
        <v>95503.372560000047</v>
      </c>
      <c r="X4329" s="6">
        <f t="shared" si="660"/>
        <v>0</v>
      </c>
      <c r="Y4329" s="13">
        <f t="shared" si="663"/>
        <v>0</v>
      </c>
      <c r="Z4329" s="14">
        <v>0</v>
      </c>
      <c r="AA4329" s="6">
        <v>0</v>
      </c>
      <c r="AB4329" s="4">
        <f t="shared" si="664"/>
        <v>0</v>
      </c>
      <c r="AC4329" s="4">
        <f t="shared" si="666"/>
        <v>0</v>
      </c>
      <c r="AD4329" s="6">
        <f t="shared" si="661"/>
        <v>0</v>
      </c>
      <c r="AE4329" s="2">
        <f>VLOOKUP(I4329,[1]媒体政策预估表!A:N,MATCH(O4329,[1]媒体政策预估表!$A$2:$M$2,0),0)</f>
        <v>7.0000000000000007E-2</v>
      </c>
      <c r="AF4329" s="6">
        <f t="shared" si="667"/>
        <v>0</v>
      </c>
      <c r="AG4329" s="14">
        <v>0</v>
      </c>
      <c r="AH4329" s="65">
        <f t="shared" si="662"/>
        <v>0</v>
      </c>
      <c r="AI4329" s="47"/>
      <c r="AJ4329" s="126" t="e">
        <v>#N/A</v>
      </c>
      <c r="AK4329" s="80">
        <f t="shared" si="665"/>
        <v>0</v>
      </c>
      <c r="AM4329" s="85"/>
    </row>
    <row r="4330" spans="1:39" hidden="1" x14ac:dyDescent="0.3">
      <c r="A4330" s="89" t="s">
        <v>3394</v>
      </c>
      <c r="B4330" s="86" t="s">
        <v>35</v>
      </c>
      <c r="C4330" s="86" t="s">
        <v>164</v>
      </c>
      <c r="D4330" s="86" t="s">
        <v>174</v>
      </c>
      <c r="E4330" s="86" t="s">
        <v>1964</v>
      </c>
      <c r="F4330" s="86" t="s">
        <v>1964</v>
      </c>
      <c r="G4330" s="86" t="s">
        <v>1964</v>
      </c>
      <c r="H4330" s="143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1964</v>
      </c>
      <c r="N4330" s="86"/>
      <c r="O4330" s="47" t="s">
        <v>410</v>
      </c>
      <c r="P4330" s="47" t="s">
        <v>46</v>
      </c>
      <c r="Q4330" s="14">
        <v>0.03</v>
      </c>
      <c r="R4330" s="143" t="s">
        <v>1965</v>
      </c>
      <c r="S4330" s="47"/>
      <c r="T4330" s="6">
        <v>-1.3</v>
      </c>
      <c r="U4330" s="6"/>
      <c r="V4330" s="6">
        <v>0</v>
      </c>
      <c r="W4330" s="6">
        <f t="shared" si="659"/>
        <v>-1.3</v>
      </c>
      <c r="X4330" s="6">
        <f t="shared" si="660"/>
        <v>0</v>
      </c>
      <c r="Y4330" s="13">
        <f t="shared" si="663"/>
        <v>0</v>
      </c>
      <c r="Z4330" s="14">
        <v>0</v>
      </c>
      <c r="AA4330" s="6">
        <v>0</v>
      </c>
      <c r="AB4330" s="4">
        <f t="shared" si="664"/>
        <v>0</v>
      </c>
      <c r="AC4330" s="4">
        <f t="shared" si="666"/>
        <v>0</v>
      </c>
      <c r="AD4330" s="6">
        <f t="shared" si="661"/>
        <v>0</v>
      </c>
      <c r="AE4330" s="2">
        <f>VLOOKUP(I4330,[1]媒体政策预估表!A:N,MATCH(O4330,[1]媒体政策预估表!$A$2:$M$2,0),0)</f>
        <v>7.0000000000000007E-2</v>
      </c>
      <c r="AF4330" s="6">
        <f t="shared" si="667"/>
        <v>0</v>
      </c>
      <c r="AG4330" s="14">
        <v>0</v>
      </c>
      <c r="AH4330" s="65">
        <f t="shared" si="662"/>
        <v>0</v>
      </c>
      <c r="AI4330" s="47"/>
      <c r="AJ4330" s="126" t="e">
        <v>#N/A</v>
      </c>
      <c r="AK4330" s="80">
        <f t="shared" si="665"/>
        <v>0</v>
      </c>
      <c r="AM4330" s="85"/>
    </row>
    <row r="4331" spans="1:39" hidden="1" x14ac:dyDescent="0.3">
      <c r="A4331" s="89" t="s">
        <v>3395</v>
      </c>
      <c r="B4331" s="86" t="s">
        <v>35</v>
      </c>
      <c r="C4331" s="86" t="s">
        <v>164</v>
      </c>
      <c r="D4331" s="86" t="s">
        <v>174</v>
      </c>
      <c r="E4331" s="86" t="s">
        <v>1966</v>
      </c>
      <c r="F4331" s="86" t="s">
        <v>1966</v>
      </c>
      <c r="G4331" s="86" t="s">
        <v>1966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1967</v>
      </c>
      <c r="N4331" s="86"/>
      <c r="O4331" s="47" t="s">
        <v>45</v>
      </c>
      <c r="P4331" s="47" t="s">
        <v>41</v>
      </c>
      <c r="Q4331" s="14">
        <v>0</v>
      </c>
      <c r="R4331" s="143" t="s">
        <v>1968</v>
      </c>
      <c r="S4331" s="47"/>
      <c r="T4331" s="6">
        <v>-203229.41070999985</v>
      </c>
      <c r="U4331" s="6">
        <v>203229.42</v>
      </c>
      <c r="V4331" s="6">
        <v>0</v>
      </c>
      <c r="W4331" s="6">
        <v>0</v>
      </c>
      <c r="X4331" s="6">
        <f t="shared" si="660"/>
        <v>0</v>
      </c>
      <c r="Y4331" s="13">
        <f t="shared" si="663"/>
        <v>0</v>
      </c>
      <c r="Z4331" s="14">
        <v>0</v>
      </c>
      <c r="AA4331" s="6">
        <v>0</v>
      </c>
      <c r="AB4331" s="4">
        <f t="shared" si="664"/>
        <v>0</v>
      </c>
      <c r="AC4331" s="4">
        <f t="shared" si="666"/>
        <v>0</v>
      </c>
      <c r="AD4331" s="6">
        <f t="shared" si="661"/>
        <v>0</v>
      </c>
      <c r="AE4331" s="2">
        <f>VLOOKUP(I4331,[1]媒体政策预估表!A:N,MATCH(O4331,[1]媒体政策预估表!$A$2:$M$2,0),0)</f>
        <v>0.12</v>
      </c>
      <c r="AF4331" s="6">
        <f t="shared" si="667"/>
        <v>0</v>
      </c>
      <c r="AG4331" s="14">
        <v>0</v>
      </c>
      <c r="AH4331" s="65">
        <f t="shared" si="662"/>
        <v>0</v>
      </c>
      <c r="AI4331" s="47"/>
      <c r="AJ4331" s="126" t="e">
        <v>#N/A</v>
      </c>
      <c r="AK4331" s="80">
        <f t="shared" si="665"/>
        <v>0</v>
      </c>
      <c r="AM4331" s="85"/>
    </row>
    <row r="4332" spans="1:39" hidden="1" x14ac:dyDescent="0.3">
      <c r="A4332" s="89" t="s">
        <v>3394</v>
      </c>
      <c r="B4332" s="86" t="s">
        <v>35</v>
      </c>
      <c r="C4332" s="86" t="s">
        <v>164</v>
      </c>
      <c r="D4332" s="86" t="s">
        <v>174</v>
      </c>
      <c r="E4332" s="86" t="s">
        <v>1969</v>
      </c>
      <c r="F4332" s="86" t="s">
        <v>1969</v>
      </c>
      <c r="G4332" s="86" t="s">
        <v>1969</v>
      </c>
      <c r="H4332" s="143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1969</v>
      </c>
      <c r="N4332" s="86"/>
      <c r="O4332" s="47" t="s">
        <v>410</v>
      </c>
      <c r="P4332" s="47" t="s">
        <v>41</v>
      </c>
      <c r="Q4332" s="14">
        <v>0</v>
      </c>
      <c r="R4332" s="143" t="s">
        <v>1970</v>
      </c>
      <c r="S4332" s="47"/>
      <c r="T4332" s="6">
        <v>-42.80000000003929</v>
      </c>
      <c r="U4332" s="6"/>
      <c r="V4332" s="6">
        <v>0</v>
      </c>
      <c r="W4332" s="6">
        <f t="shared" si="659"/>
        <v>-42.80000000003929</v>
      </c>
      <c r="X4332" s="6">
        <f t="shared" si="660"/>
        <v>0</v>
      </c>
      <c r="Y4332" s="13">
        <f t="shared" si="663"/>
        <v>0</v>
      </c>
      <c r="Z4332" s="14">
        <v>0</v>
      </c>
      <c r="AA4332" s="6">
        <v>0</v>
      </c>
      <c r="AB4332" s="4">
        <f t="shared" si="664"/>
        <v>0</v>
      </c>
      <c r="AC4332" s="4">
        <f t="shared" si="666"/>
        <v>0</v>
      </c>
      <c r="AD4332" s="6">
        <f t="shared" si="661"/>
        <v>0</v>
      </c>
      <c r="AE4332" s="2">
        <f>VLOOKUP(I4332,[1]媒体政策预估表!A:N,MATCH(O4332,[1]媒体政策预估表!$A$2:$M$2,0),0)</f>
        <v>7.0000000000000007E-2</v>
      </c>
      <c r="AF4332" s="6">
        <f t="shared" si="667"/>
        <v>0</v>
      </c>
      <c r="AG4332" s="14">
        <v>0</v>
      </c>
      <c r="AH4332" s="65">
        <f t="shared" si="662"/>
        <v>0</v>
      </c>
      <c r="AI4332" s="47"/>
      <c r="AJ4332" s="126" t="e">
        <v>#N/A</v>
      </c>
      <c r="AK4332" s="80">
        <f t="shared" si="665"/>
        <v>0</v>
      </c>
      <c r="AM4332" s="85"/>
    </row>
    <row r="4333" spans="1:39" hidden="1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1969</v>
      </c>
      <c r="F4333" s="86" t="s">
        <v>1969</v>
      </c>
      <c r="G4333" s="86" t="s">
        <v>1969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1971</v>
      </c>
      <c r="N4333" s="86"/>
      <c r="O4333" s="47" t="s">
        <v>410</v>
      </c>
      <c r="P4333" s="47" t="s">
        <v>41</v>
      </c>
      <c r="Q4333" s="14">
        <v>0</v>
      </c>
      <c r="R4333" s="143" t="s">
        <v>1972</v>
      </c>
      <c r="S4333" s="47"/>
      <c r="T4333" s="6">
        <v>-117.30000000010477</v>
      </c>
      <c r="U4333" s="6"/>
      <c r="V4333" s="6">
        <v>0</v>
      </c>
      <c r="W4333" s="6">
        <f t="shared" si="659"/>
        <v>-117.30000000010477</v>
      </c>
      <c r="X4333" s="6">
        <f t="shared" si="660"/>
        <v>0</v>
      </c>
      <c r="Y4333" s="13">
        <f t="shared" si="663"/>
        <v>0</v>
      </c>
      <c r="Z4333" s="14">
        <v>0</v>
      </c>
      <c r="AA4333" s="6">
        <v>0</v>
      </c>
      <c r="AB4333" s="4">
        <f t="shared" si="664"/>
        <v>0</v>
      </c>
      <c r="AC4333" s="4">
        <f t="shared" si="666"/>
        <v>0</v>
      </c>
      <c r="AD4333" s="6">
        <f t="shared" si="661"/>
        <v>0</v>
      </c>
      <c r="AE4333" s="2">
        <f>VLOOKUP(I4333,[1]媒体政策预估表!A:N,MATCH(O4333,[1]媒体政策预估表!$A$2:$M$2,0),0)</f>
        <v>7.0000000000000007E-2</v>
      </c>
      <c r="AF4333" s="6">
        <f t="shared" si="667"/>
        <v>0</v>
      </c>
      <c r="AG4333" s="14">
        <v>0</v>
      </c>
      <c r="AH4333" s="65">
        <f t="shared" si="662"/>
        <v>0</v>
      </c>
      <c r="AI4333" s="47"/>
      <c r="AJ4333" s="126" t="e">
        <v>#N/A</v>
      </c>
      <c r="AK4333" s="80">
        <f t="shared" si="665"/>
        <v>0</v>
      </c>
      <c r="AM4333" s="85"/>
    </row>
    <row r="4334" spans="1:39" hidden="1" x14ac:dyDescent="0.3">
      <c r="A4334" s="89" t="s">
        <v>3394</v>
      </c>
      <c r="B4334" s="86" t="s">
        <v>35</v>
      </c>
      <c r="C4334" s="86" t="s">
        <v>164</v>
      </c>
      <c r="D4334" s="86" t="s">
        <v>174</v>
      </c>
      <c r="E4334" s="86" t="s">
        <v>651</v>
      </c>
      <c r="F4334" s="86" t="s">
        <v>651</v>
      </c>
      <c r="G4334" s="86" t="s">
        <v>651</v>
      </c>
      <c r="H4334" s="143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651</v>
      </c>
      <c r="N4334" s="86"/>
      <c r="O4334" s="47" t="s">
        <v>45</v>
      </c>
      <c r="P4334" s="47" t="s">
        <v>46</v>
      </c>
      <c r="Q4334" s="14">
        <v>0.06</v>
      </c>
      <c r="R4334" s="143" t="s">
        <v>1973</v>
      </c>
      <c r="S4334" s="47"/>
      <c r="T4334" s="6">
        <v>518666.41804000008</v>
      </c>
      <c r="U4334" s="6"/>
      <c r="V4334" s="6">
        <v>0</v>
      </c>
      <c r="W4334" s="6">
        <f t="shared" si="659"/>
        <v>518666.41804000008</v>
      </c>
      <c r="X4334" s="6">
        <f t="shared" si="660"/>
        <v>0</v>
      </c>
      <c r="Y4334" s="13">
        <f t="shared" si="663"/>
        <v>0</v>
      </c>
      <c r="Z4334" s="14">
        <v>0</v>
      </c>
      <c r="AA4334" s="6">
        <v>0</v>
      </c>
      <c r="AB4334" s="4">
        <f t="shared" si="664"/>
        <v>0</v>
      </c>
      <c r="AC4334" s="4">
        <f t="shared" si="666"/>
        <v>0</v>
      </c>
      <c r="AD4334" s="6">
        <f t="shared" si="661"/>
        <v>0</v>
      </c>
      <c r="AE4334" s="2">
        <f>VLOOKUP(I4334,[1]媒体政策预估表!A:N,MATCH(O4334,[1]媒体政策预估表!$A$2:$M$2,0),0)</f>
        <v>0.12</v>
      </c>
      <c r="AF4334" s="6">
        <f t="shared" si="667"/>
        <v>0</v>
      </c>
      <c r="AG4334" s="14">
        <v>0</v>
      </c>
      <c r="AH4334" s="65">
        <f t="shared" si="662"/>
        <v>0</v>
      </c>
      <c r="AI4334" s="47"/>
      <c r="AJ4334" s="126" t="e">
        <v>#N/A</v>
      </c>
      <c r="AK4334" s="80">
        <f t="shared" si="665"/>
        <v>0</v>
      </c>
      <c r="AM4334" s="85"/>
    </row>
    <row r="4335" spans="1:39" hidden="1" x14ac:dyDescent="0.3">
      <c r="A4335" s="89" t="s">
        <v>3394</v>
      </c>
      <c r="B4335" s="86" t="s">
        <v>35</v>
      </c>
      <c r="C4335" s="86" t="s">
        <v>164</v>
      </c>
      <c r="D4335" s="86" t="s">
        <v>174</v>
      </c>
      <c r="E4335" s="86" t="s">
        <v>651</v>
      </c>
      <c r="F4335" s="86" t="s">
        <v>651</v>
      </c>
      <c r="G4335" s="86" t="s">
        <v>651</v>
      </c>
      <c r="H4335" s="143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651</v>
      </c>
      <c r="N4335" s="86"/>
      <c r="O4335" s="47" t="s">
        <v>45</v>
      </c>
      <c r="P4335" s="47" t="s">
        <v>46</v>
      </c>
      <c r="Q4335" s="14">
        <v>0.06</v>
      </c>
      <c r="R4335" s="143" t="s">
        <v>1974</v>
      </c>
      <c r="S4335" s="47"/>
      <c r="T4335" s="6">
        <v>805462.72551999986</v>
      </c>
      <c r="U4335" s="6"/>
      <c r="V4335" s="6">
        <v>0</v>
      </c>
      <c r="W4335" s="6">
        <f t="shared" si="659"/>
        <v>805462.72551999986</v>
      </c>
      <c r="X4335" s="6">
        <f t="shared" si="660"/>
        <v>0</v>
      </c>
      <c r="Y4335" s="13">
        <f t="shared" si="663"/>
        <v>0</v>
      </c>
      <c r="Z4335" s="14">
        <v>0</v>
      </c>
      <c r="AA4335" s="6">
        <v>0</v>
      </c>
      <c r="AB4335" s="4">
        <f t="shared" si="664"/>
        <v>0</v>
      </c>
      <c r="AC4335" s="4">
        <f t="shared" si="666"/>
        <v>0</v>
      </c>
      <c r="AD4335" s="6">
        <f t="shared" si="661"/>
        <v>0</v>
      </c>
      <c r="AE4335" s="2">
        <f>VLOOKUP(I4335,[1]媒体政策预估表!A:N,MATCH(O4335,[1]媒体政策预估表!$A$2:$M$2,0),0)</f>
        <v>0.12</v>
      </c>
      <c r="AF4335" s="6">
        <f t="shared" si="667"/>
        <v>0</v>
      </c>
      <c r="AG4335" s="14">
        <v>0</v>
      </c>
      <c r="AH4335" s="65">
        <f t="shared" si="662"/>
        <v>0</v>
      </c>
      <c r="AI4335" s="47"/>
      <c r="AJ4335" s="126" t="e">
        <v>#N/A</v>
      </c>
      <c r="AK4335" s="80">
        <f t="shared" si="665"/>
        <v>0</v>
      </c>
      <c r="AM4335" s="85"/>
    </row>
    <row r="4336" spans="1:39" hidden="1" x14ac:dyDescent="0.3">
      <c r="A4336" s="89" t="s">
        <v>3394</v>
      </c>
      <c r="B4336" s="86" t="s">
        <v>35</v>
      </c>
      <c r="C4336" s="86" t="s">
        <v>164</v>
      </c>
      <c r="D4336" s="86" t="s">
        <v>174</v>
      </c>
      <c r="E4336" s="86" t="s">
        <v>651</v>
      </c>
      <c r="F4336" s="86" t="s">
        <v>651</v>
      </c>
      <c r="G4336" s="86" t="s">
        <v>651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1629</v>
      </c>
      <c r="N4336" s="86"/>
      <c r="O4336" s="47" t="s">
        <v>45</v>
      </c>
      <c r="P4336" s="47" t="s">
        <v>46</v>
      </c>
      <c r="Q4336" s="14">
        <v>0.06</v>
      </c>
      <c r="R4336" s="143" t="s">
        <v>1975</v>
      </c>
      <c r="S4336" s="47"/>
      <c r="T4336" s="6">
        <v>579763.91428000014</v>
      </c>
      <c r="U4336" s="6"/>
      <c r="V4336" s="6">
        <v>0</v>
      </c>
      <c r="W4336" s="6">
        <f t="shared" si="659"/>
        <v>579763.91428000014</v>
      </c>
      <c r="X4336" s="6">
        <f t="shared" si="660"/>
        <v>0</v>
      </c>
      <c r="Y4336" s="13">
        <f t="shared" si="663"/>
        <v>0</v>
      </c>
      <c r="Z4336" s="14">
        <v>0</v>
      </c>
      <c r="AA4336" s="6">
        <v>0</v>
      </c>
      <c r="AB4336" s="4">
        <f t="shared" si="664"/>
        <v>0</v>
      </c>
      <c r="AC4336" s="4">
        <f t="shared" si="666"/>
        <v>0</v>
      </c>
      <c r="AD4336" s="6">
        <f t="shared" si="661"/>
        <v>0</v>
      </c>
      <c r="AE4336" s="2">
        <f>VLOOKUP(I4336,[1]媒体政策预估表!A:N,MATCH(O4336,[1]媒体政策预估表!$A$2:$M$2,0),0)</f>
        <v>0.12</v>
      </c>
      <c r="AF4336" s="6">
        <f t="shared" si="667"/>
        <v>0</v>
      </c>
      <c r="AG4336" s="14">
        <v>0</v>
      </c>
      <c r="AH4336" s="65">
        <f t="shared" si="662"/>
        <v>0</v>
      </c>
      <c r="AI4336" s="47"/>
      <c r="AJ4336" s="126" t="e">
        <v>#N/A</v>
      </c>
      <c r="AK4336" s="80">
        <f t="shared" si="665"/>
        <v>0</v>
      </c>
      <c r="AM4336" s="85"/>
    </row>
    <row r="4337" spans="1:39" hidden="1" x14ac:dyDescent="0.3">
      <c r="A4337" s="89" t="s">
        <v>3394</v>
      </c>
      <c r="B4337" s="86" t="s">
        <v>35</v>
      </c>
      <c r="C4337" s="86" t="s">
        <v>164</v>
      </c>
      <c r="D4337" s="86" t="s">
        <v>174</v>
      </c>
      <c r="E4337" s="86" t="s">
        <v>1976</v>
      </c>
      <c r="F4337" s="86" t="s">
        <v>1976</v>
      </c>
      <c r="G4337" s="86" t="s">
        <v>1976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1976</v>
      </c>
      <c r="N4337" s="86"/>
      <c r="O4337" s="47" t="s">
        <v>410</v>
      </c>
      <c r="P4337" s="47" t="s">
        <v>46</v>
      </c>
      <c r="Q4337" s="14">
        <v>0.02</v>
      </c>
      <c r="R4337" s="143" t="s">
        <v>1977</v>
      </c>
      <c r="S4337" s="47"/>
      <c r="T4337" s="6">
        <v>-0.7</v>
      </c>
      <c r="U4337" s="6"/>
      <c r="V4337" s="6">
        <v>0</v>
      </c>
      <c r="W4337" s="6">
        <f t="shared" si="659"/>
        <v>-0.7</v>
      </c>
      <c r="X4337" s="6">
        <f t="shared" si="660"/>
        <v>0</v>
      </c>
      <c r="Y4337" s="13">
        <f t="shared" si="663"/>
        <v>0</v>
      </c>
      <c r="Z4337" s="14">
        <v>0</v>
      </c>
      <c r="AA4337" s="6">
        <v>0</v>
      </c>
      <c r="AB4337" s="4">
        <f t="shared" si="664"/>
        <v>0</v>
      </c>
      <c r="AC4337" s="4">
        <f t="shared" si="666"/>
        <v>0</v>
      </c>
      <c r="AD4337" s="6">
        <f t="shared" si="661"/>
        <v>0</v>
      </c>
      <c r="AE4337" s="2">
        <f>VLOOKUP(I4337,[1]媒体政策预估表!A:N,MATCH(O4337,[1]媒体政策预估表!$A$2:$M$2,0),0)</f>
        <v>7.0000000000000007E-2</v>
      </c>
      <c r="AF4337" s="6">
        <f t="shared" si="667"/>
        <v>0</v>
      </c>
      <c r="AG4337" s="14">
        <v>0</v>
      </c>
      <c r="AH4337" s="65">
        <f t="shared" si="662"/>
        <v>0</v>
      </c>
      <c r="AI4337" s="47"/>
      <c r="AJ4337" s="126" t="e">
        <v>#N/A</v>
      </c>
      <c r="AK4337" s="80">
        <f t="shared" si="665"/>
        <v>0</v>
      </c>
      <c r="AM4337" s="85"/>
    </row>
    <row r="4338" spans="1:39" hidden="1" x14ac:dyDescent="0.3">
      <c r="A4338" s="89" t="s">
        <v>3394</v>
      </c>
      <c r="B4338" s="86" t="s">
        <v>35</v>
      </c>
      <c r="C4338" s="86" t="s">
        <v>164</v>
      </c>
      <c r="D4338" s="86" t="s">
        <v>174</v>
      </c>
      <c r="E4338" s="86" t="s">
        <v>1978</v>
      </c>
      <c r="F4338" s="86" t="s">
        <v>1978</v>
      </c>
      <c r="G4338" s="86" t="s">
        <v>1978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1978</v>
      </c>
      <c r="N4338" s="86"/>
      <c r="O4338" s="47" t="s">
        <v>410</v>
      </c>
      <c r="P4338" s="47" t="s">
        <v>41</v>
      </c>
      <c r="Q4338" s="14">
        <v>0</v>
      </c>
      <c r="R4338" s="143" t="s">
        <v>1979</v>
      </c>
      <c r="S4338" s="47"/>
      <c r="T4338" s="6">
        <v>5564.7349999999997</v>
      </c>
      <c r="U4338" s="6"/>
      <c r="V4338" s="6">
        <v>5071</v>
      </c>
      <c r="W4338" s="6">
        <f t="shared" si="659"/>
        <v>493.73499999999967</v>
      </c>
      <c r="X4338" s="6">
        <f t="shared" si="660"/>
        <v>5071</v>
      </c>
      <c r="Y4338" s="13">
        <f t="shared" si="663"/>
        <v>0</v>
      </c>
      <c r="Z4338" s="14">
        <v>0</v>
      </c>
      <c r="AA4338" s="6">
        <v>0</v>
      </c>
      <c r="AB4338" s="4">
        <f t="shared" si="664"/>
        <v>5071</v>
      </c>
      <c r="AC4338" s="4">
        <f t="shared" si="666"/>
        <v>0</v>
      </c>
      <c r="AD4338" s="6">
        <f t="shared" si="661"/>
        <v>5071</v>
      </c>
      <c r="AE4338" s="2">
        <f>VLOOKUP(I4338,[1]媒体政策预估表!A:N,MATCH(O4338,[1]媒体政策预估表!$A$2:$M$2,0),0)</f>
        <v>7.0000000000000007E-2</v>
      </c>
      <c r="AF4338" s="6">
        <f t="shared" si="667"/>
        <v>354.97</v>
      </c>
      <c r="AG4338" s="14">
        <v>0</v>
      </c>
      <c r="AH4338" s="65">
        <f t="shared" si="662"/>
        <v>5071</v>
      </c>
      <c r="AI4338" s="47"/>
      <c r="AJ4338" s="126" t="e">
        <v>#N/A</v>
      </c>
      <c r="AK4338" s="80">
        <f t="shared" si="665"/>
        <v>0</v>
      </c>
      <c r="AM4338" s="85"/>
    </row>
    <row r="4339" spans="1:39" hidden="1" x14ac:dyDescent="0.3">
      <c r="A4339" s="89" t="s">
        <v>3394</v>
      </c>
      <c r="B4339" s="86" t="s">
        <v>35</v>
      </c>
      <c r="C4339" s="86" t="s">
        <v>164</v>
      </c>
      <c r="D4339" s="86" t="s">
        <v>174</v>
      </c>
      <c r="E4339" s="86" t="s">
        <v>1980</v>
      </c>
      <c r="F4339" s="86" t="s">
        <v>1980</v>
      </c>
      <c r="G4339" s="86" t="s">
        <v>1980</v>
      </c>
      <c r="H4339" s="143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1981</v>
      </c>
      <c r="N4339" s="86"/>
      <c r="O4339" s="47" t="s">
        <v>410</v>
      </c>
      <c r="P4339" s="47" t="s">
        <v>46</v>
      </c>
      <c r="Q4339" s="14">
        <v>0.04</v>
      </c>
      <c r="R4339" s="143" t="s">
        <v>1982</v>
      </c>
      <c r="S4339" s="47"/>
      <c r="T4339" s="6">
        <v>-0.4</v>
      </c>
      <c r="U4339" s="6"/>
      <c r="V4339" s="6">
        <v>0</v>
      </c>
      <c r="W4339" s="6">
        <f t="shared" si="659"/>
        <v>-0.4</v>
      </c>
      <c r="X4339" s="6">
        <f t="shared" si="660"/>
        <v>0</v>
      </c>
      <c r="Y4339" s="13">
        <f t="shared" si="663"/>
        <v>0</v>
      </c>
      <c r="Z4339" s="14">
        <v>0</v>
      </c>
      <c r="AA4339" s="6">
        <v>0</v>
      </c>
      <c r="AB4339" s="4">
        <f t="shared" si="664"/>
        <v>0</v>
      </c>
      <c r="AC4339" s="4">
        <f t="shared" si="666"/>
        <v>0</v>
      </c>
      <c r="AD4339" s="6">
        <f t="shared" si="661"/>
        <v>0</v>
      </c>
      <c r="AE4339" s="2">
        <f>VLOOKUP(I4339,[1]媒体政策预估表!A:N,MATCH(O4339,[1]媒体政策预估表!$A$2:$M$2,0),0)</f>
        <v>7.0000000000000007E-2</v>
      </c>
      <c r="AF4339" s="6">
        <f t="shared" si="667"/>
        <v>0</v>
      </c>
      <c r="AG4339" s="14">
        <v>0</v>
      </c>
      <c r="AH4339" s="65">
        <f t="shared" si="662"/>
        <v>0</v>
      </c>
      <c r="AI4339" s="47"/>
      <c r="AJ4339" s="126" t="e">
        <v>#N/A</v>
      </c>
      <c r="AK4339" s="80">
        <f t="shared" si="665"/>
        <v>0</v>
      </c>
      <c r="AM4339" s="85"/>
    </row>
    <row r="4340" spans="1:39" hidden="1" x14ac:dyDescent="0.3">
      <c r="A4340" s="89" t="s">
        <v>3394</v>
      </c>
      <c r="B4340" s="86" t="s">
        <v>35</v>
      </c>
      <c r="C4340" s="86" t="s">
        <v>164</v>
      </c>
      <c r="D4340" s="86" t="s">
        <v>174</v>
      </c>
      <c r="E4340" s="86" t="s">
        <v>1980</v>
      </c>
      <c r="F4340" s="86" t="s">
        <v>1980</v>
      </c>
      <c r="G4340" s="86" t="s">
        <v>1980</v>
      </c>
      <c r="H4340" s="143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1983</v>
      </c>
      <c r="N4340" s="86"/>
      <c r="O4340" s="47" t="s">
        <v>410</v>
      </c>
      <c r="P4340" s="47" t="s">
        <v>46</v>
      </c>
      <c r="Q4340" s="14">
        <v>0.04</v>
      </c>
      <c r="R4340" s="143" t="s">
        <v>1984</v>
      </c>
      <c r="S4340" s="47"/>
      <c r="T4340" s="6">
        <v>-0.3</v>
      </c>
      <c r="U4340" s="6"/>
      <c r="V4340" s="6">
        <v>0</v>
      </c>
      <c r="W4340" s="6">
        <f t="shared" si="659"/>
        <v>-0.3</v>
      </c>
      <c r="X4340" s="6">
        <f t="shared" si="660"/>
        <v>0</v>
      </c>
      <c r="Y4340" s="13">
        <f t="shared" si="663"/>
        <v>0</v>
      </c>
      <c r="Z4340" s="14">
        <v>0</v>
      </c>
      <c r="AA4340" s="6">
        <v>0</v>
      </c>
      <c r="AB4340" s="4">
        <f t="shared" si="664"/>
        <v>0</v>
      </c>
      <c r="AC4340" s="4">
        <f t="shared" si="666"/>
        <v>0</v>
      </c>
      <c r="AD4340" s="6">
        <f t="shared" si="661"/>
        <v>0</v>
      </c>
      <c r="AE4340" s="2">
        <f>VLOOKUP(I4340,[1]媒体政策预估表!A:N,MATCH(O4340,[1]媒体政策预估表!$A$2:$M$2,0),0)</f>
        <v>7.0000000000000007E-2</v>
      </c>
      <c r="AF4340" s="6">
        <f t="shared" si="667"/>
        <v>0</v>
      </c>
      <c r="AG4340" s="14">
        <v>0</v>
      </c>
      <c r="AH4340" s="65">
        <f t="shared" si="662"/>
        <v>0</v>
      </c>
      <c r="AI4340" s="47"/>
      <c r="AJ4340" s="126" t="e">
        <v>#N/A</v>
      </c>
      <c r="AK4340" s="80">
        <f t="shared" si="665"/>
        <v>0</v>
      </c>
      <c r="AM4340" s="85"/>
    </row>
    <row r="4341" spans="1:39" hidden="1" x14ac:dyDescent="0.3">
      <c r="A4341" s="89" t="s">
        <v>3394</v>
      </c>
      <c r="B4341" s="86" t="s">
        <v>35</v>
      </c>
      <c r="C4341" s="86" t="s">
        <v>164</v>
      </c>
      <c r="D4341" s="86" t="s">
        <v>174</v>
      </c>
      <c r="E4341" s="86" t="s">
        <v>1687</v>
      </c>
      <c r="F4341" s="86" t="s">
        <v>1687</v>
      </c>
      <c r="G4341" s="86" t="s">
        <v>1687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1689</v>
      </c>
      <c r="N4341" s="86"/>
      <c r="O4341" s="47" t="s">
        <v>410</v>
      </c>
      <c r="P4341" s="47" t="s">
        <v>46</v>
      </c>
      <c r="Q4341" s="14">
        <v>0.02</v>
      </c>
      <c r="R4341" s="143" t="s">
        <v>1691</v>
      </c>
      <c r="S4341" s="47"/>
      <c r="T4341" s="6">
        <v>517.75000000003342</v>
      </c>
      <c r="U4341" s="6"/>
      <c r="V4341" s="6">
        <v>0</v>
      </c>
      <c r="W4341" s="6">
        <f t="shared" si="659"/>
        <v>517.75000000003342</v>
      </c>
      <c r="X4341" s="6">
        <f t="shared" si="660"/>
        <v>0</v>
      </c>
      <c r="Y4341" s="13">
        <f t="shared" si="663"/>
        <v>0</v>
      </c>
      <c r="Z4341" s="14">
        <v>0</v>
      </c>
      <c r="AA4341" s="6">
        <v>0</v>
      </c>
      <c r="AB4341" s="4">
        <f t="shared" si="664"/>
        <v>0</v>
      </c>
      <c r="AC4341" s="4">
        <f t="shared" si="666"/>
        <v>0</v>
      </c>
      <c r="AD4341" s="6">
        <f t="shared" si="661"/>
        <v>0</v>
      </c>
      <c r="AE4341" s="2">
        <f>VLOOKUP(I4341,[1]媒体政策预估表!A:N,MATCH(O4341,[1]媒体政策预估表!$A$2:$M$2,0),0)</f>
        <v>7.0000000000000007E-2</v>
      </c>
      <c r="AF4341" s="6">
        <f t="shared" si="667"/>
        <v>0</v>
      </c>
      <c r="AG4341" s="14">
        <v>0</v>
      </c>
      <c r="AH4341" s="65">
        <f t="shared" si="662"/>
        <v>0</v>
      </c>
      <c r="AI4341" s="47"/>
      <c r="AJ4341" s="126" t="e">
        <v>#N/A</v>
      </c>
      <c r="AK4341" s="80">
        <f t="shared" si="665"/>
        <v>0</v>
      </c>
      <c r="AM4341" s="85"/>
    </row>
    <row r="4342" spans="1:39" hidden="1" x14ac:dyDescent="0.3">
      <c r="A4342" s="89" t="s">
        <v>3394</v>
      </c>
      <c r="B4342" s="86" t="s">
        <v>35</v>
      </c>
      <c r="C4342" s="86" t="s">
        <v>164</v>
      </c>
      <c r="D4342" s="86" t="s">
        <v>174</v>
      </c>
      <c r="E4342" s="86" t="s">
        <v>1985</v>
      </c>
      <c r="F4342" s="86" t="s">
        <v>1985</v>
      </c>
      <c r="G4342" s="86" t="s">
        <v>1985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1985</v>
      </c>
      <c r="N4342" s="86"/>
      <c r="O4342" s="47" t="s">
        <v>410</v>
      </c>
      <c r="P4342" s="47" t="s">
        <v>41</v>
      </c>
      <c r="Q4342" s="14">
        <v>0</v>
      </c>
      <c r="R4342" s="143" t="s">
        <v>1986</v>
      </c>
      <c r="S4342" s="47"/>
      <c r="T4342" s="6">
        <v>339.39999999999782</v>
      </c>
      <c r="U4342" s="6"/>
      <c r="V4342" s="6">
        <v>338.5</v>
      </c>
      <c r="W4342" s="6">
        <f t="shared" si="659"/>
        <v>0.89999999999781721</v>
      </c>
      <c r="X4342" s="6">
        <f t="shared" si="660"/>
        <v>338.5</v>
      </c>
      <c r="Y4342" s="13">
        <f t="shared" si="663"/>
        <v>0</v>
      </c>
      <c r="Z4342" s="14">
        <v>0</v>
      </c>
      <c r="AA4342" s="6">
        <v>0</v>
      </c>
      <c r="AB4342" s="4">
        <f t="shared" si="664"/>
        <v>338.5</v>
      </c>
      <c r="AC4342" s="4">
        <f t="shared" si="666"/>
        <v>0</v>
      </c>
      <c r="AD4342" s="6">
        <f t="shared" si="661"/>
        <v>338.5</v>
      </c>
      <c r="AE4342" s="2">
        <f>VLOOKUP(I4342,[1]媒体政策预估表!A:N,MATCH(O4342,[1]媒体政策预估表!$A$2:$M$2,0),0)</f>
        <v>7.0000000000000007E-2</v>
      </c>
      <c r="AF4342" s="6">
        <f t="shared" si="667"/>
        <v>23.695000000000004</v>
      </c>
      <c r="AG4342" s="14">
        <v>0</v>
      </c>
      <c r="AH4342" s="65">
        <f t="shared" si="662"/>
        <v>338.5</v>
      </c>
      <c r="AI4342" s="47"/>
      <c r="AJ4342" s="126" t="e">
        <v>#N/A</v>
      </c>
      <c r="AK4342" s="80">
        <f t="shared" si="665"/>
        <v>0</v>
      </c>
      <c r="AM4342" s="85"/>
    </row>
    <row r="4343" spans="1:39" hidden="1" x14ac:dyDescent="0.3">
      <c r="A4343" s="89" t="s">
        <v>3395</v>
      </c>
      <c r="B4343" s="86" t="s">
        <v>35</v>
      </c>
      <c r="C4343" s="86" t="s">
        <v>164</v>
      </c>
      <c r="D4343" s="86" t="s">
        <v>174</v>
      </c>
      <c r="E4343" s="86" t="s">
        <v>1711</v>
      </c>
      <c r="F4343" s="86" t="s">
        <v>1711</v>
      </c>
      <c r="G4343" s="86" t="s">
        <v>1711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1711</v>
      </c>
      <c r="N4343" s="86"/>
      <c r="O4343" s="47" t="s">
        <v>45</v>
      </c>
      <c r="P4343" s="47" t="s">
        <v>46</v>
      </c>
      <c r="Q4343" s="14">
        <v>0.04</v>
      </c>
      <c r="R4343" s="143" t="s">
        <v>1987</v>
      </c>
      <c r="S4343" s="47"/>
      <c r="T4343" s="6">
        <v>10006.083050000005</v>
      </c>
      <c r="U4343" s="6"/>
      <c r="V4343" s="6">
        <v>1347.9814500000048</v>
      </c>
      <c r="W4343" s="6">
        <v>0</v>
      </c>
      <c r="X4343" s="6">
        <f t="shared" si="660"/>
        <v>1296.1360096153892</v>
      </c>
      <c r="Y4343" s="13">
        <f t="shared" si="663"/>
        <v>0</v>
      </c>
      <c r="Z4343" s="14">
        <v>0</v>
      </c>
      <c r="AA4343" s="6">
        <v>0</v>
      </c>
      <c r="AB4343" s="4">
        <f t="shared" si="664"/>
        <v>1296.1360096153892</v>
      </c>
      <c r="AC4343" s="4">
        <f t="shared" si="666"/>
        <v>51.845440384615586</v>
      </c>
      <c r="AD4343" s="6">
        <f t="shared" si="661"/>
        <v>1347.9814500000048</v>
      </c>
      <c r="AE4343" s="2">
        <f>VLOOKUP(I4343,[1]媒体政策预估表!A:N,MATCH(O4343,[1]媒体政策预估表!$A$2:$M$2,0),0)</f>
        <v>0.12</v>
      </c>
      <c r="AF4343" s="6">
        <f t="shared" si="667"/>
        <v>161.75777400000058</v>
      </c>
      <c r="AG4343" s="14">
        <v>0</v>
      </c>
      <c r="AH4343" s="65">
        <f t="shared" si="662"/>
        <v>1347.9814500000048</v>
      </c>
      <c r="AI4343" s="47"/>
      <c r="AJ4343" s="126" t="e">
        <v>#N/A</v>
      </c>
      <c r="AK4343" s="80">
        <f t="shared" si="665"/>
        <v>0</v>
      </c>
      <c r="AM4343" s="85"/>
    </row>
    <row r="4344" spans="1:39" hidden="1" x14ac:dyDescent="0.3">
      <c r="A4344" s="89" t="s">
        <v>3394</v>
      </c>
      <c r="B4344" s="86" t="s">
        <v>35</v>
      </c>
      <c r="C4344" s="86" t="s">
        <v>164</v>
      </c>
      <c r="D4344" s="86" t="s">
        <v>174</v>
      </c>
      <c r="E4344" s="86" t="s">
        <v>1989</v>
      </c>
      <c r="F4344" s="86" t="s">
        <v>1989</v>
      </c>
      <c r="G4344" s="86" t="s">
        <v>1989</v>
      </c>
      <c r="H4344" s="143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1990</v>
      </c>
      <c r="N4344" s="86"/>
      <c r="O4344" s="47" t="s">
        <v>410</v>
      </c>
      <c r="P4344" s="47" t="s">
        <v>46</v>
      </c>
      <c r="Q4344" s="14">
        <v>0.02</v>
      </c>
      <c r="R4344" s="143" t="s">
        <v>1991</v>
      </c>
      <c r="S4344" s="47"/>
      <c r="T4344" s="6">
        <v>-0.8999999999888928</v>
      </c>
      <c r="U4344" s="6"/>
      <c r="V4344" s="6">
        <v>0</v>
      </c>
      <c r="W4344" s="6">
        <f t="shared" si="659"/>
        <v>-0.8999999999888928</v>
      </c>
      <c r="X4344" s="6">
        <f t="shared" si="660"/>
        <v>0</v>
      </c>
      <c r="Y4344" s="13">
        <f t="shared" si="663"/>
        <v>0</v>
      </c>
      <c r="Z4344" s="14">
        <v>0</v>
      </c>
      <c r="AA4344" s="6">
        <v>0</v>
      </c>
      <c r="AB4344" s="4">
        <f t="shared" si="664"/>
        <v>0</v>
      </c>
      <c r="AC4344" s="4">
        <f t="shared" si="666"/>
        <v>0</v>
      </c>
      <c r="AD4344" s="6">
        <f t="shared" si="661"/>
        <v>0</v>
      </c>
      <c r="AE4344" s="2">
        <f>VLOOKUP(I4344,[1]媒体政策预估表!A:N,MATCH(O4344,[1]媒体政策预估表!$A$2:$M$2,0),0)</f>
        <v>7.0000000000000007E-2</v>
      </c>
      <c r="AF4344" s="6">
        <f t="shared" si="667"/>
        <v>0</v>
      </c>
      <c r="AG4344" s="14">
        <v>0</v>
      </c>
      <c r="AH4344" s="65">
        <f t="shared" si="662"/>
        <v>0</v>
      </c>
      <c r="AI4344" s="47"/>
      <c r="AJ4344" s="126" t="e">
        <v>#N/A</v>
      </c>
      <c r="AK4344" s="80">
        <f t="shared" si="665"/>
        <v>0</v>
      </c>
      <c r="AM4344" s="85"/>
    </row>
    <row r="4345" spans="1:39" hidden="1" x14ac:dyDescent="0.3">
      <c r="A4345" s="89" t="s">
        <v>3395</v>
      </c>
      <c r="B4345" s="86" t="s">
        <v>35</v>
      </c>
      <c r="C4345" s="86" t="s">
        <v>164</v>
      </c>
      <c r="D4345" s="86" t="s">
        <v>174</v>
      </c>
      <c r="E4345" s="86" t="s">
        <v>1992</v>
      </c>
      <c r="F4345" s="86" t="s">
        <v>1992</v>
      </c>
      <c r="G4345" s="86" t="s">
        <v>1992</v>
      </c>
      <c r="H4345" s="143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1992</v>
      </c>
      <c r="N4345" s="86"/>
      <c r="O4345" s="47" t="s">
        <v>410</v>
      </c>
      <c r="P4345" s="47" t="s">
        <v>41</v>
      </c>
      <c r="Q4345" s="14">
        <v>0</v>
      </c>
      <c r="R4345" s="143" t="s">
        <v>1993</v>
      </c>
      <c r="S4345" s="47"/>
      <c r="T4345" s="6">
        <v>-1</v>
      </c>
      <c r="U4345" s="6"/>
      <c r="V4345" s="6">
        <v>0</v>
      </c>
      <c r="W4345" s="6">
        <f t="shared" si="659"/>
        <v>-1</v>
      </c>
      <c r="X4345" s="6">
        <f t="shared" si="660"/>
        <v>0</v>
      </c>
      <c r="Y4345" s="13">
        <f t="shared" si="663"/>
        <v>0</v>
      </c>
      <c r="Z4345" s="14">
        <v>0</v>
      </c>
      <c r="AA4345" s="6">
        <v>0</v>
      </c>
      <c r="AB4345" s="4"/>
      <c r="AC4345" s="4">
        <f t="shared" si="666"/>
        <v>0</v>
      </c>
      <c r="AD4345" s="6">
        <f t="shared" si="661"/>
        <v>0</v>
      </c>
      <c r="AE4345" s="2">
        <f>VLOOKUP(I4345,[1]媒体政策预估表!A:N,MATCH(O4345,[1]媒体政策预估表!$A$2:$M$2,0),0)</f>
        <v>7.0000000000000007E-2</v>
      </c>
      <c r="AF4345" s="6">
        <f t="shared" si="667"/>
        <v>0</v>
      </c>
      <c r="AG4345" s="14">
        <v>0</v>
      </c>
      <c r="AH4345" s="65">
        <f t="shared" si="662"/>
        <v>0</v>
      </c>
      <c r="AI4345" s="47"/>
      <c r="AJ4345" s="126">
        <v>81</v>
      </c>
      <c r="AK4345" s="80">
        <f t="shared" si="665"/>
        <v>0</v>
      </c>
      <c r="AM4345" s="85"/>
    </row>
    <row r="4346" spans="1:39" hidden="1" x14ac:dyDescent="0.3">
      <c r="A4346" s="89" t="s">
        <v>3394</v>
      </c>
      <c r="B4346" s="86" t="s">
        <v>35</v>
      </c>
      <c r="C4346" s="86" t="s">
        <v>164</v>
      </c>
      <c r="D4346" s="86" t="s">
        <v>174</v>
      </c>
      <c r="E4346" s="86" t="s">
        <v>1994</v>
      </c>
      <c r="F4346" s="86" t="s">
        <v>1994</v>
      </c>
      <c r="G4346" s="86" t="s">
        <v>1994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1994</v>
      </c>
      <c r="N4346" s="86"/>
      <c r="O4346" s="47" t="s">
        <v>410</v>
      </c>
      <c r="P4346" s="47" t="s">
        <v>46</v>
      </c>
      <c r="Q4346" s="14">
        <v>0.03</v>
      </c>
      <c r="R4346" s="143" t="s">
        <v>1995</v>
      </c>
      <c r="S4346" s="47"/>
      <c r="T4346" s="6">
        <v>-1.26</v>
      </c>
      <c r="U4346" s="6"/>
      <c r="V4346" s="6">
        <v>0</v>
      </c>
      <c r="W4346" s="6">
        <f t="shared" si="659"/>
        <v>-1.26</v>
      </c>
      <c r="X4346" s="6">
        <f t="shared" si="660"/>
        <v>0</v>
      </c>
      <c r="Y4346" s="13">
        <f t="shared" si="663"/>
        <v>0</v>
      </c>
      <c r="Z4346" s="14">
        <v>0</v>
      </c>
      <c r="AA4346" s="6">
        <v>0</v>
      </c>
      <c r="AB4346" s="4">
        <f t="shared" si="664"/>
        <v>0</v>
      </c>
      <c r="AC4346" s="4">
        <f t="shared" si="666"/>
        <v>0</v>
      </c>
      <c r="AD4346" s="6">
        <f t="shared" si="661"/>
        <v>0</v>
      </c>
      <c r="AE4346" s="2">
        <f>VLOOKUP(I4346,[1]媒体政策预估表!A:N,MATCH(O4346,[1]媒体政策预估表!$A$2:$M$2,0),0)</f>
        <v>7.0000000000000007E-2</v>
      </c>
      <c r="AF4346" s="6">
        <f t="shared" si="667"/>
        <v>0</v>
      </c>
      <c r="AG4346" s="14">
        <v>0</v>
      </c>
      <c r="AH4346" s="65">
        <f t="shared" si="662"/>
        <v>0</v>
      </c>
      <c r="AI4346" s="47"/>
      <c r="AJ4346" s="126" t="e">
        <v>#N/A</v>
      </c>
      <c r="AK4346" s="80">
        <f t="shared" si="665"/>
        <v>0</v>
      </c>
      <c r="AM4346" s="85"/>
    </row>
    <row r="4347" spans="1:39" hidden="1" x14ac:dyDescent="0.3">
      <c r="A4347" s="89" t="s">
        <v>3394</v>
      </c>
      <c r="B4347" s="86" t="s">
        <v>35</v>
      </c>
      <c r="C4347" s="86" t="s">
        <v>164</v>
      </c>
      <c r="D4347" s="86" t="s">
        <v>174</v>
      </c>
      <c r="E4347" s="86" t="s">
        <v>1996</v>
      </c>
      <c r="F4347" s="86" t="s">
        <v>1996</v>
      </c>
      <c r="G4347" s="86" t="s">
        <v>1996</v>
      </c>
      <c r="H4347" s="143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1997</v>
      </c>
      <c r="N4347" s="86"/>
      <c r="O4347" s="47" t="s">
        <v>410</v>
      </c>
      <c r="P4347" s="47" t="s">
        <v>46</v>
      </c>
      <c r="Q4347" s="14">
        <v>0.02</v>
      </c>
      <c r="R4347" s="143" t="s">
        <v>1998</v>
      </c>
      <c r="S4347" s="47"/>
      <c r="T4347" s="6">
        <v>16064.199999999997</v>
      </c>
      <c r="U4347" s="6"/>
      <c r="V4347" s="6">
        <v>0</v>
      </c>
      <c r="W4347" s="6">
        <f t="shared" ref="W4347:W4410" si="668">T4347+U4347-V4347</f>
        <v>16064.199999999997</v>
      </c>
      <c r="X4347" s="6">
        <f t="shared" ref="X4347:X4410" si="669">IF(P4347="折扣",V4347*Q4347,IF(P4347="返现",V4347,V4347/(1+Q4347)))</f>
        <v>0</v>
      </c>
      <c r="Y4347" s="13">
        <f t="shared" si="663"/>
        <v>0</v>
      </c>
      <c r="Z4347" s="14">
        <v>0</v>
      </c>
      <c r="AA4347" s="6">
        <v>0</v>
      </c>
      <c r="AB4347" s="4">
        <f t="shared" si="664"/>
        <v>0</v>
      </c>
      <c r="AC4347" s="4">
        <f t="shared" si="666"/>
        <v>0</v>
      </c>
      <c r="AD4347" s="6">
        <f t="shared" ref="AD4347:AD4410" si="670">V4347</f>
        <v>0</v>
      </c>
      <c r="AE4347" s="2">
        <f>VLOOKUP(I4347,[1]媒体政策预估表!A:N,MATCH(O4347,[1]媒体政策预估表!$A$2:$M$2,0),0)</f>
        <v>7.0000000000000007E-2</v>
      </c>
      <c r="AF4347" s="6">
        <f t="shared" si="667"/>
        <v>0</v>
      </c>
      <c r="AG4347" s="14">
        <v>0</v>
      </c>
      <c r="AH4347" s="65">
        <f t="shared" ref="AH4347:AH4410" si="671">V4347</f>
        <v>0</v>
      </c>
      <c r="AI4347" s="47"/>
      <c r="AJ4347" s="126" t="e">
        <v>#N/A</v>
      </c>
      <c r="AK4347" s="80">
        <f t="shared" si="665"/>
        <v>0</v>
      </c>
      <c r="AM4347" s="85"/>
    </row>
    <row r="4348" spans="1:39" hidden="1" x14ac:dyDescent="0.3">
      <c r="A4348" s="89" t="s">
        <v>3394</v>
      </c>
      <c r="B4348" s="86" t="s">
        <v>35</v>
      </c>
      <c r="C4348" s="86" t="s">
        <v>164</v>
      </c>
      <c r="D4348" s="86" t="s">
        <v>174</v>
      </c>
      <c r="E4348" s="86" t="s">
        <v>1999</v>
      </c>
      <c r="F4348" s="86" t="s">
        <v>1999</v>
      </c>
      <c r="G4348" s="86" t="s">
        <v>1999</v>
      </c>
      <c r="H4348" s="144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1999</v>
      </c>
      <c r="N4348" s="86"/>
      <c r="O4348" s="47" t="s">
        <v>410</v>
      </c>
      <c r="P4348" s="47" t="s">
        <v>46</v>
      </c>
      <c r="Q4348" s="14">
        <v>0.02</v>
      </c>
      <c r="R4348" s="143" t="s">
        <v>2000</v>
      </c>
      <c r="S4348" s="47"/>
      <c r="T4348" s="6">
        <v>458.29000000000087</v>
      </c>
      <c r="U4348" s="6"/>
      <c r="V4348" s="6">
        <v>458.29000000000087</v>
      </c>
      <c r="W4348" s="6">
        <f t="shared" si="668"/>
        <v>0</v>
      </c>
      <c r="X4348" s="6">
        <f t="shared" si="669"/>
        <v>449.30392156862831</v>
      </c>
      <c r="Y4348" s="13">
        <f t="shared" si="663"/>
        <v>0</v>
      </c>
      <c r="Z4348" s="14">
        <v>0</v>
      </c>
      <c r="AA4348" s="6">
        <v>0</v>
      </c>
      <c r="AB4348" s="4">
        <f t="shared" si="664"/>
        <v>449.30392156862831</v>
      </c>
      <c r="AC4348" s="4">
        <f t="shared" si="666"/>
        <v>8.9860784313725617</v>
      </c>
      <c r="AD4348" s="6">
        <f t="shared" si="670"/>
        <v>458.29000000000087</v>
      </c>
      <c r="AE4348" s="2">
        <f>VLOOKUP(I4348,[1]媒体政策预估表!A:N,MATCH(O4348,[1]媒体政策预估表!$A$2:$M$2,0),0)</f>
        <v>7.0000000000000007E-2</v>
      </c>
      <c r="AF4348" s="6">
        <f t="shared" si="667"/>
        <v>32.080300000000065</v>
      </c>
      <c r="AG4348" s="14">
        <v>0</v>
      </c>
      <c r="AH4348" s="65">
        <f t="shared" si="671"/>
        <v>458.29000000000087</v>
      </c>
      <c r="AI4348" s="47"/>
      <c r="AJ4348" s="126" t="e">
        <v>#N/A</v>
      </c>
      <c r="AK4348" s="80">
        <f t="shared" si="665"/>
        <v>0</v>
      </c>
      <c r="AM4348" s="85"/>
    </row>
    <row r="4349" spans="1:39" hidden="1" x14ac:dyDescent="0.3">
      <c r="A4349" s="89" t="s">
        <v>3394</v>
      </c>
      <c r="B4349" s="86" t="s">
        <v>35</v>
      </c>
      <c r="C4349" s="86" t="s">
        <v>164</v>
      </c>
      <c r="D4349" s="86" t="s">
        <v>174</v>
      </c>
      <c r="E4349" s="86" t="s">
        <v>2001</v>
      </c>
      <c r="F4349" s="86" t="s">
        <v>2001</v>
      </c>
      <c r="G4349" s="86" t="s">
        <v>2001</v>
      </c>
      <c r="H4349" s="143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2001</v>
      </c>
      <c r="N4349" s="86"/>
      <c r="O4349" s="47" t="s">
        <v>410</v>
      </c>
      <c r="P4349" s="47" t="s">
        <v>46</v>
      </c>
      <c r="Q4349" s="14">
        <v>0.02</v>
      </c>
      <c r="R4349" s="143" t="s">
        <v>2002</v>
      </c>
      <c r="S4349" s="47"/>
      <c r="T4349" s="6">
        <v>386</v>
      </c>
      <c r="U4349" s="6"/>
      <c r="V4349" s="6">
        <v>0</v>
      </c>
      <c r="W4349" s="6">
        <f t="shared" si="668"/>
        <v>386</v>
      </c>
      <c r="X4349" s="6">
        <f t="shared" si="669"/>
        <v>0</v>
      </c>
      <c r="Y4349" s="13">
        <f t="shared" si="663"/>
        <v>0</v>
      </c>
      <c r="Z4349" s="14">
        <v>0</v>
      </c>
      <c r="AA4349" s="6">
        <v>0</v>
      </c>
      <c r="AB4349" s="4">
        <f t="shared" si="664"/>
        <v>0</v>
      </c>
      <c r="AC4349" s="4">
        <f t="shared" si="666"/>
        <v>0</v>
      </c>
      <c r="AD4349" s="6">
        <f t="shared" si="670"/>
        <v>0</v>
      </c>
      <c r="AE4349" s="2">
        <f>VLOOKUP(I4349,[1]媒体政策预估表!A:N,MATCH(O4349,[1]媒体政策预估表!$A$2:$M$2,0),0)</f>
        <v>7.0000000000000007E-2</v>
      </c>
      <c r="AF4349" s="6">
        <f t="shared" si="667"/>
        <v>0</v>
      </c>
      <c r="AG4349" s="14">
        <v>0</v>
      </c>
      <c r="AH4349" s="65">
        <f t="shared" si="671"/>
        <v>0</v>
      </c>
      <c r="AI4349" s="47"/>
      <c r="AJ4349" s="126" t="e">
        <v>#N/A</v>
      </c>
      <c r="AK4349" s="80">
        <f t="shared" si="665"/>
        <v>0</v>
      </c>
      <c r="AM4349" s="85"/>
    </row>
    <row r="4350" spans="1:39" hidden="1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2003</v>
      </c>
      <c r="F4350" s="86" t="s">
        <v>2003</v>
      </c>
      <c r="G4350" s="86" t="s">
        <v>2003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2003</v>
      </c>
      <c r="N4350" s="86"/>
      <c r="O4350" s="47" t="s">
        <v>410</v>
      </c>
      <c r="P4350" s="47" t="s">
        <v>41</v>
      </c>
      <c r="Q4350" s="14">
        <v>0</v>
      </c>
      <c r="R4350" s="143" t="s">
        <v>2004</v>
      </c>
      <c r="S4350" s="47"/>
      <c r="T4350" s="6">
        <v>0.99999999998544808</v>
      </c>
      <c r="U4350" s="6"/>
      <c r="V4350" s="6">
        <v>0</v>
      </c>
      <c r="W4350" s="6">
        <f t="shared" si="668"/>
        <v>0.99999999998544808</v>
      </c>
      <c r="X4350" s="6">
        <f t="shared" si="669"/>
        <v>0</v>
      </c>
      <c r="Y4350" s="13">
        <f t="shared" si="663"/>
        <v>0</v>
      </c>
      <c r="Z4350" s="14">
        <v>0</v>
      </c>
      <c r="AA4350" s="6">
        <v>0</v>
      </c>
      <c r="AB4350" s="4">
        <f t="shared" si="664"/>
        <v>0</v>
      </c>
      <c r="AC4350" s="4">
        <f t="shared" si="666"/>
        <v>0</v>
      </c>
      <c r="AD4350" s="6">
        <f t="shared" si="670"/>
        <v>0</v>
      </c>
      <c r="AE4350" s="2">
        <f>VLOOKUP(I4350,[1]媒体政策预估表!A:N,MATCH(O4350,[1]媒体政策预估表!$A$2:$M$2,0),0)</f>
        <v>7.0000000000000007E-2</v>
      </c>
      <c r="AF4350" s="6">
        <f t="shared" si="667"/>
        <v>0</v>
      </c>
      <c r="AG4350" s="14">
        <v>0</v>
      </c>
      <c r="AH4350" s="65">
        <f t="shared" si="671"/>
        <v>0</v>
      </c>
      <c r="AI4350" s="47"/>
      <c r="AJ4350" s="126" t="e">
        <v>#N/A</v>
      </c>
      <c r="AK4350" s="80">
        <f t="shared" si="665"/>
        <v>0</v>
      </c>
      <c r="AM4350" s="85"/>
    </row>
    <row r="4351" spans="1:39" hidden="1" x14ac:dyDescent="0.3">
      <c r="A4351" s="89" t="s">
        <v>3394</v>
      </c>
      <c r="B4351" s="86" t="s">
        <v>35</v>
      </c>
      <c r="C4351" s="86" t="s">
        <v>164</v>
      </c>
      <c r="D4351" s="86" t="s">
        <v>174</v>
      </c>
      <c r="E4351" s="86" t="s">
        <v>2005</v>
      </c>
      <c r="F4351" s="86" t="s">
        <v>2005</v>
      </c>
      <c r="G4351" s="86" t="s">
        <v>2005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2005</v>
      </c>
      <c r="N4351" s="86"/>
      <c r="O4351" s="47" t="s">
        <v>410</v>
      </c>
      <c r="P4351" s="47" t="s">
        <v>46</v>
      </c>
      <c r="Q4351" s="14">
        <v>0.03</v>
      </c>
      <c r="R4351" s="143" t="s">
        <v>2006</v>
      </c>
      <c r="S4351" s="47"/>
      <c r="T4351" s="6">
        <v>-1.3</v>
      </c>
      <c r="U4351" s="6"/>
      <c r="V4351" s="6">
        <v>0</v>
      </c>
      <c r="W4351" s="6">
        <f t="shared" si="668"/>
        <v>-1.3</v>
      </c>
      <c r="X4351" s="6">
        <f t="shared" si="669"/>
        <v>0</v>
      </c>
      <c r="Y4351" s="13">
        <f t="shared" si="663"/>
        <v>0</v>
      </c>
      <c r="Z4351" s="14">
        <v>0</v>
      </c>
      <c r="AA4351" s="6">
        <v>0</v>
      </c>
      <c r="AB4351" s="4">
        <f t="shared" si="664"/>
        <v>0</v>
      </c>
      <c r="AC4351" s="4">
        <f t="shared" si="666"/>
        <v>0</v>
      </c>
      <c r="AD4351" s="6">
        <f t="shared" si="670"/>
        <v>0</v>
      </c>
      <c r="AE4351" s="2">
        <f>VLOOKUP(I4351,[1]媒体政策预估表!A:N,MATCH(O4351,[1]媒体政策预估表!$A$2:$M$2,0),0)</f>
        <v>7.0000000000000007E-2</v>
      </c>
      <c r="AF4351" s="6">
        <f t="shared" si="667"/>
        <v>0</v>
      </c>
      <c r="AG4351" s="14">
        <v>0</v>
      </c>
      <c r="AH4351" s="65">
        <f t="shared" si="671"/>
        <v>0</v>
      </c>
      <c r="AI4351" s="47"/>
      <c r="AJ4351" s="126" t="e">
        <v>#N/A</v>
      </c>
      <c r="AK4351" s="80">
        <f t="shared" si="665"/>
        <v>0</v>
      </c>
      <c r="AM4351" s="85"/>
    </row>
    <row r="4352" spans="1:39" hidden="1" x14ac:dyDescent="0.3">
      <c r="A4352" s="89" t="s">
        <v>3394</v>
      </c>
      <c r="B4352" s="86" t="s">
        <v>35</v>
      </c>
      <c r="C4352" s="86" t="s">
        <v>164</v>
      </c>
      <c r="D4352" s="86" t="s">
        <v>174</v>
      </c>
      <c r="E4352" s="86" t="s">
        <v>2009</v>
      </c>
      <c r="F4352" s="86" t="s">
        <v>2009</v>
      </c>
      <c r="G4352" s="86" t="s">
        <v>2009</v>
      </c>
      <c r="H4352" s="143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2010</v>
      </c>
      <c r="N4352" s="86"/>
      <c r="O4352" s="47" t="s">
        <v>410</v>
      </c>
      <c r="P4352" s="47" t="s">
        <v>46</v>
      </c>
      <c r="Q4352" s="14">
        <v>0.03</v>
      </c>
      <c r="R4352" s="143" t="s">
        <v>2011</v>
      </c>
      <c r="S4352" s="47"/>
      <c r="T4352" s="6">
        <v>234.00000000000182</v>
      </c>
      <c r="U4352" s="6"/>
      <c r="V4352" s="6">
        <v>0</v>
      </c>
      <c r="W4352" s="6">
        <f t="shared" si="668"/>
        <v>234.00000000000182</v>
      </c>
      <c r="X4352" s="6">
        <f t="shared" si="669"/>
        <v>0</v>
      </c>
      <c r="Y4352" s="13">
        <f t="shared" si="663"/>
        <v>0</v>
      </c>
      <c r="Z4352" s="14">
        <v>0</v>
      </c>
      <c r="AA4352" s="6">
        <v>0</v>
      </c>
      <c r="AB4352" s="4"/>
      <c r="AC4352" s="4">
        <f t="shared" si="666"/>
        <v>0</v>
      </c>
      <c r="AD4352" s="6">
        <f t="shared" si="670"/>
        <v>0</v>
      </c>
      <c r="AE4352" s="2">
        <f>VLOOKUP(I4352,[1]媒体政策预估表!A:N,MATCH(O4352,[1]媒体政策预估表!$A$2:$M$2,0),0)</f>
        <v>7.0000000000000007E-2</v>
      </c>
      <c r="AF4352" s="6">
        <f t="shared" si="667"/>
        <v>0</v>
      </c>
      <c r="AG4352" s="14">
        <v>0</v>
      </c>
      <c r="AH4352" s="65">
        <f t="shared" si="671"/>
        <v>0</v>
      </c>
      <c r="AI4352" s="47"/>
      <c r="AJ4352" s="126">
        <v>110</v>
      </c>
      <c r="AK4352" s="80">
        <f t="shared" si="665"/>
        <v>0</v>
      </c>
      <c r="AM4352" s="85"/>
    </row>
    <row r="4353" spans="1:39" hidden="1" x14ac:dyDescent="0.3">
      <c r="A4353" s="89" t="s">
        <v>3395</v>
      </c>
      <c r="B4353" s="86" t="s">
        <v>35</v>
      </c>
      <c r="C4353" s="86" t="s">
        <v>164</v>
      </c>
      <c r="D4353" s="86" t="s">
        <v>174</v>
      </c>
      <c r="E4353" s="86" t="s">
        <v>2012</v>
      </c>
      <c r="F4353" s="86" t="s">
        <v>2012</v>
      </c>
      <c r="G4353" s="86" t="s">
        <v>2012</v>
      </c>
      <c r="H4353" s="143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2013</v>
      </c>
      <c r="N4353" s="86"/>
      <c r="O4353" s="47" t="s">
        <v>410</v>
      </c>
      <c r="P4353" s="47" t="s">
        <v>46</v>
      </c>
      <c r="Q4353" s="14">
        <v>0.02</v>
      </c>
      <c r="R4353" s="143" t="s">
        <v>2014</v>
      </c>
      <c r="S4353" s="47"/>
      <c r="T4353" s="6">
        <v>64863.840000000026</v>
      </c>
      <c r="U4353" s="6"/>
      <c r="V4353" s="6">
        <v>0</v>
      </c>
      <c r="W4353" s="6">
        <f t="shared" si="668"/>
        <v>64863.840000000026</v>
      </c>
      <c r="X4353" s="6">
        <f t="shared" si="669"/>
        <v>0</v>
      </c>
      <c r="Y4353" s="13">
        <f t="shared" si="663"/>
        <v>0</v>
      </c>
      <c r="Z4353" s="14">
        <v>0</v>
      </c>
      <c r="AA4353" s="6">
        <v>0</v>
      </c>
      <c r="AB4353" s="4">
        <f t="shared" si="664"/>
        <v>0</v>
      </c>
      <c r="AC4353" s="4">
        <f t="shared" si="666"/>
        <v>0</v>
      </c>
      <c r="AD4353" s="6">
        <f t="shared" si="670"/>
        <v>0</v>
      </c>
      <c r="AE4353" s="2">
        <f>VLOOKUP(I4353,[1]媒体政策预估表!A:N,MATCH(O4353,[1]媒体政策预估表!$A$2:$M$2,0),0)</f>
        <v>7.0000000000000007E-2</v>
      </c>
      <c r="AF4353" s="6">
        <f t="shared" si="667"/>
        <v>0</v>
      </c>
      <c r="AG4353" s="14">
        <v>0</v>
      </c>
      <c r="AH4353" s="65">
        <f t="shared" si="671"/>
        <v>0</v>
      </c>
      <c r="AI4353" s="47"/>
      <c r="AJ4353" s="126" t="e">
        <v>#N/A</v>
      </c>
      <c r="AK4353" s="80">
        <f t="shared" si="665"/>
        <v>0</v>
      </c>
      <c r="AM4353" s="85"/>
    </row>
    <row r="4354" spans="1:39" hidden="1" x14ac:dyDescent="0.3">
      <c r="A4354" s="89" t="s">
        <v>3395</v>
      </c>
      <c r="B4354" s="86" t="s">
        <v>35</v>
      </c>
      <c r="C4354" s="86" t="s">
        <v>164</v>
      </c>
      <c r="D4354" s="86" t="s">
        <v>174</v>
      </c>
      <c r="E4354" s="86" t="s">
        <v>2015</v>
      </c>
      <c r="F4354" s="86" t="s">
        <v>2015</v>
      </c>
      <c r="G4354" s="86" t="s">
        <v>2015</v>
      </c>
      <c r="H4354" s="143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2015</v>
      </c>
      <c r="N4354" s="86"/>
      <c r="O4354" s="47" t="s">
        <v>410</v>
      </c>
      <c r="P4354" s="47" t="s">
        <v>46</v>
      </c>
      <c r="Q4354" s="14">
        <v>0.04</v>
      </c>
      <c r="R4354" s="143" t="s">
        <v>2016</v>
      </c>
      <c r="S4354" s="47"/>
      <c r="T4354" s="6">
        <v>-1.4</v>
      </c>
      <c r="U4354" s="6"/>
      <c r="V4354" s="6">
        <v>0</v>
      </c>
      <c r="W4354" s="6">
        <f t="shared" si="668"/>
        <v>-1.4</v>
      </c>
      <c r="X4354" s="6">
        <f t="shared" si="669"/>
        <v>0</v>
      </c>
      <c r="Y4354" s="13">
        <f t="shared" si="663"/>
        <v>0</v>
      </c>
      <c r="Z4354" s="14">
        <v>0</v>
      </c>
      <c r="AA4354" s="6">
        <v>0</v>
      </c>
      <c r="AB4354" s="4"/>
      <c r="AC4354" s="4">
        <f t="shared" si="666"/>
        <v>0</v>
      </c>
      <c r="AD4354" s="6">
        <f t="shared" si="670"/>
        <v>0</v>
      </c>
      <c r="AE4354" s="2">
        <f>VLOOKUP(I4354,[1]媒体政策预估表!A:N,MATCH(O4354,[1]媒体政策预估表!$A$2:$M$2,0),0)</f>
        <v>7.0000000000000007E-2</v>
      </c>
      <c r="AF4354" s="6">
        <f t="shared" si="667"/>
        <v>0</v>
      </c>
      <c r="AG4354" s="14">
        <v>0</v>
      </c>
      <c r="AH4354" s="65">
        <f t="shared" si="671"/>
        <v>0</v>
      </c>
      <c r="AI4354" s="47"/>
      <c r="AJ4354" s="126">
        <v>17</v>
      </c>
      <c r="AK4354" s="80">
        <f t="shared" si="665"/>
        <v>0</v>
      </c>
      <c r="AM4354" s="85"/>
    </row>
    <row r="4355" spans="1:39" hidden="1" x14ac:dyDescent="0.3">
      <c r="A4355" s="89" t="s">
        <v>3395</v>
      </c>
      <c r="B4355" s="86" t="s">
        <v>35</v>
      </c>
      <c r="C4355" s="86" t="s">
        <v>164</v>
      </c>
      <c r="D4355" s="86" t="s">
        <v>181</v>
      </c>
      <c r="E4355" s="86" t="s">
        <v>182</v>
      </c>
      <c r="F4355" s="86" t="s">
        <v>183</v>
      </c>
      <c r="G4355" s="86" t="s">
        <v>182</v>
      </c>
      <c r="H4355" s="143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2017</v>
      </c>
      <c r="N4355" s="86"/>
      <c r="O4355" s="47" t="s">
        <v>45</v>
      </c>
      <c r="P4355" s="47" t="s">
        <v>41</v>
      </c>
      <c r="Q4355" s="14">
        <v>0</v>
      </c>
      <c r="R4355" s="143" t="s">
        <v>2018</v>
      </c>
      <c r="S4355" s="47"/>
      <c r="T4355" s="6">
        <v>-619057.95222000009</v>
      </c>
      <c r="U4355" s="6"/>
      <c r="V4355" s="6">
        <v>0</v>
      </c>
      <c r="W4355" s="6">
        <f t="shared" si="668"/>
        <v>-619057.95222000009</v>
      </c>
      <c r="X4355" s="6">
        <f t="shared" si="669"/>
        <v>0</v>
      </c>
      <c r="Y4355" s="13">
        <f t="shared" ref="Y4355:Y4418" si="672">IF(X4355-AD4355&lt;=0,0,IF(P4355="返现",MAX(X4355-AC4355-AD4355,0),MAX(X4355-AD4355)))</f>
        <v>0</v>
      </c>
      <c r="Z4355" s="14">
        <v>0</v>
      </c>
      <c r="AA4355" s="6">
        <v>0</v>
      </c>
      <c r="AB4355" s="4">
        <f t="shared" ref="AB4355:AB4418" si="673">X4355+AA4355</f>
        <v>0</v>
      </c>
      <c r="AC4355" s="4">
        <f t="shared" si="666"/>
        <v>0</v>
      </c>
      <c r="AD4355" s="6">
        <f t="shared" si="670"/>
        <v>0</v>
      </c>
      <c r="AE4355" s="2">
        <f>VLOOKUP(I4355,[1]媒体政策预估表!A:N,MATCH(O4355,[1]媒体政策预估表!$A$2:$M$2,0),0)</f>
        <v>0.12</v>
      </c>
      <c r="AF4355" s="6">
        <f t="shared" si="667"/>
        <v>0</v>
      </c>
      <c r="AG4355" s="14">
        <v>0</v>
      </c>
      <c r="AH4355" s="65">
        <f t="shared" si="671"/>
        <v>0</v>
      </c>
      <c r="AI4355" s="47"/>
      <c r="AJ4355" s="126" t="e">
        <v>#N/A</v>
      </c>
      <c r="AK4355" s="80">
        <f t="shared" ref="AK4355:AK4418" si="674">X4355+AA4355-AB4355</f>
        <v>0</v>
      </c>
      <c r="AM4355" s="85"/>
    </row>
    <row r="4356" spans="1:39" hidden="1" x14ac:dyDescent="0.3">
      <c r="A4356" s="89" t="s">
        <v>3394</v>
      </c>
      <c r="B4356" s="86" t="s">
        <v>35</v>
      </c>
      <c r="C4356" s="86" t="s">
        <v>164</v>
      </c>
      <c r="D4356" s="86" t="s">
        <v>181</v>
      </c>
      <c r="E4356" s="86" t="s">
        <v>182</v>
      </c>
      <c r="F4356" s="86" t="s">
        <v>183</v>
      </c>
      <c r="G4356" s="86" t="s">
        <v>182</v>
      </c>
      <c r="H4356" s="143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2017</v>
      </c>
      <c r="N4356" s="86"/>
      <c r="O4356" s="47" t="s">
        <v>410</v>
      </c>
      <c r="P4356" s="47" t="s">
        <v>41</v>
      </c>
      <c r="Q4356" s="14">
        <v>0</v>
      </c>
      <c r="R4356" s="143" t="s">
        <v>2018</v>
      </c>
      <c r="S4356" s="47"/>
      <c r="T4356" s="6">
        <v>718898.98</v>
      </c>
      <c r="U4356" s="6"/>
      <c r="V4356" s="6">
        <v>0</v>
      </c>
      <c r="W4356" s="6">
        <f t="shared" si="668"/>
        <v>718898.98</v>
      </c>
      <c r="X4356" s="6">
        <f t="shared" si="669"/>
        <v>0</v>
      </c>
      <c r="Y4356" s="13">
        <f t="shared" si="672"/>
        <v>0</v>
      </c>
      <c r="Z4356" s="14">
        <v>0.02</v>
      </c>
      <c r="AA4356" s="6">
        <f>X4356/(1-Z4356)*Z4356</f>
        <v>0</v>
      </c>
      <c r="AB4356" s="4">
        <f t="shared" si="673"/>
        <v>0</v>
      </c>
      <c r="AC4356" s="4">
        <f t="shared" si="666"/>
        <v>0</v>
      </c>
      <c r="AD4356" s="6">
        <f t="shared" si="670"/>
        <v>0</v>
      </c>
      <c r="AE4356" s="2">
        <f>VLOOKUP(I4356,[1]媒体政策预估表!A:N,MATCH(O4356,[1]媒体政策预估表!$A$2:$M$2,0),0)</f>
        <v>7.0000000000000007E-2</v>
      </c>
      <c r="AF4356" s="6">
        <f t="shared" si="667"/>
        <v>0</v>
      </c>
      <c r="AG4356" s="14">
        <v>0</v>
      </c>
      <c r="AH4356" s="65">
        <f t="shared" si="671"/>
        <v>0</v>
      </c>
      <c r="AI4356" s="47"/>
      <c r="AJ4356" s="126" t="e">
        <v>#N/A</v>
      </c>
      <c r="AK4356" s="80">
        <f t="shared" si="674"/>
        <v>0</v>
      </c>
      <c r="AM4356" s="85"/>
    </row>
    <row r="4357" spans="1:39" hidden="1" x14ac:dyDescent="0.3">
      <c r="A4357" s="89" t="s">
        <v>3394</v>
      </c>
      <c r="B4357" s="86" t="s">
        <v>35</v>
      </c>
      <c r="C4357" s="86" t="s">
        <v>65</v>
      </c>
      <c r="D4357" s="86" t="s">
        <v>66</v>
      </c>
      <c r="E4357" s="86" t="s">
        <v>1877</v>
      </c>
      <c r="F4357" s="86" t="s">
        <v>1877</v>
      </c>
      <c r="G4357" s="86" t="s">
        <v>1877</v>
      </c>
      <c r="H4357" s="143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1877</v>
      </c>
      <c r="N4357" s="86"/>
      <c r="O4357" s="47" t="s">
        <v>410</v>
      </c>
      <c r="P4357" s="47" t="s">
        <v>46</v>
      </c>
      <c r="Q4357" s="14">
        <v>0.03</v>
      </c>
      <c r="R4357" s="143" t="s">
        <v>2019</v>
      </c>
      <c r="S4357" s="47"/>
      <c r="T4357" s="6">
        <v>0.99999999999965894</v>
      </c>
      <c r="U4357" s="6"/>
      <c r="V4357" s="6">
        <v>0</v>
      </c>
      <c r="W4357" s="6">
        <f t="shared" si="668"/>
        <v>0.99999999999965894</v>
      </c>
      <c r="X4357" s="6">
        <f t="shared" si="669"/>
        <v>0</v>
      </c>
      <c r="Y4357" s="13">
        <f t="shared" si="672"/>
        <v>0</v>
      </c>
      <c r="Z4357" s="14">
        <v>0</v>
      </c>
      <c r="AA4357" s="6">
        <v>0</v>
      </c>
      <c r="AB4357" s="4">
        <f t="shared" si="673"/>
        <v>0</v>
      </c>
      <c r="AC4357" s="4">
        <f t="shared" si="666"/>
        <v>0</v>
      </c>
      <c r="AD4357" s="6">
        <f t="shared" si="670"/>
        <v>0</v>
      </c>
      <c r="AE4357" s="2">
        <f>VLOOKUP(I4357,[1]媒体政策预估表!A:N,MATCH(O4357,[1]媒体政策预估表!$A$2:$M$2,0),0)</f>
        <v>7.0000000000000007E-2</v>
      </c>
      <c r="AF4357" s="6">
        <f t="shared" si="667"/>
        <v>0</v>
      </c>
      <c r="AG4357" s="14">
        <v>0</v>
      </c>
      <c r="AH4357" s="65">
        <f t="shared" si="671"/>
        <v>0</v>
      </c>
      <c r="AI4357" s="47"/>
      <c r="AJ4357" s="126" t="e">
        <v>#N/A</v>
      </c>
      <c r="AK4357" s="80">
        <f t="shared" si="674"/>
        <v>0</v>
      </c>
      <c r="AM4357" s="85"/>
    </row>
    <row r="4358" spans="1:39" hidden="1" x14ac:dyDescent="0.3">
      <c r="A4358" s="89" t="s">
        <v>3394</v>
      </c>
      <c r="B4358" s="86" t="s">
        <v>35</v>
      </c>
      <c r="C4358" s="86" t="s">
        <v>65</v>
      </c>
      <c r="D4358" s="86" t="s">
        <v>66</v>
      </c>
      <c r="E4358" s="86" t="s">
        <v>2020</v>
      </c>
      <c r="F4358" s="86" t="s">
        <v>2020</v>
      </c>
      <c r="G4358" s="86" t="s">
        <v>2020</v>
      </c>
      <c r="H4358" s="143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2020</v>
      </c>
      <c r="N4358" s="86"/>
      <c r="O4358" s="47" t="s">
        <v>410</v>
      </c>
      <c r="P4358" s="47" t="s">
        <v>46</v>
      </c>
      <c r="Q4358" s="14">
        <v>0.02</v>
      </c>
      <c r="R4358" s="143" t="s">
        <v>2021</v>
      </c>
      <c r="S4358" s="47"/>
      <c r="T4358" s="6">
        <v>485.58999999999651</v>
      </c>
      <c r="U4358" s="6"/>
      <c r="V4358" s="6">
        <v>0</v>
      </c>
      <c r="W4358" s="6">
        <f t="shared" si="668"/>
        <v>485.58999999999651</v>
      </c>
      <c r="X4358" s="6">
        <f t="shared" si="669"/>
        <v>0</v>
      </c>
      <c r="Y4358" s="13">
        <f t="shared" si="672"/>
        <v>0</v>
      </c>
      <c r="Z4358" s="14">
        <v>0</v>
      </c>
      <c r="AA4358" s="6">
        <v>0</v>
      </c>
      <c r="AB4358" s="4">
        <f t="shared" si="673"/>
        <v>0</v>
      </c>
      <c r="AC4358" s="4">
        <f t="shared" si="666"/>
        <v>0</v>
      </c>
      <c r="AD4358" s="6">
        <f t="shared" si="670"/>
        <v>0</v>
      </c>
      <c r="AE4358" s="2">
        <f>VLOOKUP(I4358,[1]媒体政策预估表!A:N,MATCH(O4358,[1]媒体政策预估表!$A$2:$M$2,0),0)</f>
        <v>7.0000000000000007E-2</v>
      </c>
      <c r="AF4358" s="6">
        <f t="shared" si="667"/>
        <v>0</v>
      </c>
      <c r="AG4358" s="14">
        <v>0</v>
      </c>
      <c r="AH4358" s="65">
        <f t="shared" si="671"/>
        <v>0</v>
      </c>
      <c r="AI4358" s="47"/>
      <c r="AJ4358" s="126" t="e">
        <v>#N/A</v>
      </c>
      <c r="AK4358" s="80">
        <f t="shared" si="674"/>
        <v>0</v>
      </c>
      <c r="AM4358" s="85"/>
    </row>
    <row r="4359" spans="1:39" hidden="1" x14ac:dyDescent="0.3">
      <c r="A4359" s="89" t="s">
        <v>3394</v>
      </c>
      <c r="B4359" s="86" t="s">
        <v>35</v>
      </c>
      <c r="C4359" s="86" t="s">
        <v>36</v>
      </c>
      <c r="D4359" s="86" t="s">
        <v>3486</v>
      </c>
      <c r="E4359" s="86" t="s">
        <v>1349</v>
      </c>
      <c r="F4359" s="86" t="s">
        <v>1349</v>
      </c>
      <c r="G4359" s="86" t="s">
        <v>1349</v>
      </c>
      <c r="H4359" s="143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 t="s">
        <v>1349</v>
      </c>
      <c r="N4359" s="86"/>
      <c r="O4359" s="47" t="s">
        <v>410</v>
      </c>
      <c r="P4359" s="47" t="s">
        <v>41</v>
      </c>
      <c r="Q4359" s="14">
        <v>0</v>
      </c>
      <c r="R4359" s="143" t="s">
        <v>2022</v>
      </c>
      <c r="S4359" s="47"/>
      <c r="T4359" s="6">
        <v>-3.6999999999970896</v>
      </c>
      <c r="U4359" s="6"/>
      <c r="V4359" s="6">
        <v>0</v>
      </c>
      <c r="W4359" s="6">
        <f t="shared" si="668"/>
        <v>-3.6999999999970896</v>
      </c>
      <c r="X4359" s="6">
        <f t="shared" si="669"/>
        <v>0</v>
      </c>
      <c r="Y4359" s="13">
        <f t="shared" si="672"/>
        <v>0</v>
      </c>
      <c r="Z4359" s="14">
        <v>0</v>
      </c>
      <c r="AA4359" s="6">
        <v>0</v>
      </c>
      <c r="AB4359" s="4">
        <f t="shared" si="673"/>
        <v>0</v>
      </c>
      <c r="AC4359" s="4">
        <f t="shared" si="666"/>
        <v>0</v>
      </c>
      <c r="AD4359" s="6">
        <f t="shared" si="670"/>
        <v>0</v>
      </c>
      <c r="AE4359" s="2">
        <f>VLOOKUP(I4359,[1]媒体政策预估表!A:N,MATCH(O4359,[1]媒体政策预估表!$A$2:$M$2,0),0)</f>
        <v>7.0000000000000007E-2</v>
      </c>
      <c r="AF4359" s="6">
        <f t="shared" si="667"/>
        <v>0</v>
      </c>
      <c r="AG4359" s="14">
        <v>0</v>
      </c>
      <c r="AH4359" s="65">
        <f t="shared" si="671"/>
        <v>0</v>
      </c>
      <c r="AI4359" s="47"/>
      <c r="AJ4359" s="126" t="e">
        <v>#N/A</v>
      </c>
      <c r="AK4359" s="80">
        <f t="shared" si="674"/>
        <v>0</v>
      </c>
      <c r="AM4359" s="85"/>
    </row>
    <row r="4360" spans="1:39" hidden="1" x14ac:dyDescent="0.3">
      <c r="A4360" s="89" t="s">
        <v>3394</v>
      </c>
      <c r="B4360" s="86" t="s">
        <v>35</v>
      </c>
      <c r="C4360" s="86" t="s">
        <v>164</v>
      </c>
      <c r="D4360" s="86" t="s">
        <v>174</v>
      </c>
      <c r="E4360" s="86" t="s">
        <v>2023</v>
      </c>
      <c r="F4360" s="86" t="s">
        <v>2023</v>
      </c>
      <c r="G4360" s="86" t="s">
        <v>2023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 t="s">
        <v>2023</v>
      </c>
      <c r="N4360" s="86"/>
      <c r="O4360" s="47" t="s">
        <v>410</v>
      </c>
      <c r="P4360" s="47" t="s">
        <v>46</v>
      </c>
      <c r="Q4360" s="14">
        <v>0.02</v>
      </c>
      <c r="R4360" s="143" t="s">
        <v>2024</v>
      </c>
      <c r="S4360" s="47"/>
      <c r="T4360" s="6">
        <v>19056.900000000005</v>
      </c>
      <c r="U4360" s="6"/>
      <c r="V4360" s="6">
        <v>14976.5</v>
      </c>
      <c r="W4360" s="6">
        <f t="shared" si="668"/>
        <v>4080.4000000000051</v>
      </c>
      <c r="X4360" s="6">
        <f t="shared" si="669"/>
        <v>14682.843137254902</v>
      </c>
      <c r="Y4360" s="13">
        <f t="shared" si="672"/>
        <v>0</v>
      </c>
      <c r="Z4360" s="14">
        <v>0</v>
      </c>
      <c r="AA4360" s="6">
        <v>0</v>
      </c>
      <c r="AB4360" s="4">
        <f t="shared" si="673"/>
        <v>14682.843137254902</v>
      </c>
      <c r="AC4360" s="4">
        <f t="shared" si="666"/>
        <v>293.6568627450979</v>
      </c>
      <c r="AD4360" s="6">
        <f t="shared" si="670"/>
        <v>14976.5</v>
      </c>
      <c r="AE4360" s="2">
        <f>VLOOKUP(I4360,[1]媒体政策预估表!A:N,MATCH(O4360,[1]媒体政策预估表!$A$2:$M$2,0),0)</f>
        <v>7.0000000000000007E-2</v>
      </c>
      <c r="AF4360" s="6">
        <f t="shared" si="667"/>
        <v>1048.355</v>
      </c>
      <c r="AG4360" s="14">
        <v>0</v>
      </c>
      <c r="AH4360" s="65">
        <f t="shared" si="671"/>
        <v>14976.5</v>
      </c>
      <c r="AI4360" s="47"/>
      <c r="AJ4360" s="126" t="e">
        <v>#N/A</v>
      </c>
      <c r="AK4360" s="80">
        <f t="shared" si="674"/>
        <v>0</v>
      </c>
      <c r="AM4360" s="85"/>
    </row>
    <row r="4361" spans="1:39" hidden="1" x14ac:dyDescent="0.3">
      <c r="A4361" s="89" t="s">
        <v>3394</v>
      </c>
      <c r="B4361" s="86" t="s">
        <v>35</v>
      </c>
      <c r="C4361" s="86" t="s">
        <v>164</v>
      </c>
      <c r="D4361" s="86" t="s">
        <v>174</v>
      </c>
      <c r="E4361" s="86" t="s">
        <v>239</v>
      </c>
      <c r="F4361" s="86" t="s">
        <v>308</v>
      </c>
      <c r="G4361" s="86" t="s">
        <v>239</v>
      </c>
      <c r="H4361" s="143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 t="s">
        <v>239</v>
      </c>
      <c r="N4361" s="86"/>
      <c r="O4361" s="47" t="s">
        <v>410</v>
      </c>
      <c r="P4361" s="47" t="s">
        <v>41</v>
      </c>
      <c r="Q4361" s="14">
        <v>0</v>
      </c>
      <c r="R4361" s="143" t="s">
        <v>2025</v>
      </c>
      <c r="S4361" s="47"/>
      <c r="T4361" s="6">
        <v>10222.209999999999</v>
      </c>
      <c r="U4361" s="6"/>
      <c r="V4361" s="6">
        <v>0</v>
      </c>
      <c r="W4361" s="6">
        <f t="shared" si="668"/>
        <v>10222.209999999999</v>
      </c>
      <c r="X4361" s="6">
        <f t="shared" si="669"/>
        <v>0</v>
      </c>
      <c r="Y4361" s="13">
        <f t="shared" si="672"/>
        <v>0</v>
      </c>
      <c r="Z4361" s="14">
        <v>0</v>
      </c>
      <c r="AA4361" s="6">
        <v>0</v>
      </c>
      <c r="AB4361" s="4">
        <f t="shared" si="673"/>
        <v>0</v>
      </c>
      <c r="AC4361" s="4">
        <f t="shared" si="666"/>
        <v>0</v>
      </c>
      <c r="AD4361" s="6">
        <f t="shared" si="670"/>
        <v>0</v>
      </c>
      <c r="AE4361" s="2">
        <f>VLOOKUP(I4361,[1]媒体政策预估表!A:N,MATCH(O4361,[1]媒体政策预估表!$A$2:$M$2,0),0)</f>
        <v>7.0000000000000007E-2</v>
      </c>
      <c r="AF4361" s="6">
        <f t="shared" si="667"/>
        <v>0</v>
      </c>
      <c r="AG4361" s="14">
        <v>0</v>
      </c>
      <c r="AH4361" s="65">
        <f t="shared" si="671"/>
        <v>0</v>
      </c>
      <c r="AI4361" s="47"/>
      <c r="AJ4361" s="126" t="e">
        <v>#N/A</v>
      </c>
      <c r="AK4361" s="80">
        <f t="shared" si="674"/>
        <v>0</v>
      </c>
      <c r="AM4361" s="85"/>
    </row>
    <row r="4362" spans="1:39" hidden="1" x14ac:dyDescent="0.3">
      <c r="A4362" s="89" t="s">
        <v>3395</v>
      </c>
      <c r="B4362" s="86" t="s">
        <v>35</v>
      </c>
      <c r="C4362" s="86" t="s">
        <v>164</v>
      </c>
      <c r="D4362" s="86" t="s">
        <v>174</v>
      </c>
      <c r="E4362" s="86" t="s">
        <v>1711</v>
      </c>
      <c r="F4362" s="86" t="s">
        <v>1711</v>
      </c>
      <c r="G4362" s="86" t="s">
        <v>1711</v>
      </c>
      <c r="H4362" s="143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 t="s">
        <v>2026</v>
      </c>
      <c r="N4362" s="86"/>
      <c r="O4362" s="47" t="s">
        <v>410</v>
      </c>
      <c r="P4362" s="47" t="s">
        <v>46</v>
      </c>
      <c r="Q4362" s="14">
        <v>0.02</v>
      </c>
      <c r="R4362" s="143" t="s">
        <v>2027</v>
      </c>
      <c r="S4362" s="47"/>
      <c r="T4362" s="6">
        <v>30</v>
      </c>
      <c r="U4362" s="6"/>
      <c r="V4362" s="6">
        <v>0</v>
      </c>
      <c r="W4362" s="6">
        <f t="shared" si="668"/>
        <v>30</v>
      </c>
      <c r="X4362" s="6">
        <f t="shared" si="669"/>
        <v>0</v>
      </c>
      <c r="Y4362" s="13">
        <f t="shared" si="672"/>
        <v>0</v>
      </c>
      <c r="Z4362" s="14">
        <v>0</v>
      </c>
      <c r="AA4362" s="6">
        <v>0</v>
      </c>
      <c r="AB4362" s="4">
        <f t="shared" si="673"/>
        <v>0</v>
      </c>
      <c r="AC4362" s="4">
        <f t="shared" si="666"/>
        <v>0</v>
      </c>
      <c r="AD4362" s="6">
        <f t="shared" si="670"/>
        <v>0</v>
      </c>
      <c r="AE4362" s="2">
        <f>VLOOKUP(I4362,[1]媒体政策预估表!A:N,MATCH(O4362,[1]媒体政策预估表!$A$2:$M$2,0),0)</f>
        <v>7.0000000000000007E-2</v>
      </c>
      <c r="AF4362" s="6">
        <f t="shared" si="667"/>
        <v>0</v>
      </c>
      <c r="AG4362" s="14">
        <v>0</v>
      </c>
      <c r="AH4362" s="65">
        <f t="shared" si="671"/>
        <v>0</v>
      </c>
      <c r="AI4362" s="47"/>
      <c r="AJ4362" s="126" t="e">
        <v>#N/A</v>
      </c>
      <c r="AK4362" s="80">
        <f t="shared" si="674"/>
        <v>0</v>
      </c>
      <c r="AM4362" s="85"/>
    </row>
    <row r="4363" spans="1:39" hidden="1" x14ac:dyDescent="0.3">
      <c r="A4363" s="89" t="s">
        <v>3394</v>
      </c>
      <c r="B4363" s="86" t="s">
        <v>35</v>
      </c>
      <c r="C4363" s="86" t="s">
        <v>164</v>
      </c>
      <c r="D4363" s="86" t="s">
        <v>174</v>
      </c>
      <c r="E4363" s="86" t="s">
        <v>2028</v>
      </c>
      <c r="F4363" s="86" t="s">
        <v>2028</v>
      </c>
      <c r="G4363" s="86" t="s">
        <v>2028</v>
      </c>
      <c r="H4363" s="143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 t="s">
        <v>2028</v>
      </c>
      <c r="N4363" s="86"/>
      <c r="O4363" s="47" t="s">
        <v>410</v>
      </c>
      <c r="P4363" s="47" t="s">
        <v>46</v>
      </c>
      <c r="Q4363" s="14">
        <v>0.03</v>
      </c>
      <c r="R4363" s="143">
        <v>13472654320</v>
      </c>
      <c r="S4363" s="47"/>
      <c r="T4363" s="6">
        <v>459.70000000000073</v>
      </c>
      <c r="U4363" s="6"/>
      <c r="V4363" s="6">
        <v>0</v>
      </c>
      <c r="W4363" s="6">
        <f t="shared" si="668"/>
        <v>459.70000000000073</v>
      </c>
      <c r="X4363" s="6">
        <f t="shared" si="669"/>
        <v>0</v>
      </c>
      <c r="Y4363" s="13">
        <f t="shared" si="672"/>
        <v>0</v>
      </c>
      <c r="Z4363" s="14">
        <v>0</v>
      </c>
      <c r="AA4363" s="6">
        <v>0</v>
      </c>
      <c r="AB4363" s="4">
        <f t="shared" si="673"/>
        <v>0</v>
      </c>
      <c r="AC4363" s="4">
        <f t="shared" si="666"/>
        <v>0</v>
      </c>
      <c r="AD4363" s="6">
        <f t="shared" si="670"/>
        <v>0</v>
      </c>
      <c r="AE4363" s="2">
        <f>VLOOKUP(I4363,[1]媒体政策预估表!A:N,MATCH(O4363,[1]媒体政策预估表!$A$2:$M$2,0),0)</f>
        <v>7.0000000000000007E-2</v>
      </c>
      <c r="AF4363" s="6">
        <f t="shared" si="667"/>
        <v>0</v>
      </c>
      <c r="AG4363" s="14">
        <v>0</v>
      </c>
      <c r="AH4363" s="65">
        <f t="shared" si="671"/>
        <v>0</v>
      </c>
      <c r="AI4363" s="47"/>
      <c r="AJ4363" s="126" t="e">
        <v>#N/A</v>
      </c>
      <c r="AK4363" s="80">
        <f t="shared" si="674"/>
        <v>0</v>
      </c>
      <c r="AM4363" s="85"/>
    </row>
    <row r="4364" spans="1:39" hidden="1" x14ac:dyDescent="0.3">
      <c r="A4364" s="89" t="s">
        <v>3395</v>
      </c>
      <c r="B4364" s="86" t="s">
        <v>35</v>
      </c>
      <c r="C4364" s="86" t="s">
        <v>36</v>
      </c>
      <c r="D4364" s="86" t="s">
        <v>224</v>
      </c>
      <c r="E4364" s="86" t="s">
        <v>1108</v>
      </c>
      <c r="F4364" s="86" t="s">
        <v>1108</v>
      </c>
      <c r="G4364" s="86" t="s">
        <v>1108</v>
      </c>
      <c r="H4364" s="143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 t="s">
        <v>2030</v>
      </c>
      <c r="N4364" s="86"/>
      <c r="O4364" s="47" t="s">
        <v>410</v>
      </c>
      <c r="P4364" s="47" t="s">
        <v>41</v>
      </c>
      <c r="Q4364" s="14">
        <v>0</v>
      </c>
      <c r="R4364" s="143" t="s">
        <v>1112</v>
      </c>
      <c r="S4364" s="47"/>
      <c r="T4364" s="6">
        <v>7180.6399999999994</v>
      </c>
      <c r="U4364" s="6"/>
      <c r="V4364" s="6">
        <v>0</v>
      </c>
      <c r="W4364" s="6">
        <f t="shared" si="668"/>
        <v>7180.6399999999994</v>
      </c>
      <c r="X4364" s="6">
        <f t="shared" si="669"/>
        <v>0</v>
      </c>
      <c r="Y4364" s="13">
        <f t="shared" si="672"/>
        <v>0</v>
      </c>
      <c r="Z4364" s="14">
        <v>0</v>
      </c>
      <c r="AA4364" s="6">
        <v>0</v>
      </c>
      <c r="AB4364" s="4">
        <f t="shared" si="673"/>
        <v>0</v>
      </c>
      <c r="AC4364" s="4">
        <f t="shared" ref="AC4364:AC4427" si="675">IF(P4364="返现",X4364*Q4364,V4364-X4364)</f>
        <v>0</v>
      </c>
      <c r="AD4364" s="6">
        <f t="shared" si="670"/>
        <v>0</v>
      </c>
      <c r="AE4364" s="2">
        <f>VLOOKUP(I4364,[1]媒体政策预估表!A:N,MATCH(O4364,[1]媒体政策预估表!$A$2:$M$2,0),0)</f>
        <v>7.0000000000000007E-2</v>
      </c>
      <c r="AF4364" s="6">
        <f t="shared" ref="AF4364:AF4427" si="676">AD4364*AE4364</f>
        <v>0</v>
      </c>
      <c r="AG4364" s="14">
        <v>0</v>
      </c>
      <c r="AH4364" s="65">
        <f t="shared" si="671"/>
        <v>0</v>
      </c>
      <c r="AI4364" s="47"/>
      <c r="AJ4364" s="126" t="e">
        <v>#N/A</v>
      </c>
      <c r="AK4364" s="80">
        <f t="shared" si="674"/>
        <v>0</v>
      </c>
      <c r="AM4364" s="85"/>
    </row>
    <row r="4365" spans="1:39" hidden="1" x14ac:dyDescent="0.3">
      <c r="A4365" s="89" t="s">
        <v>3394</v>
      </c>
      <c r="B4365" s="86" t="s">
        <v>35</v>
      </c>
      <c r="C4365" s="86" t="s">
        <v>65</v>
      </c>
      <c r="D4365" s="86" t="s">
        <v>66</v>
      </c>
      <c r="E4365" s="86" t="s">
        <v>2031</v>
      </c>
      <c r="F4365" s="86" t="s">
        <v>2031</v>
      </c>
      <c r="G4365" s="86" t="s">
        <v>2031</v>
      </c>
      <c r="H4365" s="143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 t="s">
        <v>2032</v>
      </c>
      <c r="N4365" s="86"/>
      <c r="O4365" s="47" t="s">
        <v>410</v>
      </c>
      <c r="P4365" s="47" t="s">
        <v>41</v>
      </c>
      <c r="Q4365" s="14">
        <v>0</v>
      </c>
      <c r="R4365" s="143" t="s">
        <v>2033</v>
      </c>
      <c r="S4365" s="47"/>
      <c r="T4365" s="6">
        <v>473.05999999999767</v>
      </c>
      <c r="U4365" s="6"/>
      <c r="V4365" s="6">
        <v>0</v>
      </c>
      <c r="W4365" s="6">
        <f t="shared" si="668"/>
        <v>473.05999999999767</v>
      </c>
      <c r="X4365" s="6">
        <f t="shared" si="669"/>
        <v>0</v>
      </c>
      <c r="Y4365" s="13">
        <f t="shared" si="672"/>
        <v>0</v>
      </c>
      <c r="Z4365" s="14">
        <v>0</v>
      </c>
      <c r="AA4365" s="6">
        <v>0</v>
      </c>
      <c r="AB4365" s="4">
        <f t="shared" si="673"/>
        <v>0</v>
      </c>
      <c r="AC4365" s="4">
        <f t="shared" si="675"/>
        <v>0</v>
      </c>
      <c r="AD4365" s="6">
        <f t="shared" si="670"/>
        <v>0</v>
      </c>
      <c r="AE4365" s="2">
        <f>VLOOKUP(I4365,[1]媒体政策预估表!A:N,MATCH(O4365,[1]媒体政策预估表!$A$2:$M$2,0),0)</f>
        <v>7.0000000000000007E-2</v>
      </c>
      <c r="AF4365" s="6">
        <f t="shared" si="676"/>
        <v>0</v>
      </c>
      <c r="AG4365" s="14">
        <v>0</v>
      </c>
      <c r="AH4365" s="65">
        <f t="shared" si="671"/>
        <v>0</v>
      </c>
      <c r="AI4365" s="47"/>
      <c r="AJ4365" s="126" t="e">
        <v>#N/A</v>
      </c>
      <c r="AK4365" s="80">
        <f t="shared" si="674"/>
        <v>0</v>
      </c>
      <c r="AM4365" s="85"/>
    </row>
    <row r="4366" spans="1:39" hidden="1" x14ac:dyDescent="0.3">
      <c r="A4366" s="89" t="s">
        <v>3394</v>
      </c>
      <c r="B4366" s="86" t="s">
        <v>35</v>
      </c>
      <c r="C4366" s="86" t="s">
        <v>144</v>
      </c>
      <c r="D4366" s="86" t="s">
        <v>145</v>
      </c>
      <c r="E4366" s="86" t="s">
        <v>1416</v>
      </c>
      <c r="F4366" s="86" t="s">
        <v>1416</v>
      </c>
      <c r="G4366" s="86" t="s">
        <v>1416</v>
      </c>
      <c r="H4366" s="143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 t="s">
        <v>1416</v>
      </c>
      <c r="N4366" s="86"/>
      <c r="O4366" s="47" t="s">
        <v>45</v>
      </c>
      <c r="P4366" s="47" t="s">
        <v>46</v>
      </c>
      <c r="Q4366" s="14">
        <v>0.02</v>
      </c>
      <c r="R4366" s="143" t="s">
        <v>2034</v>
      </c>
      <c r="S4366" s="47"/>
      <c r="T4366" s="6">
        <v>1161555.46</v>
      </c>
      <c r="U4366" s="6"/>
      <c r="V4366" s="6">
        <v>0</v>
      </c>
      <c r="W4366" s="6">
        <f t="shared" si="668"/>
        <v>1161555.46</v>
      </c>
      <c r="X4366" s="6">
        <f t="shared" si="669"/>
        <v>0</v>
      </c>
      <c r="Y4366" s="13">
        <f t="shared" si="672"/>
        <v>0</v>
      </c>
      <c r="Z4366" s="14">
        <v>0</v>
      </c>
      <c r="AA4366" s="6">
        <v>0</v>
      </c>
      <c r="AB4366" s="4">
        <f t="shared" si="673"/>
        <v>0</v>
      </c>
      <c r="AC4366" s="4">
        <f t="shared" si="675"/>
        <v>0</v>
      </c>
      <c r="AD4366" s="6">
        <f t="shared" si="670"/>
        <v>0</v>
      </c>
      <c r="AE4366" s="2">
        <f>VLOOKUP(I4366,[1]媒体政策预估表!A:N,MATCH(O4366,[1]媒体政策预估表!$A$2:$M$2,0),0)</f>
        <v>0.12</v>
      </c>
      <c r="AF4366" s="6">
        <f t="shared" si="676"/>
        <v>0</v>
      </c>
      <c r="AG4366" s="14">
        <v>0</v>
      </c>
      <c r="AH4366" s="65">
        <f t="shared" si="671"/>
        <v>0</v>
      </c>
      <c r="AI4366" s="47"/>
      <c r="AJ4366" s="126" t="e">
        <v>#N/A</v>
      </c>
      <c r="AK4366" s="80">
        <f t="shared" si="674"/>
        <v>0</v>
      </c>
      <c r="AM4366" s="85"/>
    </row>
    <row r="4367" spans="1:39" hidden="1" x14ac:dyDescent="0.3">
      <c r="A4367" s="89" t="s">
        <v>3394</v>
      </c>
      <c r="B4367" s="86" t="s">
        <v>35</v>
      </c>
      <c r="C4367" s="86" t="s">
        <v>164</v>
      </c>
      <c r="D4367" s="86" t="s">
        <v>165</v>
      </c>
      <c r="E4367" s="86" t="s">
        <v>2035</v>
      </c>
      <c r="F4367" s="86" t="s">
        <v>2036</v>
      </c>
      <c r="G4367" s="86" t="s">
        <v>2035</v>
      </c>
      <c r="H4367" s="143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 t="s">
        <v>2037</v>
      </c>
      <c r="N4367" s="86"/>
      <c r="O4367" s="47" t="s">
        <v>410</v>
      </c>
      <c r="P4367" s="47" t="s">
        <v>46</v>
      </c>
      <c r="Q4367" s="14">
        <v>0.05</v>
      </c>
      <c r="R4367" s="143" t="s">
        <v>2038</v>
      </c>
      <c r="S4367" s="47"/>
      <c r="T4367" s="6">
        <v>466.36999999999972</v>
      </c>
      <c r="U4367" s="6"/>
      <c r="V4367" s="6">
        <v>0</v>
      </c>
      <c r="W4367" s="6">
        <f t="shared" si="668"/>
        <v>466.36999999999972</v>
      </c>
      <c r="X4367" s="6">
        <f t="shared" si="669"/>
        <v>0</v>
      </c>
      <c r="Y4367" s="13">
        <f t="shared" si="672"/>
        <v>0</v>
      </c>
      <c r="Z4367" s="14">
        <v>0</v>
      </c>
      <c r="AA4367" s="6">
        <v>0</v>
      </c>
      <c r="AB4367" s="4">
        <f t="shared" si="673"/>
        <v>0</v>
      </c>
      <c r="AC4367" s="4">
        <f t="shared" si="675"/>
        <v>0</v>
      </c>
      <c r="AD4367" s="6">
        <f t="shared" si="670"/>
        <v>0</v>
      </c>
      <c r="AE4367" s="2">
        <f>VLOOKUP(I4367,[1]媒体政策预估表!A:N,MATCH(O4367,[1]媒体政策预估表!$A$2:$M$2,0),0)</f>
        <v>7.0000000000000007E-2</v>
      </c>
      <c r="AF4367" s="6">
        <f t="shared" si="676"/>
        <v>0</v>
      </c>
      <c r="AG4367" s="14">
        <v>0</v>
      </c>
      <c r="AH4367" s="65">
        <f t="shared" si="671"/>
        <v>0</v>
      </c>
      <c r="AI4367" s="47"/>
      <c r="AJ4367" s="126" t="e">
        <v>#N/A</v>
      </c>
      <c r="AK4367" s="80">
        <f t="shared" si="674"/>
        <v>0</v>
      </c>
      <c r="AM4367" s="85"/>
    </row>
    <row r="4368" spans="1:39" hidden="1" x14ac:dyDescent="0.3">
      <c r="A4368" s="89" t="s">
        <v>3394</v>
      </c>
      <c r="B4368" s="86" t="s">
        <v>35</v>
      </c>
      <c r="C4368" s="86" t="s">
        <v>164</v>
      </c>
      <c r="D4368" s="86" t="s">
        <v>174</v>
      </c>
      <c r="E4368" s="86" t="s">
        <v>2039</v>
      </c>
      <c r="F4368" s="86" t="s">
        <v>2039</v>
      </c>
      <c r="G4368" s="86" t="s">
        <v>2039</v>
      </c>
      <c r="H4368" s="143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 t="s">
        <v>2039</v>
      </c>
      <c r="N4368" s="86"/>
      <c r="O4368" s="47" t="s">
        <v>410</v>
      </c>
      <c r="P4368" s="47" t="s">
        <v>46</v>
      </c>
      <c r="Q4368" s="14">
        <v>0.02</v>
      </c>
      <c r="R4368" s="143" t="s">
        <v>2040</v>
      </c>
      <c r="S4368" s="47"/>
      <c r="T4368" s="6">
        <v>485.10000000000036</v>
      </c>
      <c r="U4368" s="6"/>
      <c r="V4368" s="6">
        <v>0</v>
      </c>
      <c r="W4368" s="6">
        <f t="shared" si="668"/>
        <v>485.10000000000036</v>
      </c>
      <c r="X4368" s="6">
        <f t="shared" si="669"/>
        <v>0</v>
      </c>
      <c r="Y4368" s="13">
        <f t="shared" si="672"/>
        <v>0</v>
      </c>
      <c r="Z4368" s="14">
        <v>0</v>
      </c>
      <c r="AA4368" s="6">
        <v>0</v>
      </c>
      <c r="AB4368" s="4">
        <f t="shared" si="673"/>
        <v>0</v>
      </c>
      <c r="AC4368" s="4">
        <f t="shared" si="675"/>
        <v>0</v>
      </c>
      <c r="AD4368" s="6">
        <f t="shared" si="670"/>
        <v>0</v>
      </c>
      <c r="AE4368" s="2">
        <f>VLOOKUP(I4368,[1]媒体政策预估表!A:N,MATCH(O4368,[1]媒体政策预估表!$A$2:$M$2,0),0)</f>
        <v>7.0000000000000007E-2</v>
      </c>
      <c r="AF4368" s="6">
        <f t="shared" si="676"/>
        <v>0</v>
      </c>
      <c r="AG4368" s="14">
        <v>0</v>
      </c>
      <c r="AH4368" s="65">
        <f t="shared" si="671"/>
        <v>0</v>
      </c>
      <c r="AI4368" s="47"/>
      <c r="AJ4368" s="126" t="e">
        <v>#N/A</v>
      </c>
      <c r="AK4368" s="80">
        <f t="shared" si="674"/>
        <v>0</v>
      </c>
      <c r="AM4368" s="85"/>
    </row>
    <row r="4369" spans="1:39" hidden="1" x14ac:dyDescent="0.3">
      <c r="A4369" s="89" t="s">
        <v>3395</v>
      </c>
      <c r="B4369" s="86" t="s">
        <v>35</v>
      </c>
      <c r="C4369" s="86" t="s">
        <v>36</v>
      </c>
      <c r="D4369" s="86" t="s">
        <v>224</v>
      </c>
      <c r="E4369" s="86" t="s">
        <v>2042</v>
      </c>
      <c r="F4369" s="86" t="s">
        <v>2042</v>
      </c>
      <c r="G4369" s="86" t="s">
        <v>2042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2042</v>
      </c>
      <c r="N4369" s="86"/>
      <c r="O4369" s="47" t="s">
        <v>410</v>
      </c>
      <c r="P4369" s="47" t="s">
        <v>46</v>
      </c>
      <c r="Q4369" s="14">
        <v>0.02</v>
      </c>
      <c r="R4369" s="143" t="s">
        <v>2043</v>
      </c>
      <c r="S4369" s="47"/>
      <c r="T4369" s="6">
        <v>489.29999999999927</v>
      </c>
      <c r="U4369" s="6"/>
      <c r="V4369" s="6">
        <v>0</v>
      </c>
      <c r="W4369" s="6">
        <f t="shared" si="668"/>
        <v>489.29999999999927</v>
      </c>
      <c r="X4369" s="6">
        <f t="shared" si="669"/>
        <v>0</v>
      </c>
      <c r="Y4369" s="13">
        <f t="shared" si="672"/>
        <v>0</v>
      </c>
      <c r="Z4369" s="14">
        <v>0</v>
      </c>
      <c r="AA4369" s="6">
        <v>0</v>
      </c>
      <c r="AB4369" s="4">
        <f t="shared" si="673"/>
        <v>0</v>
      </c>
      <c r="AC4369" s="4">
        <f t="shared" si="675"/>
        <v>0</v>
      </c>
      <c r="AD4369" s="6">
        <f t="shared" si="670"/>
        <v>0</v>
      </c>
      <c r="AE4369" s="2">
        <f>VLOOKUP(I4369,[1]媒体政策预估表!A:N,MATCH(O4369,[1]媒体政策预估表!$A$2:$M$2,0),0)</f>
        <v>7.0000000000000007E-2</v>
      </c>
      <c r="AF4369" s="6">
        <f t="shared" si="676"/>
        <v>0</v>
      </c>
      <c r="AG4369" s="14">
        <v>0</v>
      </c>
      <c r="AH4369" s="65">
        <f t="shared" si="671"/>
        <v>0</v>
      </c>
      <c r="AI4369" s="47"/>
      <c r="AJ4369" s="126" t="e">
        <v>#N/A</v>
      </c>
      <c r="AK4369" s="80">
        <f t="shared" si="674"/>
        <v>0</v>
      </c>
      <c r="AM4369" s="85"/>
    </row>
    <row r="4370" spans="1:39" hidden="1" x14ac:dyDescent="0.3">
      <c r="A4370" s="89" t="s">
        <v>3394</v>
      </c>
      <c r="B4370" s="86" t="s">
        <v>35</v>
      </c>
      <c r="C4370" s="86" t="s">
        <v>65</v>
      </c>
      <c r="D4370" s="86" t="s">
        <v>232</v>
      </c>
      <c r="E4370" s="86" t="s">
        <v>2044</v>
      </c>
      <c r="F4370" s="86" t="s">
        <v>2044</v>
      </c>
      <c r="G4370" s="86" t="s">
        <v>2044</v>
      </c>
      <c r="H4370" s="143">
        <v>360</v>
      </c>
      <c r="I4370" s="86" t="s">
        <v>1060</v>
      </c>
      <c r="J4370" s="1" t="s">
        <v>3325</v>
      </c>
      <c r="K4370" s="1" t="s">
        <v>3287</v>
      </c>
      <c r="L4370" s="1" t="s">
        <v>35</v>
      </c>
      <c r="M4370" s="86" t="s">
        <v>2044</v>
      </c>
      <c r="N4370" s="86"/>
      <c r="O4370" s="47" t="s">
        <v>410</v>
      </c>
      <c r="P4370" s="47" t="s">
        <v>46</v>
      </c>
      <c r="Q4370" s="14">
        <v>0.02</v>
      </c>
      <c r="R4370" s="143" t="s">
        <v>2045</v>
      </c>
      <c r="S4370" s="47"/>
      <c r="T4370" s="6">
        <v>4407.9000000000005</v>
      </c>
      <c r="U4370" s="6"/>
      <c r="V4370" s="6">
        <v>0</v>
      </c>
      <c r="W4370" s="6">
        <f t="shared" si="668"/>
        <v>4407.9000000000005</v>
      </c>
      <c r="X4370" s="6">
        <f t="shared" si="669"/>
        <v>0</v>
      </c>
      <c r="Y4370" s="13">
        <f t="shared" si="672"/>
        <v>0</v>
      </c>
      <c r="Z4370" s="14">
        <v>0</v>
      </c>
      <c r="AA4370" s="6">
        <v>0</v>
      </c>
      <c r="AB4370" s="4">
        <f t="shared" si="673"/>
        <v>0</v>
      </c>
      <c r="AC4370" s="4">
        <f t="shared" si="675"/>
        <v>0</v>
      </c>
      <c r="AD4370" s="6">
        <f t="shared" si="670"/>
        <v>0</v>
      </c>
      <c r="AE4370" s="2">
        <f>VLOOKUP(I4370,[1]媒体政策预估表!A:N,MATCH(O4370,[1]媒体政策预估表!$A$2:$M$2,0),0)</f>
        <v>7.0000000000000007E-2</v>
      </c>
      <c r="AF4370" s="6">
        <f t="shared" si="676"/>
        <v>0</v>
      </c>
      <c r="AG4370" s="14">
        <v>0</v>
      </c>
      <c r="AH4370" s="65">
        <f t="shared" si="671"/>
        <v>0</v>
      </c>
      <c r="AI4370" s="47"/>
      <c r="AJ4370" s="126" t="e">
        <v>#N/A</v>
      </c>
      <c r="AK4370" s="80">
        <f t="shared" si="674"/>
        <v>0</v>
      </c>
      <c r="AM4370" s="85"/>
    </row>
    <row r="4371" spans="1:39" hidden="1" x14ac:dyDescent="0.3">
      <c r="A4371" s="89" t="s">
        <v>3394</v>
      </c>
      <c r="B4371" s="86" t="s">
        <v>35</v>
      </c>
      <c r="C4371" s="86" t="s">
        <v>144</v>
      </c>
      <c r="D4371" s="86" t="s">
        <v>145</v>
      </c>
      <c r="E4371" s="86" t="s">
        <v>2046</v>
      </c>
      <c r="F4371" s="86" t="s">
        <v>2046</v>
      </c>
      <c r="G4371" s="86" t="s">
        <v>2046</v>
      </c>
      <c r="H4371" s="143">
        <v>360</v>
      </c>
      <c r="I4371" s="86" t="s">
        <v>1060</v>
      </c>
      <c r="J4371" s="1" t="s">
        <v>3325</v>
      </c>
      <c r="K4371" s="1" t="s">
        <v>3287</v>
      </c>
      <c r="L4371" s="1" t="s">
        <v>35</v>
      </c>
      <c r="M4371" s="86" t="s">
        <v>2046</v>
      </c>
      <c r="N4371" s="86"/>
      <c r="O4371" s="47" t="s">
        <v>410</v>
      </c>
      <c r="P4371" s="47" t="s">
        <v>46</v>
      </c>
      <c r="Q4371" s="14">
        <v>0.02</v>
      </c>
      <c r="R4371" s="143" t="s">
        <v>2047</v>
      </c>
      <c r="S4371" s="47"/>
      <c r="T4371" s="6">
        <v>496.09999999999746</v>
      </c>
      <c r="U4371" s="6"/>
      <c r="V4371" s="6">
        <v>0</v>
      </c>
      <c r="W4371" s="6">
        <f t="shared" si="668"/>
        <v>496.09999999999746</v>
      </c>
      <c r="X4371" s="6">
        <f t="shared" si="669"/>
        <v>0</v>
      </c>
      <c r="Y4371" s="13">
        <f t="shared" si="672"/>
        <v>0</v>
      </c>
      <c r="Z4371" s="14">
        <v>0</v>
      </c>
      <c r="AA4371" s="6">
        <v>0</v>
      </c>
      <c r="AB4371" s="4">
        <f t="shared" si="673"/>
        <v>0</v>
      </c>
      <c r="AC4371" s="4">
        <f t="shared" si="675"/>
        <v>0</v>
      </c>
      <c r="AD4371" s="6">
        <f t="shared" si="670"/>
        <v>0</v>
      </c>
      <c r="AE4371" s="2">
        <f>VLOOKUP(I4371,[1]媒体政策预估表!A:N,MATCH(O4371,[1]媒体政策预估表!$A$2:$M$2,0),0)</f>
        <v>7.0000000000000007E-2</v>
      </c>
      <c r="AF4371" s="6">
        <f t="shared" si="676"/>
        <v>0</v>
      </c>
      <c r="AG4371" s="14">
        <v>0</v>
      </c>
      <c r="AH4371" s="65">
        <f t="shared" si="671"/>
        <v>0</v>
      </c>
      <c r="AI4371" s="47"/>
      <c r="AJ4371" s="126" t="e">
        <v>#N/A</v>
      </c>
      <c r="AK4371" s="80">
        <f t="shared" si="674"/>
        <v>0</v>
      </c>
      <c r="AM4371" s="85"/>
    </row>
    <row r="4372" spans="1:39" hidden="1" x14ac:dyDescent="0.3">
      <c r="A4372" s="89" t="s">
        <v>3394</v>
      </c>
      <c r="B4372" s="86" t="s">
        <v>35</v>
      </c>
      <c r="C4372" s="86" t="s">
        <v>144</v>
      </c>
      <c r="D4372" s="86" t="s">
        <v>152</v>
      </c>
      <c r="E4372" s="86" t="s">
        <v>155</v>
      </c>
      <c r="F4372" s="86" t="s">
        <v>1465</v>
      </c>
      <c r="G4372" s="86" t="s">
        <v>155</v>
      </c>
      <c r="H4372" s="144">
        <v>360</v>
      </c>
      <c r="I4372" s="86" t="s">
        <v>1060</v>
      </c>
      <c r="J4372" s="1" t="s">
        <v>3325</v>
      </c>
      <c r="K4372" s="1" t="s">
        <v>3287</v>
      </c>
      <c r="L4372" s="1" t="s">
        <v>35</v>
      </c>
      <c r="M4372" s="86" t="s">
        <v>2048</v>
      </c>
      <c r="N4372" s="86"/>
      <c r="O4372" s="47" t="s">
        <v>410</v>
      </c>
      <c r="P4372" s="47" t="s">
        <v>92</v>
      </c>
      <c r="Q4372" s="14">
        <v>0.98499999999999999</v>
      </c>
      <c r="R4372" s="143" t="s">
        <v>2049</v>
      </c>
      <c r="S4372" s="47"/>
      <c r="T4372" s="6">
        <v>12320.839999999971</v>
      </c>
      <c r="U4372" s="6"/>
      <c r="V4372" s="6">
        <v>12320.839999999971</v>
      </c>
      <c r="W4372" s="6">
        <f t="shared" si="668"/>
        <v>0</v>
      </c>
      <c r="X4372" s="6">
        <f t="shared" si="669"/>
        <v>12136.027399999972</v>
      </c>
      <c r="Y4372" s="13">
        <f t="shared" si="672"/>
        <v>0</v>
      </c>
      <c r="Z4372" s="14">
        <v>0</v>
      </c>
      <c r="AA4372" s="6">
        <v>0</v>
      </c>
      <c r="AB4372" s="4">
        <f t="shared" si="673"/>
        <v>12136.027399999972</v>
      </c>
      <c r="AC4372" s="4">
        <f t="shared" si="675"/>
        <v>184.81259999999929</v>
      </c>
      <c r="AD4372" s="6">
        <f t="shared" si="670"/>
        <v>12320.839999999971</v>
      </c>
      <c r="AE4372" s="2">
        <f>VLOOKUP(I4372,[1]媒体政策预估表!A:N,MATCH(O4372,[1]媒体政策预估表!$A$2:$M$2,0),0)</f>
        <v>7.0000000000000007E-2</v>
      </c>
      <c r="AF4372" s="6">
        <f t="shared" si="676"/>
        <v>862.45879999999806</v>
      </c>
      <c r="AG4372" s="14">
        <v>0</v>
      </c>
      <c r="AH4372" s="65">
        <f t="shared" si="671"/>
        <v>12320.839999999971</v>
      </c>
      <c r="AI4372" s="47"/>
      <c r="AJ4372" s="126" t="e">
        <v>#N/A</v>
      </c>
      <c r="AK4372" s="80">
        <f t="shared" si="674"/>
        <v>0</v>
      </c>
      <c r="AM4372" s="85"/>
    </row>
    <row r="4373" spans="1:39" hidden="1" x14ac:dyDescent="0.3">
      <c r="A4373" s="89" t="s">
        <v>3394</v>
      </c>
      <c r="B4373" s="86" t="s">
        <v>35</v>
      </c>
      <c r="C4373" s="86" t="s">
        <v>144</v>
      </c>
      <c r="D4373" s="86" t="s">
        <v>152</v>
      </c>
      <c r="E4373" s="86" t="s">
        <v>2050</v>
      </c>
      <c r="F4373" s="86" t="s">
        <v>2050</v>
      </c>
      <c r="G4373" s="86" t="s">
        <v>2050</v>
      </c>
      <c r="H4373" s="143">
        <v>304</v>
      </c>
      <c r="I4373" s="86" t="s">
        <v>610</v>
      </c>
      <c r="J4373" s="1" t="s">
        <v>3323</v>
      </c>
      <c r="K4373" s="1" t="s">
        <v>3370</v>
      </c>
      <c r="L4373" s="1" t="s">
        <v>35</v>
      </c>
      <c r="M4373" s="86" t="s">
        <v>2050</v>
      </c>
      <c r="N4373" s="86"/>
      <c r="O4373" s="47" t="s">
        <v>410</v>
      </c>
      <c r="P4373" s="47" t="s">
        <v>41</v>
      </c>
      <c r="Q4373" s="14">
        <v>0</v>
      </c>
      <c r="R4373" s="143" t="s">
        <v>2051</v>
      </c>
      <c r="S4373" s="47"/>
      <c r="T4373" s="6">
        <v>60018.100000000006</v>
      </c>
      <c r="U4373" s="6"/>
      <c r="V4373" s="6">
        <v>0</v>
      </c>
      <c r="W4373" s="6">
        <f t="shared" si="668"/>
        <v>60018.100000000006</v>
      </c>
      <c r="X4373" s="6">
        <f t="shared" si="669"/>
        <v>0</v>
      </c>
      <c r="Y4373" s="13">
        <f t="shared" si="672"/>
        <v>0</v>
      </c>
      <c r="Z4373" s="14">
        <v>0</v>
      </c>
      <c r="AA4373" s="6">
        <v>0</v>
      </c>
      <c r="AB4373" s="4">
        <f t="shared" si="673"/>
        <v>0</v>
      </c>
      <c r="AC4373" s="4">
        <f t="shared" si="675"/>
        <v>0</v>
      </c>
      <c r="AD4373" s="6">
        <f>V4373*0.99189559435573</f>
        <v>0</v>
      </c>
      <c r="AE4373" s="2">
        <f>VLOOKUP(I4373,[1]媒体政策预估表!A:N,MATCH(O4373,[1]媒体政策预估表!$A$2:$M$2,0),0)</f>
        <v>0.02</v>
      </c>
      <c r="AF4373" s="6">
        <f t="shared" si="676"/>
        <v>0</v>
      </c>
      <c r="AG4373" s="14">
        <v>0</v>
      </c>
      <c r="AH4373" s="65">
        <f t="shared" si="671"/>
        <v>0</v>
      </c>
      <c r="AI4373" s="47"/>
      <c r="AJ4373" s="126" t="e">
        <v>#N/A</v>
      </c>
      <c r="AK4373" s="80">
        <f t="shared" si="674"/>
        <v>0</v>
      </c>
      <c r="AM4373" s="85"/>
    </row>
    <row r="4374" spans="1:39" hidden="1" x14ac:dyDescent="0.3">
      <c r="A4374" s="89" t="s">
        <v>3395</v>
      </c>
      <c r="B4374" s="86" t="s">
        <v>35</v>
      </c>
      <c r="C4374" s="86" t="s">
        <v>164</v>
      </c>
      <c r="D4374" s="86" t="s">
        <v>165</v>
      </c>
      <c r="E4374" s="86" t="s">
        <v>2052</v>
      </c>
      <c r="F4374" s="86" t="s">
        <v>2052</v>
      </c>
      <c r="G4374" s="86" t="s">
        <v>2052</v>
      </c>
      <c r="H4374" s="143">
        <v>360</v>
      </c>
      <c r="I4374" s="86" t="s">
        <v>1060</v>
      </c>
      <c r="J4374" s="1" t="s">
        <v>3325</v>
      </c>
      <c r="K4374" s="1" t="s">
        <v>3287</v>
      </c>
      <c r="L4374" s="1" t="s">
        <v>35</v>
      </c>
      <c r="M4374" s="86" t="s">
        <v>2052</v>
      </c>
      <c r="N4374" s="86"/>
      <c r="O4374" s="47" t="s">
        <v>410</v>
      </c>
      <c r="P4374" s="47" t="s">
        <v>46</v>
      </c>
      <c r="Q4374" s="14">
        <v>0.02</v>
      </c>
      <c r="R4374" s="143" t="s">
        <v>2053</v>
      </c>
      <c r="S4374" s="47"/>
      <c r="T4374" s="6">
        <v>286.97000000000116</v>
      </c>
      <c r="U4374" s="6"/>
      <c r="V4374" s="6">
        <v>0</v>
      </c>
      <c r="W4374" s="6">
        <f t="shared" si="668"/>
        <v>286.97000000000116</v>
      </c>
      <c r="X4374" s="6">
        <f t="shared" si="669"/>
        <v>0</v>
      </c>
      <c r="Y4374" s="13">
        <f t="shared" si="672"/>
        <v>0</v>
      </c>
      <c r="Z4374" s="14">
        <v>0</v>
      </c>
      <c r="AA4374" s="6">
        <v>0</v>
      </c>
      <c r="AB4374" s="4">
        <f t="shared" si="673"/>
        <v>0</v>
      </c>
      <c r="AC4374" s="4">
        <f t="shared" si="675"/>
        <v>0</v>
      </c>
      <c r="AD4374" s="6">
        <f t="shared" si="670"/>
        <v>0</v>
      </c>
      <c r="AE4374" s="2">
        <f>VLOOKUP(I4374,[1]媒体政策预估表!A:N,MATCH(O4374,[1]媒体政策预估表!$A$2:$M$2,0),0)</f>
        <v>7.0000000000000007E-2</v>
      </c>
      <c r="AF4374" s="6">
        <f t="shared" si="676"/>
        <v>0</v>
      </c>
      <c r="AG4374" s="14">
        <v>0</v>
      </c>
      <c r="AH4374" s="65">
        <f t="shared" si="671"/>
        <v>0</v>
      </c>
      <c r="AI4374" s="47"/>
      <c r="AJ4374" s="126" t="e">
        <v>#N/A</v>
      </c>
      <c r="AK4374" s="80">
        <f t="shared" si="674"/>
        <v>0</v>
      </c>
      <c r="AM4374" s="85"/>
    </row>
    <row r="4375" spans="1:39" hidden="1" x14ac:dyDescent="0.3">
      <c r="A4375" s="89" t="s">
        <v>3394</v>
      </c>
      <c r="B4375" s="86" t="s">
        <v>35</v>
      </c>
      <c r="C4375" s="86" t="s">
        <v>164</v>
      </c>
      <c r="D4375" s="86" t="s">
        <v>174</v>
      </c>
      <c r="E4375" s="86" t="s">
        <v>651</v>
      </c>
      <c r="F4375" s="86" t="s">
        <v>651</v>
      </c>
      <c r="G4375" s="86" t="s">
        <v>651</v>
      </c>
      <c r="H4375" s="143">
        <v>360</v>
      </c>
      <c r="I4375" s="86" t="s">
        <v>1060</v>
      </c>
      <c r="J4375" s="1" t="s">
        <v>3325</v>
      </c>
      <c r="K4375" s="1" t="s">
        <v>3287</v>
      </c>
      <c r="L4375" s="1" t="s">
        <v>35</v>
      </c>
      <c r="M4375" s="86" t="s">
        <v>651</v>
      </c>
      <c r="N4375" s="86"/>
      <c r="O4375" s="47" t="s">
        <v>2054</v>
      </c>
      <c r="P4375" s="47" t="s">
        <v>46</v>
      </c>
      <c r="Q4375" s="14">
        <v>0.06</v>
      </c>
      <c r="R4375" s="143" t="s">
        <v>1974</v>
      </c>
      <c r="S4375" s="47"/>
      <c r="T4375" s="6">
        <v>-76668.102480000001</v>
      </c>
      <c r="U4375" s="6"/>
      <c r="V4375" s="6">
        <v>0</v>
      </c>
      <c r="W4375" s="6">
        <f t="shared" si="668"/>
        <v>-76668.102480000001</v>
      </c>
      <c r="X4375" s="6">
        <f t="shared" si="669"/>
        <v>0</v>
      </c>
      <c r="Y4375" s="13">
        <f t="shared" si="672"/>
        <v>0</v>
      </c>
      <c r="Z4375" s="14">
        <v>0</v>
      </c>
      <c r="AA4375" s="6">
        <v>0</v>
      </c>
      <c r="AB4375" s="4">
        <f t="shared" si="673"/>
        <v>0</v>
      </c>
      <c r="AC4375" s="4">
        <f t="shared" si="675"/>
        <v>0</v>
      </c>
      <c r="AD4375" s="6">
        <f t="shared" si="670"/>
        <v>0</v>
      </c>
      <c r="AE4375" s="2">
        <f>VLOOKUP(I4375,[1]媒体政策预估表!A:N,MATCH(O4375,[1]媒体政策预估表!$A$2:$M$2,0),0)</f>
        <v>0.12</v>
      </c>
      <c r="AF4375" s="6">
        <f t="shared" si="676"/>
        <v>0</v>
      </c>
      <c r="AG4375" s="14">
        <v>0</v>
      </c>
      <c r="AH4375" s="65">
        <f t="shared" si="671"/>
        <v>0</v>
      </c>
      <c r="AI4375" s="47"/>
      <c r="AJ4375" s="126" t="e">
        <v>#N/A</v>
      </c>
      <c r="AK4375" s="80">
        <f t="shared" si="674"/>
        <v>0</v>
      </c>
      <c r="AM4375" s="85"/>
    </row>
    <row r="4376" spans="1:39" hidden="1" x14ac:dyDescent="0.3">
      <c r="A4376" s="89" t="s">
        <v>3394</v>
      </c>
      <c r="B4376" s="86" t="s">
        <v>35</v>
      </c>
      <c r="C4376" s="86" t="s">
        <v>164</v>
      </c>
      <c r="D4376" s="86" t="s">
        <v>174</v>
      </c>
      <c r="E4376" s="86" t="s">
        <v>1700</v>
      </c>
      <c r="F4376" s="86" t="s">
        <v>1700</v>
      </c>
      <c r="G4376" s="86" t="s">
        <v>1700</v>
      </c>
      <c r="H4376" s="143">
        <v>360</v>
      </c>
      <c r="I4376" s="86" t="s">
        <v>1060</v>
      </c>
      <c r="J4376" s="1" t="s">
        <v>3325</v>
      </c>
      <c r="K4376" s="1" t="s">
        <v>3287</v>
      </c>
      <c r="L4376" s="1" t="s">
        <v>35</v>
      </c>
      <c r="M4376" s="86" t="s">
        <v>1700</v>
      </c>
      <c r="N4376" s="86"/>
      <c r="O4376" s="47" t="s">
        <v>410</v>
      </c>
      <c r="P4376" s="47" t="s">
        <v>46</v>
      </c>
      <c r="Q4376" s="14">
        <v>0.03</v>
      </c>
      <c r="R4376" s="143" t="s">
        <v>2055</v>
      </c>
      <c r="S4376" s="47"/>
      <c r="T4376" s="6">
        <v>18883.900000000001</v>
      </c>
      <c r="U4376" s="6"/>
      <c r="V4376" s="6">
        <v>0</v>
      </c>
      <c r="W4376" s="6">
        <f t="shared" si="668"/>
        <v>18883.900000000001</v>
      </c>
      <c r="X4376" s="6">
        <f t="shared" si="669"/>
        <v>0</v>
      </c>
      <c r="Y4376" s="13">
        <f t="shared" si="672"/>
        <v>0</v>
      </c>
      <c r="Z4376" s="14">
        <v>0</v>
      </c>
      <c r="AA4376" s="6">
        <v>0</v>
      </c>
      <c r="AB4376" s="4">
        <f t="shared" si="673"/>
        <v>0</v>
      </c>
      <c r="AC4376" s="4">
        <f t="shared" si="675"/>
        <v>0</v>
      </c>
      <c r="AD4376" s="6">
        <f t="shared" si="670"/>
        <v>0</v>
      </c>
      <c r="AE4376" s="2">
        <f>VLOOKUP(I4376,[1]媒体政策预估表!A:N,MATCH(O4376,[1]媒体政策预估表!$A$2:$M$2,0),0)</f>
        <v>7.0000000000000007E-2</v>
      </c>
      <c r="AF4376" s="6">
        <f t="shared" si="676"/>
        <v>0</v>
      </c>
      <c r="AG4376" s="14">
        <v>0</v>
      </c>
      <c r="AH4376" s="65">
        <f t="shared" si="671"/>
        <v>0</v>
      </c>
      <c r="AI4376" s="47"/>
      <c r="AJ4376" s="126" t="e">
        <v>#N/A</v>
      </c>
      <c r="AK4376" s="80">
        <f t="shared" si="674"/>
        <v>0</v>
      </c>
      <c r="AM4376" s="85"/>
    </row>
    <row r="4377" spans="1:39" hidden="1" x14ac:dyDescent="0.3">
      <c r="A4377" s="89" t="s">
        <v>3394</v>
      </c>
      <c r="B4377" s="86" t="s">
        <v>35</v>
      </c>
      <c r="C4377" s="86" t="s">
        <v>59</v>
      </c>
      <c r="D4377" s="86" t="s">
        <v>60</v>
      </c>
      <c r="E4377" s="86" t="s">
        <v>2056</v>
      </c>
      <c r="F4377" s="86" t="s">
        <v>2056</v>
      </c>
      <c r="G4377" s="86" t="s">
        <v>2056</v>
      </c>
      <c r="H4377" s="143">
        <v>360</v>
      </c>
      <c r="I4377" s="86" t="s">
        <v>1060</v>
      </c>
      <c r="J4377" s="1" t="s">
        <v>3325</v>
      </c>
      <c r="K4377" s="1" t="s">
        <v>3287</v>
      </c>
      <c r="L4377" s="1" t="s">
        <v>35</v>
      </c>
      <c r="M4377" s="86" t="s">
        <v>2057</v>
      </c>
      <c r="N4377" s="86"/>
      <c r="O4377" s="47" t="s">
        <v>45</v>
      </c>
      <c r="P4377" s="47" t="s">
        <v>46</v>
      </c>
      <c r="Q4377" s="14">
        <v>0.22</v>
      </c>
      <c r="R4377" s="143" t="s">
        <v>2058</v>
      </c>
      <c r="S4377" s="47"/>
      <c r="T4377" s="6">
        <v>1676.5299999999988</v>
      </c>
      <c r="U4377" s="6"/>
      <c r="V4377" s="6">
        <v>0</v>
      </c>
      <c r="W4377" s="6">
        <f t="shared" si="668"/>
        <v>1676.5299999999988</v>
      </c>
      <c r="X4377" s="6">
        <f t="shared" si="669"/>
        <v>0</v>
      </c>
      <c r="Y4377" s="13">
        <f t="shared" si="672"/>
        <v>0</v>
      </c>
      <c r="Z4377" s="14">
        <v>0</v>
      </c>
      <c r="AA4377" s="6">
        <v>0</v>
      </c>
      <c r="AB4377" s="4"/>
      <c r="AC4377" s="4">
        <f t="shared" si="675"/>
        <v>0</v>
      </c>
      <c r="AD4377" s="6">
        <f t="shared" si="670"/>
        <v>0</v>
      </c>
      <c r="AE4377" s="2">
        <f>VLOOKUP(I4377,[1]媒体政策预估表!A:N,MATCH(O4377,[1]媒体政策预估表!$A$2:$M$2,0),0)</f>
        <v>0.12</v>
      </c>
      <c r="AF4377" s="6">
        <f t="shared" si="676"/>
        <v>0</v>
      </c>
      <c r="AG4377" s="14">
        <v>0</v>
      </c>
      <c r="AH4377" s="65">
        <f t="shared" si="671"/>
        <v>0</v>
      </c>
      <c r="AI4377" s="47"/>
      <c r="AJ4377" s="126">
        <v>20</v>
      </c>
      <c r="AK4377" s="80">
        <f t="shared" si="674"/>
        <v>0</v>
      </c>
      <c r="AM4377" s="85"/>
    </row>
    <row r="4378" spans="1:39" hidden="1" x14ac:dyDescent="0.3">
      <c r="A4378" s="89" t="s">
        <v>3394</v>
      </c>
      <c r="B4378" s="86" t="s">
        <v>35</v>
      </c>
      <c r="C4378" s="86" t="s">
        <v>47</v>
      </c>
      <c r="D4378" s="86" t="s">
        <v>48</v>
      </c>
      <c r="E4378" s="86" t="s">
        <v>2060</v>
      </c>
      <c r="F4378" s="86" t="s">
        <v>2060</v>
      </c>
      <c r="G4378" s="86" t="s">
        <v>2060</v>
      </c>
      <c r="H4378" s="143">
        <v>360</v>
      </c>
      <c r="I4378" s="86" t="s">
        <v>1060</v>
      </c>
      <c r="J4378" s="1" t="s">
        <v>3325</v>
      </c>
      <c r="K4378" s="1" t="s">
        <v>3287</v>
      </c>
      <c r="L4378" s="1" t="s">
        <v>35</v>
      </c>
      <c r="M4378" s="86" t="s">
        <v>2060</v>
      </c>
      <c r="N4378" s="86"/>
      <c r="O4378" s="47" t="s">
        <v>410</v>
      </c>
      <c r="P4378" s="47" t="s">
        <v>41</v>
      </c>
      <c r="Q4378" s="14">
        <v>0</v>
      </c>
      <c r="R4378" s="143" t="s">
        <v>2061</v>
      </c>
      <c r="S4378" s="47"/>
      <c r="T4378" s="6">
        <v>1716.83</v>
      </c>
      <c r="U4378" s="6"/>
      <c r="V4378" s="6">
        <v>0</v>
      </c>
      <c r="W4378" s="6">
        <f t="shared" si="668"/>
        <v>1716.83</v>
      </c>
      <c r="X4378" s="6">
        <f t="shared" si="669"/>
        <v>0</v>
      </c>
      <c r="Y4378" s="13">
        <f t="shared" si="672"/>
        <v>0</v>
      </c>
      <c r="Z4378" s="14">
        <v>0</v>
      </c>
      <c r="AA4378" s="6">
        <v>0</v>
      </c>
      <c r="AB4378" s="4">
        <f t="shared" si="673"/>
        <v>0</v>
      </c>
      <c r="AC4378" s="4">
        <f t="shared" si="675"/>
        <v>0</v>
      </c>
      <c r="AD4378" s="6">
        <f t="shared" si="670"/>
        <v>0</v>
      </c>
      <c r="AE4378" s="2">
        <f>VLOOKUP(I4378,[1]媒体政策预估表!A:N,MATCH(O4378,[1]媒体政策预估表!$A$2:$M$2,0),0)</f>
        <v>7.0000000000000007E-2</v>
      </c>
      <c r="AF4378" s="6">
        <f t="shared" si="676"/>
        <v>0</v>
      </c>
      <c r="AG4378" s="14">
        <v>0</v>
      </c>
      <c r="AH4378" s="65">
        <f t="shared" si="671"/>
        <v>0</v>
      </c>
      <c r="AI4378" s="47"/>
      <c r="AJ4378" s="126" t="e">
        <v>#N/A</v>
      </c>
      <c r="AK4378" s="80">
        <f t="shared" si="674"/>
        <v>0</v>
      </c>
      <c r="AM4378" s="85"/>
    </row>
    <row r="4379" spans="1:39" hidden="1" x14ac:dyDescent="0.3">
      <c r="A4379" s="89" t="s">
        <v>3394</v>
      </c>
      <c r="B4379" s="86" t="s">
        <v>35</v>
      </c>
      <c r="C4379" s="86" t="s">
        <v>144</v>
      </c>
      <c r="D4379" s="86" t="s">
        <v>161</v>
      </c>
      <c r="E4379" s="86" t="s">
        <v>1937</v>
      </c>
      <c r="F4379" s="86" t="s">
        <v>1937</v>
      </c>
      <c r="G4379" s="86" t="s">
        <v>1937</v>
      </c>
      <c r="H4379" s="143">
        <v>360</v>
      </c>
      <c r="I4379" s="86" t="s">
        <v>1060</v>
      </c>
      <c r="J4379" s="1" t="s">
        <v>3325</v>
      </c>
      <c r="K4379" s="1" t="s">
        <v>3287</v>
      </c>
      <c r="L4379" s="1" t="s">
        <v>35</v>
      </c>
      <c r="M4379" s="86" t="s">
        <v>2062</v>
      </c>
      <c r="N4379" s="86"/>
      <c r="O4379" s="47" t="s">
        <v>410</v>
      </c>
      <c r="P4379" s="47" t="s">
        <v>46</v>
      </c>
      <c r="Q4379" s="14">
        <v>0.03</v>
      </c>
      <c r="R4379" s="143" t="s">
        <v>2063</v>
      </c>
      <c r="S4379" s="47"/>
      <c r="T4379" s="6">
        <v>2.0199999999895226</v>
      </c>
      <c r="U4379" s="6"/>
      <c r="V4379" s="6">
        <v>0</v>
      </c>
      <c r="W4379" s="6">
        <f t="shared" si="668"/>
        <v>2.0199999999895226</v>
      </c>
      <c r="X4379" s="6">
        <f t="shared" si="669"/>
        <v>0</v>
      </c>
      <c r="Y4379" s="13">
        <f t="shared" si="672"/>
        <v>0</v>
      </c>
      <c r="Z4379" s="14">
        <v>0</v>
      </c>
      <c r="AA4379" s="6">
        <v>0</v>
      </c>
      <c r="AB4379" s="4">
        <f t="shared" si="673"/>
        <v>0</v>
      </c>
      <c r="AC4379" s="4">
        <f t="shared" si="675"/>
        <v>0</v>
      </c>
      <c r="AD4379" s="6">
        <f t="shared" si="670"/>
        <v>0</v>
      </c>
      <c r="AE4379" s="2">
        <f>VLOOKUP(I4379,[1]媒体政策预估表!A:N,MATCH(O4379,[1]媒体政策预估表!$A$2:$M$2,0),0)</f>
        <v>7.0000000000000007E-2</v>
      </c>
      <c r="AF4379" s="6">
        <f t="shared" si="676"/>
        <v>0</v>
      </c>
      <c r="AG4379" s="14">
        <v>0</v>
      </c>
      <c r="AH4379" s="65">
        <f t="shared" si="671"/>
        <v>0</v>
      </c>
      <c r="AI4379" s="47"/>
      <c r="AJ4379" s="126" t="e">
        <v>#N/A</v>
      </c>
      <c r="AK4379" s="80">
        <f t="shared" si="674"/>
        <v>0</v>
      </c>
      <c r="AM4379" s="85"/>
    </row>
    <row r="4380" spans="1:39" hidden="1" x14ac:dyDescent="0.3">
      <c r="A4380" s="89" t="s">
        <v>3394</v>
      </c>
      <c r="B4380" s="86" t="s">
        <v>35</v>
      </c>
      <c r="C4380" s="86" t="s">
        <v>164</v>
      </c>
      <c r="D4380" s="86" t="s">
        <v>165</v>
      </c>
      <c r="E4380" s="86" t="s">
        <v>619</v>
      </c>
      <c r="F4380" s="86" t="s">
        <v>620</v>
      </c>
      <c r="G4380" s="86" t="s">
        <v>619</v>
      </c>
      <c r="H4380" s="143">
        <v>360</v>
      </c>
      <c r="I4380" s="86" t="s">
        <v>1060</v>
      </c>
      <c r="J4380" s="1" t="s">
        <v>3325</v>
      </c>
      <c r="K4380" s="1" t="s">
        <v>3287</v>
      </c>
      <c r="L4380" s="1" t="s">
        <v>35</v>
      </c>
      <c r="M4380" s="86" t="s">
        <v>619</v>
      </c>
      <c r="N4380" s="86"/>
      <c r="O4380" s="47" t="s">
        <v>45</v>
      </c>
      <c r="P4380" s="47" t="s">
        <v>46</v>
      </c>
      <c r="Q4380" s="14">
        <v>0.04</v>
      </c>
      <c r="R4380" s="143" t="s">
        <v>2064</v>
      </c>
      <c r="S4380" s="47"/>
      <c r="T4380" s="6">
        <v>2027.2165199999936</v>
      </c>
      <c r="U4380" s="6"/>
      <c r="V4380" s="6">
        <v>0</v>
      </c>
      <c r="W4380" s="6">
        <f t="shared" si="668"/>
        <v>2027.2165199999936</v>
      </c>
      <c r="X4380" s="6">
        <f t="shared" si="669"/>
        <v>0</v>
      </c>
      <c r="Y4380" s="13">
        <f t="shared" si="672"/>
        <v>0</v>
      </c>
      <c r="Z4380" s="14">
        <v>0</v>
      </c>
      <c r="AA4380" s="6">
        <v>0</v>
      </c>
      <c r="AB4380" s="4">
        <f t="shared" si="673"/>
        <v>0</v>
      </c>
      <c r="AC4380" s="4">
        <f t="shared" si="675"/>
        <v>0</v>
      </c>
      <c r="AD4380" s="6">
        <f t="shared" si="670"/>
        <v>0</v>
      </c>
      <c r="AE4380" s="2">
        <f>VLOOKUP(I4380,[1]媒体政策预估表!A:N,MATCH(O4380,[1]媒体政策预估表!$A$2:$M$2,0),0)</f>
        <v>0.12</v>
      </c>
      <c r="AF4380" s="6">
        <f t="shared" si="676"/>
        <v>0</v>
      </c>
      <c r="AG4380" s="14">
        <v>0</v>
      </c>
      <c r="AH4380" s="65">
        <f t="shared" si="671"/>
        <v>0</v>
      </c>
      <c r="AI4380" s="47"/>
      <c r="AJ4380" s="126" t="e">
        <v>#N/A</v>
      </c>
      <c r="AK4380" s="80">
        <f t="shared" si="674"/>
        <v>0</v>
      </c>
      <c r="AM4380" s="85"/>
    </row>
    <row r="4381" spans="1:39" hidden="1" x14ac:dyDescent="0.3">
      <c r="A4381" s="89" t="s">
        <v>3394</v>
      </c>
      <c r="B4381" s="86" t="s">
        <v>35</v>
      </c>
      <c r="C4381" s="86" t="s">
        <v>36</v>
      </c>
      <c r="D4381" s="86" t="s">
        <v>224</v>
      </c>
      <c r="E4381" s="86" t="s">
        <v>2065</v>
      </c>
      <c r="F4381" s="86" t="s">
        <v>2065</v>
      </c>
      <c r="G4381" s="86" t="s">
        <v>2065</v>
      </c>
      <c r="H4381" s="143">
        <v>360</v>
      </c>
      <c r="I4381" s="86" t="s">
        <v>1060</v>
      </c>
      <c r="J4381" s="1" t="s">
        <v>3325</v>
      </c>
      <c r="K4381" s="1" t="s">
        <v>3287</v>
      </c>
      <c r="L4381" s="1" t="s">
        <v>35</v>
      </c>
      <c r="M4381" s="86" t="s">
        <v>2065</v>
      </c>
      <c r="N4381" s="86"/>
      <c r="O4381" s="47" t="s">
        <v>410</v>
      </c>
      <c r="P4381" s="47" t="s">
        <v>46</v>
      </c>
      <c r="Q4381" s="14">
        <v>0.02</v>
      </c>
      <c r="R4381" s="143">
        <v>198089020</v>
      </c>
      <c r="S4381" s="47"/>
      <c r="T4381" s="6">
        <v>397.55999999999403</v>
      </c>
      <c r="U4381" s="6"/>
      <c r="V4381" s="6">
        <v>0</v>
      </c>
      <c r="W4381" s="6">
        <f t="shared" si="668"/>
        <v>397.55999999999403</v>
      </c>
      <c r="X4381" s="6">
        <f t="shared" si="669"/>
        <v>0</v>
      </c>
      <c r="Y4381" s="13">
        <f t="shared" si="672"/>
        <v>0</v>
      </c>
      <c r="Z4381" s="14">
        <v>0</v>
      </c>
      <c r="AA4381" s="6">
        <v>0</v>
      </c>
      <c r="AB4381" s="4">
        <f t="shared" si="673"/>
        <v>0</v>
      </c>
      <c r="AC4381" s="4">
        <f t="shared" si="675"/>
        <v>0</v>
      </c>
      <c r="AD4381" s="6">
        <f t="shared" si="670"/>
        <v>0</v>
      </c>
      <c r="AE4381" s="2">
        <f>VLOOKUP(I4381,[1]媒体政策预估表!A:N,MATCH(O4381,[1]媒体政策预估表!$A$2:$M$2,0),0)</f>
        <v>7.0000000000000007E-2</v>
      </c>
      <c r="AF4381" s="6">
        <f t="shared" si="676"/>
        <v>0</v>
      </c>
      <c r="AG4381" s="14">
        <v>0</v>
      </c>
      <c r="AH4381" s="65">
        <f t="shared" si="671"/>
        <v>0</v>
      </c>
      <c r="AI4381" s="47"/>
      <c r="AJ4381" s="126" t="s">
        <v>4222</v>
      </c>
      <c r="AK4381" s="80">
        <f t="shared" si="674"/>
        <v>0</v>
      </c>
      <c r="AL4381" s="150"/>
      <c r="AM4381" s="85"/>
    </row>
    <row r="4382" spans="1:39" hidden="1" x14ac:dyDescent="0.3">
      <c r="A4382" s="89" t="s">
        <v>3394</v>
      </c>
      <c r="B4382" s="86" t="s">
        <v>35</v>
      </c>
      <c r="C4382" s="86" t="s">
        <v>144</v>
      </c>
      <c r="D4382" s="86" t="s">
        <v>145</v>
      </c>
      <c r="E4382" s="86" t="s">
        <v>2066</v>
      </c>
      <c r="F4382" s="86" t="s">
        <v>2066</v>
      </c>
      <c r="G4382" s="86" t="s">
        <v>2066</v>
      </c>
      <c r="H4382" s="143">
        <v>360</v>
      </c>
      <c r="I4382" s="86" t="s">
        <v>1060</v>
      </c>
      <c r="J4382" s="1" t="s">
        <v>3325</v>
      </c>
      <c r="K4382" s="1" t="s">
        <v>3287</v>
      </c>
      <c r="L4382" s="1" t="s">
        <v>35</v>
      </c>
      <c r="M4382" s="86" t="s">
        <v>833</v>
      </c>
      <c r="N4382" s="86"/>
      <c r="O4382" s="47" t="s">
        <v>410</v>
      </c>
      <c r="P4382" s="47" t="s">
        <v>46</v>
      </c>
      <c r="Q4382" s="14">
        <v>0.04</v>
      </c>
      <c r="R4382" s="143" t="s">
        <v>2067</v>
      </c>
      <c r="S4382" s="47"/>
      <c r="T4382" s="6">
        <v>8138.9999999999927</v>
      </c>
      <c r="U4382" s="6"/>
      <c r="V4382" s="6">
        <v>0</v>
      </c>
      <c r="W4382" s="6">
        <f t="shared" si="668"/>
        <v>8138.9999999999927</v>
      </c>
      <c r="X4382" s="6">
        <f t="shared" si="669"/>
        <v>0</v>
      </c>
      <c r="Y4382" s="13">
        <f t="shared" si="672"/>
        <v>0</v>
      </c>
      <c r="Z4382" s="14">
        <v>0</v>
      </c>
      <c r="AA4382" s="6">
        <v>0</v>
      </c>
      <c r="AB4382" s="4">
        <f t="shared" si="673"/>
        <v>0</v>
      </c>
      <c r="AC4382" s="4">
        <f t="shared" si="675"/>
        <v>0</v>
      </c>
      <c r="AD4382" s="6">
        <f t="shared" si="670"/>
        <v>0</v>
      </c>
      <c r="AE4382" s="2">
        <f>VLOOKUP(I4382,[1]媒体政策预估表!A:N,MATCH(O4382,[1]媒体政策预估表!$A$2:$M$2,0),0)</f>
        <v>7.0000000000000007E-2</v>
      </c>
      <c r="AF4382" s="6">
        <f t="shared" si="676"/>
        <v>0</v>
      </c>
      <c r="AG4382" s="14">
        <v>0</v>
      </c>
      <c r="AH4382" s="65">
        <f t="shared" si="671"/>
        <v>0</v>
      </c>
      <c r="AI4382" s="47"/>
      <c r="AJ4382" s="126" t="e">
        <v>#N/A</v>
      </c>
      <c r="AK4382" s="80">
        <f t="shared" si="674"/>
        <v>0</v>
      </c>
      <c r="AM4382" s="85"/>
    </row>
    <row r="4383" spans="1:39" hidden="1" x14ac:dyDescent="0.3">
      <c r="A4383" s="89" t="s">
        <v>3395</v>
      </c>
      <c r="B4383" s="86" t="s">
        <v>35</v>
      </c>
      <c r="C4383" s="86" t="s">
        <v>144</v>
      </c>
      <c r="D4383" s="86" t="s">
        <v>145</v>
      </c>
      <c r="E4383" s="86" t="s">
        <v>2068</v>
      </c>
      <c r="F4383" s="86" t="s">
        <v>2068</v>
      </c>
      <c r="G4383" s="86" t="s">
        <v>2068</v>
      </c>
      <c r="H4383" s="143">
        <v>360</v>
      </c>
      <c r="I4383" s="86" t="s">
        <v>1060</v>
      </c>
      <c r="J4383" s="1" t="s">
        <v>3325</v>
      </c>
      <c r="K4383" s="1" t="s">
        <v>3287</v>
      </c>
      <c r="L4383" s="1" t="s">
        <v>35</v>
      </c>
      <c r="M4383" s="86" t="s">
        <v>2069</v>
      </c>
      <c r="N4383" s="86"/>
      <c r="O4383" s="47" t="s">
        <v>410</v>
      </c>
      <c r="P4383" s="47" t="s">
        <v>46</v>
      </c>
      <c r="Q4383" s="14">
        <v>2.0000000000000018E-2</v>
      </c>
      <c r="R4383" s="143" t="s">
        <v>2070</v>
      </c>
      <c r="S4383" s="47"/>
      <c r="T4383" s="6">
        <v>2957.1000000000004</v>
      </c>
      <c r="U4383" s="6"/>
      <c r="V4383" s="6">
        <v>0</v>
      </c>
      <c r="W4383" s="6">
        <f t="shared" si="668"/>
        <v>2957.1000000000004</v>
      </c>
      <c r="X4383" s="6">
        <f t="shared" si="669"/>
        <v>0</v>
      </c>
      <c r="Y4383" s="13">
        <f t="shared" si="672"/>
        <v>0</v>
      </c>
      <c r="Z4383" s="14">
        <v>0</v>
      </c>
      <c r="AA4383" s="6">
        <v>0</v>
      </c>
      <c r="AB4383" s="4">
        <f t="shared" si="673"/>
        <v>0</v>
      </c>
      <c r="AC4383" s="4">
        <f t="shared" si="675"/>
        <v>0</v>
      </c>
      <c r="AD4383" s="6">
        <f t="shared" si="670"/>
        <v>0</v>
      </c>
      <c r="AE4383" s="2">
        <f>VLOOKUP(I4383,[1]媒体政策预估表!A:N,MATCH(O4383,[1]媒体政策预估表!$A$2:$M$2,0),0)</f>
        <v>7.0000000000000007E-2</v>
      </c>
      <c r="AF4383" s="6">
        <f t="shared" si="676"/>
        <v>0</v>
      </c>
      <c r="AG4383" s="14">
        <v>0</v>
      </c>
      <c r="AH4383" s="65">
        <f t="shared" si="671"/>
        <v>0</v>
      </c>
      <c r="AI4383" s="47"/>
      <c r="AJ4383" s="126" t="e">
        <v>#N/A</v>
      </c>
      <c r="AK4383" s="80">
        <f t="shared" si="674"/>
        <v>0</v>
      </c>
      <c r="AM4383" s="85"/>
    </row>
    <row r="4384" spans="1:39" hidden="1" x14ac:dyDescent="0.3">
      <c r="A4384" s="89" t="s">
        <v>3394</v>
      </c>
      <c r="B4384" s="86" t="s">
        <v>35</v>
      </c>
      <c r="C4384" s="86" t="s">
        <v>144</v>
      </c>
      <c r="D4384" s="86" t="s">
        <v>152</v>
      </c>
      <c r="E4384" s="86" t="s">
        <v>2071</v>
      </c>
      <c r="F4384" s="86" t="s">
        <v>2071</v>
      </c>
      <c r="G4384" s="86" t="s">
        <v>2071</v>
      </c>
      <c r="H4384" s="143">
        <v>360</v>
      </c>
      <c r="I4384" s="86" t="s">
        <v>1060</v>
      </c>
      <c r="J4384" s="1" t="s">
        <v>3325</v>
      </c>
      <c r="K4384" s="1" t="s">
        <v>3287</v>
      </c>
      <c r="L4384" s="1" t="s">
        <v>35</v>
      </c>
      <c r="M4384" s="86" t="s">
        <v>2072</v>
      </c>
      <c r="N4384" s="86"/>
      <c r="O4384" s="47" t="s">
        <v>410</v>
      </c>
      <c r="P4384" s="47" t="s">
        <v>41</v>
      </c>
      <c r="Q4384" s="14">
        <v>0</v>
      </c>
      <c r="R4384" s="143" t="s">
        <v>2073</v>
      </c>
      <c r="S4384" s="47"/>
      <c r="T4384" s="6">
        <v>376.56999999999971</v>
      </c>
      <c r="U4384" s="6"/>
      <c r="V4384" s="6">
        <v>0</v>
      </c>
      <c r="W4384" s="6">
        <f t="shared" si="668"/>
        <v>376.56999999999971</v>
      </c>
      <c r="X4384" s="6">
        <f t="shared" si="669"/>
        <v>0</v>
      </c>
      <c r="Y4384" s="13">
        <f t="shared" si="672"/>
        <v>0</v>
      </c>
      <c r="Z4384" s="14">
        <v>0</v>
      </c>
      <c r="AA4384" s="6">
        <v>0</v>
      </c>
      <c r="AB4384" s="4">
        <f t="shared" si="673"/>
        <v>0</v>
      </c>
      <c r="AC4384" s="4">
        <f t="shared" si="675"/>
        <v>0</v>
      </c>
      <c r="AD4384" s="6">
        <f t="shared" si="670"/>
        <v>0</v>
      </c>
      <c r="AE4384" s="2">
        <f>VLOOKUP(I4384,[1]媒体政策预估表!A:N,MATCH(O4384,[1]媒体政策预估表!$A$2:$M$2,0),0)</f>
        <v>7.0000000000000007E-2</v>
      </c>
      <c r="AF4384" s="6">
        <f t="shared" si="676"/>
        <v>0</v>
      </c>
      <c r="AG4384" s="14">
        <v>0</v>
      </c>
      <c r="AH4384" s="65">
        <f t="shared" si="671"/>
        <v>0</v>
      </c>
      <c r="AI4384" s="47"/>
      <c r="AJ4384" s="126" t="e">
        <v>#N/A</v>
      </c>
      <c r="AK4384" s="80">
        <f t="shared" si="674"/>
        <v>0</v>
      </c>
      <c r="AM4384" s="85"/>
    </row>
    <row r="4385" spans="1:39" hidden="1" x14ac:dyDescent="0.3">
      <c r="A4385" s="89" t="s">
        <v>3394</v>
      </c>
      <c r="B4385" s="86" t="s">
        <v>35</v>
      </c>
      <c r="C4385" s="86" t="s">
        <v>164</v>
      </c>
      <c r="D4385" s="86" t="s">
        <v>174</v>
      </c>
      <c r="E4385" s="86" t="s">
        <v>1658</v>
      </c>
      <c r="F4385" s="86" t="s">
        <v>1658</v>
      </c>
      <c r="G4385" s="86" t="s">
        <v>1658</v>
      </c>
      <c r="H4385" s="143">
        <v>360</v>
      </c>
      <c r="I4385" s="86" t="s">
        <v>1060</v>
      </c>
      <c r="J4385" s="1" t="s">
        <v>3325</v>
      </c>
      <c r="K4385" s="1" t="s">
        <v>3287</v>
      </c>
      <c r="L4385" s="1" t="s">
        <v>35</v>
      </c>
      <c r="M4385" s="86" t="s">
        <v>1658</v>
      </c>
      <c r="N4385" s="86"/>
      <c r="O4385" s="47" t="s">
        <v>410</v>
      </c>
      <c r="P4385" s="47" t="s">
        <v>46</v>
      </c>
      <c r="Q4385" s="14">
        <v>2.0000000000000018E-2</v>
      </c>
      <c r="R4385" s="143" t="s">
        <v>2074</v>
      </c>
      <c r="S4385" s="47"/>
      <c r="T4385" s="6">
        <v>459.09999999999854</v>
      </c>
      <c r="U4385" s="6"/>
      <c r="V4385" s="6">
        <v>0</v>
      </c>
      <c r="W4385" s="6">
        <f t="shared" si="668"/>
        <v>459.09999999999854</v>
      </c>
      <c r="X4385" s="6">
        <f t="shared" si="669"/>
        <v>0</v>
      </c>
      <c r="Y4385" s="13">
        <f t="shared" si="672"/>
        <v>0</v>
      </c>
      <c r="Z4385" s="14">
        <v>0</v>
      </c>
      <c r="AA4385" s="6">
        <v>0</v>
      </c>
      <c r="AB4385" s="4">
        <f t="shared" si="673"/>
        <v>0</v>
      </c>
      <c r="AC4385" s="4">
        <f t="shared" si="675"/>
        <v>0</v>
      </c>
      <c r="AD4385" s="6">
        <f t="shared" si="670"/>
        <v>0</v>
      </c>
      <c r="AE4385" s="2">
        <f>VLOOKUP(I4385,[1]媒体政策预估表!A:N,MATCH(O4385,[1]媒体政策预估表!$A$2:$M$2,0),0)</f>
        <v>7.0000000000000007E-2</v>
      </c>
      <c r="AF4385" s="6">
        <f t="shared" si="676"/>
        <v>0</v>
      </c>
      <c r="AG4385" s="14">
        <v>0</v>
      </c>
      <c r="AH4385" s="65">
        <f t="shared" si="671"/>
        <v>0</v>
      </c>
      <c r="AI4385" s="47"/>
      <c r="AJ4385" s="126" t="e">
        <v>#N/A</v>
      </c>
      <c r="AK4385" s="80">
        <f t="shared" si="674"/>
        <v>0</v>
      </c>
      <c r="AM4385" s="85"/>
    </row>
    <row r="4386" spans="1:39" hidden="1" x14ac:dyDescent="0.3">
      <c r="A4386" s="89" t="s">
        <v>3395</v>
      </c>
      <c r="B4386" s="86" t="s">
        <v>35</v>
      </c>
      <c r="C4386" s="86" t="s">
        <v>36</v>
      </c>
      <c r="D4386" s="86" t="s">
        <v>54</v>
      </c>
      <c r="E4386" s="86" t="s">
        <v>71</v>
      </c>
      <c r="F4386" s="86" t="s">
        <v>71</v>
      </c>
      <c r="G4386" s="86" t="s">
        <v>71</v>
      </c>
      <c r="H4386" s="143">
        <v>360</v>
      </c>
      <c r="I4386" s="86" t="s">
        <v>1060</v>
      </c>
      <c r="J4386" s="1" t="s">
        <v>3325</v>
      </c>
      <c r="K4386" s="1" t="s">
        <v>3287</v>
      </c>
      <c r="L4386" s="1" t="s">
        <v>35</v>
      </c>
      <c r="M4386" s="86" t="s">
        <v>1858</v>
      </c>
      <c r="N4386" s="86"/>
      <c r="O4386" s="47" t="s">
        <v>45</v>
      </c>
      <c r="P4386" s="47" t="s">
        <v>41</v>
      </c>
      <c r="Q4386" s="14">
        <v>0</v>
      </c>
      <c r="R4386" s="143" t="s">
        <v>1859</v>
      </c>
      <c r="S4386" s="47"/>
      <c r="T4386" s="6">
        <v>-36306.883640000022</v>
      </c>
      <c r="U4386" s="6"/>
      <c r="V4386" s="6">
        <v>0</v>
      </c>
      <c r="W4386" s="6">
        <f t="shared" si="668"/>
        <v>-36306.883640000022</v>
      </c>
      <c r="X4386" s="6">
        <f t="shared" si="669"/>
        <v>0</v>
      </c>
      <c r="Y4386" s="13">
        <f t="shared" si="672"/>
        <v>0</v>
      </c>
      <c r="Z4386" s="14">
        <v>0</v>
      </c>
      <c r="AA4386" s="6">
        <v>0</v>
      </c>
      <c r="AB4386" s="4">
        <f t="shared" si="673"/>
        <v>0</v>
      </c>
      <c r="AC4386" s="4">
        <f t="shared" si="675"/>
        <v>0</v>
      </c>
      <c r="AD4386" s="6">
        <f t="shared" si="670"/>
        <v>0</v>
      </c>
      <c r="AE4386" s="2">
        <f>VLOOKUP(I4386,[1]媒体政策预估表!A:N,MATCH(O4386,[1]媒体政策预估表!$A$2:$M$2,0),0)</f>
        <v>0.12</v>
      </c>
      <c r="AF4386" s="6">
        <f t="shared" si="676"/>
        <v>0</v>
      </c>
      <c r="AG4386" s="14">
        <v>0</v>
      </c>
      <c r="AH4386" s="65">
        <f t="shared" si="671"/>
        <v>0</v>
      </c>
      <c r="AI4386" s="47"/>
      <c r="AJ4386" s="126" t="e">
        <v>#N/A</v>
      </c>
      <c r="AK4386" s="80">
        <f t="shared" si="674"/>
        <v>0</v>
      </c>
      <c r="AM4386" s="85"/>
    </row>
    <row r="4387" spans="1:39" hidden="1" x14ac:dyDescent="0.3">
      <c r="A4387" s="89" t="s">
        <v>3394</v>
      </c>
      <c r="B4387" s="86" t="s">
        <v>35</v>
      </c>
      <c r="C4387" s="86" t="s">
        <v>36</v>
      </c>
      <c r="D4387" s="86" t="s">
        <v>54</v>
      </c>
      <c r="E4387" s="86" t="s">
        <v>71</v>
      </c>
      <c r="F4387" s="86" t="s">
        <v>71</v>
      </c>
      <c r="G4387" s="86" t="s">
        <v>71</v>
      </c>
      <c r="H4387" s="143">
        <v>360</v>
      </c>
      <c r="I4387" s="86" t="s">
        <v>1060</v>
      </c>
      <c r="J4387" s="1" t="s">
        <v>3325</v>
      </c>
      <c r="K4387" s="1" t="s">
        <v>3287</v>
      </c>
      <c r="L4387" s="1" t="s">
        <v>35</v>
      </c>
      <c r="M4387" s="86" t="s">
        <v>73</v>
      </c>
      <c r="N4387" s="86"/>
      <c r="O4387" s="47" t="s">
        <v>45</v>
      </c>
      <c r="P4387" s="47" t="s">
        <v>41</v>
      </c>
      <c r="Q4387" s="14">
        <v>0</v>
      </c>
      <c r="R4387" s="143" t="s">
        <v>1860</v>
      </c>
      <c r="S4387" s="47"/>
      <c r="T4387" s="6">
        <v>-1590008.6081399997</v>
      </c>
      <c r="U4387" s="6"/>
      <c r="V4387" s="6">
        <v>0</v>
      </c>
      <c r="W4387" s="6">
        <f t="shared" si="668"/>
        <v>-1590008.6081399997</v>
      </c>
      <c r="X4387" s="6">
        <f t="shared" si="669"/>
        <v>0</v>
      </c>
      <c r="Y4387" s="13">
        <f t="shared" si="672"/>
        <v>0</v>
      </c>
      <c r="Z4387" s="14">
        <v>0</v>
      </c>
      <c r="AA4387" s="6">
        <v>0</v>
      </c>
      <c r="AB4387" s="4">
        <f t="shared" si="673"/>
        <v>0</v>
      </c>
      <c r="AC4387" s="4">
        <f t="shared" si="675"/>
        <v>0</v>
      </c>
      <c r="AD4387" s="6">
        <f t="shared" si="670"/>
        <v>0</v>
      </c>
      <c r="AE4387" s="2">
        <f>VLOOKUP(I4387,[1]媒体政策预估表!A:N,MATCH(O4387,[1]媒体政策预估表!$A$2:$M$2,0),0)</f>
        <v>0.12</v>
      </c>
      <c r="AF4387" s="6">
        <f t="shared" si="676"/>
        <v>0</v>
      </c>
      <c r="AG4387" s="14">
        <v>0</v>
      </c>
      <c r="AH4387" s="65">
        <f t="shared" si="671"/>
        <v>0</v>
      </c>
      <c r="AI4387" s="47"/>
      <c r="AJ4387" s="126" t="e">
        <v>#N/A</v>
      </c>
      <c r="AK4387" s="80">
        <f t="shared" si="674"/>
        <v>0</v>
      </c>
      <c r="AM4387" s="85"/>
    </row>
    <row r="4388" spans="1:39" hidden="1" x14ac:dyDescent="0.3">
      <c r="A4388" s="89" t="s">
        <v>3394</v>
      </c>
      <c r="B4388" s="86" t="s">
        <v>35</v>
      </c>
      <c r="C4388" s="86" t="s">
        <v>47</v>
      </c>
      <c r="D4388" s="86" t="s">
        <v>63</v>
      </c>
      <c r="E4388" s="86" t="s">
        <v>2075</v>
      </c>
      <c r="F4388" s="86" t="s">
        <v>2075</v>
      </c>
      <c r="G4388" s="86" t="s">
        <v>2075</v>
      </c>
      <c r="H4388" s="143">
        <v>360</v>
      </c>
      <c r="I4388" s="86" t="s">
        <v>1060</v>
      </c>
      <c r="J4388" s="1" t="s">
        <v>3325</v>
      </c>
      <c r="K4388" s="1" t="s">
        <v>3287</v>
      </c>
      <c r="L4388" s="1" t="s">
        <v>35</v>
      </c>
      <c r="M4388" s="86" t="s">
        <v>2075</v>
      </c>
      <c r="N4388" s="86"/>
      <c r="O4388" s="47" t="s">
        <v>410</v>
      </c>
      <c r="P4388" s="47" t="s">
        <v>46</v>
      </c>
      <c r="Q4388" s="14">
        <v>0.02</v>
      </c>
      <c r="R4388" s="143" t="s">
        <v>2076</v>
      </c>
      <c r="S4388" s="47"/>
      <c r="T4388" s="6">
        <v>492.5</v>
      </c>
      <c r="U4388" s="6"/>
      <c r="V4388" s="6">
        <v>0</v>
      </c>
      <c r="W4388" s="6">
        <f t="shared" si="668"/>
        <v>492.5</v>
      </c>
      <c r="X4388" s="6">
        <f t="shared" si="669"/>
        <v>0</v>
      </c>
      <c r="Y4388" s="13">
        <f t="shared" si="672"/>
        <v>0</v>
      </c>
      <c r="Z4388" s="14">
        <v>0</v>
      </c>
      <c r="AA4388" s="6">
        <v>0</v>
      </c>
      <c r="AB4388" s="4">
        <f t="shared" si="673"/>
        <v>0</v>
      </c>
      <c r="AC4388" s="4">
        <f t="shared" si="675"/>
        <v>0</v>
      </c>
      <c r="AD4388" s="6">
        <f t="shared" si="670"/>
        <v>0</v>
      </c>
      <c r="AE4388" s="2">
        <f>VLOOKUP(I4388,[1]媒体政策预估表!A:N,MATCH(O4388,[1]媒体政策预估表!$A$2:$M$2,0),0)</f>
        <v>7.0000000000000007E-2</v>
      </c>
      <c r="AF4388" s="6">
        <f t="shared" si="676"/>
        <v>0</v>
      </c>
      <c r="AG4388" s="14">
        <v>0</v>
      </c>
      <c r="AH4388" s="65">
        <f t="shared" si="671"/>
        <v>0</v>
      </c>
      <c r="AI4388" s="47"/>
      <c r="AJ4388" s="126" t="e">
        <v>#N/A</v>
      </c>
      <c r="AK4388" s="80">
        <f t="shared" si="674"/>
        <v>0</v>
      </c>
      <c r="AM4388" s="85"/>
    </row>
    <row r="4389" spans="1:39" hidden="1" x14ac:dyDescent="0.3">
      <c r="A4389" s="89" t="s">
        <v>3395</v>
      </c>
      <c r="B4389" s="86" t="s">
        <v>35</v>
      </c>
      <c r="C4389" s="86" t="s">
        <v>144</v>
      </c>
      <c r="D4389" s="86" t="s">
        <v>145</v>
      </c>
      <c r="E4389" s="86" t="s">
        <v>2077</v>
      </c>
      <c r="F4389" s="86" t="s">
        <v>2077</v>
      </c>
      <c r="G4389" s="86" t="s">
        <v>2077</v>
      </c>
      <c r="H4389" s="143">
        <v>360</v>
      </c>
      <c r="I4389" s="86" t="s">
        <v>1060</v>
      </c>
      <c r="J4389" s="1" t="s">
        <v>3325</v>
      </c>
      <c r="K4389" s="1" t="s">
        <v>3287</v>
      </c>
      <c r="L4389" s="1" t="s">
        <v>35</v>
      </c>
      <c r="M4389" s="86" t="s">
        <v>2078</v>
      </c>
      <c r="N4389" s="86"/>
      <c r="O4389" s="47" t="s">
        <v>410</v>
      </c>
      <c r="P4389" s="47" t="s">
        <v>46</v>
      </c>
      <c r="Q4389" s="14">
        <v>0.04</v>
      </c>
      <c r="R4389" s="143" t="s">
        <v>2079</v>
      </c>
      <c r="S4389" s="47"/>
      <c r="T4389" s="6">
        <v>1.8000000000029104</v>
      </c>
      <c r="U4389" s="6"/>
      <c r="V4389" s="6">
        <v>0</v>
      </c>
      <c r="W4389" s="6">
        <f t="shared" si="668"/>
        <v>1.8000000000029104</v>
      </c>
      <c r="X4389" s="6">
        <f t="shared" si="669"/>
        <v>0</v>
      </c>
      <c r="Y4389" s="13">
        <f t="shared" si="672"/>
        <v>0</v>
      </c>
      <c r="Z4389" s="14">
        <v>0</v>
      </c>
      <c r="AA4389" s="6">
        <v>0</v>
      </c>
      <c r="AB4389" s="4">
        <f t="shared" si="673"/>
        <v>0</v>
      </c>
      <c r="AC4389" s="4">
        <f t="shared" si="675"/>
        <v>0</v>
      </c>
      <c r="AD4389" s="6">
        <f t="shared" si="670"/>
        <v>0</v>
      </c>
      <c r="AE4389" s="2">
        <f>VLOOKUP(I4389,[1]媒体政策预估表!A:N,MATCH(O4389,[1]媒体政策预估表!$A$2:$M$2,0),0)</f>
        <v>7.0000000000000007E-2</v>
      </c>
      <c r="AF4389" s="6">
        <f t="shared" si="676"/>
        <v>0</v>
      </c>
      <c r="AG4389" s="14">
        <v>0</v>
      </c>
      <c r="AH4389" s="65">
        <f t="shared" si="671"/>
        <v>0</v>
      </c>
      <c r="AI4389" s="47"/>
      <c r="AJ4389" s="126" t="e">
        <v>#N/A</v>
      </c>
      <c r="AK4389" s="80">
        <f t="shared" si="674"/>
        <v>0</v>
      </c>
      <c r="AM4389" s="85"/>
    </row>
    <row r="4390" spans="1:39" hidden="1" x14ac:dyDescent="0.3">
      <c r="A4390" s="89" t="s">
        <v>3395</v>
      </c>
      <c r="B4390" s="86" t="s">
        <v>35</v>
      </c>
      <c r="C4390" s="86" t="s">
        <v>144</v>
      </c>
      <c r="D4390" s="86" t="s">
        <v>145</v>
      </c>
      <c r="E4390" s="86" t="s">
        <v>2080</v>
      </c>
      <c r="F4390" s="86" t="s">
        <v>2080</v>
      </c>
      <c r="G4390" s="86" t="s">
        <v>2080</v>
      </c>
      <c r="H4390" s="143">
        <v>360</v>
      </c>
      <c r="I4390" s="86" t="s">
        <v>1060</v>
      </c>
      <c r="J4390" s="1" t="s">
        <v>3325</v>
      </c>
      <c r="K4390" s="1" t="s">
        <v>3287</v>
      </c>
      <c r="L4390" s="1" t="s">
        <v>35</v>
      </c>
      <c r="M4390" s="86" t="s">
        <v>2080</v>
      </c>
      <c r="N4390" s="86"/>
      <c r="O4390" s="47" t="s">
        <v>410</v>
      </c>
      <c r="P4390" s="47" t="s">
        <v>46</v>
      </c>
      <c r="Q4390" s="14">
        <v>0.02</v>
      </c>
      <c r="R4390" s="143" t="s">
        <v>2081</v>
      </c>
      <c r="S4390" s="47"/>
      <c r="T4390" s="6">
        <v>476.60000000000036</v>
      </c>
      <c r="U4390" s="6"/>
      <c r="V4390" s="6">
        <v>0</v>
      </c>
      <c r="W4390" s="6">
        <f t="shared" si="668"/>
        <v>476.60000000000036</v>
      </c>
      <c r="X4390" s="6">
        <f t="shared" si="669"/>
        <v>0</v>
      </c>
      <c r="Y4390" s="13">
        <f t="shared" si="672"/>
        <v>0</v>
      </c>
      <c r="Z4390" s="14">
        <v>0</v>
      </c>
      <c r="AA4390" s="6">
        <v>0</v>
      </c>
      <c r="AB4390" s="4">
        <f t="shared" si="673"/>
        <v>0</v>
      </c>
      <c r="AC4390" s="4">
        <f t="shared" si="675"/>
        <v>0</v>
      </c>
      <c r="AD4390" s="6">
        <f t="shared" si="670"/>
        <v>0</v>
      </c>
      <c r="AE4390" s="2">
        <f>VLOOKUP(I4390,[1]媒体政策预估表!A:N,MATCH(O4390,[1]媒体政策预估表!$A$2:$M$2,0),0)</f>
        <v>7.0000000000000007E-2</v>
      </c>
      <c r="AF4390" s="6">
        <f t="shared" si="676"/>
        <v>0</v>
      </c>
      <c r="AG4390" s="14">
        <v>0</v>
      </c>
      <c r="AH4390" s="65">
        <f t="shared" si="671"/>
        <v>0</v>
      </c>
      <c r="AI4390" s="47"/>
      <c r="AJ4390" s="126" t="e">
        <v>#N/A</v>
      </c>
      <c r="AK4390" s="80">
        <f t="shared" si="674"/>
        <v>0</v>
      </c>
      <c r="AM4390" s="85"/>
    </row>
    <row r="4391" spans="1:39" hidden="1" x14ac:dyDescent="0.3">
      <c r="A4391" s="89" t="s">
        <v>3395</v>
      </c>
      <c r="B4391" s="86" t="s">
        <v>35</v>
      </c>
      <c r="C4391" s="86" t="s">
        <v>144</v>
      </c>
      <c r="D4391" s="86" t="s">
        <v>152</v>
      </c>
      <c r="E4391" s="86" t="s">
        <v>155</v>
      </c>
      <c r="F4391" s="86" t="s">
        <v>1465</v>
      </c>
      <c r="G4391" s="86" t="s">
        <v>155</v>
      </c>
      <c r="H4391" s="144">
        <v>360</v>
      </c>
      <c r="I4391" s="86" t="s">
        <v>1060</v>
      </c>
      <c r="J4391" s="1" t="s">
        <v>3325</v>
      </c>
      <c r="K4391" s="1" t="s">
        <v>3287</v>
      </c>
      <c r="L4391" s="1" t="s">
        <v>35</v>
      </c>
      <c r="M4391" s="86" t="s">
        <v>1466</v>
      </c>
      <c r="N4391" s="86"/>
      <c r="O4391" s="47" t="s">
        <v>410</v>
      </c>
      <c r="P4391" s="47" t="s">
        <v>92</v>
      </c>
      <c r="Q4391" s="14">
        <v>0.98499999999999999</v>
      </c>
      <c r="R4391" s="143" t="s">
        <v>2082</v>
      </c>
      <c r="S4391" s="47"/>
      <c r="T4391" s="6">
        <v>78867.899999999994</v>
      </c>
      <c r="U4391" s="6"/>
      <c r="V4391" s="6">
        <v>26049.189999999995</v>
      </c>
      <c r="W4391" s="6">
        <v>0</v>
      </c>
      <c r="X4391" s="6">
        <f t="shared" si="669"/>
        <v>25658.452149999994</v>
      </c>
      <c r="Y4391" s="13">
        <f t="shared" si="672"/>
        <v>0</v>
      </c>
      <c r="Z4391" s="14">
        <v>0</v>
      </c>
      <c r="AA4391" s="6">
        <v>0</v>
      </c>
      <c r="AB4391" s="4">
        <f t="shared" si="673"/>
        <v>25658.452149999994</v>
      </c>
      <c r="AC4391" s="4">
        <f t="shared" si="675"/>
        <v>390.73785000000134</v>
      </c>
      <c r="AD4391" s="6">
        <f t="shared" si="670"/>
        <v>26049.189999999995</v>
      </c>
      <c r="AE4391" s="2">
        <f>VLOOKUP(I4391,[1]媒体政策预估表!A:N,MATCH(O4391,[1]媒体政策预估表!$A$2:$M$2,0),0)</f>
        <v>7.0000000000000007E-2</v>
      </c>
      <c r="AF4391" s="6">
        <f t="shared" si="676"/>
        <v>1823.4432999999999</v>
      </c>
      <c r="AG4391" s="14">
        <v>0</v>
      </c>
      <c r="AH4391" s="65">
        <f t="shared" si="671"/>
        <v>26049.189999999995</v>
      </c>
      <c r="AI4391" s="47"/>
      <c r="AJ4391" s="126" t="e">
        <v>#N/A</v>
      </c>
      <c r="AK4391" s="80">
        <f t="shared" si="674"/>
        <v>0</v>
      </c>
      <c r="AM4391" s="85"/>
    </row>
    <row r="4392" spans="1:39" hidden="1" x14ac:dyDescent="0.3">
      <c r="A4392" s="89" t="s">
        <v>3394</v>
      </c>
      <c r="B4392" s="86" t="s">
        <v>35</v>
      </c>
      <c r="C4392" s="86" t="s">
        <v>164</v>
      </c>
      <c r="D4392" s="86" t="s">
        <v>169</v>
      </c>
      <c r="E4392" s="86" t="s">
        <v>1954</v>
      </c>
      <c r="F4392" s="86" t="s">
        <v>1954</v>
      </c>
      <c r="G4392" s="86" t="s">
        <v>1954</v>
      </c>
      <c r="H4392" s="143">
        <v>360</v>
      </c>
      <c r="I4392" s="86" t="s">
        <v>1060</v>
      </c>
      <c r="J4392" s="1" t="s">
        <v>3325</v>
      </c>
      <c r="K4392" s="1" t="s">
        <v>3287</v>
      </c>
      <c r="L4392" s="1" t="s">
        <v>35</v>
      </c>
      <c r="M4392" s="86" t="s">
        <v>1954</v>
      </c>
      <c r="N4392" s="86"/>
      <c r="O4392" s="47" t="s">
        <v>410</v>
      </c>
      <c r="P4392" s="47" t="s">
        <v>46</v>
      </c>
      <c r="Q4392" s="14">
        <v>0.01</v>
      </c>
      <c r="R4392" s="143" t="s">
        <v>1955</v>
      </c>
      <c r="S4392" s="47"/>
      <c r="T4392" s="6">
        <v>30000</v>
      </c>
      <c r="U4392" s="6"/>
      <c r="V4392" s="6">
        <v>0</v>
      </c>
      <c r="W4392" s="6">
        <f t="shared" si="668"/>
        <v>30000</v>
      </c>
      <c r="X4392" s="6">
        <f t="shared" si="669"/>
        <v>0</v>
      </c>
      <c r="Y4392" s="13">
        <f t="shared" si="672"/>
        <v>0</v>
      </c>
      <c r="Z4392" s="14">
        <v>0</v>
      </c>
      <c r="AA4392" s="6">
        <v>0</v>
      </c>
      <c r="AB4392" s="4">
        <f t="shared" si="673"/>
        <v>0</v>
      </c>
      <c r="AC4392" s="4">
        <f t="shared" si="675"/>
        <v>0</v>
      </c>
      <c r="AD4392" s="6">
        <f t="shared" si="670"/>
        <v>0</v>
      </c>
      <c r="AE4392" s="2">
        <f>VLOOKUP(I4392,[1]媒体政策预估表!A:N,MATCH(O4392,[1]媒体政策预估表!$A$2:$M$2,0),0)</f>
        <v>7.0000000000000007E-2</v>
      </c>
      <c r="AF4392" s="6">
        <f t="shared" si="676"/>
        <v>0</v>
      </c>
      <c r="AG4392" s="14">
        <v>0</v>
      </c>
      <c r="AH4392" s="65">
        <f t="shared" si="671"/>
        <v>0</v>
      </c>
      <c r="AI4392" s="47"/>
      <c r="AJ4392" s="126" t="e">
        <v>#N/A</v>
      </c>
      <c r="AK4392" s="80">
        <f t="shared" si="674"/>
        <v>0</v>
      </c>
      <c r="AM4392" s="85"/>
    </row>
    <row r="4393" spans="1:39" hidden="1" x14ac:dyDescent="0.3">
      <c r="A4393" s="89" t="s">
        <v>3395</v>
      </c>
      <c r="B4393" s="86" t="s">
        <v>35</v>
      </c>
      <c r="C4393" s="86" t="s">
        <v>164</v>
      </c>
      <c r="D4393" s="86" t="s">
        <v>174</v>
      </c>
      <c r="E4393" s="86" t="s">
        <v>1681</v>
      </c>
      <c r="F4393" s="86" t="s">
        <v>1682</v>
      </c>
      <c r="G4393" s="86" t="s">
        <v>1681</v>
      </c>
      <c r="H4393" s="143">
        <v>360</v>
      </c>
      <c r="I4393" s="86" t="s">
        <v>1060</v>
      </c>
      <c r="J4393" s="1" t="s">
        <v>3325</v>
      </c>
      <c r="K4393" s="1" t="s">
        <v>3287</v>
      </c>
      <c r="L4393" s="1" t="s">
        <v>35</v>
      </c>
      <c r="M4393" s="86" t="s">
        <v>1685</v>
      </c>
      <c r="N4393" s="86"/>
      <c r="O4393" s="47" t="s">
        <v>45</v>
      </c>
      <c r="P4393" s="47" t="s">
        <v>46</v>
      </c>
      <c r="Q4393" s="14">
        <v>0.04</v>
      </c>
      <c r="R4393" s="143" t="s">
        <v>2083</v>
      </c>
      <c r="S4393" s="47"/>
      <c r="T4393" s="6">
        <v>7976.3767700000008</v>
      </c>
      <c r="U4393" s="6"/>
      <c r="V4393" s="6">
        <v>0</v>
      </c>
      <c r="W4393" s="6">
        <f t="shared" si="668"/>
        <v>7976.3767700000008</v>
      </c>
      <c r="X4393" s="6">
        <f t="shared" si="669"/>
        <v>0</v>
      </c>
      <c r="Y4393" s="13">
        <f t="shared" si="672"/>
        <v>0</v>
      </c>
      <c r="Z4393" s="14">
        <v>0</v>
      </c>
      <c r="AA4393" s="6">
        <v>0</v>
      </c>
      <c r="AB4393" s="4">
        <f t="shared" si="673"/>
        <v>0</v>
      </c>
      <c r="AC4393" s="4">
        <f t="shared" si="675"/>
        <v>0</v>
      </c>
      <c r="AD4393" s="6">
        <f t="shared" si="670"/>
        <v>0</v>
      </c>
      <c r="AE4393" s="2">
        <f>VLOOKUP(I4393,[1]媒体政策预估表!A:N,MATCH(O4393,[1]媒体政策预估表!$A$2:$M$2,0),0)</f>
        <v>0.12</v>
      </c>
      <c r="AF4393" s="6">
        <f t="shared" si="676"/>
        <v>0</v>
      </c>
      <c r="AG4393" s="14">
        <v>0</v>
      </c>
      <c r="AH4393" s="65">
        <f t="shared" si="671"/>
        <v>0</v>
      </c>
      <c r="AI4393" s="47"/>
      <c r="AJ4393" s="126" t="e">
        <v>#N/A</v>
      </c>
      <c r="AK4393" s="80">
        <f t="shared" si="674"/>
        <v>0</v>
      </c>
      <c r="AM4393" s="85"/>
    </row>
    <row r="4394" spans="1:39" hidden="1" x14ac:dyDescent="0.3">
      <c r="A4394" s="89" t="s">
        <v>3394</v>
      </c>
      <c r="B4394" s="86" t="s">
        <v>35</v>
      </c>
      <c r="C4394" s="86" t="s">
        <v>164</v>
      </c>
      <c r="D4394" s="86" t="s">
        <v>174</v>
      </c>
      <c r="E4394" s="86" t="s">
        <v>2012</v>
      </c>
      <c r="F4394" s="86" t="s">
        <v>2012</v>
      </c>
      <c r="G4394" s="86" t="s">
        <v>2012</v>
      </c>
      <c r="H4394" s="143">
        <v>30</v>
      </c>
      <c r="I4394" s="86" t="s">
        <v>1961</v>
      </c>
      <c r="J4394" s="1" t="s">
        <v>3671</v>
      </c>
      <c r="L4394" s="1" t="s">
        <v>3388</v>
      </c>
      <c r="M4394" s="86" t="s">
        <v>2012</v>
      </c>
      <c r="N4394" s="86"/>
      <c r="O4394" s="47" t="s">
        <v>410</v>
      </c>
      <c r="P4394" s="47" t="s">
        <v>41</v>
      </c>
      <c r="Q4394" s="14">
        <v>0</v>
      </c>
      <c r="R4394" s="143" t="s">
        <v>2084</v>
      </c>
      <c r="S4394" s="47"/>
      <c r="T4394" s="6">
        <v>48179.8</v>
      </c>
      <c r="U4394" s="6"/>
      <c r="V4394" s="6">
        <v>0</v>
      </c>
      <c r="W4394" s="6">
        <f t="shared" si="668"/>
        <v>48179.8</v>
      </c>
      <c r="X4394" s="6">
        <f t="shared" si="669"/>
        <v>0</v>
      </c>
      <c r="Y4394" s="13">
        <f t="shared" si="672"/>
        <v>0</v>
      </c>
      <c r="Z4394" s="14">
        <v>0</v>
      </c>
      <c r="AA4394" s="6">
        <v>0</v>
      </c>
      <c r="AB4394" s="4">
        <f t="shared" si="673"/>
        <v>0</v>
      </c>
      <c r="AC4394" s="4">
        <f t="shared" si="675"/>
        <v>0</v>
      </c>
      <c r="AD4394" s="6">
        <f t="shared" si="670"/>
        <v>0</v>
      </c>
      <c r="AE4394" s="2">
        <v>0</v>
      </c>
      <c r="AF4394" s="6">
        <f t="shared" si="676"/>
        <v>0</v>
      </c>
      <c r="AG4394" s="14">
        <v>0</v>
      </c>
      <c r="AH4394" s="65">
        <f t="shared" si="671"/>
        <v>0</v>
      </c>
      <c r="AI4394" s="47"/>
      <c r="AJ4394" s="126" t="e">
        <v>#N/A</v>
      </c>
      <c r="AK4394" s="80">
        <f t="shared" si="674"/>
        <v>0</v>
      </c>
      <c r="AM4394" s="85"/>
    </row>
    <row r="4395" spans="1:39" hidden="1" x14ac:dyDescent="0.3">
      <c r="A4395" s="89" t="s">
        <v>3394</v>
      </c>
      <c r="B4395" s="86" t="s">
        <v>35</v>
      </c>
      <c r="C4395" s="86" t="s">
        <v>47</v>
      </c>
      <c r="D4395" s="86" t="s">
        <v>48</v>
      </c>
      <c r="E4395" s="86" t="s">
        <v>50</v>
      </c>
      <c r="F4395" s="86" t="s">
        <v>50</v>
      </c>
      <c r="G4395" s="86" t="s">
        <v>50</v>
      </c>
      <c r="H4395" s="143">
        <v>30</v>
      </c>
      <c r="I4395" s="86" t="s">
        <v>1961</v>
      </c>
      <c r="J4395" s="1" t="s">
        <v>3671</v>
      </c>
      <c r="L4395" s="1" t="s">
        <v>3388</v>
      </c>
      <c r="M4395" s="86" t="s">
        <v>50</v>
      </c>
      <c r="N4395" s="86"/>
      <c r="O4395" s="47" t="s">
        <v>410</v>
      </c>
      <c r="P4395" s="47" t="s">
        <v>41</v>
      </c>
      <c r="Q4395" s="14">
        <v>0</v>
      </c>
      <c r="R4395" s="143" t="s">
        <v>2085</v>
      </c>
      <c r="S4395" s="47"/>
      <c r="T4395" s="6">
        <v>-14.2</v>
      </c>
      <c r="U4395" s="6"/>
      <c r="V4395" s="6">
        <v>0</v>
      </c>
      <c r="W4395" s="6">
        <f t="shared" si="668"/>
        <v>-14.2</v>
      </c>
      <c r="X4395" s="6">
        <f t="shared" si="669"/>
        <v>0</v>
      </c>
      <c r="Y4395" s="13">
        <f t="shared" si="672"/>
        <v>0</v>
      </c>
      <c r="Z4395" s="14">
        <v>0</v>
      </c>
      <c r="AA4395" s="6">
        <v>0</v>
      </c>
      <c r="AB4395" s="4">
        <f t="shared" si="673"/>
        <v>0</v>
      </c>
      <c r="AC4395" s="4">
        <f t="shared" si="675"/>
        <v>0</v>
      </c>
      <c r="AD4395" s="6">
        <f t="shared" si="670"/>
        <v>0</v>
      </c>
      <c r="AE4395" s="2">
        <v>0</v>
      </c>
      <c r="AF4395" s="6">
        <f t="shared" si="676"/>
        <v>0</v>
      </c>
      <c r="AG4395" s="14">
        <v>0</v>
      </c>
      <c r="AH4395" s="65">
        <f t="shared" si="671"/>
        <v>0</v>
      </c>
      <c r="AI4395" s="47"/>
      <c r="AJ4395" s="126" t="e">
        <v>#N/A</v>
      </c>
      <c r="AK4395" s="80">
        <f t="shared" si="674"/>
        <v>0</v>
      </c>
      <c r="AM4395" s="85"/>
    </row>
    <row r="4396" spans="1:39" hidden="1" x14ac:dyDescent="0.3">
      <c r="A4396" s="89" t="s">
        <v>3394</v>
      </c>
      <c r="B4396" s="86" t="s">
        <v>35</v>
      </c>
      <c r="C4396" s="86" t="s">
        <v>47</v>
      </c>
      <c r="D4396" s="86" t="s">
        <v>48</v>
      </c>
      <c r="E4396" s="86" t="s">
        <v>2090</v>
      </c>
      <c r="F4396" s="86" t="s">
        <v>2090</v>
      </c>
      <c r="G4396" s="86" t="s">
        <v>2090</v>
      </c>
      <c r="H4396" s="143">
        <v>304</v>
      </c>
      <c r="I4396" s="86" t="s">
        <v>610</v>
      </c>
      <c r="J4396" s="1" t="s">
        <v>3323</v>
      </c>
      <c r="K4396" s="1" t="s">
        <v>3370</v>
      </c>
      <c r="L4396" s="1" t="s">
        <v>35</v>
      </c>
      <c r="M4396" s="86" t="s">
        <v>2091</v>
      </c>
      <c r="N4396" s="86"/>
      <c r="O4396" s="47" t="s">
        <v>410</v>
      </c>
      <c r="P4396" s="47" t="s">
        <v>41</v>
      </c>
      <c r="Q4396" s="14">
        <v>0</v>
      </c>
      <c r="R4396" s="143" t="s">
        <v>2092</v>
      </c>
      <c r="S4396" s="47"/>
      <c r="T4396" s="6">
        <v>5697.7</v>
      </c>
      <c r="U4396" s="6"/>
      <c r="V4396" s="6">
        <v>0</v>
      </c>
      <c r="W4396" s="6">
        <f t="shared" si="668"/>
        <v>5697.7</v>
      </c>
      <c r="X4396" s="6">
        <f t="shared" si="669"/>
        <v>0</v>
      </c>
      <c r="Y4396" s="13">
        <f t="shared" si="672"/>
        <v>0</v>
      </c>
      <c r="Z4396" s="14">
        <v>0</v>
      </c>
      <c r="AA4396" s="6">
        <v>0</v>
      </c>
      <c r="AB4396" s="4">
        <f t="shared" si="673"/>
        <v>0</v>
      </c>
      <c r="AC4396" s="4">
        <f t="shared" si="675"/>
        <v>0</v>
      </c>
      <c r="AD4396" s="6">
        <f>V4396*0.99189559435573</f>
        <v>0</v>
      </c>
      <c r="AE4396" s="2">
        <f>VLOOKUP(I4396,[1]媒体政策预估表!A:N,MATCH(O4396,[1]媒体政策预估表!$A$2:$M$2,0),0)</f>
        <v>0.02</v>
      </c>
      <c r="AF4396" s="6">
        <f t="shared" si="676"/>
        <v>0</v>
      </c>
      <c r="AG4396" s="14">
        <v>0</v>
      </c>
      <c r="AH4396" s="65">
        <f t="shared" si="671"/>
        <v>0</v>
      </c>
      <c r="AI4396" s="47"/>
      <c r="AJ4396" s="126" t="e">
        <v>#N/A</v>
      </c>
      <c r="AK4396" s="80">
        <f t="shared" si="674"/>
        <v>0</v>
      </c>
      <c r="AM4396" s="85"/>
    </row>
    <row r="4397" spans="1:39" hidden="1" x14ac:dyDescent="0.3">
      <c r="A4397" s="89" t="s">
        <v>3394</v>
      </c>
      <c r="B4397" s="86" t="s">
        <v>35</v>
      </c>
      <c r="C4397" s="86" t="s">
        <v>59</v>
      </c>
      <c r="D4397" s="86" t="s">
        <v>60</v>
      </c>
      <c r="E4397" s="86" t="s">
        <v>61</v>
      </c>
      <c r="F4397" s="86" t="s">
        <v>62</v>
      </c>
      <c r="G4397" s="86" t="s">
        <v>61</v>
      </c>
      <c r="H4397" s="143">
        <v>360</v>
      </c>
      <c r="I4397" s="86" t="s">
        <v>1060</v>
      </c>
      <c r="J4397" s="1" t="s">
        <v>3325</v>
      </c>
      <c r="K4397" s="1" t="s">
        <v>3287</v>
      </c>
      <c r="L4397" s="1" t="s">
        <v>35</v>
      </c>
      <c r="M4397" s="86" t="s">
        <v>61</v>
      </c>
      <c r="N4397" s="86"/>
      <c r="O4397" s="47" t="s">
        <v>45</v>
      </c>
      <c r="P4397" s="47" t="s">
        <v>46</v>
      </c>
      <c r="Q4397" s="14">
        <v>0.02</v>
      </c>
      <c r="R4397" s="143" t="s">
        <v>1841</v>
      </c>
      <c r="S4397" s="47"/>
      <c r="T4397" s="6">
        <v>-936905.81706000003</v>
      </c>
      <c r="U4397" s="6"/>
      <c r="V4397" s="6">
        <v>0</v>
      </c>
      <c r="W4397" s="6">
        <f t="shared" si="668"/>
        <v>-936905.81706000003</v>
      </c>
      <c r="X4397" s="6">
        <f t="shared" si="669"/>
        <v>0</v>
      </c>
      <c r="Y4397" s="13">
        <f t="shared" si="672"/>
        <v>0</v>
      </c>
      <c r="Z4397" s="14">
        <v>0</v>
      </c>
      <c r="AA4397" s="6">
        <v>0</v>
      </c>
      <c r="AB4397" s="4">
        <f t="shared" si="673"/>
        <v>0</v>
      </c>
      <c r="AC4397" s="4">
        <f t="shared" si="675"/>
        <v>0</v>
      </c>
      <c r="AD4397" s="6">
        <f t="shared" si="670"/>
        <v>0</v>
      </c>
      <c r="AE4397" s="2">
        <f>VLOOKUP(I4397,[1]媒体政策预估表!A:N,MATCH(O4397,[1]媒体政策预估表!$A$2:$M$2,0),0)</f>
        <v>0.12</v>
      </c>
      <c r="AF4397" s="6">
        <f t="shared" si="676"/>
        <v>0</v>
      </c>
      <c r="AG4397" s="14">
        <v>0</v>
      </c>
      <c r="AH4397" s="65">
        <f t="shared" si="671"/>
        <v>0</v>
      </c>
      <c r="AI4397" s="47"/>
      <c r="AJ4397" s="126" t="e">
        <v>#N/A</v>
      </c>
      <c r="AK4397" s="80">
        <f t="shared" si="674"/>
        <v>0</v>
      </c>
      <c r="AM4397" s="85"/>
    </row>
    <row r="4398" spans="1:39" hidden="1" x14ac:dyDescent="0.3">
      <c r="A4398" s="89" t="s">
        <v>3394</v>
      </c>
      <c r="B4398" s="86" t="s">
        <v>35</v>
      </c>
      <c r="C4398" s="86" t="s">
        <v>59</v>
      </c>
      <c r="D4398" s="86" t="s">
        <v>60</v>
      </c>
      <c r="E4398" s="86" t="s">
        <v>61</v>
      </c>
      <c r="F4398" s="86" t="s">
        <v>62</v>
      </c>
      <c r="G4398" s="86" t="s">
        <v>61</v>
      </c>
      <c r="H4398" s="143">
        <v>360</v>
      </c>
      <c r="I4398" s="86" t="s">
        <v>1060</v>
      </c>
      <c r="J4398" s="1" t="s">
        <v>3325</v>
      </c>
      <c r="K4398" s="1" t="s">
        <v>3287</v>
      </c>
      <c r="L4398" s="1" t="s">
        <v>35</v>
      </c>
      <c r="M4398" s="86" t="s">
        <v>61</v>
      </c>
      <c r="N4398" s="86"/>
      <c r="O4398" s="47" t="s">
        <v>941</v>
      </c>
      <c r="P4398" s="47" t="s">
        <v>46</v>
      </c>
      <c r="Q4398" s="14">
        <v>0.02</v>
      </c>
      <c r="R4398" s="143" t="s">
        <v>1841</v>
      </c>
      <c r="S4398" s="47"/>
      <c r="T4398" s="6">
        <v>-185345.80999999997</v>
      </c>
      <c r="U4398" s="6"/>
      <c r="V4398" s="6">
        <v>0</v>
      </c>
      <c r="W4398" s="6">
        <f t="shared" si="668"/>
        <v>-185345.80999999997</v>
      </c>
      <c r="X4398" s="6">
        <f t="shared" si="669"/>
        <v>0</v>
      </c>
      <c r="Y4398" s="13">
        <f t="shared" si="672"/>
        <v>0</v>
      </c>
      <c r="Z4398" s="14">
        <v>0</v>
      </c>
      <c r="AA4398" s="6">
        <v>0</v>
      </c>
      <c r="AB4398" s="4">
        <f t="shared" si="673"/>
        <v>0</v>
      </c>
      <c r="AC4398" s="4">
        <f t="shared" si="675"/>
        <v>0</v>
      </c>
      <c r="AD4398" s="6">
        <f t="shared" si="670"/>
        <v>0</v>
      </c>
      <c r="AE4398" s="2">
        <f>VLOOKUP(I4398,[1]媒体政策预估表!A:N,MATCH(O4398,[1]媒体政策预估表!$A$2:$M$2,0),0)</f>
        <v>0.15</v>
      </c>
      <c r="AF4398" s="6">
        <f t="shared" si="676"/>
        <v>0</v>
      </c>
      <c r="AG4398" s="14">
        <v>0</v>
      </c>
      <c r="AH4398" s="65">
        <f t="shared" si="671"/>
        <v>0</v>
      </c>
      <c r="AI4398" s="47"/>
      <c r="AJ4398" s="126" t="e">
        <v>#N/A</v>
      </c>
      <c r="AK4398" s="80">
        <f t="shared" si="674"/>
        <v>0</v>
      </c>
      <c r="AM4398" s="85"/>
    </row>
    <row r="4399" spans="1:39" hidden="1" x14ac:dyDescent="0.3">
      <c r="A4399" s="89" t="s">
        <v>3395</v>
      </c>
      <c r="B4399" s="86" t="s">
        <v>35</v>
      </c>
      <c r="C4399" s="86" t="s">
        <v>59</v>
      </c>
      <c r="D4399" s="86" t="s">
        <v>60</v>
      </c>
      <c r="E4399" s="86" t="s">
        <v>61</v>
      </c>
      <c r="F4399" s="86" t="s">
        <v>62</v>
      </c>
      <c r="G4399" s="86" t="s">
        <v>61</v>
      </c>
      <c r="H4399" s="143">
        <v>360</v>
      </c>
      <c r="I4399" s="86" t="s">
        <v>1060</v>
      </c>
      <c r="J4399" s="1" t="s">
        <v>3325</v>
      </c>
      <c r="K4399" s="1" t="s">
        <v>3287</v>
      </c>
      <c r="L4399" s="1" t="s">
        <v>35</v>
      </c>
      <c r="M4399" s="86" t="s">
        <v>61</v>
      </c>
      <c r="N4399" s="86"/>
      <c r="O4399" s="47" t="s">
        <v>2054</v>
      </c>
      <c r="P4399" s="47" t="s">
        <v>46</v>
      </c>
      <c r="Q4399" s="14">
        <v>0.02</v>
      </c>
      <c r="R4399" s="143" t="s">
        <v>1841</v>
      </c>
      <c r="S4399" s="47"/>
      <c r="T4399" s="6">
        <v>-43803.945879999999</v>
      </c>
      <c r="U4399" s="6"/>
      <c r="V4399" s="6">
        <v>0</v>
      </c>
      <c r="W4399" s="6">
        <f t="shared" si="668"/>
        <v>-43803.945879999999</v>
      </c>
      <c r="X4399" s="6">
        <f t="shared" si="669"/>
        <v>0</v>
      </c>
      <c r="Y4399" s="13">
        <f t="shared" si="672"/>
        <v>0</v>
      </c>
      <c r="Z4399" s="14">
        <v>0</v>
      </c>
      <c r="AA4399" s="6">
        <v>0</v>
      </c>
      <c r="AB4399" s="4">
        <f t="shared" si="673"/>
        <v>0</v>
      </c>
      <c r="AC4399" s="4">
        <f t="shared" si="675"/>
        <v>0</v>
      </c>
      <c r="AD4399" s="6">
        <f t="shared" si="670"/>
        <v>0</v>
      </c>
      <c r="AE4399" s="2">
        <f>VLOOKUP(I4399,[1]媒体政策预估表!A:N,MATCH(O4399,[1]媒体政策预估表!$A$2:$M$2,0),0)</f>
        <v>0.12</v>
      </c>
      <c r="AF4399" s="6">
        <f t="shared" si="676"/>
        <v>0</v>
      </c>
      <c r="AG4399" s="14">
        <v>0</v>
      </c>
      <c r="AH4399" s="65">
        <f t="shared" si="671"/>
        <v>0</v>
      </c>
      <c r="AI4399" s="47"/>
      <c r="AJ4399" s="126" t="e">
        <v>#N/A</v>
      </c>
      <c r="AK4399" s="80">
        <f t="shared" si="674"/>
        <v>0</v>
      </c>
      <c r="AM4399" s="85"/>
    </row>
    <row r="4400" spans="1:39" hidden="1" x14ac:dyDescent="0.3">
      <c r="A4400" s="89" t="s">
        <v>3395</v>
      </c>
      <c r="B4400" s="86" t="s">
        <v>35</v>
      </c>
      <c r="C4400" s="86" t="s">
        <v>59</v>
      </c>
      <c r="D4400" s="86" t="s">
        <v>60</v>
      </c>
      <c r="E4400" s="86" t="s">
        <v>765</v>
      </c>
      <c r="F4400" s="86" t="s">
        <v>766</v>
      </c>
      <c r="G4400" s="86" t="s">
        <v>765</v>
      </c>
      <c r="H4400" s="144">
        <v>360</v>
      </c>
      <c r="I4400" s="86" t="s">
        <v>1060</v>
      </c>
      <c r="J4400" s="1" t="s">
        <v>3325</v>
      </c>
      <c r="K4400" s="1" t="s">
        <v>3287</v>
      </c>
      <c r="L4400" s="1" t="s">
        <v>35</v>
      </c>
      <c r="M4400" s="86" t="s">
        <v>765</v>
      </c>
      <c r="N4400" s="86"/>
      <c r="O4400" s="47" t="s">
        <v>941</v>
      </c>
      <c r="P4400" s="47" t="s">
        <v>46</v>
      </c>
      <c r="Q4400" s="14">
        <v>0.04</v>
      </c>
      <c r="R4400" s="143" t="s">
        <v>1078</v>
      </c>
      <c r="S4400" s="47"/>
      <c r="T4400" s="6">
        <v>-1556696.7951199999</v>
      </c>
      <c r="U4400" s="6"/>
      <c r="V4400" s="6">
        <v>2788161.2202599999</v>
      </c>
      <c r="W4400" s="6">
        <f t="shared" si="668"/>
        <v>-4344858.0153799998</v>
      </c>
      <c r="X4400" s="6">
        <f t="shared" si="669"/>
        <v>2680924.2502499996</v>
      </c>
      <c r="Y4400" s="13">
        <f t="shared" si="672"/>
        <v>0</v>
      </c>
      <c r="Z4400" s="14">
        <v>0</v>
      </c>
      <c r="AA4400" s="6">
        <v>0</v>
      </c>
      <c r="AB4400" s="4">
        <f t="shared" si="673"/>
        <v>2680924.2502499996</v>
      </c>
      <c r="AC4400" s="4">
        <f t="shared" si="675"/>
        <v>107236.97001000028</v>
      </c>
      <c r="AD4400" s="6">
        <f t="shared" si="670"/>
        <v>2788161.2202599999</v>
      </c>
      <c r="AE4400" s="2">
        <f>VLOOKUP(I4400,[1]媒体政策预估表!A:N,MATCH(O4400,[1]媒体政策预估表!$A$2:$M$2,0),0)</f>
        <v>0.15</v>
      </c>
      <c r="AF4400" s="6">
        <f t="shared" si="676"/>
        <v>418224.18303899997</v>
      </c>
      <c r="AG4400" s="14">
        <v>0</v>
      </c>
      <c r="AH4400" s="65">
        <f t="shared" si="671"/>
        <v>2788161.2202599999</v>
      </c>
      <c r="AI4400" s="47"/>
      <c r="AJ4400" s="126" t="e">
        <v>#N/A</v>
      </c>
      <c r="AK4400" s="80">
        <f t="shared" si="674"/>
        <v>0</v>
      </c>
      <c r="AM4400" s="85"/>
    </row>
    <row r="4401" spans="1:39" hidden="1" x14ac:dyDescent="0.3">
      <c r="A4401" s="89" t="s">
        <v>3394</v>
      </c>
      <c r="B4401" s="86" t="s">
        <v>35</v>
      </c>
      <c r="C4401" s="86" t="s">
        <v>59</v>
      </c>
      <c r="D4401" s="86" t="s">
        <v>60</v>
      </c>
      <c r="E4401" s="86" t="s">
        <v>2096</v>
      </c>
      <c r="F4401" s="86" t="s">
        <v>2096</v>
      </c>
      <c r="G4401" s="86" t="s">
        <v>2096</v>
      </c>
      <c r="H4401" s="143">
        <v>360</v>
      </c>
      <c r="I4401" s="86" t="s">
        <v>1060</v>
      </c>
      <c r="J4401" s="1" t="s">
        <v>3325</v>
      </c>
      <c r="K4401" s="1" t="s">
        <v>3287</v>
      </c>
      <c r="L4401" s="1" t="s">
        <v>35</v>
      </c>
      <c r="M4401" s="86" t="s">
        <v>778</v>
      </c>
      <c r="N4401" s="86"/>
      <c r="O4401" s="47" t="s">
        <v>410</v>
      </c>
      <c r="P4401" s="47" t="s">
        <v>46</v>
      </c>
      <c r="Q4401" s="14">
        <v>0.08</v>
      </c>
      <c r="R4401" s="143" t="s">
        <v>2097</v>
      </c>
      <c r="S4401" s="47"/>
      <c r="T4401" s="6">
        <v>1111.7</v>
      </c>
      <c r="U4401" s="6"/>
      <c r="V4401" s="6">
        <v>0</v>
      </c>
      <c r="W4401" s="6">
        <f t="shared" si="668"/>
        <v>1111.7</v>
      </c>
      <c r="X4401" s="6">
        <f t="shared" si="669"/>
        <v>0</v>
      </c>
      <c r="Y4401" s="13">
        <f t="shared" si="672"/>
        <v>0</v>
      </c>
      <c r="Z4401" s="14">
        <v>0</v>
      </c>
      <c r="AA4401" s="6">
        <v>0</v>
      </c>
      <c r="AB4401" s="4">
        <f t="shared" si="673"/>
        <v>0</v>
      </c>
      <c r="AC4401" s="4">
        <f t="shared" si="675"/>
        <v>0</v>
      </c>
      <c r="AD4401" s="6">
        <f t="shared" si="670"/>
        <v>0</v>
      </c>
      <c r="AE4401" s="2">
        <f>VLOOKUP(I4401,[1]媒体政策预估表!A:N,MATCH(O4401,[1]媒体政策预估表!$A$2:$M$2,0),0)</f>
        <v>7.0000000000000007E-2</v>
      </c>
      <c r="AF4401" s="6">
        <f t="shared" si="676"/>
        <v>0</v>
      </c>
      <c r="AG4401" s="14">
        <v>0</v>
      </c>
      <c r="AH4401" s="65">
        <f t="shared" si="671"/>
        <v>0</v>
      </c>
      <c r="AI4401" s="47"/>
      <c r="AJ4401" s="126" t="e">
        <v>#N/A</v>
      </c>
      <c r="AK4401" s="80">
        <f t="shared" si="674"/>
        <v>0</v>
      </c>
      <c r="AM4401" s="85"/>
    </row>
    <row r="4402" spans="1:39" hidden="1" x14ac:dyDescent="0.3">
      <c r="A4402" s="89" t="s">
        <v>3395</v>
      </c>
      <c r="B4402" s="86" t="s">
        <v>35</v>
      </c>
      <c r="C4402" s="86" t="s">
        <v>59</v>
      </c>
      <c r="D4402" s="86" t="s">
        <v>60</v>
      </c>
      <c r="E4402" s="86" t="s">
        <v>784</v>
      </c>
      <c r="F4402" s="86" t="s">
        <v>784</v>
      </c>
      <c r="G4402" s="86" t="s">
        <v>784</v>
      </c>
      <c r="H4402" s="143">
        <v>360</v>
      </c>
      <c r="I4402" s="86" t="s">
        <v>1060</v>
      </c>
      <c r="J4402" s="1" t="s">
        <v>3325</v>
      </c>
      <c r="K4402" s="1" t="s">
        <v>3287</v>
      </c>
      <c r="L4402" s="1" t="s">
        <v>35</v>
      </c>
      <c r="M4402" s="86" t="s">
        <v>2098</v>
      </c>
      <c r="N4402" s="86"/>
      <c r="O4402" s="47" t="s">
        <v>941</v>
      </c>
      <c r="P4402" s="47" t="s">
        <v>46</v>
      </c>
      <c r="Q4402" s="14">
        <v>0.04</v>
      </c>
      <c r="R4402" s="143" t="s">
        <v>1851</v>
      </c>
      <c r="S4402" s="47"/>
      <c r="T4402" s="6">
        <v>-23338.6</v>
      </c>
      <c r="U4402" s="6"/>
      <c r="V4402" s="6">
        <v>0</v>
      </c>
      <c r="W4402" s="6">
        <f t="shared" si="668"/>
        <v>-23338.6</v>
      </c>
      <c r="X4402" s="6">
        <f t="shared" si="669"/>
        <v>0</v>
      </c>
      <c r="Y4402" s="13">
        <f t="shared" si="672"/>
        <v>0</v>
      </c>
      <c r="Z4402" s="14">
        <v>0</v>
      </c>
      <c r="AA4402" s="6">
        <v>0</v>
      </c>
      <c r="AB4402" s="4">
        <f t="shared" si="673"/>
        <v>0</v>
      </c>
      <c r="AC4402" s="4">
        <f t="shared" si="675"/>
        <v>0</v>
      </c>
      <c r="AD4402" s="6">
        <f t="shared" si="670"/>
        <v>0</v>
      </c>
      <c r="AE4402" s="2">
        <f>VLOOKUP(I4402,[1]媒体政策预估表!A:N,MATCH(O4402,[1]媒体政策预估表!$A$2:$M$2,0),0)</f>
        <v>0.15</v>
      </c>
      <c r="AF4402" s="6">
        <f t="shared" si="676"/>
        <v>0</v>
      </c>
      <c r="AG4402" s="14">
        <v>0</v>
      </c>
      <c r="AH4402" s="65">
        <f t="shared" si="671"/>
        <v>0</v>
      </c>
      <c r="AI4402" s="47"/>
      <c r="AJ4402" s="126" t="e">
        <v>#N/A</v>
      </c>
      <c r="AK4402" s="80">
        <f t="shared" si="674"/>
        <v>0</v>
      </c>
      <c r="AM4402" s="85"/>
    </row>
    <row r="4403" spans="1:39" hidden="1" x14ac:dyDescent="0.3">
      <c r="A4403" s="89" t="s">
        <v>3394</v>
      </c>
      <c r="B4403" s="86" t="s">
        <v>35</v>
      </c>
      <c r="C4403" s="86" t="s">
        <v>164</v>
      </c>
      <c r="D4403" s="86" t="s">
        <v>174</v>
      </c>
      <c r="E4403" s="86" t="s">
        <v>1966</v>
      </c>
      <c r="F4403" s="86" t="s">
        <v>1966</v>
      </c>
      <c r="G4403" s="86" t="s">
        <v>1966</v>
      </c>
      <c r="H4403" s="143">
        <v>360</v>
      </c>
      <c r="I4403" s="86" t="s">
        <v>1060</v>
      </c>
      <c r="J4403" s="1" t="s">
        <v>3325</v>
      </c>
      <c r="K4403" s="1" t="s">
        <v>3287</v>
      </c>
      <c r="L4403" s="1" t="s">
        <v>35</v>
      </c>
      <c r="M4403" s="86" t="s">
        <v>2099</v>
      </c>
      <c r="N4403" s="86"/>
      <c r="O4403" s="47" t="s">
        <v>45</v>
      </c>
      <c r="P4403" s="47" t="s">
        <v>46</v>
      </c>
      <c r="Q4403" s="14">
        <v>0.04</v>
      </c>
      <c r="R4403" s="143" t="s">
        <v>2100</v>
      </c>
      <c r="S4403" s="47"/>
      <c r="T4403" s="6">
        <v>12.47</v>
      </c>
      <c r="U4403" s="6"/>
      <c r="V4403" s="6">
        <v>0</v>
      </c>
      <c r="W4403" s="6">
        <f t="shared" si="668"/>
        <v>12.47</v>
      </c>
      <c r="X4403" s="6">
        <f t="shared" si="669"/>
        <v>0</v>
      </c>
      <c r="Y4403" s="13">
        <f t="shared" si="672"/>
        <v>0</v>
      </c>
      <c r="Z4403" s="14">
        <v>0</v>
      </c>
      <c r="AA4403" s="6">
        <v>0</v>
      </c>
      <c r="AB4403" s="4">
        <f t="shared" si="673"/>
        <v>0</v>
      </c>
      <c r="AC4403" s="4">
        <f t="shared" si="675"/>
        <v>0</v>
      </c>
      <c r="AD4403" s="6">
        <f t="shared" si="670"/>
        <v>0</v>
      </c>
      <c r="AE4403" s="2">
        <f>VLOOKUP(I4403,[1]媒体政策预估表!A:N,MATCH(O4403,[1]媒体政策预估表!$A$2:$M$2,0),0)</f>
        <v>0.12</v>
      </c>
      <c r="AF4403" s="6">
        <f t="shared" si="676"/>
        <v>0</v>
      </c>
      <c r="AG4403" s="14">
        <v>0</v>
      </c>
      <c r="AH4403" s="65">
        <f t="shared" si="671"/>
        <v>0</v>
      </c>
      <c r="AI4403" s="47"/>
      <c r="AJ4403" s="126" t="e">
        <v>#N/A</v>
      </c>
      <c r="AK4403" s="80">
        <f t="shared" si="674"/>
        <v>0</v>
      </c>
      <c r="AM4403" s="85"/>
    </row>
    <row r="4404" spans="1:39" hidden="1" x14ac:dyDescent="0.3">
      <c r="A4404" s="89" t="s">
        <v>3394</v>
      </c>
      <c r="B4404" s="86" t="s">
        <v>35</v>
      </c>
      <c r="C4404" s="86" t="s">
        <v>184</v>
      </c>
      <c r="D4404" s="86" t="s">
        <v>185</v>
      </c>
      <c r="E4404" s="86" t="s">
        <v>2101</v>
      </c>
      <c r="F4404" s="86" t="s">
        <v>2101</v>
      </c>
      <c r="G4404" s="86" t="s">
        <v>2101</v>
      </c>
      <c r="H4404" s="143">
        <v>360</v>
      </c>
      <c r="I4404" s="86" t="s">
        <v>1060</v>
      </c>
      <c r="J4404" s="1" t="s">
        <v>3325</v>
      </c>
      <c r="K4404" s="1" t="s">
        <v>3287</v>
      </c>
      <c r="L4404" s="1" t="s">
        <v>35</v>
      </c>
      <c r="M4404" s="86" t="s">
        <v>2102</v>
      </c>
      <c r="N4404" s="86"/>
      <c r="O4404" s="47" t="s">
        <v>410</v>
      </c>
      <c r="P4404" s="47" t="s">
        <v>46</v>
      </c>
      <c r="Q4404" s="14">
        <v>0.02</v>
      </c>
      <c r="R4404" s="143" t="s">
        <v>2103</v>
      </c>
      <c r="S4404" s="47"/>
      <c r="T4404" s="6">
        <v>450.89999999998997</v>
      </c>
      <c r="U4404" s="6"/>
      <c r="V4404" s="6">
        <v>0</v>
      </c>
      <c r="W4404" s="6">
        <f t="shared" si="668"/>
        <v>450.89999999998997</v>
      </c>
      <c r="X4404" s="6">
        <f t="shared" si="669"/>
        <v>0</v>
      </c>
      <c r="Y4404" s="13">
        <f t="shared" si="672"/>
        <v>0</v>
      </c>
      <c r="Z4404" s="14">
        <v>0</v>
      </c>
      <c r="AA4404" s="6">
        <v>0</v>
      </c>
      <c r="AB4404" s="4">
        <f t="shared" si="673"/>
        <v>0</v>
      </c>
      <c r="AC4404" s="4">
        <f t="shared" si="675"/>
        <v>0</v>
      </c>
      <c r="AD4404" s="6">
        <f t="shared" si="670"/>
        <v>0</v>
      </c>
      <c r="AE4404" s="2">
        <f>VLOOKUP(I4404,[1]媒体政策预估表!A:N,MATCH(O4404,[1]媒体政策预估表!$A$2:$M$2,0),0)</f>
        <v>7.0000000000000007E-2</v>
      </c>
      <c r="AF4404" s="6">
        <f t="shared" si="676"/>
        <v>0</v>
      </c>
      <c r="AG4404" s="14">
        <v>0</v>
      </c>
      <c r="AH4404" s="65">
        <f t="shared" si="671"/>
        <v>0</v>
      </c>
      <c r="AI4404" s="47"/>
      <c r="AJ4404" s="126" t="e">
        <v>#N/A</v>
      </c>
      <c r="AK4404" s="80">
        <f t="shared" si="674"/>
        <v>0</v>
      </c>
      <c r="AM4404" s="85"/>
    </row>
    <row r="4405" spans="1:39" hidden="1" x14ac:dyDescent="0.3">
      <c r="A4405" s="89" t="s">
        <v>3394</v>
      </c>
      <c r="B4405" s="86" t="s">
        <v>35</v>
      </c>
      <c r="C4405" s="86" t="s">
        <v>184</v>
      </c>
      <c r="D4405" s="86" t="s">
        <v>185</v>
      </c>
      <c r="E4405" s="86" t="s">
        <v>2104</v>
      </c>
      <c r="F4405" s="86" t="s">
        <v>2105</v>
      </c>
      <c r="G4405" s="86" t="s">
        <v>2104</v>
      </c>
      <c r="H4405" s="143">
        <v>360</v>
      </c>
      <c r="I4405" s="86" t="s">
        <v>1060</v>
      </c>
      <c r="J4405" s="1" t="s">
        <v>3325</v>
      </c>
      <c r="K4405" s="1" t="s">
        <v>3287</v>
      </c>
      <c r="L4405" s="1" t="s">
        <v>35</v>
      </c>
      <c r="M4405" s="86" t="s">
        <v>2104</v>
      </c>
      <c r="N4405" s="86"/>
      <c r="O4405" s="47" t="s">
        <v>45</v>
      </c>
      <c r="P4405" s="47" t="s">
        <v>41</v>
      </c>
      <c r="Q4405" s="14">
        <v>0</v>
      </c>
      <c r="R4405" s="143" t="s">
        <v>2106</v>
      </c>
      <c r="S4405" s="47"/>
      <c r="T4405" s="6">
        <v>4.9999999999954498E-2</v>
      </c>
      <c r="U4405" s="6"/>
      <c r="V4405" s="6">
        <v>0</v>
      </c>
      <c r="W4405" s="6">
        <f t="shared" si="668"/>
        <v>4.9999999999954498E-2</v>
      </c>
      <c r="X4405" s="6">
        <f t="shared" si="669"/>
        <v>0</v>
      </c>
      <c r="Y4405" s="13">
        <f t="shared" si="672"/>
        <v>0</v>
      </c>
      <c r="Z4405" s="14">
        <v>0</v>
      </c>
      <c r="AA4405" s="6">
        <v>0</v>
      </c>
      <c r="AB4405" s="4">
        <f t="shared" si="673"/>
        <v>0</v>
      </c>
      <c r="AC4405" s="4">
        <f t="shared" si="675"/>
        <v>0</v>
      </c>
      <c r="AD4405" s="6">
        <f t="shared" si="670"/>
        <v>0</v>
      </c>
      <c r="AE4405" s="2">
        <f>VLOOKUP(I4405,[1]媒体政策预估表!A:N,MATCH(O4405,[1]媒体政策预估表!$A$2:$M$2,0),0)</f>
        <v>0.12</v>
      </c>
      <c r="AF4405" s="6">
        <f t="shared" si="676"/>
        <v>0</v>
      </c>
      <c r="AG4405" s="14">
        <v>0</v>
      </c>
      <c r="AH4405" s="65">
        <f t="shared" si="671"/>
        <v>0</v>
      </c>
      <c r="AI4405" s="47"/>
      <c r="AJ4405" s="126" t="e">
        <v>#N/A</v>
      </c>
      <c r="AK4405" s="80">
        <f t="shared" si="674"/>
        <v>0</v>
      </c>
      <c r="AM4405" s="85"/>
    </row>
    <row r="4406" spans="1:39" hidden="1" x14ac:dyDescent="0.3">
      <c r="A4406" s="89" t="s">
        <v>3394</v>
      </c>
      <c r="B4406" s="86" t="s">
        <v>35</v>
      </c>
      <c r="C4406" s="86" t="s">
        <v>184</v>
      </c>
      <c r="D4406" s="86" t="s">
        <v>185</v>
      </c>
      <c r="E4406" s="86" t="s">
        <v>2107</v>
      </c>
      <c r="F4406" s="86" t="s">
        <v>2107</v>
      </c>
      <c r="G4406" s="86" t="s">
        <v>2107</v>
      </c>
      <c r="H4406" s="143">
        <v>360</v>
      </c>
      <c r="I4406" s="86" t="s">
        <v>1060</v>
      </c>
      <c r="J4406" s="1" t="s">
        <v>3325</v>
      </c>
      <c r="K4406" s="1" t="s">
        <v>3287</v>
      </c>
      <c r="L4406" s="1" t="s">
        <v>35</v>
      </c>
      <c r="M4406" s="86" t="s">
        <v>2108</v>
      </c>
      <c r="N4406" s="86"/>
      <c r="O4406" s="47" t="s">
        <v>410</v>
      </c>
      <c r="P4406" s="47" t="s">
        <v>41</v>
      </c>
      <c r="Q4406" s="14">
        <v>0</v>
      </c>
      <c r="R4406" s="143" t="s">
        <v>2109</v>
      </c>
      <c r="S4406" s="47"/>
      <c r="T4406" s="6">
        <v>1.1000000000000001</v>
      </c>
      <c r="U4406" s="6"/>
      <c r="V4406" s="6">
        <v>0</v>
      </c>
      <c r="W4406" s="6">
        <f t="shared" si="668"/>
        <v>1.1000000000000001</v>
      </c>
      <c r="X4406" s="6">
        <f t="shared" si="669"/>
        <v>0</v>
      </c>
      <c r="Y4406" s="13">
        <f t="shared" si="672"/>
        <v>0</v>
      </c>
      <c r="Z4406" s="14">
        <v>0</v>
      </c>
      <c r="AA4406" s="6">
        <v>0</v>
      </c>
      <c r="AB4406" s="4">
        <f t="shared" si="673"/>
        <v>0</v>
      </c>
      <c r="AC4406" s="4">
        <f t="shared" si="675"/>
        <v>0</v>
      </c>
      <c r="AD4406" s="6">
        <f t="shared" si="670"/>
        <v>0</v>
      </c>
      <c r="AE4406" s="2">
        <f>VLOOKUP(I4406,[1]媒体政策预估表!A:N,MATCH(O4406,[1]媒体政策预估表!$A$2:$M$2,0),0)</f>
        <v>7.0000000000000007E-2</v>
      </c>
      <c r="AF4406" s="6">
        <f t="shared" si="676"/>
        <v>0</v>
      </c>
      <c r="AG4406" s="14">
        <v>0</v>
      </c>
      <c r="AH4406" s="65">
        <f t="shared" si="671"/>
        <v>0</v>
      </c>
      <c r="AI4406" s="47"/>
      <c r="AJ4406" s="126" t="e">
        <v>#N/A</v>
      </c>
      <c r="AK4406" s="80">
        <f t="shared" si="674"/>
        <v>0</v>
      </c>
      <c r="AM4406" s="85"/>
    </row>
    <row r="4407" spans="1:39" hidden="1" x14ac:dyDescent="0.3">
      <c r="A4407" s="89" t="s">
        <v>3394</v>
      </c>
      <c r="B4407" s="86" t="s">
        <v>35</v>
      </c>
      <c r="C4407" s="86" t="s">
        <v>184</v>
      </c>
      <c r="D4407" s="86" t="s">
        <v>185</v>
      </c>
      <c r="E4407" s="86" t="s">
        <v>2110</v>
      </c>
      <c r="F4407" s="86" t="s">
        <v>2110</v>
      </c>
      <c r="G4407" s="86" t="s">
        <v>2110</v>
      </c>
      <c r="H4407" s="143">
        <v>360</v>
      </c>
      <c r="I4407" s="86" t="s">
        <v>1060</v>
      </c>
      <c r="J4407" s="1" t="s">
        <v>3325</v>
      </c>
      <c r="K4407" s="1" t="s">
        <v>3287</v>
      </c>
      <c r="L4407" s="1" t="s">
        <v>35</v>
      </c>
      <c r="M4407" s="86" t="s">
        <v>2111</v>
      </c>
      <c r="N4407" s="86"/>
      <c r="O4407" s="47" t="s">
        <v>45</v>
      </c>
      <c r="P4407" s="47" t="s">
        <v>46</v>
      </c>
      <c r="Q4407" s="14">
        <v>7.0000000000000007E-2</v>
      </c>
      <c r="R4407" s="143" t="s">
        <v>2112</v>
      </c>
      <c r="S4407" s="47"/>
      <c r="T4407" s="6">
        <v>447.35000000001003</v>
      </c>
      <c r="U4407" s="6"/>
      <c r="V4407" s="6">
        <v>0</v>
      </c>
      <c r="W4407" s="6">
        <f t="shared" si="668"/>
        <v>447.35000000001003</v>
      </c>
      <c r="X4407" s="6">
        <f t="shared" si="669"/>
        <v>0</v>
      </c>
      <c r="Y4407" s="13">
        <f t="shared" si="672"/>
        <v>0</v>
      </c>
      <c r="Z4407" s="14">
        <v>0</v>
      </c>
      <c r="AA4407" s="6">
        <v>0</v>
      </c>
      <c r="AB4407" s="4"/>
      <c r="AC4407" s="4">
        <f t="shared" si="675"/>
        <v>0</v>
      </c>
      <c r="AD4407" s="6">
        <f t="shared" si="670"/>
        <v>0</v>
      </c>
      <c r="AE4407" s="2">
        <f>VLOOKUP(I4407,[1]媒体政策预估表!A:N,MATCH(O4407,[1]媒体政策预估表!$A$2:$M$2,0),0)</f>
        <v>0.12</v>
      </c>
      <c r="AF4407" s="6">
        <f t="shared" si="676"/>
        <v>0</v>
      </c>
      <c r="AG4407" s="14">
        <v>0</v>
      </c>
      <c r="AH4407" s="65">
        <f t="shared" si="671"/>
        <v>0</v>
      </c>
      <c r="AI4407" s="47"/>
      <c r="AJ4407" s="126">
        <v>66</v>
      </c>
      <c r="AK4407" s="80">
        <f t="shared" si="674"/>
        <v>0</v>
      </c>
      <c r="AM4407" s="85"/>
    </row>
    <row r="4408" spans="1:39" hidden="1" x14ac:dyDescent="0.3">
      <c r="A4408" s="89" t="s">
        <v>3394</v>
      </c>
      <c r="B4408" s="86" t="s">
        <v>35</v>
      </c>
      <c r="C4408" s="86" t="s">
        <v>184</v>
      </c>
      <c r="D4408" s="86" t="s">
        <v>185</v>
      </c>
      <c r="E4408" s="86" t="s">
        <v>2113</v>
      </c>
      <c r="F4408" s="86" t="s">
        <v>2113</v>
      </c>
      <c r="G4408" s="86" t="s">
        <v>2113</v>
      </c>
      <c r="H4408" s="143">
        <v>360</v>
      </c>
      <c r="I4408" s="86" t="s">
        <v>1060</v>
      </c>
      <c r="J4408" s="1" t="s">
        <v>3325</v>
      </c>
      <c r="K4408" s="1" t="s">
        <v>3287</v>
      </c>
      <c r="L4408" s="1" t="s">
        <v>35</v>
      </c>
      <c r="M4408" s="86" t="s">
        <v>2113</v>
      </c>
      <c r="N4408" s="86"/>
      <c r="O4408" s="47" t="s">
        <v>410</v>
      </c>
      <c r="P4408" s="47" t="s">
        <v>41</v>
      </c>
      <c r="Q4408" s="14">
        <v>0</v>
      </c>
      <c r="R4408" s="143" t="s">
        <v>2114</v>
      </c>
      <c r="S4408" s="47"/>
      <c r="T4408" s="6">
        <v>3627.9</v>
      </c>
      <c r="U4408" s="6"/>
      <c r="V4408" s="6">
        <v>0</v>
      </c>
      <c r="W4408" s="6">
        <f t="shared" si="668"/>
        <v>3627.9</v>
      </c>
      <c r="X4408" s="6">
        <f t="shared" si="669"/>
        <v>0</v>
      </c>
      <c r="Y4408" s="13">
        <f t="shared" si="672"/>
        <v>0</v>
      </c>
      <c r="Z4408" s="14">
        <v>0</v>
      </c>
      <c r="AA4408" s="6">
        <v>0</v>
      </c>
      <c r="AB4408" s="4">
        <f t="shared" si="673"/>
        <v>0</v>
      </c>
      <c r="AC4408" s="4">
        <f t="shared" si="675"/>
        <v>0</v>
      </c>
      <c r="AD4408" s="6">
        <f t="shared" si="670"/>
        <v>0</v>
      </c>
      <c r="AE4408" s="2">
        <f>VLOOKUP(I4408,[1]媒体政策预估表!A:N,MATCH(O4408,[1]媒体政策预估表!$A$2:$M$2,0),0)</f>
        <v>7.0000000000000007E-2</v>
      </c>
      <c r="AF4408" s="6">
        <f t="shared" si="676"/>
        <v>0</v>
      </c>
      <c r="AG4408" s="14">
        <v>0</v>
      </c>
      <c r="AH4408" s="65">
        <f t="shared" si="671"/>
        <v>0</v>
      </c>
      <c r="AI4408" s="47"/>
      <c r="AJ4408" s="126" t="e">
        <v>#N/A</v>
      </c>
      <c r="AK4408" s="80">
        <f t="shared" si="674"/>
        <v>0</v>
      </c>
      <c r="AM4408" s="85"/>
    </row>
    <row r="4409" spans="1:39" hidden="1" x14ac:dyDescent="0.3">
      <c r="A4409" s="89" t="s">
        <v>3394</v>
      </c>
      <c r="B4409" s="86" t="s">
        <v>35</v>
      </c>
      <c r="C4409" s="86" t="s">
        <v>47</v>
      </c>
      <c r="D4409" s="86" t="s">
        <v>48</v>
      </c>
      <c r="E4409" s="86" t="s">
        <v>550</v>
      </c>
      <c r="F4409" s="86" t="s">
        <v>551</v>
      </c>
      <c r="G4409" s="86" t="s">
        <v>550</v>
      </c>
      <c r="H4409" s="143">
        <v>360</v>
      </c>
      <c r="I4409" s="86" t="s">
        <v>1060</v>
      </c>
      <c r="J4409" s="1" t="s">
        <v>3325</v>
      </c>
      <c r="K4409" s="1" t="s">
        <v>3287</v>
      </c>
      <c r="L4409" s="1" t="s">
        <v>35</v>
      </c>
      <c r="M4409" s="86" t="s">
        <v>550</v>
      </c>
      <c r="N4409" s="86"/>
      <c r="O4409" s="47" t="s">
        <v>45</v>
      </c>
      <c r="P4409" s="47" t="s">
        <v>41</v>
      </c>
      <c r="Q4409" s="14">
        <v>0</v>
      </c>
      <c r="R4409" s="143" t="s">
        <v>1920</v>
      </c>
      <c r="S4409" s="47"/>
      <c r="T4409" s="6">
        <v>-180715.45261000001</v>
      </c>
      <c r="U4409" s="6"/>
      <c r="V4409" s="6">
        <v>0</v>
      </c>
      <c r="W4409" s="6">
        <f t="shared" si="668"/>
        <v>-180715.45261000001</v>
      </c>
      <c r="X4409" s="6">
        <f t="shared" si="669"/>
        <v>0</v>
      </c>
      <c r="Y4409" s="13">
        <f t="shared" si="672"/>
        <v>0</v>
      </c>
      <c r="Z4409" s="14">
        <v>0</v>
      </c>
      <c r="AA4409" s="6">
        <v>0</v>
      </c>
      <c r="AB4409" s="4">
        <f t="shared" si="673"/>
        <v>0</v>
      </c>
      <c r="AC4409" s="4">
        <f t="shared" si="675"/>
        <v>0</v>
      </c>
      <c r="AD4409" s="6">
        <f t="shared" si="670"/>
        <v>0</v>
      </c>
      <c r="AE4409" s="2">
        <f>VLOOKUP(I4409,[1]媒体政策预估表!A:N,MATCH(O4409,[1]媒体政策预估表!$A$2:$M$2,0),0)</f>
        <v>0.12</v>
      </c>
      <c r="AF4409" s="6">
        <f t="shared" si="676"/>
        <v>0</v>
      </c>
      <c r="AG4409" s="14">
        <v>0</v>
      </c>
      <c r="AH4409" s="65">
        <f t="shared" si="671"/>
        <v>0</v>
      </c>
      <c r="AI4409" s="47"/>
      <c r="AJ4409" s="126" t="e">
        <v>#N/A</v>
      </c>
      <c r="AK4409" s="80">
        <f t="shared" si="674"/>
        <v>0</v>
      </c>
      <c r="AM4409" s="85"/>
    </row>
    <row r="4410" spans="1:39" hidden="1" x14ac:dyDescent="0.3">
      <c r="A4410" s="89" t="s">
        <v>3394</v>
      </c>
      <c r="B4410" s="86" t="s">
        <v>35</v>
      </c>
      <c r="C4410" s="86" t="s">
        <v>47</v>
      </c>
      <c r="D4410" s="86" t="s">
        <v>48</v>
      </c>
      <c r="E4410" s="86" t="s">
        <v>550</v>
      </c>
      <c r="F4410" s="86" t="s">
        <v>551</v>
      </c>
      <c r="G4410" s="86" t="s">
        <v>550</v>
      </c>
      <c r="H4410" s="143">
        <v>360</v>
      </c>
      <c r="I4410" s="86" t="s">
        <v>1060</v>
      </c>
      <c r="J4410" s="1" t="s">
        <v>3325</v>
      </c>
      <c r="K4410" s="1" t="s">
        <v>3287</v>
      </c>
      <c r="L4410" s="1" t="s">
        <v>35</v>
      </c>
      <c r="M4410" s="86" t="s">
        <v>550</v>
      </c>
      <c r="N4410" s="86"/>
      <c r="O4410" s="47" t="s">
        <v>941</v>
      </c>
      <c r="P4410" s="47" t="s">
        <v>41</v>
      </c>
      <c r="Q4410" s="14">
        <v>0</v>
      </c>
      <c r="R4410" s="143" t="s">
        <v>1920</v>
      </c>
      <c r="S4410" s="47"/>
      <c r="T4410" s="6">
        <v>-4350.87</v>
      </c>
      <c r="U4410" s="6"/>
      <c r="V4410" s="6">
        <v>0</v>
      </c>
      <c r="W4410" s="6">
        <f t="shared" si="668"/>
        <v>-4350.87</v>
      </c>
      <c r="X4410" s="6">
        <f t="shared" si="669"/>
        <v>0</v>
      </c>
      <c r="Y4410" s="13">
        <f t="shared" si="672"/>
        <v>0</v>
      </c>
      <c r="Z4410" s="14">
        <v>0</v>
      </c>
      <c r="AA4410" s="6">
        <v>0</v>
      </c>
      <c r="AB4410" s="4">
        <f t="shared" si="673"/>
        <v>0</v>
      </c>
      <c r="AC4410" s="4">
        <f t="shared" si="675"/>
        <v>0</v>
      </c>
      <c r="AD4410" s="6">
        <f t="shared" si="670"/>
        <v>0</v>
      </c>
      <c r="AE4410" s="2">
        <f>VLOOKUP(I4410,[1]媒体政策预估表!A:N,MATCH(O4410,[1]媒体政策预估表!$A$2:$M$2,0),0)</f>
        <v>0.15</v>
      </c>
      <c r="AF4410" s="6">
        <f t="shared" si="676"/>
        <v>0</v>
      </c>
      <c r="AG4410" s="14">
        <v>0</v>
      </c>
      <c r="AH4410" s="65">
        <f t="shared" si="671"/>
        <v>0</v>
      </c>
      <c r="AI4410" s="47"/>
      <c r="AJ4410" s="126" t="e">
        <v>#N/A</v>
      </c>
      <c r="AK4410" s="80">
        <f t="shared" si="674"/>
        <v>0</v>
      </c>
      <c r="AM4410" s="85"/>
    </row>
    <row r="4411" spans="1:39" hidden="1" x14ac:dyDescent="0.3">
      <c r="A4411" s="89" t="s">
        <v>3394</v>
      </c>
      <c r="B4411" s="86" t="s">
        <v>35</v>
      </c>
      <c r="C4411" s="86" t="s">
        <v>47</v>
      </c>
      <c r="D4411" s="86" t="s">
        <v>48</v>
      </c>
      <c r="E4411" s="86" t="s">
        <v>550</v>
      </c>
      <c r="F4411" s="86" t="s">
        <v>551</v>
      </c>
      <c r="G4411" s="86" t="s">
        <v>550</v>
      </c>
      <c r="H4411" s="143">
        <v>360</v>
      </c>
      <c r="I4411" s="86" t="s">
        <v>1060</v>
      </c>
      <c r="J4411" s="1" t="s">
        <v>3325</v>
      </c>
      <c r="K4411" s="1" t="s">
        <v>3287</v>
      </c>
      <c r="L4411" s="1" t="s">
        <v>35</v>
      </c>
      <c r="M4411" s="86" t="s">
        <v>550</v>
      </c>
      <c r="N4411" s="86"/>
      <c r="O4411" s="47" t="s">
        <v>2054</v>
      </c>
      <c r="P4411" s="47" t="s">
        <v>41</v>
      </c>
      <c r="Q4411" s="14">
        <v>0</v>
      </c>
      <c r="R4411" s="143" t="s">
        <v>1920</v>
      </c>
      <c r="S4411" s="47"/>
      <c r="T4411" s="6">
        <v>-5507.8273900000013</v>
      </c>
      <c r="U4411" s="6"/>
      <c r="V4411" s="6">
        <v>0</v>
      </c>
      <c r="W4411" s="6">
        <f t="shared" ref="W4411:W4474" si="677">T4411+U4411-V4411</f>
        <v>-5507.8273900000013</v>
      </c>
      <c r="X4411" s="6">
        <f t="shared" ref="X4411:X4474" si="678">IF(P4411="折扣",V4411*Q4411,IF(P4411="返现",V4411,V4411/(1+Q4411)))</f>
        <v>0</v>
      </c>
      <c r="Y4411" s="13">
        <f t="shared" si="672"/>
        <v>0</v>
      </c>
      <c r="Z4411" s="14">
        <v>0</v>
      </c>
      <c r="AA4411" s="6">
        <v>0</v>
      </c>
      <c r="AB4411" s="4">
        <f t="shared" si="673"/>
        <v>0</v>
      </c>
      <c r="AC4411" s="4">
        <f t="shared" si="675"/>
        <v>0</v>
      </c>
      <c r="AD4411" s="6">
        <f t="shared" ref="AD4411:AD4474" si="679">V4411</f>
        <v>0</v>
      </c>
      <c r="AE4411" s="2">
        <f>VLOOKUP(I4411,[1]媒体政策预估表!A:N,MATCH(O4411,[1]媒体政策预估表!$A$2:$M$2,0),0)</f>
        <v>0.12</v>
      </c>
      <c r="AF4411" s="6">
        <f t="shared" si="676"/>
        <v>0</v>
      </c>
      <c r="AG4411" s="14">
        <v>0</v>
      </c>
      <c r="AH4411" s="65">
        <f t="shared" ref="AH4411:AH4474" si="680">V4411</f>
        <v>0</v>
      </c>
      <c r="AI4411" s="47"/>
      <c r="AJ4411" s="126" t="e">
        <v>#N/A</v>
      </c>
      <c r="AK4411" s="80">
        <f t="shared" si="674"/>
        <v>0</v>
      </c>
      <c r="AM4411" s="85"/>
    </row>
    <row r="4412" spans="1:39" hidden="1" x14ac:dyDescent="0.3">
      <c r="A4412" s="89" t="s">
        <v>3394</v>
      </c>
      <c r="B4412" s="86" t="s">
        <v>35</v>
      </c>
      <c r="C4412" s="86" t="s">
        <v>184</v>
      </c>
      <c r="D4412" s="86" t="s">
        <v>185</v>
      </c>
      <c r="E4412" s="86" t="s">
        <v>2115</v>
      </c>
      <c r="F4412" s="86" t="s">
        <v>2115</v>
      </c>
      <c r="G4412" s="86" t="s">
        <v>2115</v>
      </c>
      <c r="H4412" s="143">
        <v>360</v>
      </c>
      <c r="I4412" s="86" t="s">
        <v>1060</v>
      </c>
      <c r="J4412" s="1" t="s">
        <v>3325</v>
      </c>
      <c r="K4412" s="1" t="s">
        <v>3287</v>
      </c>
      <c r="L4412" s="1" t="s">
        <v>35</v>
      </c>
      <c r="M4412" s="86" t="s">
        <v>2115</v>
      </c>
      <c r="N4412" s="86"/>
      <c r="O4412" s="47" t="s">
        <v>410</v>
      </c>
      <c r="P4412" s="47" t="s">
        <v>46</v>
      </c>
      <c r="Q4412" s="14">
        <v>0.03</v>
      </c>
      <c r="R4412" s="143" t="s">
        <v>2116</v>
      </c>
      <c r="S4412" s="47"/>
      <c r="T4412" s="6">
        <v>2728.4</v>
      </c>
      <c r="U4412" s="6"/>
      <c r="V4412" s="6">
        <v>0</v>
      </c>
      <c r="W4412" s="6">
        <f t="shared" si="677"/>
        <v>2728.4</v>
      </c>
      <c r="X4412" s="6">
        <f t="shared" si="678"/>
        <v>0</v>
      </c>
      <c r="Y4412" s="13">
        <f t="shared" si="672"/>
        <v>0</v>
      </c>
      <c r="Z4412" s="14">
        <v>0</v>
      </c>
      <c r="AA4412" s="6">
        <v>0</v>
      </c>
      <c r="AB4412" s="4">
        <f t="shared" si="673"/>
        <v>0</v>
      </c>
      <c r="AC4412" s="4">
        <f t="shared" si="675"/>
        <v>0</v>
      </c>
      <c r="AD4412" s="6">
        <f t="shared" si="679"/>
        <v>0</v>
      </c>
      <c r="AE4412" s="2">
        <f>VLOOKUP(I4412,[1]媒体政策预估表!A:N,MATCH(O4412,[1]媒体政策预估表!$A$2:$M$2,0),0)</f>
        <v>7.0000000000000007E-2</v>
      </c>
      <c r="AF4412" s="6">
        <f t="shared" si="676"/>
        <v>0</v>
      </c>
      <c r="AG4412" s="14">
        <v>0</v>
      </c>
      <c r="AH4412" s="65">
        <f t="shared" si="680"/>
        <v>0</v>
      </c>
      <c r="AI4412" s="47"/>
      <c r="AJ4412" s="126" t="e">
        <v>#N/A</v>
      </c>
      <c r="AK4412" s="80">
        <f t="shared" si="674"/>
        <v>0</v>
      </c>
      <c r="AM4412" s="85"/>
    </row>
    <row r="4413" spans="1:39" hidden="1" x14ac:dyDescent="0.3">
      <c r="A4413" s="89" t="s">
        <v>3395</v>
      </c>
      <c r="B4413" s="86" t="s">
        <v>35</v>
      </c>
      <c r="C4413" s="86" t="s">
        <v>184</v>
      </c>
      <c r="D4413" s="86" t="s">
        <v>185</v>
      </c>
      <c r="E4413" s="86" t="s">
        <v>817</v>
      </c>
      <c r="F4413" s="86" t="s">
        <v>817</v>
      </c>
      <c r="G4413" s="86" t="s">
        <v>817</v>
      </c>
      <c r="H4413" s="143">
        <v>360</v>
      </c>
      <c r="I4413" s="86" t="s">
        <v>1060</v>
      </c>
      <c r="J4413" s="1" t="s">
        <v>3325</v>
      </c>
      <c r="K4413" s="1" t="s">
        <v>3287</v>
      </c>
      <c r="L4413" s="1" t="s">
        <v>35</v>
      </c>
      <c r="M4413" s="86" t="s">
        <v>811</v>
      </c>
      <c r="N4413" s="86"/>
      <c r="O4413" s="47" t="s">
        <v>45</v>
      </c>
      <c r="P4413" s="47" t="s">
        <v>41</v>
      </c>
      <c r="Q4413" s="14">
        <v>0</v>
      </c>
      <c r="R4413" s="143" t="s">
        <v>2117</v>
      </c>
      <c r="S4413" s="47"/>
      <c r="T4413" s="6">
        <v>5706.5</v>
      </c>
      <c r="U4413" s="6"/>
      <c r="V4413" s="6">
        <v>0</v>
      </c>
      <c r="W4413" s="6">
        <f t="shared" si="677"/>
        <v>5706.5</v>
      </c>
      <c r="X4413" s="6">
        <f t="shared" si="678"/>
        <v>0</v>
      </c>
      <c r="Y4413" s="13">
        <f t="shared" si="672"/>
        <v>0</v>
      </c>
      <c r="Z4413" s="14">
        <v>0</v>
      </c>
      <c r="AA4413" s="6">
        <v>0</v>
      </c>
      <c r="AB4413" s="4">
        <f t="shared" si="673"/>
        <v>0</v>
      </c>
      <c r="AC4413" s="4">
        <f t="shared" si="675"/>
        <v>0</v>
      </c>
      <c r="AD4413" s="6">
        <f t="shared" si="679"/>
        <v>0</v>
      </c>
      <c r="AE4413" s="2">
        <f>VLOOKUP(I4413,[1]媒体政策预估表!A:N,MATCH(O4413,[1]媒体政策预估表!$A$2:$M$2,0),0)</f>
        <v>0.12</v>
      </c>
      <c r="AF4413" s="6">
        <f t="shared" si="676"/>
        <v>0</v>
      </c>
      <c r="AG4413" s="14">
        <v>0</v>
      </c>
      <c r="AH4413" s="65">
        <f t="shared" si="680"/>
        <v>0</v>
      </c>
      <c r="AI4413" s="47"/>
      <c r="AJ4413" s="126" t="e">
        <v>#N/A</v>
      </c>
      <c r="AK4413" s="80">
        <f t="shared" si="674"/>
        <v>0</v>
      </c>
      <c r="AM4413" s="85"/>
    </row>
    <row r="4414" spans="1:39" hidden="1" x14ac:dyDescent="0.3">
      <c r="A4414" s="89" t="s">
        <v>3395</v>
      </c>
      <c r="B4414" s="86" t="s">
        <v>35</v>
      </c>
      <c r="C4414" s="86" t="s">
        <v>184</v>
      </c>
      <c r="D4414" s="86" t="s">
        <v>185</v>
      </c>
      <c r="E4414" s="86" t="s">
        <v>2118</v>
      </c>
      <c r="F4414" s="86" t="s">
        <v>2118</v>
      </c>
      <c r="G4414" s="86" t="s">
        <v>2118</v>
      </c>
      <c r="H4414" s="143">
        <v>360</v>
      </c>
      <c r="I4414" s="86" t="s">
        <v>1060</v>
      </c>
      <c r="J4414" s="1" t="s">
        <v>3325</v>
      </c>
      <c r="K4414" s="1" t="s">
        <v>3287</v>
      </c>
      <c r="L4414" s="1" t="s">
        <v>35</v>
      </c>
      <c r="M4414" s="86" t="s">
        <v>2118</v>
      </c>
      <c r="N4414" s="86"/>
      <c r="O4414" s="47" t="s">
        <v>410</v>
      </c>
      <c r="P4414" s="47" t="s">
        <v>41</v>
      </c>
      <c r="Q4414" s="14">
        <v>0</v>
      </c>
      <c r="R4414" s="143" t="s">
        <v>2119</v>
      </c>
      <c r="S4414" s="47"/>
      <c r="T4414" s="6">
        <v>352.30000000000098</v>
      </c>
      <c r="U4414" s="6"/>
      <c r="V4414" s="6">
        <v>0</v>
      </c>
      <c r="W4414" s="6">
        <f t="shared" si="677"/>
        <v>352.30000000000098</v>
      </c>
      <c r="X4414" s="6">
        <f t="shared" si="678"/>
        <v>0</v>
      </c>
      <c r="Y4414" s="13">
        <f t="shared" si="672"/>
        <v>0</v>
      </c>
      <c r="Z4414" s="14">
        <v>0</v>
      </c>
      <c r="AA4414" s="6">
        <v>0</v>
      </c>
      <c r="AB4414" s="4">
        <f t="shared" si="673"/>
        <v>0</v>
      </c>
      <c r="AC4414" s="4">
        <f t="shared" si="675"/>
        <v>0</v>
      </c>
      <c r="AD4414" s="6">
        <f t="shared" si="679"/>
        <v>0</v>
      </c>
      <c r="AE4414" s="2">
        <f>VLOOKUP(I4414,[1]媒体政策预估表!A:N,MATCH(O4414,[1]媒体政策预估表!$A$2:$M$2,0),0)</f>
        <v>7.0000000000000007E-2</v>
      </c>
      <c r="AF4414" s="6">
        <f t="shared" si="676"/>
        <v>0</v>
      </c>
      <c r="AG4414" s="14">
        <v>0</v>
      </c>
      <c r="AH4414" s="65">
        <f t="shared" si="680"/>
        <v>0</v>
      </c>
      <c r="AI4414" s="47"/>
      <c r="AJ4414" s="126" t="e">
        <v>#N/A</v>
      </c>
      <c r="AK4414" s="80">
        <f t="shared" si="674"/>
        <v>0</v>
      </c>
      <c r="AM4414" s="85"/>
    </row>
    <row r="4415" spans="1:39" hidden="1" x14ac:dyDescent="0.3">
      <c r="A4415" s="89" t="s">
        <v>3395</v>
      </c>
      <c r="B4415" s="86" t="s">
        <v>35</v>
      </c>
      <c r="C4415" s="86" t="s">
        <v>184</v>
      </c>
      <c r="D4415" s="86" t="s">
        <v>298</v>
      </c>
      <c r="E4415" s="86" t="s">
        <v>2120</v>
      </c>
      <c r="F4415" s="86" t="s">
        <v>2121</v>
      </c>
      <c r="G4415" s="86" t="s">
        <v>2120</v>
      </c>
      <c r="H4415" s="143">
        <v>360</v>
      </c>
      <c r="I4415" s="86" t="s">
        <v>1060</v>
      </c>
      <c r="J4415" s="1" t="s">
        <v>3325</v>
      </c>
      <c r="K4415" s="1" t="s">
        <v>3287</v>
      </c>
      <c r="L4415" s="1" t="s">
        <v>35</v>
      </c>
      <c r="M4415" s="86" t="s">
        <v>2120</v>
      </c>
      <c r="N4415" s="86"/>
      <c r="O4415" s="47" t="s">
        <v>410</v>
      </c>
      <c r="P4415" s="47" t="s">
        <v>46</v>
      </c>
      <c r="Q4415" s="14">
        <v>0.04</v>
      </c>
      <c r="R4415" s="143" t="s">
        <v>2122</v>
      </c>
      <c r="S4415" s="47"/>
      <c r="T4415" s="6">
        <v>720.7599999999984</v>
      </c>
      <c r="U4415" s="6"/>
      <c r="V4415" s="6">
        <v>0</v>
      </c>
      <c r="W4415" s="6">
        <f t="shared" si="677"/>
        <v>720.7599999999984</v>
      </c>
      <c r="X4415" s="6">
        <f t="shared" si="678"/>
        <v>0</v>
      </c>
      <c r="Y4415" s="13">
        <f t="shared" si="672"/>
        <v>0</v>
      </c>
      <c r="Z4415" s="14">
        <v>0</v>
      </c>
      <c r="AA4415" s="6">
        <v>0</v>
      </c>
      <c r="AB4415" s="4">
        <f t="shared" si="673"/>
        <v>0</v>
      </c>
      <c r="AC4415" s="4">
        <f t="shared" si="675"/>
        <v>0</v>
      </c>
      <c r="AD4415" s="6">
        <f t="shared" si="679"/>
        <v>0</v>
      </c>
      <c r="AE4415" s="2">
        <f>VLOOKUP(I4415,[1]媒体政策预估表!A:N,MATCH(O4415,[1]媒体政策预估表!$A$2:$M$2,0),0)</f>
        <v>7.0000000000000007E-2</v>
      </c>
      <c r="AF4415" s="6">
        <f t="shared" si="676"/>
        <v>0</v>
      </c>
      <c r="AG4415" s="14">
        <v>0</v>
      </c>
      <c r="AH4415" s="65">
        <f t="shared" si="680"/>
        <v>0</v>
      </c>
      <c r="AI4415" s="47"/>
      <c r="AJ4415" s="126" t="e">
        <v>#N/A</v>
      </c>
      <c r="AK4415" s="80">
        <f t="shared" si="674"/>
        <v>0</v>
      </c>
      <c r="AM4415" s="85"/>
    </row>
    <row r="4416" spans="1:39" hidden="1" x14ac:dyDescent="0.3">
      <c r="A4416" s="89" t="s">
        <v>3394</v>
      </c>
      <c r="B4416" s="86" t="s">
        <v>35</v>
      </c>
      <c r="C4416" s="86" t="s">
        <v>184</v>
      </c>
      <c r="D4416" s="86" t="s">
        <v>298</v>
      </c>
      <c r="E4416" s="86" t="s">
        <v>2123</v>
      </c>
      <c r="F4416" s="86" t="s">
        <v>2124</v>
      </c>
      <c r="G4416" s="86" t="s">
        <v>2123</v>
      </c>
      <c r="H4416" s="143">
        <v>360</v>
      </c>
      <c r="I4416" s="86" t="s">
        <v>1060</v>
      </c>
      <c r="J4416" s="1" t="s">
        <v>3325</v>
      </c>
      <c r="K4416" s="1" t="s">
        <v>3287</v>
      </c>
      <c r="L4416" s="1" t="s">
        <v>35</v>
      </c>
      <c r="M4416" s="86" t="s">
        <v>2123</v>
      </c>
      <c r="N4416" s="86"/>
      <c r="O4416" s="47" t="s">
        <v>45</v>
      </c>
      <c r="P4416" s="47" t="s">
        <v>46</v>
      </c>
      <c r="Q4416" s="14">
        <v>0.12</v>
      </c>
      <c r="R4416" s="143" t="s">
        <v>2125</v>
      </c>
      <c r="S4416" s="47"/>
      <c r="T4416" s="6">
        <v>120.71</v>
      </c>
      <c r="U4416" s="6"/>
      <c r="V4416" s="6">
        <v>0</v>
      </c>
      <c r="W4416" s="6">
        <f t="shared" si="677"/>
        <v>120.71</v>
      </c>
      <c r="X4416" s="6">
        <f t="shared" si="678"/>
        <v>0</v>
      </c>
      <c r="Y4416" s="13">
        <f t="shared" si="672"/>
        <v>0</v>
      </c>
      <c r="Z4416" s="14">
        <v>0</v>
      </c>
      <c r="AA4416" s="6">
        <v>0</v>
      </c>
      <c r="AB4416" s="4">
        <f t="shared" si="673"/>
        <v>0</v>
      </c>
      <c r="AC4416" s="4">
        <f t="shared" si="675"/>
        <v>0</v>
      </c>
      <c r="AD4416" s="6">
        <f t="shared" si="679"/>
        <v>0</v>
      </c>
      <c r="AE4416" s="2">
        <f>VLOOKUP(I4416,[1]媒体政策预估表!A:N,MATCH(O4416,[1]媒体政策预估表!$A$2:$M$2,0),0)</f>
        <v>0.12</v>
      </c>
      <c r="AF4416" s="6">
        <f t="shared" si="676"/>
        <v>0</v>
      </c>
      <c r="AG4416" s="14">
        <v>0</v>
      </c>
      <c r="AH4416" s="65">
        <f t="shared" si="680"/>
        <v>0</v>
      </c>
      <c r="AI4416" s="47"/>
      <c r="AJ4416" s="126" t="e">
        <v>#N/A</v>
      </c>
      <c r="AK4416" s="80">
        <f t="shared" si="674"/>
        <v>0</v>
      </c>
      <c r="AM4416" s="85"/>
    </row>
    <row r="4417" spans="1:39" hidden="1" x14ac:dyDescent="0.3">
      <c r="A4417" s="89" t="s">
        <v>3394</v>
      </c>
      <c r="B4417" s="86" t="s">
        <v>35</v>
      </c>
      <c r="C4417" s="86" t="s">
        <v>36</v>
      </c>
      <c r="D4417" s="86" t="s">
        <v>224</v>
      </c>
      <c r="E4417" s="86" t="s">
        <v>2126</v>
      </c>
      <c r="F4417" s="86" t="s">
        <v>2126</v>
      </c>
      <c r="G4417" s="86" t="s">
        <v>2126</v>
      </c>
      <c r="H4417" s="143">
        <v>360</v>
      </c>
      <c r="I4417" s="86" t="s">
        <v>1060</v>
      </c>
      <c r="J4417" s="1" t="s">
        <v>3325</v>
      </c>
      <c r="K4417" s="1" t="s">
        <v>3287</v>
      </c>
      <c r="L4417" s="1" t="s">
        <v>35</v>
      </c>
      <c r="M4417" s="86" t="s">
        <v>2127</v>
      </c>
      <c r="N4417" s="86"/>
      <c r="O4417" s="47" t="s">
        <v>45</v>
      </c>
      <c r="P4417" s="47" t="s">
        <v>46</v>
      </c>
      <c r="Q4417" s="14">
        <v>0.06</v>
      </c>
      <c r="R4417" s="143" t="s">
        <v>2128</v>
      </c>
      <c r="S4417" s="47"/>
      <c r="T4417" s="6">
        <v>0.100000000000023</v>
      </c>
      <c r="U4417" s="6"/>
      <c r="V4417" s="6">
        <v>0</v>
      </c>
      <c r="W4417" s="6">
        <f t="shared" si="677"/>
        <v>0.100000000000023</v>
      </c>
      <c r="X4417" s="6">
        <f t="shared" si="678"/>
        <v>0</v>
      </c>
      <c r="Y4417" s="13">
        <f t="shared" si="672"/>
        <v>0</v>
      </c>
      <c r="Z4417" s="14">
        <v>0</v>
      </c>
      <c r="AA4417" s="6">
        <v>0</v>
      </c>
      <c r="AB4417" s="4">
        <f t="shared" si="673"/>
        <v>0</v>
      </c>
      <c r="AC4417" s="4">
        <f t="shared" si="675"/>
        <v>0</v>
      </c>
      <c r="AD4417" s="6">
        <f t="shared" si="679"/>
        <v>0</v>
      </c>
      <c r="AE4417" s="2">
        <f>VLOOKUP(I4417,[1]媒体政策预估表!A:N,MATCH(O4417,[1]媒体政策预估表!$A$2:$M$2,0),0)</f>
        <v>0.12</v>
      </c>
      <c r="AF4417" s="6">
        <f t="shared" si="676"/>
        <v>0</v>
      </c>
      <c r="AG4417" s="14">
        <v>0</v>
      </c>
      <c r="AH4417" s="65">
        <f t="shared" si="680"/>
        <v>0</v>
      </c>
      <c r="AI4417" s="47"/>
      <c r="AJ4417" s="126" t="e">
        <v>#N/A</v>
      </c>
      <c r="AK4417" s="80">
        <f t="shared" si="674"/>
        <v>0</v>
      </c>
      <c r="AM4417" s="85"/>
    </row>
    <row r="4418" spans="1:39" hidden="1" x14ac:dyDescent="0.3">
      <c r="A4418" s="89" t="s">
        <v>3394</v>
      </c>
      <c r="B4418" s="86" t="s">
        <v>35</v>
      </c>
      <c r="C4418" s="86" t="s">
        <v>164</v>
      </c>
      <c r="D4418" s="86" t="s">
        <v>165</v>
      </c>
      <c r="E4418" s="86" t="s">
        <v>1538</v>
      </c>
      <c r="F4418" s="86" t="s">
        <v>1538</v>
      </c>
      <c r="G4418" s="86" t="s">
        <v>1538</v>
      </c>
      <c r="H4418" s="143">
        <v>360</v>
      </c>
      <c r="I4418" s="86" t="s">
        <v>1060</v>
      </c>
      <c r="J4418" s="1" t="s">
        <v>3325</v>
      </c>
      <c r="K4418" s="1" t="s">
        <v>3287</v>
      </c>
      <c r="L4418" s="1" t="s">
        <v>35</v>
      </c>
      <c r="M4418" s="86" t="s">
        <v>1539</v>
      </c>
      <c r="N4418" s="86"/>
      <c r="O4418" s="47" t="s">
        <v>45</v>
      </c>
      <c r="P4418" s="47" t="s">
        <v>41</v>
      </c>
      <c r="Q4418" s="14">
        <v>0</v>
      </c>
      <c r="R4418" s="143" t="s">
        <v>1540</v>
      </c>
      <c r="S4418" s="47"/>
      <c r="T4418" s="6">
        <v>-1687065.62026</v>
      </c>
      <c r="U4418" s="6"/>
      <c r="V4418" s="6">
        <v>0</v>
      </c>
      <c r="W4418" s="6">
        <f t="shared" si="677"/>
        <v>-1687065.62026</v>
      </c>
      <c r="X4418" s="6">
        <f t="shared" si="678"/>
        <v>0</v>
      </c>
      <c r="Y4418" s="13">
        <f t="shared" si="672"/>
        <v>0</v>
      </c>
      <c r="Z4418" s="14">
        <v>0</v>
      </c>
      <c r="AA4418" s="6">
        <v>0</v>
      </c>
      <c r="AB4418" s="4">
        <f t="shared" si="673"/>
        <v>0</v>
      </c>
      <c r="AC4418" s="4">
        <f t="shared" si="675"/>
        <v>0</v>
      </c>
      <c r="AD4418" s="6">
        <f t="shared" si="679"/>
        <v>0</v>
      </c>
      <c r="AE4418" s="2">
        <f>VLOOKUP(I4418,[1]媒体政策预估表!A:N,MATCH(O4418,[1]媒体政策预估表!$A$2:$M$2,0),0)</f>
        <v>0.12</v>
      </c>
      <c r="AF4418" s="6">
        <f t="shared" si="676"/>
        <v>0</v>
      </c>
      <c r="AG4418" s="14">
        <v>0</v>
      </c>
      <c r="AH4418" s="65">
        <f t="shared" si="680"/>
        <v>0</v>
      </c>
      <c r="AI4418" s="47"/>
      <c r="AJ4418" s="126" t="e">
        <v>#N/A</v>
      </c>
      <c r="AK4418" s="80">
        <f t="shared" si="674"/>
        <v>0</v>
      </c>
      <c r="AM4418" s="85"/>
    </row>
    <row r="4419" spans="1:39" hidden="1" x14ac:dyDescent="0.3">
      <c r="A4419" s="89" t="s">
        <v>3394</v>
      </c>
      <c r="B4419" s="86" t="s">
        <v>35</v>
      </c>
      <c r="C4419" s="86" t="s">
        <v>164</v>
      </c>
      <c r="D4419" s="86" t="s">
        <v>165</v>
      </c>
      <c r="E4419" s="86" t="s">
        <v>1538</v>
      </c>
      <c r="F4419" s="86" t="s">
        <v>1538</v>
      </c>
      <c r="G4419" s="86" t="s">
        <v>1538</v>
      </c>
      <c r="H4419" s="143">
        <v>360</v>
      </c>
      <c r="I4419" s="86" t="s">
        <v>1060</v>
      </c>
      <c r="J4419" s="1" t="s">
        <v>3325</v>
      </c>
      <c r="K4419" s="1" t="s">
        <v>3287</v>
      </c>
      <c r="L4419" s="1" t="s">
        <v>35</v>
      </c>
      <c r="M4419" s="86" t="s">
        <v>1539</v>
      </c>
      <c r="N4419" s="86"/>
      <c r="O4419" s="47" t="s">
        <v>941</v>
      </c>
      <c r="P4419" s="47" t="s">
        <v>41</v>
      </c>
      <c r="Q4419" s="14">
        <v>0</v>
      </c>
      <c r="R4419" s="143" t="s">
        <v>1540</v>
      </c>
      <c r="S4419" s="47"/>
      <c r="T4419" s="6">
        <v>-1855135.3655000001</v>
      </c>
      <c r="U4419" s="6"/>
      <c r="V4419" s="6">
        <v>0</v>
      </c>
      <c r="W4419" s="6">
        <f t="shared" si="677"/>
        <v>-1855135.3655000001</v>
      </c>
      <c r="X4419" s="6">
        <f t="shared" si="678"/>
        <v>0</v>
      </c>
      <c r="Y4419" s="13">
        <f t="shared" ref="Y4419:Y4482" si="681">IF(X4419-AD4419&lt;=0,0,IF(P4419="返现",MAX(X4419-AC4419-AD4419,0),MAX(X4419-AD4419)))</f>
        <v>0</v>
      </c>
      <c r="Z4419" s="14">
        <v>0</v>
      </c>
      <c r="AA4419" s="6">
        <v>0</v>
      </c>
      <c r="AB4419" s="4">
        <f t="shared" ref="AB4419:AB4482" si="682">X4419+AA4419</f>
        <v>0</v>
      </c>
      <c r="AC4419" s="4">
        <f t="shared" si="675"/>
        <v>0</v>
      </c>
      <c r="AD4419" s="6">
        <f t="shared" si="679"/>
        <v>0</v>
      </c>
      <c r="AE4419" s="2">
        <f>VLOOKUP(I4419,[1]媒体政策预估表!A:N,MATCH(O4419,[1]媒体政策预估表!$A$2:$M$2,0),0)</f>
        <v>0.15</v>
      </c>
      <c r="AF4419" s="6">
        <f t="shared" si="676"/>
        <v>0</v>
      </c>
      <c r="AG4419" s="14">
        <v>0</v>
      </c>
      <c r="AH4419" s="65">
        <f t="shared" si="680"/>
        <v>0</v>
      </c>
      <c r="AI4419" s="47"/>
      <c r="AJ4419" s="126" t="e">
        <v>#N/A</v>
      </c>
      <c r="AK4419" s="80">
        <f t="shared" ref="AK4419:AK4482" si="683">X4419+AA4419-AB4419</f>
        <v>0</v>
      </c>
      <c r="AM4419" s="85"/>
    </row>
    <row r="4420" spans="1:39" hidden="1" x14ac:dyDescent="0.3">
      <c r="A4420" s="89" t="s">
        <v>3394</v>
      </c>
      <c r="B4420" s="86" t="s">
        <v>35</v>
      </c>
      <c r="C4420" s="86" t="s">
        <v>164</v>
      </c>
      <c r="D4420" s="86" t="s">
        <v>165</v>
      </c>
      <c r="E4420" s="86" t="s">
        <v>1538</v>
      </c>
      <c r="F4420" s="86" t="s">
        <v>1538</v>
      </c>
      <c r="G4420" s="86" t="s">
        <v>1538</v>
      </c>
      <c r="H4420" s="143">
        <v>360</v>
      </c>
      <c r="I4420" s="86" t="s">
        <v>1060</v>
      </c>
      <c r="J4420" s="1" t="s">
        <v>3325</v>
      </c>
      <c r="K4420" s="1" t="s">
        <v>3287</v>
      </c>
      <c r="L4420" s="1" t="s">
        <v>35</v>
      </c>
      <c r="M4420" s="86" t="s">
        <v>1539</v>
      </c>
      <c r="N4420" s="86"/>
      <c r="O4420" s="47" t="s">
        <v>2054</v>
      </c>
      <c r="P4420" s="47" t="s">
        <v>41</v>
      </c>
      <c r="Q4420" s="14">
        <v>0</v>
      </c>
      <c r="R4420" s="143" t="s">
        <v>1540</v>
      </c>
      <c r="S4420" s="47"/>
      <c r="T4420" s="6">
        <v>-78646.579059999989</v>
      </c>
      <c r="U4420" s="6"/>
      <c r="V4420" s="6">
        <v>0</v>
      </c>
      <c r="W4420" s="6">
        <f t="shared" si="677"/>
        <v>-78646.579059999989</v>
      </c>
      <c r="X4420" s="6">
        <f t="shared" si="678"/>
        <v>0</v>
      </c>
      <c r="Y4420" s="13">
        <f t="shared" si="681"/>
        <v>0</v>
      </c>
      <c r="Z4420" s="14">
        <v>0</v>
      </c>
      <c r="AA4420" s="6">
        <v>0</v>
      </c>
      <c r="AB4420" s="4">
        <f t="shared" si="682"/>
        <v>0</v>
      </c>
      <c r="AC4420" s="4">
        <f t="shared" si="675"/>
        <v>0</v>
      </c>
      <c r="AD4420" s="6">
        <f t="shared" si="679"/>
        <v>0</v>
      </c>
      <c r="AE4420" s="2">
        <f>VLOOKUP(I4420,[1]媒体政策预估表!A:N,MATCH(O4420,[1]媒体政策预估表!$A$2:$M$2,0),0)</f>
        <v>0.12</v>
      </c>
      <c r="AF4420" s="6">
        <f t="shared" si="676"/>
        <v>0</v>
      </c>
      <c r="AG4420" s="14">
        <v>0</v>
      </c>
      <c r="AH4420" s="65">
        <f t="shared" si="680"/>
        <v>0</v>
      </c>
      <c r="AI4420" s="47"/>
      <c r="AJ4420" s="126" t="e">
        <v>#N/A</v>
      </c>
      <c r="AK4420" s="80">
        <f t="shared" si="683"/>
        <v>0</v>
      </c>
      <c r="AM4420" s="85"/>
    </row>
    <row r="4421" spans="1:39" hidden="1" x14ac:dyDescent="0.3">
      <c r="A4421" s="89" t="s">
        <v>3395</v>
      </c>
      <c r="B4421" s="86" t="s">
        <v>35</v>
      </c>
      <c r="C4421" s="86" t="s">
        <v>164</v>
      </c>
      <c r="D4421" s="86" t="s">
        <v>165</v>
      </c>
      <c r="E4421" s="86" t="s">
        <v>1538</v>
      </c>
      <c r="F4421" s="86" t="s">
        <v>1538</v>
      </c>
      <c r="G4421" s="86" t="s">
        <v>1538</v>
      </c>
      <c r="H4421" s="143">
        <v>360</v>
      </c>
      <c r="I4421" s="86" t="s">
        <v>1060</v>
      </c>
      <c r="J4421" s="1" t="s">
        <v>3325</v>
      </c>
      <c r="K4421" s="1" t="s">
        <v>3287</v>
      </c>
      <c r="L4421" s="1" t="s">
        <v>35</v>
      </c>
      <c r="M4421" s="86" t="s">
        <v>2129</v>
      </c>
      <c r="N4421" s="86"/>
      <c r="O4421" s="47" t="s">
        <v>410</v>
      </c>
      <c r="P4421" s="47" t="s">
        <v>46</v>
      </c>
      <c r="Q4421" s="14">
        <v>0.01</v>
      </c>
      <c r="R4421" s="143" t="s">
        <v>2130</v>
      </c>
      <c r="S4421" s="47"/>
      <c r="T4421" s="6">
        <v>59364.5</v>
      </c>
      <c r="U4421" s="6"/>
      <c r="V4421" s="6">
        <v>0</v>
      </c>
      <c r="W4421" s="6">
        <f t="shared" si="677"/>
        <v>59364.5</v>
      </c>
      <c r="X4421" s="6">
        <f t="shared" si="678"/>
        <v>0</v>
      </c>
      <c r="Y4421" s="13">
        <f t="shared" si="681"/>
        <v>0</v>
      </c>
      <c r="Z4421" s="14">
        <v>0</v>
      </c>
      <c r="AA4421" s="6">
        <v>0</v>
      </c>
      <c r="AB4421" s="4">
        <f t="shared" si="682"/>
        <v>0</v>
      </c>
      <c r="AC4421" s="4">
        <f t="shared" si="675"/>
        <v>0</v>
      </c>
      <c r="AD4421" s="6">
        <f t="shared" si="679"/>
        <v>0</v>
      </c>
      <c r="AE4421" s="2">
        <f>VLOOKUP(I4421,[1]媒体政策预估表!A:N,MATCH(O4421,[1]媒体政策预估表!$A$2:$M$2,0),0)</f>
        <v>7.0000000000000007E-2</v>
      </c>
      <c r="AF4421" s="6">
        <f t="shared" si="676"/>
        <v>0</v>
      </c>
      <c r="AG4421" s="14">
        <v>0</v>
      </c>
      <c r="AH4421" s="65">
        <f t="shared" si="680"/>
        <v>0</v>
      </c>
      <c r="AI4421" s="47"/>
      <c r="AJ4421" s="126" t="e">
        <v>#N/A</v>
      </c>
      <c r="AK4421" s="80">
        <f t="shared" si="683"/>
        <v>0</v>
      </c>
      <c r="AM4421" s="85"/>
    </row>
    <row r="4422" spans="1:39" hidden="1" x14ac:dyDescent="0.3">
      <c r="A4422" s="89" t="s">
        <v>3394</v>
      </c>
      <c r="B4422" s="86" t="s">
        <v>35</v>
      </c>
      <c r="C4422" s="86" t="s">
        <v>164</v>
      </c>
      <c r="D4422" s="86" t="s">
        <v>165</v>
      </c>
      <c r="E4422" s="86" t="s">
        <v>1538</v>
      </c>
      <c r="F4422" s="86" t="s">
        <v>1538</v>
      </c>
      <c r="G4422" s="86" t="s">
        <v>1538</v>
      </c>
      <c r="H4422" s="143">
        <v>360</v>
      </c>
      <c r="I4422" s="86" t="s">
        <v>1060</v>
      </c>
      <c r="J4422" s="1" t="s">
        <v>3325</v>
      </c>
      <c r="K4422" s="1" t="s">
        <v>3287</v>
      </c>
      <c r="L4422" s="1" t="s">
        <v>35</v>
      </c>
      <c r="M4422" s="86" t="s">
        <v>2131</v>
      </c>
      <c r="N4422" s="86"/>
      <c r="O4422" s="47" t="s">
        <v>410</v>
      </c>
      <c r="P4422" s="47" t="s">
        <v>46</v>
      </c>
      <c r="Q4422" s="14">
        <v>0.01</v>
      </c>
      <c r="R4422" s="143" t="s">
        <v>2132</v>
      </c>
      <c r="S4422" s="47"/>
      <c r="T4422" s="6">
        <v>73906.899999999994</v>
      </c>
      <c r="U4422" s="6"/>
      <c r="V4422" s="6">
        <v>0</v>
      </c>
      <c r="W4422" s="6">
        <f t="shared" si="677"/>
        <v>73906.899999999994</v>
      </c>
      <c r="X4422" s="6">
        <f t="shared" si="678"/>
        <v>0</v>
      </c>
      <c r="Y4422" s="13">
        <f t="shared" si="681"/>
        <v>0</v>
      </c>
      <c r="Z4422" s="14">
        <v>0</v>
      </c>
      <c r="AA4422" s="6">
        <v>0</v>
      </c>
      <c r="AB4422" s="4">
        <f t="shared" si="682"/>
        <v>0</v>
      </c>
      <c r="AC4422" s="4">
        <f t="shared" si="675"/>
        <v>0</v>
      </c>
      <c r="AD4422" s="6">
        <f t="shared" si="679"/>
        <v>0</v>
      </c>
      <c r="AE4422" s="2">
        <f>VLOOKUP(I4422,[1]媒体政策预估表!A:N,MATCH(O4422,[1]媒体政策预估表!$A$2:$M$2,0),0)</f>
        <v>7.0000000000000007E-2</v>
      </c>
      <c r="AF4422" s="6">
        <f t="shared" si="676"/>
        <v>0</v>
      </c>
      <c r="AG4422" s="14">
        <v>0</v>
      </c>
      <c r="AH4422" s="65">
        <f t="shared" si="680"/>
        <v>0</v>
      </c>
      <c r="AI4422" s="47"/>
      <c r="AJ4422" s="126" t="e">
        <v>#N/A</v>
      </c>
      <c r="AK4422" s="80">
        <f t="shared" si="683"/>
        <v>0</v>
      </c>
      <c r="AM4422" s="85"/>
    </row>
    <row r="4423" spans="1:39" hidden="1" x14ac:dyDescent="0.3">
      <c r="A4423" s="89" t="s">
        <v>3394</v>
      </c>
      <c r="B4423" s="86" t="s">
        <v>35</v>
      </c>
      <c r="C4423" s="86" t="s">
        <v>164</v>
      </c>
      <c r="D4423" s="86" t="s">
        <v>165</v>
      </c>
      <c r="E4423" s="86" t="s">
        <v>1538</v>
      </c>
      <c r="F4423" s="86" t="s">
        <v>1538</v>
      </c>
      <c r="G4423" s="86" t="s">
        <v>1538</v>
      </c>
      <c r="H4423" s="143">
        <v>360</v>
      </c>
      <c r="I4423" s="86" t="s">
        <v>1060</v>
      </c>
      <c r="J4423" s="1" t="s">
        <v>3325</v>
      </c>
      <c r="K4423" s="1" t="s">
        <v>3287</v>
      </c>
      <c r="L4423" s="1" t="s">
        <v>35</v>
      </c>
      <c r="M4423" s="86" t="s">
        <v>1538</v>
      </c>
      <c r="N4423" s="86"/>
      <c r="O4423" s="47" t="s">
        <v>410</v>
      </c>
      <c r="P4423" s="47" t="s">
        <v>46</v>
      </c>
      <c r="Q4423" s="14">
        <v>0.01</v>
      </c>
      <c r="R4423" s="143" t="s">
        <v>2133</v>
      </c>
      <c r="S4423" s="47"/>
      <c r="T4423" s="6">
        <v>21552</v>
      </c>
      <c r="U4423" s="6"/>
      <c r="V4423" s="6">
        <v>0</v>
      </c>
      <c r="W4423" s="6">
        <f t="shared" si="677"/>
        <v>21552</v>
      </c>
      <c r="X4423" s="6">
        <f t="shared" si="678"/>
        <v>0</v>
      </c>
      <c r="Y4423" s="13">
        <f t="shared" si="681"/>
        <v>0</v>
      </c>
      <c r="Z4423" s="14">
        <v>0</v>
      </c>
      <c r="AA4423" s="6">
        <v>0</v>
      </c>
      <c r="AB4423" s="4">
        <f t="shared" si="682"/>
        <v>0</v>
      </c>
      <c r="AC4423" s="4">
        <f t="shared" si="675"/>
        <v>0</v>
      </c>
      <c r="AD4423" s="6">
        <f t="shared" si="679"/>
        <v>0</v>
      </c>
      <c r="AE4423" s="2">
        <f>VLOOKUP(I4423,[1]媒体政策预估表!A:N,MATCH(O4423,[1]媒体政策预估表!$A$2:$M$2,0),0)</f>
        <v>7.0000000000000007E-2</v>
      </c>
      <c r="AF4423" s="6">
        <f t="shared" si="676"/>
        <v>0</v>
      </c>
      <c r="AG4423" s="14">
        <v>0</v>
      </c>
      <c r="AH4423" s="65">
        <f t="shared" si="680"/>
        <v>0</v>
      </c>
      <c r="AI4423" s="47"/>
      <c r="AJ4423" s="126" t="e">
        <v>#N/A</v>
      </c>
      <c r="AK4423" s="80">
        <f t="shared" si="683"/>
        <v>0</v>
      </c>
      <c r="AM4423" s="85"/>
    </row>
    <row r="4424" spans="1:39" hidden="1" x14ac:dyDescent="0.3">
      <c r="A4424" s="89" t="s">
        <v>3394</v>
      </c>
      <c r="B4424" s="86" t="s">
        <v>35</v>
      </c>
      <c r="C4424" s="86" t="s">
        <v>36</v>
      </c>
      <c r="D4424" s="86" t="s">
        <v>54</v>
      </c>
      <c r="E4424" s="86" t="s">
        <v>55</v>
      </c>
      <c r="F4424" s="86" t="s">
        <v>55</v>
      </c>
      <c r="G4424" s="86" t="s">
        <v>55</v>
      </c>
      <c r="H4424" s="143">
        <v>360</v>
      </c>
      <c r="I4424" s="86" t="s">
        <v>1060</v>
      </c>
      <c r="J4424" s="1" t="s">
        <v>3325</v>
      </c>
      <c r="K4424" s="1" t="s">
        <v>3287</v>
      </c>
      <c r="L4424" s="1" t="s">
        <v>35</v>
      </c>
      <c r="M4424" s="86" t="s">
        <v>55</v>
      </c>
      <c r="N4424" s="86"/>
      <c r="O4424" s="47" t="s">
        <v>941</v>
      </c>
      <c r="P4424" s="47" t="s">
        <v>41</v>
      </c>
      <c r="Q4424" s="14">
        <v>0</v>
      </c>
      <c r="R4424" s="143" t="s">
        <v>1869</v>
      </c>
      <c r="S4424" s="47"/>
      <c r="T4424" s="6">
        <v>-7905515.2958499994</v>
      </c>
      <c r="U4424" s="6"/>
      <c r="V4424" s="6">
        <v>0</v>
      </c>
      <c r="W4424" s="6">
        <f t="shared" si="677"/>
        <v>-7905515.2958499994</v>
      </c>
      <c r="X4424" s="6">
        <f t="shared" si="678"/>
        <v>0</v>
      </c>
      <c r="Y4424" s="13">
        <f t="shared" si="681"/>
        <v>0</v>
      </c>
      <c r="Z4424" s="14">
        <v>0</v>
      </c>
      <c r="AA4424" s="6">
        <v>0</v>
      </c>
      <c r="AB4424" s="4">
        <f t="shared" si="682"/>
        <v>0</v>
      </c>
      <c r="AC4424" s="4">
        <f t="shared" si="675"/>
        <v>0</v>
      </c>
      <c r="AD4424" s="6">
        <f t="shared" si="679"/>
        <v>0</v>
      </c>
      <c r="AE4424" s="2">
        <f>VLOOKUP(I4424,[1]媒体政策预估表!A:N,MATCH(O4424,[1]媒体政策预估表!$A$2:$M$2,0),0)</f>
        <v>0.15</v>
      </c>
      <c r="AF4424" s="6">
        <f t="shared" si="676"/>
        <v>0</v>
      </c>
      <c r="AG4424" s="14">
        <v>0</v>
      </c>
      <c r="AH4424" s="65">
        <f t="shared" si="680"/>
        <v>0</v>
      </c>
      <c r="AI4424" s="47"/>
      <c r="AJ4424" s="126" t="e">
        <v>#N/A</v>
      </c>
      <c r="AK4424" s="80">
        <f t="shared" si="683"/>
        <v>0</v>
      </c>
      <c r="AM4424" s="85"/>
    </row>
    <row r="4425" spans="1:39" hidden="1" x14ac:dyDescent="0.3">
      <c r="A4425" s="89" t="s">
        <v>3394</v>
      </c>
      <c r="B4425" s="86" t="s">
        <v>35</v>
      </c>
      <c r="C4425" s="86" t="s">
        <v>184</v>
      </c>
      <c r="D4425" s="86" t="s">
        <v>744</v>
      </c>
      <c r="E4425" s="86" t="s">
        <v>854</v>
      </c>
      <c r="F4425" s="86" t="s">
        <v>854</v>
      </c>
      <c r="G4425" s="86" t="s">
        <v>854</v>
      </c>
      <c r="H4425" s="143">
        <v>360</v>
      </c>
      <c r="I4425" s="86" t="s">
        <v>1060</v>
      </c>
      <c r="J4425" s="1" t="s">
        <v>3325</v>
      </c>
      <c r="K4425" s="1" t="s">
        <v>3287</v>
      </c>
      <c r="L4425" s="1" t="s">
        <v>35</v>
      </c>
      <c r="M4425" s="86" t="s">
        <v>2134</v>
      </c>
      <c r="N4425" s="86"/>
      <c r="O4425" s="47" t="s">
        <v>45</v>
      </c>
      <c r="P4425" s="47" t="s">
        <v>46</v>
      </c>
      <c r="Q4425" s="14">
        <v>0.08</v>
      </c>
      <c r="R4425" s="143" t="s">
        <v>2135</v>
      </c>
      <c r="S4425" s="47"/>
      <c r="T4425" s="6">
        <v>9.6800000000100699</v>
      </c>
      <c r="U4425" s="6"/>
      <c r="V4425" s="6">
        <v>0</v>
      </c>
      <c r="W4425" s="6">
        <f t="shared" si="677"/>
        <v>9.6800000000100699</v>
      </c>
      <c r="X4425" s="6">
        <f t="shared" si="678"/>
        <v>0</v>
      </c>
      <c r="Y4425" s="13">
        <f t="shared" si="681"/>
        <v>0</v>
      </c>
      <c r="Z4425" s="14">
        <v>0</v>
      </c>
      <c r="AA4425" s="6">
        <v>0</v>
      </c>
      <c r="AB4425" s="4"/>
      <c r="AC4425" s="4">
        <f t="shared" si="675"/>
        <v>0</v>
      </c>
      <c r="AD4425" s="6">
        <f t="shared" si="679"/>
        <v>0</v>
      </c>
      <c r="AE4425" s="2">
        <f>VLOOKUP(I4425,[1]媒体政策预估表!A:N,MATCH(O4425,[1]媒体政策预估表!$A$2:$M$2,0),0)</f>
        <v>0.12</v>
      </c>
      <c r="AF4425" s="6">
        <f t="shared" si="676"/>
        <v>0</v>
      </c>
      <c r="AG4425" s="14">
        <v>0</v>
      </c>
      <c r="AH4425" s="65">
        <f t="shared" si="680"/>
        <v>0</v>
      </c>
      <c r="AI4425" s="47"/>
      <c r="AJ4425" s="126">
        <v>31</v>
      </c>
      <c r="AK4425" s="80">
        <f t="shared" si="683"/>
        <v>0</v>
      </c>
      <c r="AM4425" s="85"/>
    </row>
    <row r="4426" spans="1:39" hidden="1" x14ac:dyDescent="0.3">
      <c r="A4426" s="89" t="s">
        <v>3394</v>
      </c>
      <c r="B4426" s="86" t="s">
        <v>35</v>
      </c>
      <c r="C4426" s="86" t="s">
        <v>65</v>
      </c>
      <c r="D4426" s="86" t="s">
        <v>122</v>
      </c>
      <c r="E4426" s="86" t="s">
        <v>2136</v>
      </c>
      <c r="F4426" s="86" t="s">
        <v>2136</v>
      </c>
      <c r="G4426" s="86" t="s">
        <v>2136</v>
      </c>
      <c r="H4426" s="143">
        <v>360</v>
      </c>
      <c r="I4426" s="86" t="s">
        <v>1060</v>
      </c>
      <c r="J4426" s="1" t="s">
        <v>3325</v>
      </c>
      <c r="K4426" s="1" t="s">
        <v>3287</v>
      </c>
      <c r="L4426" s="1" t="s">
        <v>35</v>
      </c>
      <c r="M4426" s="86" t="s">
        <v>2136</v>
      </c>
      <c r="N4426" s="86"/>
      <c r="O4426" s="47" t="s">
        <v>45</v>
      </c>
      <c r="P4426" s="47" t="s">
        <v>46</v>
      </c>
      <c r="Q4426" s="14">
        <v>0.1</v>
      </c>
      <c r="R4426" s="143" t="s">
        <v>2137</v>
      </c>
      <c r="S4426" s="47"/>
      <c r="T4426" s="6">
        <v>5.0000000001034599E-2</v>
      </c>
      <c r="U4426" s="6"/>
      <c r="V4426" s="6">
        <v>0</v>
      </c>
      <c r="W4426" s="6">
        <f t="shared" si="677"/>
        <v>5.0000000001034599E-2</v>
      </c>
      <c r="X4426" s="6">
        <f t="shared" si="678"/>
        <v>0</v>
      </c>
      <c r="Y4426" s="13">
        <f t="shared" si="681"/>
        <v>0</v>
      </c>
      <c r="Z4426" s="14">
        <v>0</v>
      </c>
      <c r="AA4426" s="6">
        <v>0</v>
      </c>
      <c r="AB4426" s="4">
        <f t="shared" si="682"/>
        <v>0</v>
      </c>
      <c r="AC4426" s="4">
        <f t="shared" si="675"/>
        <v>0</v>
      </c>
      <c r="AD4426" s="6">
        <f t="shared" si="679"/>
        <v>0</v>
      </c>
      <c r="AE4426" s="2">
        <f>VLOOKUP(I4426,[1]媒体政策预估表!A:N,MATCH(O4426,[1]媒体政策预估表!$A$2:$M$2,0),0)</f>
        <v>0.12</v>
      </c>
      <c r="AF4426" s="6">
        <f t="shared" si="676"/>
        <v>0</v>
      </c>
      <c r="AG4426" s="14">
        <v>0</v>
      </c>
      <c r="AH4426" s="65">
        <f t="shared" si="680"/>
        <v>0</v>
      </c>
      <c r="AI4426" s="47"/>
      <c r="AJ4426" s="126" t="e">
        <v>#N/A</v>
      </c>
      <c r="AK4426" s="80">
        <f t="shared" si="683"/>
        <v>0</v>
      </c>
      <c r="AM4426" s="85"/>
    </row>
    <row r="4427" spans="1:39" hidden="1" x14ac:dyDescent="0.3">
      <c r="A4427" s="89" t="s">
        <v>3395</v>
      </c>
      <c r="B4427" s="86" t="s">
        <v>35</v>
      </c>
      <c r="C4427" s="86" t="s">
        <v>65</v>
      </c>
      <c r="D4427" s="86" t="s">
        <v>122</v>
      </c>
      <c r="E4427" s="86" t="s">
        <v>2138</v>
      </c>
      <c r="F4427" s="86" t="s">
        <v>2138</v>
      </c>
      <c r="G4427" s="86" t="s">
        <v>2138</v>
      </c>
      <c r="H4427" s="143">
        <v>360</v>
      </c>
      <c r="I4427" s="86" t="s">
        <v>1060</v>
      </c>
      <c r="J4427" s="1" t="s">
        <v>3325</v>
      </c>
      <c r="K4427" s="1" t="s">
        <v>3287</v>
      </c>
      <c r="L4427" s="1" t="s">
        <v>35</v>
      </c>
      <c r="M4427" s="86" t="s">
        <v>2139</v>
      </c>
      <c r="N4427" s="86"/>
      <c r="O4427" s="47" t="s">
        <v>410</v>
      </c>
      <c r="P4427" s="47" t="s">
        <v>41</v>
      </c>
      <c r="Q4427" s="14">
        <v>0</v>
      </c>
      <c r="R4427" s="143" t="s">
        <v>2140</v>
      </c>
      <c r="S4427" s="47"/>
      <c r="T4427" s="6">
        <v>492.7</v>
      </c>
      <c r="U4427" s="6"/>
      <c r="V4427" s="6">
        <v>0</v>
      </c>
      <c r="W4427" s="6">
        <f t="shared" si="677"/>
        <v>492.7</v>
      </c>
      <c r="X4427" s="6">
        <f t="shared" si="678"/>
        <v>0</v>
      </c>
      <c r="Y4427" s="13">
        <f t="shared" si="681"/>
        <v>0</v>
      </c>
      <c r="Z4427" s="14">
        <v>0</v>
      </c>
      <c r="AA4427" s="6">
        <v>0</v>
      </c>
      <c r="AB4427" s="4">
        <f t="shared" si="682"/>
        <v>0</v>
      </c>
      <c r="AC4427" s="4">
        <f t="shared" si="675"/>
        <v>0</v>
      </c>
      <c r="AD4427" s="6">
        <f t="shared" si="679"/>
        <v>0</v>
      </c>
      <c r="AE4427" s="2">
        <f>VLOOKUP(I4427,[1]媒体政策预估表!A:N,MATCH(O4427,[1]媒体政策预估表!$A$2:$M$2,0),0)</f>
        <v>7.0000000000000007E-2</v>
      </c>
      <c r="AF4427" s="6">
        <f t="shared" si="676"/>
        <v>0</v>
      </c>
      <c r="AG4427" s="14">
        <v>0</v>
      </c>
      <c r="AH4427" s="65">
        <f t="shared" si="680"/>
        <v>0</v>
      </c>
      <c r="AI4427" s="47"/>
      <c r="AJ4427" s="126" t="e">
        <v>#N/A</v>
      </c>
      <c r="AK4427" s="80">
        <f t="shared" si="683"/>
        <v>0</v>
      </c>
      <c r="AM4427" s="85"/>
    </row>
    <row r="4428" spans="1:39" hidden="1" x14ac:dyDescent="0.3">
      <c r="A4428" s="89" t="s">
        <v>3395</v>
      </c>
      <c r="B4428" s="86" t="s">
        <v>35</v>
      </c>
      <c r="C4428" s="86" t="s">
        <v>65</v>
      </c>
      <c r="D4428" s="86" t="s">
        <v>122</v>
      </c>
      <c r="E4428" s="86" t="s">
        <v>2141</v>
      </c>
      <c r="F4428" s="86" t="s">
        <v>2141</v>
      </c>
      <c r="G4428" s="86" t="s">
        <v>2141</v>
      </c>
      <c r="H4428" s="143">
        <v>360</v>
      </c>
      <c r="I4428" s="86" t="s">
        <v>1060</v>
      </c>
      <c r="J4428" s="1" t="s">
        <v>3325</v>
      </c>
      <c r="K4428" s="1" t="s">
        <v>3287</v>
      </c>
      <c r="L4428" s="1" t="s">
        <v>35</v>
      </c>
      <c r="M4428" s="86" t="s">
        <v>2142</v>
      </c>
      <c r="N4428" s="86"/>
      <c r="O4428" s="47" t="s">
        <v>410</v>
      </c>
      <c r="P4428" s="47" t="s">
        <v>41</v>
      </c>
      <c r="Q4428" s="14">
        <v>0</v>
      </c>
      <c r="R4428" s="143" t="s">
        <v>2143</v>
      </c>
      <c r="S4428" s="47"/>
      <c r="T4428" s="6">
        <v>16886.5</v>
      </c>
      <c r="U4428" s="6"/>
      <c r="V4428" s="6">
        <v>0</v>
      </c>
      <c r="W4428" s="6">
        <f t="shared" si="677"/>
        <v>16886.5</v>
      </c>
      <c r="X4428" s="6">
        <f t="shared" si="678"/>
        <v>0</v>
      </c>
      <c r="Y4428" s="13">
        <f t="shared" si="681"/>
        <v>0</v>
      </c>
      <c r="Z4428" s="14">
        <v>0</v>
      </c>
      <c r="AA4428" s="6">
        <v>0</v>
      </c>
      <c r="AB4428" s="4">
        <f t="shared" si="682"/>
        <v>0</v>
      </c>
      <c r="AC4428" s="4">
        <f t="shared" ref="AC4428:AC4491" si="684">IF(P4428="返现",X4428*Q4428,V4428-X4428)</f>
        <v>0</v>
      </c>
      <c r="AD4428" s="6">
        <f t="shared" si="679"/>
        <v>0</v>
      </c>
      <c r="AE4428" s="2">
        <f>VLOOKUP(I4428,[1]媒体政策预估表!A:N,MATCH(O4428,[1]媒体政策预估表!$A$2:$M$2,0),0)</f>
        <v>7.0000000000000007E-2</v>
      </c>
      <c r="AF4428" s="6">
        <f t="shared" ref="AF4428:AF4491" si="685">AD4428*AE4428</f>
        <v>0</v>
      </c>
      <c r="AG4428" s="14">
        <v>0</v>
      </c>
      <c r="AH4428" s="65">
        <f t="shared" si="680"/>
        <v>0</v>
      </c>
      <c r="AI4428" s="47"/>
      <c r="AJ4428" s="126" t="e">
        <v>#N/A</v>
      </c>
      <c r="AK4428" s="80">
        <f t="shared" si="683"/>
        <v>0</v>
      </c>
      <c r="AM4428" s="85"/>
    </row>
    <row r="4429" spans="1:39" hidden="1" x14ac:dyDescent="0.3">
      <c r="A4429" s="89" t="s">
        <v>3394</v>
      </c>
      <c r="B4429" s="86" t="s">
        <v>35</v>
      </c>
      <c r="C4429" s="86" t="s">
        <v>65</v>
      </c>
      <c r="D4429" s="86" t="s">
        <v>125</v>
      </c>
      <c r="E4429" s="86" t="s">
        <v>2144</v>
      </c>
      <c r="F4429" s="86" t="s">
        <v>2144</v>
      </c>
      <c r="G4429" s="86" t="s">
        <v>2144</v>
      </c>
      <c r="H4429" s="143">
        <v>360</v>
      </c>
      <c r="I4429" s="86" t="s">
        <v>1060</v>
      </c>
      <c r="J4429" s="1" t="s">
        <v>3325</v>
      </c>
      <c r="K4429" s="1" t="s">
        <v>3287</v>
      </c>
      <c r="L4429" s="1" t="s">
        <v>35</v>
      </c>
      <c r="M4429" s="86" t="s">
        <v>2144</v>
      </c>
      <c r="N4429" s="86"/>
      <c r="O4429" s="47" t="s">
        <v>410</v>
      </c>
      <c r="P4429" s="47" t="s">
        <v>46</v>
      </c>
      <c r="Q4429" s="14">
        <v>0.04</v>
      </c>
      <c r="R4429" s="143" t="s">
        <v>2145</v>
      </c>
      <c r="S4429" s="47"/>
      <c r="T4429" s="6">
        <v>3.4399999999995998</v>
      </c>
      <c r="U4429" s="6"/>
      <c r="V4429" s="6">
        <v>0</v>
      </c>
      <c r="W4429" s="6">
        <f t="shared" si="677"/>
        <v>3.4399999999995998</v>
      </c>
      <c r="X4429" s="6">
        <f t="shared" si="678"/>
        <v>0</v>
      </c>
      <c r="Y4429" s="13">
        <f t="shared" si="681"/>
        <v>0</v>
      </c>
      <c r="Z4429" s="14">
        <v>0</v>
      </c>
      <c r="AA4429" s="6">
        <v>0</v>
      </c>
      <c r="AB4429" s="4">
        <f t="shared" si="682"/>
        <v>0</v>
      </c>
      <c r="AC4429" s="4">
        <f t="shared" si="684"/>
        <v>0</v>
      </c>
      <c r="AD4429" s="6">
        <f t="shared" si="679"/>
        <v>0</v>
      </c>
      <c r="AE4429" s="2">
        <f>VLOOKUP(I4429,[1]媒体政策预估表!A:N,MATCH(O4429,[1]媒体政策预估表!$A$2:$M$2,0),0)</f>
        <v>7.0000000000000007E-2</v>
      </c>
      <c r="AF4429" s="6">
        <f t="shared" si="685"/>
        <v>0</v>
      </c>
      <c r="AG4429" s="14">
        <v>0</v>
      </c>
      <c r="AH4429" s="65">
        <f t="shared" si="680"/>
        <v>0</v>
      </c>
      <c r="AI4429" s="47"/>
      <c r="AJ4429" s="126" t="e">
        <v>#N/A</v>
      </c>
      <c r="AK4429" s="80">
        <f t="shared" si="683"/>
        <v>0</v>
      </c>
      <c r="AM4429" s="85"/>
    </row>
    <row r="4430" spans="1:39" hidden="1" x14ac:dyDescent="0.3">
      <c r="A4430" s="89" t="s">
        <v>3395</v>
      </c>
      <c r="B4430" s="86" t="s">
        <v>35</v>
      </c>
      <c r="C4430" s="86" t="s">
        <v>65</v>
      </c>
      <c r="D4430" s="86" t="s">
        <v>125</v>
      </c>
      <c r="E4430" s="86" t="s">
        <v>1286</v>
      </c>
      <c r="F4430" s="86" t="s">
        <v>1286</v>
      </c>
      <c r="G4430" s="86" t="s">
        <v>1286</v>
      </c>
      <c r="H4430" s="143">
        <v>360</v>
      </c>
      <c r="I4430" s="86" t="s">
        <v>1060</v>
      </c>
      <c r="J4430" s="1" t="s">
        <v>3325</v>
      </c>
      <c r="K4430" s="1" t="s">
        <v>3287</v>
      </c>
      <c r="L4430" s="1" t="s">
        <v>35</v>
      </c>
      <c r="M4430" s="86" t="s">
        <v>2146</v>
      </c>
      <c r="N4430" s="86"/>
      <c r="O4430" s="47" t="s">
        <v>410</v>
      </c>
      <c r="P4430" s="47" t="s">
        <v>46</v>
      </c>
      <c r="Q4430" s="14">
        <v>0.01</v>
      </c>
      <c r="R4430" s="143" t="s">
        <v>2147</v>
      </c>
      <c r="S4430" s="47"/>
      <c r="T4430" s="6">
        <v>184.4</v>
      </c>
      <c r="U4430" s="6"/>
      <c r="V4430" s="6">
        <v>0</v>
      </c>
      <c r="W4430" s="6">
        <f t="shared" si="677"/>
        <v>184.4</v>
      </c>
      <c r="X4430" s="6">
        <f t="shared" si="678"/>
        <v>0</v>
      </c>
      <c r="Y4430" s="13">
        <f t="shared" si="681"/>
        <v>0</v>
      </c>
      <c r="Z4430" s="14">
        <v>0</v>
      </c>
      <c r="AA4430" s="6">
        <v>0</v>
      </c>
      <c r="AB4430" s="4">
        <f t="shared" si="682"/>
        <v>0</v>
      </c>
      <c r="AC4430" s="4">
        <f t="shared" si="684"/>
        <v>0</v>
      </c>
      <c r="AD4430" s="6">
        <f t="shared" si="679"/>
        <v>0</v>
      </c>
      <c r="AE4430" s="2">
        <f>VLOOKUP(I4430,[1]媒体政策预估表!A:N,MATCH(O4430,[1]媒体政策预估表!$A$2:$M$2,0),0)</f>
        <v>7.0000000000000007E-2</v>
      </c>
      <c r="AF4430" s="6">
        <f t="shared" si="685"/>
        <v>0</v>
      </c>
      <c r="AG4430" s="14">
        <v>0</v>
      </c>
      <c r="AH4430" s="65">
        <f t="shared" si="680"/>
        <v>0</v>
      </c>
      <c r="AI4430" s="47"/>
      <c r="AJ4430" s="126" t="e">
        <v>#N/A</v>
      </c>
      <c r="AK4430" s="80">
        <f t="shared" si="683"/>
        <v>0</v>
      </c>
      <c r="AM4430" s="85"/>
    </row>
    <row r="4431" spans="1:39" hidden="1" x14ac:dyDescent="0.3">
      <c r="A4431" s="89" t="s">
        <v>3394</v>
      </c>
      <c r="B4431" s="86" t="s">
        <v>35</v>
      </c>
      <c r="C4431" s="86" t="s">
        <v>65</v>
      </c>
      <c r="D4431" s="86" t="s">
        <v>125</v>
      </c>
      <c r="E4431" s="86" t="s">
        <v>1903</v>
      </c>
      <c r="F4431" s="86" t="s">
        <v>1904</v>
      </c>
      <c r="G4431" s="86" t="s">
        <v>1903</v>
      </c>
      <c r="H4431" s="143">
        <v>360</v>
      </c>
      <c r="I4431" s="86" t="s">
        <v>1060</v>
      </c>
      <c r="J4431" s="1" t="s">
        <v>3325</v>
      </c>
      <c r="K4431" s="1" t="s">
        <v>3287</v>
      </c>
      <c r="L4431" s="1" t="s">
        <v>35</v>
      </c>
      <c r="M4431" s="86" t="s">
        <v>2148</v>
      </c>
      <c r="N4431" s="86"/>
      <c r="O4431" s="47" t="s">
        <v>45</v>
      </c>
      <c r="P4431" s="47" t="s">
        <v>41</v>
      </c>
      <c r="Q4431" s="14">
        <v>0</v>
      </c>
      <c r="R4431" s="143" t="s">
        <v>1906</v>
      </c>
      <c r="S4431" s="47"/>
      <c r="T4431" s="6">
        <v>-1028420.64298</v>
      </c>
      <c r="U4431" s="6"/>
      <c r="V4431" s="6">
        <v>0</v>
      </c>
      <c r="W4431" s="6">
        <f t="shared" si="677"/>
        <v>-1028420.64298</v>
      </c>
      <c r="X4431" s="6">
        <f t="shared" si="678"/>
        <v>0</v>
      </c>
      <c r="Y4431" s="13">
        <f t="shared" si="681"/>
        <v>0</v>
      </c>
      <c r="Z4431" s="14">
        <v>0</v>
      </c>
      <c r="AA4431" s="6">
        <v>0</v>
      </c>
      <c r="AB4431" s="4">
        <f t="shared" si="682"/>
        <v>0</v>
      </c>
      <c r="AC4431" s="4">
        <f t="shared" si="684"/>
        <v>0</v>
      </c>
      <c r="AD4431" s="6">
        <f t="shared" si="679"/>
        <v>0</v>
      </c>
      <c r="AE4431" s="2">
        <f>VLOOKUP(I4431,[1]媒体政策预估表!A:N,MATCH(O4431,[1]媒体政策预估表!$A$2:$M$2,0),0)</f>
        <v>0.12</v>
      </c>
      <c r="AF4431" s="6">
        <f t="shared" si="685"/>
        <v>0</v>
      </c>
      <c r="AG4431" s="14">
        <v>0</v>
      </c>
      <c r="AH4431" s="65">
        <f t="shared" si="680"/>
        <v>0</v>
      </c>
      <c r="AI4431" s="47"/>
      <c r="AJ4431" s="126" t="e">
        <v>#N/A</v>
      </c>
      <c r="AK4431" s="80">
        <f t="shared" si="683"/>
        <v>0</v>
      </c>
      <c r="AM4431" s="85"/>
    </row>
    <row r="4432" spans="1:39" hidden="1" x14ac:dyDescent="0.3">
      <c r="A4432" s="89" t="s">
        <v>3394</v>
      </c>
      <c r="B4432" s="86" t="s">
        <v>35</v>
      </c>
      <c r="C4432" s="86" t="s">
        <v>65</v>
      </c>
      <c r="D4432" s="86" t="s">
        <v>125</v>
      </c>
      <c r="E4432" s="86" t="s">
        <v>1903</v>
      </c>
      <c r="F4432" s="86" t="s">
        <v>1904</v>
      </c>
      <c r="G4432" s="86" t="s">
        <v>1903</v>
      </c>
      <c r="H4432" s="143">
        <v>360</v>
      </c>
      <c r="I4432" s="86" t="s">
        <v>1060</v>
      </c>
      <c r="J4432" s="1" t="s">
        <v>3325</v>
      </c>
      <c r="K4432" s="1" t="s">
        <v>3287</v>
      </c>
      <c r="L4432" s="1" t="s">
        <v>35</v>
      </c>
      <c r="M4432" s="86" t="s">
        <v>2148</v>
      </c>
      <c r="N4432" s="86"/>
      <c r="O4432" s="47" t="s">
        <v>941</v>
      </c>
      <c r="P4432" s="47" t="s">
        <v>41</v>
      </c>
      <c r="Q4432" s="14">
        <v>0</v>
      </c>
      <c r="R4432" s="143" t="s">
        <v>1906</v>
      </c>
      <c r="S4432" s="47"/>
      <c r="T4432" s="6">
        <v>-1595747.2432499998</v>
      </c>
      <c r="U4432" s="6"/>
      <c r="V4432" s="6">
        <v>0</v>
      </c>
      <c r="W4432" s="6">
        <f t="shared" si="677"/>
        <v>-1595747.2432499998</v>
      </c>
      <c r="X4432" s="6">
        <f t="shared" si="678"/>
        <v>0</v>
      </c>
      <c r="Y4432" s="13">
        <f t="shared" si="681"/>
        <v>0</v>
      </c>
      <c r="Z4432" s="14">
        <v>0</v>
      </c>
      <c r="AA4432" s="6">
        <v>0</v>
      </c>
      <c r="AB4432" s="4">
        <f t="shared" si="682"/>
        <v>0</v>
      </c>
      <c r="AC4432" s="4">
        <f t="shared" si="684"/>
        <v>0</v>
      </c>
      <c r="AD4432" s="6">
        <f t="shared" si="679"/>
        <v>0</v>
      </c>
      <c r="AE4432" s="2">
        <f>VLOOKUP(I4432,[1]媒体政策预估表!A:N,MATCH(O4432,[1]媒体政策预估表!$A$2:$M$2,0),0)</f>
        <v>0.15</v>
      </c>
      <c r="AF4432" s="6">
        <f t="shared" si="685"/>
        <v>0</v>
      </c>
      <c r="AG4432" s="14">
        <v>0</v>
      </c>
      <c r="AH4432" s="65">
        <f t="shared" si="680"/>
        <v>0</v>
      </c>
      <c r="AI4432" s="47"/>
      <c r="AJ4432" s="126" t="e">
        <v>#N/A</v>
      </c>
      <c r="AK4432" s="80">
        <f t="shared" si="683"/>
        <v>0</v>
      </c>
      <c r="AM4432" s="85"/>
    </row>
    <row r="4433" spans="1:39" hidden="1" x14ac:dyDescent="0.3">
      <c r="A4433" s="89" t="s">
        <v>3394</v>
      </c>
      <c r="B4433" s="86" t="s">
        <v>35</v>
      </c>
      <c r="C4433" s="86" t="s">
        <v>65</v>
      </c>
      <c r="D4433" s="86" t="s">
        <v>125</v>
      </c>
      <c r="E4433" s="86" t="s">
        <v>1903</v>
      </c>
      <c r="F4433" s="86" t="s">
        <v>1904</v>
      </c>
      <c r="G4433" s="86" t="s">
        <v>1903</v>
      </c>
      <c r="H4433" s="143">
        <v>360</v>
      </c>
      <c r="I4433" s="86" t="s">
        <v>1060</v>
      </c>
      <c r="J4433" s="1" t="s">
        <v>3325</v>
      </c>
      <c r="K4433" s="1" t="s">
        <v>3287</v>
      </c>
      <c r="L4433" s="1" t="s">
        <v>35</v>
      </c>
      <c r="M4433" s="86" t="s">
        <v>2148</v>
      </c>
      <c r="N4433" s="86"/>
      <c r="O4433" s="47" t="s">
        <v>2054</v>
      </c>
      <c r="P4433" s="47" t="s">
        <v>41</v>
      </c>
      <c r="Q4433" s="14">
        <v>0</v>
      </c>
      <c r="R4433" s="143" t="s">
        <v>1906</v>
      </c>
      <c r="S4433" s="47"/>
      <c r="T4433" s="6">
        <v>-144447.58701999995</v>
      </c>
      <c r="U4433" s="6"/>
      <c r="V4433" s="6">
        <v>0</v>
      </c>
      <c r="W4433" s="6">
        <f t="shared" si="677"/>
        <v>-144447.58701999995</v>
      </c>
      <c r="X4433" s="6">
        <f t="shared" si="678"/>
        <v>0</v>
      </c>
      <c r="Y4433" s="13">
        <f t="shared" si="681"/>
        <v>0</v>
      </c>
      <c r="Z4433" s="14">
        <v>0</v>
      </c>
      <c r="AA4433" s="6">
        <v>0</v>
      </c>
      <c r="AB4433" s="4">
        <f t="shared" si="682"/>
        <v>0</v>
      </c>
      <c r="AC4433" s="4">
        <f t="shared" si="684"/>
        <v>0</v>
      </c>
      <c r="AD4433" s="6">
        <f t="shared" si="679"/>
        <v>0</v>
      </c>
      <c r="AE4433" s="2">
        <f>VLOOKUP(I4433,[1]媒体政策预估表!A:N,MATCH(O4433,[1]媒体政策预估表!$A$2:$M$2,0),0)</f>
        <v>0.12</v>
      </c>
      <c r="AF4433" s="6">
        <f t="shared" si="685"/>
        <v>0</v>
      </c>
      <c r="AG4433" s="14">
        <v>0</v>
      </c>
      <c r="AH4433" s="65">
        <f t="shared" si="680"/>
        <v>0</v>
      </c>
      <c r="AI4433" s="47"/>
      <c r="AJ4433" s="126" t="e">
        <v>#N/A</v>
      </c>
      <c r="AK4433" s="80">
        <f t="shared" si="683"/>
        <v>0</v>
      </c>
      <c r="AM4433" s="85"/>
    </row>
    <row r="4434" spans="1:39" hidden="1" x14ac:dyDescent="0.3">
      <c r="A4434" s="89" t="s">
        <v>3394</v>
      </c>
      <c r="B4434" s="86" t="s">
        <v>35</v>
      </c>
      <c r="C4434" s="86" t="s">
        <v>47</v>
      </c>
      <c r="D4434" s="86" t="s">
        <v>878</v>
      </c>
      <c r="E4434" s="86" t="s">
        <v>155</v>
      </c>
      <c r="F4434" s="86" t="s">
        <v>155</v>
      </c>
      <c r="G4434" s="86" t="s">
        <v>155</v>
      </c>
      <c r="H4434" s="143">
        <v>360</v>
      </c>
      <c r="I4434" s="86" t="s">
        <v>1060</v>
      </c>
      <c r="J4434" s="1" t="s">
        <v>3325</v>
      </c>
      <c r="K4434" s="1" t="s">
        <v>3287</v>
      </c>
      <c r="L4434" s="1" t="s">
        <v>35</v>
      </c>
      <c r="M4434" s="86" t="s">
        <v>155</v>
      </c>
      <c r="N4434" s="86"/>
      <c r="O4434" s="47" t="s">
        <v>410</v>
      </c>
      <c r="P4434" s="47" t="s">
        <v>41</v>
      </c>
      <c r="Q4434" s="14">
        <v>0</v>
      </c>
      <c r="R4434" s="143" t="s">
        <v>2149</v>
      </c>
      <c r="S4434" s="47"/>
      <c r="T4434" s="6">
        <v>34.220000000000255</v>
      </c>
      <c r="U4434" s="6"/>
      <c r="V4434" s="6">
        <v>0</v>
      </c>
      <c r="W4434" s="6">
        <f t="shared" si="677"/>
        <v>34.220000000000255</v>
      </c>
      <c r="X4434" s="6">
        <f t="shared" si="678"/>
        <v>0</v>
      </c>
      <c r="Y4434" s="13">
        <f t="shared" si="681"/>
        <v>0</v>
      </c>
      <c r="Z4434" s="14">
        <v>0</v>
      </c>
      <c r="AA4434" s="6">
        <v>0</v>
      </c>
      <c r="AB4434" s="4">
        <f t="shared" si="682"/>
        <v>0</v>
      </c>
      <c r="AC4434" s="4">
        <f t="shared" si="684"/>
        <v>0</v>
      </c>
      <c r="AD4434" s="6">
        <f t="shared" si="679"/>
        <v>0</v>
      </c>
      <c r="AE4434" s="2">
        <f>VLOOKUP(I4434,[1]媒体政策预估表!A:N,MATCH(O4434,[1]媒体政策预估表!$A$2:$M$2,0),0)</f>
        <v>7.0000000000000007E-2</v>
      </c>
      <c r="AF4434" s="6">
        <f t="shared" si="685"/>
        <v>0</v>
      </c>
      <c r="AG4434" s="14">
        <v>0</v>
      </c>
      <c r="AH4434" s="65">
        <f t="shared" si="680"/>
        <v>0</v>
      </c>
      <c r="AI4434" s="47"/>
      <c r="AJ4434" s="126" t="e">
        <v>#N/A</v>
      </c>
      <c r="AK4434" s="80">
        <f t="shared" si="683"/>
        <v>0</v>
      </c>
      <c r="AM4434" s="85"/>
    </row>
    <row r="4435" spans="1:39" hidden="1" x14ac:dyDescent="0.3">
      <c r="A4435" s="89" t="s">
        <v>3394</v>
      </c>
      <c r="B4435" s="86" t="s">
        <v>35</v>
      </c>
      <c r="C4435" s="86" t="s">
        <v>47</v>
      </c>
      <c r="D4435" s="86" t="s">
        <v>878</v>
      </c>
      <c r="E4435" s="86" t="s">
        <v>2150</v>
      </c>
      <c r="F4435" s="86" t="s">
        <v>2150</v>
      </c>
      <c r="G4435" s="86" t="s">
        <v>2150</v>
      </c>
      <c r="H4435" s="143">
        <v>360</v>
      </c>
      <c r="I4435" s="86" t="s">
        <v>1060</v>
      </c>
      <c r="J4435" s="1" t="s">
        <v>3325</v>
      </c>
      <c r="K4435" s="1" t="s">
        <v>3287</v>
      </c>
      <c r="L4435" s="1" t="s">
        <v>35</v>
      </c>
      <c r="M4435" s="86" t="s">
        <v>2150</v>
      </c>
      <c r="N4435" s="86"/>
      <c r="O4435" s="47" t="s">
        <v>45</v>
      </c>
      <c r="P4435" s="47" t="s">
        <v>46</v>
      </c>
      <c r="Q4435" s="14">
        <v>0.06</v>
      </c>
      <c r="R4435" s="143" t="s">
        <v>2151</v>
      </c>
      <c r="S4435" s="47"/>
      <c r="T4435" s="6">
        <v>0.24000000000523899</v>
      </c>
      <c r="U4435" s="6"/>
      <c r="V4435" s="6">
        <v>0</v>
      </c>
      <c r="W4435" s="6">
        <f t="shared" si="677"/>
        <v>0.24000000000523899</v>
      </c>
      <c r="X4435" s="6">
        <f t="shared" si="678"/>
        <v>0</v>
      </c>
      <c r="Y4435" s="13">
        <f t="shared" si="681"/>
        <v>0</v>
      </c>
      <c r="Z4435" s="14">
        <v>0</v>
      </c>
      <c r="AA4435" s="6">
        <v>0</v>
      </c>
      <c r="AB4435" s="4">
        <f t="shared" si="682"/>
        <v>0</v>
      </c>
      <c r="AC4435" s="4">
        <f t="shared" si="684"/>
        <v>0</v>
      </c>
      <c r="AD4435" s="6">
        <f t="shared" si="679"/>
        <v>0</v>
      </c>
      <c r="AE4435" s="2">
        <f>VLOOKUP(I4435,[1]媒体政策预估表!A:N,MATCH(O4435,[1]媒体政策预估表!$A$2:$M$2,0),0)</f>
        <v>0.12</v>
      </c>
      <c r="AF4435" s="6">
        <f t="shared" si="685"/>
        <v>0</v>
      </c>
      <c r="AG4435" s="14">
        <v>0</v>
      </c>
      <c r="AH4435" s="65">
        <f t="shared" si="680"/>
        <v>0</v>
      </c>
      <c r="AI4435" s="47"/>
      <c r="AJ4435" s="126" t="e">
        <v>#N/A</v>
      </c>
      <c r="AK4435" s="80">
        <f t="shared" si="683"/>
        <v>0</v>
      </c>
      <c r="AM4435" s="85"/>
    </row>
    <row r="4436" spans="1:39" hidden="1" x14ac:dyDescent="0.3">
      <c r="A4436" s="89" t="s">
        <v>3394</v>
      </c>
      <c r="B4436" s="86" t="s">
        <v>35</v>
      </c>
      <c r="C4436" s="86" t="s">
        <v>47</v>
      </c>
      <c r="D4436" s="86" t="s">
        <v>878</v>
      </c>
      <c r="E4436" s="86" t="s">
        <v>2035</v>
      </c>
      <c r="F4436" s="86" t="s">
        <v>2035</v>
      </c>
      <c r="G4436" s="86" t="s">
        <v>2035</v>
      </c>
      <c r="H4436" s="143">
        <v>360</v>
      </c>
      <c r="I4436" s="86" t="s">
        <v>1060</v>
      </c>
      <c r="J4436" s="1" t="s">
        <v>3325</v>
      </c>
      <c r="K4436" s="1" t="s">
        <v>3287</v>
      </c>
      <c r="L4436" s="1" t="s">
        <v>35</v>
      </c>
      <c r="M4436" s="86" t="s">
        <v>2152</v>
      </c>
      <c r="N4436" s="86"/>
      <c r="O4436" s="47" t="s">
        <v>410</v>
      </c>
      <c r="P4436" s="47" t="s">
        <v>46</v>
      </c>
      <c r="Q4436" s="14">
        <v>0.03</v>
      </c>
      <c r="R4436" s="143" t="s">
        <v>2153</v>
      </c>
      <c r="S4436" s="47"/>
      <c r="T4436" s="6">
        <v>0.59999999999945397</v>
      </c>
      <c r="U4436" s="6"/>
      <c r="V4436" s="6">
        <v>0</v>
      </c>
      <c r="W4436" s="6">
        <f t="shared" si="677"/>
        <v>0.59999999999945397</v>
      </c>
      <c r="X4436" s="6">
        <f t="shared" si="678"/>
        <v>0</v>
      </c>
      <c r="Y4436" s="13">
        <f t="shared" si="681"/>
        <v>0</v>
      </c>
      <c r="Z4436" s="14">
        <v>0</v>
      </c>
      <c r="AA4436" s="6">
        <v>0</v>
      </c>
      <c r="AB4436" s="4">
        <f t="shared" si="682"/>
        <v>0</v>
      </c>
      <c r="AC4436" s="4">
        <f t="shared" si="684"/>
        <v>0</v>
      </c>
      <c r="AD4436" s="6">
        <f t="shared" si="679"/>
        <v>0</v>
      </c>
      <c r="AE4436" s="2">
        <f>VLOOKUP(I4436,[1]媒体政策预估表!A:N,MATCH(O4436,[1]媒体政策预估表!$A$2:$M$2,0),0)</f>
        <v>7.0000000000000007E-2</v>
      </c>
      <c r="AF4436" s="6">
        <f t="shared" si="685"/>
        <v>0</v>
      </c>
      <c r="AG4436" s="14">
        <v>0</v>
      </c>
      <c r="AH4436" s="65">
        <f t="shared" si="680"/>
        <v>0</v>
      </c>
      <c r="AI4436" s="47"/>
      <c r="AJ4436" s="126" t="e">
        <v>#N/A</v>
      </c>
      <c r="AK4436" s="80">
        <f t="shared" si="683"/>
        <v>0</v>
      </c>
      <c r="AM4436" s="85"/>
    </row>
    <row r="4437" spans="1:39" hidden="1" x14ac:dyDescent="0.3">
      <c r="A4437" s="89" t="s">
        <v>3394</v>
      </c>
      <c r="B4437" s="86" t="s">
        <v>35</v>
      </c>
      <c r="C4437" s="86" t="s">
        <v>47</v>
      </c>
      <c r="D4437" s="86" t="s">
        <v>878</v>
      </c>
      <c r="E4437" s="86" t="s">
        <v>2154</v>
      </c>
      <c r="F4437" s="86" t="s">
        <v>2154</v>
      </c>
      <c r="G4437" s="86" t="s">
        <v>2154</v>
      </c>
      <c r="H4437" s="143">
        <v>360</v>
      </c>
      <c r="I4437" s="86" t="s">
        <v>1060</v>
      </c>
      <c r="J4437" s="1" t="s">
        <v>3325</v>
      </c>
      <c r="K4437" s="1" t="s">
        <v>3287</v>
      </c>
      <c r="L4437" s="1" t="s">
        <v>35</v>
      </c>
      <c r="M4437" s="86" t="s">
        <v>2155</v>
      </c>
      <c r="N4437" s="86"/>
      <c r="O4437" s="47" t="s">
        <v>45</v>
      </c>
      <c r="P4437" s="47" t="s">
        <v>46</v>
      </c>
      <c r="Q4437" s="14">
        <v>0.08</v>
      </c>
      <c r="R4437" s="143" t="s">
        <v>2156</v>
      </c>
      <c r="S4437" s="47"/>
      <c r="T4437" s="6">
        <v>5.3500000000301497</v>
      </c>
      <c r="U4437" s="6"/>
      <c r="V4437" s="6">
        <v>0</v>
      </c>
      <c r="W4437" s="6">
        <f t="shared" si="677"/>
        <v>5.3500000000301497</v>
      </c>
      <c r="X4437" s="6">
        <f t="shared" si="678"/>
        <v>0</v>
      </c>
      <c r="Y4437" s="13">
        <f t="shared" si="681"/>
        <v>0</v>
      </c>
      <c r="Z4437" s="14">
        <v>0</v>
      </c>
      <c r="AA4437" s="6">
        <v>0</v>
      </c>
      <c r="AB4437" s="4"/>
      <c r="AC4437" s="4">
        <f t="shared" si="684"/>
        <v>0</v>
      </c>
      <c r="AD4437" s="6">
        <f t="shared" si="679"/>
        <v>0</v>
      </c>
      <c r="AE4437" s="2">
        <f>VLOOKUP(I4437,[1]媒体政策预估表!A:N,MATCH(O4437,[1]媒体政策预估表!$A$2:$M$2,0),0)</f>
        <v>0.12</v>
      </c>
      <c r="AF4437" s="6">
        <f t="shared" si="685"/>
        <v>0</v>
      </c>
      <c r="AG4437" s="14">
        <v>0</v>
      </c>
      <c r="AH4437" s="65">
        <f t="shared" si="680"/>
        <v>0</v>
      </c>
      <c r="AI4437" s="47"/>
      <c r="AJ4437" s="126">
        <v>62</v>
      </c>
      <c r="AK4437" s="80">
        <f t="shared" si="683"/>
        <v>0</v>
      </c>
      <c r="AM4437" s="85"/>
    </row>
    <row r="4438" spans="1:39" hidden="1" x14ac:dyDescent="0.3">
      <c r="A4438" s="89" t="s">
        <v>3394</v>
      </c>
      <c r="B4438" s="86" t="s">
        <v>35</v>
      </c>
      <c r="C4438" s="86" t="s">
        <v>47</v>
      </c>
      <c r="D4438" s="86" t="s">
        <v>1317</v>
      </c>
      <c r="E4438" s="86" t="s">
        <v>2157</v>
      </c>
      <c r="F4438" s="86" t="s">
        <v>2157</v>
      </c>
      <c r="G4438" s="86" t="s">
        <v>2157</v>
      </c>
      <c r="H4438" s="143">
        <v>360</v>
      </c>
      <c r="I4438" s="86" t="s">
        <v>1060</v>
      </c>
      <c r="J4438" s="1" t="s">
        <v>3325</v>
      </c>
      <c r="K4438" s="1" t="s">
        <v>3287</v>
      </c>
      <c r="L4438" s="1" t="s">
        <v>35</v>
      </c>
      <c r="M4438" s="86" t="s">
        <v>2157</v>
      </c>
      <c r="N4438" s="86"/>
      <c r="O4438" s="47" t="s">
        <v>410</v>
      </c>
      <c r="P4438" s="47" t="s">
        <v>46</v>
      </c>
      <c r="Q4438" s="14">
        <v>0.03</v>
      </c>
      <c r="R4438" s="143" t="s">
        <v>2158</v>
      </c>
      <c r="S4438" s="47"/>
      <c r="T4438" s="6">
        <v>5541.4</v>
      </c>
      <c r="U4438" s="6"/>
      <c r="V4438" s="6">
        <v>0</v>
      </c>
      <c r="W4438" s="6">
        <f t="shared" si="677"/>
        <v>5541.4</v>
      </c>
      <c r="X4438" s="6">
        <f t="shared" si="678"/>
        <v>0</v>
      </c>
      <c r="Y4438" s="13">
        <f t="shared" si="681"/>
        <v>0</v>
      </c>
      <c r="Z4438" s="14">
        <v>0</v>
      </c>
      <c r="AA4438" s="6">
        <v>0</v>
      </c>
      <c r="AB4438" s="4">
        <f t="shared" si="682"/>
        <v>0</v>
      </c>
      <c r="AC4438" s="4">
        <f t="shared" si="684"/>
        <v>0</v>
      </c>
      <c r="AD4438" s="6">
        <f t="shared" si="679"/>
        <v>0</v>
      </c>
      <c r="AE4438" s="2">
        <f>VLOOKUP(I4438,[1]媒体政策预估表!A:N,MATCH(O4438,[1]媒体政策预估表!$A$2:$M$2,0),0)</f>
        <v>7.0000000000000007E-2</v>
      </c>
      <c r="AF4438" s="6">
        <f t="shared" si="685"/>
        <v>0</v>
      </c>
      <c r="AG4438" s="14">
        <v>0</v>
      </c>
      <c r="AH4438" s="65">
        <f t="shared" si="680"/>
        <v>0</v>
      </c>
      <c r="AI4438" s="47"/>
      <c r="AJ4438" s="126" t="e">
        <v>#N/A</v>
      </c>
      <c r="AK4438" s="80">
        <f t="shared" si="683"/>
        <v>0</v>
      </c>
      <c r="AM4438" s="85"/>
    </row>
    <row r="4439" spans="1:39" hidden="1" x14ac:dyDescent="0.3">
      <c r="A4439" s="89" t="s">
        <v>3395</v>
      </c>
      <c r="B4439" s="86" t="s">
        <v>35</v>
      </c>
      <c r="C4439" s="86" t="s">
        <v>47</v>
      </c>
      <c r="D4439" s="86" t="s">
        <v>1317</v>
      </c>
      <c r="E4439" s="86" t="s">
        <v>2159</v>
      </c>
      <c r="F4439" s="86" t="s">
        <v>2159</v>
      </c>
      <c r="G4439" s="86" t="s">
        <v>2159</v>
      </c>
      <c r="H4439" s="143">
        <v>360</v>
      </c>
      <c r="I4439" s="86" t="s">
        <v>1060</v>
      </c>
      <c r="J4439" s="1" t="s">
        <v>3325</v>
      </c>
      <c r="K4439" s="1" t="s">
        <v>3287</v>
      </c>
      <c r="L4439" s="1" t="s">
        <v>35</v>
      </c>
      <c r="M4439" s="86" t="s">
        <v>2160</v>
      </c>
      <c r="N4439" s="86"/>
      <c r="O4439" s="47" t="s">
        <v>45</v>
      </c>
      <c r="P4439" s="47" t="s">
        <v>46</v>
      </c>
      <c r="Q4439" s="14">
        <v>0.08</v>
      </c>
      <c r="R4439" s="143" t="s">
        <v>2161</v>
      </c>
      <c r="S4439" s="47"/>
      <c r="T4439" s="6">
        <v>589.11</v>
      </c>
      <c r="U4439" s="6"/>
      <c r="V4439" s="6">
        <v>0</v>
      </c>
      <c r="W4439" s="6">
        <f t="shared" si="677"/>
        <v>589.11</v>
      </c>
      <c r="X4439" s="6">
        <f t="shared" si="678"/>
        <v>0</v>
      </c>
      <c r="Y4439" s="13">
        <f t="shared" si="681"/>
        <v>0</v>
      </c>
      <c r="Z4439" s="14">
        <v>0</v>
      </c>
      <c r="AA4439" s="6">
        <v>0</v>
      </c>
      <c r="AB4439" s="4">
        <f t="shared" si="682"/>
        <v>0</v>
      </c>
      <c r="AC4439" s="4">
        <f t="shared" si="684"/>
        <v>0</v>
      </c>
      <c r="AD4439" s="6">
        <f t="shared" si="679"/>
        <v>0</v>
      </c>
      <c r="AE4439" s="2">
        <f>VLOOKUP(I4439,[1]媒体政策预估表!A:N,MATCH(O4439,[1]媒体政策预估表!$A$2:$M$2,0),0)</f>
        <v>0.12</v>
      </c>
      <c r="AF4439" s="6">
        <f t="shared" si="685"/>
        <v>0</v>
      </c>
      <c r="AG4439" s="14">
        <v>0</v>
      </c>
      <c r="AH4439" s="65">
        <f t="shared" si="680"/>
        <v>0</v>
      </c>
      <c r="AI4439" s="47"/>
      <c r="AJ4439" s="126" t="e">
        <v>#N/A</v>
      </c>
      <c r="AK4439" s="80">
        <f t="shared" si="683"/>
        <v>0</v>
      </c>
      <c r="AM4439" s="85"/>
    </row>
    <row r="4440" spans="1:39" hidden="1" x14ac:dyDescent="0.3">
      <c r="A4440" s="89" t="s">
        <v>3394</v>
      </c>
      <c r="B4440" s="86" t="s">
        <v>35</v>
      </c>
      <c r="C4440" s="86" t="s">
        <v>47</v>
      </c>
      <c r="D4440" s="86" t="s">
        <v>1317</v>
      </c>
      <c r="E4440" s="86" t="s">
        <v>2162</v>
      </c>
      <c r="F4440" s="86" t="s">
        <v>2162</v>
      </c>
      <c r="G4440" s="86" t="s">
        <v>2162</v>
      </c>
      <c r="H4440" s="143">
        <v>360</v>
      </c>
      <c r="I4440" s="86" t="s">
        <v>1060</v>
      </c>
      <c r="J4440" s="1" t="s">
        <v>3325</v>
      </c>
      <c r="K4440" s="1" t="s">
        <v>3287</v>
      </c>
      <c r="L4440" s="1" t="s">
        <v>35</v>
      </c>
      <c r="M4440" s="86" t="s">
        <v>2162</v>
      </c>
      <c r="N4440" s="86"/>
      <c r="O4440" s="47" t="s">
        <v>410</v>
      </c>
      <c r="P4440" s="47" t="s">
        <v>41</v>
      </c>
      <c r="Q4440" s="14">
        <v>0</v>
      </c>
      <c r="R4440" s="143" t="s">
        <v>2163</v>
      </c>
      <c r="S4440" s="47"/>
      <c r="T4440" s="6">
        <v>593.24</v>
      </c>
      <c r="U4440" s="6"/>
      <c r="V4440" s="6">
        <v>0</v>
      </c>
      <c r="W4440" s="6">
        <f t="shared" si="677"/>
        <v>593.24</v>
      </c>
      <c r="X4440" s="6">
        <f t="shared" si="678"/>
        <v>0</v>
      </c>
      <c r="Y4440" s="13">
        <f t="shared" si="681"/>
        <v>0</v>
      </c>
      <c r="Z4440" s="14">
        <v>0</v>
      </c>
      <c r="AA4440" s="6">
        <v>0</v>
      </c>
      <c r="AB4440" s="4">
        <f t="shared" si="682"/>
        <v>0</v>
      </c>
      <c r="AC4440" s="4">
        <f t="shared" si="684"/>
        <v>0</v>
      </c>
      <c r="AD4440" s="6">
        <f t="shared" si="679"/>
        <v>0</v>
      </c>
      <c r="AE4440" s="2">
        <f>VLOOKUP(I4440,[1]媒体政策预估表!A:N,MATCH(O4440,[1]媒体政策预估表!$A$2:$M$2,0),0)</f>
        <v>7.0000000000000007E-2</v>
      </c>
      <c r="AF4440" s="6">
        <f t="shared" si="685"/>
        <v>0</v>
      </c>
      <c r="AG4440" s="14">
        <v>0</v>
      </c>
      <c r="AH4440" s="65">
        <f t="shared" si="680"/>
        <v>0</v>
      </c>
      <c r="AI4440" s="47"/>
      <c r="AJ4440" s="126" t="e">
        <v>#N/A</v>
      </c>
      <c r="AK4440" s="80">
        <f t="shared" si="683"/>
        <v>0</v>
      </c>
      <c r="AM4440" s="85"/>
    </row>
    <row r="4441" spans="1:39" hidden="1" x14ac:dyDescent="0.3">
      <c r="A4441" s="89" t="s">
        <v>3394</v>
      </c>
      <c r="B4441" s="86" t="s">
        <v>35</v>
      </c>
      <c r="C4441" s="86" t="s">
        <v>47</v>
      </c>
      <c r="D4441" s="86" t="s">
        <v>1317</v>
      </c>
      <c r="E4441" s="86" t="s">
        <v>2164</v>
      </c>
      <c r="F4441" s="86" t="s">
        <v>2164</v>
      </c>
      <c r="G4441" s="86" t="s">
        <v>2164</v>
      </c>
      <c r="H4441" s="143">
        <v>360</v>
      </c>
      <c r="I4441" s="86" t="s">
        <v>1060</v>
      </c>
      <c r="J4441" s="1" t="s">
        <v>3325</v>
      </c>
      <c r="K4441" s="1" t="s">
        <v>3287</v>
      </c>
      <c r="L4441" s="1" t="s">
        <v>35</v>
      </c>
      <c r="M4441" s="86" t="s">
        <v>2164</v>
      </c>
      <c r="N4441" s="86"/>
      <c r="O4441" s="47" t="s">
        <v>45</v>
      </c>
      <c r="P4441" s="47" t="s">
        <v>75</v>
      </c>
      <c r="Q4441" s="14">
        <v>0.09</v>
      </c>
      <c r="R4441" s="143" t="s">
        <v>2165</v>
      </c>
      <c r="S4441" s="47"/>
      <c r="T4441" s="6">
        <v>10.049999999999301</v>
      </c>
      <c r="U4441" s="6"/>
      <c r="V4441" s="6">
        <v>0</v>
      </c>
      <c r="W4441" s="6">
        <f t="shared" si="677"/>
        <v>10.049999999999301</v>
      </c>
      <c r="X4441" s="6">
        <f t="shared" si="678"/>
        <v>0</v>
      </c>
      <c r="Y4441" s="13">
        <f t="shared" si="681"/>
        <v>0</v>
      </c>
      <c r="Z4441" s="14">
        <v>0</v>
      </c>
      <c r="AA4441" s="6">
        <v>0</v>
      </c>
      <c r="AB4441" s="4"/>
      <c r="AC4441" s="4">
        <f t="shared" si="684"/>
        <v>0</v>
      </c>
      <c r="AD4441" s="6">
        <f t="shared" si="679"/>
        <v>0</v>
      </c>
      <c r="AE4441" s="2">
        <f>VLOOKUP(I4441,[1]媒体政策预估表!A:N,MATCH(O4441,[1]媒体政策预估表!$A$2:$M$2,0),0)</f>
        <v>0.12</v>
      </c>
      <c r="AF4441" s="6">
        <f t="shared" si="685"/>
        <v>0</v>
      </c>
      <c r="AG4441" s="14">
        <v>0</v>
      </c>
      <c r="AH4441" s="65">
        <f t="shared" si="680"/>
        <v>0</v>
      </c>
      <c r="AI4441" s="47"/>
      <c r="AJ4441" s="126">
        <v>64</v>
      </c>
      <c r="AK4441" s="80">
        <f t="shared" si="683"/>
        <v>0</v>
      </c>
      <c r="AM4441" s="85"/>
    </row>
    <row r="4442" spans="1:39" hidden="1" x14ac:dyDescent="0.3">
      <c r="A4442" s="89" t="s">
        <v>3394</v>
      </c>
      <c r="B4442" s="86" t="s">
        <v>35</v>
      </c>
      <c r="C4442" s="86" t="s">
        <v>47</v>
      </c>
      <c r="D4442" s="86" t="s">
        <v>1317</v>
      </c>
      <c r="E4442" s="86" t="s">
        <v>2166</v>
      </c>
      <c r="F4442" s="86" t="s">
        <v>2166</v>
      </c>
      <c r="G4442" s="86" t="s">
        <v>2166</v>
      </c>
      <c r="H4442" s="143">
        <v>360</v>
      </c>
      <c r="I4442" s="86" t="s">
        <v>1060</v>
      </c>
      <c r="J4442" s="1" t="s">
        <v>3325</v>
      </c>
      <c r="K4442" s="1" t="s">
        <v>3287</v>
      </c>
      <c r="L4442" s="1" t="s">
        <v>35</v>
      </c>
      <c r="M4442" s="86" t="s">
        <v>2167</v>
      </c>
      <c r="N4442" s="86"/>
      <c r="O4442" s="47" t="s">
        <v>45</v>
      </c>
      <c r="P4442" s="47" t="s">
        <v>75</v>
      </c>
      <c r="Q4442" s="14">
        <v>9.0899999999999995E-2</v>
      </c>
      <c r="R4442" s="143" t="s">
        <v>2168</v>
      </c>
      <c r="S4442" s="47"/>
      <c r="T4442" s="6">
        <v>9.8799999998882395</v>
      </c>
      <c r="U4442" s="6"/>
      <c r="V4442" s="6">
        <v>0</v>
      </c>
      <c r="W4442" s="6">
        <f t="shared" si="677"/>
        <v>9.8799999998882395</v>
      </c>
      <c r="X4442" s="6">
        <f t="shared" si="678"/>
        <v>0</v>
      </c>
      <c r="Y4442" s="13">
        <f t="shared" si="681"/>
        <v>0</v>
      </c>
      <c r="Z4442" s="14">
        <v>0</v>
      </c>
      <c r="AA4442" s="6">
        <v>0</v>
      </c>
      <c r="AB4442" s="4"/>
      <c r="AC4442" s="4">
        <f t="shared" si="684"/>
        <v>0</v>
      </c>
      <c r="AD4442" s="6">
        <f t="shared" si="679"/>
        <v>0</v>
      </c>
      <c r="AE4442" s="2">
        <f>VLOOKUP(I4442,[1]媒体政策预估表!A:N,MATCH(O4442,[1]媒体政策预估表!$A$2:$M$2,0),0)</f>
        <v>0.12</v>
      </c>
      <c r="AF4442" s="6">
        <f t="shared" si="685"/>
        <v>0</v>
      </c>
      <c r="AG4442" s="14">
        <v>0</v>
      </c>
      <c r="AH4442" s="65">
        <f t="shared" si="680"/>
        <v>0</v>
      </c>
      <c r="AI4442" s="47"/>
      <c r="AJ4442" s="126">
        <v>63</v>
      </c>
      <c r="AK4442" s="80">
        <f t="shared" si="683"/>
        <v>0</v>
      </c>
      <c r="AM4442" s="85"/>
    </row>
    <row r="4443" spans="1:39" hidden="1" x14ac:dyDescent="0.3">
      <c r="A4443" s="89" t="s">
        <v>3394</v>
      </c>
      <c r="B4443" s="86" t="s">
        <v>35</v>
      </c>
      <c r="C4443" s="86" t="s">
        <v>47</v>
      </c>
      <c r="D4443" s="86" t="s">
        <v>63</v>
      </c>
      <c r="E4443" s="86" t="s">
        <v>536</v>
      </c>
      <c r="F4443" s="86" t="s">
        <v>536</v>
      </c>
      <c r="G4443" s="86" t="s">
        <v>536</v>
      </c>
      <c r="H4443" s="143">
        <v>360</v>
      </c>
      <c r="I4443" s="86" t="s">
        <v>1060</v>
      </c>
      <c r="J4443" s="1" t="s">
        <v>3325</v>
      </c>
      <c r="K4443" s="1" t="s">
        <v>3287</v>
      </c>
      <c r="L4443" s="1" t="s">
        <v>35</v>
      </c>
      <c r="M4443" s="86" t="s">
        <v>2169</v>
      </c>
      <c r="N4443" s="86"/>
      <c r="O4443" s="47" t="s">
        <v>410</v>
      </c>
      <c r="P4443" s="47" t="s">
        <v>92</v>
      </c>
      <c r="Q4443" s="14">
        <v>0.98</v>
      </c>
      <c r="R4443" s="143" t="s">
        <v>2170</v>
      </c>
      <c r="S4443" s="47"/>
      <c r="T4443" s="6">
        <v>3015.2</v>
      </c>
      <c r="U4443" s="6"/>
      <c r="V4443" s="6">
        <v>0</v>
      </c>
      <c r="W4443" s="6">
        <f t="shared" si="677"/>
        <v>3015.2</v>
      </c>
      <c r="X4443" s="6">
        <f t="shared" si="678"/>
        <v>0</v>
      </c>
      <c r="Y4443" s="13">
        <f t="shared" si="681"/>
        <v>0</v>
      </c>
      <c r="Z4443" s="14">
        <v>0</v>
      </c>
      <c r="AA4443" s="6">
        <v>0</v>
      </c>
      <c r="AB4443" s="4">
        <f t="shared" si="682"/>
        <v>0</v>
      </c>
      <c r="AC4443" s="4">
        <f t="shared" si="684"/>
        <v>0</v>
      </c>
      <c r="AD4443" s="6">
        <f t="shared" si="679"/>
        <v>0</v>
      </c>
      <c r="AE4443" s="2">
        <f>VLOOKUP(I4443,[1]媒体政策预估表!A:N,MATCH(O4443,[1]媒体政策预估表!$A$2:$M$2,0),0)</f>
        <v>7.0000000000000007E-2</v>
      </c>
      <c r="AF4443" s="6">
        <f t="shared" si="685"/>
        <v>0</v>
      </c>
      <c r="AG4443" s="14">
        <v>0</v>
      </c>
      <c r="AH4443" s="65">
        <f t="shared" si="680"/>
        <v>0</v>
      </c>
      <c r="AI4443" s="47"/>
      <c r="AJ4443" s="126" t="e">
        <v>#N/A</v>
      </c>
      <c r="AK4443" s="80">
        <f t="shared" si="683"/>
        <v>0</v>
      </c>
      <c r="AM4443" s="85"/>
    </row>
    <row r="4444" spans="1:39" hidden="1" x14ac:dyDescent="0.3">
      <c r="A4444" s="89" t="s">
        <v>3394</v>
      </c>
      <c r="B4444" s="86" t="s">
        <v>35</v>
      </c>
      <c r="C4444" s="86" t="s">
        <v>47</v>
      </c>
      <c r="D4444" s="86" t="s">
        <v>63</v>
      </c>
      <c r="E4444" s="86" t="s">
        <v>904</v>
      </c>
      <c r="F4444" s="86" t="s">
        <v>904</v>
      </c>
      <c r="G4444" s="86" t="s">
        <v>904</v>
      </c>
      <c r="H4444" s="143">
        <v>360</v>
      </c>
      <c r="I4444" s="86" t="s">
        <v>1060</v>
      </c>
      <c r="J4444" s="1" t="s">
        <v>3325</v>
      </c>
      <c r="K4444" s="1" t="s">
        <v>3287</v>
      </c>
      <c r="L4444" s="1" t="s">
        <v>35</v>
      </c>
      <c r="M4444" s="86" t="s">
        <v>1329</v>
      </c>
      <c r="N4444" s="86"/>
      <c r="O4444" s="47" t="s">
        <v>410</v>
      </c>
      <c r="P4444" s="47" t="s">
        <v>92</v>
      </c>
      <c r="Q4444" s="14">
        <v>0.96</v>
      </c>
      <c r="R4444" s="143" t="s">
        <v>2171</v>
      </c>
      <c r="S4444" s="47"/>
      <c r="T4444" s="6">
        <v>1135.989999999998</v>
      </c>
      <c r="U4444" s="6"/>
      <c r="V4444" s="6">
        <v>0</v>
      </c>
      <c r="W4444" s="6">
        <f t="shared" si="677"/>
        <v>1135.989999999998</v>
      </c>
      <c r="X4444" s="6">
        <f t="shared" si="678"/>
        <v>0</v>
      </c>
      <c r="Y4444" s="13">
        <f t="shared" si="681"/>
        <v>0</v>
      </c>
      <c r="Z4444" s="14">
        <v>0</v>
      </c>
      <c r="AA4444" s="6">
        <v>0</v>
      </c>
      <c r="AB4444" s="4">
        <f t="shared" si="682"/>
        <v>0</v>
      </c>
      <c r="AC4444" s="4">
        <f t="shared" si="684"/>
        <v>0</v>
      </c>
      <c r="AD4444" s="6">
        <f t="shared" si="679"/>
        <v>0</v>
      </c>
      <c r="AE4444" s="2">
        <f>VLOOKUP(I4444,[1]媒体政策预估表!A:N,MATCH(O4444,[1]媒体政策预估表!$A$2:$M$2,0),0)</f>
        <v>7.0000000000000007E-2</v>
      </c>
      <c r="AF4444" s="6">
        <f t="shared" si="685"/>
        <v>0</v>
      </c>
      <c r="AG4444" s="14">
        <v>0</v>
      </c>
      <c r="AH4444" s="65">
        <f t="shared" si="680"/>
        <v>0</v>
      </c>
      <c r="AI4444" s="47"/>
      <c r="AJ4444" s="126" t="e">
        <v>#N/A</v>
      </c>
      <c r="AK4444" s="80">
        <f t="shared" si="683"/>
        <v>0</v>
      </c>
      <c r="AM4444" s="85"/>
    </row>
    <row r="4445" spans="1:39" hidden="1" x14ac:dyDescent="0.3">
      <c r="A4445" s="89" t="s">
        <v>3394</v>
      </c>
      <c r="B4445" s="86" t="s">
        <v>35</v>
      </c>
      <c r="C4445" s="86" t="s">
        <v>47</v>
      </c>
      <c r="D4445" s="86" t="s">
        <v>63</v>
      </c>
      <c r="E4445" s="86" t="s">
        <v>2172</v>
      </c>
      <c r="F4445" s="86" t="s">
        <v>2173</v>
      </c>
      <c r="G4445" s="86" t="s">
        <v>2172</v>
      </c>
      <c r="H4445" s="143">
        <v>360</v>
      </c>
      <c r="I4445" s="86" t="s">
        <v>1060</v>
      </c>
      <c r="J4445" s="1" t="s">
        <v>3325</v>
      </c>
      <c r="K4445" s="1" t="s">
        <v>3287</v>
      </c>
      <c r="L4445" s="1" t="s">
        <v>35</v>
      </c>
      <c r="M4445" s="86" t="s">
        <v>2174</v>
      </c>
      <c r="N4445" s="86"/>
      <c r="O4445" s="47" t="s">
        <v>410</v>
      </c>
      <c r="P4445" s="47" t="s">
        <v>46</v>
      </c>
      <c r="Q4445" s="14">
        <v>0.02</v>
      </c>
      <c r="R4445" s="143" t="s">
        <v>2175</v>
      </c>
      <c r="S4445" s="47"/>
      <c r="T4445" s="6">
        <v>20021.52</v>
      </c>
      <c r="U4445" s="6"/>
      <c r="V4445" s="6">
        <v>0</v>
      </c>
      <c r="W4445" s="6">
        <f t="shared" si="677"/>
        <v>20021.52</v>
      </c>
      <c r="X4445" s="6">
        <f t="shared" si="678"/>
        <v>0</v>
      </c>
      <c r="Y4445" s="13">
        <f t="shared" si="681"/>
        <v>0</v>
      </c>
      <c r="Z4445" s="14">
        <v>0</v>
      </c>
      <c r="AA4445" s="6">
        <v>0</v>
      </c>
      <c r="AB4445" s="4">
        <f t="shared" si="682"/>
        <v>0</v>
      </c>
      <c r="AC4445" s="4">
        <f t="shared" si="684"/>
        <v>0</v>
      </c>
      <c r="AD4445" s="6">
        <f t="shared" si="679"/>
        <v>0</v>
      </c>
      <c r="AE4445" s="2">
        <f>VLOOKUP(I4445,[1]媒体政策预估表!A:N,MATCH(O4445,[1]媒体政策预估表!$A$2:$M$2,0),0)</f>
        <v>7.0000000000000007E-2</v>
      </c>
      <c r="AF4445" s="6">
        <f t="shared" si="685"/>
        <v>0</v>
      </c>
      <c r="AG4445" s="14">
        <v>0</v>
      </c>
      <c r="AH4445" s="65">
        <f t="shared" si="680"/>
        <v>0</v>
      </c>
      <c r="AI4445" s="47"/>
      <c r="AJ4445" s="126" t="e">
        <v>#N/A</v>
      </c>
      <c r="AK4445" s="80">
        <f t="shared" si="683"/>
        <v>0</v>
      </c>
      <c r="AM4445" s="85"/>
    </row>
    <row r="4446" spans="1:39" hidden="1" x14ac:dyDescent="0.3">
      <c r="A4446" s="89" t="s">
        <v>3394</v>
      </c>
      <c r="B4446" s="86" t="s">
        <v>35</v>
      </c>
      <c r="C4446" s="86" t="s">
        <v>47</v>
      </c>
      <c r="D4446" s="86" t="s">
        <v>48</v>
      </c>
      <c r="E4446" s="86" t="s">
        <v>2176</v>
      </c>
      <c r="F4446" s="86" t="s">
        <v>2177</v>
      </c>
      <c r="G4446" s="86" t="s">
        <v>2176</v>
      </c>
      <c r="H4446" s="143">
        <v>360</v>
      </c>
      <c r="I4446" s="86" t="s">
        <v>1060</v>
      </c>
      <c r="J4446" s="1" t="s">
        <v>3325</v>
      </c>
      <c r="K4446" s="1" t="s">
        <v>3287</v>
      </c>
      <c r="L4446" s="1" t="s">
        <v>35</v>
      </c>
      <c r="M4446" s="86" t="s">
        <v>2178</v>
      </c>
      <c r="N4446" s="86"/>
      <c r="O4446" s="47" t="s">
        <v>410</v>
      </c>
      <c r="P4446" s="47" t="s">
        <v>46</v>
      </c>
      <c r="Q4446" s="14">
        <v>0.02</v>
      </c>
      <c r="R4446" s="143" t="s">
        <v>2179</v>
      </c>
      <c r="S4446" s="47"/>
      <c r="T4446" s="6">
        <v>434.58</v>
      </c>
      <c r="U4446" s="6"/>
      <c r="V4446" s="6">
        <v>0</v>
      </c>
      <c r="W4446" s="6">
        <f t="shared" si="677"/>
        <v>434.58</v>
      </c>
      <c r="X4446" s="6">
        <f t="shared" si="678"/>
        <v>0</v>
      </c>
      <c r="Y4446" s="13">
        <f t="shared" si="681"/>
        <v>0</v>
      </c>
      <c r="Z4446" s="14">
        <v>0</v>
      </c>
      <c r="AA4446" s="6">
        <v>0</v>
      </c>
      <c r="AB4446" s="4">
        <f t="shared" si="682"/>
        <v>0</v>
      </c>
      <c r="AC4446" s="4">
        <f t="shared" si="684"/>
        <v>0</v>
      </c>
      <c r="AD4446" s="6">
        <f t="shared" si="679"/>
        <v>0</v>
      </c>
      <c r="AE4446" s="2">
        <f>VLOOKUP(I4446,[1]媒体政策预估表!A:N,MATCH(O4446,[1]媒体政策预估表!$A$2:$M$2,0),0)</f>
        <v>7.0000000000000007E-2</v>
      </c>
      <c r="AF4446" s="6">
        <f t="shared" si="685"/>
        <v>0</v>
      </c>
      <c r="AG4446" s="14">
        <v>0</v>
      </c>
      <c r="AH4446" s="65">
        <f t="shared" si="680"/>
        <v>0</v>
      </c>
      <c r="AI4446" s="47"/>
      <c r="AJ4446" s="126" t="e">
        <v>#N/A</v>
      </c>
      <c r="AK4446" s="80">
        <f t="shared" si="683"/>
        <v>0</v>
      </c>
      <c r="AM4446" s="85"/>
    </row>
    <row r="4447" spans="1:39" hidden="1" x14ac:dyDescent="0.3">
      <c r="A4447" s="89" t="s">
        <v>3394</v>
      </c>
      <c r="B4447" s="86" t="s">
        <v>35</v>
      </c>
      <c r="C4447" s="86" t="s">
        <v>47</v>
      </c>
      <c r="D4447" s="86" t="s">
        <v>48</v>
      </c>
      <c r="E4447" s="86" t="s">
        <v>2180</v>
      </c>
      <c r="F4447" s="86" t="s">
        <v>2180</v>
      </c>
      <c r="G4447" s="86" t="s">
        <v>2180</v>
      </c>
      <c r="H4447" s="143">
        <v>360</v>
      </c>
      <c r="I4447" s="86" t="s">
        <v>1060</v>
      </c>
      <c r="J4447" s="1" t="s">
        <v>3325</v>
      </c>
      <c r="K4447" s="1" t="s">
        <v>3287</v>
      </c>
      <c r="L4447" s="1" t="s">
        <v>35</v>
      </c>
      <c r="M4447" s="86" t="s">
        <v>2180</v>
      </c>
      <c r="N4447" s="86"/>
      <c r="O4447" s="47" t="s">
        <v>410</v>
      </c>
      <c r="P4447" s="47" t="s">
        <v>92</v>
      </c>
      <c r="Q4447" s="14">
        <v>0.98</v>
      </c>
      <c r="R4447" s="143" t="s">
        <v>2181</v>
      </c>
      <c r="S4447" s="47"/>
      <c r="T4447" s="6">
        <v>440.79999999998802</v>
      </c>
      <c r="U4447" s="6"/>
      <c r="V4447" s="6">
        <v>0</v>
      </c>
      <c r="W4447" s="6">
        <f t="shared" si="677"/>
        <v>440.79999999998802</v>
      </c>
      <c r="X4447" s="6">
        <f t="shared" si="678"/>
        <v>0</v>
      </c>
      <c r="Y4447" s="13">
        <f t="shared" si="681"/>
        <v>0</v>
      </c>
      <c r="Z4447" s="14">
        <v>0</v>
      </c>
      <c r="AA4447" s="6">
        <v>0</v>
      </c>
      <c r="AB4447" s="4">
        <f t="shared" si="682"/>
        <v>0</v>
      </c>
      <c r="AC4447" s="4">
        <f t="shared" si="684"/>
        <v>0</v>
      </c>
      <c r="AD4447" s="6">
        <f t="shared" si="679"/>
        <v>0</v>
      </c>
      <c r="AE4447" s="2">
        <f>VLOOKUP(I4447,[1]媒体政策预估表!A:N,MATCH(O4447,[1]媒体政策预估表!$A$2:$M$2,0),0)</f>
        <v>7.0000000000000007E-2</v>
      </c>
      <c r="AF4447" s="6">
        <f t="shared" si="685"/>
        <v>0</v>
      </c>
      <c r="AG4447" s="14">
        <v>0</v>
      </c>
      <c r="AH4447" s="65">
        <f t="shared" si="680"/>
        <v>0</v>
      </c>
      <c r="AI4447" s="47"/>
      <c r="AJ4447" s="126" t="e">
        <v>#N/A</v>
      </c>
      <c r="AK4447" s="80">
        <f t="shared" si="683"/>
        <v>0</v>
      </c>
      <c r="AM4447" s="85"/>
    </row>
    <row r="4448" spans="1:39" hidden="1" x14ac:dyDescent="0.3">
      <c r="A4448" s="89" t="s">
        <v>3395</v>
      </c>
      <c r="B4448" s="86" t="s">
        <v>35</v>
      </c>
      <c r="C4448" s="86" t="s">
        <v>47</v>
      </c>
      <c r="D4448" s="86" t="s">
        <v>48</v>
      </c>
      <c r="E4448" s="86" t="s">
        <v>50</v>
      </c>
      <c r="F4448" s="86" t="s">
        <v>50</v>
      </c>
      <c r="G4448" s="86" t="s">
        <v>50</v>
      </c>
      <c r="H4448" s="143">
        <v>360</v>
      </c>
      <c r="I4448" s="86" t="s">
        <v>1060</v>
      </c>
      <c r="J4448" s="1" t="s">
        <v>3325</v>
      </c>
      <c r="K4448" s="1" t="s">
        <v>3287</v>
      </c>
      <c r="L4448" s="1" t="s">
        <v>35</v>
      </c>
      <c r="M4448" s="86" t="s">
        <v>50</v>
      </c>
      <c r="N4448" s="86"/>
      <c r="O4448" s="47" t="s">
        <v>45</v>
      </c>
      <c r="P4448" s="47" t="s">
        <v>41</v>
      </c>
      <c r="Q4448" s="14">
        <v>0</v>
      </c>
      <c r="R4448" s="143" t="s">
        <v>2085</v>
      </c>
      <c r="S4448" s="47"/>
      <c r="T4448" s="6">
        <v>4033.89</v>
      </c>
      <c r="U4448" s="6"/>
      <c r="V4448" s="6">
        <v>0</v>
      </c>
      <c r="W4448" s="6">
        <f t="shared" si="677"/>
        <v>4033.89</v>
      </c>
      <c r="X4448" s="6">
        <f t="shared" si="678"/>
        <v>0</v>
      </c>
      <c r="Y4448" s="13">
        <f t="shared" si="681"/>
        <v>0</v>
      </c>
      <c r="Z4448" s="14">
        <v>0</v>
      </c>
      <c r="AA4448" s="6">
        <v>0</v>
      </c>
      <c r="AB4448" s="4">
        <f t="shared" si="682"/>
        <v>0</v>
      </c>
      <c r="AC4448" s="4">
        <f t="shared" si="684"/>
        <v>0</v>
      </c>
      <c r="AD4448" s="6">
        <f t="shared" si="679"/>
        <v>0</v>
      </c>
      <c r="AE4448" s="2">
        <f>VLOOKUP(I4448,[1]媒体政策预估表!A:N,MATCH(O4448,[1]媒体政策预估表!$A$2:$M$2,0),0)</f>
        <v>0.12</v>
      </c>
      <c r="AF4448" s="6">
        <f t="shared" si="685"/>
        <v>0</v>
      </c>
      <c r="AG4448" s="14">
        <v>0</v>
      </c>
      <c r="AH4448" s="65">
        <f t="shared" si="680"/>
        <v>0</v>
      </c>
      <c r="AI4448" s="47"/>
      <c r="AJ4448" s="126" t="e">
        <v>#N/A</v>
      </c>
      <c r="AK4448" s="80">
        <f t="shared" si="683"/>
        <v>0</v>
      </c>
      <c r="AM4448" s="85"/>
    </row>
    <row r="4449" spans="1:39" hidden="1" x14ac:dyDescent="0.3">
      <c r="A4449" s="89" t="s">
        <v>3395</v>
      </c>
      <c r="B4449" s="86" t="s">
        <v>35</v>
      </c>
      <c r="C4449" s="86" t="s">
        <v>47</v>
      </c>
      <c r="D4449" s="86" t="s">
        <v>48</v>
      </c>
      <c r="E4449" s="86" t="s">
        <v>2060</v>
      </c>
      <c r="F4449" s="86" t="s">
        <v>2060</v>
      </c>
      <c r="G4449" s="86" t="s">
        <v>2060</v>
      </c>
      <c r="H4449" s="143">
        <v>360</v>
      </c>
      <c r="I4449" s="86" t="s">
        <v>1060</v>
      </c>
      <c r="J4449" s="1" t="s">
        <v>3325</v>
      </c>
      <c r="K4449" s="1" t="s">
        <v>3287</v>
      </c>
      <c r="L4449" s="1" t="s">
        <v>35</v>
      </c>
      <c r="M4449" s="86" t="s">
        <v>2060</v>
      </c>
      <c r="N4449" s="86"/>
      <c r="O4449" s="47" t="s">
        <v>941</v>
      </c>
      <c r="P4449" s="47" t="s">
        <v>41</v>
      </c>
      <c r="Q4449" s="14">
        <v>0</v>
      </c>
      <c r="R4449" s="143" t="s">
        <v>2061</v>
      </c>
      <c r="S4449" s="47"/>
      <c r="T4449" s="6">
        <v>-801.2</v>
      </c>
      <c r="U4449" s="6"/>
      <c r="V4449" s="6">
        <v>0</v>
      </c>
      <c r="W4449" s="6">
        <f t="shared" si="677"/>
        <v>-801.2</v>
      </c>
      <c r="X4449" s="6">
        <f t="shared" si="678"/>
        <v>0</v>
      </c>
      <c r="Y4449" s="13">
        <f t="shared" si="681"/>
        <v>0</v>
      </c>
      <c r="Z4449" s="14">
        <v>0</v>
      </c>
      <c r="AA4449" s="6">
        <v>0</v>
      </c>
      <c r="AB4449" s="4">
        <f t="shared" si="682"/>
        <v>0</v>
      </c>
      <c r="AC4449" s="4">
        <f t="shared" si="684"/>
        <v>0</v>
      </c>
      <c r="AD4449" s="6">
        <f t="shared" si="679"/>
        <v>0</v>
      </c>
      <c r="AE4449" s="2">
        <f>VLOOKUP(I4449,[1]媒体政策预估表!A:N,MATCH(O4449,[1]媒体政策预估表!$A$2:$M$2,0),0)</f>
        <v>0.15</v>
      </c>
      <c r="AF4449" s="6">
        <f t="shared" si="685"/>
        <v>0</v>
      </c>
      <c r="AG4449" s="14">
        <v>0</v>
      </c>
      <c r="AH4449" s="65">
        <f t="shared" si="680"/>
        <v>0</v>
      </c>
      <c r="AI4449" s="47"/>
      <c r="AJ4449" s="126" t="e">
        <v>#N/A</v>
      </c>
      <c r="AK4449" s="80">
        <f t="shared" si="683"/>
        <v>0</v>
      </c>
      <c r="AM4449" s="85"/>
    </row>
    <row r="4450" spans="1:39" hidden="1" x14ac:dyDescent="0.3">
      <c r="A4450" s="89" t="s">
        <v>3394</v>
      </c>
      <c r="B4450" s="86" t="s">
        <v>35</v>
      </c>
      <c r="C4450" s="86" t="s">
        <v>144</v>
      </c>
      <c r="D4450" s="86" t="s">
        <v>145</v>
      </c>
      <c r="E4450" s="86" t="s">
        <v>2182</v>
      </c>
      <c r="F4450" s="86" t="s">
        <v>2183</v>
      </c>
      <c r="G4450" s="86" t="s">
        <v>2182</v>
      </c>
      <c r="H4450" s="143">
        <v>360</v>
      </c>
      <c r="I4450" s="86" t="s">
        <v>1060</v>
      </c>
      <c r="J4450" s="1" t="s">
        <v>3325</v>
      </c>
      <c r="K4450" s="1" t="s">
        <v>3287</v>
      </c>
      <c r="L4450" s="1" t="s">
        <v>35</v>
      </c>
      <c r="M4450" s="86" t="s">
        <v>2182</v>
      </c>
      <c r="N4450" s="86"/>
      <c r="O4450" s="47" t="s">
        <v>410</v>
      </c>
      <c r="P4450" s="47" t="s">
        <v>46</v>
      </c>
      <c r="Q4450" s="14">
        <v>0.02</v>
      </c>
      <c r="R4450" s="143" t="s">
        <v>2184</v>
      </c>
      <c r="S4450" s="47"/>
      <c r="T4450" s="6">
        <v>18770.099999999999</v>
      </c>
      <c r="U4450" s="6"/>
      <c r="V4450" s="6">
        <v>0</v>
      </c>
      <c r="W4450" s="6">
        <f t="shared" si="677"/>
        <v>18770.099999999999</v>
      </c>
      <c r="X4450" s="6">
        <f t="shared" si="678"/>
        <v>0</v>
      </c>
      <c r="Y4450" s="13">
        <f t="shared" si="681"/>
        <v>0</v>
      </c>
      <c r="Z4450" s="14">
        <v>0</v>
      </c>
      <c r="AA4450" s="6">
        <v>0</v>
      </c>
      <c r="AB4450" s="4">
        <f t="shared" si="682"/>
        <v>0</v>
      </c>
      <c r="AC4450" s="4">
        <f t="shared" si="684"/>
        <v>0</v>
      </c>
      <c r="AD4450" s="6">
        <f t="shared" si="679"/>
        <v>0</v>
      </c>
      <c r="AE4450" s="2">
        <f>VLOOKUP(I4450,[1]媒体政策预估表!A:N,MATCH(O4450,[1]媒体政策预估表!$A$2:$M$2,0),0)</f>
        <v>7.0000000000000007E-2</v>
      </c>
      <c r="AF4450" s="6">
        <f t="shared" si="685"/>
        <v>0</v>
      </c>
      <c r="AG4450" s="14">
        <v>0</v>
      </c>
      <c r="AH4450" s="65">
        <f t="shared" si="680"/>
        <v>0</v>
      </c>
      <c r="AI4450" s="47"/>
      <c r="AJ4450" s="126" t="e">
        <v>#N/A</v>
      </c>
      <c r="AK4450" s="80">
        <f t="shared" si="683"/>
        <v>0</v>
      </c>
      <c r="AM4450" s="85"/>
    </row>
    <row r="4451" spans="1:39" hidden="1" x14ac:dyDescent="0.3">
      <c r="A4451" s="89" t="s">
        <v>3394</v>
      </c>
      <c r="B4451" s="86" t="s">
        <v>35</v>
      </c>
      <c r="C4451" s="86" t="s">
        <v>144</v>
      </c>
      <c r="D4451" s="86" t="s">
        <v>145</v>
      </c>
      <c r="E4451" s="86" t="s">
        <v>2185</v>
      </c>
      <c r="F4451" s="86" t="s">
        <v>2185</v>
      </c>
      <c r="G4451" s="86" t="s">
        <v>2185</v>
      </c>
      <c r="H4451" s="143">
        <v>360</v>
      </c>
      <c r="I4451" s="86" t="s">
        <v>1060</v>
      </c>
      <c r="J4451" s="1" t="s">
        <v>3325</v>
      </c>
      <c r="K4451" s="1" t="s">
        <v>3287</v>
      </c>
      <c r="L4451" s="1" t="s">
        <v>35</v>
      </c>
      <c r="M4451" s="86" t="s">
        <v>2185</v>
      </c>
      <c r="N4451" s="86"/>
      <c r="O4451" s="47" t="s">
        <v>45</v>
      </c>
      <c r="P4451" s="47" t="s">
        <v>41</v>
      </c>
      <c r="Q4451" s="14">
        <v>0</v>
      </c>
      <c r="R4451" s="143" t="s">
        <v>2186</v>
      </c>
      <c r="S4451" s="47"/>
      <c r="T4451" s="6">
        <v>67.989999999999995</v>
      </c>
      <c r="U4451" s="6"/>
      <c r="V4451" s="6">
        <v>0</v>
      </c>
      <c r="W4451" s="6">
        <f t="shared" si="677"/>
        <v>67.989999999999995</v>
      </c>
      <c r="X4451" s="6">
        <f t="shared" si="678"/>
        <v>0</v>
      </c>
      <c r="Y4451" s="13">
        <f t="shared" si="681"/>
        <v>0</v>
      </c>
      <c r="Z4451" s="14">
        <v>0</v>
      </c>
      <c r="AA4451" s="6">
        <v>0</v>
      </c>
      <c r="AB4451" s="4">
        <f t="shared" si="682"/>
        <v>0</v>
      </c>
      <c r="AC4451" s="4">
        <f t="shared" si="684"/>
        <v>0</v>
      </c>
      <c r="AD4451" s="6">
        <f t="shared" si="679"/>
        <v>0</v>
      </c>
      <c r="AE4451" s="2">
        <f>VLOOKUP(I4451,[1]媒体政策预估表!A:N,MATCH(O4451,[1]媒体政策预估表!$A$2:$M$2,0),0)</f>
        <v>0.12</v>
      </c>
      <c r="AF4451" s="6">
        <f t="shared" si="685"/>
        <v>0</v>
      </c>
      <c r="AG4451" s="14">
        <v>0</v>
      </c>
      <c r="AH4451" s="65">
        <f t="shared" si="680"/>
        <v>0</v>
      </c>
      <c r="AI4451" s="47"/>
      <c r="AJ4451" s="126" t="e">
        <v>#N/A</v>
      </c>
      <c r="AK4451" s="80">
        <f t="shared" si="683"/>
        <v>0</v>
      </c>
      <c r="AM4451" s="85"/>
    </row>
    <row r="4452" spans="1:39" hidden="1" x14ac:dyDescent="0.3">
      <c r="A4452" s="89" t="s">
        <v>3395</v>
      </c>
      <c r="B4452" s="86" t="s">
        <v>35</v>
      </c>
      <c r="C4452" s="86" t="s">
        <v>144</v>
      </c>
      <c r="D4452" s="86" t="s">
        <v>145</v>
      </c>
      <c r="E4452" s="86" t="s">
        <v>2187</v>
      </c>
      <c r="F4452" s="86" t="s">
        <v>2187</v>
      </c>
      <c r="G4452" s="86" t="s">
        <v>2187</v>
      </c>
      <c r="H4452" s="143">
        <v>360</v>
      </c>
      <c r="I4452" s="86" t="s">
        <v>1060</v>
      </c>
      <c r="J4452" s="1" t="s">
        <v>3325</v>
      </c>
      <c r="K4452" s="1" t="s">
        <v>3287</v>
      </c>
      <c r="L4452" s="1" t="s">
        <v>35</v>
      </c>
      <c r="M4452" s="86" t="s">
        <v>2187</v>
      </c>
      <c r="N4452" s="86"/>
      <c r="O4452" s="47" t="s">
        <v>45</v>
      </c>
      <c r="P4452" s="47" t="s">
        <v>46</v>
      </c>
      <c r="Q4452" s="14">
        <v>0.1</v>
      </c>
      <c r="R4452" s="143" t="s">
        <v>2188</v>
      </c>
      <c r="S4452" s="47"/>
      <c r="T4452" s="6">
        <v>1475.2</v>
      </c>
      <c r="U4452" s="6"/>
      <c r="V4452" s="6">
        <v>0</v>
      </c>
      <c r="W4452" s="6">
        <f t="shared" si="677"/>
        <v>1475.2</v>
      </c>
      <c r="X4452" s="6">
        <f t="shared" si="678"/>
        <v>0</v>
      </c>
      <c r="Y4452" s="13">
        <f t="shared" si="681"/>
        <v>0</v>
      </c>
      <c r="Z4452" s="14">
        <v>0</v>
      </c>
      <c r="AA4452" s="6">
        <v>0</v>
      </c>
      <c r="AB4452" s="4">
        <f t="shared" si="682"/>
        <v>0</v>
      </c>
      <c r="AC4452" s="4">
        <f t="shared" si="684"/>
        <v>0</v>
      </c>
      <c r="AD4452" s="6">
        <f t="shared" si="679"/>
        <v>0</v>
      </c>
      <c r="AE4452" s="2">
        <f>VLOOKUP(I4452,[1]媒体政策预估表!A:N,MATCH(O4452,[1]媒体政策预估表!$A$2:$M$2,0),0)</f>
        <v>0.12</v>
      </c>
      <c r="AF4452" s="6">
        <f t="shared" si="685"/>
        <v>0</v>
      </c>
      <c r="AG4452" s="14">
        <v>0</v>
      </c>
      <c r="AH4452" s="65">
        <f t="shared" si="680"/>
        <v>0</v>
      </c>
      <c r="AI4452" s="47"/>
      <c r="AJ4452" s="126" t="e">
        <v>#N/A</v>
      </c>
      <c r="AK4452" s="80">
        <f t="shared" si="683"/>
        <v>0</v>
      </c>
      <c r="AM4452" s="85"/>
    </row>
    <row r="4453" spans="1:39" hidden="1" x14ac:dyDescent="0.3">
      <c r="A4453" s="89" t="s">
        <v>3394</v>
      </c>
      <c r="B4453" s="86" t="s">
        <v>35</v>
      </c>
      <c r="C4453" s="86" t="s">
        <v>144</v>
      </c>
      <c r="D4453" s="86" t="s">
        <v>303</v>
      </c>
      <c r="E4453" s="86" t="s">
        <v>2191</v>
      </c>
      <c r="F4453" s="86" t="s">
        <v>2191</v>
      </c>
      <c r="G4453" s="86" t="s">
        <v>2191</v>
      </c>
      <c r="H4453" s="143">
        <v>360</v>
      </c>
      <c r="I4453" s="86" t="s">
        <v>1060</v>
      </c>
      <c r="J4453" s="1" t="s">
        <v>3325</v>
      </c>
      <c r="K4453" s="1" t="s">
        <v>3287</v>
      </c>
      <c r="L4453" s="1" t="s">
        <v>35</v>
      </c>
      <c r="M4453" s="86" t="s">
        <v>2192</v>
      </c>
      <c r="N4453" s="86"/>
      <c r="O4453" s="47" t="s">
        <v>410</v>
      </c>
      <c r="P4453" s="47" t="s">
        <v>46</v>
      </c>
      <c r="Q4453" s="14">
        <v>0.02</v>
      </c>
      <c r="R4453" s="143" t="s">
        <v>2193</v>
      </c>
      <c r="S4453" s="47"/>
      <c r="T4453" s="6">
        <v>32251.5</v>
      </c>
      <c r="U4453" s="6"/>
      <c r="V4453" s="6">
        <v>0</v>
      </c>
      <c r="W4453" s="6">
        <f t="shared" si="677"/>
        <v>32251.5</v>
      </c>
      <c r="X4453" s="6">
        <f t="shared" si="678"/>
        <v>0</v>
      </c>
      <c r="Y4453" s="13">
        <f t="shared" si="681"/>
        <v>0</v>
      </c>
      <c r="Z4453" s="14">
        <v>0</v>
      </c>
      <c r="AA4453" s="6">
        <v>0</v>
      </c>
      <c r="AB4453" s="4">
        <f t="shared" si="682"/>
        <v>0</v>
      </c>
      <c r="AC4453" s="4">
        <f t="shared" si="684"/>
        <v>0</v>
      </c>
      <c r="AD4453" s="6">
        <f t="shared" si="679"/>
        <v>0</v>
      </c>
      <c r="AE4453" s="2">
        <f>VLOOKUP(I4453,[1]媒体政策预估表!A:N,MATCH(O4453,[1]媒体政策预估表!$A$2:$M$2,0),0)</f>
        <v>7.0000000000000007E-2</v>
      </c>
      <c r="AF4453" s="6">
        <f t="shared" si="685"/>
        <v>0</v>
      </c>
      <c r="AG4453" s="14">
        <v>0</v>
      </c>
      <c r="AH4453" s="65">
        <f t="shared" si="680"/>
        <v>0</v>
      </c>
      <c r="AI4453" s="47"/>
      <c r="AJ4453" s="126" t="e">
        <v>#N/A</v>
      </c>
      <c r="AK4453" s="80">
        <f t="shared" si="683"/>
        <v>0</v>
      </c>
      <c r="AM4453" s="85"/>
    </row>
    <row r="4454" spans="1:39" hidden="1" x14ac:dyDescent="0.3">
      <c r="A4454" s="89" t="s">
        <v>3394</v>
      </c>
      <c r="B4454" s="86" t="s">
        <v>35</v>
      </c>
      <c r="C4454" s="86" t="s">
        <v>144</v>
      </c>
      <c r="D4454" s="86" t="s">
        <v>303</v>
      </c>
      <c r="E4454" s="86" t="s">
        <v>2194</v>
      </c>
      <c r="F4454" s="86" t="s">
        <v>2195</v>
      </c>
      <c r="G4454" s="86" t="s">
        <v>2194</v>
      </c>
      <c r="H4454" s="143">
        <v>360</v>
      </c>
      <c r="I4454" s="86" t="s">
        <v>1060</v>
      </c>
      <c r="J4454" s="1" t="s">
        <v>3325</v>
      </c>
      <c r="K4454" s="1" t="s">
        <v>3287</v>
      </c>
      <c r="L4454" s="1" t="s">
        <v>35</v>
      </c>
      <c r="M4454" s="86" t="s">
        <v>2196</v>
      </c>
      <c r="N4454" s="86"/>
      <c r="O4454" s="47" t="s">
        <v>410</v>
      </c>
      <c r="P4454" s="47" t="s">
        <v>46</v>
      </c>
      <c r="Q4454" s="14">
        <v>0.04</v>
      </c>
      <c r="R4454" s="143" t="s">
        <v>2197</v>
      </c>
      <c r="S4454" s="47"/>
      <c r="T4454" s="6">
        <v>360.6</v>
      </c>
      <c r="U4454" s="6"/>
      <c r="V4454" s="6">
        <v>0</v>
      </c>
      <c r="W4454" s="6">
        <f t="shared" si="677"/>
        <v>360.6</v>
      </c>
      <c r="X4454" s="6">
        <f t="shared" si="678"/>
        <v>0</v>
      </c>
      <c r="Y4454" s="13">
        <f t="shared" si="681"/>
        <v>0</v>
      </c>
      <c r="Z4454" s="14">
        <v>0</v>
      </c>
      <c r="AA4454" s="6">
        <v>0</v>
      </c>
      <c r="AB4454" s="4">
        <f t="shared" si="682"/>
        <v>0</v>
      </c>
      <c r="AC4454" s="4">
        <f t="shared" si="684"/>
        <v>0</v>
      </c>
      <c r="AD4454" s="6">
        <f t="shared" si="679"/>
        <v>0</v>
      </c>
      <c r="AE4454" s="2">
        <f>VLOOKUP(I4454,[1]媒体政策预估表!A:N,MATCH(O4454,[1]媒体政策预估表!$A$2:$M$2,0),0)</f>
        <v>7.0000000000000007E-2</v>
      </c>
      <c r="AF4454" s="6">
        <f t="shared" si="685"/>
        <v>0</v>
      </c>
      <c r="AG4454" s="14">
        <v>0</v>
      </c>
      <c r="AH4454" s="65">
        <f t="shared" si="680"/>
        <v>0</v>
      </c>
      <c r="AI4454" s="47"/>
      <c r="AJ4454" s="126" t="e">
        <v>#N/A</v>
      </c>
      <c r="AK4454" s="80">
        <f t="shared" si="683"/>
        <v>0</v>
      </c>
      <c r="AM4454" s="85"/>
    </row>
    <row r="4455" spans="1:39" hidden="1" x14ac:dyDescent="0.3">
      <c r="A4455" s="89" t="s">
        <v>3394</v>
      </c>
      <c r="B4455" s="86" t="s">
        <v>35</v>
      </c>
      <c r="C4455" s="86" t="s">
        <v>144</v>
      </c>
      <c r="D4455" s="86" t="s">
        <v>303</v>
      </c>
      <c r="E4455" s="86" t="s">
        <v>1935</v>
      </c>
      <c r="F4455" s="86" t="s">
        <v>1935</v>
      </c>
      <c r="G4455" s="86" t="s">
        <v>1935</v>
      </c>
      <c r="H4455" s="143">
        <v>360</v>
      </c>
      <c r="I4455" s="86" t="s">
        <v>1060</v>
      </c>
      <c r="J4455" s="1" t="s">
        <v>3325</v>
      </c>
      <c r="K4455" s="1" t="s">
        <v>3287</v>
      </c>
      <c r="L4455" s="1" t="s">
        <v>35</v>
      </c>
      <c r="M4455" s="86" t="s">
        <v>1935</v>
      </c>
      <c r="N4455" s="86"/>
      <c r="O4455" s="47" t="s">
        <v>45</v>
      </c>
      <c r="P4455" s="47" t="s">
        <v>41</v>
      </c>
      <c r="Q4455" s="14">
        <v>0</v>
      </c>
      <c r="R4455" s="143" t="s">
        <v>2198</v>
      </c>
      <c r="S4455" s="47"/>
      <c r="T4455" s="6">
        <v>483.22</v>
      </c>
      <c r="U4455" s="6"/>
      <c r="V4455" s="6">
        <v>0</v>
      </c>
      <c r="W4455" s="6">
        <f t="shared" si="677"/>
        <v>483.22</v>
      </c>
      <c r="X4455" s="6">
        <f t="shared" si="678"/>
        <v>0</v>
      </c>
      <c r="Y4455" s="13">
        <f t="shared" si="681"/>
        <v>0</v>
      </c>
      <c r="Z4455" s="14">
        <v>0</v>
      </c>
      <c r="AA4455" s="6">
        <v>0</v>
      </c>
      <c r="AB4455" s="4">
        <f t="shared" si="682"/>
        <v>0</v>
      </c>
      <c r="AC4455" s="4">
        <f t="shared" si="684"/>
        <v>0</v>
      </c>
      <c r="AD4455" s="6">
        <f t="shared" si="679"/>
        <v>0</v>
      </c>
      <c r="AE4455" s="2">
        <f>VLOOKUP(I4455,[1]媒体政策预估表!A:N,MATCH(O4455,[1]媒体政策预估表!$A$2:$M$2,0),0)</f>
        <v>0.12</v>
      </c>
      <c r="AF4455" s="6">
        <f t="shared" si="685"/>
        <v>0</v>
      </c>
      <c r="AG4455" s="14">
        <v>0</v>
      </c>
      <c r="AH4455" s="65">
        <f t="shared" si="680"/>
        <v>0</v>
      </c>
      <c r="AI4455" s="47"/>
      <c r="AJ4455" s="126" t="e">
        <v>#N/A</v>
      </c>
      <c r="AK4455" s="80">
        <f t="shared" si="683"/>
        <v>0</v>
      </c>
      <c r="AM4455" s="85"/>
    </row>
    <row r="4456" spans="1:39" hidden="1" x14ac:dyDescent="0.3">
      <c r="A4456" s="89" t="s">
        <v>3394</v>
      </c>
      <c r="B4456" s="86" t="s">
        <v>35</v>
      </c>
      <c r="C4456" s="86" t="s">
        <v>144</v>
      </c>
      <c r="D4456" s="86" t="s">
        <v>152</v>
      </c>
      <c r="E4456" s="86" t="s">
        <v>2199</v>
      </c>
      <c r="F4456" s="86" t="s">
        <v>2199</v>
      </c>
      <c r="G4456" s="86" t="s">
        <v>2199</v>
      </c>
      <c r="H4456" s="143">
        <v>360</v>
      </c>
      <c r="I4456" s="86" t="s">
        <v>1060</v>
      </c>
      <c r="J4456" s="1" t="s">
        <v>3325</v>
      </c>
      <c r="K4456" s="1" t="s">
        <v>3287</v>
      </c>
      <c r="L4456" s="1" t="s">
        <v>35</v>
      </c>
      <c r="M4456" s="86" t="s">
        <v>2199</v>
      </c>
      <c r="N4456" s="86"/>
      <c r="O4456" s="47" t="s">
        <v>45</v>
      </c>
      <c r="P4456" s="47" t="s">
        <v>46</v>
      </c>
      <c r="Q4456" s="14">
        <v>0.08</v>
      </c>
      <c r="R4456" s="143" t="s">
        <v>2200</v>
      </c>
      <c r="S4456" s="47"/>
      <c r="T4456" s="6">
        <v>61.709999999999098</v>
      </c>
      <c r="U4456" s="6"/>
      <c r="V4456" s="6">
        <v>0</v>
      </c>
      <c r="W4456" s="6">
        <f t="shared" si="677"/>
        <v>61.709999999999098</v>
      </c>
      <c r="X4456" s="6">
        <f t="shared" si="678"/>
        <v>0</v>
      </c>
      <c r="Y4456" s="13">
        <f t="shared" si="681"/>
        <v>0</v>
      </c>
      <c r="Z4456" s="14">
        <v>0</v>
      </c>
      <c r="AA4456" s="6">
        <v>0</v>
      </c>
      <c r="AB4456" s="4">
        <f t="shared" si="682"/>
        <v>0</v>
      </c>
      <c r="AC4456" s="4">
        <f t="shared" si="684"/>
        <v>0</v>
      </c>
      <c r="AD4456" s="6">
        <f t="shared" si="679"/>
        <v>0</v>
      </c>
      <c r="AE4456" s="2">
        <f>VLOOKUP(I4456,[1]媒体政策预估表!A:N,MATCH(O4456,[1]媒体政策预估表!$A$2:$M$2,0),0)</f>
        <v>0.12</v>
      </c>
      <c r="AF4456" s="6">
        <f t="shared" si="685"/>
        <v>0</v>
      </c>
      <c r="AG4456" s="14">
        <v>0</v>
      </c>
      <c r="AH4456" s="65">
        <f t="shared" si="680"/>
        <v>0</v>
      </c>
      <c r="AI4456" s="47"/>
      <c r="AJ4456" s="126" t="e">
        <v>#N/A</v>
      </c>
      <c r="AK4456" s="80">
        <f t="shared" si="683"/>
        <v>0</v>
      </c>
      <c r="AM4456" s="85"/>
    </row>
    <row r="4457" spans="1:39" hidden="1" x14ac:dyDescent="0.3">
      <c r="A4457" s="89" t="s">
        <v>3395</v>
      </c>
      <c r="B4457" s="86" t="s">
        <v>35</v>
      </c>
      <c r="C4457" s="86" t="s">
        <v>144</v>
      </c>
      <c r="D4457" s="86" t="s">
        <v>152</v>
      </c>
      <c r="E4457" s="86" t="s">
        <v>2201</v>
      </c>
      <c r="F4457" s="86" t="s">
        <v>2201</v>
      </c>
      <c r="G4457" s="86" t="s">
        <v>2201</v>
      </c>
      <c r="H4457" s="143">
        <v>360</v>
      </c>
      <c r="I4457" s="86" t="s">
        <v>1060</v>
      </c>
      <c r="J4457" s="1" t="s">
        <v>3325</v>
      </c>
      <c r="K4457" s="1" t="s">
        <v>3287</v>
      </c>
      <c r="L4457" s="1" t="s">
        <v>35</v>
      </c>
      <c r="M4457" s="86" t="s">
        <v>2201</v>
      </c>
      <c r="N4457" s="86"/>
      <c r="O4457" s="47" t="s">
        <v>45</v>
      </c>
      <c r="P4457" s="47" t="s">
        <v>46</v>
      </c>
      <c r="Q4457" s="14">
        <v>0.08</v>
      </c>
      <c r="R4457" s="143" t="s">
        <v>2202</v>
      </c>
      <c r="S4457" s="47"/>
      <c r="T4457" s="6">
        <v>6.9999999992433004E-2</v>
      </c>
      <c r="U4457" s="6"/>
      <c r="V4457" s="6">
        <v>0</v>
      </c>
      <c r="W4457" s="6">
        <f t="shared" si="677"/>
        <v>6.9999999992433004E-2</v>
      </c>
      <c r="X4457" s="6">
        <f t="shared" si="678"/>
        <v>0</v>
      </c>
      <c r="Y4457" s="13">
        <f t="shared" si="681"/>
        <v>0</v>
      </c>
      <c r="Z4457" s="14">
        <v>0</v>
      </c>
      <c r="AA4457" s="6">
        <v>0</v>
      </c>
      <c r="AB4457" s="4">
        <f t="shared" si="682"/>
        <v>0</v>
      </c>
      <c r="AC4457" s="4">
        <f t="shared" si="684"/>
        <v>0</v>
      </c>
      <c r="AD4457" s="6">
        <f t="shared" si="679"/>
        <v>0</v>
      </c>
      <c r="AE4457" s="2">
        <f>VLOOKUP(I4457,[1]媒体政策预估表!A:N,MATCH(O4457,[1]媒体政策预估表!$A$2:$M$2,0),0)</f>
        <v>0.12</v>
      </c>
      <c r="AF4457" s="6">
        <f t="shared" si="685"/>
        <v>0</v>
      </c>
      <c r="AG4457" s="14">
        <v>0</v>
      </c>
      <c r="AH4457" s="65">
        <f t="shared" si="680"/>
        <v>0</v>
      </c>
      <c r="AI4457" s="47"/>
      <c r="AJ4457" s="126" t="e">
        <v>#N/A</v>
      </c>
      <c r="AK4457" s="80">
        <f t="shared" si="683"/>
        <v>0</v>
      </c>
      <c r="AM4457" s="85"/>
    </row>
    <row r="4458" spans="1:39" hidden="1" x14ac:dyDescent="0.3">
      <c r="A4458" s="89" t="s">
        <v>3394</v>
      </c>
      <c r="B4458" s="86" t="s">
        <v>35</v>
      </c>
      <c r="C4458" s="86" t="s">
        <v>144</v>
      </c>
      <c r="D4458" s="86" t="s">
        <v>152</v>
      </c>
      <c r="E4458" s="86" t="s">
        <v>2203</v>
      </c>
      <c r="F4458" s="86" t="s">
        <v>2204</v>
      </c>
      <c r="G4458" s="86" t="s">
        <v>2203</v>
      </c>
      <c r="H4458" s="143">
        <v>360</v>
      </c>
      <c r="I4458" s="86" t="s">
        <v>1060</v>
      </c>
      <c r="J4458" s="1" t="s">
        <v>3325</v>
      </c>
      <c r="K4458" s="1" t="s">
        <v>3287</v>
      </c>
      <c r="L4458" s="1" t="s">
        <v>35</v>
      </c>
      <c r="M4458" s="86" t="s">
        <v>2205</v>
      </c>
      <c r="N4458" s="86"/>
      <c r="O4458" s="47" t="s">
        <v>410</v>
      </c>
      <c r="P4458" s="47" t="s">
        <v>46</v>
      </c>
      <c r="Q4458" s="14">
        <v>0.03</v>
      </c>
      <c r="R4458" s="143" t="s">
        <v>2206</v>
      </c>
      <c r="S4458" s="47"/>
      <c r="T4458" s="6">
        <v>2.5599999999976699</v>
      </c>
      <c r="U4458" s="6"/>
      <c r="V4458" s="6">
        <v>0</v>
      </c>
      <c r="W4458" s="6">
        <f t="shared" si="677"/>
        <v>2.5599999999976699</v>
      </c>
      <c r="X4458" s="6">
        <f t="shared" si="678"/>
        <v>0</v>
      </c>
      <c r="Y4458" s="13">
        <f t="shared" si="681"/>
        <v>0</v>
      </c>
      <c r="Z4458" s="14">
        <v>0</v>
      </c>
      <c r="AA4458" s="6">
        <v>0</v>
      </c>
      <c r="AB4458" s="4">
        <f t="shared" si="682"/>
        <v>0</v>
      </c>
      <c r="AC4458" s="4">
        <f t="shared" si="684"/>
        <v>0</v>
      </c>
      <c r="AD4458" s="6">
        <f t="shared" si="679"/>
        <v>0</v>
      </c>
      <c r="AE4458" s="2">
        <f>VLOOKUP(I4458,[1]媒体政策预估表!A:N,MATCH(O4458,[1]媒体政策预估表!$A$2:$M$2,0),0)</f>
        <v>7.0000000000000007E-2</v>
      </c>
      <c r="AF4458" s="6">
        <f t="shared" si="685"/>
        <v>0</v>
      </c>
      <c r="AG4458" s="14">
        <v>0</v>
      </c>
      <c r="AH4458" s="65">
        <f t="shared" si="680"/>
        <v>0</v>
      </c>
      <c r="AI4458" s="47"/>
      <c r="AJ4458" s="126" t="e">
        <v>#N/A</v>
      </c>
      <c r="AK4458" s="80">
        <f t="shared" si="683"/>
        <v>0</v>
      </c>
      <c r="AM4458" s="85"/>
    </row>
    <row r="4459" spans="1:39" hidden="1" x14ac:dyDescent="0.3">
      <c r="A4459" s="89" t="s">
        <v>3394</v>
      </c>
      <c r="B4459" s="86" t="s">
        <v>35</v>
      </c>
      <c r="C4459" s="86" t="s">
        <v>144</v>
      </c>
      <c r="D4459" s="86" t="s">
        <v>152</v>
      </c>
      <c r="E4459" s="86" t="s">
        <v>2207</v>
      </c>
      <c r="F4459" s="86" t="s">
        <v>2207</v>
      </c>
      <c r="G4459" s="86" t="s">
        <v>2207</v>
      </c>
      <c r="H4459" s="143">
        <v>360</v>
      </c>
      <c r="I4459" s="86" t="s">
        <v>1060</v>
      </c>
      <c r="J4459" s="1" t="s">
        <v>3325</v>
      </c>
      <c r="K4459" s="1" t="s">
        <v>3287</v>
      </c>
      <c r="L4459" s="1" t="s">
        <v>35</v>
      </c>
      <c r="M4459" s="86" t="s">
        <v>2207</v>
      </c>
      <c r="N4459" s="86"/>
      <c r="O4459" s="47" t="s">
        <v>45</v>
      </c>
      <c r="P4459" s="47" t="s">
        <v>46</v>
      </c>
      <c r="Q4459" s="14">
        <v>0.04</v>
      </c>
      <c r="R4459" s="143" t="s">
        <v>2208</v>
      </c>
      <c r="S4459" s="47"/>
      <c r="T4459" s="6">
        <v>5518.78</v>
      </c>
      <c r="U4459" s="6"/>
      <c r="V4459" s="6">
        <v>0</v>
      </c>
      <c r="W4459" s="6">
        <f t="shared" si="677"/>
        <v>5518.78</v>
      </c>
      <c r="X4459" s="6">
        <f t="shared" si="678"/>
        <v>0</v>
      </c>
      <c r="Y4459" s="13">
        <f t="shared" si="681"/>
        <v>0</v>
      </c>
      <c r="Z4459" s="14">
        <v>0</v>
      </c>
      <c r="AA4459" s="6">
        <v>0</v>
      </c>
      <c r="AB4459" s="4">
        <f t="shared" si="682"/>
        <v>0</v>
      </c>
      <c r="AC4459" s="4">
        <f t="shared" si="684"/>
        <v>0</v>
      </c>
      <c r="AD4459" s="6">
        <f t="shared" si="679"/>
        <v>0</v>
      </c>
      <c r="AE4459" s="2">
        <f>VLOOKUP(I4459,[1]媒体政策预估表!A:N,MATCH(O4459,[1]媒体政策预估表!$A$2:$M$2,0),0)</f>
        <v>0.12</v>
      </c>
      <c r="AF4459" s="6">
        <f t="shared" si="685"/>
        <v>0</v>
      </c>
      <c r="AG4459" s="14">
        <v>0</v>
      </c>
      <c r="AH4459" s="65">
        <f t="shared" si="680"/>
        <v>0</v>
      </c>
      <c r="AI4459" s="47"/>
      <c r="AJ4459" s="126" t="e">
        <v>#N/A</v>
      </c>
      <c r="AK4459" s="80">
        <f t="shared" si="683"/>
        <v>0</v>
      </c>
      <c r="AM4459" s="85"/>
    </row>
    <row r="4460" spans="1:39" hidden="1" x14ac:dyDescent="0.3">
      <c r="A4460" s="89" t="s">
        <v>3394</v>
      </c>
      <c r="B4460" s="86" t="s">
        <v>35</v>
      </c>
      <c r="C4460" s="86" t="s">
        <v>144</v>
      </c>
      <c r="D4460" s="86" t="s">
        <v>161</v>
      </c>
      <c r="E4460" s="86" t="s">
        <v>565</v>
      </c>
      <c r="F4460" s="86" t="s">
        <v>565</v>
      </c>
      <c r="G4460" s="86" t="s">
        <v>565</v>
      </c>
      <c r="H4460" s="143">
        <v>360</v>
      </c>
      <c r="I4460" s="86" t="s">
        <v>1060</v>
      </c>
      <c r="J4460" s="1" t="s">
        <v>3325</v>
      </c>
      <c r="K4460" s="1" t="s">
        <v>3287</v>
      </c>
      <c r="L4460" s="1" t="s">
        <v>35</v>
      </c>
      <c r="M4460" s="86" t="s">
        <v>565</v>
      </c>
      <c r="N4460" s="86"/>
      <c r="O4460" s="47" t="s">
        <v>45</v>
      </c>
      <c r="P4460" s="47" t="s">
        <v>46</v>
      </c>
      <c r="Q4460" s="14">
        <v>0.14000000000000001</v>
      </c>
      <c r="R4460" s="143" t="s">
        <v>2209</v>
      </c>
      <c r="S4460" s="47"/>
      <c r="T4460" s="6">
        <v>472</v>
      </c>
      <c r="U4460" s="6"/>
      <c r="V4460" s="6">
        <v>0</v>
      </c>
      <c r="W4460" s="6">
        <f t="shared" si="677"/>
        <v>472</v>
      </c>
      <c r="X4460" s="6">
        <f t="shared" si="678"/>
        <v>0</v>
      </c>
      <c r="Y4460" s="13">
        <f t="shared" si="681"/>
        <v>0</v>
      </c>
      <c r="Z4460" s="14">
        <v>0</v>
      </c>
      <c r="AA4460" s="6">
        <v>0</v>
      </c>
      <c r="AB4460" s="4">
        <f t="shared" si="682"/>
        <v>0</v>
      </c>
      <c r="AC4460" s="4">
        <f t="shared" si="684"/>
        <v>0</v>
      </c>
      <c r="AD4460" s="6">
        <f t="shared" si="679"/>
        <v>0</v>
      </c>
      <c r="AE4460" s="2">
        <f>VLOOKUP(I4460,[1]媒体政策预估表!A:N,MATCH(O4460,[1]媒体政策预估表!$A$2:$M$2,0),0)</f>
        <v>0.12</v>
      </c>
      <c r="AF4460" s="6">
        <f t="shared" si="685"/>
        <v>0</v>
      </c>
      <c r="AG4460" s="14">
        <v>0</v>
      </c>
      <c r="AH4460" s="65">
        <f t="shared" si="680"/>
        <v>0</v>
      </c>
      <c r="AI4460" s="47"/>
      <c r="AJ4460" s="126" t="e">
        <v>#N/A</v>
      </c>
      <c r="AK4460" s="80">
        <f t="shared" si="683"/>
        <v>0</v>
      </c>
      <c r="AM4460" s="85"/>
    </row>
    <row r="4461" spans="1:39" hidden="1" x14ac:dyDescent="0.3">
      <c r="A4461" s="89" t="s">
        <v>3394</v>
      </c>
      <c r="B4461" s="86" t="s">
        <v>35</v>
      </c>
      <c r="C4461" s="86" t="s">
        <v>144</v>
      </c>
      <c r="D4461" s="86" t="s">
        <v>161</v>
      </c>
      <c r="E4461" s="86" t="s">
        <v>2210</v>
      </c>
      <c r="F4461" s="86" t="s">
        <v>2210</v>
      </c>
      <c r="G4461" s="86" t="s">
        <v>2210</v>
      </c>
      <c r="H4461" s="143">
        <v>360</v>
      </c>
      <c r="I4461" s="86" t="s">
        <v>1060</v>
      </c>
      <c r="J4461" s="1" t="s">
        <v>3325</v>
      </c>
      <c r="K4461" s="1" t="s">
        <v>3287</v>
      </c>
      <c r="L4461" s="1" t="s">
        <v>35</v>
      </c>
      <c r="M4461" s="86" t="s">
        <v>2210</v>
      </c>
      <c r="N4461" s="86"/>
      <c r="O4461" s="47" t="s">
        <v>410</v>
      </c>
      <c r="P4461" s="47" t="s">
        <v>46</v>
      </c>
      <c r="Q4461" s="14">
        <v>0.02</v>
      </c>
      <c r="R4461" s="143" t="s">
        <v>2211</v>
      </c>
      <c r="S4461" s="47"/>
      <c r="T4461" s="6">
        <v>0.40000000000145502</v>
      </c>
      <c r="U4461" s="6"/>
      <c r="V4461" s="6">
        <v>0</v>
      </c>
      <c r="W4461" s="6">
        <f t="shared" si="677"/>
        <v>0.40000000000145502</v>
      </c>
      <c r="X4461" s="6">
        <f t="shared" si="678"/>
        <v>0</v>
      </c>
      <c r="Y4461" s="13">
        <f t="shared" si="681"/>
        <v>0</v>
      </c>
      <c r="Z4461" s="14">
        <v>0</v>
      </c>
      <c r="AA4461" s="6">
        <v>0</v>
      </c>
      <c r="AB4461" s="4">
        <f t="shared" si="682"/>
        <v>0</v>
      </c>
      <c r="AC4461" s="4">
        <f t="shared" si="684"/>
        <v>0</v>
      </c>
      <c r="AD4461" s="6">
        <f t="shared" si="679"/>
        <v>0</v>
      </c>
      <c r="AE4461" s="2">
        <f>VLOOKUP(I4461,[1]媒体政策预估表!A:N,MATCH(O4461,[1]媒体政策预估表!$A$2:$M$2,0),0)</f>
        <v>7.0000000000000007E-2</v>
      </c>
      <c r="AF4461" s="6">
        <f t="shared" si="685"/>
        <v>0</v>
      </c>
      <c r="AG4461" s="14">
        <v>0</v>
      </c>
      <c r="AH4461" s="65">
        <f t="shared" si="680"/>
        <v>0</v>
      </c>
      <c r="AI4461" s="47"/>
      <c r="AJ4461" s="126" t="e">
        <v>#N/A</v>
      </c>
      <c r="AK4461" s="80">
        <f t="shared" si="683"/>
        <v>0</v>
      </c>
      <c r="AM4461" s="85"/>
    </row>
    <row r="4462" spans="1:39" hidden="1" x14ac:dyDescent="0.3">
      <c r="A4462" s="89" t="s">
        <v>3395</v>
      </c>
      <c r="B4462" s="86" t="s">
        <v>35</v>
      </c>
      <c r="C4462" s="86" t="s">
        <v>144</v>
      </c>
      <c r="D4462" s="86" t="s">
        <v>161</v>
      </c>
      <c r="E4462" s="86" t="s">
        <v>2212</v>
      </c>
      <c r="F4462" s="86" t="s">
        <v>2212</v>
      </c>
      <c r="G4462" s="86" t="s">
        <v>2212</v>
      </c>
      <c r="H4462" s="143">
        <v>360</v>
      </c>
      <c r="I4462" s="86" t="s">
        <v>1060</v>
      </c>
      <c r="J4462" s="1" t="s">
        <v>3325</v>
      </c>
      <c r="K4462" s="1" t="s">
        <v>3287</v>
      </c>
      <c r="L4462" s="1" t="s">
        <v>35</v>
      </c>
      <c r="M4462" s="86" t="s">
        <v>2212</v>
      </c>
      <c r="N4462" s="86"/>
      <c r="O4462" s="47" t="s">
        <v>410</v>
      </c>
      <c r="P4462" s="47" t="s">
        <v>46</v>
      </c>
      <c r="Q4462" s="14">
        <v>0.02</v>
      </c>
      <c r="R4462" s="143" t="s">
        <v>2213</v>
      </c>
      <c r="S4462" s="47"/>
      <c r="T4462" s="6">
        <v>475.77999999999975</v>
      </c>
      <c r="U4462" s="6"/>
      <c r="V4462" s="6">
        <v>0</v>
      </c>
      <c r="W4462" s="6">
        <f t="shared" si="677"/>
        <v>475.77999999999975</v>
      </c>
      <c r="X4462" s="6">
        <f t="shared" si="678"/>
        <v>0</v>
      </c>
      <c r="Y4462" s="13">
        <f t="shared" si="681"/>
        <v>0</v>
      </c>
      <c r="Z4462" s="14">
        <v>0</v>
      </c>
      <c r="AA4462" s="6">
        <v>0</v>
      </c>
      <c r="AB4462" s="4">
        <f t="shared" si="682"/>
        <v>0</v>
      </c>
      <c r="AC4462" s="4">
        <f t="shared" si="684"/>
        <v>0</v>
      </c>
      <c r="AD4462" s="6">
        <f t="shared" si="679"/>
        <v>0</v>
      </c>
      <c r="AE4462" s="2">
        <f>VLOOKUP(I4462,[1]媒体政策预估表!A:N,MATCH(O4462,[1]媒体政策预估表!$A$2:$M$2,0),0)</f>
        <v>7.0000000000000007E-2</v>
      </c>
      <c r="AF4462" s="6">
        <f t="shared" si="685"/>
        <v>0</v>
      </c>
      <c r="AG4462" s="14">
        <v>0</v>
      </c>
      <c r="AH4462" s="65">
        <f t="shared" si="680"/>
        <v>0</v>
      </c>
      <c r="AI4462" s="47"/>
      <c r="AJ4462" s="126" t="e">
        <v>#N/A</v>
      </c>
      <c r="AK4462" s="80">
        <f t="shared" si="683"/>
        <v>0</v>
      </c>
      <c r="AM4462" s="85"/>
    </row>
    <row r="4463" spans="1:39" hidden="1" x14ac:dyDescent="0.3">
      <c r="A4463" s="89" t="s">
        <v>3394</v>
      </c>
      <c r="B4463" s="86" t="s">
        <v>35</v>
      </c>
      <c r="C4463" s="86" t="s">
        <v>144</v>
      </c>
      <c r="D4463" s="86" t="s">
        <v>161</v>
      </c>
      <c r="E4463" s="86" t="s">
        <v>162</v>
      </c>
      <c r="F4463" s="86" t="s">
        <v>162</v>
      </c>
      <c r="G4463" s="86" t="s">
        <v>162</v>
      </c>
      <c r="H4463" s="144">
        <v>360</v>
      </c>
      <c r="I4463" s="86" t="s">
        <v>1060</v>
      </c>
      <c r="J4463" s="1" t="s">
        <v>3325</v>
      </c>
      <c r="K4463" s="1" t="s">
        <v>3287</v>
      </c>
      <c r="L4463" s="1" t="s">
        <v>35</v>
      </c>
      <c r="M4463" s="86" t="s">
        <v>162</v>
      </c>
      <c r="N4463" s="86"/>
      <c r="O4463" s="47" t="s">
        <v>2054</v>
      </c>
      <c r="P4463" s="47" t="s">
        <v>46</v>
      </c>
      <c r="Q4463" s="14">
        <v>0.02</v>
      </c>
      <c r="R4463" s="143" t="s">
        <v>1508</v>
      </c>
      <c r="S4463" s="47"/>
      <c r="T4463" s="6">
        <v>-93069.676529999997</v>
      </c>
      <c r="U4463" s="6"/>
      <c r="V4463" s="6">
        <v>6340.9678199999998</v>
      </c>
      <c r="W4463" s="6">
        <f t="shared" si="677"/>
        <v>-99410.644350000002</v>
      </c>
      <c r="X4463" s="6">
        <f t="shared" si="678"/>
        <v>6216.6351176470589</v>
      </c>
      <c r="Y4463" s="13">
        <f t="shared" si="681"/>
        <v>0</v>
      </c>
      <c r="Z4463" s="14">
        <v>0</v>
      </c>
      <c r="AA4463" s="6">
        <v>0</v>
      </c>
      <c r="AB4463" s="4">
        <f t="shared" si="682"/>
        <v>6216.6351176470589</v>
      </c>
      <c r="AC4463" s="4">
        <f t="shared" si="684"/>
        <v>124.33270235294094</v>
      </c>
      <c r="AD4463" s="6">
        <f t="shared" si="679"/>
        <v>6340.9678199999998</v>
      </c>
      <c r="AE4463" s="2">
        <f>VLOOKUP(I4463,[1]媒体政策预估表!A:N,MATCH(O4463,[1]媒体政策预估表!$A$2:$M$2,0),0)</f>
        <v>0.12</v>
      </c>
      <c r="AF4463" s="6">
        <f t="shared" si="685"/>
        <v>760.91613839999991</v>
      </c>
      <c r="AG4463" s="14">
        <v>0</v>
      </c>
      <c r="AH4463" s="65">
        <f t="shared" si="680"/>
        <v>6340.9678199999998</v>
      </c>
      <c r="AI4463" s="47"/>
      <c r="AJ4463" s="126" t="e">
        <v>#N/A</v>
      </c>
      <c r="AK4463" s="80">
        <f t="shared" si="683"/>
        <v>0</v>
      </c>
      <c r="AM4463" s="85"/>
    </row>
    <row r="4464" spans="1:39" hidden="1" x14ac:dyDescent="0.3">
      <c r="A4464" s="89" t="s">
        <v>3394</v>
      </c>
      <c r="B4464" s="86" t="s">
        <v>35</v>
      </c>
      <c r="C4464" s="86" t="s">
        <v>144</v>
      </c>
      <c r="D4464" s="86" t="s">
        <v>161</v>
      </c>
      <c r="E4464" s="86" t="s">
        <v>2214</v>
      </c>
      <c r="F4464" s="86" t="s">
        <v>2214</v>
      </c>
      <c r="G4464" s="86" t="s">
        <v>2214</v>
      </c>
      <c r="H4464" s="143">
        <v>360</v>
      </c>
      <c r="I4464" s="86" t="s">
        <v>1060</v>
      </c>
      <c r="J4464" s="1" t="s">
        <v>3325</v>
      </c>
      <c r="K4464" s="1" t="s">
        <v>3287</v>
      </c>
      <c r="L4464" s="1" t="s">
        <v>35</v>
      </c>
      <c r="M4464" s="86" t="s">
        <v>2214</v>
      </c>
      <c r="N4464" s="86"/>
      <c r="O4464" s="47" t="s">
        <v>410</v>
      </c>
      <c r="P4464" s="47" t="s">
        <v>46</v>
      </c>
      <c r="Q4464" s="14">
        <v>0.02</v>
      </c>
      <c r="R4464" s="143" t="s">
        <v>2215</v>
      </c>
      <c r="S4464" s="47"/>
      <c r="T4464" s="6">
        <v>29740.7</v>
      </c>
      <c r="U4464" s="6"/>
      <c r="V4464" s="6">
        <v>0</v>
      </c>
      <c r="W4464" s="6">
        <f t="shared" si="677"/>
        <v>29740.7</v>
      </c>
      <c r="X4464" s="6">
        <f t="shared" si="678"/>
        <v>0</v>
      </c>
      <c r="Y4464" s="13">
        <f t="shared" si="681"/>
        <v>0</v>
      </c>
      <c r="Z4464" s="14">
        <v>0</v>
      </c>
      <c r="AA4464" s="6">
        <v>0</v>
      </c>
      <c r="AB4464" s="4"/>
      <c r="AC4464" s="4">
        <f t="shared" si="684"/>
        <v>0</v>
      </c>
      <c r="AD4464" s="6">
        <f t="shared" si="679"/>
        <v>0</v>
      </c>
      <c r="AE4464" s="2">
        <f>VLOOKUP(I4464,[1]媒体政策预估表!A:N,MATCH(O4464,[1]媒体政策预估表!$A$2:$M$2,0),0)</f>
        <v>7.0000000000000007E-2</v>
      </c>
      <c r="AF4464" s="6">
        <f t="shared" si="685"/>
        <v>0</v>
      </c>
      <c r="AG4464" s="14">
        <v>0</v>
      </c>
      <c r="AH4464" s="65">
        <f t="shared" si="680"/>
        <v>0</v>
      </c>
      <c r="AI4464" s="47"/>
      <c r="AJ4464" s="126">
        <v>85</v>
      </c>
      <c r="AK4464" s="80">
        <f t="shared" si="683"/>
        <v>0</v>
      </c>
      <c r="AM4464" s="85"/>
    </row>
    <row r="4465" spans="1:39" hidden="1" x14ac:dyDescent="0.3">
      <c r="A4465" s="89" t="s">
        <v>3394</v>
      </c>
      <c r="B4465" s="86" t="s">
        <v>35</v>
      </c>
      <c r="C4465" s="86" t="s">
        <v>164</v>
      </c>
      <c r="D4465" s="86" t="s">
        <v>305</v>
      </c>
      <c r="E4465" s="86" t="s">
        <v>659</v>
      </c>
      <c r="F4465" s="86" t="s">
        <v>660</v>
      </c>
      <c r="G4465" s="86" t="s">
        <v>659</v>
      </c>
      <c r="H4465" s="143">
        <v>360</v>
      </c>
      <c r="I4465" s="86" t="s">
        <v>1060</v>
      </c>
      <c r="J4465" s="1" t="s">
        <v>3325</v>
      </c>
      <c r="K4465" s="1" t="s">
        <v>3287</v>
      </c>
      <c r="L4465" s="1" t="s">
        <v>35</v>
      </c>
      <c r="M4465" s="86" t="s">
        <v>2216</v>
      </c>
      <c r="N4465" s="86"/>
      <c r="O4465" s="47" t="s">
        <v>45</v>
      </c>
      <c r="P4465" s="47" t="s">
        <v>46</v>
      </c>
      <c r="Q4465" s="14">
        <v>0.17</v>
      </c>
      <c r="R4465" s="143" t="s">
        <v>2217</v>
      </c>
      <c r="S4465" s="47"/>
      <c r="T4465" s="6">
        <v>6.4</v>
      </c>
      <c r="U4465" s="6"/>
      <c r="V4465" s="6">
        <v>0</v>
      </c>
      <c r="W4465" s="6">
        <f t="shared" si="677"/>
        <v>6.4</v>
      </c>
      <c r="X4465" s="6">
        <f t="shared" si="678"/>
        <v>0</v>
      </c>
      <c r="Y4465" s="13">
        <f t="shared" si="681"/>
        <v>0</v>
      </c>
      <c r="Z4465" s="14">
        <v>0</v>
      </c>
      <c r="AA4465" s="6">
        <v>0</v>
      </c>
      <c r="AB4465" s="4">
        <f t="shared" si="682"/>
        <v>0</v>
      </c>
      <c r="AC4465" s="4">
        <f t="shared" si="684"/>
        <v>0</v>
      </c>
      <c r="AD4465" s="6">
        <f t="shared" si="679"/>
        <v>0</v>
      </c>
      <c r="AE4465" s="2">
        <f>VLOOKUP(I4465,[1]媒体政策预估表!A:N,MATCH(O4465,[1]媒体政策预估表!$A$2:$M$2,0),0)</f>
        <v>0.12</v>
      </c>
      <c r="AF4465" s="6">
        <f t="shared" si="685"/>
        <v>0</v>
      </c>
      <c r="AG4465" s="14">
        <v>0</v>
      </c>
      <c r="AH4465" s="65">
        <f t="shared" si="680"/>
        <v>0</v>
      </c>
      <c r="AI4465" s="47"/>
      <c r="AJ4465" s="126" t="e">
        <v>#N/A</v>
      </c>
      <c r="AK4465" s="80">
        <f t="shared" si="683"/>
        <v>0</v>
      </c>
      <c r="AM4465" s="85"/>
    </row>
    <row r="4466" spans="1:39" hidden="1" x14ac:dyDescent="0.3">
      <c r="A4466" s="89" t="s">
        <v>3394</v>
      </c>
      <c r="B4466" s="86" t="s">
        <v>35</v>
      </c>
      <c r="C4466" s="86" t="s">
        <v>164</v>
      </c>
      <c r="D4466" s="86" t="s">
        <v>305</v>
      </c>
      <c r="E4466" s="86" t="s">
        <v>2218</v>
      </c>
      <c r="F4466" s="86" t="s">
        <v>2218</v>
      </c>
      <c r="G4466" s="86" t="s">
        <v>2218</v>
      </c>
      <c r="H4466" s="143">
        <v>360</v>
      </c>
      <c r="I4466" s="86" t="s">
        <v>1060</v>
      </c>
      <c r="J4466" s="1" t="s">
        <v>3325</v>
      </c>
      <c r="K4466" s="1" t="s">
        <v>3287</v>
      </c>
      <c r="L4466" s="1" t="s">
        <v>35</v>
      </c>
      <c r="M4466" s="86" t="s">
        <v>2218</v>
      </c>
      <c r="N4466" s="86"/>
      <c r="O4466" s="47" t="s">
        <v>410</v>
      </c>
      <c r="P4466" s="47" t="s">
        <v>41</v>
      </c>
      <c r="Q4466" s="14">
        <v>0</v>
      </c>
      <c r="R4466" s="143" t="s">
        <v>2219</v>
      </c>
      <c r="S4466" s="47"/>
      <c r="T4466" s="6">
        <v>4109.4000000000015</v>
      </c>
      <c r="U4466" s="6"/>
      <c r="V4466" s="6">
        <v>0</v>
      </c>
      <c r="W4466" s="6">
        <f t="shared" si="677"/>
        <v>4109.4000000000015</v>
      </c>
      <c r="X4466" s="6">
        <f t="shared" si="678"/>
        <v>0</v>
      </c>
      <c r="Y4466" s="13">
        <f t="shared" si="681"/>
        <v>0</v>
      </c>
      <c r="Z4466" s="14">
        <v>0</v>
      </c>
      <c r="AA4466" s="6">
        <v>0</v>
      </c>
      <c r="AB4466" s="4">
        <f t="shared" si="682"/>
        <v>0</v>
      </c>
      <c r="AC4466" s="4">
        <f t="shared" si="684"/>
        <v>0</v>
      </c>
      <c r="AD4466" s="6">
        <f t="shared" si="679"/>
        <v>0</v>
      </c>
      <c r="AE4466" s="2">
        <f>VLOOKUP(I4466,[1]媒体政策预估表!A:N,MATCH(O4466,[1]媒体政策预估表!$A$2:$M$2,0),0)</f>
        <v>7.0000000000000007E-2</v>
      </c>
      <c r="AF4466" s="6">
        <f t="shared" si="685"/>
        <v>0</v>
      </c>
      <c r="AG4466" s="14">
        <v>0</v>
      </c>
      <c r="AH4466" s="65">
        <f t="shared" si="680"/>
        <v>0</v>
      </c>
      <c r="AI4466" s="47"/>
      <c r="AJ4466" s="126" t="e">
        <v>#N/A</v>
      </c>
      <c r="AK4466" s="80">
        <f t="shared" si="683"/>
        <v>0</v>
      </c>
      <c r="AM4466" s="85"/>
    </row>
    <row r="4467" spans="1:39" hidden="1" x14ac:dyDescent="0.3">
      <c r="A4467" s="89" t="s">
        <v>3394</v>
      </c>
      <c r="B4467" s="86" t="s">
        <v>35</v>
      </c>
      <c r="C4467" s="86" t="s">
        <v>164</v>
      </c>
      <c r="D4467" s="86" t="s">
        <v>305</v>
      </c>
      <c r="E4467" s="86" t="s">
        <v>2220</v>
      </c>
      <c r="F4467" s="86" t="s">
        <v>2220</v>
      </c>
      <c r="G4467" s="86" t="s">
        <v>2220</v>
      </c>
      <c r="H4467" s="143">
        <v>360</v>
      </c>
      <c r="I4467" s="86" t="s">
        <v>1060</v>
      </c>
      <c r="J4467" s="1" t="s">
        <v>3325</v>
      </c>
      <c r="K4467" s="1" t="s">
        <v>3287</v>
      </c>
      <c r="L4467" s="1" t="s">
        <v>35</v>
      </c>
      <c r="M4467" s="86" t="s">
        <v>2221</v>
      </c>
      <c r="N4467" s="86"/>
      <c r="O4467" s="47" t="s">
        <v>45</v>
      </c>
      <c r="P4467" s="47" t="s">
        <v>46</v>
      </c>
      <c r="Q4467" s="14">
        <v>0.1</v>
      </c>
      <c r="R4467" s="143" t="s">
        <v>2222</v>
      </c>
      <c r="S4467" s="47"/>
      <c r="T4467" s="6">
        <v>628.40999999999894</v>
      </c>
      <c r="U4467" s="6"/>
      <c r="V4467" s="6">
        <v>0</v>
      </c>
      <c r="W4467" s="6">
        <f t="shared" si="677"/>
        <v>628.40999999999894</v>
      </c>
      <c r="X4467" s="6">
        <f t="shared" si="678"/>
        <v>0</v>
      </c>
      <c r="Y4467" s="13">
        <f t="shared" si="681"/>
        <v>0</v>
      </c>
      <c r="Z4467" s="14">
        <v>0</v>
      </c>
      <c r="AA4467" s="6">
        <v>0</v>
      </c>
      <c r="AB4467" s="4">
        <f t="shared" si="682"/>
        <v>0</v>
      </c>
      <c r="AC4467" s="4">
        <f t="shared" si="684"/>
        <v>0</v>
      </c>
      <c r="AD4467" s="6">
        <f t="shared" si="679"/>
        <v>0</v>
      </c>
      <c r="AE4467" s="2">
        <f>VLOOKUP(I4467,[1]媒体政策预估表!A:N,MATCH(O4467,[1]媒体政策预估表!$A$2:$M$2,0),0)</f>
        <v>0.12</v>
      </c>
      <c r="AF4467" s="6">
        <f t="shared" si="685"/>
        <v>0</v>
      </c>
      <c r="AG4467" s="14">
        <v>0</v>
      </c>
      <c r="AH4467" s="65">
        <f t="shared" si="680"/>
        <v>0</v>
      </c>
      <c r="AI4467" s="47"/>
      <c r="AJ4467" s="126" t="e">
        <v>#N/A</v>
      </c>
      <c r="AK4467" s="80">
        <f t="shared" si="683"/>
        <v>0</v>
      </c>
      <c r="AM4467" s="85"/>
    </row>
    <row r="4468" spans="1:39" hidden="1" x14ac:dyDescent="0.3">
      <c r="A4468" s="89" t="s">
        <v>3394</v>
      </c>
      <c r="B4468" s="86" t="s">
        <v>35</v>
      </c>
      <c r="C4468" s="86" t="s">
        <v>164</v>
      </c>
      <c r="D4468" s="86" t="s">
        <v>305</v>
      </c>
      <c r="E4468" s="86" t="s">
        <v>1703</v>
      </c>
      <c r="F4468" s="86" t="s">
        <v>1703</v>
      </c>
      <c r="G4468" s="86" t="s">
        <v>1703</v>
      </c>
      <c r="H4468" s="143">
        <v>360</v>
      </c>
      <c r="I4468" s="86" t="s">
        <v>1060</v>
      </c>
      <c r="J4468" s="1" t="s">
        <v>3325</v>
      </c>
      <c r="K4468" s="1" t="s">
        <v>3287</v>
      </c>
      <c r="L4468" s="1" t="s">
        <v>35</v>
      </c>
      <c r="M4468" s="86" t="s">
        <v>2223</v>
      </c>
      <c r="N4468" s="86"/>
      <c r="O4468" s="47" t="s">
        <v>410</v>
      </c>
      <c r="P4468" s="47" t="s">
        <v>46</v>
      </c>
      <c r="Q4468" s="14">
        <v>0.02</v>
      </c>
      <c r="R4468" s="143" t="s">
        <v>2224</v>
      </c>
      <c r="S4468" s="47"/>
      <c r="T4468" s="6">
        <v>3445.4</v>
      </c>
      <c r="U4468" s="6"/>
      <c r="V4468" s="6">
        <v>0</v>
      </c>
      <c r="W4468" s="6">
        <f t="shared" si="677"/>
        <v>3445.4</v>
      </c>
      <c r="X4468" s="6">
        <f t="shared" si="678"/>
        <v>0</v>
      </c>
      <c r="Y4468" s="13">
        <f t="shared" si="681"/>
        <v>0</v>
      </c>
      <c r="Z4468" s="14">
        <v>0</v>
      </c>
      <c r="AA4468" s="6">
        <v>0</v>
      </c>
      <c r="AB4468" s="4">
        <f t="shared" si="682"/>
        <v>0</v>
      </c>
      <c r="AC4468" s="4">
        <f t="shared" si="684"/>
        <v>0</v>
      </c>
      <c r="AD4468" s="6">
        <f t="shared" si="679"/>
        <v>0</v>
      </c>
      <c r="AE4468" s="2">
        <f>VLOOKUP(I4468,[1]媒体政策预估表!A:N,MATCH(O4468,[1]媒体政策预估表!$A$2:$M$2,0),0)</f>
        <v>7.0000000000000007E-2</v>
      </c>
      <c r="AF4468" s="6">
        <f t="shared" si="685"/>
        <v>0</v>
      </c>
      <c r="AG4468" s="14">
        <v>0</v>
      </c>
      <c r="AH4468" s="65">
        <f t="shared" si="680"/>
        <v>0</v>
      </c>
      <c r="AI4468" s="47"/>
      <c r="AJ4468" s="126" t="e">
        <v>#N/A</v>
      </c>
      <c r="AK4468" s="80">
        <f t="shared" si="683"/>
        <v>0</v>
      </c>
      <c r="AM4468" s="85"/>
    </row>
    <row r="4469" spans="1:39" hidden="1" x14ac:dyDescent="0.3">
      <c r="A4469" s="89" t="s">
        <v>3394</v>
      </c>
      <c r="B4469" s="86" t="s">
        <v>35</v>
      </c>
      <c r="C4469" s="86" t="s">
        <v>164</v>
      </c>
      <c r="D4469" s="86" t="s">
        <v>305</v>
      </c>
      <c r="E4469" s="86" t="s">
        <v>1715</v>
      </c>
      <c r="F4469" s="86" t="s">
        <v>1716</v>
      </c>
      <c r="G4469" s="86" t="s">
        <v>1715</v>
      </c>
      <c r="H4469" s="143">
        <v>360</v>
      </c>
      <c r="I4469" s="86" t="s">
        <v>1060</v>
      </c>
      <c r="J4469" s="1" t="s">
        <v>3325</v>
      </c>
      <c r="K4469" s="1" t="s">
        <v>3287</v>
      </c>
      <c r="L4469" s="1" t="s">
        <v>35</v>
      </c>
      <c r="M4469" s="86" t="s">
        <v>2225</v>
      </c>
      <c r="N4469" s="86"/>
      <c r="O4469" s="47" t="s">
        <v>45</v>
      </c>
      <c r="P4469" s="47" t="s">
        <v>46</v>
      </c>
      <c r="Q4469" s="14">
        <v>0.06</v>
      </c>
      <c r="R4469" s="143" t="s">
        <v>2226</v>
      </c>
      <c r="S4469" s="47"/>
      <c r="T4469" s="6">
        <v>9481.92</v>
      </c>
      <c r="U4469" s="6"/>
      <c r="V4469" s="6">
        <v>0</v>
      </c>
      <c r="W4469" s="6">
        <f t="shared" si="677"/>
        <v>9481.92</v>
      </c>
      <c r="X4469" s="6">
        <f t="shared" si="678"/>
        <v>0</v>
      </c>
      <c r="Y4469" s="13">
        <f t="shared" si="681"/>
        <v>0</v>
      </c>
      <c r="Z4469" s="14">
        <v>0</v>
      </c>
      <c r="AA4469" s="6">
        <v>0</v>
      </c>
      <c r="AB4469" s="4">
        <f t="shared" si="682"/>
        <v>0</v>
      </c>
      <c r="AC4469" s="4">
        <f t="shared" si="684"/>
        <v>0</v>
      </c>
      <c r="AD4469" s="6">
        <f t="shared" si="679"/>
        <v>0</v>
      </c>
      <c r="AE4469" s="2">
        <f>VLOOKUP(I4469,[1]媒体政策预估表!A:N,MATCH(O4469,[1]媒体政策预估表!$A$2:$M$2,0),0)</f>
        <v>0.12</v>
      </c>
      <c r="AF4469" s="6">
        <f t="shared" si="685"/>
        <v>0</v>
      </c>
      <c r="AG4469" s="14">
        <v>0</v>
      </c>
      <c r="AH4469" s="65">
        <f t="shared" si="680"/>
        <v>0</v>
      </c>
      <c r="AI4469" s="47"/>
      <c r="AJ4469" s="126" t="e">
        <v>#N/A</v>
      </c>
      <c r="AK4469" s="80">
        <f t="shared" si="683"/>
        <v>0</v>
      </c>
      <c r="AM4469" s="85"/>
    </row>
    <row r="4470" spans="1:39" hidden="1" x14ac:dyDescent="0.3">
      <c r="A4470" s="89" t="s">
        <v>3394</v>
      </c>
      <c r="B4470" s="86" t="s">
        <v>35</v>
      </c>
      <c r="C4470" s="86" t="s">
        <v>164</v>
      </c>
      <c r="D4470" s="86" t="s">
        <v>305</v>
      </c>
      <c r="E4470" s="86" t="s">
        <v>1715</v>
      </c>
      <c r="F4470" s="86" t="s">
        <v>1716</v>
      </c>
      <c r="G4470" s="86" t="s">
        <v>1715</v>
      </c>
      <c r="H4470" s="143">
        <v>360</v>
      </c>
      <c r="I4470" s="86" t="s">
        <v>1060</v>
      </c>
      <c r="J4470" s="1" t="s">
        <v>3325</v>
      </c>
      <c r="K4470" s="1" t="s">
        <v>3287</v>
      </c>
      <c r="L4470" s="1" t="s">
        <v>35</v>
      </c>
      <c r="M4470" s="86" t="s">
        <v>2225</v>
      </c>
      <c r="N4470" s="86"/>
      <c r="O4470" s="47" t="s">
        <v>410</v>
      </c>
      <c r="P4470" s="47" t="s">
        <v>46</v>
      </c>
      <c r="Q4470" s="14">
        <v>0.02</v>
      </c>
      <c r="R4470" s="143" t="s">
        <v>2227</v>
      </c>
      <c r="S4470" s="47"/>
      <c r="T4470" s="6">
        <v>10200</v>
      </c>
      <c r="U4470" s="6"/>
      <c r="V4470" s="6">
        <v>0</v>
      </c>
      <c r="W4470" s="6">
        <f t="shared" si="677"/>
        <v>10200</v>
      </c>
      <c r="X4470" s="6">
        <f t="shared" si="678"/>
        <v>0</v>
      </c>
      <c r="Y4470" s="13">
        <f t="shared" si="681"/>
        <v>0</v>
      </c>
      <c r="Z4470" s="14">
        <v>0</v>
      </c>
      <c r="AA4470" s="6">
        <v>0</v>
      </c>
      <c r="AB4470" s="4">
        <f t="shared" si="682"/>
        <v>0</v>
      </c>
      <c r="AC4470" s="4">
        <f t="shared" si="684"/>
        <v>0</v>
      </c>
      <c r="AD4470" s="6">
        <f t="shared" si="679"/>
        <v>0</v>
      </c>
      <c r="AE4470" s="2">
        <f>VLOOKUP(I4470,[1]媒体政策预估表!A:N,MATCH(O4470,[1]媒体政策预估表!$A$2:$M$2,0),0)</f>
        <v>7.0000000000000007E-2</v>
      </c>
      <c r="AF4470" s="6">
        <f t="shared" si="685"/>
        <v>0</v>
      </c>
      <c r="AG4470" s="14">
        <v>0</v>
      </c>
      <c r="AH4470" s="65">
        <f t="shared" si="680"/>
        <v>0</v>
      </c>
      <c r="AI4470" s="47"/>
      <c r="AJ4470" s="126" t="e">
        <v>#N/A</v>
      </c>
      <c r="AK4470" s="80">
        <f t="shared" si="683"/>
        <v>0</v>
      </c>
      <c r="AM4470" s="85"/>
    </row>
    <row r="4471" spans="1:39" hidden="1" x14ac:dyDescent="0.3">
      <c r="A4471" s="89" t="s">
        <v>3394</v>
      </c>
      <c r="B4471" s="86" t="s">
        <v>35</v>
      </c>
      <c r="C4471" s="86" t="s">
        <v>164</v>
      </c>
      <c r="D4471" s="86" t="s">
        <v>305</v>
      </c>
      <c r="E4471" s="86" t="s">
        <v>2228</v>
      </c>
      <c r="F4471" s="86" t="s">
        <v>2228</v>
      </c>
      <c r="G4471" s="86" t="s">
        <v>2228</v>
      </c>
      <c r="H4471" s="143">
        <v>360</v>
      </c>
      <c r="I4471" s="86" t="s">
        <v>1060</v>
      </c>
      <c r="J4471" s="1" t="s">
        <v>3325</v>
      </c>
      <c r="K4471" s="1" t="s">
        <v>3287</v>
      </c>
      <c r="L4471" s="1" t="s">
        <v>35</v>
      </c>
      <c r="M4471" s="86" t="s">
        <v>2228</v>
      </c>
      <c r="N4471" s="86"/>
      <c r="O4471" s="47" t="s">
        <v>45</v>
      </c>
      <c r="P4471" s="47" t="s">
        <v>41</v>
      </c>
      <c r="Q4471" s="14">
        <v>0</v>
      </c>
      <c r="R4471" s="143" t="s">
        <v>2229</v>
      </c>
      <c r="S4471" s="47"/>
      <c r="T4471" s="6">
        <v>3704.22</v>
      </c>
      <c r="U4471" s="6"/>
      <c r="V4471" s="6">
        <v>0</v>
      </c>
      <c r="W4471" s="6">
        <f t="shared" si="677"/>
        <v>3704.22</v>
      </c>
      <c r="X4471" s="6">
        <f t="shared" si="678"/>
        <v>0</v>
      </c>
      <c r="Y4471" s="13">
        <f t="shared" si="681"/>
        <v>0</v>
      </c>
      <c r="Z4471" s="14">
        <v>0</v>
      </c>
      <c r="AA4471" s="6">
        <v>0</v>
      </c>
      <c r="AB4471" s="4">
        <f t="shared" si="682"/>
        <v>0</v>
      </c>
      <c r="AC4471" s="4">
        <f t="shared" si="684"/>
        <v>0</v>
      </c>
      <c r="AD4471" s="6">
        <f t="shared" si="679"/>
        <v>0</v>
      </c>
      <c r="AE4471" s="2">
        <f>VLOOKUP(I4471,[1]媒体政策预估表!A:N,MATCH(O4471,[1]媒体政策预估表!$A$2:$M$2,0),0)</f>
        <v>0.12</v>
      </c>
      <c r="AF4471" s="6">
        <f t="shared" si="685"/>
        <v>0</v>
      </c>
      <c r="AG4471" s="14">
        <v>0</v>
      </c>
      <c r="AH4471" s="65">
        <f t="shared" si="680"/>
        <v>0</v>
      </c>
      <c r="AI4471" s="47"/>
      <c r="AJ4471" s="126" t="e">
        <v>#N/A</v>
      </c>
      <c r="AK4471" s="80">
        <f t="shared" si="683"/>
        <v>0</v>
      </c>
      <c r="AM4471" s="85"/>
    </row>
    <row r="4472" spans="1:39" hidden="1" x14ac:dyDescent="0.3">
      <c r="A4472" s="89" t="s">
        <v>3394</v>
      </c>
      <c r="B4472" s="86" t="s">
        <v>35</v>
      </c>
      <c r="C4472" s="86" t="s">
        <v>164</v>
      </c>
      <c r="D4472" s="86" t="s">
        <v>305</v>
      </c>
      <c r="E4472" s="86" t="s">
        <v>2230</v>
      </c>
      <c r="F4472" s="86" t="s">
        <v>2231</v>
      </c>
      <c r="G4472" s="86" t="s">
        <v>2230</v>
      </c>
      <c r="H4472" s="143">
        <v>360</v>
      </c>
      <c r="I4472" s="86" t="s">
        <v>1060</v>
      </c>
      <c r="J4472" s="1" t="s">
        <v>3325</v>
      </c>
      <c r="K4472" s="1" t="s">
        <v>3287</v>
      </c>
      <c r="L4472" s="1" t="s">
        <v>35</v>
      </c>
      <c r="M4472" s="86" t="s">
        <v>2230</v>
      </c>
      <c r="N4472" s="86"/>
      <c r="O4472" s="47" t="s">
        <v>45</v>
      </c>
      <c r="P4472" s="47" t="s">
        <v>46</v>
      </c>
      <c r="Q4472" s="14">
        <v>0.2</v>
      </c>
      <c r="R4472" s="143" t="s">
        <v>2232</v>
      </c>
      <c r="S4472" s="47"/>
      <c r="T4472" s="6">
        <v>2.93</v>
      </c>
      <c r="U4472" s="6"/>
      <c r="V4472" s="6">
        <v>0</v>
      </c>
      <c r="W4472" s="6">
        <f t="shared" si="677"/>
        <v>2.93</v>
      </c>
      <c r="X4472" s="6">
        <f t="shared" si="678"/>
        <v>0</v>
      </c>
      <c r="Y4472" s="13">
        <f t="shared" si="681"/>
        <v>0</v>
      </c>
      <c r="Z4472" s="14">
        <v>0</v>
      </c>
      <c r="AA4472" s="6">
        <v>0</v>
      </c>
      <c r="AB4472" s="4"/>
      <c r="AC4472" s="4">
        <f t="shared" si="684"/>
        <v>0</v>
      </c>
      <c r="AD4472" s="6">
        <f t="shared" si="679"/>
        <v>0</v>
      </c>
      <c r="AE4472" s="2">
        <f>VLOOKUP(I4472,[1]媒体政策预估表!A:N,MATCH(O4472,[1]媒体政策预估表!$A$2:$M$2,0),0)</f>
        <v>0.12</v>
      </c>
      <c r="AF4472" s="6">
        <f t="shared" si="685"/>
        <v>0</v>
      </c>
      <c r="AG4472" s="14">
        <v>0</v>
      </c>
      <c r="AH4472" s="65">
        <f t="shared" si="680"/>
        <v>0</v>
      </c>
      <c r="AI4472" s="47"/>
      <c r="AJ4472" s="126">
        <v>12</v>
      </c>
      <c r="AK4472" s="80">
        <f t="shared" si="683"/>
        <v>0</v>
      </c>
      <c r="AM4472" s="85"/>
    </row>
    <row r="4473" spans="1:39" hidden="1" x14ac:dyDescent="0.3">
      <c r="A4473" s="89" t="s">
        <v>3394</v>
      </c>
      <c r="B4473" s="86" t="s">
        <v>35</v>
      </c>
      <c r="C4473" s="86" t="s">
        <v>164</v>
      </c>
      <c r="D4473" s="86" t="s">
        <v>305</v>
      </c>
      <c r="E4473" s="86" t="s">
        <v>2233</v>
      </c>
      <c r="F4473" s="86" t="s">
        <v>2233</v>
      </c>
      <c r="G4473" s="86" t="s">
        <v>2233</v>
      </c>
      <c r="H4473" s="143">
        <v>360</v>
      </c>
      <c r="I4473" s="86" t="s">
        <v>1060</v>
      </c>
      <c r="J4473" s="1" t="s">
        <v>3325</v>
      </c>
      <c r="K4473" s="1" t="s">
        <v>3287</v>
      </c>
      <c r="L4473" s="1" t="s">
        <v>35</v>
      </c>
      <c r="M4473" s="86" t="s">
        <v>2233</v>
      </c>
      <c r="N4473" s="86"/>
      <c r="O4473" s="47" t="s">
        <v>410</v>
      </c>
      <c r="P4473" s="47" t="s">
        <v>41</v>
      </c>
      <c r="Q4473" s="14">
        <v>0</v>
      </c>
      <c r="R4473" s="143" t="s">
        <v>2234</v>
      </c>
      <c r="S4473" s="47"/>
      <c r="T4473" s="6">
        <v>1166.5999999999999</v>
      </c>
      <c r="U4473" s="6"/>
      <c r="V4473" s="6">
        <v>0</v>
      </c>
      <c r="W4473" s="6">
        <f t="shared" si="677"/>
        <v>1166.5999999999999</v>
      </c>
      <c r="X4473" s="6">
        <f t="shared" si="678"/>
        <v>0</v>
      </c>
      <c r="Y4473" s="13">
        <f t="shared" si="681"/>
        <v>0</v>
      </c>
      <c r="Z4473" s="14">
        <v>0</v>
      </c>
      <c r="AA4473" s="6">
        <v>0</v>
      </c>
      <c r="AB4473" s="4">
        <f t="shared" si="682"/>
        <v>0</v>
      </c>
      <c r="AC4473" s="4">
        <f t="shared" si="684"/>
        <v>0</v>
      </c>
      <c r="AD4473" s="6">
        <f t="shared" si="679"/>
        <v>0</v>
      </c>
      <c r="AE4473" s="2">
        <f>VLOOKUP(I4473,[1]媒体政策预估表!A:N,MATCH(O4473,[1]媒体政策预估表!$A$2:$M$2,0),0)</f>
        <v>7.0000000000000007E-2</v>
      </c>
      <c r="AF4473" s="6">
        <f t="shared" si="685"/>
        <v>0</v>
      </c>
      <c r="AG4473" s="14">
        <v>0</v>
      </c>
      <c r="AH4473" s="65">
        <f t="shared" si="680"/>
        <v>0</v>
      </c>
      <c r="AI4473" s="47"/>
      <c r="AJ4473" s="126" t="e">
        <v>#N/A</v>
      </c>
      <c r="AK4473" s="80">
        <f t="shared" si="683"/>
        <v>0</v>
      </c>
      <c r="AM4473" s="85"/>
    </row>
    <row r="4474" spans="1:39" hidden="1" x14ac:dyDescent="0.3">
      <c r="A4474" s="89" t="s">
        <v>3395</v>
      </c>
      <c r="B4474" s="86" t="s">
        <v>35</v>
      </c>
      <c r="C4474" s="86" t="s">
        <v>164</v>
      </c>
      <c r="D4474" s="86" t="s">
        <v>305</v>
      </c>
      <c r="E4474" s="86" t="s">
        <v>2235</v>
      </c>
      <c r="F4474" s="86" t="s">
        <v>2235</v>
      </c>
      <c r="G4474" s="86" t="s">
        <v>2235</v>
      </c>
      <c r="H4474" s="143">
        <v>360</v>
      </c>
      <c r="I4474" s="86" t="s">
        <v>1060</v>
      </c>
      <c r="J4474" s="1" t="s">
        <v>3325</v>
      </c>
      <c r="K4474" s="1" t="s">
        <v>3287</v>
      </c>
      <c r="L4474" s="1" t="s">
        <v>35</v>
      </c>
      <c r="M4474" s="86" t="s">
        <v>2235</v>
      </c>
      <c r="N4474" s="86"/>
      <c r="O4474" s="47" t="s">
        <v>410</v>
      </c>
      <c r="P4474" s="47" t="s">
        <v>46</v>
      </c>
      <c r="Q4474" s="14">
        <v>0.04</v>
      </c>
      <c r="R4474" s="143" t="s">
        <v>2236</v>
      </c>
      <c r="S4474" s="47"/>
      <c r="T4474" s="6">
        <v>4759</v>
      </c>
      <c r="U4474" s="6"/>
      <c r="V4474" s="6">
        <v>0</v>
      </c>
      <c r="W4474" s="6">
        <f t="shared" si="677"/>
        <v>4759</v>
      </c>
      <c r="X4474" s="6">
        <f t="shared" si="678"/>
        <v>0</v>
      </c>
      <c r="Y4474" s="13">
        <f t="shared" si="681"/>
        <v>0</v>
      </c>
      <c r="Z4474" s="14">
        <v>0</v>
      </c>
      <c r="AA4474" s="6">
        <v>0</v>
      </c>
      <c r="AB4474" s="4">
        <f t="shared" si="682"/>
        <v>0</v>
      </c>
      <c r="AC4474" s="4">
        <f t="shared" si="684"/>
        <v>0</v>
      </c>
      <c r="AD4474" s="6">
        <f t="shared" si="679"/>
        <v>0</v>
      </c>
      <c r="AE4474" s="2">
        <f>VLOOKUP(I4474,[1]媒体政策预估表!A:N,MATCH(O4474,[1]媒体政策预估表!$A$2:$M$2,0),0)</f>
        <v>7.0000000000000007E-2</v>
      </c>
      <c r="AF4474" s="6">
        <f t="shared" si="685"/>
        <v>0</v>
      </c>
      <c r="AG4474" s="14">
        <v>0</v>
      </c>
      <c r="AH4474" s="65">
        <f t="shared" si="680"/>
        <v>0</v>
      </c>
      <c r="AI4474" s="47"/>
      <c r="AJ4474" s="126" t="e">
        <v>#N/A</v>
      </c>
      <c r="AK4474" s="80">
        <f t="shared" si="683"/>
        <v>0</v>
      </c>
      <c r="AM4474" s="85"/>
    </row>
    <row r="4475" spans="1:39" hidden="1" x14ac:dyDescent="0.3">
      <c r="A4475" s="89" t="s">
        <v>3395</v>
      </c>
      <c r="B4475" s="86" t="s">
        <v>35</v>
      </c>
      <c r="C4475" s="86" t="s">
        <v>164</v>
      </c>
      <c r="D4475" s="86" t="s">
        <v>165</v>
      </c>
      <c r="E4475" s="86" t="s">
        <v>2237</v>
      </c>
      <c r="F4475" s="86" t="s">
        <v>2237</v>
      </c>
      <c r="G4475" s="86" t="s">
        <v>2237</v>
      </c>
      <c r="H4475" s="143">
        <v>360</v>
      </c>
      <c r="I4475" s="86" t="s">
        <v>1060</v>
      </c>
      <c r="J4475" s="1" t="s">
        <v>3325</v>
      </c>
      <c r="K4475" s="1" t="s">
        <v>3287</v>
      </c>
      <c r="L4475" s="1" t="s">
        <v>35</v>
      </c>
      <c r="M4475" s="86" t="s">
        <v>2238</v>
      </c>
      <c r="N4475" s="86"/>
      <c r="O4475" s="47" t="s">
        <v>410</v>
      </c>
      <c r="P4475" s="47" t="s">
        <v>46</v>
      </c>
      <c r="Q4475" s="14">
        <v>0.02</v>
      </c>
      <c r="R4475" s="143" t="s">
        <v>2239</v>
      </c>
      <c r="S4475" s="47"/>
      <c r="T4475" s="6">
        <v>31033.109999999971</v>
      </c>
      <c r="U4475" s="6"/>
      <c r="V4475" s="6">
        <v>0</v>
      </c>
      <c r="W4475" s="6">
        <f t="shared" ref="W4475:W4538" si="686">T4475+U4475-V4475</f>
        <v>31033.109999999971</v>
      </c>
      <c r="X4475" s="6">
        <f t="shared" ref="X4475:X4538" si="687">IF(P4475="折扣",V4475*Q4475,IF(P4475="返现",V4475,V4475/(1+Q4475)))</f>
        <v>0</v>
      </c>
      <c r="Y4475" s="13">
        <f t="shared" si="681"/>
        <v>0</v>
      </c>
      <c r="Z4475" s="14">
        <v>0</v>
      </c>
      <c r="AA4475" s="6">
        <v>0</v>
      </c>
      <c r="AB4475" s="4">
        <f t="shared" si="682"/>
        <v>0</v>
      </c>
      <c r="AC4475" s="4">
        <f t="shared" si="684"/>
        <v>0</v>
      </c>
      <c r="AD4475" s="6">
        <f t="shared" ref="AD4475:AD4538" si="688">V4475</f>
        <v>0</v>
      </c>
      <c r="AE4475" s="2">
        <f>VLOOKUP(I4475,[1]媒体政策预估表!A:N,MATCH(O4475,[1]媒体政策预估表!$A$2:$M$2,0),0)</f>
        <v>7.0000000000000007E-2</v>
      </c>
      <c r="AF4475" s="6">
        <f t="shared" si="685"/>
        <v>0</v>
      </c>
      <c r="AG4475" s="14">
        <v>0</v>
      </c>
      <c r="AH4475" s="65">
        <f t="shared" ref="AH4475:AH4538" si="689">V4475</f>
        <v>0</v>
      </c>
      <c r="AI4475" s="47"/>
      <c r="AJ4475" s="126" t="e">
        <v>#N/A</v>
      </c>
      <c r="AK4475" s="80">
        <f t="shared" si="683"/>
        <v>0</v>
      </c>
      <c r="AM4475" s="85"/>
    </row>
    <row r="4476" spans="1:39" hidden="1" x14ac:dyDescent="0.3">
      <c r="A4476" s="89" t="s">
        <v>3394</v>
      </c>
      <c r="B4476" s="86" t="s">
        <v>35</v>
      </c>
      <c r="C4476" s="86" t="s">
        <v>164</v>
      </c>
      <c r="D4476" s="86" t="s">
        <v>165</v>
      </c>
      <c r="E4476" s="86" t="s">
        <v>619</v>
      </c>
      <c r="F4476" s="86" t="s">
        <v>620</v>
      </c>
      <c r="G4476" s="86" t="s">
        <v>619</v>
      </c>
      <c r="H4476" s="143">
        <v>360</v>
      </c>
      <c r="I4476" s="86" t="s">
        <v>1060</v>
      </c>
      <c r="J4476" s="1" t="s">
        <v>3325</v>
      </c>
      <c r="K4476" s="1" t="s">
        <v>3287</v>
      </c>
      <c r="L4476" s="1" t="s">
        <v>35</v>
      </c>
      <c r="M4476" s="86" t="s">
        <v>619</v>
      </c>
      <c r="N4476" s="86"/>
      <c r="O4476" s="47" t="s">
        <v>2054</v>
      </c>
      <c r="P4476" s="47" t="s">
        <v>46</v>
      </c>
      <c r="Q4476" s="14">
        <v>0.04</v>
      </c>
      <c r="R4476" s="143" t="s">
        <v>2064</v>
      </c>
      <c r="S4476" s="47"/>
      <c r="T4476" s="6">
        <v>-1993.4765199999997</v>
      </c>
      <c r="U4476" s="6"/>
      <c r="V4476" s="6">
        <v>0</v>
      </c>
      <c r="W4476" s="6">
        <f t="shared" si="686"/>
        <v>-1993.4765199999997</v>
      </c>
      <c r="X4476" s="6">
        <f t="shared" si="687"/>
        <v>0</v>
      </c>
      <c r="Y4476" s="13">
        <f t="shared" si="681"/>
        <v>0</v>
      </c>
      <c r="Z4476" s="14">
        <v>0</v>
      </c>
      <c r="AA4476" s="6">
        <v>0</v>
      </c>
      <c r="AB4476" s="4">
        <f t="shared" si="682"/>
        <v>0</v>
      </c>
      <c r="AC4476" s="4">
        <f t="shared" si="684"/>
        <v>0</v>
      </c>
      <c r="AD4476" s="6">
        <f t="shared" si="688"/>
        <v>0</v>
      </c>
      <c r="AE4476" s="2">
        <f>VLOOKUP(I4476,[1]媒体政策预估表!A:N,MATCH(O4476,[1]媒体政策预估表!$A$2:$M$2,0),0)</f>
        <v>0.12</v>
      </c>
      <c r="AF4476" s="6">
        <f t="shared" si="685"/>
        <v>0</v>
      </c>
      <c r="AG4476" s="14">
        <v>0</v>
      </c>
      <c r="AH4476" s="65">
        <f t="shared" si="689"/>
        <v>0</v>
      </c>
      <c r="AI4476" s="47"/>
      <c r="AJ4476" s="126" t="e">
        <v>#N/A</v>
      </c>
      <c r="AK4476" s="80">
        <f t="shared" si="683"/>
        <v>0</v>
      </c>
      <c r="AM4476" s="85"/>
    </row>
    <row r="4477" spans="1:39" hidden="1" x14ac:dyDescent="0.3">
      <c r="A4477" s="89" t="s">
        <v>3394</v>
      </c>
      <c r="B4477" s="86" t="s">
        <v>35</v>
      </c>
      <c r="C4477" s="86" t="s">
        <v>164</v>
      </c>
      <c r="D4477" s="86" t="s">
        <v>165</v>
      </c>
      <c r="E4477" s="86" t="s">
        <v>2240</v>
      </c>
      <c r="F4477" s="86" t="s">
        <v>2240</v>
      </c>
      <c r="G4477" s="86" t="s">
        <v>2240</v>
      </c>
      <c r="H4477" s="143">
        <v>360</v>
      </c>
      <c r="I4477" s="86" t="s">
        <v>1060</v>
      </c>
      <c r="J4477" s="1" t="s">
        <v>3325</v>
      </c>
      <c r="K4477" s="1" t="s">
        <v>3287</v>
      </c>
      <c r="L4477" s="1" t="s">
        <v>35</v>
      </c>
      <c r="M4477" s="86" t="s">
        <v>2240</v>
      </c>
      <c r="N4477" s="86"/>
      <c r="O4477" s="47" t="s">
        <v>410</v>
      </c>
      <c r="P4477" s="47" t="s">
        <v>41</v>
      </c>
      <c r="Q4477" s="14">
        <v>0</v>
      </c>
      <c r="R4477" s="143" t="s">
        <v>2241</v>
      </c>
      <c r="S4477" s="47"/>
      <c r="T4477" s="6">
        <v>3139.3</v>
      </c>
      <c r="U4477" s="6"/>
      <c r="V4477" s="6">
        <v>0</v>
      </c>
      <c r="W4477" s="6">
        <f t="shared" si="686"/>
        <v>3139.3</v>
      </c>
      <c r="X4477" s="6">
        <f t="shared" si="687"/>
        <v>0</v>
      </c>
      <c r="Y4477" s="13">
        <f t="shared" si="681"/>
        <v>0</v>
      </c>
      <c r="Z4477" s="14">
        <v>0</v>
      </c>
      <c r="AA4477" s="6">
        <v>0</v>
      </c>
      <c r="AB4477" s="4">
        <f t="shared" si="682"/>
        <v>0</v>
      </c>
      <c r="AC4477" s="4">
        <f t="shared" si="684"/>
        <v>0</v>
      </c>
      <c r="AD4477" s="6">
        <f t="shared" si="688"/>
        <v>0</v>
      </c>
      <c r="AE4477" s="2">
        <f>VLOOKUP(I4477,[1]媒体政策预估表!A:N,MATCH(O4477,[1]媒体政策预估表!$A$2:$M$2,0),0)</f>
        <v>7.0000000000000007E-2</v>
      </c>
      <c r="AF4477" s="6">
        <f t="shared" si="685"/>
        <v>0</v>
      </c>
      <c r="AG4477" s="14">
        <v>0</v>
      </c>
      <c r="AH4477" s="65">
        <f t="shared" si="689"/>
        <v>0</v>
      </c>
      <c r="AI4477" s="47"/>
      <c r="AJ4477" s="126" t="e">
        <v>#N/A</v>
      </c>
      <c r="AK4477" s="80">
        <f t="shared" si="683"/>
        <v>0</v>
      </c>
      <c r="AM4477" s="85"/>
    </row>
    <row r="4478" spans="1:39" hidden="1" x14ac:dyDescent="0.3">
      <c r="A4478" s="89" t="s">
        <v>3394</v>
      </c>
      <c r="B4478" s="86" t="s">
        <v>35</v>
      </c>
      <c r="C4478" s="86" t="s">
        <v>164</v>
      </c>
      <c r="D4478" s="86" t="s">
        <v>165</v>
      </c>
      <c r="E4478" s="86" t="s">
        <v>2242</v>
      </c>
      <c r="F4478" s="86" t="s">
        <v>2242</v>
      </c>
      <c r="G4478" s="86" t="s">
        <v>2242</v>
      </c>
      <c r="H4478" s="143">
        <v>360</v>
      </c>
      <c r="I4478" s="86" t="s">
        <v>1060</v>
      </c>
      <c r="J4478" s="1" t="s">
        <v>3325</v>
      </c>
      <c r="K4478" s="1" t="s">
        <v>3287</v>
      </c>
      <c r="L4478" s="1" t="s">
        <v>35</v>
      </c>
      <c r="M4478" s="86" t="s">
        <v>2242</v>
      </c>
      <c r="N4478" s="86"/>
      <c r="O4478" s="47" t="s">
        <v>410</v>
      </c>
      <c r="P4478" s="47" t="s">
        <v>46</v>
      </c>
      <c r="Q4478" s="14">
        <v>0.01</v>
      </c>
      <c r="R4478" s="143" t="s">
        <v>2243</v>
      </c>
      <c r="S4478" s="47"/>
      <c r="T4478" s="6">
        <v>4939.5</v>
      </c>
      <c r="U4478" s="6"/>
      <c r="V4478" s="6">
        <v>0</v>
      </c>
      <c r="W4478" s="6">
        <f t="shared" si="686"/>
        <v>4939.5</v>
      </c>
      <c r="X4478" s="6">
        <f t="shared" si="687"/>
        <v>0</v>
      </c>
      <c r="Y4478" s="13">
        <f t="shared" si="681"/>
        <v>0</v>
      </c>
      <c r="Z4478" s="14">
        <v>0</v>
      </c>
      <c r="AA4478" s="6">
        <v>0</v>
      </c>
      <c r="AB4478" s="4">
        <f t="shared" si="682"/>
        <v>0</v>
      </c>
      <c r="AC4478" s="4">
        <f t="shared" si="684"/>
        <v>0</v>
      </c>
      <c r="AD4478" s="6">
        <f t="shared" si="688"/>
        <v>0</v>
      </c>
      <c r="AE4478" s="2">
        <f>VLOOKUP(I4478,[1]媒体政策预估表!A:N,MATCH(O4478,[1]媒体政策预估表!$A$2:$M$2,0),0)</f>
        <v>7.0000000000000007E-2</v>
      </c>
      <c r="AF4478" s="6">
        <f t="shared" si="685"/>
        <v>0</v>
      </c>
      <c r="AG4478" s="14">
        <v>0</v>
      </c>
      <c r="AH4478" s="65">
        <f t="shared" si="689"/>
        <v>0</v>
      </c>
      <c r="AI4478" s="47"/>
      <c r="AJ4478" s="126" t="e">
        <v>#N/A</v>
      </c>
      <c r="AK4478" s="80">
        <f t="shared" si="683"/>
        <v>0</v>
      </c>
      <c r="AM4478" s="85"/>
    </row>
    <row r="4479" spans="1:39" hidden="1" x14ac:dyDescent="0.3">
      <c r="A4479" s="89" t="s">
        <v>3394</v>
      </c>
      <c r="B4479" s="86" t="s">
        <v>35</v>
      </c>
      <c r="C4479" s="86" t="s">
        <v>164</v>
      </c>
      <c r="D4479" s="86" t="s">
        <v>169</v>
      </c>
      <c r="E4479" s="86" t="s">
        <v>2244</v>
      </c>
      <c r="F4479" s="86" t="s">
        <v>2244</v>
      </c>
      <c r="G4479" s="86" t="s">
        <v>2244</v>
      </c>
      <c r="H4479" s="143">
        <v>360</v>
      </c>
      <c r="I4479" s="86" t="s">
        <v>1060</v>
      </c>
      <c r="J4479" s="1" t="s">
        <v>3325</v>
      </c>
      <c r="K4479" s="1" t="s">
        <v>3287</v>
      </c>
      <c r="L4479" s="1" t="s">
        <v>35</v>
      </c>
      <c r="M4479" s="86" t="s">
        <v>2245</v>
      </c>
      <c r="N4479" s="86"/>
      <c r="O4479" s="47" t="s">
        <v>410</v>
      </c>
      <c r="P4479" s="47" t="s">
        <v>46</v>
      </c>
      <c r="Q4479" s="14">
        <v>0.03</v>
      </c>
      <c r="R4479" s="143" t="s">
        <v>2246</v>
      </c>
      <c r="S4479" s="47"/>
      <c r="T4479" s="6">
        <v>1</v>
      </c>
      <c r="U4479" s="6"/>
      <c r="V4479" s="6">
        <v>0</v>
      </c>
      <c r="W4479" s="6">
        <f t="shared" si="686"/>
        <v>1</v>
      </c>
      <c r="X4479" s="6">
        <f t="shared" si="687"/>
        <v>0</v>
      </c>
      <c r="Y4479" s="13">
        <f t="shared" si="681"/>
        <v>0</v>
      </c>
      <c r="Z4479" s="14">
        <v>0</v>
      </c>
      <c r="AA4479" s="6">
        <v>0</v>
      </c>
      <c r="AB4479" s="4">
        <f t="shared" si="682"/>
        <v>0</v>
      </c>
      <c r="AC4479" s="4">
        <f t="shared" si="684"/>
        <v>0</v>
      </c>
      <c r="AD4479" s="6">
        <f t="shared" si="688"/>
        <v>0</v>
      </c>
      <c r="AE4479" s="2">
        <f>VLOOKUP(I4479,[1]媒体政策预估表!A:N,MATCH(O4479,[1]媒体政策预估表!$A$2:$M$2,0),0)</f>
        <v>7.0000000000000007E-2</v>
      </c>
      <c r="AF4479" s="6">
        <f t="shared" si="685"/>
        <v>0</v>
      </c>
      <c r="AG4479" s="14">
        <v>0</v>
      </c>
      <c r="AH4479" s="65">
        <f t="shared" si="689"/>
        <v>0</v>
      </c>
      <c r="AI4479" s="47"/>
      <c r="AJ4479" s="126" t="e">
        <v>#N/A</v>
      </c>
      <c r="AK4479" s="80">
        <f t="shared" si="683"/>
        <v>0</v>
      </c>
      <c r="AM4479" s="85"/>
    </row>
    <row r="4480" spans="1:39" hidden="1" x14ac:dyDescent="0.3">
      <c r="A4480" s="89" t="s">
        <v>3394</v>
      </c>
      <c r="B4480" s="86" t="s">
        <v>35</v>
      </c>
      <c r="C4480" s="86" t="s">
        <v>164</v>
      </c>
      <c r="D4480" s="86" t="s">
        <v>169</v>
      </c>
      <c r="E4480" s="86" t="s">
        <v>2247</v>
      </c>
      <c r="F4480" s="86" t="s">
        <v>2247</v>
      </c>
      <c r="G4480" s="86" t="s">
        <v>2247</v>
      </c>
      <c r="H4480" s="143">
        <v>360</v>
      </c>
      <c r="I4480" s="86" t="s">
        <v>1060</v>
      </c>
      <c r="J4480" s="1" t="s">
        <v>3325</v>
      </c>
      <c r="K4480" s="1" t="s">
        <v>3287</v>
      </c>
      <c r="L4480" s="1" t="s">
        <v>35</v>
      </c>
      <c r="M4480" s="86" t="s">
        <v>2248</v>
      </c>
      <c r="N4480" s="86"/>
      <c r="O4480" s="47" t="s">
        <v>410</v>
      </c>
      <c r="P4480" s="47" t="s">
        <v>41</v>
      </c>
      <c r="Q4480" s="14">
        <v>0</v>
      </c>
      <c r="R4480" s="143" t="s">
        <v>2249</v>
      </c>
      <c r="S4480" s="47"/>
      <c r="T4480" s="6">
        <v>62.199999999999818</v>
      </c>
      <c r="U4480" s="6"/>
      <c r="V4480" s="6">
        <v>0</v>
      </c>
      <c r="W4480" s="6">
        <f t="shared" si="686"/>
        <v>62.199999999999818</v>
      </c>
      <c r="X4480" s="6">
        <f t="shared" si="687"/>
        <v>0</v>
      </c>
      <c r="Y4480" s="13">
        <f t="shared" si="681"/>
        <v>0</v>
      </c>
      <c r="Z4480" s="14">
        <v>0</v>
      </c>
      <c r="AA4480" s="6">
        <v>0</v>
      </c>
      <c r="AB4480" s="4">
        <f t="shared" si="682"/>
        <v>0</v>
      </c>
      <c r="AC4480" s="4">
        <f t="shared" si="684"/>
        <v>0</v>
      </c>
      <c r="AD4480" s="6">
        <f t="shared" si="688"/>
        <v>0</v>
      </c>
      <c r="AE4480" s="2">
        <f>VLOOKUP(I4480,[1]媒体政策预估表!A:N,MATCH(O4480,[1]媒体政策预估表!$A$2:$M$2,0),0)</f>
        <v>7.0000000000000007E-2</v>
      </c>
      <c r="AF4480" s="6">
        <f t="shared" si="685"/>
        <v>0</v>
      </c>
      <c r="AG4480" s="14">
        <v>0</v>
      </c>
      <c r="AH4480" s="65">
        <f t="shared" si="689"/>
        <v>0</v>
      </c>
      <c r="AI4480" s="47"/>
      <c r="AJ4480" s="126" t="e">
        <v>#N/A</v>
      </c>
      <c r="AK4480" s="80">
        <f t="shared" si="683"/>
        <v>0</v>
      </c>
      <c r="AM4480" s="85"/>
    </row>
    <row r="4481" spans="1:39" hidden="1" x14ac:dyDescent="0.3">
      <c r="A4481" s="89" t="s">
        <v>3394</v>
      </c>
      <c r="B4481" s="86" t="s">
        <v>35</v>
      </c>
      <c r="C4481" s="86" t="s">
        <v>164</v>
      </c>
      <c r="D4481" s="86" t="s">
        <v>169</v>
      </c>
      <c r="E4481" s="86" t="s">
        <v>2250</v>
      </c>
      <c r="F4481" s="86" t="s">
        <v>2250</v>
      </c>
      <c r="G4481" s="86" t="s">
        <v>2250</v>
      </c>
      <c r="H4481" s="143">
        <v>360</v>
      </c>
      <c r="I4481" s="86" t="s">
        <v>1060</v>
      </c>
      <c r="J4481" s="1" t="s">
        <v>3325</v>
      </c>
      <c r="K4481" s="1" t="s">
        <v>3287</v>
      </c>
      <c r="L4481" s="1" t="s">
        <v>35</v>
      </c>
      <c r="M4481" s="86" t="s">
        <v>2251</v>
      </c>
      <c r="N4481" s="86"/>
      <c r="O4481" s="47" t="s">
        <v>410</v>
      </c>
      <c r="P4481" s="47" t="s">
        <v>41</v>
      </c>
      <c r="Q4481" s="14">
        <v>0</v>
      </c>
      <c r="R4481" s="143" t="s">
        <v>2252</v>
      </c>
      <c r="S4481" s="47"/>
      <c r="T4481" s="6">
        <v>54.699999999999903</v>
      </c>
      <c r="U4481" s="6"/>
      <c r="V4481" s="6">
        <v>0</v>
      </c>
      <c r="W4481" s="6">
        <f t="shared" si="686"/>
        <v>54.699999999999903</v>
      </c>
      <c r="X4481" s="6">
        <f t="shared" si="687"/>
        <v>0</v>
      </c>
      <c r="Y4481" s="13">
        <f t="shared" si="681"/>
        <v>0</v>
      </c>
      <c r="Z4481" s="14">
        <v>0</v>
      </c>
      <c r="AA4481" s="6">
        <v>0</v>
      </c>
      <c r="AB4481" s="4">
        <f t="shared" si="682"/>
        <v>0</v>
      </c>
      <c r="AC4481" s="4">
        <f t="shared" si="684"/>
        <v>0</v>
      </c>
      <c r="AD4481" s="6">
        <f t="shared" si="688"/>
        <v>0</v>
      </c>
      <c r="AE4481" s="2">
        <f>VLOOKUP(I4481,[1]媒体政策预估表!A:N,MATCH(O4481,[1]媒体政策预估表!$A$2:$M$2,0),0)</f>
        <v>7.0000000000000007E-2</v>
      </c>
      <c r="AF4481" s="6">
        <f t="shared" si="685"/>
        <v>0</v>
      </c>
      <c r="AG4481" s="14">
        <v>0</v>
      </c>
      <c r="AH4481" s="65">
        <f t="shared" si="689"/>
        <v>0</v>
      </c>
      <c r="AI4481" s="47"/>
      <c r="AJ4481" s="126" t="e">
        <v>#N/A</v>
      </c>
      <c r="AK4481" s="80">
        <f t="shared" si="683"/>
        <v>0</v>
      </c>
      <c r="AM4481" s="85"/>
    </row>
    <row r="4482" spans="1:39" hidden="1" x14ac:dyDescent="0.3">
      <c r="A4482" s="89" t="s">
        <v>3394</v>
      </c>
      <c r="B4482" s="86" t="s">
        <v>35</v>
      </c>
      <c r="C4482" s="86" t="s">
        <v>164</v>
      </c>
      <c r="D4482" s="86" t="s">
        <v>169</v>
      </c>
      <c r="E4482" s="86" t="s">
        <v>1954</v>
      </c>
      <c r="F4482" s="86" t="s">
        <v>1954</v>
      </c>
      <c r="G4482" s="86" t="s">
        <v>1954</v>
      </c>
      <c r="H4482" s="143">
        <v>360</v>
      </c>
      <c r="I4482" s="86" t="s">
        <v>1060</v>
      </c>
      <c r="J4482" s="1" t="s">
        <v>3325</v>
      </c>
      <c r="K4482" s="1" t="s">
        <v>3287</v>
      </c>
      <c r="L4482" s="1" t="s">
        <v>35</v>
      </c>
      <c r="M4482" s="86" t="s">
        <v>1954</v>
      </c>
      <c r="N4482" s="86"/>
      <c r="O4482" s="47" t="s">
        <v>45</v>
      </c>
      <c r="P4482" s="47" t="s">
        <v>46</v>
      </c>
      <c r="Q4482" s="14">
        <v>0.02</v>
      </c>
      <c r="R4482" s="143" t="s">
        <v>1956</v>
      </c>
      <c r="S4482" s="47"/>
      <c r="T4482" s="6">
        <v>95600</v>
      </c>
      <c r="U4482" s="6"/>
      <c r="V4482" s="6">
        <v>0</v>
      </c>
      <c r="W4482" s="6">
        <f t="shared" si="686"/>
        <v>95600</v>
      </c>
      <c r="X4482" s="6">
        <f t="shared" si="687"/>
        <v>0</v>
      </c>
      <c r="Y4482" s="13">
        <f t="shared" si="681"/>
        <v>0</v>
      </c>
      <c r="Z4482" s="14">
        <v>0</v>
      </c>
      <c r="AA4482" s="6">
        <v>0</v>
      </c>
      <c r="AB4482" s="4">
        <f t="shared" si="682"/>
        <v>0</v>
      </c>
      <c r="AC4482" s="4">
        <f t="shared" si="684"/>
        <v>0</v>
      </c>
      <c r="AD4482" s="6">
        <f t="shared" si="688"/>
        <v>0</v>
      </c>
      <c r="AE4482" s="2">
        <f>VLOOKUP(I4482,[1]媒体政策预估表!A:N,MATCH(O4482,[1]媒体政策预估表!$A$2:$M$2,0),0)</f>
        <v>0.12</v>
      </c>
      <c r="AF4482" s="6">
        <f t="shared" si="685"/>
        <v>0</v>
      </c>
      <c r="AG4482" s="14">
        <v>0</v>
      </c>
      <c r="AH4482" s="65">
        <f t="shared" si="689"/>
        <v>0</v>
      </c>
      <c r="AI4482" s="47"/>
      <c r="AJ4482" s="126" t="e">
        <v>#N/A</v>
      </c>
      <c r="AK4482" s="80">
        <f t="shared" si="683"/>
        <v>0</v>
      </c>
      <c r="AM4482" s="85"/>
    </row>
    <row r="4483" spans="1:39" hidden="1" x14ac:dyDescent="0.3">
      <c r="A4483" s="89" t="s">
        <v>3395</v>
      </c>
      <c r="B4483" s="86" t="s">
        <v>35</v>
      </c>
      <c r="C4483" s="86" t="s">
        <v>164</v>
      </c>
      <c r="D4483" s="86" t="s">
        <v>169</v>
      </c>
      <c r="E4483" s="86" t="s">
        <v>1954</v>
      </c>
      <c r="F4483" s="86" t="s">
        <v>1954</v>
      </c>
      <c r="G4483" s="86" t="s">
        <v>1954</v>
      </c>
      <c r="H4483" s="143">
        <v>360</v>
      </c>
      <c r="I4483" s="86" t="s">
        <v>1060</v>
      </c>
      <c r="J4483" s="1" t="s">
        <v>3325</v>
      </c>
      <c r="K4483" s="1" t="s">
        <v>3287</v>
      </c>
      <c r="L4483" s="1" t="s">
        <v>35</v>
      </c>
      <c r="M4483" s="86" t="s">
        <v>1954</v>
      </c>
      <c r="N4483" s="86"/>
      <c r="O4483" s="47" t="s">
        <v>941</v>
      </c>
      <c r="P4483" s="47" t="s">
        <v>46</v>
      </c>
      <c r="Q4483" s="14">
        <v>0.02</v>
      </c>
      <c r="R4483" s="143" t="s">
        <v>1955</v>
      </c>
      <c r="S4483" s="47"/>
      <c r="T4483" s="6">
        <v>-594818.11</v>
      </c>
      <c r="U4483" s="6"/>
      <c r="V4483" s="6">
        <v>0</v>
      </c>
      <c r="W4483" s="6">
        <f t="shared" si="686"/>
        <v>-594818.11</v>
      </c>
      <c r="X4483" s="6">
        <f t="shared" si="687"/>
        <v>0</v>
      </c>
      <c r="Y4483" s="13">
        <f t="shared" ref="Y4483:Y4546" si="690">IF(X4483-AD4483&lt;=0,0,IF(P4483="返现",MAX(X4483-AC4483-AD4483,0),MAX(X4483-AD4483)))</f>
        <v>0</v>
      </c>
      <c r="Z4483" s="14">
        <v>0</v>
      </c>
      <c r="AA4483" s="6">
        <v>0</v>
      </c>
      <c r="AB4483" s="4">
        <f t="shared" ref="AB4483:AB4546" si="691">X4483+AA4483</f>
        <v>0</v>
      </c>
      <c r="AC4483" s="4">
        <f t="shared" si="684"/>
        <v>0</v>
      </c>
      <c r="AD4483" s="6">
        <f t="shared" si="688"/>
        <v>0</v>
      </c>
      <c r="AE4483" s="2">
        <f>VLOOKUP(I4483,[1]媒体政策预估表!A:N,MATCH(O4483,[1]媒体政策预估表!$A$2:$M$2,0),0)</f>
        <v>0.15</v>
      </c>
      <c r="AF4483" s="6">
        <f t="shared" si="685"/>
        <v>0</v>
      </c>
      <c r="AG4483" s="14">
        <v>0</v>
      </c>
      <c r="AH4483" s="65">
        <f t="shared" si="689"/>
        <v>0</v>
      </c>
      <c r="AI4483" s="47"/>
      <c r="AJ4483" s="126" t="e">
        <v>#N/A</v>
      </c>
      <c r="AK4483" s="80">
        <f t="shared" ref="AK4483:AK4546" si="692">X4483+AA4483-AB4483</f>
        <v>0</v>
      </c>
      <c r="AM4483" s="85"/>
    </row>
    <row r="4484" spans="1:39" hidden="1" x14ac:dyDescent="0.3">
      <c r="A4484" s="89" t="s">
        <v>3394</v>
      </c>
      <c r="B4484" s="86" t="s">
        <v>35</v>
      </c>
      <c r="C4484" s="86" t="s">
        <v>164</v>
      </c>
      <c r="D4484" s="86" t="s">
        <v>169</v>
      </c>
      <c r="E4484" s="86" t="s">
        <v>2253</v>
      </c>
      <c r="F4484" s="86" t="s">
        <v>2253</v>
      </c>
      <c r="G4484" s="86" t="s">
        <v>2253</v>
      </c>
      <c r="H4484" s="143">
        <v>360</v>
      </c>
      <c r="I4484" s="86" t="s">
        <v>1060</v>
      </c>
      <c r="J4484" s="1" t="s">
        <v>3325</v>
      </c>
      <c r="K4484" s="1" t="s">
        <v>3287</v>
      </c>
      <c r="L4484" s="1" t="s">
        <v>35</v>
      </c>
      <c r="M4484" s="86" t="s">
        <v>1996</v>
      </c>
      <c r="N4484" s="86"/>
      <c r="O4484" s="47" t="s">
        <v>410</v>
      </c>
      <c r="P4484" s="47" t="s">
        <v>41</v>
      </c>
      <c r="Q4484" s="14">
        <v>0</v>
      </c>
      <c r="R4484" s="143" t="s">
        <v>2254</v>
      </c>
      <c r="S4484" s="47"/>
      <c r="T4484" s="6">
        <v>8603.76</v>
      </c>
      <c r="U4484" s="6"/>
      <c r="V4484" s="6">
        <v>0</v>
      </c>
      <c r="W4484" s="6">
        <f t="shared" si="686"/>
        <v>8603.76</v>
      </c>
      <c r="X4484" s="6">
        <f t="shared" si="687"/>
        <v>0</v>
      </c>
      <c r="Y4484" s="13">
        <f t="shared" si="690"/>
        <v>0</v>
      </c>
      <c r="Z4484" s="14">
        <v>0</v>
      </c>
      <c r="AA4484" s="6">
        <v>0</v>
      </c>
      <c r="AB4484" s="4">
        <f t="shared" si="691"/>
        <v>0</v>
      </c>
      <c r="AC4484" s="4">
        <f t="shared" si="684"/>
        <v>0</v>
      </c>
      <c r="AD4484" s="6">
        <f t="shared" si="688"/>
        <v>0</v>
      </c>
      <c r="AE4484" s="2">
        <f>VLOOKUP(I4484,[1]媒体政策预估表!A:N,MATCH(O4484,[1]媒体政策预估表!$A$2:$M$2,0),0)</f>
        <v>7.0000000000000007E-2</v>
      </c>
      <c r="AF4484" s="6">
        <f t="shared" si="685"/>
        <v>0</v>
      </c>
      <c r="AG4484" s="14">
        <v>0</v>
      </c>
      <c r="AH4484" s="65">
        <f t="shared" si="689"/>
        <v>0</v>
      </c>
      <c r="AI4484" s="47"/>
      <c r="AJ4484" s="126" t="e">
        <v>#N/A</v>
      </c>
      <c r="AK4484" s="80">
        <f t="shared" si="692"/>
        <v>0</v>
      </c>
      <c r="AM4484" s="85"/>
    </row>
    <row r="4485" spans="1:39" hidden="1" x14ac:dyDescent="0.3">
      <c r="A4485" s="89" t="s">
        <v>3395</v>
      </c>
      <c r="B4485" s="86" t="s">
        <v>35</v>
      </c>
      <c r="C4485" s="86" t="s">
        <v>164</v>
      </c>
      <c r="D4485" s="86" t="s">
        <v>174</v>
      </c>
      <c r="E4485" s="86" t="s">
        <v>2255</v>
      </c>
      <c r="F4485" s="86" t="s">
        <v>2255</v>
      </c>
      <c r="G4485" s="86" t="s">
        <v>2255</v>
      </c>
      <c r="H4485" s="143">
        <v>360</v>
      </c>
      <c r="I4485" s="86" t="s">
        <v>1060</v>
      </c>
      <c r="J4485" s="1" t="s">
        <v>3325</v>
      </c>
      <c r="K4485" s="1" t="s">
        <v>3287</v>
      </c>
      <c r="L4485" s="1" t="s">
        <v>35</v>
      </c>
      <c r="M4485" s="86" t="s">
        <v>2255</v>
      </c>
      <c r="N4485" s="86"/>
      <c r="O4485" s="47" t="s">
        <v>45</v>
      </c>
      <c r="P4485" s="47" t="s">
        <v>41</v>
      </c>
      <c r="Q4485" s="14">
        <v>0</v>
      </c>
      <c r="R4485" s="143" t="s">
        <v>2256</v>
      </c>
      <c r="S4485" s="47"/>
      <c r="T4485" s="6">
        <v>9.9500000000007294</v>
      </c>
      <c r="U4485" s="6"/>
      <c r="V4485" s="6">
        <v>0</v>
      </c>
      <c r="W4485" s="6">
        <f t="shared" si="686"/>
        <v>9.9500000000007294</v>
      </c>
      <c r="X4485" s="6">
        <f t="shared" si="687"/>
        <v>0</v>
      </c>
      <c r="Y4485" s="13">
        <f t="shared" si="690"/>
        <v>0</v>
      </c>
      <c r="Z4485" s="14">
        <v>0</v>
      </c>
      <c r="AA4485" s="6">
        <v>0</v>
      </c>
      <c r="AB4485" s="4">
        <f t="shared" si="691"/>
        <v>0</v>
      </c>
      <c r="AC4485" s="4">
        <f t="shared" si="684"/>
        <v>0</v>
      </c>
      <c r="AD4485" s="6">
        <f t="shared" si="688"/>
        <v>0</v>
      </c>
      <c r="AE4485" s="2">
        <f>VLOOKUP(I4485,[1]媒体政策预估表!A:N,MATCH(O4485,[1]媒体政策预估表!$A$2:$M$2,0),0)</f>
        <v>0.12</v>
      </c>
      <c r="AF4485" s="6">
        <f t="shared" si="685"/>
        <v>0</v>
      </c>
      <c r="AG4485" s="14">
        <v>0</v>
      </c>
      <c r="AH4485" s="65">
        <f t="shared" si="689"/>
        <v>0</v>
      </c>
      <c r="AI4485" s="47"/>
      <c r="AJ4485" s="126" t="e">
        <v>#N/A</v>
      </c>
      <c r="AK4485" s="80">
        <f t="shared" si="692"/>
        <v>0</v>
      </c>
      <c r="AM4485" s="85"/>
    </row>
    <row r="4486" spans="1:39" hidden="1" x14ac:dyDescent="0.3">
      <c r="A4486" s="89" t="s">
        <v>3395</v>
      </c>
      <c r="B4486" s="86" t="s">
        <v>35</v>
      </c>
      <c r="C4486" s="86" t="s">
        <v>164</v>
      </c>
      <c r="D4486" s="86" t="s">
        <v>174</v>
      </c>
      <c r="E4486" s="86" t="s">
        <v>942</v>
      </c>
      <c r="F4486" s="86" t="s">
        <v>942</v>
      </c>
      <c r="G4486" s="86" t="s">
        <v>942</v>
      </c>
      <c r="H4486" s="143">
        <v>360</v>
      </c>
      <c r="I4486" s="86" t="s">
        <v>1060</v>
      </c>
      <c r="J4486" s="1" t="s">
        <v>3325</v>
      </c>
      <c r="K4486" s="1" t="s">
        <v>3287</v>
      </c>
      <c r="L4486" s="1" t="s">
        <v>35</v>
      </c>
      <c r="M4486" s="86" t="s">
        <v>2257</v>
      </c>
      <c r="N4486" s="86"/>
      <c r="O4486" s="47" t="s">
        <v>45</v>
      </c>
      <c r="P4486" s="47" t="s">
        <v>46</v>
      </c>
      <c r="Q4486" s="14">
        <v>0.06</v>
      </c>
      <c r="R4486" s="143" t="s">
        <v>2258</v>
      </c>
      <c r="S4486" s="47"/>
      <c r="T4486" s="6">
        <v>5157.2</v>
      </c>
      <c r="U4486" s="6"/>
      <c r="V4486" s="6">
        <v>0</v>
      </c>
      <c r="W4486" s="6">
        <f t="shared" si="686"/>
        <v>5157.2</v>
      </c>
      <c r="X4486" s="6">
        <f t="shared" si="687"/>
        <v>0</v>
      </c>
      <c r="Y4486" s="13">
        <f t="shared" si="690"/>
        <v>0</v>
      </c>
      <c r="Z4486" s="14">
        <v>0</v>
      </c>
      <c r="AA4486" s="6">
        <v>0</v>
      </c>
      <c r="AB4486" s="4">
        <f t="shared" si="691"/>
        <v>0</v>
      </c>
      <c r="AC4486" s="4">
        <f t="shared" si="684"/>
        <v>0</v>
      </c>
      <c r="AD4486" s="6">
        <f t="shared" si="688"/>
        <v>0</v>
      </c>
      <c r="AE4486" s="2">
        <f>VLOOKUP(I4486,[1]媒体政策预估表!A:N,MATCH(O4486,[1]媒体政策预估表!$A$2:$M$2,0),0)</f>
        <v>0.12</v>
      </c>
      <c r="AF4486" s="6">
        <f t="shared" si="685"/>
        <v>0</v>
      </c>
      <c r="AG4486" s="14">
        <v>0</v>
      </c>
      <c r="AH4486" s="65">
        <f t="shared" si="689"/>
        <v>0</v>
      </c>
      <c r="AI4486" s="47"/>
      <c r="AJ4486" s="126" t="e">
        <v>#N/A</v>
      </c>
      <c r="AK4486" s="80">
        <f t="shared" si="692"/>
        <v>0</v>
      </c>
      <c r="AM4486" s="85"/>
    </row>
    <row r="4487" spans="1:39" hidden="1" x14ac:dyDescent="0.3">
      <c r="A4487" s="89" t="s">
        <v>3395</v>
      </c>
      <c r="B4487" s="86" t="s">
        <v>35</v>
      </c>
      <c r="C4487" s="86" t="s">
        <v>164</v>
      </c>
      <c r="D4487" s="86" t="s">
        <v>174</v>
      </c>
      <c r="E4487" s="86" t="s">
        <v>1617</v>
      </c>
      <c r="F4487" s="86" t="s">
        <v>1617</v>
      </c>
      <c r="G4487" s="86" t="s">
        <v>1617</v>
      </c>
      <c r="H4487" s="143">
        <v>360</v>
      </c>
      <c r="I4487" s="86" t="s">
        <v>1060</v>
      </c>
      <c r="J4487" s="1" t="s">
        <v>3325</v>
      </c>
      <c r="K4487" s="1" t="s">
        <v>3287</v>
      </c>
      <c r="L4487" s="1" t="s">
        <v>35</v>
      </c>
      <c r="M4487" s="86" t="s">
        <v>1617</v>
      </c>
      <c r="N4487" s="86"/>
      <c r="O4487" s="47" t="s">
        <v>45</v>
      </c>
      <c r="P4487" s="47" t="s">
        <v>46</v>
      </c>
      <c r="Q4487" s="14">
        <v>0.01</v>
      </c>
      <c r="R4487" s="143" t="s">
        <v>1623</v>
      </c>
      <c r="S4487" s="47"/>
      <c r="T4487" s="6">
        <v>-966783.75237999996</v>
      </c>
      <c r="U4487" s="6"/>
      <c r="V4487" s="6">
        <v>0</v>
      </c>
      <c r="W4487" s="6">
        <f t="shared" si="686"/>
        <v>-966783.75237999996</v>
      </c>
      <c r="X4487" s="6">
        <f t="shared" si="687"/>
        <v>0</v>
      </c>
      <c r="Y4487" s="13">
        <f t="shared" si="690"/>
        <v>0</v>
      </c>
      <c r="Z4487" s="14">
        <v>0</v>
      </c>
      <c r="AA4487" s="6">
        <v>0</v>
      </c>
      <c r="AB4487" s="4">
        <f t="shared" si="691"/>
        <v>0</v>
      </c>
      <c r="AC4487" s="4">
        <f t="shared" si="684"/>
        <v>0</v>
      </c>
      <c r="AD4487" s="6">
        <f t="shared" si="688"/>
        <v>0</v>
      </c>
      <c r="AE4487" s="2">
        <f>VLOOKUP(I4487,[1]媒体政策预估表!A:N,MATCH(O4487,[1]媒体政策预估表!$A$2:$M$2,0),0)</f>
        <v>0.12</v>
      </c>
      <c r="AF4487" s="6">
        <f t="shared" si="685"/>
        <v>0</v>
      </c>
      <c r="AG4487" s="14">
        <v>0</v>
      </c>
      <c r="AH4487" s="65">
        <f t="shared" si="689"/>
        <v>0</v>
      </c>
      <c r="AI4487" s="47"/>
      <c r="AJ4487" s="126" t="e">
        <v>#N/A</v>
      </c>
      <c r="AK4487" s="80">
        <f t="shared" si="692"/>
        <v>0</v>
      </c>
      <c r="AM4487" s="85"/>
    </row>
    <row r="4488" spans="1:39" hidden="1" x14ac:dyDescent="0.3">
      <c r="A4488" s="89" t="s">
        <v>3394</v>
      </c>
      <c r="B4488" s="86" t="s">
        <v>35</v>
      </c>
      <c r="C4488" s="86" t="s">
        <v>164</v>
      </c>
      <c r="D4488" s="86" t="s">
        <v>174</v>
      </c>
      <c r="E4488" s="86" t="s">
        <v>1617</v>
      </c>
      <c r="F4488" s="86" t="s">
        <v>1617</v>
      </c>
      <c r="G4488" s="86" t="s">
        <v>1617</v>
      </c>
      <c r="H4488" s="144">
        <v>360</v>
      </c>
      <c r="I4488" s="86" t="s">
        <v>1060</v>
      </c>
      <c r="J4488" s="1" t="s">
        <v>3325</v>
      </c>
      <c r="K4488" s="1" t="s">
        <v>3287</v>
      </c>
      <c r="L4488" s="1" t="s">
        <v>35</v>
      </c>
      <c r="M4488" s="86" t="s">
        <v>1617</v>
      </c>
      <c r="N4488" s="86"/>
      <c r="O4488" s="47" t="s">
        <v>941</v>
      </c>
      <c r="P4488" s="47" t="s">
        <v>46</v>
      </c>
      <c r="Q4488" s="14">
        <v>0.01</v>
      </c>
      <c r="R4488" s="143" t="s">
        <v>1623</v>
      </c>
      <c r="S4488" s="47"/>
      <c r="T4488" s="6">
        <v>-796096.47025999986</v>
      </c>
      <c r="U4488" s="6"/>
      <c r="V4488" s="6">
        <v>14011.5245</v>
      </c>
      <c r="W4488" s="6">
        <f t="shared" si="686"/>
        <v>-810107.99475999991</v>
      </c>
      <c r="X4488" s="6">
        <f t="shared" si="687"/>
        <v>13872.796534653466</v>
      </c>
      <c r="Y4488" s="13">
        <f t="shared" si="690"/>
        <v>0</v>
      </c>
      <c r="Z4488" s="14">
        <v>0</v>
      </c>
      <c r="AA4488" s="6">
        <v>0</v>
      </c>
      <c r="AB4488" s="4">
        <f t="shared" si="691"/>
        <v>13872.796534653466</v>
      </c>
      <c r="AC4488" s="4">
        <f t="shared" si="684"/>
        <v>138.72796534653389</v>
      </c>
      <c r="AD4488" s="6">
        <f t="shared" si="688"/>
        <v>14011.5245</v>
      </c>
      <c r="AE4488" s="2">
        <f>VLOOKUP(I4488,[1]媒体政策预估表!A:N,MATCH(O4488,[1]媒体政策预估表!$A$2:$M$2,0),0)</f>
        <v>0.15</v>
      </c>
      <c r="AF4488" s="6">
        <f t="shared" si="685"/>
        <v>2101.7286749999998</v>
      </c>
      <c r="AG4488" s="14">
        <v>0</v>
      </c>
      <c r="AH4488" s="65">
        <f t="shared" si="689"/>
        <v>14011.5245</v>
      </c>
      <c r="AI4488" s="47"/>
      <c r="AJ4488" s="126" t="e">
        <v>#N/A</v>
      </c>
      <c r="AK4488" s="80">
        <f t="shared" si="692"/>
        <v>0</v>
      </c>
      <c r="AM4488" s="85"/>
    </row>
    <row r="4489" spans="1:39" hidden="1" x14ac:dyDescent="0.3">
      <c r="A4489" s="89" t="s">
        <v>3395</v>
      </c>
      <c r="B4489" s="86" t="s">
        <v>35</v>
      </c>
      <c r="C4489" s="86" t="s">
        <v>164</v>
      </c>
      <c r="D4489" s="86" t="s">
        <v>174</v>
      </c>
      <c r="E4489" s="86" t="s">
        <v>1617</v>
      </c>
      <c r="F4489" s="86" t="s">
        <v>1617</v>
      </c>
      <c r="G4489" s="86" t="s">
        <v>1617</v>
      </c>
      <c r="H4489" s="144">
        <v>360</v>
      </c>
      <c r="I4489" s="86" t="s">
        <v>1060</v>
      </c>
      <c r="J4489" s="1" t="s">
        <v>3325</v>
      </c>
      <c r="K4489" s="1" t="s">
        <v>3287</v>
      </c>
      <c r="L4489" s="1" t="s">
        <v>35</v>
      </c>
      <c r="M4489" s="86" t="s">
        <v>1617</v>
      </c>
      <c r="N4489" s="86"/>
      <c r="O4489" s="47" t="s">
        <v>941</v>
      </c>
      <c r="P4489" s="47" t="s">
        <v>46</v>
      </c>
      <c r="Q4489" s="14">
        <v>0.01</v>
      </c>
      <c r="R4489" s="143" t="s">
        <v>1618</v>
      </c>
      <c r="S4489" s="47"/>
      <c r="T4489" s="6">
        <v>-87014.13231999999</v>
      </c>
      <c r="U4489" s="6"/>
      <c r="V4489" s="6">
        <v>23020.07962</v>
      </c>
      <c r="W4489" s="6">
        <f t="shared" si="686"/>
        <v>-110034.21193999999</v>
      </c>
      <c r="X4489" s="6">
        <f t="shared" si="687"/>
        <v>22792.158039603961</v>
      </c>
      <c r="Y4489" s="13">
        <f t="shared" si="690"/>
        <v>0</v>
      </c>
      <c r="Z4489" s="14">
        <v>0</v>
      </c>
      <c r="AA4489" s="6">
        <v>0</v>
      </c>
      <c r="AB4489" s="4">
        <f t="shared" si="691"/>
        <v>22792.158039603961</v>
      </c>
      <c r="AC4489" s="4">
        <f t="shared" si="684"/>
        <v>227.92158039603964</v>
      </c>
      <c r="AD4489" s="6">
        <f t="shared" si="688"/>
        <v>23020.07962</v>
      </c>
      <c r="AE4489" s="2">
        <f>VLOOKUP(I4489,[1]媒体政策预估表!A:N,MATCH(O4489,[1]媒体政策预估表!$A$2:$M$2,0),0)</f>
        <v>0.15</v>
      </c>
      <c r="AF4489" s="6">
        <f t="shared" si="685"/>
        <v>3453.011943</v>
      </c>
      <c r="AG4489" s="14">
        <v>0</v>
      </c>
      <c r="AH4489" s="65">
        <f t="shared" si="689"/>
        <v>23020.07962</v>
      </c>
      <c r="AI4489" s="47"/>
      <c r="AJ4489" s="126" t="e">
        <v>#N/A</v>
      </c>
      <c r="AK4489" s="80">
        <f t="shared" si="692"/>
        <v>0</v>
      </c>
      <c r="AM4489" s="85"/>
    </row>
    <row r="4490" spans="1:39" hidden="1" x14ac:dyDescent="0.3">
      <c r="A4490" s="89" t="s">
        <v>3394</v>
      </c>
      <c r="B4490" s="86" t="s">
        <v>35</v>
      </c>
      <c r="C4490" s="86" t="s">
        <v>164</v>
      </c>
      <c r="D4490" s="86" t="s">
        <v>174</v>
      </c>
      <c r="E4490" s="86" t="s">
        <v>1617</v>
      </c>
      <c r="F4490" s="86" t="s">
        <v>1617</v>
      </c>
      <c r="G4490" s="86" t="s">
        <v>1617</v>
      </c>
      <c r="H4490" s="143">
        <v>360</v>
      </c>
      <c r="I4490" s="86" t="s">
        <v>1060</v>
      </c>
      <c r="J4490" s="1" t="s">
        <v>3325</v>
      </c>
      <c r="K4490" s="1" t="s">
        <v>3287</v>
      </c>
      <c r="L4490" s="1" t="s">
        <v>35</v>
      </c>
      <c r="M4490" s="86" t="s">
        <v>1617</v>
      </c>
      <c r="N4490" s="86"/>
      <c r="O4490" s="47" t="s">
        <v>2054</v>
      </c>
      <c r="P4490" s="47" t="s">
        <v>46</v>
      </c>
      <c r="Q4490" s="14">
        <v>0.01</v>
      </c>
      <c r="R4490" s="143" t="s">
        <v>1623</v>
      </c>
      <c r="S4490" s="47"/>
      <c r="T4490" s="6">
        <v>-7162.6865100000014</v>
      </c>
      <c r="U4490" s="6"/>
      <c r="V4490" s="6">
        <v>0</v>
      </c>
      <c r="W4490" s="6">
        <f t="shared" si="686"/>
        <v>-7162.6865100000014</v>
      </c>
      <c r="X4490" s="6">
        <f t="shared" si="687"/>
        <v>0</v>
      </c>
      <c r="Y4490" s="13">
        <f t="shared" si="690"/>
        <v>0</v>
      </c>
      <c r="Z4490" s="14">
        <v>0</v>
      </c>
      <c r="AA4490" s="6">
        <v>0</v>
      </c>
      <c r="AB4490" s="4">
        <f t="shared" si="691"/>
        <v>0</v>
      </c>
      <c r="AC4490" s="4">
        <f t="shared" si="684"/>
        <v>0</v>
      </c>
      <c r="AD4490" s="6">
        <f t="shared" si="688"/>
        <v>0</v>
      </c>
      <c r="AE4490" s="2">
        <f>VLOOKUP(I4490,[1]媒体政策预估表!A:N,MATCH(O4490,[1]媒体政策预估表!$A$2:$M$2,0),0)</f>
        <v>0.12</v>
      </c>
      <c r="AF4490" s="6">
        <f t="shared" si="685"/>
        <v>0</v>
      </c>
      <c r="AG4490" s="14">
        <v>0</v>
      </c>
      <c r="AH4490" s="65">
        <f t="shared" si="689"/>
        <v>0</v>
      </c>
      <c r="AI4490" s="47"/>
      <c r="AJ4490" s="126" t="e">
        <v>#N/A</v>
      </c>
      <c r="AK4490" s="80">
        <f t="shared" si="692"/>
        <v>0</v>
      </c>
      <c r="AM4490" s="85"/>
    </row>
    <row r="4491" spans="1:39" hidden="1" x14ac:dyDescent="0.3">
      <c r="A4491" s="89" t="s">
        <v>3395</v>
      </c>
      <c r="B4491" s="86" t="s">
        <v>35</v>
      </c>
      <c r="C4491" s="86" t="s">
        <v>164</v>
      </c>
      <c r="D4491" s="86" t="s">
        <v>174</v>
      </c>
      <c r="E4491" s="86" t="s">
        <v>1617</v>
      </c>
      <c r="F4491" s="86" t="s">
        <v>1617</v>
      </c>
      <c r="G4491" s="86" t="s">
        <v>1617</v>
      </c>
      <c r="H4491" s="144">
        <v>360</v>
      </c>
      <c r="I4491" s="86" t="s">
        <v>1060</v>
      </c>
      <c r="J4491" s="1" t="s">
        <v>3325</v>
      </c>
      <c r="K4491" s="1" t="s">
        <v>3287</v>
      </c>
      <c r="L4491" s="1" t="s">
        <v>35</v>
      </c>
      <c r="M4491" s="86" t="s">
        <v>1617</v>
      </c>
      <c r="N4491" s="86"/>
      <c r="O4491" s="47" t="s">
        <v>2054</v>
      </c>
      <c r="P4491" s="47" t="s">
        <v>46</v>
      </c>
      <c r="Q4491" s="14">
        <v>0.01</v>
      </c>
      <c r="R4491" s="143" t="s">
        <v>1618</v>
      </c>
      <c r="S4491" s="47"/>
      <c r="T4491" s="6">
        <v>-113143.23625999999</v>
      </c>
      <c r="U4491" s="6"/>
      <c r="V4491" s="6">
        <v>6597.2800999999999</v>
      </c>
      <c r="W4491" s="6">
        <f t="shared" si="686"/>
        <v>-119740.51635999999</v>
      </c>
      <c r="X4491" s="6">
        <f t="shared" si="687"/>
        <v>6531.960495049505</v>
      </c>
      <c r="Y4491" s="13">
        <f t="shared" si="690"/>
        <v>0</v>
      </c>
      <c r="Z4491" s="14">
        <v>0</v>
      </c>
      <c r="AA4491" s="6">
        <v>0</v>
      </c>
      <c r="AB4491" s="4">
        <f t="shared" si="691"/>
        <v>6531.960495049505</v>
      </c>
      <c r="AC4491" s="4">
        <f t="shared" si="684"/>
        <v>65.319604950494977</v>
      </c>
      <c r="AD4491" s="6">
        <f t="shared" si="688"/>
        <v>6597.2800999999999</v>
      </c>
      <c r="AE4491" s="2">
        <f>VLOOKUP(I4491,[1]媒体政策预估表!A:N,MATCH(O4491,[1]媒体政策预估表!$A$2:$M$2,0),0)</f>
        <v>0.12</v>
      </c>
      <c r="AF4491" s="6">
        <f t="shared" si="685"/>
        <v>791.67361199999993</v>
      </c>
      <c r="AG4491" s="14">
        <v>0</v>
      </c>
      <c r="AH4491" s="65">
        <f t="shared" si="689"/>
        <v>6597.2800999999999</v>
      </c>
      <c r="AI4491" s="47"/>
      <c r="AJ4491" s="126" t="e">
        <v>#N/A</v>
      </c>
      <c r="AK4491" s="80">
        <f t="shared" si="692"/>
        <v>0</v>
      </c>
      <c r="AM4491" s="85"/>
    </row>
    <row r="4492" spans="1:39" hidden="1" x14ac:dyDescent="0.3">
      <c r="A4492" s="89" t="s">
        <v>3394</v>
      </c>
      <c r="B4492" s="86" t="s">
        <v>35</v>
      </c>
      <c r="C4492" s="86" t="s">
        <v>164</v>
      </c>
      <c r="D4492" s="86" t="s">
        <v>174</v>
      </c>
      <c r="E4492" s="86" t="s">
        <v>1617</v>
      </c>
      <c r="F4492" s="86" t="s">
        <v>1617</v>
      </c>
      <c r="G4492" s="86" t="s">
        <v>1617</v>
      </c>
      <c r="H4492" s="144">
        <v>360</v>
      </c>
      <c r="I4492" s="86" t="s">
        <v>1060</v>
      </c>
      <c r="J4492" s="1" t="s">
        <v>3325</v>
      </c>
      <c r="K4492" s="1" t="s">
        <v>3287</v>
      </c>
      <c r="L4492" s="1" t="s">
        <v>35</v>
      </c>
      <c r="M4492" s="86" t="s">
        <v>1617</v>
      </c>
      <c r="N4492" s="86"/>
      <c r="O4492" s="47" t="s">
        <v>2054</v>
      </c>
      <c r="P4492" s="47" t="s">
        <v>46</v>
      </c>
      <c r="Q4492" s="14">
        <v>0.01</v>
      </c>
      <c r="R4492" s="143" t="s">
        <v>1619</v>
      </c>
      <c r="S4492" s="47"/>
      <c r="T4492" s="6">
        <v>-572269.48670999997</v>
      </c>
      <c r="U4492" s="6"/>
      <c r="V4492" s="6">
        <v>59127.883170000001</v>
      </c>
      <c r="W4492" s="6">
        <f t="shared" si="686"/>
        <v>-631397.36988000001</v>
      </c>
      <c r="X4492" s="6">
        <f t="shared" si="687"/>
        <v>58542.458584158419</v>
      </c>
      <c r="Y4492" s="13">
        <f t="shared" si="690"/>
        <v>0</v>
      </c>
      <c r="Z4492" s="14">
        <v>0</v>
      </c>
      <c r="AA4492" s="6">
        <v>0</v>
      </c>
      <c r="AB4492" s="4">
        <f t="shared" si="691"/>
        <v>58542.458584158419</v>
      </c>
      <c r="AC4492" s="4">
        <f t="shared" ref="AC4492:AC4555" si="693">IF(P4492="返现",X4492*Q4492,V4492-X4492)</f>
        <v>585.42458584158157</v>
      </c>
      <c r="AD4492" s="6">
        <f t="shared" si="688"/>
        <v>59127.883170000001</v>
      </c>
      <c r="AE4492" s="2">
        <f>VLOOKUP(I4492,[1]媒体政策预估表!A:N,MATCH(O4492,[1]媒体政策预估表!$A$2:$M$2,0),0)</f>
        <v>0.12</v>
      </c>
      <c r="AF4492" s="6">
        <f t="shared" ref="AF4492:AF4555" si="694">AD4492*AE4492</f>
        <v>7095.3459803999995</v>
      </c>
      <c r="AG4492" s="14">
        <v>0</v>
      </c>
      <c r="AH4492" s="65">
        <f t="shared" si="689"/>
        <v>59127.883170000001</v>
      </c>
      <c r="AI4492" s="47"/>
      <c r="AJ4492" s="126" t="e">
        <v>#N/A</v>
      </c>
      <c r="AK4492" s="80">
        <f t="shared" si="692"/>
        <v>0</v>
      </c>
      <c r="AM4492" s="85"/>
    </row>
    <row r="4493" spans="1:39" hidden="1" x14ac:dyDescent="0.3">
      <c r="A4493" s="89" t="s">
        <v>3394</v>
      </c>
      <c r="B4493" s="86" t="s">
        <v>35</v>
      </c>
      <c r="C4493" s="86" t="s">
        <v>164</v>
      </c>
      <c r="D4493" s="86" t="s">
        <v>174</v>
      </c>
      <c r="E4493" s="86" t="s">
        <v>726</v>
      </c>
      <c r="F4493" s="86" t="s">
        <v>726</v>
      </c>
      <c r="G4493" s="86" t="s">
        <v>726</v>
      </c>
      <c r="H4493" s="143">
        <v>360</v>
      </c>
      <c r="I4493" s="86" t="s">
        <v>1060</v>
      </c>
      <c r="J4493" s="1" t="s">
        <v>3325</v>
      </c>
      <c r="K4493" s="1" t="s">
        <v>3287</v>
      </c>
      <c r="L4493" s="1" t="s">
        <v>35</v>
      </c>
      <c r="M4493" s="86" t="s">
        <v>726</v>
      </c>
      <c r="N4493" s="86"/>
      <c r="O4493" s="47" t="s">
        <v>45</v>
      </c>
      <c r="P4493" s="47" t="s">
        <v>46</v>
      </c>
      <c r="Q4493" s="14">
        <v>0.02</v>
      </c>
      <c r="R4493" s="143" t="s">
        <v>2259</v>
      </c>
      <c r="S4493" s="47"/>
      <c r="T4493" s="6">
        <v>0.16000000000349199</v>
      </c>
      <c r="U4493" s="6"/>
      <c r="V4493" s="6">
        <v>0</v>
      </c>
      <c r="W4493" s="6">
        <f t="shared" si="686"/>
        <v>0.16000000000349199</v>
      </c>
      <c r="X4493" s="6">
        <f t="shared" si="687"/>
        <v>0</v>
      </c>
      <c r="Y4493" s="13">
        <f t="shared" si="690"/>
        <v>0</v>
      </c>
      <c r="Z4493" s="14">
        <v>0</v>
      </c>
      <c r="AA4493" s="6">
        <v>0</v>
      </c>
      <c r="AB4493" s="4">
        <f t="shared" si="691"/>
        <v>0</v>
      </c>
      <c r="AC4493" s="4">
        <f t="shared" si="693"/>
        <v>0</v>
      </c>
      <c r="AD4493" s="6">
        <f t="shared" si="688"/>
        <v>0</v>
      </c>
      <c r="AE4493" s="2">
        <f>VLOOKUP(I4493,[1]媒体政策预估表!A:N,MATCH(O4493,[1]媒体政策预估表!$A$2:$M$2,0),0)</f>
        <v>0.12</v>
      </c>
      <c r="AF4493" s="6">
        <f t="shared" si="694"/>
        <v>0</v>
      </c>
      <c r="AG4493" s="14">
        <v>0</v>
      </c>
      <c r="AH4493" s="65">
        <f t="shared" si="689"/>
        <v>0</v>
      </c>
      <c r="AI4493" s="47"/>
      <c r="AJ4493" s="126" t="s">
        <v>4220</v>
      </c>
      <c r="AK4493" s="80">
        <f t="shared" si="692"/>
        <v>0</v>
      </c>
      <c r="AL4493" s="150"/>
      <c r="AM4493" s="85"/>
    </row>
    <row r="4494" spans="1:39" hidden="1" x14ac:dyDescent="0.3">
      <c r="A4494" s="89" t="s">
        <v>3394</v>
      </c>
      <c r="B4494" s="86" t="s">
        <v>35</v>
      </c>
      <c r="C4494" s="86" t="s">
        <v>164</v>
      </c>
      <c r="D4494" s="86" t="s">
        <v>174</v>
      </c>
      <c r="E4494" s="86" t="s">
        <v>2260</v>
      </c>
      <c r="F4494" s="86" t="s">
        <v>2260</v>
      </c>
      <c r="G4494" s="86" t="s">
        <v>2260</v>
      </c>
      <c r="H4494" s="143">
        <v>360</v>
      </c>
      <c r="I4494" s="86" t="s">
        <v>1060</v>
      </c>
      <c r="J4494" s="1" t="s">
        <v>3325</v>
      </c>
      <c r="K4494" s="1" t="s">
        <v>3287</v>
      </c>
      <c r="L4494" s="1" t="s">
        <v>35</v>
      </c>
      <c r="M4494" s="86" t="s">
        <v>2261</v>
      </c>
      <c r="N4494" s="86"/>
      <c r="O4494" s="47" t="s">
        <v>410</v>
      </c>
      <c r="P4494" s="47" t="s">
        <v>46</v>
      </c>
      <c r="Q4494" s="14">
        <v>0.02</v>
      </c>
      <c r="R4494" s="143" t="s">
        <v>2262</v>
      </c>
      <c r="S4494" s="47"/>
      <c r="T4494" s="6">
        <v>1.2799999999988401</v>
      </c>
      <c r="U4494" s="6"/>
      <c r="V4494" s="6">
        <v>0</v>
      </c>
      <c r="W4494" s="6">
        <f t="shared" si="686"/>
        <v>1.2799999999988401</v>
      </c>
      <c r="X4494" s="6">
        <f t="shared" si="687"/>
        <v>0</v>
      </c>
      <c r="Y4494" s="13">
        <f t="shared" si="690"/>
        <v>0</v>
      </c>
      <c r="Z4494" s="14">
        <v>0</v>
      </c>
      <c r="AA4494" s="6">
        <v>0</v>
      </c>
      <c r="AB4494" s="4"/>
      <c r="AC4494" s="4">
        <f t="shared" si="693"/>
        <v>0</v>
      </c>
      <c r="AD4494" s="6">
        <f t="shared" si="688"/>
        <v>0</v>
      </c>
      <c r="AE4494" s="2">
        <f>VLOOKUP(I4494,[1]媒体政策预估表!A:N,MATCH(O4494,[1]媒体政策预估表!$A$2:$M$2,0),0)</f>
        <v>7.0000000000000007E-2</v>
      </c>
      <c r="AF4494" s="6">
        <f t="shared" si="694"/>
        <v>0</v>
      </c>
      <c r="AG4494" s="14">
        <v>0</v>
      </c>
      <c r="AH4494" s="65">
        <f t="shared" si="689"/>
        <v>0</v>
      </c>
      <c r="AI4494" s="47"/>
      <c r="AJ4494" s="126">
        <v>60</v>
      </c>
      <c r="AK4494" s="80">
        <f t="shared" si="692"/>
        <v>0</v>
      </c>
      <c r="AM4494" s="85"/>
    </row>
    <row r="4495" spans="1:39" hidden="1" x14ac:dyDescent="0.3">
      <c r="A4495" s="89" t="s">
        <v>3394</v>
      </c>
      <c r="B4495" s="86" t="s">
        <v>35</v>
      </c>
      <c r="C4495" s="86" t="s">
        <v>164</v>
      </c>
      <c r="D4495" s="86" t="s">
        <v>174</v>
      </c>
      <c r="E4495" s="86" t="s">
        <v>2263</v>
      </c>
      <c r="F4495" s="86" t="s">
        <v>2263</v>
      </c>
      <c r="G4495" s="86" t="s">
        <v>2263</v>
      </c>
      <c r="H4495" s="143">
        <v>360</v>
      </c>
      <c r="I4495" s="86" t="s">
        <v>1060</v>
      </c>
      <c r="J4495" s="1" t="s">
        <v>3325</v>
      </c>
      <c r="K4495" s="1" t="s">
        <v>3287</v>
      </c>
      <c r="L4495" s="1" t="s">
        <v>35</v>
      </c>
      <c r="M4495" s="86" t="s">
        <v>2264</v>
      </c>
      <c r="N4495" s="86"/>
      <c r="O4495" s="47" t="s">
        <v>410</v>
      </c>
      <c r="P4495" s="47" t="s">
        <v>46</v>
      </c>
      <c r="Q4495" s="14">
        <v>0.03</v>
      </c>
      <c r="R4495" s="143" t="s">
        <v>2265</v>
      </c>
      <c r="S4495" s="47"/>
      <c r="T4495" s="6">
        <v>489.4</v>
      </c>
      <c r="U4495" s="6"/>
      <c r="V4495" s="6">
        <v>0</v>
      </c>
      <c r="W4495" s="6">
        <f t="shared" si="686"/>
        <v>489.4</v>
      </c>
      <c r="X4495" s="6">
        <f t="shared" si="687"/>
        <v>0</v>
      </c>
      <c r="Y4495" s="13">
        <f t="shared" si="690"/>
        <v>0</v>
      </c>
      <c r="Z4495" s="14">
        <v>0</v>
      </c>
      <c r="AA4495" s="6">
        <v>0</v>
      </c>
      <c r="AB4495" s="4">
        <f t="shared" si="691"/>
        <v>0</v>
      </c>
      <c r="AC4495" s="4">
        <f t="shared" si="693"/>
        <v>0</v>
      </c>
      <c r="AD4495" s="6">
        <f t="shared" si="688"/>
        <v>0</v>
      </c>
      <c r="AE4495" s="2">
        <f>VLOOKUP(I4495,[1]媒体政策预估表!A:N,MATCH(O4495,[1]媒体政策预估表!$A$2:$M$2,0),0)</f>
        <v>7.0000000000000007E-2</v>
      </c>
      <c r="AF4495" s="6">
        <f t="shared" si="694"/>
        <v>0</v>
      </c>
      <c r="AG4495" s="14">
        <v>0</v>
      </c>
      <c r="AH4495" s="65">
        <f t="shared" si="689"/>
        <v>0</v>
      </c>
      <c r="AI4495" s="47"/>
      <c r="AJ4495" s="126" t="e">
        <v>#N/A</v>
      </c>
      <c r="AK4495" s="80">
        <f t="shared" si="692"/>
        <v>0</v>
      </c>
      <c r="AM4495" s="85"/>
    </row>
    <row r="4496" spans="1:39" hidden="1" x14ac:dyDescent="0.3">
      <c r="A4496" s="89" t="s">
        <v>3394</v>
      </c>
      <c r="B4496" s="86" t="s">
        <v>35</v>
      </c>
      <c r="C4496" s="86" t="s">
        <v>164</v>
      </c>
      <c r="D4496" s="86" t="s">
        <v>174</v>
      </c>
      <c r="E4496" s="86" t="s">
        <v>2266</v>
      </c>
      <c r="F4496" s="86" t="s">
        <v>2266</v>
      </c>
      <c r="G4496" s="86" t="s">
        <v>2266</v>
      </c>
      <c r="H4496" s="143">
        <v>360</v>
      </c>
      <c r="I4496" s="86" t="s">
        <v>1060</v>
      </c>
      <c r="J4496" s="1" t="s">
        <v>3325</v>
      </c>
      <c r="K4496" s="1" t="s">
        <v>3287</v>
      </c>
      <c r="L4496" s="1" t="s">
        <v>35</v>
      </c>
      <c r="M4496" s="86" t="s">
        <v>2267</v>
      </c>
      <c r="N4496" s="86"/>
      <c r="O4496" s="47" t="s">
        <v>45</v>
      </c>
      <c r="P4496" s="47" t="s">
        <v>46</v>
      </c>
      <c r="Q4496" s="14">
        <v>0.06</v>
      </c>
      <c r="R4496" s="143" t="s">
        <v>2268</v>
      </c>
      <c r="S4496" s="47"/>
      <c r="T4496" s="6">
        <v>7206.97</v>
      </c>
      <c r="U4496" s="6"/>
      <c r="V4496" s="6">
        <v>0</v>
      </c>
      <c r="W4496" s="6">
        <f t="shared" si="686"/>
        <v>7206.97</v>
      </c>
      <c r="X4496" s="6">
        <f t="shared" si="687"/>
        <v>0</v>
      </c>
      <c r="Y4496" s="13">
        <f t="shared" si="690"/>
        <v>0</v>
      </c>
      <c r="Z4496" s="14">
        <v>0</v>
      </c>
      <c r="AA4496" s="6">
        <v>0</v>
      </c>
      <c r="AB4496" s="4">
        <f t="shared" si="691"/>
        <v>0</v>
      </c>
      <c r="AC4496" s="4">
        <f t="shared" si="693"/>
        <v>0</v>
      </c>
      <c r="AD4496" s="6">
        <f t="shared" si="688"/>
        <v>0</v>
      </c>
      <c r="AE4496" s="2">
        <f>VLOOKUP(I4496,[1]媒体政策预估表!A:N,MATCH(O4496,[1]媒体政策预估表!$A$2:$M$2,0),0)</f>
        <v>0.12</v>
      </c>
      <c r="AF4496" s="6">
        <f t="shared" si="694"/>
        <v>0</v>
      </c>
      <c r="AG4496" s="14">
        <v>0</v>
      </c>
      <c r="AH4496" s="65">
        <f t="shared" si="689"/>
        <v>0</v>
      </c>
      <c r="AI4496" s="47"/>
      <c r="AJ4496" s="126" t="e">
        <v>#N/A</v>
      </c>
      <c r="AK4496" s="80">
        <f t="shared" si="692"/>
        <v>0</v>
      </c>
      <c r="AM4496" s="85"/>
    </row>
    <row r="4497" spans="1:39" hidden="1" x14ac:dyDescent="0.3">
      <c r="A4497" s="89" t="s">
        <v>3394</v>
      </c>
      <c r="B4497" s="86" t="s">
        <v>35</v>
      </c>
      <c r="C4497" s="86" t="s">
        <v>164</v>
      </c>
      <c r="D4497" s="86" t="s">
        <v>174</v>
      </c>
      <c r="E4497" s="86" t="s">
        <v>2266</v>
      </c>
      <c r="F4497" s="86" t="s">
        <v>2266</v>
      </c>
      <c r="G4497" s="86" t="s">
        <v>2266</v>
      </c>
      <c r="H4497" s="143">
        <v>360</v>
      </c>
      <c r="I4497" s="86" t="s">
        <v>1060</v>
      </c>
      <c r="J4497" s="1" t="s">
        <v>3325</v>
      </c>
      <c r="K4497" s="1" t="s">
        <v>3287</v>
      </c>
      <c r="L4497" s="1" t="s">
        <v>35</v>
      </c>
      <c r="M4497" s="86" t="s">
        <v>2267</v>
      </c>
      <c r="N4497" s="86"/>
      <c r="O4497" s="47" t="s">
        <v>410</v>
      </c>
      <c r="P4497" s="47" t="s">
        <v>46</v>
      </c>
      <c r="Q4497" s="14">
        <v>0.02</v>
      </c>
      <c r="R4497" s="143" t="s">
        <v>2268</v>
      </c>
      <c r="S4497" s="47"/>
      <c r="T4497" s="6">
        <v>-6242</v>
      </c>
      <c r="U4497" s="6"/>
      <c r="V4497" s="6">
        <v>0</v>
      </c>
      <c r="W4497" s="6">
        <f t="shared" si="686"/>
        <v>-6242</v>
      </c>
      <c r="X4497" s="6">
        <f t="shared" si="687"/>
        <v>0</v>
      </c>
      <c r="Y4497" s="13">
        <f t="shared" si="690"/>
        <v>0</v>
      </c>
      <c r="Z4497" s="14">
        <v>0</v>
      </c>
      <c r="AA4497" s="6">
        <v>0</v>
      </c>
      <c r="AB4497" s="4">
        <f t="shared" si="691"/>
        <v>0</v>
      </c>
      <c r="AC4497" s="4">
        <f t="shared" si="693"/>
        <v>0</v>
      </c>
      <c r="AD4497" s="6">
        <f t="shared" si="688"/>
        <v>0</v>
      </c>
      <c r="AE4497" s="2">
        <f>VLOOKUP(I4497,[1]媒体政策预估表!A:N,MATCH(O4497,[1]媒体政策预估表!$A$2:$M$2,0),0)</f>
        <v>7.0000000000000007E-2</v>
      </c>
      <c r="AF4497" s="6">
        <f t="shared" si="694"/>
        <v>0</v>
      </c>
      <c r="AG4497" s="14">
        <v>0</v>
      </c>
      <c r="AH4497" s="65">
        <f t="shared" si="689"/>
        <v>0</v>
      </c>
      <c r="AI4497" s="47"/>
      <c r="AJ4497" s="126" t="e">
        <v>#N/A</v>
      </c>
      <c r="AK4497" s="80">
        <f t="shared" si="692"/>
        <v>0</v>
      </c>
      <c r="AM4497" s="85"/>
    </row>
    <row r="4498" spans="1:39" hidden="1" x14ac:dyDescent="0.3">
      <c r="A4498" s="89" t="s">
        <v>3395</v>
      </c>
      <c r="B4498" s="86" t="s">
        <v>35</v>
      </c>
      <c r="C4498" s="86" t="s">
        <v>164</v>
      </c>
      <c r="D4498" s="86" t="s">
        <v>174</v>
      </c>
      <c r="E4498" s="86" t="s">
        <v>2266</v>
      </c>
      <c r="F4498" s="86" t="s">
        <v>2266</v>
      </c>
      <c r="G4498" s="86" t="s">
        <v>2266</v>
      </c>
      <c r="H4498" s="143">
        <v>360</v>
      </c>
      <c r="I4498" s="86" t="s">
        <v>1060</v>
      </c>
      <c r="J4498" s="1" t="s">
        <v>3325</v>
      </c>
      <c r="K4498" s="1" t="s">
        <v>3287</v>
      </c>
      <c r="L4498" s="1" t="s">
        <v>35</v>
      </c>
      <c r="M4498" s="86" t="s">
        <v>2267</v>
      </c>
      <c r="N4498" s="86"/>
      <c r="O4498" s="47" t="s">
        <v>941</v>
      </c>
      <c r="P4498" s="47" t="s">
        <v>46</v>
      </c>
      <c r="Q4498" s="14">
        <v>0.06</v>
      </c>
      <c r="R4498" s="143" t="s">
        <v>2268</v>
      </c>
      <c r="S4498" s="47"/>
      <c r="T4498" s="6">
        <v>-513.77</v>
      </c>
      <c r="U4498" s="6"/>
      <c r="V4498" s="6">
        <v>0</v>
      </c>
      <c r="W4498" s="6">
        <f t="shared" si="686"/>
        <v>-513.77</v>
      </c>
      <c r="X4498" s="6">
        <f t="shared" si="687"/>
        <v>0</v>
      </c>
      <c r="Y4498" s="13">
        <f t="shared" si="690"/>
        <v>0</v>
      </c>
      <c r="Z4498" s="14">
        <v>0</v>
      </c>
      <c r="AA4498" s="6">
        <v>0</v>
      </c>
      <c r="AB4498" s="4">
        <f t="shared" si="691"/>
        <v>0</v>
      </c>
      <c r="AC4498" s="4">
        <f t="shared" si="693"/>
        <v>0</v>
      </c>
      <c r="AD4498" s="6">
        <f t="shared" si="688"/>
        <v>0</v>
      </c>
      <c r="AE4498" s="2">
        <f>VLOOKUP(I4498,[1]媒体政策预估表!A:N,MATCH(O4498,[1]媒体政策预估表!$A$2:$M$2,0),0)</f>
        <v>0.15</v>
      </c>
      <c r="AF4498" s="6">
        <f t="shared" si="694"/>
        <v>0</v>
      </c>
      <c r="AG4498" s="14">
        <v>0</v>
      </c>
      <c r="AH4498" s="65">
        <f t="shared" si="689"/>
        <v>0</v>
      </c>
      <c r="AI4498" s="47"/>
      <c r="AJ4498" s="126" t="e">
        <v>#N/A</v>
      </c>
      <c r="AK4498" s="80">
        <f t="shared" si="692"/>
        <v>0</v>
      </c>
      <c r="AM4498" s="85"/>
    </row>
    <row r="4499" spans="1:39" hidden="1" x14ac:dyDescent="0.3">
      <c r="A4499" s="89" t="s">
        <v>3394</v>
      </c>
      <c r="B4499" s="86" t="s">
        <v>35</v>
      </c>
      <c r="C4499" s="86" t="s">
        <v>164</v>
      </c>
      <c r="D4499" s="86" t="s">
        <v>174</v>
      </c>
      <c r="E4499" s="86" t="s">
        <v>1742</v>
      </c>
      <c r="F4499" s="86" t="s">
        <v>1742</v>
      </c>
      <c r="G4499" s="86" t="s">
        <v>1742</v>
      </c>
      <c r="H4499" s="143">
        <v>360</v>
      </c>
      <c r="I4499" s="86" t="s">
        <v>1060</v>
      </c>
      <c r="J4499" s="1" t="s">
        <v>3325</v>
      </c>
      <c r="K4499" s="1" t="s">
        <v>3287</v>
      </c>
      <c r="L4499" s="1" t="s">
        <v>35</v>
      </c>
      <c r="M4499" s="86" t="s">
        <v>1742</v>
      </c>
      <c r="N4499" s="86"/>
      <c r="O4499" s="47" t="s">
        <v>45</v>
      </c>
      <c r="P4499" s="47" t="s">
        <v>41</v>
      </c>
      <c r="Q4499" s="14">
        <v>0</v>
      </c>
      <c r="R4499" s="143" t="s">
        <v>2269</v>
      </c>
      <c r="S4499" s="47"/>
      <c r="T4499" s="6">
        <v>0.229999999999563</v>
      </c>
      <c r="U4499" s="6"/>
      <c r="V4499" s="6">
        <v>0</v>
      </c>
      <c r="W4499" s="6">
        <f t="shared" si="686"/>
        <v>0.229999999999563</v>
      </c>
      <c r="X4499" s="6">
        <f t="shared" si="687"/>
        <v>0</v>
      </c>
      <c r="Y4499" s="13">
        <f t="shared" si="690"/>
        <v>0</v>
      </c>
      <c r="Z4499" s="14">
        <v>0</v>
      </c>
      <c r="AA4499" s="6">
        <v>0</v>
      </c>
      <c r="AB4499" s="4">
        <f t="shared" si="691"/>
        <v>0</v>
      </c>
      <c r="AC4499" s="4">
        <f t="shared" si="693"/>
        <v>0</v>
      </c>
      <c r="AD4499" s="6">
        <f t="shared" si="688"/>
        <v>0</v>
      </c>
      <c r="AE4499" s="2">
        <f>VLOOKUP(I4499,[1]媒体政策预估表!A:N,MATCH(O4499,[1]媒体政策预估表!$A$2:$M$2,0),0)</f>
        <v>0.12</v>
      </c>
      <c r="AF4499" s="6">
        <f t="shared" si="694"/>
        <v>0</v>
      </c>
      <c r="AG4499" s="14">
        <v>0</v>
      </c>
      <c r="AH4499" s="65">
        <f t="shared" si="689"/>
        <v>0</v>
      </c>
      <c r="AI4499" s="47"/>
      <c r="AJ4499" s="126" t="e">
        <v>#N/A</v>
      </c>
      <c r="AK4499" s="80">
        <f t="shared" si="692"/>
        <v>0</v>
      </c>
      <c r="AM4499" s="85"/>
    </row>
    <row r="4500" spans="1:39" hidden="1" x14ac:dyDescent="0.3">
      <c r="A4500" s="89" t="s">
        <v>3394</v>
      </c>
      <c r="B4500" s="86" t="s">
        <v>35</v>
      </c>
      <c r="C4500" s="86" t="s">
        <v>164</v>
      </c>
      <c r="D4500" s="86" t="s">
        <v>174</v>
      </c>
      <c r="E4500" s="86" t="s">
        <v>2270</v>
      </c>
      <c r="F4500" s="86" t="s">
        <v>2270</v>
      </c>
      <c r="G4500" s="86" t="s">
        <v>2270</v>
      </c>
      <c r="H4500" s="143">
        <v>360</v>
      </c>
      <c r="I4500" s="86" t="s">
        <v>1060</v>
      </c>
      <c r="J4500" s="1" t="s">
        <v>3325</v>
      </c>
      <c r="K4500" s="1" t="s">
        <v>3287</v>
      </c>
      <c r="L4500" s="1" t="s">
        <v>35</v>
      </c>
      <c r="M4500" s="86" t="s">
        <v>2270</v>
      </c>
      <c r="N4500" s="86"/>
      <c r="O4500" s="47" t="s">
        <v>410</v>
      </c>
      <c r="P4500" s="47" t="s">
        <v>41</v>
      </c>
      <c r="Q4500" s="14">
        <v>0</v>
      </c>
      <c r="R4500" s="143" t="s">
        <v>2271</v>
      </c>
      <c r="S4500" s="47"/>
      <c r="T4500" s="6">
        <v>10000</v>
      </c>
      <c r="U4500" s="6"/>
      <c r="V4500" s="6">
        <v>0</v>
      </c>
      <c r="W4500" s="6">
        <f t="shared" si="686"/>
        <v>10000</v>
      </c>
      <c r="X4500" s="6">
        <f t="shared" si="687"/>
        <v>0</v>
      </c>
      <c r="Y4500" s="13">
        <f t="shared" si="690"/>
        <v>0</v>
      </c>
      <c r="Z4500" s="14">
        <v>0</v>
      </c>
      <c r="AA4500" s="6">
        <v>0</v>
      </c>
      <c r="AB4500" s="4">
        <f t="shared" si="691"/>
        <v>0</v>
      </c>
      <c r="AC4500" s="4">
        <f t="shared" si="693"/>
        <v>0</v>
      </c>
      <c r="AD4500" s="6">
        <f t="shared" si="688"/>
        <v>0</v>
      </c>
      <c r="AE4500" s="2">
        <f>VLOOKUP(I4500,[1]媒体政策预估表!A:N,MATCH(O4500,[1]媒体政策预估表!$A$2:$M$2,0),0)</f>
        <v>7.0000000000000007E-2</v>
      </c>
      <c r="AF4500" s="6">
        <f t="shared" si="694"/>
        <v>0</v>
      </c>
      <c r="AG4500" s="14">
        <v>0</v>
      </c>
      <c r="AH4500" s="65">
        <f t="shared" si="689"/>
        <v>0</v>
      </c>
      <c r="AI4500" s="47"/>
      <c r="AJ4500" s="126" t="e">
        <v>#N/A</v>
      </c>
      <c r="AK4500" s="80">
        <f t="shared" si="692"/>
        <v>0</v>
      </c>
      <c r="AM4500" s="85"/>
    </row>
    <row r="4501" spans="1:39" hidden="1" x14ac:dyDescent="0.3">
      <c r="A4501" s="89" t="s">
        <v>3395</v>
      </c>
      <c r="B4501" s="86" t="s">
        <v>35</v>
      </c>
      <c r="C4501" s="86" t="s">
        <v>164</v>
      </c>
      <c r="D4501" s="86" t="s">
        <v>174</v>
      </c>
      <c r="E4501" s="86" t="s">
        <v>2272</v>
      </c>
      <c r="F4501" s="86" t="s">
        <v>2272</v>
      </c>
      <c r="G4501" s="86" t="s">
        <v>2272</v>
      </c>
      <c r="H4501" s="143">
        <v>360</v>
      </c>
      <c r="I4501" s="86" t="s">
        <v>1060</v>
      </c>
      <c r="J4501" s="1" t="s">
        <v>3325</v>
      </c>
      <c r="K4501" s="1" t="s">
        <v>3287</v>
      </c>
      <c r="L4501" s="1" t="s">
        <v>35</v>
      </c>
      <c r="M4501" s="86" t="s">
        <v>2273</v>
      </c>
      <c r="N4501" s="86"/>
      <c r="O4501" s="47" t="s">
        <v>45</v>
      </c>
      <c r="P4501" s="47" t="s">
        <v>46</v>
      </c>
      <c r="Q4501" s="14">
        <v>0.15</v>
      </c>
      <c r="R4501" s="143" t="s">
        <v>2274</v>
      </c>
      <c r="S4501" s="47"/>
      <c r="T4501" s="6">
        <v>12.079999999999927</v>
      </c>
      <c r="U4501" s="6"/>
      <c r="V4501" s="6">
        <v>0</v>
      </c>
      <c r="W4501" s="6">
        <f t="shared" si="686"/>
        <v>12.079999999999927</v>
      </c>
      <c r="X4501" s="6">
        <f t="shared" si="687"/>
        <v>0</v>
      </c>
      <c r="Y4501" s="13">
        <f t="shared" si="690"/>
        <v>0</v>
      </c>
      <c r="Z4501" s="14">
        <v>0</v>
      </c>
      <c r="AA4501" s="6">
        <v>0</v>
      </c>
      <c r="AB4501" s="4">
        <f t="shared" si="691"/>
        <v>0</v>
      </c>
      <c r="AC4501" s="4">
        <f t="shared" si="693"/>
        <v>0</v>
      </c>
      <c r="AD4501" s="6">
        <f t="shared" si="688"/>
        <v>0</v>
      </c>
      <c r="AE4501" s="2">
        <f>VLOOKUP(I4501,[1]媒体政策预估表!A:N,MATCH(O4501,[1]媒体政策预估表!$A$2:$M$2,0),0)</f>
        <v>0.12</v>
      </c>
      <c r="AF4501" s="6">
        <f t="shared" si="694"/>
        <v>0</v>
      </c>
      <c r="AG4501" s="14">
        <v>0</v>
      </c>
      <c r="AH4501" s="65">
        <f t="shared" si="689"/>
        <v>0</v>
      </c>
      <c r="AI4501" s="47"/>
      <c r="AJ4501" s="126" t="e">
        <v>#N/A</v>
      </c>
      <c r="AK4501" s="80">
        <f t="shared" si="692"/>
        <v>0</v>
      </c>
      <c r="AM4501" s="85"/>
    </row>
    <row r="4502" spans="1:39" hidden="1" x14ac:dyDescent="0.3">
      <c r="A4502" s="89" t="s">
        <v>3394</v>
      </c>
      <c r="B4502" s="86" t="s">
        <v>35</v>
      </c>
      <c r="C4502" s="86" t="s">
        <v>164</v>
      </c>
      <c r="D4502" s="86" t="s">
        <v>174</v>
      </c>
      <c r="E4502" s="86" t="s">
        <v>2275</v>
      </c>
      <c r="F4502" s="86" t="s">
        <v>2276</v>
      </c>
      <c r="G4502" s="86" t="s">
        <v>2275</v>
      </c>
      <c r="H4502" s="143">
        <v>360</v>
      </c>
      <c r="I4502" s="86" t="s">
        <v>1060</v>
      </c>
      <c r="J4502" s="1" t="s">
        <v>3325</v>
      </c>
      <c r="K4502" s="1" t="s">
        <v>3287</v>
      </c>
      <c r="L4502" s="1" t="s">
        <v>35</v>
      </c>
      <c r="M4502" s="86" t="s">
        <v>2277</v>
      </c>
      <c r="N4502" s="86"/>
      <c r="O4502" s="47" t="s">
        <v>410</v>
      </c>
      <c r="P4502" s="47" t="s">
        <v>41</v>
      </c>
      <c r="Q4502" s="14">
        <v>0</v>
      </c>
      <c r="R4502" s="143" t="s">
        <v>2278</v>
      </c>
      <c r="S4502" s="47"/>
      <c r="T4502" s="6">
        <v>463.2</v>
      </c>
      <c r="U4502" s="6"/>
      <c r="V4502" s="6">
        <v>0</v>
      </c>
      <c r="W4502" s="6">
        <f t="shared" si="686"/>
        <v>463.2</v>
      </c>
      <c r="X4502" s="6">
        <f t="shared" si="687"/>
        <v>0</v>
      </c>
      <c r="Y4502" s="13">
        <f t="shared" si="690"/>
        <v>0</v>
      </c>
      <c r="Z4502" s="14">
        <v>0</v>
      </c>
      <c r="AA4502" s="6">
        <v>0</v>
      </c>
      <c r="AB4502" s="4">
        <f t="shared" si="691"/>
        <v>0</v>
      </c>
      <c r="AC4502" s="4">
        <f t="shared" si="693"/>
        <v>0</v>
      </c>
      <c r="AD4502" s="6">
        <f t="shared" si="688"/>
        <v>0</v>
      </c>
      <c r="AE4502" s="2">
        <f>VLOOKUP(I4502,[1]媒体政策预估表!A:N,MATCH(O4502,[1]媒体政策预估表!$A$2:$M$2,0),0)</f>
        <v>7.0000000000000007E-2</v>
      </c>
      <c r="AF4502" s="6">
        <f t="shared" si="694"/>
        <v>0</v>
      </c>
      <c r="AG4502" s="14">
        <v>0</v>
      </c>
      <c r="AH4502" s="65">
        <f t="shared" si="689"/>
        <v>0</v>
      </c>
      <c r="AI4502" s="47"/>
      <c r="AJ4502" s="126" t="e">
        <v>#N/A</v>
      </c>
      <c r="AK4502" s="80">
        <f t="shared" si="692"/>
        <v>0</v>
      </c>
      <c r="AM4502" s="85"/>
    </row>
    <row r="4503" spans="1:39" hidden="1" x14ac:dyDescent="0.3">
      <c r="A4503" s="89" t="s">
        <v>3394</v>
      </c>
      <c r="B4503" s="86" t="s">
        <v>35</v>
      </c>
      <c r="C4503" s="86" t="s">
        <v>164</v>
      </c>
      <c r="D4503" s="86" t="s">
        <v>181</v>
      </c>
      <c r="E4503" s="86" t="s">
        <v>2279</v>
      </c>
      <c r="F4503" s="86" t="s">
        <v>2279</v>
      </c>
      <c r="G4503" s="86" t="s">
        <v>2279</v>
      </c>
      <c r="H4503" s="143">
        <v>360</v>
      </c>
      <c r="I4503" s="86" t="s">
        <v>1060</v>
      </c>
      <c r="J4503" s="1" t="s">
        <v>3325</v>
      </c>
      <c r="K4503" s="1" t="s">
        <v>3287</v>
      </c>
      <c r="L4503" s="1" t="s">
        <v>35</v>
      </c>
      <c r="M4503" s="86" t="s">
        <v>2279</v>
      </c>
      <c r="N4503" s="86"/>
      <c r="O4503" s="47" t="s">
        <v>45</v>
      </c>
      <c r="P4503" s="47" t="s">
        <v>46</v>
      </c>
      <c r="Q4503" s="14">
        <v>0.06</v>
      </c>
      <c r="R4503" s="143" t="s">
        <v>2280</v>
      </c>
      <c r="S4503" s="47"/>
      <c r="T4503" s="6">
        <v>84.229999999999606</v>
      </c>
      <c r="U4503" s="6"/>
      <c r="V4503" s="6">
        <v>0</v>
      </c>
      <c r="W4503" s="6">
        <f t="shared" si="686"/>
        <v>84.229999999999606</v>
      </c>
      <c r="X4503" s="6">
        <f t="shared" si="687"/>
        <v>0</v>
      </c>
      <c r="Y4503" s="13">
        <f t="shared" si="690"/>
        <v>0</v>
      </c>
      <c r="Z4503" s="14">
        <v>0</v>
      </c>
      <c r="AA4503" s="6">
        <v>0</v>
      </c>
      <c r="AB4503" s="4">
        <f t="shared" si="691"/>
        <v>0</v>
      </c>
      <c r="AC4503" s="4">
        <f t="shared" si="693"/>
        <v>0</v>
      </c>
      <c r="AD4503" s="6">
        <f t="shared" si="688"/>
        <v>0</v>
      </c>
      <c r="AE4503" s="2">
        <f>VLOOKUP(I4503,[1]媒体政策预估表!A:N,MATCH(O4503,[1]媒体政策预估表!$A$2:$M$2,0),0)</f>
        <v>0.12</v>
      </c>
      <c r="AF4503" s="6">
        <f t="shared" si="694"/>
        <v>0</v>
      </c>
      <c r="AG4503" s="14">
        <v>0</v>
      </c>
      <c r="AH4503" s="65">
        <f t="shared" si="689"/>
        <v>0</v>
      </c>
      <c r="AI4503" s="47"/>
      <c r="AJ4503" s="126" t="e">
        <v>#N/A</v>
      </c>
      <c r="AK4503" s="80">
        <f t="shared" si="692"/>
        <v>0</v>
      </c>
      <c r="AM4503" s="85"/>
    </row>
    <row r="4504" spans="1:39" hidden="1" x14ac:dyDescent="0.3">
      <c r="A4504" s="89" t="s">
        <v>3395</v>
      </c>
      <c r="B4504" s="86" t="s">
        <v>35</v>
      </c>
      <c r="C4504" s="86" t="s">
        <v>164</v>
      </c>
      <c r="D4504" s="86" t="s">
        <v>181</v>
      </c>
      <c r="E4504" s="86" t="s">
        <v>182</v>
      </c>
      <c r="F4504" s="86" t="s">
        <v>183</v>
      </c>
      <c r="G4504" s="86" t="s">
        <v>182</v>
      </c>
      <c r="H4504" s="143">
        <v>360</v>
      </c>
      <c r="I4504" s="86" t="s">
        <v>1060</v>
      </c>
      <c r="J4504" s="1" t="s">
        <v>3325</v>
      </c>
      <c r="K4504" s="1" t="s">
        <v>3287</v>
      </c>
      <c r="L4504" s="1" t="s">
        <v>35</v>
      </c>
      <c r="M4504" s="86" t="s">
        <v>2017</v>
      </c>
      <c r="N4504" s="86"/>
      <c r="O4504" s="47" t="s">
        <v>941</v>
      </c>
      <c r="P4504" s="47" t="s">
        <v>41</v>
      </c>
      <c r="Q4504" s="14">
        <v>0</v>
      </c>
      <c r="R4504" s="143" t="s">
        <v>2018</v>
      </c>
      <c r="S4504" s="47"/>
      <c r="T4504" s="6">
        <v>-77447.75</v>
      </c>
      <c r="U4504" s="6"/>
      <c r="V4504" s="6">
        <v>0</v>
      </c>
      <c r="W4504" s="6">
        <f t="shared" si="686"/>
        <v>-77447.75</v>
      </c>
      <c r="X4504" s="6">
        <f t="shared" si="687"/>
        <v>0</v>
      </c>
      <c r="Y4504" s="13">
        <f t="shared" si="690"/>
        <v>0</v>
      </c>
      <c r="Z4504" s="14">
        <v>0</v>
      </c>
      <c r="AA4504" s="6">
        <v>0</v>
      </c>
      <c r="AB4504" s="4">
        <f t="shared" si="691"/>
        <v>0</v>
      </c>
      <c r="AC4504" s="4">
        <f t="shared" si="693"/>
        <v>0</v>
      </c>
      <c r="AD4504" s="6">
        <f t="shared" si="688"/>
        <v>0</v>
      </c>
      <c r="AE4504" s="2">
        <f>VLOOKUP(I4504,[1]媒体政策预估表!A:N,MATCH(O4504,[1]媒体政策预估表!$A$2:$M$2,0),0)</f>
        <v>0.15</v>
      </c>
      <c r="AF4504" s="6">
        <f t="shared" si="694"/>
        <v>0</v>
      </c>
      <c r="AG4504" s="14">
        <v>0</v>
      </c>
      <c r="AH4504" s="65">
        <f t="shared" si="689"/>
        <v>0</v>
      </c>
      <c r="AI4504" s="47"/>
      <c r="AJ4504" s="126" t="e">
        <v>#N/A</v>
      </c>
      <c r="AK4504" s="80">
        <f t="shared" si="692"/>
        <v>0</v>
      </c>
      <c r="AM4504" s="85"/>
    </row>
    <row r="4505" spans="1:39" hidden="1" x14ac:dyDescent="0.3">
      <c r="A4505" s="89" t="s">
        <v>3395</v>
      </c>
      <c r="B4505" s="86" t="s">
        <v>35</v>
      </c>
      <c r="C4505" s="86" t="s">
        <v>164</v>
      </c>
      <c r="D4505" s="86" t="s">
        <v>181</v>
      </c>
      <c r="E4505" s="86" t="s">
        <v>182</v>
      </c>
      <c r="F4505" s="86" t="s">
        <v>183</v>
      </c>
      <c r="G4505" s="86" t="s">
        <v>182</v>
      </c>
      <c r="H4505" s="143">
        <v>360</v>
      </c>
      <c r="I4505" s="86" t="s">
        <v>1060</v>
      </c>
      <c r="J4505" s="1" t="s">
        <v>3325</v>
      </c>
      <c r="K4505" s="1" t="s">
        <v>3287</v>
      </c>
      <c r="L4505" s="1" t="s">
        <v>35</v>
      </c>
      <c r="M4505" s="86" t="s">
        <v>2017</v>
      </c>
      <c r="N4505" s="86"/>
      <c r="O4505" s="47" t="s">
        <v>2054</v>
      </c>
      <c r="P4505" s="47" t="s">
        <v>41</v>
      </c>
      <c r="Q4505" s="14">
        <v>0</v>
      </c>
      <c r="R4505" s="143" t="s">
        <v>2018</v>
      </c>
      <c r="S4505" s="47"/>
      <c r="T4505" s="6">
        <v>-22392.737779999999</v>
      </c>
      <c r="U4505" s="6"/>
      <c r="V4505" s="6">
        <v>0</v>
      </c>
      <c r="W4505" s="6">
        <f t="shared" si="686"/>
        <v>-22392.737779999999</v>
      </c>
      <c r="X4505" s="6">
        <f t="shared" si="687"/>
        <v>0</v>
      </c>
      <c r="Y4505" s="13">
        <f t="shared" si="690"/>
        <v>0</v>
      </c>
      <c r="Z4505" s="14">
        <v>0</v>
      </c>
      <c r="AA4505" s="6">
        <v>0</v>
      </c>
      <c r="AB4505" s="4">
        <f t="shared" si="691"/>
        <v>0</v>
      </c>
      <c r="AC4505" s="4">
        <f t="shared" si="693"/>
        <v>0</v>
      </c>
      <c r="AD4505" s="6">
        <f t="shared" si="688"/>
        <v>0</v>
      </c>
      <c r="AE4505" s="2">
        <f>VLOOKUP(I4505,[1]媒体政策预估表!A:N,MATCH(O4505,[1]媒体政策预估表!$A$2:$M$2,0),0)</f>
        <v>0.12</v>
      </c>
      <c r="AF4505" s="6">
        <f t="shared" si="694"/>
        <v>0</v>
      </c>
      <c r="AG4505" s="14">
        <v>0</v>
      </c>
      <c r="AH4505" s="65">
        <f t="shared" si="689"/>
        <v>0</v>
      </c>
      <c r="AI4505" s="47"/>
      <c r="AJ4505" s="126" t="e">
        <v>#N/A</v>
      </c>
      <c r="AK4505" s="80">
        <f t="shared" si="692"/>
        <v>0</v>
      </c>
      <c r="AM4505" s="85"/>
    </row>
    <row r="4506" spans="1:39" hidden="1" x14ac:dyDescent="0.3">
      <c r="A4506" s="89" t="s">
        <v>3395</v>
      </c>
      <c r="B4506" s="86" t="s">
        <v>35</v>
      </c>
      <c r="C4506" s="86" t="s">
        <v>164</v>
      </c>
      <c r="D4506" s="86" t="s">
        <v>181</v>
      </c>
      <c r="E4506" s="86" t="s">
        <v>182</v>
      </c>
      <c r="F4506" s="86" t="s">
        <v>183</v>
      </c>
      <c r="G4506" s="86" t="s">
        <v>182</v>
      </c>
      <c r="H4506" s="143">
        <v>360</v>
      </c>
      <c r="I4506" s="86" t="s">
        <v>1060</v>
      </c>
      <c r="J4506" s="1" t="s">
        <v>3325</v>
      </c>
      <c r="K4506" s="1" t="s">
        <v>3287</v>
      </c>
      <c r="L4506" s="1" t="s">
        <v>35</v>
      </c>
      <c r="M4506" s="86" t="s">
        <v>1832</v>
      </c>
      <c r="N4506" s="86"/>
      <c r="O4506" s="47" t="s">
        <v>45</v>
      </c>
      <c r="P4506" s="47" t="s">
        <v>41</v>
      </c>
      <c r="Q4506" s="14">
        <v>0</v>
      </c>
      <c r="R4506" s="143" t="s">
        <v>1833</v>
      </c>
      <c r="S4506" s="47"/>
      <c r="T4506" s="6">
        <v>-685889.37</v>
      </c>
      <c r="U4506" s="6"/>
      <c r="V4506" s="6">
        <v>0</v>
      </c>
      <c r="W4506" s="6">
        <f t="shared" si="686"/>
        <v>-685889.37</v>
      </c>
      <c r="X4506" s="6">
        <f t="shared" si="687"/>
        <v>0</v>
      </c>
      <c r="Y4506" s="13">
        <f t="shared" si="690"/>
        <v>0</v>
      </c>
      <c r="Z4506" s="14">
        <v>0</v>
      </c>
      <c r="AA4506" s="6">
        <v>0</v>
      </c>
      <c r="AB4506" s="4">
        <f t="shared" si="691"/>
        <v>0</v>
      </c>
      <c r="AC4506" s="4">
        <f t="shared" si="693"/>
        <v>0</v>
      </c>
      <c r="AD4506" s="6">
        <f t="shared" si="688"/>
        <v>0</v>
      </c>
      <c r="AE4506" s="2">
        <f>VLOOKUP(I4506,[1]媒体政策预估表!A:N,MATCH(O4506,[1]媒体政策预估表!$A$2:$M$2,0),0)</f>
        <v>0.12</v>
      </c>
      <c r="AF4506" s="6">
        <f t="shared" si="694"/>
        <v>0</v>
      </c>
      <c r="AG4506" s="14">
        <v>0</v>
      </c>
      <c r="AH4506" s="65">
        <f t="shared" si="689"/>
        <v>0</v>
      </c>
      <c r="AI4506" s="47"/>
      <c r="AJ4506" s="126" t="e">
        <v>#N/A</v>
      </c>
      <c r="AK4506" s="80">
        <f t="shared" si="692"/>
        <v>0</v>
      </c>
      <c r="AM4506" s="85"/>
    </row>
    <row r="4507" spans="1:39" hidden="1" x14ac:dyDescent="0.3">
      <c r="A4507" s="89" t="s">
        <v>3394</v>
      </c>
      <c r="B4507" s="86" t="s">
        <v>35</v>
      </c>
      <c r="C4507" s="86" t="s">
        <v>164</v>
      </c>
      <c r="D4507" s="86" t="s">
        <v>181</v>
      </c>
      <c r="E4507" s="86" t="s">
        <v>182</v>
      </c>
      <c r="F4507" s="86" t="s">
        <v>183</v>
      </c>
      <c r="G4507" s="86" t="s">
        <v>182</v>
      </c>
      <c r="H4507" s="143">
        <v>360</v>
      </c>
      <c r="I4507" s="86" t="s">
        <v>1060</v>
      </c>
      <c r="J4507" s="1" t="s">
        <v>3325</v>
      </c>
      <c r="K4507" s="1" t="s">
        <v>3287</v>
      </c>
      <c r="L4507" s="1" t="s">
        <v>35</v>
      </c>
      <c r="M4507" s="86" t="s">
        <v>1832</v>
      </c>
      <c r="N4507" s="86"/>
      <c r="O4507" s="47" t="s">
        <v>45</v>
      </c>
      <c r="P4507" s="47" t="s">
        <v>41</v>
      </c>
      <c r="Q4507" s="14">
        <v>0</v>
      </c>
      <c r="R4507" s="143" t="s">
        <v>1834</v>
      </c>
      <c r="S4507" s="47"/>
      <c r="T4507" s="6">
        <v>-1504159.5518600002</v>
      </c>
      <c r="U4507" s="6"/>
      <c r="V4507" s="6">
        <v>0</v>
      </c>
      <c r="W4507" s="6">
        <v>0</v>
      </c>
      <c r="X4507" s="6">
        <f t="shared" si="687"/>
        <v>0</v>
      </c>
      <c r="Y4507" s="13">
        <f t="shared" si="690"/>
        <v>0</v>
      </c>
      <c r="Z4507" s="14">
        <v>0</v>
      </c>
      <c r="AA4507" s="6">
        <v>0</v>
      </c>
      <c r="AB4507" s="4">
        <f t="shared" si="691"/>
        <v>0</v>
      </c>
      <c r="AC4507" s="4">
        <f t="shared" si="693"/>
        <v>0</v>
      </c>
      <c r="AD4507" s="6">
        <f t="shared" si="688"/>
        <v>0</v>
      </c>
      <c r="AE4507" s="2">
        <f>VLOOKUP(I4507,[1]媒体政策预估表!A:N,MATCH(O4507,[1]媒体政策预估表!$A$2:$M$2,0),0)</f>
        <v>0.12</v>
      </c>
      <c r="AF4507" s="6">
        <f t="shared" si="694"/>
        <v>0</v>
      </c>
      <c r="AG4507" s="14">
        <v>0</v>
      </c>
      <c r="AH4507" s="65">
        <f t="shared" si="689"/>
        <v>0</v>
      </c>
      <c r="AI4507" s="47"/>
      <c r="AJ4507" s="126" t="e">
        <v>#N/A</v>
      </c>
      <c r="AK4507" s="80">
        <f t="shared" si="692"/>
        <v>0</v>
      </c>
      <c r="AM4507" s="85"/>
    </row>
    <row r="4508" spans="1:39" hidden="1" x14ac:dyDescent="0.3">
      <c r="A4508" s="89" t="s">
        <v>3395</v>
      </c>
      <c r="B4508" s="86" t="s">
        <v>35</v>
      </c>
      <c r="C4508" s="86" t="s">
        <v>164</v>
      </c>
      <c r="D4508" s="86" t="s">
        <v>181</v>
      </c>
      <c r="E4508" s="86" t="s">
        <v>182</v>
      </c>
      <c r="F4508" s="86" t="s">
        <v>183</v>
      </c>
      <c r="G4508" s="86" t="s">
        <v>182</v>
      </c>
      <c r="H4508" s="143">
        <v>360</v>
      </c>
      <c r="I4508" s="86" t="s">
        <v>1060</v>
      </c>
      <c r="J4508" s="1" t="s">
        <v>3325</v>
      </c>
      <c r="K4508" s="1" t="s">
        <v>3287</v>
      </c>
      <c r="L4508" s="1" t="s">
        <v>35</v>
      </c>
      <c r="M4508" s="86" t="s">
        <v>1832</v>
      </c>
      <c r="N4508" s="86"/>
      <c r="O4508" s="47" t="s">
        <v>941</v>
      </c>
      <c r="P4508" s="47" t="s">
        <v>41</v>
      </c>
      <c r="Q4508" s="14">
        <v>0</v>
      </c>
      <c r="R4508" s="143" t="s">
        <v>1833</v>
      </c>
      <c r="S4508" s="47"/>
      <c r="T4508" s="6">
        <v>-60204.99</v>
      </c>
      <c r="U4508" s="6"/>
      <c r="V4508" s="6">
        <v>0</v>
      </c>
      <c r="W4508" s="6">
        <f t="shared" si="686"/>
        <v>-60204.99</v>
      </c>
      <c r="X4508" s="6">
        <f t="shared" si="687"/>
        <v>0</v>
      </c>
      <c r="Y4508" s="13">
        <f t="shared" si="690"/>
        <v>0</v>
      </c>
      <c r="Z4508" s="14">
        <v>0</v>
      </c>
      <c r="AA4508" s="6">
        <v>0</v>
      </c>
      <c r="AB4508" s="4">
        <f t="shared" si="691"/>
        <v>0</v>
      </c>
      <c r="AC4508" s="4">
        <f t="shared" si="693"/>
        <v>0</v>
      </c>
      <c r="AD4508" s="6">
        <f t="shared" si="688"/>
        <v>0</v>
      </c>
      <c r="AE4508" s="2">
        <f>VLOOKUP(I4508,[1]媒体政策预估表!A:N,MATCH(O4508,[1]媒体政策预估表!$A$2:$M$2,0),0)</f>
        <v>0.15</v>
      </c>
      <c r="AF4508" s="6">
        <f t="shared" si="694"/>
        <v>0</v>
      </c>
      <c r="AG4508" s="14">
        <v>0</v>
      </c>
      <c r="AH4508" s="65">
        <f t="shared" si="689"/>
        <v>0</v>
      </c>
      <c r="AI4508" s="47"/>
      <c r="AJ4508" s="126" t="e">
        <v>#N/A</v>
      </c>
      <c r="AK4508" s="80">
        <f t="shared" si="692"/>
        <v>0</v>
      </c>
      <c r="AM4508" s="85"/>
    </row>
    <row r="4509" spans="1:39" hidden="1" x14ac:dyDescent="0.3">
      <c r="A4509" s="89" t="s">
        <v>3394</v>
      </c>
      <c r="B4509" s="86" t="s">
        <v>35</v>
      </c>
      <c r="C4509" s="86" t="s">
        <v>164</v>
      </c>
      <c r="D4509" s="86" t="s">
        <v>181</v>
      </c>
      <c r="E4509" s="86" t="s">
        <v>182</v>
      </c>
      <c r="F4509" s="86" t="s">
        <v>183</v>
      </c>
      <c r="G4509" s="86" t="s">
        <v>182</v>
      </c>
      <c r="H4509" s="143">
        <v>360</v>
      </c>
      <c r="I4509" s="86" t="s">
        <v>1060</v>
      </c>
      <c r="J4509" s="1" t="s">
        <v>3325</v>
      </c>
      <c r="K4509" s="1" t="s">
        <v>3287</v>
      </c>
      <c r="L4509" s="1" t="s">
        <v>35</v>
      </c>
      <c r="M4509" s="86" t="s">
        <v>1832</v>
      </c>
      <c r="N4509" s="86"/>
      <c r="O4509" s="47" t="s">
        <v>941</v>
      </c>
      <c r="P4509" s="47" t="s">
        <v>41</v>
      </c>
      <c r="Q4509" s="14">
        <v>0</v>
      </c>
      <c r="R4509" s="143" t="s">
        <v>1834</v>
      </c>
      <c r="S4509" s="47"/>
      <c r="T4509" s="6">
        <v>-28357.105049999998</v>
      </c>
      <c r="U4509" s="6"/>
      <c r="V4509" s="6">
        <v>0</v>
      </c>
      <c r="W4509" s="6">
        <v>0</v>
      </c>
      <c r="X4509" s="6">
        <f t="shared" si="687"/>
        <v>0</v>
      </c>
      <c r="Y4509" s="13">
        <f t="shared" si="690"/>
        <v>0</v>
      </c>
      <c r="Z4509" s="14">
        <v>0</v>
      </c>
      <c r="AA4509" s="6">
        <v>0</v>
      </c>
      <c r="AB4509" s="4">
        <f t="shared" si="691"/>
        <v>0</v>
      </c>
      <c r="AC4509" s="4">
        <f t="shared" si="693"/>
        <v>0</v>
      </c>
      <c r="AD4509" s="6">
        <f t="shared" si="688"/>
        <v>0</v>
      </c>
      <c r="AE4509" s="2">
        <f>VLOOKUP(I4509,[1]媒体政策预估表!A:N,MATCH(O4509,[1]媒体政策预估表!$A$2:$M$2,0),0)</f>
        <v>0.15</v>
      </c>
      <c r="AF4509" s="6">
        <f t="shared" si="694"/>
        <v>0</v>
      </c>
      <c r="AG4509" s="14">
        <v>0</v>
      </c>
      <c r="AH4509" s="65">
        <f t="shared" si="689"/>
        <v>0</v>
      </c>
      <c r="AI4509" s="47"/>
      <c r="AJ4509" s="126" t="e">
        <v>#N/A</v>
      </c>
      <c r="AK4509" s="80">
        <f t="shared" si="692"/>
        <v>0</v>
      </c>
      <c r="AM4509" s="85"/>
    </row>
    <row r="4510" spans="1:39" hidden="1" x14ac:dyDescent="0.3">
      <c r="A4510" s="89" t="s">
        <v>3395</v>
      </c>
      <c r="B4510" s="86" t="s">
        <v>35</v>
      </c>
      <c r="C4510" s="86" t="s">
        <v>164</v>
      </c>
      <c r="D4510" s="86" t="s">
        <v>181</v>
      </c>
      <c r="E4510" s="86" t="s">
        <v>182</v>
      </c>
      <c r="F4510" s="86" t="s">
        <v>183</v>
      </c>
      <c r="G4510" s="86" t="s">
        <v>182</v>
      </c>
      <c r="H4510" s="143">
        <v>360</v>
      </c>
      <c r="I4510" s="86" t="s">
        <v>1060</v>
      </c>
      <c r="J4510" s="1" t="s">
        <v>3325</v>
      </c>
      <c r="K4510" s="1" t="s">
        <v>3287</v>
      </c>
      <c r="L4510" s="1" t="s">
        <v>35</v>
      </c>
      <c r="M4510" s="86" t="s">
        <v>1832</v>
      </c>
      <c r="N4510" s="86"/>
      <c r="O4510" s="47" t="s">
        <v>2054</v>
      </c>
      <c r="P4510" s="47" t="s">
        <v>41</v>
      </c>
      <c r="Q4510" s="14">
        <v>0</v>
      </c>
      <c r="R4510" s="143" t="s">
        <v>1834</v>
      </c>
      <c r="S4510" s="47"/>
      <c r="T4510" s="6">
        <v>-771455.54529000004</v>
      </c>
      <c r="U4510" s="6"/>
      <c r="V4510" s="6">
        <v>0</v>
      </c>
      <c r="W4510" s="6">
        <v>0</v>
      </c>
      <c r="X4510" s="6">
        <f t="shared" si="687"/>
        <v>0</v>
      </c>
      <c r="Y4510" s="13">
        <f t="shared" si="690"/>
        <v>0</v>
      </c>
      <c r="Z4510" s="14">
        <v>0</v>
      </c>
      <c r="AA4510" s="6">
        <v>0</v>
      </c>
      <c r="AB4510" s="4">
        <f t="shared" si="691"/>
        <v>0</v>
      </c>
      <c r="AC4510" s="4">
        <f t="shared" si="693"/>
        <v>0</v>
      </c>
      <c r="AD4510" s="6">
        <f t="shared" si="688"/>
        <v>0</v>
      </c>
      <c r="AE4510" s="2">
        <f>VLOOKUP(I4510,[1]媒体政策预估表!A:N,MATCH(O4510,[1]媒体政策预估表!$A$2:$M$2,0),0)</f>
        <v>0.12</v>
      </c>
      <c r="AF4510" s="6">
        <f t="shared" si="694"/>
        <v>0</v>
      </c>
      <c r="AG4510" s="14">
        <v>0</v>
      </c>
      <c r="AH4510" s="65">
        <f t="shared" si="689"/>
        <v>0</v>
      </c>
      <c r="AI4510" s="47"/>
      <c r="AJ4510" s="126" t="e">
        <v>#N/A</v>
      </c>
      <c r="AK4510" s="80">
        <f t="shared" si="692"/>
        <v>0</v>
      </c>
      <c r="AM4510" s="85"/>
    </row>
    <row r="4511" spans="1:39" hidden="1" x14ac:dyDescent="0.3">
      <c r="A4511" s="89" t="s">
        <v>3394</v>
      </c>
      <c r="B4511" s="86" t="s">
        <v>35</v>
      </c>
      <c r="C4511" s="86" t="s">
        <v>36</v>
      </c>
      <c r="D4511" s="86" t="s">
        <v>961</v>
      </c>
      <c r="E4511" s="86" t="s">
        <v>962</v>
      </c>
      <c r="F4511" s="86" t="s">
        <v>962</v>
      </c>
      <c r="G4511" s="86" t="s">
        <v>962</v>
      </c>
      <c r="H4511" s="143">
        <v>360</v>
      </c>
      <c r="I4511" s="86" t="s">
        <v>1060</v>
      </c>
      <c r="J4511" s="1" t="s">
        <v>3325</v>
      </c>
      <c r="K4511" s="1" t="s">
        <v>3287</v>
      </c>
      <c r="L4511" s="1" t="s">
        <v>35</v>
      </c>
      <c r="M4511" s="86" t="s">
        <v>2281</v>
      </c>
      <c r="N4511" s="86"/>
      <c r="O4511" s="47" t="s">
        <v>45</v>
      </c>
      <c r="P4511" s="47" t="s">
        <v>41</v>
      </c>
      <c r="Q4511" s="14">
        <v>0</v>
      </c>
      <c r="R4511" s="143" t="s">
        <v>2282</v>
      </c>
      <c r="S4511" s="47"/>
      <c r="T4511" s="6">
        <v>15465.78</v>
      </c>
      <c r="U4511" s="6"/>
      <c r="V4511" s="6">
        <v>0</v>
      </c>
      <c r="W4511" s="6">
        <f t="shared" si="686"/>
        <v>15465.78</v>
      </c>
      <c r="X4511" s="6">
        <f t="shared" si="687"/>
        <v>0</v>
      </c>
      <c r="Y4511" s="13">
        <f t="shared" si="690"/>
        <v>0</v>
      </c>
      <c r="Z4511" s="14">
        <v>0</v>
      </c>
      <c r="AA4511" s="6">
        <v>0</v>
      </c>
      <c r="AB4511" s="4">
        <f t="shared" si="691"/>
        <v>0</v>
      </c>
      <c r="AC4511" s="4">
        <f t="shared" si="693"/>
        <v>0</v>
      </c>
      <c r="AD4511" s="6">
        <f t="shared" si="688"/>
        <v>0</v>
      </c>
      <c r="AE4511" s="2">
        <f>VLOOKUP(I4511,[1]媒体政策预估表!A:N,MATCH(O4511,[1]媒体政策预估表!$A$2:$M$2,0),0)</f>
        <v>0.12</v>
      </c>
      <c r="AF4511" s="6">
        <f t="shared" si="694"/>
        <v>0</v>
      </c>
      <c r="AG4511" s="14">
        <v>0</v>
      </c>
      <c r="AH4511" s="65">
        <f t="shared" si="689"/>
        <v>0</v>
      </c>
      <c r="AI4511" s="47"/>
      <c r="AJ4511" s="126" t="e">
        <v>#N/A</v>
      </c>
      <c r="AK4511" s="80">
        <f t="shared" si="692"/>
        <v>0</v>
      </c>
      <c r="AM4511" s="85"/>
    </row>
    <row r="4512" spans="1:39" hidden="1" x14ac:dyDescent="0.3">
      <c r="A4512" s="89" t="s">
        <v>3394</v>
      </c>
      <c r="B4512" s="86" t="s">
        <v>35</v>
      </c>
      <c r="C4512" s="86" t="s">
        <v>36</v>
      </c>
      <c r="D4512" s="86" t="s">
        <v>961</v>
      </c>
      <c r="E4512" s="86" t="s">
        <v>2283</v>
      </c>
      <c r="F4512" s="86" t="s">
        <v>2283</v>
      </c>
      <c r="G4512" s="86" t="s">
        <v>2283</v>
      </c>
      <c r="H4512" s="143">
        <v>360</v>
      </c>
      <c r="I4512" s="86" t="s">
        <v>1060</v>
      </c>
      <c r="J4512" s="1" t="s">
        <v>3325</v>
      </c>
      <c r="K4512" s="1" t="s">
        <v>3287</v>
      </c>
      <c r="L4512" s="1" t="s">
        <v>35</v>
      </c>
      <c r="M4512" s="86" t="s">
        <v>2283</v>
      </c>
      <c r="N4512" s="86"/>
      <c r="O4512" s="47" t="s">
        <v>410</v>
      </c>
      <c r="P4512" s="47" t="s">
        <v>41</v>
      </c>
      <c r="Q4512" s="14">
        <v>0</v>
      </c>
      <c r="R4512" s="143">
        <v>18627117922</v>
      </c>
      <c r="S4512" s="47"/>
      <c r="T4512" s="6">
        <v>5801</v>
      </c>
      <c r="U4512" s="6"/>
      <c r="V4512" s="6">
        <v>0</v>
      </c>
      <c r="W4512" s="6">
        <f t="shared" si="686"/>
        <v>5801</v>
      </c>
      <c r="X4512" s="6">
        <f t="shared" si="687"/>
        <v>0</v>
      </c>
      <c r="Y4512" s="13">
        <f t="shared" si="690"/>
        <v>0</v>
      </c>
      <c r="Z4512" s="14">
        <v>0</v>
      </c>
      <c r="AA4512" s="6">
        <v>0</v>
      </c>
      <c r="AB4512" s="4">
        <f t="shared" si="691"/>
        <v>0</v>
      </c>
      <c r="AC4512" s="4">
        <f t="shared" si="693"/>
        <v>0</v>
      </c>
      <c r="AD4512" s="6">
        <f t="shared" si="688"/>
        <v>0</v>
      </c>
      <c r="AE4512" s="2">
        <f>VLOOKUP(I4512,[1]媒体政策预估表!A:N,MATCH(O4512,[1]媒体政策预估表!$A$2:$M$2,0),0)</f>
        <v>7.0000000000000007E-2</v>
      </c>
      <c r="AF4512" s="6">
        <f t="shared" si="694"/>
        <v>0</v>
      </c>
      <c r="AG4512" s="14">
        <v>0</v>
      </c>
      <c r="AH4512" s="65">
        <f t="shared" si="689"/>
        <v>0</v>
      </c>
      <c r="AI4512" s="47"/>
      <c r="AJ4512" s="126" t="e">
        <v>#N/A</v>
      </c>
      <c r="AK4512" s="80">
        <f t="shared" si="692"/>
        <v>0</v>
      </c>
      <c r="AM4512" s="85"/>
    </row>
    <row r="4513" spans="1:39" hidden="1" x14ac:dyDescent="0.3">
      <c r="A4513" s="89" t="s">
        <v>3394</v>
      </c>
      <c r="B4513" s="86" t="s">
        <v>35</v>
      </c>
      <c r="C4513" s="86" t="s">
        <v>36</v>
      </c>
      <c r="D4513" s="86" t="s">
        <v>224</v>
      </c>
      <c r="E4513" s="86" t="s">
        <v>2284</v>
      </c>
      <c r="F4513" s="86" t="s">
        <v>2285</v>
      </c>
      <c r="G4513" s="86" t="s">
        <v>2284</v>
      </c>
      <c r="H4513" s="143">
        <v>360</v>
      </c>
      <c r="I4513" s="86" t="s">
        <v>1060</v>
      </c>
      <c r="J4513" s="1" t="s">
        <v>3325</v>
      </c>
      <c r="K4513" s="1" t="s">
        <v>3287</v>
      </c>
      <c r="L4513" s="1" t="s">
        <v>35</v>
      </c>
      <c r="M4513" s="86" t="s">
        <v>2284</v>
      </c>
      <c r="N4513" s="86"/>
      <c r="O4513" s="47" t="s">
        <v>410</v>
      </c>
      <c r="P4513" s="47" t="s">
        <v>46</v>
      </c>
      <c r="Q4513" s="14">
        <v>0.02</v>
      </c>
      <c r="R4513" s="143" t="s">
        <v>2286</v>
      </c>
      <c r="S4513" s="47"/>
      <c r="T4513" s="6">
        <v>489.46</v>
      </c>
      <c r="U4513" s="6"/>
      <c r="V4513" s="6">
        <v>0</v>
      </c>
      <c r="W4513" s="6">
        <f t="shared" si="686"/>
        <v>489.46</v>
      </c>
      <c r="X4513" s="6">
        <f t="shared" si="687"/>
        <v>0</v>
      </c>
      <c r="Y4513" s="13">
        <f t="shared" si="690"/>
        <v>0</v>
      </c>
      <c r="Z4513" s="14">
        <v>0</v>
      </c>
      <c r="AA4513" s="6">
        <v>0</v>
      </c>
      <c r="AB4513" s="4">
        <f t="shared" si="691"/>
        <v>0</v>
      </c>
      <c r="AC4513" s="4">
        <f t="shared" si="693"/>
        <v>0</v>
      </c>
      <c r="AD4513" s="6">
        <f t="shared" si="688"/>
        <v>0</v>
      </c>
      <c r="AE4513" s="2">
        <f>VLOOKUP(I4513,[1]媒体政策预估表!A:N,MATCH(O4513,[1]媒体政策预估表!$A$2:$M$2,0),0)</f>
        <v>7.0000000000000007E-2</v>
      </c>
      <c r="AF4513" s="6">
        <f t="shared" si="694"/>
        <v>0</v>
      </c>
      <c r="AG4513" s="14">
        <v>0</v>
      </c>
      <c r="AH4513" s="65">
        <f t="shared" si="689"/>
        <v>0</v>
      </c>
      <c r="AI4513" s="47"/>
      <c r="AJ4513" s="126" t="e">
        <v>#N/A</v>
      </c>
      <c r="AK4513" s="80">
        <f t="shared" si="692"/>
        <v>0</v>
      </c>
      <c r="AM4513" s="85"/>
    </row>
    <row r="4514" spans="1:39" hidden="1" x14ac:dyDescent="0.3">
      <c r="A4514" s="89" t="s">
        <v>3394</v>
      </c>
      <c r="B4514" s="86" t="s">
        <v>35</v>
      </c>
      <c r="C4514" s="86" t="s">
        <v>36</v>
      </c>
      <c r="D4514" s="86" t="s">
        <v>224</v>
      </c>
      <c r="E4514" s="86" t="s">
        <v>2287</v>
      </c>
      <c r="F4514" s="86" t="s">
        <v>2287</v>
      </c>
      <c r="G4514" s="86" t="s">
        <v>2287</v>
      </c>
      <c r="H4514" s="143">
        <v>360</v>
      </c>
      <c r="I4514" s="86" t="s">
        <v>1060</v>
      </c>
      <c r="J4514" s="1" t="s">
        <v>3325</v>
      </c>
      <c r="K4514" s="1" t="s">
        <v>3287</v>
      </c>
      <c r="L4514" s="1" t="s">
        <v>35</v>
      </c>
      <c r="M4514" s="86" t="s">
        <v>2288</v>
      </c>
      <c r="N4514" s="86"/>
      <c r="O4514" s="47" t="s">
        <v>410</v>
      </c>
      <c r="P4514" s="47" t="s">
        <v>46</v>
      </c>
      <c r="Q4514" s="14">
        <v>0.04</v>
      </c>
      <c r="R4514" s="143" t="s">
        <v>2289</v>
      </c>
      <c r="S4514" s="47"/>
      <c r="T4514" s="6">
        <v>16335.18</v>
      </c>
      <c r="U4514" s="6"/>
      <c r="V4514" s="6">
        <v>0</v>
      </c>
      <c r="W4514" s="6">
        <f t="shared" si="686"/>
        <v>16335.18</v>
      </c>
      <c r="X4514" s="6">
        <f t="shared" si="687"/>
        <v>0</v>
      </c>
      <c r="Y4514" s="13">
        <f t="shared" si="690"/>
        <v>0</v>
      </c>
      <c r="Z4514" s="14">
        <v>0</v>
      </c>
      <c r="AA4514" s="6">
        <v>0</v>
      </c>
      <c r="AB4514" s="4">
        <f t="shared" si="691"/>
        <v>0</v>
      </c>
      <c r="AC4514" s="4">
        <f t="shared" si="693"/>
        <v>0</v>
      </c>
      <c r="AD4514" s="6">
        <f t="shared" si="688"/>
        <v>0</v>
      </c>
      <c r="AE4514" s="2">
        <f>VLOOKUP(I4514,[1]媒体政策预估表!A:N,MATCH(O4514,[1]媒体政策预估表!$A$2:$M$2,0),0)</f>
        <v>7.0000000000000007E-2</v>
      </c>
      <c r="AF4514" s="6">
        <f t="shared" si="694"/>
        <v>0</v>
      </c>
      <c r="AG4514" s="14">
        <v>0</v>
      </c>
      <c r="AH4514" s="65">
        <f t="shared" si="689"/>
        <v>0</v>
      </c>
      <c r="AI4514" s="47"/>
      <c r="AJ4514" s="126" t="e">
        <v>#N/A</v>
      </c>
      <c r="AK4514" s="80">
        <f t="shared" si="692"/>
        <v>0</v>
      </c>
      <c r="AM4514" s="85"/>
    </row>
    <row r="4515" spans="1:39" hidden="1" x14ac:dyDescent="0.3">
      <c r="A4515" s="89" t="s">
        <v>3395</v>
      </c>
      <c r="B4515" s="86" t="s">
        <v>35</v>
      </c>
      <c r="C4515" s="86" t="s">
        <v>36</v>
      </c>
      <c r="D4515" s="86" t="s">
        <v>224</v>
      </c>
      <c r="E4515" s="86" t="s">
        <v>2290</v>
      </c>
      <c r="F4515" s="86" t="s">
        <v>2290</v>
      </c>
      <c r="G4515" s="86" t="s">
        <v>2290</v>
      </c>
      <c r="H4515" s="143">
        <v>360</v>
      </c>
      <c r="I4515" s="86" t="s">
        <v>1060</v>
      </c>
      <c r="J4515" s="1" t="s">
        <v>3325</v>
      </c>
      <c r="K4515" s="1" t="s">
        <v>3287</v>
      </c>
      <c r="L4515" s="1" t="s">
        <v>35</v>
      </c>
      <c r="M4515" s="86" t="s">
        <v>2291</v>
      </c>
      <c r="N4515" s="86"/>
      <c r="O4515" s="47" t="s">
        <v>410</v>
      </c>
      <c r="P4515" s="47" t="s">
        <v>41</v>
      </c>
      <c r="Q4515" s="14">
        <v>0</v>
      </c>
      <c r="R4515" s="143">
        <v>3395642036</v>
      </c>
      <c r="S4515" s="47"/>
      <c r="T4515" s="6">
        <v>31601.200000000001</v>
      </c>
      <c r="U4515" s="6"/>
      <c r="V4515" s="6">
        <v>0</v>
      </c>
      <c r="W4515" s="6">
        <f t="shared" si="686"/>
        <v>31601.200000000001</v>
      </c>
      <c r="X4515" s="6">
        <f t="shared" si="687"/>
        <v>0</v>
      </c>
      <c r="Y4515" s="13">
        <f t="shared" si="690"/>
        <v>0</v>
      </c>
      <c r="Z4515" s="14">
        <v>0</v>
      </c>
      <c r="AA4515" s="6">
        <v>0</v>
      </c>
      <c r="AB4515" s="4">
        <f t="shared" si="691"/>
        <v>0</v>
      </c>
      <c r="AC4515" s="4">
        <f t="shared" si="693"/>
        <v>0</v>
      </c>
      <c r="AD4515" s="6">
        <f t="shared" si="688"/>
        <v>0</v>
      </c>
      <c r="AE4515" s="2">
        <f>VLOOKUP(I4515,[1]媒体政策预估表!A:N,MATCH(O4515,[1]媒体政策预估表!$A$2:$M$2,0),0)</f>
        <v>7.0000000000000007E-2</v>
      </c>
      <c r="AF4515" s="6">
        <f t="shared" si="694"/>
        <v>0</v>
      </c>
      <c r="AG4515" s="14">
        <v>0</v>
      </c>
      <c r="AH4515" s="65">
        <f t="shared" si="689"/>
        <v>0</v>
      </c>
      <c r="AI4515" s="47"/>
      <c r="AJ4515" s="126" t="e">
        <v>#N/A</v>
      </c>
      <c r="AK4515" s="80">
        <f t="shared" si="692"/>
        <v>0</v>
      </c>
      <c r="AM4515" s="85"/>
    </row>
    <row r="4516" spans="1:39" hidden="1" x14ac:dyDescent="0.3">
      <c r="A4516" s="89" t="s">
        <v>3394</v>
      </c>
      <c r="B4516" s="86" t="s">
        <v>35</v>
      </c>
      <c r="C4516" s="86" t="s">
        <v>36</v>
      </c>
      <c r="D4516" s="86" t="s">
        <v>224</v>
      </c>
      <c r="E4516" s="86" t="s">
        <v>2290</v>
      </c>
      <c r="F4516" s="86" t="s">
        <v>2292</v>
      </c>
      <c r="G4516" s="86" t="s">
        <v>2290</v>
      </c>
      <c r="H4516" s="143">
        <v>360</v>
      </c>
      <c r="I4516" s="86" t="s">
        <v>1060</v>
      </c>
      <c r="J4516" s="1" t="s">
        <v>3325</v>
      </c>
      <c r="K4516" s="1" t="s">
        <v>3287</v>
      </c>
      <c r="L4516" s="1" t="s">
        <v>35</v>
      </c>
      <c r="M4516" s="86" t="s">
        <v>2293</v>
      </c>
      <c r="N4516" s="86"/>
      <c r="O4516" s="47" t="s">
        <v>410</v>
      </c>
      <c r="P4516" s="47" t="s">
        <v>46</v>
      </c>
      <c r="Q4516" s="14">
        <v>0.02</v>
      </c>
      <c r="R4516" s="143">
        <v>153097069</v>
      </c>
      <c r="S4516" s="47"/>
      <c r="T4516" s="6">
        <v>302.09999999999098</v>
      </c>
      <c r="U4516" s="6"/>
      <c r="V4516" s="6">
        <v>0</v>
      </c>
      <c r="W4516" s="6">
        <f t="shared" si="686"/>
        <v>302.09999999999098</v>
      </c>
      <c r="X4516" s="6">
        <f t="shared" si="687"/>
        <v>0</v>
      </c>
      <c r="Y4516" s="13">
        <f t="shared" si="690"/>
        <v>0</v>
      </c>
      <c r="Z4516" s="14">
        <v>0</v>
      </c>
      <c r="AA4516" s="6">
        <v>0</v>
      </c>
      <c r="AB4516" s="4">
        <f t="shared" si="691"/>
        <v>0</v>
      </c>
      <c r="AC4516" s="4">
        <f t="shared" si="693"/>
        <v>0</v>
      </c>
      <c r="AD4516" s="6">
        <f t="shared" si="688"/>
        <v>0</v>
      </c>
      <c r="AE4516" s="2">
        <f>VLOOKUP(I4516,[1]媒体政策预估表!A:N,MATCH(O4516,[1]媒体政策预估表!$A$2:$M$2,0),0)</f>
        <v>7.0000000000000007E-2</v>
      </c>
      <c r="AF4516" s="6">
        <f t="shared" si="694"/>
        <v>0</v>
      </c>
      <c r="AG4516" s="14">
        <v>0</v>
      </c>
      <c r="AH4516" s="65">
        <f t="shared" si="689"/>
        <v>0</v>
      </c>
      <c r="AI4516" s="47"/>
      <c r="AJ4516" s="126" t="e">
        <v>#N/A</v>
      </c>
      <c r="AK4516" s="80">
        <f t="shared" si="692"/>
        <v>0</v>
      </c>
      <c r="AM4516" s="85"/>
    </row>
    <row r="4517" spans="1:39" hidden="1" x14ac:dyDescent="0.3">
      <c r="A4517" s="89" t="s">
        <v>3395</v>
      </c>
      <c r="B4517" s="86" t="s">
        <v>35</v>
      </c>
      <c r="C4517" s="86" t="s">
        <v>36</v>
      </c>
      <c r="D4517" s="86" t="s">
        <v>224</v>
      </c>
      <c r="E4517" s="86" t="s">
        <v>2294</v>
      </c>
      <c r="F4517" s="86" t="s">
        <v>2294</v>
      </c>
      <c r="G4517" s="86" t="s">
        <v>2294</v>
      </c>
      <c r="H4517" s="143">
        <v>360</v>
      </c>
      <c r="I4517" s="86" t="s">
        <v>1060</v>
      </c>
      <c r="J4517" s="1" t="s">
        <v>3325</v>
      </c>
      <c r="K4517" s="1" t="s">
        <v>3287</v>
      </c>
      <c r="L4517" s="1" t="s">
        <v>35</v>
      </c>
      <c r="M4517" s="86" t="s">
        <v>2295</v>
      </c>
      <c r="N4517" s="86"/>
      <c r="O4517" s="47" t="s">
        <v>410</v>
      </c>
      <c r="P4517" s="47" t="s">
        <v>41</v>
      </c>
      <c r="Q4517" s="14">
        <v>0</v>
      </c>
      <c r="R4517" s="143">
        <v>13351113737</v>
      </c>
      <c r="S4517" s="47"/>
      <c r="T4517" s="6">
        <v>7428.92</v>
      </c>
      <c r="U4517" s="6"/>
      <c r="V4517" s="6">
        <v>0</v>
      </c>
      <c r="W4517" s="6">
        <f t="shared" si="686"/>
        <v>7428.92</v>
      </c>
      <c r="X4517" s="6">
        <f t="shared" si="687"/>
        <v>0</v>
      </c>
      <c r="Y4517" s="13">
        <f t="shared" si="690"/>
        <v>0</v>
      </c>
      <c r="Z4517" s="14">
        <v>0</v>
      </c>
      <c r="AA4517" s="6">
        <v>0</v>
      </c>
      <c r="AB4517" s="4">
        <f t="shared" si="691"/>
        <v>0</v>
      </c>
      <c r="AC4517" s="4">
        <f t="shared" si="693"/>
        <v>0</v>
      </c>
      <c r="AD4517" s="6">
        <f t="shared" si="688"/>
        <v>0</v>
      </c>
      <c r="AE4517" s="2">
        <f>VLOOKUP(I4517,[1]媒体政策预估表!A:N,MATCH(O4517,[1]媒体政策预估表!$A$2:$M$2,0),0)</f>
        <v>7.0000000000000007E-2</v>
      </c>
      <c r="AF4517" s="6">
        <f t="shared" si="694"/>
        <v>0</v>
      </c>
      <c r="AG4517" s="14">
        <v>0</v>
      </c>
      <c r="AH4517" s="65">
        <f t="shared" si="689"/>
        <v>0</v>
      </c>
      <c r="AI4517" s="47"/>
      <c r="AJ4517" s="126" t="e">
        <v>#N/A</v>
      </c>
      <c r="AK4517" s="80">
        <f t="shared" si="692"/>
        <v>0</v>
      </c>
      <c r="AM4517" s="85"/>
    </row>
    <row r="4518" spans="1:39" hidden="1" x14ac:dyDescent="0.3">
      <c r="A4518" s="89" t="s">
        <v>3394</v>
      </c>
      <c r="B4518" s="86" t="s">
        <v>35</v>
      </c>
      <c r="C4518" s="86" t="s">
        <v>36</v>
      </c>
      <c r="D4518" s="86" t="s">
        <v>224</v>
      </c>
      <c r="E4518" s="86" t="s">
        <v>2296</v>
      </c>
      <c r="F4518" s="86" t="s">
        <v>2297</v>
      </c>
      <c r="G4518" s="86" t="s">
        <v>2296</v>
      </c>
      <c r="H4518" s="143">
        <v>360</v>
      </c>
      <c r="I4518" s="86" t="s">
        <v>1060</v>
      </c>
      <c r="J4518" s="1" t="s">
        <v>3325</v>
      </c>
      <c r="K4518" s="1" t="s">
        <v>3287</v>
      </c>
      <c r="L4518" s="1" t="s">
        <v>35</v>
      </c>
      <c r="M4518" s="86" t="s">
        <v>2298</v>
      </c>
      <c r="N4518" s="86"/>
      <c r="O4518" s="47" t="s">
        <v>410</v>
      </c>
      <c r="P4518" s="47" t="s">
        <v>46</v>
      </c>
      <c r="Q4518" s="14">
        <v>0.02</v>
      </c>
      <c r="R4518" s="143" t="s">
        <v>2299</v>
      </c>
      <c r="S4518" s="47"/>
      <c r="T4518" s="6">
        <v>487.4</v>
      </c>
      <c r="U4518" s="6"/>
      <c r="V4518" s="6">
        <v>0</v>
      </c>
      <c r="W4518" s="6">
        <f t="shared" si="686"/>
        <v>487.4</v>
      </c>
      <c r="X4518" s="6">
        <f t="shared" si="687"/>
        <v>0</v>
      </c>
      <c r="Y4518" s="13">
        <f t="shared" si="690"/>
        <v>0</v>
      </c>
      <c r="Z4518" s="14">
        <v>0</v>
      </c>
      <c r="AA4518" s="6">
        <v>0</v>
      </c>
      <c r="AB4518" s="4">
        <f t="shared" si="691"/>
        <v>0</v>
      </c>
      <c r="AC4518" s="4">
        <f t="shared" si="693"/>
        <v>0</v>
      </c>
      <c r="AD4518" s="6">
        <f t="shared" si="688"/>
        <v>0</v>
      </c>
      <c r="AE4518" s="2">
        <f>VLOOKUP(I4518,[1]媒体政策预估表!A:N,MATCH(O4518,[1]媒体政策预估表!$A$2:$M$2,0),0)</f>
        <v>7.0000000000000007E-2</v>
      </c>
      <c r="AF4518" s="6">
        <f t="shared" si="694"/>
        <v>0</v>
      </c>
      <c r="AG4518" s="14">
        <v>0</v>
      </c>
      <c r="AH4518" s="65">
        <f t="shared" si="689"/>
        <v>0</v>
      </c>
      <c r="AI4518" s="47"/>
      <c r="AJ4518" s="126" t="e">
        <v>#N/A</v>
      </c>
      <c r="AK4518" s="80">
        <f t="shared" si="692"/>
        <v>0</v>
      </c>
      <c r="AM4518" s="85"/>
    </row>
    <row r="4519" spans="1:39" hidden="1" x14ac:dyDescent="0.3">
      <c r="A4519" s="89" t="s">
        <v>3395</v>
      </c>
      <c r="B4519" s="86" t="s">
        <v>35</v>
      </c>
      <c r="C4519" s="86" t="s">
        <v>36</v>
      </c>
      <c r="D4519" s="86" t="s">
        <v>224</v>
      </c>
      <c r="E4519" s="86" t="s">
        <v>2065</v>
      </c>
      <c r="F4519" s="86" t="s">
        <v>2065</v>
      </c>
      <c r="G4519" s="86" t="s">
        <v>2065</v>
      </c>
      <c r="H4519" s="143">
        <v>360</v>
      </c>
      <c r="I4519" s="86" t="s">
        <v>1060</v>
      </c>
      <c r="J4519" s="1" t="s">
        <v>3325</v>
      </c>
      <c r="K4519" s="1" t="s">
        <v>3287</v>
      </c>
      <c r="L4519" s="1" t="s">
        <v>35</v>
      </c>
      <c r="M4519" s="86" t="s">
        <v>2065</v>
      </c>
      <c r="N4519" s="86"/>
      <c r="O4519" s="47" t="s">
        <v>45</v>
      </c>
      <c r="P4519" s="47" t="s">
        <v>46</v>
      </c>
      <c r="Q4519" s="14">
        <v>0.03</v>
      </c>
      <c r="R4519" s="143" t="s">
        <v>2300</v>
      </c>
      <c r="S4519" s="47"/>
      <c r="T4519" s="6">
        <v>5.9999999999490697E-2</v>
      </c>
      <c r="U4519" s="6"/>
      <c r="V4519" s="6">
        <v>0</v>
      </c>
      <c r="W4519" s="6">
        <f t="shared" si="686"/>
        <v>5.9999999999490697E-2</v>
      </c>
      <c r="X4519" s="6">
        <f t="shared" si="687"/>
        <v>0</v>
      </c>
      <c r="Y4519" s="13">
        <f t="shared" si="690"/>
        <v>0</v>
      </c>
      <c r="Z4519" s="14">
        <v>0</v>
      </c>
      <c r="AA4519" s="6">
        <v>0</v>
      </c>
      <c r="AB4519" s="4">
        <f t="shared" si="691"/>
        <v>0</v>
      </c>
      <c r="AC4519" s="4">
        <f t="shared" si="693"/>
        <v>0</v>
      </c>
      <c r="AD4519" s="6">
        <f t="shared" si="688"/>
        <v>0</v>
      </c>
      <c r="AE4519" s="2">
        <f>VLOOKUP(I4519,[1]媒体政策预估表!A:N,MATCH(O4519,[1]媒体政策预估表!$A$2:$M$2,0),0)</f>
        <v>0.12</v>
      </c>
      <c r="AF4519" s="6">
        <f t="shared" si="694"/>
        <v>0</v>
      </c>
      <c r="AG4519" s="14">
        <v>0</v>
      </c>
      <c r="AH4519" s="65">
        <f t="shared" si="689"/>
        <v>0</v>
      </c>
      <c r="AI4519" s="47"/>
      <c r="AJ4519" s="126" t="s">
        <v>4222</v>
      </c>
      <c r="AK4519" s="80">
        <f t="shared" si="692"/>
        <v>0</v>
      </c>
      <c r="AL4519" s="150"/>
      <c r="AM4519" s="85"/>
    </row>
    <row r="4520" spans="1:39" hidden="1" x14ac:dyDescent="0.3">
      <c r="A4520" s="89" t="s">
        <v>3394</v>
      </c>
      <c r="B4520" s="86" t="s">
        <v>35</v>
      </c>
      <c r="C4520" s="86" t="s">
        <v>36</v>
      </c>
      <c r="D4520" s="86" t="s">
        <v>224</v>
      </c>
      <c r="E4520" s="86" t="s">
        <v>2301</v>
      </c>
      <c r="F4520" s="86" t="s">
        <v>2301</v>
      </c>
      <c r="G4520" s="86" t="s">
        <v>2301</v>
      </c>
      <c r="H4520" s="143">
        <v>360</v>
      </c>
      <c r="I4520" s="86" t="s">
        <v>1060</v>
      </c>
      <c r="J4520" s="1" t="s">
        <v>3325</v>
      </c>
      <c r="K4520" s="1" t="s">
        <v>3287</v>
      </c>
      <c r="L4520" s="1" t="s">
        <v>35</v>
      </c>
      <c r="M4520" s="86" t="s">
        <v>2301</v>
      </c>
      <c r="N4520" s="86"/>
      <c r="O4520" s="47" t="s">
        <v>410</v>
      </c>
      <c r="P4520" s="47" t="s">
        <v>46</v>
      </c>
      <c r="Q4520" s="14">
        <v>0.02</v>
      </c>
      <c r="R4520" s="143" t="s">
        <v>2302</v>
      </c>
      <c r="S4520" s="47"/>
      <c r="T4520" s="6">
        <v>6189.5</v>
      </c>
      <c r="U4520" s="6"/>
      <c r="V4520" s="6">
        <v>0</v>
      </c>
      <c r="W4520" s="6">
        <f t="shared" si="686"/>
        <v>6189.5</v>
      </c>
      <c r="X4520" s="6">
        <f t="shared" si="687"/>
        <v>0</v>
      </c>
      <c r="Y4520" s="13">
        <f t="shared" si="690"/>
        <v>0</v>
      </c>
      <c r="Z4520" s="14">
        <v>0</v>
      </c>
      <c r="AA4520" s="6">
        <v>0</v>
      </c>
      <c r="AB4520" s="4">
        <f t="shared" si="691"/>
        <v>0</v>
      </c>
      <c r="AC4520" s="4">
        <f t="shared" si="693"/>
        <v>0</v>
      </c>
      <c r="AD4520" s="6">
        <f t="shared" si="688"/>
        <v>0</v>
      </c>
      <c r="AE4520" s="2">
        <f>VLOOKUP(I4520,[1]媒体政策预估表!A:N,MATCH(O4520,[1]媒体政策预估表!$A$2:$M$2,0),0)</f>
        <v>7.0000000000000007E-2</v>
      </c>
      <c r="AF4520" s="6">
        <f t="shared" si="694"/>
        <v>0</v>
      </c>
      <c r="AG4520" s="14">
        <v>0</v>
      </c>
      <c r="AH4520" s="65">
        <f t="shared" si="689"/>
        <v>0</v>
      </c>
      <c r="AI4520" s="47"/>
      <c r="AJ4520" s="126" t="e">
        <v>#N/A</v>
      </c>
      <c r="AK4520" s="80">
        <f t="shared" si="692"/>
        <v>0</v>
      </c>
      <c r="AM4520" s="85"/>
    </row>
    <row r="4521" spans="1:39" hidden="1" x14ac:dyDescent="0.3">
      <c r="A4521" s="89" t="s">
        <v>3394</v>
      </c>
      <c r="B4521" s="86" t="s">
        <v>35</v>
      </c>
      <c r="C4521" s="86" t="s">
        <v>36</v>
      </c>
      <c r="D4521" s="86" t="s">
        <v>224</v>
      </c>
      <c r="E4521" s="86" t="s">
        <v>2303</v>
      </c>
      <c r="F4521" s="86" t="s">
        <v>2303</v>
      </c>
      <c r="G4521" s="86" t="s">
        <v>2303</v>
      </c>
      <c r="H4521" s="143">
        <v>360</v>
      </c>
      <c r="I4521" s="86" t="s">
        <v>1060</v>
      </c>
      <c r="J4521" s="1" t="s">
        <v>3325</v>
      </c>
      <c r="K4521" s="1" t="s">
        <v>3287</v>
      </c>
      <c r="L4521" s="1" t="s">
        <v>35</v>
      </c>
      <c r="M4521" s="86" t="s">
        <v>2304</v>
      </c>
      <c r="N4521" s="86"/>
      <c r="O4521" s="47" t="s">
        <v>410</v>
      </c>
      <c r="P4521" s="47" t="s">
        <v>46</v>
      </c>
      <c r="Q4521" s="14">
        <v>0.02</v>
      </c>
      <c r="R4521" s="143" t="s">
        <v>2305</v>
      </c>
      <c r="S4521" s="47"/>
      <c r="T4521" s="6">
        <v>1.8599999999900101</v>
      </c>
      <c r="U4521" s="6"/>
      <c r="V4521" s="6">
        <v>0</v>
      </c>
      <c r="W4521" s="6">
        <f t="shared" si="686"/>
        <v>1.8599999999900101</v>
      </c>
      <c r="X4521" s="6">
        <f t="shared" si="687"/>
        <v>0</v>
      </c>
      <c r="Y4521" s="13">
        <f t="shared" si="690"/>
        <v>0</v>
      </c>
      <c r="Z4521" s="14">
        <v>0</v>
      </c>
      <c r="AA4521" s="6">
        <v>0</v>
      </c>
      <c r="AB4521" s="4">
        <f t="shared" si="691"/>
        <v>0</v>
      </c>
      <c r="AC4521" s="4">
        <f t="shared" si="693"/>
        <v>0</v>
      </c>
      <c r="AD4521" s="6">
        <f t="shared" si="688"/>
        <v>0</v>
      </c>
      <c r="AE4521" s="2">
        <f>VLOOKUP(I4521,[1]媒体政策预估表!A:N,MATCH(O4521,[1]媒体政策预估表!$A$2:$M$2,0),0)</f>
        <v>7.0000000000000007E-2</v>
      </c>
      <c r="AF4521" s="6">
        <f t="shared" si="694"/>
        <v>0</v>
      </c>
      <c r="AG4521" s="14">
        <v>0</v>
      </c>
      <c r="AH4521" s="65">
        <f t="shared" si="689"/>
        <v>0</v>
      </c>
      <c r="AI4521" s="47"/>
      <c r="AJ4521" s="126" t="e">
        <v>#N/A</v>
      </c>
      <c r="AK4521" s="80">
        <f t="shared" si="692"/>
        <v>0</v>
      </c>
      <c r="AM4521" s="85"/>
    </row>
    <row r="4522" spans="1:39" hidden="1" x14ac:dyDescent="0.3">
      <c r="A4522" s="89" t="s">
        <v>3395</v>
      </c>
      <c r="B4522" s="86" t="s">
        <v>35</v>
      </c>
      <c r="C4522" s="86" t="s">
        <v>36</v>
      </c>
      <c r="D4522" s="86" t="s">
        <v>224</v>
      </c>
      <c r="E4522" s="86" t="s">
        <v>2306</v>
      </c>
      <c r="F4522" s="86" t="s">
        <v>2306</v>
      </c>
      <c r="G4522" s="86" t="s">
        <v>2306</v>
      </c>
      <c r="H4522" s="143">
        <v>360</v>
      </c>
      <c r="I4522" s="86" t="s">
        <v>1060</v>
      </c>
      <c r="J4522" s="1" t="s">
        <v>3325</v>
      </c>
      <c r="K4522" s="1" t="s">
        <v>3287</v>
      </c>
      <c r="L4522" s="1" t="s">
        <v>35</v>
      </c>
      <c r="M4522" s="86" t="s">
        <v>2306</v>
      </c>
      <c r="N4522" s="86"/>
      <c r="O4522" s="47" t="s">
        <v>410</v>
      </c>
      <c r="P4522" s="47" t="s">
        <v>46</v>
      </c>
      <c r="Q4522" s="14">
        <v>0.02</v>
      </c>
      <c r="R4522" s="143" t="s">
        <v>2307</v>
      </c>
      <c r="S4522" s="47"/>
      <c r="T4522" s="6">
        <v>484</v>
      </c>
      <c r="U4522" s="6"/>
      <c r="V4522" s="6">
        <v>0</v>
      </c>
      <c r="W4522" s="6">
        <f t="shared" si="686"/>
        <v>484</v>
      </c>
      <c r="X4522" s="6">
        <f t="shared" si="687"/>
        <v>0</v>
      </c>
      <c r="Y4522" s="13">
        <f t="shared" si="690"/>
        <v>0</v>
      </c>
      <c r="Z4522" s="14">
        <v>0</v>
      </c>
      <c r="AA4522" s="6">
        <v>0</v>
      </c>
      <c r="AB4522" s="4">
        <f t="shared" si="691"/>
        <v>0</v>
      </c>
      <c r="AC4522" s="4">
        <f t="shared" si="693"/>
        <v>0</v>
      </c>
      <c r="AD4522" s="6">
        <f t="shared" si="688"/>
        <v>0</v>
      </c>
      <c r="AE4522" s="2">
        <f>VLOOKUP(I4522,[1]媒体政策预估表!A:N,MATCH(O4522,[1]媒体政策预估表!$A$2:$M$2,0),0)</f>
        <v>7.0000000000000007E-2</v>
      </c>
      <c r="AF4522" s="6">
        <f t="shared" si="694"/>
        <v>0</v>
      </c>
      <c r="AG4522" s="14">
        <v>0</v>
      </c>
      <c r="AH4522" s="65">
        <f t="shared" si="689"/>
        <v>0</v>
      </c>
      <c r="AI4522" s="47"/>
      <c r="AJ4522" s="126" t="e">
        <v>#N/A</v>
      </c>
      <c r="AK4522" s="80">
        <f t="shared" si="692"/>
        <v>0</v>
      </c>
      <c r="AM4522" s="85"/>
    </row>
    <row r="4523" spans="1:39" hidden="1" x14ac:dyDescent="0.3">
      <c r="A4523" s="89" t="s">
        <v>3395</v>
      </c>
      <c r="B4523" s="86" t="s">
        <v>35</v>
      </c>
      <c r="C4523" s="86" t="s">
        <v>36</v>
      </c>
      <c r="D4523" s="86" t="s">
        <v>320</v>
      </c>
      <c r="E4523" s="86" t="s">
        <v>2308</v>
      </c>
      <c r="F4523" s="86" t="s">
        <v>2308</v>
      </c>
      <c r="G4523" s="86" t="s">
        <v>2308</v>
      </c>
      <c r="H4523" s="143">
        <v>360</v>
      </c>
      <c r="I4523" s="86" t="s">
        <v>1060</v>
      </c>
      <c r="J4523" s="1" t="s">
        <v>3325</v>
      </c>
      <c r="K4523" s="1" t="s">
        <v>3287</v>
      </c>
      <c r="L4523" s="1" t="s">
        <v>35</v>
      </c>
      <c r="M4523" s="86" t="s">
        <v>2309</v>
      </c>
      <c r="N4523" s="86"/>
      <c r="O4523" s="47" t="s">
        <v>410</v>
      </c>
      <c r="P4523" s="47" t="s">
        <v>46</v>
      </c>
      <c r="Q4523" s="14">
        <v>0.02</v>
      </c>
      <c r="R4523" s="143" t="s">
        <v>2310</v>
      </c>
      <c r="S4523" s="47"/>
      <c r="T4523" s="6">
        <v>1902.1</v>
      </c>
      <c r="U4523" s="6"/>
      <c r="V4523" s="6">
        <v>0</v>
      </c>
      <c r="W4523" s="6">
        <f t="shared" si="686"/>
        <v>1902.1</v>
      </c>
      <c r="X4523" s="6">
        <f t="shared" si="687"/>
        <v>0</v>
      </c>
      <c r="Y4523" s="13">
        <f t="shared" si="690"/>
        <v>0</v>
      </c>
      <c r="Z4523" s="14">
        <v>0</v>
      </c>
      <c r="AA4523" s="6">
        <v>0</v>
      </c>
      <c r="AB4523" s="4">
        <f t="shared" si="691"/>
        <v>0</v>
      </c>
      <c r="AC4523" s="4">
        <f t="shared" si="693"/>
        <v>0</v>
      </c>
      <c r="AD4523" s="6">
        <f t="shared" si="688"/>
        <v>0</v>
      </c>
      <c r="AE4523" s="2">
        <f>VLOOKUP(I4523,[1]媒体政策预估表!A:N,MATCH(O4523,[1]媒体政策预估表!$A$2:$M$2,0),0)</f>
        <v>7.0000000000000007E-2</v>
      </c>
      <c r="AF4523" s="6">
        <f t="shared" si="694"/>
        <v>0</v>
      </c>
      <c r="AG4523" s="14">
        <v>0</v>
      </c>
      <c r="AH4523" s="65">
        <f t="shared" si="689"/>
        <v>0</v>
      </c>
      <c r="AI4523" s="47"/>
      <c r="AJ4523" s="126" t="e">
        <v>#N/A</v>
      </c>
      <c r="AK4523" s="80">
        <f t="shared" si="692"/>
        <v>0</v>
      </c>
      <c r="AM4523" s="85"/>
    </row>
    <row r="4524" spans="1:39" hidden="1" x14ac:dyDescent="0.3">
      <c r="A4524" s="89" t="s">
        <v>3394</v>
      </c>
      <c r="B4524" s="86" t="s">
        <v>35</v>
      </c>
      <c r="C4524" s="86" t="s">
        <v>36</v>
      </c>
      <c r="D4524" s="86" t="s">
        <v>320</v>
      </c>
      <c r="E4524" s="86" t="s">
        <v>2311</v>
      </c>
      <c r="F4524" s="86" t="s">
        <v>2312</v>
      </c>
      <c r="G4524" s="86" t="s">
        <v>2311</v>
      </c>
      <c r="H4524" s="143">
        <v>360</v>
      </c>
      <c r="I4524" s="86" t="s">
        <v>1060</v>
      </c>
      <c r="J4524" s="1" t="s">
        <v>3325</v>
      </c>
      <c r="K4524" s="1" t="s">
        <v>3287</v>
      </c>
      <c r="L4524" s="1" t="s">
        <v>35</v>
      </c>
      <c r="M4524" s="86" t="s">
        <v>2313</v>
      </c>
      <c r="N4524" s="86"/>
      <c r="O4524" s="47" t="s">
        <v>45</v>
      </c>
      <c r="P4524" s="47" t="s">
        <v>41</v>
      </c>
      <c r="Q4524" s="14">
        <v>0</v>
      </c>
      <c r="R4524" s="143" t="s">
        <v>2314</v>
      </c>
      <c r="S4524" s="47"/>
      <c r="T4524" s="6">
        <v>142.44999999999999</v>
      </c>
      <c r="U4524" s="6"/>
      <c r="V4524" s="6">
        <v>0</v>
      </c>
      <c r="W4524" s="6">
        <f t="shared" si="686"/>
        <v>142.44999999999999</v>
      </c>
      <c r="X4524" s="6">
        <f t="shared" si="687"/>
        <v>0</v>
      </c>
      <c r="Y4524" s="13">
        <f t="shared" si="690"/>
        <v>0</v>
      </c>
      <c r="Z4524" s="14">
        <v>0</v>
      </c>
      <c r="AA4524" s="6">
        <v>0</v>
      </c>
      <c r="AB4524" s="4">
        <f t="shared" si="691"/>
        <v>0</v>
      </c>
      <c r="AC4524" s="4">
        <f t="shared" si="693"/>
        <v>0</v>
      </c>
      <c r="AD4524" s="6">
        <f t="shared" si="688"/>
        <v>0</v>
      </c>
      <c r="AE4524" s="2">
        <f>VLOOKUP(I4524,[1]媒体政策预估表!A:N,MATCH(O4524,[1]媒体政策预估表!$A$2:$M$2,0),0)</f>
        <v>0.12</v>
      </c>
      <c r="AF4524" s="6">
        <f t="shared" si="694"/>
        <v>0</v>
      </c>
      <c r="AG4524" s="14">
        <v>0</v>
      </c>
      <c r="AH4524" s="65">
        <f t="shared" si="689"/>
        <v>0</v>
      </c>
      <c r="AI4524" s="47"/>
      <c r="AJ4524" s="126" t="e">
        <v>#N/A</v>
      </c>
      <c r="AK4524" s="80">
        <f t="shared" si="692"/>
        <v>0</v>
      </c>
      <c r="AM4524" s="85"/>
    </row>
    <row r="4525" spans="1:39" hidden="1" x14ac:dyDescent="0.3">
      <c r="A4525" s="89" t="s">
        <v>3394</v>
      </c>
      <c r="B4525" s="86" t="s">
        <v>35</v>
      </c>
      <c r="C4525" s="86" t="s">
        <v>36</v>
      </c>
      <c r="D4525" s="86" t="s">
        <v>320</v>
      </c>
      <c r="E4525" s="86" t="s">
        <v>2315</v>
      </c>
      <c r="F4525" s="86" t="s">
        <v>2315</v>
      </c>
      <c r="G4525" s="86" t="s">
        <v>2315</v>
      </c>
      <c r="H4525" s="143">
        <v>360</v>
      </c>
      <c r="I4525" s="86" t="s">
        <v>1060</v>
      </c>
      <c r="J4525" s="1" t="s">
        <v>3325</v>
      </c>
      <c r="K4525" s="1" t="s">
        <v>3287</v>
      </c>
      <c r="L4525" s="1" t="s">
        <v>35</v>
      </c>
      <c r="M4525" s="86" t="s">
        <v>2315</v>
      </c>
      <c r="N4525" s="86"/>
      <c r="O4525" s="47" t="s">
        <v>410</v>
      </c>
      <c r="P4525" s="47" t="s">
        <v>46</v>
      </c>
      <c r="Q4525" s="14">
        <v>0.02</v>
      </c>
      <c r="R4525" s="143" t="s">
        <v>2316</v>
      </c>
      <c r="S4525" s="47"/>
      <c r="T4525" s="6">
        <v>3.1000000000003598</v>
      </c>
      <c r="U4525" s="6"/>
      <c r="V4525" s="6">
        <v>0</v>
      </c>
      <c r="W4525" s="6">
        <f t="shared" si="686"/>
        <v>3.1000000000003598</v>
      </c>
      <c r="X4525" s="6">
        <f t="shared" si="687"/>
        <v>0</v>
      </c>
      <c r="Y4525" s="13">
        <f t="shared" si="690"/>
        <v>0</v>
      </c>
      <c r="Z4525" s="14">
        <v>0</v>
      </c>
      <c r="AA4525" s="6">
        <v>0</v>
      </c>
      <c r="AB4525" s="4">
        <f t="shared" si="691"/>
        <v>0</v>
      </c>
      <c r="AC4525" s="4">
        <f t="shared" si="693"/>
        <v>0</v>
      </c>
      <c r="AD4525" s="6">
        <f t="shared" si="688"/>
        <v>0</v>
      </c>
      <c r="AE4525" s="2">
        <f>VLOOKUP(I4525,[1]媒体政策预估表!A:N,MATCH(O4525,[1]媒体政策预估表!$A$2:$M$2,0),0)</f>
        <v>7.0000000000000007E-2</v>
      </c>
      <c r="AF4525" s="6">
        <f t="shared" si="694"/>
        <v>0</v>
      </c>
      <c r="AG4525" s="14">
        <v>0</v>
      </c>
      <c r="AH4525" s="65">
        <f t="shared" si="689"/>
        <v>0</v>
      </c>
      <c r="AI4525" s="47"/>
      <c r="AJ4525" s="126" t="e">
        <v>#N/A</v>
      </c>
      <c r="AK4525" s="80">
        <f t="shared" si="692"/>
        <v>0</v>
      </c>
      <c r="AM4525" s="85"/>
    </row>
    <row r="4526" spans="1:39" hidden="1" x14ac:dyDescent="0.3">
      <c r="A4526" s="89" t="s">
        <v>3394</v>
      </c>
      <c r="B4526" s="86" t="s">
        <v>35</v>
      </c>
      <c r="C4526" s="86" t="s">
        <v>36</v>
      </c>
      <c r="D4526" s="86" t="s">
        <v>320</v>
      </c>
      <c r="E4526" s="86" t="s">
        <v>2317</v>
      </c>
      <c r="F4526" s="86" t="s">
        <v>2320</v>
      </c>
      <c r="G4526" s="86" t="s">
        <v>2317</v>
      </c>
      <c r="H4526" s="143">
        <v>360</v>
      </c>
      <c r="I4526" s="86" t="s">
        <v>1060</v>
      </c>
      <c r="J4526" s="1" t="s">
        <v>3325</v>
      </c>
      <c r="K4526" s="1" t="s">
        <v>3287</v>
      </c>
      <c r="L4526" s="1" t="s">
        <v>35</v>
      </c>
      <c r="M4526" s="86" t="s">
        <v>2313</v>
      </c>
      <c r="N4526" s="86"/>
      <c r="O4526" s="47" t="s">
        <v>45</v>
      </c>
      <c r="P4526" s="47" t="s">
        <v>46</v>
      </c>
      <c r="Q4526" s="14">
        <v>0.1</v>
      </c>
      <c r="R4526" s="143" t="s">
        <v>2319</v>
      </c>
      <c r="S4526" s="47"/>
      <c r="T4526" s="6">
        <v>464.88000000000102</v>
      </c>
      <c r="U4526" s="6"/>
      <c r="V4526" s="6">
        <v>0</v>
      </c>
      <c r="W4526" s="6">
        <f t="shared" si="686"/>
        <v>464.88000000000102</v>
      </c>
      <c r="X4526" s="6">
        <f t="shared" si="687"/>
        <v>0</v>
      </c>
      <c r="Y4526" s="13">
        <f t="shared" si="690"/>
        <v>0</v>
      </c>
      <c r="Z4526" s="14">
        <v>0</v>
      </c>
      <c r="AA4526" s="6">
        <v>0</v>
      </c>
      <c r="AB4526" s="4"/>
      <c r="AC4526" s="4">
        <f t="shared" si="693"/>
        <v>0</v>
      </c>
      <c r="AD4526" s="6">
        <f t="shared" si="688"/>
        <v>0</v>
      </c>
      <c r="AE4526" s="2">
        <f>VLOOKUP(I4526,[1]媒体政策预估表!A:N,MATCH(O4526,[1]媒体政策预估表!$A$2:$M$2,0),0)</f>
        <v>0.12</v>
      </c>
      <c r="AF4526" s="6">
        <f t="shared" si="694"/>
        <v>0</v>
      </c>
      <c r="AG4526" s="14">
        <v>0</v>
      </c>
      <c r="AH4526" s="65">
        <f t="shared" si="689"/>
        <v>0</v>
      </c>
      <c r="AI4526" s="47"/>
      <c r="AJ4526" s="126">
        <v>61</v>
      </c>
      <c r="AK4526" s="80">
        <f t="shared" si="692"/>
        <v>0</v>
      </c>
      <c r="AM4526" s="85"/>
    </row>
    <row r="4527" spans="1:39" hidden="1" x14ac:dyDescent="0.3">
      <c r="A4527" s="89" t="s">
        <v>3395</v>
      </c>
      <c r="B4527" s="86" t="s">
        <v>35</v>
      </c>
      <c r="C4527" s="86" t="s">
        <v>36</v>
      </c>
      <c r="D4527" s="86" t="s">
        <v>320</v>
      </c>
      <c r="E4527" s="86" t="s">
        <v>2317</v>
      </c>
      <c r="F4527" s="86" t="s">
        <v>2320</v>
      </c>
      <c r="G4527" s="86" t="s">
        <v>2317</v>
      </c>
      <c r="H4527" s="143">
        <v>360</v>
      </c>
      <c r="I4527" s="86" t="s">
        <v>1060</v>
      </c>
      <c r="J4527" s="1" t="s">
        <v>3325</v>
      </c>
      <c r="K4527" s="1" t="s">
        <v>3287</v>
      </c>
      <c r="L4527" s="1" t="s">
        <v>35</v>
      </c>
      <c r="M4527" s="86" t="s">
        <v>2313</v>
      </c>
      <c r="N4527" s="86"/>
      <c r="O4527" s="47" t="s">
        <v>45</v>
      </c>
      <c r="P4527" s="47" t="s">
        <v>46</v>
      </c>
      <c r="Q4527" s="14">
        <v>0.1</v>
      </c>
      <c r="R4527" s="143" t="s">
        <v>2321</v>
      </c>
      <c r="S4527" s="47"/>
      <c r="T4527" s="6">
        <v>347.59000000002601</v>
      </c>
      <c r="U4527" s="6"/>
      <c r="V4527" s="6">
        <v>0</v>
      </c>
      <c r="W4527" s="6">
        <f t="shared" si="686"/>
        <v>347.59000000002601</v>
      </c>
      <c r="X4527" s="6">
        <f t="shared" si="687"/>
        <v>0</v>
      </c>
      <c r="Y4527" s="13">
        <f t="shared" si="690"/>
        <v>0</v>
      </c>
      <c r="Z4527" s="14">
        <v>0</v>
      </c>
      <c r="AA4527" s="6">
        <v>0</v>
      </c>
      <c r="AB4527" s="4"/>
      <c r="AC4527" s="4">
        <f t="shared" si="693"/>
        <v>0</v>
      </c>
      <c r="AD4527" s="6">
        <f t="shared" si="688"/>
        <v>0</v>
      </c>
      <c r="AE4527" s="2">
        <f>VLOOKUP(I4527,[1]媒体政策预估表!A:N,MATCH(O4527,[1]媒体政策预估表!$A$2:$M$2,0),0)</f>
        <v>0.12</v>
      </c>
      <c r="AF4527" s="6">
        <f t="shared" si="694"/>
        <v>0</v>
      </c>
      <c r="AG4527" s="14">
        <v>0</v>
      </c>
      <c r="AH4527" s="65">
        <f t="shared" si="689"/>
        <v>0</v>
      </c>
      <c r="AI4527" s="47"/>
      <c r="AJ4527" s="126">
        <v>61</v>
      </c>
      <c r="AK4527" s="80">
        <f t="shared" si="692"/>
        <v>0</v>
      </c>
      <c r="AM4527" s="85"/>
    </row>
    <row r="4528" spans="1:39" hidden="1" x14ac:dyDescent="0.3">
      <c r="A4528" s="89" t="s">
        <v>3394</v>
      </c>
      <c r="B4528" s="86" t="s">
        <v>35</v>
      </c>
      <c r="C4528" s="86" t="s">
        <v>36</v>
      </c>
      <c r="D4528" s="86" t="s">
        <v>320</v>
      </c>
      <c r="E4528" s="86" t="s">
        <v>2317</v>
      </c>
      <c r="F4528" s="86" t="s">
        <v>2320</v>
      </c>
      <c r="G4528" s="86" t="s">
        <v>2317</v>
      </c>
      <c r="H4528" s="143">
        <v>360</v>
      </c>
      <c r="I4528" s="86" t="s">
        <v>1060</v>
      </c>
      <c r="J4528" s="1" t="s">
        <v>3325</v>
      </c>
      <c r="K4528" s="1" t="s">
        <v>3287</v>
      </c>
      <c r="L4528" s="1" t="s">
        <v>35</v>
      </c>
      <c r="M4528" s="86" t="s">
        <v>2317</v>
      </c>
      <c r="N4528" s="86"/>
      <c r="O4528" s="47" t="s">
        <v>45</v>
      </c>
      <c r="P4528" s="47" t="s">
        <v>46</v>
      </c>
      <c r="Q4528" s="14">
        <v>0.02</v>
      </c>
      <c r="R4528" s="143" t="s">
        <v>2322</v>
      </c>
      <c r="S4528" s="47"/>
      <c r="T4528" s="6">
        <v>9103.4</v>
      </c>
      <c r="U4528" s="6"/>
      <c r="V4528" s="6">
        <v>0</v>
      </c>
      <c r="W4528" s="6">
        <f t="shared" si="686"/>
        <v>9103.4</v>
      </c>
      <c r="X4528" s="6">
        <f t="shared" si="687"/>
        <v>0</v>
      </c>
      <c r="Y4528" s="13">
        <f t="shared" si="690"/>
        <v>0</v>
      </c>
      <c r="Z4528" s="14">
        <v>0</v>
      </c>
      <c r="AA4528" s="6">
        <v>0</v>
      </c>
      <c r="AB4528" s="4"/>
      <c r="AC4528" s="4">
        <f t="shared" si="693"/>
        <v>0</v>
      </c>
      <c r="AD4528" s="6">
        <f t="shared" si="688"/>
        <v>0</v>
      </c>
      <c r="AE4528" s="2">
        <f>VLOOKUP(I4528,[1]媒体政策预估表!A:N,MATCH(O4528,[1]媒体政策预估表!$A$2:$M$2,0),0)</f>
        <v>0.12</v>
      </c>
      <c r="AF4528" s="6">
        <f t="shared" si="694"/>
        <v>0</v>
      </c>
      <c r="AG4528" s="14">
        <v>0</v>
      </c>
      <c r="AH4528" s="65">
        <f t="shared" si="689"/>
        <v>0</v>
      </c>
      <c r="AI4528" s="47"/>
      <c r="AJ4528" s="126">
        <v>61</v>
      </c>
      <c r="AK4528" s="80">
        <f t="shared" si="692"/>
        <v>0</v>
      </c>
      <c r="AM4528" s="85"/>
    </row>
    <row r="4529" spans="1:39" hidden="1" x14ac:dyDescent="0.3">
      <c r="A4529" s="89" t="s">
        <v>3395</v>
      </c>
      <c r="B4529" s="86" t="s">
        <v>35</v>
      </c>
      <c r="C4529" s="86" t="s">
        <v>36</v>
      </c>
      <c r="D4529" s="86" t="s">
        <v>320</v>
      </c>
      <c r="E4529" s="86" t="s">
        <v>2323</v>
      </c>
      <c r="F4529" s="86" t="s">
        <v>2323</v>
      </c>
      <c r="G4529" s="86" t="s">
        <v>2323</v>
      </c>
      <c r="H4529" s="143">
        <v>360</v>
      </c>
      <c r="I4529" s="86" t="s">
        <v>1060</v>
      </c>
      <c r="J4529" s="1" t="s">
        <v>3325</v>
      </c>
      <c r="K4529" s="1" t="s">
        <v>3287</v>
      </c>
      <c r="L4529" s="1" t="s">
        <v>35</v>
      </c>
      <c r="M4529" s="86" t="s">
        <v>2323</v>
      </c>
      <c r="N4529" s="86"/>
      <c r="O4529" s="47" t="s">
        <v>45</v>
      </c>
      <c r="P4529" s="47" t="s">
        <v>46</v>
      </c>
      <c r="Q4529" s="14">
        <v>0.06</v>
      </c>
      <c r="R4529" s="143" t="s">
        <v>2324</v>
      </c>
      <c r="S4529" s="47"/>
      <c r="T4529" s="6">
        <v>2374.2600000000002</v>
      </c>
      <c r="U4529" s="6"/>
      <c r="V4529" s="6">
        <v>0</v>
      </c>
      <c r="W4529" s="6">
        <f t="shared" si="686"/>
        <v>2374.2600000000002</v>
      </c>
      <c r="X4529" s="6">
        <f t="shared" si="687"/>
        <v>0</v>
      </c>
      <c r="Y4529" s="13">
        <f t="shared" si="690"/>
        <v>0</v>
      </c>
      <c r="Z4529" s="14">
        <v>0</v>
      </c>
      <c r="AA4529" s="6">
        <v>0</v>
      </c>
      <c r="AB4529" s="4">
        <f t="shared" si="691"/>
        <v>0</v>
      </c>
      <c r="AC4529" s="4">
        <f t="shared" si="693"/>
        <v>0</v>
      </c>
      <c r="AD4529" s="6">
        <f t="shared" si="688"/>
        <v>0</v>
      </c>
      <c r="AE4529" s="2">
        <f>VLOOKUP(I4529,[1]媒体政策预估表!A:N,MATCH(O4529,[1]媒体政策预估表!$A$2:$M$2,0),0)</f>
        <v>0.12</v>
      </c>
      <c r="AF4529" s="6">
        <f t="shared" si="694"/>
        <v>0</v>
      </c>
      <c r="AG4529" s="14">
        <v>0</v>
      </c>
      <c r="AH4529" s="65">
        <f t="shared" si="689"/>
        <v>0</v>
      </c>
      <c r="AI4529" s="47"/>
      <c r="AJ4529" s="126" t="e">
        <v>#N/A</v>
      </c>
      <c r="AK4529" s="80">
        <f t="shared" si="692"/>
        <v>0</v>
      </c>
      <c r="AM4529" s="85"/>
    </row>
    <row r="4530" spans="1:39" hidden="1" x14ac:dyDescent="0.3">
      <c r="A4530" s="89" t="s">
        <v>3395</v>
      </c>
      <c r="B4530" s="86" t="s">
        <v>35</v>
      </c>
      <c r="C4530" s="86" t="s">
        <v>36</v>
      </c>
      <c r="D4530" s="86" t="s">
        <v>2325</v>
      </c>
      <c r="E4530" s="86" t="s">
        <v>2326</v>
      </c>
      <c r="F4530" s="86" t="s">
        <v>2326</v>
      </c>
      <c r="G4530" s="86" t="s">
        <v>2326</v>
      </c>
      <c r="H4530" s="143">
        <v>360</v>
      </c>
      <c r="I4530" s="86" t="s">
        <v>1060</v>
      </c>
      <c r="J4530" s="1" t="s">
        <v>3325</v>
      </c>
      <c r="K4530" s="1" t="s">
        <v>3287</v>
      </c>
      <c r="L4530" s="1" t="s">
        <v>35</v>
      </c>
      <c r="M4530" s="86" t="s">
        <v>2326</v>
      </c>
      <c r="N4530" s="86"/>
      <c r="O4530" s="47" t="s">
        <v>410</v>
      </c>
      <c r="P4530" s="47" t="s">
        <v>41</v>
      </c>
      <c r="Q4530" s="14">
        <v>0</v>
      </c>
      <c r="R4530" s="143" t="s">
        <v>2327</v>
      </c>
      <c r="S4530" s="47"/>
      <c r="T4530" s="6">
        <v>1959.5</v>
      </c>
      <c r="U4530" s="6"/>
      <c r="V4530" s="6">
        <v>0</v>
      </c>
      <c r="W4530" s="6">
        <f t="shared" si="686"/>
        <v>1959.5</v>
      </c>
      <c r="X4530" s="6">
        <f t="shared" si="687"/>
        <v>0</v>
      </c>
      <c r="Y4530" s="13">
        <f t="shared" si="690"/>
        <v>0</v>
      </c>
      <c r="Z4530" s="14">
        <v>0</v>
      </c>
      <c r="AA4530" s="6">
        <v>0</v>
      </c>
      <c r="AB4530" s="4">
        <f t="shared" si="691"/>
        <v>0</v>
      </c>
      <c r="AC4530" s="4">
        <f t="shared" si="693"/>
        <v>0</v>
      </c>
      <c r="AD4530" s="6">
        <f t="shared" si="688"/>
        <v>0</v>
      </c>
      <c r="AE4530" s="2">
        <f>VLOOKUP(I4530,[1]媒体政策预估表!A:N,MATCH(O4530,[1]媒体政策预估表!$A$2:$M$2,0),0)</f>
        <v>7.0000000000000007E-2</v>
      </c>
      <c r="AF4530" s="6">
        <f t="shared" si="694"/>
        <v>0</v>
      </c>
      <c r="AG4530" s="14">
        <v>0</v>
      </c>
      <c r="AH4530" s="65">
        <f t="shared" si="689"/>
        <v>0</v>
      </c>
      <c r="AI4530" s="47"/>
      <c r="AJ4530" s="126" t="e">
        <v>#N/A</v>
      </c>
      <c r="AK4530" s="80">
        <f t="shared" si="692"/>
        <v>0</v>
      </c>
      <c r="AM4530" s="85"/>
    </row>
    <row r="4531" spans="1:39" hidden="1" x14ac:dyDescent="0.3">
      <c r="A4531" s="89" t="s">
        <v>3394</v>
      </c>
      <c r="B4531" s="86" t="s">
        <v>35</v>
      </c>
      <c r="C4531" s="86" t="s">
        <v>36</v>
      </c>
      <c r="D4531" s="86" t="s">
        <v>985</v>
      </c>
      <c r="E4531" s="86" t="s">
        <v>1863</v>
      </c>
      <c r="F4531" s="86" t="s">
        <v>1863</v>
      </c>
      <c r="G4531" s="86" t="s">
        <v>1863</v>
      </c>
      <c r="H4531" s="143">
        <v>360</v>
      </c>
      <c r="I4531" s="86" t="s">
        <v>1060</v>
      </c>
      <c r="J4531" s="1" t="s">
        <v>3325</v>
      </c>
      <c r="K4531" s="1" t="s">
        <v>3287</v>
      </c>
      <c r="L4531" s="1" t="s">
        <v>35</v>
      </c>
      <c r="M4531" s="86" t="s">
        <v>1864</v>
      </c>
      <c r="N4531" s="86"/>
      <c r="O4531" s="47" t="s">
        <v>941</v>
      </c>
      <c r="P4531" s="47" t="s">
        <v>46</v>
      </c>
      <c r="Q4531" s="14">
        <v>0.04</v>
      </c>
      <c r="R4531" s="143" t="s">
        <v>1865</v>
      </c>
      <c r="S4531" s="47"/>
      <c r="T4531" s="6">
        <v>-31310.400000000001</v>
      </c>
      <c r="U4531" s="6"/>
      <c r="V4531" s="6">
        <v>0</v>
      </c>
      <c r="W4531" s="6">
        <f t="shared" si="686"/>
        <v>-31310.400000000001</v>
      </c>
      <c r="X4531" s="6">
        <f t="shared" si="687"/>
        <v>0</v>
      </c>
      <c r="Y4531" s="13">
        <f t="shared" si="690"/>
        <v>0</v>
      </c>
      <c r="Z4531" s="14">
        <v>0</v>
      </c>
      <c r="AA4531" s="6">
        <v>0</v>
      </c>
      <c r="AB4531" s="4">
        <f t="shared" si="691"/>
        <v>0</v>
      </c>
      <c r="AC4531" s="4">
        <f t="shared" si="693"/>
        <v>0</v>
      </c>
      <c r="AD4531" s="6">
        <f t="shared" si="688"/>
        <v>0</v>
      </c>
      <c r="AE4531" s="2">
        <f>VLOOKUP(I4531,[1]媒体政策预估表!A:N,MATCH(O4531,[1]媒体政策预估表!$A$2:$M$2,0),0)</f>
        <v>0.15</v>
      </c>
      <c r="AF4531" s="6">
        <f t="shared" si="694"/>
        <v>0</v>
      </c>
      <c r="AG4531" s="14">
        <v>0</v>
      </c>
      <c r="AH4531" s="65">
        <f t="shared" si="689"/>
        <v>0</v>
      </c>
      <c r="AI4531" s="47"/>
      <c r="AJ4531" s="126" t="e">
        <v>#N/A</v>
      </c>
      <c r="AK4531" s="80">
        <f t="shared" si="692"/>
        <v>0</v>
      </c>
      <c r="AM4531" s="85"/>
    </row>
    <row r="4532" spans="1:39" hidden="1" x14ac:dyDescent="0.3">
      <c r="A4532" s="89" t="s">
        <v>3395</v>
      </c>
      <c r="B4532" s="86" t="s">
        <v>35</v>
      </c>
      <c r="C4532" s="86" t="s">
        <v>36</v>
      </c>
      <c r="D4532" s="86" t="s">
        <v>54</v>
      </c>
      <c r="E4532" s="86" t="s">
        <v>2328</v>
      </c>
      <c r="F4532" s="86" t="s">
        <v>2328</v>
      </c>
      <c r="G4532" s="86" t="s">
        <v>2328</v>
      </c>
      <c r="H4532" s="143">
        <v>360</v>
      </c>
      <c r="I4532" s="86" t="s">
        <v>1060</v>
      </c>
      <c r="J4532" s="1" t="s">
        <v>3325</v>
      </c>
      <c r="K4532" s="1" t="s">
        <v>3287</v>
      </c>
      <c r="L4532" s="1" t="s">
        <v>35</v>
      </c>
      <c r="M4532" s="86" t="s">
        <v>2328</v>
      </c>
      <c r="N4532" s="86"/>
      <c r="O4532" s="47" t="s">
        <v>410</v>
      </c>
      <c r="P4532" s="47" t="s">
        <v>41</v>
      </c>
      <c r="Q4532" s="14">
        <v>0</v>
      </c>
      <c r="R4532" s="143" t="s">
        <v>2329</v>
      </c>
      <c r="S4532" s="47"/>
      <c r="T4532" s="6">
        <v>338.3</v>
      </c>
      <c r="U4532" s="6"/>
      <c r="V4532" s="6">
        <v>0</v>
      </c>
      <c r="W4532" s="6">
        <f t="shared" si="686"/>
        <v>338.3</v>
      </c>
      <c r="X4532" s="6">
        <f t="shared" si="687"/>
        <v>0</v>
      </c>
      <c r="Y4532" s="13">
        <f t="shared" si="690"/>
        <v>0</v>
      </c>
      <c r="Z4532" s="14">
        <v>0</v>
      </c>
      <c r="AA4532" s="6">
        <v>0</v>
      </c>
      <c r="AB4532" s="4">
        <f t="shared" si="691"/>
        <v>0</v>
      </c>
      <c r="AC4532" s="4">
        <f t="shared" si="693"/>
        <v>0</v>
      </c>
      <c r="AD4532" s="6">
        <f t="shared" si="688"/>
        <v>0</v>
      </c>
      <c r="AE4532" s="2">
        <f>VLOOKUP(I4532,[1]媒体政策预估表!A:N,MATCH(O4532,[1]媒体政策预估表!$A$2:$M$2,0),0)</f>
        <v>7.0000000000000007E-2</v>
      </c>
      <c r="AF4532" s="6">
        <f t="shared" si="694"/>
        <v>0</v>
      </c>
      <c r="AG4532" s="14">
        <v>0</v>
      </c>
      <c r="AH4532" s="65">
        <f t="shared" si="689"/>
        <v>0</v>
      </c>
      <c r="AI4532" s="47"/>
      <c r="AJ4532" s="126" t="e">
        <v>#N/A</v>
      </c>
      <c r="AK4532" s="80">
        <f t="shared" si="692"/>
        <v>0</v>
      </c>
      <c r="AM4532" s="85"/>
    </row>
    <row r="4533" spans="1:39" hidden="1" x14ac:dyDescent="0.3">
      <c r="A4533" s="89" t="s">
        <v>3394</v>
      </c>
      <c r="B4533" s="86" t="s">
        <v>35</v>
      </c>
      <c r="C4533" s="86" t="s">
        <v>36</v>
      </c>
      <c r="D4533" s="86" t="s">
        <v>54</v>
      </c>
      <c r="E4533" s="86" t="s">
        <v>71</v>
      </c>
      <c r="F4533" s="86" t="s">
        <v>71</v>
      </c>
      <c r="G4533" s="86" t="s">
        <v>71</v>
      </c>
      <c r="H4533" s="143">
        <v>360</v>
      </c>
      <c r="I4533" s="86" t="s">
        <v>1060</v>
      </c>
      <c r="J4533" s="1" t="s">
        <v>3325</v>
      </c>
      <c r="K4533" s="1" t="s">
        <v>3287</v>
      </c>
      <c r="L4533" s="1" t="s">
        <v>35</v>
      </c>
      <c r="M4533" s="86" t="s">
        <v>1858</v>
      </c>
      <c r="N4533" s="86"/>
      <c r="O4533" s="47" t="s">
        <v>941</v>
      </c>
      <c r="P4533" s="47" t="s">
        <v>41</v>
      </c>
      <c r="Q4533" s="14">
        <v>0</v>
      </c>
      <c r="R4533" s="143" t="s">
        <v>1859</v>
      </c>
      <c r="S4533" s="47"/>
      <c r="T4533" s="6">
        <v>-431894.54719000001</v>
      </c>
      <c r="U4533" s="6"/>
      <c r="V4533" s="6">
        <v>0</v>
      </c>
      <c r="W4533" s="6">
        <f t="shared" si="686"/>
        <v>-431894.54719000001</v>
      </c>
      <c r="X4533" s="6">
        <f t="shared" si="687"/>
        <v>0</v>
      </c>
      <c r="Y4533" s="13">
        <f t="shared" si="690"/>
        <v>0</v>
      </c>
      <c r="Z4533" s="14">
        <v>0</v>
      </c>
      <c r="AA4533" s="6">
        <v>0</v>
      </c>
      <c r="AB4533" s="4">
        <f t="shared" si="691"/>
        <v>0</v>
      </c>
      <c r="AC4533" s="4">
        <f t="shared" si="693"/>
        <v>0</v>
      </c>
      <c r="AD4533" s="6">
        <f t="shared" si="688"/>
        <v>0</v>
      </c>
      <c r="AE4533" s="2">
        <f>VLOOKUP(I4533,[1]媒体政策预估表!A:N,MATCH(O4533,[1]媒体政策预估表!$A$2:$M$2,0),0)</f>
        <v>0.15</v>
      </c>
      <c r="AF4533" s="6">
        <f t="shared" si="694"/>
        <v>0</v>
      </c>
      <c r="AG4533" s="14">
        <v>0</v>
      </c>
      <c r="AH4533" s="65">
        <f t="shared" si="689"/>
        <v>0</v>
      </c>
      <c r="AI4533" s="47"/>
      <c r="AJ4533" s="126" t="e">
        <v>#N/A</v>
      </c>
      <c r="AK4533" s="80">
        <f t="shared" si="692"/>
        <v>0</v>
      </c>
      <c r="AM4533" s="85"/>
    </row>
    <row r="4534" spans="1:39" hidden="1" x14ac:dyDescent="0.3">
      <c r="A4534" s="89" t="s">
        <v>3394</v>
      </c>
      <c r="B4534" s="86" t="s">
        <v>35</v>
      </c>
      <c r="C4534" s="86" t="s">
        <v>36</v>
      </c>
      <c r="D4534" s="86" t="s">
        <v>54</v>
      </c>
      <c r="E4534" s="86" t="s">
        <v>71</v>
      </c>
      <c r="F4534" s="86" t="s">
        <v>71</v>
      </c>
      <c r="G4534" s="86" t="s">
        <v>71</v>
      </c>
      <c r="H4534" s="143">
        <v>360</v>
      </c>
      <c r="I4534" s="86" t="s">
        <v>1060</v>
      </c>
      <c r="J4534" s="1" t="s">
        <v>3325</v>
      </c>
      <c r="K4534" s="1" t="s">
        <v>3287</v>
      </c>
      <c r="L4534" s="1" t="s">
        <v>35</v>
      </c>
      <c r="M4534" s="86" t="s">
        <v>1858</v>
      </c>
      <c r="N4534" s="86"/>
      <c r="O4534" s="47" t="s">
        <v>2054</v>
      </c>
      <c r="P4534" s="47" t="s">
        <v>41</v>
      </c>
      <c r="Q4534" s="14">
        <v>0</v>
      </c>
      <c r="R4534" s="143" t="s">
        <v>1859</v>
      </c>
      <c r="S4534" s="47"/>
      <c r="T4534" s="6">
        <v>-8740.7613600000022</v>
      </c>
      <c r="U4534" s="6"/>
      <c r="V4534" s="6">
        <v>0</v>
      </c>
      <c r="W4534" s="6">
        <f t="shared" si="686"/>
        <v>-8740.7613600000022</v>
      </c>
      <c r="X4534" s="6">
        <f t="shared" si="687"/>
        <v>0</v>
      </c>
      <c r="Y4534" s="13">
        <f t="shared" si="690"/>
        <v>0</v>
      </c>
      <c r="Z4534" s="14">
        <v>0</v>
      </c>
      <c r="AA4534" s="6">
        <v>0</v>
      </c>
      <c r="AB4534" s="4">
        <f t="shared" si="691"/>
        <v>0</v>
      </c>
      <c r="AC4534" s="4">
        <f t="shared" si="693"/>
        <v>0</v>
      </c>
      <c r="AD4534" s="6">
        <f t="shared" si="688"/>
        <v>0</v>
      </c>
      <c r="AE4534" s="2">
        <f>VLOOKUP(I4534,[1]媒体政策预估表!A:N,MATCH(O4534,[1]媒体政策预估表!$A$2:$M$2,0),0)</f>
        <v>0.12</v>
      </c>
      <c r="AF4534" s="6">
        <f t="shared" si="694"/>
        <v>0</v>
      </c>
      <c r="AG4534" s="14">
        <v>0</v>
      </c>
      <c r="AH4534" s="65">
        <f t="shared" si="689"/>
        <v>0</v>
      </c>
      <c r="AI4534" s="47"/>
      <c r="AJ4534" s="126" t="e">
        <v>#N/A</v>
      </c>
      <c r="AK4534" s="80">
        <f t="shared" si="692"/>
        <v>0</v>
      </c>
      <c r="AM4534" s="85"/>
    </row>
    <row r="4535" spans="1:39" hidden="1" x14ac:dyDescent="0.3">
      <c r="A4535" s="89" t="s">
        <v>3394</v>
      </c>
      <c r="B4535" s="86" t="s">
        <v>35</v>
      </c>
      <c r="C4535" s="86" t="s">
        <v>36</v>
      </c>
      <c r="D4535" s="86" t="s">
        <v>54</v>
      </c>
      <c r="E4535" s="86" t="s">
        <v>71</v>
      </c>
      <c r="F4535" s="86" t="s">
        <v>71</v>
      </c>
      <c r="G4535" s="86" t="s">
        <v>71</v>
      </c>
      <c r="H4535" s="143">
        <v>360</v>
      </c>
      <c r="I4535" s="86" t="s">
        <v>1060</v>
      </c>
      <c r="J4535" s="1" t="s">
        <v>3325</v>
      </c>
      <c r="K4535" s="1" t="s">
        <v>3287</v>
      </c>
      <c r="L4535" s="1" t="s">
        <v>35</v>
      </c>
      <c r="M4535" s="86" t="s">
        <v>73</v>
      </c>
      <c r="N4535" s="86"/>
      <c r="O4535" s="47" t="s">
        <v>941</v>
      </c>
      <c r="P4535" s="47" t="s">
        <v>41</v>
      </c>
      <c r="Q4535" s="14">
        <v>0</v>
      </c>
      <c r="R4535" s="143" t="s">
        <v>1860</v>
      </c>
      <c r="S4535" s="47"/>
      <c r="T4535" s="6">
        <v>-2096832.3865300003</v>
      </c>
      <c r="U4535" s="6"/>
      <c r="V4535" s="6">
        <v>0</v>
      </c>
      <c r="W4535" s="6">
        <f t="shared" si="686"/>
        <v>-2096832.3865300003</v>
      </c>
      <c r="X4535" s="6">
        <f t="shared" si="687"/>
        <v>0</v>
      </c>
      <c r="Y4535" s="13">
        <f t="shared" si="690"/>
        <v>0</v>
      </c>
      <c r="Z4535" s="14">
        <v>0</v>
      </c>
      <c r="AA4535" s="6">
        <v>0</v>
      </c>
      <c r="AB4535" s="4">
        <f t="shared" si="691"/>
        <v>0</v>
      </c>
      <c r="AC4535" s="4">
        <f t="shared" si="693"/>
        <v>0</v>
      </c>
      <c r="AD4535" s="6">
        <f t="shared" si="688"/>
        <v>0</v>
      </c>
      <c r="AE4535" s="2">
        <f>VLOOKUP(I4535,[1]媒体政策预估表!A:N,MATCH(O4535,[1]媒体政策预估表!$A$2:$M$2,0),0)</f>
        <v>0.15</v>
      </c>
      <c r="AF4535" s="6">
        <f t="shared" si="694"/>
        <v>0</v>
      </c>
      <c r="AG4535" s="14">
        <v>0</v>
      </c>
      <c r="AH4535" s="65">
        <f t="shared" si="689"/>
        <v>0</v>
      </c>
      <c r="AI4535" s="47"/>
      <c r="AJ4535" s="126" t="e">
        <v>#N/A</v>
      </c>
      <c r="AK4535" s="80">
        <f t="shared" si="692"/>
        <v>0</v>
      </c>
      <c r="AM4535" s="85"/>
    </row>
    <row r="4536" spans="1:39" hidden="1" x14ac:dyDescent="0.3">
      <c r="A4536" s="89" t="s">
        <v>3395</v>
      </c>
      <c r="B4536" s="86" t="s">
        <v>35</v>
      </c>
      <c r="C4536" s="86" t="s">
        <v>36</v>
      </c>
      <c r="D4536" s="86" t="s">
        <v>54</v>
      </c>
      <c r="E4536" s="86" t="s">
        <v>71</v>
      </c>
      <c r="F4536" s="86" t="s">
        <v>71</v>
      </c>
      <c r="G4536" s="86" t="s">
        <v>71</v>
      </c>
      <c r="H4536" s="143">
        <v>360</v>
      </c>
      <c r="I4536" s="86" t="s">
        <v>1060</v>
      </c>
      <c r="J4536" s="1" t="s">
        <v>3325</v>
      </c>
      <c r="K4536" s="1" t="s">
        <v>3287</v>
      </c>
      <c r="L4536" s="1" t="s">
        <v>35</v>
      </c>
      <c r="M4536" s="86" t="s">
        <v>73</v>
      </c>
      <c r="N4536" s="86"/>
      <c r="O4536" s="47" t="s">
        <v>2054</v>
      </c>
      <c r="P4536" s="47" t="s">
        <v>41</v>
      </c>
      <c r="Q4536" s="14">
        <v>0</v>
      </c>
      <c r="R4536" s="143" t="s">
        <v>1860</v>
      </c>
      <c r="S4536" s="47"/>
      <c r="T4536" s="6">
        <v>-160558.42146000001</v>
      </c>
      <c r="U4536" s="6"/>
      <c r="V4536" s="6">
        <v>0</v>
      </c>
      <c r="W4536" s="6">
        <f t="shared" si="686"/>
        <v>-160558.42146000001</v>
      </c>
      <c r="X4536" s="6">
        <f t="shared" si="687"/>
        <v>0</v>
      </c>
      <c r="Y4536" s="13">
        <f t="shared" si="690"/>
        <v>0</v>
      </c>
      <c r="Z4536" s="14">
        <v>0</v>
      </c>
      <c r="AA4536" s="6">
        <v>0</v>
      </c>
      <c r="AB4536" s="4">
        <f t="shared" si="691"/>
        <v>0</v>
      </c>
      <c r="AC4536" s="4">
        <f t="shared" si="693"/>
        <v>0</v>
      </c>
      <c r="AD4536" s="6">
        <f t="shared" si="688"/>
        <v>0</v>
      </c>
      <c r="AE4536" s="2">
        <f>VLOOKUP(I4536,[1]媒体政策预估表!A:N,MATCH(O4536,[1]媒体政策预估表!$A$2:$M$2,0),0)</f>
        <v>0.12</v>
      </c>
      <c r="AF4536" s="6">
        <f t="shared" si="694"/>
        <v>0</v>
      </c>
      <c r="AG4536" s="14">
        <v>0</v>
      </c>
      <c r="AH4536" s="65">
        <f t="shared" si="689"/>
        <v>0</v>
      </c>
      <c r="AI4536" s="47"/>
      <c r="AJ4536" s="126" t="e">
        <v>#N/A</v>
      </c>
      <c r="AK4536" s="80">
        <f t="shared" si="692"/>
        <v>0</v>
      </c>
      <c r="AM4536" s="85"/>
    </row>
    <row r="4537" spans="1:39" hidden="1" x14ac:dyDescent="0.3">
      <c r="A4537" s="89" t="s">
        <v>3394</v>
      </c>
      <c r="B4537" s="86" t="s">
        <v>35</v>
      </c>
      <c r="C4537" s="86" t="s">
        <v>36</v>
      </c>
      <c r="D4537" s="86" t="s">
        <v>54</v>
      </c>
      <c r="E4537" s="86" t="s">
        <v>2330</v>
      </c>
      <c r="F4537" s="86" t="s">
        <v>2330</v>
      </c>
      <c r="G4537" s="86" t="s">
        <v>2330</v>
      </c>
      <c r="H4537" s="143">
        <v>360</v>
      </c>
      <c r="I4537" s="86" t="s">
        <v>1060</v>
      </c>
      <c r="J4537" s="1" t="s">
        <v>3325</v>
      </c>
      <c r="K4537" s="1" t="s">
        <v>3287</v>
      </c>
      <c r="L4537" s="1" t="s">
        <v>35</v>
      </c>
      <c r="M4537" s="86" t="s">
        <v>2331</v>
      </c>
      <c r="N4537" s="86"/>
      <c r="O4537" s="47" t="s">
        <v>410</v>
      </c>
      <c r="P4537" s="47" t="s">
        <v>46</v>
      </c>
      <c r="Q4537" s="14">
        <v>0.02</v>
      </c>
      <c r="R4537" s="143" t="s">
        <v>2332</v>
      </c>
      <c r="S4537" s="47"/>
      <c r="T4537" s="6">
        <v>9993</v>
      </c>
      <c r="U4537" s="6"/>
      <c r="V4537" s="6">
        <v>0</v>
      </c>
      <c r="W4537" s="6">
        <f t="shared" si="686"/>
        <v>9993</v>
      </c>
      <c r="X4537" s="6">
        <f t="shared" si="687"/>
        <v>0</v>
      </c>
      <c r="Y4537" s="13">
        <f t="shared" si="690"/>
        <v>0</v>
      </c>
      <c r="Z4537" s="14">
        <v>0</v>
      </c>
      <c r="AA4537" s="6">
        <v>0</v>
      </c>
      <c r="AB4537" s="4">
        <f t="shared" si="691"/>
        <v>0</v>
      </c>
      <c r="AC4537" s="4">
        <f t="shared" si="693"/>
        <v>0</v>
      </c>
      <c r="AD4537" s="6">
        <f t="shared" si="688"/>
        <v>0</v>
      </c>
      <c r="AE4537" s="2">
        <f>VLOOKUP(I4537,[1]媒体政策预估表!A:N,MATCH(O4537,[1]媒体政策预估表!$A$2:$M$2,0),0)</f>
        <v>7.0000000000000007E-2</v>
      </c>
      <c r="AF4537" s="6">
        <f t="shared" si="694"/>
        <v>0</v>
      </c>
      <c r="AG4537" s="14">
        <v>0</v>
      </c>
      <c r="AH4537" s="65">
        <f t="shared" si="689"/>
        <v>0</v>
      </c>
      <c r="AI4537" s="47"/>
      <c r="AJ4537" s="126" t="e">
        <v>#N/A</v>
      </c>
      <c r="AK4537" s="80">
        <f t="shared" si="692"/>
        <v>0</v>
      </c>
      <c r="AM4537" s="85"/>
    </row>
    <row r="4538" spans="1:39" hidden="1" x14ac:dyDescent="0.3">
      <c r="A4538" s="89" t="s">
        <v>3395</v>
      </c>
      <c r="B4538" s="86" t="s">
        <v>35</v>
      </c>
      <c r="C4538" s="86" t="s">
        <v>36</v>
      </c>
      <c r="D4538" s="86" t="s">
        <v>54</v>
      </c>
      <c r="E4538" s="86" t="s">
        <v>2333</v>
      </c>
      <c r="F4538" s="86" t="s">
        <v>2333</v>
      </c>
      <c r="G4538" s="86" t="s">
        <v>2333</v>
      </c>
      <c r="H4538" s="143">
        <v>360</v>
      </c>
      <c r="I4538" s="86" t="s">
        <v>1060</v>
      </c>
      <c r="J4538" s="1" t="s">
        <v>3325</v>
      </c>
      <c r="K4538" s="1" t="s">
        <v>3287</v>
      </c>
      <c r="L4538" s="1" t="s">
        <v>35</v>
      </c>
      <c r="M4538" s="86" t="s">
        <v>2333</v>
      </c>
      <c r="N4538" s="86"/>
      <c r="O4538" s="47" t="s">
        <v>410</v>
      </c>
      <c r="P4538" s="47" t="s">
        <v>41</v>
      </c>
      <c r="Q4538" s="14">
        <v>0</v>
      </c>
      <c r="R4538" s="143" t="s">
        <v>2334</v>
      </c>
      <c r="S4538" s="47"/>
      <c r="T4538" s="6">
        <v>169.4</v>
      </c>
      <c r="U4538" s="6"/>
      <c r="V4538" s="6">
        <v>0</v>
      </c>
      <c r="W4538" s="6">
        <f t="shared" si="686"/>
        <v>169.4</v>
      </c>
      <c r="X4538" s="6">
        <f t="shared" si="687"/>
        <v>0</v>
      </c>
      <c r="Y4538" s="13">
        <f t="shared" si="690"/>
        <v>0</v>
      </c>
      <c r="Z4538" s="14">
        <v>0</v>
      </c>
      <c r="AA4538" s="6">
        <v>0</v>
      </c>
      <c r="AB4538" s="4">
        <f t="shared" si="691"/>
        <v>0</v>
      </c>
      <c r="AC4538" s="4">
        <f t="shared" si="693"/>
        <v>0</v>
      </c>
      <c r="AD4538" s="6">
        <f t="shared" si="688"/>
        <v>0</v>
      </c>
      <c r="AE4538" s="2">
        <f>VLOOKUP(I4538,[1]媒体政策预估表!A:N,MATCH(O4538,[1]媒体政策预估表!$A$2:$M$2,0),0)</f>
        <v>7.0000000000000007E-2</v>
      </c>
      <c r="AF4538" s="6">
        <f t="shared" si="694"/>
        <v>0</v>
      </c>
      <c r="AG4538" s="14">
        <v>0</v>
      </c>
      <c r="AH4538" s="65">
        <f t="shared" si="689"/>
        <v>0</v>
      </c>
      <c r="AI4538" s="47"/>
      <c r="AJ4538" s="126" t="e">
        <v>#N/A</v>
      </c>
      <c r="AK4538" s="80">
        <f t="shared" si="692"/>
        <v>0</v>
      </c>
      <c r="AM4538" s="85"/>
    </row>
    <row r="4539" spans="1:39" hidden="1" x14ac:dyDescent="0.3">
      <c r="A4539" s="89" t="s">
        <v>3395</v>
      </c>
      <c r="B4539" s="86" t="s">
        <v>35</v>
      </c>
      <c r="C4539" s="86" t="s">
        <v>36</v>
      </c>
      <c r="D4539" s="86" t="s">
        <v>54</v>
      </c>
      <c r="E4539" s="86" t="s">
        <v>1863</v>
      </c>
      <c r="F4539" s="86" t="s">
        <v>1863</v>
      </c>
      <c r="G4539" s="86" t="s">
        <v>1863</v>
      </c>
      <c r="H4539" s="143">
        <v>360</v>
      </c>
      <c r="I4539" s="86" t="s">
        <v>1060</v>
      </c>
      <c r="J4539" s="1" t="s">
        <v>3325</v>
      </c>
      <c r="K4539" s="1" t="s">
        <v>3287</v>
      </c>
      <c r="L4539" s="1" t="s">
        <v>35</v>
      </c>
      <c r="M4539" s="86" t="s">
        <v>1863</v>
      </c>
      <c r="N4539" s="86"/>
      <c r="O4539" s="47" t="s">
        <v>45</v>
      </c>
      <c r="P4539" s="47" t="s">
        <v>46</v>
      </c>
      <c r="Q4539" s="14">
        <v>0.04</v>
      </c>
      <c r="R4539" s="143" t="s">
        <v>1865</v>
      </c>
      <c r="S4539" s="47"/>
      <c r="T4539" s="6">
        <v>-11218.59</v>
      </c>
      <c r="U4539" s="6"/>
      <c r="V4539" s="6">
        <v>0</v>
      </c>
      <c r="W4539" s="6">
        <f t="shared" ref="W4539:W4602" si="695">T4539+U4539-V4539</f>
        <v>-11218.59</v>
      </c>
      <c r="X4539" s="6">
        <f t="shared" ref="X4539:X4602" si="696">IF(P4539="折扣",V4539*Q4539,IF(P4539="返现",V4539,V4539/(1+Q4539)))</f>
        <v>0</v>
      </c>
      <c r="Y4539" s="13">
        <f t="shared" si="690"/>
        <v>0</v>
      </c>
      <c r="Z4539" s="14">
        <v>0</v>
      </c>
      <c r="AA4539" s="6">
        <v>0</v>
      </c>
      <c r="AB4539" s="4">
        <f t="shared" si="691"/>
        <v>0</v>
      </c>
      <c r="AC4539" s="4">
        <f t="shared" si="693"/>
        <v>0</v>
      </c>
      <c r="AD4539" s="6">
        <f t="shared" ref="AD4539:AD4602" si="697">V4539</f>
        <v>0</v>
      </c>
      <c r="AE4539" s="2">
        <f>VLOOKUP(I4539,[1]媒体政策预估表!A:N,MATCH(O4539,[1]媒体政策预估表!$A$2:$M$2,0),0)</f>
        <v>0.12</v>
      </c>
      <c r="AF4539" s="6">
        <f t="shared" si="694"/>
        <v>0</v>
      </c>
      <c r="AG4539" s="14">
        <v>0</v>
      </c>
      <c r="AH4539" s="65">
        <f t="shared" ref="AH4539:AH4602" si="698">V4539</f>
        <v>0</v>
      </c>
      <c r="AI4539" s="47"/>
      <c r="AJ4539" s="126" t="e">
        <v>#N/A</v>
      </c>
      <c r="AK4539" s="80">
        <f t="shared" si="692"/>
        <v>0</v>
      </c>
      <c r="AM4539" s="85"/>
    </row>
    <row r="4540" spans="1:39" hidden="1" x14ac:dyDescent="0.3">
      <c r="A4540" s="89" t="s">
        <v>3394</v>
      </c>
      <c r="B4540" s="86" t="s">
        <v>35</v>
      </c>
      <c r="C4540" s="86" t="s">
        <v>144</v>
      </c>
      <c r="D4540" s="86" t="s">
        <v>145</v>
      </c>
      <c r="E4540" s="86" t="s">
        <v>1416</v>
      </c>
      <c r="F4540" s="86" t="s">
        <v>1416</v>
      </c>
      <c r="G4540" s="86" t="s">
        <v>1416</v>
      </c>
      <c r="H4540" s="143">
        <v>360</v>
      </c>
      <c r="I4540" s="86" t="s">
        <v>1060</v>
      </c>
      <c r="J4540" s="1" t="s">
        <v>3325</v>
      </c>
      <c r="K4540" s="1" t="s">
        <v>3287</v>
      </c>
      <c r="L4540" s="1" t="s">
        <v>35</v>
      </c>
      <c r="M4540" s="86" t="s">
        <v>1416</v>
      </c>
      <c r="N4540" s="86"/>
      <c r="O4540" s="47" t="s">
        <v>941</v>
      </c>
      <c r="P4540" s="47" t="s">
        <v>46</v>
      </c>
      <c r="Q4540" s="14">
        <v>0.02</v>
      </c>
      <c r="R4540" s="143" t="s">
        <v>2034</v>
      </c>
      <c r="S4540" s="47"/>
      <c r="T4540" s="6">
        <v>-1161555.3900000001</v>
      </c>
      <c r="U4540" s="6"/>
      <c r="V4540" s="6">
        <v>0</v>
      </c>
      <c r="W4540" s="6">
        <f t="shared" si="695"/>
        <v>-1161555.3900000001</v>
      </c>
      <c r="X4540" s="6">
        <f t="shared" si="696"/>
        <v>0</v>
      </c>
      <c r="Y4540" s="13">
        <f t="shared" si="690"/>
        <v>0</v>
      </c>
      <c r="Z4540" s="14">
        <v>0</v>
      </c>
      <c r="AA4540" s="6">
        <v>0</v>
      </c>
      <c r="AB4540" s="4">
        <f t="shared" si="691"/>
        <v>0</v>
      </c>
      <c r="AC4540" s="4">
        <f t="shared" si="693"/>
        <v>0</v>
      </c>
      <c r="AD4540" s="6">
        <f t="shared" si="697"/>
        <v>0</v>
      </c>
      <c r="AE4540" s="2">
        <f>VLOOKUP(I4540,[1]媒体政策预估表!A:N,MATCH(O4540,[1]媒体政策预估表!$A$2:$M$2,0),0)</f>
        <v>0.15</v>
      </c>
      <c r="AF4540" s="6">
        <f t="shared" si="694"/>
        <v>0</v>
      </c>
      <c r="AG4540" s="14">
        <v>0</v>
      </c>
      <c r="AH4540" s="65">
        <f t="shared" si="698"/>
        <v>0</v>
      </c>
      <c r="AI4540" s="47"/>
      <c r="AJ4540" s="126" t="e">
        <v>#N/A</v>
      </c>
      <c r="AK4540" s="80">
        <f t="shared" si="692"/>
        <v>0</v>
      </c>
      <c r="AM4540" s="85"/>
    </row>
    <row r="4541" spans="1:39" hidden="1" x14ac:dyDescent="0.3">
      <c r="A4541" s="89" t="s">
        <v>3394</v>
      </c>
      <c r="B4541" s="86" t="s">
        <v>35</v>
      </c>
      <c r="C4541" s="86" t="s">
        <v>65</v>
      </c>
      <c r="D4541" s="86" t="s">
        <v>66</v>
      </c>
      <c r="E4541" s="86" t="s">
        <v>494</v>
      </c>
      <c r="F4541" s="86" t="s">
        <v>494</v>
      </c>
      <c r="G4541" s="86" t="s">
        <v>494</v>
      </c>
      <c r="H4541" s="143">
        <v>360</v>
      </c>
      <c r="I4541" s="86" t="s">
        <v>1060</v>
      </c>
      <c r="J4541" s="1" t="s">
        <v>3325</v>
      </c>
      <c r="K4541" s="1" t="s">
        <v>3287</v>
      </c>
      <c r="L4541" s="1" t="s">
        <v>35</v>
      </c>
      <c r="M4541" s="86" t="s">
        <v>495</v>
      </c>
      <c r="N4541" s="86"/>
      <c r="O4541" s="47" t="s">
        <v>2054</v>
      </c>
      <c r="P4541" s="47" t="s">
        <v>46</v>
      </c>
      <c r="Q4541" s="14">
        <v>2.0000000000000018E-2</v>
      </c>
      <c r="R4541" s="143" t="s">
        <v>1879</v>
      </c>
      <c r="S4541" s="47"/>
      <c r="T4541" s="6">
        <v>-108033.89600000002</v>
      </c>
      <c r="U4541" s="6"/>
      <c r="V4541" s="6">
        <v>0</v>
      </c>
      <c r="W4541" s="6">
        <f t="shared" si="695"/>
        <v>-108033.89600000002</v>
      </c>
      <c r="X4541" s="6">
        <f t="shared" si="696"/>
        <v>0</v>
      </c>
      <c r="Y4541" s="13">
        <f t="shared" si="690"/>
        <v>0</v>
      </c>
      <c r="Z4541" s="14">
        <v>0</v>
      </c>
      <c r="AA4541" s="6">
        <v>0</v>
      </c>
      <c r="AB4541" s="4">
        <f t="shared" si="691"/>
        <v>0</v>
      </c>
      <c r="AC4541" s="4">
        <f t="shared" si="693"/>
        <v>0</v>
      </c>
      <c r="AD4541" s="6">
        <f t="shared" si="697"/>
        <v>0</v>
      </c>
      <c r="AE4541" s="2">
        <f>VLOOKUP(I4541,[1]媒体政策预估表!A:N,MATCH(O4541,[1]媒体政策预估表!$A$2:$M$2,0),0)</f>
        <v>0.12</v>
      </c>
      <c r="AF4541" s="6">
        <f t="shared" si="694"/>
        <v>0</v>
      </c>
      <c r="AG4541" s="14">
        <v>0</v>
      </c>
      <c r="AH4541" s="65">
        <f t="shared" si="698"/>
        <v>0</v>
      </c>
      <c r="AI4541" s="47"/>
      <c r="AJ4541" s="126" t="e">
        <v>#N/A</v>
      </c>
      <c r="AK4541" s="80">
        <f t="shared" si="692"/>
        <v>0</v>
      </c>
      <c r="AM4541" s="85"/>
    </row>
    <row r="4542" spans="1:39" hidden="1" x14ac:dyDescent="0.3">
      <c r="A4542" s="89" t="s">
        <v>3394</v>
      </c>
      <c r="B4542" s="86" t="s">
        <v>35</v>
      </c>
      <c r="C4542" s="86" t="s">
        <v>59</v>
      </c>
      <c r="D4542" s="86" t="s">
        <v>60</v>
      </c>
      <c r="E4542" s="86" t="s">
        <v>765</v>
      </c>
      <c r="F4542" s="86" t="s">
        <v>766</v>
      </c>
      <c r="G4542" s="86" t="s">
        <v>765</v>
      </c>
      <c r="H4542" s="144">
        <v>360</v>
      </c>
      <c r="I4542" s="86" t="s">
        <v>1060</v>
      </c>
      <c r="J4542" s="1" t="s">
        <v>3325</v>
      </c>
      <c r="K4542" s="1" t="s">
        <v>3287</v>
      </c>
      <c r="L4542" s="1" t="s">
        <v>35</v>
      </c>
      <c r="M4542" s="86" t="s">
        <v>765</v>
      </c>
      <c r="N4542" s="86"/>
      <c r="O4542" s="47" t="s">
        <v>45</v>
      </c>
      <c r="P4542" s="47" t="s">
        <v>46</v>
      </c>
      <c r="Q4542" s="14">
        <v>0.04</v>
      </c>
      <c r="R4542" s="143" t="s">
        <v>1078</v>
      </c>
      <c r="S4542" s="47"/>
      <c r="T4542" s="6">
        <v>-1103.5149899999999</v>
      </c>
      <c r="U4542" s="6"/>
      <c r="V4542" s="6">
        <v>507.00909999999999</v>
      </c>
      <c r="W4542" s="6">
        <f t="shared" si="695"/>
        <v>-1610.5240899999999</v>
      </c>
      <c r="X4542" s="6">
        <f t="shared" si="696"/>
        <v>487.50874999999996</v>
      </c>
      <c r="Y4542" s="13">
        <f t="shared" si="690"/>
        <v>0</v>
      </c>
      <c r="Z4542" s="14">
        <v>0</v>
      </c>
      <c r="AA4542" s="6">
        <v>0</v>
      </c>
      <c r="AB4542" s="4">
        <f t="shared" si="691"/>
        <v>487.50874999999996</v>
      </c>
      <c r="AC4542" s="4">
        <f t="shared" si="693"/>
        <v>19.500350000000026</v>
      </c>
      <c r="AD4542" s="6">
        <f t="shared" si="697"/>
        <v>507.00909999999999</v>
      </c>
      <c r="AE4542" s="2">
        <f>VLOOKUP(I4542,[1]媒体政策预估表!A:N,MATCH(O4542,[1]媒体政策预估表!$A$2:$M$2,0),0)</f>
        <v>0.12</v>
      </c>
      <c r="AF4542" s="6">
        <f t="shared" si="694"/>
        <v>60.841091999999996</v>
      </c>
      <c r="AG4542" s="14">
        <v>0</v>
      </c>
      <c r="AH4542" s="65">
        <f t="shared" si="698"/>
        <v>507.00909999999999</v>
      </c>
      <c r="AI4542" s="47"/>
      <c r="AJ4542" s="126" t="e">
        <v>#N/A</v>
      </c>
      <c r="AK4542" s="80">
        <f t="shared" si="692"/>
        <v>0</v>
      </c>
      <c r="AM4542" s="85"/>
    </row>
    <row r="4543" spans="1:39" hidden="1" x14ac:dyDescent="0.3">
      <c r="A4543" s="89" t="s">
        <v>3395</v>
      </c>
      <c r="B4543" s="86" t="s">
        <v>35</v>
      </c>
      <c r="C4543" s="86" t="s">
        <v>144</v>
      </c>
      <c r="D4543" s="86" t="s">
        <v>152</v>
      </c>
      <c r="E4543" s="86" t="s">
        <v>155</v>
      </c>
      <c r="F4543" s="86" t="s">
        <v>1465</v>
      </c>
      <c r="G4543" s="86" t="s">
        <v>155</v>
      </c>
      <c r="H4543" s="143">
        <v>360</v>
      </c>
      <c r="I4543" s="86" t="s">
        <v>1060</v>
      </c>
      <c r="J4543" s="1" t="s">
        <v>3325</v>
      </c>
      <c r="K4543" s="1" t="s">
        <v>3287</v>
      </c>
      <c r="L4543" s="1" t="s">
        <v>35</v>
      </c>
      <c r="M4543" s="86" t="s">
        <v>1466</v>
      </c>
      <c r="N4543" s="86"/>
      <c r="O4543" s="47" t="s">
        <v>45</v>
      </c>
      <c r="P4543" s="47" t="s">
        <v>92</v>
      </c>
      <c r="Q4543" s="14">
        <v>0.98499999999999999</v>
      </c>
      <c r="R4543" s="143" t="s">
        <v>2082</v>
      </c>
      <c r="S4543" s="47"/>
      <c r="T4543" s="6">
        <v>-48658.655409999999</v>
      </c>
      <c r="U4543" s="6"/>
      <c r="V4543" s="6">
        <v>0</v>
      </c>
      <c r="W4543" s="6">
        <v>0</v>
      </c>
      <c r="X4543" s="6">
        <f t="shared" si="696"/>
        <v>0</v>
      </c>
      <c r="Y4543" s="13">
        <f t="shared" si="690"/>
        <v>0</v>
      </c>
      <c r="Z4543" s="14">
        <v>0</v>
      </c>
      <c r="AA4543" s="6">
        <v>0</v>
      </c>
      <c r="AB4543" s="4">
        <f t="shared" si="691"/>
        <v>0</v>
      </c>
      <c r="AC4543" s="4">
        <f t="shared" si="693"/>
        <v>0</v>
      </c>
      <c r="AD4543" s="6">
        <f t="shared" si="697"/>
        <v>0</v>
      </c>
      <c r="AE4543" s="2">
        <f>VLOOKUP(I4543,[1]媒体政策预估表!A:N,MATCH(O4543,[1]媒体政策预估表!$A$2:$M$2,0),0)</f>
        <v>0.12</v>
      </c>
      <c r="AF4543" s="6">
        <f t="shared" si="694"/>
        <v>0</v>
      </c>
      <c r="AG4543" s="14">
        <v>0</v>
      </c>
      <c r="AH4543" s="65">
        <f t="shared" si="698"/>
        <v>0</v>
      </c>
      <c r="AI4543" s="47"/>
      <c r="AJ4543" s="126" t="e">
        <v>#N/A</v>
      </c>
      <c r="AK4543" s="80">
        <f t="shared" si="692"/>
        <v>0</v>
      </c>
      <c r="AM4543" s="85"/>
    </row>
    <row r="4544" spans="1:39" hidden="1" x14ac:dyDescent="0.3">
      <c r="A4544" s="89" t="s">
        <v>3394</v>
      </c>
      <c r="B4544" s="86" t="s">
        <v>35</v>
      </c>
      <c r="C4544" s="86" t="s">
        <v>164</v>
      </c>
      <c r="D4544" s="86" t="s">
        <v>174</v>
      </c>
      <c r="E4544" s="86" t="s">
        <v>1617</v>
      </c>
      <c r="F4544" s="86" t="s">
        <v>1617</v>
      </c>
      <c r="G4544" s="86" t="s">
        <v>1617</v>
      </c>
      <c r="H4544" s="144">
        <v>360</v>
      </c>
      <c r="I4544" s="86" t="s">
        <v>1060</v>
      </c>
      <c r="J4544" s="1" t="s">
        <v>3325</v>
      </c>
      <c r="K4544" s="1" t="s">
        <v>3287</v>
      </c>
      <c r="L4544" s="1" t="s">
        <v>35</v>
      </c>
      <c r="M4544" s="86" t="s">
        <v>1617</v>
      </c>
      <c r="N4544" s="86"/>
      <c r="O4544" s="47" t="s">
        <v>941</v>
      </c>
      <c r="P4544" s="47" t="s">
        <v>46</v>
      </c>
      <c r="Q4544" s="14">
        <v>0.01</v>
      </c>
      <c r="R4544" s="143" t="s">
        <v>1619</v>
      </c>
      <c r="S4544" s="47"/>
      <c r="T4544" s="6">
        <v>-130804.43295</v>
      </c>
      <c r="U4544" s="6"/>
      <c r="V4544" s="6">
        <v>10114.535550000001</v>
      </c>
      <c r="W4544" s="6">
        <f t="shared" si="695"/>
        <v>-140918.96850000002</v>
      </c>
      <c r="X4544" s="6">
        <f t="shared" si="696"/>
        <v>10014.391633663367</v>
      </c>
      <c r="Y4544" s="13">
        <f t="shared" si="690"/>
        <v>0</v>
      </c>
      <c r="Z4544" s="14">
        <v>0</v>
      </c>
      <c r="AA4544" s="6">
        <v>0</v>
      </c>
      <c r="AB4544" s="4">
        <f t="shared" si="691"/>
        <v>10014.391633663367</v>
      </c>
      <c r="AC4544" s="4">
        <f t="shared" si="693"/>
        <v>100.14391633663399</v>
      </c>
      <c r="AD4544" s="6">
        <f t="shared" si="697"/>
        <v>10114.535550000001</v>
      </c>
      <c r="AE4544" s="2">
        <f>VLOOKUP(I4544,[1]媒体政策预估表!A:N,MATCH(O4544,[1]媒体政策预估表!$A$2:$M$2,0),0)</f>
        <v>0.15</v>
      </c>
      <c r="AF4544" s="6">
        <f t="shared" si="694"/>
        <v>1517.1803325000001</v>
      </c>
      <c r="AG4544" s="14">
        <v>0</v>
      </c>
      <c r="AH4544" s="65">
        <f t="shared" si="698"/>
        <v>10114.535550000001</v>
      </c>
      <c r="AI4544" s="47"/>
      <c r="AJ4544" s="126" t="e">
        <v>#N/A</v>
      </c>
      <c r="AK4544" s="80">
        <f t="shared" si="692"/>
        <v>0</v>
      </c>
      <c r="AM4544" s="85"/>
    </row>
    <row r="4545" spans="1:39" hidden="1" x14ac:dyDescent="0.3">
      <c r="A4545" s="89" t="s">
        <v>3395</v>
      </c>
      <c r="B4545" s="86" t="s">
        <v>35</v>
      </c>
      <c r="C4545" s="86" t="s">
        <v>59</v>
      </c>
      <c r="D4545" s="86" t="s">
        <v>60</v>
      </c>
      <c r="E4545" s="86" t="s">
        <v>765</v>
      </c>
      <c r="F4545" s="86" t="s">
        <v>766</v>
      </c>
      <c r="G4545" s="86" t="s">
        <v>765</v>
      </c>
      <c r="H4545" s="144">
        <v>360</v>
      </c>
      <c r="I4545" s="86" t="s">
        <v>1060</v>
      </c>
      <c r="J4545" s="1" t="s">
        <v>3325</v>
      </c>
      <c r="K4545" s="1" t="s">
        <v>3287</v>
      </c>
      <c r="L4545" s="1" t="s">
        <v>35</v>
      </c>
      <c r="M4545" s="86" t="s">
        <v>765</v>
      </c>
      <c r="N4545" s="86"/>
      <c r="O4545" s="47" t="s">
        <v>2054</v>
      </c>
      <c r="P4545" s="47" t="s">
        <v>46</v>
      </c>
      <c r="Q4545" s="14">
        <v>0.04</v>
      </c>
      <c r="R4545" s="143" t="s">
        <v>1078</v>
      </c>
      <c r="S4545" s="47"/>
      <c r="T4545" s="6">
        <v>-388.45465999999999</v>
      </c>
      <c r="U4545" s="6"/>
      <c r="V4545" s="6">
        <v>1388.32627</v>
      </c>
      <c r="W4545" s="6">
        <f t="shared" si="695"/>
        <v>-1776.7809299999999</v>
      </c>
      <c r="X4545" s="6">
        <f t="shared" si="696"/>
        <v>1334.9291057692308</v>
      </c>
      <c r="Y4545" s="13">
        <f t="shared" si="690"/>
        <v>0</v>
      </c>
      <c r="Z4545" s="14">
        <v>0</v>
      </c>
      <c r="AA4545" s="6">
        <v>0</v>
      </c>
      <c r="AB4545" s="4">
        <f t="shared" si="691"/>
        <v>1334.9291057692308</v>
      </c>
      <c r="AC4545" s="4">
        <f t="shared" si="693"/>
        <v>53.397164230769249</v>
      </c>
      <c r="AD4545" s="6">
        <f t="shared" si="697"/>
        <v>1388.32627</v>
      </c>
      <c r="AE4545" s="2">
        <f>VLOOKUP(I4545,[1]媒体政策预估表!A:N,MATCH(O4545,[1]媒体政策预估表!$A$2:$M$2,0),0)</f>
        <v>0.12</v>
      </c>
      <c r="AF4545" s="6">
        <f t="shared" si="694"/>
        <v>166.59915240000001</v>
      </c>
      <c r="AG4545" s="14">
        <v>0</v>
      </c>
      <c r="AH4545" s="65">
        <f t="shared" si="698"/>
        <v>1388.32627</v>
      </c>
      <c r="AI4545" s="47"/>
      <c r="AJ4545" s="126" t="e">
        <v>#N/A</v>
      </c>
      <c r="AK4545" s="80">
        <f t="shared" si="692"/>
        <v>0</v>
      </c>
      <c r="AM4545" s="85"/>
    </row>
    <row r="4546" spans="1:39" hidden="1" x14ac:dyDescent="0.3">
      <c r="A4546" s="89" t="s">
        <v>3395</v>
      </c>
      <c r="B4546" s="86" t="s">
        <v>35</v>
      </c>
      <c r="C4546" s="86" t="s">
        <v>164</v>
      </c>
      <c r="D4546" s="86" t="s">
        <v>174</v>
      </c>
      <c r="E4546" s="86" t="s">
        <v>1681</v>
      </c>
      <c r="F4546" s="86" t="s">
        <v>1682</v>
      </c>
      <c r="G4546" s="86" t="s">
        <v>1681</v>
      </c>
      <c r="H4546" s="143">
        <v>360</v>
      </c>
      <c r="I4546" s="86" t="s">
        <v>1060</v>
      </c>
      <c r="J4546" s="1" t="s">
        <v>3325</v>
      </c>
      <c r="K4546" s="1" t="s">
        <v>3287</v>
      </c>
      <c r="L4546" s="1" t="s">
        <v>35</v>
      </c>
      <c r="M4546" s="86" t="s">
        <v>1685</v>
      </c>
      <c r="N4546" s="86"/>
      <c r="O4546" s="47" t="s">
        <v>2054</v>
      </c>
      <c r="P4546" s="47" t="s">
        <v>46</v>
      </c>
      <c r="Q4546" s="14">
        <v>0.04</v>
      </c>
      <c r="R4546" s="143" t="s">
        <v>2083</v>
      </c>
      <c r="S4546" s="47"/>
      <c r="T4546" s="6">
        <v>-58.8</v>
      </c>
      <c r="U4546" s="6"/>
      <c r="V4546" s="6">
        <v>0</v>
      </c>
      <c r="W4546" s="6">
        <f t="shared" si="695"/>
        <v>-58.8</v>
      </c>
      <c r="X4546" s="6">
        <f t="shared" si="696"/>
        <v>0</v>
      </c>
      <c r="Y4546" s="13">
        <f t="shared" si="690"/>
        <v>0</v>
      </c>
      <c r="Z4546" s="14">
        <v>0</v>
      </c>
      <c r="AA4546" s="6">
        <v>0</v>
      </c>
      <c r="AB4546" s="4">
        <f t="shared" si="691"/>
        <v>0</v>
      </c>
      <c r="AC4546" s="4">
        <f t="shared" si="693"/>
        <v>0</v>
      </c>
      <c r="AD4546" s="6">
        <f t="shared" si="697"/>
        <v>0</v>
      </c>
      <c r="AE4546" s="2">
        <f>VLOOKUP(I4546,[1]媒体政策预估表!A:N,MATCH(O4546,[1]媒体政策预估表!$A$2:$M$2,0),0)</f>
        <v>0.12</v>
      </c>
      <c r="AF4546" s="6">
        <f t="shared" si="694"/>
        <v>0</v>
      </c>
      <c r="AG4546" s="14">
        <v>0</v>
      </c>
      <c r="AH4546" s="65">
        <f t="shared" si="698"/>
        <v>0</v>
      </c>
      <c r="AI4546" s="47"/>
      <c r="AJ4546" s="126" t="e">
        <v>#N/A</v>
      </c>
      <c r="AK4546" s="80">
        <f t="shared" si="692"/>
        <v>0</v>
      </c>
      <c r="AM4546" s="85"/>
    </row>
    <row r="4547" spans="1:39" hidden="1" x14ac:dyDescent="0.3">
      <c r="A4547" s="89" t="s">
        <v>3394</v>
      </c>
      <c r="B4547" s="86" t="s">
        <v>35</v>
      </c>
      <c r="C4547" s="86" t="s">
        <v>164</v>
      </c>
      <c r="D4547" s="86" t="s">
        <v>169</v>
      </c>
      <c r="E4547" s="86" t="s">
        <v>1954</v>
      </c>
      <c r="F4547" s="86" t="s">
        <v>1954</v>
      </c>
      <c r="G4547" s="86" t="s">
        <v>1954</v>
      </c>
      <c r="H4547" s="143">
        <v>360</v>
      </c>
      <c r="I4547" s="86" t="s">
        <v>1060</v>
      </c>
      <c r="J4547" s="1" t="s">
        <v>3325</v>
      </c>
      <c r="K4547" s="1" t="s">
        <v>3287</v>
      </c>
      <c r="L4547" s="1" t="s">
        <v>35</v>
      </c>
      <c r="M4547" s="86" t="s">
        <v>1954</v>
      </c>
      <c r="N4547" s="86"/>
      <c r="O4547" s="47" t="s">
        <v>2054</v>
      </c>
      <c r="P4547" s="47" t="s">
        <v>46</v>
      </c>
      <c r="Q4547" s="14">
        <v>0.02</v>
      </c>
      <c r="R4547" s="143" t="s">
        <v>1955</v>
      </c>
      <c r="S4547" s="47"/>
      <c r="T4547" s="6">
        <v>-4203.9045400000005</v>
      </c>
      <c r="U4547" s="6"/>
      <c r="V4547" s="6">
        <v>0</v>
      </c>
      <c r="W4547" s="6">
        <f t="shared" si="695"/>
        <v>-4203.9045400000005</v>
      </c>
      <c r="X4547" s="6">
        <f t="shared" si="696"/>
        <v>0</v>
      </c>
      <c r="Y4547" s="13">
        <f t="shared" ref="Y4547:Y4610" si="699">IF(X4547-AD4547&lt;=0,0,IF(P4547="返现",MAX(X4547-AC4547-AD4547,0),MAX(X4547-AD4547)))</f>
        <v>0</v>
      </c>
      <c r="Z4547" s="14">
        <v>0</v>
      </c>
      <c r="AA4547" s="6">
        <v>0</v>
      </c>
      <c r="AB4547" s="4">
        <f t="shared" ref="AB4547:AB4610" si="700">X4547+AA4547</f>
        <v>0</v>
      </c>
      <c r="AC4547" s="4">
        <f t="shared" si="693"/>
        <v>0</v>
      </c>
      <c r="AD4547" s="6">
        <f t="shared" si="697"/>
        <v>0</v>
      </c>
      <c r="AE4547" s="2">
        <f>VLOOKUP(I4547,[1]媒体政策预估表!A:N,MATCH(O4547,[1]媒体政策预估表!$A$2:$M$2,0),0)</f>
        <v>0.12</v>
      </c>
      <c r="AF4547" s="6">
        <f t="shared" si="694"/>
        <v>0</v>
      </c>
      <c r="AG4547" s="14">
        <v>0</v>
      </c>
      <c r="AH4547" s="65">
        <f t="shared" si="698"/>
        <v>0</v>
      </c>
      <c r="AI4547" s="47"/>
      <c r="AJ4547" s="126" t="e">
        <v>#N/A</v>
      </c>
      <c r="AK4547" s="80">
        <f t="shared" ref="AK4547:AK4610" si="701">X4547+AA4547-AB4547</f>
        <v>0</v>
      </c>
      <c r="AM4547" s="85"/>
    </row>
    <row r="4548" spans="1:39" hidden="1" x14ac:dyDescent="0.3">
      <c r="A4548" s="89" t="s">
        <v>3395</v>
      </c>
      <c r="B4548" s="86" t="s">
        <v>35</v>
      </c>
      <c r="C4548" s="86" t="s">
        <v>164</v>
      </c>
      <c r="D4548" s="86" t="s">
        <v>174</v>
      </c>
      <c r="E4548" s="86" t="s">
        <v>1711</v>
      </c>
      <c r="F4548" s="86" t="s">
        <v>1711</v>
      </c>
      <c r="G4548" s="86" t="s">
        <v>1711</v>
      </c>
      <c r="H4548" s="144">
        <v>360</v>
      </c>
      <c r="I4548" s="86" t="s">
        <v>1060</v>
      </c>
      <c r="J4548" s="1" t="s">
        <v>3325</v>
      </c>
      <c r="K4548" s="1" t="s">
        <v>3287</v>
      </c>
      <c r="L4548" s="1" t="s">
        <v>35</v>
      </c>
      <c r="M4548" s="86" t="s">
        <v>1711</v>
      </c>
      <c r="N4548" s="86"/>
      <c r="O4548" s="47" t="s">
        <v>2054</v>
      </c>
      <c r="P4548" s="47" t="s">
        <v>41</v>
      </c>
      <c r="Q4548" s="14">
        <v>0</v>
      </c>
      <c r="R4548" s="143" t="s">
        <v>1712</v>
      </c>
      <c r="S4548" s="47"/>
      <c r="T4548" s="6">
        <v>-14949.794690000001</v>
      </c>
      <c r="U4548" s="6"/>
      <c r="V4548" s="6">
        <v>15311.562529999999</v>
      </c>
      <c r="W4548" s="6">
        <f t="shared" si="695"/>
        <v>-30261.357219999998</v>
      </c>
      <c r="X4548" s="6">
        <f t="shared" si="696"/>
        <v>15311.562529999999</v>
      </c>
      <c r="Y4548" s="13">
        <f t="shared" si="699"/>
        <v>0</v>
      </c>
      <c r="Z4548" s="14">
        <v>0</v>
      </c>
      <c r="AA4548" s="6">
        <v>0</v>
      </c>
      <c r="AB4548" s="4">
        <f t="shared" si="700"/>
        <v>15311.562529999999</v>
      </c>
      <c r="AC4548" s="4">
        <f t="shared" si="693"/>
        <v>0</v>
      </c>
      <c r="AD4548" s="6">
        <f t="shared" si="697"/>
        <v>15311.562529999999</v>
      </c>
      <c r="AE4548" s="2">
        <f>VLOOKUP(I4548,[1]媒体政策预估表!A:N,MATCH(O4548,[1]媒体政策预估表!$A$2:$M$2,0),0)</f>
        <v>0.12</v>
      </c>
      <c r="AF4548" s="6">
        <f t="shared" si="694"/>
        <v>1837.3875035999999</v>
      </c>
      <c r="AG4548" s="14">
        <v>0</v>
      </c>
      <c r="AH4548" s="65">
        <f t="shared" si="698"/>
        <v>15311.562529999999</v>
      </c>
      <c r="AI4548" s="47"/>
      <c r="AJ4548" s="126" t="e">
        <v>#N/A</v>
      </c>
      <c r="AK4548" s="80">
        <f t="shared" si="701"/>
        <v>0</v>
      </c>
      <c r="AM4548" s="85"/>
    </row>
    <row r="4549" spans="1:39" hidden="1" x14ac:dyDescent="0.3">
      <c r="A4549" s="89" t="s">
        <v>3394</v>
      </c>
      <c r="B4549" s="86" t="s">
        <v>35</v>
      </c>
      <c r="C4549" s="86" t="s">
        <v>164</v>
      </c>
      <c r="D4549" s="86" t="s">
        <v>169</v>
      </c>
      <c r="E4549" s="86" t="s">
        <v>628</v>
      </c>
      <c r="F4549" s="86" t="s">
        <v>628</v>
      </c>
      <c r="G4549" s="86" t="s">
        <v>628</v>
      </c>
      <c r="H4549" s="143">
        <v>360</v>
      </c>
      <c r="I4549" s="86" t="s">
        <v>1060</v>
      </c>
      <c r="J4549" s="1" t="s">
        <v>3325</v>
      </c>
      <c r="K4549" s="1" t="s">
        <v>3287</v>
      </c>
      <c r="L4549" s="1" t="s">
        <v>35</v>
      </c>
      <c r="M4549" s="86" t="s">
        <v>628</v>
      </c>
      <c r="N4549" s="86"/>
      <c r="O4549" s="47" t="s">
        <v>2054</v>
      </c>
      <c r="P4549" s="47" t="s">
        <v>46</v>
      </c>
      <c r="Q4549" s="14">
        <v>0.1</v>
      </c>
      <c r="R4549" s="143" t="s">
        <v>1957</v>
      </c>
      <c r="S4549" s="47"/>
      <c r="T4549" s="6">
        <v>-15055.826570000001</v>
      </c>
      <c r="U4549" s="6"/>
      <c r="V4549" s="6">
        <v>0</v>
      </c>
      <c r="W4549" s="6">
        <f t="shared" si="695"/>
        <v>-15055.826570000001</v>
      </c>
      <c r="X4549" s="6">
        <f t="shared" si="696"/>
        <v>0</v>
      </c>
      <c r="Y4549" s="13">
        <f t="shared" si="699"/>
        <v>0</v>
      </c>
      <c r="Z4549" s="14">
        <v>0</v>
      </c>
      <c r="AA4549" s="6">
        <v>0</v>
      </c>
      <c r="AB4549" s="4">
        <f t="shared" si="700"/>
        <v>0</v>
      </c>
      <c r="AC4549" s="4">
        <f t="shared" si="693"/>
        <v>0</v>
      </c>
      <c r="AD4549" s="6">
        <f t="shared" si="697"/>
        <v>0</v>
      </c>
      <c r="AE4549" s="2">
        <f>VLOOKUP(I4549,[1]媒体政策预估表!A:N,MATCH(O4549,[1]媒体政策预估表!$A$2:$M$2,0),0)</f>
        <v>0.12</v>
      </c>
      <c r="AF4549" s="6">
        <f t="shared" si="694"/>
        <v>0</v>
      </c>
      <c r="AG4549" s="14">
        <v>0</v>
      </c>
      <c r="AH4549" s="65">
        <f t="shared" si="698"/>
        <v>0</v>
      </c>
      <c r="AI4549" s="47"/>
      <c r="AJ4549" s="126" t="e">
        <v>#N/A</v>
      </c>
      <c r="AK4549" s="80">
        <f t="shared" si="701"/>
        <v>0</v>
      </c>
      <c r="AM4549" s="85"/>
    </row>
    <row r="4550" spans="1:39" hidden="1" x14ac:dyDescent="0.3">
      <c r="A4550" s="89" t="s">
        <v>3394</v>
      </c>
      <c r="B4550" s="86" t="s">
        <v>35</v>
      </c>
      <c r="C4550" s="86" t="s">
        <v>144</v>
      </c>
      <c r="D4550" s="86" t="s">
        <v>152</v>
      </c>
      <c r="E4550" s="86" t="s">
        <v>155</v>
      </c>
      <c r="F4550" s="86" t="s">
        <v>1465</v>
      </c>
      <c r="G4550" s="86" t="s">
        <v>155</v>
      </c>
      <c r="H4550" s="143">
        <v>360</v>
      </c>
      <c r="I4550" s="86" t="s">
        <v>1060</v>
      </c>
      <c r="J4550" s="1" t="s">
        <v>3325</v>
      </c>
      <c r="K4550" s="1" t="s">
        <v>3287</v>
      </c>
      <c r="L4550" s="1" t="s">
        <v>35</v>
      </c>
      <c r="M4550" s="86" t="s">
        <v>1466</v>
      </c>
      <c r="N4550" s="86"/>
      <c r="O4550" s="47" t="s">
        <v>2054</v>
      </c>
      <c r="P4550" s="47" t="s">
        <v>92</v>
      </c>
      <c r="Q4550" s="14">
        <v>0.98499999999999999</v>
      </c>
      <c r="R4550" s="143" t="s">
        <v>2082</v>
      </c>
      <c r="S4550" s="47"/>
      <c r="T4550" s="6">
        <v>-4160.0545899999988</v>
      </c>
      <c r="U4550" s="6"/>
      <c r="V4550" s="6">
        <v>0</v>
      </c>
      <c r="W4550" s="6">
        <v>0</v>
      </c>
      <c r="X4550" s="6">
        <f t="shared" si="696"/>
        <v>0</v>
      </c>
      <c r="Y4550" s="13">
        <f t="shared" si="699"/>
        <v>0</v>
      </c>
      <c r="Z4550" s="14">
        <v>0</v>
      </c>
      <c r="AA4550" s="6">
        <v>0</v>
      </c>
      <c r="AB4550" s="4">
        <f t="shared" si="700"/>
        <v>0</v>
      </c>
      <c r="AC4550" s="4">
        <f t="shared" si="693"/>
        <v>0</v>
      </c>
      <c r="AD4550" s="6">
        <f t="shared" si="697"/>
        <v>0</v>
      </c>
      <c r="AE4550" s="2">
        <f>VLOOKUP(I4550,[1]媒体政策预估表!A:N,MATCH(O4550,[1]媒体政策预估表!$A$2:$M$2,0),0)</f>
        <v>0.12</v>
      </c>
      <c r="AF4550" s="6">
        <f t="shared" si="694"/>
        <v>0</v>
      </c>
      <c r="AG4550" s="14">
        <v>0</v>
      </c>
      <c r="AH4550" s="65">
        <f t="shared" si="698"/>
        <v>0</v>
      </c>
      <c r="AI4550" s="47"/>
      <c r="AJ4550" s="126" t="e">
        <v>#N/A</v>
      </c>
      <c r="AK4550" s="80">
        <f t="shared" si="701"/>
        <v>0</v>
      </c>
      <c r="AM4550" s="85"/>
    </row>
    <row r="4551" spans="1:39" hidden="1" x14ac:dyDescent="0.3">
      <c r="A4551" s="89" t="s">
        <v>3394</v>
      </c>
      <c r="B4551" s="86" t="s">
        <v>35</v>
      </c>
      <c r="C4551" s="86" t="s">
        <v>184</v>
      </c>
      <c r="D4551" s="86" t="s">
        <v>298</v>
      </c>
      <c r="E4551" s="86" t="s">
        <v>2335</v>
      </c>
      <c r="F4551" s="86" t="s">
        <v>2335</v>
      </c>
      <c r="G4551" s="86" t="s">
        <v>2335</v>
      </c>
      <c r="H4551" s="143">
        <v>360</v>
      </c>
      <c r="I4551" s="86" t="s">
        <v>1060</v>
      </c>
      <c r="J4551" s="1" t="s">
        <v>3325</v>
      </c>
      <c r="K4551" s="1" t="s">
        <v>3287</v>
      </c>
      <c r="L4551" s="1" t="s">
        <v>35</v>
      </c>
      <c r="M4551" s="86" t="s">
        <v>2335</v>
      </c>
      <c r="N4551" s="86"/>
      <c r="O4551" s="47" t="s">
        <v>410</v>
      </c>
      <c r="P4551" s="47" t="s">
        <v>41</v>
      </c>
      <c r="Q4551" s="14">
        <v>0</v>
      </c>
      <c r="R4551" s="143" t="s">
        <v>2336</v>
      </c>
      <c r="S4551" s="47"/>
      <c r="T4551" s="6">
        <v>484.13</v>
      </c>
      <c r="U4551" s="6"/>
      <c r="V4551" s="6">
        <v>0</v>
      </c>
      <c r="W4551" s="6">
        <f t="shared" si="695"/>
        <v>484.13</v>
      </c>
      <c r="X4551" s="6">
        <f t="shared" si="696"/>
        <v>0</v>
      </c>
      <c r="Y4551" s="13">
        <f t="shared" si="699"/>
        <v>0</v>
      </c>
      <c r="Z4551" s="14">
        <v>0</v>
      </c>
      <c r="AA4551" s="6">
        <v>0</v>
      </c>
      <c r="AB4551" s="4">
        <f t="shared" si="700"/>
        <v>0</v>
      </c>
      <c r="AC4551" s="4">
        <f t="shared" si="693"/>
        <v>0</v>
      </c>
      <c r="AD4551" s="6">
        <f t="shared" si="697"/>
        <v>0</v>
      </c>
      <c r="AE4551" s="2">
        <f>VLOOKUP(I4551,[1]媒体政策预估表!A:N,MATCH(O4551,[1]媒体政策预估表!$A$2:$M$2,0),0)</f>
        <v>7.0000000000000007E-2</v>
      </c>
      <c r="AF4551" s="6">
        <f t="shared" si="694"/>
        <v>0</v>
      </c>
      <c r="AG4551" s="14">
        <v>0</v>
      </c>
      <c r="AH4551" s="65">
        <f t="shared" si="698"/>
        <v>0</v>
      </c>
      <c r="AI4551" s="47"/>
      <c r="AJ4551" s="126" t="e">
        <v>#N/A</v>
      </c>
      <c r="AK4551" s="80">
        <f t="shared" si="701"/>
        <v>0</v>
      </c>
      <c r="AM4551" s="85"/>
    </row>
    <row r="4552" spans="1:39" hidden="1" x14ac:dyDescent="0.3">
      <c r="A4552" s="89" t="s">
        <v>3394</v>
      </c>
      <c r="B4552" s="86" t="s">
        <v>35</v>
      </c>
      <c r="C4552" s="86" t="s">
        <v>36</v>
      </c>
      <c r="D4552" s="86" t="s">
        <v>320</v>
      </c>
      <c r="E4552" s="86" t="s">
        <v>2337</v>
      </c>
      <c r="F4552" s="86" t="s">
        <v>2337</v>
      </c>
      <c r="G4552" s="86" t="s">
        <v>2337</v>
      </c>
      <c r="H4552" s="143">
        <v>360</v>
      </c>
      <c r="I4552" s="86" t="s">
        <v>1060</v>
      </c>
      <c r="J4552" s="1" t="s">
        <v>3325</v>
      </c>
      <c r="K4552" s="1" t="s">
        <v>3287</v>
      </c>
      <c r="L4552" s="1" t="s">
        <v>35</v>
      </c>
      <c r="M4552" s="86" t="s">
        <v>2337</v>
      </c>
      <c r="N4552" s="86"/>
      <c r="O4552" s="47" t="s">
        <v>45</v>
      </c>
      <c r="P4552" s="47" t="s">
        <v>41</v>
      </c>
      <c r="Q4552" s="14">
        <v>0</v>
      </c>
      <c r="R4552" s="143" t="s">
        <v>2338</v>
      </c>
      <c r="S4552" s="47"/>
      <c r="T4552" s="6">
        <v>487.91</v>
      </c>
      <c r="U4552" s="6"/>
      <c r="V4552" s="6">
        <v>0</v>
      </c>
      <c r="W4552" s="6">
        <f t="shared" si="695"/>
        <v>487.91</v>
      </c>
      <c r="X4552" s="6">
        <f t="shared" si="696"/>
        <v>0</v>
      </c>
      <c r="Y4552" s="13">
        <f t="shared" si="699"/>
        <v>0</v>
      </c>
      <c r="Z4552" s="14">
        <v>0</v>
      </c>
      <c r="AA4552" s="6">
        <v>0</v>
      </c>
      <c r="AB4552" s="4">
        <f t="shared" si="700"/>
        <v>0</v>
      </c>
      <c r="AC4552" s="4">
        <f t="shared" si="693"/>
        <v>0</v>
      </c>
      <c r="AD4552" s="6">
        <f t="shared" si="697"/>
        <v>0</v>
      </c>
      <c r="AE4552" s="2">
        <f>VLOOKUP(I4552,[1]媒体政策预估表!A:N,MATCH(O4552,[1]媒体政策预估表!$A$2:$M$2,0),0)</f>
        <v>0.12</v>
      </c>
      <c r="AF4552" s="6">
        <f t="shared" si="694"/>
        <v>0</v>
      </c>
      <c r="AG4552" s="14">
        <v>0</v>
      </c>
      <c r="AH4552" s="65">
        <f t="shared" si="698"/>
        <v>0</v>
      </c>
      <c r="AI4552" s="47"/>
      <c r="AJ4552" s="126" t="e">
        <v>#N/A</v>
      </c>
      <c r="AK4552" s="80">
        <f t="shared" si="701"/>
        <v>0</v>
      </c>
      <c r="AM4552" s="85"/>
    </row>
    <row r="4553" spans="1:39" hidden="1" x14ac:dyDescent="0.3">
      <c r="A4553" s="89" t="s">
        <v>3395</v>
      </c>
      <c r="B4553" s="86" t="s">
        <v>35</v>
      </c>
      <c r="C4553" s="86" t="s">
        <v>184</v>
      </c>
      <c r="D4553" s="86" t="s">
        <v>185</v>
      </c>
      <c r="E4553" s="86" t="s">
        <v>2339</v>
      </c>
      <c r="F4553" s="86" t="s">
        <v>2339</v>
      </c>
      <c r="G4553" s="86" t="s">
        <v>2339</v>
      </c>
      <c r="H4553" s="143">
        <v>360</v>
      </c>
      <c r="I4553" s="86" t="s">
        <v>1060</v>
      </c>
      <c r="J4553" s="1" t="s">
        <v>3325</v>
      </c>
      <c r="K4553" s="1" t="s">
        <v>3287</v>
      </c>
      <c r="L4553" s="1" t="s">
        <v>35</v>
      </c>
      <c r="M4553" s="86" t="s">
        <v>2339</v>
      </c>
      <c r="N4553" s="86"/>
      <c r="O4553" s="47" t="s">
        <v>410</v>
      </c>
      <c r="P4553" s="47" t="s">
        <v>41</v>
      </c>
      <c r="Q4553" s="14">
        <v>0</v>
      </c>
      <c r="R4553" s="143" t="s">
        <v>2340</v>
      </c>
      <c r="S4553" s="47"/>
      <c r="T4553" s="6">
        <v>149.78</v>
      </c>
      <c r="U4553" s="6"/>
      <c r="V4553" s="6">
        <v>0</v>
      </c>
      <c r="W4553" s="6">
        <f t="shared" si="695"/>
        <v>149.78</v>
      </c>
      <c r="X4553" s="6">
        <f t="shared" si="696"/>
        <v>0</v>
      </c>
      <c r="Y4553" s="13">
        <f t="shared" si="699"/>
        <v>0</v>
      </c>
      <c r="Z4553" s="14">
        <v>0</v>
      </c>
      <c r="AA4553" s="6">
        <v>0</v>
      </c>
      <c r="AB4553" s="4">
        <f t="shared" si="700"/>
        <v>0</v>
      </c>
      <c r="AC4553" s="4">
        <f t="shared" si="693"/>
        <v>0</v>
      </c>
      <c r="AD4553" s="6">
        <f t="shared" si="697"/>
        <v>0</v>
      </c>
      <c r="AE4553" s="2">
        <f>VLOOKUP(I4553,[1]媒体政策预估表!A:N,MATCH(O4553,[1]媒体政策预估表!$A$2:$M$2,0),0)</f>
        <v>7.0000000000000007E-2</v>
      </c>
      <c r="AF4553" s="6">
        <f t="shared" si="694"/>
        <v>0</v>
      </c>
      <c r="AG4553" s="14">
        <v>0</v>
      </c>
      <c r="AH4553" s="65">
        <f t="shared" si="698"/>
        <v>0</v>
      </c>
      <c r="AI4553" s="47"/>
      <c r="AJ4553" s="126" t="e">
        <v>#N/A</v>
      </c>
      <c r="AK4553" s="80">
        <f t="shared" si="701"/>
        <v>0</v>
      </c>
      <c r="AM4553" s="85"/>
    </row>
    <row r="4554" spans="1:39" hidden="1" x14ac:dyDescent="0.3">
      <c r="A4554" s="89" t="s">
        <v>3394</v>
      </c>
      <c r="B4554" s="86" t="s">
        <v>35</v>
      </c>
      <c r="C4554" s="86" t="s">
        <v>164</v>
      </c>
      <c r="D4554" s="86" t="s">
        <v>174</v>
      </c>
      <c r="E4554" s="86" t="s">
        <v>2341</v>
      </c>
      <c r="F4554" s="86" t="s">
        <v>2341</v>
      </c>
      <c r="G4554" s="86" t="s">
        <v>2341</v>
      </c>
      <c r="H4554" s="143">
        <v>360</v>
      </c>
      <c r="I4554" s="86" t="s">
        <v>1060</v>
      </c>
      <c r="J4554" s="1" t="s">
        <v>3325</v>
      </c>
      <c r="K4554" s="1" t="s">
        <v>3287</v>
      </c>
      <c r="L4554" s="1" t="s">
        <v>35</v>
      </c>
      <c r="M4554" s="86" t="s">
        <v>2342</v>
      </c>
      <c r="N4554" s="86"/>
      <c r="O4554" s="47" t="s">
        <v>410</v>
      </c>
      <c r="P4554" s="47" t="s">
        <v>46</v>
      </c>
      <c r="Q4554" s="14">
        <v>0.04</v>
      </c>
      <c r="R4554" s="143" t="s">
        <v>2343</v>
      </c>
      <c r="S4554" s="47"/>
      <c r="T4554" s="6">
        <v>1.37</v>
      </c>
      <c r="U4554" s="6"/>
      <c r="V4554" s="6">
        <v>0</v>
      </c>
      <c r="W4554" s="6">
        <f t="shared" si="695"/>
        <v>1.37</v>
      </c>
      <c r="X4554" s="6">
        <f t="shared" si="696"/>
        <v>0</v>
      </c>
      <c r="Y4554" s="13">
        <f t="shared" si="699"/>
        <v>0</v>
      </c>
      <c r="Z4554" s="14">
        <v>0</v>
      </c>
      <c r="AA4554" s="6">
        <v>0</v>
      </c>
      <c r="AB4554" s="4">
        <f t="shared" si="700"/>
        <v>0</v>
      </c>
      <c r="AC4554" s="4">
        <f t="shared" si="693"/>
        <v>0</v>
      </c>
      <c r="AD4554" s="6">
        <f t="shared" si="697"/>
        <v>0</v>
      </c>
      <c r="AE4554" s="2">
        <f>VLOOKUP(I4554,[1]媒体政策预估表!A:N,MATCH(O4554,[1]媒体政策预估表!$A$2:$M$2,0),0)</f>
        <v>7.0000000000000007E-2</v>
      </c>
      <c r="AF4554" s="6">
        <f t="shared" si="694"/>
        <v>0</v>
      </c>
      <c r="AG4554" s="14">
        <v>0</v>
      </c>
      <c r="AH4554" s="65">
        <f t="shared" si="698"/>
        <v>0</v>
      </c>
      <c r="AI4554" s="47"/>
      <c r="AJ4554" s="126" t="e">
        <v>#N/A</v>
      </c>
      <c r="AK4554" s="80">
        <f t="shared" si="701"/>
        <v>0</v>
      </c>
      <c r="AM4554" s="85"/>
    </row>
    <row r="4555" spans="1:39" hidden="1" x14ac:dyDescent="0.3">
      <c r="A4555" s="89" t="s">
        <v>3395</v>
      </c>
      <c r="B4555" s="86" t="s">
        <v>35</v>
      </c>
      <c r="C4555" s="86" t="s">
        <v>65</v>
      </c>
      <c r="D4555" s="86" t="s">
        <v>66</v>
      </c>
      <c r="E4555" s="86" t="s">
        <v>2344</v>
      </c>
      <c r="F4555" s="86" t="s">
        <v>2344</v>
      </c>
      <c r="G4555" s="86" t="s">
        <v>2344</v>
      </c>
      <c r="H4555" s="143">
        <v>360</v>
      </c>
      <c r="I4555" s="86" t="s">
        <v>1060</v>
      </c>
      <c r="J4555" s="1" t="s">
        <v>3325</v>
      </c>
      <c r="K4555" s="1" t="s">
        <v>3287</v>
      </c>
      <c r="L4555" s="1" t="s">
        <v>35</v>
      </c>
      <c r="M4555" s="86" t="s">
        <v>869</v>
      </c>
      <c r="N4555" s="86"/>
      <c r="O4555" s="47" t="s">
        <v>45</v>
      </c>
      <c r="P4555" s="47" t="s">
        <v>46</v>
      </c>
      <c r="Q4555" s="14">
        <v>0.04</v>
      </c>
      <c r="R4555" s="143" t="s">
        <v>2345</v>
      </c>
      <c r="S4555" s="47"/>
      <c r="T4555" s="6">
        <v>495.16</v>
      </c>
      <c r="U4555" s="6"/>
      <c r="V4555" s="6">
        <v>0</v>
      </c>
      <c r="W4555" s="6">
        <f t="shared" si="695"/>
        <v>495.16</v>
      </c>
      <c r="X4555" s="6">
        <f t="shared" si="696"/>
        <v>0</v>
      </c>
      <c r="Y4555" s="13">
        <f t="shared" si="699"/>
        <v>0</v>
      </c>
      <c r="Z4555" s="14">
        <v>0</v>
      </c>
      <c r="AA4555" s="6">
        <v>0</v>
      </c>
      <c r="AB4555" s="4">
        <f t="shared" si="700"/>
        <v>0</v>
      </c>
      <c r="AC4555" s="4">
        <f t="shared" si="693"/>
        <v>0</v>
      </c>
      <c r="AD4555" s="6">
        <f t="shared" si="697"/>
        <v>0</v>
      </c>
      <c r="AE4555" s="2">
        <f>VLOOKUP(I4555,[1]媒体政策预估表!A:N,MATCH(O4555,[1]媒体政策预估表!$A$2:$M$2,0),0)</f>
        <v>0.12</v>
      </c>
      <c r="AF4555" s="6">
        <f t="shared" si="694"/>
        <v>0</v>
      </c>
      <c r="AG4555" s="14">
        <v>0</v>
      </c>
      <c r="AH4555" s="65">
        <f t="shared" si="698"/>
        <v>0</v>
      </c>
      <c r="AI4555" s="47"/>
      <c r="AJ4555" s="126" t="e">
        <v>#N/A</v>
      </c>
      <c r="AK4555" s="80">
        <f t="shared" si="701"/>
        <v>0</v>
      </c>
      <c r="AM4555" s="85"/>
    </row>
    <row r="4556" spans="1:39" hidden="1" x14ac:dyDescent="0.3">
      <c r="A4556" s="89" t="s">
        <v>3394</v>
      </c>
      <c r="B4556" s="86" t="s">
        <v>35</v>
      </c>
      <c r="C4556" s="86" t="s">
        <v>164</v>
      </c>
      <c r="D4556" s="86" t="s">
        <v>174</v>
      </c>
      <c r="E4556" s="86" t="s">
        <v>651</v>
      </c>
      <c r="F4556" s="86" t="s">
        <v>651</v>
      </c>
      <c r="G4556" s="86" t="s">
        <v>651</v>
      </c>
      <c r="H4556" s="143">
        <v>360</v>
      </c>
      <c r="I4556" s="86" t="s">
        <v>1060</v>
      </c>
      <c r="J4556" s="1" t="s">
        <v>3325</v>
      </c>
      <c r="K4556" s="1" t="s">
        <v>3287</v>
      </c>
      <c r="L4556" s="1" t="s">
        <v>35</v>
      </c>
      <c r="M4556" s="86" t="s">
        <v>1629</v>
      </c>
      <c r="N4556" s="86"/>
      <c r="O4556" s="47" t="s">
        <v>2054</v>
      </c>
      <c r="P4556" s="47" t="s">
        <v>46</v>
      </c>
      <c r="Q4556" s="14">
        <v>5.0000000000000044E-2</v>
      </c>
      <c r="R4556" s="143" t="s">
        <v>1630</v>
      </c>
      <c r="S4556" s="47"/>
      <c r="T4556" s="6">
        <v>-149226.14513000002</v>
      </c>
      <c r="U4556" s="6"/>
      <c r="V4556" s="6">
        <v>0</v>
      </c>
      <c r="W4556" s="6">
        <f t="shared" si="695"/>
        <v>-149226.14513000002</v>
      </c>
      <c r="X4556" s="6">
        <f t="shared" si="696"/>
        <v>0</v>
      </c>
      <c r="Y4556" s="13">
        <f t="shared" si="699"/>
        <v>0</v>
      </c>
      <c r="Z4556" s="14">
        <v>0</v>
      </c>
      <c r="AA4556" s="6">
        <v>0</v>
      </c>
      <c r="AB4556" s="4">
        <f t="shared" si="700"/>
        <v>0</v>
      </c>
      <c r="AC4556" s="4">
        <f t="shared" ref="AC4556:AC4619" si="702">IF(P4556="返现",X4556*Q4556,V4556-X4556)</f>
        <v>0</v>
      </c>
      <c r="AD4556" s="6">
        <f t="shared" si="697"/>
        <v>0</v>
      </c>
      <c r="AE4556" s="2">
        <f>VLOOKUP(I4556,[1]媒体政策预估表!A:N,MATCH(O4556,[1]媒体政策预估表!$A$2:$M$2,0),0)</f>
        <v>0.12</v>
      </c>
      <c r="AF4556" s="6">
        <f t="shared" ref="AF4556:AF4619" si="703">AD4556*AE4556</f>
        <v>0</v>
      </c>
      <c r="AG4556" s="14">
        <v>0</v>
      </c>
      <c r="AH4556" s="65">
        <f t="shared" si="698"/>
        <v>0</v>
      </c>
      <c r="AI4556" s="47"/>
      <c r="AJ4556" s="126" t="e">
        <v>#N/A</v>
      </c>
      <c r="AK4556" s="80">
        <f t="shared" si="701"/>
        <v>0</v>
      </c>
      <c r="AM4556" s="85"/>
    </row>
    <row r="4557" spans="1:39" hidden="1" x14ac:dyDescent="0.3">
      <c r="A4557" s="89" t="s">
        <v>3395</v>
      </c>
      <c r="B4557" s="86" t="s">
        <v>35</v>
      </c>
      <c r="C4557" s="86" t="s">
        <v>164</v>
      </c>
      <c r="D4557" s="86" t="s">
        <v>174</v>
      </c>
      <c r="E4557" s="86" t="s">
        <v>1617</v>
      </c>
      <c r="F4557" s="86" t="s">
        <v>1617</v>
      </c>
      <c r="G4557" s="86" t="s">
        <v>1617</v>
      </c>
      <c r="H4557" s="144">
        <v>360</v>
      </c>
      <c r="I4557" s="86" t="s">
        <v>1060</v>
      </c>
      <c r="J4557" s="1" t="s">
        <v>3325</v>
      </c>
      <c r="K4557" s="1" t="s">
        <v>3287</v>
      </c>
      <c r="L4557" s="1" t="s">
        <v>35</v>
      </c>
      <c r="M4557" s="86" t="s">
        <v>1617</v>
      </c>
      <c r="N4557" s="86"/>
      <c r="O4557" s="47" t="s">
        <v>2054</v>
      </c>
      <c r="P4557" s="47" t="s">
        <v>46</v>
      </c>
      <c r="Q4557" s="14">
        <v>0.01</v>
      </c>
      <c r="R4557" s="143" t="s">
        <v>1621</v>
      </c>
      <c r="S4557" s="47"/>
      <c r="T4557" s="6">
        <v>-7327.4572599999992</v>
      </c>
      <c r="U4557" s="6"/>
      <c r="V4557" s="6">
        <v>5989.9466599999996</v>
      </c>
      <c r="W4557" s="6">
        <f t="shared" si="695"/>
        <v>-13317.403919999999</v>
      </c>
      <c r="X4557" s="6">
        <f t="shared" si="696"/>
        <v>5930.6402574257418</v>
      </c>
      <c r="Y4557" s="13">
        <f t="shared" si="699"/>
        <v>0</v>
      </c>
      <c r="Z4557" s="14">
        <v>0</v>
      </c>
      <c r="AA4557" s="6">
        <v>0</v>
      </c>
      <c r="AB4557" s="4">
        <f t="shared" si="700"/>
        <v>5930.6402574257418</v>
      </c>
      <c r="AC4557" s="4">
        <f t="shared" si="702"/>
        <v>59.306402574257845</v>
      </c>
      <c r="AD4557" s="6">
        <f t="shared" si="697"/>
        <v>5989.9466599999996</v>
      </c>
      <c r="AE4557" s="2">
        <f>VLOOKUP(I4557,[1]媒体政策预估表!A:N,MATCH(O4557,[1]媒体政策预估表!$A$2:$M$2,0),0)</f>
        <v>0.12</v>
      </c>
      <c r="AF4557" s="6">
        <f t="shared" si="703"/>
        <v>718.7935991999999</v>
      </c>
      <c r="AG4557" s="14">
        <v>0</v>
      </c>
      <c r="AH4557" s="65">
        <f t="shared" si="698"/>
        <v>5989.9466599999996</v>
      </c>
      <c r="AI4557" s="47"/>
      <c r="AJ4557" s="126" t="e">
        <v>#N/A</v>
      </c>
      <c r="AK4557" s="80">
        <f t="shared" si="701"/>
        <v>0</v>
      </c>
      <c r="AM4557" s="85"/>
    </row>
    <row r="4558" spans="1:39" hidden="1" x14ac:dyDescent="0.3">
      <c r="A4558" s="89" t="s">
        <v>3394</v>
      </c>
      <c r="B4558" s="86" t="s">
        <v>35</v>
      </c>
      <c r="C4558" s="86" t="s">
        <v>36</v>
      </c>
      <c r="D4558" s="86" t="s">
        <v>54</v>
      </c>
      <c r="E4558" s="86" t="s">
        <v>2346</v>
      </c>
      <c r="F4558" s="86" t="s">
        <v>2347</v>
      </c>
      <c r="G4558" s="86" t="s">
        <v>2346</v>
      </c>
      <c r="H4558" s="143">
        <v>360</v>
      </c>
      <c r="I4558" s="86" t="s">
        <v>1060</v>
      </c>
      <c r="J4558" s="1" t="s">
        <v>3325</v>
      </c>
      <c r="K4558" s="1" t="s">
        <v>3287</v>
      </c>
      <c r="L4558" s="1" t="s">
        <v>35</v>
      </c>
      <c r="M4558" s="86" t="s">
        <v>2348</v>
      </c>
      <c r="N4558" s="86"/>
      <c r="O4558" s="47" t="s">
        <v>410</v>
      </c>
      <c r="P4558" s="47" t="s">
        <v>46</v>
      </c>
      <c r="Q4558" s="14">
        <v>0.06</v>
      </c>
      <c r="R4558" s="143" t="s">
        <v>2349</v>
      </c>
      <c r="S4558" s="47"/>
      <c r="T4558" s="6">
        <v>1.2</v>
      </c>
      <c r="U4558" s="6"/>
      <c r="V4558" s="6">
        <v>0</v>
      </c>
      <c r="W4558" s="6">
        <f t="shared" si="695"/>
        <v>1.2</v>
      </c>
      <c r="X4558" s="6">
        <f t="shared" si="696"/>
        <v>0</v>
      </c>
      <c r="Y4558" s="13">
        <f t="shared" si="699"/>
        <v>0</v>
      </c>
      <c r="Z4558" s="14">
        <v>0</v>
      </c>
      <c r="AA4558" s="6">
        <v>0</v>
      </c>
      <c r="AB4558" s="4">
        <f t="shared" si="700"/>
        <v>0</v>
      </c>
      <c r="AC4558" s="4">
        <f t="shared" si="702"/>
        <v>0</v>
      </c>
      <c r="AD4558" s="6">
        <f t="shared" si="697"/>
        <v>0</v>
      </c>
      <c r="AE4558" s="2">
        <f>VLOOKUP(I4558,[1]媒体政策预估表!A:N,MATCH(O4558,[1]媒体政策预估表!$A$2:$M$2,0),0)</f>
        <v>7.0000000000000007E-2</v>
      </c>
      <c r="AF4558" s="6">
        <f t="shared" si="703"/>
        <v>0</v>
      </c>
      <c r="AG4558" s="14">
        <v>0</v>
      </c>
      <c r="AH4558" s="65">
        <f t="shared" si="698"/>
        <v>0</v>
      </c>
      <c r="AI4558" s="47"/>
      <c r="AJ4558" s="126" t="e">
        <v>#N/A</v>
      </c>
      <c r="AK4558" s="80">
        <f t="shared" si="701"/>
        <v>0</v>
      </c>
      <c r="AM4558" s="85"/>
    </row>
    <row r="4559" spans="1:39" hidden="1" x14ac:dyDescent="0.3">
      <c r="A4559" s="89" t="s">
        <v>3395</v>
      </c>
      <c r="B4559" s="86" t="s">
        <v>35</v>
      </c>
      <c r="C4559" s="86" t="s">
        <v>36</v>
      </c>
      <c r="D4559" s="86" t="s">
        <v>54</v>
      </c>
      <c r="E4559" s="86" t="s">
        <v>2346</v>
      </c>
      <c r="F4559" s="86" t="s">
        <v>2347</v>
      </c>
      <c r="G4559" s="86" t="s">
        <v>2346</v>
      </c>
      <c r="H4559" s="143">
        <v>360</v>
      </c>
      <c r="I4559" s="86" t="s">
        <v>1060</v>
      </c>
      <c r="J4559" s="1" t="s">
        <v>3325</v>
      </c>
      <c r="K4559" s="1" t="s">
        <v>3287</v>
      </c>
      <c r="L4559" s="1" t="s">
        <v>35</v>
      </c>
      <c r="M4559" s="86" t="s">
        <v>2348</v>
      </c>
      <c r="N4559" s="86"/>
      <c r="O4559" s="47" t="s">
        <v>45</v>
      </c>
      <c r="P4559" s="47" t="s">
        <v>46</v>
      </c>
      <c r="Q4559" s="14">
        <v>0.15</v>
      </c>
      <c r="R4559" s="143" t="s">
        <v>2349</v>
      </c>
      <c r="S4559" s="47"/>
      <c r="T4559" s="6">
        <v>7945.19</v>
      </c>
      <c r="U4559" s="6"/>
      <c r="V4559" s="6">
        <v>0</v>
      </c>
      <c r="W4559" s="6">
        <f t="shared" si="695"/>
        <v>7945.19</v>
      </c>
      <c r="X4559" s="6">
        <f t="shared" si="696"/>
        <v>0</v>
      </c>
      <c r="Y4559" s="13">
        <f t="shared" si="699"/>
        <v>0</v>
      </c>
      <c r="Z4559" s="14">
        <v>0</v>
      </c>
      <c r="AA4559" s="6">
        <v>0</v>
      </c>
      <c r="AB4559" s="4">
        <f t="shared" si="700"/>
        <v>0</v>
      </c>
      <c r="AC4559" s="4">
        <f t="shared" si="702"/>
        <v>0</v>
      </c>
      <c r="AD4559" s="6">
        <f t="shared" si="697"/>
        <v>0</v>
      </c>
      <c r="AE4559" s="2">
        <f>VLOOKUP(I4559,[1]媒体政策预估表!A:N,MATCH(O4559,[1]媒体政策预估表!$A$2:$M$2,0),0)</f>
        <v>0.12</v>
      </c>
      <c r="AF4559" s="6">
        <f t="shared" si="703"/>
        <v>0</v>
      </c>
      <c r="AG4559" s="14">
        <v>0</v>
      </c>
      <c r="AH4559" s="65">
        <f t="shared" si="698"/>
        <v>0</v>
      </c>
      <c r="AI4559" s="47"/>
      <c r="AJ4559" s="126" t="e">
        <v>#N/A</v>
      </c>
      <c r="AK4559" s="80">
        <f t="shared" si="701"/>
        <v>0</v>
      </c>
      <c r="AM4559" s="85"/>
    </row>
    <row r="4560" spans="1:39" hidden="1" x14ac:dyDescent="0.3">
      <c r="A4560" s="89" t="s">
        <v>3395</v>
      </c>
      <c r="B4560" s="86" t="s">
        <v>35</v>
      </c>
      <c r="C4560" s="86" t="s">
        <v>164</v>
      </c>
      <c r="D4560" s="86" t="s">
        <v>305</v>
      </c>
      <c r="E4560" s="86" t="s">
        <v>2350</v>
      </c>
      <c r="F4560" s="86" t="s">
        <v>2350</v>
      </c>
      <c r="G4560" s="86" t="s">
        <v>2350</v>
      </c>
      <c r="H4560" s="143">
        <v>360</v>
      </c>
      <c r="I4560" s="86" t="s">
        <v>1060</v>
      </c>
      <c r="J4560" s="1" t="s">
        <v>3325</v>
      </c>
      <c r="K4560" s="1" t="s">
        <v>3287</v>
      </c>
      <c r="L4560" s="1" t="s">
        <v>35</v>
      </c>
      <c r="M4560" s="86" t="s">
        <v>2350</v>
      </c>
      <c r="N4560" s="86"/>
      <c r="O4560" s="47" t="s">
        <v>410</v>
      </c>
      <c r="P4560" s="47" t="s">
        <v>41</v>
      </c>
      <c r="Q4560" s="14">
        <v>0</v>
      </c>
      <c r="R4560" s="143" t="s">
        <v>2351</v>
      </c>
      <c r="S4560" s="47"/>
      <c r="T4560" s="6">
        <v>1547.3</v>
      </c>
      <c r="U4560" s="6"/>
      <c r="V4560" s="6">
        <v>0</v>
      </c>
      <c r="W4560" s="6">
        <f t="shared" si="695"/>
        <v>1547.3</v>
      </c>
      <c r="X4560" s="6">
        <f t="shared" si="696"/>
        <v>0</v>
      </c>
      <c r="Y4560" s="13">
        <f t="shared" si="699"/>
        <v>0</v>
      </c>
      <c r="Z4560" s="14">
        <v>0</v>
      </c>
      <c r="AA4560" s="6">
        <v>0</v>
      </c>
      <c r="AB4560" s="4">
        <f t="shared" si="700"/>
        <v>0</v>
      </c>
      <c r="AC4560" s="4">
        <f t="shared" si="702"/>
        <v>0</v>
      </c>
      <c r="AD4560" s="6">
        <f t="shared" si="697"/>
        <v>0</v>
      </c>
      <c r="AE4560" s="2">
        <f>VLOOKUP(I4560,[1]媒体政策预估表!A:N,MATCH(O4560,[1]媒体政策预估表!$A$2:$M$2,0),0)</f>
        <v>7.0000000000000007E-2</v>
      </c>
      <c r="AF4560" s="6">
        <f t="shared" si="703"/>
        <v>0</v>
      </c>
      <c r="AG4560" s="14">
        <v>0</v>
      </c>
      <c r="AH4560" s="65">
        <f t="shared" si="698"/>
        <v>0</v>
      </c>
      <c r="AI4560" s="47"/>
      <c r="AJ4560" s="126" t="e">
        <v>#N/A</v>
      </c>
      <c r="AK4560" s="80">
        <f t="shared" si="701"/>
        <v>0</v>
      </c>
      <c r="AM4560" s="85"/>
    </row>
    <row r="4561" spans="1:39" hidden="1" x14ac:dyDescent="0.3">
      <c r="A4561" s="89" t="s">
        <v>3395</v>
      </c>
      <c r="B4561" s="86" t="s">
        <v>35</v>
      </c>
      <c r="C4561" s="86" t="s">
        <v>164</v>
      </c>
      <c r="D4561" s="86" t="s">
        <v>174</v>
      </c>
      <c r="E4561" s="86" t="s">
        <v>2352</v>
      </c>
      <c r="F4561" s="86" t="s">
        <v>2352</v>
      </c>
      <c r="G4561" s="86" t="s">
        <v>2352</v>
      </c>
      <c r="H4561" s="143">
        <v>30</v>
      </c>
      <c r="I4561" s="86" t="s">
        <v>1961</v>
      </c>
      <c r="J4561" s="1" t="s">
        <v>3671</v>
      </c>
      <c r="L4561" s="1" t="s">
        <v>3388</v>
      </c>
      <c r="M4561" s="86" t="s">
        <v>2352</v>
      </c>
      <c r="N4561" s="86"/>
      <c r="O4561" s="47" t="s">
        <v>410</v>
      </c>
      <c r="P4561" s="47" t="s">
        <v>41</v>
      </c>
      <c r="Q4561" s="14">
        <v>0</v>
      </c>
      <c r="R4561" s="143" t="s">
        <v>2353</v>
      </c>
      <c r="S4561" s="47"/>
      <c r="T4561" s="6">
        <v>2.4</v>
      </c>
      <c r="U4561" s="6"/>
      <c r="V4561" s="6">
        <v>0</v>
      </c>
      <c r="W4561" s="6">
        <f t="shared" si="695"/>
        <v>2.4</v>
      </c>
      <c r="X4561" s="6">
        <f t="shared" si="696"/>
        <v>0</v>
      </c>
      <c r="Y4561" s="13">
        <f t="shared" si="699"/>
        <v>0</v>
      </c>
      <c r="Z4561" s="14">
        <v>0</v>
      </c>
      <c r="AA4561" s="6">
        <v>0</v>
      </c>
      <c r="AB4561" s="4">
        <f t="shared" si="700"/>
        <v>0</v>
      </c>
      <c r="AC4561" s="4">
        <f t="shared" si="702"/>
        <v>0</v>
      </c>
      <c r="AD4561" s="6">
        <f t="shared" si="697"/>
        <v>0</v>
      </c>
      <c r="AE4561" s="2">
        <v>0</v>
      </c>
      <c r="AF4561" s="6">
        <f t="shared" si="703"/>
        <v>0</v>
      </c>
      <c r="AG4561" s="14">
        <v>0</v>
      </c>
      <c r="AH4561" s="65">
        <f t="shared" si="698"/>
        <v>0</v>
      </c>
      <c r="AI4561" s="47"/>
      <c r="AJ4561" s="126" t="e">
        <v>#N/A</v>
      </c>
      <c r="AK4561" s="80">
        <f t="shared" si="701"/>
        <v>0</v>
      </c>
      <c r="AM4561" s="85"/>
    </row>
    <row r="4562" spans="1:39" hidden="1" x14ac:dyDescent="0.3">
      <c r="A4562" s="89" t="s">
        <v>3394</v>
      </c>
      <c r="B4562" s="86" t="s">
        <v>35</v>
      </c>
      <c r="C4562" s="86" t="s">
        <v>164</v>
      </c>
      <c r="D4562" s="86" t="s">
        <v>174</v>
      </c>
      <c r="E4562" s="86" t="s">
        <v>651</v>
      </c>
      <c r="F4562" s="86" t="s">
        <v>651</v>
      </c>
      <c r="G4562" s="86" t="s">
        <v>651</v>
      </c>
      <c r="H4562" s="143">
        <v>360</v>
      </c>
      <c r="I4562" s="86" t="s">
        <v>1060</v>
      </c>
      <c r="J4562" s="1" t="s">
        <v>3325</v>
      </c>
      <c r="K4562" s="1" t="s">
        <v>3287</v>
      </c>
      <c r="L4562" s="1" t="s">
        <v>35</v>
      </c>
      <c r="M4562" s="86" t="s">
        <v>651</v>
      </c>
      <c r="N4562" s="86"/>
      <c r="O4562" s="47" t="s">
        <v>941</v>
      </c>
      <c r="P4562" s="47" t="s">
        <v>46</v>
      </c>
      <c r="Q4562" s="14">
        <v>0.06</v>
      </c>
      <c r="R4562" s="143" t="s">
        <v>1973</v>
      </c>
      <c r="S4562" s="47"/>
      <c r="T4562" s="6">
        <v>-417979.23726000002</v>
      </c>
      <c r="U4562" s="6"/>
      <c r="V4562" s="6">
        <v>0</v>
      </c>
      <c r="W4562" s="6">
        <f t="shared" si="695"/>
        <v>-417979.23726000002</v>
      </c>
      <c r="X4562" s="6">
        <f t="shared" si="696"/>
        <v>0</v>
      </c>
      <c r="Y4562" s="13">
        <f t="shared" si="699"/>
        <v>0</v>
      </c>
      <c r="Z4562" s="14">
        <v>0</v>
      </c>
      <c r="AA4562" s="6">
        <v>0</v>
      </c>
      <c r="AB4562" s="4">
        <f t="shared" si="700"/>
        <v>0</v>
      </c>
      <c r="AC4562" s="4">
        <f t="shared" si="702"/>
        <v>0</v>
      </c>
      <c r="AD4562" s="6">
        <f t="shared" si="697"/>
        <v>0</v>
      </c>
      <c r="AE4562" s="2">
        <f>VLOOKUP(I4562,[1]媒体政策预估表!A:N,MATCH(O4562,[1]媒体政策预估表!$A$2:$M$2,0),0)</f>
        <v>0.15</v>
      </c>
      <c r="AF4562" s="6">
        <f t="shared" si="703"/>
        <v>0</v>
      </c>
      <c r="AG4562" s="14">
        <v>0</v>
      </c>
      <c r="AH4562" s="65">
        <f t="shared" si="698"/>
        <v>0</v>
      </c>
      <c r="AI4562" s="47"/>
      <c r="AJ4562" s="126" t="e">
        <v>#N/A</v>
      </c>
      <c r="AK4562" s="80">
        <f t="shared" si="701"/>
        <v>0</v>
      </c>
      <c r="AM4562" s="85"/>
    </row>
    <row r="4563" spans="1:39" hidden="1" x14ac:dyDescent="0.3">
      <c r="A4563" s="89" t="s">
        <v>3394</v>
      </c>
      <c r="B4563" s="86" t="s">
        <v>35</v>
      </c>
      <c r="C4563" s="86" t="s">
        <v>144</v>
      </c>
      <c r="D4563" s="86" t="s">
        <v>161</v>
      </c>
      <c r="E4563" s="86" t="s">
        <v>162</v>
      </c>
      <c r="F4563" s="86" t="s">
        <v>162</v>
      </c>
      <c r="G4563" s="86" t="s">
        <v>162</v>
      </c>
      <c r="H4563" s="144">
        <v>360</v>
      </c>
      <c r="I4563" s="86" t="s">
        <v>1060</v>
      </c>
      <c r="J4563" s="1" t="s">
        <v>3325</v>
      </c>
      <c r="K4563" s="1" t="s">
        <v>3287</v>
      </c>
      <c r="L4563" s="1" t="s">
        <v>35</v>
      </c>
      <c r="M4563" s="86" t="s">
        <v>162</v>
      </c>
      <c r="N4563" s="86"/>
      <c r="O4563" s="47" t="s">
        <v>941</v>
      </c>
      <c r="P4563" s="47" t="s">
        <v>46</v>
      </c>
      <c r="Q4563" s="14">
        <v>2.0000000000000018E-2</v>
      </c>
      <c r="R4563" s="143" t="s">
        <v>1508</v>
      </c>
      <c r="S4563" s="47"/>
      <c r="T4563" s="6">
        <v>-527129.25081999996</v>
      </c>
      <c r="U4563" s="6"/>
      <c r="V4563" s="6">
        <v>327529.10963999998</v>
      </c>
      <c r="W4563" s="6">
        <f t="shared" si="695"/>
        <v>-854658.36045999988</v>
      </c>
      <c r="X4563" s="6">
        <f t="shared" si="696"/>
        <v>321106.97023529408</v>
      </c>
      <c r="Y4563" s="13">
        <f t="shared" si="699"/>
        <v>0</v>
      </c>
      <c r="Z4563" s="14">
        <v>0</v>
      </c>
      <c r="AA4563" s="6">
        <v>0</v>
      </c>
      <c r="AB4563" s="4">
        <f t="shared" si="700"/>
        <v>321106.97023529408</v>
      </c>
      <c r="AC4563" s="4">
        <f t="shared" si="702"/>
        <v>6422.1394047059002</v>
      </c>
      <c r="AD4563" s="6">
        <f t="shared" si="697"/>
        <v>327529.10963999998</v>
      </c>
      <c r="AE4563" s="2">
        <f>VLOOKUP(I4563,[1]媒体政策预估表!A:N,MATCH(O4563,[1]媒体政策预估表!$A$2:$M$2,0),0)</f>
        <v>0.15</v>
      </c>
      <c r="AF4563" s="6">
        <f t="shared" si="703"/>
        <v>49129.366445999993</v>
      </c>
      <c r="AG4563" s="14">
        <v>0</v>
      </c>
      <c r="AH4563" s="65">
        <f t="shared" si="698"/>
        <v>327529.10963999998</v>
      </c>
      <c r="AI4563" s="47"/>
      <c r="AJ4563" s="126" t="e">
        <v>#N/A</v>
      </c>
      <c r="AK4563" s="80">
        <f t="shared" si="701"/>
        <v>0</v>
      </c>
      <c r="AM4563" s="85"/>
    </row>
    <row r="4564" spans="1:39" hidden="1" x14ac:dyDescent="0.3">
      <c r="A4564" s="89" t="s">
        <v>3394</v>
      </c>
      <c r="B4564" s="86" t="s">
        <v>35</v>
      </c>
      <c r="C4564" s="86" t="s">
        <v>164</v>
      </c>
      <c r="D4564" s="86" t="s">
        <v>174</v>
      </c>
      <c r="E4564" s="86" t="s">
        <v>651</v>
      </c>
      <c r="F4564" s="86" t="s">
        <v>651</v>
      </c>
      <c r="G4564" s="86" t="s">
        <v>651</v>
      </c>
      <c r="H4564" s="143">
        <v>360</v>
      </c>
      <c r="I4564" s="86" t="s">
        <v>1060</v>
      </c>
      <c r="J4564" s="1" t="s">
        <v>3325</v>
      </c>
      <c r="K4564" s="1" t="s">
        <v>3287</v>
      </c>
      <c r="L4564" s="1" t="s">
        <v>35</v>
      </c>
      <c r="M4564" s="86" t="s">
        <v>1629</v>
      </c>
      <c r="N4564" s="86"/>
      <c r="O4564" s="47" t="s">
        <v>941</v>
      </c>
      <c r="P4564" s="47" t="s">
        <v>46</v>
      </c>
      <c r="Q4564" s="14">
        <v>0.06</v>
      </c>
      <c r="R4564" s="143" t="s">
        <v>1975</v>
      </c>
      <c r="S4564" s="47"/>
      <c r="T4564" s="6">
        <v>-375204.93352999998</v>
      </c>
      <c r="U4564" s="6"/>
      <c r="V4564" s="6">
        <v>0</v>
      </c>
      <c r="W4564" s="6">
        <f t="shared" si="695"/>
        <v>-375204.93352999998</v>
      </c>
      <c r="X4564" s="6">
        <f t="shared" si="696"/>
        <v>0</v>
      </c>
      <c r="Y4564" s="13">
        <f t="shared" si="699"/>
        <v>0</v>
      </c>
      <c r="Z4564" s="14">
        <v>0</v>
      </c>
      <c r="AA4564" s="6">
        <v>0</v>
      </c>
      <c r="AB4564" s="4">
        <f t="shared" si="700"/>
        <v>0</v>
      </c>
      <c r="AC4564" s="4">
        <f t="shared" si="702"/>
        <v>0</v>
      </c>
      <c r="AD4564" s="6">
        <f t="shared" si="697"/>
        <v>0</v>
      </c>
      <c r="AE4564" s="2">
        <f>VLOOKUP(I4564,[1]媒体政策预估表!A:N,MATCH(O4564,[1]媒体政策预估表!$A$2:$M$2,0),0)</f>
        <v>0.15</v>
      </c>
      <c r="AF4564" s="6">
        <f t="shared" si="703"/>
        <v>0</v>
      </c>
      <c r="AG4564" s="14">
        <v>0</v>
      </c>
      <c r="AH4564" s="65">
        <f t="shared" si="698"/>
        <v>0</v>
      </c>
      <c r="AI4564" s="47"/>
      <c r="AJ4564" s="126" t="e">
        <v>#N/A</v>
      </c>
      <c r="AK4564" s="80">
        <f t="shared" si="701"/>
        <v>0</v>
      </c>
      <c r="AM4564" s="85"/>
    </row>
    <row r="4565" spans="1:39" hidden="1" x14ac:dyDescent="0.3">
      <c r="A4565" s="89" t="s">
        <v>3394</v>
      </c>
      <c r="B4565" s="86" t="s">
        <v>35</v>
      </c>
      <c r="C4565" s="86" t="s">
        <v>164</v>
      </c>
      <c r="D4565" s="86" t="s">
        <v>174</v>
      </c>
      <c r="E4565" s="86" t="s">
        <v>651</v>
      </c>
      <c r="F4565" s="86" t="s">
        <v>651</v>
      </c>
      <c r="G4565" s="86" t="s">
        <v>651</v>
      </c>
      <c r="H4565" s="143">
        <v>360</v>
      </c>
      <c r="I4565" s="86" t="s">
        <v>1060</v>
      </c>
      <c r="J4565" s="1" t="s">
        <v>3325</v>
      </c>
      <c r="K4565" s="1" t="s">
        <v>3287</v>
      </c>
      <c r="L4565" s="1" t="s">
        <v>35</v>
      </c>
      <c r="M4565" s="86" t="s">
        <v>1629</v>
      </c>
      <c r="N4565" s="86"/>
      <c r="O4565" s="47" t="s">
        <v>2054</v>
      </c>
      <c r="P4565" s="47" t="s">
        <v>46</v>
      </c>
      <c r="Q4565" s="14">
        <v>0.06</v>
      </c>
      <c r="R4565" s="143" t="s">
        <v>1975</v>
      </c>
      <c r="S4565" s="47"/>
      <c r="T4565" s="6">
        <v>-204559.05554999999</v>
      </c>
      <c r="U4565" s="6"/>
      <c r="V4565" s="6">
        <v>0</v>
      </c>
      <c r="W4565" s="6">
        <f t="shared" si="695"/>
        <v>-204559.05554999999</v>
      </c>
      <c r="X4565" s="6">
        <f t="shared" si="696"/>
        <v>0</v>
      </c>
      <c r="Y4565" s="13">
        <f t="shared" si="699"/>
        <v>0</v>
      </c>
      <c r="Z4565" s="14">
        <v>0</v>
      </c>
      <c r="AA4565" s="6">
        <v>0</v>
      </c>
      <c r="AB4565" s="4">
        <f t="shared" si="700"/>
        <v>0</v>
      </c>
      <c r="AC4565" s="4">
        <f t="shared" si="702"/>
        <v>0</v>
      </c>
      <c r="AD4565" s="6">
        <f t="shared" si="697"/>
        <v>0</v>
      </c>
      <c r="AE4565" s="2">
        <f>VLOOKUP(I4565,[1]媒体政策预估表!A:N,MATCH(O4565,[1]媒体政策预估表!$A$2:$M$2,0),0)</f>
        <v>0.12</v>
      </c>
      <c r="AF4565" s="6">
        <f t="shared" si="703"/>
        <v>0</v>
      </c>
      <c r="AG4565" s="14">
        <v>0</v>
      </c>
      <c r="AH4565" s="65">
        <f t="shared" si="698"/>
        <v>0</v>
      </c>
      <c r="AI4565" s="47"/>
      <c r="AJ4565" s="126" t="e">
        <v>#N/A</v>
      </c>
      <c r="AK4565" s="80">
        <f t="shared" si="701"/>
        <v>0</v>
      </c>
      <c r="AM4565" s="85"/>
    </row>
    <row r="4566" spans="1:39" hidden="1" x14ac:dyDescent="0.3">
      <c r="A4566" s="89" t="s">
        <v>3394</v>
      </c>
      <c r="B4566" s="86" t="s">
        <v>35</v>
      </c>
      <c r="C4566" s="86" t="s">
        <v>65</v>
      </c>
      <c r="D4566" s="86" t="s">
        <v>66</v>
      </c>
      <c r="E4566" s="86" t="s">
        <v>2354</v>
      </c>
      <c r="F4566" s="86" t="s">
        <v>2354</v>
      </c>
      <c r="G4566" s="86" t="s">
        <v>2354</v>
      </c>
      <c r="H4566" s="143">
        <v>360</v>
      </c>
      <c r="I4566" s="86" t="s">
        <v>1060</v>
      </c>
      <c r="J4566" s="1" t="s">
        <v>3325</v>
      </c>
      <c r="K4566" s="1" t="s">
        <v>3287</v>
      </c>
      <c r="L4566" s="1" t="s">
        <v>35</v>
      </c>
      <c r="M4566" s="86" t="s">
        <v>2354</v>
      </c>
      <c r="N4566" s="86"/>
      <c r="O4566" s="47" t="s">
        <v>410</v>
      </c>
      <c r="P4566" s="47" t="s">
        <v>46</v>
      </c>
      <c r="Q4566" s="14">
        <v>0.04</v>
      </c>
      <c r="R4566" s="143" t="s">
        <v>2355</v>
      </c>
      <c r="S4566" s="47"/>
      <c r="T4566" s="6">
        <v>2855.97</v>
      </c>
      <c r="U4566" s="6"/>
      <c r="V4566" s="6">
        <v>0</v>
      </c>
      <c r="W4566" s="6">
        <f t="shared" si="695"/>
        <v>2855.97</v>
      </c>
      <c r="X4566" s="6">
        <f t="shared" si="696"/>
        <v>0</v>
      </c>
      <c r="Y4566" s="13">
        <f t="shared" si="699"/>
        <v>0</v>
      </c>
      <c r="Z4566" s="14">
        <v>0</v>
      </c>
      <c r="AA4566" s="6">
        <v>0</v>
      </c>
      <c r="AB4566" s="4">
        <f t="shared" si="700"/>
        <v>0</v>
      </c>
      <c r="AC4566" s="4">
        <f t="shared" si="702"/>
        <v>0</v>
      </c>
      <c r="AD4566" s="6">
        <f t="shared" si="697"/>
        <v>0</v>
      </c>
      <c r="AE4566" s="2">
        <f>VLOOKUP(I4566,[1]媒体政策预估表!A:N,MATCH(O4566,[1]媒体政策预估表!$A$2:$M$2,0),0)</f>
        <v>7.0000000000000007E-2</v>
      </c>
      <c r="AF4566" s="6">
        <f t="shared" si="703"/>
        <v>0</v>
      </c>
      <c r="AG4566" s="14">
        <v>0</v>
      </c>
      <c r="AH4566" s="65">
        <f t="shared" si="698"/>
        <v>0</v>
      </c>
      <c r="AI4566" s="47"/>
      <c r="AJ4566" s="126" t="e">
        <v>#N/A</v>
      </c>
      <c r="AK4566" s="80">
        <f t="shared" si="701"/>
        <v>0</v>
      </c>
      <c r="AM4566" s="85"/>
    </row>
    <row r="4567" spans="1:39" hidden="1" x14ac:dyDescent="0.3">
      <c r="A4567" s="89" t="s">
        <v>3394</v>
      </c>
      <c r="B4567" s="86" t="s">
        <v>35</v>
      </c>
      <c r="C4567" s="86" t="s">
        <v>36</v>
      </c>
      <c r="D4567" s="86" t="s">
        <v>54</v>
      </c>
      <c r="E4567" s="86" t="s">
        <v>2356</v>
      </c>
      <c r="F4567" s="86" t="s">
        <v>2356</v>
      </c>
      <c r="G4567" s="86" t="s">
        <v>2356</v>
      </c>
      <c r="H4567" s="143">
        <v>360</v>
      </c>
      <c r="I4567" s="86" t="s">
        <v>1060</v>
      </c>
      <c r="J4567" s="1" t="s">
        <v>3325</v>
      </c>
      <c r="K4567" s="1" t="s">
        <v>3287</v>
      </c>
      <c r="L4567" s="1" t="s">
        <v>35</v>
      </c>
      <c r="M4567" s="86" t="s">
        <v>2357</v>
      </c>
      <c r="N4567" s="86"/>
      <c r="O4567" s="47" t="s">
        <v>410</v>
      </c>
      <c r="P4567" s="47" t="s">
        <v>46</v>
      </c>
      <c r="Q4567" s="14">
        <v>0.02</v>
      </c>
      <c r="R4567" s="143">
        <v>13521597625</v>
      </c>
      <c r="S4567" s="47"/>
      <c r="T4567" s="6">
        <v>0.5</v>
      </c>
      <c r="U4567" s="6"/>
      <c r="V4567" s="6">
        <v>0</v>
      </c>
      <c r="W4567" s="6">
        <f t="shared" si="695"/>
        <v>0.5</v>
      </c>
      <c r="X4567" s="6">
        <f t="shared" si="696"/>
        <v>0</v>
      </c>
      <c r="Y4567" s="13">
        <f t="shared" si="699"/>
        <v>0</v>
      </c>
      <c r="Z4567" s="14">
        <v>0</v>
      </c>
      <c r="AA4567" s="6">
        <v>0</v>
      </c>
      <c r="AB4567" s="4"/>
      <c r="AC4567" s="4">
        <f t="shared" si="702"/>
        <v>0</v>
      </c>
      <c r="AD4567" s="6">
        <f t="shared" si="697"/>
        <v>0</v>
      </c>
      <c r="AE4567" s="2">
        <f>VLOOKUP(I4567,[1]媒体政策预估表!A:N,MATCH(O4567,[1]媒体政策预估表!$A$2:$M$2,0),0)</f>
        <v>7.0000000000000007E-2</v>
      </c>
      <c r="AF4567" s="6">
        <f t="shared" si="703"/>
        <v>0</v>
      </c>
      <c r="AG4567" s="14">
        <v>0</v>
      </c>
      <c r="AH4567" s="65">
        <f t="shared" si="698"/>
        <v>0</v>
      </c>
      <c r="AI4567" s="47"/>
      <c r="AJ4567" s="126">
        <v>58</v>
      </c>
      <c r="AK4567" s="80">
        <f t="shared" si="701"/>
        <v>0</v>
      </c>
      <c r="AM4567" s="85"/>
    </row>
    <row r="4568" spans="1:39" hidden="1" x14ac:dyDescent="0.3">
      <c r="A4568" s="89" t="s">
        <v>3394</v>
      </c>
      <c r="B4568" s="86" t="s">
        <v>35</v>
      </c>
      <c r="C4568" s="86" t="s">
        <v>164</v>
      </c>
      <c r="D4568" s="86" t="s">
        <v>305</v>
      </c>
      <c r="E4568" s="86" t="s">
        <v>2358</v>
      </c>
      <c r="F4568" s="86" t="s">
        <v>2358</v>
      </c>
      <c r="G4568" s="86" t="s">
        <v>2358</v>
      </c>
      <c r="H4568" s="143">
        <v>360</v>
      </c>
      <c r="I4568" s="86" t="s">
        <v>1060</v>
      </c>
      <c r="J4568" s="1" t="s">
        <v>3325</v>
      </c>
      <c r="K4568" s="1" t="s">
        <v>3287</v>
      </c>
      <c r="L4568" s="1" t="s">
        <v>35</v>
      </c>
      <c r="M4568" s="86" t="s">
        <v>2358</v>
      </c>
      <c r="N4568" s="86"/>
      <c r="O4568" s="47" t="s">
        <v>410</v>
      </c>
      <c r="P4568" s="47" t="s">
        <v>41</v>
      </c>
      <c r="Q4568" s="14">
        <v>0</v>
      </c>
      <c r="R4568" s="143" t="s">
        <v>2359</v>
      </c>
      <c r="S4568" s="47"/>
      <c r="T4568" s="6">
        <v>1.85</v>
      </c>
      <c r="U4568" s="6"/>
      <c r="V4568" s="6">
        <v>0</v>
      </c>
      <c r="W4568" s="6">
        <f t="shared" si="695"/>
        <v>1.85</v>
      </c>
      <c r="X4568" s="6">
        <f t="shared" si="696"/>
        <v>0</v>
      </c>
      <c r="Y4568" s="13">
        <f t="shared" si="699"/>
        <v>0</v>
      </c>
      <c r="Z4568" s="14">
        <v>0</v>
      </c>
      <c r="AA4568" s="6">
        <v>0</v>
      </c>
      <c r="AB4568" s="4">
        <f t="shared" si="700"/>
        <v>0</v>
      </c>
      <c r="AC4568" s="4">
        <f t="shared" si="702"/>
        <v>0</v>
      </c>
      <c r="AD4568" s="6">
        <f t="shared" si="697"/>
        <v>0</v>
      </c>
      <c r="AE4568" s="2">
        <f>VLOOKUP(I4568,[1]媒体政策预估表!A:N,MATCH(O4568,[1]媒体政策预估表!$A$2:$M$2,0),0)</f>
        <v>7.0000000000000007E-2</v>
      </c>
      <c r="AF4568" s="6">
        <f t="shared" si="703"/>
        <v>0</v>
      </c>
      <c r="AG4568" s="14">
        <v>0</v>
      </c>
      <c r="AH4568" s="65">
        <f t="shared" si="698"/>
        <v>0</v>
      </c>
      <c r="AI4568" s="47"/>
      <c r="AJ4568" s="126" t="e">
        <v>#N/A</v>
      </c>
      <c r="AK4568" s="80">
        <f t="shared" si="701"/>
        <v>0</v>
      </c>
      <c r="AM4568" s="85"/>
    </row>
    <row r="4569" spans="1:39" hidden="1" x14ac:dyDescent="0.3">
      <c r="A4569" s="89" t="s">
        <v>3395</v>
      </c>
      <c r="B4569" s="86" t="s">
        <v>35</v>
      </c>
      <c r="C4569" s="86" t="s">
        <v>164</v>
      </c>
      <c r="D4569" s="86" t="s">
        <v>174</v>
      </c>
      <c r="E4569" s="86" t="s">
        <v>1687</v>
      </c>
      <c r="F4569" s="86" t="s">
        <v>1687</v>
      </c>
      <c r="G4569" s="86" t="s">
        <v>1687</v>
      </c>
      <c r="H4569" s="143">
        <v>360</v>
      </c>
      <c r="I4569" s="86" t="s">
        <v>1060</v>
      </c>
      <c r="J4569" s="1" t="s">
        <v>3325</v>
      </c>
      <c r="K4569" s="1" t="s">
        <v>3287</v>
      </c>
      <c r="L4569" s="1" t="s">
        <v>35</v>
      </c>
      <c r="M4569" s="86" t="s">
        <v>1689</v>
      </c>
      <c r="N4569" s="86"/>
      <c r="O4569" s="47" t="s">
        <v>45</v>
      </c>
      <c r="P4569" s="47" t="s">
        <v>46</v>
      </c>
      <c r="Q4569" s="14">
        <v>0.02</v>
      </c>
      <c r="R4569" s="143" t="s">
        <v>1691</v>
      </c>
      <c r="S4569" s="47"/>
      <c r="T4569" s="6">
        <v>-510.3</v>
      </c>
      <c r="U4569" s="6"/>
      <c r="V4569" s="6">
        <v>0</v>
      </c>
      <c r="W4569" s="6">
        <f t="shared" si="695"/>
        <v>-510.3</v>
      </c>
      <c r="X4569" s="6">
        <f t="shared" si="696"/>
        <v>0</v>
      </c>
      <c r="Y4569" s="13">
        <f t="shared" si="699"/>
        <v>0</v>
      </c>
      <c r="Z4569" s="14">
        <v>0</v>
      </c>
      <c r="AA4569" s="6">
        <v>0</v>
      </c>
      <c r="AB4569" s="4">
        <f t="shared" si="700"/>
        <v>0</v>
      </c>
      <c r="AC4569" s="4">
        <f t="shared" si="702"/>
        <v>0</v>
      </c>
      <c r="AD4569" s="6">
        <f t="shared" si="697"/>
        <v>0</v>
      </c>
      <c r="AE4569" s="2">
        <f>VLOOKUP(I4569,[1]媒体政策预估表!A:N,MATCH(O4569,[1]媒体政策预估表!$A$2:$M$2,0),0)</f>
        <v>0.12</v>
      </c>
      <c r="AF4569" s="6">
        <f t="shared" si="703"/>
        <v>0</v>
      </c>
      <c r="AG4569" s="14">
        <v>0</v>
      </c>
      <c r="AH4569" s="65">
        <f t="shared" si="698"/>
        <v>0</v>
      </c>
      <c r="AI4569" s="47"/>
      <c r="AJ4569" s="126" t="e">
        <v>#N/A</v>
      </c>
      <c r="AK4569" s="80">
        <f t="shared" si="701"/>
        <v>0</v>
      </c>
      <c r="AM4569" s="85"/>
    </row>
    <row r="4570" spans="1:39" hidden="1" x14ac:dyDescent="0.3">
      <c r="A4570" s="89" t="s">
        <v>3395</v>
      </c>
      <c r="B4570" s="86" t="s">
        <v>35</v>
      </c>
      <c r="C4570" s="86" t="s">
        <v>47</v>
      </c>
      <c r="D4570" s="86" t="s">
        <v>48</v>
      </c>
      <c r="E4570" s="86" t="s">
        <v>2060</v>
      </c>
      <c r="F4570" s="86" t="s">
        <v>2060</v>
      </c>
      <c r="G4570" s="86" t="s">
        <v>2060</v>
      </c>
      <c r="H4570" s="143">
        <v>360</v>
      </c>
      <c r="I4570" s="86" t="s">
        <v>1060</v>
      </c>
      <c r="J4570" s="1" t="s">
        <v>3325</v>
      </c>
      <c r="K4570" s="1" t="s">
        <v>3287</v>
      </c>
      <c r="L4570" s="1" t="s">
        <v>35</v>
      </c>
      <c r="M4570" s="86" t="s">
        <v>2060</v>
      </c>
      <c r="N4570" s="86"/>
      <c r="O4570" s="47" t="s">
        <v>45</v>
      </c>
      <c r="P4570" s="47" t="s">
        <v>41</v>
      </c>
      <c r="Q4570" s="14">
        <v>0</v>
      </c>
      <c r="R4570" s="143" t="s">
        <v>2061</v>
      </c>
      <c r="S4570" s="47"/>
      <c r="T4570" s="6">
        <v>-364.65</v>
      </c>
      <c r="U4570" s="6"/>
      <c r="V4570" s="6">
        <v>0</v>
      </c>
      <c r="W4570" s="6">
        <f t="shared" si="695"/>
        <v>-364.65</v>
      </c>
      <c r="X4570" s="6">
        <f t="shared" si="696"/>
        <v>0</v>
      </c>
      <c r="Y4570" s="13">
        <f t="shared" si="699"/>
        <v>0</v>
      </c>
      <c r="Z4570" s="14">
        <v>0</v>
      </c>
      <c r="AA4570" s="6">
        <v>0</v>
      </c>
      <c r="AB4570" s="4">
        <f t="shared" si="700"/>
        <v>0</v>
      </c>
      <c r="AC4570" s="4">
        <f t="shared" si="702"/>
        <v>0</v>
      </c>
      <c r="AD4570" s="6">
        <f t="shared" si="697"/>
        <v>0</v>
      </c>
      <c r="AE4570" s="2">
        <f>VLOOKUP(I4570,[1]媒体政策预估表!A:N,MATCH(O4570,[1]媒体政策预估表!$A$2:$M$2,0),0)</f>
        <v>0.12</v>
      </c>
      <c r="AF4570" s="6">
        <f t="shared" si="703"/>
        <v>0</v>
      </c>
      <c r="AG4570" s="14">
        <v>0</v>
      </c>
      <c r="AH4570" s="65">
        <f t="shared" si="698"/>
        <v>0</v>
      </c>
      <c r="AI4570" s="47"/>
      <c r="AJ4570" s="126" t="e">
        <v>#N/A</v>
      </c>
      <c r="AK4570" s="80">
        <f t="shared" si="701"/>
        <v>0</v>
      </c>
      <c r="AM4570" s="85"/>
    </row>
    <row r="4571" spans="1:39" hidden="1" x14ac:dyDescent="0.3">
      <c r="A4571" s="89" t="s">
        <v>3394</v>
      </c>
      <c r="B4571" s="86" t="s">
        <v>35</v>
      </c>
      <c r="C4571" s="86" t="s">
        <v>164</v>
      </c>
      <c r="D4571" s="86" t="s">
        <v>174</v>
      </c>
      <c r="E4571" s="86" t="s">
        <v>1617</v>
      </c>
      <c r="F4571" s="86" t="s">
        <v>1617</v>
      </c>
      <c r="G4571" s="86" t="s">
        <v>1617</v>
      </c>
      <c r="H4571" s="144">
        <v>360</v>
      </c>
      <c r="I4571" s="86" t="s">
        <v>1060</v>
      </c>
      <c r="J4571" s="1" t="s">
        <v>3325</v>
      </c>
      <c r="K4571" s="1" t="s">
        <v>3287</v>
      </c>
      <c r="L4571" s="1" t="s">
        <v>35</v>
      </c>
      <c r="M4571" s="86" t="s">
        <v>1617</v>
      </c>
      <c r="N4571" s="86"/>
      <c r="O4571" s="47" t="s">
        <v>941</v>
      </c>
      <c r="P4571" s="47" t="s">
        <v>46</v>
      </c>
      <c r="Q4571" s="14">
        <v>0.01</v>
      </c>
      <c r="R4571" s="143" t="s">
        <v>1620</v>
      </c>
      <c r="S4571" s="47"/>
      <c r="T4571" s="6">
        <v>-159291.9405</v>
      </c>
      <c r="U4571" s="6"/>
      <c r="V4571" s="6">
        <v>84812.856209999998</v>
      </c>
      <c r="W4571" s="6">
        <f t="shared" si="695"/>
        <v>-244104.79671</v>
      </c>
      <c r="X4571" s="6">
        <f t="shared" si="696"/>
        <v>83973.124960396031</v>
      </c>
      <c r="Y4571" s="13">
        <f t="shared" si="699"/>
        <v>0</v>
      </c>
      <c r="Z4571" s="14">
        <v>0</v>
      </c>
      <c r="AA4571" s="6">
        <v>0</v>
      </c>
      <c r="AB4571" s="4">
        <f t="shared" si="700"/>
        <v>83973.124960396031</v>
      </c>
      <c r="AC4571" s="4">
        <f t="shared" si="702"/>
        <v>839.73124960396672</v>
      </c>
      <c r="AD4571" s="6">
        <f t="shared" si="697"/>
        <v>84812.856209999998</v>
      </c>
      <c r="AE4571" s="2">
        <f>VLOOKUP(I4571,[1]媒体政策预估表!A:N,MATCH(O4571,[1]媒体政策预估表!$A$2:$M$2,0),0)</f>
        <v>0.15</v>
      </c>
      <c r="AF4571" s="6">
        <f t="shared" si="703"/>
        <v>12721.928431499999</v>
      </c>
      <c r="AG4571" s="14">
        <v>0</v>
      </c>
      <c r="AH4571" s="65">
        <f t="shared" si="698"/>
        <v>84812.856209999998</v>
      </c>
      <c r="AI4571" s="47"/>
      <c r="AJ4571" s="126" t="e">
        <v>#N/A</v>
      </c>
      <c r="AK4571" s="80">
        <f t="shared" si="701"/>
        <v>0</v>
      </c>
      <c r="AM4571" s="85"/>
    </row>
    <row r="4572" spans="1:39" hidden="1" x14ac:dyDescent="0.3">
      <c r="A4572" s="89" t="s">
        <v>3394</v>
      </c>
      <c r="B4572" s="86" t="s">
        <v>35</v>
      </c>
      <c r="C4572" s="86" t="s">
        <v>164</v>
      </c>
      <c r="D4572" s="86" t="s">
        <v>174</v>
      </c>
      <c r="E4572" s="86" t="s">
        <v>1687</v>
      </c>
      <c r="F4572" s="86" t="s">
        <v>1687</v>
      </c>
      <c r="G4572" s="86" t="s">
        <v>1687</v>
      </c>
      <c r="H4572" s="143">
        <v>360</v>
      </c>
      <c r="I4572" s="86" t="s">
        <v>1060</v>
      </c>
      <c r="J4572" s="1" t="s">
        <v>3325</v>
      </c>
      <c r="K4572" s="1" t="s">
        <v>3287</v>
      </c>
      <c r="L4572" s="1" t="s">
        <v>35</v>
      </c>
      <c r="M4572" s="86" t="s">
        <v>1689</v>
      </c>
      <c r="N4572" s="86"/>
      <c r="O4572" s="47" t="s">
        <v>2054</v>
      </c>
      <c r="P4572" s="47" t="s">
        <v>46</v>
      </c>
      <c r="Q4572" s="14">
        <v>0.02</v>
      </c>
      <c r="R4572" s="143" t="s">
        <v>1691</v>
      </c>
      <c r="S4572" s="47"/>
      <c r="T4572" s="6">
        <v>-1.5</v>
      </c>
      <c r="U4572" s="6"/>
      <c r="V4572" s="6">
        <v>0</v>
      </c>
      <c r="W4572" s="6">
        <f t="shared" si="695"/>
        <v>-1.5</v>
      </c>
      <c r="X4572" s="6">
        <f t="shared" si="696"/>
        <v>0</v>
      </c>
      <c r="Y4572" s="13">
        <f t="shared" si="699"/>
        <v>0</v>
      </c>
      <c r="Z4572" s="14">
        <v>0</v>
      </c>
      <c r="AA4572" s="6">
        <v>0</v>
      </c>
      <c r="AB4572" s="4">
        <f t="shared" si="700"/>
        <v>0</v>
      </c>
      <c r="AC4572" s="4">
        <f t="shared" si="702"/>
        <v>0</v>
      </c>
      <c r="AD4572" s="6">
        <f t="shared" si="697"/>
        <v>0</v>
      </c>
      <c r="AE4572" s="2">
        <f>VLOOKUP(I4572,[1]媒体政策预估表!A:N,MATCH(O4572,[1]媒体政策预估表!$A$2:$M$2,0),0)</f>
        <v>0.12</v>
      </c>
      <c r="AF4572" s="6">
        <f t="shared" si="703"/>
        <v>0</v>
      </c>
      <c r="AG4572" s="14">
        <v>0</v>
      </c>
      <c r="AH4572" s="65">
        <f t="shared" si="698"/>
        <v>0</v>
      </c>
      <c r="AI4572" s="47"/>
      <c r="AJ4572" s="126" t="e">
        <v>#N/A</v>
      </c>
      <c r="AK4572" s="80">
        <f t="shared" si="701"/>
        <v>0</v>
      </c>
      <c r="AM4572" s="85"/>
    </row>
    <row r="4573" spans="1:39" hidden="1" x14ac:dyDescent="0.3">
      <c r="A4573" s="89" t="s">
        <v>3395</v>
      </c>
      <c r="B4573" s="86" t="s">
        <v>35</v>
      </c>
      <c r="C4573" s="86" t="s">
        <v>47</v>
      </c>
      <c r="D4573" s="86" t="s">
        <v>48</v>
      </c>
      <c r="E4573" s="86" t="s">
        <v>2060</v>
      </c>
      <c r="F4573" s="86" t="s">
        <v>2060</v>
      </c>
      <c r="G4573" s="86" t="s">
        <v>2060</v>
      </c>
      <c r="H4573" s="143">
        <v>360</v>
      </c>
      <c r="I4573" s="86" t="s">
        <v>1060</v>
      </c>
      <c r="J4573" s="1" t="s">
        <v>3325</v>
      </c>
      <c r="K4573" s="1" t="s">
        <v>3287</v>
      </c>
      <c r="L4573" s="1" t="s">
        <v>35</v>
      </c>
      <c r="M4573" s="86" t="s">
        <v>2060</v>
      </c>
      <c r="N4573" s="86"/>
      <c r="O4573" s="47" t="s">
        <v>2054</v>
      </c>
      <c r="P4573" s="47" t="s">
        <v>41</v>
      </c>
      <c r="Q4573" s="14">
        <v>0</v>
      </c>
      <c r="R4573" s="143" t="s">
        <v>2061</v>
      </c>
      <c r="S4573" s="47"/>
      <c r="T4573" s="6">
        <v>-51</v>
      </c>
      <c r="U4573" s="6"/>
      <c r="V4573" s="6">
        <v>0</v>
      </c>
      <c r="W4573" s="6">
        <f t="shared" si="695"/>
        <v>-51</v>
      </c>
      <c r="X4573" s="6">
        <f t="shared" si="696"/>
        <v>0</v>
      </c>
      <c r="Y4573" s="13">
        <f t="shared" si="699"/>
        <v>0</v>
      </c>
      <c r="Z4573" s="14">
        <v>0</v>
      </c>
      <c r="AA4573" s="6">
        <v>0</v>
      </c>
      <c r="AB4573" s="4">
        <f t="shared" si="700"/>
        <v>0</v>
      </c>
      <c r="AC4573" s="4">
        <f t="shared" si="702"/>
        <v>0</v>
      </c>
      <c r="AD4573" s="6">
        <f t="shared" si="697"/>
        <v>0</v>
      </c>
      <c r="AE4573" s="2">
        <f>VLOOKUP(I4573,[1]媒体政策预估表!A:N,MATCH(O4573,[1]媒体政策预估表!$A$2:$M$2,0),0)</f>
        <v>0.12</v>
      </c>
      <c r="AF4573" s="6">
        <f t="shared" si="703"/>
        <v>0</v>
      </c>
      <c r="AG4573" s="14">
        <v>0</v>
      </c>
      <c r="AH4573" s="65">
        <f t="shared" si="698"/>
        <v>0</v>
      </c>
      <c r="AI4573" s="47"/>
      <c r="AJ4573" s="126" t="e">
        <v>#N/A</v>
      </c>
      <c r="AK4573" s="80">
        <f t="shared" si="701"/>
        <v>0</v>
      </c>
      <c r="AM4573" s="85"/>
    </row>
    <row r="4574" spans="1:39" hidden="1" x14ac:dyDescent="0.3">
      <c r="A4574" s="89" t="s">
        <v>3395</v>
      </c>
      <c r="B4574" s="86" t="s">
        <v>35</v>
      </c>
      <c r="C4574" s="86" t="s">
        <v>164</v>
      </c>
      <c r="D4574" s="86" t="s">
        <v>174</v>
      </c>
      <c r="E4574" s="86" t="s">
        <v>2360</v>
      </c>
      <c r="F4574" s="86" t="s">
        <v>2360</v>
      </c>
      <c r="G4574" s="86" t="s">
        <v>2360</v>
      </c>
      <c r="H4574" s="143">
        <v>360</v>
      </c>
      <c r="I4574" s="86" t="s">
        <v>1060</v>
      </c>
      <c r="J4574" s="1" t="s">
        <v>3325</v>
      </c>
      <c r="K4574" s="1" t="s">
        <v>3287</v>
      </c>
      <c r="L4574" s="1" t="s">
        <v>35</v>
      </c>
      <c r="M4574" s="86" t="s">
        <v>2361</v>
      </c>
      <c r="N4574" s="86"/>
      <c r="O4574" s="47" t="s">
        <v>45</v>
      </c>
      <c r="P4574" s="47" t="s">
        <v>46</v>
      </c>
      <c r="Q4574" s="14">
        <v>0.04</v>
      </c>
      <c r="R4574" s="143">
        <v>220221</v>
      </c>
      <c r="S4574" s="47"/>
      <c r="T4574" s="6">
        <v>427.15000000000049</v>
      </c>
      <c r="U4574" s="6"/>
      <c r="V4574" s="6">
        <v>0</v>
      </c>
      <c r="W4574" s="6">
        <f t="shared" si="695"/>
        <v>427.15000000000049</v>
      </c>
      <c r="X4574" s="6">
        <f t="shared" si="696"/>
        <v>0</v>
      </c>
      <c r="Y4574" s="13">
        <f t="shared" si="699"/>
        <v>0</v>
      </c>
      <c r="Z4574" s="14">
        <v>0</v>
      </c>
      <c r="AA4574" s="6">
        <v>0</v>
      </c>
      <c r="AB4574" s="4">
        <f t="shared" si="700"/>
        <v>0</v>
      </c>
      <c r="AC4574" s="4">
        <f t="shared" si="702"/>
        <v>0</v>
      </c>
      <c r="AD4574" s="6">
        <f t="shared" si="697"/>
        <v>0</v>
      </c>
      <c r="AE4574" s="2">
        <f>VLOOKUP(I4574,[1]媒体政策预估表!A:N,MATCH(O4574,[1]媒体政策预估表!$A$2:$M$2,0),0)</f>
        <v>0.12</v>
      </c>
      <c r="AF4574" s="6">
        <f t="shared" si="703"/>
        <v>0</v>
      </c>
      <c r="AG4574" s="14">
        <v>0</v>
      </c>
      <c r="AH4574" s="65">
        <f t="shared" si="698"/>
        <v>0</v>
      </c>
      <c r="AI4574" s="47"/>
      <c r="AJ4574" s="126" t="e">
        <v>#N/A</v>
      </c>
      <c r="AK4574" s="80">
        <f t="shared" si="701"/>
        <v>0</v>
      </c>
      <c r="AM4574" s="85"/>
    </row>
    <row r="4575" spans="1:39" hidden="1" x14ac:dyDescent="0.3">
      <c r="A4575" s="89" t="s">
        <v>3395</v>
      </c>
      <c r="B4575" s="86" t="s">
        <v>35</v>
      </c>
      <c r="C4575" s="86" t="s">
        <v>65</v>
      </c>
      <c r="D4575" s="86" t="s">
        <v>66</v>
      </c>
      <c r="E4575" s="86" t="s">
        <v>496</v>
      </c>
      <c r="F4575" s="86" t="s">
        <v>497</v>
      </c>
      <c r="G4575" s="86" t="s">
        <v>496</v>
      </c>
      <c r="H4575" s="143">
        <v>360</v>
      </c>
      <c r="I4575" s="86" t="s">
        <v>1060</v>
      </c>
      <c r="J4575" s="1" t="s">
        <v>3325</v>
      </c>
      <c r="K4575" s="1" t="s">
        <v>3287</v>
      </c>
      <c r="L4575" s="1" t="s">
        <v>35</v>
      </c>
      <c r="M4575" s="86" t="s">
        <v>498</v>
      </c>
      <c r="N4575" s="86"/>
      <c r="O4575" s="47" t="s">
        <v>45</v>
      </c>
      <c r="P4575" s="47" t="s">
        <v>46</v>
      </c>
      <c r="Q4575" s="14">
        <v>0.02</v>
      </c>
      <c r="R4575" s="143" t="s">
        <v>1884</v>
      </c>
      <c r="S4575" s="47"/>
      <c r="T4575" s="6">
        <v>-662.4</v>
      </c>
      <c r="U4575" s="6"/>
      <c r="V4575" s="6">
        <v>0</v>
      </c>
      <c r="W4575" s="6">
        <f t="shared" si="695"/>
        <v>-662.4</v>
      </c>
      <c r="X4575" s="6">
        <f t="shared" si="696"/>
        <v>0</v>
      </c>
      <c r="Y4575" s="13">
        <f t="shared" si="699"/>
        <v>0</v>
      </c>
      <c r="Z4575" s="14">
        <v>0</v>
      </c>
      <c r="AA4575" s="6">
        <v>0</v>
      </c>
      <c r="AB4575" s="4">
        <f t="shared" si="700"/>
        <v>0</v>
      </c>
      <c r="AC4575" s="4">
        <f t="shared" si="702"/>
        <v>0</v>
      </c>
      <c r="AD4575" s="6">
        <f t="shared" si="697"/>
        <v>0</v>
      </c>
      <c r="AE4575" s="2">
        <f>VLOOKUP(I4575,[1]媒体政策预估表!A:N,MATCH(O4575,[1]媒体政策预估表!$A$2:$M$2,0),0)</f>
        <v>0.12</v>
      </c>
      <c r="AF4575" s="6">
        <f t="shared" si="703"/>
        <v>0</v>
      </c>
      <c r="AG4575" s="14">
        <v>0</v>
      </c>
      <c r="AH4575" s="65">
        <f t="shared" si="698"/>
        <v>0</v>
      </c>
      <c r="AI4575" s="47"/>
      <c r="AJ4575" s="126" t="e">
        <v>#N/A</v>
      </c>
      <c r="AK4575" s="80">
        <f t="shared" si="701"/>
        <v>0</v>
      </c>
      <c r="AM4575" s="85"/>
    </row>
    <row r="4576" spans="1:39" hidden="1" x14ac:dyDescent="0.3">
      <c r="A4576" s="89" t="s">
        <v>3395</v>
      </c>
      <c r="B4576" s="86" t="s">
        <v>35</v>
      </c>
      <c r="C4576" s="86" t="s">
        <v>164</v>
      </c>
      <c r="D4576" s="86" t="s">
        <v>169</v>
      </c>
      <c r="E4576" s="86" t="s">
        <v>628</v>
      </c>
      <c r="F4576" s="86" t="s">
        <v>628</v>
      </c>
      <c r="G4576" s="86" t="s">
        <v>628</v>
      </c>
      <c r="H4576" s="143">
        <v>360</v>
      </c>
      <c r="I4576" s="86" t="s">
        <v>1060</v>
      </c>
      <c r="J4576" s="1" t="s">
        <v>3325</v>
      </c>
      <c r="K4576" s="1" t="s">
        <v>3287</v>
      </c>
      <c r="L4576" s="1" t="s">
        <v>35</v>
      </c>
      <c r="M4576" s="86" t="s">
        <v>628</v>
      </c>
      <c r="N4576" s="86"/>
      <c r="O4576" s="47" t="s">
        <v>941</v>
      </c>
      <c r="P4576" s="47" t="s">
        <v>46</v>
      </c>
      <c r="Q4576" s="14">
        <v>0.1</v>
      </c>
      <c r="R4576" s="143" t="s">
        <v>1957</v>
      </c>
      <c r="S4576" s="47"/>
      <c r="T4576" s="6">
        <v>-10820.1</v>
      </c>
      <c r="U4576" s="6"/>
      <c r="V4576" s="6">
        <v>0</v>
      </c>
      <c r="W4576" s="6">
        <f t="shared" si="695"/>
        <v>-10820.1</v>
      </c>
      <c r="X4576" s="6">
        <f t="shared" si="696"/>
        <v>0</v>
      </c>
      <c r="Y4576" s="13">
        <f t="shared" si="699"/>
        <v>0</v>
      </c>
      <c r="Z4576" s="14">
        <v>0</v>
      </c>
      <c r="AA4576" s="6">
        <v>0</v>
      </c>
      <c r="AB4576" s="4">
        <f t="shared" si="700"/>
        <v>0</v>
      </c>
      <c r="AC4576" s="4">
        <f t="shared" si="702"/>
        <v>0</v>
      </c>
      <c r="AD4576" s="6">
        <f t="shared" si="697"/>
        <v>0</v>
      </c>
      <c r="AE4576" s="2">
        <f>VLOOKUP(I4576,[1]媒体政策预估表!A:N,MATCH(O4576,[1]媒体政策预估表!$A$2:$M$2,0),0)</f>
        <v>0.15</v>
      </c>
      <c r="AF4576" s="6">
        <f t="shared" si="703"/>
        <v>0</v>
      </c>
      <c r="AG4576" s="14">
        <v>0</v>
      </c>
      <c r="AH4576" s="65">
        <f t="shared" si="698"/>
        <v>0</v>
      </c>
      <c r="AI4576" s="47"/>
      <c r="AJ4576" s="126" t="e">
        <v>#N/A</v>
      </c>
      <c r="AK4576" s="80">
        <f t="shared" si="701"/>
        <v>0</v>
      </c>
      <c r="AM4576" s="85"/>
    </row>
    <row r="4577" spans="1:39" hidden="1" x14ac:dyDescent="0.3">
      <c r="A4577" s="89" t="s">
        <v>3395</v>
      </c>
      <c r="B4577" s="86" t="s">
        <v>35</v>
      </c>
      <c r="C4577" s="86" t="s">
        <v>164</v>
      </c>
      <c r="D4577" s="86" t="s">
        <v>174</v>
      </c>
      <c r="E4577" s="86" t="s">
        <v>1617</v>
      </c>
      <c r="F4577" s="86" t="s">
        <v>1617</v>
      </c>
      <c r="G4577" s="86" t="s">
        <v>1617</v>
      </c>
      <c r="H4577" s="144">
        <v>360</v>
      </c>
      <c r="I4577" s="86" t="s">
        <v>1060</v>
      </c>
      <c r="J4577" s="1" t="s">
        <v>3325</v>
      </c>
      <c r="K4577" s="1" t="s">
        <v>3287</v>
      </c>
      <c r="L4577" s="1" t="s">
        <v>35</v>
      </c>
      <c r="M4577" s="86" t="s">
        <v>1617</v>
      </c>
      <c r="N4577" s="86"/>
      <c r="O4577" s="47" t="s">
        <v>2054</v>
      </c>
      <c r="P4577" s="47" t="s">
        <v>46</v>
      </c>
      <c r="Q4577" s="14">
        <v>0.01</v>
      </c>
      <c r="R4577" s="143" t="s">
        <v>1622</v>
      </c>
      <c r="S4577" s="47"/>
      <c r="T4577" s="6">
        <v>-48459.219379999995</v>
      </c>
      <c r="U4577" s="6"/>
      <c r="V4577" s="6">
        <v>67902.358009999996</v>
      </c>
      <c r="W4577" s="6">
        <f t="shared" si="695"/>
        <v>-116361.57738999999</v>
      </c>
      <c r="X4577" s="6">
        <f t="shared" si="696"/>
        <v>67230.057435643554</v>
      </c>
      <c r="Y4577" s="13">
        <f t="shared" si="699"/>
        <v>0</v>
      </c>
      <c r="Z4577" s="14">
        <v>0</v>
      </c>
      <c r="AA4577" s="6">
        <v>0</v>
      </c>
      <c r="AB4577" s="4">
        <f t="shared" si="700"/>
        <v>67230.057435643554</v>
      </c>
      <c r="AC4577" s="4">
        <f t="shared" si="702"/>
        <v>672.30057435644267</v>
      </c>
      <c r="AD4577" s="6">
        <f t="shared" si="697"/>
        <v>67902.358009999996</v>
      </c>
      <c r="AE4577" s="2">
        <f>VLOOKUP(I4577,[1]媒体政策预估表!A:N,MATCH(O4577,[1]媒体政策预估表!$A$2:$M$2,0),0)</f>
        <v>0.12</v>
      </c>
      <c r="AF4577" s="6">
        <f t="shared" si="703"/>
        <v>8148.2829611999996</v>
      </c>
      <c r="AG4577" s="14">
        <v>0</v>
      </c>
      <c r="AH4577" s="65">
        <f t="shared" si="698"/>
        <v>67902.358009999996</v>
      </c>
      <c r="AI4577" s="47"/>
      <c r="AJ4577" s="126" t="e">
        <v>#N/A</v>
      </c>
      <c r="AK4577" s="80">
        <f t="shared" si="701"/>
        <v>0</v>
      </c>
      <c r="AM4577" s="85"/>
    </row>
    <row r="4578" spans="1:39" hidden="1" x14ac:dyDescent="0.3">
      <c r="A4578" s="89" t="s">
        <v>3394</v>
      </c>
      <c r="B4578" s="86" t="s">
        <v>35</v>
      </c>
      <c r="C4578" s="86" t="s">
        <v>164</v>
      </c>
      <c r="D4578" s="86" t="s">
        <v>174</v>
      </c>
      <c r="E4578" s="86" t="s">
        <v>651</v>
      </c>
      <c r="F4578" s="86" t="s">
        <v>651</v>
      </c>
      <c r="G4578" s="86" t="s">
        <v>651</v>
      </c>
      <c r="H4578" s="143">
        <v>360</v>
      </c>
      <c r="I4578" s="86" t="s">
        <v>1060</v>
      </c>
      <c r="J4578" s="1" t="s">
        <v>3325</v>
      </c>
      <c r="K4578" s="1" t="s">
        <v>3287</v>
      </c>
      <c r="L4578" s="1" t="s">
        <v>35</v>
      </c>
      <c r="M4578" s="86" t="s">
        <v>651</v>
      </c>
      <c r="N4578" s="86"/>
      <c r="O4578" s="47" t="s">
        <v>2054</v>
      </c>
      <c r="P4578" s="47" t="s">
        <v>46</v>
      </c>
      <c r="Q4578" s="14">
        <v>0.06</v>
      </c>
      <c r="R4578" s="143" t="s">
        <v>1973</v>
      </c>
      <c r="S4578" s="47"/>
      <c r="T4578" s="6">
        <v>-100687.09799999988</v>
      </c>
      <c r="U4578" s="6"/>
      <c r="V4578" s="6">
        <v>0</v>
      </c>
      <c r="W4578" s="6">
        <f t="shared" si="695"/>
        <v>-100687.09799999988</v>
      </c>
      <c r="X4578" s="6">
        <f t="shared" si="696"/>
        <v>0</v>
      </c>
      <c r="Y4578" s="13">
        <f t="shared" si="699"/>
        <v>0</v>
      </c>
      <c r="Z4578" s="14">
        <v>0</v>
      </c>
      <c r="AA4578" s="6">
        <v>0</v>
      </c>
      <c r="AB4578" s="4">
        <f t="shared" si="700"/>
        <v>0</v>
      </c>
      <c r="AC4578" s="4">
        <f t="shared" si="702"/>
        <v>0</v>
      </c>
      <c r="AD4578" s="6">
        <f t="shared" si="697"/>
        <v>0</v>
      </c>
      <c r="AE4578" s="2">
        <f>VLOOKUP(I4578,[1]媒体政策预估表!A:N,MATCH(O4578,[1]媒体政策预估表!$A$2:$M$2,0),0)</f>
        <v>0.12</v>
      </c>
      <c r="AF4578" s="6">
        <f t="shared" si="703"/>
        <v>0</v>
      </c>
      <c r="AG4578" s="14">
        <v>0</v>
      </c>
      <c r="AH4578" s="65">
        <f t="shared" si="698"/>
        <v>0</v>
      </c>
      <c r="AI4578" s="47"/>
      <c r="AJ4578" s="126" t="e">
        <v>#N/A</v>
      </c>
      <c r="AK4578" s="80">
        <f t="shared" si="701"/>
        <v>0</v>
      </c>
      <c r="AM4578" s="85"/>
    </row>
    <row r="4579" spans="1:39" hidden="1" x14ac:dyDescent="0.3">
      <c r="A4579" s="89" t="s">
        <v>3394</v>
      </c>
      <c r="B4579" s="86" t="s">
        <v>35</v>
      </c>
      <c r="C4579" s="86" t="s">
        <v>164</v>
      </c>
      <c r="D4579" s="86" t="s">
        <v>174</v>
      </c>
      <c r="E4579" s="86" t="s">
        <v>651</v>
      </c>
      <c r="F4579" s="86" t="s">
        <v>651</v>
      </c>
      <c r="G4579" s="86" t="s">
        <v>651</v>
      </c>
      <c r="H4579" s="143">
        <v>360</v>
      </c>
      <c r="I4579" s="86" t="s">
        <v>1060</v>
      </c>
      <c r="J4579" s="1" t="s">
        <v>3325</v>
      </c>
      <c r="K4579" s="1" t="s">
        <v>3287</v>
      </c>
      <c r="L4579" s="1" t="s">
        <v>35</v>
      </c>
      <c r="M4579" s="86" t="s">
        <v>651</v>
      </c>
      <c r="N4579" s="86"/>
      <c r="O4579" s="47" t="s">
        <v>941</v>
      </c>
      <c r="P4579" s="47" t="s">
        <v>46</v>
      </c>
      <c r="Q4579" s="14">
        <v>0.06</v>
      </c>
      <c r="R4579" s="143" t="s">
        <v>1974</v>
      </c>
      <c r="S4579" s="47"/>
      <c r="T4579" s="6">
        <v>-728794.64371999993</v>
      </c>
      <c r="U4579" s="6"/>
      <c r="V4579" s="6">
        <v>0</v>
      </c>
      <c r="W4579" s="6">
        <f t="shared" si="695"/>
        <v>-728794.64371999993</v>
      </c>
      <c r="X4579" s="6">
        <f t="shared" si="696"/>
        <v>0</v>
      </c>
      <c r="Y4579" s="13">
        <f t="shared" si="699"/>
        <v>0</v>
      </c>
      <c r="Z4579" s="14">
        <v>0</v>
      </c>
      <c r="AA4579" s="6">
        <v>0</v>
      </c>
      <c r="AB4579" s="4">
        <f t="shared" si="700"/>
        <v>0</v>
      </c>
      <c r="AC4579" s="4">
        <f t="shared" si="702"/>
        <v>0</v>
      </c>
      <c r="AD4579" s="6">
        <f t="shared" si="697"/>
        <v>0</v>
      </c>
      <c r="AE4579" s="2">
        <f>VLOOKUP(I4579,[1]媒体政策预估表!A:N,MATCH(O4579,[1]媒体政策预估表!$A$2:$M$2,0),0)</f>
        <v>0.15</v>
      </c>
      <c r="AF4579" s="6">
        <f t="shared" si="703"/>
        <v>0</v>
      </c>
      <c r="AG4579" s="14">
        <v>0</v>
      </c>
      <c r="AH4579" s="65">
        <f t="shared" si="698"/>
        <v>0</v>
      </c>
      <c r="AI4579" s="47"/>
      <c r="AJ4579" s="126" t="e">
        <v>#N/A</v>
      </c>
      <c r="AK4579" s="80">
        <f t="shared" si="701"/>
        <v>0</v>
      </c>
      <c r="AM4579" s="85"/>
    </row>
    <row r="4580" spans="1:39" hidden="1" x14ac:dyDescent="0.3">
      <c r="A4580" s="89" t="s">
        <v>3395</v>
      </c>
      <c r="B4580" s="86" t="s">
        <v>35</v>
      </c>
      <c r="C4580" s="86" t="s">
        <v>47</v>
      </c>
      <c r="D4580" s="86" t="s">
        <v>63</v>
      </c>
      <c r="E4580" s="86" t="s">
        <v>891</v>
      </c>
      <c r="F4580" s="86" t="s">
        <v>891</v>
      </c>
      <c r="G4580" s="86" t="s">
        <v>891</v>
      </c>
      <c r="H4580" s="143">
        <v>360</v>
      </c>
      <c r="I4580" s="86" t="s">
        <v>1060</v>
      </c>
      <c r="J4580" s="1" t="s">
        <v>3325</v>
      </c>
      <c r="K4580" s="1" t="s">
        <v>3287</v>
      </c>
      <c r="L4580" s="1" t="s">
        <v>35</v>
      </c>
      <c r="M4580" s="86" t="s">
        <v>891</v>
      </c>
      <c r="N4580" s="86"/>
      <c r="O4580" s="47" t="s">
        <v>45</v>
      </c>
      <c r="P4580" s="47" t="s">
        <v>46</v>
      </c>
      <c r="Q4580" s="14">
        <v>0.08</v>
      </c>
      <c r="R4580" s="143" t="s">
        <v>2363</v>
      </c>
      <c r="S4580" s="47"/>
      <c r="T4580" s="6">
        <v>12986.9</v>
      </c>
      <c r="U4580" s="6"/>
      <c r="V4580" s="6">
        <v>0</v>
      </c>
      <c r="W4580" s="6">
        <f t="shared" si="695"/>
        <v>12986.9</v>
      </c>
      <c r="X4580" s="6">
        <f t="shared" si="696"/>
        <v>0</v>
      </c>
      <c r="Y4580" s="13">
        <f t="shared" si="699"/>
        <v>0</v>
      </c>
      <c r="Z4580" s="14">
        <v>0</v>
      </c>
      <c r="AA4580" s="6">
        <v>0</v>
      </c>
      <c r="AB4580" s="4">
        <f t="shared" si="700"/>
        <v>0</v>
      </c>
      <c r="AC4580" s="4">
        <f t="shared" si="702"/>
        <v>0</v>
      </c>
      <c r="AD4580" s="6">
        <f t="shared" si="697"/>
        <v>0</v>
      </c>
      <c r="AE4580" s="2">
        <f>VLOOKUP(I4580,[1]媒体政策预估表!A:N,MATCH(O4580,[1]媒体政策预估表!$A$2:$M$2,0),0)</f>
        <v>0.12</v>
      </c>
      <c r="AF4580" s="6">
        <f t="shared" si="703"/>
        <v>0</v>
      </c>
      <c r="AG4580" s="14">
        <v>0</v>
      </c>
      <c r="AH4580" s="65">
        <f t="shared" si="698"/>
        <v>0</v>
      </c>
      <c r="AI4580" s="47"/>
      <c r="AJ4580" s="126" t="e">
        <v>#N/A</v>
      </c>
      <c r="AK4580" s="80">
        <f t="shared" si="701"/>
        <v>0</v>
      </c>
      <c r="AM4580" s="85"/>
    </row>
    <row r="4581" spans="1:39" hidden="1" x14ac:dyDescent="0.3">
      <c r="A4581" s="89" t="s">
        <v>3394</v>
      </c>
      <c r="B4581" s="86" t="s">
        <v>35</v>
      </c>
      <c r="C4581" s="86" t="s">
        <v>144</v>
      </c>
      <c r="D4581" s="86" t="s">
        <v>152</v>
      </c>
      <c r="E4581" s="86" t="s">
        <v>159</v>
      </c>
      <c r="F4581" s="86" t="s">
        <v>159</v>
      </c>
      <c r="G4581" s="86" t="s">
        <v>159</v>
      </c>
      <c r="H4581" s="143">
        <v>360</v>
      </c>
      <c r="I4581" s="86" t="s">
        <v>1060</v>
      </c>
      <c r="J4581" s="1" t="s">
        <v>3325</v>
      </c>
      <c r="K4581" s="1" t="s">
        <v>3287</v>
      </c>
      <c r="L4581" s="1" t="s">
        <v>35</v>
      </c>
      <c r="M4581" s="86" t="s">
        <v>159</v>
      </c>
      <c r="N4581" s="86"/>
      <c r="O4581" s="47" t="s">
        <v>45</v>
      </c>
      <c r="P4581" s="47" t="s">
        <v>41</v>
      </c>
      <c r="Q4581" s="14">
        <v>0</v>
      </c>
      <c r="R4581" s="143" t="s">
        <v>1929</v>
      </c>
      <c r="S4581" s="47"/>
      <c r="T4581" s="6">
        <v>0</v>
      </c>
      <c r="U4581" s="6"/>
      <c r="V4581" s="6">
        <v>0</v>
      </c>
      <c r="W4581" s="6">
        <f t="shared" si="695"/>
        <v>0</v>
      </c>
      <c r="X4581" s="6">
        <f t="shared" si="696"/>
        <v>0</v>
      </c>
      <c r="Y4581" s="13">
        <f t="shared" si="699"/>
        <v>0</v>
      </c>
      <c r="Z4581" s="14">
        <v>0</v>
      </c>
      <c r="AA4581" s="6">
        <v>0</v>
      </c>
      <c r="AB4581" s="4">
        <f t="shared" si="700"/>
        <v>0</v>
      </c>
      <c r="AC4581" s="4">
        <f t="shared" si="702"/>
        <v>0</v>
      </c>
      <c r="AD4581" s="6">
        <f t="shared" si="697"/>
        <v>0</v>
      </c>
      <c r="AE4581" s="2">
        <f>VLOOKUP(I4581,[1]媒体政策预估表!A:N,MATCH(O4581,[1]媒体政策预估表!$A$2:$M$2,0),0)</f>
        <v>0.12</v>
      </c>
      <c r="AF4581" s="6">
        <f t="shared" si="703"/>
        <v>0</v>
      </c>
      <c r="AG4581" s="14">
        <v>0</v>
      </c>
      <c r="AH4581" s="65">
        <f t="shared" si="698"/>
        <v>0</v>
      </c>
      <c r="AI4581" s="47"/>
      <c r="AJ4581" s="126" t="e">
        <v>#N/A</v>
      </c>
      <c r="AK4581" s="80">
        <f t="shared" si="701"/>
        <v>0</v>
      </c>
      <c r="AM4581" s="85"/>
    </row>
    <row r="4582" spans="1:39" hidden="1" x14ac:dyDescent="0.3">
      <c r="A4582" s="89" t="s">
        <v>3394</v>
      </c>
      <c r="B4582" s="86" t="s">
        <v>35</v>
      </c>
      <c r="C4582" s="86" t="s">
        <v>36</v>
      </c>
      <c r="D4582" s="86" t="s">
        <v>54</v>
      </c>
      <c r="E4582" s="86" t="s">
        <v>55</v>
      </c>
      <c r="F4582" s="86" t="s">
        <v>55</v>
      </c>
      <c r="G4582" s="86" t="s">
        <v>55</v>
      </c>
      <c r="H4582" s="143">
        <v>360</v>
      </c>
      <c r="I4582" s="86" t="s">
        <v>1060</v>
      </c>
      <c r="J4582" s="1" t="s">
        <v>3325</v>
      </c>
      <c r="K4582" s="1" t="s">
        <v>3287</v>
      </c>
      <c r="L4582" s="1" t="s">
        <v>35</v>
      </c>
      <c r="M4582" s="86" t="s">
        <v>55</v>
      </c>
      <c r="N4582" s="86"/>
      <c r="O4582" s="47" t="s">
        <v>45</v>
      </c>
      <c r="P4582" s="47" t="s">
        <v>41</v>
      </c>
      <c r="Q4582" s="14">
        <v>0</v>
      </c>
      <c r="R4582" s="143" t="s">
        <v>1869</v>
      </c>
      <c r="S4582" s="47"/>
      <c r="T4582" s="6">
        <v>-196.2</v>
      </c>
      <c r="U4582" s="6"/>
      <c r="V4582" s="6">
        <v>0</v>
      </c>
      <c r="W4582" s="6">
        <f t="shared" si="695"/>
        <v>-196.2</v>
      </c>
      <c r="X4582" s="6">
        <f t="shared" si="696"/>
        <v>0</v>
      </c>
      <c r="Y4582" s="13">
        <f t="shared" si="699"/>
        <v>0</v>
      </c>
      <c r="Z4582" s="14">
        <v>0</v>
      </c>
      <c r="AA4582" s="6">
        <v>0</v>
      </c>
      <c r="AB4582" s="4">
        <f t="shared" si="700"/>
        <v>0</v>
      </c>
      <c r="AC4582" s="4">
        <f t="shared" si="702"/>
        <v>0</v>
      </c>
      <c r="AD4582" s="6">
        <f t="shared" si="697"/>
        <v>0</v>
      </c>
      <c r="AE4582" s="2">
        <f>VLOOKUP(I4582,[1]媒体政策预估表!A:N,MATCH(O4582,[1]媒体政策预估表!$A$2:$M$2,0),0)</f>
        <v>0.12</v>
      </c>
      <c r="AF4582" s="6">
        <f t="shared" si="703"/>
        <v>0</v>
      </c>
      <c r="AG4582" s="14">
        <v>0</v>
      </c>
      <c r="AH4582" s="65">
        <f t="shared" si="698"/>
        <v>0</v>
      </c>
      <c r="AI4582" s="47"/>
      <c r="AJ4582" s="126" t="e">
        <v>#N/A</v>
      </c>
      <c r="AK4582" s="80">
        <f t="shared" si="701"/>
        <v>0</v>
      </c>
      <c r="AM4582" s="85"/>
    </row>
    <row r="4583" spans="1:39" hidden="1" x14ac:dyDescent="0.3">
      <c r="A4583" s="89" t="s">
        <v>3394</v>
      </c>
      <c r="B4583" s="86" t="s">
        <v>35</v>
      </c>
      <c r="C4583" s="86" t="s">
        <v>36</v>
      </c>
      <c r="D4583" s="86" t="s">
        <v>54</v>
      </c>
      <c r="E4583" s="86" t="s">
        <v>55</v>
      </c>
      <c r="F4583" s="86" t="s">
        <v>55</v>
      </c>
      <c r="G4583" s="86" t="s">
        <v>55</v>
      </c>
      <c r="H4583" s="143">
        <v>360</v>
      </c>
      <c r="I4583" s="86" t="s">
        <v>1060</v>
      </c>
      <c r="J4583" s="1" t="s">
        <v>3325</v>
      </c>
      <c r="K4583" s="1" t="s">
        <v>3287</v>
      </c>
      <c r="L4583" s="1" t="s">
        <v>35</v>
      </c>
      <c r="M4583" s="86" t="s">
        <v>55</v>
      </c>
      <c r="N4583" s="86"/>
      <c r="O4583" s="47" t="s">
        <v>2054</v>
      </c>
      <c r="P4583" s="47" t="s">
        <v>41</v>
      </c>
      <c r="Q4583" s="14">
        <v>0</v>
      </c>
      <c r="R4583" s="143" t="s">
        <v>1869</v>
      </c>
      <c r="S4583" s="47"/>
      <c r="T4583" s="6">
        <v>-2919</v>
      </c>
      <c r="U4583" s="6"/>
      <c r="V4583" s="6">
        <v>0</v>
      </c>
      <c r="W4583" s="6">
        <f t="shared" si="695"/>
        <v>-2919</v>
      </c>
      <c r="X4583" s="6">
        <f t="shared" si="696"/>
        <v>0</v>
      </c>
      <c r="Y4583" s="13">
        <f t="shared" si="699"/>
        <v>0</v>
      </c>
      <c r="Z4583" s="14">
        <v>0</v>
      </c>
      <c r="AA4583" s="6">
        <v>0</v>
      </c>
      <c r="AB4583" s="4">
        <f t="shared" si="700"/>
        <v>0</v>
      </c>
      <c r="AC4583" s="4">
        <f t="shared" si="702"/>
        <v>0</v>
      </c>
      <c r="AD4583" s="6">
        <f t="shared" si="697"/>
        <v>0</v>
      </c>
      <c r="AE4583" s="2">
        <f>VLOOKUP(I4583,[1]媒体政策预估表!A:N,MATCH(O4583,[1]媒体政策预估表!$A$2:$M$2,0),0)</f>
        <v>0.12</v>
      </c>
      <c r="AF4583" s="6">
        <f t="shared" si="703"/>
        <v>0</v>
      </c>
      <c r="AG4583" s="14">
        <v>0</v>
      </c>
      <c r="AH4583" s="65">
        <f t="shared" si="698"/>
        <v>0</v>
      </c>
      <c r="AI4583" s="47"/>
      <c r="AJ4583" s="126" t="e">
        <v>#N/A</v>
      </c>
      <c r="AK4583" s="80">
        <f t="shared" si="701"/>
        <v>0</v>
      </c>
      <c r="AM4583" s="85"/>
    </row>
    <row r="4584" spans="1:39" hidden="1" x14ac:dyDescent="0.3">
      <c r="A4584" s="89" t="s">
        <v>3394</v>
      </c>
      <c r="B4584" s="86" t="s">
        <v>35</v>
      </c>
      <c r="C4584" s="86" t="s">
        <v>144</v>
      </c>
      <c r="D4584" s="86" t="s">
        <v>152</v>
      </c>
      <c r="E4584" s="86" t="s">
        <v>159</v>
      </c>
      <c r="F4584" s="86" t="s">
        <v>159</v>
      </c>
      <c r="G4584" s="86" t="s">
        <v>159</v>
      </c>
      <c r="H4584" s="143">
        <v>360</v>
      </c>
      <c r="I4584" s="86" t="s">
        <v>1060</v>
      </c>
      <c r="J4584" s="1" t="s">
        <v>3325</v>
      </c>
      <c r="K4584" s="1" t="s">
        <v>3287</v>
      </c>
      <c r="L4584" s="1" t="s">
        <v>35</v>
      </c>
      <c r="M4584" s="86" t="s">
        <v>159</v>
      </c>
      <c r="N4584" s="86"/>
      <c r="O4584" s="47" t="s">
        <v>941</v>
      </c>
      <c r="P4584" s="47" t="s">
        <v>41</v>
      </c>
      <c r="Q4584" s="14">
        <v>0</v>
      </c>
      <c r="R4584" s="143" t="s">
        <v>1929</v>
      </c>
      <c r="S4584" s="47"/>
      <c r="T4584" s="6">
        <v>0</v>
      </c>
      <c r="U4584" s="6"/>
      <c r="V4584" s="6">
        <v>0</v>
      </c>
      <c r="W4584" s="6">
        <f t="shared" si="695"/>
        <v>0</v>
      </c>
      <c r="X4584" s="6">
        <f t="shared" si="696"/>
        <v>0</v>
      </c>
      <c r="Y4584" s="13">
        <f t="shared" si="699"/>
        <v>0</v>
      </c>
      <c r="Z4584" s="14">
        <v>0</v>
      </c>
      <c r="AA4584" s="6">
        <v>0</v>
      </c>
      <c r="AB4584" s="4">
        <f t="shared" si="700"/>
        <v>0</v>
      </c>
      <c r="AC4584" s="4">
        <f t="shared" si="702"/>
        <v>0</v>
      </c>
      <c r="AD4584" s="6">
        <f t="shared" si="697"/>
        <v>0</v>
      </c>
      <c r="AE4584" s="2">
        <f>VLOOKUP(I4584,[1]媒体政策预估表!A:N,MATCH(O4584,[1]媒体政策预估表!$A$2:$M$2,0),0)</f>
        <v>0.15</v>
      </c>
      <c r="AF4584" s="6">
        <f t="shared" si="703"/>
        <v>0</v>
      </c>
      <c r="AG4584" s="14">
        <v>0</v>
      </c>
      <c r="AH4584" s="65">
        <f t="shared" si="698"/>
        <v>0</v>
      </c>
      <c r="AI4584" s="47"/>
      <c r="AJ4584" s="126" t="e">
        <v>#N/A</v>
      </c>
      <c r="AK4584" s="80">
        <f t="shared" si="701"/>
        <v>0</v>
      </c>
      <c r="AM4584" s="85"/>
    </row>
    <row r="4585" spans="1:39" hidden="1" x14ac:dyDescent="0.3">
      <c r="A4585" s="89" t="s">
        <v>3395</v>
      </c>
      <c r="B4585" s="86" t="s">
        <v>35</v>
      </c>
      <c r="C4585" s="86" t="s">
        <v>144</v>
      </c>
      <c r="D4585" s="86" t="s">
        <v>152</v>
      </c>
      <c r="E4585" s="86" t="s">
        <v>159</v>
      </c>
      <c r="F4585" s="86" t="s">
        <v>159</v>
      </c>
      <c r="G4585" s="86" t="s">
        <v>159</v>
      </c>
      <c r="H4585" s="143">
        <v>360</v>
      </c>
      <c r="I4585" s="86" t="s">
        <v>1060</v>
      </c>
      <c r="J4585" s="1" t="s">
        <v>3325</v>
      </c>
      <c r="K4585" s="1" t="s">
        <v>3287</v>
      </c>
      <c r="L4585" s="1" t="s">
        <v>35</v>
      </c>
      <c r="M4585" s="86" t="s">
        <v>159</v>
      </c>
      <c r="N4585" s="86"/>
      <c r="O4585" s="47" t="s">
        <v>2054</v>
      </c>
      <c r="P4585" s="47" t="s">
        <v>41</v>
      </c>
      <c r="Q4585" s="14">
        <v>0</v>
      </c>
      <c r="R4585" s="143" t="s">
        <v>1929</v>
      </c>
      <c r="S4585" s="47"/>
      <c r="T4585" s="6">
        <v>0</v>
      </c>
      <c r="U4585" s="6"/>
      <c r="V4585" s="6">
        <v>0</v>
      </c>
      <c r="W4585" s="6">
        <f t="shared" si="695"/>
        <v>0</v>
      </c>
      <c r="X4585" s="6">
        <f t="shared" si="696"/>
        <v>0</v>
      </c>
      <c r="Y4585" s="13">
        <f t="shared" si="699"/>
        <v>0</v>
      </c>
      <c r="Z4585" s="14">
        <v>0</v>
      </c>
      <c r="AA4585" s="6">
        <v>0</v>
      </c>
      <c r="AB4585" s="4">
        <f t="shared" si="700"/>
        <v>0</v>
      </c>
      <c r="AC4585" s="4">
        <f t="shared" si="702"/>
        <v>0</v>
      </c>
      <c r="AD4585" s="6">
        <f t="shared" si="697"/>
        <v>0</v>
      </c>
      <c r="AE4585" s="2">
        <f>VLOOKUP(I4585,[1]媒体政策预估表!A:N,MATCH(O4585,[1]媒体政策预估表!$A$2:$M$2,0),0)</f>
        <v>0.12</v>
      </c>
      <c r="AF4585" s="6">
        <f t="shared" si="703"/>
        <v>0</v>
      </c>
      <c r="AG4585" s="14">
        <v>0</v>
      </c>
      <c r="AH4585" s="65">
        <f t="shared" si="698"/>
        <v>0</v>
      </c>
      <c r="AI4585" s="47"/>
      <c r="AJ4585" s="126" t="e">
        <v>#N/A</v>
      </c>
      <c r="AK4585" s="80">
        <f t="shared" si="701"/>
        <v>0</v>
      </c>
      <c r="AM4585" s="85"/>
    </row>
    <row r="4586" spans="1:39" hidden="1" x14ac:dyDescent="0.3">
      <c r="A4586" s="89" t="s">
        <v>3395</v>
      </c>
      <c r="B4586" s="86" t="s">
        <v>35</v>
      </c>
      <c r="C4586" s="86" t="s">
        <v>164</v>
      </c>
      <c r="D4586" s="86" t="s">
        <v>174</v>
      </c>
      <c r="E4586" s="86" t="s">
        <v>651</v>
      </c>
      <c r="F4586" s="86" t="s">
        <v>651</v>
      </c>
      <c r="G4586" s="86" t="s">
        <v>651</v>
      </c>
      <c r="H4586" s="143">
        <v>360</v>
      </c>
      <c r="I4586" s="86" t="s">
        <v>1060</v>
      </c>
      <c r="J4586" s="1" t="s">
        <v>3325</v>
      </c>
      <c r="K4586" s="1" t="s">
        <v>3287</v>
      </c>
      <c r="L4586" s="1" t="s">
        <v>35</v>
      </c>
      <c r="M4586" s="86" t="s">
        <v>1629</v>
      </c>
      <c r="N4586" s="86"/>
      <c r="O4586" s="47" t="s">
        <v>941</v>
      </c>
      <c r="P4586" s="47" t="s">
        <v>46</v>
      </c>
      <c r="Q4586" s="14">
        <v>0.06</v>
      </c>
      <c r="R4586" s="143" t="s">
        <v>1630</v>
      </c>
      <c r="S4586" s="47"/>
      <c r="T4586" s="6">
        <v>-430156.33107999997</v>
      </c>
      <c r="U4586" s="6"/>
      <c r="V4586" s="6">
        <v>0</v>
      </c>
      <c r="W4586" s="6">
        <f t="shared" si="695"/>
        <v>-430156.33107999997</v>
      </c>
      <c r="X4586" s="6">
        <f t="shared" si="696"/>
        <v>0</v>
      </c>
      <c r="Y4586" s="13">
        <f t="shared" si="699"/>
        <v>0</v>
      </c>
      <c r="Z4586" s="14">
        <v>0</v>
      </c>
      <c r="AA4586" s="6">
        <v>0</v>
      </c>
      <c r="AB4586" s="4">
        <f t="shared" si="700"/>
        <v>0</v>
      </c>
      <c r="AC4586" s="4">
        <f t="shared" si="702"/>
        <v>0</v>
      </c>
      <c r="AD4586" s="6">
        <f t="shared" si="697"/>
        <v>0</v>
      </c>
      <c r="AE4586" s="2">
        <f>VLOOKUP(I4586,[1]媒体政策预估表!A:N,MATCH(O4586,[1]媒体政策预估表!$A$2:$M$2,0),0)</f>
        <v>0.15</v>
      </c>
      <c r="AF4586" s="6">
        <f t="shared" si="703"/>
        <v>0</v>
      </c>
      <c r="AG4586" s="14">
        <v>0</v>
      </c>
      <c r="AH4586" s="65">
        <f t="shared" si="698"/>
        <v>0</v>
      </c>
      <c r="AI4586" s="47"/>
      <c r="AJ4586" s="126" t="e">
        <v>#N/A</v>
      </c>
      <c r="AK4586" s="80">
        <f t="shared" si="701"/>
        <v>0</v>
      </c>
      <c r="AM4586" s="85"/>
    </row>
    <row r="4587" spans="1:39" hidden="1" x14ac:dyDescent="0.3">
      <c r="A4587" s="89" t="s">
        <v>3395</v>
      </c>
      <c r="B4587" s="86" t="s">
        <v>35</v>
      </c>
      <c r="C4587" s="86" t="s">
        <v>36</v>
      </c>
      <c r="D4587" s="86" t="s">
        <v>54</v>
      </c>
      <c r="E4587" s="86" t="s">
        <v>114</v>
      </c>
      <c r="F4587" s="86" t="s">
        <v>114</v>
      </c>
      <c r="G4587" s="86" t="s">
        <v>114</v>
      </c>
      <c r="H4587" s="143">
        <v>360</v>
      </c>
      <c r="I4587" s="86" t="s">
        <v>1060</v>
      </c>
      <c r="J4587" s="1" t="s">
        <v>3325</v>
      </c>
      <c r="K4587" s="1" t="s">
        <v>3287</v>
      </c>
      <c r="L4587" s="1" t="s">
        <v>35</v>
      </c>
      <c r="M4587" s="86" t="s">
        <v>1866</v>
      </c>
      <c r="N4587" s="86"/>
      <c r="O4587" s="47" t="s">
        <v>45</v>
      </c>
      <c r="P4587" s="47" t="s">
        <v>41</v>
      </c>
      <c r="Q4587" s="14">
        <v>0</v>
      </c>
      <c r="R4587" s="143" t="s">
        <v>1867</v>
      </c>
      <c r="S4587" s="47"/>
      <c r="T4587" s="6">
        <v>-19368.649999999998</v>
      </c>
      <c r="U4587" s="6"/>
      <c r="V4587" s="6">
        <v>0</v>
      </c>
      <c r="W4587" s="6">
        <f t="shared" si="695"/>
        <v>-19368.649999999998</v>
      </c>
      <c r="X4587" s="6">
        <f t="shared" si="696"/>
        <v>0</v>
      </c>
      <c r="Y4587" s="13">
        <f t="shared" si="699"/>
        <v>0</v>
      </c>
      <c r="Z4587" s="14">
        <v>0</v>
      </c>
      <c r="AA4587" s="6">
        <v>0</v>
      </c>
      <c r="AB4587" s="4">
        <f t="shared" si="700"/>
        <v>0</v>
      </c>
      <c r="AC4587" s="4">
        <f t="shared" si="702"/>
        <v>0</v>
      </c>
      <c r="AD4587" s="6">
        <f t="shared" si="697"/>
        <v>0</v>
      </c>
      <c r="AE4587" s="2">
        <f>VLOOKUP(I4587,[1]媒体政策预估表!A:N,MATCH(O4587,[1]媒体政策预估表!$A$2:$M$2,0),0)</f>
        <v>0.12</v>
      </c>
      <c r="AF4587" s="6">
        <f t="shared" si="703"/>
        <v>0</v>
      </c>
      <c r="AG4587" s="14">
        <v>0</v>
      </c>
      <c r="AH4587" s="65">
        <f t="shared" si="698"/>
        <v>0</v>
      </c>
      <c r="AI4587" s="47"/>
      <c r="AJ4587" s="126" t="e">
        <v>#N/A</v>
      </c>
      <c r="AK4587" s="80">
        <f t="shared" si="701"/>
        <v>0</v>
      </c>
      <c r="AM4587" s="85"/>
    </row>
    <row r="4588" spans="1:39" hidden="1" x14ac:dyDescent="0.3">
      <c r="A4588" s="89" t="s">
        <v>3394</v>
      </c>
      <c r="B4588" s="86" t="s">
        <v>35</v>
      </c>
      <c r="C4588" s="86" t="s">
        <v>164</v>
      </c>
      <c r="D4588" s="86" t="s">
        <v>181</v>
      </c>
      <c r="E4588" s="86" t="s">
        <v>182</v>
      </c>
      <c r="F4588" s="86" t="s">
        <v>183</v>
      </c>
      <c r="G4588" s="86" t="s">
        <v>182</v>
      </c>
      <c r="H4588" s="143">
        <v>360</v>
      </c>
      <c r="I4588" s="86" t="s">
        <v>1060</v>
      </c>
      <c r="J4588" s="1" t="s">
        <v>3325</v>
      </c>
      <c r="K4588" s="1" t="s">
        <v>3287</v>
      </c>
      <c r="L4588" s="1" t="s">
        <v>35</v>
      </c>
      <c r="M4588" s="86" t="s">
        <v>1829</v>
      </c>
      <c r="N4588" s="86"/>
      <c r="O4588" s="47" t="s">
        <v>45</v>
      </c>
      <c r="P4588" s="47" t="s">
        <v>41</v>
      </c>
      <c r="Q4588" s="14">
        <v>0</v>
      </c>
      <c r="R4588" s="143" t="s">
        <v>1830</v>
      </c>
      <c r="S4588" s="47"/>
      <c r="T4588" s="6">
        <v>-20103.67324</v>
      </c>
      <c r="U4588" s="6"/>
      <c r="V4588" s="6">
        <v>0</v>
      </c>
      <c r="W4588" s="6">
        <f t="shared" si="695"/>
        <v>-20103.67324</v>
      </c>
      <c r="X4588" s="6">
        <f t="shared" si="696"/>
        <v>0</v>
      </c>
      <c r="Y4588" s="13">
        <f t="shared" si="699"/>
        <v>0</v>
      </c>
      <c r="Z4588" s="14">
        <v>0</v>
      </c>
      <c r="AA4588" s="6">
        <v>0</v>
      </c>
      <c r="AB4588" s="4">
        <f t="shared" si="700"/>
        <v>0</v>
      </c>
      <c r="AC4588" s="4">
        <f t="shared" si="702"/>
        <v>0</v>
      </c>
      <c r="AD4588" s="6">
        <f t="shared" si="697"/>
        <v>0</v>
      </c>
      <c r="AE4588" s="2">
        <f>VLOOKUP(I4588,[1]媒体政策预估表!A:N,MATCH(O4588,[1]媒体政策预估表!$A$2:$M$2,0),0)</f>
        <v>0.12</v>
      </c>
      <c r="AF4588" s="6">
        <f t="shared" si="703"/>
        <v>0</v>
      </c>
      <c r="AG4588" s="14">
        <v>0</v>
      </c>
      <c r="AH4588" s="65">
        <f t="shared" si="698"/>
        <v>0</v>
      </c>
      <c r="AI4588" s="47"/>
      <c r="AJ4588" s="126" t="e">
        <v>#N/A</v>
      </c>
      <c r="AK4588" s="80">
        <f t="shared" si="701"/>
        <v>0</v>
      </c>
      <c r="AM4588" s="85"/>
    </row>
    <row r="4589" spans="1:39" hidden="1" x14ac:dyDescent="0.3">
      <c r="A4589" s="89" t="s">
        <v>3394</v>
      </c>
      <c r="B4589" s="86" t="s">
        <v>35</v>
      </c>
      <c r="C4589" s="86" t="s">
        <v>65</v>
      </c>
      <c r="D4589" s="86" t="s">
        <v>66</v>
      </c>
      <c r="E4589" s="86" t="s">
        <v>1877</v>
      </c>
      <c r="F4589" s="86" t="s">
        <v>1877</v>
      </c>
      <c r="G4589" s="86" t="s">
        <v>1877</v>
      </c>
      <c r="H4589" s="143">
        <v>360</v>
      </c>
      <c r="I4589" s="86" t="s">
        <v>1060</v>
      </c>
      <c r="J4589" s="1" t="s">
        <v>3325</v>
      </c>
      <c r="K4589" s="1" t="s">
        <v>3287</v>
      </c>
      <c r="L4589" s="1" t="s">
        <v>35</v>
      </c>
      <c r="M4589" s="86" t="s">
        <v>1877</v>
      </c>
      <c r="N4589" s="86"/>
      <c r="O4589" s="47" t="s">
        <v>2054</v>
      </c>
      <c r="P4589" s="47" t="s">
        <v>41</v>
      </c>
      <c r="Q4589" s="14">
        <v>0</v>
      </c>
      <c r="R4589" s="143" t="s">
        <v>1878</v>
      </c>
      <c r="S4589" s="47"/>
      <c r="T4589" s="6">
        <v>-283.33</v>
      </c>
      <c r="U4589" s="6"/>
      <c r="V4589" s="6">
        <v>0</v>
      </c>
      <c r="W4589" s="6">
        <f t="shared" si="695"/>
        <v>-283.33</v>
      </c>
      <c r="X4589" s="6">
        <f t="shared" si="696"/>
        <v>0</v>
      </c>
      <c r="Y4589" s="13">
        <f t="shared" si="699"/>
        <v>0</v>
      </c>
      <c r="Z4589" s="14">
        <v>0</v>
      </c>
      <c r="AA4589" s="6">
        <v>0</v>
      </c>
      <c r="AB4589" s="4">
        <f t="shared" si="700"/>
        <v>0</v>
      </c>
      <c r="AC4589" s="4">
        <f t="shared" si="702"/>
        <v>0</v>
      </c>
      <c r="AD4589" s="6">
        <f t="shared" si="697"/>
        <v>0</v>
      </c>
      <c r="AE4589" s="2">
        <f>VLOOKUP(I4589,[1]媒体政策预估表!A:N,MATCH(O4589,[1]媒体政策预估表!$A$2:$M$2,0),0)</f>
        <v>0.12</v>
      </c>
      <c r="AF4589" s="6">
        <f t="shared" si="703"/>
        <v>0</v>
      </c>
      <c r="AG4589" s="14">
        <v>0</v>
      </c>
      <c r="AH4589" s="65">
        <f t="shared" si="698"/>
        <v>0</v>
      </c>
      <c r="AI4589" s="47"/>
      <c r="AJ4589" s="126" t="e">
        <v>#N/A</v>
      </c>
      <c r="AK4589" s="80">
        <f t="shared" si="701"/>
        <v>0</v>
      </c>
      <c r="AM4589" s="85"/>
    </row>
    <row r="4590" spans="1:39" hidden="1" x14ac:dyDescent="0.3">
      <c r="A4590" s="89" t="s">
        <v>3395</v>
      </c>
      <c r="B4590" s="86" t="s">
        <v>35</v>
      </c>
      <c r="C4590" s="86" t="s">
        <v>164</v>
      </c>
      <c r="D4590" s="86" t="s">
        <v>174</v>
      </c>
      <c r="E4590" s="86" t="s">
        <v>1711</v>
      </c>
      <c r="F4590" s="86" t="s">
        <v>1711</v>
      </c>
      <c r="G4590" s="86" t="s">
        <v>1711</v>
      </c>
      <c r="H4590" s="144">
        <v>360</v>
      </c>
      <c r="I4590" s="86" t="s">
        <v>1060</v>
      </c>
      <c r="J4590" s="1" t="s">
        <v>3325</v>
      </c>
      <c r="K4590" s="1" t="s">
        <v>3287</v>
      </c>
      <c r="L4590" s="1" t="s">
        <v>35</v>
      </c>
      <c r="M4590" s="86" t="s">
        <v>1711</v>
      </c>
      <c r="N4590" s="86"/>
      <c r="O4590" s="47" t="s">
        <v>2054</v>
      </c>
      <c r="P4590" s="47" t="s">
        <v>46</v>
      </c>
      <c r="Q4590" s="14">
        <v>0.04</v>
      </c>
      <c r="R4590" s="143" t="s">
        <v>1987</v>
      </c>
      <c r="S4590" s="47"/>
      <c r="T4590" s="6">
        <v>-1374.9588800000001</v>
      </c>
      <c r="U4590" s="6"/>
      <c r="V4590" s="6">
        <v>7283.1427199999998</v>
      </c>
      <c r="W4590" s="6">
        <v>0</v>
      </c>
      <c r="X4590" s="6">
        <f t="shared" si="696"/>
        <v>7003.0218461538461</v>
      </c>
      <c r="Y4590" s="13">
        <f t="shared" si="699"/>
        <v>0</v>
      </c>
      <c r="Z4590" s="14">
        <v>0</v>
      </c>
      <c r="AA4590" s="6">
        <v>0</v>
      </c>
      <c r="AB4590" s="4">
        <f t="shared" si="700"/>
        <v>7003.0218461538461</v>
      </c>
      <c r="AC4590" s="4">
        <f t="shared" si="702"/>
        <v>280.1208738461537</v>
      </c>
      <c r="AD4590" s="6">
        <f t="shared" si="697"/>
        <v>7283.1427199999998</v>
      </c>
      <c r="AE4590" s="2">
        <f>VLOOKUP(I4590,[1]媒体政策预估表!A:N,MATCH(O4590,[1]媒体政策预估表!$A$2:$M$2,0),0)</f>
        <v>0.12</v>
      </c>
      <c r="AF4590" s="6">
        <f t="shared" si="703"/>
        <v>873.97712639999997</v>
      </c>
      <c r="AG4590" s="14">
        <v>0</v>
      </c>
      <c r="AH4590" s="65">
        <f t="shared" si="698"/>
        <v>7283.1427199999998</v>
      </c>
      <c r="AI4590" s="47"/>
      <c r="AJ4590" s="126" t="e">
        <v>#N/A</v>
      </c>
      <c r="AK4590" s="80">
        <f t="shared" si="701"/>
        <v>0</v>
      </c>
      <c r="AM4590" s="85"/>
    </row>
    <row r="4591" spans="1:39" hidden="1" x14ac:dyDescent="0.3">
      <c r="A4591" s="89" t="s">
        <v>3395</v>
      </c>
      <c r="B4591" s="86" t="s">
        <v>35</v>
      </c>
      <c r="C4591" s="86" t="s">
        <v>164</v>
      </c>
      <c r="D4591" s="86" t="s">
        <v>181</v>
      </c>
      <c r="E4591" s="86" t="s">
        <v>182</v>
      </c>
      <c r="F4591" s="86" t="s">
        <v>183</v>
      </c>
      <c r="G4591" s="86" t="s">
        <v>182</v>
      </c>
      <c r="H4591" s="143">
        <v>360</v>
      </c>
      <c r="I4591" s="86" t="s">
        <v>1060</v>
      </c>
      <c r="J4591" s="1" t="s">
        <v>3325</v>
      </c>
      <c r="K4591" s="1" t="s">
        <v>3287</v>
      </c>
      <c r="L4591" s="1" t="s">
        <v>35</v>
      </c>
      <c r="M4591" s="86" t="s">
        <v>1829</v>
      </c>
      <c r="N4591" s="86"/>
      <c r="O4591" s="47" t="s">
        <v>2054</v>
      </c>
      <c r="P4591" s="47" t="s">
        <v>41</v>
      </c>
      <c r="Q4591" s="14">
        <v>0</v>
      </c>
      <c r="R4591" s="143" t="s">
        <v>1830</v>
      </c>
      <c r="S4591" s="47"/>
      <c r="T4591" s="6">
        <v>-393.79475000000002</v>
      </c>
      <c r="U4591" s="6"/>
      <c r="V4591" s="6">
        <v>0</v>
      </c>
      <c r="W4591" s="6">
        <f t="shared" si="695"/>
        <v>-393.79475000000002</v>
      </c>
      <c r="X4591" s="6">
        <f t="shared" si="696"/>
        <v>0</v>
      </c>
      <c r="Y4591" s="13">
        <f t="shared" si="699"/>
        <v>0</v>
      </c>
      <c r="Z4591" s="14">
        <v>0</v>
      </c>
      <c r="AA4591" s="6">
        <v>0</v>
      </c>
      <c r="AB4591" s="4">
        <f t="shared" si="700"/>
        <v>0</v>
      </c>
      <c r="AC4591" s="4">
        <f t="shared" si="702"/>
        <v>0</v>
      </c>
      <c r="AD4591" s="6">
        <f t="shared" si="697"/>
        <v>0</v>
      </c>
      <c r="AE4591" s="2">
        <f>VLOOKUP(I4591,[1]媒体政策预估表!A:N,MATCH(O4591,[1]媒体政策预估表!$A$2:$M$2,0),0)</f>
        <v>0.12</v>
      </c>
      <c r="AF4591" s="6">
        <f t="shared" si="703"/>
        <v>0</v>
      </c>
      <c r="AG4591" s="14">
        <v>0</v>
      </c>
      <c r="AH4591" s="65">
        <f t="shared" si="698"/>
        <v>0</v>
      </c>
      <c r="AI4591" s="47"/>
      <c r="AJ4591" s="126" t="e">
        <v>#N/A</v>
      </c>
      <c r="AK4591" s="80">
        <f t="shared" si="701"/>
        <v>0</v>
      </c>
      <c r="AM4591" s="85"/>
    </row>
    <row r="4592" spans="1:39" hidden="1" x14ac:dyDescent="0.3">
      <c r="A4592" s="89" t="s">
        <v>3394</v>
      </c>
      <c r="B4592" s="86" t="s">
        <v>35</v>
      </c>
      <c r="C4592" s="86" t="s">
        <v>144</v>
      </c>
      <c r="D4592" s="86" t="s">
        <v>161</v>
      </c>
      <c r="E4592" s="86" t="s">
        <v>1522</v>
      </c>
      <c r="F4592" s="86" t="s">
        <v>1522</v>
      </c>
      <c r="G4592" s="86" t="s">
        <v>1522</v>
      </c>
      <c r="H4592" s="143">
        <v>360</v>
      </c>
      <c r="I4592" s="86" t="s">
        <v>1060</v>
      </c>
      <c r="J4592" s="1" t="s">
        <v>3325</v>
      </c>
      <c r="K4592" s="1" t="s">
        <v>3287</v>
      </c>
      <c r="L4592" s="1" t="s">
        <v>35</v>
      </c>
      <c r="M4592" s="86" t="s">
        <v>1522</v>
      </c>
      <c r="N4592" s="86"/>
      <c r="O4592" s="47" t="s">
        <v>2054</v>
      </c>
      <c r="P4592" s="47" t="s">
        <v>41</v>
      </c>
      <c r="Q4592" s="14">
        <v>0</v>
      </c>
      <c r="R4592" s="143" t="s">
        <v>1527</v>
      </c>
      <c r="S4592" s="47"/>
      <c r="T4592" s="6">
        <v>-515.11821999999995</v>
      </c>
      <c r="U4592" s="6"/>
      <c r="V4592" s="6">
        <v>0</v>
      </c>
      <c r="W4592" s="6">
        <f t="shared" si="695"/>
        <v>-515.11821999999995</v>
      </c>
      <c r="X4592" s="6">
        <f t="shared" si="696"/>
        <v>0</v>
      </c>
      <c r="Y4592" s="13">
        <f t="shared" si="699"/>
        <v>0</v>
      </c>
      <c r="Z4592" s="14">
        <v>0</v>
      </c>
      <c r="AA4592" s="6">
        <v>0</v>
      </c>
      <c r="AB4592" s="4">
        <f t="shared" si="700"/>
        <v>0</v>
      </c>
      <c r="AC4592" s="4">
        <f t="shared" si="702"/>
        <v>0</v>
      </c>
      <c r="AD4592" s="6">
        <f t="shared" si="697"/>
        <v>0</v>
      </c>
      <c r="AE4592" s="2">
        <f>VLOOKUP(I4592,[1]媒体政策预估表!A:N,MATCH(O4592,[1]媒体政策预估表!$A$2:$M$2,0),0)</f>
        <v>0.12</v>
      </c>
      <c r="AF4592" s="6">
        <f t="shared" si="703"/>
        <v>0</v>
      </c>
      <c r="AG4592" s="14">
        <v>0</v>
      </c>
      <c r="AH4592" s="65">
        <f t="shared" si="698"/>
        <v>0</v>
      </c>
      <c r="AI4592" s="47"/>
      <c r="AJ4592" s="126" t="e">
        <v>#N/A</v>
      </c>
      <c r="AK4592" s="80">
        <f t="shared" si="701"/>
        <v>0</v>
      </c>
      <c r="AM4592" s="85"/>
    </row>
    <row r="4593" spans="1:39" hidden="1" x14ac:dyDescent="0.3">
      <c r="A4593" s="89" t="s">
        <v>3394</v>
      </c>
      <c r="B4593" s="86" t="s">
        <v>35</v>
      </c>
      <c r="C4593" s="86" t="s">
        <v>36</v>
      </c>
      <c r="D4593" s="86" t="s">
        <v>54</v>
      </c>
      <c r="E4593" s="86" t="s">
        <v>114</v>
      </c>
      <c r="F4593" s="86" t="s">
        <v>114</v>
      </c>
      <c r="G4593" s="86" t="s">
        <v>114</v>
      </c>
      <c r="H4593" s="143">
        <v>360</v>
      </c>
      <c r="I4593" s="86" t="s">
        <v>1060</v>
      </c>
      <c r="J4593" s="1" t="s">
        <v>3325</v>
      </c>
      <c r="K4593" s="1" t="s">
        <v>3287</v>
      </c>
      <c r="L4593" s="1" t="s">
        <v>35</v>
      </c>
      <c r="M4593" s="86" t="s">
        <v>1866</v>
      </c>
      <c r="N4593" s="86"/>
      <c r="O4593" s="47" t="s">
        <v>2054</v>
      </c>
      <c r="P4593" s="47" t="s">
        <v>41</v>
      </c>
      <c r="Q4593" s="14">
        <v>0</v>
      </c>
      <c r="R4593" s="143" t="s">
        <v>1867</v>
      </c>
      <c r="S4593" s="47"/>
      <c r="T4593" s="6">
        <v>-2326.79</v>
      </c>
      <c r="U4593" s="6"/>
      <c r="V4593" s="6">
        <v>0</v>
      </c>
      <c r="W4593" s="6">
        <f t="shared" si="695"/>
        <v>-2326.79</v>
      </c>
      <c r="X4593" s="6">
        <f t="shared" si="696"/>
        <v>0</v>
      </c>
      <c r="Y4593" s="13">
        <f t="shared" si="699"/>
        <v>0</v>
      </c>
      <c r="Z4593" s="14">
        <v>0</v>
      </c>
      <c r="AA4593" s="6">
        <v>0</v>
      </c>
      <c r="AB4593" s="4">
        <f t="shared" si="700"/>
        <v>0</v>
      </c>
      <c r="AC4593" s="4">
        <f t="shared" si="702"/>
        <v>0</v>
      </c>
      <c r="AD4593" s="6">
        <f t="shared" si="697"/>
        <v>0</v>
      </c>
      <c r="AE4593" s="2">
        <f>VLOOKUP(I4593,[1]媒体政策预估表!A:N,MATCH(O4593,[1]媒体政策预估表!$A$2:$M$2,0),0)</f>
        <v>0.12</v>
      </c>
      <c r="AF4593" s="6">
        <f t="shared" si="703"/>
        <v>0</v>
      </c>
      <c r="AG4593" s="14">
        <v>0</v>
      </c>
      <c r="AH4593" s="65">
        <f t="shared" si="698"/>
        <v>0</v>
      </c>
      <c r="AI4593" s="47"/>
      <c r="AJ4593" s="126" t="e">
        <v>#N/A</v>
      </c>
      <c r="AK4593" s="80">
        <f t="shared" si="701"/>
        <v>0</v>
      </c>
      <c r="AM4593" s="85"/>
    </row>
    <row r="4594" spans="1:39" hidden="1" x14ac:dyDescent="0.3">
      <c r="A4594" s="89" t="s">
        <v>3394</v>
      </c>
      <c r="B4594" s="86" t="s">
        <v>35</v>
      </c>
      <c r="C4594" s="86" t="s">
        <v>164</v>
      </c>
      <c r="D4594" s="86" t="s">
        <v>165</v>
      </c>
      <c r="E4594" s="86" t="s">
        <v>1538</v>
      </c>
      <c r="F4594" s="86" t="s">
        <v>1538</v>
      </c>
      <c r="G4594" s="86" t="s">
        <v>1538</v>
      </c>
      <c r="H4594" s="144">
        <v>364</v>
      </c>
      <c r="I4594" s="86" t="s">
        <v>887</v>
      </c>
      <c r="J4594" s="1" t="s">
        <v>3323</v>
      </c>
      <c r="K4594" s="1" t="s">
        <v>3277</v>
      </c>
      <c r="L4594" s="1" t="s">
        <v>35</v>
      </c>
      <c r="M4594" s="86" t="s">
        <v>1539</v>
      </c>
      <c r="N4594" s="86"/>
      <c r="O4594" s="47" t="s">
        <v>45</v>
      </c>
      <c r="P4594" s="47" t="s">
        <v>41</v>
      </c>
      <c r="Q4594" s="14">
        <v>0</v>
      </c>
      <c r="R4594" s="143" t="s">
        <v>1540</v>
      </c>
      <c r="S4594" s="47"/>
      <c r="T4594" s="6">
        <v>-107936.18442000001</v>
      </c>
      <c r="U4594" s="6"/>
      <c r="V4594" s="6">
        <v>106690.13604</v>
      </c>
      <c r="W4594" s="6">
        <f t="shared" si="695"/>
        <v>-214626.32046000002</v>
      </c>
      <c r="X4594" s="6">
        <f t="shared" si="696"/>
        <v>106690.13604</v>
      </c>
      <c r="Y4594" s="13">
        <f t="shared" si="699"/>
        <v>0</v>
      </c>
      <c r="Z4594" s="14">
        <v>0</v>
      </c>
      <c r="AA4594" s="6">
        <v>0</v>
      </c>
      <c r="AB4594" s="4">
        <f t="shared" si="700"/>
        <v>106690.13604</v>
      </c>
      <c r="AC4594" s="4">
        <f t="shared" si="702"/>
        <v>0</v>
      </c>
      <c r="AD4594" s="6">
        <f t="shared" si="697"/>
        <v>106690.13604</v>
      </c>
      <c r="AE4594" s="2">
        <f>VLOOKUP(I4594,[1]媒体政策预估表!A:N,MATCH(O4594,[1]媒体政策预估表!$A$2:$M$2,0),0)</f>
        <v>0.04</v>
      </c>
      <c r="AF4594" s="6">
        <f t="shared" si="703"/>
        <v>4267.6054415999997</v>
      </c>
      <c r="AG4594" s="14">
        <v>0</v>
      </c>
      <c r="AH4594" s="65">
        <f t="shared" si="698"/>
        <v>106690.13604</v>
      </c>
      <c r="AI4594" s="47"/>
      <c r="AJ4594" s="126" t="e">
        <v>#N/A</v>
      </c>
      <c r="AK4594" s="80">
        <f t="shared" si="701"/>
        <v>0</v>
      </c>
      <c r="AM4594" s="85"/>
    </row>
    <row r="4595" spans="1:39" hidden="1" x14ac:dyDescent="0.3">
      <c r="A4595" s="89" t="s">
        <v>3394</v>
      </c>
      <c r="B4595" s="86" t="s">
        <v>35</v>
      </c>
      <c r="C4595" s="86" t="s">
        <v>164</v>
      </c>
      <c r="D4595" s="86" t="s">
        <v>165</v>
      </c>
      <c r="E4595" s="86" t="s">
        <v>1538</v>
      </c>
      <c r="F4595" s="86" t="s">
        <v>1538</v>
      </c>
      <c r="G4595" s="86" t="s">
        <v>1538</v>
      </c>
      <c r="H4595" s="144">
        <v>364</v>
      </c>
      <c r="I4595" s="86" t="s">
        <v>887</v>
      </c>
      <c r="J4595" s="1" t="s">
        <v>3323</v>
      </c>
      <c r="K4595" s="1" t="s">
        <v>3277</v>
      </c>
      <c r="L4595" s="1" t="s">
        <v>35</v>
      </c>
      <c r="M4595" s="86" t="s">
        <v>1539</v>
      </c>
      <c r="N4595" s="86"/>
      <c r="O4595" s="47" t="s">
        <v>941</v>
      </c>
      <c r="P4595" s="47" t="s">
        <v>41</v>
      </c>
      <c r="Q4595" s="14">
        <v>0</v>
      </c>
      <c r="R4595" s="143" t="s">
        <v>1540</v>
      </c>
      <c r="S4595" s="47"/>
      <c r="T4595" s="6">
        <v>-163532.91376</v>
      </c>
      <c r="U4595" s="6"/>
      <c r="V4595" s="6">
        <v>180644.51397999999</v>
      </c>
      <c r="W4595" s="6">
        <f t="shared" si="695"/>
        <v>-344177.42773999996</v>
      </c>
      <c r="X4595" s="6">
        <f t="shared" si="696"/>
        <v>180644.51397999999</v>
      </c>
      <c r="Y4595" s="13">
        <f t="shared" si="699"/>
        <v>0</v>
      </c>
      <c r="Z4595" s="14">
        <v>0</v>
      </c>
      <c r="AA4595" s="6">
        <v>0</v>
      </c>
      <c r="AB4595" s="4">
        <f t="shared" si="700"/>
        <v>180644.51397999999</v>
      </c>
      <c r="AC4595" s="4">
        <f t="shared" si="702"/>
        <v>0</v>
      </c>
      <c r="AD4595" s="6">
        <f t="shared" si="697"/>
        <v>180644.51397999999</v>
      </c>
      <c r="AE4595" s="2">
        <f>VLOOKUP(I4595,[1]媒体政策预估表!A:N,MATCH(O4595,[1]媒体政策预估表!$A$2:$M$2,0),0)</f>
        <v>0.04</v>
      </c>
      <c r="AF4595" s="6">
        <f t="shared" si="703"/>
        <v>7225.7805591999995</v>
      </c>
      <c r="AG4595" s="14">
        <v>0</v>
      </c>
      <c r="AH4595" s="65">
        <f t="shared" si="698"/>
        <v>180644.51397999999</v>
      </c>
      <c r="AI4595" s="47"/>
      <c r="AJ4595" s="126" t="e">
        <v>#N/A</v>
      </c>
      <c r="AK4595" s="80">
        <f t="shared" si="701"/>
        <v>0</v>
      </c>
      <c r="AM4595" s="85"/>
    </row>
    <row r="4596" spans="1:39" hidden="1" x14ac:dyDescent="0.3">
      <c r="A4596" s="89" t="s">
        <v>3394</v>
      </c>
      <c r="B4596" s="86" t="s">
        <v>35</v>
      </c>
      <c r="C4596" s="86" t="s">
        <v>164</v>
      </c>
      <c r="D4596" s="86" t="s">
        <v>165</v>
      </c>
      <c r="E4596" s="86" t="s">
        <v>1538</v>
      </c>
      <c r="F4596" s="86" t="s">
        <v>1538</v>
      </c>
      <c r="G4596" s="86" t="s">
        <v>1538</v>
      </c>
      <c r="H4596" s="144">
        <v>364</v>
      </c>
      <c r="I4596" s="86" t="s">
        <v>887</v>
      </c>
      <c r="J4596" s="1" t="s">
        <v>3323</v>
      </c>
      <c r="K4596" s="1" t="s">
        <v>3277</v>
      </c>
      <c r="L4596" s="1" t="s">
        <v>35</v>
      </c>
      <c r="M4596" s="86" t="s">
        <v>1539</v>
      </c>
      <c r="N4596" s="86"/>
      <c r="O4596" s="47" t="s">
        <v>2054</v>
      </c>
      <c r="P4596" s="47" t="s">
        <v>41</v>
      </c>
      <c r="Q4596" s="14">
        <v>0</v>
      </c>
      <c r="R4596" s="143" t="s">
        <v>1540</v>
      </c>
      <c r="S4596" s="47"/>
      <c r="T4596" s="6">
        <v>-6493.6439600000003</v>
      </c>
      <c r="U4596" s="6"/>
      <c r="V4596" s="6">
        <v>6939.3189700000003</v>
      </c>
      <c r="W4596" s="6">
        <f t="shared" si="695"/>
        <v>-13432.962930000002</v>
      </c>
      <c r="X4596" s="6">
        <f t="shared" si="696"/>
        <v>6939.3189700000003</v>
      </c>
      <c r="Y4596" s="13">
        <f t="shared" si="699"/>
        <v>0</v>
      </c>
      <c r="Z4596" s="14">
        <v>0</v>
      </c>
      <c r="AA4596" s="6">
        <v>0</v>
      </c>
      <c r="AB4596" s="4">
        <f t="shared" si="700"/>
        <v>6939.3189700000003</v>
      </c>
      <c r="AC4596" s="4">
        <f t="shared" si="702"/>
        <v>0</v>
      </c>
      <c r="AD4596" s="6">
        <f t="shared" si="697"/>
        <v>6939.3189700000003</v>
      </c>
      <c r="AE4596" s="2">
        <f>VLOOKUP(I4596,[1]媒体政策预估表!A:N,MATCH(O4596,[1]媒体政策预估表!$A$2:$M$2,0),0)</f>
        <v>0.04</v>
      </c>
      <c r="AF4596" s="6">
        <f t="shared" si="703"/>
        <v>277.57275880000003</v>
      </c>
      <c r="AG4596" s="14">
        <v>0</v>
      </c>
      <c r="AH4596" s="65">
        <f t="shared" si="698"/>
        <v>6939.3189700000003</v>
      </c>
      <c r="AI4596" s="47"/>
      <c r="AJ4596" s="126" t="e">
        <v>#N/A</v>
      </c>
      <c r="AK4596" s="80">
        <f t="shared" si="701"/>
        <v>0</v>
      </c>
      <c r="AM4596" s="85"/>
    </row>
    <row r="4597" spans="1:39" hidden="1" x14ac:dyDescent="0.3">
      <c r="A4597" s="89" t="s">
        <v>3394</v>
      </c>
      <c r="B4597" s="86" t="s">
        <v>35</v>
      </c>
      <c r="C4597" s="86" t="s">
        <v>164</v>
      </c>
      <c r="D4597" s="86" t="s">
        <v>181</v>
      </c>
      <c r="E4597" s="86" t="s">
        <v>182</v>
      </c>
      <c r="F4597" s="86" t="s">
        <v>183</v>
      </c>
      <c r="G4597" s="86" t="s">
        <v>182</v>
      </c>
      <c r="H4597" s="144">
        <v>304</v>
      </c>
      <c r="I4597" s="86" t="s">
        <v>610</v>
      </c>
      <c r="J4597" s="1" t="s">
        <v>3323</v>
      </c>
      <c r="K4597" s="1" t="s">
        <v>3370</v>
      </c>
      <c r="L4597" s="1" t="s">
        <v>35</v>
      </c>
      <c r="M4597" s="86" t="s">
        <v>1832</v>
      </c>
      <c r="N4597" s="86"/>
      <c r="O4597" s="47" t="s">
        <v>45</v>
      </c>
      <c r="P4597" s="47" t="s">
        <v>41</v>
      </c>
      <c r="Q4597" s="14">
        <v>0</v>
      </c>
      <c r="R4597" s="143" t="s">
        <v>1834</v>
      </c>
      <c r="S4597" s="47"/>
      <c r="T4597" s="6">
        <v>177858.60141</v>
      </c>
      <c r="U4597" s="6"/>
      <c r="V4597" s="6">
        <v>45530.177490000002</v>
      </c>
      <c r="W4597" s="6">
        <f t="shared" si="695"/>
        <v>132328.42392</v>
      </c>
      <c r="X4597" s="6">
        <f t="shared" si="696"/>
        <v>45530.177490000002</v>
      </c>
      <c r="Y4597" s="13">
        <f t="shared" si="699"/>
        <v>368.99502743456833</v>
      </c>
      <c r="Z4597" s="14">
        <v>0</v>
      </c>
      <c r="AA4597" s="6">
        <v>0</v>
      </c>
      <c r="AB4597" s="4">
        <f t="shared" si="700"/>
        <v>45530.177490000002</v>
      </c>
      <c r="AC4597" s="4">
        <f t="shared" si="702"/>
        <v>0</v>
      </c>
      <c r="AD4597" s="6">
        <f t="shared" ref="AD4597:AD4600" si="704">V4597*0.99189559435573</f>
        <v>45161.182462565434</v>
      </c>
      <c r="AE4597" s="2">
        <f>VLOOKUP(I4597,[1]媒体政策预估表!A:N,MATCH(O4597,[1]媒体政策预估表!$A$2:$M$2,0),0)</f>
        <v>0.04</v>
      </c>
      <c r="AF4597" s="6">
        <f t="shared" si="703"/>
        <v>1806.4472985026173</v>
      </c>
      <c r="AG4597" s="14">
        <v>0</v>
      </c>
      <c r="AH4597" s="65">
        <f t="shared" si="698"/>
        <v>45530.177490000002</v>
      </c>
      <c r="AI4597" s="47"/>
      <c r="AJ4597" s="126" t="e">
        <v>#N/A</v>
      </c>
      <c r="AK4597" s="80">
        <f t="shared" si="701"/>
        <v>0</v>
      </c>
      <c r="AM4597" s="85"/>
    </row>
    <row r="4598" spans="1:39" hidden="1" x14ac:dyDescent="0.3">
      <c r="A4598" s="89" t="s">
        <v>3395</v>
      </c>
      <c r="B4598" s="86" t="s">
        <v>35</v>
      </c>
      <c r="C4598" s="86" t="s">
        <v>164</v>
      </c>
      <c r="D4598" s="86" t="s">
        <v>181</v>
      </c>
      <c r="E4598" s="86" t="s">
        <v>182</v>
      </c>
      <c r="F4598" s="86" t="s">
        <v>183</v>
      </c>
      <c r="G4598" s="86" t="s">
        <v>182</v>
      </c>
      <c r="H4598" s="144">
        <v>304</v>
      </c>
      <c r="I4598" s="86" t="s">
        <v>610</v>
      </c>
      <c r="J4598" s="1" t="s">
        <v>3323</v>
      </c>
      <c r="K4598" s="1" t="s">
        <v>3370</v>
      </c>
      <c r="L4598" s="1" t="s">
        <v>35</v>
      </c>
      <c r="M4598" s="86" t="s">
        <v>1832</v>
      </c>
      <c r="N4598" s="86"/>
      <c r="O4598" s="47" t="s">
        <v>941</v>
      </c>
      <c r="P4598" s="47" t="s">
        <v>41</v>
      </c>
      <c r="Q4598" s="14">
        <v>0</v>
      </c>
      <c r="R4598" s="143" t="s">
        <v>1834</v>
      </c>
      <c r="S4598" s="47"/>
      <c r="T4598" s="6">
        <v>-3766.68138</v>
      </c>
      <c r="U4598" s="6"/>
      <c r="V4598" s="6">
        <v>1315.09538</v>
      </c>
      <c r="W4598" s="6">
        <f t="shared" si="695"/>
        <v>-5081.7767599999997</v>
      </c>
      <c r="X4598" s="6">
        <f t="shared" si="696"/>
        <v>1315.09538</v>
      </c>
      <c r="Y4598" s="13">
        <f t="shared" si="699"/>
        <v>10.658066420425257</v>
      </c>
      <c r="Z4598" s="14">
        <v>0</v>
      </c>
      <c r="AA4598" s="6">
        <v>0</v>
      </c>
      <c r="AB4598" s="4">
        <f t="shared" si="700"/>
        <v>1315.09538</v>
      </c>
      <c r="AC4598" s="4">
        <f t="shared" si="702"/>
        <v>0</v>
      </c>
      <c r="AD4598" s="6">
        <f t="shared" si="704"/>
        <v>1304.4373135795747</v>
      </c>
      <c r="AE4598" s="2">
        <f>VLOOKUP(I4598,[1]媒体政策预估表!A:N,MATCH(O4598,[1]媒体政策预估表!$A$2:$M$2,0),0)</f>
        <v>0.04</v>
      </c>
      <c r="AF4598" s="6">
        <f t="shared" si="703"/>
        <v>52.177492543182993</v>
      </c>
      <c r="AG4598" s="14">
        <v>0</v>
      </c>
      <c r="AH4598" s="65">
        <f t="shared" si="698"/>
        <v>1315.09538</v>
      </c>
      <c r="AI4598" s="47"/>
      <c r="AJ4598" s="126" t="e">
        <v>#N/A</v>
      </c>
      <c r="AK4598" s="80">
        <f t="shared" si="701"/>
        <v>0</v>
      </c>
      <c r="AM4598" s="85"/>
    </row>
    <row r="4599" spans="1:39" hidden="1" x14ac:dyDescent="0.3">
      <c r="A4599" s="89" t="s">
        <v>3395</v>
      </c>
      <c r="B4599" s="86" t="s">
        <v>35</v>
      </c>
      <c r="C4599" s="86" t="s">
        <v>164</v>
      </c>
      <c r="D4599" s="86" t="s">
        <v>181</v>
      </c>
      <c r="E4599" s="86" t="s">
        <v>182</v>
      </c>
      <c r="F4599" s="86" t="s">
        <v>183</v>
      </c>
      <c r="G4599" s="86" t="s">
        <v>182</v>
      </c>
      <c r="H4599" s="144">
        <v>304</v>
      </c>
      <c r="I4599" s="86" t="s">
        <v>610</v>
      </c>
      <c r="J4599" s="1" t="s">
        <v>3323</v>
      </c>
      <c r="K4599" s="1" t="s">
        <v>3370</v>
      </c>
      <c r="L4599" s="1" t="s">
        <v>35</v>
      </c>
      <c r="M4599" s="86" t="s">
        <v>1832</v>
      </c>
      <c r="N4599" s="86"/>
      <c r="O4599" s="47" t="s">
        <v>2054</v>
      </c>
      <c r="P4599" s="47" t="s">
        <v>41</v>
      </c>
      <c r="Q4599" s="14">
        <v>0</v>
      </c>
      <c r="R4599" s="143" t="s">
        <v>1834</v>
      </c>
      <c r="S4599" s="47"/>
      <c r="T4599" s="6">
        <v>-80823.064840000006</v>
      </c>
      <c r="U4599" s="6"/>
      <c r="V4599" s="6">
        <v>42026.42151</v>
      </c>
      <c r="W4599" s="6">
        <f t="shared" si="695"/>
        <v>-122849.48635000001</v>
      </c>
      <c r="X4599" s="6">
        <f t="shared" si="696"/>
        <v>42026.42151</v>
      </c>
      <c r="Y4599" s="13">
        <f t="shared" si="699"/>
        <v>340.59916769411211</v>
      </c>
      <c r="Z4599" s="14">
        <v>0</v>
      </c>
      <c r="AA4599" s="6">
        <v>0</v>
      </c>
      <c r="AB4599" s="4">
        <f t="shared" si="700"/>
        <v>42026.42151</v>
      </c>
      <c r="AC4599" s="4">
        <f t="shared" si="702"/>
        <v>0</v>
      </c>
      <c r="AD4599" s="6">
        <f t="shared" si="704"/>
        <v>41685.822342305888</v>
      </c>
      <c r="AE4599" s="2">
        <f>VLOOKUP(I4599,[1]媒体政策预估表!A:N,MATCH(O4599,[1]媒体政策预估表!$A$2:$M$2,0),0)</f>
        <v>0.04</v>
      </c>
      <c r="AF4599" s="6">
        <f t="shared" si="703"/>
        <v>1667.4328936922357</v>
      </c>
      <c r="AG4599" s="14">
        <v>0</v>
      </c>
      <c r="AH4599" s="65">
        <f t="shared" si="698"/>
        <v>42026.42151</v>
      </c>
      <c r="AI4599" s="47"/>
      <c r="AJ4599" s="126" t="e">
        <v>#N/A</v>
      </c>
      <c r="AK4599" s="80">
        <f t="shared" si="701"/>
        <v>0</v>
      </c>
      <c r="AM4599" s="85"/>
    </row>
    <row r="4600" spans="1:39" hidden="1" x14ac:dyDescent="0.3">
      <c r="A4600" s="89" t="s">
        <v>3394</v>
      </c>
      <c r="B4600" s="86" t="s">
        <v>35</v>
      </c>
      <c r="C4600" s="86" t="s">
        <v>164</v>
      </c>
      <c r="D4600" s="86" t="s">
        <v>181</v>
      </c>
      <c r="E4600" s="86" t="s">
        <v>182</v>
      </c>
      <c r="F4600" s="86" t="s">
        <v>183</v>
      </c>
      <c r="G4600" s="86" t="s">
        <v>182</v>
      </c>
      <c r="H4600" s="144">
        <v>304</v>
      </c>
      <c r="I4600" s="86" t="s">
        <v>610</v>
      </c>
      <c r="J4600" s="1" t="s">
        <v>3323</v>
      </c>
      <c r="K4600" s="1" t="s">
        <v>3370</v>
      </c>
      <c r="L4600" s="1" t="s">
        <v>35</v>
      </c>
      <c r="M4600" s="86" t="s">
        <v>1832</v>
      </c>
      <c r="N4600" s="86"/>
      <c r="O4600" s="47" t="s">
        <v>410</v>
      </c>
      <c r="P4600" s="47" t="s">
        <v>41</v>
      </c>
      <c r="Q4600" s="14">
        <v>0</v>
      </c>
      <c r="R4600" s="143" t="s">
        <v>1833</v>
      </c>
      <c r="S4600" s="47"/>
      <c r="T4600" s="6">
        <v>273973.39060000004</v>
      </c>
      <c r="U4600" s="6"/>
      <c r="V4600" s="6">
        <v>257222.58087000001</v>
      </c>
      <c r="W4600" s="6">
        <f t="shared" si="695"/>
        <v>16750.809730000037</v>
      </c>
      <c r="X4600" s="6">
        <f t="shared" si="696"/>
        <v>257222.58087000001</v>
      </c>
      <c r="Y4600" s="13">
        <f t="shared" si="699"/>
        <v>2084.6361362365133</v>
      </c>
      <c r="Z4600" s="14">
        <v>0</v>
      </c>
      <c r="AA4600" s="6">
        <v>0</v>
      </c>
      <c r="AB4600" s="4">
        <f t="shared" si="700"/>
        <v>257222.58087000001</v>
      </c>
      <c r="AC4600" s="4">
        <f t="shared" si="702"/>
        <v>0</v>
      </c>
      <c r="AD4600" s="6">
        <f t="shared" si="704"/>
        <v>255137.94473376349</v>
      </c>
      <c r="AE4600" s="2">
        <f>VLOOKUP(I4600,[1]媒体政策预估表!A:N,MATCH(O4600,[1]媒体政策预估表!$A$2:$M$2,0),0)</f>
        <v>0.02</v>
      </c>
      <c r="AF4600" s="6">
        <f t="shared" si="703"/>
        <v>5102.7588946752703</v>
      </c>
      <c r="AG4600" s="14">
        <v>0</v>
      </c>
      <c r="AH4600" s="65">
        <f t="shared" si="698"/>
        <v>257222.58087000001</v>
      </c>
      <c r="AI4600" s="47"/>
      <c r="AJ4600" s="126" t="e">
        <v>#N/A</v>
      </c>
      <c r="AK4600" s="80">
        <f t="shared" si="701"/>
        <v>0</v>
      </c>
      <c r="AM4600" s="85"/>
    </row>
    <row r="4601" spans="1:39" hidden="1" x14ac:dyDescent="0.3">
      <c r="A4601" s="89" t="s">
        <v>3395</v>
      </c>
      <c r="B4601" s="86" t="s">
        <v>35</v>
      </c>
      <c r="C4601" s="86" t="s">
        <v>65</v>
      </c>
      <c r="D4601" s="86" t="s">
        <v>122</v>
      </c>
      <c r="E4601" s="86" t="s">
        <v>1266</v>
      </c>
      <c r="F4601" s="15" t="s">
        <v>3687</v>
      </c>
      <c r="G4601" s="86" t="s">
        <v>1266</v>
      </c>
      <c r="H4601" s="144">
        <v>360</v>
      </c>
      <c r="I4601" s="86" t="s">
        <v>1060</v>
      </c>
      <c r="J4601" s="1" t="s">
        <v>3325</v>
      </c>
      <c r="K4601" s="1" t="s">
        <v>3287</v>
      </c>
      <c r="L4601" s="1" t="s">
        <v>35</v>
      </c>
      <c r="M4601" s="86" t="s">
        <v>1267</v>
      </c>
      <c r="N4601" s="86"/>
      <c r="O4601" s="47" t="s">
        <v>2054</v>
      </c>
      <c r="P4601" s="8" t="s">
        <v>3688</v>
      </c>
      <c r="Q4601" s="14">
        <v>0.02</v>
      </c>
      <c r="R4601" s="143" t="s">
        <v>1268</v>
      </c>
      <c r="S4601" s="47"/>
      <c r="T4601" s="6">
        <v>-1499.8109899999999</v>
      </c>
      <c r="U4601" s="6"/>
      <c r="V4601" s="6">
        <v>1003.07304</v>
      </c>
      <c r="W4601" s="6">
        <f t="shared" si="695"/>
        <v>-2502.8840300000002</v>
      </c>
      <c r="X4601" s="6">
        <f t="shared" si="696"/>
        <v>983.40494117647052</v>
      </c>
      <c r="Y4601" s="13">
        <f t="shared" si="699"/>
        <v>0</v>
      </c>
      <c r="Z4601" s="14">
        <v>0</v>
      </c>
      <c r="AA4601" s="6">
        <v>0</v>
      </c>
      <c r="AB4601" s="4">
        <f t="shared" si="700"/>
        <v>983.40494117647052</v>
      </c>
      <c r="AC4601" s="4">
        <f t="shared" si="702"/>
        <v>19.668098823529476</v>
      </c>
      <c r="AD4601" s="6">
        <f t="shared" si="697"/>
        <v>1003.07304</v>
      </c>
      <c r="AE4601" s="2">
        <f>VLOOKUP(I4601,[1]媒体政策预估表!A:N,MATCH(O4601,[1]媒体政策预估表!$A$2:$M$2,0),0)</f>
        <v>0.12</v>
      </c>
      <c r="AF4601" s="6">
        <f t="shared" si="703"/>
        <v>120.36876479999999</v>
      </c>
      <c r="AG4601" s="14">
        <v>0</v>
      </c>
      <c r="AH4601" s="65">
        <f t="shared" si="698"/>
        <v>1003.07304</v>
      </c>
      <c r="AI4601" s="47"/>
      <c r="AJ4601" s="126" t="e">
        <v>#N/A</v>
      </c>
      <c r="AK4601" s="80">
        <f t="shared" si="701"/>
        <v>0</v>
      </c>
      <c r="AM4601" s="85"/>
    </row>
    <row r="4602" spans="1:39" hidden="1" x14ac:dyDescent="0.3">
      <c r="A4602" s="89" t="s">
        <v>3395</v>
      </c>
      <c r="B4602" s="86" t="s">
        <v>35</v>
      </c>
      <c r="C4602" s="86" t="s">
        <v>36</v>
      </c>
      <c r="D4602" s="86" t="s">
        <v>224</v>
      </c>
      <c r="E4602" s="86" t="s">
        <v>1132</v>
      </c>
      <c r="F4602" s="86" t="s">
        <v>1132</v>
      </c>
      <c r="G4602" s="86" t="s">
        <v>1132</v>
      </c>
      <c r="H4602" s="143">
        <v>360</v>
      </c>
      <c r="I4602" s="86" t="s">
        <v>1060</v>
      </c>
      <c r="J4602" s="1" t="s">
        <v>3325</v>
      </c>
      <c r="K4602" s="1" t="s">
        <v>3287</v>
      </c>
      <c r="L4602" s="1" t="s">
        <v>35</v>
      </c>
      <c r="M4602" s="86" t="s">
        <v>1132</v>
      </c>
      <c r="N4602" s="86"/>
      <c r="O4602" s="47" t="s">
        <v>45</v>
      </c>
      <c r="P4602" s="47" t="s">
        <v>41</v>
      </c>
      <c r="Q4602" s="14">
        <v>0</v>
      </c>
      <c r="R4602" s="143" t="s">
        <v>1133</v>
      </c>
      <c r="S4602" s="47"/>
      <c r="T4602" s="6">
        <v>-470.1</v>
      </c>
      <c r="U4602" s="6"/>
      <c r="V4602" s="6">
        <v>0</v>
      </c>
      <c r="W4602" s="6">
        <f t="shared" si="695"/>
        <v>-470.1</v>
      </c>
      <c r="X4602" s="6">
        <f t="shared" si="696"/>
        <v>0</v>
      </c>
      <c r="Y4602" s="13">
        <f t="shared" si="699"/>
        <v>0</v>
      </c>
      <c r="Z4602" s="14">
        <v>0</v>
      </c>
      <c r="AA4602" s="6">
        <v>0</v>
      </c>
      <c r="AB4602" s="4">
        <f t="shared" si="700"/>
        <v>0</v>
      </c>
      <c r="AC4602" s="4">
        <f t="shared" si="702"/>
        <v>0</v>
      </c>
      <c r="AD4602" s="6">
        <f t="shared" si="697"/>
        <v>0</v>
      </c>
      <c r="AE4602" s="2">
        <f>VLOOKUP(I4602,[1]媒体政策预估表!A:N,MATCH(O4602,[1]媒体政策预估表!$A$2:$M$2,0),0)</f>
        <v>0.12</v>
      </c>
      <c r="AF4602" s="6">
        <f t="shared" si="703"/>
        <v>0</v>
      </c>
      <c r="AG4602" s="14">
        <v>0</v>
      </c>
      <c r="AH4602" s="65">
        <f t="shared" si="698"/>
        <v>0</v>
      </c>
      <c r="AI4602" s="47"/>
      <c r="AJ4602" s="126" t="e">
        <v>#N/A</v>
      </c>
      <c r="AK4602" s="80">
        <f t="shared" si="701"/>
        <v>0</v>
      </c>
      <c r="AM4602" s="85"/>
    </row>
    <row r="4603" spans="1:39" hidden="1" x14ac:dyDescent="0.3">
      <c r="A4603" s="89" t="s">
        <v>3394</v>
      </c>
      <c r="B4603" s="86" t="s">
        <v>35</v>
      </c>
      <c r="C4603" s="86" t="s">
        <v>36</v>
      </c>
      <c r="D4603" s="86" t="s">
        <v>224</v>
      </c>
      <c r="E4603" s="86" t="s">
        <v>1132</v>
      </c>
      <c r="F4603" s="86" t="s">
        <v>1132</v>
      </c>
      <c r="G4603" s="86" t="s">
        <v>1132</v>
      </c>
      <c r="H4603" s="143">
        <v>360</v>
      </c>
      <c r="I4603" s="86" t="s">
        <v>1060</v>
      </c>
      <c r="J4603" s="1" t="s">
        <v>3325</v>
      </c>
      <c r="K4603" s="1" t="s">
        <v>3287</v>
      </c>
      <c r="L4603" s="1" t="s">
        <v>35</v>
      </c>
      <c r="M4603" s="86" t="s">
        <v>1132</v>
      </c>
      <c r="N4603" s="86"/>
      <c r="O4603" s="47" t="s">
        <v>2054</v>
      </c>
      <c r="P4603" s="47" t="s">
        <v>41</v>
      </c>
      <c r="Q4603" s="14">
        <v>0</v>
      </c>
      <c r="R4603" s="143" t="s">
        <v>1133</v>
      </c>
      <c r="S4603" s="47"/>
      <c r="T4603" s="6">
        <v>-8.6999999999999993</v>
      </c>
      <c r="U4603" s="6"/>
      <c r="V4603" s="6">
        <v>0</v>
      </c>
      <c r="W4603" s="6">
        <f t="shared" ref="W4603:W4653" si="705">T4603+U4603-V4603</f>
        <v>-8.6999999999999993</v>
      </c>
      <c r="X4603" s="6">
        <f t="shared" ref="X4603:X4666" si="706">IF(P4603="折扣",V4603*Q4603,IF(P4603="返现",V4603,V4603/(1+Q4603)))</f>
        <v>0</v>
      </c>
      <c r="Y4603" s="13">
        <f t="shared" si="699"/>
        <v>0</v>
      </c>
      <c r="Z4603" s="14">
        <v>0</v>
      </c>
      <c r="AA4603" s="6">
        <v>0</v>
      </c>
      <c r="AB4603" s="4">
        <f t="shared" si="700"/>
        <v>0</v>
      </c>
      <c r="AC4603" s="4">
        <f t="shared" si="702"/>
        <v>0</v>
      </c>
      <c r="AD4603" s="6">
        <f t="shared" ref="AD4603:AD4653" si="707">V4603</f>
        <v>0</v>
      </c>
      <c r="AE4603" s="2">
        <f>VLOOKUP(I4603,[1]媒体政策预估表!A:N,MATCH(O4603,[1]媒体政策预估表!$A$2:$M$2,0),0)</f>
        <v>0.12</v>
      </c>
      <c r="AF4603" s="6">
        <f t="shared" si="703"/>
        <v>0</v>
      </c>
      <c r="AG4603" s="14">
        <v>0</v>
      </c>
      <c r="AH4603" s="65">
        <f t="shared" ref="AH4603:AH4653" si="708">V4603</f>
        <v>0</v>
      </c>
      <c r="AI4603" s="47"/>
      <c r="AJ4603" s="126" t="e">
        <v>#N/A</v>
      </c>
      <c r="AK4603" s="80">
        <f t="shared" si="701"/>
        <v>0</v>
      </c>
      <c r="AM4603" s="85"/>
    </row>
    <row r="4604" spans="1:39" hidden="1" x14ac:dyDescent="0.3">
      <c r="A4604" s="89" t="s">
        <v>3395</v>
      </c>
      <c r="B4604" s="86" t="s">
        <v>35</v>
      </c>
      <c r="C4604" s="86" t="s">
        <v>144</v>
      </c>
      <c r="D4604" s="86" t="s">
        <v>145</v>
      </c>
      <c r="E4604" s="86" t="s">
        <v>1388</v>
      </c>
      <c r="F4604" s="86" t="s">
        <v>1388</v>
      </c>
      <c r="G4604" s="86" t="s">
        <v>1388</v>
      </c>
      <c r="H4604" s="143">
        <v>360</v>
      </c>
      <c r="I4604" s="86" t="s">
        <v>1060</v>
      </c>
      <c r="J4604" s="1" t="s">
        <v>3325</v>
      </c>
      <c r="K4604" s="1" t="s">
        <v>3287</v>
      </c>
      <c r="L4604" s="1" t="s">
        <v>35</v>
      </c>
      <c r="M4604" s="86" t="s">
        <v>1388</v>
      </c>
      <c r="N4604" s="86"/>
      <c r="O4604" s="47" t="s">
        <v>45</v>
      </c>
      <c r="P4604" s="47" t="s">
        <v>41</v>
      </c>
      <c r="Q4604" s="14">
        <v>0</v>
      </c>
      <c r="R4604" s="143" t="s">
        <v>1389</v>
      </c>
      <c r="S4604" s="47"/>
      <c r="T4604" s="6">
        <v>-908.48</v>
      </c>
      <c r="U4604" s="6"/>
      <c r="V4604" s="6">
        <v>0</v>
      </c>
      <c r="W4604" s="6">
        <f t="shared" si="705"/>
        <v>-908.48</v>
      </c>
      <c r="X4604" s="6">
        <f t="shared" si="706"/>
        <v>0</v>
      </c>
      <c r="Y4604" s="13">
        <f t="shared" si="699"/>
        <v>0</v>
      </c>
      <c r="Z4604" s="14">
        <v>0</v>
      </c>
      <c r="AA4604" s="6">
        <v>0</v>
      </c>
      <c r="AB4604" s="4">
        <f t="shared" si="700"/>
        <v>0</v>
      </c>
      <c r="AC4604" s="4">
        <f t="shared" si="702"/>
        <v>0</v>
      </c>
      <c r="AD4604" s="6">
        <f t="shared" si="707"/>
        <v>0</v>
      </c>
      <c r="AE4604" s="2">
        <f>VLOOKUP(I4604,[1]媒体政策预估表!A:N,MATCH(O4604,[1]媒体政策预估表!$A$2:$M$2,0),0)</f>
        <v>0.12</v>
      </c>
      <c r="AF4604" s="6">
        <f t="shared" si="703"/>
        <v>0</v>
      </c>
      <c r="AG4604" s="14">
        <v>0</v>
      </c>
      <c r="AH4604" s="65">
        <f t="shared" si="708"/>
        <v>0</v>
      </c>
      <c r="AI4604" s="47"/>
      <c r="AJ4604" s="126" t="e">
        <v>#N/A</v>
      </c>
      <c r="AK4604" s="80">
        <f t="shared" si="701"/>
        <v>0</v>
      </c>
      <c r="AM4604" s="85"/>
    </row>
    <row r="4605" spans="1:39" hidden="1" x14ac:dyDescent="0.3">
      <c r="A4605" s="89" t="s">
        <v>3395</v>
      </c>
      <c r="B4605" s="86" t="s">
        <v>35</v>
      </c>
      <c r="C4605" s="86" t="s">
        <v>144</v>
      </c>
      <c r="D4605" s="86" t="s">
        <v>145</v>
      </c>
      <c r="E4605" s="86" t="s">
        <v>1388</v>
      </c>
      <c r="F4605" s="86" t="s">
        <v>1388</v>
      </c>
      <c r="G4605" s="86" t="s">
        <v>1388</v>
      </c>
      <c r="H4605" s="143">
        <v>360</v>
      </c>
      <c r="I4605" s="86" t="s">
        <v>1060</v>
      </c>
      <c r="J4605" s="1" t="s">
        <v>3325</v>
      </c>
      <c r="K4605" s="1" t="s">
        <v>3287</v>
      </c>
      <c r="L4605" s="1" t="s">
        <v>35</v>
      </c>
      <c r="M4605" s="86" t="s">
        <v>1388</v>
      </c>
      <c r="N4605" s="86"/>
      <c r="O4605" s="47" t="s">
        <v>2054</v>
      </c>
      <c r="P4605" s="47" t="s">
        <v>41</v>
      </c>
      <c r="Q4605" s="14">
        <v>0</v>
      </c>
      <c r="R4605" s="143" t="s">
        <v>1389</v>
      </c>
      <c r="S4605" s="47"/>
      <c r="T4605" s="6">
        <v>-131.84</v>
      </c>
      <c r="U4605" s="6"/>
      <c r="V4605" s="6">
        <v>0</v>
      </c>
      <c r="W4605" s="6">
        <f t="shared" si="705"/>
        <v>-131.84</v>
      </c>
      <c r="X4605" s="6">
        <f t="shared" si="706"/>
        <v>0</v>
      </c>
      <c r="Y4605" s="13">
        <f t="shared" si="699"/>
        <v>0</v>
      </c>
      <c r="Z4605" s="14">
        <v>0</v>
      </c>
      <c r="AA4605" s="6">
        <v>0</v>
      </c>
      <c r="AB4605" s="4">
        <f t="shared" si="700"/>
        <v>0</v>
      </c>
      <c r="AC4605" s="4">
        <f t="shared" si="702"/>
        <v>0</v>
      </c>
      <c r="AD4605" s="6">
        <f t="shared" si="707"/>
        <v>0</v>
      </c>
      <c r="AE4605" s="2">
        <f>VLOOKUP(I4605,[1]媒体政策预估表!A:N,MATCH(O4605,[1]媒体政策预估表!$A$2:$M$2,0),0)</f>
        <v>0.12</v>
      </c>
      <c r="AF4605" s="6">
        <f t="shared" si="703"/>
        <v>0</v>
      </c>
      <c r="AG4605" s="14">
        <v>0</v>
      </c>
      <c r="AH4605" s="65">
        <f t="shared" si="708"/>
        <v>0</v>
      </c>
      <c r="AI4605" s="47"/>
      <c r="AJ4605" s="126" t="e">
        <v>#N/A</v>
      </c>
      <c r="AK4605" s="80">
        <f t="shared" si="701"/>
        <v>0</v>
      </c>
      <c r="AM4605" s="85"/>
    </row>
    <row r="4606" spans="1:39" hidden="1" x14ac:dyDescent="0.3">
      <c r="A4606" s="89" t="s">
        <v>3395</v>
      </c>
      <c r="B4606" s="86" t="s">
        <v>35</v>
      </c>
      <c r="C4606" s="86" t="s">
        <v>164</v>
      </c>
      <c r="D4606" s="86" t="s">
        <v>174</v>
      </c>
      <c r="E4606" s="86" t="s">
        <v>180</v>
      </c>
      <c r="F4606" s="86" t="s">
        <v>180</v>
      </c>
      <c r="G4606" s="86" t="s">
        <v>180</v>
      </c>
      <c r="H4606" s="144">
        <v>360</v>
      </c>
      <c r="I4606" s="86" t="s">
        <v>1060</v>
      </c>
      <c r="J4606" s="1" t="s">
        <v>3325</v>
      </c>
      <c r="K4606" s="1" t="s">
        <v>3287</v>
      </c>
      <c r="L4606" s="1" t="s">
        <v>35</v>
      </c>
      <c r="M4606" s="86" t="s">
        <v>1820</v>
      </c>
      <c r="N4606" s="86"/>
      <c r="O4606" s="47" t="s">
        <v>45</v>
      </c>
      <c r="P4606" s="47" t="s">
        <v>41</v>
      </c>
      <c r="Q4606" s="14">
        <v>0</v>
      </c>
      <c r="R4606" s="143" t="s">
        <v>1821</v>
      </c>
      <c r="S4606" s="47"/>
      <c r="T4606" s="6">
        <v>-41713.200969999998</v>
      </c>
      <c r="U4606" s="6"/>
      <c r="V4606" s="6">
        <v>46139.86217</v>
      </c>
      <c r="W4606" s="6">
        <f t="shared" si="705"/>
        <v>-87853.063139999998</v>
      </c>
      <c r="X4606" s="6">
        <f t="shared" si="706"/>
        <v>46139.86217</v>
      </c>
      <c r="Y4606" s="13">
        <f t="shared" si="699"/>
        <v>0</v>
      </c>
      <c r="Z4606" s="14">
        <v>0</v>
      </c>
      <c r="AA4606" s="6">
        <v>0</v>
      </c>
      <c r="AB4606" s="4">
        <f t="shared" si="700"/>
        <v>46139.86217</v>
      </c>
      <c r="AC4606" s="4">
        <f t="shared" si="702"/>
        <v>0</v>
      </c>
      <c r="AD4606" s="6">
        <f t="shared" si="707"/>
        <v>46139.86217</v>
      </c>
      <c r="AE4606" s="2">
        <f>VLOOKUP(I4606,[1]媒体政策预估表!A:N,MATCH(O4606,[1]媒体政策预估表!$A$2:$M$2,0),0)</f>
        <v>0.12</v>
      </c>
      <c r="AF4606" s="6">
        <f t="shared" si="703"/>
        <v>5536.7834604</v>
      </c>
      <c r="AG4606" s="14">
        <v>0</v>
      </c>
      <c r="AH4606" s="65">
        <f t="shared" si="708"/>
        <v>46139.86217</v>
      </c>
      <c r="AI4606" s="47"/>
      <c r="AJ4606" s="126" t="e">
        <v>#N/A</v>
      </c>
      <c r="AK4606" s="80">
        <f t="shared" si="701"/>
        <v>0</v>
      </c>
      <c r="AM4606" s="85"/>
    </row>
    <row r="4607" spans="1:39" hidden="1" x14ac:dyDescent="0.3">
      <c r="A4607" s="89" t="s">
        <v>3394</v>
      </c>
      <c r="B4607" s="86" t="s">
        <v>35</v>
      </c>
      <c r="C4607" s="86" t="s">
        <v>164</v>
      </c>
      <c r="D4607" s="86" t="s">
        <v>174</v>
      </c>
      <c r="E4607" s="86" t="s">
        <v>180</v>
      </c>
      <c r="F4607" s="86" t="s">
        <v>180</v>
      </c>
      <c r="G4607" s="86" t="s">
        <v>180</v>
      </c>
      <c r="H4607" s="144">
        <v>360</v>
      </c>
      <c r="I4607" s="86" t="s">
        <v>1060</v>
      </c>
      <c r="J4607" s="1" t="s">
        <v>3325</v>
      </c>
      <c r="K4607" s="1" t="s">
        <v>3287</v>
      </c>
      <c r="L4607" s="1" t="s">
        <v>35</v>
      </c>
      <c r="M4607" s="86" t="s">
        <v>1820</v>
      </c>
      <c r="N4607" s="86"/>
      <c r="O4607" s="47" t="s">
        <v>941</v>
      </c>
      <c r="P4607" s="47" t="s">
        <v>41</v>
      </c>
      <c r="Q4607" s="14">
        <v>0</v>
      </c>
      <c r="R4607" s="143" t="s">
        <v>1821</v>
      </c>
      <c r="S4607" s="47"/>
      <c r="T4607" s="6">
        <v>-922823.59655000002</v>
      </c>
      <c r="U4607" s="6"/>
      <c r="V4607" s="6">
        <v>846163.12985000003</v>
      </c>
      <c r="W4607" s="6">
        <f t="shared" si="705"/>
        <v>-1768986.7264</v>
      </c>
      <c r="X4607" s="6">
        <f t="shared" si="706"/>
        <v>846163.12985000003</v>
      </c>
      <c r="Y4607" s="13">
        <f t="shared" si="699"/>
        <v>0</v>
      </c>
      <c r="Z4607" s="14">
        <v>0</v>
      </c>
      <c r="AA4607" s="6">
        <v>0</v>
      </c>
      <c r="AB4607" s="4">
        <f t="shared" si="700"/>
        <v>846163.12985000003</v>
      </c>
      <c r="AC4607" s="4">
        <f t="shared" si="702"/>
        <v>0</v>
      </c>
      <c r="AD4607" s="6">
        <f t="shared" si="707"/>
        <v>846163.12985000003</v>
      </c>
      <c r="AE4607" s="2">
        <f>VLOOKUP(I4607,[1]媒体政策预估表!A:N,MATCH(O4607,[1]媒体政策预估表!$A$2:$M$2,0),0)</f>
        <v>0.15</v>
      </c>
      <c r="AF4607" s="6">
        <f t="shared" si="703"/>
        <v>126924.4694775</v>
      </c>
      <c r="AG4607" s="14">
        <v>0</v>
      </c>
      <c r="AH4607" s="65">
        <f t="shared" si="708"/>
        <v>846163.12985000003</v>
      </c>
      <c r="AI4607" s="47"/>
      <c r="AJ4607" s="126" t="e">
        <v>#N/A</v>
      </c>
      <c r="AK4607" s="80">
        <f t="shared" si="701"/>
        <v>0</v>
      </c>
      <c r="AM4607" s="85"/>
    </row>
    <row r="4608" spans="1:39" hidden="1" x14ac:dyDescent="0.3">
      <c r="A4608" s="89" t="s">
        <v>3394</v>
      </c>
      <c r="B4608" s="86" t="s">
        <v>35</v>
      </c>
      <c r="C4608" s="86" t="s">
        <v>164</v>
      </c>
      <c r="D4608" s="86" t="s">
        <v>174</v>
      </c>
      <c r="E4608" s="86" t="s">
        <v>180</v>
      </c>
      <c r="F4608" s="86" t="s">
        <v>180</v>
      </c>
      <c r="G4608" s="86" t="s">
        <v>180</v>
      </c>
      <c r="H4608" s="144">
        <v>360</v>
      </c>
      <c r="I4608" s="86" t="s">
        <v>1060</v>
      </c>
      <c r="J4608" s="1" t="s">
        <v>3325</v>
      </c>
      <c r="K4608" s="1" t="s">
        <v>3287</v>
      </c>
      <c r="L4608" s="1" t="s">
        <v>35</v>
      </c>
      <c r="M4608" s="86" t="s">
        <v>1820</v>
      </c>
      <c r="N4608" s="86"/>
      <c r="O4608" s="47" t="s">
        <v>2054</v>
      </c>
      <c r="P4608" s="47" t="s">
        <v>41</v>
      </c>
      <c r="Q4608" s="14">
        <v>0</v>
      </c>
      <c r="R4608" s="143" t="s">
        <v>1821</v>
      </c>
      <c r="S4608" s="47"/>
      <c r="T4608" s="6">
        <v>-21523.374510000001</v>
      </c>
      <c r="U4608" s="6"/>
      <c r="V4608" s="6">
        <v>16641.89329</v>
      </c>
      <c r="W4608" s="6">
        <f t="shared" si="705"/>
        <v>-38165.267800000001</v>
      </c>
      <c r="X4608" s="6">
        <f t="shared" si="706"/>
        <v>16641.89329</v>
      </c>
      <c r="Y4608" s="13">
        <f t="shared" si="699"/>
        <v>0</v>
      </c>
      <c r="Z4608" s="14">
        <v>0</v>
      </c>
      <c r="AA4608" s="6">
        <v>0</v>
      </c>
      <c r="AB4608" s="4">
        <f t="shared" si="700"/>
        <v>16641.89329</v>
      </c>
      <c r="AC4608" s="4">
        <f t="shared" si="702"/>
        <v>0</v>
      </c>
      <c r="AD4608" s="6">
        <f t="shared" si="707"/>
        <v>16641.89329</v>
      </c>
      <c r="AE4608" s="2">
        <f>VLOOKUP(I4608,[1]媒体政策预估表!A:N,MATCH(O4608,[1]媒体政策预估表!$A$2:$M$2,0),0)</f>
        <v>0.12</v>
      </c>
      <c r="AF4608" s="6">
        <f t="shared" si="703"/>
        <v>1997.0271948</v>
      </c>
      <c r="AG4608" s="14">
        <v>0</v>
      </c>
      <c r="AH4608" s="65">
        <f t="shared" si="708"/>
        <v>16641.89329</v>
      </c>
      <c r="AI4608" s="47"/>
      <c r="AJ4608" s="126" t="e">
        <v>#N/A</v>
      </c>
      <c r="AK4608" s="80">
        <f t="shared" si="701"/>
        <v>0</v>
      </c>
      <c r="AM4608" s="85"/>
    </row>
    <row r="4609" spans="1:39" hidden="1" x14ac:dyDescent="0.3">
      <c r="A4609" s="89" t="s">
        <v>3395</v>
      </c>
      <c r="B4609" s="86" t="s">
        <v>35</v>
      </c>
      <c r="C4609" s="86" t="s">
        <v>164</v>
      </c>
      <c r="D4609" s="86" t="s">
        <v>174</v>
      </c>
      <c r="E4609" s="86" t="s">
        <v>180</v>
      </c>
      <c r="F4609" s="86" t="s">
        <v>180</v>
      </c>
      <c r="G4609" s="86" t="s">
        <v>180</v>
      </c>
      <c r="H4609" s="144">
        <v>360</v>
      </c>
      <c r="I4609" s="86" t="s">
        <v>1060</v>
      </c>
      <c r="J4609" s="1" t="s">
        <v>3325</v>
      </c>
      <c r="K4609" s="1" t="s">
        <v>3287</v>
      </c>
      <c r="L4609" s="1" t="s">
        <v>35</v>
      </c>
      <c r="M4609" s="86" t="s">
        <v>180</v>
      </c>
      <c r="N4609" s="86"/>
      <c r="O4609" s="47" t="s">
        <v>941</v>
      </c>
      <c r="P4609" s="47" t="s">
        <v>41</v>
      </c>
      <c r="Q4609" s="14">
        <v>0</v>
      </c>
      <c r="R4609" s="143" t="s">
        <v>1823</v>
      </c>
      <c r="S4609" s="47"/>
      <c r="T4609" s="6">
        <v>-1075165.5781</v>
      </c>
      <c r="U4609" s="6"/>
      <c r="V4609" s="6">
        <v>1300645.9769900001</v>
      </c>
      <c r="W4609" s="6">
        <f t="shared" si="705"/>
        <v>-2375811.5550899999</v>
      </c>
      <c r="X4609" s="6">
        <f t="shared" si="706"/>
        <v>1300645.9769900001</v>
      </c>
      <c r="Y4609" s="13">
        <f t="shared" si="699"/>
        <v>0</v>
      </c>
      <c r="Z4609" s="14">
        <v>0</v>
      </c>
      <c r="AA4609" s="6">
        <v>0</v>
      </c>
      <c r="AB4609" s="4">
        <f t="shared" si="700"/>
        <v>1300645.9769900001</v>
      </c>
      <c r="AC4609" s="4">
        <f t="shared" si="702"/>
        <v>0</v>
      </c>
      <c r="AD4609" s="6">
        <f t="shared" si="707"/>
        <v>1300645.9769900001</v>
      </c>
      <c r="AE4609" s="2">
        <f>VLOOKUP(I4609,[1]媒体政策预估表!A:N,MATCH(O4609,[1]媒体政策预估表!$A$2:$M$2,0),0)</f>
        <v>0.15</v>
      </c>
      <c r="AF4609" s="6">
        <f t="shared" si="703"/>
        <v>195096.89654850002</v>
      </c>
      <c r="AG4609" s="14">
        <v>0</v>
      </c>
      <c r="AH4609" s="65">
        <f t="shared" si="708"/>
        <v>1300645.9769900001</v>
      </c>
      <c r="AI4609" s="47"/>
      <c r="AJ4609" s="126" t="e">
        <v>#N/A</v>
      </c>
      <c r="AK4609" s="80">
        <f t="shared" si="701"/>
        <v>0</v>
      </c>
      <c r="AM4609" s="85"/>
    </row>
    <row r="4610" spans="1:39" hidden="1" x14ac:dyDescent="0.3">
      <c r="A4610" s="89" t="s">
        <v>3394</v>
      </c>
      <c r="B4610" s="86" t="s">
        <v>35</v>
      </c>
      <c r="C4610" s="86" t="s">
        <v>164</v>
      </c>
      <c r="D4610" s="86" t="s">
        <v>174</v>
      </c>
      <c r="E4610" s="86" t="s">
        <v>180</v>
      </c>
      <c r="F4610" s="86" t="s">
        <v>180</v>
      </c>
      <c r="G4610" s="86" t="s">
        <v>180</v>
      </c>
      <c r="H4610" s="144">
        <v>360</v>
      </c>
      <c r="I4610" s="86" t="s">
        <v>1060</v>
      </c>
      <c r="J4610" s="1" t="s">
        <v>3325</v>
      </c>
      <c r="K4610" s="1" t="s">
        <v>3287</v>
      </c>
      <c r="L4610" s="1" t="s">
        <v>35</v>
      </c>
      <c r="M4610" s="86" t="s">
        <v>180</v>
      </c>
      <c r="N4610" s="86"/>
      <c r="O4610" s="47" t="s">
        <v>941</v>
      </c>
      <c r="P4610" s="47" t="s">
        <v>41</v>
      </c>
      <c r="Q4610" s="14">
        <v>0</v>
      </c>
      <c r="R4610" s="143" t="s">
        <v>1824</v>
      </c>
      <c r="S4610" s="47"/>
      <c r="T4610" s="6">
        <v>-1287939.2694099999</v>
      </c>
      <c r="U4610" s="6"/>
      <c r="V4610" s="6">
        <v>1466220.6818599999</v>
      </c>
      <c r="W4610" s="6">
        <f t="shared" si="705"/>
        <v>-2754159.9512700001</v>
      </c>
      <c r="X4610" s="6">
        <f t="shared" si="706"/>
        <v>1466220.6818599999</v>
      </c>
      <c r="Y4610" s="13">
        <f t="shared" si="699"/>
        <v>0</v>
      </c>
      <c r="Z4610" s="14">
        <v>0</v>
      </c>
      <c r="AA4610" s="6">
        <v>0</v>
      </c>
      <c r="AB4610" s="4">
        <f t="shared" si="700"/>
        <v>1466220.6818599999</v>
      </c>
      <c r="AC4610" s="4">
        <f t="shared" si="702"/>
        <v>0</v>
      </c>
      <c r="AD4610" s="6">
        <f t="shared" si="707"/>
        <v>1466220.6818599999</v>
      </c>
      <c r="AE4610" s="2">
        <f>VLOOKUP(I4610,[1]媒体政策预估表!A:N,MATCH(O4610,[1]媒体政策预估表!$A$2:$M$2,0),0)</f>
        <v>0.15</v>
      </c>
      <c r="AF4610" s="6">
        <f t="shared" si="703"/>
        <v>219933.10227899998</v>
      </c>
      <c r="AG4610" s="14">
        <v>0</v>
      </c>
      <c r="AH4610" s="65">
        <f t="shared" si="708"/>
        <v>1466220.6818599999</v>
      </c>
      <c r="AI4610" s="47"/>
      <c r="AJ4610" s="126" t="e">
        <v>#N/A</v>
      </c>
      <c r="AK4610" s="80">
        <f t="shared" si="701"/>
        <v>0</v>
      </c>
      <c r="AM4610" s="85"/>
    </row>
    <row r="4611" spans="1:39" hidden="1" x14ac:dyDescent="0.3">
      <c r="A4611" s="89" t="s">
        <v>3395</v>
      </c>
      <c r="B4611" s="86" t="s">
        <v>35</v>
      </c>
      <c r="C4611" s="86" t="s">
        <v>65</v>
      </c>
      <c r="D4611" s="86" t="s">
        <v>122</v>
      </c>
      <c r="E4611" s="86" t="s">
        <v>1266</v>
      </c>
      <c r="F4611" s="86" t="s">
        <v>1266</v>
      </c>
      <c r="G4611" s="86" t="s">
        <v>1266</v>
      </c>
      <c r="H4611" s="144">
        <v>360</v>
      </c>
      <c r="I4611" s="86" t="s">
        <v>1060</v>
      </c>
      <c r="J4611" s="1" t="s">
        <v>3325</v>
      </c>
      <c r="K4611" s="1" t="s">
        <v>3287</v>
      </c>
      <c r="L4611" s="1" t="s">
        <v>35</v>
      </c>
      <c r="M4611" s="86" t="s">
        <v>1271</v>
      </c>
      <c r="N4611" s="86"/>
      <c r="O4611" s="47" t="s">
        <v>941</v>
      </c>
      <c r="P4611" s="47" t="s">
        <v>41</v>
      </c>
      <c r="Q4611" s="14">
        <v>0</v>
      </c>
      <c r="R4611" s="143" t="s">
        <v>1272</v>
      </c>
      <c r="S4611" s="47"/>
      <c r="T4611" s="6">
        <v>-617.4</v>
      </c>
      <c r="U4611" s="6"/>
      <c r="V4611" s="6">
        <v>1641.6873399999999</v>
      </c>
      <c r="W4611" s="6">
        <f t="shared" si="705"/>
        <v>-2259.08734</v>
      </c>
      <c r="X4611" s="6">
        <f t="shared" si="706"/>
        <v>1641.6873399999999</v>
      </c>
      <c r="Y4611" s="13">
        <f t="shared" ref="Y4611:Y4674" si="709">IF(X4611-AD4611&lt;=0,0,IF(P4611="返现",MAX(X4611-AC4611-AD4611,0),MAX(X4611-AD4611)))</f>
        <v>0</v>
      </c>
      <c r="Z4611" s="14">
        <v>0</v>
      </c>
      <c r="AA4611" s="6">
        <v>0</v>
      </c>
      <c r="AB4611" s="4">
        <f t="shared" ref="AB4611:AB4674" si="710">X4611+AA4611</f>
        <v>1641.6873399999999</v>
      </c>
      <c r="AC4611" s="4">
        <f t="shared" si="702"/>
        <v>0</v>
      </c>
      <c r="AD4611" s="6">
        <f t="shared" si="707"/>
        <v>1641.6873399999999</v>
      </c>
      <c r="AE4611" s="2">
        <f>VLOOKUP(I4611,[1]媒体政策预估表!A:N,MATCH(O4611,[1]媒体政策预估表!$A$2:$M$2,0),0)</f>
        <v>0.15</v>
      </c>
      <c r="AF4611" s="6">
        <f t="shared" si="703"/>
        <v>246.25310099999999</v>
      </c>
      <c r="AG4611" s="14">
        <v>0</v>
      </c>
      <c r="AH4611" s="65">
        <f t="shared" si="708"/>
        <v>1641.6873399999999</v>
      </c>
      <c r="AI4611" s="47"/>
      <c r="AJ4611" s="126" t="e">
        <v>#N/A</v>
      </c>
      <c r="AK4611" s="80">
        <f t="shared" ref="AK4611:AK4674" si="711">X4611+AA4611-AB4611</f>
        <v>0</v>
      </c>
      <c r="AM4611" s="85"/>
    </row>
    <row r="4612" spans="1:39" hidden="1" x14ac:dyDescent="0.3">
      <c r="A4612" s="89" t="s">
        <v>3394</v>
      </c>
      <c r="B4612" s="86" t="s">
        <v>35</v>
      </c>
      <c r="C4612" s="86" t="s">
        <v>164</v>
      </c>
      <c r="D4612" s="86" t="s">
        <v>174</v>
      </c>
      <c r="E4612" s="86" t="s">
        <v>180</v>
      </c>
      <c r="F4612" s="86" t="s">
        <v>180</v>
      </c>
      <c r="G4612" s="86" t="s">
        <v>180</v>
      </c>
      <c r="H4612" s="144">
        <v>360</v>
      </c>
      <c r="I4612" s="86" t="s">
        <v>1060</v>
      </c>
      <c r="J4612" s="1" t="s">
        <v>3325</v>
      </c>
      <c r="K4612" s="1" t="s">
        <v>3287</v>
      </c>
      <c r="L4612" s="1" t="s">
        <v>35</v>
      </c>
      <c r="M4612" s="86" t="s">
        <v>1825</v>
      </c>
      <c r="N4612" s="86"/>
      <c r="O4612" s="47" t="s">
        <v>941</v>
      </c>
      <c r="P4612" s="47" t="s">
        <v>41</v>
      </c>
      <c r="Q4612" s="14">
        <v>0</v>
      </c>
      <c r="R4612" s="143" t="s">
        <v>1826</v>
      </c>
      <c r="S4612" s="47"/>
      <c r="T4612" s="6">
        <v>-291374.64530999999</v>
      </c>
      <c r="U4612" s="6"/>
      <c r="V4612" s="6">
        <v>526072.1581</v>
      </c>
      <c r="W4612" s="6">
        <f t="shared" si="705"/>
        <v>-817446.80340999993</v>
      </c>
      <c r="X4612" s="6">
        <f t="shared" si="706"/>
        <v>526072.1581</v>
      </c>
      <c r="Y4612" s="13">
        <f t="shared" si="709"/>
        <v>0</v>
      </c>
      <c r="Z4612" s="14">
        <v>0</v>
      </c>
      <c r="AA4612" s="6">
        <v>0</v>
      </c>
      <c r="AB4612" s="4">
        <f t="shared" si="710"/>
        <v>526072.1581</v>
      </c>
      <c r="AC4612" s="4">
        <f t="shared" si="702"/>
        <v>0</v>
      </c>
      <c r="AD4612" s="6">
        <f t="shared" si="707"/>
        <v>526072.1581</v>
      </c>
      <c r="AE4612" s="2">
        <f>VLOOKUP(I4612,[1]媒体政策预估表!A:N,MATCH(O4612,[1]媒体政策预估表!$A$2:$M$2,0),0)</f>
        <v>0.15</v>
      </c>
      <c r="AF4612" s="6">
        <f t="shared" si="703"/>
        <v>78910.823714999991</v>
      </c>
      <c r="AG4612" s="14">
        <v>0</v>
      </c>
      <c r="AH4612" s="65">
        <f t="shared" si="708"/>
        <v>526072.1581</v>
      </c>
      <c r="AI4612" s="47"/>
      <c r="AJ4612" s="126" t="e">
        <v>#N/A</v>
      </c>
      <c r="AK4612" s="80">
        <f t="shared" si="711"/>
        <v>0</v>
      </c>
      <c r="AM4612" s="85"/>
    </row>
    <row r="4613" spans="1:39" hidden="1" x14ac:dyDescent="0.3">
      <c r="A4613" s="89" t="s">
        <v>3395</v>
      </c>
      <c r="B4613" s="86" t="s">
        <v>35</v>
      </c>
      <c r="C4613" s="86" t="s">
        <v>164</v>
      </c>
      <c r="D4613" s="86" t="s">
        <v>174</v>
      </c>
      <c r="E4613" s="86" t="s">
        <v>180</v>
      </c>
      <c r="F4613" s="86" t="s">
        <v>180</v>
      </c>
      <c r="G4613" s="86" t="s">
        <v>180</v>
      </c>
      <c r="H4613" s="144">
        <v>360</v>
      </c>
      <c r="I4613" s="86" t="s">
        <v>1060</v>
      </c>
      <c r="J4613" s="1" t="s">
        <v>3325</v>
      </c>
      <c r="K4613" s="1" t="s">
        <v>3287</v>
      </c>
      <c r="L4613" s="1" t="s">
        <v>35</v>
      </c>
      <c r="M4613" s="86" t="s">
        <v>1816</v>
      </c>
      <c r="N4613" s="86"/>
      <c r="O4613" s="47" t="s">
        <v>941</v>
      </c>
      <c r="P4613" s="47" t="s">
        <v>41</v>
      </c>
      <c r="Q4613" s="14">
        <v>0</v>
      </c>
      <c r="R4613" s="143" t="s">
        <v>1817</v>
      </c>
      <c r="S4613" s="47"/>
      <c r="T4613" s="6">
        <v>-227443.98456000001</v>
      </c>
      <c r="U4613" s="6"/>
      <c r="V4613" s="6">
        <v>280182.66508000001</v>
      </c>
      <c r="W4613" s="6">
        <f t="shared" si="705"/>
        <v>-507626.64964000002</v>
      </c>
      <c r="X4613" s="6">
        <f t="shared" si="706"/>
        <v>280182.66508000001</v>
      </c>
      <c r="Y4613" s="13">
        <f t="shared" si="709"/>
        <v>0</v>
      </c>
      <c r="Z4613" s="14">
        <v>0</v>
      </c>
      <c r="AA4613" s="6">
        <v>0</v>
      </c>
      <c r="AB4613" s="4">
        <f t="shared" si="710"/>
        <v>280182.66508000001</v>
      </c>
      <c r="AC4613" s="4">
        <f t="shared" si="702"/>
        <v>0</v>
      </c>
      <c r="AD4613" s="6">
        <f t="shared" si="707"/>
        <v>280182.66508000001</v>
      </c>
      <c r="AE4613" s="2">
        <f>VLOOKUP(I4613,[1]媒体政策预估表!A:N,MATCH(O4613,[1]媒体政策预估表!$A$2:$M$2,0),0)</f>
        <v>0.15</v>
      </c>
      <c r="AF4613" s="6">
        <f t="shared" si="703"/>
        <v>42027.399762000001</v>
      </c>
      <c r="AG4613" s="14">
        <v>0</v>
      </c>
      <c r="AH4613" s="65">
        <f t="shared" si="708"/>
        <v>280182.66508000001</v>
      </c>
      <c r="AI4613" s="47"/>
      <c r="AJ4613" s="126" t="e">
        <v>#N/A</v>
      </c>
      <c r="AK4613" s="80">
        <f t="shared" si="711"/>
        <v>0</v>
      </c>
      <c r="AM4613" s="85"/>
    </row>
    <row r="4614" spans="1:39" hidden="1" x14ac:dyDescent="0.3">
      <c r="A4614" s="89" t="s">
        <v>3395</v>
      </c>
      <c r="B4614" s="86" t="s">
        <v>35</v>
      </c>
      <c r="C4614" s="86" t="s">
        <v>164</v>
      </c>
      <c r="D4614" s="86" t="s">
        <v>174</v>
      </c>
      <c r="E4614" s="86" t="s">
        <v>180</v>
      </c>
      <c r="F4614" s="86" t="s">
        <v>180</v>
      </c>
      <c r="G4614" s="86" t="s">
        <v>180</v>
      </c>
      <c r="H4614" s="144">
        <v>360</v>
      </c>
      <c r="I4614" s="86" t="s">
        <v>1060</v>
      </c>
      <c r="J4614" s="1" t="s">
        <v>3325</v>
      </c>
      <c r="K4614" s="1" t="s">
        <v>3287</v>
      </c>
      <c r="L4614" s="1" t="s">
        <v>35</v>
      </c>
      <c r="M4614" s="86" t="s">
        <v>1818</v>
      </c>
      <c r="N4614" s="86"/>
      <c r="O4614" s="47" t="s">
        <v>941</v>
      </c>
      <c r="P4614" s="47" t="s">
        <v>41</v>
      </c>
      <c r="Q4614" s="14">
        <v>0</v>
      </c>
      <c r="R4614" s="143" t="s">
        <v>1819</v>
      </c>
      <c r="S4614" s="47"/>
      <c r="T4614" s="6">
        <v>-90285.226039999994</v>
      </c>
      <c r="U4614" s="6"/>
      <c r="V4614" s="6">
        <v>362725.59727999999</v>
      </c>
      <c r="W4614" s="6">
        <f t="shared" si="705"/>
        <v>-453010.82331999997</v>
      </c>
      <c r="X4614" s="6">
        <f t="shared" si="706"/>
        <v>362725.59727999999</v>
      </c>
      <c r="Y4614" s="13">
        <f t="shared" si="709"/>
        <v>0</v>
      </c>
      <c r="Z4614" s="14">
        <v>0</v>
      </c>
      <c r="AA4614" s="6">
        <v>0</v>
      </c>
      <c r="AB4614" s="4">
        <f t="shared" si="710"/>
        <v>362725.59727999999</v>
      </c>
      <c r="AC4614" s="4">
        <f t="shared" si="702"/>
        <v>0</v>
      </c>
      <c r="AD4614" s="6">
        <f t="shared" si="707"/>
        <v>362725.59727999999</v>
      </c>
      <c r="AE4614" s="2">
        <f>VLOOKUP(I4614,[1]媒体政策预估表!A:N,MATCH(O4614,[1]媒体政策预估表!$A$2:$M$2,0),0)</f>
        <v>0.15</v>
      </c>
      <c r="AF4614" s="6">
        <f t="shared" si="703"/>
        <v>54408.839591999997</v>
      </c>
      <c r="AG4614" s="14">
        <v>0</v>
      </c>
      <c r="AH4614" s="65">
        <f t="shared" si="708"/>
        <v>362725.59727999999</v>
      </c>
      <c r="AI4614" s="47"/>
      <c r="AJ4614" s="126" t="e">
        <v>#N/A</v>
      </c>
      <c r="AK4614" s="80">
        <f t="shared" si="711"/>
        <v>0</v>
      </c>
      <c r="AM4614" s="85"/>
    </row>
    <row r="4615" spans="1:39" hidden="1" x14ac:dyDescent="0.3">
      <c r="A4615" s="89" t="s">
        <v>3395</v>
      </c>
      <c r="B4615" s="86" t="s">
        <v>35</v>
      </c>
      <c r="C4615" s="86" t="s">
        <v>164</v>
      </c>
      <c r="D4615" s="86" t="s">
        <v>174</v>
      </c>
      <c r="E4615" s="86" t="s">
        <v>1756</v>
      </c>
      <c r="F4615" s="86" t="s">
        <v>1756</v>
      </c>
      <c r="G4615" s="86" t="s">
        <v>1756</v>
      </c>
      <c r="H4615" s="144">
        <v>360</v>
      </c>
      <c r="I4615" s="86" t="s">
        <v>1060</v>
      </c>
      <c r="J4615" s="1" t="s">
        <v>3325</v>
      </c>
      <c r="K4615" s="1" t="s">
        <v>3287</v>
      </c>
      <c r="L4615" s="1" t="s">
        <v>35</v>
      </c>
      <c r="M4615" s="86" t="s">
        <v>1757</v>
      </c>
      <c r="N4615" s="86"/>
      <c r="O4615" s="47" t="s">
        <v>941</v>
      </c>
      <c r="P4615" s="47" t="s">
        <v>41</v>
      </c>
      <c r="Q4615" s="14">
        <v>0</v>
      </c>
      <c r="R4615" s="143" t="s">
        <v>1758</v>
      </c>
      <c r="S4615" s="47"/>
      <c r="T4615" s="6">
        <v>-54773.55</v>
      </c>
      <c r="U4615" s="6"/>
      <c r="V4615" s="6">
        <v>84011.763850000003</v>
      </c>
      <c r="W4615" s="6">
        <f t="shared" si="705"/>
        <v>-138785.31385000001</v>
      </c>
      <c r="X4615" s="6">
        <f t="shared" si="706"/>
        <v>84011.763850000003</v>
      </c>
      <c r="Y4615" s="13">
        <f t="shared" si="709"/>
        <v>0</v>
      </c>
      <c r="Z4615" s="14">
        <v>0</v>
      </c>
      <c r="AA4615" s="6">
        <v>0</v>
      </c>
      <c r="AB4615" s="4">
        <f t="shared" si="710"/>
        <v>84011.763850000003</v>
      </c>
      <c r="AC4615" s="4">
        <f t="shared" si="702"/>
        <v>0</v>
      </c>
      <c r="AD4615" s="6">
        <f t="shared" si="707"/>
        <v>84011.763850000003</v>
      </c>
      <c r="AE4615" s="2">
        <f>VLOOKUP(I4615,[1]媒体政策预估表!A:N,MATCH(O4615,[1]媒体政策预估表!$A$2:$M$2,0),0)</f>
        <v>0.15</v>
      </c>
      <c r="AF4615" s="6">
        <f t="shared" si="703"/>
        <v>12601.7645775</v>
      </c>
      <c r="AG4615" s="14">
        <v>0</v>
      </c>
      <c r="AH4615" s="65">
        <f t="shared" si="708"/>
        <v>84011.763850000003</v>
      </c>
      <c r="AI4615" s="47"/>
      <c r="AJ4615" s="126" t="e">
        <v>#N/A</v>
      </c>
      <c r="AK4615" s="80">
        <f t="shared" si="711"/>
        <v>0</v>
      </c>
      <c r="AM4615" s="85"/>
    </row>
    <row r="4616" spans="1:39" hidden="1" x14ac:dyDescent="0.3">
      <c r="A4616" s="89" t="s">
        <v>3394</v>
      </c>
      <c r="B4616" s="86" t="s">
        <v>35</v>
      </c>
      <c r="C4616" s="86" t="s">
        <v>47</v>
      </c>
      <c r="D4616" s="86" t="s">
        <v>48</v>
      </c>
      <c r="E4616" s="86" t="s">
        <v>1366</v>
      </c>
      <c r="F4616" s="86" t="s">
        <v>1367</v>
      </c>
      <c r="G4616" s="86" t="s">
        <v>1366</v>
      </c>
      <c r="H4616" s="144">
        <v>360</v>
      </c>
      <c r="I4616" s="86" t="s">
        <v>1060</v>
      </c>
      <c r="J4616" s="1" t="s">
        <v>3325</v>
      </c>
      <c r="K4616" s="1" t="s">
        <v>3287</v>
      </c>
      <c r="L4616" s="1" t="s">
        <v>35</v>
      </c>
      <c r="M4616" s="86" t="s">
        <v>1368</v>
      </c>
      <c r="N4616" s="86"/>
      <c r="O4616" s="47" t="s">
        <v>941</v>
      </c>
      <c r="P4616" s="47" t="s">
        <v>41</v>
      </c>
      <c r="Q4616" s="14">
        <v>0</v>
      </c>
      <c r="R4616" s="143" t="s">
        <v>1369</v>
      </c>
      <c r="S4616" s="47"/>
      <c r="T4616" s="6">
        <v>-231510.64825999999</v>
      </c>
      <c r="U4616" s="6"/>
      <c r="V4616" s="6">
        <v>205891.65883</v>
      </c>
      <c r="W4616" s="6">
        <f t="shared" si="705"/>
        <v>-437402.30709000002</v>
      </c>
      <c r="X4616" s="6">
        <f t="shared" si="706"/>
        <v>205891.65883</v>
      </c>
      <c r="Y4616" s="13">
        <f t="shared" si="709"/>
        <v>0</v>
      </c>
      <c r="Z4616" s="14">
        <v>0</v>
      </c>
      <c r="AA4616" s="6">
        <v>0</v>
      </c>
      <c r="AB4616" s="4">
        <f t="shared" si="710"/>
        <v>205891.65883</v>
      </c>
      <c r="AC4616" s="4">
        <f t="shared" si="702"/>
        <v>0</v>
      </c>
      <c r="AD4616" s="6">
        <f t="shared" si="707"/>
        <v>205891.65883</v>
      </c>
      <c r="AE4616" s="2">
        <f>VLOOKUP(I4616,[1]媒体政策预估表!A:N,MATCH(O4616,[1]媒体政策预估表!$A$2:$M$2,0),0)</f>
        <v>0.15</v>
      </c>
      <c r="AF4616" s="6">
        <f t="shared" si="703"/>
        <v>30883.748824499999</v>
      </c>
      <c r="AG4616" s="14">
        <v>0</v>
      </c>
      <c r="AH4616" s="65">
        <f t="shared" si="708"/>
        <v>205891.65883</v>
      </c>
      <c r="AI4616" s="47"/>
      <c r="AJ4616" s="126" t="e">
        <v>#N/A</v>
      </c>
      <c r="AK4616" s="80">
        <f t="shared" si="711"/>
        <v>0</v>
      </c>
      <c r="AM4616" s="85"/>
    </row>
    <row r="4617" spans="1:39" hidden="1" x14ac:dyDescent="0.3">
      <c r="A4617" s="89" t="s">
        <v>3394</v>
      </c>
      <c r="B4617" s="86" t="s">
        <v>35</v>
      </c>
      <c r="C4617" s="86" t="s">
        <v>47</v>
      </c>
      <c r="D4617" s="86" t="s">
        <v>48</v>
      </c>
      <c r="E4617" s="86" t="s">
        <v>540</v>
      </c>
      <c r="F4617" s="86" t="s">
        <v>541</v>
      </c>
      <c r="G4617" s="86" t="s">
        <v>540</v>
      </c>
      <c r="H4617" s="143">
        <v>360</v>
      </c>
      <c r="I4617" s="86" t="s">
        <v>1060</v>
      </c>
      <c r="J4617" s="1" t="s">
        <v>3325</v>
      </c>
      <c r="K4617" s="1" t="s">
        <v>3287</v>
      </c>
      <c r="L4617" s="1" t="s">
        <v>35</v>
      </c>
      <c r="M4617" s="86" t="s">
        <v>540</v>
      </c>
      <c r="N4617" s="86"/>
      <c r="O4617" s="47" t="s">
        <v>941</v>
      </c>
      <c r="P4617" s="47" t="s">
        <v>41</v>
      </c>
      <c r="Q4617" s="14">
        <v>0</v>
      </c>
      <c r="R4617" s="143" t="s">
        <v>1370</v>
      </c>
      <c r="S4617" s="47"/>
      <c r="T4617" s="6">
        <v>-2.2400000000000002</v>
      </c>
      <c r="U4617" s="6"/>
      <c r="V4617" s="6">
        <v>0</v>
      </c>
      <c r="W4617" s="6">
        <f t="shared" si="705"/>
        <v>-2.2400000000000002</v>
      </c>
      <c r="X4617" s="6">
        <f t="shared" si="706"/>
        <v>0</v>
      </c>
      <c r="Y4617" s="13">
        <f t="shared" si="709"/>
        <v>0</v>
      </c>
      <c r="Z4617" s="14">
        <v>0</v>
      </c>
      <c r="AA4617" s="6">
        <v>0</v>
      </c>
      <c r="AB4617" s="4">
        <f t="shared" si="710"/>
        <v>0</v>
      </c>
      <c r="AC4617" s="4">
        <f t="shared" si="702"/>
        <v>0</v>
      </c>
      <c r="AD4617" s="6">
        <f t="shared" si="707"/>
        <v>0</v>
      </c>
      <c r="AE4617" s="2">
        <f>VLOOKUP(I4617,[1]媒体政策预估表!A:N,MATCH(O4617,[1]媒体政策预估表!$A$2:$M$2,0),0)</f>
        <v>0.15</v>
      </c>
      <c r="AF4617" s="6">
        <f t="shared" si="703"/>
        <v>0</v>
      </c>
      <c r="AG4617" s="14">
        <v>0</v>
      </c>
      <c r="AH4617" s="65">
        <f t="shared" si="708"/>
        <v>0</v>
      </c>
      <c r="AI4617" s="47"/>
      <c r="AJ4617" s="126" t="e">
        <v>#N/A</v>
      </c>
      <c r="AK4617" s="80">
        <f t="shared" si="711"/>
        <v>0</v>
      </c>
      <c r="AM4617" s="85"/>
    </row>
    <row r="4618" spans="1:39" hidden="1" x14ac:dyDescent="0.3">
      <c r="A4618" s="89" t="s">
        <v>3394</v>
      </c>
      <c r="B4618" s="86" t="s">
        <v>35</v>
      </c>
      <c r="C4618" s="86" t="s">
        <v>47</v>
      </c>
      <c r="D4618" s="86" t="s">
        <v>48</v>
      </c>
      <c r="E4618" s="86" t="s">
        <v>540</v>
      </c>
      <c r="F4618" s="86" t="s">
        <v>541</v>
      </c>
      <c r="G4618" s="86" t="s">
        <v>540</v>
      </c>
      <c r="H4618" s="143">
        <v>360</v>
      </c>
      <c r="I4618" s="86" t="s">
        <v>1060</v>
      </c>
      <c r="J4618" s="1" t="s">
        <v>3325</v>
      </c>
      <c r="K4618" s="1" t="s">
        <v>3287</v>
      </c>
      <c r="L4618" s="1" t="s">
        <v>35</v>
      </c>
      <c r="M4618" s="86" t="s">
        <v>540</v>
      </c>
      <c r="N4618" s="86"/>
      <c r="O4618" s="47" t="s">
        <v>941</v>
      </c>
      <c r="P4618" s="47" t="s">
        <v>41</v>
      </c>
      <c r="Q4618" s="14">
        <v>0</v>
      </c>
      <c r="R4618" s="143" t="s">
        <v>1355</v>
      </c>
      <c r="S4618" s="47"/>
      <c r="T4618" s="6">
        <v>-98.01764</v>
      </c>
      <c r="U4618" s="6"/>
      <c r="V4618" s="6">
        <v>0</v>
      </c>
      <c r="W4618" s="6">
        <f t="shared" si="705"/>
        <v>-98.01764</v>
      </c>
      <c r="X4618" s="6">
        <f t="shared" si="706"/>
        <v>0</v>
      </c>
      <c r="Y4618" s="13">
        <f t="shared" si="709"/>
        <v>0</v>
      </c>
      <c r="Z4618" s="14">
        <v>0</v>
      </c>
      <c r="AA4618" s="6">
        <v>0</v>
      </c>
      <c r="AB4618" s="4">
        <f t="shared" si="710"/>
        <v>0</v>
      </c>
      <c r="AC4618" s="4">
        <f t="shared" si="702"/>
        <v>0</v>
      </c>
      <c r="AD4618" s="6">
        <f t="shared" si="707"/>
        <v>0</v>
      </c>
      <c r="AE4618" s="2">
        <f>VLOOKUP(I4618,[1]媒体政策预估表!A:N,MATCH(O4618,[1]媒体政策预估表!$A$2:$M$2,0),0)</f>
        <v>0.15</v>
      </c>
      <c r="AF4618" s="6">
        <f t="shared" si="703"/>
        <v>0</v>
      </c>
      <c r="AG4618" s="14">
        <v>0</v>
      </c>
      <c r="AH4618" s="65">
        <f t="shared" si="708"/>
        <v>0</v>
      </c>
      <c r="AI4618" s="47"/>
      <c r="AJ4618" s="126" t="e">
        <v>#N/A</v>
      </c>
      <c r="AK4618" s="80">
        <f t="shared" si="711"/>
        <v>0</v>
      </c>
      <c r="AM4618" s="85"/>
    </row>
    <row r="4619" spans="1:39" hidden="1" x14ac:dyDescent="0.3">
      <c r="A4619" s="89" t="s">
        <v>3394</v>
      </c>
      <c r="B4619" s="86" t="s">
        <v>35</v>
      </c>
      <c r="C4619" s="86" t="s">
        <v>164</v>
      </c>
      <c r="D4619" s="86" t="s">
        <v>169</v>
      </c>
      <c r="E4619" s="86" t="s">
        <v>1575</v>
      </c>
      <c r="F4619" s="86" t="s">
        <v>1575</v>
      </c>
      <c r="G4619" s="86" t="s">
        <v>1575</v>
      </c>
      <c r="H4619" s="144">
        <v>360</v>
      </c>
      <c r="I4619" s="86" t="s">
        <v>1060</v>
      </c>
      <c r="J4619" s="1" t="s">
        <v>3325</v>
      </c>
      <c r="K4619" s="1" t="s">
        <v>3287</v>
      </c>
      <c r="L4619" s="1" t="s">
        <v>35</v>
      </c>
      <c r="M4619" s="86" t="s">
        <v>1575</v>
      </c>
      <c r="N4619" s="86"/>
      <c r="O4619" s="47" t="s">
        <v>941</v>
      </c>
      <c r="P4619" s="47" t="s">
        <v>41</v>
      </c>
      <c r="Q4619" s="14">
        <v>0</v>
      </c>
      <c r="R4619" s="143" t="s">
        <v>1576</v>
      </c>
      <c r="S4619" s="47"/>
      <c r="T4619" s="6">
        <v>-129044.41085</v>
      </c>
      <c r="U4619" s="6"/>
      <c r="V4619" s="6">
        <v>173079.02749000001</v>
      </c>
      <c r="W4619" s="6">
        <f t="shared" si="705"/>
        <v>-302123.43833999999</v>
      </c>
      <c r="X4619" s="6">
        <f t="shared" si="706"/>
        <v>173079.02749000001</v>
      </c>
      <c r="Y4619" s="13">
        <f t="shared" si="709"/>
        <v>0</v>
      </c>
      <c r="Z4619" s="14">
        <v>0</v>
      </c>
      <c r="AA4619" s="6">
        <v>0</v>
      </c>
      <c r="AB4619" s="4">
        <f t="shared" si="710"/>
        <v>173079.02749000001</v>
      </c>
      <c r="AC4619" s="4">
        <f t="shared" si="702"/>
        <v>0</v>
      </c>
      <c r="AD4619" s="6">
        <f t="shared" si="707"/>
        <v>173079.02749000001</v>
      </c>
      <c r="AE4619" s="2">
        <f>VLOOKUP(I4619,[1]媒体政策预估表!A:N,MATCH(O4619,[1]媒体政策预估表!$A$2:$M$2,0),0)</f>
        <v>0.15</v>
      </c>
      <c r="AF4619" s="6">
        <f t="shared" si="703"/>
        <v>25961.854123500001</v>
      </c>
      <c r="AG4619" s="14">
        <v>0</v>
      </c>
      <c r="AH4619" s="65">
        <f t="shared" si="708"/>
        <v>173079.02749000001</v>
      </c>
      <c r="AI4619" s="47"/>
      <c r="AJ4619" s="126" t="e">
        <v>#N/A</v>
      </c>
      <c r="AK4619" s="80">
        <f t="shared" si="711"/>
        <v>0</v>
      </c>
      <c r="AM4619" s="85"/>
    </row>
    <row r="4620" spans="1:39" hidden="1" x14ac:dyDescent="0.3">
      <c r="A4620" s="89" t="s">
        <v>3395</v>
      </c>
      <c r="B4620" s="86" t="s">
        <v>35</v>
      </c>
      <c r="C4620" s="86" t="s">
        <v>164</v>
      </c>
      <c r="D4620" s="86" t="s">
        <v>169</v>
      </c>
      <c r="E4620" s="86" t="s">
        <v>1579</v>
      </c>
      <c r="F4620" s="86" t="s">
        <v>1579</v>
      </c>
      <c r="G4620" s="86" t="s">
        <v>1579</v>
      </c>
      <c r="H4620" s="144">
        <v>360</v>
      </c>
      <c r="I4620" s="86" t="s">
        <v>1060</v>
      </c>
      <c r="J4620" s="1" t="s">
        <v>3325</v>
      </c>
      <c r="K4620" s="1" t="s">
        <v>3287</v>
      </c>
      <c r="L4620" s="1" t="s">
        <v>35</v>
      </c>
      <c r="M4620" s="86" t="s">
        <v>1579</v>
      </c>
      <c r="N4620" s="86"/>
      <c r="O4620" s="47" t="s">
        <v>941</v>
      </c>
      <c r="P4620" s="47" t="s">
        <v>41</v>
      </c>
      <c r="Q4620" s="14">
        <v>0</v>
      </c>
      <c r="R4620" s="143" t="s">
        <v>1580</v>
      </c>
      <c r="S4620" s="47"/>
      <c r="T4620" s="6">
        <v>-2436.9295099999999</v>
      </c>
      <c r="U4620" s="6"/>
      <c r="V4620" s="6">
        <v>783.51319000000001</v>
      </c>
      <c r="W4620" s="6">
        <f t="shared" si="705"/>
        <v>-3220.4427000000001</v>
      </c>
      <c r="X4620" s="6">
        <f t="shared" si="706"/>
        <v>783.51319000000001</v>
      </c>
      <c r="Y4620" s="13">
        <f t="shared" si="709"/>
        <v>0</v>
      </c>
      <c r="Z4620" s="14">
        <v>0</v>
      </c>
      <c r="AA4620" s="6">
        <v>0</v>
      </c>
      <c r="AB4620" s="4">
        <f t="shared" si="710"/>
        <v>783.51319000000001</v>
      </c>
      <c r="AC4620" s="4">
        <f t="shared" ref="AC4620:AC4683" si="712">IF(P4620="返现",X4620*Q4620,V4620-X4620)</f>
        <v>0</v>
      </c>
      <c r="AD4620" s="6">
        <f t="shared" si="707"/>
        <v>783.51319000000001</v>
      </c>
      <c r="AE4620" s="2">
        <f>VLOOKUP(I4620,[1]媒体政策预估表!A:N,MATCH(O4620,[1]媒体政策预估表!$A$2:$M$2,0),0)</f>
        <v>0.15</v>
      </c>
      <c r="AF4620" s="6">
        <f t="shared" ref="AF4620:AF4683" si="713">AD4620*AE4620</f>
        <v>117.5269785</v>
      </c>
      <c r="AG4620" s="14">
        <v>0</v>
      </c>
      <c r="AH4620" s="65">
        <f t="shared" si="708"/>
        <v>783.51319000000001</v>
      </c>
      <c r="AI4620" s="47"/>
      <c r="AJ4620" s="126" t="e">
        <v>#N/A</v>
      </c>
      <c r="AK4620" s="80">
        <f t="shared" si="711"/>
        <v>0</v>
      </c>
      <c r="AM4620" s="85"/>
    </row>
    <row r="4621" spans="1:39" hidden="1" x14ac:dyDescent="0.3">
      <c r="A4621" s="89" t="s">
        <v>3395</v>
      </c>
      <c r="B4621" s="86" t="s">
        <v>35</v>
      </c>
      <c r="C4621" s="86" t="s">
        <v>144</v>
      </c>
      <c r="D4621" s="86" t="s">
        <v>152</v>
      </c>
      <c r="E4621" s="86" t="s">
        <v>1478</v>
      </c>
      <c r="F4621" s="86" t="s">
        <v>1478</v>
      </c>
      <c r="G4621" s="86" t="s">
        <v>1478</v>
      </c>
      <c r="H4621" s="144">
        <v>360</v>
      </c>
      <c r="I4621" s="86" t="s">
        <v>1060</v>
      </c>
      <c r="J4621" s="1" t="s">
        <v>3325</v>
      </c>
      <c r="K4621" s="1" t="s">
        <v>3287</v>
      </c>
      <c r="L4621" s="1" t="s">
        <v>35</v>
      </c>
      <c r="M4621" s="86" t="s">
        <v>1479</v>
      </c>
      <c r="N4621" s="86"/>
      <c r="O4621" s="47" t="s">
        <v>941</v>
      </c>
      <c r="P4621" s="47" t="s">
        <v>46</v>
      </c>
      <c r="Q4621" s="14">
        <v>0.02</v>
      </c>
      <c r="R4621" s="143" t="s">
        <v>1480</v>
      </c>
      <c r="S4621" s="47"/>
      <c r="T4621" s="6">
        <v>-657544.01878000004</v>
      </c>
      <c r="U4621" s="6"/>
      <c r="V4621" s="6">
        <v>1254839.57366</v>
      </c>
      <c r="W4621" s="6">
        <f t="shared" si="705"/>
        <v>-1912383.59244</v>
      </c>
      <c r="X4621" s="6">
        <f t="shared" si="706"/>
        <v>1230234.8761372548</v>
      </c>
      <c r="Y4621" s="13">
        <f t="shared" si="709"/>
        <v>0</v>
      </c>
      <c r="Z4621" s="14">
        <v>0</v>
      </c>
      <c r="AA4621" s="6">
        <v>0</v>
      </c>
      <c r="AB4621" s="4">
        <f t="shared" si="710"/>
        <v>1230234.8761372548</v>
      </c>
      <c r="AC4621" s="4">
        <f t="shared" si="712"/>
        <v>24604.697522745235</v>
      </c>
      <c r="AD4621" s="6">
        <f t="shared" si="707"/>
        <v>1254839.57366</v>
      </c>
      <c r="AE4621" s="2">
        <f>VLOOKUP(I4621,[1]媒体政策预估表!A:N,MATCH(O4621,[1]媒体政策预估表!$A$2:$M$2,0),0)</f>
        <v>0.15</v>
      </c>
      <c r="AF4621" s="6">
        <f t="shared" si="713"/>
        <v>188225.93604899998</v>
      </c>
      <c r="AG4621" s="14">
        <v>0</v>
      </c>
      <c r="AH4621" s="65">
        <f t="shared" si="708"/>
        <v>1254839.57366</v>
      </c>
      <c r="AI4621" s="47"/>
      <c r="AJ4621" s="126" t="e">
        <v>#N/A</v>
      </c>
      <c r="AK4621" s="80">
        <f t="shared" si="711"/>
        <v>0</v>
      </c>
      <c r="AM4621" s="85"/>
    </row>
    <row r="4622" spans="1:39" hidden="1" x14ac:dyDescent="0.3">
      <c r="A4622" s="89" t="s">
        <v>3395</v>
      </c>
      <c r="B4622" s="86" t="s">
        <v>35</v>
      </c>
      <c r="C4622" s="86" t="s">
        <v>36</v>
      </c>
      <c r="D4622" s="86" t="s">
        <v>3488</v>
      </c>
      <c r="E4622" s="86" t="s">
        <v>1349</v>
      </c>
      <c r="F4622" s="86" t="s">
        <v>1352</v>
      </c>
      <c r="G4622" s="86" t="s">
        <v>1349</v>
      </c>
      <c r="H4622" s="144">
        <v>360</v>
      </c>
      <c r="I4622" s="86" t="s">
        <v>1060</v>
      </c>
      <c r="J4622" s="1" t="s">
        <v>3325</v>
      </c>
      <c r="K4622" s="1" t="s">
        <v>3287</v>
      </c>
      <c r="L4622" s="1" t="s">
        <v>35</v>
      </c>
      <c r="M4622" s="86" t="s">
        <v>1349</v>
      </c>
      <c r="N4622" s="86"/>
      <c r="O4622" s="47" t="s">
        <v>941</v>
      </c>
      <c r="P4622" s="47" t="s">
        <v>41</v>
      </c>
      <c r="Q4622" s="14">
        <v>0</v>
      </c>
      <c r="R4622" s="143" t="s">
        <v>1353</v>
      </c>
      <c r="S4622" s="47"/>
      <c r="T4622" s="6">
        <v>-60610.9</v>
      </c>
      <c r="U4622" s="6"/>
      <c r="V4622" s="6">
        <v>26242.2</v>
      </c>
      <c r="W4622" s="6">
        <f t="shared" si="705"/>
        <v>-86853.1</v>
      </c>
      <c r="X4622" s="6">
        <f t="shared" si="706"/>
        <v>26242.2</v>
      </c>
      <c r="Y4622" s="13">
        <f t="shared" si="709"/>
        <v>0</v>
      </c>
      <c r="Z4622" s="14">
        <v>0</v>
      </c>
      <c r="AA4622" s="6">
        <v>0</v>
      </c>
      <c r="AB4622" s="4">
        <f t="shared" si="710"/>
        <v>26242.2</v>
      </c>
      <c r="AC4622" s="4">
        <f t="shared" si="712"/>
        <v>0</v>
      </c>
      <c r="AD4622" s="6">
        <f t="shared" si="707"/>
        <v>26242.2</v>
      </c>
      <c r="AE4622" s="2">
        <f>VLOOKUP(I4622,[1]媒体政策预估表!A:N,MATCH(O4622,[1]媒体政策预估表!$A$2:$M$2,0),0)</f>
        <v>0.15</v>
      </c>
      <c r="AF4622" s="6">
        <f t="shared" si="713"/>
        <v>3936.33</v>
      </c>
      <c r="AG4622" s="14">
        <v>0</v>
      </c>
      <c r="AH4622" s="65">
        <f t="shared" si="708"/>
        <v>26242.2</v>
      </c>
      <c r="AI4622" s="47"/>
      <c r="AJ4622" s="126" t="e">
        <v>#N/A</v>
      </c>
      <c r="AK4622" s="80">
        <f t="shared" si="711"/>
        <v>0</v>
      </c>
      <c r="AM4622" s="85"/>
    </row>
    <row r="4623" spans="1:39" hidden="1" x14ac:dyDescent="0.3">
      <c r="A4623" s="89" t="s">
        <v>3395</v>
      </c>
      <c r="B4623" s="86" t="s">
        <v>35</v>
      </c>
      <c r="C4623" s="86" t="s">
        <v>36</v>
      </c>
      <c r="D4623" s="86" t="s">
        <v>37</v>
      </c>
      <c r="E4623" s="86" t="s">
        <v>1225</v>
      </c>
      <c r="F4623" s="86" t="s">
        <v>1226</v>
      </c>
      <c r="G4623" s="86" t="s">
        <v>1225</v>
      </c>
      <c r="H4623" s="143">
        <v>360</v>
      </c>
      <c r="I4623" s="86" t="s">
        <v>1060</v>
      </c>
      <c r="J4623" s="1" t="s">
        <v>3325</v>
      </c>
      <c r="K4623" s="1" t="s">
        <v>3287</v>
      </c>
      <c r="L4623" s="1" t="s">
        <v>35</v>
      </c>
      <c r="M4623" s="86" t="s">
        <v>1225</v>
      </c>
      <c r="N4623" s="86"/>
      <c r="O4623" s="47" t="s">
        <v>941</v>
      </c>
      <c r="P4623" s="47" t="s">
        <v>41</v>
      </c>
      <c r="Q4623" s="14">
        <v>0</v>
      </c>
      <c r="R4623" s="143" t="s">
        <v>1227</v>
      </c>
      <c r="S4623" s="47"/>
      <c r="T4623" s="6">
        <v>-1116.8140800000001</v>
      </c>
      <c r="U4623" s="6"/>
      <c r="V4623" s="6">
        <v>0</v>
      </c>
      <c r="W4623" s="6">
        <f t="shared" si="705"/>
        <v>-1116.8140800000001</v>
      </c>
      <c r="X4623" s="6">
        <f t="shared" si="706"/>
        <v>0</v>
      </c>
      <c r="Y4623" s="13">
        <f t="shared" si="709"/>
        <v>0</v>
      </c>
      <c r="Z4623" s="14">
        <v>0</v>
      </c>
      <c r="AA4623" s="6">
        <v>0</v>
      </c>
      <c r="AB4623" s="4">
        <f t="shared" si="710"/>
        <v>0</v>
      </c>
      <c r="AC4623" s="4">
        <f t="shared" si="712"/>
        <v>0</v>
      </c>
      <c r="AD4623" s="6">
        <f t="shared" si="707"/>
        <v>0</v>
      </c>
      <c r="AE4623" s="2">
        <f>VLOOKUP(I4623,[1]媒体政策预估表!A:N,MATCH(O4623,[1]媒体政策预估表!$A$2:$M$2,0),0)</f>
        <v>0.15</v>
      </c>
      <c r="AF4623" s="6">
        <f t="shared" si="713"/>
        <v>0</v>
      </c>
      <c r="AG4623" s="14">
        <v>0</v>
      </c>
      <c r="AH4623" s="65">
        <f t="shared" si="708"/>
        <v>0</v>
      </c>
      <c r="AI4623" s="47"/>
      <c r="AJ4623" s="126" t="e">
        <v>#N/A</v>
      </c>
      <c r="AK4623" s="80">
        <f t="shared" si="711"/>
        <v>0</v>
      </c>
      <c r="AM4623" s="85"/>
    </row>
    <row r="4624" spans="1:39" hidden="1" x14ac:dyDescent="0.3">
      <c r="A4624" s="89" t="s">
        <v>3394</v>
      </c>
      <c r="B4624" s="86" t="s">
        <v>35</v>
      </c>
      <c r="C4624" s="86" t="s">
        <v>65</v>
      </c>
      <c r="D4624" s="86" t="s">
        <v>122</v>
      </c>
      <c r="E4624" s="86" t="s">
        <v>1266</v>
      </c>
      <c r="F4624" s="86" t="s">
        <v>1266</v>
      </c>
      <c r="G4624" s="86" t="s">
        <v>1266</v>
      </c>
      <c r="H4624" s="143">
        <v>360</v>
      </c>
      <c r="I4624" s="86" t="s">
        <v>1060</v>
      </c>
      <c r="J4624" s="1" t="s">
        <v>3325</v>
      </c>
      <c r="K4624" s="1" t="s">
        <v>3287</v>
      </c>
      <c r="L4624" s="1" t="s">
        <v>35</v>
      </c>
      <c r="M4624" s="86" t="s">
        <v>1274</v>
      </c>
      <c r="N4624" s="86"/>
      <c r="O4624" s="47" t="s">
        <v>941</v>
      </c>
      <c r="P4624" s="47" t="s">
        <v>41</v>
      </c>
      <c r="Q4624" s="14">
        <v>0</v>
      </c>
      <c r="R4624" s="143" t="s">
        <v>1275</v>
      </c>
      <c r="S4624" s="47"/>
      <c r="T4624" s="6">
        <v>-1740.0517600000001</v>
      </c>
      <c r="U4624" s="6"/>
      <c r="V4624" s="6">
        <v>0</v>
      </c>
      <c r="W4624" s="6">
        <f t="shared" si="705"/>
        <v>-1740.0517600000001</v>
      </c>
      <c r="X4624" s="6">
        <f t="shared" si="706"/>
        <v>0</v>
      </c>
      <c r="Y4624" s="13">
        <f t="shared" si="709"/>
        <v>0</v>
      </c>
      <c r="Z4624" s="14">
        <v>0</v>
      </c>
      <c r="AA4624" s="6">
        <v>0</v>
      </c>
      <c r="AB4624" s="4">
        <f t="shared" si="710"/>
        <v>0</v>
      </c>
      <c r="AC4624" s="4">
        <f t="shared" si="712"/>
        <v>0</v>
      </c>
      <c r="AD4624" s="6">
        <f t="shared" si="707"/>
        <v>0</v>
      </c>
      <c r="AE4624" s="2">
        <f>VLOOKUP(I4624,[1]媒体政策预估表!A:N,MATCH(O4624,[1]媒体政策预估表!$A$2:$M$2,0),0)</f>
        <v>0.15</v>
      </c>
      <c r="AF4624" s="6">
        <f t="shared" si="713"/>
        <v>0</v>
      </c>
      <c r="AG4624" s="14">
        <v>0</v>
      </c>
      <c r="AH4624" s="65">
        <f t="shared" si="708"/>
        <v>0</v>
      </c>
      <c r="AI4624" s="47"/>
      <c r="AJ4624" s="126" t="e">
        <v>#N/A</v>
      </c>
      <c r="AK4624" s="80">
        <f t="shared" si="711"/>
        <v>0</v>
      </c>
      <c r="AM4624" s="85"/>
    </row>
    <row r="4625" spans="1:39" hidden="1" x14ac:dyDescent="0.3">
      <c r="A4625" s="89" t="s">
        <v>3394</v>
      </c>
      <c r="B4625" s="86" t="s">
        <v>35</v>
      </c>
      <c r="C4625" s="86" t="s">
        <v>36</v>
      </c>
      <c r="D4625" s="86" t="s">
        <v>3488</v>
      </c>
      <c r="E4625" s="86" t="s">
        <v>1336</v>
      </c>
      <c r="F4625" s="86" t="s">
        <v>1337</v>
      </c>
      <c r="G4625" s="86" t="s">
        <v>1336</v>
      </c>
      <c r="H4625" s="144">
        <v>360</v>
      </c>
      <c r="I4625" s="86" t="s">
        <v>1060</v>
      </c>
      <c r="J4625" s="1" t="s">
        <v>3325</v>
      </c>
      <c r="K4625" s="1" t="s">
        <v>3287</v>
      </c>
      <c r="L4625" s="1" t="s">
        <v>35</v>
      </c>
      <c r="M4625" s="86" t="s">
        <v>1336</v>
      </c>
      <c r="N4625" s="86"/>
      <c r="O4625" s="47" t="s">
        <v>941</v>
      </c>
      <c r="P4625" s="47" t="s">
        <v>41</v>
      </c>
      <c r="Q4625" s="14">
        <v>0</v>
      </c>
      <c r="R4625" s="143" t="s">
        <v>1338</v>
      </c>
      <c r="S4625" s="47"/>
      <c r="T4625" s="6">
        <v>-195444.62</v>
      </c>
      <c r="U4625" s="6"/>
      <c r="V4625" s="6">
        <v>129545.37</v>
      </c>
      <c r="W4625" s="6">
        <f t="shared" si="705"/>
        <v>-324989.99</v>
      </c>
      <c r="X4625" s="6">
        <f t="shared" si="706"/>
        <v>129545.37</v>
      </c>
      <c r="Y4625" s="13">
        <f t="shared" si="709"/>
        <v>0</v>
      </c>
      <c r="Z4625" s="14">
        <v>0</v>
      </c>
      <c r="AA4625" s="6">
        <v>0</v>
      </c>
      <c r="AB4625" s="4">
        <f t="shared" si="710"/>
        <v>129545.37</v>
      </c>
      <c r="AC4625" s="4">
        <f t="shared" si="712"/>
        <v>0</v>
      </c>
      <c r="AD4625" s="6">
        <f t="shared" si="707"/>
        <v>129545.37</v>
      </c>
      <c r="AE4625" s="2">
        <f>VLOOKUP(I4625,[1]媒体政策预估表!A:N,MATCH(O4625,[1]媒体政策预估表!$A$2:$M$2,0),0)</f>
        <v>0.15</v>
      </c>
      <c r="AF4625" s="6">
        <f t="shared" si="713"/>
        <v>19431.805499999999</v>
      </c>
      <c r="AG4625" s="14">
        <v>0</v>
      </c>
      <c r="AH4625" s="65">
        <f t="shared" si="708"/>
        <v>129545.37</v>
      </c>
      <c r="AI4625" s="47"/>
      <c r="AJ4625" s="126" t="e">
        <v>#N/A</v>
      </c>
      <c r="AK4625" s="80">
        <f t="shared" si="711"/>
        <v>0</v>
      </c>
      <c r="AM4625" s="85"/>
    </row>
    <row r="4626" spans="1:39" hidden="1" x14ac:dyDescent="0.3">
      <c r="A4626" s="89" t="s">
        <v>3395</v>
      </c>
      <c r="B4626" s="86" t="s">
        <v>35</v>
      </c>
      <c r="C4626" s="86" t="s">
        <v>65</v>
      </c>
      <c r="D4626" s="86" t="s">
        <v>122</v>
      </c>
      <c r="E4626" s="86" t="s">
        <v>1266</v>
      </c>
      <c r="F4626" s="86" t="s">
        <v>1266</v>
      </c>
      <c r="G4626" s="86" t="s">
        <v>1266</v>
      </c>
      <c r="H4626" s="143">
        <v>360</v>
      </c>
      <c r="I4626" s="86" t="s">
        <v>1060</v>
      </c>
      <c r="J4626" s="1" t="s">
        <v>3325</v>
      </c>
      <c r="K4626" s="1" t="s">
        <v>3287</v>
      </c>
      <c r="L4626" s="1" t="s">
        <v>35</v>
      </c>
      <c r="M4626" s="86" t="s">
        <v>1274</v>
      </c>
      <c r="N4626" s="86"/>
      <c r="O4626" s="47" t="s">
        <v>941</v>
      </c>
      <c r="P4626" s="47" t="s">
        <v>41</v>
      </c>
      <c r="Q4626" s="14">
        <v>0</v>
      </c>
      <c r="R4626" s="143" t="s">
        <v>1276</v>
      </c>
      <c r="S4626" s="47"/>
      <c r="T4626" s="6">
        <v>-6838.6828599999999</v>
      </c>
      <c r="U4626" s="6"/>
      <c r="V4626" s="6">
        <v>0</v>
      </c>
      <c r="W4626" s="6">
        <f t="shared" si="705"/>
        <v>-6838.6828599999999</v>
      </c>
      <c r="X4626" s="6">
        <f t="shared" si="706"/>
        <v>0</v>
      </c>
      <c r="Y4626" s="13">
        <f t="shared" si="709"/>
        <v>0</v>
      </c>
      <c r="Z4626" s="14">
        <v>0</v>
      </c>
      <c r="AA4626" s="6">
        <v>0</v>
      </c>
      <c r="AB4626" s="4">
        <f t="shared" si="710"/>
        <v>0</v>
      </c>
      <c r="AC4626" s="4">
        <f t="shared" si="712"/>
        <v>0</v>
      </c>
      <c r="AD4626" s="6">
        <f t="shared" si="707"/>
        <v>0</v>
      </c>
      <c r="AE4626" s="2">
        <f>VLOOKUP(I4626,[1]媒体政策预估表!A:N,MATCH(O4626,[1]媒体政策预估表!$A$2:$M$2,0),0)</f>
        <v>0.15</v>
      </c>
      <c r="AF4626" s="6">
        <f t="shared" si="713"/>
        <v>0</v>
      </c>
      <c r="AG4626" s="14">
        <v>0</v>
      </c>
      <c r="AH4626" s="65">
        <f t="shared" si="708"/>
        <v>0</v>
      </c>
      <c r="AI4626" s="47"/>
      <c r="AJ4626" s="126" t="e">
        <v>#N/A</v>
      </c>
      <c r="AK4626" s="80">
        <f t="shared" si="711"/>
        <v>0</v>
      </c>
      <c r="AM4626" s="85"/>
    </row>
    <row r="4627" spans="1:39" hidden="1" x14ac:dyDescent="0.3">
      <c r="A4627" s="89" t="s">
        <v>3394</v>
      </c>
      <c r="B4627" s="86" t="s">
        <v>35</v>
      </c>
      <c r="C4627" s="86" t="s">
        <v>36</v>
      </c>
      <c r="D4627" s="86" t="s">
        <v>3488</v>
      </c>
      <c r="E4627" s="86" t="s">
        <v>1336</v>
      </c>
      <c r="F4627" s="86" t="s">
        <v>1337</v>
      </c>
      <c r="G4627" s="86" t="s">
        <v>1336</v>
      </c>
      <c r="H4627" s="144">
        <v>360</v>
      </c>
      <c r="I4627" s="86" t="s">
        <v>1060</v>
      </c>
      <c r="J4627" s="1" t="s">
        <v>3325</v>
      </c>
      <c r="K4627" s="1" t="s">
        <v>3287</v>
      </c>
      <c r="L4627" s="1" t="s">
        <v>35</v>
      </c>
      <c r="M4627" s="86" t="s">
        <v>1336</v>
      </c>
      <c r="N4627" s="86"/>
      <c r="O4627" s="47" t="s">
        <v>941</v>
      </c>
      <c r="P4627" s="47" t="s">
        <v>41</v>
      </c>
      <c r="Q4627" s="14">
        <v>0</v>
      </c>
      <c r="R4627" s="143" t="s">
        <v>1339</v>
      </c>
      <c r="S4627" s="47"/>
      <c r="T4627" s="6">
        <v>-1470875.36</v>
      </c>
      <c r="U4627" s="6"/>
      <c r="V4627" s="6">
        <v>957305.51</v>
      </c>
      <c r="W4627" s="6">
        <f t="shared" si="705"/>
        <v>-2428180.87</v>
      </c>
      <c r="X4627" s="6">
        <f t="shared" si="706"/>
        <v>957305.51</v>
      </c>
      <c r="Y4627" s="13">
        <f t="shared" si="709"/>
        <v>0</v>
      </c>
      <c r="Z4627" s="14">
        <v>0</v>
      </c>
      <c r="AA4627" s="6">
        <v>0</v>
      </c>
      <c r="AB4627" s="4">
        <f t="shared" si="710"/>
        <v>957305.51</v>
      </c>
      <c r="AC4627" s="4">
        <f t="shared" si="712"/>
        <v>0</v>
      </c>
      <c r="AD4627" s="6">
        <f t="shared" si="707"/>
        <v>957305.51</v>
      </c>
      <c r="AE4627" s="2">
        <f>VLOOKUP(I4627,[1]媒体政策预估表!A:N,MATCH(O4627,[1]媒体政策预估表!$A$2:$M$2,0),0)</f>
        <v>0.15</v>
      </c>
      <c r="AF4627" s="6">
        <f t="shared" si="713"/>
        <v>143595.8265</v>
      </c>
      <c r="AG4627" s="14">
        <v>0</v>
      </c>
      <c r="AH4627" s="65">
        <f t="shared" si="708"/>
        <v>957305.51</v>
      </c>
      <c r="AI4627" s="47"/>
      <c r="AJ4627" s="126" t="e">
        <v>#N/A</v>
      </c>
      <c r="AK4627" s="80">
        <f t="shared" si="711"/>
        <v>0</v>
      </c>
      <c r="AM4627" s="85"/>
    </row>
    <row r="4628" spans="1:39" hidden="1" x14ac:dyDescent="0.3">
      <c r="A4628" s="89" t="s">
        <v>3394</v>
      </c>
      <c r="B4628" s="86" t="s">
        <v>35</v>
      </c>
      <c r="C4628" s="86" t="s">
        <v>164</v>
      </c>
      <c r="D4628" s="86" t="s">
        <v>174</v>
      </c>
      <c r="E4628" s="86" t="s">
        <v>1802</v>
      </c>
      <c r="F4628" s="86" t="s">
        <v>1802</v>
      </c>
      <c r="G4628" s="86" t="s">
        <v>1802</v>
      </c>
      <c r="H4628" s="143">
        <v>360</v>
      </c>
      <c r="I4628" s="86" t="s">
        <v>1060</v>
      </c>
      <c r="J4628" s="1" t="s">
        <v>3325</v>
      </c>
      <c r="K4628" s="1" t="s">
        <v>3287</v>
      </c>
      <c r="L4628" s="1" t="s">
        <v>35</v>
      </c>
      <c r="M4628" s="86" t="s">
        <v>1802</v>
      </c>
      <c r="N4628" s="86"/>
      <c r="O4628" s="47" t="s">
        <v>941</v>
      </c>
      <c r="P4628" s="47" t="s">
        <v>41</v>
      </c>
      <c r="Q4628" s="14">
        <v>0</v>
      </c>
      <c r="R4628" s="143" t="s">
        <v>1803</v>
      </c>
      <c r="S4628" s="47"/>
      <c r="T4628" s="6">
        <v>-1126.08</v>
      </c>
      <c r="U4628" s="6"/>
      <c r="V4628" s="6">
        <v>0</v>
      </c>
      <c r="W4628" s="6">
        <f t="shared" si="705"/>
        <v>-1126.08</v>
      </c>
      <c r="X4628" s="6">
        <f t="shared" si="706"/>
        <v>0</v>
      </c>
      <c r="Y4628" s="13">
        <f t="shared" si="709"/>
        <v>0</v>
      </c>
      <c r="Z4628" s="14">
        <v>0</v>
      </c>
      <c r="AA4628" s="6">
        <v>0</v>
      </c>
      <c r="AB4628" s="4">
        <f t="shared" si="710"/>
        <v>0</v>
      </c>
      <c r="AC4628" s="4">
        <f t="shared" si="712"/>
        <v>0</v>
      </c>
      <c r="AD4628" s="6">
        <f t="shared" si="707"/>
        <v>0</v>
      </c>
      <c r="AE4628" s="2">
        <f>VLOOKUP(I4628,[1]媒体政策预估表!A:N,MATCH(O4628,[1]媒体政策预估表!$A$2:$M$2,0),0)</f>
        <v>0.15</v>
      </c>
      <c r="AF4628" s="6">
        <f t="shared" si="713"/>
        <v>0</v>
      </c>
      <c r="AG4628" s="14">
        <v>0</v>
      </c>
      <c r="AH4628" s="65">
        <f t="shared" si="708"/>
        <v>0</v>
      </c>
      <c r="AI4628" s="47"/>
      <c r="AJ4628" s="126" t="e">
        <v>#N/A</v>
      </c>
      <c r="AK4628" s="80">
        <f t="shared" si="711"/>
        <v>0</v>
      </c>
      <c r="AM4628" s="85"/>
    </row>
    <row r="4629" spans="1:39" hidden="1" x14ac:dyDescent="0.3">
      <c r="A4629" s="89" t="s">
        <v>3395</v>
      </c>
      <c r="B4629" s="86" t="s">
        <v>35</v>
      </c>
      <c r="C4629" s="86" t="s">
        <v>144</v>
      </c>
      <c r="D4629" s="86" t="s">
        <v>161</v>
      </c>
      <c r="E4629" s="86" t="s">
        <v>1529</v>
      </c>
      <c r="F4629" s="86" t="s">
        <v>1529</v>
      </c>
      <c r="G4629" s="86" t="s">
        <v>1529</v>
      </c>
      <c r="H4629" s="144">
        <v>360</v>
      </c>
      <c r="I4629" s="86" t="s">
        <v>1060</v>
      </c>
      <c r="J4629" s="1" t="s">
        <v>3325</v>
      </c>
      <c r="K4629" s="1" t="s">
        <v>3287</v>
      </c>
      <c r="L4629" s="1" t="s">
        <v>35</v>
      </c>
      <c r="M4629" s="86" t="s">
        <v>2371</v>
      </c>
      <c r="N4629" s="86"/>
      <c r="O4629" s="47" t="s">
        <v>941</v>
      </c>
      <c r="P4629" s="47" t="s">
        <v>41</v>
      </c>
      <c r="Q4629" s="14">
        <v>0</v>
      </c>
      <c r="R4629" s="143" t="s">
        <v>1530</v>
      </c>
      <c r="S4629" s="47"/>
      <c r="T4629" s="6">
        <v>-537678.90633000003</v>
      </c>
      <c r="U4629" s="6"/>
      <c r="V4629" s="6">
        <v>756694.56570000004</v>
      </c>
      <c r="W4629" s="6">
        <f t="shared" si="705"/>
        <v>-1294373.4720300001</v>
      </c>
      <c r="X4629" s="6">
        <f t="shared" si="706"/>
        <v>756694.56570000004</v>
      </c>
      <c r="Y4629" s="13">
        <f t="shared" si="709"/>
        <v>0</v>
      </c>
      <c r="Z4629" s="14">
        <v>0</v>
      </c>
      <c r="AA4629" s="6">
        <v>0</v>
      </c>
      <c r="AB4629" s="4">
        <f t="shared" si="710"/>
        <v>756694.56570000004</v>
      </c>
      <c r="AC4629" s="4">
        <f t="shared" si="712"/>
        <v>0</v>
      </c>
      <c r="AD4629" s="6">
        <f t="shared" si="707"/>
        <v>756694.56570000004</v>
      </c>
      <c r="AE4629" s="2">
        <f>VLOOKUP(I4629,[1]媒体政策预估表!A:N,MATCH(O4629,[1]媒体政策预估表!$A$2:$M$2,0),0)</f>
        <v>0.15</v>
      </c>
      <c r="AF4629" s="6">
        <f t="shared" si="713"/>
        <v>113504.184855</v>
      </c>
      <c r="AG4629" s="14">
        <v>0</v>
      </c>
      <c r="AH4629" s="65">
        <f t="shared" si="708"/>
        <v>756694.56570000004</v>
      </c>
      <c r="AI4629" s="47"/>
      <c r="AJ4629" s="126" t="e">
        <v>#N/A</v>
      </c>
      <c r="AK4629" s="80">
        <f t="shared" si="711"/>
        <v>0</v>
      </c>
      <c r="AM4629" s="85"/>
    </row>
    <row r="4630" spans="1:39" hidden="1" x14ac:dyDescent="0.3">
      <c r="A4630" s="89" t="s">
        <v>3395</v>
      </c>
      <c r="B4630" s="86" t="s">
        <v>35</v>
      </c>
      <c r="C4630" s="86" t="s">
        <v>164</v>
      </c>
      <c r="D4630" s="86" t="s">
        <v>174</v>
      </c>
      <c r="E4630" s="86" t="s">
        <v>1756</v>
      </c>
      <c r="F4630" s="86" t="s">
        <v>1756</v>
      </c>
      <c r="G4630" s="86" t="s">
        <v>1756</v>
      </c>
      <c r="H4630" s="144">
        <v>360</v>
      </c>
      <c r="I4630" s="86" t="s">
        <v>1060</v>
      </c>
      <c r="J4630" s="1" t="s">
        <v>3325</v>
      </c>
      <c r="K4630" s="1" t="s">
        <v>3287</v>
      </c>
      <c r="L4630" s="1" t="s">
        <v>35</v>
      </c>
      <c r="M4630" s="86" t="s">
        <v>1759</v>
      </c>
      <c r="N4630" s="86"/>
      <c r="O4630" s="47" t="s">
        <v>941</v>
      </c>
      <c r="P4630" s="47" t="s">
        <v>41</v>
      </c>
      <c r="Q4630" s="14">
        <v>0</v>
      </c>
      <c r="R4630" s="143" t="s">
        <v>1760</v>
      </c>
      <c r="S4630" s="47"/>
      <c r="T4630" s="6">
        <v>-234675.48</v>
      </c>
      <c r="U4630" s="6"/>
      <c r="V4630" s="6">
        <v>451602.95</v>
      </c>
      <c r="W4630" s="6">
        <f t="shared" si="705"/>
        <v>-686278.43</v>
      </c>
      <c r="X4630" s="6">
        <f t="shared" si="706"/>
        <v>451602.95</v>
      </c>
      <c r="Y4630" s="13">
        <f t="shared" si="709"/>
        <v>0</v>
      </c>
      <c r="Z4630" s="14">
        <v>0</v>
      </c>
      <c r="AA4630" s="6">
        <v>0</v>
      </c>
      <c r="AB4630" s="4">
        <f t="shared" si="710"/>
        <v>451602.95</v>
      </c>
      <c r="AC4630" s="4">
        <f t="shared" si="712"/>
        <v>0</v>
      </c>
      <c r="AD4630" s="6">
        <f t="shared" si="707"/>
        <v>451602.95</v>
      </c>
      <c r="AE4630" s="2">
        <f>VLOOKUP(I4630,[1]媒体政策预估表!A:N,MATCH(O4630,[1]媒体政策预估表!$A$2:$M$2,0),0)</f>
        <v>0.15</v>
      </c>
      <c r="AF4630" s="6">
        <f t="shared" si="713"/>
        <v>67740.442500000005</v>
      </c>
      <c r="AG4630" s="14">
        <v>0</v>
      </c>
      <c r="AH4630" s="65">
        <f t="shared" si="708"/>
        <v>451602.95</v>
      </c>
      <c r="AI4630" s="47"/>
      <c r="AJ4630" s="126" t="e">
        <v>#N/A</v>
      </c>
      <c r="AK4630" s="80">
        <f t="shared" si="711"/>
        <v>0</v>
      </c>
      <c r="AM4630" s="85"/>
    </row>
    <row r="4631" spans="1:39" hidden="1" x14ac:dyDescent="0.3">
      <c r="A4631" s="89" t="s">
        <v>3394</v>
      </c>
      <c r="B4631" s="86" t="s">
        <v>35</v>
      </c>
      <c r="C4631" s="86" t="s">
        <v>47</v>
      </c>
      <c r="D4631" s="86" t="s">
        <v>63</v>
      </c>
      <c r="E4631" s="86" t="s">
        <v>64</v>
      </c>
      <c r="F4631" s="86" t="s">
        <v>1343</v>
      </c>
      <c r="G4631" s="86" t="s">
        <v>64</v>
      </c>
      <c r="H4631" s="143">
        <v>360</v>
      </c>
      <c r="I4631" s="86" t="s">
        <v>1060</v>
      </c>
      <c r="J4631" s="1" t="s">
        <v>3325</v>
      </c>
      <c r="K4631" s="1" t="s">
        <v>3287</v>
      </c>
      <c r="L4631" s="1" t="s">
        <v>35</v>
      </c>
      <c r="M4631" s="86" t="s">
        <v>64</v>
      </c>
      <c r="N4631" s="86"/>
      <c r="O4631" s="47" t="s">
        <v>941</v>
      </c>
      <c r="P4631" s="47" t="s">
        <v>46</v>
      </c>
      <c r="Q4631" s="14">
        <v>0.04</v>
      </c>
      <c r="R4631" s="143" t="s">
        <v>1344</v>
      </c>
      <c r="S4631" s="47"/>
      <c r="T4631" s="6">
        <v>-13827.68</v>
      </c>
      <c r="U4631" s="6"/>
      <c r="V4631" s="6">
        <v>0</v>
      </c>
      <c r="W4631" s="6">
        <f t="shared" si="705"/>
        <v>-13827.68</v>
      </c>
      <c r="X4631" s="6">
        <f t="shared" si="706"/>
        <v>0</v>
      </c>
      <c r="Y4631" s="13">
        <f t="shared" si="709"/>
        <v>0</v>
      </c>
      <c r="Z4631" s="14">
        <v>0</v>
      </c>
      <c r="AA4631" s="6">
        <v>0</v>
      </c>
      <c r="AB4631" s="4">
        <f t="shared" si="710"/>
        <v>0</v>
      </c>
      <c r="AC4631" s="4">
        <f t="shared" si="712"/>
        <v>0</v>
      </c>
      <c r="AD4631" s="6">
        <f t="shared" si="707"/>
        <v>0</v>
      </c>
      <c r="AE4631" s="2">
        <f>VLOOKUP(I4631,[1]媒体政策预估表!A:N,MATCH(O4631,[1]媒体政策预估表!$A$2:$M$2,0),0)</f>
        <v>0.15</v>
      </c>
      <c r="AF4631" s="6">
        <f t="shared" si="713"/>
        <v>0</v>
      </c>
      <c r="AG4631" s="14">
        <v>0</v>
      </c>
      <c r="AH4631" s="65">
        <f t="shared" si="708"/>
        <v>0</v>
      </c>
      <c r="AI4631" s="47"/>
      <c r="AJ4631" s="126" t="e">
        <v>#N/A</v>
      </c>
      <c r="AK4631" s="80">
        <f t="shared" si="711"/>
        <v>0</v>
      </c>
      <c r="AM4631" s="85"/>
    </row>
    <row r="4632" spans="1:39" hidden="1" x14ac:dyDescent="0.3">
      <c r="A4632" s="89" t="s">
        <v>3394</v>
      </c>
      <c r="B4632" s="86" t="s">
        <v>35</v>
      </c>
      <c r="C4632" s="86" t="s">
        <v>47</v>
      </c>
      <c r="D4632" s="86" t="s">
        <v>63</v>
      </c>
      <c r="E4632" s="86" t="s">
        <v>64</v>
      </c>
      <c r="F4632" s="86" t="s">
        <v>1343</v>
      </c>
      <c r="G4632" s="86" t="s">
        <v>64</v>
      </c>
      <c r="H4632" s="143">
        <v>360</v>
      </c>
      <c r="I4632" s="86" t="s">
        <v>1060</v>
      </c>
      <c r="J4632" s="1" t="s">
        <v>3325</v>
      </c>
      <c r="K4632" s="1" t="s">
        <v>3287</v>
      </c>
      <c r="L4632" s="1" t="s">
        <v>35</v>
      </c>
      <c r="M4632" s="86" t="s">
        <v>64</v>
      </c>
      <c r="N4632" s="86"/>
      <c r="O4632" s="47" t="s">
        <v>941</v>
      </c>
      <c r="P4632" s="47" t="s">
        <v>46</v>
      </c>
      <c r="Q4632" s="14">
        <v>0.04</v>
      </c>
      <c r="R4632" s="143" t="s">
        <v>1345</v>
      </c>
      <c r="S4632" s="47"/>
      <c r="T4632" s="6">
        <v>-318.06</v>
      </c>
      <c r="U4632" s="6"/>
      <c r="V4632" s="6">
        <v>0</v>
      </c>
      <c r="W4632" s="6">
        <f t="shared" si="705"/>
        <v>-318.06</v>
      </c>
      <c r="X4632" s="6">
        <f t="shared" si="706"/>
        <v>0</v>
      </c>
      <c r="Y4632" s="13">
        <f t="shared" si="709"/>
        <v>0</v>
      </c>
      <c r="Z4632" s="14">
        <v>0</v>
      </c>
      <c r="AA4632" s="6">
        <v>0</v>
      </c>
      <c r="AB4632" s="4">
        <f t="shared" si="710"/>
        <v>0</v>
      </c>
      <c r="AC4632" s="4">
        <f t="shared" si="712"/>
        <v>0</v>
      </c>
      <c r="AD4632" s="6">
        <f t="shared" si="707"/>
        <v>0</v>
      </c>
      <c r="AE4632" s="2">
        <f>VLOOKUP(I4632,[1]媒体政策预估表!A:N,MATCH(O4632,[1]媒体政策预估表!$A$2:$M$2,0),0)</f>
        <v>0.15</v>
      </c>
      <c r="AF4632" s="6">
        <f t="shared" si="713"/>
        <v>0</v>
      </c>
      <c r="AG4632" s="14">
        <v>0</v>
      </c>
      <c r="AH4632" s="65">
        <f t="shared" si="708"/>
        <v>0</v>
      </c>
      <c r="AI4632" s="47"/>
      <c r="AJ4632" s="126" t="e">
        <v>#N/A</v>
      </c>
      <c r="AK4632" s="80">
        <f t="shared" si="711"/>
        <v>0</v>
      </c>
      <c r="AM4632" s="85"/>
    </row>
    <row r="4633" spans="1:39" hidden="1" x14ac:dyDescent="0.3">
      <c r="A4633" s="89" t="s">
        <v>3395</v>
      </c>
      <c r="B4633" s="86" t="s">
        <v>35</v>
      </c>
      <c r="C4633" s="86" t="s">
        <v>65</v>
      </c>
      <c r="D4633" s="86" t="s">
        <v>122</v>
      </c>
      <c r="E4633" s="86" t="s">
        <v>1266</v>
      </c>
      <c r="F4633" s="86" t="s">
        <v>1266</v>
      </c>
      <c r="G4633" s="86" t="s">
        <v>1266</v>
      </c>
      <c r="H4633" s="144">
        <v>360</v>
      </c>
      <c r="I4633" s="86" t="s">
        <v>1060</v>
      </c>
      <c r="J4633" s="1" t="s">
        <v>3325</v>
      </c>
      <c r="K4633" s="1" t="s">
        <v>3287</v>
      </c>
      <c r="L4633" s="1" t="s">
        <v>35</v>
      </c>
      <c r="M4633" s="86" t="s">
        <v>1271</v>
      </c>
      <c r="N4633" s="86"/>
      <c r="O4633" s="47" t="s">
        <v>2054</v>
      </c>
      <c r="P4633" s="47" t="s">
        <v>41</v>
      </c>
      <c r="Q4633" s="14">
        <v>0</v>
      </c>
      <c r="R4633" s="143" t="s">
        <v>1272</v>
      </c>
      <c r="S4633" s="47"/>
      <c r="T4633" s="6">
        <v>-16580.192040000002</v>
      </c>
      <c r="U4633" s="6"/>
      <c r="V4633" s="6">
        <v>17520.593529999998</v>
      </c>
      <c r="W4633" s="6">
        <f t="shared" si="705"/>
        <v>-34100.78557</v>
      </c>
      <c r="X4633" s="6">
        <f t="shared" si="706"/>
        <v>17520.593529999998</v>
      </c>
      <c r="Y4633" s="13">
        <f t="shared" si="709"/>
        <v>0</v>
      </c>
      <c r="Z4633" s="14">
        <v>0</v>
      </c>
      <c r="AA4633" s="6">
        <v>0</v>
      </c>
      <c r="AB4633" s="4">
        <f t="shared" si="710"/>
        <v>17520.593529999998</v>
      </c>
      <c r="AC4633" s="4">
        <f t="shared" si="712"/>
        <v>0</v>
      </c>
      <c r="AD4633" s="6">
        <f t="shared" si="707"/>
        <v>17520.593529999998</v>
      </c>
      <c r="AE4633" s="2">
        <f>VLOOKUP(I4633,[1]媒体政策预估表!A:N,MATCH(O4633,[1]媒体政策预估表!$A$2:$M$2,0),0)</f>
        <v>0.12</v>
      </c>
      <c r="AF4633" s="6">
        <f t="shared" si="713"/>
        <v>2102.4712235999996</v>
      </c>
      <c r="AG4633" s="14">
        <v>0</v>
      </c>
      <c r="AH4633" s="65">
        <f t="shared" si="708"/>
        <v>17520.593529999998</v>
      </c>
      <c r="AI4633" s="47"/>
      <c r="AJ4633" s="126" t="e">
        <v>#N/A</v>
      </c>
      <c r="AK4633" s="80">
        <f t="shared" si="711"/>
        <v>0</v>
      </c>
      <c r="AM4633" s="85"/>
    </row>
    <row r="4634" spans="1:39" hidden="1" x14ac:dyDescent="0.3">
      <c r="A4634" s="89" t="s">
        <v>3394</v>
      </c>
      <c r="B4634" s="86" t="s">
        <v>35</v>
      </c>
      <c r="C4634" s="86" t="s">
        <v>144</v>
      </c>
      <c r="D4634" s="86" t="s">
        <v>145</v>
      </c>
      <c r="E4634" s="86" t="s">
        <v>1416</v>
      </c>
      <c r="F4634" s="86" t="s">
        <v>1416</v>
      </c>
      <c r="G4634" s="86" t="s">
        <v>1416</v>
      </c>
      <c r="H4634" s="144">
        <v>360</v>
      </c>
      <c r="I4634" s="86" t="s">
        <v>1060</v>
      </c>
      <c r="J4634" s="1" t="s">
        <v>3325</v>
      </c>
      <c r="K4634" s="1" t="s">
        <v>3287</v>
      </c>
      <c r="L4634" s="1" t="s">
        <v>35</v>
      </c>
      <c r="M4634" s="86" t="s">
        <v>1417</v>
      </c>
      <c r="N4634" s="86"/>
      <c r="O4634" s="47" t="s">
        <v>2054</v>
      </c>
      <c r="P4634" s="47" t="s">
        <v>46</v>
      </c>
      <c r="Q4634" s="14">
        <v>0.02</v>
      </c>
      <c r="R4634" s="143" t="s">
        <v>1924</v>
      </c>
      <c r="S4634" s="47"/>
      <c r="T4634" s="6">
        <v>-4222.1318700000002</v>
      </c>
      <c r="U4634" s="6"/>
      <c r="V4634" s="6">
        <v>4.4015300000000002</v>
      </c>
      <c r="W4634" s="6">
        <f t="shared" si="705"/>
        <v>-4226.5334000000003</v>
      </c>
      <c r="X4634" s="6">
        <f t="shared" si="706"/>
        <v>4.3152254901960783</v>
      </c>
      <c r="Y4634" s="13">
        <f t="shared" si="709"/>
        <v>0</v>
      </c>
      <c r="Z4634" s="14">
        <v>0</v>
      </c>
      <c r="AA4634" s="6">
        <v>0</v>
      </c>
      <c r="AB4634" s="4">
        <f t="shared" si="710"/>
        <v>4.3152254901960783</v>
      </c>
      <c r="AC4634" s="4">
        <f t="shared" si="712"/>
        <v>8.6304509803921903E-2</v>
      </c>
      <c r="AD4634" s="6">
        <f t="shared" si="707"/>
        <v>4.4015300000000002</v>
      </c>
      <c r="AE4634" s="2">
        <f>VLOOKUP(I4634,[1]媒体政策预估表!A:N,MATCH(O4634,[1]媒体政策预估表!$A$2:$M$2,0),0)</f>
        <v>0.12</v>
      </c>
      <c r="AF4634" s="6">
        <f t="shared" si="713"/>
        <v>0.52818359999999998</v>
      </c>
      <c r="AG4634" s="14">
        <v>0</v>
      </c>
      <c r="AH4634" s="65">
        <f t="shared" si="708"/>
        <v>4.4015300000000002</v>
      </c>
      <c r="AI4634" s="47"/>
      <c r="AJ4634" s="126" t="e">
        <v>#N/A</v>
      </c>
      <c r="AK4634" s="80">
        <f t="shared" si="711"/>
        <v>0</v>
      </c>
      <c r="AM4634" s="85"/>
    </row>
    <row r="4635" spans="1:39" hidden="1" x14ac:dyDescent="0.3">
      <c r="A4635" s="89" t="s">
        <v>3394</v>
      </c>
      <c r="B4635" s="86" t="s">
        <v>35</v>
      </c>
      <c r="C4635" s="86" t="s">
        <v>65</v>
      </c>
      <c r="D4635" s="86" t="s">
        <v>122</v>
      </c>
      <c r="E4635" s="86" t="s">
        <v>1266</v>
      </c>
      <c r="F4635" s="86" t="s">
        <v>1266</v>
      </c>
      <c r="G4635" s="86" t="s">
        <v>1266</v>
      </c>
      <c r="H4635" s="144">
        <v>360</v>
      </c>
      <c r="I4635" s="86" t="s">
        <v>1060</v>
      </c>
      <c r="J4635" s="1" t="s">
        <v>3325</v>
      </c>
      <c r="K4635" s="1" t="s">
        <v>3287</v>
      </c>
      <c r="L4635" s="1" t="s">
        <v>35</v>
      </c>
      <c r="M4635" s="86" t="s">
        <v>1266</v>
      </c>
      <c r="N4635" s="86"/>
      <c r="O4635" s="47" t="s">
        <v>2054</v>
      </c>
      <c r="P4635" s="47" t="s">
        <v>41</v>
      </c>
      <c r="Q4635" s="14">
        <v>0</v>
      </c>
      <c r="R4635" s="143" t="s">
        <v>1270</v>
      </c>
      <c r="S4635" s="47"/>
      <c r="T4635" s="6">
        <v>-100.05401999999999</v>
      </c>
      <c r="U4635" s="6"/>
      <c r="V4635" s="6">
        <v>556.45095000000003</v>
      </c>
      <c r="W4635" s="6">
        <f t="shared" si="705"/>
        <v>-656.50497000000007</v>
      </c>
      <c r="X4635" s="6">
        <f t="shared" si="706"/>
        <v>556.45095000000003</v>
      </c>
      <c r="Y4635" s="13">
        <f t="shared" si="709"/>
        <v>0</v>
      </c>
      <c r="Z4635" s="14">
        <v>0</v>
      </c>
      <c r="AA4635" s="6">
        <v>0</v>
      </c>
      <c r="AB4635" s="4">
        <f t="shared" si="710"/>
        <v>556.45095000000003</v>
      </c>
      <c r="AC4635" s="4">
        <f t="shared" si="712"/>
        <v>0</v>
      </c>
      <c r="AD4635" s="6">
        <f t="shared" si="707"/>
        <v>556.45095000000003</v>
      </c>
      <c r="AE4635" s="2">
        <f>VLOOKUP(I4635,[1]媒体政策预估表!A:N,MATCH(O4635,[1]媒体政策预估表!$A$2:$M$2,0),0)</f>
        <v>0.12</v>
      </c>
      <c r="AF4635" s="6">
        <f t="shared" si="713"/>
        <v>66.774113999999997</v>
      </c>
      <c r="AG4635" s="14">
        <v>0</v>
      </c>
      <c r="AH4635" s="65">
        <f t="shared" si="708"/>
        <v>556.45095000000003</v>
      </c>
      <c r="AI4635" s="47"/>
      <c r="AJ4635" s="126" t="e">
        <v>#N/A</v>
      </c>
      <c r="AK4635" s="80">
        <f t="shared" si="711"/>
        <v>0</v>
      </c>
      <c r="AM4635" s="85"/>
    </row>
    <row r="4636" spans="1:39" hidden="1" x14ac:dyDescent="0.3">
      <c r="A4636" s="89" t="s">
        <v>3395</v>
      </c>
      <c r="B4636" s="86" t="s">
        <v>35</v>
      </c>
      <c r="C4636" s="86" t="s">
        <v>65</v>
      </c>
      <c r="D4636" s="86" t="s">
        <v>122</v>
      </c>
      <c r="E4636" s="86" t="s">
        <v>1266</v>
      </c>
      <c r="F4636" s="86" t="s">
        <v>1266</v>
      </c>
      <c r="G4636" s="86" t="s">
        <v>1266</v>
      </c>
      <c r="H4636" s="143">
        <v>360</v>
      </c>
      <c r="I4636" s="86" t="s">
        <v>1060</v>
      </c>
      <c r="J4636" s="1" t="s">
        <v>3325</v>
      </c>
      <c r="K4636" s="1" t="s">
        <v>3287</v>
      </c>
      <c r="L4636" s="1" t="s">
        <v>35</v>
      </c>
      <c r="M4636" s="86" t="s">
        <v>1271</v>
      </c>
      <c r="N4636" s="86"/>
      <c r="O4636" s="47" t="s">
        <v>2054</v>
      </c>
      <c r="P4636" s="47" t="s">
        <v>41</v>
      </c>
      <c r="Q4636" s="14">
        <v>0</v>
      </c>
      <c r="R4636" s="143" t="s">
        <v>1273</v>
      </c>
      <c r="S4636" s="47"/>
      <c r="T4636" s="6">
        <v>-6206.7361600000004</v>
      </c>
      <c r="U4636" s="6"/>
      <c r="V4636" s="6">
        <v>0</v>
      </c>
      <c r="W4636" s="6">
        <f t="shared" si="705"/>
        <v>-6206.7361600000004</v>
      </c>
      <c r="X4636" s="6">
        <f t="shared" si="706"/>
        <v>0</v>
      </c>
      <c r="Y4636" s="13">
        <f t="shared" si="709"/>
        <v>0</v>
      </c>
      <c r="Z4636" s="14">
        <v>0</v>
      </c>
      <c r="AA4636" s="6">
        <v>0</v>
      </c>
      <c r="AB4636" s="4">
        <f t="shared" si="710"/>
        <v>0</v>
      </c>
      <c r="AC4636" s="4">
        <f t="shared" si="712"/>
        <v>0</v>
      </c>
      <c r="AD4636" s="6">
        <f t="shared" si="707"/>
        <v>0</v>
      </c>
      <c r="AE4636" s="2">
        <f>VLOOKUP(I4636,[1]媒体政策预估表!A:N,MATCH(O4636,[1]媒体政策预估表!$A$2:$M$2,0),0)</f>
        <v>0.12</v>
      </c>
      <c r="AF4636" s="6">
        <f t="shared" si="713"/>
        <v>0</v>
      </c>
      <c r="AG4636" s="14">
        <v>0</v>
      </c>
      <c r="AH4636" s="65">
        <f t="shared" si="708"/>
        <v>0</v>
      </c>
      <c r="AI4636" s="47"/>
      <c r="AJ4636" s="126" t="e">
        <v>#N/A</v>
      </c>
      <c r="AK4636" s="80">
        <f t="shared" si="711"/>
        <v>0</v>
      </c>
      <c r="AM4636" s="85"/>
    </row>
    <row r="4637" spans="1:39" hidden="1" x14ac:dyDescent="0.3">
      <c r="A4637" s="89" t="s">
        <v>3395</v>
      </c>
      <c r="B4637" s="86" t="s">
        <v>35</v>
      </c>
      <c r="C4637" s="86" t="s">
        <v>164</v>
      </c>
      <c r="D4637" s="86" t="s">
        <v>169</v>
      </c>
      <c r="E4637" s="86" t="s">
        <v>1575</v>
      </c>
      <c r="F4637" s="86" t="s">
        <v>1575</v>
      </c>
      <c r="G4637" s="86" t="s">
        <v>1575</v>
      </c>
      <c r="H4637" s="144">
        <v>360</v>
      </c>
      <c r="I4637" s="86" t="s">
        <v>1060</v>
      </c>
      <c r="J4637" s="1" t="s">
        <v>3325</v>
      </c>
      <c r="K4637" s="1" t="s">
        <v>3287</v>
      </c>
      <c r="L4637" s="1" t="s">
        <v>35</v>
      </c>
      <c r="M4637" s="86" t="s">
        <v>1575</v>
      </c>
      <c r="N4637" s="86"/>
      <c r="O4637" s="47" t="s">
        <v>2054</v>
      </c>
      <c r="P4637" s="47" t="s">
        <v>41</v>
      </c>
      <c r="Q4637" s="14">
        <v>0</v>
      </c>
      <c r="R4637" s="143" t="s">
        <v>1576</v>
      </c>
      <c r="S4637" s="47"/>
      <c r="T4637" s="6">
        <v>-743.45839000000001</v>
      </c>
      <c r="U4637" s="6"/>
      <c r="V4637" s="6">
        <v>537.28339000000005</v>
      </c>
      <c r="W4637" s="6">
        <f t="shared" si="705"/>
        <v>-1280.7417800000001</v>
      </c>
      <c r="X4637" s="6">
        <f t="shared" si="706"/>
        <v>537.28339000000005</v>
      </c>
      <c r="Y4637" s="13">
        <f t="shared" si="709"/>
        <v>0</v>
      </c>
      <c r="Z4637" s="14">
        <v>0</v>
      </c>
      <c r="AA4637" s="6">
        <v>0</v>
      </c>
      <c r="AB4637" s="4">
        <f t="shared" si="710"/>
        <v>537.28339000000005</v>
      </c>
      <c r="AC4637" s="4">
        <f t="shared" si="712"/>
        <v>0</v>
      </c>
      <c r="AD4637" s="6">
        <f t="shared" si="707"/>
        <v>537.28339000000005</v>
      </c>
      <c r="AE4637" s="2">
        <f>VLOOKUP(I4637,[1]媒体政策预估表!A:N,MATCH(O4637,[1]媒体政策预估表!$A$2:$M$2,0),0)</f>
        <v>0.12</v>
      </c>
      <c r="AF4637" s="6">
        <f t="shared" si="713"/>
        <v>64.474006799999998</v>
      </c>
      <c r="AG4637" s="14">
        <v>0</v>
      </c>
      <c r="AH4637" s="65">
        <f t="shared" si="708"/>
        <v>537.28339000000005</v>
      </c>
      <c r="AI4637" s="47"/>
      <c r="AJ4637" s="126" t="e">
        <v>#N/A</v>
      </c>
      <c r="AK4637" s="80">
        <f t="shared" si="711"/>
        <v>0</v>
      </c>
      <c r="AM4637" s="85"/>
    </row>
    <row r="4638" spans="1:39" hidden="1" x14ac:dyDescent="0.3">
      <c r="A4638" s="89" t="s">
        <v>3395</v>
      </c>
      <c r="B4638" s="86" t="s">
        <v>35</v>
      </c>
      <c r="C4638" s="86" t="s">
        <v>144</v>
      </c>
      <c r="D4638" s="86" t="s">
        <v>152</v>
      </c>
      <c r="E4638" s="86" t="s">
        <v>1478</v>
      </c>
      <c r="F4638" s="86" t="s">
        <v>1478</v>
      </c>
      <c r="G4638" s="86" t="s">
        <v>1478</v>
      </c>
      <c r="H4638" s="144">
        <v>360</v>
      </c>
      <c r="I4638" s="86" t="s">
        <v>1060</v>
      </c>
      <c r="J4638" s="1" t="s">
        <v>3325</v>
      </c>
      <c r="K4638" s="1" t="s">
        <v>3287</v>
      </c>
      <c r="L4638" s="1" t="s">
        <v>35</v>
      </c>
      <c r="M4638" s="86" t="s">
        <v>1479</v>
      </c>
      <c r="N4638" s="86"/>
      <c r="O4638" s="47" t="s">
        <v>2054</v>
      </c>
      <c r="P4638" s="47" t="s">
        <v>46</v>
      </c>
      <c r="Q4638" s="14">
        <v>0.02</v>
      </c>
      <c r="R4638" s="143" t="s">
        <v>1480</v>
      </c>
      <c r="S4638" s="47"/>
      <c r="T4638" s="6">
        <v>-53034.554080000002</v>
      </c>
      <c r="U4638" s="6"/>
      <c r="V4638" s="6">
        <v>93987.851599999995</v>
      </c>
      <c r="W4638" s="6">
        <f t="shared" si="705"/>
        <v>-147022.40568</v>
      </c>
      <c r="X4638" s="6">
        <f t="shared" si="706"/>
        <v>92144.952549019596</v>
      </c>
      <c r="Y4638" s="13">
        <f t="shared" si="709"/>
        <v>0</v>
      </c>
      <c r="Z4638" s="14">
        <v>0</v>
      </c>
      <c r="AA4638" s="6">
        <v>0</v>
      </c>
      <c r="AB4638" s="4">
        <f t="shared" si="710"/>
        <v>92144.952549019596</v>
      </c>
      <c r="AC4638" s="4">
        <f t="shared" si="712"/>
        <v>1842.8990509803989</v>
      </c>
      <c r="AD4638" s="6">
        <f t="shared" si="707"/>
        <v>93987.851599999995</v>
      </c>
      <c r="AE4638" s="2">
        <f>VLOOKUP(I4638,[1]媒体政策预估表!A:N,MATCH(O4638,[1]媒体政策预估表!$A$2:$M$2,0),0)</f>
        <v>0.12</v>
      </c>
      <c r="AF4638" s="6">
        <f t="shared" si="713"/>
        <v>11278.542191999999</v>
      </c>
      <c r="AG4638" s="14">
        <v>0</v>
      </c>
      <c r="AH4638" s="65">
        <f t="shared" si="708"/>
        <v>93987.851599999995</v>
      </c>
      <c r="AI4638" s="47"/>
      <c r="AJ4638" s="126" t="e">
        <v>#N/A</v>
      </c>
      <c r="AK4638" s="80">
        <f t="shared" si="711"/>
        <v>0</v>
      </c>
      <c r="AM4638" s="85"/>
    </row>
    <row r="4639" spans="1:39" hidden="1" x14ac:dyDescent="0.3">
      <c r="A4639" s="89" t="s">
        <v>3395</v>
      </c>
      <c r="B4639" s="86" t="s">
        <v>35</v>
      </c>
      <c r="C4639" s="86" t="s">
        <v>36</v>
      </c>
      <c r="D4639" s="86" t="s">
        <v>54</v>
      </c>
      <c r="E4639" s="86" t="s">
        <v>1069</v>
      </c>
      <c r="F4639" s="86" t="s">
        <v>1194</v>
      </c>
      <c r="G4639" s="86" t="s">
        <v>1069</v>
      </c>
      <c r="H4639" s="144">
        <v>360</v>
      </c>
      <c r="I4639" s="86" t="s">
        <v>1060</v>
      </c>
      <c r="J4639" s="1" t="s">
        <v>3325</v>
      </c>
      <c r="K4639" s="1" t="s">
        <v>3287</v>
      </c>
      <c r="L4639" s="1" t="s">
        <v>35</v>
      </c>
      <c r="M4639" s="86" t="s">
        <v>1195</v>
      </c>
      <c r="N4639" s="86"/>
      <c r="O4639" s="47" t="s">
        <v>2054</v>
      </c>
      <c r="P4639" s="47" t="s">
        <v>46</v>
      </c>
      <c r="Q4639" s="14">
        <v>0.04</v>
      </c>
      <c r="R4639" s="143" t="s">
        <v>1198</v>
      </c>
      <c r="S4639" s="47"/>
      <c r="T4639" s="6">
        <v>-22659.5383</v>
      </c>
      <c r="U4639" s="6"/>
      <c r="V4639" s="6">
        <v>4976.5702899999997</v>
      </c>
      <c r="W4639" s="6">
        <f t="shared" si="705"/>
        <v>-27636.10859</v>
      </c>
      <c r="X4639" s="6">
        <f t="shared" si="706"/>
        <v>4785.1637403846153</v>
      </c>
      <c r="Y4639" s="13">
        <f t="shared" si="709"/>
        <v>0</v>
      </c>
      <c r="Z4639" s="14">
        <v>0</v>
      </c>
      <c r="AA4639" s="6">
        <v>0</v>
      </c>
      <c r="AB4639" s="4">
        <f t="shared" si="710"/>
        <v>4785.1637403846153</v>
      </c>
      <c r="AC4639" s="4">
        <f t="shared" si="712"/>
        <v>191.40654961538439</v>
      </c>
      <c r="AD4639" s="6">
        <f t="shared" si="707"/>
        <v>4976.5702899999997</v>
      </c>
      <c r="AE4639" s="2">
        <f>VLOOKUP(I4639,[1]媒体政策预估表!A:N,MATCH(O4639,[1]媒体政策预估表!$A$2:$M$2,0),0)</f>
        <v>0.12</v>
      </c>
      <c r="AF4639" s="6">
        <f t="shared" si="713"/>
        <v>597.18843479999998</v>
      </c>
      <c r="AG4639" s="14">
        <v>0</v>
      </c>
      <c r="AH4639" s="65">
        <f t="shared" si="708"/>
        <v>4976.5702899999997</v>
      </c>
      <c r="AI4639" s="47"/>
      <c r="AJ4639" s="126" t="e">
        <v>#N/A</v>
      </c>
      <c r="AK4639" s="80">
        <f t="shared" si="711"/>
        <v>0</v>
      </c>
      <c r="AM4639" s="85"/>
    </row>
    <row r="4640" spans="1:39" hidden="1" x14ac:dyDescent="0.3">
      <c r="A4640" s="89" t="s">
        <v>3394</v>
      </c>
      <c r="B4640" s="86" t="s">
        <v>35</v>
      </c>
      <c r="C4640" s="86" t="s">
        <v>65</v>
      </c>
      <c r="D4640" s="86" t="s">
        <v>122</v>
      </c>
      <c r="E4640" s="86" t="s">
        <v>1266</v>
      </c>
      <c r="F4640" s="86" t="s">
        <v>1266</v>
      </c>
      <c r="G4640" s="86" t="s">
        <v>1266</v>
      </c>
      <c r="H4640" s="144">
        <v>360</v>
      </c>
      <c r="I4640" s="86" t="s">
        <v>1060</v>
      </c>
      <c r="J4640" s="1" t="s">
        <v>3325</v>
      </c>
      <c r="K4640" s="1" t="s">
        <v>3287</v>
      </c>
      <c r="L4640" s="1" t="s">
        <v>35</v>
      </c>
      <c r="M4640" s="86" t="s">
        <v>1274</v>
      </c>
      <c r="N4640" s="86"/>
      <c r="O4640" s="47" t="s">
        <v>2054</v>
      </c>
      <c r="P4640" s="47" t="s">
        <v>41</v>
      </c>
      <c r="Q4640" s="14">
        <v>0</v>
      </c>
      <c r="R4640" s="143" t="s">
        <v>1275</v>
      </c>
      <c r="S4640" s="47"/>
      <c r="T4640" s="6">
        <v>-366591.49981000001</v>
      </c>
      <c r="U4640" s="6"/>
      <c r="V4640" s="6">
        <v>224342.14081000001</v>
      </c>
      <c r="W4640" s="6">
        <f t="shared" si="705"/>
        <v>-590933.64061999996</v>
      </c>
      <c r="X4640" s="6">
        <f t="shared" si="706"/>
        <v>224342.14081000001</v>
      </c>
      <c r="Y4640" s="13">
        <f t="shared" si="709"/>
        <v>0</v>
      </c>
      <c r="Z4640" s="14">
        <v>0</v>
      </c>
      <c r="AA4640" s="6">
        <v>0</v>
      </c>
      <c r="AB4640" s="4">
        <f t="shared" si="710"/>
        <v>224342.14081000001</v>
      </c>
      <c r="AC4640" s="4">
        <f t="shared" si="712"/>
        <v>0</v>
      </c>
      <c r="AD4640" s="6">
        <f t="shared" si="707"/>
        <v>224342.14081000001</v>
      </c>
      <c r="AE4640" s="2">
        <f>VLOOKUP(I4640,[1]媒体政策预估表!A:N,MATCH(O4640,[1]媒体政策预估表!$A$2:$M$2,0),0)</f>
        <v>0.12</v>
      </c>
      <c r="AF4640" s="6">
        <f t="shared" si="713"/>
        <v>26921.0568972</v>
      </c>
      <c r="AG4640" s="14">
        <v>0</v>
      </c>
      <c r="AH4640" s="65">
        <f t="shared" si="708"/>
        <v>224342.14081000001</v>
      </c>
      <c r="AI4640" s="47"/>
      <c r="AJ4640" s="126" t="e">
        <v>#N/A</v>
      </c>
      <c r="AK4640" s="80">
        <f t="shared" si="711"/>
        <v>0</v>
      </c>
      <c r="AM4640" s="85"/>
    </row>
    <row r="4641" spans="1:39" hidden="1" x14ac:dyDescent="0.3">
      <c r="A4641" s="89" t="s">
        <v>3395</v>
      </c>
      <c r="B4641" s="86" t="s">
        <v>35</v>
      </c>
      <c r="C4641" s="86" t="s">
        <v>164</v>
      </c>
      <c r="D4641" s="86" t="s">
        <v>174</v>
      </c>
      <c r="E4641" s="86" t="s">
        <v>1597</v>
      </c>
      <c r="F4641" s="86" t="s">
        <v>1597</v>
      </c>
      <c r="G4641" s="86" t="s">
        <v>1597</v>
      </c>
      <c r="H4641" s="143">
        <v>360</v>
      </c>
      <c r="I4641" s="86" t="s">
        <v>1060</v>
      </c>
      <c r="J4641" s="1" t="s">
        <v>3325</v>
      </c>
      <c r="K4641" s="1" t="s">
        <v>3287</v>
      </c>
      <c r="L4641" s="1" t="s">
        <v>35</v>
      </c>
      <c r="M4641" s="86" t="s">
        <v>1597</v>
      </c>
      <c r="N4641" s="86"/>
      <c r="O4641" s="47" t="s">
        <v>2054</v>
      </c>
      <c r="P4641" s="47" t="s">
        <v>46</v>
      </c>
      <c r="Q4641" s="14">
        <v>0.02</v>
      </c>
      <c r="R4641" s="143" t="s">
        <v>1598</v>
      </c>
      <c r="S4641" s="47"/>
      <c r="T4641" s="6">
        <v>-50.1</v>
      </c>
      <c r="U4641" s="6"/>
      <c r="V4641" s="6">
        <v>0</v>
      </c>
      <c r="W4641" s="6">
        <f t="shared" si="705"/>
        <v>-50.1</v>
      </c>
      <c r="X4641" s="6">
        <f t="shared" si="706"/>
        <v>0</v>
      </c>
      <c r="Y4641" s="13">
        <f t="shared" si="709"/>
        <v>0</v>
      </c>
      <c r="Z4641" s="14">
        <v>0</v>
      </c>
      <c r="AA4641" s="6">
        <v>0</v>
      </c>
      <c r="AB4641" s="4">
        <f t="shared" si="710"/>
        <v>0</v>
      </c>
      <c r="AC4641" s="4">
        <f t="shared" si="712"/>
        <v>0</v>
      </c>
      <c r="AD4641" s="6">
        <f t="shared" si="707"/>
        <v>0</v>
      </c>
      <c r="AE4641" s="2">
        <f>VLOOKUP(I4641,[1]媒体政策预估表!A:N,MATCH(O4641,[1]媒体政策预估表!$A$2:$M$2,0),0)</f>
        <v>0.12</v>
      </c>
      <c r="AF4641" s="6">
        <f t="shared" si="713"/>
        <v>0</v>
      </c>
      <c r="AG4641" s="14">
        <v>0</v>
      </c>
      <c r="AH4641" s="65">
        <f t="shared" si="708"/>
        <v>0</v>
      </c>
      <c r="AI4641" s="47"/>
      <c r="AJ4641" s="126" t="e">
        <v>#N/A</v>
      </c>
      <c r="AK4641" s="80">
        <f t="shared" si="711"/>
        <v>0</v>
      </c>
      <c r="AM4641" s="85"/>
    </row>
    <row r="4642" spans="1:39" hidden="1" x14ac:dyDescent="0.3">
      <c r="A4642" s="89" t="s">
        <v>3394</v>
      </c>
      <c r="B4642" s="86" t="s">
        <v>35</v>
      </c>
      <c r="C4642" s="86" t="s">
        <v>36</v>
      </c>
      <c r="D4642" s="86" t="s">
        <v>3486</v>
      </c>
      <c r="E4642" s="86" t="s">
        <v>1336</v>
      </c>
      <c r="F4642" s="86" t="s">
        <v>1337</v>
      </c>
      <c r="G4642" s="86" t="s">
        <v>1336</v>
      </c>
      <c r="H4642" s="144">
        <v>360</v>
      </c>
      <c r="I4642" s="86" t="s">
        <v>1060</v>
      </c>
      <c r="J4642" s="1" t="s">
        <v>3325</v>
      </c>
      <c r="K4642" s="1" t="s">
        <v>3287</v>
      </c>
      <c r="L4642" s="1" t="s">
        <v>35</v>
      </c>
      <c r="M4642" s="86" t="s">
        <v>1336</v>
      </c>
      <c r="N4642" s="86"/>
      <c r="O4642" s="47" t="s">
        <v>2054</v>
      </c>
      <c r="P4642" s="47" t="s">
        <v>41</v>
      </c>
      <c r="Q4642" s="14">
        <v>0</v>
      </c>
      <c r="R4642" s="143" t="s">
        <v>1339</v>
      </c>
      <c r="S4642" s="47"/>
      <c r="T4642" s="6">
        <v>-3821.4</v>
      </c>
      <c r="U4642" s="6"/>
      <c r="V4642" s="6">
        <v>607.79999999999995</v>
      </c>
      <c r="W4642" s="6">
        <f t="shared" si="705"/>
        <v>-4429.2</v>
      </c>
      <c r="X4642" s="6">
        <f t="shared" si="706"/>
        <v>607.79999999999995</v>
      </c>
      <c r="Y4642" s="13">
        <f t="shared" si="709"/>
        <v>0</v>
      </c>
      <c r="Z4642" s="14">
        <v>0</v>
      </c>
      <c r="AA4642" s="6">
        <v>0</v>
      </c>
      <c r="AB4642" s="4">
        <f t="shared" si="710"/>
        <v>607.79999999999995</v>
      </c>
      <c r="AC4642" s="4">
        <f t="shared" si="712"/>
        <v>0</v>
      </c>
      <c r="AD4642" s="6">
        <f t="shared" si="707"/>
        <v>607.79999999999995</v>
      </c>
      <c r="AE4642" s="2">
        <f>VLOOKUP(I4642,[1]媒体政策预估表!A:N,MATCH(O4642,[1]媒体政策预估表!$A$2:$M$2,0),0)</f>
        <v>0.12</v>
      </c>
      <c r="AF4642" s="6">
        <f t="shared" si="713"/>
        <v>72.935999999999993</v>
      </c>
      <c r="AG4642" s="14">
        <v>0</v>
      </c>
      <c r="AH4642" s="65">
        <f t="shared" si="708"/>
        <v>607.79999999999995</v>
      </c>
      <c r="AI4642" s="47"/>
      <c r="AJ4642" s="126" t="e">
        <v>#N/A</v>
      </c>
      <c r="AK4642" s="80">
        <f t="shared" si="711"/>
        <v>0</v>
      </c>
      <c r="AM4642" s="85"/>
    </row>
    <row r="4643" spans="1:39" hidden="1" x14ac:dyDescent="0.3">
      <c r="A4643" s="89" t="s">
        <v>3394</v>
      </c>
      <c r="B4643" s="86" t="s">
        <v>35</v>
      </c>
      <c r="C4643" s="86" t="s">
        <v>144</v>
      </c>
      <c r="D4643" s="86" t="s">
        <v>152</v>
      </c>
      <c r="E4643" s="86" t="s">
        <v>157</v>
      </c>
      <c r="F4643" s="86" t="s">
        <v>157</v>
      </c>
      <c r="G4643" s="86" t="s">
        <v>157</v>
      </c>
      <c r="H4643" s="143">
        <v>360</v>
      </c>
      <c r="I4643" s="86" t="s">
        <v>1060</v>
      </c>
      <c r="J4643" s="1" t="s">
        <v>3325</v>
      </c>
      <c r="K4643" s="1" t="s">
        <v>3287</v>
      </c>
      <c r="L4643" s="1" t="s">
        <v>35</v>
      </c>
      <c r="M4643" s="86" t="s">
        <v>157</v>
      </c>
      <c r="N4643" s="86"/>
      <c r="O4643" s="47" t="s">
        <v>2054</v>
      </c>
      <c r="P4643" s="47" t="s">
        <v>41</v>
      </c>
      <c r="Q4643" s="14">
        <v>0</v>
      </c>
      <c r="R4643" s="143" t="s">
        <v>1470</v>
      </c>
      <c r="S4643" s="47"/>
      <c r="T4643" s="6">
        <v>-801.6</v>
      </c>
      <c r="U4643" s="6"/>
      <c r="V4643" s="6">
        <v>0</v>
      </c>
      <c r="W4643" s="6">
        <f t="shared" si="705"/>
        <v>-801.6</v>
      </c>
      <c r="X4643" s="6">
        <f t="shared" si="706"/>
        <v>0</v>
      </c>
      <c r="Y4643" s="13">
        <f t="shared" si="709"/>
        <v>0</v>
      </c>
      <c r="Z4643" s="14">
        <v>0</v>
      </c>
      <c r="AA4643" s="6">
        <v>0</v>
      </c>
      <c r="AB4643" s="4">
        <f t="shared" si="710"/>
        <v>0</v>
      </c>
      <c r="AC4643" s="4">
        <f t="shared" si="712"/>
        <v>0</v>
      </c>
      <c r="AD4643" s="6">
        <f t="shared" si="707"/>
        <v>0</v>
      </c>
      <c r="AE4643" s="2">
        <f>VLOOKUP(I4643,[1]媒体政策预估表!A:N,MATCH(O4643,[1]媒体政策预估表!$A$2:$M$2,0),0)</f>
        <v>0.12</v>
      </c>
      <c r="AF4643" s="6">
        <f t="shared" si="713"/>
        <v>0</v>
      </c>
      <c r="AG4643" s="14">
        <v>0</v>
      </c>
      <c r="AH4643" s="65">
        <f t="shared" si="708"/>
        <v>0</v>
      </c>
      <c r="AI4643" s="47"/>
      <c r="AJ4643" s="126" t="e">
        <v>#N/A</v>
      </c>
      <c r="AK4643" s="80">
        <f t="shared" si="711"/>
        <v>0</v>
      </c>
      <c r="AM4643" s="85"/>
    </row>
    <row r="4644" spans="1:39" hidden="1" x14ac:dyDescent="0.3">
      <c r="A4644" s="89" t="s">
        <v>3394</v>
      </c>
      <c r="B4644" s="86" t="s">
        <v>35</v>
      </c>
      <c r="C4644" s="86" t="s">
        <v>36</v>
      </c>
      <c r="D4644" s="86" t="s">
        <v>54</v>
      </c>
      <c r="E4644" s="86" t="s">
        <v>1200</v>
      </c>
      <c r="F4644" s="86" t="s">
        <v>1201</v>
      </c>
      <c r="G4644" s="86" t="s">
        <v>1200</v>
      </c>
      <c r="H4644" s="144">
        <v>360</v>
      </c>
      <c r="I4644" s="86" t="s">
        <v>1060</v>
      </c>
      <c r="J4644" s="1" t="s">
        <v>3325</v>
      </c>
      <c r="K4644" s="1" t="s">
        <v>3287</v>
      </c>
      <c r="L4644" s="1" t="s">
        <v>35</v>
      </c>
      <c r="M4644" s="86" t="s">
        <v>1200</v>
      </c>
      <c r="N4644" s="86"/>
      <c r="O4644" s="47" t="s">
        <v>2054</v>
      </c>
      <c r="P4644" s="47" t="s">
        <v>41</v>
      </c>
      <c r="Q4644" s="14">
        <v>0</v>
      </c>
      <c r="R4644" s="143" t="s">
        <v>1202</v>
      </c>
      <c r="S4644" s="47"/>
      <c r="T4644" s="6">
        <v>-12.285959999999999</v>
      </c>
      <c r="U4644" s="6"/>
      <c r="V4644" s="6">
        <v>0.17868000000000001</v>
      </c>
      <c r="W4644" s="6">
        <f t="shared" si="705"/>
        <v>-12.464639999999999</v>
      </c>
      <c r="X4644" s="6">
        <f t="shared" si="706"/>
        <v>0.17868000000000001</v>
      </c>
      <c r="Y4644" s="13">
        <f t="shared" si="709"/>
        <v>0</v>
      </c>
      <c r="Z4644" s="14">
        <v>0</v>
      </c>
      <c r="AA4644" s="6">
        <v>0</v>
      </c>
      <c r="AB4644" s="4">
        <f t="shared" si="710"/>
        <v>0.17868000000000001</v>
      </c>
      <c r="AC4644" s="4">
        <f t="shared" si="712"/>
        <v>0</v>
      </c>
      <c r="AD4644" s="6">
        <f t="shared" si="707"/>
        <v>0.17868000000000001</v>
      </c>
      <c r="AE4644" s="2">
        <f>VLOOKUP(I4644,[1]媒体政策预估表!A:N,MATCH(O4644,[1]媒体政策预估表!$A$2:$M$2,0),0)</f>
        <v>0.12</v>
      </c>
      <c r="AF4644" s="6">
        <f t="shared" si="713"/>
        <v>2.1441599999999998E-2</v>
      </c>
      <c r="AG4644" s="14">
        <v>0</v>
      </c>
      <c r="AH4644" s="65">
        <f t="shared" si="708"/>
        <v>0.17868000000000001</v>
      </c>
      <c r="AI4644" s="47"/>
      <c r="AJ4644" s="126" t="e">
        <v>#N/A</v>
      </c>
      <c r="AK4644" s="80">
        <f t="shared" si="711"/>
        <v>0</v>
      </c>
      <c r="AM4644" s="85"/>
    </row>
    <row r="4645" spans="1:39" hidden="1" x14ac:dyDescent="0.3">
      <c r="A4645" s="89" t="s">
        <v>3394</v>
      </c>
      <c r="B4645" s="86" t="s">
        <v>35</v>
      </c>
      <c r="C4645" s="86" t="s">
        <v>164</v>
      </c>
      <c r="D4645" s="86" t="s">
        <v>174</v>
      </c>
      <c r="E4645" s="86" t="s">
        <v>1966</v>
      </c>
      <c r="F4645" s="86" t="s">
        <v>1966</v>
      </c>
      <c r="G4645" s="86" t="s">
        <v>1966</v>
      </c>
      <c r="H4645" s="143">
        <v>360</v>
      </c>
      <c r="I4645" s="86" t="s">
        <v>1060</v>
      </c>
      <c r="J4645" s="1" t="s">
        <v>3325</v>
      </c>
      <c r="K4645" s="1" t="s">
        <v>3287</v>
      </c>
      <c r="L4645" s="1" t="s">
        <v>35</v>
      </c>
      <c r="M4645" s="86" t="s">
        <v>1967</v>
      </c>
      <c r="N4645" s="86"/>
      <c r="O4645" s="47" t="s">
        <v>45</v>
      </c>
      <c r="P4645" s="47" t="s">
        <v>41</v>
      </c>
      <c r="Q4645" s="14">
        <v>0</v>
      </c>
      <c r="R4645" s="143" t="s">
        <v>2372</v>
      </c>
      <c r="S4645" s="47"/>
      <c r="T4645" s="6">
        <v>-335563.2</v>
      </c>
      <c r="U4645" s="6">
        <v>335563.18</v>
      </c>
      <c r="V4645" s="6">
        <v>0</v>
      </c>
      <c r="W4645" s="6">
        <v>0</v>
      </c>
      <c r="X4645" s="6">
        <f t="shared" si="706"/>
        <v>0</v>
      </c>
      <c r="Y4645" s="13">
        <f t="shared" si="709"/>
        <v>0</v>
      </c>
      <c r="Z4645" s="14">
        <v>0</v>
      </c>
      <c r="AA4645" s="6">
        <v>0</v>
      </c>
      <c r="AB4645" s="4">
        <f t="shared" si="710"/>
        <v>0</v>
      </c>
      <c r="AC4645" s="4">
        <f t="shared" si="712"/>
        <v>0</v>
      </c>
      <c r="AD4645" s="6">
        <f t="shared" si="707"/>
        <v>0</v>
      </c>
      <c r="AE4645" s="2">
        <f>VLOOKUP(I4645,[1]媒体政策预估表!A:N,MATCH(O4645,[1]媒体政策预估表!$A$2:$M$2,0),0)</f>
        <v>0.12</v>
      </c>
      <c r="AF4645" s="6">
        <f t="shared" si="713"/>
        <v>0</v>
      </c>
      <c r="AG4645" s="14">
        <v>0</v>
      </c>
      <c r="AH4645" s="65">
        <f t="shared" si="708"/>
        <v>0</v>
      </c>
      <c r="AI4645" s="47"/>
      <c r="AJ4645" s="126" t="e">
        <v>#N/A</v>
      </c>
      <c r="AK4645" s="80">
        <f t="shared" si="711"/>
        <v>0</v>
      </c>
      <c r="AM4645" s="85"/>
    </row>
    <row r="4646" spans="1:39" hidden="1" x14ac:dyDescent="0.3">
      <c r="A4646" s="89" t="s">
        <v>3394</v>
      </c>
      <c r="B4646" s="86" t="s">
        <v>35</v>
      </c>
      <c r="C4646" s="86" t="s">
        <v>47</v>
      </c>
      <c r="D4646" s="86" t="s">
        <v>48</v>
      </c>
      <c r="E4646" s="86" t="s">
        <v>540</v>
      </c>
      <c r="F4646" s="86" t="s">
        <v>541</v>
      </c>
      <c r="G4646" s="86" t="s">
        <v>540</v>
      </c>
      <c r="H4646" s="143">
        <v>360</v>
      </c>
      <c r="I4646" s="86" t="s">
        <v>1060</v>
      </c>
      <c r="J4646" s="1" t="s">
        <v>3325</v>
      </c>
      <c r="K4646" s="1" t="s">
        <v>3287</v>
      </c>
      <c r="L4646" s="1" t="s">
        <v>35</v>
      </c>
      <c r="M4646" s="86" t="s">
        <v>540</v>
      </c>
      <c r="N4646" s="86"/>
      <c r="O4646" s="47" t="s">
        <v>410</v>
      </c>
      <c r="P4646" s="47" t="s">
        <v>41</v>
      </c>
      <c r="Q4646" s="14">
        <v>0</v>
      </c>
      <c r="R4646" s="143" t="s">
        <v>1370</v>
      </c>
      <c r="S4646" s="47"/>
      <c r="T4646" s="6">
        <v>-4250.7</v>
      </c>
      <c r="U4646" s="6"/>
      <c r="V4646" s="6">
        <v>0</v>
      </c>
      <c r="W4646" s="6">
        <f t="shared" si="705"/>
        <v>-4250.7</v>
      </c>
      <c r="X4646" s="6">
        <f t="shared" si="706"/>
        <v>0</v>
      </c>
      <c r="Y4646" s="13">
        <f t="shared" si="709"/>
        <v>0</v>
      </c>
      <c r="Z4646" s="14">
        <v>0</v>
      </c>
      <c r="AA4646" s="6">
        <v>0</v>
      </c>
      <c r="AB4646" s="4">
        <f t="shared" si="710"/>
        <v>0</v>
      </c>
      <c r="AC4646" s="4">
        <f t="shared" si="712"/>
        <v>0</v>
      </c>
      <c r="AD4646" s="6">
        <f t="shared" si="707"/>
        <v>0</v>
      </c>
      <c r="AE4646" s="2">
        <f>VLOOKUP(I4646,[1]媒体政策预估表!A:N,MATCH(O4646,[1]媒体政策预估表!$A$2:$M$2,0),0)</f>
        <v>7.0000000000000007E-2</v>
      </c>
      <c r="AF4646" s="6">
        <f t="shared" si="713"/>
        <v>0</v>
      </c>
      <c r="AG4646" s="14">
        <v>0</v>
      </c>
      <c r="AH4646" s="65">
        <f t="shared" si="708"/>
        <v>0</v>
      </c>
      <c r="AI4646" s="47"/>
      <c r="AJ4646" s="126" t="e">
        <v>#N/A</v>
      </c>
      <c r="AK4646" s="80">
        <f t="shared" si="711"/>
        <v>0</v>
      </c>
      <c r="AM4646" s="85"/>
    </row>
    <row r="4647" spans="1:39" hidden="1" x14ac:dyDescent="0.3">
      <c r="A4647" s="89" t="s">
        <v>3394</v>
      </c>
      <c r="B4647" s="86" t="s">
        <v>35</v>
      </c>
      <c r="C4647" s="86" t="s">
        <v>144</v>
      </c>
      <c r="D4647" s="86" t="s">
        <v>152</v>
      </c>
      <c r="E4647" s="86" t="s">
        <v>1478</v>
      </c>
      <c r="F4647" s="86" t="s">
        <v>1478</v>
      </c>
      <c r="G4647" s="86" t="s">
        <v>1478</v>
      </c>
      <c r="H4647" s="144">
        <v>360</v>
      </c>
      <c r="I4647" s="86" t="s">
        <v>1060</v>
      </c>
      <c r="J4647" s="1" t="s">
        <v>3325</v>
      </c>
      <c r="K4647" s="1" t="s">
        <v>3287</v>
      </c>
      <c r="L4647" s="1" t="s">
        <v>35</v>
      </c>
      <c r="M4647" s="86" t="s">
        <v>1479</v>
      </c>
      <c r="N4647" s="86"/>
      <c r="O4647" s="47" t="s">
        <v>3574</v>
      </c>
      <c r="P4647" s="47" t="s">
        <v>46</v>
      </c>
      <c r="Q4647" s="14">
        <v>0.02</v>
      </c>
      <c r="R4647" s="143" t="s">
        <v>3533</v>
      </c>
      <c r="S4647" s="47"/>
      <c r="T4647" s="6">
        <v>0</v>
      </c>
      <c r="U4647" s="6">
        <v>0</v>
      </c>
      <c r="V4647" s="6">
        <v>82630.237899999993</v>
      </c>
      <c r="W4647" s="6">
        <f t="shared" si="705"/>
        <v>-82630.237899999993</v>
      </c>
      <c r="X4647" s="6">
        <f t="shared" si="706"/>
        <v>81010.037156862731</v>
      </c>
      <c r="Y4647" s="13">
        <f t="shared" si="709"/>
        <v>0</v>
      </c>
      <c r="Z4647" s="14">
        <v>0</v>
      </c>
      <c r="AA4647" s="6">
        <v>0</v>
      </c>
      <c r="AB4647" s="4">
        <f t="shared" si="710"/>
        <v>81010.037156862731</v>
      </c>
      <c r="AC4647" s="4">
        <f t="shared" si="712"/>
        <v>1620.2007431372622</v>
      </c>
      <c r="AD4647" s="6">
        <f t="shared" si="707"/>
        <v>82630.237899999993</v>
      </c>
      <c r="AE4647" s="2">
        <f>VLOOKUP(I4647,[1]媒体政策预估表!A:N,MATCH(O4647,[1]媒体政策预估表!$A$2:$M$2,0),0)</f>
        <v>0.15</v>
      </c>
      <c r="AF4647" s="6">
        <f t="shared" si="713"/>
        <v>12394.535684999999</v>
      </c>
      <c r="AG4647" s="14">
        <v>0</v>
      </c>
      <c r="AH4647" s="65">
        <f t="shared" si="708"/>
        <v>82630.237899999993</v>
      </c>
      <c r="AI4647" s="47"/>
      <c r="AJ4647" s="126" t="e">
        <v>#N/A</v>
      </c>
      <c r="AK4647" s="80">
        <f t="shared" si="711"/>
        <v>0</v>
      </c>
      <c r="AM4647" s="85"/>
    </row>
    <row r="4648" spans="1:39" hidden="1" x14ac:dyDescent="0.3">
      <c r="A4648" s="89" t="s">
        <v>3394</v>
      </c>
      <c r="B4648" s="86" t="s">
        <v>35</v>
      </c>
      <c r="C4648" s="86" t="s">
        <v>164</v>
      </c>
      <c r="D4648" s="86" t="s">
        <v>174</v>
      </c>
      <c r="E4648" s="86" t="s">
        <v>2007</v>
      </c>
      <c r="F4648" s="86" t="s">
        <v>2007</v>
      </c>
      <c r="G4648" s="86" t="s">
        <v>2007</v>
      </c>
      <c r="H4648" s="144">
        <v>360</v>
      </c>
      <c r="I4648" s="86" t="s">
        <v>1060</v>
      </c>
      <c r="J4648" s="1" t="s">
        <v>3325</v>
      </c>
      <c r="K4648" s="1" t="s">
        <v>3287</v>
      </c>
      <c r="L4648" s="1" t="s">
        <v>35</v>
      </c>
      <c r="M4648" s="86" t="s">
        <v>2007</v>
      </c>
      <c r="N4648" s="86"/>
      <c r="O4648" s="47" t="s">
        <v>3575</v>
      </c>
      <c r="P4648" s="47" t="s">
        <v>41</v>
      </c>
      <c r="Q4648" s="14">
        <v>0</v>
      </c>
      <c r="R4648" s="143" t="s">
        <v>3571</v>
      </c>
      <c r="S4648" s="47"/>
      <c r="T4648" s="6">
        <v>0</v>
      </c>
      <c r="U4648" s="6">
        <v>0</v>
      </c>
      <c r="V4648" s="6">
        <v>302.02226000000002</v>
      </c>
      <c r="W4648" s="6">
        <f t="shared" si="705"/>
        <v>-302.02226000000002</v>
      </c>
      <c r="X4648" s="6">
        <f t="shared" si="706"/>
        <v>302.02226000000002</v>
      </c>
      <c r="Y4648" s="13">
        <f t="shared" si="709"/>
        <v>0</v>
      </c>
      <c r="Z4648" s="14">
        <v>0</v>
      </c>
      <c r="AA4648" s="6">
        <v>0</v>
      </c>
      <c r="AB4648" s="4">
        <f t="shared" si="710"/>
        <v>302.02226000000002</v>
      </c>
      <c r="AC4648" s="4">
        <f t="shared" si="712"/>
        <v>0</v>
      </c>
      <c r="AD4648" s="6">
        <f t="shared" si="707"/>
        <v>302.02226000000002</v>
      </c>
      <c r="AE4648" s="2">
        <f>VLOOKUP(I4648,[1]媒体政策预估表!A:N,MATCH(O4648,[1]媒体政策预估表!$A$2:$M$2,0),0)</f>
        <v>0.15</v>
      </c>
      <c r="AF4648" s="6">
        <f t="shared" si="713"/>
        <v>45.303339000000001</v>
      </c>
      <c r="AG4648" s="14">
        <v>0</v>
      </c>
      <c r="AH4648" s="65">
        <f t="shared" si="708"/>
        <v>302.02226000000002</v>
      </c>
      <c r="AI4648" s="47"/>
      <c r="AJ4648" s="126" t="e">
        <v>#N/A</v>
      </c>
      <c r="AK4648" s="80">
        <f t="shared" si="711"/>
        <v>0</v>
      </c>
      <c r="AM4648" s="85"/>
    </row>
    <row r="4649" spans="1:39" hidden="1" x14ac:dyDescent="0.3">
      <c r="A4649" s="89" t="s">
        <v>3395</v>
      </c>
      <c r="B4649" s="86" t="s">
        <v>35</v>
      </c>
      <c r="C4649" s="86" t="s">
        <v>65</v>
      </c>
      <c r="D4649" s="86" t="s">
        <v>122</v>
      </c>
      <c r="E4649" s="86" t="s">
        <v>1266</v>
      </c>
      <c r="F4649" s="86" t="s">
        <v>1266</v>
      </c>
      <c r="G4649" s="86" t="s">
        <v>1266</v>
      </c>
      <c r="H4649" s="144">
        <v>360</v>
      </c>
      <c r="I4649" s="86" t="s">
        <v>1060</v>
      </c>
      <c r="J4649" s="1" t="s">
        <v>3325</v>
      </c>
      <c r="K4649" s="1" t="s">
        <v>3287</v>
      </c>
      <c r="L4649" s="1" t="s">
        <v>35</v>
      </c>
      <c r="M4649" s="86" t="s">
        <v>1274</v>
      </c>
      <c r="N4649" s="86"/>
      <c r="O4649" s="47" t="s">
        <v>3576</v>
      </c>
      <c r="P4649" s="47" t="s">
        <v>41</v>
      </c>
      <c r="Q4649" s="14">
        <v>0</v>
      </c>
      <c r="R4649" s="143" t="s">
        <v>3507</v>
      </c>
      <c r="S4649" s="47"/>
      <c r="T4649" s="6">
        <v>0</v>
      </c>
      <c r="U4649" s="6">
        <v>0</v>
      </c>
      <c r="V4649" s="6">
        <v>38596.185080000003</v>
      </c>
      <c r="W4649" s="6">
        <f t="shared" si="705"/>
        <v>-38596.185080000003</v>
      </c>
      <c r="X4649" s="6">
        <f t="shared" si="706"/>
        <v>38596.185080000003</v>
      </c>
      <c r="Y4649" s="13">
        <f t="shared" si="709"/>
        <v>0</v>
      </c>
      <c r="Z4649" s="14">
        <v>0</v>
      </c>
      <c r="AA4649" s="6">
        <v>0</v>
      </c>
      <c r="AB4649" s="4">
        <f t="shared" si="710"/>
        <v>38596.185080000003</v>
      </c>
      <c r="AC4649" s="4">
        <f t="shared" si="712"/>
        <v>0</v>
      </c>
      <c r="AD4649" s="6">
        <f t="shared" si="707"/>
        <v>38596.185080000003</v>
      </c>
      <c r="AE4649" s="2">
        <f>VLOOKUP(I4649,[1]媒体政策预估表!A:N,MATCH(O4649,[1]媒体政策预估表!$A$2:$M$2,0),0)</f>
        <v>0.12</v>
      </c>
      <c r="AF4649" s="6">
        <f t="shared" si="713"/>
        <v>4631.5422096000002</v>
      </c>
      <c r="AG4649" s="14">
        <v>0</v>
      </c>
      <c r="AH4649" s="65">
        <f t="shared" si="708"/>
        <v>38596.185080000003</v>
      </c>
      <c r="AI4649" s="47"/>
      <c r="AJ4649" s="126" t="e">
        <v>#N/A</v>
      </c>
      <c r="AK4649" s="80">
        <f t="shared" si="711"/>
        <v>0</v>
      </c>
      <c r="AM4649" s="85"/>
    </row>
    <row r="4650" spans="1:39" hidden="1" x14ac:dyDescent="0.3">
      <c r="A4650" s="89" t="s">
        <v>3394</v>
      </c>
      <c r="B4650" s="86" t="s">
        <v>35</v>
      </c>
      <c r="C4650" s="86" t="s">
        <v>144</v>
      </c>
      <c r="D4650" s="86" t="s">
        <v>145</v>
      </c>
      <c r="E4650" s="86" t="s">
        <v>1416</v>
      </c>
      <c r="F4650" s="86" t="s">
        <v>1416</v>
      </c>
      <c r="G4650" s="86" t="s">
        <v>1416</v>
      </c>
      <c r="H4650" s="144">
        <v>360</v>
      </c>
      <c r="I4650" s="86" t="s">
        <v>1060</v>
      </c>
      <c r="J4650" s="1" t="s">
        <v>3325</v>
      </c>
      <c r="K4650" s="1" t="s">
        <v>3287</v>
      </c>
      <c r="L4650" s="1" t="s">
        <v>35</v>
      </c>
      <c r="M4650" s="86" t="s">
        <v>1416</v>
      </c>
      <c r="N4650" s="86"/>
      <c r="O4650" s="47" t="s">
        <v>3576</v>
      </c>
      <c r="P4650" s="47" t="s">
        <v>46</v>
      </c>
      <c r="Q4650" s="14">
        <v>0.02</v>
      </c>
      <c r="R4650" s="143" t="s">
        <v>3517</v>
      </c>
      <c r="S4650" s="47"/>
      <c r="T4650" s="6">
        <v>0</v>
      </c>
      <c r="U4650" s="6">
        <v>0</v>
      </c>
      <c r="V4650" s="6">
        <v>162.03792000000001</v>
      </c>
      <c r="W4650" s="6">
        <f t="shared" si="705"/>
        <v>-162.03792000000001</v>
      </c>
      <c r="X4650" s="6">
        <f t="shared" si="706"/>
        <v>158.86070588235296</v>
      </c>
      <c r="Y4650" s="13">
        <f t="shared" si="709"/>
        <v>0</v>
      </c>
      <c r="Z4650" s="14">
        <v>0</v>
      </c>
      <c r="AA4650" s="6">
        <v>0</v>
      </c>
      <c r="AB4650" s="4">
        <f t="shared" si="710"/>
        <v>158.86070588235296</v>
      </c>
      <c r="AC4650" s="4">
        <f t="shared" si="712"/>
        <v>3.1772141176470541</v>
      </c>
      <c r="AD4650" s="6">
        <f t="shared" si="707"/>
        <v>162.03792000000001</v>
      </c>
      <c r="AE4650" s="2">
        <f>VLOOKUP(I4650,[1]媒体政策预估表!A:N,MATCH(O4650,[1]媒体政策预估表!$A$2:$M$2,0),0)</f>
        <v>0.12</v>
      </c>
      <c r="AF4650" s="6">
        <f t="shared" si="713"/>
        <v>19.444550400000001</v>
      </c>
      <c r="AG4650" s="14">
        <v>0</v>
      </c>
      <c r="AH4650" s="65">
        <f t="shared" si="708"/>
        <v>162.03792000000001</v>
      </c>
      <c r="AI4650" s="47"/>
      <c r="AJ4650" s="126" t="e">
        <v>#N/A</v>
      </c>
      <c r="AK4650" s="80">
        <f t="shared" si="711"/>
        <v>0</v>
      </c>
      <c r="AM4650" s="85"/>
    </row>
    <row r="4651" spans="1:39" hidden="1" x14ac:dyDescent="0.3">
      <c r="A4651" s="89" t="s">
        <v>3395</v>
      </c>
      <c r="B4651" s="86" t="s">
        <v>35</v>
      </c>
      <c r="C4651" s="86" t="s">
        <v>65</v>
      </c>
      <c r="D4651" s="86" t="s">
        <v>122</v>
      </c>
      <c r="E4651" s="86" t="s">
        <v>1266</v>
      </c>
      <c r="F4651" s="86" t="s">
        <v>1266</v>
      </c>
      <c r="G4651" s="86" t="s">
        <v>1266</v>
      </c>
      <c r="H4651" s="144">
        <v>360</v>
      </c>
      <c r="I4651" s="86" t="s">
        <v>1060</v>
      </c>
      <c r="J4651" s="1" t="s">
        <v>3325</v>
      </c>
      <c r="K4651" s="1" t="s">
        <v>3287</v>
      </c>
      <c r="L4651" s="1" t="s">
        <v>35</v>
      </c>
      <c r="M4651" s="86" t="s">
        <v>3505</v>
      </c>
      <c r="N4651" s="86"/>
      <c r="O4651" s="47" t="s">
        <v>3576</v>
      </c>
      <c r="P4651" s="47" t="s">
        <v>41</v>
      </c>
      <c r="Q4651" s="14">
        <v>0</v>
      </c>
      <c r="R4651" s="143" t="s">
        <v>3506</v>
      </c>
      <c r="S4651" s="47"/>
      <c r="T4651" s="6">
        <v>0</v>
      </c>
      <c r="U4651" s="6">
        <v>0</v>
      </c>
      <c r="V4651" s="6">
        <v>51450.309130000001</v>
      </c>
      <c r="W4651" s="6">
        <f t="shared" si="705"/>
        <v>-51450.309130000001</v>
      </c>
      <c r="X4651" s="6">
        <f t="shared" si="706"/>
        <v>51450.309130000001</v>
      </c>
      <c r="Y4651" s="13">
        <f t="shared" si="709"/>
        <v>0</v>
      </c>
      <c r="Z4651" s="14">
        <v>0</v>
      </c>
      <c r="AA4651" s="6">
        <v>0</v>
      </c>
      <c r="AB4651" s="4">
        <f t="shared" si="710"/>
        <v>51450.309130000001</v>
      </c>
      <c r="AC4651" s="4">
        <f t="shared" si="712"/>
        <v>0</v>
      </c>
      <c r="AD4651" s="6">
        <f t="shared" si="707"/>
        <v>51450.309130000001</v>
      </c>
      <c r="AE4651" s="2">
        <f>VLOOKUP(I4651,[1]媒体政策预估表!A:N,MATCH(O4651,[1]媒体政策预估表!$A$2:$M$2,0),0)</f>
        <v>0.12</v>
      </c>
      <c r="AF4651" s="6">
        <f t="shared" si="713"/>
        <v>6174.0370955999997</v>
      </c>
      <c r="AG4651" s="14">
        <v>0</v>
      </c>
      <c r="AH4651" s="65">
        <f t="shared" si="708"/>
        <v>51450.309130000001</v>
      </c>
      <c r="AI4651" s="47"/>
      <c r="AJ4651" s="126" t="e">
        <v>#N/A</v>
      </c>
      <c r="AK4651" s="80">
        <f t="shared" si="711"/>
        <v>0</v>
      </c>
      <c r="AM4651" s="85"/>
    </row>
    <row r="4652" spans="1:39" hidden="1" x14ac:dyDescent="0.3">
      <c r="A4652" s="89" t="s">
        <v>3395</v>
      </c>
      <c r="B4652" s="86" t="s">
        <v>35</v>
      </c>
      <c r="C4652" s="86" t="s">
        <v>164</v>
      </c>
      <c r="D4652" s="86" t="s">
        <v>174</v>
      </c>
      <c r="E4652" s="86" t="s">
        <v>1617</v>
      </c>
      <c r="F4652" s="86" t="s">
        <v>1617</v>
      </c>
      <c r="G4652" s="86" t="s">
        <v>1617</v>
      </c>
      <c r="H4652" s="144">
        <v>360</v>
      </c>
      <c r="I4652" s="86" t="s">
        <v>1060</v>
      </c>
      <c r="J4652" s="1" t="s">
        <v>3325</v>
      </c>
      <c r="K4652" s="1" t="s">
        <v>3287</v>
      </c>
      <c r="L4652" s="1" t="s">
        <v>35</v>
      </c>
      <c r="M4652" s="86" t="s">
        <v>1617</v>
      </c>
      <c r="N4652" s="86"/>
      <c r="O4652" s="47" t="s">
        <v>3576</v>
      </c>
      <c r="P4652" s="47" t="s">
        <v>46</v>
      </c>
      <c r="Q4652" s="14">
        <v>0.01</v>
      </c>
      <c r="R4652" s="143" t="s">
        <v>1620</v>
      </c>
      <c r="S4652" s="47"/>
      <c r="T4652" s="6">
        <v>0</v>
      </c>
      <c r="U4652" s="6"/>
      <c r="V4652" s="6">
        <v>923.69376999999997</v>
      </c>
      <c r="W4652" s="6">
        <f t="shared" si="705"/>
        <v>-923.69376999999997</v>
      </c>
      <c r="X4652" s="6">
        <f t="shared" si="706"/>
        <v>914.54828712871279</v>
      </c>
      <c r="Y4652" s="13">
        <f t="shared" si="709"/>
        <v>0</v>
      </c>
      <c r="Z4652" s="14">
        <v>0</v>
      </c>
      <c r="AA4652" s="6">
        <v>0</v>
      </c>
      <c r="AB4652" s="4">
        <f t="shared" si="710"/>
        <v>914.54828712871279</v>
      </c>
      <c r="AC4652" s="4">
        <f t="shared" si="712"/>
        <v>9.1454828712871858</v>
      </c>
      <c r="AD4652" s="6">
        <f t="shared" si="707"/>
        <v>923.69376999999997</v>
      </c>
      <c r="AE4652" s="2">
        <f>VLOOKUP(I4652,[1]媒体政策预估表!A:N,MATCH(O4652,[1]媒体政策预估表!$A$2:$M$2,0),0)</f>
        <v>0.12</v>
      </c>
      <c r="AF4652" s="6">
        <f t="shared" si="713"/>
        <v>110.8432524</v>
      </c>
      <c r="AG4652" s="14">
        <v>0</v>
      </c>
      <c r="AH4652" s="65">
        <f t="shared" si="708"/>
        <v>923.69376999999997</v>
      </c>
      <c r="AI4652" s="47"/>
      <c r="AJ4652" s="126" t="e">
        <v>#N/A</v>
      </c>
      <c r="AK4652" s="80">
        <f t="shared" si="711"/>
        <v>0</v>
      </c>
      <c r="AM4652" s="85"/>
    </row>
    <row r="4653" spans="1:39" hidden="1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1266</v>
      </c>
      <c r="F4653" s="86" t="s">
        <v>1266</v>
      </c>
      <c r="G4653" s="86" t="s">
        <v>1266</v>
      </c>
      <c r="H4653" s="144">
        <v>360</v>
      </c>
      <c r="I4653" s="86" t="s">
        <v>1060</v>
      </c>
      <c r="J4653" s="1" t="s">
        <v>3325</v>
      </c>
      <c r="K4653" s="1" t="s">
        <v>3287</v>
      </c>
      <c r="L4653" s="1" t="s">
        <v>35</v>
      </c>
      <c r="M4653" s="86" t="s">
        <v>1266</v>
      </c>
      <c r="N4653" s="86"/>
      <c r="O4653" s="47" t="s">
        <v>3576</v>
      </c>
      <c r="P4653" s="47" t="s">
        <v>41</v>
      </c>
      <c r="Q4653" s="14">
        <v>0</v>
      </c>
      <c r="R4653" s="143" t="s">
        <v>3504</v>
      </c>
      <c r="S4653" s="47"/>
      <c r="T4653" s="6">
        <v>0</v>
      </c>
      <c r="U4653" s="6">
        <v>0</v>
      </c>
      <c r="V4653" s="6">
        <v>4860.77747</v>
      </c>
      <c r="W4653" s="6">
        <f t="shared" si="705"/>
        <v>-4860.77747</v>
      </c>
      <c r="X4653" s="6">
        <f t="shared" si="706"/>
        <v>4860.77747</v>
      </c>
      <c r="Y4653" s="13">
        <f t="shared" si="709"/>
        <v>0</v>
      </c>
      <c r="Z4653" s="14">
        <v>0</v>
      </c>
      <c r="AA4653" s="6">
        <v>0</v>
      </c>
      <c r="AB4653" s="4">
        <f t="shared" si="710"/>
        <v>4860.77747</v>
      </c>
      <c r="AC4653" s="4">
        <f t="shared" si="712"/>
        <v>0</v>
      </c>
      <c r="AD4653" s="6">
        <f t="shared" si="707"/>
        <v>4860.77747</v>
      </c>
      <c r="AE4653" s="2">
        <f>VLOOKUP(I4653,[1]媒体政策预估表!A:N,MATCH(O4653,[1]媒体政策预估表!$A$2:$M$2,0),0)</f>
        <v>0.12</v>
      </c>
      <c r="AF4653" s="6">
        <f t="shared" si="713"/>
        <v>583.29329640000003</v>
      </c>
      <c r="AG4653" s="14">
        <v>0</v>
      </c>
      <c r="AH4653" s="65">
        <f t="shared" si="708"/>
        <v>4860.77747</v>
      </c>
      <c r="AI4653" s="47"/>
      <c r="AJ4653" s="126" t="e">
        <v>#N/A</v>
      </c>
      <c r="AK4653" s="80">
        <f t="shared" si="711"/>
        <v>0</v>
      </c>
      <c r="AM4653" s="85"/>
    </row>
    <row r="4654" spans="1:39" hidden="1" x14ac:dyDescent="0.3">
      <c r="A4654" s="89" t="s">
        <v>3394</v>
      </c>
      <c r="B4654" s="86" t="s">
        <v>35</v>
      </c>
      <c r="C4654" s="86" t="s">
        <v>59</v>
      </c>
      <c r="D4654" s="86" t="s">
        <v>60</v>
      </c>
      <c r="E4654" s="86" t="s">
        <v>3577</v>
      </c>
      <c r="F4654" s="86" t="s">
        <v>3577</v>
      </c>
      <c r="G4654" s="86" t="s">
        <v>3577</v>
      </c>
      <c r="H4654" s="144">
        <v>22</v>
      </c>
      <c r="I4654" s="86" t="s">
        <v>2935</v>
      </c>
      <c r="J4654" s="1" t="s">
        <v>3302</v>
      </c>
      <c r="K4654" s="1" t="s">
        <v>3371</v>
      </c>
      <c r="L4654" s="1" t="s">
        <v>35</v>
      </c>
      <c r="M4654" s="86" t="s">
        <v>3578</v>
      </c>
      <c r="N4654" s="86"/>
      <c r="O4654" s="47" t="s">
        <v>410</v>
      </c>
      <c r="P4654" s="47" t="s">
        <v>46</v>
      </c>
      <c r="Q4654" s="14">
        <v>0.02</v>
      </c>
      <c r="R4654" s="143">
        <v>247472</v>
      </c>
      <c r="S4654" s="47"/>
      <c r="T4654" s="6">
        <v>0</v>
      </c>
      <c r="U4654" s="6">
        <v>6477</v>
      </c>
      <c r="V4654" s="6">
        <v>6477</v>
      </c>
      <c r="W4654" s="6">
        <f>T4654+U4654-V4654</f>
        <v>0</v>
      </c>
      <c r="X4654" s="6">
        <f t="shared" si="706"/>
        <v>6350</v>
      </c>
      <c r="Y4654" s="13">
        <f t="shared" si="709"/>
        <v>0</v>
      </c>
      <c r="Z4654" s="14">
        <v>0</v>
      </c>
      <c r="AA4654" s="6">
        <v>0</v>
      </c>
      <c r="AB4654" s="4">
        <f t="shared" si="710"/>
        <v>6350</v>
      </c>
      <c r="AC4654" s="4">
        <f t="shared" si="712"/>
        <v>127</v>
      </c>
      <c r="AD4654" s="6">
        <f>V4654</f>
        <v>6477</v>
      </c>
      <c r="AE4654" s="2">
        <f>VLOOKUP(I4654,[1]媒体政策预估表!A:N,MATCH(O4654,[1]媒体政策预估表!$A$2:$M$2,0),0)</f>
        <v>0.09</v>
      </c>
      <c r="AF4654" s="6">
        <f t="shared" si="713"/>
        <v>582.92999999999995</v>
      </c>
      <c r="AG4654" s="14">
        <v>0</v>
      </c>
      <c r="AH4654" s="65">
        <f>AD4654</f>
        <v>6477</v>
      </c>
      <c r="AI4654" s="47"/>
      <c r="AJ4654" s="126" t="e">
        <v>#N/A</v>
      </c>
      <c r="AK4654" s="80">
        <f t="shared" si="711"/>
        <v>0</v>
      </c>
      <c r="AM4654" s="85"/>
    </row>
    <row r="4655" spans="1:39" hidden="1" x14ac:dyDescent="0.3">
      <c r="A4655" s="89" t="s">
        <v>3395</v>
      </c>
      <c r="B4655" s="86" t="s">
        <v>35</v>
      </c>
      <c r="C4655" s="86" t="s">
        <v>59</v>
      </c>
      <c r="D4655" s="86" t="s">
        <v>60</v>
      </c>
      <c r="E4655" s="86" t="s">
        <v>416</v>
      </c>
      <c r="F4655" s="86" t="s">
        <v>2937</v>
      </c>
      <c r="G4655" s="86" t="s">
        <v>416</v>
      </c>
      <c r="H4655" s="144">
        <v>22</v>
      </c>
      <c r="I4655" s="86" t="s">
        <v>2935</v>
      </c>
      <c r="J4655" s="1" t="s">
        <v>3302</v>
      </c>
      <c r="K4655" s="1" t="s">
        <v>3371</v>
      </c>
      <c r="L4655" s="1" t="s">
        <v>35</v>
      </c>
      <c r="M4655" s="86" t="s">
        <v>2938</v>
      </c>
      <c r="N4655" s="86"/>
      <c r="O4655" s="47" t="s">
        <v>410</v>
      </c>
      <c r="P4655" s="47" t="s">
        <v>41</v>
      </c>
      <c r="Q4655" s="14">
        <v>0</v>
      </c>
      <c r="R4655" s="143">
        <v>143732</v>
      </c>
      <c r="S4655" s="47"/>
      <c r="T4655" s="6">
        <v>12536.68</v>
      </c>
      <c r="U4655" s="6">
        <v>110000</v>
      </c>
      <c r="V4655" s="6">
        <v>103062</v>
      </c>
      <c r="W4655" s="6">
        <f t="shared" ref="W4655:W4718" si="714">T4655+U4655-V4655</f>
        <v>19474.679999999993</v>
      </c>
      <c r="X4655" s="6">
        <f t="shared" si="706"/>
        <v>103062</v>
      </c>
      <c r="Y4655" s="13">
        <f t="shared" si="709"/>
        <v>0</v>
      </c>
      <c r="Z4655" s="14">
        <v>0</v>
      </c>
      <c r="AA4655" s="6">
        <v>0</v>
      </c>
      <c r="AB4655" s="4">
        <f t="shared" si="710"/>
        <v>103062</v>
      </c>
      <c r="AC4655" s="4">
        <f t="shared" si="712"/>
        <v>0</v>
      </c>
      <c r="AD4655" s="6">
        <f t="shared" ref="AD4655:AD4718" si="715">V4655</f>
        <v>103062</v>
      </c>
      <c r="AE4655" s="2">
        <f>VLOOKUP(I4655,[1]媒体政策预估表!A:N,MATCH(O4655,[1]媒体政策预估表!$A$2:$M$2,0),0)</f>
        <v>0.09</v>
      </c>
      <c r="AF4655" s="6">
        <f t="shared" si="713"/>
        <v>9275.58</v>
      </c>
      <c r="AG4655" s="14">
        <v>0</v>
      </c>
      <c r="AH4655" s="65">
        <f t="shared" ref="AH4655:AH4718" si="716">AD4655</f>
        <v>103062</v>
      </c>
      <c r="AI4655" s="47"/>
      <c r="AJ4655" s="126" t="e">
        <v>#N/A</v>
      </c>
      <c r="AK4655" s="80">
        <f t="shared" si="711"/>
        <v>0</v>
      </c>
      <c r="AM4655" s="85"/>
    </row>
    <row r="4656" spans="1:39" hidden="1" x14ac:dyDescent="0.3">
      <c r="A4656" s="89" t="s">
        <v>3394</v>
      </c>
      <c r="B4656" s="86" t="s">
        <v>35</v>
      </c>
      <c r="C4656" s="86" t="s">
        <v>59</v>
      </c>
      <c r="D4656" s="86" t="s">
        <v>60</v>
      </c>
      <c r="E4656" s="86" t="s">
        <v>765</v>
      </c>
      <c r="F4656" s="86" t="s">
        <v>766</v>
      </c>
      <c r="G4656" s="86" t="s">
        <v>765</v>
      </c>
      <c r="H4656" s="144">
        <v>22</v>
      </c>
      <c r="I4656" s="86" t="s">
        <v>2935</v>
      </c>
      <c r="J4656" s="1" t="s">
        <v>3302</v>
      </c>
      <c r="K4656" s="1" t="s">
        <v>3371</v>
      </c>
      <c r="L4656" s="1" t="s">
        <v>35</v>
      </c>
      <c r="M4656" s="86" t="s">
        <v>2941</v>
      </c>
      <c r="N4656" s="86"/>
      <c r="O4656" s="47" t="s">
        <v>410</v>
      </c>
      <c r="P4656" s="47" t="s">
        <v>46</v>
      </c>
      <c r="Q4656" s="14">
        <v>0.02</v>
      </c>
      <c r="R4656" s="143">
        <v>6521</v>
      </c>
      <c r="S4656" s="47"/>
      <c r="T4656" s="6">
        <v>3017.9999999999982</v>
      </c>
      <c r="U4656" s="6">
        <v>3000</v>
      </c>
      <c r="V4656" s="6">
        <v>840</v>
      </c>
      <c r="W4656" s="6">
        <f t="shared" si="714"/>
        <v>5177.9999999999982</v>
      </c>
      <c r="X4656" s="6">
        <f t="shared" si="706"/>
        <v>823.52941176470586</v>
      </c>
      <c r="Y4656" s="13">
        <f t="shared" si="709"/>
        <v>0</v>
      </c>
      <c r="Z4656" s="14">
        <v>0</v>
      </c>
      <c r="AA4656" s="6">
        <v>0</v>
      </c>
      <c r="AB4656" s="4">
        <f t="shared" si="710"/>
        <v>823.52941176470586</v>
      </c>
      <c r="AC4656" s="4">
        <f t="shared" si="712"/>
        <v>16.470588235294144</v>
      </c>
      <c r="AD4656" s="6">
        <f t="shared" si="715"/>
        <v>840</v>
      </c>
      <c r="AE4656" s="2">
        <f>VLOOKUP(I4656,[1]媒体政策预估表!A:N,MATCH(O4656,[1]媒体政策预估表!$A$2:$M$2,0),0)</f>
        <v>0.09</v>
      </c>
      <c r="AF4656" s="6">
        <f t="shared" si="713"/>
        <v>75.599999999999994</v>
      </c>
      <c r="AG4656" s="14">
        <v>0</v>
      </c>
      <c r="AH4656" s="65">
        <f t="shared" si="716"/>
        <v>840</v>
      </c>
      <c r="AI4656" s="47"/>
      <c r="AJ4656" s="126" t="e">
        <v>#N/A</v>
      </c>
      <c r="AK4656" s="80">
        <f t="shared" si="711"/>
        <v>0</v>
      </c>
      <c r="AM4656" s="85"/>
    </row>
    <row r="4657" spans="1:39" hidden="1" x14ac:dyDescent="0.3">
      <c r="A4657" s="89" t="s">
        <v>3394</v>
      </c>
      <c r="B4657" s="86" t="s">
        <v>35</v>
      </c>
      <c r="C4657" s="86" t="s">
        <v>59</v>
      </c>
      <c r="D4657" s="86" t="s">
        <v>60</v>
      </c>
      <c r="E4657" s="86" t="s">
        <v>3040</v>
      </c>
      <c r="F4657" s="86" t="s">
        <v>3040</v>
      </c>
      <c r="G4657" s="86" t="s">
        <v>3040</v>
      </c>
      <c r="H4657" s="144">
        <v>22</v>
      </c>
      <c r="I4657" s="86" t="s">
        <v>2935</v>
      </c>
      <c r="J4657" s="1" t="s">
        <v>3302</v>
      </c>
      <c r="K4657" s="1" t="s">
        <v>3371</v>
      </c>
      <c r="L4657" s="1" t="s">
        <v>35</v>
      </c>
      <c r="M4657" s="86" t="s">
        <v>3040</v>
      </c>
      <c r="N4657" s="86"/>
      <c r="O4657" s="47" t="s">
        <v>410</v>
      </c>
      <c r="P4657" s="47" t="s">
        <v>41</v>
      </c>
      <c r="Q4657" s="14">
        <v>0</v>
      </c>
      <c r="R4657" s="143">
        <v>150932</v>
      </c>
      <c r="S4657" s="47"/>
      <c r="T4657" s="6">
        <v>61113.560000000012</v>
      </c>
      <c r="U4657" s="6">
        <v>20000</v>
      </c>
      <c r="V4657" s="6">
        <v>16908.87</v>
      </c>
      <c r="W4657" s="6">
        <f t="shared" si="714"/>
        <v>64204.690000000017</v>
      </c>
      <c r="X4657" s="6">
        <f t="shared" si="706"/>
        <v>16908.87</v>
      </c>
      <c r="Y4657" s="13">
        <f t="shared" si="709"/>
        <v>0</v>
      </c>
      <c r="Z4657" s="14">
        <v>0</v>
      </c>
      <c r="AA4657" s="6">
        <v>0</v>
      </c>
      <c r="AB4657" s="4">
        <f t="shared" si="710"/>
        <v>16908.87</v>
      </c>
      <c r="AC4657" s="4">
        <f t="shared" si="712"/>
        <v>0</v>
      </c>
      <c r="AD4657" s="6">
        <f t="shared" si="715"/>
        <v>16908.87</v>
      </c>
      <c r="AE4657" s="2">
        <f>VLOOKUP(I4657,[1]媒体政策预估表!A:N,MATCH(O4657,[1]媒体政策预估表!$A$2:$M$2,0),0)</f>
        <v>0.09</v>
      </c>
      <c r="AF4657" s="6">
        <f t="shared" si="713"/>
        <v>1521.7982999999999</v>
      </c>
      <c r="AG4657" s="14">
        <v>0</v>
      </c>
      <c r="AH4657" s="65">
        <f t="shared" si="716"/>
        <v>16908.87</v>
      </c>
      <c r="AI4657" s="47"/>
      <c r="AJ4657" s="126" t="e">
        <v>#N/A</v>
      </c>
      <c r="AK4657" s="80">
        <f t="shared" si="711"/>
        <v>0</v>
      </c>
      <c r="AM4657" s="85"/>
    </row>
    <row r="4658" spans="1:39" hidden="1" x14ac:dyDescent="0.3">
      <c r="A4658" s="89" t="s">
        <v>3394</v>
      </c>
      <c r="B4658" s="86" t="s">
        <v>35</v>
      </c>
      <c r="C4658" s="86" t="s">
        <v>36</v>
      </c>
      <c r="D4658" s="86" t="s">
        <v>224</v>
      </c>
      <c r="E4658" s="86" t="s">
        <v>2942</v>
      </c>
      <c r="F4658" s="86" t="s">
        <v>2942</v>
      </c>
      <c r="G4658" s="86" t="s">
        <v>2942</v>
      </c>
      <c r="H4658" s="144">
        <v>22</v>
      </c>
      <c r="I4658" s="86" t="s">
        <v>2935</v>
      </c>
      <c r="J4658" s="1" t="s">
        <v>3302</v>
      </c>
      <c r="K4658" s="1" t="s">
        <v>3371</v>
      </c>
      <c r="L4658" s="1" t="s">
        <v>35</v>
      </c>
      <c r="M4658" s="86" t="s">
        <v>2943</v>
      </c>
      <c r="N4658" s="86"/>
      <c r="O4658" s="47" t="s">
        <v>410</v>
      </c>
      <c r="P4658" s="47" t="s">
        <v>41</v>
      </c>
      <c r="Q4658" s="14">
        <v>0</v>
      </c>
      <c r="R4658" s="143">
        <v>237452</v>
      </c>
      <c r="S4658" s="47"/>
      <c r="T4658" s="6">
        <v>6976.55</v>
      </c>
      <c r="U4658" s="6">
        <v>15000</v>
      </c>
      <c r="V4658" s="6">
        <v>16248.1</v>
      </c>
      <c r="W4658" s="6">
        <f t="shared" si="714"/>
        <v>5728.4499999999989</v>
      </c>
      <c r="X4658" s="6">
        <f t="shared" si="706"/>
        <v>16248.1</v>
      </c>
      <c r="Y4658" s="13">
        <f t="shared" si="709"/>
        <v>0</v>
      </c>
      <c r="Z4658" s="14">
        <v>0</v>
      </c>
      <c r="AA4658" s="6">
        <v>0</v>
      </c>
      <c r="AB4658" s="4">
        <f t="shared" si="710"/>
        <v>16248.1</v>
      </c>
      <c r="AC4658" s="4">
        <f t="shared" si="712"/>
        <v>0</v>
      </c>
      <c r="AD4658" s="6">
        <f t="shared" si="715"/>
        <v>16248.1</v>
      </c>
      <c r="AE4658" s="2">
        <f>VLOOKUP(I4658,[1]媒体政策预估表!A:N,MATCH(O4658,[1]媒体政策预估表!$A$2:$M$2,0),0)</f>
        <v>0.09</v>
      </c>
      <c r="AF4658" s="6">
        <f t="shared" si="713"/>
        <v>1462.329</v>
      </c>
      <c r="AG4658" s="14">
        <v>0</v>
      </c>
      <c r="AH4658" s="65">
        <f t="shared" si="716"/>
        <v>16248.1</v>
      </c>
      <c r="AI4658" s="47"/>
      <c r="AJ4658" s="126" t="e">
        <v>#N/A</v>
      </c>
      <c r="AK4658" s="80">
        <f t="shared" si="711"/>
        <v>0</v>
      </c>
      <c r="AM4658" s="85"/>
    </row>
    <row r="4659" spans="1:39" hidden="1" x14ac:dyDescent="0.3">
      <c r="A4659" s="89" t="s">
        <v>3395</v>
      </c>
      <c r="B4659" s="86" t="s">
        <v>35</v>
      </c>
      <c r="C4659" s="86" t="s">
        <v>36</v>
      </c>
      <c r="D4659" s="86" t="s">
        <v>224</v>
      </c>
      <c r="E4659" s="86" t="s">
        <v>3438</v>
      </c>
      <c r="F4659" s="86" t="s">
        <v>3438</v>
      </c>
      <c r="G4659" s="86" t="s">
        <v>3438</v>
      </c>
      <c r="H4659" s="144">
        <v>22</v>
      </c>
      <c r="I4659" s="86" t="s">
        <v>2935</v>
      </c>
      <c r="J4659" s="1" t="s">
        <v>3302</v>
      </c>
      <c r="K4659" s="1" t="s">
        <v>3371</v>
      </c>
      <c r="L4659" s="1" t="s">
        <v>35</v>
      </c>
      <c r="M4659" s="86" t="s">
        <v>2944</v>
      </c>
      <c r="N4659" s="86"/>
      <c r="O4659" s="47" t="s">
        <v>410</v>
      </c>
      <c r="P4659" s="47" t="s">
        <v>92</v>
      </c>
      <c r="Q4659" s="14">
        <v>0.96</v>
      </c>
      <c r="R4659" s="143">
        <v>10772</v>
      </c>
      <c r="S4659" s="47"/>
      <c r="T4659" s="6">
        <v>0</v>
      </c>
      <c r="U4659" s="6">
        <v>750000</v>
      </c>
      <c r="V4659" s="6">
        <v>316001.37000000023</v>
      </c>
      <c r="W4659" s="6">
        <f t="shared" si="714"/>
        <v>433998.62999999977</v>
      </c>
      <c r="X4659" s="6">
        <f t="shared" si="706"/>
        <v>303361.31520000019</v>
      </c>
      <c r="Y4659" s="13">
        <f t="shared" si="709"/>
        <v>0</v>
      </c>
      <c r="Z4659" s="14">
        <v>0</v>
      </c>
      <c r="AA4659" s="6">
        <v>0</v>
      </c>
      <c r="AB4659" s="4">
        <f t="shared" si="710"/>
        <v>303361.31520000019</v>
      </c>
      <c r="AC4659" s="4">
        <f t="shared" si="712"/>
        <v>12640.054800000042</v>
      </c>
      <c r="AD4659" s="6">
        <f t="shared" si="715"/>
        <v>316001.37000000023</v>
      </c>
      <c r="AE4659" s="2">
        <f>VLOOKUP(I4659,[1]媒体政策预估表!A:N,MATCH(O4659,[1]媒体政策预估表!$A$2:$M$2,0),0)</f>
        <v>0.09</v>
      </c>
      <c r="AF4659" s="6">
        <f t="shared" si="713"/>
        <v>28440.123300000021</v>
      </c>
      <c r="AG4659" s="14">
        <v>0</v>
      </c>
      <c r="AH4659" s="65">
        <f t="shared" si="716"/>
        <v>316001.37000000023</v>
      </c>
      <c r="AI4659" s="47"/>
      <c r="AJ4659" s="126" t="e">
        <v>#N/A</v>
      </c>
      <c r="AK4659" s="80">
        <f t="shared" si="711"/>
        <v>0</v>
      </c>
      <c r="AM4659" s="85"/>
    </row>
    <row r="4660" spans="1:39" hidden="1" x14ac:dyDescent="0.3">
      <c r="A4660" s="89" t="s">
        <v>3394</v>
      </c>
      <c r="B4660" s="86" t="s">
        <v>35</v>
      </c>
      <c r="C4660" s="86" t="s">
        <v>36</v>
      </c>
      <c r="D4660" s="86" t="s">
        <v>224</v>
      </c>
      <c r="E4660" s="86" t="s">
        <v>2945</v>
      </c>
      <c r="F4660" s="86" t="s">
        <v>2945</v>
      </c>
      <c r="G4660" s="86" t="s">
        <v>2945</v>
      </c>
      <c r="H4660" s="144">
        <v>22</v>
      </c>
      <c r="I4660" s="86" t="s">
        <v>2935</v>
      </c>
      <c r="J4660" s="1" t="s">
        <v>3302</v>
      </c>
      <c r="K4660" s="1" t="s">
        <v>3371</v>
      </c>
      <c r="L4660" s="1" t="s">
        <v>35</v>
      </c>
      <c r="M4660" s="86" t="s">
        <v>2946</v>
      </c>
      <c r="N4660" s="86"/>
      <c r="O4660" s="47" t="s">
        <v>410</v>
      </c>
      <c r="P4660" s="47" t="s">
        <v>41</v>
      </c>
      <c r="Q4660" s="14">
        <v>0</v>
      </c>
      <c r="R4660" s="143">
        <v>6662</v>
      </c>
      <c r="S4660" s="47"/>
      <c r="T4660" s="6">
        <v>18077.670000000071</v>
      </c>
      <c r="U4660" s="6">
        <v>80000</v>
      </c>
      <c r="V4660" s="6">
        <v>79243.77</v>
      </c>
      <c r="W4660" s="6">
        <f t="shared" si="714"/>
        <v>18833.900000000067</v>
      </c>
      <c r="X4660" s="6">
        <f t="shared" si="706"/>
        <v>79243.77</v>
      </c>
      <c r="Y4660" s="13">
        <f t="shared" si="709"/>
        <v>0</v>
      </c>
      <c r="Z4660" s="14">
        <v>0</v>
      </c>
      <c r="AA4660" s="6">
        <v>0</v>
      </c>
      <c r="AB4660" s="4">
        <f t="shared" si="710"/>
        <v>79243.77</v>
      </c>
      <c r="AC4660" s="4">
        <f t="shared" si="712"/>
        <v>0</v>
      </c>
      <c r="AD4660" s="6">
        <f t="shared" si="715"/>
        <v>79243.77</v>
      </c>
      <c r="AE4660" s="2">
        <f>VLOOKUP(I4660,[1]媒体政策预估表!A:N,MATCH(O4660,[1]媒体政策预估表!$A$2:$M$2,0),0)</f>
        <v>0.09</v>
      </c>
      <c r="AF4660" s="6">
        <f t="shared" si="713"/>
        <v>7131.9393</v>
      </c>
      <c r="AG4660" s="14">
        <v>0</v>
      </c>
      <c r="AH4660" s="65">
        <f t="shared" si="716"/>
        <v>79243.77</v>
      </c>
      <c r="AI4660" s="47"/>
      <c r="AJ4660" s="126" t="e">
        <v>#N/A</v>
      </c>
      <c r="AK4660" s="80">
        <f t="shared" si="711"/>
        <v>0</v>
      </c>
      <c r="AM4660" s="85"/>
    </row>
    <row r="4661" spans="1:39" hidden="1" x14ac:dyDescent="0.3">
      <c r="A4661" s="89" t="s">
        <v>3394</v>
      </c>
      <c r="B4661" s="86" t="s">
        <v>35</v>
      </c>
      <c r="C4661" s="86" t="s">
        <v>36</v>
      </c>
      <c r="D4661" s="86" t="s">
        <v>224</v>
      </c>
      <c r="E4661" s="86" t="s">
        <v>1192</v>
      </c>
      <c r="F4661" s="86" t="s">
        <v>1192</v>
      </c>
      <c r="G4661" s="86" t="s">
        <v>1192</v>
      </c>
      <c r="H4661" s="144">
        <v>22</v>
      </c>
      <c r="I4661" s="86" t="s">
        <v>2935</v>
      </c>
      <c r="J4661" s="1" t="s">
        <v>3302</v>
      </c>
      <c r="K4661" s="1" t="s">
        <v>3371</v>
      </c>
      <c r="L4661" s="1" t="s">
        <v>35</v>
      </c>
      <c r="M4661" s="86" t="s">
        <v>1192</v>
      </c>
      <c r="N4661" s="86"/>
      <c r="O4661" s="47" t="s">
        <v>410</v>
      </c>
      <c r="P4661" s="47" t="s">
        <v>41</v>
      </c>
      <c r="Q4661" s="14">
        <v>0</v>
      </c>
      <c r="R4661" s="143">
        <v>231182</v>
      </c>
      <c r="S4661" s="47"/>
      <c r="T4661" s="6">
        <v>10049.080000000002</v>
      </c>
      <c r="U4661" s="6">
        <v>50856</v>
      </c>
      <c r="V4661" s="6">
        <v>55679.5</v>
      </c>
      <c r="W4661" s="6">
        <f t="shared" si="714"/>
        <v>5225.5800000000017</v>
      </c>
      <c r="X4661" s="6">
        <f t="shared" si="706"/>
        <v>55679.5</v>
      </c>
      <c r="Y4661" s="13">
        <f t="shared" si="709"/>
        <v>0</v>
      </c>
      <c r="Z4661" s="14">
        <v>0</v>
      </c>
      <c r="AA4661" s="6">
        <v>0</v>
      </c>
      <c r="AB4661" s="4">
        <f t="shared" si="710"/>
        <v>55679.5</v>
      </c>
      <c r="AC4661" s="4">
        <f t="shared" si="712"/>
        <v>0</v>
      </c>
      <c r="AD4661" s="6">
        <f t="shared" si="715"/>
        <v>55679.5</v>
      </c>
      <c r="AE4661" s="2">
        <f>VLOOKUP(I4661,[1]媒体政策预估表!A:N,MATCH(O4661,[1]媒体政策预估表!$A$2:$M$2,0),0)</f>
        <v>0.09</v>
      </c>
      <c r="AF4661" s="6">
        <f t="shared" si="713"/>
        <v>5011.1549999999997</v>
      </c>
      <c r="AG4661" s="14">
        <v>0</v>
      </c>
      <c r="AH4661" s="65">
        <f t="shared" si="716"/>
        <v>55679.5</v>
      </c>
      <c r="AI4661" s="47"/>
      <c r="AJ4661" s="126" t="e">
        <v>#N/A</v>
      </c>
      <c r="AK4661" s="80">
        <f t="shared" si="711"/>
        <v>0</v>
      </c>
      <c r="AM4661" s="85"/>
    </row>
    <row r="4662" spans="1:39" hidden="1" x14ac:dyDescent="0.3">
      <c r="A4662" s="89" t="s">
        <v>3397</v>
      </c>
      <c r="B4662" s="86" t="s">
        <v>35</v>
      </c>
      <c r="C4662" s="86" t="s">
        <v>36</v>
      </c>
      <c r="D4662" s="86" t="s">
        <v>224</v>
      </c>
      <c r="E4662" s="86" t="s">
        <v>1192</v>
      </c>
      <c r="F4662" s="86" t="s">
        <v>1192</v>
      </c>
      <c r="G4662" s="86" t="s">
        <v>1192</v>
      </c>
      <c r="H4662" s="144">
        <v>22</v>
      </c>
      <c r="I4662" s="86" t="s">
        <v>2935</v>
      </c>
      <c r="J4662" s="1" t="s">
        <v>3302</v>
      </c>
      <c r="K4662" s="1" t="s">
        <v>3371</v>
      </c>
      <c r="L4662" s="1" t="s">
        <v>35</v>
      </c>
      <c r="M4662" s="86" t="s">
        <v>2947</v>
      </c>
      <c r="N4662" s="86"/>
      <c r="O4662" s="47" t="s">
        <v>410</v>
      </c>
      <c r="P4662" s="47" t="s">
        <v>41</v>
      </c>
      <c r="Q4662" s="14">
        <v>0</v>
      </c>
      <c r="R4662" s="143">
        <v>245482</v>
      </c>
      <c r="S4662" s="47"/>
      <c r="T4662" s="6">
        <v>1320</v>
      </c>
      <c r="U4662" s="6">
        <v>-856</v>
      </c>
      <c r="V4662" s="6">
        <v>464</v>
      </c>
      <c r="W4662" s="6">
        <f t="shared" si="714"/>
        <v>0</v>
      </c>
      <c r="X4662" s="6">
        <f t="shared" si="706"/>
        <v>464</v>
      </c>
      <c r="Y4662" s="13">
        <f t="shared" si="709"/>
        <v>0</v>
      </c>
      <c r="Z4662" s="14">
        <v>0</v>
      </c>
      <c r="AA4662" s="6">
        <v>0</v>
      </c>
      <c r="AB4662" s="4">
        <f t="shared" si="710"/>
        <v>464</v>
      </c>
      <c r="AC4662" s="4">
        <f t="shared" si="712"/>
        <v>0</v>
      </c>
      <c r="AD4662" s="6">
        <f t="shared" si="715"/>
        <v>464</v>
      </c>
      <c r="AE4662" s="2">
        <f>VLOOKUP(I4662,[1]媒体政策预估表!A:N,MATCH(O4662,[1]媒体政策预估表!$A$2:$M$2,0),0)</f>
        <v>0.09</v>
      </c>
      <c r="AF4662" s="6">
        <f t="shared" si="713"/>
        <v>41.76</v>
      </c>
      <c r="AG4662" s="14">
        <v>0</v>
      </c>
      <c r="AH4662" s="65">
        <f t="shared" si="716"/>
        <v>464</v>
      </c>
      <c r="AI4662" s="47"/>
      <c r="AJ4662" s="126" t="e">
        <v>#N/A</v>
      </c>
      <c r="AK4662" s="80">
        <f t="shared" si="711"/>
        <v>0</v>
      </c>
      <c r="AM4662" s="85"/>
    </row>
    <row r="4663" spans="1:39" hidden="1" x14ac:dyDescent="0.3">
      <c r="A4663" s="89" t="s">
        <v>3394</v>
      </c>
      <c r="B4663" s="86" t="s">
        <v>35</v>
      </c>
      <c r="C4663" s="86" t="s">
        <v>36</v>
      </c>
      <c r="D4663" s="86" t="s">
        <v>54</v>
      </c>
      <c r="E4663" s="86" t="s">
        <v>2740</v>
      </c>
      <c r="F4663" s="86" t="s">
        <v>2740</v>
      </c>
      <c r="G4663" s="86" t="s">
        <v>2740</v>
      </c>
      <c r="H4663" s="144">
        <v>22</v>
      </c>
      <c r="I4663" s="86" t="s">
        <v>2935</v>
      </c>
      <c r="J4663" s="1" t="s">
        <v>3302</v>
      </c>
      <c r="K4663" s="1" t="s">
        <v>3371</v>
      </c>
      <c r="L4663" s="1" t="s">
        <v>35</v>
      </c>
      <c r="M4663" s="86" t="s">
        <v>2948</v>
      </c>
      <c r="N4663" s="86"/>
      <c r="O4663" s="47" t="s">
        <v>410</v>
      </c>
      <c r="P4663" s="47" t="s">
        <v>41</v>
      </c>
      <c r="Q4663" s="14">
        <v>0</v>
      </c>
      <c r="R4663" s="143">
        <v>46462</v>
      </c>
      <c r="S4663" s="47"/>
      <c r="T4663" s="6">
        <v>85531.34</v>
      </c>
      <c r="U4663" s="6">
        <v>250000</v>
      </c>
      <c r="V4663" s="6">
        <v>165039.45000000001</v>
      </c>
      <c r="W4663" s="6">
        <f t="shared" si="714"/>
        <v>170491.88999999996</v>
      </c>
      <c r="X4663" s="6">
        <f t="shared" si="706"/>
        <v>165039.45000000001</v>
      </c>
      <c r="Y4663" s="13">
        <f t="shared" si="709"/>
        <v>0</v>
      </c>
      <c r="Z4663" s="14">
        <v>0</v>
      </c>
      <c r="AA4663" s="6">
        <v>0</v>
      </c>
      <c r="AB4663" s="4">
        <f t="shared" si="710"/>
        <v>165039.45000000001</v>
      </c>
      <c r="AC4663" s="4">
        <f t="shared" si="712"/>
        <v>0</v>
      </c>
      <c r="AD4663" s="6">
        <f t="shared" si="715"/>
        <v>165039.45000000001</v>
      </c>
      <c r="AE4663" s="2">
        <f>VLOOKUP(I4663,[1]媒体政策预估表!A:N,MATCH(O4663,[1]媒体政策预估表!$A$2:$M$2,0),0)</f>
        <v>0.09</v>
      </c>
      <c r="AF4663" s="6">
        <f t="shared" si="713"/>
        <v>14853.550500000001</v>
      </c>
      <c r="AG4663" s="14">
        <v>0</v>
      </c>
      <c r="AH4663" s="65">
        <f t="shared" si="716"/>
        <v>165039.45000000001</v>
      </c>
      <c r="AI4663" s="47"/>
      <c r="AJ4663" s="126" t="e">
        <v>#N/A</v>
      </c>
      <c r="AK4663" s="80">
        <f t="shared" si="711"/>
        <v>0</v>
      </c>
      <c r="AM4663" s="85"/>
    </row>
    <row r="4664" spans="1:39" hidden="1" x14ac:dyDescent="0.3">
      <c r="A4664" s="89" t="s">
        <v>3394</v>
      </c>
      <c r="B4664" s="86" t="s">
        <v>35</v>
      </c>
      <c r="C4664" s="86" t="s">
        <v>36</v>
      </c>
      <c r="D4664" s="86" t="s">
        <v>54</v>
      </c>
      <c r="E4664" s="86" t="s">
        <v>3579</v>
      </c>
      <c r="F4664" s="86" t="s">
        <v>3579</v>
      </c>
      <c r="G4664" s="86" t="s">
        <v>3579</v>
      </c>
      <c r="H4664" s="143">
        <v>22</v>
      </c>
      <c r="I4664" s="86" t="s">
        <v>2935</v>
      </c>
      <c r="J4664" s="1" t="s">
        <v>3302</v>
      </c>
      <c r="K4664" s="1" t="s">
        <v>3371</v>
      </c>
      <c r="L4664" s="1" t="s">
        <v>35</v>
      </c>
      <c r="M4664" s="86" t="s">
        <v>3580</v>
      </c>
      <c r="N4664" s="86"/>
      <c r="O4664" s="47" t="s">
        <v>410</v>
      </c>
      <c r="P4664" s="47" t="s">
        <v>46</v>
      </c>
      <c r="Q4664" s="14">
        <v>0.01</v>
      </c>
      <c r="R4664" s="143">
        <v>212502</v>
      </c>
      <c r="S4664" s="47"/>
      <c r="T4664" s="6">
        <v>0</v>
      </c>
      <c r="U4664" s="6">
        <v>10000</v>
      </c>
      <c r="V4664" s="6">
        <v>0</v>
      </c>
      <c r="W4664" s="6">
        <f t="shared" si="714"/>
        <v>10000</v>
      </c>
      <c r="X4664" s="6">
        <f t="shared" si="706"/>
        <v>0</v>
      </c>
      <c r="Y4664" s="13">
        <f t="shared" si="709"/>
        <v>0</v>
      </c>
      <c r="Z4664" s="14">
        <v>0</v>
      </c>
      <c r="AA4664" s="6">
        <v>0</v>
      </c>
      <c r="AB4664" s="4">
        <f t="shared" si="710"/>
        <v>0</v>
      </c>
      <c r="AC4664" s="4">
        <f t="shared" si="712"/>
        <v>0</v>
      </c>
      <c r="AD4664" s="6">
        <f t="shared" si="715"/>
        <v>0</v>
      </c>
      <c r="AE4664" s="2">
        <f>VLOOKUP(I4664,[1]媒体政策预估表!A:N,MATCH(O4664,[1]媒体政策预估表!$A$2:$M$2,0),0)</f>
        <v>0.09</v>
      </c>
      <c r="AF4664" s="6">
        <f t="shared" si="713"/>
        <v>0</v>
      </c>
      <c r="AG4664" s="14">
        <v>0</v>
      </c>
      <c r="AH4664" s="65">
        <f t="shared" si="716"/>
        <v>0</v>
      </c>
      <c r="AI4664" s="47"/>
      <c r="AJ4664" s="126" t="e">
        <v>#N/A</v>
      </c>
      <c r="AK4664" s="80">
        <f t="shared" si="711"/>
        <v>0</v>
      </c>
      <c r="AM4664" s="85"/>
    </row>
    <row r="4665" spans="1:39" hidden="1" x14ac:dyDescent="0.3">
      <c r="A4665" s="89" t="s">
        <v>3394</v>
      </c>
      <c r="B4665" s="86" t="s">
        <v>35</v>
      </c>
      <c r="C4665" s="86" t="s">
        <v>36</v>
      </c>
      <c r="D4665" s="86" t="s">
        <v>54</v>
      </c>
      <c r="E4665" s="86" t="s">
        <v>3581</v>
      </c>
      <c r="F4665" s="86" t="s">
        <v>3581</v>
      </c>
      <c r="G4665" s="86" t="s">
        <v>3581</v>
      </c>
      <c r="H4665" s="143">
        <v>22</v>
      </c>
      <c r="I4665" s="86" t="s">
        <v>2935</v>
      </c>
      <c r="J4665" s="1" t="s">
        <v>3302</v>
      </c>
      <c r="K4665" s="1" t="s">
        <v>3371</v>
      </c>
      <c r="L4665" s="1" t="s">
        <v>35</v>
      </c>
      <c r="M4665" s="86" t="s">
        <v>3581</v>
      </c>
      <c r="N4665" s="86"/>
      <c r="O4665" s="47" t="s">
        <v>410</v>
      </c>
      <c r="P4665" s="47" t="s">
        <v>46</v>
      </c>
      <c r="Q4665" s="14">
        <v>0.02</v>
      </c>
      <c r="R4665" s="143">
        <v>247082</v>
      </c>
      <c r="S4665" s="47"/>
      <c r="T4665" s="6">
        <v>0</v>
      </c>
      <c r="U4665" s="6">
        <v>5100</v>
      </c>
      <c r="V4665" s="6">
        <v>0</v>
      </c>
      <c r="W4665" s="6">
        <v>3760.99</v>
      </c>
      <c r="X4665" s="6">
        <f t="shared" si="706"/>
        <v>0</v>
      </c>
      <c r="Y4665" s="13">
        <f t="shared" si="709"/>
        <v>0</v>
      </c>
      <c r="Z4665" s="14">
        <v>0</v>
      </c>
      <c r="AA4665" s="6">
        <v>0</v>
      </c>
      <c r="AB4665" s="4"/>
      <c r="AC4665" s="4">
        <f t="shared" si="712"/>
        <v>0</v>
      </c>
      <c r="AD4665" s="6">
        <f t="shared" si="715"/>
        <v>0</v>
      </c>
      <c r="AE4665" s="2">
        <f>VLOOKUP(I4665,[1]媒体政策预估表!A:N,MATCH(O4665,[1]媒体政策预估表!$A$2:$M$2,0),0)</f>
        <v>0.09</v>
      </c>
      <c r="AF4665" s="6">
        <f t="shared" si="713"/>
        <v>0</v>
      </c>
      <c r="AG4665" s="14">
        <v>0</v>
      </c>
      <c r="AH4665" s="65">
        <f t="shared" si="716"/>
        <v>0</v>
      </c>
      <c r="AI4665" s="47"/>
      <c r="AJ4665" s="126">
        <v>117</v>
      </c>
      <c r="AK4665" s="80">
        <f t="shared" si="711"/>
        <v>0</v>
      </c>
      <c r="AM4665" s="85"/>
    </row>
    <row r="4666" spans="1:39" hidden="1" x14ac:dyDescent="0.3">
      <c r="A4666" s="89" t="s">
        <v>3395</v>
      </c>
      <c r="B4666" s="86" t="s">
        <v>35</v>
      </c>
      <c r="C4666" s="86" t="s">
        <v>36</v>
      </c>
      <c r="D4666" s="86" t="s">
        <v>54</v>
      </c>
      <c r="E4666" s="86" t="s">
        <v>1200</v>
      </c>
      <c r="F4666" s="86" t="s">
        <v>1201</v>
      </c>
      <c r="G4666" s="86" t="s">
        <v>1200</v>
      </c>
      <c r="H4666" s="144">
        <v>22</v>
      </c>
      <c r="I4666" s="86" t="s">
        <v>2935</v>
      </c>
      <c r="J4666" s="1" t="s">
        <v>3302</v>
      </c>
      <c r="K4666" s="1" t="s">
        <v>3371</v>
      </c>
      <c r="L4666" s="1" t="s">
        <v>35</v>
      </c>
      <c r="M4666" s="86" t="s">
        <v>2949</v>
      </c>
      <c r="N4666" s="86"/>
      <c r="O4666" s="47" t="s">
        <v>410</v>
      </c>
      <c r="P4666" s="47" t="s">
        <v>41</v>
      </c>
      <c r="Q4666" s="14">
        <v>0</v>
      </c>
      <c r="R4666" s="143">
        <v>89262</v>
      </c>
      <c r="S4666" s="47"/>
      <c r="T4666" s="6">
        <v>6516.8200000000015</v>
      </c>
      <c r="U4666" s="6">
        <v>10000</v>
      </c>
      <c r="V4666" s="6">
        <v>6944.94</v>
      </c>
      <c r="W4666" s="6">
        <f t="shared" si="714"/>
        <v>9571.880000000001</v>
      </c>
      <c r="X4666" s="6">
        <f t="shared" si="706"/>
        <v>6944.94</v>
      </c>
      <c r="Y4666" s="13">
        <f t="shared" si="709"/>
        <v>0</v>
      </c>
      <c r="Z4666" s="14">
        <v>0</v>
      </c>
      <c r="AA4666" s="6">
        <v>0</v>
      </c>
      <c r="AB4666" s="4">
        <f t="shared" si="710"/>
        <v>6944.94</v>
      </c>
      <c r="AC4666" s="4">
        <f t="shared" si="712"/>
        <v>0</v>
      </c>
      <c r="AD4666" s="6">
        <f t="shared" si="715"/>
        <v>6944.94</v>
      </c>
      <c r="AE4666" s="2">
        <f>VLOOKUP(I4666,[1]媒体政策预估表!A:N,MATCH(O4666,[1]媒体政策预估表!$A$2:$M$2,0),0)</f>
        <v>0.09</v>
      </c>
      <c r="AF4666" s="6">
        <f t="shared" si="713"/>
        <v>625.04459999999995</v>
      </c>
      <c r="AG4666" s="14">
        <v>0</v>
      </c>
      <c r="AH4666" s="65">
        <f t="shared" si="716"/>
        <v>6944.94</v>
      </c>
      <c r="AI4666" s="47"/>
      <c r="AJ4666" s="126" t="e">
        <v>#N/A</v>
      </c>
      <c r="AK4666" s="80">
        <f t="shared" si="711"/>
        <v>0</v>
      </c>
      <c r="AM4666" s="85"/>
    </row>
    <row r="4667" spans="1:39" hidden="1" x14ac:dyDescent="0.3">
      <c r="A4667" s="89" t="s">
        <v>3394</v>
      </c>
      <c r="B4667" s="86" t="s">
        <v>35</v>
      </c>
      <c r="C4667" s="86" t="s">
        <v>36</v>
      </c>
      <c r="D4667" s="86" t="s">
        <v>54</v>
      </c>
      <c r="E4667" s="86" t="s">
        <v>1200</v>
      </c>
      <c r="F4667" s="86" t="s">
        <v>1201</v>
      </c>
      <c r="G4667" s="86" t="s">
        <v>1200</v>
      </c>
      <c r="H4667" s="144">
        <v>22</v>
      </c>
      <c r="I4667" s="86" t="s">
        <v>2935</v>
      </c>
      <c r="J4667" s="1" t="s">
        <v>3302</v>
      </c>
      <c r="K4667" s="1" t="s">
        <v>3371</v>
      </c>
      <c r="L4667" s="1" t="s">
        <v>35</v>
      </c>
      <c r="M4667" s="86" t="s">
        <v>2331</v>
      </c>
      <c r="N4667" s="86"/>
      <c r="O4667" s="47" t="s">
        <v>410</v>
      </c>
      <c r="P4667" s="47" t="s">
        <v>41</v>
      </c>
      <c r="Q4667" s="14">
        <v>0</v>
      </c>
      <c r="R4667" s="143">
        <v>245072</v>
      </c>
      <c r="S4667" s="47"/>
      <c r="T4667" s="6">
        <v>8005.99</v>
      </c>
      <c r="U4667" s="6">
        <v>10000</v>
      </c>
      <c r="V4667" s="6">
        <v>8073.51</v>
      </c>
      <c r="W4667" s="6">
        <f t="shared" si="714"/>
        <v>9932.4799999999977</v>
      </c>
      <c r="X4667" s="6">
        <f t="shared" ref="X4667:X4730" si="717">IF(P4667="折扣",V4667*Q4667,IF(P4667="返现",V4667,V4667/(1+Q4667)))</f>
        <v>8073.51</v>
      </c>
      <c r="Y4667" s="13">
        <f t="shared" si="709"/>
        <v>0</v>
      </c>
      <c r="Z4667" s="14">
        <v>0</v>
      </c>
      <c r="AA4667" s="6">
        <v>0</v>
      </c>
      <c r="AB4667" s="4">
        <f t="shared" si="710"/>
        <v>8073.51</v>
      </c>
      <c r="AC4667" s="4">
        <f t="shared" si="712"/>
        <v>0</v>
      </c>
      <c r="AD4667" s="6">
        <f t="shared" si="715"/>
        <v>8073.51</v>
      </c>
      <c r="AE4667" s="2">
        <f>VLOOKUP(I4667,[1]媒体政策预估表!A:N,MATCH(O4667,[1]媒体政策预估表!$A$2:$M$2,0),0)</f>
        <v>0.09</v>
      </c>
      <c r="AF4667" s="6">
        <f t="shared" si="713"/>
        <v>726.61590000000001</v>
      </c>
      <c r="AG4667" s="14">
        <v>0</v>
      </c>
      <c r="AH4667" s="65">
        <f t="shared" si="716"/>
        <v>8073.51</v>
      </c>
      <c r="AI4667" s="47"/>
      <c r="AJ4667" s="126" t="e">
        <v>#N/A</v>
      </c>
      <c r="AK4667" s="80">
        <f t="shared" si="711"/>
        <v>0</v>
      </c>
      <c r="AM4667" s="85"/>
    </row>
    <row r="4668" spans="1:39" hidden="1" x14ac:dyDescent="0.3">
      <c r="A4668" s="89" t="s">
        <v>3394</v>
      </c>
      <c r="B4668" s="86" t="s">
        <v>35</v>
      </c>
      <c r="C4668" s="86" t="s">
        <v>36</v>
      </c>
      <c r="D4668" s="86" t="s">
        <v>54</v>
      </c>
      <c r="E4668" s="86" t="s">
        <v>1200</v>
      </c>
      <c r="F4668" s="86" t="s">
        <v>1201</v>
      </c>
      <c r="G4668" s="86" t="s">
        <v>1200</v>
      </c>
      <c r="H4668" s="144">
        <v>22</v>
      </c>
      <c r="I4668" s="86" t="s">
        <v>2935</v>
      </c>
      <c r="J4668" s="1" t="s">
        <v>3302</v>
      </c>
      <c r="K4668" s="1" t="s">
        <v>3371</v>
      </c>
      <c r="L4668" s="1" t="s">
        <v>35</v>
      </c>
      <c r="M4668" s="86" t="s">
        <v>1200</v>
      </c>
      <c r="N4668" s="86"/>
      <c r="O4668" s="47" t="s">
        <v>410</v>
      </c>
      <c r="P4668" s="47" t="s">
        <v>41</v>
      </c>
      <c r="Q4668" s="14">
        <v>0</v>
      </c>
      <c r="R4668" s="143">
        <v>49572</v>
      </c>
      <c r="S4668" s="47"/>
      <c r="T4668" s="6">
        <v>88389.069999999992</v>
      </c>
      <c r="U4668" s="6">
        <v>40000</v>
      </c>
      <c r="V4668" s="6">
        <v>48507.44</v>
      </c>
      <c r="W4668" s="6">
        <f t="shared" si="714"/>
        <v>79881.62999999999</v>
      </c>
      <c r="X4668" s="6">
        <f t="shared" si="717"/>
        <v>48507.44</v>
      </c>
      <c r="Y4668" s="13">
        <f t="shared" si="709"/>
        <v>0</v>
      </c>
      <c r="Z4668" s="14">
        <v>0</v>
      </c>
      <c r="AA4668" s="6">
        <v>0</v>
      </c>
      <c r="AB4668" s="4">
        <f t="shared" si="710"/>
        <v>48507.44</v>
      </c>
      <c r="AC4668" s="4">
        <f t="shared" si="712"/>
        <v>0</v>
      </c>
      <c r="AD4668" s="6">
        <f t="shared" si="715"/>
        <v>48507.44</v>
      </c>
      <c r="AE4668" s="2">
        <f>VLOOKUP(I4668,[1]媒体政策预估表!A:N,MATCH(O4668,[1]媒体政策预估表!$A$2:$M$2,0),0)</f>
        <v>0.09</v>
      </c>
      <c r="AF4668" s="6">
        <f t="shared" si="713"/>
        <v>4365.6696000000002</v>
      </c>
      <c r="AG4668" s="14">
        <v>0</v>
      </c>
      <c r="AH4668" s="65">
        <f t="shared" si="716"/>
        <v>48507.44</v>
      </c>
      <c r="AI4668" s="47"/>
      <c r="AJ4668" s="126" t="e">
        <v>#N/A</v>
      </c>
      <c r="AK4668" s="80">
        <f t="shared" si="711"/>
        <v>0</v>
      </c>
      <c r="AM4668" s="85"/>
    </row>
    <row r="4669" spans="1:39" hidden="1" x14ac:dyDescent="0.3">
      <c r="A4669" s="89" t="s">
        <v>3394</v>
      </c>
      <c r="B4669" s="86" t="s">
        <v>35</v>
      </c>
      <c r="C4669" s="86" t="s">
        <v>36</v>
      </c>
      <c r="D4669" s="86" t="s">
        <v>54</v>
      </c>
      <c r="E4669" s="86" t="s">
        <v>2843</v>
      </c>
      <c r="F4669" s="86" t="s">
        <v>2843</v>
      </c>
      <c r="G4669" s="86" t="s">
        <v>2843</v>
      </c>
      <c r="H4669" s="144">
        <v>22</v>
      </c>
      <c r="I4669" s="86" t="s">
        <v>2935</v>
      </c>
      <c r="J4669" s="1" t="s">
        <v>3302</v>
      </c>
      <c r="K4669" s="1" t="s">
        <v>3371</v>
      </c>
      <c r="L4669" s="1" t="s">
        <v>35</v>
      </c>
      <c r="M4669" s="86" t="s">
        <v>2950</v>
      </c>
      <c r="N4669" s="86"/>
      <c r="O4669" s="47" t="s">
        <v>410</v>
      </c>
      <c r="P4669" s="47" t="s">
        <v>41</v>
      </c>
      <c r="Q4669" s="14">
        <v>0</v>
      </c>
      <c r="R4669" s="143">
        <v>213242</v>
      </c>
      <c r="S4669" s="47"/>
      <c r="T4669" s="6">
        <v>18300</v>
      </c>
      <c r="U4669" s="6">
        <v>150000</v>
      </c>
      <c r="V4669" s="6">
        <v>59441.16</v>
      </c>
      <c r="W4669" s="6">
        <f t="shared" si="714"/>
        <v>108858.84</v>
      </c>
      <c r="X4669" s="6">
        <f t="shared" si="717"/>
        <v>59441.16</v>
      </c>
      <c r="Y4669" s="13">
        <f t="shared" si="709"/>
        <v>0</v>
      </c>
      <c r="Z4669" s="14">
        <v>0</v>
      </c>
      <c r="AA4669" s="6">
        <v>0</v>
      </c>
      <c r="AB4669" s="4">
        <f t="shared" si="710"/>
        <v>59441.16</v>
      </c>
      <c r="AC4669" s="4">
        <f t="shared" si="712"/>
        <v>0</v>
      </c>
      <c r="AD4669" s="6">
        <f t="shared" si="715"/>
        <v>59441.16</v>
      </c>
      <c r="AE4669" s="2">
        <f>VLOOKUP(I4669,[1]媒体政策预估表!A:N,MATCH(O4669,[1]媒体政策预估表!$A$2:$M$2,0),0)</f>
        <v>0.09</v>
      </c>
      <c r="AF4669" s="6">
        <f t="shared" si="713"/>
        <v>5349.7044000000005</v>
      </c>
      <c r="AG4669" s="14">
        <v>0</v>
      </c>
      <c r="AH4669" s="65">
        <f t="shared" si="716"/>
        <v>59441.16</v>
      </c>
      <c r="AI4669" s="47"/>
      <c r="AJ4669" s="126" t="e">
        <v>#N/A</v>
      </c>
      <c r="AK4669" s="80">
        <f t="shared" si="711"/>
        <v>0</v>
      </c>
      <c r="AM4669" s="85"/>
    </row>
    <row r="4670" spans="1:39" hidden="1" x14ac:dyDescent="0.3">
      <c r="A4670" s="89" t="s">
        <v>3394</v>
      </c>
      <c r="B4670" s="86" t="s">
        <v>35</v>
      </c>
      <c r="C4670" s="86" t="s">
        <v>36</v>
      </c>
      <c r="D4670" s="86" t="s">
        <v>54</v>
      </c>
      <c r="E4670" s="86" t="s">
        <v>2846</v>
      </c>
      <c r="F4670" s="86" t="s">
        <v>2846</v>
      </c>
      <c r="G4670" s="86" t="s">
        <v>2846</v>
      </c>
      <c r="H4670" s="144">
        <v>22</v>
      </c>
      <c r="I4670" s="86" t="s">
        <v>2935</v>
      </c>
      <c r="J4670" s="1" t="s">
        <v>3302</v>
      </c>
      <c r="K4670" s="1" t="s">
        <v>3371</v>
      </c>
      <c r="L4670" s="1" t="s">
        <v>35</v>
      </c>
      <c r="M4670" s="86" t="s">
        <v>2846</v>
      </c>
      <c r="N4670" s="86"/>
      <c r="O4670" s="47" t="s">
        <v>410</v>
      </c>
      <c r="P4670" s="47" t="s">
        <v>41</v>
      </c>
      <c r="Q4670" s="14">
        <v>0</v>
      </c>
      <c r="R4670" s="143">
        <v>22902</v>
      </c>
      <c r="S4670" s="47"/>
      <c r="T4670" s="6">
        <v>16752.979999999981</v>
      </c>
      <c r="U4670" s="6">
        <v>600000</v>
      </c>
      <c r="V4670" s="6">
        <v>366936.16</v>
      </c>
      <c r="W4670" s="6">
        <f t="shared" si="714"/>
        <v>249816.82</v>
      </c>
      <c r="X4670" s="6">
        <f t="shared" si="717"/>
        <v>366936.16</v>
      </c>
      <c r="Y4670" s="13">
        <f t="shared" si="709"/>
        <v>0</v>
      </c>
      <c r="Z4670" s="14">
        <v>0</v>
      </c>
      <c r="AA4670" s="6">
        <v>0</v>
      </c>
      <c r="AB4670" s="4">
        <f t="shared" si="710"/>
        <v>366936.16</v>
      </c>
      <c r="AC4670" s="4">
        <f t="shared" si="712"/>
        <v>0</v>
      </c>
      <c r="AD4670" s="6">
        <f t="shared" si="715"/>
        <v>366936.16</v>
      </c>
      <c r="AE4670" s="2">
        <f>VLOOKUP(I4670,[1]媒体政策预估表!A:N,MATCH(O4670,[1]媒体政策预估表!$A$2:$M$2,0),0)</f>
        <v>0.09</v>
      </c>
      <c r="AF4670" s="6">
        <f t="shared" si="713"/>
        <v>33024.254399999998</v>
      </c>
      <c r="AG4670" s="14">
        <v>0</v>
      </c>
      <c r="AH4670" s="65">
        <f t="shared" si="716"/>
        <v>366936.16</v>
      </c>
      <c r="AI4670" s="47"/>
      <c r="AJ4670" s="126" t="e">
        <v>#N/A</v>
      </c>
      <c r="AK4670" s="80">
        <f t="shared" si="711"/>
        <v>0</v>
      </c>
      <c r="AM4670" s="85"/>
    </row>
    <row r="4671" spans="1:39" hidden="1" x14ac:dyDescent="0.3">
      <c r="A4671" s="89" t="s">
        <v>3395</v>
      </c>
      <c r="B4671" s="86" t="s">
        <v>35</v>
      </c>
      <c r="C4671" s="86" t="s">
        <v>36</v>
      </c>
      <c r="D4671" s="86" t="s">
        <v>54</v>
      </c>
      <c r="E4671" s="86" t="s">
        <v>2846</v>
      </c>
      <c r="F4671" s="86" t="s">
        <v>2846</v>
      </c>
      <c r="G4671" s="86" t="s">
        <v>2846</v>
      </c>
      <c r="H4671" s="144">
        <v>22</v>
      </c>
      <c r="I4671" s="86" t="s">
        <v>2935</v>
      </c>
      <c r="J4671" s="1" t="s">
        <v>3302</v>
      </c>
      <c r="K4671" s="1" t="s">
        <v>3371</v>
      </c>
      <c r="L4671" s="1" t="s">
        <v>35</v>
      </c>
      <c r="M4671" s="86" t="s">
        <v>2952</v>
      </c>
      <c r="N4671" s="86"/>
      <c r="O4671" s="47" t="s">
        <v>410</v>
      </c>
      <c r="P4671" s="47" t="s">
        <v>41</v>
      </c>
      <c r="Q4671" s="14">
        <v>0</v>
      </c>
      <c r="R4671" s="143">
        <v>97602</v>
      </c>
      <c r="S4671" s="47"/>
      <c r="T4671" s="6">
        <v>36187.139999999898</v>
      </c>
      <c r="U4671" s="6">
        <v>400000</v>
      </c>
      <c r="V4671" s="6">
        <v>263788.71000000002</v>
      </c>
      <c r="W4671" s="6">
        <f t="shared" si="714"/>
        <v>172398.42999999988</v>
      </c>
      <c r="X4671" s="6">
        <f t="shared" si="717"/>
        <v>263788.71000000002</v>
      </c>
      <c r="Y4671" s="13">
        <f t="shared" si="709"/>
        <v>0</v>
      </c>
      <c r="Z4671" s="14">
        <v>0</v>
      </c>
      <c r="AA4671" s="6">
        <v>0</v>
      </c>
      <c r="AB4671" s="4">
        <f t="shared" si="710"/>
        <v>263788.71000000002</v>
      </c>
      <c r="AC4671" s="4">
        <f t="shared" si="712"/>
        <v>0</v>
      </c>
      <c r="AD4671" s="6">
        <f t="shared" si="715"/>
        <v>263788.71000000002</v>
      </c>
      <c r="AE4671" s="2">
        <f>VLOOKUP(I4671,[1]媒体政策预估表!A:N,MATCH(O4671,[1]媒体政策预估表!$A$2:$M$2,0),0)</f>
        <v>0.09</v>
      </c>
      <c r="AF4671" s="6">
        <f t="shared" si="713"/>
        <v>23740.983899999999</v>
      </c>
      <c r="AG4671" s="14">
        <v>0</v>
      </c>
      <c r="AH4671" s="65">
        <f t="shared" si="716"/>
        <v>263788.71000000002</v>
      </c>
      <c r="AI4671" s="47"/>
      <c r="AJ4671" s="126" t="e">
        <v>#N/A</v>
      </c>
      <c r="AK4671" s="80">
        <f t="shared" si="711"/>
        <v>0</v>
      </c>
      <c r="AM4671" s="85"/>
    </row>
    <row r="4672" spans="1:39" hidden="1" x14ac:dyDescent="0.3">
      <c r="A4672" s="89" t="s">
        <v>3394</v>
      </c>
      <c r="B4672" s="86" t="s">
        <v>35</v>
      </c>
      <c r="C4672" s="86" t="s">
        <v>36</v>
      </c>
      <c r="D4672" s="86" t="s">
        <v>54</v>
      </c>
      <c r="E4672" s="86" t="s">
        <v>458</v>
      </c>
      <c r="F4672" s="86" t="s">
        <v>458</v>
      </c>
      <c r="G4672" s="86" t="s">
        <v>458</v>
      </c>
      <c r="H4672" s="144">
        <v>22</v>
      </c>
      <c r="I4672" s="86" t="s">
        <v>2935</v>
      </c>
      <c r="J4672" s="1" t="s">
        <v>3302</v>
      </c>
      <c r="K4672" s="1" t="s">
        <v>3371</v>
      </c>
      <c r="L4672" s="1" t="s">
        <v>35</v>
      </c>
      <c r="M4672" s="86" t="s">
        <v>458</v>
      </c>
      <c r="N4672" s="86"/>
      <c r="O4672" s="47" t="s">
        <v>410</v>
      </c>
      <c r="P4672" s="47" t="s">
        <v>41</v>
      </c>
      <c r="Q4672" s="14">
        <v>0</v>
      </c>
      <c r="R4672" s="143">
        <v>39522</v>
      </c>
      <c r="S4672" s="47"/>
      <c r="T4672" s="6">
        <v>12975.929999999978</v>
      </c>
      <c r="U4672" s="6">
        <v>150000</v>
      </c>
      <c r="V4672" s="6">
        <v>114886.88</v>
      </c>
      <c r="W4672" s="6">
        <f t="shared" si="714"/>
        <v>48089.049999999988</v>
      </c>
      <c r="X4672" s="6">
        <f t="shared" si="717"/>
        <v>114886.88</v>
      </c>
      <c r="Y4672" s="13">
        <f t="shared" si="709"/>
        <v>0</v>
      </c>
      <c r="Z4672" s="14">
        <v>0</v>
      </c>
      <c r="AA4672" s="6">
        <v>0</v>
      </c>
      <c r="AB4672" s="4">
        <f t="shared" si="710"/>
        <v>114886.88</v>
      </c>
      <c r="AC4672" s="4">
        <f t="shared" si="712"/>
        <v>0</v>
      </c>
      <c r="AD4672" s="6">
        <f t="shared" si="715"/>
        <v>114886.88</v>
      </c>
      <c r="AE4672" s="2">
        <f>VLOOKUP(I4672,[1]媒体政策预估表!A:N,MATCH(O4672,[1]媒体政策预估表!$A$2:$M$2,0),0)</f>
        <v>0.09</v>
      </c>
      <c r="AF4672" s="6">
        <f t="shared" si="713"/>
        <v>10339.8192</v>
      </c>
      <c r="AG4672" s="14">
        <v>0</v>
      </c>
      <c r="AH4672" s="65">
        <f t="shared" si="716"/>
        <v>114886.88</v>
      </c>
      <c r="AI4672" s="47"/>
      <c r="AJ4672" s="126" t="e">
        <v>#N/A</v>
      </c>
      <c r="AK4672" s="80">
        <f t="shared" si="711"/>
        <v>0</v>
      </c>
      <c r="AM4672" s="85"/>
    </row>
    <row r="4673" spans="1:39" hidden="1" x14ac:dyDescent="0.3">
      <c r="A4673" s="89" t="s">
        <v>3394</v>
      </c>
      <c r="B4673" s="86" t="s">
        <v>35</v>
      </c>
      <c r="C4673" s="86" t="s">
        <v>36</v>
      </c>
      <c r="D4673" s="86" t="s">
        <v>54</v>
      </c>
      <c r="E4673" s="86" t="s">
        <v>1334</v>
      </c>
      <c r="F4673" s="86" t="s">
        <v>1334</v>
      </c>
      <c r="G4673" s="86" t="s">
        <v>1334</v>
      </c>
      <c r="H4673" s="144">
        <v>22</v>
      </c>
      <c r="I4673" s="86" t="s">
        <v>2935</v>
      </c>
      <c r="J4673" s="1" t="s">
        <v>3302</v>
      </c>
      <c r="K4673" s="1" t="s">
        <v>3371</v>
      </c>
      <c r="L4673" s="1" t="s">
        <v>35</v>
      </c>
      <c r="M4673" s="86" t="s">
        <v>1334</v>
      </c>
      <c r="N4673" s="86"/>
      <c r="O4673" s="47" t="s">
        <v>410</v>
      </c>
      <c r="P4673" s="47" t="s">
        <v>41</v>
      </c>
      <c r="Q4673" s="14">
        <v>0</v>
      </c>
      <c r="R4673" s="143">
        <v>80182</v>
      </c>
      <c r="S4673" s="47"/>
      <c r="T4673" s="6">
        <v>11440.390000000025</v>
      </c>
      <c r="U4673" s="6">
        <v>80000</v>
      </c>
      <c r="V4673" s="6">
        <v>61736.42</v>
      </c>
      <c r="W4673" s="6">
        <f t="shared" si="714"/>
        <v>29703.97000000003</v>
      </c>
      <c r="X4673" s="6">
        <f t="shared" si="717"/>
        <v>61736.42</v>
      </c>
      <c r="Y4673" s="13">
        <f t="shared" si="709"/>
        <v>0</v>
      </c>
      <c r="Z4673" s="14">
        <v>0</v>
      </c>
      <c r="AA4673" s="6">
        <v>0</v>
      </c>
      <c r="AB4673" s="4">
        <f t="shared" si="710"/>
        <v>61736.42</v>
      </c>
      <c r="AC4673" s="4">
        <f t="shared" si="712"/>
        <v>0</v>
      </c>
      <c r="AD4673" s="6">
        <f t="shared" si="715"/>
        <v>61736.42</v>
      </c>
      <c r="AE4673" s="2">
        <f>VLOOKUP(I4673,[1]媒体政策预估表!A:N,MATCH(O4673,[1]媒体政策预估表!$A$2:$M$2,0),0)</f>
        <v>0.09</v>
      </c>
      <c r="AF4673" s="6">
        <f t="shared" si="713"/>
        <v>5556.2777999999998</v>
      </c>
      <c r="AG4673" s="14">
        <v>0</v>
      </c>
      <c r="AH4673" s="65">
        <f t="shared" si="716"/>
        <v>61736.42</v>
      </c>
      <c r="AI4673" s="47"/>
      <c r="AJ4673" s="126" t="e">
        <v>#N/A</v>
      </c>
      <c r="AK4673" s="80">
        <f t="shared" si="711"/>
        <v>0</v>
      </c>
      <c r="AM4673" s="85"/>
    </row>
    <row r="4674" spans="1:39" hidden="1" x14ac:dyDescent="0.3">
      <c r="A4674" s="89" t="s">
        <v>3394</v>
      </c>
      <c r="B4674" s="86" t="s">
        <v>35</v>
      </c>
      <c r="C4674" s="86" t="s">
        <v>36</v>
      </c>
      <c r="D4674" s="86" t="s">
        <v>54</v>
      </c>
      <c r="E4674" s="86" t="s">
        <v>2953</v>
      </c>
      <c r="F4674" s="86" t="s">
        <v>2953</v>
      </c>
      <c r="G4674" s="86" t="s">
        <v>2953</v>
      </c>
      <c r="H4674" s="144">
        <v>22</v>
      </c>
      <c r="I4674" s="86" t="s">
        <v>2935</v>
      </c>
      <c r="J4674" s="1" t="s">
        <v>3302</v>
      </c>
      <c r="K4674" s="1" t="s">
        <v>3371</v>
      </c>
      <c r="L4674" s="1" t="s">
        <v>35</v>
      </c>
      <c r="M4674" s="86" t="s">
        <v>2954</v>
      </c>
      <c r="N4674" s="86"/>
      <c r="O4674" s="47" t="s">
        <v>410</v>
      </c>
      <c r="P4674" s="47" t="s">
        <v>46</v>
      </c>
      <c r="Q4674" s="14">
        <v>0.02</v>
      </c>
      <c r="R4674" s="143">
        <v>207742</v>
      </c>
      <c r="S4674" s="47"/>
      <c r="T4674" s="6">
        <v>830.83000000000175</v>
      </c>
      <c r="U4674" s="6">
        <v>30600</v>
      </c>
      <c r="V4674" s="6">
        <v>7500</v>
      </c>
      <c r="W4674" s="6">
        <f t="shared" si="714"/>
        <v>23930.83</v>
      </c>
      <c r="X4674" s="6">
        <f t="shared" si="717"/>
        <v>7352.9411764705883</v>
      </c>
      <c r="Y4674" s="13">
        <f t="shared" si="709"/>
        <v>0</v>
      </c>
      <c r="Z4674" s="14">
        <v>0</v>
      </c>
      <c r="AA4674" s="6">
        <v>0</v>
      </c>
      <c r="AB4674" s="4">
        <f t="shared" si="710"/>
        <v>7352.9411764705883</v>
      </c>
      <c r="AC4674" s="4">
        <f t="shared" si="712"/>
        <v>147.05882352941171</v>
      </c>
      <c r="AD4674" s="6">
        <f t="shared" si="715"/>
        <v>7500</v>
      </c>
      <c r="AE4674" s="2">
        <f>VLOOKUP(I4674,[1]媒体政策预估表!A:N,MATCH(O4674,[1]媒体政策预估表!$A$2:$M$2,0),0)</f>
        <v>0.09</v>
      </c>
      <c r="AF4674" s="6">
        <f t="shared" si="713"/>
        <v>675</v>
      </c>
      <c r="AG4674" s="14">
        <v>0</v>
      </c>
      <c r="AH4674" s="65">
        <f t="shared" si="716"/>
        <v>7500</v>
      </c>
      <c r="AI4674" s="47"/>
      <c r="AJ4674" s="126" t="e">
        <v>#N/A</v>
      </c>
      <c r="AK4674" s="80">
        <f t="shared" si="711"/>
        <v>0</v>
      </c>
      <c r="AM4674" s="85"/>
    </row>
    <row r="4675" spans="1:39" hidden="1" x14ac:dyDescent="0.3">
      <c r="A4675" s="89" t="s">
        <v>3394</v>
      </c>
      <c r="B4675" s="86" t="s">
        <v>35</v>
      </c>
      <c r="C4675" s="86" t="s">
        <v>36</v>
      </c>
      <c r="D4675" s="86" t="s">
        <v>54</v>
      </c>
      <c r="E4675" s="86" t="s">
        <v>291</v>
      </c>
      <c r="F4675" s="86" t="s">
        <v>291</v>
      </c>
      <c r="G4675" s="86" t="s">
        <v>291</v>
      </c>
      <c r="H4675" s="144">
        <v>22</v>
      </c>
      <c r="I4675" s="86" t="s">
        <v>2935</v>
      </c>
      <c r="J4675" s="1" t="s">
        <v>3302</v>
      </c>
      <c r="K4675" s="1" t="s">
        <v>3371</v>
      </c>
      <c r="L4675" s="1" t="s">
        <v>35</v>
      </c>
      <c r="M4675" s="86" t="s">
        <v>2955</v>
      </c>
      <c r="N4675" s="86"/>
      <c r="O4675" s="47" t="s">
        <v>410</v>
      </c>
      <c r="P4675" s="47" t="s">
        <v>41</v>
      </c>
      <c r="Q4675" s="14">
        <v>0</v>
      </c>
      <c r="R4675" s="143">
        <v>46382</v>
      </c>
      <c r="S4675" s="47"/>
      <c r="T4675" s="6">
        <v>-6436.4599999999291</v>
      </c>
      <c r="U4675" s="6">
        <v>60000</v>
      </c>
      <c r="V4675" s="6">
        <v>17751.689999999999</v>
      </c>
      <c r="W4675" s="6">
        <f t="shared" si="714"/>
        <v>35811.850000000079</v>
      </c>
      <c r="X4675" s="6">
        <f t="shared" si="717"/>
        <v>17751.689999999999</v>
      </c>
      <c r="Y4675" s="13">
        <f t="shared" ref="Y4675:Y4738" si="718">IF(X4675-AD4675&lt;=0,0,IF(P4675="返现",MAX(X4675-AC4675-AD4675,0),MAX(X4675-AD4675)))</f>
        <v>0</v>
      </c>
      <c r="Z4675" s="14">
        <v>0</v>
      </c>
      <c r="AA4675" s="6">
        <v>0</v>
      </c>
      <c r="AB4675" s="4">
        <f t="shared" ref="AB4675:AB4738" si="719">X4675+AA4675</f>
        <v>17751.689999999999</v>
      </c>
      <c r="AC4675" s="4">
        <f t="shared" si="712"/>
        <v>0</v>
      </c>
      <c r="AD4675" s="6">
        <f t="shared" si="715"/>
        <v>17751.689999999999</v>
      </c>
      <c r="AE4675" s="2">
        <f>VLOOKUP(I4675,[1]媒体政策预估表!A:N,MATCH(O4675,[1]媒体政策预估表!$A$2:$M$2,0),0)</f>
        <v>0.09</v>
      </c>
      <c r="AF4675" s="6">
        <f t="shared" si="713"/>
        <v>1597.6520999999998</v>
      </c>
      <c r="AG4675" s="14">
        <v>0</v>
      </c>
      <c r="AH4675" s="65">
        <f t="shared" si="716"/>
        <v>17751.689999999999</v>
      </c>
      <c r="AI4675" s="47"/>
      <c r="AJ4675" s="126" t="e">
        <v>#N/A</v>
      </c>
      <c r="AK4675" s="80">
        <f t="shared" ref="AK4675:AK4738" si="720">X4675+AA4675-AB4675</f>
        <v>0</v>
      </c>
      <c r="AM4675" s="85"/>
    </row>
    <row r="4676" spans="1:39" hidden="1" x14ac:dyDescent="0.3">
      <c r="A4676" s="89" t="s">
        <v>3395</v>
      </c>
      <c r="B4676" s="86" t="s">
        <v>35</v>
      </c>
      <c r="C4676" s="86" t="s">
        <v>36</v>
      </c>
      <c r="D4676" s="86" t="s">
        <v>54</v>
      </c>
      <c r="E4676" s="86" t="s">
        <v>114</v>
      </c>
      <c r="F4676" s="86" t="s">
        <v>114</v>
      </c>
      <c r="G4676" s="86" t="s">
        <v>114</v>
      </c>
      <c r="H4676" s="144">
        <v>22</v>
      </c>
      <c r="I4676" s="86" t="s">
        <v>2935</v>
      </c>
      <c r="J4676" s="1" t="s">
        <v>3302</v>
      </c>
      <c r="K4676" s="1" t="s">
        <v>3371</v>
      </c>
      <c r="L4676" s="1" t="s">
        <v>35</v>
      </c>
      <c r="M4676" s="86" t="s">
        <v>1866</v>
      </c>
      <c r="N4676" s="86"/>
      <c r="O4676" s="47" t="s">
        <v>410</v>
      </c>
      <c r="P4676" s="47" t="s">
        <v>46</v>
      </c>
      <c r="Q4676" s="14">
        <v>0.02</v>
      </c>
      <c r="R4676" s="143">
        <v>62122</v>
      </c>
      <c r="S4676" s="47"/>
      <c r="T4676" s="6">
        <v>669441.05999999959</v>
      </c>
      <c r="U4676" s="6">
        <v>4700000</v>
      </c>
      <c r="V4676" s="6">
        <v>3790315.72</v>
      </c>
      <c r="W4676" s="6">
        <f t="shared" si="714"/>
        <v>1579125.3399999994</v>
      </c>
      <c r="X4676" s="6">
        <f t="shared" si="717"/>
        <v>3715995.8039215687</v>
      </c>
      <c r="Y4676" s="13">
        <f t="shared" si="718"/>
        <v>0</v>
      </c>
      <c r="Z4676" s="14">
        <v>0</v>
      </c>
      <c r="AA4676" s="6">
        <v>0</v>
      </c>
      <c r="AB4676" s="4">
        <f t="shared" si="719"/>
        <v>3715995.8039215687</v>
      </c>
      <c r="AC4676" s="4">
        <f t="shared" si="712"/>
        <v>74319.916078431532</v>
      </c>
      <c r="AD4676" s="6">
        <f t="shared" si="715"/>
        <v>3790315.72</v>
      </c>
      <c r="AE4676" s="2">
        <f>VLOOKUP(I4676,[1]媒体政策预估表!A:N,MATCH(O4676,[1]媒体政策预估表!$A$2:$M$2,0),0)</f>
        <v>0.09</v>
      </c>
      <c r="AF4676" s="6">
        <f t="shared" si="713"/>
        <v>341128.41480000003</v>
      </c>
      <c r="AG4676" s="14">
        <v>0</v>
      </c>
      <c r="AH4676" s="65">
        <f t="shared" si="716"/>
        <v>3790315.72</v>
      </c>
      <c r="AI4676" s="47"/>
      <c r="AJ4676" s="126" t="e">
        <v>#N/A</v>
      </c>
      <c r="AK4676" s="80">
        <f t="shared" si="720"/>
        <v>0</v>
      </c>
      <c r="AM4676" s="85"/>
    </row>
    <row r="4677" spans="1:39" hidden="1" x14ac:dyDescent="0.3">
      <c r="A4677" s="89" t="s">
        <v>3397</v>
      </c>
      <c r="B4677" s="86" t="s">
        <v>35</v>
      </c>
      <c r="C4677" s="86" t="s">
        <v>36</v>
      </c>
      <c r="D4677" s="86" t="s">
        <v>54</v>
      </c>
      <c r="E4677" s="86" t="s">
        <v>114</v>
      </c>
      <c r="F4677" s="86" t="s">
        <v>114</v>
      </c>
      <c r="G4677" s="86" t="s">
        <v>114</v>
      </c>
      <c r="H4677" s="144">
        <v>22</v>
      </c>
      <c r="I4677" s="86" t="s">
        <v>2935</v>
      </c>
      <c r="J4677" s="1" t="s">
        <v>3302</v>
      </c>
      <c r="K4677" s="1" t="s">
        <v>3371</v>
      </c>
      <c r="L4677" s="1" t="s">
        <v>35</v>
      </c>
      <c r="M4677" s="86" t="s">
        <v>2956</v>
      </c>
      <c r="N4677" s="86"/>
      <c r="O4677" s="47" t="s">
        <v>410</v>
      </c>
      <c r="P4677" s="47" t="s">
        <v>46</v>
      </c>
      <c r="Q4677" s="14">
        <v>0.02</v>
      </c>
      <c r="R4677" s="143">
        <v>238152</v>
      </c>
      <c r="S4677" s="47"/>
      <c r="T4677" s="6">
        <v>125801.70000000019</v>
      </c>
      <c r="U4677" s="6">
        <v>1400000</v>
      </c>
      <c r="V4677" s="6">
        <v>1331119.1599999999</v>
      </c>
      <c r="W4677" s="6">
        <f t="shared" si="714"/>
        <v>194682.54000000027</v>
      </c>
      <c r="X4677" s="6">
        <f t="shared" si="717"/>
        <v>1305018.7843137253</v>
      </c>
      <c r="Y4677" s="13">
        <f t="shared" si="718"/>
        <v>0</v>
      </c>
      <c r="Z4677" s="14">
        <v>0</v>
      </c>
      <c r="AA4677" s="6">
        <v>0</v>
      </c>
      <c r="AB4677" s="4">
        <f t="shared" si="719"/>
        <v>1305018.7843137253</v>
      </c>
      <c r="AC4677" s="4">
        <f t="shared" si="712"/>
        <v>26100.375686274609</v>
      </c>
      <c r="AD4677" s="6">
        <f t="shared" si="715"/>
        <v>1331119.1599999999</v>
      </c>
      <c r="AE4677" s="2">
        <f>VLOOKUP(I4677,[1]媒体政策预估表!A:N,MATCH(O4677,[1]媒体政策预估表!$A$2:$M$2,0),0)</f>
        <v>0.09</v>
      </c>
      <c r="AF4677" s="6">
        <f t="shared" si="713"/>
        <v>119800.72439999999</v>
      </c>
      <c r="AG4677" s="14">
        <v>0</v>
      </c>
      <c r="AH4677" s="65">
        <f t="shared" si="716"/>
        <v>1331119.1599999999</v>
      </c>
      <c r="AI4677" s="47"/>
      <c r="AJ4677" s="126" t="e">
        <v>#N/A</v>
      </c>
      <c r="AK4677" s="80">
        <f t="shared" si="720"/>
        <v>0</v>
      </c>
      <c r="AM4677" s="85"/>
    </row>
    <row r="4678" spans="1:39" hidden="1" x14ac:dyDescent="0.3">
      <c r="A4678" s="89" t="s">
        <v>3394</v>
      </c>
      <c r="B4678" s="86" t="s">
        <v>35</v>
      </c>
      <c r="C4678" s="86" t="s">
        <v>36</v>
      </c>
      <c r="D4678" s="86" t="s">
        <v>54</v>
      </c>
      <c r="E4678" s="86" t="s">
        <v>2957</v>
      </c>
      <c r="F4678" s="86" t="s">
        <v>2957</v>
      </c>
      <c r="G4678" s="86" t="s">
        <v>2957</v>
      </c>
      <c r="H4678" s="144">
        <v>22</v>
      </c>
      <c r="I4678" s="86" t="s">
        <v>2935</v>
      </c>
      <c r="J4678" s="1" t="s">
        <v>3302</v>
      </c>
      <c r="K4678" s="1" t="s">
        <v>3371</v>
      </c>
      <c r="L4678" s="1" t="s">
        <v>35</v>
      </c>
      <c r="M4678" s="86" t="s">
        <v>2958</v>
      </c>
      <c r="N4678" s="86"/>
      <c r="O4678" s="47" t="s">
        <v>410</v>
      </c>
      <c r="P4678" s="47" t="s">
        <v>46</v>
      </c>
      <c r="Q4678" s="14">
        <v>0.02</v>
      </c>
      <c r="R4678" s="143">
        <v>227402</v>
      </c>
      <c r="S4678" s="47"/>
      <c r="T4678" s="6">
        <v>19274.260000000006</v>
      </c>
      <c r="U4678" s="6">
        <v>30000</v>
      </c>
      <c r="V4678" s="6">
        <v>31929.7</v>
      </c>
      <c r="W4678" s="6">
        <f t="shared" si="714"/>
        <v>17344.560000000009</v>
      </c>
      <c r="X4678" s="6">
        <f t="shared" si="717"/>
        <v>31303.627450980392</v>
      </c>
      <c r="Y4678" s="13">
        <f t="shared" si="718"/>
        <v>0</v>
      </c>
      <c r="Z4678" s="14">
        <v>0</v>
      </c>
      <c r="AA4678" s="6">
        <v>0</v>
      </c>
      <c r="AB4678" s="4">
        <f t="shared" si="719"/>
        <v>31303.627450980392</v>
      </c>
      <c r="AC4678" s="4">
        <f t="shared" si="712"/>
        <v>626.07254901960914</v>
      </c>
      <c r="AD4678" s="6">
        <f t="shared" si="715"/>
        <v>31929.7</v>
      </c>
      <c r="AE4678" s="2">
        <f>VLOOKUP(I4678,[1]媒体政策预估表!A:N,MATCH(O4678,[1]媒体政策预估表!$A$2:$M$2,0),0)</f>
        <v>0.09</v>
      </c>
      <c r="AF4678" s="6">
        <f t="shared" si="713"/>
        <v>2873.6729999999998</v>
      </c>
      <c r="AG4678" s="14">
        <v>0</v>
      </c>
      <c r="AH4678" s="65">
        <f t="shared" si="716"/>
        <v>31929.7</v>
      </c>
      <c r="AI4678" s="47"/>
      <c r="AJ4678" s="126" t="e">
        <v>#N/A</v>
      </c>
      <c r="AK4678" s="80">
        <f t="shared" si="720"/>
        <v>0</v>
      </c>
      <c r="AM4678" s="85"/>
    </row>
    <row r="4679" spans="1:39" hidden="1" x14ac:dyDescent="0.3">
      <c r="A4679" s="89" t="s">
        <v>3394</v>
      </c>
      <c r="B4679" s="86" t="s">
        <v>35</v>
      </c>
      <c r="C4679" s="86" t="s">
        <v>36</v>
      </c>
      <c r="D4679" s="86" t="s">
        <v>54</v>
      </c>
      <c r="E4679" s="86" t="s">
        <v>2957</v>
      </c>
      <c r="F4679" s="86" t="s">
        <v>2957</v>
      </c>
      <c r="G4679" s="86" t="s">
        <v>2957</v>
      </c>
      <c r="H4679" s="144">
        <v>22</v>
      </c>
      <c r="I4679" s="86" t="s">
        <v>2935</v>
      </c>
      <c r="J4679" s="1" t="s">
        <v>3302</v>
      </c>
      <c r="K4679" s="1" t="s">
        <v>3371</v>
      </c>
      <c r="L4679" s="1" t="s">
        <v>35</v>
      </c>
      <c r="M4679" s="86" t="s">
        <v>2959</v>
      </c>
      <c r="N4679" s="86"/>
      <c r="O4679" s="47" t="s">
        <v>410</v>
      </c>
      <c r="P4679" s="47" t="s">
        <v>46</v>
      </c>
      <c r="Q4679" s="14">
        <v>0.02</v>
      </c>
      <c r="R4679" s="143">
        <v>110452</v>
      </c>
      <c r="S4679" s="47"/>
      <c r="T4679" s="6">
        <v>72509.440000000031</v>
      </c>
      <c r="U4679" s="6">
        <v>100000</v>
      </c>
      <c r="V4679" s="6">
        <v>130405.97</v>
      </c>
      <c r="W4679" s="6">
        <f t="shared" si="714"/>
        <v>42103.47000000003</v>
      </c>
      <c r="X4679" s="6">
        <f t="shared" si="717"/>
        <v>127848.99019607843</v>
      </c>
      <c r="Y4679" s="13">
        <f t="shared" si="718"/>
        <v>0</v>
      </c>
      <c r="Z4679" s="14">
        <v>0</v>
      </c>
      <c r="AA4679" s="6">
        <v>0</v>
      </c>
      <c r="AB4679" s="4">
        <f t="shared" si="719"/>
        <v>127848.99019607843</v>
      </c>
      <c r="AC4679" s="4">
        <f t="shared" si="712"/>
        <v>2556.9798039215675</v>
      </c>
      <c r="AD4679" s="6">
        <f t="shared" si="715"/>
        <v>130405.97</v>
      </c>
      <c r="AE4679" s="2">
        <f>VLOOKUP(I4679,[1]媒体政策预估表!A:N,MATCH(O4679,[1]媒体政策预估表!$A$2:$M$2,0),0)</f>
        <v>0.09</v>
      </c>
      <c r="AF4679" s="6">
        <f t="shared" si="713"/>
        <v>11736.5373</v>
      </c>
      <c r="AG4679" s="14">
        <v>0</v>
      </c>
      <c r="AH4679" s="65">
        <f t="shared" si="716"/>
        <v>130405.97</v>
      </c>
      <c r="AI4679" s="47"/>
      <c r="AJ4679" s="126" t="e">
        <v>#N/A</v>
      </c>
      <c r="AK4679" s="80">
        <f t="shared" si="720"/>
        <v>0</v>
      </c>
      <c r="AM4679" s="85"/>
    </row>
    <row r="4680" spans="1:39" hidden="1" x14ac:dyDescent="0.3">
      <c r="A4680" s="89" t="s">
        <v>3394</v>
      </c>
      <c r="B4680" s="86" t="s">
        <v>35</v>
      </c>
      <c r="C4680" s="86" t="s">
        <v>36</v>
      </c>
      <c r="D4680" s="86" t="s">
        <v>37</v>
      </c>
      <c r="E4680" s="86" t="s">
        <v>222</v>
      </c>
      <c r="F4680" s="86" t="s">
        <v>462</v>
      </c>
      <c r="G4680" s="86" t="s">
        <v>222</v>
      </c>
      <c r="H4680" s="144">
        <v>22</v>
      </c>
      <c r="I4680" s="86" t="s">
        <v>2935</v>
      </c>
      <c r="J4680" s="1" t="s">
        <v>3302</v>
      </c>
      <c r="K4680" s="1" t="s">
        <v>3371</v>
      </c>
      <c r="L4680" s="1" t="s">
        <v>35</v>
      </c>
      <c r="M4680" s="86" t="s">
        <v>2960</v>
      </c>
      <c r="N4680" s="86"/>
      <c r="O4680" s="47" t="s">
        <v>410</v>
      </c>
      <c r="P4680" s="47" t="s">
        <v>46</v>
      </c>
      <c r="Q4680" s="14">
        <v>0.02</v>
      </c>
      <c r="R4680" s="143">
        <v>242342</v>
      </c>
      <c r="S4680" s="47"/>
      <c r="T4680" s="6">
        <v>3769.33</v>
      </c>
      <c r="U4680" s="6">
        <v>40000</v>
      </c>
      <c r="V4680" s="6">
        <v>23902.21</v>
      </c>
      <c r="W4680" s="6">
        <f t="shared" si="714"/>
        <v>19867.120000000003</v>
      </c>
      <c r="X4680" s="6">
        <f t="shared" si="717"/>
        <v>23433.539215686273</v>
      </c>
      <c r="Y4680" s="13">
        <f t="shared" si="718"/>
        <v>0</v>
      </c>
      <c r="Z4680" s="14">
        <v>0</v>
      </c>
      <c r="AA4680" s="6">
        <v>0</v>
      </c>
      <c r="AB4680" s="4">
        <f t="shared" si="719"/>
        <v>23433.539215686273</v>
      </c>
      <c r="AC4680" s="4">
        <f t="shared" si="712"/>
        <v>468.67078431372647</v>
      </c>
      <c r="AD4680" s="6">
        <f t="shared" si="715"/>
        <v>23902.21</v>
      </c>
      <c r="AE4680" s="2">
        <f>VLOOKUP(I4680,[1]媒体政策预估表!A:N,MATCH(O4680,[1]媒体政策预估表!$A$2:$M$2,0),0)</f>
        <v>0.09</v>
      </c>
      <c r="AF4680" s="6">
        <f t="shared" si="713"/>
        <v>2151.1988999999999</v>
      </c>
      <c r="AG4680" s="14">
        <v>0</v>
      </c>
      <c r="AH4680" s="65">
        <f t="shared" si="716"/>
        <v>23902.21</v>
      </c>
      <c r="AI4680" s="47"/>
      <c r="AJ4680" s="126" t="e">
        <v>#N/A</v>
      </c>
      <c r="AK4680" s="80">
        <f t="shared" si="720"/>
        <v>0</v>
      </c>
      <c r="AM4680" s="85"/>
    </row>
    <row r="4681" spans="1:39" hidden="1" x14ac:dyDescent="0.3">
      <c r="A4681" s="89" t="s">
        <v>3394</v>
      </c>
      <c r="B4681" s="86" t="s">
        <v>35</v>
      </c>
      <c r="C4681" s="86" t="s">
        <v>36</v>
      </c>
      <c r="D4681" s="86" t="s">
        <v>37</v>
      </c>
      <c r="E4681" s="86" t="s">
        <v>222</v>
      </c>
      <c r="F4681" s="86" t="s">
        <v>462</v>
      </c>
      <c r="G4681" s="86" t="s">
        <v>222</v>
      </c>
      <c r="H4681" s="144">
        <v>22</v>
      </c>
      <c r="I4681" s="86" t="s">
        <v>2935</v>
      </c>
      <c r="J4681" s="1" t="s">
        <v>3302</v>
      </c>
      <c r="K4681" s="1" t="s">
        <v>3371</v>
      </c>
      <c r="L4681" s="1" t="s">
        <v>35</v>
      </c>
      <c r="M4681" s="86" t="s">
        <v>2961</v>
      </c>
      <c r="N4681" s="86"/>
      <c r="O4681" s="47" t="s">
        <v>410</v>
      </c>
      <c r="P4681" s="47" t="s">
        <v>46</v>
      </c>
      <c r="Q4681" s="14">
        <v>0.02</v>
      </c>
      <c r="R4681" s="143">
        <v>245152</v>
      </c>
      <c r="S4681" s="47"/>
      <c r="T4681" s="6">
        <v>5236.5300000000007</v>
      </c>
      <c r="U4681" s="6">
        <v>30000</v>
      </c>
      <c r="V4681" s="6">
        <v>16752.22</v>
      </c>
      <c r="W4681" s="6">
        <f t="shared" si="714"/>
        <v>18484.309999999998</v>
      </c>
      <c r="X4681" s="6">
        <f t="shared" si="717"/>
        <v>16423.745098039217</v>
      </c>
      <c r="Y4681" s="13">
        <f t="shared" si="718"/>
        <v>0</v>
      </c>
      <c r="Z4681" s="14">
        <v>0</v>
      </c>
      <c r="AA4681" s="6">
        <v>0</v>
      </c>
      <c r="AB4681" s="4">
        <f t="shared" si="719"/>
        <v>16423.745098039217</v>
      </c>
      <c r="AC4681" s="4">
        <f t="shared" si="712"/>
        <v>328.47490196078434</v>
      </c>
      <c r="AD4681" s="6">
        <f t="shared" si="715"/>
        <v>16752.22</v>
      </c>
      <c r="AE4681" s="2">
        <f>VLOOKUP(I4681,[1]媒体政策预估表!A:N,MATCH(O4681,[1]媒体政策预估表!$A$2:$M$2,0),0)</f>
        <v>0.09</v>
      </c>
      <c r="AF4681" s="6">
        <f t="shared" si="713"/>
        <v>1507.6998000000001</v>
      </c>
      <c r="AG4681" s="14">
        <v>0</v>
      </c>
      <c r="AH4681" s="65">
        <f t="shared" si="716"/>
        <v>16752.22</v>
      </c>
      <c r="AI4681" s="47"/>
      <c r="AJ4681" s="126" t="e">
        <v>#N/A</v>
      </c>
      <c r="AK4681" s="80">
        <f t="shared" si="720"/>
        <v>0</v>
      </c>
      <c r="AM4681" s="85"/>
    </row>
    <row r="4682" spans="1:39" hidden="1" x14ac:dyDescent="0.3">
      <c r="A4682" s="89" t="s">
        <v>3395</v>
      </c>
      <c r="B4682" s="86" t="s">
        <v>35</v>
      </c>
      <c r="C4682" s="86" t="s">
        <v>36</v>
      </c>
      <c r="D4682" s="86" t="s">
        <v>37</v>
      </c>
      <c r="E4682" s="86" t="s">
        <v>57</v>
      </c>
      <c r="F4682" s="86" t="s">
        <v>3071</v>
      </c>
      <c r="G4682" s="86" t="s">
        <v>57</v>
      </c>
      <c r="H4682" s="143">
        <v>22</v>
      </c>
      <c r="I4682" s="86" t="s">
        <v>2935</v>
      </c>
      <c r="J4682" s="1" t="s">
        <v>3302</v>
      </c>
      <c r="K4682" s="1" t="s">
        <v>3371</v>
      </c>
      <c r="L4682" s="1" t="s">
        <v>35</v>
      </c>
      <c r="M4682" s="86" t="s">
        <v>3076</v>
      </c>
      <c r="N4682" s="86"/>
      <c r="O4682" s="47" t="s">
        <v>410</v>
      </c>
      <c r="P4682" s="47" t="s">
        <v>46</v>
      </c>
      <c r="Q4682" s="14">
        <v>0.02</v>
      </c>
      <c r="R4682" s="143">
        <v>33302</v>
      </c>
      <c r="S4682" s="47"/>
      <c r="T4682" s="6">
        <v>70076.809999999969</v>
      </c>
      <c r="U4682" s="6">
        <v>102000</v>
      </c>
      <c r="V4682" s="6">
        <v>0</v>
      </c>
      <c r="W4682" s="6">
        <f t="shared" si="714"/>
        <v>172076.80999999997</v>
      </c>
      <c r="X4682" s="6">
        <f t="shared" si="717"/>
        <v>0</v>
      </c>
      <c r="Y4682" s="13">
        <f t="shared" si="718"/>
        <v>0</v>
      </c>
      <c r="Z4682" s="14">
        <v>0</v>
      </c>
      <c r="AA4682" s="6">
        <v>0</v>
      </c>
      <c r="AB4682" s="4">
        <f t="shared" si="719"/>
        <v>0</v>
      </c>
      <c r="AC4682" s="4">
        <f t="shared" si="712"/>
        <v>0</v>
      </c>
      <c r="AD4682" s="6">
        <f t="shared" si="715"/>
        <v>0</v>
      </c>
      <c r="AE4682" s="2">
        <f>VLOOKUP(I4682,[1]媒体政策预估表!A:N,MATCH(O4682,[1]媒体政策预估表!$A$2:$M$2,0),0)</f>
        <v>0.09</v>
      </c>
      <c r="AF4682" s="6">
        <f t="shared" si="713"/>
        <v>0</v>
      </c>
      <c r="AG4682" s="14">
        <v>0</v>
      </c>
      <c r="AH4682" s="65">
        <f t="shared" si="716"/>
        <v>0</v>
      </c>
      <c r="AI4682" s="47"/>
      <c r="AJ4682" s="126" t="e">
        <v>#N/A</v>
      </c>
      <c r="AK4682" s="80">
        <f t="shared" si="720"/>
        <v>0</v>
      </c>
      <c r="AM4682" s="85"/>
    </row>
    <row r="4683" spans="1:39" hidden="1" x14ac:dyDescent="0.3">
      <c r="A4683" s="89" t="s">
        <v>3394</v>
      </c>
      <c r="B4683" s="86" t="s">
        <v>35</v>
      </c>
      <c r="C4683" s="86" t="s">
        <v>36</v>
      </c>
      <c r="D4683" s="86" t="s">
        <v>37</v>
      </c>
      <c r="E4683" s="86" t="s">
        <v>57</v>
      </c>
      <c r="F4683" s="86" t="s">
        <v>3071</v>
      </c>
      <c r="G4683" s="86" t="s">
        <v>57</v>
      </c>
      <c r="H4683" s="143">
        <v>22</v>
      </c>
      <c r="I4683" s="86" t="s">
        <v>2935</v>
      </c>
      <c r="J4683" s="1" t="s">
        <v>3302</v>
      </c>
      <c r="K4683" s="1" t="s">
        <v>3371</v>
      </c>
      <c r="L4683" s="1" t="s">
        <v>35</v>
      </c>
      <c r="M4683" s="86" t="s">
        <v>3072</v>
      </c>
      <c r="N4683" s="86"/>
      <c r="O4683" s="47" t="s">
        <v>410</v>
      </c>
      <c r="P4683" s="47" t="s">
        <v>46</v>
      </c>
      <c r="Q4683" s="14">
        <v>0.02</v>
      </c>
      <c r="R4683" s="143">
        <v>216592</v>
      </c>
      <c r="S4683" s="47"/>
      <c r="T4683" s="6">
        <v>232339.65</v>
      </c>
      <c r="U4683" s="6">
        <v>102000</v>
      </c>
      <c r="V4683" s="6">
        <v>0</v>
      </c>
      <c r="W4683" s="6">
        <f t="shared" si="714"/>
        <v>334339.65000000002</v>
      </c>
      <c r="X4683" s="6">
        <f t="shared" si="717"/>
        <v>0</v>
      </c>
      <c r="Y4683" s="13">
        <f t="shared" si="718"/>
        <v>0</v>
      </c>
      <c r="Z4683" s="14">
        <v>0</v>
      </c>
      <c r="AA4683" s="6">
        <v>0</v>
      </c>
      <c r="AB4683" s="4">
        <f t="shared" si="719"/>
        <v>0</v>
      </c>
      <c r="AC4683" s="4">
        <f t="shared" si="712"/>
        <v>0</v>
      </c>
      <c r="AD4683" s="6">
        <f t="shared" si="715"/>
        <v>0</v>
      </c>
      <c r="AE4683" s="2">
        <f>VLOOKUP(I4683,[1]媒体政策预估表!A:N,MATCH(O4683,[1]媒体政策预估表!$A$2:$M$2,0),0)</f>
        <v>0.09</v>
      </c>
      <c r="AF4683" s="6">
        <f t="shared" si="713"/>
        <v>0</v>
      </c>
      <c r="AG4683" s="14">
        <v>0</v>
      </c>
      <c r="AH4683" s="65">
        <f t="shared" si="716"/>
        <v>0</v>
      </c>
      <c r="AI4683" s="47"/>
      <c r="AJ4683" s="126" t="e">
        <v>#N/A</v>
      </c>
      <c r="AK4683" s="80">
        <f t="shared" si="720"/>
        <v>0</v>
      </c>
      <c r="AM4683" s="85"/>
    </row>
    <row r="4684" spans="1:39" hidden="1" x14ac:dyDescent="0.3">
      <c r="A4684" s="89" t="s">
        <v>3394</v>
      </c>
      <c r="B4684" s="86" t="s">
        <v>35</v>
      </c>
      <c r="C4684" s="86" t="s">
        <v>65</v>
      </c>
      <c r="D4684" s="86" t="s">
        <v>66</v>
      </c>
      <c r="E4684" s="86" t="s">
        <v>1907</v>
      </c>
      <c r="F4684" s="86" t="s">
        <v>1908</v>
      </c>
      <c r="G4684" s="86" t="s">
        <v>1907</v>
      </c>
      <c r="H4684" s="143">
        <v>22</v>
      </c>
      <c r="I4684" s="86" t="s">
        <v>2935</v>
      </c>
      <c r="J4684" s="1" t="s">
        <v>3302</v>
      </c>
      <c r="K4684" s="1" t="s">
        <v>3371</v>
      </c>
      <c r="L4684" s="1" t="s">
        <v>35</v>
      </c>
      <c r="M4684" s="86" t="s">
        <v>483</v>
      </c>
      <c r="N4684" s="86"/>
      <c r="O4684" s="47" t="s">
        <v>410</v>
      </c>
      <c r="P4684" s="47" t="s">
        <v>41</v>
      </c>
      <c r="Q4684" s="14">
        <v>0</v>
      </c>
      <c r="R4684" s="143">
        <v>41252</v>
      </c>
      <c r="S4684" s="47"/>
      <c r="T4684" s="6">
        <v>382278.83999999997</v>
      </c>
      <c r="U4684" s="6">
        <v>-75042.52</v>
      </c>
      <c r="V4684" s="6"/>
      <c r="W4684" s="6">
        <f t="shared" si="714"/>
        <v>307236.31999999995</v>
      </c>
      <c r="X4684" s="6">
        <f t="shared" si="717"/>
        <v>0</v>
      </c>
      <c r="Y4684" s="13">
        <f t="shared" si="718"/>
        <v>0</v>
      </c>
      <c r="Z4684" s="14">
        <v>0</v>
      </c>
      <c r="AA4684" s="6">
        <v>0</v>
      </c>
      <c r="AB4684" s="4">
        <f t="shared" si="719"/>
        <v>0</v>
      </c>
      <c r="AC4684" s="4">
        <f t="shared" ref="AC4684:AC4747" si="721">IF(P4684="返现",X4684*Q4684,V4684-X4684)</f>
        <v>0</v>
      </c>
      <c r="AD4684" s="6">
        <f t="shared" si="715"/>
        <v>0</v>
      </c>
      <c r="AE4684" s="2">
        <f>VLOOKUP(I4684,[1]媒体政策预估表!A:N,MATCH(O4684,[1]媒体政策预估表!$A$2:$M$2,0),0)</f>
        <v>0.09</v>
      </c>
      <c r="AF4684" s="6">
        <f t="shared" ref="AF4684:AF4747" si="722">AD4684*AE4684</f>
        <v>0</v>
      </c>
      <c r="AG4684" s="14">
        <v>0</v>
      </c>
      <c r="AH4684" s="65">
        <f t="shared" si="716"/>
        <v>0</v>
      </c>
      <c r="AI4684" s="47"/>
      <c r="AJ4684" s="126" t="e">
        <v>#N/A</v>
      </c>
      <c r="AK4684" s="80">
        <f t="shared" si="720"/>
        <v>0</v>
      </c>
      <c r="AM4684" s="85"/>
    </row>
    <row r="4685" spans="1:39" hidden="1" x14ac:dyDescent="0.3">
      <c r="A4685" s="89" t="s">
        <v>3394</v>
      </c>
      <c r="B4685" s="86" t="s">
        <v>35</v>
      </c>
      <c r="C4685" s="86" t="s">
        <v>65</v>
      </c>
      <c r="D4685" s="86" t="s">
        <v>66</v>
      </c>
      <c r="E4685" s="86" t="s">
        <v>469</v>
      </c>
      <c r="F4685" s="86" t="s">
        <v>469</v>
      </c>
      <c r="G4685" s="86" t="s">
        <v>469</v>
      </c>
      <c r="H4685" s="143">
        <v>22</v>
      </c>
      <c r="I4685" s="86" t="s">
        <v>2935</v>
      </c>
      <c r="J4685" s="1" t="s">
        <v>3302</v>
      </c>
      <c r="K4685" s="1" t="s">
        <v>3371</v>
      </c>
      <c r="L4685" s="1" t="s">
        <v>35</v>
      </c>
      <c r="M4685" s="86" t="s">
        <v>469</v>
      </c>
      <c r="N4685" s="86"/>
      <c r="O4685" s="47" t="s">
        <v>410</v>
      </c>
      <c r="P4685" s="47" t="s">
        <v>46</v>
      </c>
      <c r="Q4685" s="14">
        <v>0.03</v>
      </c>
      <c r="R4685" s="143">
        <v>102202</v>
      </c>
      <c r="S4685" s="47"/>
      <c r="T4685" s="6">
        <f>21734.55-426.17</f>
        <v>21308.38</v>
      </c>
      <c r="U4685" s="6">
        <v>-21308.38</v>
      </c>
      <c r="V4685" s="6">
        <v>0</v>
      </c>
      <c r="W4685" s="6">
        <f t="shared" si="714"/>
        <v>0</v>
      </c>
      <c r="X4685" s="6">
        <f t="shared" si="717"/>
        <v>0</v>
      </c>
      <c r="Y4685" s="13">
        <f t="shared" si="718"/>
        <v>0</v>
      </c>
      <c r="Z4685" s="14">
        <v>0</v>
      </c>
      <c r="AA4685" s="6">
        <v>0</v>
      </c>
      <c r="AB4685" s="4">
        <f t="shared" si="719"/>
        <v>0</v>
      </c>
      <c r="AC4685" s="4">
        <f t="shared" si="721"/>
        <v>0</v>
      </c>
      <c r="AD4685" s="6">
        <f t="shared" si="715"/>
        <v>0</v>
      </c>
      <c r="AE4685" s="2">
        <f>VLOOKUP(I4685,[1]媒体政策预估表!A:N,MATCH(O4685,[1]媒体政策预估表!$A$2:$M$2,0),0)</f>
        <v>0.09</v>
      </c>
      <c r="AF4685" s="6">
        <f t="shared" si="722"/>
        <v>0</v>
      </c>
      <c r="AG4685" s="14">
        <v>0</v>
      </c>
      <c r="AH4685" s="65">
        <f t="shared" si="716"/>
        <v>0</v>
      </c>
      <c r="AI4685" s="47"/>
      <c r="AJ4685" s="126" t="e">
        <v>#N/A</v>
      </c>
      <c r="AK4685" s="80">
        <f t="shared" si="720"/>
        <v>0</v>
      </c>
      <c r="AM4685" s="85"/>
    </row>
    <row r="4686" spans="1:39" hidden="1" x14ac:dyDescent="0.3">
      <c r="A4686" s="89" t="s">
        <v>3582</v>
      </c>
      <c r="B4686" s="86" t="s">
        <v>35</v>
      </c>
      <c r="C4686" s="86" t="s">
        <v>65</v>
      </c>
      <c r="D4686" s="86" t="s">
        <v>66</v>
      </c>
      <c r="E4686" s="86" t="s">
        <v>469</v>
      </c>
      <c r="F4686" s="86" t="s">
        <v>469</v>
      </c>
      <c r="G4686" s="86" t="s">
        <v>469</v>
      </c>
      <c r="H4686" s="144">
        <v>22</v>
      </c>
      <c r="I4686" s="86" t="s">
        <v>2935</v>
      </c>
      <c r="J4686" s="1" t="s">
        <v>3302</v>
      </c>
      <c r="K4686" s="1" t="s">
        <v>3371</v>
      </c>
      <c r="L4686" s="1" t="s">
        <v>35</v>
      </c>
      <c r="M4686" s="86" t="s">
        <v>469</v>
      </c>
      <c r="N4686" s="86"/>
      <c r="O4686" s="47" t="s">
        <v>410</v>
      </c>
      <c r="P4686" s="47" t="s">
        <v>41</v>
      </c>
      <c r="Q4686" s="14">
        <v>0</v>
      </c>
      <c r="R4686" s="143">
        <v>102202</v>
      </c>
      <c r="S4686" s="47"/>
      <c r="T4686" s="6">
        <f>-2998.06999999998+426.17</f>
        <v>-2571.8999999999801</v>
      </c>
      <c r="U4686" s="6">
        <v>271308.38</v>
      </c>
      <c r="V4686" s="6">
        <v>126669.81</v>
      </c>
      <c r="W4686" s="6">
        <f t="shared" si="714"/>
        <v>142066.67000000004</v>
      </c>
      <c r="X4686" s="6">
        <f t="shared" si="717"/>
        <v>126669.81</v>
      </c>
      <c r="Y4686" s="13">
        <f t="shared" si="718"/>
        <v>0</v>
      </c>
      <c r="Z4686" s="14">
        <v>0</v>
      </c>
      <c r="AA4686" s="6">
        <v>0</v>
      </c>
      <c r="AB4686" s="4">
        <f t="shared" si="719"/>
        <v>126669.81</v>
      </c>
      <c r="AC4686" s="4">
        <f t="shared" si="721"/>
        <v>0</v>
      </c>
      <c r="AD4686" s="6">
        <f t="shared" si="715"/>
        <v>126669.81</v>
      </c>
      <c r="AE4686" s="2">
        <f>VLOOKUP(I4686,[1]媒体政策预估表!A:N,MATCH(O4686,[1]媒体政策预估表!$A$2:$M$2,0),0)</f>
        <v>0.09</v>
      </c>
      <c r="AF4686" s="6">
        <f t="shared" si="722"/>
        <v>11400.2829</v>
      </c>
      <c r="AG4686" s="14">
        <v>0</v>
      </c>
      <c r="AH4686" s="65">
        <f t="shared" si="716"/>
        <v>126669.81</v>
      </c>
      <c r="AI4686" s="47"/>
      <c r="AJ4686" s="126" t="e">
        <v>#N/A</v>
      </c>
      <c r="AK4686" s="80">
        <f t="shared" si="720"/>
        <v>0</v>
      </c>
      <c r="AM4686" s="85"/>
    </row>
    <row r="4687" spans="1:39" hidden="1" x14ac:dyDescent="0.3">
      <c r="A4687" s="89" t="s">
        <v>3583</v>
      </c>
      <c r="B4687" s="86" t="s">
        <v>35</v>
      </c>
      <c r="C4687" s="86" t="s">
        <v>65</v>
      </c>
      <c r="D4687" s="86" t="s">
        <v>66</v>
      </c>
      <c r="E4687" s="86" t="s">
        <v>2386</v>
      </c>
      <c r="F4687" s="86" t="s">
        <v>2386</v>
      </c>
      <c r="G4687" s="86" t="s">
        <v>2386</v>
      </c>
      <c r="H4687" s="144">
        <v>22</v>
      </c>
      <c r="I4687" s="86" t="s">
        <v>2935</v>
      </c>
      <c r="J4687" s="1" t="s">
        <v>3302</v>
      </c>
      <c r="K4687" s="1" t="s">
        <v>3371</v>
      </c>
      <c r="L4687" s="1" t="s">
        <v>35</v>
      </c>
      <c r="M4687" s="86" t="s">
        <v>2387</v>
      </c>
      <c r="N4687" s="86"/>
      <c r="O4687" s="47" t="s">
        <v>410</v>
      </c>
      <c r="P4687" s="47" t="s">
        <v>41</v>
      </c>
      <c r="Q4687" s="14">
        <v>0</v>
      </c>
      <c r="R4687" s="143">
        <v>92622</v>
      </c>
      <c r="S4687" s="47"/>
      <c r="T4687" s="6">
        <v>43215.309999999881</v>
      </c>
      <c r="U4687" s="6">
        <v>200000</v>
      </c>
      <c r="V4687" s="6">
        <v>195945.5</v>
      </c>
      <c r="W4687" s="6">
        <f t="shared" si="714"/>
        <v>47269.809999999881</v>
      </c>
      <c r="X4687" s="6">
        <f t="shared" si="717"/>
        <v>195945.5</v>
      </c>
      <c r="Y4687" s="13">
        <f t="shared" si="718"/>
        <v>0</v>
      </c>
      <c r="Z4687" s="14">
        <v>0</v>
      </c>
      <c r="AA4687" s="6">
        <v>0</v>
      </c>
      <c r="AB4687" s="4">
        <f t="shared" si="719"/>
        <v>195945.5</v>
      </c>
      <c r="AC4687" s="4">
        <f t="shared" si="721"/>
        <v>0</v>
      </c>
      <c r="AD4687" s="6">
        <f t="shared" si="715"/>
        <v>195945.5</v>
      </c>
      <c r="AE4687" s="2">
        <f>VLOOKUP(I4687,[1]媒体政策预估表!A:N,MATCH(O4687,[1]媒体政策预估表!$A$2:$M$2,0),0)</f>
        <v>0.09</v>
      </c>
      <c r="AF4687" s="6">
        <f t="shared" si="722"/>
        <v>17635.095000000001</v>
      </c>
      <c r="AG4687" s="14">
        <v>0</v>
      </c>
      <c r="AH4687" s="65">
        <f t="shared" si="716"/>
        <v>195945.5</v>
      </c>
      <c r="AI4687" s="47"/>
      <c r="AJ4687" s="126" t="e">
        <v>#N/A</v>
      </c>
      <c r="AK4687" s="80">
        <f t="shared" si="720"/>
        <v>0</v>
      </c>
      <c r="AM4687" s="85"/>
    </row>
    <row r="4688" spans="1:39" hidden="1" x14ac:dyDescent="0.3">
      <c r="A4688" s="89" t="s">
        <v>3582</v>
      </c>
      <c r="B4688" s="86" t="s">
        <v>35</v>
      </c>
      <c r="C4688" s="86" t="s">
        <v>65</v>
      </c>
      <c r="D4688" s="86" t="s">
        <v>66</v>
      </c>
      <c r="E4688" s="86" t="s">
        <v>473</v>
      </c>
      <c r="F4688" s="86" t="s">
        <v>473</v>
      </c>
      <c r="G4688" s="86" t="s">
        <v>473</v>
      </c>
      <c r="H4688" s="144">
        <v>22</v>
      </c>
      <c r="I4688" s="86" t="s">
        <v>2935</v>
      </c>
      <c r="J4688" s="1" t="s">
        <v>3302</v>
      </c>
      <c r="K4688" s="1" t="s">
        <v>3371</v>
      </c>
      <c r="L4688" s="1" t="s">
        <v>35</v>
      </c>
      <c r="M4688" s="86" t="s">
        <v>483</v>
      </c>
      <c r="N4688" s="86"/>
      <c r="O4688" s="47" t="s">
        <v>410</v>
      </c>
      <c r="P4688" s="47" t="s">
        <v>41</v>
      </c>
      <c r="Q4688" s="14">
        <v>0</v>
      </c>
      <c r="R4688" s="143">
        <v>41252</v>
      </c>
      <c r="S4688" s="47"/>
      <c r="T4688" s="6">
        <v>-71443.820000000007</v>
      </c>
      <c r="U4688" s="6">
        <v>175042.52000000002</v>
      </c>
      <c r="V4688" s="6">
        <f>103598.7-9390.52000000001</f>
        <v>94208.18</v>
      </c>
      <c r="W4688" s="6">
        <f t="shared" si="714"/>
        <v>9390.5200000000186</v>
      </c>
      <c r="X4688" s="6">
        <f t="shared" si="717"/>
        <v>94208.18</v>
      </c>
      <c r="Y4688" s="13">
        <f t="shared" si="718"/>
        <v>0</v>
      </c>
      <c r="Z4688" s="14">
        <v>0</v>
      </c>
      <c r="AA4688" s="6">
        <v>0</v>
      </c>
      <c r="AB4688" s="4">
        <f t="shared" si="719"/>
        <v>94208.18</v>
      </c>
      <c r="AC4688" s="4">
        <f t="shared" si="721"/>
        <v>0</v>
      </c>
      <c r="AD4688" s="6">
        <f t="shared" si="715"/>
        <v>94208.18</v>
      </c>
      <c r="AE4688" s="2">
        <f>VLOOKUP(I4688,[1]媒体政策预估表!A:N,MATCH(O4688,[1]媒体政策预估表!$A$2:$M$2,0),0)</f>
        <v>0.09</v>
      </c>
      <c r="AF4688" s="6">
        <f t="shared" si="722"/>
        <v>8478.7361999999994</v>
      </c>
      <c r="AG4688" s="14">
        <v>0</v>
      </c>
      <c r="AH4688" s="65">
        <f t="shared" si="716"/>
        <v>94208.18</v>
      </c>
      <c r="AI4688" s="47"/>
      <c r="AJ4688" s="126" t="e">
        <v>#N/A</v>
      </c>
      <c r="AK4688" s="80">
        <f t="shared" si="720"/>
        <v>0</v>
      </c>
      <c r="AM4688" s="85"/>
    </row>
    <row r="4689" spans="1:39" hidden="1" x14ac:dyDescent="0.3">
      <c r="A4689" s="89" t="s">
        <v>3582</v>
      </c>
      <c r="B4689" s="86" t="s">
        <v>35</v>
      </c>
      <c r="C4689" s="86" t="s">
        <v>65</v>
      </c>
      <c r="D4689" s="86" t="s">
        <v>66</v>
      </c>
      <c r="E4689" s="86" t="s">
        <v>2354</v>
      </c>
      <c r="F4689" s="86" t="s">
        <v>2354</v>
      </c>
      <c r="G4689" s="86" t="s">
        <v>2354</v>
      </c>
      <c r="H4689" s="144">
        <v>22</v>
      </c>
      <c r="I4689" s="86" t="s">
        <v>2935</v>
      </c>
      <c r="J4689" s="1" t="s">
        <v>3302</v>
      </c>
      <c r="K4689" s="1" t="s">
        <v>3371</v>
      </c>
      <c r="L4689" s="1" t="s">
        <v>35</v>
      </c>
      <c r="M4689" s="86" t="s">
        <v>2354</v>
      </c>
      <c r="N4689" s="86"/>
      <c r="O4689" s="47" t="s">
        <v>45</v>
      </c>
      <c r="P4689" s="47" t="s">
        <v>46</v>
      </c>
      <c r="Q4689" s="14">
        <v>0.05</v>
      </c>
      <c r="R4689" s="143">
        <v>10872</v>
      </c>
      <c r="S4689" s="47"/>
      <c r="T4689" s="6">
        <v>0</v>
      </c>
      <c r="U4689" s="6">
        <v>1684.22</v>
      </c>
      <c r="V4689" s="6">
        <v>1684.22</v>
      </c>
      <c r="W4689" s="6">
        <f t="shared" si="714"/>
        <v>0</v>
      </c>
      <c r="X4689" s="6">
        <f t="shared" si="717"/>
        <v>1604.0190476190476</v>
      </c>
      <c r="Y4689" s="13">
        <f t="shared" si="718"/>
        <v>0</v>
      </c>
      <c r="Z4689" s="14">
        <v>0</v>
      </c>
      <c r="AA4689" s="6">
        <v>0</v>
      </c>
      <c r="AB4689" s="4">
        <f t="shared" si="719"/>
        <v>1604.0190476190476</v>
      </c>
      <c r="AC4689" s="4">
        <f t="shared" si="721"/>
        <v>80.200952380952458</v>
      </c>
      <c r="AD4689" s="6">
        <f t="shared" si="715"/>
        <v>1684.22</v>
      </c>
      <c r="AE4689" s="2">
        <f>VLOOKUP(I4689,[1]媒体政策预估表!A:N,MATCH(O4689,[1]媒体政策预估表!$A$2:$M$2,0),0)</f>
        <v>0.18</v>
      </c>
      <c r="AF4689" s="6">
        <f t="shared" si="722"/>
        <v>303.15960000000001</v>
      </c>
      <c r="AG4689" s="14">
        <v>0</v>
      </c>
      <c r="AH4689" s="65">
        <f t="shared" si="716"/>
        <v>1684.22</v>
      </c>
      <c r="AI4689" s="47"/>
      <c r="AJ4689" s="126" t="e">
        <v>#N/A</v>
      </c>
      <c r="AK4689" s="80">
        <f t="shared" si="720"/>
        <v>0</v>
      </c>
      <c r="AM4689" s="85"/>
    </row>
    <row r="4690" spans="1:39" hidden="1" x14ac:dyDescent="0.3">
      <c r="A4690" s="89" t="s">
        <v>3582</v>
      </c>
      <c r="B4690" s="86" t="s">
        <v>35</v>
      </c>
      <c r="C4690" s="86" t="s">
        <v>65</v>
      </c>
      <c r="D4690" s="86" t="s">
        <v>66</v>
      </c>
      <c r="E4690" s="86" t="s">
        <v>2354</v>
      </c>
      <c r="F4690" s="86" t="s">
        <v>2354</v>
      </c>
      <c r="G4690" s="86" t="s">
        <v>2354</v>
      </c>
      <c r="H4690" s="144">
        <v>22</v>
      </c>
      <c r="I4690" s="86" t="s">
        <v>2935</v>
      </c>
      <c r="J4690" s="1" t="s">
        <v>3302</v>
      </c>
      <c r="K4690" s="1" t="s">
        <v>3371</v>
      </c>
      <c r="L4690" s="1" t="s">
        <v>35</v>
      </c>
      <c r="M4690" s="86" t="s">
        <v>2354</v>
      </c>
      <c r="N4690" s="86"/>
      <c r="O4690" s="47" t="s">
        <v>410</v>
      </c>
      <c r="P4690" s="47" t="s">
        <v>46</v>
      </c>
      <c r="Q4690" s="14">
        <v>0.02</v>
      </c>
      <c r="R4690" s="143">
        <v>10872</v>
      </c>
      <c r="S4690" s="47"/>
      <c r="T4690" s="6">
        <v>1056212.9899999998</v>
      </c>
      <c r="U4690" s="6">
        <v>2450000</v>
      </c>
      <c r="V4690" s="6">
        <v>1374890.47</v>
      </c>
      <c r="W4690" s="6">
        <f t="shared" si="714"/>
        <v>2131322.5199999996</v>
      </c>
      <c r="X4690" s="6">
        <f t="shared" si="717"/>
        <v>1347931.8333333333</v>
      </c>
      <c r="Y4690" s="13">
        <f t="shared" si="718"/>
        <v>0</v>
      </c>
      <c r="Z4690" s="14">
        <v>0</v>
      </c>
      <c r="AA4690" s="6">
        <v>0</v>
      </c>
      <c r="AB4690" s="4">
        <f t="shared" si="719"/>
        <v>1347931.8333333333</v>
      </c>
      <c r="AC4690" s="4">
        <f t="shared" si="721"/>
        <v>26958.636666666716</v>
      </c>
      <c r="AD4690" s="6">
        <f t="shared" si="715"/>
        <v>1374890.47</v>
      </c>
      <c r="AE4690" s="2">
        <f>VLOOKUP(I4690,[1]媒体政策预估表!A:N,MATCH(O4690,[1]媒体政策预估表!$A$2:$M$2,0),0)</f>
        <v>0.09</v>
      </c>
      <c r="AF4690" s="6">
        <f t="shared" si="722"/>
        <v>123740.14229999999</v>
      </c>
      <c r="AG4690" s="14">
        <v>0</v>
      </c>
      <c r="AH4690" s="65">
        <f t="shared" si="716"/>
        <v>1374890.47</v>
      </c>
      <c r="AI4690" s="47"/>
      <c r="AJ4690" s="126" t="e">
        <v>#N/A</v>
      </c>
      <c r="AK4690" s="80">
        <f t="shared" si="720"/>
        <v>0</v>
      </c>
      <c r="AM4690" s="85"/>
    </row>
    <row r="4691" spans="1:39" hidden="1" x14ac:dyDescent="0.3">
      <c r="A4691" s="89" t="s">
        <v>3582</v>
      </c>
      <c r="B4691" s="86" t="s">
        <v>35</v>
      </c>
      <c r="C4691" s="86" t="s">
        <v>65</v>
      </c>
      <c r="D4691" s="86" t="s">
        <v>66</v>
      </c>
      <c r="E4691" s="86" t="s">
        <v>487</v>
      </c>
      <c r="F4691" s="86" t="s">
        <v>487</v>
      </c>
      <c r="G4691" s="86" t="s">
        <v>487</v>
      </c>
      <c r="H4691" s="144">
        <v>22</v>
      </c>
      <c r="I4691" s="86" t="s">
        <v>2935</v>
      </c>
      <c r="J4691" s="1" t="s">
        <v>3302</v>
      </c>
      <c r="K4691" s="1" t="s">
        <v>3371</v>
      </c>
      <c r="L4691" s="1" t="s">
        <v>35</v>
      </c>
      <c r="M4691" s="86" t="s">
        <v>3584</v>
      </c>
      <c r="N4691" s="86"/>
      <c r="O4691" s="47" t="s">
        <v>410</v>
      </c>
      <c r="P4691" s="47" t="s">
        <v>41</v>
      </c>
      <c r="Q4691" s="14">
        <v>0</v>
      </c>
      <c r="R4691" s="143">
        <v>176062</v>
      </c>
      <c r="S4691" s="47"/>
      <c r="T4691" s="6">
        <v>0</v>
      </c>
      <c r="U4691" s="6">
        <v>50000</v>
      </c>
      <c r="V4691" s="6">
        <v>26476.48</v>
      </c>
      <c r="W4691" s="6">
        <f t="shared" si="714"/>
        <v>23523.52</v>
      </c>
      <c r="X4691" s="6">
        <f t="shared" si="717"/>
        <v>26476.48</v>
      </c>
      <c r="Y4691" s="13">
        <f t="shared" si="718"/>
        <v>0</v>
      </c>
      <c r="Z4691" s="14">
        <v>0</v>
      </c>
      <c r="AA4691" s="6">
        <v>0</v>
      </c>
      <c r="AB4691" s="4">
        <f t="shared" si="719"/>
        <v>26476.48</v>
      </c>
      <c r="AC4691" s="4">
        <f t="shared" si="721"/>
        <v>0</v>
      </c>
      <c r="AD4691" s="6">
        <f t="shared" si="715"/>
        <v>26476.48</v>
      </c>
      <c r="AE4691" s="2">
        <f>VLOOKUP(I4691,[1]媒体政策预估表!A:N,MATCH(O4691,[1]媒体政策预估表!$A$2:$M$2,0),0)</f>
        <v>0.09</v>
      </c>
      <c r="AF4691" s="6">
        <f t="shared" si="722"/>
        <v>2382.8831999999998</v>
      </c>
      <c r="AG4691" s="14">
        <v>0</v>
      </c>
      <c r="AH4691" s="65">
        <f t="shared" si="716"/>
        <v>26476.48</v>
      </c>
      <c r="AI4691" s="47"/>
      <c r="AJ4691" s="126" t="e">
        <v>#N/A</v>
      </c>
      <c r="AK4691" s="80">
        <f t="shared" si="720"/>
        <v>0</v>
      </c>
      <c r="AM4691" s="85"/>
    </row>
    <row r="4692" spans="1:39" hidden="1" x14ac:dyDescent="0.3">
      <c r="A4692" s="89" t="s">
        <v>3582</v>
      </c>
      <c r="B4692" s="86" t="s">
        <v>35</v>
      </c>
      <c r="C4692" s="86" t="s">
        <v>65</v>
      </c>
      <c r="D4692" s="86" t="s">
        <v>66</v>
      </c>
      <c r="E4692" s="86" t="s">
        <v>3146</v>
      </c>
      <c r="F4692" s="86" t="s">
        <v>3585</v>
      </c>
      <c r="G4692" s="86" t="s">
        <v>3146</v>
      </c>
      <c r="H4692" s="144">
        <v>22</v>
      </c>
      <c r="I4692" s="86" t="s">
        <v>2935</v>
      </c>
      <c r="J4692" s="1" t="s">
        <v>3302</v>
      </c>
      <c r="K4692" s="1" t="s">
        <v>3371</v>
      </c>
      <c r="L4692" s="1" t="s">
        <v>35</v>
      </c>
      <c r="M4692" s="86" t="s">
        <v>3044</v>
      </c>
      <c r="N4692" s="86"/>
      <c r="O4692" s="47" t="s">
        <v>410</v>
      </c>
      <c r="P4692" s="47" t="s">
        <v>41</v>
      </c>
      <c r="Q4692" s="14">
        <v>0</v>
      </c>
      <c r="R4692" s="143">
        <v>18122</v>
      </c>
      <c r="S4692" s="47"/>
      <c r="T4692" s="6">
        <v>0</v>
      </c>
      <c r="U4692" s="6">
        <v>400000</v>
      </c>
      <c r="V4692" s="6">
        <v>130612.64000000001</v>
      </c>
      <c r="W4692" s="6">
        <f t="shared" si="714"/>
        <v>269387.36</v>
      </c>
      <c r="X4692" s="6">
        <f t="shared" si="717"/>
        <v>130612.64000000001</v>
      </c>
      <c r="Y4692" s="13">
        <f t="shared" si="718"/>
        <v>0</v>
      </c>
      <c r="Z4692" s="14">
        <v>0</v>
      </c>
      <c r="AA4692" s="6">
        <v>0</v>
      </c>
      <c r="AB4692" s="4">
        <f t="shared" si="719"/>
        <v>130612.64000000001</v>
      </c>
      <c r="AC4692" s="4">
        <f t="shared" si="721"/>
        <v>0</v>
      </c>
      <c r="AD4692" s="6">
        <f t="shared" si="715"/>
        <v>130612.64000000001</v>
      </c>
      <c r="AE4692" s="2">
        <f>VLOOKUP(I4692,[1]媒体政策预估表!A:N,MATCH(O4692,[1]媒体政策预估表!$A$2:$M$2,0),0)</f>
        <v>0.09</v>
      </c>
      <c r="AF4692" s="6">
        <f t="shared" si="722"/>
        <v>11755.1376</v>
      </c>
      <c r="AG4692" s="14">
        <v>0</v>
      </c>
      <c r="AH4692" s="65">
        <f t="shared" si="716"/>
        <v>130612.64000000001</v>
      </c>
      <c r="AI4692" s="47"/>
      <c r="AJ4692" s="126" t="e">
        <v>#N/A</v>
      </c>
      <c r="AK4692" s="80">
        <f t="shared" si="720"/>
        <v>0</v>
      </c>
      <c r="AM4692" s="85"/>
    </row>
    <row r="4693" spans="1:39" hidden="1" x14ac:dyDescent="0.3">
      <c r="A4693" s="89" t="s">
        <v>3582</v>
      </c>
      <c r="B4693" s="86" t="s">
        <v>35</v>
      </c>
      <c r="C4693" s="86" t="s">
        <v>65</v>
      </c>
      <c r="D4693" s="86" t="s">
        <v>66</v>
      </c>
      <c r="E4693" s="86" t="s">
        <v>494</v>
      </c>
      <c r="F4693" s="86" t="s">
        <v>494</v>
      </c>
      <c r="G4693" s="86" t="s">
        <v>494</v>
      </c>
      <c r="H4693" s="144">
        <v>22</v>
      </c>
      <c r="I4693" s="86" t="s">
        <v>2935</v>
      </c>
      <c r="J4693" s="1" t="s">
        <v>3302</v>
      </c>
      <c r="K4693" s="1" t="s">
        <v>3371</v>
      </c>
      <c r="L4693" s="1" t="s">
        <v>35</v>
      </c>
      <c r="M4693" s="86" t="s">
        <v>495</v>
      </c>
      <c r="N4693" s="86"/>
      <c r="O4693" s="47" t="s">
        <v>410</v>
      </c>
      <c r="P4693" s="47" t="s">
        <v>41</v>
      </c>
      <c r="Q4693" s="14">
        <v>0</v>
      </c>
      <c r="R4693" s="143">
        <v>16172</v>
      </c>
      <c r="S4693" s="47"/>
      <c r="T4693" s="6">
        <v>4433485.5699999984</v>
      </c>
      <c r="U4693" s="6">
        <v>800000</v>
      </c>
      <c r="V4693" s="6">
        <v>781283.16</v>
      </c>
      <c r="W4693" s="6">
        <f t="shared" si="714"/>
        <v>4452202.4099999983</v>
      </c>
      <c r="X4693" s="6">
        <f t="shared" si="717"/>
        <v>781283.16</v>
      </c>
      <c r="Y4693" s="13">
        <f t="shared" si="718"/>
        <v>0</v>
      </c>
      <c r="Z4693" s="14">
        <v>0</v>
      </c>
      <c r="AA4693" s="6">
        <v>0</v>
      </c>
      <c r="AB4693" s="4">
        <f t="shared" si="719"/>
        <v>781283.16</v>
      </c>
      <c r="AC4693" s="4">
        <f t="shared" si="721"/>
        <v>0</v>
      </c>
      <c r="AD4693" s="6">
        <f t="shared" si="715"/>
        <v>781283.16</v>
      </c>
      <c r="AE4693" s="2">
        <f>VLOOKUP(I4693,[1]媒体政策预估表!A:N,MATCH(O4693,[1]媒体政策预估表!$A$2:$M$2,0),0)</f>
        <v>0.09</v>
      </c>
      <c r="AF4693" s="6">
        <f t="shared" si="722"/>
        <v>70315.484400000001</v>
      </c>
      <c r="AG4693" s="14">
        <v>0</v>
      </c>
      <c r="AH4693" s="65">
        <f t="shared" si="716"/>
        <v>781283.16</v>
      </c>
      <c r="AI4693" s="47"/>
      <c r="AJ4693" s="126" t="e">
        <v>#N/A</v>
      </c>
      <c r="AK4693" s="80">
        <f t="shared" si="720"/>
        <v>0</v>
      </c>
      <c r="AM4693" s="85"/>
    </row>
    <row r="4694" spans="1:39" hidden="1" x14ac:dyDescent="0.3">
      <c r="A4694" s="89" t="s">
        <v>3583</v>
      </c>
      <c r="B4694" s="86" t="s">
        <v>35</v>
      </c>
      <c r="C4694" s="86" t="s">
        <v>65</v>
      </c>
      <c r="D4694" s="86" t="s">
        <v>66</v>
      </c>
      <c r="E4694" s="86" t="s">
        <v>501</v>
      </c>
      <c r="F4694" s="86" t="s">
        <v>501</v>
      </c>
      <c r="G4694" s="86" t="s">
        <v>501</v>
      </c>
      <c r="H4694" s="143">
        <v>22</v>
      </c>
      <c r="I4694" s="86" t="s">
        <v>2935</v>
      </c>
      <c r="J4694" s="1" t="s">
        <v>3302</v>
      </c>
      <c r="K4694" s="1" t="s">
        <v>3371</v>
      </c>
      <c r="L4694" s="1" t="s">
        <v>35</v>
      </c>
      <c r="M4694" s="86" t="s">
        <v>501</v>
      </c>
      <c r="N4694" s="86"/>
      <c r="O4694" s="47" t="s">
        <v>410</v>
      </c>
      <c r="P4694" s="47" t="s">
        <v>46</v>
      </c>
      <c r="Q4694" s="14">
        <v>0.03</v>
      </c>
      <c r="R4694" s="143">
        <v>26112</v>
      </c>
      <c r="S4694" s="47"/>
      <c r="T4694" s="6">
        <v>54626.989999999991</v>
      </c>
      <c r="U4694" s="6">
        <v>-54627.02</v>
      </c>
      <c r="V4694" s="6">
        <v>0</v>
      </c>
      <c r="W4694" s="6">
        <v>0</v>
      </c>
      <c r="X4694" s="6">
        <f t="shared" si="717"/>
        <v>0</v>
      </c>
      <c r="Y4694" s="13">
        <f t="shared" si="718"/>
        <v>0</v>
      </c>
      <c r="Z4694" s="14">
        <v>0</v>
      </c>
      <c r="AA4694" s="6">
        <v>0</v>
      </c>
      <c r="AB4694" s="4">
        <f t="shared" si="719"/>
        <v>0</v>
      </c>
      <c r="AC4694" s="4">
        <f t="shared" si="721"/>
        <v>0</v>
      </c>
      <c r="AD4694" s="6">
        <f t="shared" si="715"/>
        <v>0</v>
      </c>
      <c r="AE4694" s="2">
        <f>VLOOKUP(I4694,[1]媒体政策预估表!A:N,MATCH(O4694,[1]媒体政策预估表!$A$2:$M$2,0),0)</f>
        <v>0.09</v>
      </c>
      <c r="AF4694" s="6">
        <f t="shared" si="722"/>
        <v>0</v>
      </c>
      <c r="AG4694" s="14">
        <v>0</v>
      </c>
      <c r="AH4694" s="65">
        <f t="shared" si="716"/>
        <v>0</v>
      </c>
      <c r="AI4694" s="47"/>
      <c r="AJ4694" s="126" t="e">
        <v>#N/A</v>
      </c>
      <c r="AK4694" s="80">
        <f t="shared" si="720"/>
        <v>0</v>
      </c>
      <c r="AM4694" s="85"/>
    </row>
    <row r="4695" spans="1:39" hidden="1" x14ac:dyDescent="0.3">
      <c r="A4695" s="89" t="s">
        <v>3397</v>
      </c>
      <c r="B4695" s="86" t="s">
        <v>35</v>
      </c>
      <c r="C4695" s="86" t="s">
        <v>65</v>
      </c>
      <c r="D4695" s="86" t="s">
        <v>66</v>
      </c>
      <c r="E4695" s="86" t="s">
        <v>501</v>
      </c>
      <c r="F4695" s="86" t="s">
        <v>501</v>
      </c>
      <c r="G4695" s="86" t="s">
        <v>501</v>
      </c>
      <c r="H4695" s="144">
        <v>22</v>
      </c>
      <c r="I4695" s="86" t="s">
        <v>2935</v>
      </c>
      <c r="J4695" s="1" t="s">
        <v>3302</v>
      </c>
      <c r="K4695" s="1" t="s">
        <v>3371</v>
      </c>
      <c r="L4695" s="1" t="s">
        <v>35</v>
      </c>
      <c r="M4695" s="86" t="s">
        <v>501</v>
      </c>
      <c r="N4695" s="86"/>
      <c r="O4695" s="47" t="s">
        <v>410</v>
      </c>
      <c r="P4695" s="47" t="s">
        <v>41</v>
      </c>
      <c r="Q4695" s="14">
        <v>0</v>
      </c>
      <c r="R4695" s="143">
        <v>26112</v>
      </c>
      <c r="S4695" s="47"/>
      <c r="T4695" s="6">
        <v>52843.719999999856</v>
      </c>
      <c r="U4695" s="6">
        <v>503035.94</v>
      </c>
      <c r="V4695" s="6">
        <v>359213.43</v>
      </c>
      <c r="W4695" s="6">
        <f t="shared" si="714"/>
        <v>196666.22999999992</v>
      </c>
      <c r="X4695" s="6">
        <f t="shared" si="717"/>
        <v>359213.43</v>
      </c>
      <c r="Y4695" s="13">
        <f t="shared" si="718"/>
        <v>0</v>
      </c>
      <c r="Z4695" s="14">
        <v>0</v>
      </c>
      <c r="AA4695" s="6">
        <v>0</v>
      </c>
      <c r="AB4695" s="4">
        <f t="shared" si="719"/>
        <v>359213.43</v>
      </c>
      <c r="AC4695" s="4">
        <f t="shared" si="721"/>
        <v>0</v>
      </c>
      <c r="AD4695" s="6">
        <f t="shared" si="715"/>
        <v>359213.43</v>
      </c>
      <c r="AE4695" s="2">
        <f>VLOOKUP(I4695,[1]媒体政策预估表!A:N,MATCH(O4695,[1]媒体政策预估表!$A$2:$M$2,0),0)</f>
        <v>0.09</v>
      </c>
      <c r="AF4695" s="6">
        <f t="shared" si="722"/>
        <v>32329.208699999999</v>
      </c>
      <c r="AG4695" s="14">
        <v>0</v>
      </c>
      <c r="AH4695" s="65">
        <f t="shared" si="716"/>
        <v>359213.43</v>
      </c>
      <c r="AI4695" s="47"/>
      <c r="AJ4695" s="126" t="e">
        <v>#N/A</v>
      </c>
      <c r="AK4695" s="80">
        <f t="shared" si="720"/>
        <v>0</v>
      </c>
      <c r="AM4695" s="85"/>
    </row>
    <row r="4696" spans="1:39" hidden="1" x14ac:dyDescent="0.3">
      <c r="A4696" s="89" t="s">
        <v>3582</v>
      </c>
      <c r="B4696" s="86" t="s">
        <v>35</v>
      </c>
      <c r="C4696" s="86" t="s">
        <v>65</v>
      </c>
      <c r="D4696" s="86" t="s">
        <v>66</v>
      </c>
      <c r="E4696" s="86" t="s">
        <v>2678</v>
      </c>
      <c r="F4696" s="86" t="s">
        <v>2679</v>
      </c>
      <c r="G4696" s="86" t="s">
        <v>2678</v>
      </c>
      <c r="H4696" s="144">
        <v>22</v>
      </c>
      <c r="I4696" s="86" t="s">
        <v>2935</v>
      </c>
      <c r="J4696" s="1" t="s">
        <v>3302</v>
      </c>
      <c r="K4696" s="1" t="s">
        <v>3371</v>
      </c>
      <c r="L4696" s="1" t="s">
        <v>35</v>
      </c>
      <c r="M4696" s="86" t="s">
        <v>2678</v>
      </c>
      <c r="N4696" s="86"/>
      <c r="O4696" s="47" t="s">
        <v>45</v>
      </c>
      <c r="P4696" s="47" t="s">
        <v>46</v>
      </c>
      <c r="Q4696" s="14">
        <v>0.06</v>
      </c>
      <c r="R4696" s="143">
        <v>72222</v>
      </c>
      <c r="S4696" s="47"/>
      <c r="T4696" s="6">
        <v>-963112.82000000007</v>
      </c>
      <c r="U4696" s="6">
        <v>127745.08</v>
      </c>
      <c r="V4696" s="6">
        <v>1200684.98</v>
      </c>
      <c r="W4696" s="6">
        <f t="shared" si="714"/>
        <v>-2036052.7200000002</v>
      </c>
      <c r="X4696" s="6">
        <f t="shared" si="717"/>
        <v>1132721.6792452829</v>
      </c>
      <c r="Y4696" s="13">
        <f t="shared" si="718"/>
        <v>0</v>
      </c>
      <c r="Z4696" s="14">
        <v>0</v>
      </c>
      <c r="AA4696" s="6">
        <v>0</v>
      </c>
      <c r="AB4696" s="4">
        <f t="shared" si="719"/>
        <v>1132721.6792452829</v>
      </c>
      <c r="AC4696" s="4">
        <f t="shared" si="721"/>
        <v>67963.300754717086</v>
      </c>
      <c r="AD4696" s="6">
        <f t="shared" si="715"/>
        <v>1200684.98</v>
      </c>
      <c r="AE4696" s="2">
        <f>VLOOKUP(I4696,[1]媒体政策预估表!A:N,MATCH(O4696,[1]媒体政策预估表!$A$2:$M$2,0),0)</f>
        <v>0.18</v>
      </c>
      <c r="AF4696" s="6">
        <f t="shared" si="722"/>
        <v>216123.29639999999</v>
      </c>
      <c r="AG4696" s="14">
        <v>0</v>
      </c>
      <c r="AH4696" s="65">
        <f t="shared" si="716"/>
        <v>1200684.98</v>
      </c>
      <c r="AI4696" s="47"/>
      <c r="AJ4696" s="126" t="e">
        <v>#N/A</v>
      </c>
      <c r="AK4696" s="80">
        <f t="shared" si="720"/>
        <v>0</v>
      </c>
      <c r="AM4696" s="85"/>
    </row>
    <row r="4697" spans="1:39" hidden="1" x14ac:dyDescent="0.3">
      <c r="A4697" s="89" t="s">
        <v>3582</v>
      </c>
      <c r="B4697" s="86" t="s">
        <v>35</v>
      </c>
      <c r="C4697" s="86" t="s">
        <v>65</v>
      </c>
      <c r="D4697" s="86" t="s">
        <v>66</v>
      </c>
      <c r="E4697" s="86" t="s">
        <v>2678</v>
      </c>
      <c r="F4697" s="86" t="s">
        <v>2679</v>
      </c>
      <c r="G4697" s="86" t="s">
        <v>2678</v>
      </c>
      <c r="H4697" s="144">
        <v>22</v>
      </c>
      <c r="I4697" s="86" t="s">
        <v>2935</v>
      </c>
      <c r="J4697" s="1" t="s">
        <v>3302</v>
      </c>
      <c r="K4697" s="1" t="s">
        <v>3371</v>
      </c>
      <c r="L4697" s="1" t="s">
        <v>35</v>
      </c>
      <c r="M4697" s="86" t="s">
        <v>2678</v>
      </c>
      <c r="N4697" s="86"/>
      <c r="O4697" s="47" t="s">
        <v>410</v>
      </c>
      <c r="P4697" s="47" t="s">
        <v>46</v>
      </c>
      <c r="Q4697" s="14">
        <v>0.04</v>
      </c>
      <c r="R4697" s="143">
        <v>72222</v>
      </c>
      <c r="S4697" s="47"/>
      <c r="T4697" s="6">
        <v>900000</v>
      </c>
      <c r="U4697" s="6">
        <v>1300000</v>
      </c>
      <c r="V4697" s="6">
        <v>100122.39999999909</v>
      </c>
      <c r="W4697" s="6">
        <f t="shared" si="714"/>
        <v>2099877.600000001</v>
      </c>
      <c r="X4697" s="6">
        <f t="shared" si="717"/>
        <v>96271.538461537581</v>
      </c>
      <c r="Y4697" s="13">
        <f t="shared" si="718"/>
        <v>0</v>
      </c>
      <c r="Z4697" s="14">
        <v>0</v>
      </c>
      <c r="AA4697" s="6">
        <v>0</v>
      </c>
      <c r="AB4697" s="4">
        <f t="shared" si="719"/>
        <v>96271.538461537581</v>
      </c>
      <c r="AC4697" s="4">
        <f t="shared" si="721"/>
        <v>3850.8615384615114</v>
      </c>
      <c r="AD4697" s="6">
        <f t="shared" si="715"/>
        <v>100122.39999999909</v>
      </c>
      <c r="AE4697" s="2">
        <f>VLOOKUP(I4697,[1]媒体政策预估表!A:N,MATCH(O4697,[1]媒体政策预估表!$A$2:$M$2,0),0)</f>
        <v>0.09</v>
      </c>
      <c r="AF4697" s="6">
        <f t="shared" si="722"/>
        <v>9011.0159999999178</v>
      </c>
      <c r="AG4697" s="14">
        <v>0</v>
      </c>
      <c r="AH4697" s="65">
        <f t="shared" si="716"/>
        <v>100122.39999999909</v>
      </c>
      <c r="AI4697" s="47"/>
      <c r="AJ4697" s="126" t="e">
        <v>#N/A</v>
      </c>
      <c r="AK4697" s="80">
        <f t="shared" si="720"/>
        <v>0</v>
      </c>
      <c r="AM4697" s="85"/>
    </row>
    <row r="4698" spans="1:39" hidden="1" x14ac:dyDescent="0.3">
      <c r="A4698" s="89" t="s">
        <v>3582</v>
      </c>
      <c r="B4698" s="86" t="s">
        <v>35</v>
      </c>
      <c r="C4698" s="86" t="s">
        <v>65</v>
      </c>
      <c r="D4698" s="86" t="s">
        <v>66</v>
      </c>
      <c r="E4698" s="86" t="s">
        <v>2678</v>
      </c>
      <c r="F4698" s="86" t="s">
        <v>2679</v>
      </c>
      <c r="G4698" s="86" t="s">
        <v>2678</v>
      </c>
      <c r="H4698" s="143">
        <v>22</v>
      </c>
      <c r="I4698" s="86" t="s">
        <v>2935</v>
      </c>
      <c r="J4698" s="1" t="s">
        <v>3302</v>
      </c>
      <c r="K4698" s="1" t="s">
        <v>3371</v>
      </c>
      <c r="L4698" s="1" t="s">
        <v>35</v>
      </c>
      <c r="M4698" s="86" t="s">
        <v>2966</v>
      </c>
      <c r="N4698" s="86"/>
      <c r="O4698" s="47" t="s">
        <v>45</v>
      </c>
      <c r="P4698" s="47" t="s">
        <v>46</v>
      </c>
      <c r="Q4698" s="14">
        <v>0.06</v>
      </c>
      <c r="R4698" s="143">
        <v>242112</v>
      </c>
      <c r="S4698" s="47"/>
      <c r="T4698" s="6">
        <v>0</v>
      </c>
      <c r="U4698" s="6">
        <v>4207.3999999999996</v>
      </c>
      <c r="V4698" s="6">
        <v>0</v>
      </c>
      <c r="W4698" s="6">
        <f t="shared" si="714"/>
        <v>4207.3999999999996</v>
      </c>
      <c r="X4698" s="6">
        <f t="shared" si="717"/>
        <v>0</v>
      </c>
      <c r="Y4698" s="13">
        <f t="shared" si="718"/>
        <v>0</v>
      </c>
      <c r="Z4698" s="14">
        <v>0</v>
      </c>
      <c r="AA4698" s="6">
        <v>0</v>
      </c>
      <c r="AB4698" s="4">
        <f t="shared" si="719"/>
        <v>0</v>
      </c>
      <c r="AC4698" s="4">
        <f t="shared" si="721"/>
        <v>0</v>
      </c>
      <c r="AD4698" s="6">
        <f t="shared" si="715"/>
        <v>0</v>
      </c>
      <c r="AE4698" s="2">
        <f>VLOOKUP(I4698,[1]媒体政策预估表!A:N,MATCH(O4698,[1]媒体政策预估表!$A$2:$M$2,0),0)</f>
        <v>0.18</v>
      </c>
      <c r="AF4698" s="6">
        <f t="shared" si="722"/>
        <v>0</v>
      </c>
      <c r="AG4698" s="14">
        <v>0</v>
      </c>
      <c r="AH4698" s="65">
        <f t="shared" si="716"/>
        <v>0</v>
      </c>
      <c r="AI4698" s="47"/>
      <c r="AJ4698" s="126" t="e">
        <v>#N/A</v>
      </c>
      <c r="AK4698" s="80">
        <f t="shared" si="720"/>
        <v>0</v>
      </c>
      <c r="AM4698" s="85"/>
    </row>
    <row r="4699" spans="1:39" hidden="1" x14ac:dyDescent="0.3">
      <c r="A4699" s="89" t="s">
        <v>3397</v>
      </c>
      <c r="B4699" s="86" t="s">
        <v>35</v>
      </c>
      <c r="C4699" s="86" t="s">
        <v>65</v>
      </c>
      <c r="D4699" s="86" t="s">
        <v>66</v>
      </c>
      <c r="E4699" s="86" t="s">
        <v>2678</v>
      </c>
      <c r="F4699" s="86" t="s">
        <v>2679</v>
      </c>
      <c r="G4699" s="86" t="s">
        <v>2678</v>
      </c>
      <c r="H4699" s="143">
        <v>22</v>
      </c>
      <c r="I4699" s="86" t="s">
        <v>2935</v>
      </c>
      <c r="J4699" s="1" t="s">
        <v>3302</v>
      </c>
      <c r="K4699" s="1" t="s">
        <v>3371</v>
      </c>
      <c r="L4699" s="1" t="s">
        <v>35</v>
      </c>
      <c r="M4699" s="86" t="s">
        <v>2966</v>
      </c>
      <c r="N4699" s="86"/>
      <c r="O4699" s="47" t="s">
        <v>45</v>
      </c>
      <c r="P4699" s="47" t="s">
        <v>46</v>
      </c>
      <c r="Q4699" s="14">
        <v>0.08</v>
      </c>
      <c r="R4699" s="143">
        <v>242112</v>
      </c>
      <c r="S4699" s="47"/>
      <c r="T4699" s="6">
        <v>0</v>
      </c>
      <c r="U4699" s="6">
        <v>3846.15</v>
      </c>
      <c r="V4699" s="6">
        <v>0</v>
      </c>
      <c r="W4699" s="6">
        <f t="shared" si="714"/>
        <v>3846.15</v>
      </c>
      <c r="X4699" s="6">
        <f t="shared" si="717"/>
        <v>0</v>
      </c>
      <c r="Y4699" s="13">
        <f t="shared" si="718"/>
        <v>0</v>
      </c>
      <c r="Z4699" s="14">
        <v>0</v>
      </c>
      <c r="AA4699" s="6">
        <v>0</v>
      </c>
      <c r="AB4699" s="4">
        <f t="shared" si="719"/>
        <v>0</v>
      </c>
      <c r="AC4699" s="4">
        <f t="shared" si="721"/>
        <v>0</v>
      </c>
      <c r="AD4699" s="6">
        <f t="shared" si="715"/>
        <v>0</v>
      </c>
      <c r="AE4699" s="2">
        <f>VLOOKUP(I4699,[1]媒体政策预估表!A:N,MATCH(O4699,[1]媒体政策预估表!$A$2:$M$2,0),0)</f>
        <v>0.18</v>
      </c>
      <c r="AF4699" s="6">
        <f t="shared" si="722"/>
        <v>0</v>
      </c>
      <c r="AG4699" s="14">
        <v>0</v>
      </c>
      <c r="AH4699" s="65">
        <f t="shared" si="716"/>
        <v>0</v>
      </c>
      <c r="AI4699" s="47"/>
      <c r="AJ4699" s="126" t="e">
        <v>#N/A</v>
      </c>
      <c r="AK4699" s="80">
        <f t="shared" si="720"/>
        <v>0</v>
      </c>
      <c r="AM4699" s="85"/>
    </row>
    <row r="4700" spans="1:39" hidden="1" x14ac:dyDescent="0.3">
      <c r="A4700" s="89" t="s">
        <v>3583</v>
      </c>
      <c r="B4700" s="86" t="s">
        <v>35</v>
      </c>
      <c r="C4700" s="86" t="s">
        <v>65</v>
      </c>
      <c r="D4700" s="86" t="s">
        <v>122</v>
      </c>
      <c r="E4700" s="86" t="s">
        <v>2967</v>
      </c>
      <c r="F4700" s="86" t="s">
        <v>2968</v>
      </c>
      <c r="G4700" s="86" t="s">
        <v>2967</v>
      </c>
      <c r="H4700" s="144">
        <v>22</v>
      </c>
      <c r="I4700" s="86" t="s">
        <v>2935</v>
      </c>
      <c r="J4700" s="1" t="s">
        <v>3302</v>
      </c>
      <c r="K4700" s="1" t="s">
        <v>3371</v>
      </c>
      <c r="L4700" s="1" t="s">
        <v>35</v>
      </c>
      <c r="M4700" s="86" t="s">
        <v>2969</v>
      </c>
      <c r="N4700" s="86"/>
      <c r="O4700" s="47" t="s">
        <v>410</v>
      </c>
      <c r="P4700" s="47" t="s">
        <v>46</v>
      </c>
      <c r="Q4700" s="14">
        <v>0.01</v>
      </c>
      <c r="R4700" s="143">
        <v>77462</v>
      </c>
      <c r="S4700" s="47"/>
      <c r="T4700" s="6">
        <v>10388.010000000009</v>
      </c>
      <c r="U4700" s="6">
        <v>52520</v>
      </c>
      <c r="V4700" s="6">
        <v>43268</v>
      </c>
      <c r="W4700" s="6">
        <f t="shared" si="714"/>
        <v>19640.010000000009</v>
      </c>
      <c r="X4700" s="6">
        <f t="shared" si="717"/>
        <v>42839.603960396038</v>
      </c>
      <c r="Y4700" s="13">
        <f t="shared" si="718"/>
        <v>0</v>
      </c>
      <c r="Z4700" s="14">
        <v>0</v>
      </c>
      <c r="AA4700" s="6">
        <v>0</v>
      </c>
      <c r="AB4700" s="4">
        <f t="shared" si="719"/>
        <v>42839.603960396038</v>
      </c>
      <c r="AC4700" s="4">
        <f t="shared" si="721"/>
        <v>428.39603960396198</v>
      </c>
      <c r="AD4700" s="6">
        <f t="shared" si="715"/>
        <v>43268</v>
      </c>
      <c r="AE4700" s="2">
        <f>VLOOKUP(I4700,[1]媒体政策预估表!A:N,MATCH(O4700,[1]媒体政策预估表!$A$2:$M$2,0),0)</f>
        <v>0.09</v>
      </c>
      <c r="AF4700" s="6">
        <f t="shared" si="722"/>
        <v>3894.12</v>
      </c>
      <c r="AG4700" s="14">
        <v>0</v>
      </c>
      <c r="AH4700" s="65">
        <f t="shared" si="716"/>
        <v>43268</v>
      </c>
      <c r="AI4700" s="47"/>
      <c r="AJ4700" s="126" t="e">
        <v>#N/A</v>
      </c>
      <c r="AK4700" s="80">
        <f t="shared" si="720"/>
        <v>0</v>
      </c>
      <c r="AM4700" s="85"/>
    </row>
    <row r="4701" spans="1:39" hidden="1" x14ac:dyDescent="0.3">
      <c r="A4701" s="89" t="s">
        <v>3582</v>
      </c>
      <c r="B4701" s="86" t="s">
        <v>35</v>
      </c>
      <c r="C4701" s="86" t="s">
        <v>65</v>
      </c>
      <c r="D4701" s="86" t="s">
        <v>122</v>
      </c>
      <c r="E4701" s="86" t="s">
        <v>2967</v>
      </c>
      <c r="F4701" s="86" t="s">
        <v>2968</v>
      </c>
      <c r="G4701" s="86" t="s">
        <v>2967</v>
      </c>
      <c r="H4701" s="144">
        <v>22</v>
      </c>
      <c r="I4701" s="86" t="s">
        <v>2935</v>
      </c>
      <c r="J4701" s="1" t="s">
        <v>3302</v>
      </c>
      <c r="K4701" s="1" t="s">
        <v>3371</v>
      </c>
      <c r="L4701" s="1" t="s">
        <v>35</v>
      </c>
      <c r="M4701" s="86" t="s">
        <v>2970</v>
      </c>
      <c r="N4701" s="86"/>
      <c r="O4701" s="47" t="s">
        <v>410</v>
      </c>
      <c r="P4701" s="47" t="s">
        <v>46</v>
      </c>
      <c r="Q4701" s="14">
        <v>0.01</v>
      </c>
      <c r="R4701" s="143">
        <v>36962</v>
      </c>
      <c r="S4701" s="47"/>
      <c r="T4701" s="6">
        <v>34181</v>
      </c>
      <c r="U4701" s="6">
        <v>55550</v>
      </c>
      <c r="V4701" s="6">
        <v>60503</v>
      </c>
      <c r="W4701" s="6">
        <f t="shared" si="714"/>
        <v>29228</v>
      </c>
      <c r="X4701" s="6">
        <f t="shared" si="717"/>
        <v>59903.960396039605</v>
      </c>
      <c r="Y4701" s="13">
        <f t="shared" si="718"/>
        <v>0</v>
      </c>
      <c r="Z4701" s="14">
        <v>0</v>
      </c>
      <c r="AA4701" s="6">
        <v>0</v>
      </c>
      <c r="AB4701" s="4">
        <f t="shared" si="719"/>
        <v>59903.960396039605</v>
      </c>
      <c r="AC4701" s="4">
        <f t="shared" si="721"/>
        <v>599.03960396039474</v>
      </c>
      <c r="AD4701" s="6">
        <f t="shared" si="715"/>
        <v>60503</v>
      </c>
      <c r="AE4701" s="2">
        <f>VLOOKUP(I4701,[1]媒体政策预估表!A:N,MATCH(O4701,[1]媒体政策预估表!$A$2:$M$2,0),0)</f>
        <v>0.09</v>
      </c>
      <c r="AF4701" s="6">
        <f t="shared" si="722"/>
        <v>5445.2699999999995</v>
      </c>
      <c r="AG4701" s="14">
        <v>0</v>
      </c>
      <c r="AH4701" s="65">
        <f t="shared" si="716"/>
        <v>60503</v>
      </c>
      <c r="AI4701" s="47"/>
      <c r="AJ4701" s="126" t="e">
        <v>#N/A</v>
      </c>
      <c r="AK4701" s="80">
        <f t="shared" si="720"/>
        <v>0</v>
      </c>
      <c r="AM4701" s="85"/>
    </row>
    <row r="4702" spans="1:39" hidden="1" x14ac:dyDescent="0.3">
      <c r="A4702" s="89" t="s">
        <v>3582</v>
      </c>
      <c r="B4702" s="86" t="s">
        <v>35</v>
      </c>
      <c r="C4702" s="86" t="s">
        <v>65</v>
      </c>
      <c r="D4702" s="86" t="s">
        <v>122</v>
      </c>
      <c r="E4702" s="86" t="s">
        <v>2856</v>
      </c>
      <c r="F4702" s="86" t="s">
        <v>2856</v>
      </c>
      <c r="G4702" s="86" t="s">
        <v>2856</v>
      </c>
      <c r="H4702" s="143">
        <v>22</v>
      </c>
      <c r="I4702" s="86" t="s">
        <v>2935</v>
      </c>
      <c r="J4702" s="1" t="s">
        <v>3302</v>
      </c>
      <c r="K4702" s="1" t="s">
        <v>3371</v>
      </c>
      <c r="L4702" s="1" t="s">
        <v>35</v>
      </c>
      <c r="M4702" s="86" t="s">
        <v>2857</v>
      </c>
      <c r="N4702" s="86"/>
      <c r="O4702" s="47" t="s">
        <v>410</v>
      </c>
      <c r="P4702" s="47" t="s">
        <v>3760</v>
      </c>
      <c r="Q4702" s="14">
        <v>0</v>
      </c>
      <c r="R4702" s="143">
        <v>19802</v>
      </c>
      <c r="S4702" s="47"/>
      <c r="T4702" s="6">
        <v>0</v>
      </c>
      <c r="U4702" s="6">
        <v>990.04</v>
      </c>
      <c r="V4702" s="6">
        <v>0</v>
      </c>
      <c r="W4702" s="6">
        <f t="shared" si="714"/>
        <v>990.04</v>
      </c>
      <c r="X4702" s="6">
        <f t="shared" si="717"/>
        <v>0</v>
      </c>
      <c r="Y4702" s="13">
        <f t="shared" si="718"/>
        <v>0</v>
      </c>
      <c r="Z4702" s="14">
        <v>0</v>
      </c>
      <c r="AA4702" s="6">
        <v>0</v>
      </c>
      <c r="AB4702" s="4">
        <f t="shared" si="719"/>
        <v>0</v>
      </c>
      <c r="AC4702" s="4">
        <f t="shared" si="721"/>
        <v>0</v>
      </c>
      <c r="AD4702" s="6">
        <f t="shared" si="715"/>
        <v>0</v>
      </c>
      <c r="AE4702" s="2">
        <f>VLOOKUP(I4702,[1]媒体政策预估表!A:N,MATCH(O4702,[1]媒体政策预估表!$A$2:$M$2,0),0)</f>
        <v>0.09</v>
      </c>
      <c r="AF4702" s="6">
        <f t="shared" si="722"/>
        <v>0</v>
      </c>
      <c r="AG4702" s="14">
        <v>0</v>
      </c>
      <c r="AH4702" s="65">
        <f t="shared" si="716"/>
        <v>0</v>
      </c>
      <c r="AI4702" s="47"/>
      <c r="AJ4702" s="126" t="e">
        <v>#N/A</v>
      </c>
      <c r="AK4702" s="80">
        <f t="shared" si="720"/>
        <v>0</v>
      </c>
      <c r="AM4702" s="85"/>
    </row>
    <row r="4703" spans="1:39" hidden="1" x14ac:dyDescent="0.3">
      <c r="A4703" s="89" t="s">
        <v>3397</v>
      </c>
      <c r="B4703" s="86" t="s">
        <v>35</v>
      </c>
      <c r="C4703" s="86" t="s">
        <v>65</v>
      </c>
      <c r="D4703" s="86" t="s">
        <v>122</v>
      </c>
      <c r="E4703" s="86" t="s">
        <v>2856</v>
      </c>
      <c r="F4703" s="86" t="s">
        <v>2856</v>
      </c>
      <c r="G4703" s="86" t="s">
        <v>2856</v>
      </c>
      <c r="H4703" s="144">
        <v>22</v>
      </c>
      <c r="I4703" s="86" t="s">
        <v>2935</v>
      </c>
      <c r="J4703" s="1" t="s">
        <v>3302</v>
      </c>
      <c r="K4703" s="1" t="s">
        <v>3371</v>
      </c>
      <c r="L4703" s="1" t="s">
        <v>35</v>
      </c>
      <c r="M4703" s="86" t="s">
        <v>2857</v>
      </c>
      <c r="N4703" s="86"/>
      <c r="O4703" s="47" t="s">
        <v>410</v>
      </c>
      <c r="P4703" s="47" t="s">
        <v>41</v>
      </c>
      <c r="Q4703" s="14">
        <v>0</v>
      </c>
      <c r="R4703" s="143">
        <v>19802</v>
      </c>
      <c r="S4703" s="47"/>
      <c r="T4703" s="6">
        <v>35064.97000000003</v>
      </c>
      <c r="U4703" s="6">
        <v>79009.960000000006</v>
      </c>
      <c r="V4703" s="6">
        <v>51920.29</v>
      </c>
      <c r="W4703" s="6">
        <f t="shared" si="714"/>
        <v>62154.640000000036</v>
      </c>
      <c r="X4703" s="6">
        <f t="shared" si="717"/>
        <v>51920.29</v>
      </c>
      <c r="Y4703" s="13">
        <f t="shared" si="718"/>
        <v>0</v>
      </c>
      <c r="Z4703" s="14">
        <v>0</v>
      </c>
      <c r="AA4703" s="6">
        <v>0</v>
      </c>
      <c r="AB4703" s="4">
        <f t="shared" si="719"/>
        <v>51920.29</v>
      </c>
      <c r="AC4703" s="4">
        <f t="shared" si="721"/>
        <v>0</v>
      </c>
      <c r="AD4703" s="6">
        <f t="shared" si="715"/>
        <v>51920.29</v>
      </c>
      <c r="AE4703" s="2">
        <f>VLOOKUP(I4703,[1]媒体政策预估表!A:N,MATCH(O4703,[1]媒体政策预估表!$A$2:$M$2,0),0)</f>
        <v>0.09</v>
      </c>
      <c r="AF4703" s="6">
        <f t="shared" si="722"/>
        <v>4672.8261000000002</v>
      </c>
      <c r="AG4703" s="14">
        <v>0</v>
      </c>
      <c r="AH4703" s="65">
        <f t="shared" si="716"/>
        <v>51920.29</v>
      </c>
      <c r="AI4703" s="47"/>
      <c r="AJ4703" s="126" t="e">
        <v>#N/A</v>
      </c>
      <c r="AK4703" s="80">
        <f t="shared" si="720"/>
        <v>0</v>
      </c>
      <c r="AM4703" s="85"/>
    </row>
    <row r="4704" spans="1:39" hidden="1" x14ac:dyDescent="0.3">
      <c r="A4704" s="89" t="s">
        <v>3582</v>
      </c>
      <c r="B4704" s="86" t="s">
        <v>35</v>
      </c>
      <c r="C4704" s="86" t="s">
        <v>65</v>
      </c>
      <c r="D4704" s="86" t="s">
        <v>125</v>
      </c>
      <c r="E4704" s="86" t="s">
        <v>3183</v>
      </c>
      <c r="F4704" s="86" t="s">
        <v>3403</v>
      </c>
      <c r="G4704" s="86" t="s">
        <v>3183</v>
      </c>
      <c r="H4704" s="144">
        <v>22</v>
      </c>
      <c r="I4704" s="86" t="s">
        <v>2935</v>
      </c>
      <c r="J4704" s="1" t="s">
        <v>3302</v>
      </c>
      <c r="K4704" s="1" t="s">
        <v>3371</v>
      </c>
      <c r="L4704" s="1" t="s">
        <v>35</v>
      </c>
      <c r="M4704" s="86" t="s">
        <v>3586</v>
      </c>
      <c r="N4704" s="86"/>
      <c r="O4704" s="47" t="s">
        <v>410</v>
      </c>
      <c r="P4704" s="47" t="s">
        <v>46</v>
      </c>
      <c r="Q4704" s="14">
        <v>0.02</v>
      </c>
      <c r="R4704" s="143">
        <v>55522</v>
      </c>
      <c r="S4704" s="47"/>
      <c r="T4704" s="6">
        <v>0</v>
      </c>
      <c r="U4704" s="6">
        <v>10200</v>
      </c>
      <c r="V4704" s="6">
        <v>10200</v>
      </c>
      <c r="W4704" s="6">
        <f t="shared" si="714"/>
        <v>0</v>
      </c>
      <c r="X4704" s="6">
        <f t="shared" si="717"/>
        <v>10000</v>
      </c>
      <c r="Y4704" s="13">
        <f t="shared" si="718"/>
        <v>0</v>
      </c>
      <c r="Z4704" s="14">
        <v>0</v>
      </c>
      <c r="AA4704" s="6">
        <v>0</v>
      </c>
      <c r="AB4704" s="4">
        <f t="shared" si="719"/>
        <v>10000</v>
      </c>
      <c r="AC4704" s="4">
        <f t="shared" si="721"/>
        <v>200</v>
      </c>
      <c r="AD4704" s="6">
        <f t="shared" si="715"/>
        <v>10200</v>
      </c>
      <c r="AE4704" s="2">
        <f>VLOOKUP(I4704,[1]媒体政策预估表!A:N,MATCH(O4704,[1]媒体政策预估表!$A$2:$M$2,0),0)</f>
        <v>0.09</v>
      </c>
      <c r="AF4704" s="6">
        <f t="shared" si="722"/>
        <v>918</v>
      </c>
      <c r="AG4704" s="14">
        <v>0</v>
      </c>
      <c r="AH4704" s="65">
        <f t="shared" si="716"/>
        <v>10200</v>
      </c>
      <c r="AI4704" s="47"/>
      <c r="AJ4704" s="126" t="e">
        <v>#N/A</v>
      </c>
      <c r="AK4704" s="80">
        <f t="shared" si="720"/>
        <v>0</v>
      </c>
      <c r="AM4704" s="85"/>
    </row>
    <row r="4705" spans="1:39" hidden="1" x14ac:dyDescent="0.3">
      <c r="A4705" s="89" t="s">
        <v>3583</v>
      </c>
      <c r="B4705" s="86" t="s">
        <v>35</v>
      </c>
      <c r="C4705" s="86" t="s">
        <v>65</v>
      </c>
      <c r="D4705" s="86" t="s">
        <v>125</v>
      </c>
      <c r="E4705" s="86" t="s">
        <v>3183</v>
      </c>
      <c r="F4705" s="86" t="s">
        <v>3403</v>
      </c>
      <c r="G4705" s="86" t="s">
        <v>3183</v>
      </c>
      <c r="H4705" s="143">
        <v>22</v>
      </c>
      <c r="I4705" s="86" t="s">
        <v>2935</v>
      </c>
      <c r="J4705" s="1" t="s">
        <v>3302</v>
      </c>
      <c r="K4705" s="1" t="s">
        <v>3371</v>
      </c>
      <c r="L4705" s="1" t="s">
        <v>35</v>
      </c>
      <c r="M4705" s="86" t="s">
        <v>3587</v>
      </c>
      <c r="N4705" s="86"/>
      <c r="O4705" s="47" t="s">
        <v>410</v>
      </c>
      <c r="P4705" s="47" t="s">
        <v>46</v>
      </c>
      <c r="Q4705" s="14">
        <v>0.02</v>
      </c>
      <c r="R4705" s="143">
        <v>205332</v>
      </c>
      <c r="S4705" s="47"/>
      <c r="T4705" s="6">
        <v>0</v>
      </c>
      <c r="U4705" s="6">
        <v>0</v>
      </c>
      <c r="V4705" s="6">
        <v>0</v>
      </c>
      <c r="W4705" s="6">
        <f t="shared" si="714"/>
        <v>0</v>
      </c>
      <c r="X4705" s="6">
        <f t="shared" si="717"/>
        <v>0</v>
      </c>
      <c r="Y4705" s="13">
        <f t="shared" si="718"/>
        <v>0</v>
      </c>
      <c r="Z4705" s="14">
        <v>0</v>
      </c>
      <c r="AA4705" s="6">
        <v>0</v>
      </c>
      <c r="AB4705" s="4">
        <f t="shared" si="719"/>
        <v>0</v>
      </c>
      <c r="AC4705" s="4">
        <f t="shared" si="721"/>
        <v>0</v>
      </c>
      <c r="AD4705" s="6">
        <f t="shared" si="715"/>
        <v>0</v>
      </c>
      <c r="AE4705" s="2">
        <f>VLOOKUP(I4705,[1]媒体政策预估表!A:N,MATCH(O4705,[1]媒体政策预估表!$A$2:$M$2,0),0)</f>
        <v>0.09</v>
      </c>
      <c r="AF4705" s="6">
        <f t="shared" si="722"/>
        <v>0</v>
      </c>
      <c r="AG4705" s="14">
        <v>0</v>
      </c>
      <c r="AH4705" s="65">
        <f t="shared" si="716"/>
        <v>0</v>
      </c>
      <c r="AI4705" s="47"/>
      <c r="AJ4705" s="126" t="e">
        <v>#N/A</v>
      </c>
      <c r="AK4705" s="80">
        <f t="shared" si="720"/>
        <v>0</v>
      </c>
      <c r="AM4705" s="85"/>
    </row>
    <row r="4706" spans="1:39" hidden="1" x14ac:dyDescent="0.3">
      <c r="A4706" s="89" t="s">
        <v>3397</v>
      </c>
      <c r="B4706" s="86" t="s">
        <v>35</v>
      </c>
      <c r="C4706" s="86" t="s">
        <v>47</v>
      </c>
      <c r="D4706" s="86" t="s">
        <v>63</v>
      </c>
      <c r="E4706" s="86" t="s">
        <v>528</v>
      </c>
      <c r="F4706" s="86" t="s">
        <v>528</v>
      </c>
      <c r="G4706" s="86" t="s">
        <v>528</v>
      </c>
      <c r="H4706" s="144">
        <v>22</v>
      </c>
      <c r="I4706" s="86" t="s">
        <v>2935</v>
      </c>
      <c r="J4706" s="1" t="s">
        <v>3302</v>
      </c>
      <c r="K4706" s="1" t="s">
        <v>3371</v>
      </c>
      <c r="L4706" s="1" t="s">
        <v>35</v>
      </c>
      <c r="M4706" s="86" t="s">
        <v>2975</v>
      </c>
      <c r="N4706" s="86"/>
      <c r="O4706" s="47" t="s">
        <v>410</v>
      </c>
      <c r="P4706" s="47" t="s">
        <v>46</v>
      </c>
      <c r="Q4706" s="14">
        <v>1.4999999999999999E-2</v>
      </c>
      <c r="R4706" s="143">
        <v>72892</v>
      </c>
      <c r="S4706" s="47"/>
      <c r="T4706" s="6">
        <v>185211.16999999993</v>
      </c>
      <c r="U4706" s="6">
        <v>609000</v>
      </c>
      <c r="V4706" s="6">
        <v>407757.79</v>
      </c>
      <c r="W4706" s="6">
        <f t="shared" si="714"/>
        <v>386453.37999999995</v>
      </c>
      <c r="X4706" s="6">
        <f t="shared" si="717"/>
        <v>401731.8128078818</v>
      </c>
      <c r="Y4706" s="13">
        <f t="shared" si="718"/>
        <v>0</v>
      </c>
      <c r="Z4706" s="14">
        <v>0</v>
      </c>
      <c r="AA4706" s="6">
        <v>0</v>
      </c>
      <c r="AB4706" s="4">
        <f t="shared" si="719"/>
        <v>401731.8128078818</v>
      </c>
      <c r="AC4706" s="4">
        <f t="shared" si="721"/>
        <v>6025.9771921181818</v>
      </c>
      <c r="AD4706" s="6">
        <f t="shared" si="715"/>
        <v>407757.79</v>
      </c>
      <c r="AE4706" s="2">
        <f>VLOOKUP(I4706,[1]媒体政策预估表!A:N,MATCH(O4706,[1]媒体政策预估表!$A$2:$M$2,0),0)</f>
        <v>0.09</v>
      </c>
      <c r="AF4706" s="6">
        <f t="shared" si="722"/>
        <v>36698.201099999998</v>
      </c>
      <c r="AG4706" s="14">
        <v>0</v>
      </c>
      <c r="AH4706" s="65">
        <f t="shared" si="716"/>
        <v>407757.79</v>
      </c>
      <c r="AI4706" s="47"/>
      <c r="AJ4706" s="126" t="e">
        <v>#N/A</v>
      </c>
      <c r="AK4706" s="80">
        <f t="shared" si="720"/>
        <v>0</v>
      </c>
      <c r="AM4706" s="85"/>
    </row>
    <row r="4707" spans="1:39" hidden="1" x14ac:dyDescent="0.3">
      <c r="A4707" s="89" t="s">
        <v>3397</v>
      </c>
      <c r="B4707" s="86" t="s">
        <v>35</v>
      </c>
      <c r="C4707" s="86" t="s">
        <v>47</v>
      </c>
      <c r="D4707" s="86" t="s">
        <v>63</v>
      </c>
      <c r="E4707" s="86" t="s">
        <v>528</v>
      </c>
      <c r="F4707" s="86" t="s">
        <v>528</v>
      </c>
      <c r="G4707" s="86" t="s">
        <v>528</v>
      </c>
      <c r="H4707" s="144">
        <v>22</v>
      </c>
      <c r="I4707" s="86" t="s">
        <v>2935</v>
      </c>
      <c r="J4707" s="1" t="s">
        <v>3302</v>
      </c>
      <c r="K4707" s="1" t="s">
        <v>3371</v>
      </c>
      <c r="L4707" s="1" t="s">
        <v>35</v>
      </c>
      <c r="M4707" s="86" t="s">
        <v>2976</v>
      </c>
      <c r="N4707" s="86"/>
      <c r="O4707" s="47" t="s">
        <v>410</v>
      </c>
      <c r="P4707" s="47" t="s">
        <v>46</v>
      </c>
      <c r="Q4707" s="14">
        <v>1.4999999999999999E-2</v>
      </c>
      <c r="R4707" s="143">
        <v>182662</v>
      </c>
      <c r="S4707" s="47"/>
      <c r="T4707" s="6">
        <v>24573.079999999987</v>
      </c>
      <c r="U4707" s="6">
        <v>101500</v>
      </c>
      <c r="V4707" s="6">
        <v>18337.439999999999</v>
      </c>
      <c r="W4707" s="6">
        <f t="shared" si="714"/>
        <v>107735.63999999998</v>
      </c>
      <c r="X4707" s="6">
        <f t="shared" si="717"/>
        <v>18066.443349753696</v>
      </c>
      <c r="Y4707" s="13">
        <f t="shared" si="718"/>
        <v>0</v>
      </c>
      <c r="Z4707" s="14">
        <v>0</v>
      </c>
      <c r="AA4707" s="6">
        <v>0</v>
      </c>
      <c r="AB4707" s="4">
        <f t="shared" si="719"/>
        <v>18066.443349753696</v>
      </c>
      <c r="AC4707" s="4">
        <f t="shared" si="721"/>
        <v>270.99665024630303</v>
      </c>
      <c r="AD4707" s="6">
        <f t="shared" si="715"/>
        <v>18337.439999999999</v>
      </c>
      <c r="AE4707" s="2">
        <f>VLOOKUP(I4707,[1]媒体政策预估表!A:N,MATCH(O4707,[1]媒体政策预估表!$A$2:$M$2,0),0)</f>
        <v>0.09</v>
      </c>
      <c r="AF4707" s="6">
        <f t="shared" si="722"/>
        <v>1650.3695999999998</v>
      </c>
      <c r="AG4707" s="14">
        <v>0</v>
      </c>
      <c r="AH4707" s="65">
        <f t="shared" si="716"/>
        <v>18337.439999999999</v>
      </c>
      <c r="AI4707" s="47"/>
      <c r="AJ4707" s="126" t="e">
        <v>#N/A</v>
      </c>
      <c r="AK4707" s="80">
        <f t="shared" si="720"/>
        <v>0</v>
      </c>
      <c r="AM4707" s="85"/>
    </row>
    <row r="4708" spans="1:39" hidden="1" x14ac:dyDescent="0.3">
      <c r="A4708" s="89" t="s">
        <v>3583</v>
      </c>
      <c r="B4708" s="86" t="s">
        <v>35</v>
      </c>
      <c r="C4708" s="86" t="s">
        <v>47</v>
      </c>
      <c r="D4708" s="86" t="s">
        <v>63</v>
      </c>
      <c r="E4708" s="86" t="s">
        <v>2480</v>
      </c>
      <c r="F4708" s="86" t="s">
        <v>2480</v>
      </c>
      <c r="G4708" s="86" t="s">
        <v>2480</v>
      </c>
      <c r="H4708" s="144">
        <v>22</v>
      </c>
      <c r="I4708" s="86" t="s">
        <v>2935</v>
      </c>
      <c r="J4708" s="1" t="s">
        <v>3302</v>
      </c>
      <c r="K4708" s="1" t="s">
        <v>3371</v>
      </c>
      <c r="L4708" s="1" t="s">
        <v>35</v>
      </c>
      <c r="M4708" s="86" t="s">
        <v>2480</v>
      </c>
      <c r="N4708" s="86"/>
      <c r="O4708" s="47" t="s">
        <v>410</v>
      </c>
      <c r="P4708" s="47" t="s">
        <v>41</v>
      </c>
      <c r="Q4708" s="14">
        <v>0</v>
      </c>
      <c r="R4708" s="143">
        <v>26532</v>
      </c>
      <c r="S4708" s="47"/>
      <c r="T4708" s="6">
        <v>49140.679999999891</v>
      </c>
      <c r="U4708" s="6">
        <v>79537.87</v>
      </c>
      <c r="V4708" s="6">
        <v>63851.19</v>
      </c>
      <c r="W4708" s="6">
        <f t="shared" si="714"/>
        <v>64827.359999999884</v>
      </c>
      <c r="X4708" s="6">
        <f t="shared" si="717"/>
        <v>63851.19</v>
      </c>
      <c r="Y4708" s="13">
        <f t="shared" si="718"/>
        <v>0</v>
      </c>
      <c r="Z4708" s="14">
        <v>0</v>
      </c>
      <c r="AA4708" s="6">
        <v>0</v>
      </c>
      <c r="AB4708" s="4">
        <f t="shared" si="719"/>
        <v>63851.19</v>
      </c>
      <c r="AC4708" s="4">
        <f t="shared" si="721"/>
        <v>0</v>
      </c>
      <c r="AD4708" s="6">
        <f t="shared" si="715"/>
        <v>63851.19</v>
      </c>
      <c r="AE4708" s="2">
        <f>VLOOKUP(I4708,[1]媒体政策预估表!A:N,MATCH(O4708,[1]媒体政策预估表!$A$2:$M$2,0),0)</f>
        <v>0.09</v>
      </c>
      <c r="AF4708" s="6">
        <f t="shared" si="722"/>
        <v>5746.6071000000002</v>
      </c>
      <c r="AG4708" s="14">
        <v>0</v>
      </c>
      <c r="AH4708" s="65">
        <f t="shared" si="716"/>
        <v>63851.19</v>
      </c>
      <c r="AI4708" s="47"/>
      <c r="AJ4708" s="126" t="e">
        <v>#N/A</v>
      </c>
      <c r="AK4708" s="80">
        <f t="shared" si="720"/>
        <v>0</v>
      </c>
      <c r="AM4708" s="85"/>
    </row>
    <row r="4709" spans="1:39" hidden="1" x14ac:dyDescent="0.3">
      <c r="A4709" s="89" t="s">
        <v>3397</v>
      </c>
      <c r="B4709" s="86" t="s">
        <v>35</v>
      </c>
      <c r="C4709" s="86" t="s">
        <v>47</v>
      </c>
      <c r="D4709" s="86" t="s">
        <v>63</v>
      </c>
      <c r="E4709" s="86" t="s">
        <v>2977</v>
      </c>
      <c r="F4709" s="86" t="s">
        <v>2977</v>
      </c>
      <c r="G4709" s="86" t="s">
        <v>2977</v>
      </c>
      <c r="H4709" s="144">
        <v>22</v>
      </c>
      <c r="I4709" s="86" t="s">
        <v>2935</v>
      </c>
      <c r="J4709" s="1" t="s">
        <v>3302</v>
      </c>
      <c r="K4709" s="1" t="s">
        <v>3371</v>
      </c>
      <c r="L4709" s="1" t="s">
        <v>35</v>
      </c>
      <c r="M4709" s="86" t="s">
        <v>2977</v>
      </c>
      <c r="N4709" s="86"/>
      <c r="O4709" s="47" t="s">
        <v>410</v>
      </c>
      <c r="P4709" s="47" t="s">
        <v>46</v>
      </c>
      <c r="Q4709" s="14">
        <v>0.02</v>
      </c>
      <c r="R4709" s="143">
        <v>114262</v>
      </c>
      <c r="S4709" s="47"/>
      <c r="T4709" s="6">
        <v>6000</v>
      </c>
      <c r="U4709" s="6">
        <v>30000</v>
      </c>
      <c r="V4709" s="6">
        <v>28000</v>
      </c>
      <c r="W4709" s="6">
        <f t="shared" si="714"/>
        <v>8000</v>
      </c>
      <c r="X4709" s="6">
        <f t="shared" si="717"/>
        <v>27450.980392156864</v>
      </c>
      <c r="Y4709" s="13">
        <f t="shared" si="718"/>
        <v>0</v>
      </c>
      <c r="Z4709" s="14">
        <v>0</v>
      </c>
      <c r="AA4709" s="6">
        <v>0</v>
      </c>
      <c r="AB4709" s="4">
        <f t="shared" si="719"/>
        <v>27450.980392156864</v>
      </c>
      <c r="AC4709" s="4">
        <f t="shared" si="721"/>
        <v>549.01960784313633</v>
      </c>
      <c r="AD4709" s="6">
        <f t="shared" si="715"/>
        <v>28000</v>
      </c>
      <c r="AE4709" s="2">
        <f>VLOOKUP(I4709,[1]媒体政策预估表!A:N,MATCH(O4709,[1]媒体政策预估表!$A$2:$M$2,0),0)</f>
        <v>0.09</v>
      </c>
      <c r="AF4709" s="6">
        <f t="shared" si="722"/>
        <v>2520</v>
      </c>
      <c r="AG4709" s="14">
        <v>0</v>
      </c>
      <c r="AH4709" s="65">
        <f t="shared" si="716"/>
        <v>28000</v>
      </c>
      <c r="AI4709" s="47"/>
      <c r="AJ4709" s="126" t="e">
        <v>#N/A</v>
      </c>
      <c r="AK4709" s="80">
        <f t="shared" si="720"/>
        <v>0</v>
      </c>
      <c r="AM4709" s="85"/>
    </row>
    <row r="4710" spans="1:39" hidden="1" x14ac:dyDescent="0.3">
      <c r="A4710" s="89" t="s">
        <v>3582</v>
      </c>
      <c r="B4710" s="86" t="s">
        <v>35</v>
      </c>
      <c r="C4710" s="86" t="s">
        <v>47</v>
      </c>
      <c r="D4710" s="86" t="s">
        <v>63</v>
      </c>
      <c r="E4710" s="86" t="s">
        <v>2957</v>
      </c>
      <c r="F4710" s="86" t="s">
        <v>2978</v>
      </c>
      <c r="G4710" s="86" t="s">
        <v>2957</v>
      </c>
      <c r="H4710" s="144">
        <v>22</v>
      </c>
      <c r="I4710" s="86" t="s">
        <v>2935</v>
      </c>
      <c r="J4710" s="1" t="s">
        <v>3302</v>
      </c>
      <c r="K4710" s="1" t="s">
        <v>3371</v>
      </c>
      <c r="L4710" s="1" t="s">
        <v>35</v>
      </c>
      <c r="M4710" s="86" t="s">
        <v>2979</v>
      </c>
      <c r="N4710" s="86"/>
      <c r="O4710" s="47" t="s">
        <v>410</v>
      </c>
      <c r="P4710" s="47" t="s">
        <v>46</v>
      </c>
      <c r="Q4710" s="14">
        <v>0.02</v>
      </c>
      <c r="R4710" s="143">
        <v>19992</v>
      </c>
      <c r="S4710" s="47"/>
      <c r="T4710" s="6">
        <v>304187.91999999993</v>
      </c>
      <c r="U4710" s="6">
        <v>1326000</v>
      </c>
      <c r="V4710" s="6">
        <v>1450879.04</v>
      </c>
      <c r="W4710" s="6">
        <f t="shared" si="714"/>
        <v>179308.87999999989</v>
      </c>
      <c r="X4710" s="6">
        <f t="shared" si="717"/>
        <v>1422430.4313725489</v>
      </c>
      <c r="Y4710" s="13">
        <f t="shared" si="718"/>
        <v>0</v>
      </c>
      <c r="Z4710" s="14">
        <v>0</v>
      </c>
      <c r="AA4710" s="6">
        <v>0</v>
      </c>
      <c r="AB4710" s="4">
        <f t="shared" si="719"/>
        <v>1422430.4313725489</v>
      </c>
      <c r="AC4710" s="4">
        <f t="shared" si="721"/>
        <v>28448.608627451118</v>
      </c>
      <c r="AD4710" s="6">
        <f t="shared" si="715"/>
        <v>1450879.04</v>
      </c>
      <c r="AE4710" s="2">
        <f>VLOOKUP(I4710,[1]媒体政策预估表!A:N,MATCH(O4710,[1]媒体政策预估表!$A$2:$M$2,0),0)</f>
        <v>0.09</v>
      </c>
      <c r="AF4710" s="6">
        <f t="shared" si="722"/>
        <v>130579.1136</v>
      </c>
      <c r="AG4710" s="14">
        <v>0</v>
      </c>
      <c r="AH4710" s="65">
        <f t="shared" si="716"/>
        <v>1450879.04</v>
      </c>
      <c r="AI4710" s="47"/>
      <c r="AJ4710" s="126" t="e">
        <v>#N/A</v>
      </c>
      <c r="AK4710" s="80">
        <f t="shared" si="720"/>
        <v>0</v>
      </c>
      <c r="AM4710" s="85"/>
    </row>
    <row r="4711" spans="1:39" hidden="1" x14ac:dyDescent="0.3">
      <c r="A4711" s="89" t="s">
        <v>3397</v>
      </c>
      <c r="B4711" s="86" t="s">
        <v>35</v>
      </c>
      <c r="C4711" s="86" t="s">
        <v>47</v>
      </c>
      <c r="D4711" s="86" t="s">
        <v>48</v>
      </c>
      <c r="E4711" s="86" t="s">
        <v>2279</v>
      </c>
      <c r="F4711" s="86" t="s">
        <v>2980</v>
      </c>
      <c r="G4711" s="86" t="s">
        <v>2279</v>
      </c>
      <c r="H4711" s="144">
        <v>22</v>
      </c>
      <c r="I4711" s="86" t="s">
        <v>2935</v>
      </c>
      <c r="J4711" s="1" t="s">
        <v>3302</v>
      </c>
      <c r="K4711" s="1" t="s">
        <v>3371</v>
      </c>
      <c r="L4711" s="1" t="s">
        <v>35</v>
      </c>
      <c r="M4711" s="86" t="s">
        <v>2279</v>
      </c>
      <c r="N4711" s="86"/>
      <c r="O4711" s="47" t="s">
        <v>410</v>
      </c>
      <c r="P4711" s="47" t="s">
        <v>46</v>
      </c>
      <c r="Q4711" s="14">
        <v>0.02</v>
      </c>
      <c r="R4711" s="143">
        <v>208532</v>
      </c>
      <c r="S4711" s="47"/>
      <c r="T4711" s="6">
        <v>692168.9</v>
      </c>
      <c r="U4711" s="6">
        <v>250000</v>
      </c>
      <c r="V4711" s="6">
        <v>490573.62</v>
      </c>
      <c r="W4711" s="6">
        <f t="shared" si="714"/>
        <v>451595.28</v>
      </c>
      <c r="X4711" s="6">
        <f t="shared" si="717"/>
        <v>480954.5294117647</v>
      </c>
      <c r="Y4711" s="13">
        <f t="shared" si="718"/>
        <v>0</v>
      </c>
      <c r="Z4711" s="14">
        <v>0</v>
      </c>
      <c r="AA4711" s="6">
        <v>0</v>
      </c>
      <c r="AB4711" s="4">
        <f t="shared" si="719"/>
        <v>480954.5294117647</v>
      </c>
      <c r="AC4711" s="4">
        <f t="shared" si="721"/>
        <v>9619.0905882352963</v>
      </c>
      <c r="AD4711" s="6">
        <f t="shared" si="715"/>
        <v>490573.62</v>
      </c>
      <c r="AE4711" s="2">
        <f>VLOOKUP(I4711,[1]媒体政策预估表!A:N,MATCH(O4711,[1]媒体政策预估表!$A$2:$M$2,0),0)</f>
        <v>0.09</v>
      </c>
      <c r="AF4711" s="6">
        <f t="shared" si="722"/>
        <v>44151.625799999994</v>
      </c>
      <c r="AG4711" s="14">
        <v>0</v>
      </c>
      <c r="AH4711" s="65">
        <f t="shared" si="716"/>
        <v>490573.62</v>
      </c>
      <c r="AI4711" s="47"/>
      <c r="AJ4711" s="126" t="e">
        <v>#N/A</v>
      </c>
      <c r="AK4711" s="80">
        <f t="shared" si="720"/>
        <v>0</v>
      </c>
      <c r="AM4711" s="85"/>
    </row>
    <row r="4712" spans="1:39" hidden="1" x14ac:dyDescent="0.3">
      <c r="A4712" s="89" t="s">
        <v>3582</v>
      </c>
      <c r="B4712" s="86" t="s">
        <v>35</v>
      </c>
      <c r="C4712" s="86" t="s">
        <v>47</v>
      </c>
      <c r="D4712" s="86" t="s">
        <v>48</v>
      </c>
      <c r="E4712" s="86" t="s">
        <v>2981</v>
      </c>
      <c r="F4712" s="86" t="s">
        <v>2981</v>
      </c>
      <c r="G4712" s="86" t="s">
        <v>2981</v>
      </c>
      <c r="H4712" s="144">
        <v>22</v>
      </c>
      <c r="I4712" s="86" t="s">
        <v>2935</v>
      </c>
      <c r="J4712" s="1" t="s">
        <v>3302</v>
      </c>
      <c r="K4712" s="1" t="s">
        <v>3371</v>
      </c>
      <c r="L4712" s="1" t="s">
        <v>35</v>
      </c>
      <c r="M4712" s="86" t="s">
        <v>2982</v>
      </c>
      <c r="N4712" s="86"/>
      <c r="O4712" s="47" t="s">
        <v>410</v>
      </c>
      <c r="P4712" s="47" t="s">
        <v>41</v>
      </c>
      <c r="Q4712" s="14">
        <v>0</v>
      </c>
      <c r="R4712" s="143">
        <v>21162</v>
      </c>
      <c r="S4712" s="47"/>
      <c r="T4712" s="6">
        <v>31811.899999999991</v>
      </c>
      <c r="U4712" s="6">
        <v>30000</v>
      </c>
      <c r="V4712" s="6">
        <v>15643.1</v>
      </c>
      <c r="W4712" s="6">
        <f t="shared" si="714"/>
        <v>46168.799999999996</v>
      </c>
      <c r="X4712" s="6">
        <f t="shared" si="717"/>
        <v>15643.1</v>
      </c>
      <c r="Y4712" s="13">
        <f t="shared" si="718"/>
        <v>0</v>
      </c>
      <c r="Z4712" s="14">
        <v>0</v>
      </c>
      <c r="AA4712" s="6">
        <v>0</v>
      </c>
      <c r="AB4712" s="4">
        <f t="shared" si="719"/>
        <v>15643.1</v>
      </c>
      <c r="AC4712" s="4">
        <f t="shared" si="721"/>
        <v>0</v>
      </c>
      <c r="AD4712" s="6">
        <f t="shared" si="715"/>
        <v>15643.1</v>
      </c>
      <c r="AE4712" s="2">
        <f>VLOOKUP(I4712,[1]媒体政策预估表!A:N,MATCH(O4712,[1]媒体政策预估表!$A$2:$M$2,0),0)</f>
        <v>0.09</v>
      </c>
      <c r="AF4712" s="6">
        <f t="shared" si="722"/>
        <v>1407.8789999999999</v>
      </c>
      <c r="AG4712" s="14">
        <v>0</v>
      </c>
      <c r="AH4712" s="65">
        <f t="shared" si="716"/>
        <v>15643.1</v>
      </c>
      <c r="AI4712" s="47"/>
      <c r="AJ4712" s="126" t="e">
        <v>#N/A</v>
      </c>
      <c r="AK4712" s="80">
        <f t="shared" si="720"/>
        <v>0</v>
      </c>
      <c r="AM4712" s="85"/>
    </row>
    <row r="4713" spans="1:39" hidden="1" x14ac:dyDescent="0.3">
      <c r="A4713" s="89" t="s">
        <v>3582</v>
      </c>
      <c r="B4713" s="86" t="s">
        <v>35</v>
      </c>
      <c r="C4713" s="86" t="s">
        <v>47</v>
      </c>
      <c r="D4713" s="86" t="s">
        <v>48</v>
      </c>
      <c r="E4713" s="86" t="s">
        <v>2909</v>
      </c>
      <c r="F4713" s="86" t="s">
        <v>2909</v>
      </c>
      <c r="G4713" s="86" t="s">
        <v>2909</v>
      </c>
      <c r="H4713" s="143">
        <v>22</v>
      </c>
      <c r="I4713" s="86" t="s">
        <v>2935</v>
      </c>
      <c r="J4713" s="1" t="s">
        <v>3302</v>
      </c>
      <c r="K4713" s="1" t="s">
        <v>3371</v>
      </c>
      <c r="L4713" s="1" t="s">
        <v>35</v>
      </c>
      <c r="M4713" s="86" t="s">
        <v>2909</v>
      </c>
      <c r="N4713" s="86"/>
      <c r="O4713" s="47" t="s">
        <v>410</v>
      </c>
      <c r="P4713" s="47" t="s">
        <v>41</v>
      </c>
      <c r="Q4713" s="14">
        <v>0</v>
      </c>
      <c r="R4713" s="143">
        <v>16782</v>
      </c>
      <c r="S4713" s="47"/>
      <c r="T4713" s="6">
        <v>48226.919999999984</v>
      </c>
      <c r="U4713" s="6">
        <v>11112</v>
      </c>
      <c r="V4713" s="6">
        <v>0</v>
      </c>
      <c r="W4713" s="6">
        <f t="shared" si="714"/>
        <v>59338.919999999984</v>
      </c>
      <c r="X4713" s="6">
        <f t="shared" si="717"/>
        <v>0</v>
      </c>
      <c r="Y4713" s="13">
        <f t="shared" si="718"/>
        <v>0</v>
      </c>
      <c r="Z4713" s="14">
        <v>0</v>
      </c>
      <c r="AA4713" s="6">
        <v>0</v>
      </c>
      <c r="AB4713" s="4">
        <f t="shared" si="719"/>
        <v>0</v>
      </c>
      <c r="AC4713" s="4">
        <f t="shared" si="721"/>
        <v>0</v>
      </c>
      <c r="AD4713" s="6">
        <f t="shared" si="715"/>
        <v>0</v>
      </c>
      <c r="AE4713" s="2">
        <f>VLOOKUP(I4713,[1]媒体政策预估表!A:N,MATCH(O4713,[1]媒体政策预估表!$A$2:$M$2,0),0)</f>
        <v>0.09</v>
      </c>
      <c r="AF4713" s="6">
        <f t="shared" si="722"/>
        <v>0</v>
      </c>
      <c r="AG4713" s="14">
        <v>0</v>
      </c>
      <c r="AH4713" s="65">
        <f t="shared" si="716"/>
        <v>0</v>
      </c>
      <c r="AI4713" s="47"/>
      <c r="AJ4713" s="126" t="e">
        <v>#N/A</v>
      </c>
      <c r="AK4713" s="80">
        <f t="shared" si="720"/>
        <v>0</v>
      </c>
      <c r="AM4713" s="85"/>
    </row>
    <row r="4714" spans="1:39" hidden="1" x14ac:dyDescent="0.3">
      <c r="A4714" s="89" t="s">
        <v>3582</v>
      </c>
      <c r="B4714" s="86" t="s">
        <v>35</v>
      </c>
      <c r="C4714" s="86" t="s">
        <v>47</v>
      </c>
      <c r="D4714" s="86" t="s">
        <v>48</v>
      </c>
      <c r="E4714" s="86" t="s">
        <v>2909</v>
      </c>
      <c r="F4714" s="86" t="s">
        <v>2909</v>
      </c>
      <c r="G4714" s="86" t="s">
        <v>2909</v>
      </c>
      <c r="H4714" s="144">
        <v>22</v>
      </c>
      <c r="I4714" s="86" t="s">
        <v>2935</v>
      </c>
      <c r="J4714" s="1" t="s">
        <v>3302</v>
      </c>
      <c r="K4714" s="1" t="s">
        <v>3371</v>
      </c>
      <c r="L4714" s="1" t="s">
        <v>35</v>
      </c>
      <c r="M4714" s="86" t="s">
        <v>2983</v>
      </c>
      <c r="N4714" s="86"/>
      <c r="O4714" s="47" t="s">
        <v>410</v>
      </c>
      <c r="P4714" s="47" t="s">
        <v>41</v>
      </c>
      <c r="Q4714" s="14">
        <v>0</v>
      </c>
      <c r="R4714" s="143">
        <v>235462</v>
      </c>
      <c r="S4714" s="47"/>
      <c r="T4714" s="6">
        <v>213038.63999999996</v>
      </c>
      <c r="U4714" s="6">
        <v>388888</v>
      </c>
      <c r="V4714" s="6">
        <v>311485.48</v>
      </c>
      <c r="W4714" s="6">
        <f t="shared" si="714"/>
        <v>290441.15999999992</v>
      </c>
      <c r="X4714" s="6">
        <f t="shared" si="717"/>
        <v>311485.48</v>
      </c>
      <c r="Y4714" s="13">
        <f t="shared" si="718"/>
        <v>0</v>
      </c>
      <c r="Z4714" s="14">
        <v>0</v>
      </c>
      <c r="AA4714" s="6">
        <v>0</v>
      </c>
      <c r="AB4714" s="4">
        <f t="shared" si="719"/>
        <v>311485.48</v>
      </c>
      <c r="AC4714" s="4">
        <f t="shared" si="721"/>
        <v>0</v>
      </c>
      <c r="AD4714" s="6">
        <f t="shared" si="715"/>
        <v>311485.48</v>
      </c>
      <c r="AE4714" s="2">
        <f>VLOOKUP(I4714,[1]媒体政策预估表!A:N,MATCH(O4714,[1]媒体政策预估表!$A$2:$M$2,0),0)</f>
        <v>0.09</v>
      </c>
      <c r="AF4714" s="6">
        <f t="shared" si="722"/>
        <v>28033.693199999998</v>
      </c>
      <c r="AG4714" s="14">
        <v>0</v>
      </c>
      <c r="AH4714" s="65">
        <f t="shared" si="716"/>
        <v>311485.48</v>
      </c>
      <c r="AI4714" s="47"/>
      <c r="AJ4714" s="126" t="e">
        <v>#N/A</v>
      </c>
      <c r="AK4714" s="80">
        <f t="shared" si="720"/>
        <v>0</v>
      </c>
      <c r="AM4714" s="85"/>
    </row>
    <row r="4715" spans="1:39" hidden="1" x14ac:dyDescent="0.3">
      <c r="A4715" s="89" t="s">
        <v>3583</v>
      </c>
      <c r="B4715" s="86" t="s">
        <v>35</v>
      </c>
      <c r="C4715" s="86" t="s">
        <v>47</v>
      </c>
      <c r="D4715" s="86" t="s">
        <v>48</v>
      </c>
      <c r="E4715" s="86" t="s">
        <v>2909</v>
      </c>
      <c r="F4715" s="86" t="s">
        <v>2909</v>
      </c>
      <c r="G4715" s="86" t="s">
        <v>2909</v>
      </c>
      <c r="H4715" s="144">
        <v>22</v>
      </c>
      <c r="I4715" s="86" t="s">
        <v>2935</v>
      </c>
      <c r="J4715" s="1" t="s">
        <v>3302</v>
      </c>
      <c r="K4715" s="1" t="s">
        <v>3371</v>
      </c>
      <c r="L4715" s="1" t="s">
        <v>35</v>
      </c>
      <c r="M4715" s="86" t="s">
        <v>2984</v>
      </c>
      <c r="N4715" s="86"/>
      <c r="O4715" s="47" t="s">
        <v>410</v>
      </c>
      <c r="P4715" s="47" t="s">
        <v>41</v>
      </c>
      <c r="Q4715" s="14">
        <v>0</v>
      </c>
      <c r="R4715" s="143">
        <v>238242</v>
      </c>
      <c r="S4715" s="47"/>
      <c r="T4715" s="6">
        <v>170953.35</v>
      </c>
      <c r="U4715" s="6">
        <v>300000</v>
      </c>
      <c r="V4715" s="6">
        <v>305971.13</v>
      </c>
      <c r="W4715" s="6">
        <f t="shared" si="714"/>
        <v>164982.21999999997</v>
      </c>
      <c r="X4715" s="6">
        <f t="shared" si="717"/>
        <v>305971.13</v>
      </c>
      <c r="Y4715" s="13">
        <f t="shared" si="718"/>
        <v>0</v>
      </c>
      <c r="Z4715" s="14">
        <v>0</v>
      </c>
      <c r="AA4715" s="6">
        <v>0</v>
      </c>
      <c r="AB4715" s="4">
        <f t="shared" si="719"/>
        <v>305971.13</v>
      </c>
      <c r="AC4715" s="4">
        <f t="shared" si="721"/>
        <v>0</v>
      </c>
      <c r="AD4715" s="6">
        <f t="shared" si="715"/>
        <v>305971.13</v>
      </c>
      <c r="AE4715" s="2">
        <f>VLOOKUP(I4715,[1]媒体政策预估表!A:N,MATCH(O4715,[1]媒体政策预估表!$A$2:$M$2,0),0)</f>
        <v>0.09</v>
      </c>
      <c r="AF4715" s="6">
        <f t="shared" si="722"/>
        <v>27537.401699999999</v>
      </c>
      <c r="AG4715" s="14">
        <v>0</v>
      </c>
      <c r="AH4715" s="65">
        <f t="shared" si="716"/>
        <v>305971.13</v>
      </c>
      <c r="AI4715" s="47"/>
      <c r="AJ4715" s="126" t="e">
        <v>#N/A</v>
      </c>
      <c r="AK4715" s="80">
        <f t="shared" si="720"/>
        <v>0</v>
      </c>
      <c r="AM4715" s="85"/>
    </row>
    <row r="4716" spans="1:39" hidden="1" x14ac:dyDescent="0.3">
      <c r="A4716" s="89" t="s">
        <v>3397</v>
      </c>
      <c r="B4716" s="86" t="s">
        <v>35</v>
      </c>
      <c r="C4716" s="86" t="s">
        <v>47</v>
      </c>
      <c r="D4716" s="86" t="s">
        <v>48</v>
      </c>
      <c r="E4716" s="86" t="s">
        <v>2482</v>
      </c>
      <c r="F4716" s="86" t="s">
        <v>2483</v>
      </c>
      <c r="G4716" s="86" t="s">
        <v>2482</v>
      </c>
      <c r="H4716" s="144">
        <v>22</v>
      </c>
      <c r="I4716" s="86" t="s">
        <v>2935</v>
      </c>
      <c r="J4716" s="1" t="s">
        <v>3302</v>
      </c>
      <c r="K4716" s="1" t="s">
        <v>3371</v>
      </c>
      <c r="L4716" s="1" t="s">
        <v>35</v>
      </c>
      <c r="M4716" s="86" t="s">
        <v>2482</v>
      </c>
      <c r="N4716" s="86"/>
      <c r="O4716" s="47" t="s">
        <v>410</v>
      </c>
      <c r="P4716" s="47" t="s">
        <v>41</v>
      </c>
      <c r="Q4716" s="14">
        <v>0</v>
      </c>
      <c r="R4716" s="143">
        <v>52872</v>
      </c>
      <c r="S4716" s="47"/>
      <c r="T4716" s="6">
        <v>72308.950000000026</v>
      </c>
      <c r="U4716" s="6">
        <v>50000</v>
      </c>
      <c r="V4716" s="6">
        <v>54547.41</v>
      </c>
      <c r="W4716" s="6">
        <f t="shared" si="714"/>
        <v>67761.540000000023</v>
      </c>
      <c r="X4716" s="6">
        <f t="shared" si="717"/>
        <v>54547.41</v>
      </c>
      <c r="Y4716" s="13">
        <f t="shared" si="718"/>
        <v>0</v>
      </c>
      <c r="Z4716" s="14">
        <v>0</v>
      </c>
      <c r="AA4716" s="6">
        <v>0</v>
      </c>
      <c r="AB4716" s="4">
        <f t="shared" si="719"/>
        <v>54547.41</v>
      </c>
      <c r="AC4716" s="4">
        <f t="shared" si="721"/>
        <v>0</v>
      </c>
      <c r="AD4716" s="6">
        <f t="shared" si="715"/>
        <v>54547.41</v>
      </c>
      <c r="AE4716" s="2">
        <f>VLOOKUP(I4716,[1]媒体政策预估表!A:N,MATCH(O4716,[1]媒体政策预估表!$A$2:$M$2,0),0)</f>
        <v>0.09</v>
      </c>
      <c r="AF4716" s="6">
        <f t="shared" si="722"/>
        <v>4909.2669000000005</v>
      </c>
      <c r="AG4716" s="14">
        <v>0</v>
      </c>
      <c r="AH4716" s="65">
        <f t="shared" si="716"/>
        <v>54547.41</v>
      </c>
      <c r="AI4716" s="47"/>
      <c r="AJ4716" s="126" t="e">
        <v>#N/A</v>
      </c>
      <c r="AK4716" s="80">
        <f t="shared" si="720"/>
        <v>0</v>
      </c>
      <c r="AM4716" s="85"/>
    </row>
    <row r="4717" spans="1:39" hidden="1" x14ac:dyDescent="0.3">
      <c r="A4717" s="89" t="s">
        <v>3583</v>
      </c>
      <c r="B4717" s="86" t="s">
        <v>35</v>
      </c>
      <c r="C4717" s="86" t="s">
        <v>47</v>
      </c>
      <c r="D4717" s="86" t="s">
        <v>48</v>
      </c>
      <c r="E4717" s="86" t="s">
        <v>2789</v>
      </c>
      <c r="F4717" s="86" t="s">
        <v>2789</v>
      </c>
      <c r="G4717" s="86" t="s">
        <v>2789</v>
      </c>
      <c r="H4717" s="144">
        <v>22</v>
      </c>
      <c r="I4717" s="86" t="s">
        <v>2935</v>
      </c>
      <c r="J4717" s="1" t="s">
        <v>3302</v>
      </c>
      <c r="K4717" s="1" t="s">
        <v>3371</v>
      </c>
      <c r="L4717" s="1" t="s">
        <v>35</v>
      </c>
      <c r="M4717" s="86" t="s">
        <v>2985</v>
      </c>
      <c r="N4717" s="86"/>
      <c r="O4717" s="47" t="s">
        <v>45</v>
      </c>
      <c r="P4717" s="47" t="s">
        <v>41</v>
      </c>
      <c r="Q4717" s="14">
        <v>0</v>
      </c>
      <c r="R4717" s="143">
        <v>179222</v>
      </c>
      <c r="S4717" s="47"/>
      <c r="T4717" s="6">
        <v>10943.73000000001</v>
      </c>
      <c r="U4717" s="6">
        <v>10000</v>
      </c>
      <c r="V4717" s="6">
        <v>4674.1499999999996</v>
      </c>
      <c r="W4717" s="6">
        <f t="shared" si="714"/>
        <v>16269.580000000011</v>
      </c>
      <c r="X4717" s="6">
        <f t="shared" si="717"/>
        <v>4674.1499999999996</v>
      </c>
      <c r="Y4717" s="13">
        <f t="shared" si="718"/>
        <v>0</v>
      </c>
      <c r="Z4717" s="14">
        <v>0</v>
      </c>
      <c r="AA4717" s="6">
        <v>0</v>
      </c>
      <c r="AB4717" s="4">
        <f t="shared" si="719"/>
        <v>4674.1499999999996</v>
      </c>
      <c r="AC4717" s="4">
        <f t="shared" si="721"/>
        <v>0</v>
      </c>
      <c r="AD4717" s="6">
        <f t="shared" si="715"/>
        <v>4674.1499999999996</v>
      </c>
      <c r="AE4717" s="2">
        <f>VLOOKUP(I4717,[1]媒体政策预估表!A:N,MATCH(O4717,[1]媒体政策预估表!$A$2:$M$2,0),0)</f>
        <v>0.18</v>
      </c>
      <c r="AF4717" s="6">
        <f t="shared" si="722"/>
        <v>841.34699999999987</v>
      </c>
      <c r="AG4717" s="14">
        <v>0</v>
      </c>
      <c r="AH4717" s="65">
        <f t="shared" si="716"/>
        <v>4674.1499999999996</v>
      </c>
      <c r="AI4717" s="47"/>
      <c r="AJ4717" s="126" t="e">
        <v>#N/A</v>
      </c>
      <c r="AK4717" s="80">
        <f t="shared" si="720"/>
        <v>0</v>
      </c>
      <c r="AM4717" s="85"/>
    </row>
    <row r="4718" spans="1:39" hidden="1" x14ac:dyDescent="0.3">
      <c r="A4718" s="89" t="s">
        <v>3397</v>
      </c>
      <c r="B4718" s="86" t="s">
        <v>35</v>
      </c>
      <c r="C4718" s="86" t="s">
        <v>47</v>
      </c>
      <c r="D4718" s="86" t="s">
        <v>48</v>
      </c>
      <c r="E4718" s="86" t="s">
        <v>542</v>
      </c>
      <c r="F4718" s="86" t="s">
        <v>543</v>
      </c>
      <c r="G4718" s="86" t="s">
        <v>542</v>
      </c>
      <c r="H4718" s="144">
        <v>22</v>
      </c>
      <c r="I4718" s="86" t="s">
        <v>2935</v>
      </c>
      <c r="J4718" s="1" t="s">
        <v>3302</v>
      </c>
      <c r="K4718" s="1" t="s">
        <v>3371</v>
      </c>
      <c r="L4718" s="1" t="s">
        <v>35</v>
      </c>
      <c r="M4718" s="86" t="s">
        <v>2986</v>
      </c>
      <c r="N4718" s="86"/>
      <c r="O4718" s="47" t="s">
        <v>410</v>
      </c>
      <c r="P4718" s="47" t="s">
        <v>46</v>
      </c>
      <c r="Q4718" s="14">
        <v>0.01</v>
      </c>
      <c r="R4718" s="143">
        <v>98692</v>
      </c>
      <c r="S4718" s="47"/>
      <c r="T4718" s="6">
        <v>72795.75</v>
      </c>
      <c r="U4718" s="6">
        <v>404500</v>
      </c>
      <c r="V4718" s="6">
        <v>243512.76</v>
      </c>
      <c r="W4718" s="6">
        <f t="shared" si="714"/>
        <v>233782.99</v>
      </c>
      <c r="X4718" s="6">
        <f t="shared" si="717"/>
        <v>241101.74257425743</v>
      </c>
      <c r="Y4718" s="13">
        <f t="shared" si="718"/>
        <v>0</v>
      </c>
      <c r="Z4718" s="14">
        <v>0</v>
      </c>
      <c r="AA4718" s="6">
        <v>0</v>
      </c>
      <c r="AB4718" s="4">
        <f t="shared" si="719"/>
        <v>241101.74257425743</v>
      </c>
      <c r="AC4718" s="4">
        <f t="shared" si="721"/>
        <v>2411.0174257425824</v>
      </c>
      <c r="AD4718" s="6">
        <f t="shared" si="715"/>
        <v>243512.76</v>
      </c>
      <c r="AE4718" s="2">
        <f>VLOOKUP(I4718,[1]媒体政策预估表!A:N,MATCH(O4718,[1]媒体政策预估表!$A$2:$M$2,0),0)</f>
        <v>0.09</v>
      </c>
      <c r="AF4718" s="6">
        <f t="shared" si="722"/>
        <v>21916.148399999998</v>
      </c>
      <c r="AG4718" s="14">
        <v>0</v>
      </c>
      <c r="AH4718" s="65">
        <f t="shared" si="716"/>
        <v>243512.76</v>
      </c>
      <c r="AI4718" s="47"/>
      <c r="AJ4718" s="126" t="e">
        <v>#N/A</v>
      </c>
      <c r="AK4718" s="80">
        <f t="shared" si="720"/>
        <v>0</v>
      </c>
      <c r="AM4718" s="85"/>
    </row>
    <row r="4719" spans="1:39" hidden="1" x14ac:dyDescent="0.3">
      <c r="A4719" s="89" t="s">
        <v>3583</v>
      </c>
      <c r="B4719" s="86" t="s">
        <v>35</v>
      </c>
      <c r="C4719" s="86" t="s">
        <v>47</v>
      </c>
      <c r="D4719" s="86" t="s">
        <v>48</v>
      </c>
      <c r="E4719" s="86" t="s">
        <v>550</v>
      </c>
      <c r="F4719" s="86" t="s">
        <v>551</v>
      </c>
      <c r="G4719" s="86" t="s">
        <v>550</v>
      </c>
      <c r="H4719" s="144">
        <v>22</v>
      </c>
      <c r="I4719" s="86" t="s">
        <v>2935</v>
      </c>
      <c r="J4719" s="1" t="s">
        <v>3302</v>
      </c>
      <c r="K4719" s="1" t="s">
        <v>3371</v>
      </c>
      <c r="L4719" s="1" t="s">
        <v>35</v>
      </c>
      <c r="M4719" s="86" t="s">
        <v>550</v>
      </c>
      <c r="N4719" s="86"/>
      <c r="O4719" s="47" t="s">
        <v>410</v>
      </c>
      <c r="P4719" s="47" t="s">
        <v>41</v>
      </c>
      <c r="Q4719" s="14">
        <v>0</v>
      </c>
      <c r="R4719" s="143">
        <v>100212</v>
      </c>
      <c r="S4719" s="47"/>
      <c r="T4719" s="6">
        <v>122108.09999999998</v>
      </c>
      <c r="U4719" s="6">
        <v>1100000</v>
      </c>
      <c r="V4719" s="6">
        <v>758672.64</v>
      </c>
      <c r="W4719" s="6">
        <f t="shared" ref="W4719:W4782" si="723">T4719+U4719-V4719</f>
        <v>463435.46000000008</v>
      </c>
      <c r="X4719" s="6">
        <f t="shared" si="717"/>
        <v>758672.64</v>
      </c>
      <c r="Y4719" s="13">
        <f t="shared" si="718"/>
        <v>0</v>
      </c>
      <c r="Z4719" s="14">
        <v>0</v>
      </c>
      <c r="AA4719" s="6">
        <v>0</v>
      </c>
      <c r="AB4719" s="4">
        <f t="shared" si="719"/>
        <v>758672.64</v>
      </c>
      <c r="AC4719" s="4">
        <f t="shared" si="721"/>
        <v>0</v>
      </c>
      <c r="AD4719" s="6">
        <f t="shared" ref="AD4719:AD4782" si="724">V4719</f>
        <v>758672.64</v>
      </c>
      <c r="AE4719" s="2">
        <f>VLOOKUP(I4719,[1]媒体政策预估表!A:N,MATCH(O4719,[1]媒体政策预估表!$A$2:$M$2,0),0)</f>
        <v>0.09</v>
      </c>
      <c r="AF4719" s="6">
        <f t="shared" si="722"/>
        <v>68280.537599999996</v>
      </c>
      <c r="AG4719" s="14">
        <v>0</v>
      </c>
      <c r="AH4719" s="65">
        <f t="shared" ref="AH4719:AH4782" si="725">AD4719</f>
        <v>758672.64</v>
      </c>
      <c r="AI4719" s="47"/>
      <c r="AJ4719" s="126" t="e">
        <v>#N/A</v>
      </c>
      <c r="AK4719" s="80">
        <f t="shared" si="720"/>
        <v>0</v>
      </c>
      <c r="AM4719" s="85"/>
    </row>
    <row r="4720" spans="1:39" hidden="1" x14ac:dyDescent="0.3">
      <c r="A4720" s="89" t="s">
        <v>3582</v>
      </c>
      <c r="B4720" s="86" t="s">
        <v>35</v>
      </c>
      <c r="C4720" s="86" t="s">
        <v>47</v>
      </c>
      <c r="D4720" s="86" t="s">
        <v>48</v>
      </c>
      <c r="E4720" s="86" t="s">
        <v>550</v>
      </c>
      <c r="F4720" s="86" t="s">
        <v>551</v>
      </c>
      <c r="G4720" s="86" t="s">
        <v>550</v>
      </c>
      <c r="H4720" s="144">
        <v>22</v>
      </c>
      <c r="I4720" s="86" t="s">
        <v>2935</v>
      </c>
      <c r="J4720" s="1" t="s">
        <v>3302</v>
      </c>
      <c r="K4720" s="1" t="s">
        <v>3371</v>
      </c>
      <c r="L4720" s="1" t="s">
        <v>35</v>
      </c>
      <c r="M4720" s="86" t="s">
        <v>3588</v>
      </c>
      <c r="N4720" s="86"/>
      <c r="O4720" s="47" t="s">
        <v>45</v>
      </c>
      <c r="P4720" s="47" t="s">
        <v>46</v>
      </c>
      <c r="Q4720" s="14">
        <v>0.06</v>
      </c>
      <c r="R4720" s="143">
        <v>247382</v>
      </c>
      <c r="S4720" s="47"/>
      <c r="T4720" s="6">
        <v>0</v>
      </c>
      <c r="U4720" s="6">
        <v>250000</v>
      </c>
      <c r="V4720" s="6">
        <v>82614.59</v>
      </c>
      <c r="W4720" s="6">
        <f t="shared" si="723"/>
        <v>167385.41</v>
      </c>
      <c r="X4720" s="6">
        <f t="shared" si="717"/>
        <v>77938.292452830181</v>
      </c>
      <c r="Y4720" s="13">
        <f t="shared" si="718"/>
        <v>0</v>
      </c>
      <c r="Z4720" s="14">
        <v>0</v>
      </c>
      <c r="AA4720" s="6">
        <v>0</v>
      </c>
      <c r="AB4720" s="4">
        <f t="shared" si="719"/>
        <v>77938.292452830181</v>
      </c>
      <c r="AC4720" s="4">
        <f t="shared" si="721"/>
        <v>4676.2975471698155</v>
      </c>
      <c r="AD4720" s="6">
        <f t="shared" si="724"/>
        <v>82614.59</v>
      </c>
      <c r="AE4720" s="2">
        <f>VLOOKUP(I4720,[1]媒体政策预估表!A:N,MATCH(O4720,[1]媒体政策预估表!$A$2:$M$2,0),0)</f>
        <v>0.18</v>
      </c>
      <c r="AF4720" s="6">
        <f t="shared" si="722"/>
        <v>14870.626199999999</v>
      </c>
      <c r="AG4720" s="14">
        <v>0</v>
      </c>
      <c r="AH4720" s="65">
        <f t="shared" si="725"/>
        <v>82614.59</v>
      </c>
      <c r="AI4720" s="47"/>
      <c r="AJ4720" s="126" t="e">
        <v>#N/A</v>
      </c>
      <c r="AK4720" s="80">
        <f t="shared" si="720"/>
        <v>0</v>
      </c>
      <c r="AM4720" s="85"/>
    </row>
    <row r="4721" spans="1:39" hidden="1" x14ac:dyDescent="0.3">
      <c r="A4721" s="89" t="s">
        <v>3582</v>
      </c>
      <c r="B4721" s="86" t="s">
        <v>35</v>
      </c>
      <c r="C4721" s="86" t="s">
        <v>144</v>
      </c>
      <c r="D4721" s="86" t="s">
        <v>145</v>
      </c>
      <c r="E4721" s="86" t="s">
        <v>3589</v>
      </c>
      <c r="F4721" s="86" t="s">
        <v>3589</v>
      </c>
      <c r="G4721" s="86" t="s">
        <v>3589</v>
      </c>
      <c r="H4721" s="144">
        <v>22</v>
      </c>
      <c r="I4721" s="86" t="s">
        <v>2935</v>
      </c>
      <c r="J4721" s="1" t="s">
        <v>3302</v>
      </c>
      <c r="K4721" s="1" t="s">
        <v>3371</v>
      </c>
      <c r="L4721" s="1" t="s">
        <v>35</v>
      </c>
      <c r="M4721" s="86" t="s">
        <v>3590</v>
      </c>
      <c r="N4721" s="86"/>
      <c r="O4721" s="47" t="s">
        <v>410</v>
      </c>
      <c r="P4721" s="47" t="s">
        <v>46</v>
      </c>
      <c r="Q4721" s="14">
        <v>0.04</v>
      </c>
      <c r="R4721" s="143">
        <v>247722</v>
      </c>
      <c r="S4721" s="47"/>
      <c r="T4721" s="6">
        <v>0</v>
      </c>
      <c r="U4721" s="6">
        <v>50000</v>
      </c>
      <c r="V4721" s="6">
        <v>46979.72</v>
      </c>
      <c r="W4721" s="6">
        <f t="shared" si="723"/>
        <v>3020.2799999999988</v>
      </c>
      <c r="X4721" s="6">
        <f t="shared" si="717"/>
        <v>45172.807692307695</v>
      </c>
      <c r="Y4721" s="13">
        <f t="shared" si="718"/>
        <v>0</v>
      </c>
      <c r="Z4721" s="14">
        <v>0</v>
      </c>
      <c r="AA4721" s="6">
        <v>0</v>
      </c>
      <c r="AB4721" s="4">
        <f t="shared" si="719"/>
        <v>45172.807692307695</v>
      </c>
      <c r="AC4721" s="4">
        <f t="shared" si="721"/>
        <v>1806.9123076923061</v>
      </c>
      <c r="AD4721" s="6">
        <f t="shared" si="724"/>
        <v>46979.72</v>
      </c>
      <c r="AE4721" s="2">
        <f>VLOOKUP(I4721,[1]媒体政策预估表!A:N,MATCH(O4721,[1]媒体政策预估表!$A$2:$M$2,0),0)</f>
        <v>0.09</v>
      </c>
      <c r="AF4721" s="6">
        <f t="shared" si="722"/>
        <v>4228.1747999999998</v>
      </c>
      <c r="AG4721" s="14">
        <v>0</v>
      </c>
      <c r="AH4721" s="65">
        <f t="shared" si="725"/>
        <v>46979.72</v>
      </c>
      <c r="AI4721" s="47"/>
      <c r="AJ4721" s="126" t="e">
        <v>#N/A</v>
      </c>
      <c r="AK4721" s="80">
        <f t="shared" si="720"/>
        <v>0</v>
      </c>
      <c r="AM4721" s="85"/>
    </row>
    <row r="4722" spans="1:39" hidden="1" x14ac:dyDescent="0.3">
      <c r="A4722" s="89" t="s">
        <v>3397</v>
      </c>
      <c r="B4722" s="86" t="s">
        <v>35</v>
      </c>
      <c r="C4722" s="86" t="s">
        <v>144</v>
      </c>
      <c r="D4722" s="86" t="s">
        <v>145</v>
      </c>
      <c r="E4722" s="86" t="s">
        <v>2988</v>
      </c>
      <c r="F4722" s="86" t="s">
        <v>2989</v>
      </c>
      <c r="G4722" s="86" t="s">
        <v>2988</v>
      </c>
      <c r="H4722" s="144">
        <v>22</v>
      </c>
      <c r="I4722" s="86" t="s">
        <v>2935</v>
      </c>
      <c r="J4722" s="1" t="s">
        <v>3302</v>
      </c>
      <c r="K4722" s="1" t="s">
        <v>3371</v>
      </c>
      <c r="L4722" s="1" t="s">
        <v>35</v>
      </c>
      <c r="M4722" s="86" t="s">
        <v>2990</v>
      </c>
      <c r="N4722" s="86"/>
      <c r="O4722" s="47" t="s">
        <v>410</v>
      </c>
      <c r="P4722" s="47" t="s">
        <v>46</v>
      </c>
      <c r="Q4722" s="14">
        <v>0.02</v>
      </c>
      <c r="R4722" s="143">
        <v>36132</v>
      </c>
      <c r="S4722" s="47"/>
      <c r="T4722" s="6">
        <v>171562.6099999999</v>
      </c>
      <c r="U4722" s="6">
        <v>204000</v>
      </c>
      <c r="V4722" s="6">
        <v>154963.07999999999</v>
      </c>
      <c r="W4722" s="6">
        <f t="shared" si="723"/>
        <v>220599.52999999988</v>
      </c>
      <c r="X4722" s="6">
        <f t="shared" si="717"/>
        <v>151924.5882352941</v>
      </c>
      <c r="Y4722" s="13">
        <f t="shared" si="718"/>
        <v>0</v>
      </c>
      <c r="Z4722" s="14">
        <v>0</v>
      </c>
      <c r="AA4722" s="6">
        <v>0</v>
      </c>
      <c r="AB4722" s="4">
        <f t="shared" si="719"/>
        <v>151924.5882352941</v>
      </c>
      <c r="AC4722" s="4">
        <f t="shared" si="721"/>
        <v>3038.4917647058901</v>
      </c>
      <c r="AD4722" s="6">
        <f t="shared" si="724"/>
        <v>154963.07999999999</v>
      </c>
      <c r="AE4722" s="2">
        <f>VLOOKUP(I4722,[1]媒体政策预估表!A:N,MATCH(O4722,[1]媒体政策预估表!$A$2:$M$2,0),0)</f>
        <v>0.09</v>
      </c>
      <c r="AF4722" s="6">
        <f t="shared" si="722"/>
        <v>13946.677199999998</v>
      </c>
      <c r="AG4722" s="14">
        <v>0</v>
      </c>
      <c r="AH4722" s="65">
        <f t="shared" si="725"/>
        <v>154963.07999999999</v>
      </c>
      <c r="AI4722" s="47"/>
      <c r="AJ4722" s="126" t="e">
        <v>#N/A</v>
      </c>
      <c r="AK4722" s="80">
        <f t="shared" si="720"/>
        <v>0</v>
      </c>
      <c r="AM4722" s="85"/>
    </row>
    <row r="4723" spans="1:39" hidden="1" x14ac:dyDescent="0.3">
      <c r="A4723" s="89" t="s">
        <v>3397</v>
      </c>
      <c r="B4723" s="86" t="s">
        <v>35</v>
      </c>
      <c r="C4723" s="86" t="s">
        <v>144</v>
      </c>
      <c r="D4723" s="86" t="s">
        <v>145</v>
      </c>
      <c r="E4723" s="86" t="s">
        <v>925</v>
      </c>
      <c r="F4723" s="86" t="s">
        <v>925</v>
      </c>
      <c r="G4723" s="86" t="s">
        <v>925</v>
      </c>
      <c r="H4723" s="143">
        <v>22</v>
      </c>
      <c r="I4723" s="86" t="s">
        <v>2935</v>
      </c>
      <c r="J4723" s="1" t="s">
        <v>3302</v>
      </c>
      <c r="K4723" s="1" t="s">
        <v>3371</v>
      </c>
      <c r="L4723" s="1" t="s">
        <v>35</v>
      </c>
      <c r="M4723" s="86" t="s">
        <v>2189</v>
      </c>
      <c r="N4723" s="86"/>
      <c r="O4723" s="47" t="s">
        <v>45</v>
      </c>
      <c r="P4723" s="47" t="s">
        <v>46</v>
      </c>
      <c r="Q4723" s="14">
        <v>0.02</v>
      </c>
      <c r="R4723" s="143">
        <v>109322</v>
      </c>
      <c r="S4723" s="47"/>
      <c r="T4723" s="6">
        <v>0</v>
      </c>
      <c r="U4723" s="6">
        <v>9829.09</v>
      </c>
      <c r="V4723" s="6">
        <v>0</v>
      </c>
      <c r="W4723" s="6">
        <f t="shared" si="723"/>
        <v>9829.09</v>
      </c>
      <c r="X4723" s="6">
        <f t="shared" si="717"/>
        <v>0</v>
      </c>
      <c r="Y4723" s="13">
        <f t="shared" si="718"/>
        <v>0</v>
      </c>
      <c r="Z4723" s="14">
        <v>0</v>
      </c>
      <c r="AA4723" s="6">
        <v>0</v>
      </c>
      <c r="AB4723" s="4">
        <f t="shared" si="719"/>
        <v>0</v>
      </c>
      <c r="AC4723" s="4">
        <f t="shared" si="721"/>
        <v>0</v>
      </c>
      <c r="AD4723" s="6">
        <f t="shared" si="724"/>
        <v>0</v>
      </c>
      <c r="AE4723" s="2">
        <f>VLOOKUP(I4723,[1]媒体政策预估表!A:N,MATCH(O4723,[1]媒体政策预估表!$A$2:$M$2,0),0)</f>
        <v>0.18</v>
      </c>
      <c r="AF4723" s="6">
        <f t="shared" si="722"/>
        <v>0</v>
      </c>
      <c r="AG4723" s="14">
        <v>0</v>
      </c>
      <c r="AH4723" s="65">
        <f t="shared" si="725"/>
        <v>0</v>
      </c>
      <c r="AI4723" s="47"/>
      <c r="AJ4723" s="126" t="e">
        <v>#N/A</v>
      </c>
      <c r="AK4723" s="80">
        <f t="shared" si="720"/>
        <v>0</v>
      </c>
      <c r="AM4723" s="85"/>
    </row>
    <row r="4724" spans="1:39" hidden="1" x14ac:dyDescent="0.3">
      <c r="A4724" s="89" t="s">
        <v>3397</v>
      </c>
      <c r="B4724" s="86" t="s">
        <v>35</v>
      </c>
      <c r="C4724" s="86" t="s">
        <v>144</v>
      </c>
      <c r="D4724" s="86" t="s">
        <v>145</v>
      </c>
      <c r="E4724" s="86" t="s">
        <v>925</v>
      </c>
      <c r="F4724" s="86" t="s">
        <v>925</v>
      </c>
      <c r="G4724" s="86" t="s">
        <v>925</v>
      </c>
      <c r="H4724" s="143">
        <v>22</v>
      </c>
      <c r="I4724" s="86" t="s">
        <v>2935</v>
      </c>
      <c r="J4724" s="1" t="s">
        <v>3302</v>
      </c>
      <c r="K4724" s="1" t="s">
        <v>3371</v>
      </c>
      <c r="L4724" s="1" t="s">
        <v>35</v>
      </c>
      <c r="M4724" s="86" t="s">
        <v>2189</v>
      </c>
      <c r="N4724" s="86"/>
      <c r="O4724" s="47" t="s">
        <v>45</v>
      </c>
      <c r="P4724" s="47" t="s">
        <v>46</v>
      </c>
      <c r="Q4724" s="14">
        <v>0.1</v>
      </c>
      <c r="R4724" s="143">
        <v>109322</v>
      </c>
      <c r="S4724" s="47"/>
      <c r="T4724" s="6">
        <v>10600</v>
      </c>
      <c r="U4724" s="6">
        <v>-10600</v>
      </c>
      <c r="V4724" s="6">
        <v>0</v>
      </c>
      <c r="W4724" s="6">
        <f t="shared" si="723"/>
        <v>0</v>
      </c>
      <c r="X4724" s="6">
        <f t="shared" si="717"/>
        <v>0</v>
      </c>
      <c r="Y4724" s="13">
        <f t="shared" si="718"/>
        <v>0</v>
      </c>
      <c r="Z4724" s="14">
        <v>0</v>
      </c>
      <c r="AA4724" s="6">
        <v>0</v>
      </c>
      <c r="AB4724" s="4">
        <f t="shared" si="719"/>
        <v>0</v>
      </c>
      <c r="AC4724" s="4">
        <f t="shared" si="721"/>
        <v>0</v>
      </c>
      <c r="AD4724" s="6">
        <f t="shared" si="724"/>
        <v>0</v>
      </c>
      <c r="AE4724" s="2">
        <f>VLOOKUP(I4724,[1]媒体政策预估表!A:N,MATCH(O4724,[1]媒体政策预估表!$A$2:$M$2,0),0)</f>
        <v>0.18</v>
      </c>
      <c r="AF4724" s="6">
        <f t="shared" si="722"/>
        <v>0</v>
      </c>
      <c r="AG4724" s="14">
        <v>0</v>
      </c>
      <c r="AH4724" s="65">
        <f t="shared" si="725"/>
        <v>0</v>
      </c>
      <c r="AI4724" s="47"/>
      <c r="AJ4724" s="126" t="e">
        <v>#N/A</v>
      </c>
      <c r="AK4724" s="80">
        <f t="shared" si="720"/>
        <v>0</v>
      </c>
      <c r="AM4724" s="85"/>
    </row>
    <row r="4725" spans="1:39" hidden="1" x14ac:dyDescent="0.3">
      <c r="A4725" s="89" t="s">
        <v>3583</v>
      </c>
      <c r="B4725" s="86" t="s">
        <v>35</v>
      </c>
      <c r="C4725" s="86" t="s">
        <v>144</v>
      </c>
      <c r="D4725" s="86" t="s">
        <v>145</v>
      </c>
      <c r="E4725" s="86" t="s">
        <v>150</v>
      </c>
      <c r="F4725" s="86" t="s">
        <v>151</v>
      </c>
      <c r="G4725" s="86" t="s">
        <v>150</v>
      </c>
      <c r="H4725" s="144">
        <v>22</v>
      </c>
      <c r="I4725" s="86" t="s">
        <v>2935</v>
      </c>
      <c r="J4725" s="1" t="s">
        <v>3302</v>
      </c>
      <c r="K4725" s="1" t="s">
        <v>3371</v>
      </c>
      <c r="L4725" s="1" t="s">
        <v>35</v>
      </c>
      <c r="M4725" s="86" t="s">
        <v>2991</v>
      </c>
      <c r="N4725" s="86"/>
      <c r="O4725" s="47" t="s">
        <v>45</v>
      </c>
      <c r="P4725" s="47" t="s">
        <v>46</v>
      </c>
      <c r="Q4725" s="14">
        <v>0.06</v>
      </c>
      <c r="R4725" s="143">
        <v>95122</v>
      </c>
      <c r="S4725" s="47"/>
      <c r="T4725" s="6">
        <v>-4116.1499999999996</v>
      </c>
      <c r="U4725" s="6">
        <v>79.16</v>
      </c>
      <c r="V4725" s="6">
        <v>4252.8100000000004</v>
      </c>
      <c r="W4725" s="6">
        <f t="shared" si="723"/>
        <v>-8289.7999999999993</v>
      </c>
      <c r="X4725" s="6">
        <f t="shared" si="717"/>
        <v>4012.0849056603774</v>
      </c>
      <c r="Y4725" s="13">
        <f t="shared" si="718"/>
        <v>0</v>
      </c>
      <c r="Z4725" s="14">
        <v>0</v>
      </c>
      <c r="AA4725" s="6">
        <v>0</v>
      </c>
      <c r="AB4725" s="4">
        <f t="shared" si="719"/>
        <v>4012.0849056603774</v>
      </c>
      <c r="AC4725" s="4">
        <f t="shared" si="721"/>
        <v>240.72509433962296</v>
      </c>
      <c r="AD4725" s="6">
        <f t="shared" si="724"/>
        <v>4252.8100000000004</v>
      </c>
      <c r="AE4725" s="2">
        <f>VLOOKUP(I4725,[1]媒体政策预估表!A:N,MATCH(O4725,[1]媒体政策预估表!$A$2:$M$2,0),0)</f>
        <v>0.18</v>
      </c>
      <c r="AF4725" s="6">
        <f t="shared" si="722"/>
        <v>765.50580000000002</v>
      </c>
      <c r="AG4725" s="14">
        <v>0</v>
      </c>
      <c r="AH4725" s="65">
        <f t="shared" si="725"/>
        <v>4252.8100000000004</v>
      </c>
      <c r="AI4725" s="47"/>
      <c r="AJ4725" s="126" t="e">
        <v>#N/A</v>
      </c>
      <c r="AK4725" s="80">
        <f t="shared" si="720"/>
        <v>0</v>
      </c>
      <c r="AM4725" s="85"/>
    </row>
    <row r="4726" spans="1:39" hidden="1" x14ac:dyDescent="0.3">
      <c r="A4726" s="89" t="s">
        <v>3397</v>
      </c>
      <c r="B4726" s="86" t="s">
        <v>35</v>
      </c>
      <c r="C4726" s="86" t="s">
        <v>144</v>
      </c>
      <c r="D4726" s="86" t="s">
        <v>145</v>
      </c>
      <c r="E4726" s="86" t="s">
        <v>150</v>
      </c>
      <c r="F4726" s="86" t="s">
        <v>151</v>
      </c>
      <c r="G4726" s="86" t="s">
        <v>150</v>
      </c>
      <c r="H4726" s="144">
        <v>22</v>
      </c>
      <c r="I4726" s="86" t="s">
        <v>2935</v>
      </c>
      <c r="J4726" s="1" t="s">
        <v>3302</v>
      </c>
      <c r="K4726" s="1" t="s">
        <v>3371</v>
      </c>
      <c r="L4726" s="1" t="s">
        <v>35</v>
      </c>
      <c r="M4726" s="86" t="s">
        <v>2992</v>
      </c>
      <c r="N4726" s="86"/>
      <c r="O4726" s="47" t="s">
        <v>45</v>
      </c>
      <c r="P4726" s="47" t="s">
        <v>46</v>
      </c>
      <c r="Q4726" s="14">
        <v>0.06</v>
      </c>
      <c r="R4726" s="143">
        <v>99452</v>
      </c>
      <c r="S4726" s="47"/>
      <c r="T4726" s="6">
        <v>-231306.86</v>
      </c>
      <c r="U4726" s="6">
        <v>4448.21</v>
      </c>
      <c r="V4726" s="6">
        <v>240804.94</v>
      </c>
      <c r="W4726" s="6">
        <f t="shared" si="723"/>
        <v>-467663.58999999997</v>
      </c>
      <c r="X4726" s="6">
        <f t="shared" si="717"/>
        <v>227174.47169811319</v>
      </c>
      <c r="Y4726" s="13">
        <f t="shared" si="718"/>
        <v>0</v>
      </c>
      <c r="Z4726" s="14">
        <v>0</v>
      </c>
      <c r="AA4726" s="6">
        <v>0</v>
      </c>
      <c r="AB4726" s="4">
        <f t="shared" si="719"/>
        <v>227174.47169811319</v>
      </c>
      <c r="AC4726" s="4">
        <f t="shared" si="721"/>
        <v>13630.468301886809</v>
      </c>
      <c r="AD4726" s="6">
        <f t="shared" si="724"/>
        <v>240804.94</v>
      </c>
      <c r="AE4726" s="2">
        <f>VLOOKUP(I4726,[1]媒体政策预估表!A:N,MATCH(O4726,[1]媒体政策预估表!$A$2:$M$2,0),0)</f>
        <v>0.18</v>
      </c>
      <c r="AF4726" s="6">
        <f t="shared" si="722"/>
        <v>43344.889199999998</v>
      </c>
      <c r="AG4726" s="14">
        <v>0</v>
      </c>
      <c r="AH4726" s="65">
        <f t="shared" si="725"/>
        <v>240804.94</v>
      </c>
      <c r="AI4726" s="47"/>
      <c r="AJ4726" s="126" t="e">
        <v>#N/A</v>
      </c>
      <c r="AK4726" s="80">
        <f t="shared" si="720"/>
        <v>0</v>
      </c>
      <c r="AM4726" s="85"/>
    </row>
    <row r="4727" spans="1:39" hidden="1" x14ac:dyDescent="0.3">
      <c r="A4727" s="89" t="s">
        <v>3397</v>
      </c>
      <c r="B4727" s="86" t="s">
        <v>35</v>
      </c>
      <c r="C4727" s="86" t="s">
        <v>144</v>
      </c>
      <c r="D4727" s="86" t="s">
        <v>145</v>
      </c>
      <c r="E4727" s="86" t="s">
        <v>150</v>
      </c>
      <c r="F4727" s="86" t="s">
        <v>151</v>
      </c>
      <c r="G4727" s="86" t="s">
        <v>150</v>
      </c>
      <c r="H4727" s="144">
        <v>22</v>
      </c>
      <c r="I4727" s="86" t="s">
        <v>2935</v>
      </c>
      <c r="J4727" s="1" t="s">
        <v>3302</v>
      </c>
      <c r="K4727" s="1" t="s">
        <v>3371</v>
      </c>
      <c r="L4727" s="1" t="s">
        <v>35</v>
      </c>
      <c r="M4727" s="86" t="s">
        <v>2992</v>
      </c>
      <c r="N4727" s="86"/>
      <c r="O4727" s="47" t="s">
        <v>410</v>
      </c>
      <c r="P4727" s="47" t="s">
        <v>46</v>
      </c>
      <c r="Q4727" s="14">
        <v>0.04</v>
      </c>
      <c r="R4727" s="143">
        <v>99452</v>
      </c>
      <c r="S4727" s="47"/>
      <c r="T4727" s="6">
        <v>327205.82000000007</v>
      </c>
      <c r="U4727" s="6">
        <v>1040000</v>
      </c>
      <c r="V4727" s="6">
        <v>682872.11</v>
      </c>
      <c r="W4727" s="6">
        <f t="shared" si="723"/>
        <v>684333.71000000008</v>
      </c>
      <c r="X4727" s="6">
        <f t="shared" si="717"/>
        <v>656607.79807692301</v>
      </c>
      <c r="Y4727" s="13">
        <f t="shared" si="718"/>
        <v>0</v>
      </c>
      <c r="Z4727" s="14">
        <v>0</v>
      </c>
      <c r="AA4727" s="6">
        <v>0</v>
      </c>
      <c r="AB4727" s="4">
        <f t="shared" si="719"/>
        <v>656607.79807692301</v>
      </c>
      <c r="AC4727" s="4">
        <f t="shared" si="721"/>
        <v>26264.311923076981</v>
      </c>
      <c r="AD4727" s="6">
        <f t="shared" si="724"/>
        <v>682872.11</v>
      </c>
      <c r="AE4727" s="2">
        <f>VLOOKUP(I4727,[1]媒体政策预估表!A:N,MATCH(O4727,[1]媒体政策预估表!$A$2:$M$2,0),0)</f>
        <v>0.09</v>
      </c>
      <c r="AF4727" s="6">
        <f t="shared" si="722"/>
        <v>61458.489899999993</v>
      </c>
      <c r="AG4727" s="14">
        <v>0</v>
      </c>
      <c r="AH4727" s="65">
        <f t="shared" si="725"/>
        <v>682872.11</v>
      </c>
      <c r="AI4727" s="47"/>
      <c r="AJ4727" s="126" t="e">
        <v>#N/A</v>
      </c>
      <c r="AK4727" s="80">
        <f t="shared" si="720"/>
        <v>0</v>
      </c>
      <c r="AM4727" s="85"/>
    </row>
    <row r="4728" spans="1:39" hidden="1" x14ac:dyDescent="0.3">
      <c r="A4728" s="89" t="s">
        <v>3582</v>
      </c>
      <c r="B4728" s="86" t="s">
        <v>35</v>
      </c>
      <c r="C4728" s="86" t="s">
        <v>144</v>
      </c>
      <c r="D4728" s="86" t="s">
        <v>145</v>
      </c>
      <c r="E4728" s="86" t="s">
        <v>150</v>
      </c>
      <c r="F4728" s="86" t="s">
        <v>151</v>
      </c>
      <c r="G4728" s="86" t="s">
        <v>150</v>
      </c>
      <c r="H4728" s="144">
        <v>22</v>
      </c>
      <c r="I4728" s="86" t="s">
        <v>2935</v>
      </c>
      <c r="J4728" s="1" t="s">
        <v>3302</v>
      </c>
      <c r="K4728" s="1" t="s">
        <v>3371</v>
      </c>
      <c r="L4728" s="1" t="s">
        <v>35</v>
      </c>
      <c r="M4728" s="86" t="s">
        <v>2993</v>
      </c>
      <c r="N4728" s="86"/>
      <c r="O4728" s="47" t="s">
        <v>45</v>
      </c>
      <c r="P4728" s="47" t="s">
        <v>46</v>
      </c>
      <c r="Q4728" s="14">
        <v>0.06</v>
      </c>
      <c r="R4728" s="143">
        <v>99422</v>
      </c>
      <c r="S4728" s="47"/>
      <c r="T4728" s="6">
        <v>-3162195.33</v>
      </c>
      <c r="U4728" s="6">
        <v>60811.45</v>
      </c>
      <c r="V4728" s="6">
        <v>1686949.5899999999</v>
      </c>
      <c r="W4728" s="6">
        <f t="shared" si="723"/>
        <v>-4788333.47</v>
      </c>
      <c r="X4728" s="6">
        <f t="shared" si="717"/>
        <v>1591461.8773584904</v>
      </c>
      <c r="Y4728" s="13">
        <f t="shared" si="718"/>
        <v>0</v>
      </c>
      <c r="Z4728" s="14">
        <v>0</v>
      </c>
      <c r="AA4728" s="6">
        <v>0</v>
      </c>
      <c r="AB4728" s="4">
        <f t="shared" si="719"/>
        <v>1591461.8773584904</v>
      </c>
      <c r="AC4728" s="4">
        <f t="shared" si="721"/>
        <v>95487.712641509483</v>
      </c>
      <c r="AD4728" s="6">
        <f t="shared" si="724"/>
        <v>1686949.5899999999</v>
      </c>
      <c r="AE4728" s="2">
        <f>VLOOKUP(I4728,[1]媒体政策预估表!A:N,MATCH(O4728,[1]媒体政策预估表!$A$2:$M$2,0),0)</f>
        <v>0.18</v>
      </c>
      <c r="AF4728" s="6">
        <f t="shared" si="722"/>
        <v>303650.92619999999</v>
      </c>
      <c r="AG4728" s="14">
        <v>0</v>
      </c>
      <c r="AH4728" s="65">
        <f t="shared" si="725"/>
        <v>1686949.5899999999</v>
      </c>
      <c r="AI4728" s="47"/>
      <c r="AJ4728" s="126" t="e">
        <v>#N/A</v>
      </c>
      <c r="AK4728" s="80">
        <f t="shared" si="720"/>
        <v>0</v>
      </c>
      <c r="AM4728" s="85"/>
    </row>
    <row r="4729" spans="1:39" hidden="1" x14ac:dyDescent="0.3">
      <c r="A4729" s="89" t="s">
        <v>3582</v>
      </c>
      <c r="B4729" s="86" t="s">
        <v>35</v>
      </c>
      <c r="C4729" s="86" t="s">
        <v>144</v>
      </c>
      <c r="D4729" s="86" t="s">
        <v>145</v>
      </c>
      <c r="E4729" s="86" t="s">
        <v>150</v>
      </c>
      <c r="F4729" s="86" t="s">
        <v>151</v>
      </c>
      <c r="G4729" s="86" t="s">
        <v>150</v>
      </c>
      <c r="H4729" s="143">
        <v>22</v>
      </c>
      <c r="I4729" s="86" t="s">
        <v>2935</v>
      </c>
      <c r="J4729" s="1" t="s">
        <v>3302</v>
      </c>
      <c r="K4729" s="1" t="s">
        <v>3371</v>
      </c>
      <c r="L4729" s="1" t="s">
        <v>35</v>
      </c>
      <c r="M4729" s="86" t="s">
        <v>2993</v>
      </c>
      <c r="N4729" s="86"/>
      <c r="O4729" s="47" t="s">
        <v>410</v>
      </c>
      <c r="P4729" s="47" t="s">
        <v>46</v>
      </c>
      <c r="Q4729" s="14">
        <v>0.04</v>
      </c>
      <c r="R4729" s="143">
        <v>99422</v>
      </c>
      <c r="S4729" s="47"/>
      <c r="T4729" s="6">
        <v>4056000</v>
      </c>
      <c r="U4729" s="6">
        <v>1248000</v>
      </c>
      <c r="V4729" s="6">
        <v>0</v>
      </c>
      <c r="W4729" s="6">
        <f t="shared" si="723"/>
        <v>5304000</v>
      </c>
      <c r="X4729" s="6">
        <f t="shared" si="717"/>
        <v>0</v>
      </c>
      <c r="Y4729" s="13">
        <f t="shared" si="718"/>
        <v>0</v>
      </c>
      <c r="Z4729" s="14">
        <v>0</v>
      </c>
      <c r="AA4729" s="6">
        <v>0</v>
      </c>
      <c r="AB4729" s="4">
        <f t="shared" si="719"/>
        <v>0</v>
      </c>
      <c r="AC4729" s="4">
        <f t="shared" si="721"/>
        <v>0</v>
      </c>
      <c r="AD4729" s="6">
        <f t="shared" si="724"/>
        <v>0</v>
      </c>
      <c r="AE4729" s="2">
        <f>VLOOKUP(I4729,[1]媒体政策预估表!A:N,MATCH(O4729,[1]媒体政策预估表!$A$2:$M$2,0),0)</f>
        <v>0.09</v>
      </c>
      <c r="AF4729" s="6">
        <f t="shared" si="722"/>
        <v>0</v>
      </c>
      <c r="AG4729" s="14">
        <v>0</v>
      </c>
      <c r="AH4729" s="65">
        <f t="shared" si="725"/>
        <v>0</v>
      </c>
      <c r="AI4729" s="47"/>
      <c r="AJ4729" s="126" t="e">
        <v>#N/A</v>
      </c>
      <c r="AK4729" s="80">
        <f t="shared" si="720"/>
        <v>0</v>
      </c>
      <c r="AM4729" s="85"/>
    </row>
    <row r="4730" spans="1:39" hidden="1" x14ac:dyDescent="0.3">
      <c r="A4730" s="89" t="s">
        <v>3583</v>
      </c>
      <c r="B4730" s="86" t="s">
        <v>35</v>
      </c>
      <c r="C4730" s="86" t="s">
        <v>144</v>
      </c>
      <c r="D4730" s="86" t="s">
        <v>145</v>
      </c>
      <c r="E4730" s="86" t="s">
        <v>150</v>
      </c>
      <c r="F4730" s="86" t="s">
        <v>151</v>
      </c>
      <c r="G4730" s="86" t="s">
        <v>150</v>
      </c>
      <c r="H4730" s="144">
        <v>22</v>
      </c>
      <c r="I4730" s="86" t="s">
        <v>2935</v>
      </c>
      <c r="J4730" s="1" t="s">
        <v>3302</v>
      </c>
      <c r="K4730" s="1" t="s">
        <v>3371</v>
      </c>
      <c r="L4730" s="1" t="s">
        <v>35</v>
      </c>
      <c r="M4730" s="86" t="s">
        <v>2994</v>
      </c>
      <c r="N4730" s="86"/>
      <c r="O4730" s="47" t="s">
        <v>45</v>
      </c>
      <c r="P4730" s="47" t="s">
        <v>46</v>
      </c>
      <c r="Q4730" s="14">
        <v>0.06</v>
      </c>
      <c r="R4730" s="143">
        <v>173702</v>
      </c>
      <c r="S4730" s="47"/>
      <c r="T4730" s="6">
        <v>-2891426.33</v>
      </c>
      <c r="U4730" s="6">
        <v>55604.35</v>
      </c>
      <c r="V4730" s="6">
        <v>3243854.1799999997</v>
      </c>
      <c r="W4730" s="6">
        <f t="shared" si="723"/>
        <v>-6079676.1600000001</v>
      </c>
      <c r="X4730" s="6">
        <f t="shared" si="717"/>
        <v>3060239.7924528299</v>
      </c>
      <c r="Y4730" s="13">
        <f t="shared" si="718"/>
        <v>0</v>
      </c>
      <c r="Z4730" s="14">
        <v>0</v>
      </c>
      <c r="AA4730" s="6">
        <v>0</v>
      </c>
      <c r="AB4730" s="4">
        <f t="shared" si="719"/>
        <v>3060239.7924528299</v>
      </c>
      <c r="AC4730" s="4">
        <f t="shared" si="721"/>
        <v>183614.38754716981</v>
      </c>
      <c r="AD4730" s="6">
        <f t="shared" si="724"/>
        <v>3243854.1799999997</v>
      </c>
      <c r="AE4730" s="2">
        <f>VLOOKUP(I4730,[1]媒体政策预估表!A:N,MATCH(O4730,[1]媒体政策预估表!$A$2:$M$2,0),0)</f>
        <v>0.18</v>
      </c>
      <c r="AF4730" s="6">
        <f t="shared" si="722"/>
        <v>583893.75239999988</v>
      </c>
      <c r="AG4730" s="14">
        <v>0</v>
      </c>
      <c r="AH4730" s="65">
        <f t="shared" si="725"/>
        <v>3243854.1799999997</v>
      </c>
      <c r="AI4730" s="47"/>
      <c r="AJ4730" s="126" t="e">
        <v>#N/A</v>
      </c>
      <c r="AK4730" s="80">
        <f t="shared" si="720"/>
        <v>0</v>
      </c>
      <c r="AM4730" s="85"/>
    </row>
    <row r="4731" spans="1:39" hidden="1" x14ac:dyDescent="0.3">
      <c r="A4731" s="89" t="s">
        <v>3582</v>
      </c>
      <c r="B4731" s="86" t="s">
        <v>35</v>
      </c>
      <c r="C4731" s="86" t="s">
        <v>144</v>
      </c>
      <c r="D4731" s="86" t="s">
        <v>145</v>
      </c>
      <c r="E4731" s="86" t="s">
        <v>150</v>
      </c>
      <c r="F4731" s="86" t="s">
        <v>151</v>
      </c>
      <c r="G4731" s="86" t="s">
        <v>150</v>
      </c>
      <c r="H4731" s="143">
        <v>22</v>
      </c>
      <c r="I4731" s="86" t="s">
        <v>2935</v>
      </c>
      <c r="J4731" s="1" t="s">
        <v>3302</v>
      </c>
      <c r="K4731" s="1" t="s">
        <v>3371</v>
      </c>
      <c r="L4731" s="1" t="s">
        <v>35</v>
      </c>
      <c r="M4731" s="86" t="s">
        <v>2994</v>
      </c>
      <c r="N4731" s="86"/>
      <c r="O4731" s="47" t="s">
        <v>410</v>
      </c>
      <c r="P4731" s="47" t="s">
        <v>46</v>
      </c>
      <c r="Q4731" s="14">
        <v>0.04</v>
      </c>
      <c r="R4731" s="143">
        <v>173702</v>
      </c>
      <c r="S4731" s="47"/>
      <c r="T4731" s="6">
        <v>4056000</v>
      </c>
      <c r="U4731" s="6">
        <v>2600000</v>
      </c>
      <c r="V4731" s="6">
        <v>0</v>
      </c>
      <c r="W4731" s="6">
        <f t="shared" si="723"/>
        <v>6656000</v>
      </c>
      <c r="X4731" s="6">
        <f t="shared" ref="X4731:X4794" si="726">IF(P4731="折扣",V4731*Q4731,IF(P4731="返现",V4731,V4731/(1+Q4731)))</f>
        <v>0</v>
      </c>
      <c r="Y4731" s="13">
        <f t="shared" si="718"/>
        <v>0</v>
      </c>
      <c r="Z4731" s="14">
        <v>0</v>
      </c>
      <c r="AA4731" s="6">
        <v>0</v>
      </c>
      <c r="AB4731" s="4">
        <f t="shared" si="719"/>
        <v>0</v>
      </c>
      <c r="AC4731" s="4">
        <f t="shared" si="721"/>
        <v>0</v>
      </c>
      <c r="AD4731" s="6">
        <f t="shared" si="724"/>
        <v>0</v>
      </c>
      <c r="AE4731" s="2">
        <f>VLOOKUP(I4731,[1]媒体政策预估表!A:N,MATCH(O4731,[1]媒体政策预估表!$A$2:$M$2,0),0)</f>
        <v>0.09</v>
      </c>
      <c r="AF4731" s="6">
        <f t="shared" si="722"/>
        <v>0</v>
      </c>
      <c r="AG4731" s="14">
        <v>0</v>
      </c>
      <c r="AH4731" s="65">
        <f t="shared" si="725"/>
        <v>0</v>
      </c>
      <c r="AI4731" s="47"/>
      <c r="AJ4731" s="126" t="e">
        <v>#N/A</v>
      </c>
      <c r="AK4731" s="80">
        <f t="shared" si="720"/>
        <v>0</v>
      </c>
      <c r="AM4731" s="85"/>
    </row>
    <row r="4732" spans="1:39" hidden="1" x14ac:dyDescent="0.3">
      <c r="A4732" s="89" t="s">
        <v>3397</v>
      </c>
      <c r="B4732" s="86" t="s">
        <v>35</v>
      </c>
      <c r="C4732" s="86" t="s">
        <v>144</v>
      </c>
      <c r="D4732" s="86" t="s">
        <v>145</v>
      </c>
      <c r="E4732" s="86" t="s">
        <v>150</v>
      </c>
      <c r="F4732" s="86" t="s">
        <v>151</v>
      </c>
      <c r="G4732" s="86" t="s">
        <v>150</v>
      </c>
      <c r="H4732" s="143">
        <v>22</v>
      </c>
      <c r="I4732" s="86" t="s">
        <v>2935</v>
      </c>
      <c r="J4732" s="1" t="s">
        <v>3302</v>
      </c>
      <c r="K4732" s="1" t="s">
        <v>3371</v>
      </c>
      <c r="L4732" s="1" t="s">
        <v>35</v>
      </c>
      <c r="M4732" s="86" t="s">
        <v>2995</v>
      </c>
      <c r="N4732" s="86"/>
      <c r="O4732" s="47" t="s">
        <v>410</v>
      </c>
      <c r="P4732" s="47" t="s">
        <v>46</v>
      </c>
      <c r="Q4732" s="14">
        <v>0.04</v>
      </c>
      <c r="R4732" s="143">
        <v>246342</v>
      </c>
      <c r="S4732" s="47"/>
      <c r="T4732" s="6">
        <v>312000</v>
      </c>
      <c r="U4732" s="6">
        <v>572000</v>
      </c>
      <c r="V4732" s="6">
        <v>0</v>
      </c>
      <c r="W4732" s="6">
        <f t="shared" si="723"/>
        <v>884000</v>
      </c>
      <c r="X4732" s="6">
        <f t="shared" si="726"/>
        <v>0</v>
      </c>
      <c r="Y4732" s="13">
        <f t="shared" si="718"/>
        <v>0</v>
      </c>
      <c r="Z4732" s="14">
        <v>0</v>
      </c>
      <c r="AA4732" s="6">
        <v>0</v>
      </c>
      <c r="AB4732" s="4">
        <f t="shared" si="719"/>
        <v>0</v>
      </c>
      <c r="AC4732" s="4">
        <f t="shared" si="721"/>
        <v>0</v>
      </c>
      <c r="AD4732" s="6">
        <f t="shared" si="724"/>
        <v>0</v>
      </c>
      <c r="AE4732" s="2">
        <f>VLOOKUP(I4732,[1]媒体政策预估表!A:N,MATCH(O4732,[1]媒体政策预估表!$A$2:$M$2,0),0)</f>
        <v>0.09</v>
      </c>
      <c r="AF4732" s="6">
        <f t="shared" si="722"/>
        <v>0</v>
      </c>
      <c r="AG4732" s="14">
        <v>0</v>
      </c>
      <c r="AH4732" s="65">
        <f t="shared" si="725"/>
        <v>0</v>
      </c>
      <c r="AI4732" s="47"/>
      <c r="AJ4732" s="126" t="e">
        <v>#N/A</v>
      </c>
      <c r="AK4732" s="80">
        <f t="shared" si="720"/>
        <v>0</v>
      </c>
      <c r="AM4732" s="85"/>
    </row>
    <row r="4733" spans="1:39" hidden="1" x14ac:dyDescent="0.3">
      <c r="A4733" s="89" t="s">
        <v>3582</v>
      </c>
      <c r="B4733" s="86" t="s">
        <v>35</v>
      </c>
      <c r="C4733" s="86" t="s">
        <v>144</v>
      </c>
      <c r="D4733" s="86" t="s">
        <v>145</v>
      </c>
      <c r="E4733" s="86" t="s">
        <v>150</v>
      </c>
      <c r="F4733" s="86" t="s">
        <v>151</v>
      </c>
      <c r="G4733" s="86" t="s">
        <v>150</v>
      </c>
      <c r="H4733" s="144">
        <v>22</v>
      </c>
      <c r="I4733" s="86" t="s">
        <v>2935</v>
      </c>
      <c r="J4733" s="1" t="s">
        <v>3302</v>
      </c>
      <c r="K4733" s="1" t="s">
        <v>3371</v>
      </c>
      <c r="L4733" s="1" t="s">
        <v>35</v>
      </c>
      <c r="M4733" s="86" t="s">
        <v>2996</v>
      </c>
      <c r="N4733" s="86"/>
      <c r="O4733" s="47" t="s">
        <v>45</v>
      </c>
      <c r="P4733" s="47" t="s">
        <v>46</v>
      </c>
      <c r="Q4733" s="14">
        <v>0.06</v>
      </c>
      <c r="R4733" s="143">
        <v>82662</v>
      </c>
      <c r="S4733" s="47"/>
      <c r="T4733" s="6">
        <v>-528719.76</v>
      </c>
      <c r="U4733" s="6">
        <v>10167.69</v>
      </c>
      <c r="V4733" s="6">
        <v>189671.83000000002</v>
      </c>
      <c r="W4733" s="6">
        <f t="shared" si="723"/>
        <v>-708223.9</v>
      </c>
      <c r="X4733" s="6">
        <f t="shared" si="726"/>
        <v>178935.6886792453</v>
      </c>
      <c r="Y4733" s="13">
        <f t="shared" si="718"/>
        <v>0</v>
      </c>
      <c r="Z4733" s="14">
        <v>0</v>
      </c>
      <c r="AA4733" s="6">
        <v>0</v>
      </c>
      <c r="AB4733" s="4">
        <f t="shared" si="719"/>
        <v>178935.6886792453</v>
      </c>
      <c r="AC4733" s="4">
        <f t="shared" si="721"/>
        <v>10736.141320754716</v>
      </c>
      <c r="AD4733" s="6">
        <f t="shared" si="724"/>
        <v>189671.83000000002</v>
      </c>
      <c r="AE4733" s="2">
        <f>VLOOKUP(I4733,[1]媒体政策预估表!A:N,MATCH(O4733,[1]媒体政策预估表!$A$2:$M$2,0),0)</f>
        <v>0.18</v>
      </c>
      <c r="AF4733" s="6">
        <f t="shared" si="722"/>
        <v>34140.929400000001</v>
      </c>
      <c r="AG4733" s="14">
        <v>0</v>
      </c>
      <c r="AH4733" s="65">
        <f t="shared" si="725"/>
        <v>189671.83000000002</v>
      </c>
      <c r="AI4733" s="47"/>
      <c r="AJ4733" s="126" t="e">
        <v>#N/A</v>
      </c>
      <c r="AK4733" s="80">
        <f t="shared" si="720"/>
        <v>0</v>
      </c>
      <c r="AM4733" s="85"/>
    </row>
    <row r="4734" spans="1:39" hidden="1" x14ac:dyDescent="0.3">
      <c r="A4734" s="89" t="s">
        <v>3582</v>
      </c>
      <c r="B4734" s="86" t="s">
        <v>35</v>
      </c>
      <c r="C4734" s="86" t="s">
        <v>144</v>
      </c>
      <c r="D4734" s="86" t="s">
        <v>145</v>
      </c>
      <c r="E4734" s="86" t="s">
        <v>150</v>
      </c>
      <c r="F4734" s="86" t="s">
        <v>151</v>
      </c>
      <c r="G4734" s="86" t="s">
        <v>150</v>
      </c>
      <c r="H4734" s="144">
        <v>22</v>
      </c>
      <c r="I4734" s="86" t="s">
        <v>2935</v>
      </c>
      <c r="J4734" s="1" t="s">
        <v>3302</v>
      </c>
      <c r="K4734" s="1" t="s">
        <v>3371</v>
      </c>
      <c r="L4734" s="1" t="s">
        <v>35</v>
      </c>
      <c r="M4734" s="86" t="s">
        <v>2996</v>
      </c>
      <c r="N4734" s="86"/>
      <c r="O4734" s="47" t="s">
        <v>410</v>
      </c>
      <c r="P4734" s="47" t="s">
        <v>46</v>
      </c>
      <c r="Q4734" s="14">
        <v>0.04</v>
      </c>
      <c r="R4734" s="143">
        <v>82662</v>
      </c>
      <c r="S4734" s="47"/>
      <c r="T4734" s="6">
        <v>677000</v>
      </c>
      <c r="U4734" s="6">
        <v>520000</v>
      </c>
      <c r="V4734" s="6">
        <v>140000</v>
      </c>
      <c r="W4734" s="6">
        <f t="shared" si="723"/>
        <v>1057000</v>
      </c>
      <c r="X4734" s="6">
        <f t="shared" si="726"/>
        <v>134615.38461538462</v>
      </c>
      <c r="Y4734" s="13">
        <f t="shared" si="718"/>
        <v>0</v>
      </c>
      <c r="Z4734" s="14">
        <v>0</v>
      </c>
      <c r="AA4734" s="6">
        <v>0</v>
      </c>
      <c r="AB4734" s="4">
        <f t="shared" si="719"/>
        <v>134615.38461538462</v>
      </c>
      <c r="AC4734" s="4">
        <f t="shared" si="721"/>
        <v>5384.6153846153757</v>
      </c>
      <c r="AD4734" s="6">
        <f t="shared" si="724"/>
        <v>140000</v>
      </c>
      <c r="AE4734" s="2">
        <f>VLOOKUP(I4734,[1]媒体政策预估表!A:N,MATCH(O4734,[1]媒体政策预估表!$A$2:$M$2,0),0)</f>
        <v>0.09</v>
      </c>
      <c r="AF4734" s="6">
        <f t="shared" si="722"/>
        <v>12600</v>
      </c>
      <c r="AG4734" s="14">
        <v>0</v>
      </c>
      <c r="AH4734" s="65">
        <f t="shared" si="725"/>
        <v>140000</v>
      </c>
      <c r="AI4734" s="47"/>
      <c r="AJ4734" s="126" t="e">
        <v>#N/A</v>
      </c>
      <c r="AK4734" s="80">
        <f t="shared" si="720"/>
        <v>0</v>
      </c>
      <c r="AM4734" s="85"/>
    </row>
    <row r="4735" spans="1:39" hidden="1" x14ac:dyDescent="0.3">
      <c r="A4735" s="89" t="s">
        <v>3583</v>
      </c>
      <c r="B4735" s="86" t="s">
        <v>35</v>
      </c>
      <c r="C4735" s="86" t="s">
        <v>144</v>
      </c>
      <c r="D4735" s="86" t="s">
        <v>152</v>
      </c>
      <c r="E4735" s="86" t="s">
        <v>2997</v>
      </c>
      <c r="F4735" s="86" t="s">
        <v>2997</v>
      </c>
      <c r="G4735" s="86" t="s">
        <v>2997</v>
      </c>
      <c r="H4735" s="144">
        <v>22</v>
      </c>
      <c r="I4735" s="86" t="s">
        <v>2935</v>
      </c>
      <c r="J4735" s="1" t="s">
        <v>3302</v>
      </c>
      <c r="K4735" s="1" t="s">
        <v>3371</v>
      </c>
      <c r="L4735" s="1" t="s">
        <v>35</v>
      </c>
      <c r="M4735" s="86" t="s">
        <v>2997</v>
      </c>
      <c r="N4735" s="86"/>
      <c r="O4735" s="47" t="s">
        <v>410</v>
      </c>
      <c r="P4735" s="47" t="s">
        <v>41</v>
      </c>
      <c r="Q4735" s="14">
        <v>0</v>
      </c>
      <c r="R4735" s="143">
        <v>129832</v>
      </c>
      <c r="S4735" s="47"/>
      <c r="T4735" s="6">
        <v>23140.870000000017</v>
      </c>
      <c r="U4735" s="6">
        <v>30000</v>
      </c>
      <c r="V4735" s="6">
        <v>33992.5</v>
      </c>
      <c r="W4735" s="6">
        <f t="shared" si="723"/>
        <v>19148.370000000017</v>
      </c>
      <c r="X4735" s="6">
        <f t="shared" si="726"/>
        <v>33992.5</v>
      </c>
      <c r="Y4735" s="13">
        <f t="shared" si="718"/>
        <v>0</v>
      </c>
      <c r="Z4735" s="14">
        <v>0</v>
      </c>
      <c r="AA4735" s="6">
        <v>0</v>
      </c>
      <c r="AB4735" s="4">
        <f t="shared" si="719"/>
        <v>33992.5</v>
      </c>
      <c r="AC4735" s="4">
        <f t="shared" si="721"/>
        <v>0</v>
      </c>
      <c r="AD4735" s="6">
        <f t="shared" si="724"/>
        <v>33992.5</v>
      </c>
      <c r="AE4735" s="2">
        <f>VLOOKUP(I4735,[1]媒体政策预估表!A:N,MATCH(O4735,[1]媒体政策预估表!$A$2:$M$2,0),0)</f>
        <v>0.09</v>
      </c>
      <c r="AF4735" s="6">
        <f t="shared" si="722"/>
        <v>3059.3249999999998</v>
      </c>
      <c r="AG4735" s="14">
        <v>0</v>
      </c>
      <c r="AH4735" s="65">
        <f t="shared" si="725"/>
        <v>33992.5</v>
      </c>
      <c r="AI4735" s="47"/>
      <c r="AJ4735" s="126" t="e">
        <v>#N/A</v>
      </c>
      <c r="AK4735" s="80">
        <f t="shared" si="720"/>
        <v>0</v>
      </c>
      <c r="AM4735" s="85"/>
    </row>
    <row r="4736" spans="1:39" hidden="1" x14ac:dyDescent="0.3">
      <c r="A4736" s="89" t="s">
        <v>3582</v>
      </c>
      <c r="B4736" s="86" t="s">
        <v>35</v>
      </c>
      <c r="C4736" s="86" t="s">
        <v>144</v>
      </c>
      <c r="D4736" s="86" t="s">
        <v>152</v>
      </c>
      <c r="E4736" s="86" t="s">
        <v>159</v>
      </c>
      <c r="F4736" s="86" t="s">
        <v>159</v>
      </c>
      <c r="G4736" s="86" t="s">
        <v>159</v>
      </c>
      <c r="H4736" s="144">
        <v>22</v>
      </c>
      <c r="I4736" s="86" t="s">
        <v>2935</v>
      </c>
      <c r="J4736" s="1" t="s">
        <v>3302</v>
      </c>
      <c r="K4736" s="1" t="s">
        <v>3371</v>
      </c>
      <c r="L4736" s="1" t="s">
        <v>35</v>
      </c>
      <c r="M4736" s="86" t="s">
        <v>159</v>
      </c>
      <c r="N4736" s="86"/>
      <c r="O4736" s="47" t="s">
        <v>410</v>
      </c>
      <c r="P4736" s="47" t="s">
        <v>46</v>
      </c>
      <c r="Q4736" s="14">
        <v>0.02</v>
      </c>
      <c r="R4736" s="143">
        <v>9812</v>
      </c>
      <c r="S4736" s="47"/>
      <c r="T4736" s="6">
        <v>444871.68000000017</v>
      </c>
      <c r="U4736" s="6">
        <v>918000</v>
      </c>
      <c r="V4736" s="6">
        <v>1038031.75</v>
      </c>
      <c r="W4736" s="6">
        <f t="shared" si="723"/>
        <v>324839.93000000017</v>
      </c>
      <c r="X4736" s="6">
        <f t="shared" si="726"/>
        <v>1017678.1862745098</v>
      </c>
      <c r="Y4736" s="13">
        <f t="shared" si="718"/>
        <v>0</v>
      </c>
      <c r="Z4736" s="14">
        <v>0</v>
      </c>
      <c r="AA4736" s="6">
        <v>0</v>
      </c>
      <c r="AB4736" s="4">
        <f t="shared" si="719"/>
        <v>1017678.1862745098</v>
      </c>
      <c r="AC4736" s="4">
        <f t="shared" si="721"/>
        <v>20353.563725490239</v>
      </c>
      <c r="AD4736" s="6">
        <f t="shared" si="724"/>
        <v>1038031.75</v>
      </c>
      <c r="AE4736" s="2">
        <f>VLOOKUP(I4736,[1]媒体政策预估表!A:N,MATCH(O4736,[1]媒体政策预估表!$A$2:$M$2,0),0)</f>
        <v>0.09</v>
      </c>
      <c r="AF4736" s="6">
        <f t="shared" si="722"/>
        <v>93422.857499999998</v>
      </c>
      <c r="AG4736" s="14">
        <v>0</v>
      </c>
      <c r="AH4736" s="65">
        <f t="shared" si="725"/>
        <v>1038031.75</v>
      </c>
      <c r="AI4736" s="47"/>
      <c r="AJ4736" s="126" t="e">
        <v>#N/A</v>
      </c>
      <c r="AK4736" s="80">
        <f t="shared" si="720"/>
        <v>0</v>
      </c>
      <c r="AM4736" s="85"/>
    </row>
    <row r="4737" spans="1:39" hidden="1" x14ac:dyDescent="0.3">
      <c r="A4737" s="89" t="s">
        <v>3582</v>
      </c>
      <c r="B4737" s="86" t="s">
        <v>35</v>
      </c>
      <c r="C4737" s="86" t="s">
        <v>144</v>
      </c>
      <c r="D4737" s="86" t="s">
        <v>152</v>
      </c>
      <c r="E4737" s="86" t="s">
        <v>159</v>
      </c>
      <c r="F4737" s="86" t="s">
        <v>159</v>
      </c>
      <c r="G4737" s="86" t="s">
        <v>159</v>
      </c>
      <c r="H4737" s="144">
        <v>22</v>
      </c>
      <c r="I4737" s="86" t="s">
        <v>2935</v>
      </c>
      <c r="J4737" s="1" t="s">
        <v>3302</v>
      </c>
      <c r="K4737" s="1" t="s">
        <v>3371</v>
      </c>
      <c r="L4737" s="1" t="s">
        <v>35</v>
      </c>
      <c r="M4737" s="86" t="s">
        <v>3591</v>
      </c>
      <c r="N4737" s="86"/>
      <c r="O4737" s="47" t="s">
        <v>410</v>
      </c>
      <c r="P4737" s="47" t="s">
        <v>46</v>
      </c>
      <c r="Q4737" s="14">
        <v>0.02</v>
      </c>
      <c r="R4737" s="143">
        <v>228402</v>
      </c>
      <c r="S4737" s="47"/>
      <c r="T4737" s="6">
        <v>49655.8</v>
      </c>
      <c r="U4737" s="6">
        <v>51000</v>
      </c>
      <c r="V4737" s="6">
        <v>59013.4</v>
      </c>
      <c r="W4737" s="6">
        <f t="shared" si="723"/>
        <v>41642.400000000001</v>
      </c>
      <c r="X4737" s="6">
        <f t="shared" si="726"/>
        <v>57856.274509803923</v>
      </c>
      <c r="Y4737" s="13">
        <f t="shared" si="718"/>
        <v>0</v>
      </c>
      <c r="Z4737" s="14">
        <v>0</v>
      </c>
      <c r="AA4737" s="6">
        <v>0</v>
      </c>
      <c r="AB4737" s="4">
        <f t="shared" si="719"/>
        <v>57856.274509803923</v>
      </c>
      <c r="AC4737" s="4">
        <f t="shared" si="721"/>
        <v>1157.1254901960783</v>
      </c>
      <c r="AD4737" s="6">
        <f t="shared" si="724"/>
        <v>59013.4</v>
      </c>
      <c r="AE4737" s="2">
        <f>VLOOKUP(I4737,[1]媒体政策预估表!A:N,MATCH(O4737,[1]媒体政策预估表!$A$2:$M$2,0),0)</f>
        <v>0.09</v>
      </c>
      <c r="AF4737" s="6">
        <f t="shared" si="722"/>
        <v>5311.2060000000001</v>
      </c>
      <c r="AG4737" s="14">
        <v>0</v>
      </c>
      <c r="AH4737" s="65">
        <f t="shared" si="725"/>
        <v>59013.4</v>
      </c>
      <c r="AI4737" s="47"/>
      <c r="AJ4737" s="126" t="e">
        <v>#N/A</v>
      </c>
      <c r="AK4737" s="80">
        <f t="shared" si="720"/>
        <v>0</v>
      </c>
      <c r="AM4737" s="85"/>
    </row>
    <row r="4738" spans="1:39" hidden="1" x14ac:dyDescent="0.3">
      <c r="A4738" s="89" t="s">
        <v>3397</v>
      </c>
      <c r="B4738" s="86" t="s">
        <v>35</v>
      </c>
      <c r="C4738" s="86" t="s">
        <v>144</v>
      </c>
      <c r="D4738" s="86" t="s">
        <v>152</v>
      </c>
      <c r="E4738" s="86" t="s">
        <v>2998</v>
      </c>
      <c r="F4738" s="86" t="s">
        <v>2998</v>
      </c>
      <c r="G4738" s="86" t="s">
        <v>2998</v>
      </c>
      <c r="H4738" s="144">
        <v>22</v>
      </c>
      <c r="I4738" s="86" t="s">
        <v>2935</v>
      </c>
      <c r="J4738" s="1" t="s">
        <v>3302</v>
      </c>
      <c r="K4738" s="1" t="s">
        <v>3371</v>
      </c>
      <c r="L4738" s="1" t="s">
        <v>35</v>
      </c>
      <c r="M4738" s="86" t="s">
        <v>2998</v>
      </c>
      <c r="N4738" s="86"/>
      <c r="O4738" s="47" t="s">
        <v>410</v>
      </c>
      <c r="P4738" s="47" t="s">
        <v>41</v>
      </c>
      <c r="Q4738" s="14">
        <v>0</v>
      </c>
      <c r="R4738" s="143">
        <v>158142</v>
      </c>
      <c r="S4738" s="47"/>
      <c r="T4738" s="6">
        <v>18078.050000000003</v>
      </c>
      <c r="U4738" s="6">
        <v>100000</v>
      </c>
      <c r="V4738" s="6">
        <v>102446.37</v>
      </c>
      <c r="W4738" s="6">
        <f t="shared" si="723"/>
        <v>15631.680000000008</v>
      </c>
      <c r="X4738" s="6">
        <f t="shared" si="726"/>
        <v>102446.37</v>
      </c>
      <c r="Y4738" s="13">
        <f t="shared" si="718"/>
        <v>0</v>
      </c>
      <c r="Z4738" s="14">
        <v>0</v>
      </c>
      <c r="AA4738" s="6">
        <v>0</v>
      </c>
      <c r="AB4738" s="4">
        <f t="shared" si="719"/>
        <v>102446.37</v>
      </c>
      <c r="AC4738" s="4">
        <f t="shared" si="721"/>
        <v>0</v>
      </c>
      <c r="AD4738" s="6">
        <f t="shared" si="724"/>
        <v>102446.37</v>
      </c>
      <c r="AE4738" s="2">
        <f>VLOOKUP(I4738,[1]媒体政策预估表!A:N,MATCH(O4738,[1]媒体政策预估表!$A$2:$M$2,0),0)</f>
        <v>0.09</v>
      </c>
      <c r="AF4738" s="6">
        <f t="shared" si="722"/>
        <v>9220.1732999999986</v>
      </c>
      <c r="AG4738" s="14">
        <v>0</v>
      </c>
      <c r="AH4738" s="65">
        <f t="shared" si="725"/>
        <v>102446.37</v>
      </c>
      <c r="AI4738" s="47"/>
      <c r="AJ4738" s="126" t="e">
        <v>#N/A</v>
      </c>
      <c r="AK4738" s="80">
        <f t="shared" si="720"/>
        <v>0</v>
      </c>
      <c r="AM4738" s="85"/>
    </row>
    <row r="4739" spans="1:39" hidden="1" x14ac:dyDescent="0.3">
      <c r="A4739" s="89" t="s">
        <v>3582</v>
      </c>
      <c r="B4739" s="86" t="s">
        <v>35</v>
      </c>
      <c r="C4739" s="86" t="s">
        <v>144</v>
      </c>
      <c r="D4739" s="86" t="s">
        <v>152</v>
      </c>
      <c r="E4739" s="86" t="s">
        <v>1478</v>
      </c>
      <c r="F4739" s="86" t="s">
        <v>1478</v>
      </c>
      <c r="G4739" s="86" t="s">
        <v>1478</v>
      </c>
      <c r="H4739" s="144">
        <v>22</v>
      </c>
      <c r="I4739" s="86" t="s">
        <v>2935</v>
      </c>
      <c r="J4739" s="1" t="s">
        <v>3302</v>
      </c>
      <c r="K4739" s="1" t="s">
        <v>3371</v>
      </c>
      <c r="L4739" s="1" t="s">
        <v>35</v>
      </c>
      <c r="M4739" s="86" t="s">
        <v>2999</v>
      </c>
      <c r="N4739" s="86"/>
      <c r="O4739" s="47" t="s">
        <v>45</v>
      </c>
      <c r="P4739" s="47" t="s">
        <v>46</v>
      </c>
      <c r="Q4739" s="14">
        <v>0.1</v>
      </c>
      <c r="R4739" s="143">
        <v>246482</v>
      </c>
      <c r="S4739" s="47"/>
      <c r="T4739" s="6">
        <v>10000</v>
      </c>
      <c r="U4739" s="6">
        <v>70000</v>
      </c>
      <c r="V4739" s="6">
        <v>62699.76</v>
      </c>
      <c r="W4739" s="6">
        <f t="shared" si="723"/>
        <v>17300.239999999998</v>
      </c>
      <c r="X4739" s="6">
        <f t="shared" si="726"/>
        <v>56999.781818181815</v>
      </c>
      <c r="Y4739" s="13">
        <f t="shared" ref="Y4739:Y4802" si="727">IF(X4739-AD4739&lt;=0,0,IF(P4739="返现",MAX(X4739-AC4739-AD4739,0),MAX(X4739-AD4739)))</f>
        <v>0</v>
      </c>
      <c r="Z4739" s="14">
        <v>0</v>
      </c>
      <c r="AA4739" s="6">
        <v>0</v>
      </c>
      <c r="AB4739" s="4">
        <f t="shared" ref="AB4739:AB4802" si="728">X4739+AA4739</f>
        <v>56999.781818181815</v>
      </c>
      <c r="AC4739" s="4">
        <f t="shared" si="721"/>
        <v>5699.9781818181873</v>
      </c>
      <c r="AD4739" s="6">
        <f t="shared" si="724"/>
        <v>62699.76</v>
      </c>
      <c r="AE4739" s="2">
        <f>VLOOKUP(I4739,[1]媒体政策预估表!A:N,MATCH(O4739,[1]媒体政策预估表!$A$2:$M$2,0),0)</f>
        <v>0.18</v>
      </c>
      <c r="AF4739" s="6">
        <f t="shared" si="722"/>
        <v>11285.9568</v>
      </c>
      <c r="AG4739" s="14">
        <v>0</v>
      </c>
      <c r="AH4739" s="65">
        <f t="shared" si="725"/>
        <v>62699.76</v>
      </c>
      <c r="AI4739" s="47"/>
      <c r="AJ4739" s="126" t="e">
        <v>#N/A</v>
      </c>
      <c r="AK4739" s="80">
        <f t="shared" ref="AK4739:AK4802" si="729">X4739+AA4739-AB4739</f>
        <v>0</v>
      </c>
      <c r="AM4739" s="85"/>
    </row>
    <row r="4740" spans="1:39" hidden="1" x14ac:dyDescent="0.3">
      <c r="A4740" s="89" t="s">
        <v>3397</v>
      </c>
      <c r="B4740" s="86" t="s">
        <v>35</v>
      </c>
      <c r="C4740" s="86" t="s">
        <v>144</v>
      </c>
      <c r="D4740" s="86" t="s">
        <v>152</v>
      </c>
      <c r="E4740" s="86" t="s">
        <v>1482</v>
      </c>
      <c r="F4740" s="86" t="s">
        <v>1482</v>
      </c>
      <c r="G4740" s="86" t="s">
        <v>1482</v>
      </c>
      <c r="H4740" s="144">
        <v>22</v>
      </c>
      <c r="I4740" s="86" t="s">
        <v>2935</v>
      </c>
      <c r="J4740" s="1" t="s">
        <v>3302</v>
      </c>
      <c r="K4740" s="1" t="s">
        <v>3371</v>
      </c>
      <c r="L4740" s="1" t="s">
        <v>35</v>
      </c>
      <c r="M4740" s="86" t="s">
        <v>1482</v>
      </c>
      <c r="N4740" s="86"/>
      <c r="O4740" s="47" t="s">
        <v>410</v>
      </c>
      <c r="P4740" s="47" t="s">
        <v>41</v>
      </c>
      <c r="Q4740" s="14">
        <v>0</v>
      </c>
      <c r="R4740" s="143">
        <v>244522</v>
      </c>
      <c r="S4740" s="47"/>
      <c r="T4740" s="6">
        <v>4286</v>
      </c>
      <c r="U4740" s="6">
        <v>-4064.34</v>
      </c>
      <c r="V4740" s="6">
        <v>221.66</v>
      </c>
      <c r="W4740" s="6">
        <f t="shared" si="723"/>
        <v>0</v>
      </c>
      <c r="X4740" s="6">
        <f t="shared" si="726"/>
        <v>221.66</v>
      </c>
      <c r="Y4740" s="13">
        <f t="shared" si="727"/>
        <v>0</v>
      </c>
      <c r="Z4740" s="14">
        <v>0</v>
      </c>
      <c r="AA4740" s="6">
        <v>0</v>
      </c>
      <c r="AB4740" s="4">
        <f t="shared" si="728"/>
        <v>221.66</v>
      </c>
      <c r="AC4740" s="4">
        <f t="shared" si="721"/>
        <v>0</v>
      </c>
      <c r="AD4740" s="6">
        <f t="shared" si="724"/>
        <v>221.66</v>
      </c>
      <c r="AE4740" s="2">
        <f>VLOOKUP(I4740,[1]媒体政策预估表!A:N,MATCH(O4740,[1]媒体政策预估表!$A$2:$M$2,0),0)</f>
        <v>0.09</v>
      </c>
      <c r="AF4740" s="6">
        <f t="shared" si="722"/>
        <v>19.949400000000001</v>
      </c>
      <c r="AG4740" s="14">
        <v>0</v>
      </c>
      <c r="AH4740" s="65">
        <f t="shared" si="725"/>
        <v>221.66</v>
      </c>
      <c r="AI4740" s="47"/>
      <c r="AJ4740" s="126" t="e">
        <v>#N/A</v>
      </c>
      <c r="AK4740" s="80">
        <f t="shared" si="729"/>
        <v>0</v>
      </c>
      <c r="AM4740" s="85"/>
    </row>
    <row r="4741" spans="1:39" hidden="1" x14ac:dyDescent="0.3">
      <c r="A4741" s="89" t="s">
        <v>3582</v>
      </c>
      <c r="B4741" s="86" t="s">
        <v>35</v>
      </c>
      <c r="C4741" s="86" t="s">
        <v>144</v>
      </c>
      <c r="D4741" s="86" t="s">
        <v>161</v>
      </c>
      <c r="E4741" s="86" t="s">
        <v>3592</v>
      </c>
      <c r="F4741" s="86" t="s">
        <v>3592</v>
      </c>
      <c r="G4741" s="86" t="s">
        <v>3592</v>
      </c>
      <c r="H4741" s="144">
        <v>22</v>
      </c>
      <c r="I4741" s="86" t="s">
        <v>2935</v>
      </c>
      <c r="J4741" s="1" t="s">
        <v>3302</v>
      </c>
      <c r="K4741" s="1" t="s">
        <v>3371</v>
      </c>
      <c r="L4741" s="1" t="s">
        <v>35</v>
      </c>
      <c r="M4741" s="86" t="s">
        <v>3593</v>
      </c>
      <c r="N4741" s="86"/>
      <c r="O4741" s="47" t="s">
        <v>410</v>
      </c>
      <c r="P4741" s="47" t="s">
        <v>46</v>
      </c>
      <c r="Q4741" s="14">
        <v>0.05</v>
      </c>
      <c r="R4741" s="143">
        <v>10891</v>
      </c>
      <c r="S4741" s="47"/>
      <c r="T4741" s="6">
        <v>0</v>
      </c>
      <c r="U4741" s="6">
        <v>10000</v>
      </c>
      <c r="V4741" s="6">
        <v>10000</v>
      </c>
      <c r="W4741" s="6">
        <f t="shared" si="723"/>
        <v>0</v>
      </c>
      <c r="X4741" s="6">
        <f t="shared" si="726"/>
        <v>9523.8095238095229</v>
      </c>
      <c r="Y4741" s="13">
        <f t="shared" si="727"/>
        <v>0</v>
      </c>
      <c r="Z4741" s="14">
        <v>0</v>
      </c>
      <c r="AA4741" s="6">
        <v>0</v>
      </c>
      <c r="AB4741" s="4">
        <f t="shared" si="728"/>
        <v>9523.8095238095229</v>
      </c>
      <c r="AC4741" s="4">
        <f t="shared" si="721"/>
        <v>476.19047619047706</v>
      </c>
      <c r="AD4741" s="6">
        <f t="shared" si="724"/>
        <v>10000</v>
      </c>
      <c r="AE4741" s="2">
        <f>VLOOKUP(I4741,[1]媒体政策预估表!A:N,MATCH(O4741,[1]媒体政策预估表!$A$2:$M$2,0),0)</f>
        <v>0.09</v>
      </c>
      <c r="AF4741" s="6">
        <f t="shared" si="722"/>
        <v>900</v>
      </c>
      <c r="AG4741" s="14">
        <v>0</v>
      </c>
      <c r="AH4741" s="65">
        <f t="shared" si="725"/>
        <v>10000</v>
      </c>
      <c r="AI4741" s="47"/>
      <c r="AJ4741" s="126" t="e">
        <v>#N/A</v>
      </c>
      <c r="AK4741" s="80">
        <f t="shared" si="729"/>
        <v>0</v>
      </c>
      <c r="AM4741" s="85"/>
    </row>
    <row r="4742" spans="1:39" hidden="1" x14ac:dyDescent="0.3">
      <c r="A4742" s="89" t="s">
        <v>3583</v>
      </c>
      <c r="B4742" s="86" t="s">
        <v>35</v>
      </c>
      <c r="C4742" s="86" t="s">
        <v>144</v>
      </c>
      <c r="D4742" s="86" t="s">
        <v>161</v>
      </c>
      <c r="E4742" s="86" t="s">
        <v>3001</v>
      </c>
      <c r="F4742" s="86" t="s">
        <v>3002</v>
      </c>
      <c r="G4742" s="86" t="s">
        <v>3001</v>
      </c>
      <c r="H4742" s="144">
        <v>22</v>
      </c>
      <c r="I4742" s="86" t="s">
        <v>2935</v>
      </c>
      <c r="J4742" s="1" t="s">
        <v>3302</v>
      </c>
      <c r="K4742" s="1" t="s">
        <v>3371</v>
      </c>
      <c r="L4742" s="1" t="s">
        <v>35</v>
      </c>
      <c r="M4742" s="86" t="s">
        <v>3003</v>
      </c>
      <c r="N4742" s="86"/>
      <c r="O4742" s="47" t="s">
        <v>410</v>
      </c>
      <c r="P4742" s="47" t="s">
        <v>46</v>
      </c>
      <c r="Q4742" s="14">
        <v>0.02</v>
      </c>
      <c r="R4742" s="143">
        <v>243732</v>
      </c>
      <c r="S4742" s="47"/>
      <c r="T4742" s="6">
        <v>7312.2</v>
      </c>
      <c r="U4742" s="6">
        <v>15300</v>
      </c>
      <c r="V4742" s="6">
        <v>10596.7</v>
      </c>
      <c r="W4742" s="6">
        <f t="shared" si="723"/>
        <v>12015.5</v>
      </c>
      <c r="X4742" s="6">
        <f t="shared" si="726"/>
        <v>10388.921568627451</v>
      </c>
      <c r="Y4742" s="13">
        <f t="shared" si="727"/>
        <v>0</v>
      </c>
      <c r="Z4742" s="14">
        <v>0</v>
      </c>
      <c r="AA4742" s="6">
        <v>0</v>
      </c>
      <c r="AB4742" s="4">
        <f t="shared" si="728"/>
        <v>10388.921568627451</v>
      </c>
      <c r="AC4742" s="4">
        <f t="shared" si="721"/>
        <v>207.77843137254968</v>
      </c>
      <c r="AD4742" s="6">
        <f t="shared" si="724"/>
        <v>10596.7</v>
      </c>
      <c r="AE4742" s="2">
        <f>VLOOKUP(I4742,[1]媒体政策预估表!A:N,MATCH(O4742,[1]媒体政策预估表!$A$2:$M$2,0),0)</f>
        <v>0.09</v>
      </c>
      <c r="AF4742" s="6">
        <f t="shared" si="722"/>
        <v>953.70299999999997</v>
      </c>
      <c r="AG4742" s="14">
        <v>0</v>
      </c>
      <c r="AH4742" s="65">
        <f t="shared" si="725"/>
        <v>10596.7</v>
      </c>
      <c r="AI4742" s="47"/>
      <c r="AJ4742" s="126" t="e">
        <v>#N/A</v>
      </c>
      <c r="AK4742" s="80">
        <f t="shared" si="729"/>
        <v>0</v>
      </c>
      <c r="AM4742" s="85"/>
    </row>
    <row r="4743" spans="1:39" hidden="1" x14ac:dyDescent="0.3">
      <c r="A4743" s="89" t="s">
        <v>3582</v>
      </c>
      <c r="B4743" s="86" t="s">
        <v>35</v>
      </c>
      <c r="C4743" s="86" t="s">
        <v>144</v>
      </c>
      <c r="D4743" s="86" t="s">
        <v>161</v>
      </c>
      <c r="E4743" s="86" t="s">
        <v>1935</v>
      </c>
      <c r="F4743" s="86" t="s">
        <v>1935</v>
      </c>
      <c r="G4743" s="86" t="s">
        <v>1935</v>
      </c>
      <c r="H4743" s="144">
        <v>22</v>
      </c>
      <c r="I4743" s="86" t="s">
        <v>2935</v>
      </c>
      <c r="J4743" s="1" t="s">
        <v>3302</v>
      </c>
      <c r="K4743" s="1" t="s">
        <v>3371</v>
      </c>
      <c r="L4743" s="1" t="s">
        <v>35</v>
      </c>
      <c r="M4743" s="86" t="s">
        <v>1935</v>
      </c>
      <c r="N4743" s="86"/>
      <c r="O4743" s="47" t="s">
        <v>410</v>
      </c>
      <c r="P4743" s="47" t="s">
        <v>41</v>
      </c>
      <c r="Q4743" s="14">
        <v>0</v>
      </c>
      <c r="R4743" s="143">
        <v>66232</v>
      </c>
      <c r="S4743" s="47"/>
      <c r="T4743" s="6">
        <v>21299.150000000009</v>
      </c>
      <c r="U4743" s="6">
        <v>50000</v>
      </c>
      <c r="V4743" s="6">
        <v>20671.36</v>
      </c>
      <c r="W4743" s="6">
        <f t="shared" si="723"/>
        <v>50627.790000000008</v>
      </c>
      <c r="X4743" s="6">
        <f t="shared" si="726"/>
        <v>20671.36</v>
      </c>
      <c r="Y4743" s="13">
        <f t="shared" si="727"/>
        <v>0</v>
      </c>
      <c r="Z4743" s="14">
        <v>0</v>
      </c>
      <c r="AA4743" s="6">
        <v>0</v>
      </c>
      <c r="AB4743" s="4">
        <f t="shared" si="728"/>
        <v>20671.36</v>
      </c>
      <c r="AC4743" s="4">
        <f t="shared" si="721"/>
        <v>0</v>
      </c>
      <c r="AD4743" s="6">
        <f t="shared" si="724"/>
        <v>20671.36</v>
      </c>
      <c r="AE4743" s="2">
        <f>VLOOKUP(I4743,[1]媒体政策预估表!A:N,MATCH(O4743,[1]媒体政策预估表!$A$2:$M$2,0),0)</f>
        <v>0.09</v>
      </c>
      <c r="AF4743" s="6">
        <f t="shared" si="722"/>
        <v>1860.4223999999999</v>
      </c>
      <c r="AG4743" s="14">
        <v>0</v>
      </c>
      <c r="AH4743" s="65">
        <f t="shared" si="725"/>
        <v>20671.36</v>
      </c>
      <c r="AI4743" s="47"/>
      <c r="AJ4743" s="126" t="e">
        <v>#N/A</v>
      </c>
      <c r="AK4743" s="80">
        <f t="shared" si="729"/>
        <v>0</v>
      </c>
      <c r="AM4743" s="85"/>
    </row>
    <row r="4744" spans="1:39" hidden="1" x14ac:dyDescent="0.3">
      <c r="A4744" s="89" t="s">
        <v>3582</v>
      </c>
      <c r="B4744" s="86" t="s">
        <v>35</v>
      </c>
      <c r="C4744" s="86" t="s">
        <v>164</v>
      </c>
      <c r="D4744" s="86" t="s">
        <v>3407</v>
      </c>
      <c r="E4744" s="86" t="s">
        <v>2129</v>
      </c>
      <c r="F4744" s="86" t="s">
        <v>2129</v>
      </c>
      <c r="G4744" s="86" t="s">
        <v>2129</v>
      </c>
      <c r="H4744" s="143">
        <v>22</v>
      </c>
      <c r="I4744" s="86" t="s">
        <v>2935</v>
      </c>
      <c r="J4744" s="1" t="s">
        <v>3302</v>
      </c>
      <c r="K4744" s="1" t="s">
        <v>3371</v>
      </c>
      <c r="L4744" s="1" t="s">
        <v>35</v>
      </c>
      <c r="M4744" s="86" t="s">
        <v>1539</v>
      </c>
      <c r="N4744" s="86"/>
      <c r="O4744" s="47" t="s">
        <v>410</v>
      </c>
      <c r="P4744" s="47" t="s">
        <v>41</v>
      </c>
      <c r="Q4744" s="14">
        <v>0</v>
      </c>
      <c r="R4744" s="143">
        <v>20182</v>
      </c>
      <c r="S4744" s="47"/>
      <c r="T4744" s="6">
        <v>0</v>
      </c>
      <c r="U4744" s="6">
        <v>300000</v>
      </c>
      <c r="V4744" s="6">
        <v>0</v>
      </c>
      <c r="W4744" s="6">
        <f t="shared" si="723"/>
        <v>300000</v>
      </c>
      <c r="X4744" s="6">
        <f t="shared" si="726"/>
        <v>0</v>
      </c>
      <c r="Y4744" s="13">
        <f t="shared" si="727"/>
        <v>0</v>
      </c>
      <c r="Z4744" s="14">
        <v>0</v>
      </c>
      <c r="AA4744" s="6">
        <v>0</v>
      </c>
      <c r="AB4744" s="4">
        <f t="shared" si="728"/>
        <v>0</v>
      </c>
      <c r="AC4744" s="4">
        <f t="shared" si="721"/>
        <v>0</v>
      </c>
      <c r="AD4744" s="6">
        <f t="shared" si="724"/>
        <v>0</v>
      </c>
      <c r="AE4744" s="2">
        <f>VLOOKUP(I4744,[1]媒体政策预估表!A:N,MATCH(O4744,[1]媒体政策预估表!$A$2:$M$2,0),0)</f>
        <v>0.09</v>
      </c>
      <c r="AF4744" s="6">
        <f t="shared" si="722"/>
        <v>0</v>
      </c>
      <c r="AG4744" s="14">
        <v>0</v>
      </c>
      <c r="AH4744" s="65">
        <f t="shared" si="725"/>
        <v>0</v>
      </c>
      <c r="AI4744" s="47"/>
      <c r="AJ4744" s="126" t="e">
        <v>#N/A</v>
      </c>
      <c r="AK4744" s="80">
        <f t="shared" si="729"/>
        <v>0</v>
      </c>
      <c r="AM4744" s="85"/>
    </row>
    <row r="4745" spans="1:39" hidden="1" x14ac:dyDescent="0.3">
      <c r="A4745" s="89" t="s">
        <v>3397</v>
      </c>
      <c r="B4745" s="86" t="s">
        <v>35</v>
      </c>
      <c r="C4745" s="86" t="s">
        <v>164</v>
      </c>
      <c r="D4745" s="86" t="s">
        <v>3407</v>
      </c>
      <c r="E4745" s="86" t="s">
        <v>3594</v>
      </c>
      <c r="F4745" s="86" t="s">
        <v>3594</v>
      </c>
      <c r="G4745" s="86" t="s">
        <v>3669</v>
      </c>
      <c r="H4745" s="144">
        <v>22</v>
      </c>
      <c r="I4745" s="86" t="s">
        <v>2935</v>
      </c>
      <c r="J4745" s="1" t="s">
        <v>3302</v>
      </c>
      <c r="K4745" s="1" t="s">
        <v>3371</v>
      </c>
      <c r="L4745" s="1" t="s">
        <v>35</v>
      </c>
      <c r="M4745" s="86" t="s">
        <v>3595</v>
      </c>
      <c r="N4745" s="86"/>
      <c r="O4745" s="47" t="s">
        <v>410</v>
      </c>
      <c r="P4745" s="47" t="s">
        <v>41</v>
      </c>
      <c r="Q4745" s="14">
        <v>0</v>
      </c>
      <c r="R4745" s="143">
        <v>177562</v>
      </c>
      <c r="S4745" s="47"/>
      <c r="T4745" s="6">
        <v>0</v>
      </c>
      <c r="U4745" s="6">
        <v>30000</v>
      </c>
      <c r="V4745" s="6">
        <v>21000</v>
      </c>
      <c r="W4745" s="6">
        <f t="shared" si="723"/>
        <v>9000</v>
      </c>
      <c r="X4745" s="6">
        <f t="shared" si="726"/>
        <v>21000</v>
      </c>
      <c r="Y4745" s="13">
        <f t="shared" si="727"/>
        <v>0</v>
      </c>
      <c r="Z4745" s="14">
        <v>0</v>
      </c>
      <c r="AA4745" s="6">
        <v>0</v>
      </c>
      <c r="AB4745" s="4">
        <f t="shared" si="728"/>
        <v>21000</v>
      </c>
      <c r="AC4745" s="4">
        <f t="shared" si="721"/>
        <v>0</v>
      </c>
      <c r="AD4745" s="6">
        <f t="shared" si="724"/>
        <v>21000</v>
      </c>
      <c r="AE4745" s="2">
        <f>VLOOKUP(I4745,[1]媒体政策预估表!A:N,MATCH(O4745,[1]媒体政策预估表!$A$2:$M$2,0),0)</f>
        <v>0.09</v>
      </c>
      <c r="AF4745" s="6">
        <f t="shared" si="722"/>
        <v>1890</v>
      </c>
      <c r="AG4745" s="14">
        <v>0</v>
      </c>
      <c r="AH4745" s="65">
        <f t="shared" si="725"/>
        <v>21000</v>
      </c>
      <c r="AI4745" s="47"/>
      <c r="AJ4745" s="126" t="e">
        <v>#N/A</v>
      </c>
      <c r="AK4745" s="80">
        <f t="shared" si="729"/>
        <v>0</v>
      </c>
      <c r="AM4745" s="85"/>
    </row>
    <row r="4746" spans="1:39" hidden="1" x14ac:dyDescent="0.3">
      <c r="A4746" s="89" t="s">
        <v>3397</v>
      </c>
      <c r="B4746" s="86" t="s">
        <v>35</v>
      </c>
      <c r="C4746" s="86" t="s">
        <v>164</v>
      </c>
      <c r="D4746" s="86" t="s">
        <v>165</v>
      </c>
      <c r="E4746" s="86" t="s">
        <v>615</v>
      </c>
      <c r="F4746" s="86" t="s">
        <v>615</v>
      </c>
      <c r="G4746" s="86" t="s">
        <v>615</v>
      </c>
      <c r="H4746" s="144">
        <v>22</v>
      </c>
      <c r="I4746" s="86" t="s">
        <v>2935</v>
      </c>
      <c r="J4746" s="1" t="s">
        <v>3302</v>
      </c>
      <c r="K4746" s="1" t="s">
        <v>3371</v>
      </c>
      <c r="L4746" s="1" t="s">
        <v>35</v>
      </c>
      <c r="M4746" s="86" t="s">
        <v>616</v>
      </c>
      <c r="N4746" s="86"/>
      <c r="O4746" s="47" t="s">
        <v>410</v>
      </c>
      <c r="P4746" s="47" t="s">
        <v>46</v>
      </c>
      <c r="Q4746" s="14">
        <v>0.02</v>
      </c>
      <c r="R4746" s="143">
        <v>31572</v>
      </c>
      <c r="S4746" s="47"/>
      <c r="T4746" s="6">
        <v>207804.55000000016</v>
      </c>
      <c r="U4746" s="6">
        <v>1070000</v>
      </c>
      <c r="V4746" s="6">
        <v>1180454.3600000001</v>
      </c>
      <c r="W4746" s="6">
        <f t="shared" si="723"/>
        <v>97350.190000000177</v>
      </c>
      <c r="X4746" s="6">
        <f t="shared" si="726"/>
        <v>1157308.1960784316</v>
      </c>
      <c r="Y4746" s="13">
        <f t="shared" si="727"/>
        <v>0</v>
      </c>
      <c r="Z4746" s="14">
        <v>0</v>
      </c>
      <c r="AA4746" s="6">
        <v>0</v>
      </c>
      <c r="AB4746" s="4">
        <f t="shared" si="728"/>
        <v>1157308.1960784316</v>
      </c>
      <c r="AC4746" s="4">
        <f t="shared" si="721"/>
        <v>23146.163921568543</v>
      </c>
      <c r="AD4746" s="6">
        <f t="shared" si="724"/>
        <v>1180454.3600000001</v>
      </c>
      <c r="AE4746" s="2">
        <f>VLOOKUP(I4746,[1]媒体政策预估表!A:N,MATCH(O4746,[1]媒体政策预估表!$A$2:$M$2,0),0)</f>
        <v>0.09</v>
      </c>
      <c r="AF4746" s="6">
        <f t="shared" si="722"/>
        <v>106240.89240000001</v>
      </c>
      <c r="AG4746" s="14">
        <v>0</v>
      </c>
      <c r="AH4746" s="65">
        <f t="shared" si="725"/>
        <v>1180454.3600000001</v>
      </c>
      <c r="AI4746" s="47"/>
      <c r="AJ4746" s="126" t="e">
        <v>#N/A</v>
      </c>
      <c r="AK4746" s="80">
        <f t="shared" si="729"/>
        <v>0</v>
      </c>
      <c r="AM4746" s="85"/>
    </row>
    <row r="4747" spans="1:39" hidden="1" x14ac:dyDescent="0.3">
      <c r="A4747" s="89" t="s">
        <v>3397</v>
      </c>
      <c r="B4747" s="86" t="s">
        <v>35</v>
      </c>
      <c r="C4747" s="86" t="s">
        <v>164</v>
      </c>
      <c r="D4747" s="86" t="s">
        <v>165</v>
      </c>
      <c r="E4747" s="86" t="s">
        <v>2129</v>
      </c>
      <c r="F4747" s="86" t="s">
        <v>2129</v>
      </c>
      <c r="G4747" s="86" t="s">
        <v>2129</v>
      </c>
      <c r="H4747" s="144">
        <v>22</v>
      </c>
      <c r="I4747" s="86" t="s">
        <v>2935</v>
      </c>
      <c r="J4747" s="1" t="s">
        <v>3302</v>
      </c>
      <c r="K4747" s="1" t="s">
        <v>3371</v>
      </c>
      <c r="L4747" s="1" t="s">
        <v>35</v>
      </c>
      <c r="M4747" s="86" t="s">
        <v>1539</v>
      </c>
      <c r="N4747" s="86"/>
      <c r="O4747" s="47" t="s">
        <v>410</v>
      </c>
      <c r="P4747" s="47" t="s">
        <v>41</v>
      </c>
      <c r="Q4747" s="14">
        <v>0</v>
      </c>
      <c r="R4747" s="143">
        <v>20182</v>
      </c>
      <c r="S4747" s="47"/>
      <c r="T4747" s="6">
        <v>2510421.2799999998</v>
      </c>
      <c r="U4747" s="6">
        <v>900000</v>
      </c>
      <c r="V4747" s="6">
        <v>705525.54</v>
      </c>
      <c r="W4747" s="6">
        <f t="shared" si="723"/>
        <v>2704895.7399999998</v>
      </c>
      <c r="X4747" s="6">
        <f t="shared" si="726"/>
        <v>705525.54</v>
      </c>
      <c r="Y4747" s="13">
        <f t="shared" si="727"/>
        <v>0</v>
      </c>
      <c r="Z4747" s="14">
        <v>0</v>
      </c>
      <c r="AA4747" s="6">
        <v>0</v>
      </c>
      <c r="AB4747" s="4">
        <f t="shared" si="728"/>
        <v>705525.54</v>
      </c>
      <c r="AC4747" s="4">
        <f t="shared" si="721"/>
        <v>0</v>
      </c>
      <c r="AD4747" s="6">
        <f t="shared" si="724"/>
        <v>705525.54</v>
      </c>
      <c r="AE4747" s="2">
        <f>VLOOKUP(I4747,[1]媒体政策预估表!A:N,MATCH(O4747,[1]媒体政策预估表!$A$2:$M$2,0),0)</f>
        <v>0.09</v>
      </c>
      <c r="AF4747" s="6">
        <f t="shared" si="722"/>
        <v>63497.298600000002</v>
      </c>
      <c r="AG4747" s="14">
        <v>0</v>
      </c>
      <c r="AH4747" s="65">
        <f t="shared" si="725"/>
        <v>705525.54</v>
      </c>
      <c r="AI4747" s="47"/>
      <c r="AJ4747" s="126" t="e">
        <v>#N/A</v>
      </c>
      <c r="AK4747" s="80">
        <f t="shared" si="729"/>
        <v>0</v>
      </c>
      <c r="AM4747" s="85"/>
    </row>
    <row r="4748" spans="1:39" hidden="1" x14ac:dyDescent="0.3">
      <c r="A4748" s="89" t="s">
        <v>3583</v>
      </c>
      <c r="B4748" s="86" t="s">
        <v>35</v>
      </c>
      <c r="C4748" s="86" t="s">
        <v>164</v>
      </c>
      <c r="D4748" s="86" t="s">
        <v>165</v>
      </c>
      <c r="E4748" s="86" t="s">
        <v>3594</v>
      </c>
      <c r="F4748" s="86" t="s">
        <v>3594</v>
      </c>
      <c r="G4748" s="86" t="s">
        <v>3669</v>
      </c>
      <c r="H4748" s="143">
        <v>22</v>
      </c>
      <c r="I4748" s="86" t="s">
        <v>2935</v>
      </c>
      <c r="J4748" s="1" t="s">
        <v>3302</v>
      </c>
      <c r="K4748" s="1" t="s">
        <v>3371</v>
      </c>
      <c r="L4748" s="1" t="s">
        <v>35</v>
      </c>
      <c r="M4748" s="86" t="s">
        <v>3595</v>
      </c>
      <c r="N4748" s="86"/>
      <c r="O4748" s="47" t="s">
        <v>410</v>
      </c>
      <c r="P4748" s="47" t="s">
        <v>41</v>
      </c>
      <c r="Q4748" s="14">
        <v>0</v>
      </c>
      <c r="R4748" s="143">
        <v>177562</v>
      </c>
      <c r="S4748" s="47"/>
      <c r="T4748" s="6">
        <v>0</v>
      </c>
      <c r="U4748" s="6">
        <v>0</v>
      </c>
      <c r="V4748" s="6">
        <v>0</v>
      </c>
      <c r="W4748" s="6">
        <f t="shared" si="723"/>
        <v>0</v>
      </c>
      <c r="X4748" s="6">
        <f t="shared" si="726"/>
        <v>0</v>
      </c>
      <c r="Y4748" s="13">
        <f t="shared" si="727"/>
        <v>0</v>
      </c>
      <c r="Z4748" s="14">
        <v>0</v>
      </c>
      <c r="AA4748" s="6">
        <v>0</v>
      </c>
      <c r="AB4748" s="4">
        <f t="shared" si="728"/>
        <v>0</v>
      </c>
      <c r="AC4748" s="4">
        <f t="shared" ref="AC4748:AC4811" si="730">IF(P4748="返现",X4748*Q4748,V4748-X4748)</f>
        <v>0</v>
      </c>
      <c r="AD4748" s="6">
        <f t="shared" si="724"/>
        <v>0</v>
      </c>
      <c r="AE4748" s="2">
        <f>VLOOKUP(I4748,[1]媒体政策预估表!A:N,MATCH(O4748,[1]媒体政策预估表!$A$2:$M$2,0),0)</f>
        <v>0.09</v>
      </c>
      <c r="AF4748" s="6">
        <f t="shared" ref="AF4748:AF4811" si="731">AD4748*AE4748</f>
        <v>0</v>
      </c>
      <c r="AG4748" s="14">
        <v>0</v>
      </c>
      <c r="AH4748" s="65">
        <f t="shared" si="725"/>
        <v>0</v>
      </c>
      <c r="AI4748" s="47"/>
      <c r="AJ4748" s="126" t="e">
        <v>#N/A</v>
      </c>
      <c r="AK4748" s="80">
        <f t="shared" si="729"/>
        <v>0</v>
      </c>
      <c r="AM4748" s="85"/>
    </row>
    <row r="4749" spans="1:39" hidden="1" x14ac:dyDescent="0.3">
      <c r="A4749" s="89" t="s">
        <v>3397</v>
      </c>
      <c r="B4749" s="86" t="s">
        <v>35</v>
      </c>
      <c r="C4749" s="86" t="s">
        <v>164</v>
      </c>
      <c r="D4749" s="86" t="s">
        <v>165</v>
      </c>
      <c r="E4749" s="3" t="s">
        <v>3005</v>
      </c>
      <c r="F4749" s="86" t="s">
        <v>3005</v>
      </c>
      <c r="G4749" s="86" t="s">
        <v>3006</v>
      </c>
      <c r="H4749" s="144">
        <v>22</v>
      </c>
      <c r="I4749" s="86" t="s">
        <v>2935</v>
      </c>
      <c r="J4749" s="1" t="s">
        <v>3302</v>
      </c>
      <c r="K4749" s="1" t="s">
        <v>3371</v>
      </c>
      <c r="L4749" s="1" t="s">
        <v>35</v>
      </c>
      <c r="M4749" s="86" t="s">
        <v>3007</v>
      </c>
      <c r="N4749" s="86"/>
      <c r="O4749" s="47" t="s">
        <v>410</v>
      </c>
      <c r="P4749" s="1" t="s">
        <v>3748</v>
      </c>
      <c r="Q4749" s="2">
        <v>0.01</v>
      </c>
      <c r="R4749" s="143">
        <v>15032</v>
      </c>
      <c r="S4749" s="47"/>
      <c r="T4749" s="6">
        <v>59852.880000000005</v>
      </c>
      <c r="U4749" s="6">
        <v>1000000</v>
      </c>
      <c r="V4749" s="6">
        <v>674366.11</v>
      </c>
      <c r="W4749" s="6">
        <f t="shared" si="723"/>
        <v>385486.7699999999</v>
      </c>
      <c r="X4749" s="6">
        <f t="shared" si="726"/>
        <v>667689.21782178211</v>
      </c>
      <c r="Y4749" s="13">
        <f t="shared" si="727"/>
        <v>0</v>
      </c>
      <c r="Z4749" s="14">
        <v>0</v>
      </c>
      <c r="AA4749" s="6">
        <v>0</v>
      </c>
      <c r="AB4749" s="4">
        <f t="shared" si="728"/>
        <v>667689.21782178211</v>
      </c>
      <c r="AC4749" s="4">
        <f t="shared" si="730"/>
        <v>6676.8921782178804</v>
      </c>
      <c r="AD4749" s="6">
        <f t="shared" si="724"/>
        <v>674366.11</v>
      </c>
      <c r="AE4749" s="2">
        <f>VLOOKUP(I4749,[1]媒体政策预估表!A:N,MATCH(O4749,[1]媒体政策预估表!$A$2:$M$2,0),0)</f>
        <v>0.09</v>
      </c>
      <c r="AF4749" s="6">
        <f t="shared" si="731"/>
        <v>60692.9499</v>
      </c>
      <c r="AG4749" s="14">
        <v>0</v>
      </c>
      <c r="AH4749" s="65">
        <f t="shared" si="725"/>
        <v>674366.11</v>
      </c>
      <c r="AI4749" s="47"/>
      <c r="AJ4749" s="126" t="e">
        <v>#N/A</v>
      </c>
      <c r="AK4749" s="80">
        <f t="shared" si="729"/>
        <v>0</v>
      </c>
      <c r="AM4749" s="85"/>
    </row>
    <row r="4750" spans="1:39" hidden="1" x14ac:dyDescent="0.3">
      <c r="A4750" s="89" t="s">
        <v>3583</v>
      </c>
      <c r="B4750" s="86" t="s">
        <v>35</v>
      </c>
      <c r="C4750" s="86" t="s">
        <v>164</v>
      </c>
      <c r="D4750" s="86" t="s">
        <v>165</v>
      </c>
      <c r="E4750" s="86" t="s">
        <v>1543</v>
      </c>
      <c r="F4750" s="86" t="s">
        <v>1543</v>
      </c>
      <c r="G4750" s="86" t="s">
        <v>1543</v>
      </c>
      <c r="H4750" s="144">
        <v>22</v>
      </c>
      <c r="I4750" s="86" t="s">
        <v>2935</v>
      </c>
      <c r="J4750" s="1" t="s">
        <v>3302</v>
      </c>
      <c r="K4750" s="1" t="s">
        <v>3371</v>
      </c>
      <c r="L4750" s="1" t="s">
        <v>35</v>
      </c>
      <c r="M4750" s="86" t="s">
        <v>3008</v>
      </c>
      <c r="N4750" s="86"/>
      <c r="O4750" s="47" t="s">
        <v>410</v>
      </c>
      <c r="P4750" s="47" t="s">
        <v>46</v>
      </c>
      <c r="Q4750" s="14">
        <v>0.02</v>
      </c>
      <c r="R4750" s="143">
        <v>243792</v>
      </c>
      <c r="S4750" s="47"/>
      <c r="T4750" s="6">
        <v>5366.5999999999985</v>
      </c>
      <c r="U4750" s="6">
        <v>90000</v>
      </c>
      <c r="V4750" s="6">
        <v>57707.3</v>
      </c>
      <c r="W4750" s="6">
        <f t="shared" si="723"/>
        <v>37659.300000000003</v>
      </c>
      <c r="X4750" s="6">
        <f t="shared" si="726"/>
        <v>56575.784313725489</v>
      </c>
      <c r="Y4750" s="13">
        <f t="shared" si="727"/>
        <v>0</v>
      </c>
      <c r="Z4750" s="14">
        <v>0</v>
      </c>
      <c r="AA4750" s="6">
        <v>0</v>
      </c>
      <c r="AB4750" s="4">
        <f t="shared" si="728"/>
        <v>56575.784313725489</v>
      </c>
      <c r="AC4750" s="4">
        <f t="shared" si="730"/>
        <v>1131.5156862745134</v>
      </c>
      <c r="AD4750" s="6">
        <f t="shared" si="724"/>
        <v>57707.3</v>
      </c>
      <c r="AE4750" s="2">
        <f>VLOOKUP(I4750,[1]媒体政策预估表!A:N,MATCH(O4750,[1]媒体政策预估表!$A$2:$M$2,0),0)</f>
        <v>0.09</v>
      </c>
      <c r="AF4750" s="6">
        <f t="shared" si="731"/>
        <v>5193.6570000000002</v>
      </c>
      <c r="AG4750" s="14">
        <v>0</v>
      </c>
      <c r="AH4750" s="65">
        <f t="shared" si="725"/>
        <v>57707.3</v>
      </c>
      <c r="AI4750" s="47"/>
      <c r="AJ4750" s="126" t="e">
        <v>#N/A</v>
      </c>
      <c r="AK4750" s="80">
        <f t="shared" si="729"/>
        <v>0</v>
      </c>
      <c r="AM4750" s="85"/>
    </row>
    <row r="4751" spans="1:39" hidden="1" x14ac:dyDescent="0.3">
      <c r="A4751" s="89" t="s">
        <v>3582</v>
      </c>
      <c r="B4751" s="86" t="s">
        <v>35</v>
      </c>
      <c r="C4751" s="86" t="s">
        <v>164</v>
      </c>
      <c r="D4751" s="86" t="s">
        <v>165</v>
      </c>
      <c r="E4751" s="86" t="s">
        <v>3596</v>
      </c>
      <c r="F4751" s="86" t="s">
        <v>3596</v>
      </c>
      <c r="G4751" s="86" t="s">
        <v>3596</v>
      </c>
      <c r="H4751" s="144">
        <v>22</v>
      </c>
      <c r="I4751" s="86" t="s">
        <v>2935</v>
      </c>
      <c r="J4751" s="1" t="s">
        <v>3302</v>
      </c>
      <c r="K4751" s="1" t="s">
        <v>3371</v>
      </c>
      <c r="L4751" s="1" t="s">
        <v>35</v>
      </c>
      <c r="M4751" s="86" t="s">
        <v>3596</v>
      </c>
      <c r="N4751" s="86"/>
      <c r="O4751" s="47" t="s">
        <v>410</v>
      </c>
      <c r="P4751" s="47" t="s">
        <v>46</v>
      </c>
      <c r="Q4751" s="14">
        <v>0.02</v>
      </c>
      <c r="R4751" s="143">
        <v>247662</v>
      </c>
      <c r="S4751" s="47"/>
      <c r="T4751" s="6">
        <v>0</v>
      </c>
      <c r="U4751" s="6">
        <v>5100</v>
      </c>
      <c r="V4751" s="6">
        <v>5100</v>
      </c>
      <c r="W4751" s="6">
        <f t="shared" si="723"/>
        <v>0</v>
      </c>
      <c r="X4751" s="6">
        <f t="shared" si="726"/>
        <v>5000</v>
      </c>
      <c r="Y4751" s="13">
        <f t="shared" si="727"/>
        <v>0</v>
      </c>
      <c r="Z4751" s="14">
        <v>0</v>
      </c>
      <c r="AA4751" s="6">
        <v>0</v>
      </c>
      <c r="AB4751" s="4">
        <f t="shared" si="728"/>
        <v>5000</v>
      </c>
      <c r="AC4751" s="4">
        <f t="shared" si="730"/>
        <v>100</v>
      </c>
      <c r="AD4751" s="6">
        <f t="shared" si="724"/>
        <v>5100</v>
      </c>
      <c r="AE4751" s="2">
        <f>VLOOKUP(I4751,[1]媒体政策预估表!A:N,MATCH(O4751,[1]媒体政策预估表!$A$2:$M$2,0),0)</f>
        <v>0.09</v>
      </c>
      <c r="AF4751" s="6">
        <f t="shared" si="731"/>
        <v>459</v>
      </c>
      <c r="AG4751" s="14">
        <v>0</v>
      </c>
      <c r="AH4751" s="65">
        <f t="shared" si="725"/>
        <v>5100</v>
      </c>
      <c r="AI4751" s="47"/>
      <c r="AJ4751" s="126" t="e">
        <v>#N/A</v>
      </c>
      <c r="AK4751" s="80">
        <f t="shared" si="729"/>
        <v>0</v>
      </c>
      <c r="AM4751" s="85"/>
    </row>
    <row r="4752" spans="1:39" hidden="1" x14ac:dyDescent="0.3">
      <c r="A4752" s="89" t="s">
        <v>3582</v>
      </c>
      <c r="B4752" s="86" t="s">
        <v>35</v>
      </c>
      <c r="C4752" s="86" t="s">
        <v>164</v>
      </c>
      <c r="D4752" s="86" t="s">
        <v>165</v>
      </c>
      <c r="E4752" s="86" t="s">
        <v>2805</v>
      </c>
      <c r="F4752" s="86" t="s">
        <v>2805</v>
      </c>
      <c r="G4752" s="86" t="s">
        <v>2805</v>
      </c>
      <c r="H4752" s="144">
        <v>22</v>
      </c>
      <c r="I4752" s="86" t="s">
        <v>2935</v>
      </c>
      <c r="J4752" s="1" t="s">
        <v>3302</v>
      </c>
      <c r="K4752" s="1" t="s">
        <v>3371</v>
      </c>
      <c r="L4752" s="1" t="s">
        <v>35</v>
      </c>
      <c r="M4752" s="86" t="s">
        <v>3009</v>
      </c>
      <c r="N4752" s="86"/>
      <c r="O4752" s="47" t="s">
        <v>410</v>
      </c>
      <c r="P4752" s="47" t="s">
        <v>41</v>
      </c>
      <c r="Q4752" s="14">
        <v>0</v>
      </c>
      <c r="R4752" s="143">
        <v>173832</v>
      </c>
      <c r="S4752" s="47"/>
      <c r="T4752" s="6">
        <v>16257.830000000002</v>
      </c>
      <c r="U4752" s="6">
        <v>60000</v>
      </c>
      <c r="V4752" s="6">
        <v>40682.19</v>
      </c>
      <c r="W4752" s="6">
        <f t="shared" si="723"/>
        <v>35575.64</v>
      </c>
      <c r="X4752" s="6">
        <f t="shared" si="726"/>
        <v>40682.19</v>
      </c>
      <c r="Y4752" s="13">
        <f t="shared" si="727"/>
        <v>0</v>
      </c>
      <c r="Z4752" s="14">
        <v>0</v>
      </c>
      <c r="AA4752" s="6">
        <v>0</v>
      </c>
      <c r="AB4752" s="4">
        <f t="shared" si="728"/>
        <v>40682.19</v>
      </c>
      <c r="AC4752" s="4">
        <f t="shared" si="730"/>
        <v>0</v>
      </c>
      <c r="AD4752" s="6">
        <f t="shared" si="724"/>
        <v>40682.19</v>
      </c>
      <c r="AE4752" s="2">
        <f>VLOOKUP(I4752,[1]媒体政策预估表!A:N,MATCH(O4752,[1]媒体政策预估表!$A$2:$M$2,0),0)</f>
        <v>0.09</v>
      </c>
      <c r="AF4752" s="6">
        <f t="shared" si="731"/>
        <v>3661.3971000000001</v>
      </c>
      <c r="AG4752" s="14">
        <v>0</v>
      </c>
      <c r="AH4752" s="65">
        <f t="shared" si="725"/>
        <v>40682.19</v>
      </c>
      <c r="AI4752" s="47"/>
      <c r="AJ4752" s="126" t="e">
        <v>#N/A</v>
      </c>
      <c r="AK4752" s="80">
        <f t="shared" si="729"/>
        <v>0</v>
      </c>
      <c r="AM4752" s="85"/>
    </row>
    <row r="4753" spans="1:39" hidden="1" x14ac:dyDescent="0.3">
      <c r="A4753" s="89" t="s">
        <v>3583</v>
      </c>
      <c r="B4753" s="86" t="s">
        <v>35</v>
      </c>
      <c r="C4753" s="86" t="s">
        <v>164</v>
      </c>
      <c r="D4753" s="86" t="s">
        <v>165</v>
      </c>
      <c r="E4753" s="86" t="s">
        <v>2806</v>
      </c>
      <c r="F4753" s="86" t="s">
        <v>2806</v>
      </c>
      <c r="G4753" s="86" t="s">
        <v>2806</v>
      </c>
      <c r="H4753" s="144">
        <v>22</v>
      </c>
      <c r="I4753" s="86" t="s">
        <v>2935</v>
      </c>
      <c r="J4753" s="1" t="s">
        <v>3302</v>
      </c>
      <c r="K4753" s="1" t="s">
        <v>3371</v>
      </c>
      <c r="L4753" s="1" t="s">
        <v>35</v>
      </c>
      <c r="M4753" s="86" t="s">
        <v>3010</v>
      </c>
      <c r="N4753" s="86"/>
      <c r="O4753" s="47" t="s">
        <v>410</v>
      </c>
      <c r="P4753" s="47" t="s">
        <v>41</v>
      </c>
      <c r="Q4753" s="14">
        <v>0</v>
      </c>
      <c r="R4753" s="143">
        <v>19782</v>
      </c>
      <c r="S4753" s="47"/>
      <c r="T4753" s="6">
        <v>787601.73</v>
      </c>
      <c r="U4753" s="6">
        <v>200000</v>
      </c>
      <c r="V4753" s="6">
        <v>223897.83</v>
      </c>
      <c r="W4753" s="6">
        <f t="shared" si="723"/>
        <v>763703.9</v>
      </c>
      <c r="X4753" s="6">
        <f t="shared" si="726"/>
        <v>223897.83</v>
      </c>
      <c r="Y4753" s="13">
        <f t="shared" si="727"/>
        <v>0</v>
      </c>
      <c r="Z4753" s="14">
        <v>0</v>
      </c>
      <c r="AA4753" s="6">
        <v>0</v>
      </c>
      <c r="AB4753" s="4">
        <f t="shared" si="728"/>
        <v>223897.83</v>
      </c>
      <c r="AC4753" s="4">
        <f t="shared" si="730"/>
        <v>0</v>
      </c>
      <c r="AD4753" s="6">
        <f t="shared" si="724"/>
        <v>223897.83</v>
      </c>
      <c r="AE4753" s="2">
        <f>VLOOKUP(I4753,[1]媒体政策预估表!A:N,MATCH(O4753,[1]媒体政策预估表!$A$2:$M$2,0),0)</f>
        <v>0.09</v>
      </c>
      <c r="AF4753" s="6">
        <f t="shared" si="731"/>
        <v>20150.804699999997</v>
      </c>
      <c r="AG4753" s="14">
        <v>0</v>
      </c>
      <c r="AH4753" s="65">
        <f t="shared" si="725"/>
        <v>223897.83</v>
      </c>
      <c r="AI4753" s="47"/>
      <c r="AJ4753" s="126" t="e">
        <v>#N/A</v>
      </c>
      <c r="AK4753" s="80">
        <f t="shared" si="729"/>
        <v>0</v>
      </c>
      <c r="AM4753" s="85"/>
    </row>
    <row r="4754" spans="1:39" hidden="1" x14ac:dyDescent="0.3">
      <c r="A4754" s="89" t="s">
        <v>3397</v>
      </c>
      <c r="B4754" s="86" t="s">
        <v>35</v>
      </c>
      <c r="C4754" s="86" t="s">
        <v>164</v>
      </c>
      <c r="D4754" s="86" t="s">
        <v>169</v>
      </c>
      <c r="E4754" s="86" t="s">
        <v>3011</v>
      </c>
      <c r="F4754" s="86" t="s">
        <v>3011</v>
      </c>
      <c r="G4754" s="86" t="s">
        <v>3011</v>
      </c>
      <c r="H4754" s="144">
        <v>22</v>
      </c>
      <c r="I4754" s="86" t="s">
        <v>2935</v>
      </c>
      <c r="J4754" s="1" t="s">
        <v>3302</v>
      </c>
      <c r="K4754" s="1" t="s">
        <v>3371</v>
      </c>
      <c r="L4754" s="1" t="s">
        <v>35</v>
      </c>
      <c r="M4754" s="86" t="s">
        <v>3011</v>
      </c>
      <c r="N4754" s="86"/>
      <c r="O4754" s="47" t="s">
        <v>410</v>
      </c>
      <c r="P4754" s="47" t="s">
        <v>41</v>
      </c>
      <c r="Q4754" s="14">
        <v>0</v>
      </c>
      <c r="R4754" s="143">
        <v>51562</v>
      </c>
      <c r="S4754" s="47"/>
      <c r="T4754" s="6">
        <v>272426.40000000002</v>
      </c>
      <c r="U4754" s="6">
        <v>50000</v>
      </c>
      <c r="V4754" s="6">
        <v>105519.25</v>
      </c>
      <c r="W4754" s="6">
        <f t="shared" si="723"/>
        <v>216907.15000000002</v>
      </c>
      <c r="X4754" s="6">
        <f t="shared" si="726"/>
        <v>105519.25</v>
      </c>
      <c r="Y4754" s="13">
        <f t="shared" si="727"/>
        <v>0</v>
      </c>
      <c r="Z4754" s="14">
        <v>0</v>
      </c>
      <c r="AA4754" s="6">
        <v>0</v>
      </c>
      <c r="AB4754" s="4">
        <f t="shared" si="728"/>
        <v>105519.25</v>
      </c>
      <c r="AC4754" s="4">
        <f t="shared" si="730"/>
        <v>0</v>
      </c>
      <c r="AD4754" s="6">
        <f t="shared" si="724"/>
        <v>105519.25</v>
      </c>
      <c r="AE4754" s="2">
        <f>VLOOKUP(I4754,[1]媒体政策预估表!A:N,MATCH(O4754,[1]媒体政策预估表!$A$2:$M$2,0),0)</f>
        <v>0.09</v>
      </c>
      <c r="AF4754" s="6">
        <f t="shared" si="731"/>
        <v>9496.7325000000001</v>
      </c>
      <c r="AG4754" s="14">
        <v>0</v>
      </c>
      <c r="AH4754" s="65">
        <f t="shared" si="725"/>
        <v>105519.25</v>
      </c>
      <c r="AI4754" s="47"/>
      <c r="AJ4754" s="126" t="e">
        <v>#N/A</v>
      </c>
      <c r="AK4754" s="80">
        <f t="shared" si="729"/>
        <v>0</v>
      </c>
      <c r="AM4754" s="85"/>
    </row>
    <row r="4755" spans="1:39" hidden="1" x14ac:dyDescent="0.3">
      <c r="A4755" s="89" t="s">
        <v>3582</v>
      </c>
      <c r="B4755" s="86" t="s">
        <v>35</v>
      </c>
      <c r="C4755" s="86" t="s">
        <v>164</v>
      </c>
      <c r="D4755" s="86" t="s">
        <v>169</v>
      </c>
      <c r="E4755" s="86" t="s">
        <v>628</v>
      </c>
      <c r="F4755" s="86" t="s">
        <v>628</v>
      </c>
      <c r="G4755" s="86" t="s">
        <v>628</v>
      </c>
      <c r="H4755" s="144">
        <v>22</v>
      </c>
      <c r="I4755" s="86" t="s">
        <v>2935</v>
      </c>
      <c r="J4755" s="1" t="s">
        <v>3302</v>
      </c>
      <c r="K4755" s="1" t="s">
        <v>3371</v>
      </c>
      <c r="L4755" s="1" t="s">
        <v>35</v>
      </c>
      <c r="M4755" s="86" t="s">
        <v>628</v>
      </c>
      <c r="N4755" s="86"/>
      <c r="O4755" s="47" t="s">
        <v>410</v>
      </c>
      <c r="P4755" s="47" t="s">
        <v>46</v>
      </c>
      <c r="Q4755" s="14">
        <v>0.06</v>
      </c>
      <c r="R4755" s="143">
        <v>46582</v>
      </c>
      <c r="S4755" s="47"/>
      <c r="T4755" s="6">
        <v>1031131.3099999996</v>
      </c>
      <c r="U4755" s="6">
        <v>8480000</v>
      </c>
      <c r="V4755" s="6">
        <v>9007498.25</v>
      </c>
      <c r="W4755" s="6">
        <f t="shared" si="723"/>
        <v>503633.05999999866</v>
      </c>
      <c r="X4755" s="6">
        <f t="shared" si="726"/>
        <v>8497639.8584905658</v>
      </c>
      <c r="Y4755" s="13">
        <f t="shared" si="727"/>
        <v>0</v>
      </c>
      <c r="Z4755" s="14">
        <v>0</v>
      </c>
      <c r="AA4755" s="6">
        <v>0</v>
      </c>
      <c r="AB4755" s="4">
        <f t="shared" si="728"/>
        <v>8497639.8584905658</v>
      </c>
      <c r="AC4755" s="4">
        <f t="shared" si="730"/>
        <v>509858.39150943421</v>
      </c>
      <c r="AD4755" s="6">
        <f t="shared" si="724"/>
        <v>9007498.25</v>
      </c>
      <c r="AE4755" s="2">
        <f>VLOOKUP(I4755,[1]媒体政策预估表!A:N,MATCH(O4755,[1]媒体政策预估表!$A$2:$M$2,0),0)</f>
        <v>0.09</v>
      </c>
      <c r="AF4755" s="6">
        <f t="shared" si="731"/>
        <v>810674.84250000003</v>
      </c>
      <c r="AG4755" s="14">
        <v>0</v>
      </c>
      <c r="AH4755" s="65">
        <f t="shared" si="725"/>
        <v>9007498.25</v>
      </c>
      <c r="AI4755" s="47"/>
      <c r="AJ4755" s="126" t="e">
        <v>#N/A</v>
      </c>
      <c r="AK4755" s="80">
        <f t="shared" si="729"/>
        <v>0</v>
      </c>
      <c r="AM4755" s="85"/>
    </row>
    <row r="4756" spans="1:39" hidden="1" x14ac:dyDescent="0.3">
      <c r="A4756" s="89" t="s">
        <v>3582</v>
      </c>
      <c r="B4756" s="86" t="s">
        <v>35</v>
      </c>
      <c r="C4756" s="86" t="s">
        <v>164</v>
      </c>
      <c r="D4756" s="86" t="s">
        <v>169</v>
      </c>
      <c r="E4756" s="86" t="s">
        <v>2957</v>
      </c>
      <c r="F4756" s="86" t="s">
        <v>3012</v>
      </c>
      <c r="G4756" s="86" t="s">
        <v>2957</v>
      </c>
      <c r="H4756" s="144">
        <v>22</v>
      </c>
      <c r="I4756" s="86" t="s">
        <v>2935</v>
      </c>
      <c r="J4756" s="1" t="s">
        <v>3302</v>
      </c>
      <c r="K4756" s="1" t="s">
        <v>3371</v>
      </c>
      <c r="L4756" s="1" t="s">
        <v>35</v>
      </c>
      <c r="M4756" s="86" t="s">
        <v>3013</v>
      </c>
      <c r="N4756" s="86"/>
      <c r="O4756" s="47" t="s">
        <v>410</v>
      </c>
      <c r="P4756" s="47" t="s">
        <v>46</v>
      </c>
      <c r="Q4756" s="14">
        <v>0.02</v>
      </c>
      <c r="R4756" s="143">
        <v>71652</v>
      </c>
      <c r="S4756" s="47"/>
      <c r="T4756" s="6">
        <v>75214.189999999886</v>
      </c>
      <c r="U4756" s="6">
        <v>1166000</v>
      </c>
      <c r="V4756" s="6">
        <v>1083355.55</v>
      </c>
      <c r="W4756" s="6">
        <f t="shared" si="723"/>
        <v>157858.6399999999</v>
      </c>
      <c r="X4756" s="6">
        <f t="shared" si="726"/>
        <v>1062113.2843137255</v>
      </c>
      <c r="Y4756" s="13">
        <f t="shared" si="727"/>
        <v>0</v>
      </c>
      <c r="Z4756" s="14">
        <v>0</v>
      </c>
      <c r="AA4756" s="6">
        <v>0</v>
      </c>
      <c r="AB4756" s="4">
        <f t="shared" si="728"/>
        <v>1062113.2843137255</v>
      </c>
      <c r="AC4756" s="4">
        <f t="shared" si="730"/>
        <v>21242.265686274506</v>
      </c>
      <c r="AD4756" s="6">
        <f t="shared" si="724"/>
        <v>1083355.55</v>
      </c>
      <c r="AE4756" s="2">
        <f>VLOOKUP(I4756,[1]媒体政策预估表!A:N,MATCH(O4756,[1]媒体政策预估表!$A$2:$M$2,0),0)</f>
        <v>0.09</v>
      </c>
      <c r="AF4756" s="6">
        <f t="shared" si="731"/>
        <v>97501.999500000005</v>
      </c>
      <c r="AG4756" s="14">
        <v>0</v>
      </c>
      <c r="AH4756" s="65">
        <f t="shared" si="725"/>
        <v>1083355.55</v>
      </c>
      <c r="AI4756" s="47"/>
      <c r="AJ4756" s="126" t="e">
        <v>#N/A</v>
      </c>
      <c r="AK4756" s="80">
        <f t="shared" si="729"/>
        <v>0</v>
      </c>
      <c r="AM4756" s="85"/>
    </row>
    <row r="4757" spans="1:39" hidden="1" x14ac:dyDescent="0.3">
      <c r="A4757" s="89" t="s">
        <v>3397</v>
      </c>
      <c r="B4757" s="86" t="s">
        <v>35</v>
      </c>
      <c r="C4757" s="86" t="s">
        <v>164</v>
      </c>
      <c r="D4757" s="86" t="s">
        <v>174</v>
      </c>
      <c r="E4757" s="86" t="s">
        <v>1283</v>
      </c>
      <c r="F4757" s="86" t="s">
        <v>3014</v>
      </c>
      <c r="G4757" s="86" t="s">
        <v>1283</v>
      </c>
      <c r="H4757" s="144">
        <v>22</v>
      </c>
      <c r="I4757" s="86" t="s">
        <v>2935</v>
      </c>
      <c r="J4757" s="1" t="s">
        <v>3302</v>
      </c>
      <c r="K4757" s="1" t="s">
        <v>3371</v>
      </c>
      <c r="L4757" s="1" t="s">
        <v>35</v>
      </c>
      <c r="M4757" s="86" t="s">
        <v>3015</v>
      </c>
      <c r="N4757" s="86"/>
      <c r="O4757" s="47" t="s">
        <v>410</v>
      </c>
      <c r="P4757" s="47" t="s">
        <v>41</v>
      </c>
      <c r="Q4757" s="14">
        <v>0</v>
      </c>
      <c r="R4757" s="143">
        <v>174222</v>
      </c>
      <c r="S4757" s="47"/>
      <c r="T4757" s="6">
        <v>49067.429999999993</v>
      </c>
      <c r="U4757" s="6">
        <v>300000</v>
      </c>
      <c r="V4757" s="6">
        <v>218789.04</v>
      </c>
      <c r="W4757" s="6">
        <f t="shared" si="723"/>
        <v>130278.38999999998</v>
      </c>
      <c r="X4757" s="6">
        <f t="shared" si="726"/>
        <v>218789.04</v>
      </c>
      <c r="Y4757" s="13">
        <f t="shared" si="727"/>
        <v>0</v>
      </c>
      <c r="Z4757" s="14">
        <v>0</v>
      </c>
      <c r="AA4757" s="6">
        <v>0</v>
      </c>
      <c r="AB4757" s="4">
        <f t="shared" si="728"/>
        <v>218789.04</v>
      </c>
      <c r="AC4757" s="4">
        <f t="shared" si="730"/>
        <v>0</v>
      </c>
      <c r="AD4757" s="6">
        <f t="shared" si="724"/>
        <v>218789.04</v>
      </c>
      <c r="AE4757" s="2">
        <f>VLOOKUP(I4757,[1]媒体政策预估表!A:N,MATCH(O4757,[1]媒体政策预估表!$A$2:$M$2,0),0)</f>
        <v>0.09</v>
      </c>
      <c r="AF4757" s="6">
        <f t="shared" si="731"/>
        <v>19691.013599999998</v>
      </c>
      <c r="AG4757" s="14">
        <v>0</v>
      </c>
      <c r="AH4757" s="65">
        <f t="shared" si="725"/>
        <v>218789.04</v>
      </c>
      <c r="AI4757" s="47"/>
      <c r="AJ4757" s="126" t="e">
        <v>#N/A</v>
      </c>
      <c r="AK4757" s="80">
        <f t="shared" si="729"/>
        <v>0</v>
      </c>
      <c r="AM4757" s="85"/>
    </row>
    <row r="4758" spans="1:39" hidden="1" x14ac:dyDescent="0.3">
      <c r="A4758" s="89" t="s">
        <v>3583</v>
      </c>
      <c r="B4758" s="86" t="s">
        <v>35</v>
      </c>
      <c r="C4758" s="86" t="s">
        <v>164</v>
      </c>
      <c r="D4758" s="86" t="s">
        <v>174</v>
      </c>
      <c r="E4758" s="86" t="s">
        <v>3016</v>
      </c>
      <c r="F4758" s="86" t="s">
        <v>3016</v>
      </c>
      <c r="G4758" s="86" t="s">
        <v>3016</v>
      </c>
      <c r="H4758" s="144">
        <v>22</v>
      </c>
      <c r="I4758" s="86" t="s">
        <v>2935</v>
      </c>
      <c r="J4758" s="1" t="s">
        <v>3302</v>
      </c>
      <c r="K4758" s="1" t="s">
        <v>3371</v>
      </c>
      <c r="L4758" s="1" t="s">
        <v>35</v>
      </c>
      <c r="M4758" s="86" t="s">
        <v>3016</v>
      </c>
      <c r="N4758" s="86"/>
      <c r="O4758" s="47" t="s">
        <v>410</v>
      </c>
      <c r="P4758" s="47" t="s">
        <v>41</v>
      </c>
      <c r="Q4758" s="14">
        <v>0</v>
      </c>
      <c r="R4758" s="143">
        <v>4672</v>
      </c>
      <c r="S4758" s="47"/>
      <c r="T4758" s="6">
        <v>73641.02999999997</v>
      </c>
      <c r="U4758" s="6">
        <v>400000</v>
      </c>
      <c r="V4758" s="6">
        <v>321666.39</v>
      </c>
      <c r="W4758" s="6">
        <f t="shared" si="723"/>
        <v>151974.63999999996</v>
      </c>
      <c r="X4758" s="6">
        <f t="shared" si="726"/>
        <v>321666.39</v>
      </c>
      <c r="Y4758" s="13">
        <f t="shared" si="727"/>
        <v>0</v>
      </c>
      <c r="Z4758" s="14">
        <v>0</v>
      </c>
      <c r="AA4758" s="6">
        <v>0</v>
      </c>
      <c r="AB4758" s="4">
        <f t="shared" si="728"/>
        <v>321666.39</v>
      </c>
      <c r="AC4758" s="4">
        <f t="shared" si="730"/>
        <v>0</v>
      </c>
      <c r="AD4758" s="6">
        <f t="shared" si="724"/>
        <v>321666.39</v>
      </c>
      <c r="AE4758" s="2">
        <f>VLOOKUP(I4758,[1]媒体政策预估表!A:N,MATCH(O4758,[1]媒体政策预估表!$A$2:$M$2,0),0)</f>
        <v>0.09</v>
      </c>
      <c r="AF4758" s="6">
        <f t="shared" si="731"/>
        <v>28949.9751</v>
      </c>
      <c r="AG4758" s="14">
        <v>0</v>
      </c>
      <c r="AH4758" s="65">
        <f t="shared" si="725"/>
        <v>321666.39</v>
      </c>
      <c r="AI4758" s="47"/>
      <c r="AJ4758" s="126" t="e">
        <v>#N/A</v>
      </c>
      <c r="AK4758" s="80">
        <f t="shared" si="729"/>
        <v>0</v>
      </c>
      <c r="AM4758" s="85"/>
    </row>
    <row r="4759" spans="1:39" hidden="1" x14ac:dyDescent="0.3">
      <c r="A4759" s="89" t="s">
        <v>3397</v>
      </c>
      <c r="B4759" s="86" t="s">
        <v>35</v>
      </c>
      <c r="C4759" s="86" t="s">
        <v>164</v>
      </c>
      <c r="D4759" s="86" t="s">
        <v>174</v>
      </c>
      <c r="E4759" s="86" t="s">
        <v>1966</v>
      </c>
      <c r="F4759" s="86" t="s">
        <v>1966</v>
      </c>
      <c r="G4759" s="86" t="s">
        <v>1966</v>
      </c>
      <c r="H4759" s="144">
        <v>22</v>
      </c>
      <c r="I4759" s="86" t="s">
        <v>2935</v>
      </c>
      <c r="J4759" s="1" t="s">
        <v>3302</v>
      </c>
      <c r="K4759" s="1" t="s">
        <v>3371</v>
      </c>
      <c r="L4759" s="1" t="s">
        <v>35</v>
      </c>
      <c r="M4759" s="86" t="s">
        <v>3017</v>
      </c>
      <c r="N4759" s="86"/>
      <c r="O4759" s="47" t="s">
        <v>410</v>
      </c>
      <c r="P4759" s="47" t="s">
        <v>41</v>
      </c>
      <c r="Q4759" s="14">
        <v>0</v>
      </c>
      <c r="R4759" s="143">
        <v>215472</v>
      </c>
      <c r="S4759" s="47"/>
      <c r="T4759" s="6">
        <v>-263457.70000000007</v>
      </c>
      <c r="U4759" s="6">
        <v>250000</v>
      </c>
      <c r="V4759" s="6">
        <v>309948.31</v>
      </c>
      <c r="W4759" s="6">
        <f t="shared" si="723"/>
        <v>-323406.01000000007</v>
      </c>
      <c r="X4759" s="6">
        <f t="shared" si="726"/>
        <v>309948.31</v>
      </c>
      <c r="Y4759" s="13">
        <f t="shared" si="727"/>
        <v>0</v>
      </c>
      <c r="Z4759" s="14">
        <v>0</v>
      </c>
      <c r="AA4759" s="6">
        <v>0</v>
      </c>
      <c r="AB4759" s="4">
        <f t="shared" si="728"/>
        <v>309948.31</v>
      </c>
      <c r="AC4759" s="4">
        <f t="shared" si="730"/>
        <v>0</v>
      </c>
      <c r="AD4759" s="6">
        <f t="shared" si="724"/>
        <v>309948.31</v>
      </c>
      <c r="AE4759" s="2">
        <f>VLOOKUP(I4759,[1]媒体政策预估表!A:N,MATCH(O4759,[1]媒体政策预估表!$A$2:$M$2,0),0)</f>
        <v>0.09</v>
      </c>
      <c r="AF4759" s="6">
        <f t="shared" si="731"/>
        <v>27895.347899999997</v>
      </c>
      <c r="AG4759" s="14">
        <v>0</v>
      </c>
      <c r="AH4759" s="65">
        <f t="shared" si="725"/>
        <v>309948.31</v>
      </c>
      <c r="AI4759" s="47"/>
      <c r="AJ4759" s="126" t="e">
        <v>#N/A</v>
      </c>
      <c r="AK4759" s="80">
        <f t="shared" si="729"/>
        <v>0</v>
      </c>
      <c r="AM4759" s="85"/>
    </row>
    <row r="4760" spans="1:39" hidden="1" x14ac:dyDescent="0.3">
      <c r="A4760" s="89" t="s">
        <v>3397</v>
      </c>
      <c r="B4760" s="86" t="s">
        <v>35</v>
      </c>
      <c r="C4760" s="86" t="s">
        <v>164</v>
      </c>
      <c r="D4760" s="86" t="s">
        <v>174</v>
      </c>
      <c r="E4760" s="86" t="s">
        <v>1966</v>
      </c>
      <c r="F4760" s="86" t="s">
        <v>1966</v>
      </c>
      <c r="G4760" s="86" t="s">
        <v>1966</v>
      </c>
      <c r="H4760" s="144">
        <v>22</v>
      </c>
      <c r="I4760" s="86" t="s">
        <v>2935</v>
      </c>
      <c r="J4760" s="1" t="s">
        <v>3302</v>
      </c>
      <c r="K4760" s="1" t="s">
        <v>3371</v>
      </c>
      <c r="L4760" s="1" t="s">
        <v>35</v>
      </c>
      <c r="M4760" s="86" t="s">
        <v>3018</v>
      </c>
      <c r="N4760" s="86"/>
      <c r="O4760" s="47" t="s">
        <v>410</v>
      </c>
      <c r="P4760" s="47" t="s">
        <v>41</v>
      </c>
      <c r="Q4760" s="14">
        <v>0</v>
      </c>
      <c r="R4760" s="143">
        <v>41722</v>
      </c>
      <c r="S4760" s="47"/>
      <c r="T4760" s="6">
        <v>412393.06999999983</v>
      </c>
      <c r="U4760" s="6">
        <v>300000</v>
      </c>
      <c r="V4760" s="6">
        <v>389841.53</v>
      </c>
      <c r="W4760" s="6">
        <f t="shared" si="723"/>
        <v>322551.5399999998</v>
      </c>
      <c r="X4760" s="6">
        <f t="shared" si="726"/>
        <v>389841.53</v>
      </c>
      <c r="Y4760" s="13">
        <f t="shared" si="727"/>
        <v>0</v>
      </c>
      <c r="Z4760" s="14">
        <v>0</v>
      </c>
      <c r="AA4760" s="6">
        <v>0</v>
      </c>
      <c r="AB4760" s="4">
        <f t="shared" si="728"/>
        <v>389841.53</v>
      </c>
      <c r="AC4760" s="4">
        <f t="shared" si="730"/>
        <v>0</v>
      </c>
      <c r="AD4760" s="6">
        <f t="shared" si="724"/>
        <v>389841.53</v>
      </c>
      <c r="AE4760" s="2">
        <f>VLOOKUP(I4760,[1]媒体政策预估表!A:N,MATCH(O4760,[1]媒体政策预估表!$A$2:$M$2,0),0)</f>
        <v>0.09</v>
      </c>
      <c r="AF4760" s="6">
        <f t="shared" si="731"/>
        <v>35085.737699999998</v>
      </c>
      <c r="AG4760" s="14">
        <v>0</v>
      </c>
      <c r="AH4760" s="65">
        <f t="shared" si="725"/>
        <v>389841.53</v>
      </c>
      <c r="AI4760" s="47"/>
      <c r="AJ4760" s="126" t="e">
        <v>#N/A</v>
      </c>
      <c r="AK4760" s="80">
        <f t="shared" si="729"/>
        <v>0</v>
      </c>
      <c r="AM4760" s="85"/>
    </row>
    <row r="4761" spans="1:39" hidden="1" x14ac:dyDescent="0.3">
      <c r="A4761" s="89" t="s">
        <v>3582</v>
      </c>
      <c r="B4761" s="86" t="s">
        <v>35</v>
      </c>
      <c r="C4761" s="86" t="s">
        <v>164</v>
      </c>
      <c r="D4761" s="86" t="s">
        <v>174</v>
      </c>
      <c r="E4761" s="86" t="s">
        <v>1966</v>
      </c>
      <c r="F4761" s="86" t="s">
        <v>1966</v>
      </c>
      <c r="G4761" s="86" t="s">
        <v>1966</v>
      </c>
      <c r="H4761" s="144">
        <v>22</v>
      </c>
      <c r="I4761" s="86" t="s">
        <v>2935</v>
      </c>
      <c r="J4761" s="1" t="s">
        <v>3302</v>
      </c>
      <c r="K4761" s="1" t="s">
        <v>3371</v>
      </c>
      <c r="L4761" s="1" t="s">
        <v>35</v>
      </c>
      <c r="M4761" s="86" t="s">
        <v>3019</v>
      </c>
      <c r="N4761" s="86"/>
      <c r="O4761" s="47" t="s">
        <v>410</v>
      </c>
      <c r="P4761" s="47" t="s">
        <v>41</v>
      </c>
      <c r="Q4761" s="14">
        <v>0</v>
      </c>
      <c r="R4761" s="143">
        <v>186502</v>
      </c>
      <c r="S4761" s="47"/>
      <c r="T4761" s="6">
        <v>1719.9099999999962</v>
      </c>
      <c r="U4761" s="6">
        <v>29000</v>
      </c>
      <c r="V4761" s="6">
        <v>18651.349999999999</v>
      </c>
      <c r="W4761" s="6">
        <f t="shared" si="723"/>
        <v>12068.559999999998</v>
      </c>
      <c r="X4761" s="6">
        <f t="shared" si="726"/>
        <v>18651.349999999999</v>
      </c>
      <c r="Y4761" s="13">
        <f t="shared" si="727"/>
        <v>0</v>
      </c>
      <c r="Z4761" s="14">
        <v>0</v>
      </c>
      <c r="AA4761" s="6">
        <v>0</v>
      </c>
      <c r="AB4761" s="4">
        <f t="shared" si="728"/>
        <v>18651.349999999999</v>
      </c>
      <c r="AC4761" s="4">
        <f t="shared" si="730"/>
        <v>0</v>
      </c>
      <c r="AD4761" s="6">
        <f t="shared" si="724"/>
        <v>18651.349999999999</v>
      </c>
      <c r="AE4761" s="2">
        <f>VLOOKUP(I4761,[1]媒体政策预估表!A:N,MATCH(O4761,[1]媒体政策预估表!$A$2:$M$2,0),0)</f>
        <v>0.09</v>
      </c>
      <c r="AF4761" s="6">
        <f t="shared" si="731"/>
        <v>1678.6214999999997</v>
      </c>
      <c r="AG4761" s="14">
        <v>0</v>
      </c>
      <c r="AH4761" s="65">
        <f t="shared" si="725"/>
        <v>18651.349999999999</v>
      </c>
      <c r="AI4761" s="47"/>
      <c r="AJ4761" s="126" t="e">
        <v>#N/A</v>
      </c>
      <c r="AK4761" s="80">
        <f t="shared" si="729"/>
        <v>0</v>
      </c>
      <c r="AM4761" s="85"/>
    </row>
    <row r="4762" spans="1:39" hidden="1" x14ac:dyDescent="0.3">
      <c r="A4762" s="89" t="s">
        <v>3582</v>
      </c>
      <c r="B4762" s="86" t="s">
        <v>35</v>
      </c>
      <c r="C4762" s="86" t="s">
        <v>164</v>
      </c>
      <c r="D4762" s="86" t="s">
        <v>174</v>
      </c>
      <c r="E4762" s="86" t="s">
        <v>1966</v>
      </c>
      <c r="F4762" s="86" t="s">
        <v>1966</v>
      </c>
      <c r="G4762" s="86" t="s">
        <v>1966</v>
      </c>
      <c r="H4762" s="144">
        <v>22</v>
      </c>
      <c r="I4762" s="86" t="s">
        <v>2935</v>
      </c>
      <c r="J4762" s="1" t="s">
        <v>3302</v>
      </c>
      <c r="K4762" s="1" t="s">
        <v>3371</v>
      </c>
      <c r="L4762" s="1" t="s">
        <v>35</v>
      </c>
      <c r="M4762" s="86" t="s">
        <v>2604</v>
      </c>
      <c r="N4762" s="86"/>
      <c r="O4762" s="47" t="s">
        <v>410</v>
      </c>
      <c r="P4762" s="47" t="s">
        <v>41</v>
      </c>
      <c r="Q4762" s="14">
        <v>0</v>
      </c>
      <c r="R4762" s="143">
        <v>20942</v>
      </c>
      <c r="S4762" s="47"/>
      <c r="T4762" s="6">
        <v>96345.499999999884</v>
      </c>
      <c r="U4762" s="6">
        <v>100000</v>
      </c>
      <c r="V4762" s="6">
        <v>49522.93</v>
      </c>
      <c r="W4762" s="6">
        <f t="shared" si="723"/>
        <v>146822.56999999989</v>
      </c>
      <c r="X4762" s="6">
        <f t="shared" si="726"/>
        <v>49522.93</v>
      </c>
      <c r="Y4762" s="13">
        <f t="shared" si="727"/>
        <v>0</v>
      </c>
      <c r="Z4762" s="14">
        <v>0</v>
      </c>
      <c r="AA4762" s="6">
        <v>0</v>
      </c>
      <c r="AB4762" s="4">
        <f t="shared" si="728"/>
        <v>49522.93</v>
      </c>
      <c r="AC4762" s="4">
        <f t="shared" si="730"/>
        <v>0</v>
      </c>
      <c r="AD4762" s="6">
        <f t="shared" si="724"/>
        <v>49522.93</v>
      </c>
      <c r="AE4762" s="2">
        <f>VLOOKUP(I4762,[1]媒体政策预估表!A:N,MATCH(O4762,[1]媒体政策预估表!$A$2:$M$2,0),0)</f>
        <v>0.09</v>
      </c>
      <c r="AF4762" s="6">
        <f t="shared" si="731"/>
        <v>4457.0636999999997</v>
      </c>
      <c r="AG4762" s="14">
        <v>0</v>
      </c>
      <c r="AH4762" s="65">
        <f t="shared" si="725"/>
        <v>49522.93</v>
      </c>
      <c r="AI4762" s="47"/>
      <c r="AJ4762" s="126" t="e">
        <v>#N/A</v>
      </c>
      <c r="AK4762" s="80">
        <f t="shared" si="729"/>
        <v>0</v>
      </c>
      <c r="AM4762" s="85"/>
    </row>
    <row r="4763" spans="1:39" hidden="1" x14ac:dyDescent="0.3">
      <c r="A4763" s="89" t="s">
        <v>3397</v>
      </c>
      <c r="B4763" s="86" t="s">
        <v>35</v>
      </c>
      <c r="C4763" s="86" t="s">
        <v>164</v>
      </c>
      <c r="D4763" s="86" t="s">
        <v>174</v>
      </c>
      <c r="E4763" s="86" t="s">
        <v>646</v>
      </c>
      <c r="F4763" s="86" t="s">
        <v>646</v>
      </c>
      <c r="G4763" s="86" t="s">
        <v>646</v>
      </c>
      <c r="H4763" s="144">
        <v>22</v>
      </c>
      <c r="I4763" s="86" t="s">
        <v>2935</v>
      </c>
      <c r="J4763" s="1" t="s">
        <v>3302</v>
      </c>
      <c r="K4763" s="1" t="s">
        <v>3371</v>
      </c>
      <c r="L4763" s="1" t="s">
        <v>35</v>
      </c>
      <c r="M4763" s="86" t="s">
        <v>646</v>
      </c>
      <c r="N4763" s="86"/>
      <c r="O4763" s="47" t="s">
        <v>410</v>
      </c>
      <c r="P4763" s="47" t="s">
        <v>41</v>
      </c>
      <c r="Q4763" s="14">
        <v>0</v>
      </c>
      <c r="R4763" s="143">
        <v>175442</v>
      </c>
      <c r="S4763" s="47"/>
      <c r="T4763" s="6">
        <v>2000</v>
      </c>
      <c r="U4763" s="6">
        <v>50000</v>
      </c>
      <c r="V4763" s="6">
        <v>28000</v>
      </c>
      <c r="W4763" s="6">
        <f t="shared" si="723"/>
        <v>24000</v>
      </c>
      <c r="X4763" s="6">
        <f t="shared" si="726"/>
        <v>28000</v>
      </c>
      <c r="Y4763" s="13">
        <f t="shared" si="727"/>
        <v>0</v>
      </c>
      <c r="Z4763" s="14">
        <v>0</v>
      </c>
      <c r="AA4763" s="6">
        <v>0</v>
      </c>
      <c r="AB4763" s="4">
        <f t="shared" si="728"/>
        <v>28000</v>
      </c>
      <c r="AC4763" s="4">
        <f t="shared" si="730"/>
        <v>0</v>
      </c>
      <c r="AD4763" s="6">
        <f t="shared" si="724"/>
        <v>28000</v>
      </c>
      <c r="AE4763" s="2">
        <f>VLOOKUP(I4763,[1]媒体政策预估表!A:N,MATCH(O4763,[1]媒体政策预估表!$A$2:$M$2,0),0)</f>
        <v>0.09</v>
      </c>
      <c r="AF4763" s="6">
        <f t="shared" si="731"/>
        <v>2520</v>
      </c>
      <c r="AG4763" s="14">
        <v>0</v>
      </c>
      <c r="AH4763" s="65">
        <f t="shared" si="725"/>
        <v>28000</v>
      </c>
      <c r="AI4763" s="47"/>
      <c r="AJ4763" s="126" t="e">
        <v>#N/A</v>
      </c>
      <c r="AK4763" s="80">
        <f t="shared" si="729"/>
        <v>0</v>
      </c>
      <c r="AM4763" s="85"/>
    </row>
    <row r="4764" spans="1:39" hidden="1" x14ac:dyDescent="0.3">
      <c r="A4764" s="89" t="s">
        <v>3582</v>
      </c>
      <c r="B4764" s="86" t="s">
        <v>35</v>
      </c>
      <c r="C4764" s="86" t="s">
        <v>164</v>
      </c>
      <c r="D4764" s="86" t="s">
        <v>174</v>
      </c>
      <c r="E4764" s="86" t="s">
        <v>3022</v>
      </c>
      <c r="F4764" s="86" t="s">
        <v>3022</v>
      </c>
      <c r="G4764" s="86" t="s">
        <v>3022</v>
      </c>
      <c r="H4764" s="144">
        <v>22</v>
      </c>
      <c r="I4764" s="86" t="s">
        <v>2935</v>
      </c>
      <c r="J4764" s="1" t="s">
        <v>3302</v>
      </c>
      <c r="K4764" s="1" t="s">
        <v>3371</v>
      </c>
      <c r="L4764" s="1" t="s">
        <v>35</v>
      </c>
      <c r="M4764" s="86" t="s">
        <v>3023</v>
      </c>
      <c r="N4764" s="86"/>
      <c r="O4764" s="47" t="s">
        <v>410</v>
      </c>
      <c r="P4764" s="47" t="s">
        <v>41</v>
      </c>
      <c r="Q4764" s="14">
        <v>0</v>
      </c>
      <c r="R4764" s="143">
        <v>225202</v>
      </c>
      <c r="S4764" s="47"/>
      <c r="T4764" s="6">
        <v>5924</v>
      </c>
      <c r="U4764" s="6">
        <v>10000</v>
      </c>
      <c r="V4764" s="6">
        <v>14763</v>
      </c>
      <c r="W4764" s="6">
        <f t="shared" si="723"/>
        <v>1161</v>
      </c>
      <c r="X4764" s="6">
        <f t="shared" si="726"/>
        <v>14763</v>
      </c>
      <c r="Y4764" s="13">
        <f t="shared" si="727"/>
        <v>0</v>
      </c>
      <c r="Z4764" s="14">
        <v>0</v>
      </c>
      <c r="AA4764" s="6">
        <v>0</v>
      </c>
      <c r="AB4764" s="4">
        <f t="shared" si="728"/>
        <v>14763</v>
      </c>
      <c r="AC4764" s="4">
        <f t="shared" si="730"/>
        <v>0</v>
      </c>
      <c r="AD4764" s="6">
        <f t="shared" si="724"/>
        <v>14763</v>
      </c>
      <c r="AE4764" s="2">
        <f>VLOOKUP(I4764,[1]媒体政策预估表!A:N,MATCH(O4764,[1]媒体政策预估表!$A$2:$M$2,0),0)</f>
        <v>0.09</v>
      </c>
      <c r="AF4764" s="6">
        <f t="shared" si="731"/>
        <v>1328.6699999999998</v>
      </c>
      <c r="AG4764" s="14">
        <v>0</v>
      </c>
      <c r="AH4764" s="65">
        <f t="shared" si="725"/>
        <v>14763</v>
      </c>
      <c r="AI4764" s="47"/>
      <c r="AJ4764" s="126" t="e">
        <v>#N/A</v>
      </c>
      <c r="AK4764" s="80">
        <f t="shared" si="729"/>
        <v>0</v>
      </c>
      <c r="AM4764" s="85"/>
    </row>
    <row r="4765" spans="1:39" hidden="1" x14ac:dyDescent="0.3">
      <c r="A4765" s="89" t="s">
        <v>3583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22</v>
      </c>
      <c r="I4765" s="86" t="s">
        <v>2935</v>
      </c>
      <c r="J4765" s="1" t="s">
        <v>3302</v>
      </c>
      <c r="K4765" s="1" t="s">
        <v>3371</v>
      </c>
      <c r="L4765" s="1" t="s">
        <v>35</v>
      </c>
      <c r="M4765" s="86" t="s">
        <v>651</v>
      </c>
      <c r="N4765" s="86"/>
      <c r="O4765" s="47" t="s">
        <v>45</v>
      </c>
      <c r="P4765" s="47" t="s">
        <v>46</v>
      </c>
      <c r="Q4765" s="14">
        <v>0.08</v>
      </c>
      <c r="R4765" s="143">
        <v>104552</v>
      </c>
      <c r="S4765" s="47"/>
      <c r="T4765" s="6">
        <v>64679.820000000014</v>
      </c>
      <c r="U4765" s="6">
        <v>-14018.18</v>
      </c>
      <c r="V4765" s="6">
        <v>2143.0100000000002</v>
      </c>
      <c r="W4765" s="6">
        <f t="shared" si="723"/>
        <v>48518.630000000012</v>
      </c>
      <c r="X4765" s="6">
        <f t="shared" si="726"/>
        <v>1984.2685185185185</v>
      </c>
      <c r="Y4765" s="13">
        <f t="shared" si="727"/>
        <v>0</v>
      </c>
      <c r="Z4765" s="14">
        <v>0</v>
      </c>
      <c r="AA4765" s="6">
        <v>0</v>
      </c>
      <c r="AB4765" s="4">
        <f t="shared" si="728"/>
        <v>1984.2685185185185</v>
      </c>
      <c r="AC4765" s="4">
        <f t="shared" si="730"/>
        <v>158.74148148148174</v>
      </c>
      <c r="AD4765" s="6">
        <f t="shared" si="724"/>
        <v>2143.0100000000002</v>
      </c>
      <c r="AE4765" s="2">
        <f>VLOOKUP(I4765,[1]媒体政策预估表!A:N,MATCH(O4765,[1]媒体政策预估表!$A$2:$M$2,0),0)</f>
        <v>0.18</v>
      </c>
      <c r="AF4765" s="6">
        <f t="shared" si="731"/>
        <v>385.74180000000001</v>
      </c>
      <c r="AG4765" s="14">
        <v>0</v>
      </c>
      <c r="AH4765" s="65">
        <f t="shared" si="725"/>
        <v>2143.0100000000002</v>
      </c>
      <c r="AI4765" s="47"/>
      <c r="AJ4765" s="126" t="e">
        <v>#N/A</v>
      </c>
      <c r="AK4765" s="80">
        <f t="shared" si="729"/>
        <v>0</v>
      </c>
      <c r="AM4765" s="85"/>
    </row>
    <row r="4766" spans="1:39" hidden="1" x14ac:dyDescent="0.3">
      <c r="A4766" s="89" t="s">
        <v>3582</v>
      </c>
      <c r="B4766" s="86" t="s">
        <v>35</v>
      </c>
      <c r="C4766" s="86" t="s">
        <v>164</v>
      </c>
      <c r="D4766" s="86" t="s">
        <v>174</v>
      </c>
      <c r="E4766" s="86" t="s">
        <v>3472</v>
      </c>
      <c r="F4766" s="86" t="s">
        <v>3473</v>
      </c>
      <c r="G4766" s="86" t="s">
        <v>3472</v>
      </c>
      <c r="H4766" s="144">
        <v>22</v>
      </c>
      <c r="I4766" s="86" t="s">
        <v>2935</v>
      </c>
      <c r="J4766" s="1" t="s">
        <v>3302</v>
      </c>
      <c r="K4766" s="1" t="s">
        <v>3371</v>
      </c>
      <c r="L4766" s="1" t="s">
        <v>35</v>
      </c>
      <c r="M4766" s="86" t="s">
        <v>3033</v>
      </c>
      <c r="N4766" s="86"/>
      <c r="O4766" s="47" t="s">
        <v>410</v>
      </c>
      <c r="P4766" s="47" t="s">
        <v>41</v>
      </c>
      <c r="Q4766" s="14">
        <v>0</v>
      </c>
      <c r="R4766" s="143">
        <v>244512</v>
      </c>
      <c r="S4766" s="47"/>
      <c r="T4766" s="6">
        <v>0</v>
      </c>
      <c r="U4766" s="6">
        <v>180000</v>
      </c>
      <c r="V4766" s="6">
        <v>7770.9100000000035</v>
      </c>
      <c r="W4766" s="6">
        <f t="shared" si="723"/>
        <v>172229.09</v>
      </c>
      <c r="X4766" s="6">
        <f t="shared" si="726"/>
        <v>7770.9100000000035</v>
      </c>
      <c r="Y4766" s="13">
        <f t="shared" si="727"/>
        <v>0</v>
      </c>
      <c r="Z4766" s="14">
        <v>0</v>
      </c>
      <c r="AA4766" s="6">
        <v>0</v>
      </c>
      <c r="AB4766" s="4">
        <f t="shared" si="728"/>
        <v>7770.9100000000035</v>
      </c>
      <c r="AC4766" s="4">
        <f t="shared" si="730"/>
        <v>0</v>
      </c>
      <c r="AD4766" s="6">
        <f t="shared" si="724"/>
        <v>7770.9100000000035</v>
      </c>
      <c r="AE4766" s="2">
        <f>VLOOKUP(I4766,[1]媒体政策预估表!A:N,MATCH(O4766,[1]媒体政策预估表!$A$2:$M$2,0),0)</f>
        <v>0.09</v>
      </c>
      <c r="AF4766" s="6">
        <f t="shared" si="731"/>
        <v>699.38190000000031</v>
      </c>
      <c r="AG4766" s="14">
        <v>0</v>
      </c>
      <c r="AH4766" s="65">
        <f t="shared" si="725"/>
        <v>7770.9100000000035</v>
      </c>
      <c r="AI4766" s="47"/>
      <c r="AJ4766" s="126" t="e">
        <v>#N/A</v>
      </c>
      <c r="AK4766" s="80">
        <f t="shared" si="729"/>
        <v>0</v>
      </c>
      <c r="AM4766" s="85"/>
    </row>
    <row r="4767" spans="1:39" hidden="1" x14ac:dyDescent="0.3">
      <c r="A4767" s="89" t="s">
        <v>3582</v>
      </c>
      <c r="B4767" s="86" t="s">
        <v>35</v>
      </c>
      <c r="C4767" s="86" t="s">
        <v>164</v>
      </c>
      <c r="D4767" s="86" t="s">
        <v>174</v>
      </c>
      <c r="E4767" s="86" t="s">
        <v>3472</v>
      </c>
      <c r="F4767" s="86" t="s">
        <v>3473</v>
      </c>
      <c r="G4767" s="86" t="s">
        <v>3472</v>
      </c>
      <c r="H4767" s="143">
        <v>22</v>
      </c>
      <c r="I4767" s="86" t="s">
        <v>2935</v>
      </c>
      <c r="J4767" s="1" t="s">
        <v>3302</v>
      </c>
      <c r="K4767" s="1" t="s">
        <v>3371</v>
      </c>
      <c r="L4767" s="1" t="s">
        <v>35</v>
      </c>
      <c r="M4767" s="86" t="s">
        <v>3034</v>
      </c>
      <c r="N4767" s="86"/>
      <c r="O4767" s="47" t="s">
        <v>410</v>
      </c>
      <c r="P4767" s="47" t="s">
        <v>41</v>
      </c>
      <c r="Q4767" s="14">
        <v>0</v>
      </c>
      <c r="R4767" s="143">
        <v>246772</v>
      </c>
      <c r="S4767" s="47"/>
      <c r="T4767" s="6">
        <v>0</v>
      </c>
      <c r="U4767" s="6">
        <v>70000</v>
      </c>
      <c r="V4767" s="6">
        <v>0</v>
      </c>
      <c r="W4767" s="6">
        <f t="shared" si="723"/>
        <v>70000</v>
      </c>
      <c r="X4767" s="6">
        <f t="shared" si="726"/>
        <v>0</v>
      </c>
      <c r="Y4767" s="13">
        <f t="shared" si="727"/>
        <v>0</v>
      </c>
      <c r="Z4767" s="14">
        <v>0</v>
      </c>
      <c r="AA4767" s="6">
        <v>0</v>
      </c>
      <c r="AB4767" s="4">
        <f t="shared" si="728"/>
        <v>0</v>
      </c>
      <c r="AC4767" s="4">
        <f t="shared" si="730"/>
        <v>0</v>
      </c>
      <c r="AD4767" s="6">
        <f t="shared" si="724"/>
        <v>0</v>
      </c>
      <c r="AE4767" s="2">
        <f>VLOOKUP(I4767,[1]媒体政策预估表!A:N,MATCH(O4767,[1]媒体政策预估表!$A$2:$M$2,0),0)</f>
        <v>0.09</v>
      </c>
      <c r="AF4767" s="6">
        <f t="shared" si="731"/>
        <v>0</v>
      </c>
      <c r="AG4767" s="14">
        <v>0</v>
      </c>
      <c r="AH4767" s="65">
        <f t="shared" si="725"/>
        <v>0</v>
      </c>
      <c r="AI4767" s="47"/>
      <c r="AJ4767" s="126" t="e">
        <v>#N/A</v>
      </c>
      <c r="AK4767" s="80">
        <f t="shared" si="729"/>
        <v>0</v>
      </c>
      <c r="AM4767" s="85"/>
    </row>
    <row r="4768" spans="1:39" hidden="1" x14ac:dyDescent="0.3">
      <c r="A4768" s="89" t="s">
        <v>3582</v>
      </c>
      <c r="B4768" s="86" t="s">
        <v>35</v>
      </c>
      <c r="C4768" s="86" t="s">
        <v>164</v>
      </c>
      <c r="D4768" s="86" t="s">
        <v>174</v>
      </c>
      <c r="E4768" s="86" t="s">
        <v>2820</v>
      </c>
      <c r="F4768" s="86" t="s">
        <v>2820</v>
      </c>
      <c r="G4768" s="86" t="s">
        <v>2820</v>
      </c>
      <c r="H4768" s="144">
        <v>22</v>
      </c>
      <c r="I4768" s="86" t="s">
        <v>2935</v>
      </c>
      <c r="J4768" s="1" t="s">
        <v>3302</v>
      </c>
      <c r="K4768" s="1" t="s">
        <v>3371</v>
      </c>
      <c r="L4768" s="1" t="s">
        <v>35</v>
      </c>
      <c r="M4768" s="86" t="s">
        <v>2360</v>
      </c>
      <c r="N4768" s="86"/>
      <c r="O4768" s="47" t="s">
        <v>410</v>
      </c>
      <c r="P4768" s="47" t="s">
        <v>41</v>
      </c>
      <c r="Q4768" s="14">
        <v>0</v>
      </c>
      <c r="R4768" s="143">
        <v>53662</v>
      </c>
      <c r="S4768" s="47"/>
      <c r="T4768" s="6">
        <v>9951.1799999999967</v>
      </c>
      <c r="U4768" s="6">
        <v>25000</v>
      </c>
      <c r="V4768" s="6">
        <v>14605.96</v>
      </c>
      <c r="W4768" s="6">
        <f t="shared" si="723"/>
        <v>20345.219999999994</v>
      </c>
      <c r="X4768" s="6">
        <f t="shared" si="726"/>
        <v>14605.96</v>
      </c>
      <c r="Y4768" s="13">
        <f t="shared" si="727"/>
        <v>0</v>
      </c>
      <c r="Z4768" s="14">
        <v>0</v>
      </c>
      <c r="AA4768" s="6">
        <v>0</v>
      </c>
      <c r="AB4768" s="4">
        <f t="shared" si="728"/>
        <v>14605.96</v>
      </c>
      <c r="AC4768" s="4">
        <f t="shared" si="730"/>
        <v>0</v>
      </c>
      <c r="AD4768" s="6">
        <f t="shared" si="724"/>
        <v>14605.96</v>
      </c>
      <c r="AE4768" s="2">
        <f>VLOOKUP(I4768,[1]媒体政策预估表!A:N,MATCH(O4768,[1]媒体政策预估表!$A$2:$M$2,0),0)</f>
        <v>0.09</v>
      </c>
      <c r="AF4768" s="6">
        <f t="shared" si="731"/>
        <v>1314.5364</v>
      </c>
      <c r="AG4768" s="14">
        <v>0</v>
      </c>
      <c r="AH4768" s="65">
        <f t="shared" si="725"/>
        <v>14605.96</v>
      </c>
      <c r="AI4768" s="47"/>
      <c r="AJ4768" s="126" t="e">
        <v>#N/A</v>
      </c>
      <c r="AK4768" s="80">
        <f t="shared" si="729"/>
        <v>0</v>
      </c>
      <c r="AM4768" s="85"/>
    </row>
    <row r="4769" spans="1:39" hidden="1" x14ac:dyDescent="0.3">
      <c r="A4769" s="89" t="s">
        <v>3582</v>
      </c>
      <c r="B4769" s="86" t="s">
        <v>35</v>
      </c>
      <c r="C4769" s="86" t="s">
        <v>164</v>
      </c>
      <c r="D4769" s="86" t="s">
        <v>174</v>
      </c>
      <c r="E4769" s="86" t="s">
        <v>2820</v>
      </c>
      <c r="F4769" s="86" t="s">
        <v>2820</v>
      </c>
      <c r="G4769" s="86" t="s">
        <v>2820</v>
      </c>
      <c r="H4769" s="144">
        <v>22</v>
      </c>
      <c r="I4769" s="86" t="s">
        <v>2935</v>
      </c>
      <c r="J4769" s="1" t="s">
        <v>3302</v>
      </c>
      <c r="K4769" s="1" t="s">
        <v>3371</v>
      </c>
      <c r="L4769" s="1" t="s">
        <v>35</v>
      </c>
      <c r="M4769" s="86" t="s">
        <v>2361</v>
      </c>
      <c r="N4769" s="86"/>
      <c r="O4769" s="47" t="s">
        <v>410</v>
      </c>
      <c r="P4769" s="47" t="s">
        <v>41</v>
      </c>
      <c r="Q4769" s="14">
        <v>0</v>
      </c>
      <c r="R4769" s="143">
        <v>107002</v>
      </c>
      <c r="S4769" s="47"/>
      <c r="T4769" s="6">
        <v>22549.910000000003</v>
      </c>
      <c r="U4769" s="6">
        <v>15000</v>
      </c>
      <c r="V4769" s="6">
        <v>16958.88</v>
      </c>
      <c r="W4769" s="6">
        <f t="shared" si="723"/>
        <v>20591.030000000002</v>
      </c>
      <c r="X4769" s="6">
        <f t="shared" si="726"/>
        <v>16958.88</v>
      </c>
      <c r="Y4769" s="13">
        <f t="shared" si="727"/>
        <v>0</v>
      </c>
      <c r="Z4769" s="14">
        <v>0</v>
      </c>
      <c r="AA4769" s="6">
        <v>0</v>
      </c>
      <c r="AB4769" s="4">
        <f t="shared" si="728"/>
        <v>16958.88</v>
      </c>
      <c r="AC4769" s="4">
        <f t="shared" si="730"/>
        <v>0</v>
      </c>
      <c r="AD4769" s="6">
        <f t="shared" si="724"/>
        <v>16958.88</v>
      </c>
      <c r="AE4769" s="2">
        <f>VLOOKUP(I4769,[1]媒体政策预估表!A:N,MATCH(O4769,[1]媒体政策预估表!$A$2:$M$2,0),0)</f>
        <v>0.09</v>
      </c>
      <c r="AF4769" s="6">
        <f t="shared" si="731"/>
        <v>1526.2991999999999</v>
      </c>
      <c r="AG4769" s="14">
        <v>0</v>
      </c>
      <c r="AH4769" s="65">
        <f t="shared" si="725"/>
        <v>16958.88</v>
      </c>
      <c r="AI4769" s="47"/>
      <c r="AJ4769" s="126" t="e">
        <v>#N/A</v>
      </c>
      <c r="AK4769" s="80">
        <f t="shared" si="729"/>
        <v>0</v>
      </c>
      <c r="AM4769" s="85"/>
    </row>
    <row r="4770" spans="1:39" hidden="1" x14ac:dyDescent="0.3">
      <c r="A4770" s="89" t="s">
        <v>3397</v>
      </c>
      <c r="B4770" s="86" t="s">
        <v>35</v>
      </c>
      <c r="C4770" s="86" t="s">
        <v>164</v>
      </c>
      <c r="D4770" s="86" t="s">
        <v>174</v>
      </c>
      <c r="E4770" s="86" t="s">
        <v>3030</v>
      </c>
      <c r="F4770" s="86" t="s">
        <v>3030</v>
      </c>
      <c r="G4770" s="86" t="s">
        <v>3030</v>
      </c>
      <c r="H4770" s="144">
        <v>22</v>
      </c>
      <c r="I4770" s="86" t="s">
        <v>2935</v>
      </c>
      <c r="J4770" s="1" t="s">
        <v>3302</v>
      </c>
      <c r="K4770" s="1" t="s">
        <v>3371</v>
      </c>
      <c r="L4770" s="1" t="s">
        <v>35</v>
      </c>
      <c r="M4770" s="86" t="s">
        <v>3031</v>
      </c>
      <c r="N4770" s="86"/>
      <c r="O4770" s="47" t="s">
        <v>410</v>
      </c>
      <c r="P4770" s="47" t="s">
        <v>46</v>
      </c>
      <c r="Q4770" s="14">
        <v>0.02</v>
      </c>
      <c r="R4770" s="143">
        <v>44982</v>
      </c>
      <c r="S4770" s="47"/>
      <c r="T4770" s="6">
        <v>27428</v>
      </c>
      <c r="U4770" s="6">
        <v>50000</v>
      </c>
      <c r="V4770" s="6">
        <v>56000</v>
      </c>
      <c r="W4770" s="6">
        <f t="shared" si="723"/>
        <v>21428</v>
      </c>
      <c r="X4770" s="6">
        <f t="shared" si="726"/>
        <v>54901.960784313727</v>
      </c>
      <c r="Y4770" s="13">
        <f t="shared" si="727"/>
        <v>0</v>
      </c>
      <c r="Z4770" s="14">
        <v>0</v>
      </c>
      <c r="AA4770" s="6">
        <v>0</v>
      </c>
      <c r="AB4770" s="4">
        <f t="shared" si="728"/>
        <v>54901.960784313727</v>
      </c>
      <c r="AC4770" s="4">
        <f t="shared" si="730"/>
        <v>1098.0392156862727</v>
      </c>
      <c r="AD4770" s="6">
        <f t="shared" si="724"/>
        <v>56000</v>
      </c>
      <c r="AE4770" s="2">
        <f>VLOOKUP(I4770,[1]媒体政策预估表!A:N,MATCH(O4770,[1]媒体政策预估表!$A$2:$M$2,0),0)</f>
        <v>0.09</v>
      </c>
      <c r="AF4770" s="6">
        <f t="shared" si="731"/>
        <v>5040</v>
      </c>
      <c r="AG4770" s="14">
        <v>0</v>
      </c>
      <c r="AH4770" s="65">
        <f t="shared" si="725"/>
        <v>56000</v>
      </c>
      <c r="AI4770" s="47"/>
      <c r="AJ4770" s="126" t="e">
        <v>#N/A</v>
      </c>
      <c r="AK4770" s="80">
        <f t="shared" si="729"/>
        <v>0</v>
      </c>
      <c r="AM4770" s="85"/>
    </row>
    <row r="4771" spans="1:39" hidden="1" x14ac:dyDescent="0.3">
      <c r="A4771" s="89" t="s">
        <v>3397</v>
      </c>
      <c r="B4771" s="86" t="s">
        <v>35</v>
      </c>
      <c r="C4771" s="86" t="s">
        <v>164</v>
      </c>
      <c r="D4771" s="86" t="s">
        <v>174</v>
      </c>
      <c r="E4771" s="86" t="s">
        <v>671</v>
      </c>
      <c r="F4771" s="86" t="s">
        <v>671</v>
      </c>
      <c r="G4771" s="86" t="s">
        <v>671</v>
      </c>
      <c r="H4771" s="143">
        <v>22</v>
      </c>
      <c r="I4771" s="86" t="s">
        <v>2935</v>
      </c>
      <c r="J4771" s="1" t="s">
        <v>3302</v>
      </c>
      <c r="K4771" s="1" t="s">
        <v>3371</v>
      </c>
      <c r="L4771" s="1" t="s">
        <v>35</v>
      </c>
      <c r="M4771" s="86" t="s">
        <v>671</v>
      </c>
      <c r="N4771" s="86"/>
      <c r="O4771" s="47" t="s">
        <v>410</v>
      </c>
      <c r="P4771" s="47" t="s">
        <v>41</v>
      </c>
      <c r="Q4771" s="14">
        <v>0</v>
      </c>
      <c r="R4771" s="143">
        <v>240322</v>
      </c>
      <c r="S4771" s="47"/>
      <c r="T4771" s="6">
        <v>2396</v>
      </c>
      <c r="U4771" s="6">
        <v>150000</v>
      </c>
      <c r="V4771" s="6">
        <v>93457.75</v>
      </c>
      <c r="W4771" s="6">
        <f t="shared" si="723"/>
        <v>58938.25</v>
      </c>
      <c r="X4771" s="6">
        <f t="shared" si="726"/>
        <v>93457.75</v>
      </c>
      <c r="Y4771" s="13">
        <f t="shared" si="727"/>
        <v>0</v>
      </c>
      <c r="Z4771" s="14">
        <v>0</v>
      </c>
      <c r="AA4771" s="6">
        <v>0</v>
      </c>
      <c r="AB4771" s="4"/>
      <c r="AC4771" s="4">
        <f t="shared" si="730"/>
        <v>0</v>
      </c>
      <c r="AD4771" s="6">
        <f t="shared" si="724"/>
        <v>93457.75</v>
      </c>
      <c r="AE4771" s="2">
        <f>VLOOKUP(I4771,[1]媒体政策预估表!A:N,MATCH(O4771,[1]媒体政策预估表!$A$2:$M$2,0),0)</f>
        <v>0.09</v>
      </c>
      <c r="AF4771" s="6">
        <f t="shared" si="731"/>
        <v>8411.1975000000002</v>
      </c>
      <c r="AG4771" s="14">
        <v>0</v>
      </c>
      <c r="AH4771" s="65">
        <f t="shared" si="725"/>
        <v>93457.75</v>
      </c>
      <c r="AI4771" s="47"/>
      <c r="AJ4771" s="126">
        <v>109</v>
      </c>
      <c r="AK4771" s="80">
        <f t="shared" si="729"/>
        <v>93457.75</v>
      </c>
      <c r="AM4771" s="85"/>
    </row>
    <row r="4772" spans="1:39" hidden="1" x14ac:dyDescent="0.3">
      <c r="A4772" s="89" t="s">
        <v>3397</v>
      </c>
      <c r="B4772" s="86" t="s">
        <v>35</v>
      </c>
      <c r="C4772" s="86" t="s">
        <v>164</v>
      </c>
      <c r="D4772" s="86" t="s">
        <v>174</v>
      </c>
      <c r="E4772" s="86" t="s">
        <v>671</v>
      </c>
      <c r="F4772" s="86" t="s">
        <v>3032</v>
      </c>
      <c r="G4772" s="86" t="s">
        <v>671</v>
      </c>
      <c r="H4772" s="143">
        <v>22</v>
      </c>
      <c r="I4772" s="86" t="s">
        <v>2935</v>
      </c>
      <c r="J4772" s="1" t="s">
        <v>3302</v>
      </c>
      <c r="K4772" s="1" t="s">
        <v>3371</v>
      </c>
      <c r="L4772" s="1" t="s">
        <v>35</v>
      </c>
      <c r="M4772" s="86" t="s">
        <v>3033</v>
      </c>
      <c r="N4772" s="86"/>
      <c r="O4772" s="47" t="s">
        <v>410</v>
      </c>
      <c r="P4772" s="47" t="s">
        <v>41</v>
      </c>
      <c r="Q4772" s="14">
        <v>0</v>
      </c>
      <c r="R4772" s="143">
        <v>244512</v>
      </c>
      <c r="S4772" s="47"/>
      <c r="T4772" s="6">
        <v>17322</v>
      </c>
      <c r="U4772" s="6">
        <v>180000</v>
      </c>
      <c r="V4772" s="6">
        <v>197322</v>
      </c>
      <c r="W4772" s="6">
        <f t="shared" si="723"/>
        <v>0</v>
      </c>
      <c r="X4772" s="6">
        <f t="shared" si="726"/>
        <v>197322</v>
      </c>
      <c r="Y4772" s="13">
        <f t="shared" si="727"/>
        <v>0</v>
      </c>
      <c r="Z4772" s="14">
        <v>0</v>
      </c>
      <c r="AA4772" s="6">
        <v>0</v>
      </c>
      <c r="AB4772" s="4"/>
      <c r="AC4772" s="4">
        <f t="shared" si="730"/>
        <v>0</v>
      </c>
      <c r="AD4772" s="6">
        <f t="shared" si="724"/>
        <v>197322</v>
      </c>
      <c r="AE4772" s="2">
        <f>VLOOKUP(I4772,[1]媒体政策预估表!A:N,MATCH(O4772,[1]媒体政策预估表!$A$2:$M$2,0),0)</f>
        <v>0.09</v>
      </c>
      <c r="AF4772" s="6">
        <f t="shared" si="731"/>
        <v>17758.98</v>
      </c>
      <c r="AG4772" s="14">
        <v>0</v>
      </c>
      <c r="AH4772" s="65">
        <f t="shared" si="725"/>
        <v>197322</v>
      </c>
      <c r="AI4772" s="47"/>
      <c r="AJ4772" s="126">
        <v>109</v>
      </c>
      <c r="AK4772" s="80">
        <f t="shared" si="729"/>
        <v>197322</v>
      </c>
      <c r="AM4772" s="85"/>
    </row>
    <row r="4773" spans="1:39" hidden="1" x14ac:dyDescent="0.3">
      <c r="A4773" s="89" t="s">
        <v>3582</v>
      </c>
      <c r="B4773" s="86" t="s">
        <v>35</v>
      </c>
      <c r="C4773" s="86" t="s">
        <v>164</v>
      </c>
      <c r="D4773" s="86" t="s">
        <v>174</v>
      </c>
      <c r="E4773" s="86" t="s">
        <v>671</v>
      </c>
      <c r="F4773" s="86" t="s">
        <v>3032</v>
      </c>
      <c r="G4773" s="86" t="s">
        <v>671</v>
      </c>
      <c r="H4773" s="143">
        <v>22</v>
      </c>
      <c r="I4773" s="86" t="s">
        <v>2935</v>
      </c>
      <c r="J4773" s="1" t="s">
        <v>3302</v>
      </c>
      <c r="K4773" s="1" t="s">
        <v>3371</v>
      </c>
      <c r="L4773" s="1" t="s">
        <v>35</v>
      </c>
      <c r="M4773" s="86" t="s">
        <v>3034</v>
      </c>
      <c r="N4773" s="86"/>
      <c r="O4773" s="47" t="s">
        <v>410</v>
      </c>
      <c r="P4773" s="47" t="s">
        <v>41</v>
      </c>
      <c r="Q4773" s="14">
        <v>0</v>
      </c>
      <c r="R4773" s="143">
        <v>246772</v>
      </c>
      <c r="S4773" s="47"/>
      <c r="T4773" s="6">
        <v>28302</v>
      </c>
      <c r="U4773" s="6">
        <v>130000</v>
      </c>
      <c r="V4773" s="6">
        <v>71920.740000000005</v>
      </c>
      <c r="W4773" s="6">
        <f t="shared" si="723"/>
        <v>86381.26</v>
      </c>
      <c r="X4773" s="6">
        <f t="shared" si="726"/>
        <v>71920.740000000005</v>
      </c>
      <c r="Y4773" s="13">
        <f t="shared" si="727"/>
        <v>0</v>
      </c>
      <c r="Z4773" s="14">
        <v>0</v>
      </c>
      <c r="AA4773" s="6">
        <v>0</v>
      </c>
      <c r="AB4773" s="4"/>
      <c r="AC4773" s="4">
        <f t="shared" si="730"/>
        <v>0</v>
      </c>
      <c r="AD4773" s="6">
        <f t="shared" si="724"/>
        <v>71920.740000000005</v>
      </c>
      <c r="AE4773" s="2">
        <f>VLOOKUP(I4773,[1]媒体政策预估表!A:N,MATCH(O4773,[1]媒体政策预估表!$A$2:$M$2,0),0)</f>
        <v>0.09</v>
      </c>
      <c r="AF4773" s="6">
        <f t="shared" si="731"/>
        <v>6472.8666000000003</v>
      </c>
      <c r="AG4773" s="14">
        <v>0</v>
      </c>
      <c r="AH4773" s="65">
        <f t="shared" si="725"/>
        <v>71920.740000000005</v>
      </c>
      <c r="AI4773" s="47"/>
      <c r="AJ4773" s="126">
        <v>109</v>
      </c>
      <c r="AK4773" s="80">
        <f t="shared" si="729"/>
        <v>71920.740000000005</v>
      </c>
      <c r="AM4773" s="85"/>
    </row>
    <row r="4774" spans="1:39" hidden="1" x14ac:dyDescent="0.3">
      <c r="A4774" s="89" t="s">
        <v>3583</v>
      </c>
      <c r="B4774" s="86" t="s">
        <v>35</v>
      </c>
      <c r="C4774" s="86" t="s">
        <v>164</v>
      </c>
      <c r="D4774" s="86" t="s">
        <v>174</v>
      </c>
      <c r="E4774" s="86" t="s">
        <v>671</v>
      </c>
      <c r="F4774" s="86" t="s">
        <v>3032</v>
      </c>
      <c r="G4774" s="86" t="s">
        <v>671</v>
      </c>
      <c r="H4774" s="143">
        <v>22</v>
      </c>
      <c r="I4774" s="86" t="s">
        <v>2935</v>
      </c>
      <c r="J4774" s="1" t="s">
        <v>3302</v>
      </c>
      <c r="K4774" s="1" t="s">
        <v>3371</v>
      </c>
      <c r="L4774" s="1" t="s">
        <v>35</v>
      </c>
      <c r="M4774" s="86" t="s">
        <v>671</v>
      </c>
      <c r="N4774" s="86"/>
      <c r="O4774" s="47" t="s">
        <v>410</v>
      </c>
      <c r="P4774" s="47" t="s">
        <v>41</v>
      </c>
      <c r="Q4774" s="14">
        <v>0</v>
      </c>
      <c r="R4774" s="143">
        <v>240322</v>
      </c>
      <c r="S4774" s="47"/>
      <c r="T4774" s="6">
        <v>0</v>
      </c>
      <c r="U4774" s="6">
        <v>40000</v>
      </c>
      <c r="V4774" s="6">
        <v>0</v>
      </c>
      <c r="W4774" s="6">
        <f t="shared" si="723"/>
        <v>40000</v>
      </c>
      <c r="X4774" s="6">
        <f t="shared" si="726"/>
        <v>0</v>
      </c>
      <c r="Y4774" s="13">
        <f t="shared" si="727"/>
        <v>0</v>
      </c>
      <c r="Z4774" s="14">
        <v>0</v>
      </c>
      <c r="AA4774" s="6">
        <v>0</v>
      </c>
      <c r="AB4774" s="4"/>
      <c r="AC4774" s="4">
        <f t="shared" si="730"/>
        <v>0</v>
      </c>
      <c r="AD4774" s="6">
        <f t="shared" si="724"/>
        <v>0</v>
      </c>
      <c r="AE4774" s="2">
        <f>VLOOKUP(I4774,[1]媒体政策预估表!A:N,MATCH(O4774,[1]媒体政策预估表!$A$2:$M$2,0),0)</f>
        <v>0.09</v>
      </c>
      <c r="AF4774" s="6">
        <f t="shared" si="731"/>
        <v>0</v>
      </c>
      <c r="AG4774" s="14">
        <v>0</v>
      </c>
      <c r="AH4774" s="65">
        <f t="shared" si="725"/>
        <v>0</v>
      </c>
      <c r="AI4774" s="47"/>
      <c r="AJ4774" s="126">
        <v>109</v>
      </c>
      <c r="AK4774" s="80">
        <f t="shared" si="729"/>
        <v>0</v>
      </c>
      <c r="AM4774" s="85"/>
    </row>
    <row r="4775" spans="1:39" hidden="1" x14ac:dyDescent="0.3">
      <c r="A4775" s="89" t="s">
        <v>3582</v>
      </c>
      <c r="B4775" s="86" t="s">
        <v>35</v>
      </c>
      <c r="C4775" s="86" t="s">
        <v>164</v>
      </c>
      <c r="D4775" s="86" t="s">
        <v>174</v>
      </c>
      <c r="E4775" s="86" t="s">
        <v>678</v>
      </c>
      <c r="F4775" s="86" t="s">
        <v>678</v>
      </c>
      <c r="G4775" s="86" t="s">
        <v>678</v>
      </c>
      <c r="H4775" s="143">
        <v>22</v>
      </c>
      <c r="I4775" s="86" t="s">
        <v>2935</v>
      </c>
      <c r="J4775" s="1" t="s">
        <v>3302</v>
      </c>
      <c r="K4775" s="1" t="s">
        <v>3371</v>
      </c>
      <c r="L4775" s="1" t="s">
        <v>35</v>
      </c>
      <c r="M4775" s="86" t="s">
        <v>3035</v>
      </c>
      <c r="N4775" s="86"/>
      <c r="O4775" s="47" t="s">
        <v>410</v>
      </c>
      <c r="P4775" s="47" t="s">
        <v>41</v>
      </c>
      <c r="Q4775" s="14">
        <v>0</v>
      </c>
      <c r="R4775" s="143">
        <v>8714</v>
      </c>
      <c r="S4775" s="47"/>
      <c r="T4775" s="6">
        <v>0</v>
      </c>
      <c r="U4775" s="6">
        <v>6000</v>
      </c>
      <c r="V4775" s="6">
        <v>0</v>
      </c>
      <c r="W4775" s="6">
        <f t="shared" si="723"/>
        <v>6000</v>
      </c>
      <c r="X4775" s="6">
        <f t="shared" si="726"/>
        <v>0</v>
      </c>
      <c r="Y4775" s="13">
        <f t="shared" si="727"/>
        <v>0</v>
      </c>
      <c r="Z4775" s="14">
        <v>0</v>
      </c>
      <c r="AA4775" s="6">
        <v>0</v>
      </c>
      <c r="AB4775" s="4">
        <f t="shared" si="728"/>
        <v>0</v>
      </c>
      <c r="AC4775" s="4">
        <f t="shared" si="730"/>
        <v>0</v>
      </c>
      <c r="AD4775" s="6">
        <f t="shared" si="724"/>
        <v>0</v>
      </c>
      <c r="AE4775" s="2">
        <f>VLOOKUP(I4775,[1]媒体政策预估表!A:N,MATCH(O4775,[1]媒体政策预估表!$A$2:$M$2,0),0)</f>
        <v>0.09</v>
      </c>
      <c r="AF4775" s="6">
        <f t="shared" si="731"/>
        <v>0</v>
      </c>
      <c r="AG4775" s="14">
        <v>0</v>
      </c>
      <c r="AH4775" s="65">
        <f t="shared" si="725"/>
        <v>0</v>
      </c>
      <c r="AI4775" s="47"/>
      <c r="AJ4775" s="126" t="e">
        <v>#N/A</v>
      </c>
      <c r="AK4775" s="80">
        <f t="shared" si="729"/>
        <v>0</v>
      </c>
      <c r="AM4775" s="85"/>
    </row>
    <row r="4776" spans="1:39" hidden="1" x14ac:dyDescent="0.3">
      <c r="A4776" s="89" t="s">
        <v>3582</v>
      </c>
      <c r="B4776" s="86" t="s">
        <v>35</v>
      </c>
      <c r="C4776" s="86" t="s">
        <v>164</v>
      </c>
      <c r="D4776" s="86" t="s">
        <v>174</v>
      </c>
      <c r="E4776" s="86" t="s">
        <v>2007</v>
      </c>
      <c r="F4776" s="86" t="s">
        <v>2007</v>
      </c>
      <c r="G4776" s="86" t="s">
        <v>2007</v>
      </c>
      <c r="H4776" s="144">
        <v>22</v>
      </c>
      <c r="I4776" s="86" t="s">
        <v>2935</v>
      </c>
      <c r="J4776" s="1" t="s">
        <v>3302</v>
      </c>
      <c r="K4776" s="1" t="s">
        <v>3371</v>
      </c>
      <c r="L4776" s="1" t="s">
        <v>35</v>
      </c>
      <c r="M4776" s="86" t="s">
        <v>2007</v>
      </c>
      <c r="N4776" s="86"/>
      <c r="O4776" s="47" t="s">
        <v>410</v>
      </c>
      <c r="P4776" s="47" t="s">
        <v>3748</v>
      </c>
      <c r="Q4776" s="14">
        <v>0.02</v>
      </c>
      <c r="R4776" s="143">
        <v>246852</v>
      </c>
      <c r="S4776" s="47"/>
      <c r="T4776" s="6">
        <v>0</v>
      </c>
      <c r="U4776" s="6">
        <v>29804</v>
      </c>
      <c r="V4776" s="6">
        <v>10830.63</v>
      </c>
      <c r="W4776" s="6">
        <f t="shared" si="723"/>
        <v>18973.370000000003</v>
      </c>
      <c r="X4776" s="6">
        <f t="shared" si="726"/>
        <v>10618.264705882351</v>
      </c>
      <c r="Y4776" s="13">
        <f t="shared" si="727"/>
        <v>0</v>
      </c>
      <c r="Z4776" s="14">
        <v>0</v>
      </c>
      <c r="AA4776" s="6">
        <v>0</v>
      </c>
      <c r="AB4776" s="4">
        <f t="shared" si="728"/>
        <v>10618.264705882351</v>
      </c>
      <c r="AC4776" s="4">
        <f t="shared" si="730"/>
        <v>212.36529411764786</v>
      </c>
      <c r="AD4776" s="6">
        <f t="shared" si="724"/>
        <v>10830.63</v>
      </c>
      <c r="AE4776" s="2">
        <f>VLOOKUP(I4776,[1]媒体政策预估表!A:N,MATCH(O4776,[1]媒体政策预估表!$A$2:$M$2,0),0)</f>
        <v>0.09</v>
      </c>
      <c r="AF4776" s="6">
        <f t="shared" si="731"/>
        <v>974.75669999999991</v>
      </c>
      <c r="AG4776" s="14">
        <v>0</v>
      </c>
      <c r="AH4776" s="65">
        <f t="shared" si="725"/>
        <v>10830.63</v>
      </c>
      <c r="AI4776" s="47"/>
      <c r="AJ4776" s="126" t="e">
        <v>#N/A</v>
      </c>
      <c r="AK4776" s="80">
        <f t="shared" si="729"/>
        <v>0</v>
      </c>
      <c r="AM4776" s="85"/>
    </row>
    <row r="4777" spans="1:39" hidden="1" x14ac:dyDescent="0.3">
      <c r="A4777" s="89" t="s">
        <v>3582</v>
      </c>
      <c r="B4777" s="86" t="s">
        <v>35</v>
      </c>
      <c r="C4777" s="86" t="s">
        <v>164</v>
      </c>
      <c r="D4777" s="86" t="s">
        <v>174</v>
      </c>
      <c r="E4777" s="86" t="s">
        <v>692</v>
      </c>
      <c r="F4777" s="86" t="s">
        <v>692</v>
      </c>
      <c r="G4777" s="86" t="s">
        <v>692</v>
      </c>
      <c r="H4777" s="144">
        <v>22</v>
      </c>
      <c r="I4777" s="86" t="s">
        <v>2935</v>
      </c>
      <c r="J4777" s="1" t="s">
        <v>3302</v>
      </c>
      <c r="K4777" s="1" t="s">
        <v>3371</v>
      </c>
      <c r="L4777" s="1" t="s">
        <v>35</v>
      </c>
      <c r="M4777" s="86" t="s">
        <v>3037</v>
      </c>
      <c r="N4777" s="86"/>
      <c r="O4777" s="47" t="s">
        <v>410</v>
      </c>
      <c r="P4777" s="47" t="s">
        <v>41</v>
      </c>
      <c r="Q4777" s="14">
        <v>0</v>
      </c>
      <c r="R4777" s="143">
        <v>239782</v>
      </c>
      <c r="S4777" s="47"/>
      <c r="T4777" s="6">
        <v>48435.070000000007</v>
      </c>
      <c r="U4777" s="6">
        <v>50000</v>
      </c>
      <c r="V4777" s="6">
        <v>60261.2</v>
      </c>
      <c r="W4777" s="6">
        <f t="shared" si="723"/>
        <v>38173.87000000001</v>
      </c>
      <c r="X4777" s="6">
        <f t="shared" si="726"/>
        <v>60261.2</v>
      </c>
      <c r="Y4777" s="13">
        <f t="shared" si="727"/>
        <v>0</v>
      </c>
      <c r="Z4777" s="14">
        <v>0</v>
      </c>
      <c r="AA4777" s="6">
        <v>0</v>
      </c>
      <c r="AB4777" s="4">
        <f t="shared" si="728"/>
        <v>60261.2</v>
      </c>
      <c r="AC4777" s="4">
        <f t="shared" si="730"/>
        <v>0</v>
      </c>
      <c r="AD4777" s="6">
        <f t="shared" si="724"/>
        <v>60261.2</v>
      </c>
      <c r="AE4777" s="2">
        <f>VLOOKUP(I4777,[1]媒体政策预估表!A:N,MATCH(O4777,[1]媒体政策预估表!$A$2:$M$2,0),0)</f>
        <v>0.09</v>
      </c>
      <c r="AF4777" s="6">
        <f t="shared" si="731"/>
        <v>5423.5079999999998</v>
      </c>
      <c r="AG4777" s="14">
        <v>0</v>
      </c>
      <c r="AH4777" s="65">
        <f t="shared" si="725"/>
        <v>60261.2</v>
      </c>
      <c r="AI4777" s="47"/>
      <c r="AJ4777" s="126" t="e">
        <v>#N/A</v>
      </c>
      <c r="AK4777" s="80">
        <f t="shared" si="729"/>
        <v>0</v>
      </c>
      <c r="AM4777" s="85"/>
    </row>
    <row r="4778" spans="1:39" hidden="1" x14ac:dyDescent="0.3">
      <c r="A4778" s="89" t="s">
        <v>3582</v>
      </c>
      <c r="B4778" s="86" t="s">
        <v>35</v>
      </c>
      <c r="C4778" s="86" t="s">
        <v>164</v>
      </c>
      <c r="D4778" s="86" t="s">
        <v>181</v>
      </c>
      <c r="E4778" s="86" t="s">
        <v>3069</v>
      </c>
      <c r="F4778" s="86" t="s">
        <v>3069</v>
      </c>
      <c r="G4778" s="86" t="s">
        <v>3069</v>
      </c>
      <c r="H4778" s="143">
        <v>22</v>
      </c>
      <c r="I4778" s="86" t="s">
        <v>2935</v>
      </c>
      <c r="J4778" s="1" t="s">
        <v>3302</v>
      </c>
      <c r="K4778" s="1" t="s">
        <v>3371</v>
      </c>
      <c r="L4778" s="1" t="s">
        <v>35</v>
      </c>
      <c r="M4778" s="86" t="s">
        <v>3070</v>
      </c>
      <c r="N4778" s="86"/>
      <c r="O4778" s="47" t="s">
        <v>410</v>
      </c>
      <c r="P4778" s="47" t="s">
        <v>46</v>
      </c>
      <c r="Q4778" s="14">
        <v>0.02</v>
      </c>
      <c r="R4778" s="143">
        <v>48782</v>
      </c>
      <c r="S4778" s="47"/>
      <c r="T4778" s="6">
        <v>589000</v>
      </c>
      <c r="U4778" s="6">
        <v>20000</v>
      </c>
      <c r="V4778" s="6">
        <v>0</v>
      </c>
      <c r="W4778" s="6">
        <f t="shared" si="723"/>
        <v>609000</v>
      </c>
      <c r="X4778" s="6">
        <f t="shared" si="726"/>
        <v>0</v>
      </c>
      <c r="Y4778" s="13">
        <f t="shared" si="727"/>
        <v>0</v>
      </c>
      <c r="Z4778" s="14">
        <v>0</v>
      </c>
      <c r="AA4778" s="6">
        <v>0</v>
      </c>
      <c r="AB4778" s="4">
        <f t="shared" si="728"/>
        <v>0</v>
      </c>
      <c r="AC4778" s="4">
        <f t="shared" si="730"/>
        <v>0</v>
      </c>
      <c r="AD4778" s="6">
        <f t="shared" si="724"/>
        <v>0</v>
      </c>
      <c r="AE4778" s="2">
        <f>VLOOKUP(I4778,[1]媒体政策预估表!A:N,MATCH(O4778,[1]媒体政策预估表!$A$2:$M$2,0),0)</f>
        <v>0.09</v>
      </c>
      <c r="AF4778" s="6">
        <f t="shared" si="731"/>
        <v>0</v>
      </c>
      <c r="AG4778" s="14">
        <v>0</v>
      </c>
      <c r="AH4778" s="65">
        <f t="shared" si="725"/>
        <v>0</v>
      </c>
      <c r="AI4778" s="47"/>
      <c r="AJ4778" s="126" t="e">
        <v>#N/A</v>
      </c>
      <c r="AK4778" s="80">
        <f t="shared" si="729"/>
        <v>0</v>
      </c>
      <c r="AM4778" s="85"/>
    </row>
    <row r="4779" spans="1:39" hidden="1" x14ac:dyDescent="0.3">
      <c r="A4779" s="89" t="s">
        <v>3397</v>
      </c>
      <c r="B4779" s="86" t="s">
        <v>35</v>
      </c>
      <c r="C4779" s="86" t="s">
        <v>59</v>
      </c>
      <c r="D4779" s="86" t="s">
        <v>60</v>
      </c>
      <c r="E4779" s="86" t="s">
        <v>2939</v>
      </c>
      <c r="F4779" s="86" t="s">
        <v>2939</v>
      </c>
      <c r="G4779" s="86" t="s">
        <v>2939</v>
      </c>
      <c r="H4779" s="143">
        <v>22</v>
      </c>
      <c r="I4779" s="86" t="s">
        <v>2935</v>
      </c>
      <c r="J4779" s="1" t="s">
        <v>3302</v>
      </c>
      <c r="K4779" s="1" t="s">
        <v>3371</v>
      </c>
      <c r="L4779" s="1" t="s">
        <v>35</v>
      </c>
      <c r="M4779" s="86" t="s">
        <v>2940</v>
      </c>
      <c r="N4779" s="86"/>
      <c r="O4779" s="47" t="s">
        <v>410</v>
      </c>
      <c r="P4779" s="47" t="s">
        <v>41</v>
      </c>
      <c r="Q4779" s="14">
        <v>0</v>
      </c>
      <c r="R4779" s="143">
        <v>244712</v>
      </c>
      <c r="S4779" s="47"/>
      <c r="T4779" s="6">
        <v>2422.38</v>
      </c>
      <c r="U4779" s="6"/>
      <c r="V4779" s="6">
        <v>0</v>
      </c>
      <c r="W4779" s="6">
        <f t="shared" si="723"/>
        <v>2422.38</v>
      </c>
      <c r="X4779" s="6">
        <f t="shared" si="726"/>
        <v>0</v>
      </c>
      <c r="Y4779" s="13">
        <f t="shared" si="727"/>
        <v>0</v>
      </c>
      <c r="Z4779" s="14">
        <v>0</v>
      </c>
      <c r="AA4779" s="6">
        <v>0</v>
      </c>
      <c r="AB4779" s="4">
        <f t="shared" si="728"/>
        <v>0</v>
      </c>
      <c r="AC4779" s="4">
        <f t="shared" si="730"/>
        <v>0</v>
      </c>
      <c r="AD4779" s="6">
        <f t="shared" si="724"/>
        <v>0</v>
      </c>
      <c r="AE4779" s="2">
        <f>VLOOKUP(I4779,[1]媒体政策预估表!A:N,MATCH(O4779,[1]媒体政策预估表!$A$2:$M$2,0),0)</f>
        <v>0.09</v>
      </c>
      <c r="AF4779" s="6">
        <f t="shared" si="731"/>
        <v>0</v>
      </c>
      <c r="AG4779" s="14">
        <v>0</v>
      </c>
      <c r="AH4779" s="65">
        <f t="shared" si="725"/>
        <v>0</v>
      </c>
      <c r="AI4779" s="47"/>
      <c r="AJ4779" s="126" t="e">
        <v>#N/A</v>
      </c>
      <c r="AK4779" s="80">
        <f t="shared" si="729"/>
        <v>0</v>
      </c>
      <c r="AM4779" s="85"/>
    </row>
    <row r="4780" spans="1:39" hidden="1" x14ac:dyDescent="0.3">
      <c r="A4780" s="89" t="s">
        <v>3397</v>
      </c>
      <c r="B4780" s="86" t="s">
        <v>35</v>
      </c>
      <c r="C4780" s="86" t="s">
        <v>59</v>
      </c>
      <c r="D4780" s="86" t="s">
        <v>60</v>
      </c>
      <c r="E4780" s="86" t="s">
        <v>419</v>
      </c>
      <c r="F4780" s="86" t="s">
        <v>419</v>
      </c>
      <c r="G4780" s="86" t="s">
        <v>419</v>
      </c>
      <c r="H4780" s="144">
        <v>22</v>
      </c>
      <c r="I4780" s="86" t="s">
        <v>2935</v>
      </c>
      <c r="J4780" s="1" t="s">
        <v>3302</v>
      </c>
      <c r="K4780" s="1" t="s">
        <v>3371</v>
      </c>
      <c r="L4780" s="1" t="s">
        <v>35</v>
      </c>
      <c r="M4780" s="86" t="s">
        <v>419</v>
      </c>
      <c r="N4780" s="86"/>
      <c r="O4780" s="47" t="s">
        <v>410</v>
      </c>
      <c r="P4780" s="47" t="s">
        <v>46</v>
      </c>
      <c r="Q4780" s="14">
        <v>0.02</v>
      </c>
      <c r="R4780" s="143">
        <v>245882</v>
      </c>
      <c r="S4780" s="47"/>
      <c r="T4780" s="6">
        <v>20000</v>
      </c>
      <c r="U4780" s="6"/>
      <c r="V4780" s="6">
        <v>6036.27</v>
      </c>
      <c r="W4780" s="6">
        <f t="shared" si="723"/>
        <v>13963.73</v>
      </c>
      <c r="X4780" s="6">
        <f t="shared" si="726"/>
        <v>5917.9117647058829</v>
      </c>
      <c r="Y4780" s="13">
        <f t="shared" si="727"/>
        <v>0</v>
      </c>
      <c r="Z4780" s="14">
        <v>0</v>
      </c>
      <c r="AA4780" s="6">
        <v>0</v>
      </c>
      <c r="AB4780" s="4">
        <f t="shared" si="728"/>
        <v>5917.9117647058829</v>
      </c>
      <c r="AC4780" s="4">
        <f t="shared" si="730"/>
        <v>118.35823529411755</v>
      </c>
      <c r="AD4780" s="6">
        <f t="shared" si="724"/>
        <v>6036.27</v>
      </c>
      <c r="AE4780" s="2">
        <f>VLOOKUP(I4780,[1]媒体政策预估表!A:N,MATCH(O4780,[1]媒体政策预估表!$A$2:$M$2,0),0)</f>
        <v>0.09</v>
      </c>
      <c r="AF4780" s="6">
        <f t="shared" si="731"/>
        <v>543.26430000000005</v>
      </c>
      <c r="AG4780" s="14">
        <v>0</v>
      </c>
      <c r="AH4780" s="65">
        <f t="shared" si="725"/>
        <v>6036.27</v>
      </c>
      <c r="AI4780" s="47"/>
      <c r="AJ4780" s="126" t="e">
        <v>#N/A</v>
      </c>
      <c r="AK4780" s="80">
        <f t="shared" si="729"/>
        <v>0</v>
      </c>
      <c r="AM4780" s="85"/>
    </row>
    <row r="4781" spans="1:39" hidden="1" x14ac:dyDescent="0.3">
      <c r="A4781" s="89" t="s">
        <v>3397</v>
      </c>
      <c r="B4781" s="86" t="s">
        <v>35</v>
      </c>
      <c r="C4781" s="86" t="s">
        <v>36</v>
      </c>
      <c r="D4781" s="86" t="s">
        <v>224</v>
      </c>
      <c r="E4781" s="86" t="s">
        <v>433</v>
      </c>
      <c r="F4781" s="86" t="s">
        <v>433</v>
      </c>
      <c r="G4781" s="86" t="s">
        <v>433</v>
      </c>
      <c r="H4781" s="144">
        <v>22</v>
      </c>
      <c r="I4781" s="86" t="s">
        <v>2935</v>
      </c>
      <c r="J4781" s="1" t="s">
        <v>3302</v>
      </c>
      <c r="K4781" s="1" t="s">
        <v>3371</v>
      </c>
      <c r="L4781" s="1" t="s">
        <v>35</v>
      </c>
      <c r="M4781" s="86" t="s">
        <v>2944</v>
      </c>
      <c r="N4781" s="86"/>
      <c r="O4781" s="47" t="s">
        <v>410</v>
      </c>
      <c r="P4781" s="47" t="s">
        <v>41</v>
      </c>
      <c r="Q4781" s="14">
        <v>0</v>
      </c>
      <c r="R4781" s="143">
        <v>10772</v>
      </c>
      <c r="S4781" s="47"/>
      <c r="T4781" s="6">
        <v>-62269.54000000027</v>
      </c>
      <c r="U4781" s="6"/>
      <c r="V4781" s="6">
        <v>337730.45999999973</v>
      </c>
      <c r="W4781" s="6">
        <v>0</v>
      </c>
      <c r="X4781" s="6">
        <f t="shared" si="726"/>
        <v>337730.45999999973</v>
      </c>
      <c r="Y4781" s="13">
        <f t="shared" si="727"/>
        <v>0</v>
      </c>
      <c r="Z4781" s="14">
        <v>0</v>
      </c>
      <c r="AA4781" s="6">
        <v>0</v>
      </c>
      <c r="AB4781" s="4">
        <f t="shared" si="728"/>
        <v>337730.45999999973</v>
      </c>
      <c r="AC4781" s="4">
        <f t="shared" si="730"/>
        <v>0</v>
      </c>
      <c r="AD4781" s="6">
        <f t="shared" si="724"/>
        <v>337730.45999999973</v>
      </c>
      <c r="AE4781" s="2">
        <f>VLOOKUP(I4781,[1]媒体政策预估表!A:N,MATCH(O4781,[1]媒体政策预估表!$A$2:$M$2,0),0)</f>
        <v>0.09</v>
      </c>
      <c r="AF4781" s="6">
        <f t="shared" si="731"/>
        <v>30395.741399999974</v>
      </c>
      <c r="AG4781" s="14">
        <v>0</v>
      </c>
      <c r="AH4781" s="65">
        <f t="shared" si="725"/>
        <v>337730.45999999973</v>
      </c>
      <c r="AI4781" s="47"/>
      <c r="AJ4781" s="126" t="e">
        <v>#N/A</v>
      </c>
      <c r="AK4781" s="80">
        <f t="shared" si="729"/>
        <v>0</v>
      </c>
      <c r="AM4781" s="85"/>
    </row>
    <row r="4782" spans="1:39" hidden="1" x14ac:dyDescent="0.3">
      <c r="A4782" s="89" t="s">
        <v>3582</v>
      </c>
      <c r="B4782" s="86" t="s">
        <v>35</v>
      </c>
      <c r="C4782" s="86" t="s">
        <v>36</v>
      </c>
      <c r="D4782" s="86" t="s">
        <v>54</v>
      </c>
      <c r="E4782" s="86" t="s">
        <v>2846</v>
      </c>
      <c r="F4782" s="86" t="s">
        <v>2846</v>
      </c>
      <c r="G4782" s="86" t="s">
        <v>2846</v>
      </c>
      <c r="H4782" s="144">
        <v>22</v>
      </c>
      <c r="I4782" s="86" t="s">
        <v>2935</v>
      </c>
      <c r="J4782" s="1" t="s">
        <v>3302</v>
      </c>
      <c r="K4782" s="1" t="s">
        <v>3371</v>
      </c>
      <c r="L4782" s="1" t="s">
        <v>35</v>
      </c>
      <c r="M4782" s="86" t="s">
        <v>2951</v>
      </c>
      <c r="N4782" s="86"/>
      <c r="O4782" s="47" t="s">
        <v>410</v>
      </c>
      <c r="P4782" s="47" t="s">
        <v>41</v>
      </c>
      <c r="Q4782" s="14">
        <v>0</v>
      </c>
      <c r="R4782" s="143">
        <v>234782</v>
      </c>
      <c r="S4782" s="47"/>
      <c r="T4782" s="6">
        <v>47416.4</v>
      </c>
      <c r="U4782" s="6"/>
      <c r="V4782" s="6">
        <v>7108.5</v>
      </c>
      <c r="W4782" s="6">
        <f t="shared" si="723"/>
        <v>40307.9</v>
      </c>
      <c r="X4782" s="6">
        <f t="shared" si="726"/>
        <v>7108.5</v>
      </c>
      <c r="Y4782" s="13">
        <f t="shared" si="727"/>
        <v>0</v>
      </c>
      <c r="Z4782" s="14">
        <v>0</v>
      </c>
      <c r="AA4782" s="6">
        <v>0</v>
      </c>
      <c r="AB4782" s="4">
        <f t="shared" si="728"/>
        <v>7108.5</v>
      </c>
      <c r="AC4782" s="4">
        <f t="shared" si="730"/>
        <v>0</v>
      </c>
      <c r="AD4782" s="6">
        <f t="shared" si="724"/>
        <v>7108.5</v>
      </c>
      <c r="AE4782" s="2">
        <f>VLOOKUP(I4782,[1]媒体政策预估表!A:N,MATCH(O4782,[1]媒体政策预估表!$A$2:$M$2,0),0)</f>
        <v>0.09</v>
      </c>
      <c r="AF4782" s="6">
        <f t="shared" si="731"/>
        <v>639.76499999999999</v>
      </c>
      <c r="AG4782" s="14">
        <v>0</v>
      </c>
      <c r="AH4782" s="65">
        <f t="shared" si="725"/>
        <v>7108.5</v>
      </c>
      <c r="AI4782" s="47"/>
      <c r="AJ4782" s="126" t="e">
        <v>#N/A</v>
      </c>
      <c r="AK4782" s="80">
        <f t="shared" si="729"/>
        <v>0</v>
      </c>
      <c r="AM4782" s="85"/>
    </row>
    <row r="4783" spans="1:39" hidden="1" x14ac:dyDescent="0.3">
      <c r="A4783" s="89" t="s">
        <v>3397</v>
      </c>
      <c r="B4783" s="86" t="s">
        <v>35</v>
      </c>
      <c r="C4783" s="86" t="s">
        <v>36</v>
      </c>
      <c r="D4783" s="86" t="s">
        <v>37</v>
      </c>
      <c r="E4783" s="86" t="s">
        <v>466</v>
      </c>
      <c r="F4783" s="86" t="s">
        <v>466</v>
      </c>
      <c r="G4783" s="86" t="s">
        <v>466</v>
      </c>
      <c r="H4783" s="143">
        <v>22</v>
      </c>
      <c r="I4783" s="86" t="s">
        <v>2935</v>
      </c>
      <c r="J4783" s="1" t="s">
        <v>3302</v>
      </c>
      <c r="K4783" s="1" t="s">
        <v>3371</v>
      </c>
      <c r="L4783" s="1" t="s">
        <v>35</v>
      </c>
      <c r="M4783" s="86" t="s">
        <v>466</v>
      </c>
      <c r="N4783" s="86"/>
      <c r="O4783" s="47" t="s">
        <v>45</v>
      </c>
      <c r="P4783" s="47" t="s">
        <v>41</v>
      </c>
      <c r="Q4783" s="14">
        <v>0</v>
      </c>
      <c r="R4783" s="143">
        <v>180302</v>
      </c>
      <c r="S4783" s="47"/>
      <c r="T4783" s="6">
        <v>2600</v>
      </c>
      <c r="U4783" s="6"/>
      <c r="V4783" s="6">
        <v>0</v>
      </c>
      <c r="W4783" s="6">
        <f t="shared" ref="W4783:W4846" si="732">T4783+U4783-V4783</f>
        <v>2600</v>
      </c>
      <c r="X4783" s="6">
        <f t="shared" si="726"/>
        <v>0</v>
      </c>
      <c r="Y4783" s="13">
        <f t="shared" si="727"/>
        <v>0</v>
      </c>
      <c r="Z4783" s="14">
        <v>0</v>
      </c>
      <c r="AA4783" s="6">
        <v>0</v>
      </c>
      <c r="AB4783" s="4"/>
      <c r="AC4783" s="4">
        <f t="shared" si="730"/>
        <v>0</v>
      </c>
      <c r="AD4783" s="6">
        <f t="shared" ref="AD4783:AD4846" si="733">V4783</f>
        <v>0</v>
      </c>
      <c r="AE4783" s="2">
        <f>VLOOKUP(I4783,[1]媒体政策预估表!A:N,MATCH(O4783,[1]媒体政策预估表!$A$2:$M$2,0),0)</f>
        <v>0.18</v>
      </c>
      <c r="AF4783" s="6">
        <f t="shared" si="731"/>
        <v>0</v>
      </c>
      <c r="AG4783" s="14">
        <v>0</v>
      </c>
      <c r="AH4783" s="65">
        <f t="shared" ref="AH4783:AH4846" si="734">AD4783</f>
        <v>0</v>
      </c>
      <c r="AI4783" s="47"/>
      <c r="AJ4783" s="126">
        <v>96</v>
      </c>
      <c r="AK4783" s="80">
        <f t="shared" si="729"/>
        <v>0</v>
      </c>
      <c r="AM4783" s="85"/>
    </row>
    <row r="4784" spans="1:39" hidden="1" x14ac:dyDescent="0.3">
      <c r="A4784" s="89" t="s">
        <v>3397</v>
      </c>
      <c r="B4784" s="86" t="s">
        <v>35</v>
      </c>
      <c r="C4784" s="86" t="s">
        <v>36</v>
      </c>
      <c r="D4784" s="86" t="s">
        <v>37</v>
      </c>
      <c r="E4784" s="86" t="s">
        <v>466</v>
      </c>
      <c r="F4784" s="86" t="s">
        <v>466</v>
      </c>
      <c r="G4784" s="86" t="s">
        <v>466</v>
      </c>
      <c r="H4784" s="143">
        <v>22</v>
      </c>
      <c r="I4784" s="86" t="s">
        <v>2935</v>
      </c>
      <c r="J4784" s="1" t="s">
        <v>3302</v>
      </c>
      <c r="K4784" s="1" t="s">
        <v>3371</v>
      </c>
      <c r="L4784" s="1" t="s">
        <v>35</v>
      </c>
      <c r="M4784" s="86" t="s">
        <v>466</v>
      </c>
      <c r="N4784" s="86"/>
      <c r="O4784" s="47" t="s">
        <v>410</v>
      </c>
      <c r="P4784" s="47" t="s">
        <v>41</v>
      </c>
      <c r="Q4784" s="14">
        <v>0</v>
      </c>
      <c r="R4784" s="143">
        <v>180302</v>
      </c>
      <c r="S4784" s="47"/>
      <c r="T4784" s="6">
        <v>-2600</v>
      </c>
      <c r="U4784" s="6"/>
      <c r="V4784" s="6">
        <v>0</v>
      </c>
      <c r="W4784" s="6">
        <f t="shared" si="732"/>
        <v>-2600</v>
      </c>
      <c r="X4784" s="6">
        <f t="shared" si="726"/>
        <v>0</v>
      </c>
      <c r="Y4784" s="13">
        <f t="shared" si="727"/>
        <v>0</v>
      </c>
      <c r="Z4784" s="14">
        <v>0</v>
      </c>
      <c r="AA4784" s="6">
        <v>0</v>
      </c>
      <c r="AB4784" s="4"/>
      <c r="AC4784" s="4">
        <f t="shared" si="730"/>
        <v>0</v>
      </c>
      <c r="AD4784" s="6">
        <f t="shared" si="733"/>
        <v>0</v>
      </c>
      <c r="AE4784" s="2">
        <f>VLOOKUP(I4784,[1]媒体政策预估表!A:N,MATCH(O4784,[1]媒体政策预估表!$A$2:$M$2,0),0)</f>
        <v>0.09</v>
      </c>
      <c r="AF4784" s="6">
        <f t="shared" si="731"/>
        <v>0</v>
      </c>
      <c r="AG4784" s="14">
        <v>0</v>
      </c>
      <c r="AH4784" s="65">
        <f t="shared" si="734"/>
        <v>0</v>
      </c>
      <c r="AI4784" s="47"/>
      <c r="AJ4784" s="126">
        <v>96</v>
      </c>
      <c r="AK4784" s="80">
        <f t="shared" si="729"/>
        <v>0</v>
      </c>
      <c r="AM4784" s="85"/>
    </row>
    <row r="4785" spans="1:39" hidden="1" x14ac:dyDescent="0.3">
      <c r="A4785" s="89" t="s">
        <v>3582</v>
      </c>
      <c r="B4785" s="86" t="s">
        <v>35</v>
      </c>
      <c r="C4785" s="86" t="s">
        <v>65</v>
      </c>
      <c r="D4785" s="86" t="s">
        <v>66</v>
      </c>
      <c r="E4785" s="86" t="s">
        <v>2385</v>
      </c>
      <c r="F4785" s="86" t="s">
        <v>2385</v>
      </c>
      <c r="G4785" s="86" t="s">
        <v>2385</v>
      </c>
      <c r="H4785" s="144">
        <v>22</v>
      </c>
      <c r="I4785" s="86" t="s">
        <v>2935</v>
      </c>
      <c r="J4785" s="1" t="s">
        <v>3302</v>
      </c>
      <c r="K4785" s="1" t="s">
        <v>3371</v>
      </c>
      <c r="L4785" s="1" t="s">
        <v>35</v>
      </c>
      <c r="M4785" s="86" t="s">
        <v>2385</v>
      </c>
      <c r="N4785" s="86"/>
      <c r="O4785" s="47" t="s">
        <v>410</v>
      </c>
      <c r="P4785" s="47" t="s">
        <v>46</v>
      </c>
      <c r="Q4785" s="14">
        <v>0.01</v>
      </c>
      <c r="R4785" s="143">
        <v>95372</v>
      </c>
      <c r="S4785" s="47"/>
      <c r="T4785" s="6">
        <v>254923.53999999995</v>
      </c>
      <c r="U4785" s="6"/>
      <c r="V4785" s="6">
        <v>140000</v>
      </c>
      <c r="W4785" s="6">
        <f t="shared" si="732"/>
        <v>114923.53999999995</v>
      </c>
      <c r="X4785" s="6">
        <f t="shared" si="726"/>
        <v>138613.86138613863</v>
      </c>
      <c r="Y4785" s="13">
        <f t="shared" si="727"/>
        <v>0</v>
      </c>
      <c r="Z4785" s="14">
        <v>0</v>
      </c>
      <c r="AA4785" s="6">
        <v>0</v>
      </c>
      <c r="AB4785" s="4">
        <f t="shared" si="728"/>
        <v>138613.86138613863</v>
      </c>
      <c r="AC4785" s="4">
        <f t="shared" si="730"/>
        <v>1386.1386138613743</v>
      </c>
      <c r="AD4785" s="6">
        <f t="shared" si="733"/>
        <v>140000</v>
      </c>
      <c r="AE4785" s="2">
        <f>VLOOKUP(I4785,[1]媒体政策预估表!A:N,MATCH(O4785,[1]媒体政策预估表!$A$2:$M$2,0),0)</f>
        <v>0.09</v>
      </c>
      <c r="AF4785" s="6">
        <f t="shared" si="731"/>
        <v>12600</v>
      </c>
      <c r="AG4785" s="14">
        <v>0</v>
      </c>
      <c r="AH4785" s="65">
        <f t="shared" si="734"/>
        <v>140000</v>
      </c>
      <c r="AI4785" s="47"/>
      <c r="AJ4785" s="126" t="e">
        <v>#N/A</v>
      </c>
      <c r="AK4785" s="80">
        <f t="shared" si="729"/>
        <v>0</v>
      </c>
      <c r="AM4785" s="85"/>
    </row>
    <row r="4786" spans="1:39" hidden="1" x14ac:dyDescent="0.3">
      <c r="A4786" s="89" t="s">
        <v>3583</v>
      </c>
      <c r="B4786" s="86" t="s">
        <v>35</v>
      </c>
      <c r="C4786" s="86" t="s">
        <v>65</v>
      </c>
      <c r="D4786" s="86" t="s">
        <v>66</v>
      </c>
      <c r="E4786" s="86" t="s">
        <v>2752</v>
      </c>
      <c r="F4786" s="86" t="s">
        <v>2752</v>
      </c>
      <c r="G4786" s="86" t="s">
        <v>2752</v>
      </c>
      <c r="H4786" s="143">
        <v>22</v>
      </c>
      <c r="I4786" s="86" t="s">
        <v>2935</v>
      </c>
      <c r="J4786" s="1" t="s">
        <v>3302</v>
      </c>
      <c r="K4786" s="1" t="s">
        <v>3371</v>
      </c>
      <c r="L4786" s="1" t="s">
        <v>35</v>
      </c>
      <c r="M4786" s="86" t="s">
        <v>2962</v>
      </c>
      <c r="N4786" s="86"/>
      <c r="O4786" s="47" t="s">
        <v>410</v>
      </c>
      <c r="P4786" s="47" t="s">
        <v>41</v>
      </c>
      <c r="Q4786" s="14">
        <v>0</v>
      </c>
      <c r="R4786" s="143">
        <v>30032</v>
      </c>
      <c r="S4786" s="47"/>
      <c r="T4786" s="6">
        <v>48442.68</v>
      </c>
      <c r="U4786" s="6"/>
      <c r="V4786" s="6">
        <v>0</v>
      </c>
      <c r="W4786" s="6">
        <f t="shared" si="732"/>
        <v>48442.68</v>
      </c>
      <c r="X4786" s="6">
        <f t="shared" si="726"/>
        <v>0</v>
      </c>
      <c r="Y4786" s="13">
        <f t="shared" si="727"/>
        <v>0</v>
      </c>
      <c r="Z4786" s="14">
        <v>0</v>
      </c>
      <c r="AA4786" s="6">
        <v>0</v>
      </c>
      <c r="AB4786" s="4">
        <f t="shared" si="728"/>
        <v>0</v>
      </c>
      <c r="AC4786" s="4">
        <f t="shared" si="730"/>
        <v>0</v>
      </c>
      <c r="AD4786" s="6">
        <f t="shared" si="733"/>
        <v>0</v>
      </c>
      <c r="AE4786" s="2">
        <f>VLOOKUP(I4786,[1]媒体政策预估表!A:N,MATCH(O4786,[1]媒体政策预估表!$A$2:$M$2,0),0)</f>
        <v>0.09</v>
      </c>
      <c r="AF4786" s="6">
        <f t="shared" si="731"/>
        <v>0</v>
      </c>
      <c r="AG4786" s="14">
        <v>0</v>
      </c>
      <c r="AH4786" s="65">
        <f t="shared" si="734"/>
        <v>0</v>
      </c>
      <c r="AI4786" s="47"/>
      <c r="AJ4786" s="126" t="e">
        <v>#N/A</v>
      </c>
      <c r="AK4786" s="80">
        <f t="shared" si="729"/>
        <v>0</v>
      </c>
      <c r="AM4786" s="85"/>
    </row>
    <row r="4787" spans="1:39" hidden="1" x14ac:dyDescent="0.3">
      <c r="A4787" s="89" t="s">
        <v>3583</v>
      </c>
      <c r="B4787" s="86" t="s">
        <v>35</v>
      </c>
      <c r="C4787" s="86" t="s">
        <v>65</v>
      </c>
      <c r="D4787" s="86" t="s">
        <v>66</v>
      </c>
      <c r="E4787" s="86" t="s">
        <v>494</v>
      </c>
      <c r="F4787" s="86" t="s">
        <v>494</v>
      </c>
      <c r="G4787" s="86" t="s">
        <v>494</v>
      </c>
      <c r="H4787" s="144">
        <v>22</v>
      </c>
      <c r="I4787" s="86" t="s">
        <v>2935</v>
      </c>
      <c r="J4787" s="1" t="s">
        <v>3302</v>
      </c>
      <c r="K4787" s="1" t="s">
        <v>3371</v>
      </c>
      <c r="L4787" s="1" t="s">
        <v>35</v>
      </c>
      <c r="M4787" s="86" t="s">
        <v>495</v>
      </c>
      <c r="N4787" s="86"/>
      <c r="O4787" s="47" t="s">
        <v>45</v>
      </c>
      <c r="P4787" s="47" t="s">
        <v>41</v>
      </c>
      <c r="Q4787" s="14">
        <v>0</v>
      </c>
      <c r="R4787" s="143">
        <v>16172</v>
      </c>
      <c r="S4787" s="47"/>
      <c r="T4787" s="6">
        <v>-4227643.76</v>
      </c>
      <c r="U4787" s="6"/>
      <c r="V4787" s="6">
        <v>141980.71</v>
      </c>
      <c r="W4787" s="6">
        <f t="shared" si="732"/>
        <v>-4369624.47</v>
      </c>
      <c r="X4787" s="6">
        <f t="shared" si="726"/>
        <v>141980.71</v>
      </c>
      <c r="Y4787" s="13">
        <f t="shared" si="727"/>
        <v>0</v>
      </c>
      <c r="Z4787" s="14">
        <v>0</v>
      </c>
      <c r="AA4787" s="6">
        <v>0</v>
      </c>
      <c r="AB4787" s="4">
        <f t="shared" si="728"/>
        <v>141980.71</v>
      </c>
      <c r="AC4787" s="4">
        <f t="shared" si="730"/>
        <v>0</v>
      </c>
      <c r="AD4787" s="6">
        <f t="shared" si="733"/>
        <v>141980.71</v>
      </c>
      <c r="AE4787" s="2">
        <f>VLOOKUP(I4787,[1]媒体政策预估表!A:N,MATCH(O4787,[1]媒体政策预估表!$A$2:$M$2,0),0)</f>
        <v>0.18</v>
      </c>
      <c r="AF4787" s="6">
        <f t="shared" si="731"/>
        <v>25556.527799999996</v>
      </c>
      <c r="AG4787" s="14">
        <v>0</v>
      </c>
      <c r="AH4787" s="65">
        <f t="shared" si="734"/>
        <v>141980.71</v>
      </c>
      <c r="AI4787" s="47"/>
      <c r="AJ4787" s="126" t="e">
        <v>#N/A</v>
      </c>
      <c r="AK4787" s="80">
        <f t="shared" si="729"/>
        <v>0</v>
      </c>
      <c r="AM4787" s="85"/>
    </row>
    <row r="4788" spans="1:39" hidden="1" x14ac:dyDescent="0.3">
      <c r="A4788" s="89" t="s">
        <v>3397</v>
      </c>
      <c r="B4788" s="86" t="s">
        <v>35</v>
      </c>
      <c r="C4788" s="86" t="s">
        <v>65</v>
      </c>
      <c r="D4788" s="86" t="s">
        <v>66</v>
      </c>
      <c r="E4788" s="86" t="s">
        <v>2963</v>
      </c>
      <c r="F4788" s="86" t="s">
        <v>2963</v>
      </c>
      <c r="G4788" s="86" t="s">
        <v>2963</v>
      </c>
      <c r="H4788" s="144">
        <v>22</v>
      </c>
      <c r="I4788" s="86" t="s">
        <v>2935</v>
      </c>
      <c r="J4788" s="1" t="s">
        <v>3302</v>
      </c>
      <c r="K4788" s="1" t="s">
        <v>3371</v>
      </c>
      <c r="L4788" s="1" t="s">
        <v>35</v>
      </c>
      <c r="M4788" s="86" t="s">
        <v>2964</v>
      </c>
      <c r="N4788" s="86"/>
      <c r="O4788" s="47" t="s">
        <v>410</v>
      </c>
      <c r="P4788" s="47" t="s">
        <v>41</v>
      </c>
      <c r="Q4788" s="14">
        <v>0</v>
      </c>
      <c r="R4788" s="143">
        <v>27432</v>
      </c>
      <c r="S4788" s="47"/>
      <c r="T4788" s="6">
        <v>139169.70000000001</v>
      </c>
      <c r="U4788" s="6"/>
      <c r="V4788" s="6">
        <v>61173.8</v>
      </c>
      <c r="W4788" s="6">
        <f t="shared" si="732"/>
        <v>77995.900000000009</v>
      </c>
      <c r="X4788" s="6">
        <f t="shared" si="726"/>
        <v>61173.8</v>
      </c>
      <c r="Y4788" s="13">
        <f t="shared" si="727"/>
        <v>0</v>
      </c>
      <c r="Z4788" s="14">
        <v>0</v>
      </c>
      <c r="AA4788" s="6">
        <v>0</v>
      </c>
      <c r="AB4788" s="4">
        <f t="shared" si="728"/>
        <v>61173.8</v>
      </c>
      <c r="AC4788" s="4">
        <f t="shared" si="730"/>
        <v>0</v>
      </c>
      <c r="AD4788" s="6">
        <f t="shared" si="733"/>
        <v>61173.8</v>
      </c>
      <c r="AE4788" s="2">
        <f>VLOOKUP(I4788,[1]媒体政策预估表!A:N,MATCH(O4788,[1]媒体政策预估表!$A$2:$M$2,0),0)</f>
        <v>0.09</v>
      </c>
      <c r="AF4788" s="6">
        <f t="shared" si="731"/>
        <v>5505.6419999999998</v>
      </c>
      <c r="AG4788" s="14">
        <v>0</v>
      </c>
      <c r="AH4788" s="65">
        <f t="shared" si="734"/>
        <v>61173.8</v>
      </c>
      <c r="AI4788" s="47"/>
      <c r="AJ4788" s="126" t="e">
        <v>#N/A</v>
      </c>
      <c r="AK4788" s="80">
        <f t="shared" si="729"/>
        <v>0</v>
      </c>
      <c r="AM4788" s="85"/>
    </row>
    <row r="4789" spans="1:39" hidden="1" x14ac:dyDescent="0.3">
      <c r="A4789" s="89" t="s">
        <v>3397</v>
      </c>
      <c r="B4789" s="86" t="s">
        <v>35</v>
      </c>
      <c r="C4789" s="86" t="s">
        <v>65</v>
      </c>
      <c r="D4789" s="86" t="s">
        <v>66</v>
      </c>
      <c r="E4789" s="86" t="s">
        <v>2678</v>
      </c>
      <c r="F4789" s="86" t="s">
        <v>2679</v>
      </c>
      <c r="G4789" s="86" t="s">
        <v>2678</v>
      </c>
      <c r="H4789" s="144">
        <v>22</v>
      </c>
      <c r="I4789" s="86" t="s">
        <v>2935</v>
      </c>
      <c r="J4789" s="1" t="s">
        <v>3302</v>
      </c>
      <c r="K4789" s="1" t="s">
        <v>3371</v>
      </c>
      <c r="L4789" s="1" t="s">
        <v>35</v>
      </c>
      <c r="M4789" s="86" t="s">
        <v>2678</v>
      </c>
      <c r="N4789" s="86"/>
      <c r="O4789" s="47" t="s">
        <v>410</v>
      </c>
      <c r="P4789" s="47" t="s">
        <v>41</v>
      </c>
      <c r="Q4789" s="14">
        <v>0</v>
      </c>
      <c r="R4789" s="143">
        <v>72222</v>
      </c>
      <c r="S4789" s="47"/>
      <c r="T4789" s="6">
        <v>353089.81000000093</v>
      </c>
      <c r="U4789" s="6"/>
      <c r="V4789" s="6">
        <v>353089.81000000093</v>
      </c>
      <c r="W4789" s="6">
        <f t="shared" si="732"/>
        <v>0</v>
      </c>
      <c r="X4789" s="6">
        <f t="shared" si="726"/>
        <v>353089.81000000093</v>
      </c>
      <c r="Y4789" s="13">
        <f t="shared" si="727"/>
        <v>0</v>
      </c>
      <c r="Z4789" s="14">
        <v>0</v>
      </c>
      <c r="AA4789" s="6">
        <v>0</v>
      </c>
      <c r="AB4789" s="4">
        <f t="shared" si="728"/>
        <v>353089.81000000093</v>
      </c>
      <c r="AC4789" s="4">
        <f t="shared" si="730"/>
        <v>0</v>
      </c>
      <c r="AD4789" s="6">
        <f t="shared" si="733"/>
        <v>353089.81000000093</v>
      </c>
      <c r="AE4789" s="2">
        <f>VLOOKUP(I4789,[1]媒体政策预估表!A:N,MATCH(O4789,[1]媒体政策预估表!$A$2:$M$2,0),0)</f>
        <v>0.09</v>
      </c>
      <c r="AF4789" s="6">
        <f t="shared" si="731"/>
        <v>31778.082900000081</v>
      </c>
      <c r="AG4789" s="14">
        <v>0</v>
      </c>
      <c r="AH4789" s="65">
        <f t="shared" si="734"/>
        <v>353089.81000000093</v>
      </c>
      <c r="AI4789" s="47"/>
      <c r="AJ4789" s="126" t="e">
        <v>#N/A</v>
      </c>
      <c r="AK4789" s="80">
        <f t="shared" si="729"/>
        <v>0</v>
      </c>
      <c r="AM4789" s="85"/>
    </row>
    <row r="4790" spans="1:39" hidden="1" x14ac:dyDescent="0.3">
      <c r="A4790" s="89" t="s">
        <v>3397</v>
      </c>
      <c r="B4790" s="86" t="s">
        <v>35</v>
      </c>
      <c r="C4790" s="86" t="s">
        <v>65</v>
      </c>
      <c r="D4790" s="86" t="s">
        <v>66</v>
      </c>
      <c r="E4790" s="86" t="s">
        <v>2678</v>
      </c>
      <c r="F4790" s="86" t="s">
        <v>2679</v>
      </c>
      <c r="G4790" s="86" t="s">
        <v>2678</v>
      </c>
      <c r="H4790" s="143">
        <v>22</v>
      </c>
      <c r="I4790" s="86" t="s">
        <v>2935</v>
      </c>
      <c r="J4790" s="1" t="s">
        <v>3302</v>
      </c>
      <c r="K4790" s="1" t="s">
        <v>3371</v>
      </c>
      <c r="L4790" s="1" t="s">
        <v>35</v>
      </c>
      <c r="M4790" s="86" t="s">
        <v>2965</v>
      </c>
      <c r="N4790" s="86"/>
      <c r="O4790" s="47" t="s">
        <v>410</v>
      </c>
      <c r="P4790" s="47" t="s">
        <v>41</v>
      </c>
      <c r="Q4790" s="14">
        <v>0</v>
      </c>
      <c r="R4790" s="143">
        <v>112112</v>
      </c>
      <c r="S4790" s="47"/>
      <c r="T4790" s="6">
        <v>29980</v>
      </c>
      <c r="U4790" s="6"/>
      <c r="V4790" s="6">
        <v>0</v>
      </c>
      <c r="W4790" s="6">
        <f t="shared" si="732"/>
        <v>29980</v>
      </c>
      <c r="X4790" s="6">
        <f t="shared" si="726"/>
        <v>0</v>
      </c>
      <c r="Y4790" s="13">
        <f t="shared" si="727"/>
        <v>0</v>
      </c>
      <c r="Z4790" s="14">
        <v>0</v>
      </c>
      <c r="AA4790" s="6">
        <v>0</v>
      </c>
      <c r="AB4790" s="4">
        <f t="shared" si="728"/>
        <v>0</v>
      </c>
      <c r="AC4790" s="4">
        <f t="shared" si="730"/>
        <v>0</v>
      </c>
      <c r="AD4790" s="6">
        <f t="shared" si="733"/>
        <v>0</v>
      </c>
      <c r="AE4790" s="2">
        <f>VLOOKUP(I4790,[1]媒体政策预估表!A:N,MATCH(O4790,[1]媒体政策预估表!$A$2:$M$2,0),0)</f>
        <v>0.09</v>
      </c>
      <c r="AF4790" s="6">
        <f t="shared" si="731"/>
        <v>0</v>
      </c>
      <c r="AG4790" s="14">
        <v>0</v>
      </c>
      <c r="AH4790" s="65">
        <f t="shared" si="734"/>
        <v>0</v>
      </c>
      <c r="AI4790" s="47"/>
      <c r="AJ4790" s="126" t="e">
        <v>#N/A</v>
      </c>
      <c r="AK4790" s="80">
        <f t="shared" si="729"/>
        <v>0</v>
      </c>
      <c r="AM4790" s="85"/>
    </row>
    <row r="4791" spans="1:39" hidden="1" x14ac:dyDescent="0.3">
      <c r="A4791" s="89" t="s">
        <v>3397</v>
      </c>
      <c r="B4791" s="86" t="s">
        <v>35</v>
      </c>
      <c r="C4791" s="86" t="s">
        <v>65</v>
      </c>
      <c r="D4791" s="86" t="s">
        <v>1291</v>
      </c>
      <c r="E4791" s="86" t="s">
        <v>2972</v>
      </c>
      <c r="F4791" s="86" t="s">
        <v>2972</v>
      </c>
      <c r="G4791" s="86" t="s">
        <v>2972</v>
      </c>
      <c r="H4791" s="144">
        <v>22</v>
      </c>
      <c r="I4791" s="86" t="s">
        <v>2935</v>
      </c>
      <c r="J4791" s="1" t="s">
        <v>3302</v>
      </c>
      <c r="K4791" s="1" t="s">
        <v>3371</v>
      </c>
      <c r="L4791" s="1" t="s">
        <v>35</v>
      </c>
      <c r="M4791" s="86" t="s">
        <v>2972</v>
      </c>
      <c r="N4791" s="86"/>
      <c r="O4791" s="47" t="s">
        <v>410</v>
      </c>
      <c r="P4791" s="47" t="s">
        <v>41</v>
      </c>
      <c r="Q4791" s="14">
        <v>0</v>
      </c>
      <c r="R4791" s="143">
        <v>244382</v>
      </c>
      <c r="S4791" s="47"/>
      <c r="T4791" s="6">
        <v>6498</v>
      </c>
      <c r="U4791" s="6"/>
      <c r="V4791" s="6">
        <v>600</v>
      </c>
      <c r="W4791" s="6">
        <f t="shared" si="732"/>
        <v>5898</v>
      </c>
      <c r="X4791" s="6">
        <f t="shared" si="726"/>
        <v>600</v>
      </c>
      <c r="Y4791" s="13">
        <f t="shared" si="727"/>
        <v>0</v>
      </c>
      <c r="Z4791" s="14">
        <v>0</v>
      </c>
      <c r="AA4791" s="6">
        <v>0</v>
      </c>
      <c r="AB4791" s="4">
        <f t="shared" si="728"/>
        <v>600</v>
      </c>
      <c r="AC4791" s="4">
        <f t="shared" si="730"/>
        <v>0</v>
      </c>
      <c r="AD4791" s="6">
        <f t="shared" si="733"/>
        <v>600</v>
      </c>
      <c r="AE4791" s="2">
        <f>VLOOKUP(I4791,[1]媒体政策预估表!A:N,MATCH(O4791,[1]媒体政策预估表!$A$2:$M$2,0),0)</f>
        <v>0.09</v>
      </c>
      <c r="AF4791" s="6">
        <f t="shared" si="731"/>
        <v>54</v>
      </c>
      <c r="AG4791" s="14">
        <v>0</v>
      </c>
      <c r="AH4791" s="65">
        <f t="shared" si="734"/>
        <v>600</v>
      </c>
      <c r="AI4791" s="47"/>
      <c r="AJ4791" s="126" t="e">
        <v>#N/A</v>
      </c>
      <c r="AK4791" s="80">
        <f t="shared" si="729"/>
        <v>0</v>
      </c>
      <c r="AM4791" s="85"/>
    </row>
    <row r="4792" spans="1:39" hidden="1" x14ac:dyDescent="0.3">
      <c r="A4792" s="89" t="s">
        <v>3583</v>
      </c>
      <c r="B4792" s="86" t="s">
        <v>35</v>
      </c>
      <c r="C4792" s="86" t="s">
        <v>65</v>
      </c>
      <c r="D4792" s="86" t="s">
        <v>1291</v>
      </c>
      <c r="E4792" s="86" t="s">
        <v>2973</v>
      </c>
      <c r="F4792" s="86" t="s">
        <v>2973</v>
      </c>
      <c r="G4792" s="86" t="s">
        <v>2973</v>
      </c>
      <c r="H4792" s="143">
        <v>22</v>
      </c>
      <c r="I4792" s="86" t="s">
        <v>2935</v>
      </c>
      <c r="J4792" s="1" t="s">
        <v>3302</v>
      </c>
      <c r="K4792" s="1" t="s">
        <v>3371</v>
      </c>
      <c r="L4792" s="1" t="s">
        <v>35</v>
      </c>
      <c r="M4792" s="86" t="s">
        <v>2973</v>
      </c>
      <c r="N4792" s="86"/>
      <c r="O4792" s="47" t="s">
        <v>410</v>
      </c>
      <c r="P4792" s="47" t="s">
        <v>41</v>
      </c>
      <c r="Q4792" s="14">
        <v>0</v>
      </c>
      <c r="R4792" s="143">
        <v>246412</v>
      </c>
      <c r="S4792" s="47"/>
      <c r="T4792" s="6">
        <v>14599.5</v>
      </c>
      <c r="U4792" s="6"/>
      <c r="V4792" s="6">
        <v>2730.4</v>
      </c>
      <c r="W4792" s="6">
        <f t="shared" si="732"/>
        <v>11869.1</v>
      </c>
      <c r="X4792" s="6">
        <f t="shared" si="726"/>
        <v>2730.4</v>
      </c>
      <c r="Y4792" s="13">
        <f t="shared" si="727"/>
        <v>0</v>
      </c>
      <c r="Z4792" s="14">
        <v>0</v>
      </c>
      <c r="AA4792" s="6">
        <v>0</v>
      </c>
      <c r="AB4792" s="4"/>
      <c r="AC4792" s="4">
        <f t="shared" si="730"/>
        <v>0</v>
      </c>
      <c r="AD4792" s="6">
        <f t="shared" si="733"/>
        <v>2730.4</v>
      </c>
      <c r="AE4792" s="2">
        <f>VLOOKUP(I4792,[1]媒体政策预估表!A:N,MATCH(O4792,[1]媒体政策预估表!$A$2:$M$2,0),0)</f>
        <v>0.09</v>
      </c>
      <c r="AF4792" s="6">
        <f t="shared" si="731"/>
        <v>245.73599999999999</v>
      </c>
      <c r="AG4792" s="14">
        <v>0</v>
      </c>
      <c r="AH4792" s="65">
        <f t="shared" si="734"/>
        <v>2730.4</v>
      </c>
      <c r="AI4792" s="47"/>
      <c r="AJ4792" s="126">
        <v>119</v>
      </c>
      <c r="AK4792" s="80">
        <f t="shared" si="729"/>
        <v>2730.4</v>
      </c>
      <c r="AM4792" s="85"/>
    </row>
    <row r="4793" spans="1:39" hidden="1" x14ac:dyDescent="0.3">
      <c r="A4793" s="89" t="s">
        <v>3582</v>
      </c>
      <c r="B4793" s="86" t="s">
        <v>35</v>
      </c>
      <c r="C4793" s="86" t="s">
        <v>47</v>
      </c>
      <c r="D4793" s="86" t="s">
        <v>63</v>
      </c>
      <c r="E4793" s="86" t="s">
        <v>2772</v>
      </c>
      <c r="F4793" s="86" t="s">
        <v>2772</v>
      </c>
      <c r="G4793" s="86" t="s">
        <v>2772</v>
      </c>
      <c r="H4793" s="144">
        <v>22</v>
      </c>
      <c r="I4793" s="86" t="s">
        <v>2935</v>
      </c>
      <c r="J4793" s="1" t="s">
        <v>3302</v>
      </c>
      <c r="K4793" s="1" t="s">
        <v>3371</v>
      </c>
      <c r="L4793" s="1" t="s">
        <v>35</v>
      </c>
      <c r="M4793" s="86" t="s">
        <v>2974</v>
      </c>
      <c r="N4793" s="86"/>
      <c r="O4793" s="47" t="s">
        <v>410</v>
      </c>
      <c r="P4793" s="47" t="s">
        <v>41</v>
      </c>
      <c r="Q4793" s="14">
        <v>0</v>
      </c>
      <c r="R4793" s="143">
        <v>40472</v>
      </c>
      <c r="S4793" s="47"/>
      <c r="T4793" s="6">
        <v>589854.20999999973</v>
      </c>
      <c r="U4793" s="6"/>
      <c r="V4793" s="6">
        <v>174803.29</v>
      </c>
      <c r="W4793" s="6">
        <f t="shared" si="732"/>
        <v>415050.91999999969</v>
      </c>
      <c r="X4793" s="6">
        <f t="shared" si="726"/>
        <v>174803.29</v>
      </c>
      <c r="Y4793" s="13">
        <f t="shared" si="727"/>
        <v>0</v>
      </c>
      <c r="Z4793" s="14">
        <v>0</v>
      </c>
      <c r="AA4793" s="6">
        <v>0</v>
      </c>
      <c r="AB4793" s="4">
        <f t="shared" si="728"/>
        <v>174803.29</v>
      </c>
      <c r="AC4793" s="4">
        <f t="shared" si="730"/>
        <v>0</v>
      </c>
      <c r="AD4793" s="6">
        <f t="shared" si="733"/>
        <v>174803.29</v>
      </c>
      <c r="AE4793" s="2">
        <f>VLOOKUP(I4793,[1]媒体政策预估表!A:N,MATCH(O4793,[1]媒体政策预估表!$A$2:$M$2,0),0)</f>
        <v>0.09</v>
      </c>
      <c r="AF4793" s="6">
        <f t="shared" si="731"/>
        <v>15732.2961</v>
      </c>
      <c r="AG4793" s="14">
        <v>0</v>
      </c>
      <c r="AH4793" s="65">
        <f t="shared" si="734"/>
        <v>174803.29</v>
      </c>
      <c r="AI4793" s="47"/>
      <c r="AJ4793" s="126" t="e">
        <v>#N/A</v>
      </c>
      <c r="AK4793" s="80">
        <f t="shared" si="729"/>
        <v>0</v>
      </c>
      <c r="AM4793" s="85"/>
    </row>
    <row r="4794" spans="1:39" hidden="1" x14ac:dyDescent="0.3">
      <c r="A4794" s="89" t="s">
        <v>3397</v>
      </c>
      <c r="B4794" s="86" t="s">
        <v>35</v>
      </c>
      <c r="C4794" s="86" t="s">
        <v>47</v>
      </c>
      <c r="D4794" s="86" t="s">
        <v>63</v>
      </c>
      <c r="E4794" s="86" t="s">
        <v>528</v>
      </c>
      <c r="F4794" s="86" t="s">
        <v>528</v>
      </c>
      <c r="G4794" s="86" t="s">
        <v>528</v>
      </c>
      <c r="H4794" s="144">
        <v>22</v>
      </c>
      <c r="I4794" s="86" t="s">
        <v>2935</v>
      </c>
      <c r="J4794" s="1" t="s">
        <v>3302</v>
      </c>
      <c r="K4794" s="1" t="s">
        <v>3371</v>
      </c>
      <c r="L4794" s="1" t="s">
        <v>35</v>
      </c>
      <c r="M4794" s="86" t="s">
        <v>2391</v>
      </c>
      <c r="N4794" s="86"/>
      <c r="O4794" s="47" t="s">
        <v>410</v>
      </c>
      <c r="P4794" s="47" t="s">
        <v>46</v>
      </c>
      <c r="Q4794" s="14">
        <v>1.4999999999999999E-2</v>
      </c>
      <c r="R4794" s="143">
        <v>2252</v>
      </c>
      <c r="S4794" s="47"/>
      <c r="T4794" s="6">
        <v>191611.50999999983</v>
      </c>
      <c r="U4794" s="6"/>
      <c r="V4794" s="6">
        <v>176000</v>
      </c>
      <c r="W4794" s="6">
        <f t="shared" si="732"/>
        <v>15611.509999999835</v>
      </c>
      <c r="X4794" s="6">
        <f t="shared" si="726"/>
        <v>173399.01477832513</v>
      </c>
      <c r="Y4794" s="13">
        <f t="shared" si="727"/>
        <v>0</v>
      </c>
      <c r="Z4794" s="14">
        <v>0</v>
      </c>
      <c r="AA4794" s="6">
        <v>0</v>
      </c>
      <c r="AB4794" s="4">
        <f t="shared" si="728"/>
        <v>173399.01477832513</v>
      </c>
      <c r="AC4794" s="4">
        <f t="shared" si="730"/>
        <v>2600.9852216748695</v>
      </c>
      <c r="AD4794" s="6">
        <f t="shared" si="733"/>
        <v>176000</v>
      </c>
      <c r="AE4794" s="2">
        <f>VLOOKUP(I4794,[1]媒体政策预估表!A:N,MATCH(O4794,[1]媒体政策预估表!$A$2:$M$2,0),0)</f>
        <v>0.09</v>
      </c>
      <c r="AF4794" s="6">
        <f t="shared" si="731"/>
        <v>15840</v>
      </c>
      <c r="AG4794" s="14">
        <v>0</v>
      </c>
      <c r="AH4794" s="65">
        <f t="shared" si="734"/>
        <v>176000</v>
      </c>
      <c r="AI4794" s="47"/>
      <c r="AJ4794" s="126" t="e">
        <v>#N/A</v>
      </c>
      <c r="AK4794" s="80">
        <f t="shared" si="729"/>
        <v>0</v>
      </c>
      <c r="AM4794" s="85"/>
    </row>
    <row r="4795" spans="1:39" hidden="1" x14ac:dyDescent="0.3">
      <c r="A4795" s="89" t="s">
        <v>3582</v>
      </c>
      <c r="B4795" s="86" t="s">
        <v>35</v>
      </c>
      <c r="C4795" s="86" t="s">
        <v>47</v>
      </c>
      <c r="D4795" s="86" t="s">
        <v>63</v>
      </c>
      <c r="E4795" s="86" t="s">
        <v>533</v>
      </c>
      <c r="F4795" s="86" t="s">
        <v>533</v>
      </c>
      <c r="G4795" s="86" t="s">
        <v>533</v>
      </c>
      <c r="H4795" s="143">
        <v>22</v>
      </c>
      <c r="I4795" s="86" t="s">
        <v>2935</v>
      </c>
      <c r="J4795" s="1" t="s">
        <v>3302</v>
      </c>
      <c r="K4795" s="1" t="s">
        <v>3371</v>
      </c>
      <c r="L4795" s="1" t="s">
        <v>35</v>
      </c>
      <c r="M4795" s="86" t="s">
        <v>533</v>
      </c>
      <c r="N4795" s="86"/>
      <c r="O4795" s="47" t="s">
        <v>45</v>
      </c>
      <c r="P4795" s="47" t="s">
        <v>46</v>
      </c>
      <c r="Q4795" s="14">
        <v>0.05</v>
      </c>
      <c r="R4795" s="143">
        <v>58532</v>
      </c>
      <c r="S4795" s="47"/>
      <c r="T4795" s="6">
        <v>-523192.05</v>
      </c>
      <c r="U4795" s="6"/>
      <c r="V4795" s="6">
        <v>0</v>
      </c>
      <c r="W4795" s="6">
        <f t="shared" si="732"/>
        <v>-523192.05</v>
      </c>
      <c r="X4795" s="6">
        <f t="shared" ref="X4795:X4858" si="735">IF(P4795="折扣",V4795*Q4795,IF(P4795="返现",V4795,V4795/(1+Q4795)))</f>
        <v>0</v>
      </c>
      <c r="Y4795" s="13">
        <f t="shared" si="727"/>
        <v>0</v>
      </c>
      <c r="Z4795" s="14">
        <v>0</v>
      </c>
      <c r="AA4795" s="6">
        <v>0</v>
      </c>
      <c r="AB4795" s="4">
        <f t="shared" si="728"/>
        <v>0</v>
      </c>
      <c r="AC4795" s="4">
        <f t="shared" si="730"/>
        <v>0</v>
      </c>
      <c r="AD4795" s="6">
        <f t="shared" si="733"/>
        <v>0</v>
      </c>
      <c r="AE4795" s="2">
        <f>VLOOKUP(I4795,[1]媒体政策预估表!A:N,MATCH(O4795,[1]媒体政策预估表!$A$2:$M$2,0),0)</f>
        <v>0.18</v>
      </c>
      <c r="AF4795" s="6">
        <f t="shared" si="731"/>
        <v>0</v>
      </c>
      <c r="AG4795" s="14">
        <v>0</v>
      </c>
      <c r="AH4795" s="65">
        <f t="shared" si="734"/>
        <v>0</v>
      </c>
      <c r="AI4795" s="47"/>
      <c r="AJ4795" s="126" t="e">
        <v>#N/A</v>
      </c>
      <c r="AK4795" s="80">
        <f t="shared" si="729"/>
        <v>0</v>
      </c>
      <c r="AM4795" s="85"/>
    </row>
    <row r="4796" spans="1:39" hidden="1" x14ac:dyDescent="0.3">
      <c r="A4796" s="89" t="s">
        <v>3397</v>
      </c>
      <c r="B4796" s="86" t="s">
        <v>35</v>
      </c>
      <c r="C4796" s="86" t="s">
        <v>47</v>
      </c>
      <c r="D4796" s="86" t="s">
        <v>63</v>
      </c>
      <c r="E4796" s="86" t="s">
        <v>533</v>
      </c>
      <c r="F4796" s="86" t="s">
        <v>533</v>
      </c>
      <c r="G4796" s="86" t="s">
        <v>533</v>
      </c>
      <c r="H4796" s="144">
        <v>22</v>
      </c>
      <c r="I4796" s="86" t="s">
        <v>2935</v>
      </c>
      <c r="J4796" s="1" t="s">
        <v>3302</v>
      </c>
      <c r="K4796" s="1" t="s">
        <v>3371</v>
      </c>
      <c r="L4796" s="1" t="s">
        <v>35</v>
      </c>
      <c r="M4796" s="86" t="s">
        <v>533</v>
      </c>
      <c r="N4796" s="86"/>
      <c r="O4796" s="47" t="s">
        <v>410</v>
      </c>
      <c r="P4796" s="47" t="s">
        <v>46</v>
      </c>
      <c r="Q4796" s="14">
        <v>0.02</v>
      </c>
      <c r="R4796" s="143">
        <v>58532</v>
      </c>
      <c r="S4796" s="47"/>
      <c r="T4796" s="6">
        <v>574265.08999999985</v>
      </c>
      <c r="U4796" s="6"/>
      <c r="V4796" s="6">
        <v>15000</v>
      </c>
      <c r="W4796" s="6">
        <f t="shared" si="732"/>
        <v>559265.08999999985</v>
      </c>
      <c r="X4796" s="6">
        <f t="shared" si="735"/>
        <v>14705.882352941177</v>
      </c>
      <c r="Y4796" s="13">
        <f t="shared" si="727"/>
        <v>0</v>
      </c>
      <c r="Z4796" s="14">
        <v>0</v>
      </c>
      <c r="AA4796" s="6">
        <v>0</v>
      </c>
      <c r="AB4796" s="4">
        <f t="shared" si="728"/>
        <v>14705.882352941177</v>
      </c>
      <c r="AC4796" s="4">
        <f t="shared" si="730"/>
        <v>294.11764705882342</v>
      </c>
      <c r="AD4796" s="6">
        <f t="shared" si="733"/>
        <v>15000</v>
      </c>
      <c r="AE4796" s="2">
        <f>VLOOKUP(I4796,[1]媒体政策预估表!A:N,MATCH(O4796,[1]媒体政策预估表!$A$2:$M$2,0),0)</f>
        <v>0.09</v>
      </c>
      <c r="AF4796" s="6">
        <f t="shared" si="731"/>
        <v>1350</v>
      </c>
      <c r="AG4796" s="14">
        <v>0</v>
      </c>
      <c r="AH4796" s="65">
        <f t="shared" si="734"/>
        <v>15000</v>
      </c>
      <c r="AI4796" s="47"/>
      <c r="AJ4796" s="126" t="e">
        <v>#N/A</v>
      </c>
      <c r="AK4796" s="80">
        <f t="shared" si="729"/>
        <v>0</v>
      </c>
      <c r="AM4796" s="85"/>
    </row>
    <row r="4797" spans="1:39" hidden="1" x14ac:dyDescent="0.3">
      <c r="A4797" s="89" t="s">
        <v>3582</v>
      </c>
      <c r="B4797" s="86" t="s">
        <v>35</v>
      </c>
      <c r="C4797" s="86" t="s">
        <v>47</v>
      </c>
      <c r="D4797" s="86" t="s">
        <v>48</v>
      </c>
      <c r="E4797" s="86" t="s">
        <v>2789</v>
      </c>
      <c r="F4797" s="86" t="s">
        <v>2789</v>
      </c>
      <c r="G4797" s="86" t="s">
        <v>2789</v>
      </c>
      <c r="H4797" s="144">
        <v>22</v>
      </c>
      <c r="I4797" s="86" t="s">
        <v>2935</v>
      </c>
      <c r="J4797" s="1" t="s">
        <v>3302</v>
      </c>
      <c r="K4797" s="1" t="s">
        <v>3371</v>
      </c>
      <c r="L4797" s="1" t="s">
        <v>35</v>
      </c>
      <c r="M4797" s="86" t="s">
        <v>2789</v>
      </c>
      <c r="N4797" s="86"/>
      <c r="O4797" s="47" t="s">
        <v>410</v>
      </c>
      <c r="P4797" s="47" t="s">
        <v>41</v>
      </c>
      <c r="Q4797" s="14">
        <v>0</v>
      </c>
      <c r="R4797" s="143">
        <v>34612</v>
      </c>
      <c r="S4797" s="47"/>
      <c r="T4797" s="6">
        <v>1584257.0400000005</v>
      </c>
      <c r="U4797" s="6"/>
      <c r="V4797" s="6">
        <v>54824.26</v>
      </c>
      <c r="W4797" s="6">
        <f t="shared" si="732"/>
        <v>1529432.7800000005</v>
      </c>
      <c r="X4797" s="6">
        <f t="shared" si="735"/>
        <v>54824.26</v>
      </c>
      <c r="Y4797" s="13">
        <f t="shared" si="727"/>
        <v>0</v>
      </c>
      <c r="Z4797" s="14">
        <v>0</v>
      </c>
      <c r="AA4797" s="6">
        <v>0</v>
      </c>
      <c r="AB4797" s="4">
        <f t="shared" si="728"/>
        <v>54824.26</v>
      </c>
      <c r="AC4797" s="4">
        <f t="shared" si="730"/>
        <v>0</v>
      </c>
      <c r="AD4797" s="6">
        <f t="shared" si="733"/>
        <v>54824.26</v>
      </c>
      <c r="AE4797" s="2">
        <f>VLOOKUP(I4797,[1]媒体政策预估表!A:N,MATCH(O4797,[1]媒体政策预估表!$A$2:$M$2,0),0)</f>
        <v>0.09</v>
      </c>
      <c r="AF4797" s="6">
        <f t="shared" si="731"/>
        <v>4934.1833999999999</v>
      </c>
      <c r="AG4797" s="14">
        <v>0</v>
      </c>
      <c r="AH4797" s="65">
        <f t="shared" si="734"/>
        <v>54824.26</v>
      </c>
      <c r="AI4797" s="47"/>
      <c r="AJ4797" s="126" t="e">
        <v>#N/A</v>
      </c>
      <c r="AK4797" s="80">
        <f t="shared" si="729"/>
        <v>0</v>
      </c>
      <c r="AM4797" s="85"/>
    </row>
    <row r="4798" spans="1:39" hidden="1" x14ac:dyDescent="0.3">
      <c r="A4798" s="89" t="s">
        <v>3582</v>
      </c>
      <c r="B4798" s="86" t="s">
        <v>35</v>
      </c>
      <c r="C4798" s="86" t="s">
        <v>47</v>
      </c>
      <c r="D4798" s="86" t="s">
        <v>48</v>
      </c>
      <c r="E4798" s="86" t="s">
        <v>2987</v>
      </c>
      <c r="F4798" s="86" t="s">
        <v>2987</v>
      </c>
      <c r="G4798" s="86" t="s">
        <v>2987</v>
      </c>
      <c r="H4798" s="144">
        <v>22</v>
      </c>
      <c r="I4798" s="86" t="s">
        <v>2935</v>
      </c>
      <c r="J4798" s="1" t="s">
        <v>3302</v>
      </c>
      <c r="K4798" s="1" t="s">
        <v>3371</v>
      </c>
      <c r="L4798" s="1" t="s">
        <v>35</v>
      </c>
      <c r="M4798" s="86" t="s">
        <v>2987</v>
      </c>
      <c r="N4798" s="86"/>
      <c r="O4798" s="47" t="s">
        <v>410</v>
      </c>
      <c r="P4798" s="47" t="s">
        <v>41</v>
      </c>
      <c r="Q4798" s="14">
        <v>0</v>
      </c>
      <c r="R4798" s="143">
        <v>106232</v>
      </c>
      <c r="S4798" s="47"/>
      <c r="T4798" s="6">
        <v>9009.1799999999967</v>
      </c>
      <c r="U4798" s="6"/>
      <c r="V4798" s="6">
        <v>6790.46</v>
      </c>
      <c r="W4798" s="6">
        <f t="shared" si="732"/>
        <v>2218.7199999999966</v>
      </c>
      <c r="X4798" s="6">
        <f t="shared" si="735"/>
        <v>6790.46</v>
      </c>
      <c r="Y4798" s="13">
        <f t="shared" si="727"/>
        <v>0</v>
      </c>
      <c r="Z4798" s="14">
        <v>0</v>
      </c>
      <c r="AA4798" s="6">
        <v>0</v>
      </c>
      <c r="AB4798" s="4">
        <f t="shared" si="728"/>
        <v>6790.46</v>
      </c>
      <c r="AC4798" s="4">
        <f t="shared" si="730"/>
        <v>0</v>
      </c>
      <c r="AD4798" s="6">
        <f t="shared" si="733"/>
        <v>6790.46</v>
      </c>
      <c r="AE4798" s="2">
        <f>VLOOKUP(I4798,[1]媒体政策预估表!A:N,MATCH(O4798,[1]媒体政策预估表!$A$2:$M$2,0),0)</f>
        <v>0.09</v>
      </c>
      <c r="AF4798" s="6">
        <f t="shared" si="731"/>
        <v>611.14139999999998</v>
      </c>
      <c r="AG4798" s="14">
        <v>0</v>
      </c>
      <c r="AH4798" s="65">
        <f t="shared" si="734"/>
        <v>6790.46</v>
      </c>
      <c r="AI4798" s="47"/>
      <c r="AJ4798" s="126" t="e">
        <v>#N/A</v>
      </c>
      <c r="AK4798" s="80">
        <f t="shared" si="729"/>
        <v>0</v>
      </c>
      <c r="AM4798" s="85"/>
    </row>
    <row r="4799" spans="1:39" hidden="1" x14ac:dyDescent="0.3">
      <c r="A4799" s="89" t="s">
        <v>3582</v>
      </c>
      <c r="B4799" s="86" t="s">
        <v>35</v>
      </c>
      <c r="C4799" s="86" t="s">
        <v>144</v>
      </c>
      <c r="D4799" s="86" t="s">
        <v>145</v>
      </c>
      <c r="E4799" s="86" t="s">
        <v>150</v>
      </c>
      <c r="F4799" s="86" t="s">
        <v>151</v>
      </c>
      <c r="G4799" s="86" t="s">
        <v>150</v>
      </c>
      <c r="H4799" s="144">
        <v>22</v>
      </c>
      <c r="I4799" s="86" t="s">
        <v>2935</v>
      </c>
      <c r="J4799" s="1" t="s">
        <v>3302</v>
      </c>
      <c r="K4799" s="1" t="s">
        <v>3371</v>
      </c>
      <c r="L4799" s="1" t="s">
        <v>35</v>
      </c>
      <c r="M4799" s="86" t="s">
        <v>2991</v>
      </c>
      <c r="N4799" s="86"/>
      <c r="O4799" s="47" t="s">
        <v>410</v>
      </c>
      <c r="P4799" s="47" t="s">
        <v>46</v>
      </c>
      <c r="Q4799" s="14">
        <v>0.04</v>
      </c>
      <c r="R4799" s="143">
        <v>95122</v>
      </c>
      <c r="S4799" s="47"/>
      <c r="T4799" s="6">
        <v>70435.55</v>
      </c>
      <c r="U4799" s="6"/>
      <c r="V4799" s="6">
        <v>26079.32</v>
      </c>
      <c r="W4799" s="6">
        <f t="shared" si="732"/>
        <v>44356.23</v>
      </c>
      <c r="X4799" s="6">
        <f t="shared" si="735"/>
        <v>25076.26923076923</v>
      </c>
      <c r="Y4799" s="13">
        <f t="shared" si="727"/>
        <v>0</v>
      </c>
      <c r="Z4799" s="14">
        <v>0</v>
      </c>
      <c r="AA4799" s="6">
        <v>0</v>
      </c>
      <c r="AB4799" s="4">
        <f t="shared" si="728"/>
        <v>25076.26923076923</v>
      </c>
      <c r="AC4799" s="4">
        <f t="shared" si="730"/>
        <v>1003.0507692307692</v>
      </c>
      <c r="AD4799" s="6">
        <f t="shared" si="733"/>
        <v>26079.32</v>
      </c>
      <c r="AE4799" s="2">
        <f>VLOOKUP(I4799,[1]媒体政策预估表!A:N,MATCH(O4799,[1]媒体政策预估表!$A$2:$M$2,0),0)</f>
        <v>0.09</v>
      </c>
      <c r="AF4799" s="6">
        <f t="shared" si="731"/>
        <v>2347.1387999999997</v>
      </c>
      <c r="AG4799" s="14">
        <v>0</v>
      </c>
      <c r="AH4799" s="65">
        <f t="shared" si="734"/>
        <v>26079.32</v>
      </c>
      <c r="AI4799" s="47"/>
      <c r="AJ4799" s="126" t="e">
        <v>#N/A</v>
      </c>
      <c r="AK4799" s="80">
        <f t="shared" si="729"/>
        <v>0</v>
      </c>
      <c r="AM4799" s="85"/>
    </row>
    <row r="4800" spans="1:39" hidden="1" x14ac:dyDescent="0.3">
      <c r="A4800" s="89" t="s">
        <v>3397</v>
      </c>
      <c r="B4800" s="86" t="s">
        <v>35</v>
      </c>
      <c r="C4800" s="86" t="s">
        <v>144</v>
      </c>
      <c r="D4800" s="86" t="s">
        <v>152</v>
      </c>
      <c r="E4800" s="86" t="s">
        <v>1468</v>
      </c>
      <c r="F4800" s="86" t="s">
        <v>1468</v>
      </c>
      <c r="G4800" s="86" t="s">
        <v>1468</v>
      </c>
      <c r="H4800" s="144">
        <v>22</v>
      </c>
      <c r="I4800" s="86" t="s">
        <v>2935</v>
      </c>
      <c r="J4800" s="1" t="s">
        <v>3302</v>
      </c>
      <c r="K4800" s="1" t="s">
        <v>3371</v>
      </c>
      <c r="L4800" s="1" t="s">
        <v>35</v>
      </c>
      <c r="M4800" s="86" t="s">
        <v>1468</v>
      </c>
      <c r="N4800" s="86"/>
      <c r="O4800" s="47" t="s">
        <v>410</v>
      </c>
      <c r="P4800" s="47" t="s">
        <v>46</v>
      </c>
      <c r="Q4800" s="14">
        <v>0.02</v>
      </c>
      <c r="R4800" s="143">
        <v>46082</v>
      </c>
      <c r="S4800" s="47"/>
      <c r="T4800" s="6">
        <v>49615.700000000012</v>
      </c>
      <c r="U4800" s="6"/>
      <c r="V4800" s="6">
        <v>25000</v>
      </c>
      <c r="W4800" s="6">
        <f t="shared" si="732"/>
        <v>24615.700000000012</v>
      </c>
      <c r="X4800" s="6">
        <f t="shared" si="735"/>
        <v>24509.803921568626</v>
      </c>
      <c r="Y4800" s="13">
        <f t="shared" si="727"/>
        <v>0</v>
      </c>
      <c r="Z4800" s="14">
        <v>0</v>
      </c>
      <c r="AA4800" s="6">
        <v>0</v>
      </c>
      <c r="AB4800" s="4">
        <f t="shared" si="728"/>
        <v>24509.803921568626</v>
      </c>
      <c r="AC4800" s="4">
        <f t="shared" si="730"/>
        <v>490.19607843137419</v>
      </c>
      <c r="AD4800" s="6">
        <f t="shared" si="733"/>
        <v>25000</v>
      </c>
      <c r="AE4800" s="2">
        <f>VLOOKUP(I4800,[1]媒体政策预估表!A:N,MATCH(O4800,[1]媒体政策预估表!$A$2:$M$2,0),0)</f>
        <v>0.09</v>
      </c>
      <c r="AF4800" s="6">
        <f t="shared" si="731"/>
        <v>2250</v>
      </c>
      <c r="AG4800" s="14">
        <v>0</v>
      </c>
      <c r="AH4800" s="65">
        <f t="shared" si="734"/>
        <v>25000</v>
      </c>
      <c r="AI4800" s="47"/>
      <c r="AJ4800" s="126" t="e">
        <v>#N/A</v>
      </c>
      <c r="AK4800" s="80">
        <f t="shared" si="729"/>
        <v>0</v>
      </c>
      <c r="AM4800" s="85"/>
    </row>
    <row r="4801" spans="1:39" hidden="1" x14ac:dyDescent="0.3">
      <c r="A4801" s="89" t="s">
        <v>3397</v>
      </c>
      <c r="B4801" s="86" t="s">
        <v>35</v>
      </c>
      <c r="C4801" s="86" t="s">
        <v>144</v>
      </c>
      <c r="D4801" s="86" t="s">
        <v>152</v>
      </c>
      <c r="E4801" s="86" t="s">
        <v>159</v>
      </c>
      <c r="F4801" s="86" t="s">
        <v>159</v>
      </c>
      <c r="G4801" s="86" t="s">
        <v>159</v>
      </c>
      <c r="H4801" s="143">
        <v>22</v>
      </c>
      <c r="I4801" s="86" t="s">
        <v>2935</v>
      </c>
      <c r="J4801" s="1" t="s">
        <v>3302</v>
      </c>
      <c r="K4801" s="1" t="s">
        <v>3371</v>
      </c>
      <c r="L4801" s="1" t="s">
        <v>35</v>
      </c>
      <c r="M4801" s="86" t="s">
        <v>159</v>
      </c>
      <c r="N4801" s="86"/>
      <c r="O4801" s="47" t="s">
        <v>45</v>
      </c>
      <c r="P4801" s="47" t="s">
        <v>46</v>
      </c>
      <c r="Q4801" s="14">
        <v>0.05</v>
      </c>
      <c r="R4801" s="143">
        <v>9812</v>
      </c>
      <c r="S4801" s="47"/>
      <c r="T4801" s="6">
        <v>-154099.26</v>
      </c>
      <c r="U4801" s="6"/>
      <c r="V4801" s="6">
        <v>0</v>
      </c>
      <c r="W4801" s="6">
        <f t="shared" si="732"/>
        <v>-154099.26</v>
      </c>
      <c r="X4801" s="6">
        <f t="shared" si="735"/>
        <v>0</v>
      </c>
      <c r="Y4801" s="13">
        <f t="shared" si="727"/>
        <v>0</v>
      </c>
      <c r="Z4801" s="14">
        <v>0</v>
      </c>
      <c r="AA4801" s="6">
        <v>0</v>
      </c>
      <c r="AB4801" s="4">
        <f t="shared" si="728"/>
        <v>0</v>
      </c>
      <c r="AC4801" s="4">
        <f t="shared" si="730"/>
        <v>0</v>
      </c>
      <c r="AD4801" s="6">
        <f t="shared" si="733"/>
        <v>0</v>
      </c>
      <c r="AE4801" s="2">
        <f>VLOOKUP(I4801,[1]媒体政策预估表!A:N,MATCH(O4801,[1]媒体政策预估表!$A$2:$M$2,0),0)</f>
        <v>0.18</v>
      </c>
      <c r="AF4801" s="6">
        <f t="shared" si="731"/>
        <v>0</v>
      </c>
      <c r="AG4801" s="14">
        <v>0</v>
      </c>
      <c r="AH4801" s="65">
        <f t="shared" si="734"/>
        <v>0</v>
      </c>
      <c r="AI4801" s="47"/>
      <c r="AJ4801" s="126" t="e">
        <v>#N/A</v>
      </c>
      <c r="AK4801" s="80">
        <f t="shared" si="729"/>
        <v>0</v>
      </c>
      <c r="AM4801" s="85"/>
    </row>
    <row r="4802" spans="1:39" hidden="1" x14ac:dyDescent="0.3">
      <c r="A4802" s="89" t="s">
        <v>3582</v>
      </c>
      <c r="B4802" s="86" t="s">
        <v>35</v>
      </c>
      <c r="C4802" s="86" t="s">
        <v>144</v>
      </c>
      <c r="D4802" s="86" t="s">
        <v>152</v>
      </c>
      <c r="E4802" s="86" t="s">
        <v>160</v>
      </c>
      <c r="F4802" s="86" t="s">
        <v>160</v>
      </c>
      <c r="G4802" s="86" t="s">
        <v>160</v>
      </c>
      <c r="H4802" s="143">
        <v>22</v>
      </c>
      <c r="I4802" s="86" t="s">
        <v>2935</v>
      </c>
      <c r="J4802" s="1" t="s">
        <v>3302</v>
      </c>
      <c r="K4802" s="1" t="s">
        <v>3371</v>
      </c>
      <c r="L4802" s="1" t="s">
        <v>35</v>
      </c>
      <c r="M4802" s="86" t="s">
        <v>160</v>
      </c>
      <c r="N4802" s="86"/>
      <c r="O4802" s="47" t="s">
        <v>45</v>
      </c>
      <c r="P4802" s="47" t="s">
        <v>46</v>
      </c>
      <c r="Q4802" s="14">
        <v>0.04</v>
      </c>
      <c r="R4802" s="143">
        <v>5052</v>
      </c>
      <c r="S4802" s="47"/>
      <c r="T4802" s="6">
        <v>469.8</v>
      </c>
      <c r="U4802" s="6"/>
      <c r="V4802" s="6">
        <v>0</v>
      </c>
      <c r="W4802" s="6">
        <f t="shared" si="732"/>
        <v>469.8</v>
      </c>
      <c r="X4802" s="6">
        <f t="shared" si="735"/>
        <v>0</v>
      </c>
      <c r="Y4802" s="13">
        <f t="shared" si="727"/>
        <v>0</v>
      </c>
      <c r="Z4802" s="14">
        <v>0</v>
      </c>
      <c r="AA4802" s="6">
        <v>0</v>
      </c>
      <c r="AB4802" s="4">
        <f t="shared" si="728"/>
        <v>0</v>
      </c>
      <c r="AC4802" s="4">
        <f t="shared" si="730"/>
        <v>0</v>
      </c>
      <c r="AD4802" s="6">
        <f t="shared" si="733"/>
        <v>0</v>
      </c>
      <c r="AE4802" s="2">
        <f>VLOOKUP(I4802,[1]媒体政策预估表!A:N,MATCH(O4802,[1]媒体政策预估表!$A$2:$M$2,0),0)</f>
        <v>0.18</v>
      </c>
      <c r="AF4802" s="6">
        <f t="shared" si="731"/>
        <v>0</v>
      </c>
      <c r="AG4802" s="14">
        <v>0</v>
      </c>
      <c r="AH4802" s="65">
        <f t="shared" si="734"/>
        <v>0</v>
      </c>
      <c r="AI4802" s="47"/>
      <c r="AJ4802" s="126" t="e">
        <v>#N/A</v>
      </c>
      <c r="AK4802" s="80">
        <f t="shared" si="729"/>
        <v>0</v>
      </c>
      <c r="AM4802" s="85"/>
    </row>
    <row r="4803" spans="1:39" hidden="1" x14ac:dyDescent="0.3">
      <c r="A4803" s="89" t="s">
        <v>3582</v>
      </c>
      <c r="B4803" s="86" t="s">
        <v>35</v>
      </c>
      <c r="C4803" s="86" t="s">
        <v>144</v>
      </c>
      <c r="D4803" s="86" t="s">
        <v>152</v>
      </c>
      <c r="E4803" s="86" t="s">
        <v>160</v>
      </c>
      <c r="F4803" s="86" t="s">
        <v>160</v>
      </c>
      <c r="G4803" s="86" t="s">
        <v>160</v>
      </c>
      <c r="H4803" s="143">
        <v>22</v>
      </c>
      <c r="I4803" s="86" t="s">
        <v>2935</v>
      </c>
      <c r="J4803" s="1" t="s">
        <v>3302</v>
      </c>
      <c r="K4803" s="1" t="s">
        <v>3371</v>
      </c>
      <c r="L4803" s="1" t="s">
        <v>35</v>
      </c>
      <c r="M4803" s="86" t="s">
        <v>160</v>
      </c>
      <c r="N4803" s="86"/>
      <c r="O4803" s="47" t="s">
        <v>410</v>
      </c>
      <c r="P4803" s="47" t="s">
        <v>46</v>
      </c>
      <c r="Q4803" s="14">
        <v>0.02</v>
      </c>
      <c r="R4803" s="143">
        <v>5052</v>
      </c>
      <c r="S4803" s="47"/>
      <c r="T4803" s="6">
        <v>1.18</v>
      </c>
      <c r="U4803" s="6"/>
      <c r="V4803" s="6">
        <v>0</v>
      </c>
      <c r="W4803" s="6">
        <f t="shared" si="732"/>
        <v>1.18</v>
      </c>
      <c r="X4803" s="6">
        <f t="shared" si="735"/>
        <v>0</v>
      </c>
      <c r="Y4803" s="13">
        <f t="shared" ref="Y4803:Y4866" si="736">IF(X4803-AD4803&lt;=0,0,IF(P4803="返现",MAX(X4803-AC4803-AD4803,0),MAX(X4803-AD4803)))</f>
        <v>0</v>
      </c>
      <c r="Z4803" s="14">
        <v>0</v>
      </c>
      <c r="AA4803" s="6">
        <v>0</v>
      </c>
      <c r="AB4803" s="4">
        <f t="shared" ref="AB4803:AB4866" si="737">X4803+AA4803</f>
        <v>0</v>
      </c>
      <c r="AC4803" s="4">
        <f t="shared" si="730"/>
        <v>0</v>
      </c>
      <c r="AD4803" s="6">
        <f t="shared" si="733"/>
        <v>0</v>
      </c>
      <c r="AE4803" s="2">
        <f>VLOOKUP(I4803,[1]媒体政策预估表!A:N,MATCH(O4803,[1]媒体政策预估表!$A$2:$M$2,0),0)</f>
        <v>0.09</v>
      </c>
      <c r="AF4803" s="6">
        <f t="shared" si="731"/>
        <v>0</v>
      </c>
      <c r="AG4803" s="14">
        <v>0</v>
      </c>
      <c r="AH4803" s="65">
        <f t="shared" si="734"/>
        <v>0</v>
      </c>
      <c r="AI4803" s="47"/>
      <c r="AJ4803" s="126" t="e">
        <v>#N/A</v>
      </c>
      <c r="AK4803" s="80">
        <f t="shared" ref="AK4803:AK4866" si="738">X4803+AA4803-AB4803</f>
        <v>0</v>
      </c>
      <c r="AM4803" s="85"/>
    </row>
    <row r="4804" spans="1:39" hidden="1" x14ac:dyDescent="0.3">
      <c r="A4804" s="89" t="s">
        <v>3583</v>
      </c>
      <c r="B4804" s="86" t="s">
        <v>35</v>
      </c>
      <c r="C4804" s="86" t="s">
        <v>164</v>
      </c>
      <c r="D4804" s="86" t="s">
        <v>165</v>
      </c>
      <c r="E4804" s="86" t="s">
        <v>2129</v>
      </c>
      <c r="F4804" s="86" t="s">
        <v>2129</v>
      </c>
      <c r="G4804" s="86" t="s">
        <v>2129</v>
      </c>
      <c r="H4804" s="143">
        <v>22</v>
      </c>
      <c r="I4804" s="86" t="s">
        <v>2935</v>
      </c>
      <c r="J4804" s="1" t="s">
        <v>3302</v>
      </c>
      <c r="K4804" s="1" t="s">
        <v>3371</v>
      </c>
      <c r="L4804" s="1" t="s">
        <v>35</v>
      </c>
      <c r="M4804" s="86" t="s">
        <v>3004</v>
      </c>
      <c r="N4804" s="86"/>
      <c r="O4804" s="47" t="s">
        <v>410</v>
      </c>
      <c r="P4804" s="47" t="s">
        <v>41</v>
      </c>
      <c r="Q4804" s="14">
        <v>0</v>
      </c>
      <c r="R4804" s="143">
        <v>238232</v>
      </c>
      <c r="S4804" s="47"/>
      <c r="T4804" s="6">
        <v>935756.03</v>
      </c>
      <c r="U4804" s="6"/>
      <c r="V4804" s="6">
        <v>0</v>
      </c>
      <c r="W4804" s="6">
        <f t="shared" si="732"/>
        <v>935756.03</v>
      </c>
      <c r="X4804" s="6">
        <f t="shared" si="735"/>
        <v>0</v>
      </c>
      <c r="Y4804" s="13">
        <f t="shared" si="736"/>
        <v>0</v>
      </c>
      <c r="Z4804" s="14">
        <v>0</v>
      </c>
      <c r="AA4804" s="6">
        <v>0</v>
      </c>
      <c r="AB4804" s="4">
        <f t="shared" si="737"/>
        <v>0</v>
      </c>
      <c r="AC4804" s="4">
        <f t="shared" si="730"/>
        <v>0</v>
      </c>
      <c r="AD4804" s="6">
        <f t="shared" si="733"/>
        <v>0</v>
      </c>
      <c r="AE4804" s="2">
        <f>VLOOKUP(I4804,[1]媒体政策预估表!A:N,MATCH(O4804,[1]媒体政策预估表!$A$2:$M$2,0),0)</f>
        <v>0.09</v>
      </c>
      <c r="AF4804" s="6">
        <f t="shared" si="731"/>
        <v>0</v>
      </c>
      <c r="AG4804" s="14">
        <v>0</v>
      </c>
      <c r="AH4804" s="65">
        <f t="shared" si="734"/>
        <v>0</v>
      </c>
      <c r="AI4804" s="47"/>
      <c r="AJ4804" s="126" t="e">
        <v>#N/A</v>
      </c>
      <c r="AK4804" s="80">
        <f t="shared" si="738"/>
        <v>0</v>
      </c>
      <c r="AM4804" s="85"/>
    </row>
    <row r="4805" spans="1:39" hidden="1" x14ac:dyDescent="0.3">
      <c r="A4805" s="89" t="s">
        <v>3397</v>
      </c>
      <c r="B4805" s="86" t="s">
        <v>35</v>
      </c>
      <c r="C4805" s="86" t="s">
        <v>164</v>
      </c>
      <c r="D4805" s="86" t="s">
        <v>165</v>
      </c>
      <c r="E4805" s="86" t="s">
        <v>625</v>
      </c>
      <c r="F4805" s="86" t="s">
        <v>625</v>
      </c>
      <c r="G4805" s="86" t="s">
        <v>625</v>
      </c>
      <c r="H4805" s="143">
        <v>22</v>
      </c>
      <c r="I4805" s="86" t="s">
        <v>2935</v>
      </c>
      <c r="J4805" s="1" t="s">
        <v>3302</v>
      </c>
      <c r="K4805" s="1" t="s">
        <v>3371</v>
      </c>
      <c r="L4805" s="1" t="s">
        <v>35</v>
      </c>
      <c r="M4805" s="86" t="s">
        <v>625</v>
      </c>
      <c r="N4805" s="86"/>
      <c r="O4805" s="47" t="s">
        <v>410</v>
      </c>
      <c r="P4805" s="47" t="s">
        <v>46</v>
      </c>
      <c r="Q4805" s="14">
        <v>0.02</v>
      </c>
      <c r="R4805" s="143">
        <v>244692</v>
      </c>
      <c r="S4805" s="47"/>
      <c r="T4805" s="6">
        <v>1007.83</v>
      </c>
      <c r="U4805" s="6"/>
      <c r="V4805" s="6">
        <v>0</v>
      </c>
      <c r="W4805" s="6">
        <f t="shared" si="732"/>
        <v>1007.83</v>
      </c>
      <c r="X4805" s="6">
        <f t="shared" si="735"/>
        <v>0</v>
      </c>
      <c r="Y4805" s="13">
        <f t="shared" si="736"/>
        <v>0</v>
      </c>
      <c r="Z4805" s="14">
        <v>0</v>
      </c>
      <c r="AA4805" s="6">
        <v>0</v>
      </c>
      <c r="AB4805" s="4"/>
      <c r="AC4805" s="4">
        <f t="shared" si="730"/>
        <v>0</v>
      </c>
      <c r="AD4805" s="6">
        <f t="shared" si="733"/>
        <v>0</v>
      </c>
      <c r="AE4805" s="2">
        <f>VLOOKUP(I4805,[1]媒体政策预估表!A:N,MATCH(O4805,[1]媒体政策预估表!$A$2:$M$2,0),0)</f>
        <v>0.09</v>
      </c>
      <c r="AF4805" s="6">
        <f t="shared" si="731"/>
        <v>0</v>
      </c>
      <c r="AG4805" s="14">
        <v>0</v>
      </c>
      <c r="AH4805" s="65">
        <f t="shared" si="734"/>
        <v>0</v>
      </c>
      <c r="AI4805" s="47"/>
      <c r="AJ4805" s="126">
        <v>115</v>
      </c>
      <c r="AK4805" s="80">
        <f t="shared" si="738"/>
        <v>0</v>
      </c>
      <c r="AM4805" s="85"/>
    </row>
    <row r="4806" spans="1:39" hidden="1" x14ac:dyDescent="0.3">
      <c r="A4806" s="89" t="s">
        <v>3582</v>
      </c>
      <c r="B4806" s="86" t="s">
        <v>35</v>
      </c>
      <c r="C4806" s="86" t="s">
        <v>164</v>
      </c>
      <c r="D4806" s="86" t="s">
        <v>174</v>
      </c>
      <c r="E4806" s="86" t="s">
        <v>3020</v>
      </c>
      <c r="F4806" s="86" t="s">
        <v>3020</v>
      </c>
      <c r="G4806" s="86" t="s">
        <v>3020</v>
      </c>
      <c r="H4806" s="143">
        <v>22</v>
      </c>
      <c r="I4806" s="86" t="s">
        <v>2935</v>
      </c>
      <c r="J4806" s="1" t="s">
        <v>3302</v>
      </c>
      <c r="K4806" s="1" t="s">
        <v>3371</v>
      </c>
      <c r="L4806" s="1" t="s">
        <v>35</v>
      </c>
      <c r="M4806" s="86" t="s">
        <v>3021</v>
      </c>
      <c r="N4806" s="86"/>
      <c r="O4806" s="47" t="s">
        <v>410</v>
      </c>
      <c r="P4806" s="47" t="s">
        <v>41</v>
      </c>
      <c r="Q4806" s="14">
        <v>0</v>
      </c>
      <c r="R4806" s="143">
        <v>241162</v>
      </c>
      <c r="S4806" s="47"/>
      <c r="T4806" s="6">
        <v>23526.620000000003</v>
      </c>
      <c r="U4806" s="6"/>
      <c r="V4806" s="6">
        <v>0</v>
      </c>
      <c r="W4806" s="6">
        <f t="shared" si="732"/>
        <v>23526.620000000003</v>
      </c>
      <c r="X4806" s="6">
        <f t="shared" si="735"/>
        <v>0</v>
      </c>
      <c r="Y4806" s="13">
        <f t="shared" si="736"/>
        <v>0</v>
      </c>
      <c r="Z4806" s="14">
        <v>0</v>
      </c>
      <c r="AA4806" s="6">
        <v>0</v>
      </c>
      <c r="AB4806" s="4">
        <f t="shared" si="737"/>
        <v>0</v>
      </c>
      <c r="AC4806" s="4">
        <f t="shared" si="730"/>
        <v>0</v>
      </c>
      <c r="AD4806" s="6">
        <f t="shared" si="733"/>
        <v>0</v>
      </c>
      <c r="AE4806" s="2">
        <f>VLOOKUP(I4806,[1]媒体政策预估表!A:N,MATCH(O4806,[1]媒体政策预估表!$A$2:$M$2,0),0)</f>
        <v>0.09</v>
      </c>
      <c r="AF4806" s="6">
        <f t="shared" si="731"/>
        <v>0</v>
      </c>
      <c r="AG4806" s="14">
        <v>0</v>
      </c>
      <c r="AH4806" s="65">
        <f t="shared" si="734"/>
        <v>0</v>
      </c>
      <c r="AI4806" s="47"/>
      <c r="AJ4806" s="126" t="e">
        <v>#N/A</v>
      </c>
      <c r="AK4806" s="80">
        <f t="shared" si="738"/>
        <v>0</v>
      </c>
      <c r="AM4806" s="85"/>
    </row>
    <row r="4807" spans="1:39" hidden="1" x14ac:dyDescent="0.3">
      <c r="A4807" s="89" t="s">
        <v>3583</v>
      </c>
      <c r="B4807" s="86" t="s">
        <v>35</v>
      </c>
      <c r="C4807" s="86" t="s">
        <v>164</v>
      </c>
      <c r="D4807" s="86" t="s">
        <v>174</v>
      </c>
      <c r="E4807" s="86" t="s">
        <v>3024</v>
      </c>
      <c r="F4807" s="86" t="s">
        <v>3024</v>
      </c>
      <c r="G4807" s="86" t="s">
        <v>3024</v>
      </c>
      <c r="H4807" s="143">
        <v>22</v>
      </c>
      <c r="I4807" s="86" t="s">
        <v>2935</v>
      </c>
      <c r="J4807" s="1" t="s">
        <v>3302</v>
      </c>
      <c r="K4807" s="1" t="s">
        <v>3371</v>
      </c>
      <c r="L4807" s="1" t="s">
        <v>35</v>
      </c>
      <c r="M4807" s="86" t="s">
        <v>3028</v>
      </c>
      <c r="N4807" s="86"/>
      <c r="O4807" s="47" t="s">
        <v>410</v>
      </c>
      <c r="P4807" s="47" t="s">
        <v>46</v>
      </c>
      <c r="Q4807" s="14">
        <v>0.02</v>
      </c>
      <c r="R4807" s="143">
        <v>162772</v>
      </c>
      <c r="S4807" s="47"/>
      <c r="T4807" s="6">
        <v>0</v>
      </c>
      <c r="U4807" s="6"/>
      <c r="V4807" s="6">
        <v>0</v>
      </c>
      <c r="W4807" s="6">
        <f t="shared" si="732"/>
        <v>0</v>
      </c>
      <c r="X4807" s="6">
        <f t="shared" si="735"/>
        <v>0</v>
      </c>
      <c r="Y4807" s="13">
        <f t="shared" si="736"/>
        <v>0</v>
      </c>
      <c r="Z4807" s="14">
        <v>0</v>
      </c>
      <c r="AA4807" s="6">
        <v>0</v>
      </c>
      <c r="AB4807" s="4">
        <f t="shared" si="737"/>
        <v>0</v>
      </c>
      <c r="AC4807" s="4">
        <f t="shared" si="730"/>
        <v>0</v>
      </c>
      <c r="AD4807" s="6">
        <f t="shared" si="733"/>
        <v>0</v>
      </c>
      <c r="AE4807" s="2">
        <f>VLOOKUP(I4807,[1]媒体政策预估表!A:N,MATCH(O4807,[1]媒体政策预估表!$A$2:$M$2,0),0)</f>
        <v>0.09</v>
      </c>
      <c r="AF4807" s="6">
        <f t="shared" si="731"/>
        <v>0</v>
      </c>
      <c r="AG4807" s="14">
        <v>0</v>
      </c>
      <c r="AH4807" s="65">
        <f t="shared" si="734"/>
        <v>0</v>
      </c>
      <c r="AI4807" s="47"/>
      <c r="AJ4807" s="126" t="e">
        <v>#N/A</v>
      </c>
      <c r="AK4807" s="80">
        <f t="shared" si="738"/>
        <v>0</v>
      </c>
      <c r="AM4807" s="85"/>
    </row>
    <row r="4808" spans="1:39" hidden="1" x14ac:dyDescent="0.3">
      <c r="A4808" s="89" t="s">
        <v>3583</v>
      </c>
      <c r="B4808" s="86" t="s">
        <v>35</v>
      </c>
      <c r="C4808" s="86" t="s">
        <v>164</v>
      </c>
      <c r="D4808" s="86" t="s">
        <v>174</v>
      </c>
      <c r="E4808" s="86" t="s">
        <v>1668</v>
      </c>
      <c r="F4808" s="86" t="s">
        <v>1669</v>
      </c>
      <c r="G4808" s="86" t="s">
        <v>1668</v>
      </c>
      <c r="H4808" s="143">
        <v>22</v>
      </c>
      <c r="I4808" s="86" t="s">
        <v>2935</v>
      </c>
      <c r="J4808" s="1" t="s">
        <v>3302</v>
      </c>
      <c r="K4808" s="1" t="s">
        <v>3371</v>
      </c>
      <c r="L4808" s="1" t="s">
        <v>35</v>
      </c>
      <c r="M4808" s="86" t="s">
        <v>3029</v>
      </c>
      <c r="N4808" s="86"/>
      <c r="O4808" s="47" t="s">
        <v>410</v>
      </c>
      <c r="P4808" s="47" t="s">
        <v>46</v>
      </c>
      <c r="Q4808" s="14">
        <v>0.05</v>
      </c>
      <c r="R4808" s="143">
        <v>10818</v>
      </c>
      <c r="S4808" s="47"/>
      <c r="T4808" s="6">
        <v>1117.1299999999974</v>
      </c>
      <c r="U4808" s="6"/>
      <c r="V4808" s="6">
        <v>0</v>
      </c>
      <c r="W4808" s="6">
        <f t="shared" si="732"/>
        <v>1117.1299999999974</v>
      </c>
      <c r="X4808" s="6">
        <f t="shared" si="735"/>
        <v>0</v>
      </c>
      <c r="Y4808" s="13">
        <f t="shared" si="736"/>
        <v>0</v>
      </c>
      <c r="Z4808" s="14">
        <v>0</v>
      </c>
      <c r="AA4808" s="6">
        <v>0</v>
      </c>
      <c r="AB4808" s="4">
        <f t="shared" si="737"/>
        <v>0</v>
      </c>
      <c r="AC4808" s="4">
        <f t="shared" si="730"/>
        <v>0</v>
      </c>
      <c r="AD4808" s="6">
        <f t="shared" si="733"/>
        <v>0</v>
      </c>
      <c r="AE4808" s="2">
        <f>VLOOKUP(I4808,[1]媒体政策预估表!A:N,MATCH(O4808,[1]媒体政策预估表!$A$2:$M$2,0),0)</f>
        <v>0.09</v>
      </c>
      <c r="AF4808" s="6">
        <f t="shared" si="731"/>
        <v>0</v>
      </c>
      <c r="AG4808" s="14">
        <v>0</v>
      </c>
      <c r="AH4808" s="65">
        <f t="shared" si="734"/>
        <v>0</v>
      </c>
      <c r="AI4808" s="47"/>
      <c r="AJ4808" s="126" t="e">
        <v>#N/A</v>
      </c>
      <c r="AK4808" s="80">
        <f t="shared" si="738"/>
        <v>0</v>
      </c>
      <c r="AM4808" s="85"/>
    </row>
    <row r="4809" spans="1:39" hidden="1" x14ac:dyDescent="0.3">
      <c r="A4809" s="89" t="s">
        <v>3397</v>
      </c>
      <c r="B4809" s="86" t="s">
        <v>35</v>
      </c>
      <c r="C4809" s="86" t="s">
        <v>164</v>
      </c>
      <c r="D4809" s="86" t="s">
        <v>174</v>
      </c>
      <c r="E4809" s="86" t="s">
        <v>678</v>
      </c>
      <c r="F4809" s="86" t="s">
        <v>678</v>
      </c>
      <c r="G4809" s="86" t="s">
        <v>678</v>
      </c>
      <c r="H4809" s="144">
        <v>22</v>
      </c>
      <c r="I4809" s="86" t="s">
        <v>2935</v>
      </c>
      <c r="J4809" s="1" t="s">
        <v>3302</v>
      </c>
      <c r="K4809" s="1" t="s">
        <v>3371</v>
      </c>
      <c r="L4809" s="1" t="s">
        <v>35</v>
      </c>
      <c r="M4809" s="86" t="s">
        <v>3035</v>
      </c>
      <c r="N4809" s="86"/>
      <c r="O4809" s="47" t="s">
        <v>410</v>
      </c>
      <c r="P4809" s="47" t="s">
        <v>46</v>
      </c>
      <c r="Q4809" s="14">
        <v>0.02</v>
      </c>
      <c r="R4809" s="143">
        <v>8714</v>
      </c>
      <c r="S4809" s="47"/>
      <c r="T4809" s="6">
        <v>3835.3699999999981</v>
      </c>
      <c r="U4809" s="6"/>
      <c r="V4809" s="6">
        <v>1986.01</v>
      </c>
      <c r="W4809" s="6">
        <f t="shared" si="732"/>
        <v>1849.3599999999981</v>
      </c>
      <c r="X4809" s="6">
        <f t="shared" si="735"/>
        <v>1947.0686274509803</v>
      </c>
      <c r="Y4809" s="13">
        <f t="shared" si="736"/>
        <v>0</v>
      </c>
      <c r="Z4809" s="14">
        <v>0</v>
      </c>
      <c r="AA4809" s="6">
        <v>0</v>
      </c>
      <c r="AB4809" s="4">
        <f t="shared" si="737"/>
        <v>1947.0686274509803</v>
      </c>
      <c r="AC4809" s="4">
        <f t="shared" si="730"/>
        <v>38.941372549019661</v>
      </c>
      <c r="AD4809" s="6">
        <f t="shared" si="733"/>
        <v>1986.01</v>
      </c>
      <c r="AE4809" s="2">
        <f>VLOOKUP(I4809,[1]媒体政策预估表!A:N,MATCH(O4809,[1]媒体政策预估表!$A$2:$M$2,0),0)</f>
        <v>0.09</v>
      </c>
      <c r="AF4809" s="6">
        <f t="shared" si="731"/>
        <v>178.74089999999998</v>
      </c>
      <c r="AG4809" s="14">
        <v>0</v>
      </c>
      <c r="AH4809" s="65">
        <f t="shared" si="734"/>
        <v>1986.01</v>
      </c>
      <c r="AI4809" s="47"/>
      <c r="AJ4809" s="126" t="e">
        <v>#N/A</v>
      </c>
      <c r="AK4809" s="80">
        <f t="shared" si="738"/>
        <v>0</v>
      </c>
      <c r="AM4809" s="85"/>
    </row>
    <row r="4810" spans="1:39" hidden="1" x14ac:dyDescent="0.3">
      <c r="A4810" s="89" t="s">
        <v>3397</v>
      </c>
      <c r="B4810" s="86" t="s">
        <v>35</v>
      </c>
      <c r="C4810" s="86" t="s">
        <v>164</v>
      </c>
      <c r="D4810" s="86" t="s">
        <v>174</v>
      </c>
      <c r="E4810" s="86" t="s">
        <v>3036</v>
      </c>
      <c r="F4810" s="86" t="s">
        <v>3036</v>
      </c>
      <c r="G4810" s="86" t="s">
        <v>3036</v>
      </c>
      <c r="H4810" s="144">
        <v>22</v>
      </c>
      <c r="I4810" s="86" t="s">
        <v>2935</v>
      </c>
      <c r="J4810" s="1" t="s">
        <v>3302</v>
      </c>
      <c r="K4810" s="1" t="s">
        <v>3371</v>
      </c>
      <c r="L4810" s="1" t="s">
        <v>35</v>
      </c>
      <c r="M4810" s="86" t="s">
        <v>3036</v>
      </c>
      <c r="N4810" s="86"/>
      <c r="O4810" s="47" t="s">
        <v>410</v>
      </c>
      <c r="P4810" s="47" t="s">
        <v>41</v>
      </c>
      <c r="Q4810" s="14">
        <v>0</v>
      </c>
      <c r="R4810" s="143">
        <v>42612</v>
      </c>
      <c r="S4810" s="47"/>
      <c r="T4810" s="6">
        <v>29427.089999999989</v>
      </c>
      <c r="U4810" s="6"/>
      <c r="V4810" s="6">
        <v>22494.87</v>
      </c>
      <c r="W4810" s="6">
        <f t="shared" si="732"/>
        <v>6932.2199999999903</v>
      </c>
      <c r="X4810" s="6">
        <f t="shared" si="735"/>
        <v>22494.87</v>
      </c>
      <c r="Y4810" s="13">
        <f t="shared" si="736"/>
        <v>0</v>
      </c>
      <c r="Z4810" s="14">
        <v>0</v>
      </c>
      <c r="AA4810" s="6">
        <v>0</v>
      </c>
      <c r="AB4810" s="4">
        <f t="shared" si="737"/>
        <v>22494.87</v>
      </c>
      <c r="AC4810" s="4">
        <f t="shared" si="730"/>
        <v>0</v>
      </c>
      <c r="AD4810" s="6">
        <f t="shared" si="733"/>
        <v>22494.87</v>
      </c>
      <c r="AE4810" s="2">
        <f>VLOOKUP(I4810,[1]媒体政策预估表!A:N,MATCH(O4810,[1]媒体政策预估表!$A$2:$M$2,0),0)</f>
        <v>0.09</v>
      </c>
      <c r="AF4810" s="6">
        <f t="shared" si="731"/>
        <v>2024.5382999999999</v>
      </c>
      <c r="AG4810" s="14">
        <v>0</v>
      </c>
      <c r="AH4810" s="65">
        <f t="shared" si="734"/>
        <v>22494.87</v>
      </c>
      <c r="AI4810" s="47"/>
      <c r="AJ4810" s="126" t="e">
        <v>#N/A</v>
      </c>
      <c r="AK4810" s="80">
        <f t="shared" si="738"/>
        <v>0</v>
      </c>
      <c r="AM4810" s="85"/>
    </row>
    <row r="4811" spans="1:39" hidden="1" x14ac:dyDescent="0.3">
      <c r="A4811" s="89" t="s">
        <v>3582</v>
      </c>
      <c r="B4811" s="86" t="s">
        <v>35</v>
      </c>
      <c r="C4811" s="86" t="s">
        <v>164</v>
      </c>
      <c r="D4811" s="86" t="s">
        <v>174</v>
      </c>
      <c r="E4811" s="86" t="s">
        <v>688</v>
      </c>
      <c r="F4811" s="86" t="s">
        <v>688</v>
      </c>
      <c r="G4811" s="86" t="s">
        <v>688</v>
      </c>
      <c r="H4811" s="144">
        <v>22</v>
      </c>
      <c r="I4811" s="86" t="s">
        <v>2935</v>
      </c>
      <c r="J4811" s="1" t="s">
        <v>3302</v>
      </c>
      <c r="K4811" s="1" t="s">
        <v>3371</v>
      </c>
      <c r="L4811" s="1" t="s">
        <v>35</v>
      </c>
      <c r="M4811" s="86" t="s">
        <v>688</v>
      </c>
      <c r="N4811" s="86"/>
      <c r="O4811" s="47" t="s">
        <v>410</v>
      </c>
      <c r="P4811" s="47" t="s">
        <v>41</v>
      </c>
      <c r="Q4811" s="14">
        <v>0</v>
      </c>
      <c r="R4811" s="143">
        <v>166042</v>
      </c>
      <c r="S4811" s="47"/>
      <c r="T4811" s="6">
        <v>77243.09</v>
      </c>
      <c r="U4811" s="6"/>
      <c r="V4811" s="6">
        <v>34863.160000000003</v>
      </c>
      <c r="W4811" s="6">
        <f t="shared" si="732"/>
        <v>42379.929999999993</v>
      </c>
      <c r="X4811" s="6">
        <f t="shared" si="735"/>
        <v>34863.160000000003</v>
      </c>
      <c r="Y4811" s="13">
        <f t="shared" si="736"/>
        <v>0</v>
      </c>
      <c r="Z4811" s="14">
        <v>0</v>
      </c>
      <c r="AA4811" s="6">
        <v>0</v>
      </c>
      <c r="AB4811" s="4">
        <f t="shared" si="737"/>
        <v>34863.160000000003</v>
      </c>
      <c r="AC4811" s="4">
        <f t="shared" si="730"/>
        <v>0</v>
      </c>
      <c r="AD4811" s="6">
        <f t="shared" si="733"/>
        <v>34863.160000000003</v>
      </c>
      <c r="AE4811" s="2">
        <f>VLOOKUP(I4811,[1]媒体政策预估表!A:N,MATCH(O4811,[1]媒体政策预估表!$A$2:$M$2,0),0)</f>
        <v>0.09</v>
      </c>
      <c r="AF4811" s="6">
        <f t="shared" si="731"/>
        <v>3137.6844000000001</v>
      </c>
      <c r="AG4811" s="14">
        <v>0</v>
      </c>
      <c r="AH4811" s="65">
        <f t="shared" si="734"/>
        <v>34863.160000000003</v>
      </c>
      <c r="AI4811" s="47"/>
      <c r="AJ4811" s="126" t="e">
        <v>#N/A</v>
      </c>
      <c r="AK4811" s="80">
        <f t="shared" si="738"/>
        <v>0</v>
      </c>
      <c r="AM4811" s="85"/>
    </row>
    <row r="4812" spans="1:39" hidden="1" x14ac:dyDescent="0.3">
      <c r="A4812" s="89" t="s">
        <v>3582</v>
      </c>
      <c r="B4812" s="86" t="s">
        <v>35</v>
      </c>
      <c r="C4812" s="86" t="s">
        <v>164</v>
      </c>
      <c r="D4812" s="86" t="s">
        <v>181</v>
      </c>
      <c r="E4812" s="86" t="s">
        <v>182</v>
      </c>
      <c r="F4812" s="86" t="s">
        <v>183</v>
      </c>
      <c r="G4812" s="86" t="s">
        <v>182</v>
      </c>
      <c r="H4812" s="144">
        <v>22</v>
      </c>
      <c r="I4812" s="86" t="s">
        <v>2935</v>
      </c>
      <c r="J4812" s="1" t="s">
        <v>3302</v>
      </c>
      <c r="K4812" s="1" t="s">
        <v>3371</v>
      </c>
      <c r="L4812" s="1" t="s">
        <v>35</v>
      </c>
      <c r="M4812" s="86" t="s">
        <v>3038</v>
      </c>
      <c r="N4812" s="86"/>
      <c r="O4812" s="47" t="s">
        <v>410</v>
      </c>
      <c r="P4812" s="47" t="s">
        <v>41</v>
      </c>
      <c r="Q4812" s="14">
        <v>0</v>
      </c>
      <c r="R4812" s="143">
        <v>116712</v>
      </c>
      <c r="S4812" s="47"/>
      <c r="T4812" s="6">
        <v>68541.710000000137</v>
      </c>
      <c r="U4812" s="6"/>
      <c r="V4812" s="6">
        <v>59891.47</v>
      </c>
      <c r="W4812" s="6">
        <f t="shared" si="732"/>
        <v>8650.2400000001362</v>
      </c>
      <c r="X4812" s="6">
        <f t="shared" si="735"/>
        <v>59891.47</v>
      </c>
      <c r="Y4812" s="13">
        <f t="shared" si="736"/>
        <v>0</v>
      </c>
      <c r="Z4812" s="14">
        <v>0.02</v>
      </c>
      <c r="AA4812" s="6">
        <f t="shared" ref="AA4812:AA4813" si="739">X4812/(1-Z4812)*Z4812</f>
        <v>1222.2748979591838</v>
      </c>
      <c r="AB4812" s="4">
        <f t="shared" si="737"/>
        <v>61113.744897959186</v>
      </c>
      <c r="AC4812" s="4">
        <f t="shared" ref="AC4812:AC4875" si="740">IF(P4812="返现",X4812*Q4812,V4812-X4812)</f>
        <v>0</v>
      </c>
      <c r="AD4812" s="6">
        <f t="shared" si="733"/>
        <v>59891.47</v>
      </c>
      <c r="AE4812" s="2">
        <f>VLOOKUP(I4812,[1]媒体政策预估表!A:N,MATCH(O4812,[1]媒体政策预估表!$A$2:$M$2,0),0)</f>
        <v>0.09</v>
      </c>
      <c r="AF4812" s="6">
        <f t="shared" ref="AF4812:AF4875" si="741">AD4812*AE4812</f>
        <v>5390.2322999999997</v>
      </c>
      <c r="AG4812" s="14">
        <v>0</v>
      </c>
      <c r="AH4812" s="65">
        <f t="shared" si="734"/>
        <v>59891.47</v>
      </c>
      <c r="AI4812" s="47"/>
      <c r="AJ4812" s="126" t="e">
        <v>#N/A</v>
      </c>
      <c r="AK4812" s="80">
        <f t="shared" si="738"/>
        <v>0</v>
      </c>
      <c r="AM4812" s="85"/>
    </row>
    <row r="4813" spans="1:39" hidden="1" x14ac:dyDescent="0.3">
      <c r="A4813" s="89" t="s">
        <v>3582</v>
      </c>
      <c r="B4813" s="86" t="s">
        <v>35</v>
      </c>
      <c r="C4813" s="86" t="s">
        <v>164</v>
      </c>
      <c r="D4813" s="86" t="s">
        <v>181</v>
      </c>
      <c r="E4813" s="86" t="s">
        <v>182</v>
      </c>
      <c r="F4813" s="86" t="s">
        <v>183</v>
      </c>
      <c r="G4813" s="86" t="s">
        <v>182</v>
      </c>
      <c r="H4813" s="144">
        <v>22</v>
      </c>
      <c r="I4813" s="86" t="s">
        <v>2935</v>
      </c>
      <c r="J4813" s="1" t="s">
        <v>3302</v>
      </c>
      <c r="K4813" s="1" t="s">
        <v>3371</v>
      </c>
      <c r="L4813" s="1" t="s">
        <v>35</v>
      </c>
      <c r="M4813" s="86" t="s">
        <v>1829</v>
      </c>
      <c r="N4813" s="86"/>
      <c r="O4813" s="47" t="s">
        <v>410</v>
      </c>
      <c r="P4813" s="47" t="s">
        <v>41</v>
      </c>
      <c r="Q4813" s="14">
        <v>0</v>
      </c>
      <c r="R4813" s="143">
        <v>43882</v>
      </c>
      <c r="S4813" s="47"/>
      <c r="T4813" s="6">
        <v>21418.359999999986</v>
      </c>
      <c r="U4813" s="6"/>
      <c r="V4813" s="6">
        <v>21418.36</v>
      </c>
      <c r="W4813" s="6">
        <f t="shared" si="732"/>
        <v>0</v>
      </c>
      <c r="X4813" s="6">
        <f t="shared" si="735"/>
        <v>21418.36</v>
      </c>
      <c r="Y4813" s="13">
        <f t="shared" si="736"/>
        <v>0</v>
      </c>
      <c r="Z4813" s="14">
        <v>0.02</v>
      </c>
      <c r="AA4813" s="6">
        <f t="shared" si="739"/>
        <v>437.10938775510209</v>
      </c>
      <c r="AB4813" s="4">
        <f t="shared" si="737"/>
        <v>21855.469387755104</v>
      </c>
      <c r="AC4813" s="4">
        <f t="shared" si="740"/>
        <v>0</v>
      </c>
      <c r="AD4813" s="6">
        <f t="shared" si="733"/>
        <v>21418.36</v>
      </c>
      <c r="AE4813" s="2">
        <f>VLOOKUP(I4813,[1]媒体政策预估表!A:N,MATCH(O4813,[1]媒体政策预估表!$A$2:$M$2,0),0)</f>
        <v>0.09</v>
      </c>
      <c r="AF4813" s="6">
        <f t="shared" si="741"/>
        <v>1927.6523999999999</v>
      </c>
      <c r="AG4813" s="14">
        <v>0</v>
      </c>
      <c r="AH4813" s="65">
        <f t="shared" si="734"/>
        <v>21418.36</v>
      </c>
      <c r="AI4813" s="47"/>
      <c r="AJ4813" s="126" t="e">
        <v>#N/A</v>
      </c>
      <c r="AK4813" s="80">
        <f t="shared" si="738"/>
        <v>0</v>
      </c>
      <c r="AM4813" s="85"/>
    </row>
    <row r="4814" spans="1:39" hidden="1" x14ac:dyDescent="0.3">
      <c r="A4814" s="89" t="s">
        <v>3397</v>
      </c>
      <c r="B4814" s="86" t="s">
        <v>35</v>
      </c>
      <c r="C4814" s="86" t="s">
        <v>36</v>
      </c>
      <c r="D4814" s="86" t="s">
        <v>224</v>
      </c>
      <c r="E4814" s="86" t="s">
        <v>2126</v>
      </c>
      <c r="F4814" s="86" t="s">
        <v>2126</v>
      </c>
      <c r="G4814" s="86" t="s">
        <v>2126</v>
      </c>
      <c r="H4814" s="143">
        <v>22</v>
      </c>
      <c r="I4814" s="86" t="s">
        <v>2935</v>
      </c>
      <c r="J4814" s="1" t="s">
        <v>3302</v>
      </c>
      <c r="K4814" s="1" t="s">
        <v>3371</v>
      </c>
      <c r="L4814" s="1" t="s">
        <v>35</v>
      </c>
      <c r="M4814" s="86" t="s">
        <v>3041</v>
      </c>
      <c r="N4814" s="86"/>
      <c r="O4814" s="47" t="s">
        <v>410</v>
      </c>
      <c r="P4814" s="47" t="s">
        <v>41</v>
      </c>
      <c r="Q4814" s="14">
        <v>0</v>
      </c>
      <c r="R4814" s="143">
        <v>57092</v>
      </c>
      <c r="S4814" s="47"/>
      <c r="T4814" s="6">
        <v>4013.5999999999626</v>
      </c>
      <c r="U4814" s="6"/>
      <c r="V4814" s="6">
        <v>0</v>
      </c>
      <c r="W4814" s="6">
        <f t="shared" si="732"/>
        <v>4013.5999999999626</v>
      </c>
      <c r="X4814" s="6">
        <f t="shared" si="735"/>
        <v>0</v>
      </c>
      <c r="Y4814" s="13">
        <f t="shared" si="736"/>
        <v>0</v>
      </c>
      <c r="Z4814" s="14">
        <v>0</v>
      </c>
      <c r="AA4814" s="6">
        <v>0</v>
      </c>
      <c r="AB4814" s="4">
        <f t="shared" si="737"/>
        <v>0</v>
      </c>
      <c r="AC4814" s="4">
        <f t="shared" si="740"/>
        <v>0</v>
      </c>
      <c r="AD4814" s="6">
        <f t="shared" si="733"/>
        <v>0</v>
      </c>
      <c r="AE4814" s="2">
        <f>VLOOKUP(I4814,[1]媒体政策预估表!A:N,MATCH(O4814,[1]媒体政策预估表!$A$2:$M$2,0),0)</f>
        <v>0.09</v>
      </c>
      <c r="AF4814" s="6">
        <f t="shared" si="741"/>
        <v>0</v>
      </c>
      <c r="AG4814" s="14">
        <v>0</v>
      </c>
      <c r="AH4814" s="65">
        <f t="shared" si="734"/>
        <v>0</v>
      </c>
      <c r="AI4814" s="47"/>
      <c r="AJ4814" s="126" t="e">
        <v>#N/A</v>
      </c>
      <c r="AK4814" s="80">
        <f t="shared" si="738"/>
        <v>0</v>
      </c>
      <c r="AM4814" s="85"/>
    </row>
    <row r="4815" spans="1:39" hidden="1" x14ac:dyDescent="0.3">
      <c r="A4815" s="89" t="s">
        <v>3582</v>
      </c>
      <c r="B4815" s="86" t="s">
        <v>35</v>
      </c>
      <c r="C4815" s="86" t="s">
        <v>36</v>
      </c>
      <c r="D4815" s="86" t="s">
        <v>224</v>
      </c>
      <c r="E4815" s="86" t="s">
        <v>433</v>
      </c>
      <c r="F4815" s="86" t="s">
        <v>433</v>
      </c>
      <c r="G4815" s="86" t="s">
        <v>433</v>
      </c>
      <c r="H4815" s="143">
        <v>22</v>
      </c>
      <c r="I4815" s="86" t="s">
        <v>2935</v>
      </c>
      <c r="J4815" s="1" t="s">
        <v>3302</v>
      </c>
      <c r="K4815" s="1" t="s">
        <v>3371</v>
      </c>
      <c r="L4815" s="1" t="s">
        <v>35</v>
      </c>
      <c r="M4815" s="86" t="s">
        <v>2944</v>
      </c>
      <c r="N4815" s="86"/>
      <c r="O4815" s="47" t="s">
        <v>45</v>
      </c>
      <c r="P4815" s="47" t="s">
        <v>41</v>
      </c>
      <c r="Q4815" s="14">
        <v>0</v>
      </c>
      <c r="R4815" s="143">
        <v>10772</v>
      </c>
      <c r="S4815" s="47"/>
      <c r="T4815" s="6">
        <v>400000</v>
      </c>
      <c r="U4815" s="6"/>
      <c r="V4815" s="6">
        <v>0</v>
      </c>
      <c r="W4815" s="6">
        <v>0</v>
      </c>
      <c r="X4815" s="6">
        <f t="shared" si="735"/>
        <v>0</v>
      </c>
      <c r="Y4815" s="13">
        <f t="shared" si="736"/>
        <v>0</v>
      </c>
      <c r="Z4815" s="14">
        <v>0</v>
      </c>
      <c r="AA4815" s="6">
        <v>0</v>
      </c>
      <c r="AB4815" s="4">
        <f t="shared" si="737"/>
        <v>0</v>
      </c>
      <c r="AC4815" s="4">
        <f t="shared" si="740"/>
        <v>0</v>
      </c>
      <c r="AD4815" s="6">
        <f t="shared" si="733"/>
        <v>0</v>
      </c>
      <c r="AE4815" s="2">
        <f>VLOOKUP(I4815,[1]媒体政策预估表!A:N,MATCH(O4815,[1]媒体政策预估表!$A$2:$M$2,0),0)</f>
        <v>0.18</v>
      </c>
      <c r="AF4815" s="6">
        <f t="shared" si="741"/>
        <v>0</v>
      </c>
      <c r="AG4815" s="14">
        <v>0</v>
      </c>
      <c r="AH4815" s="65">
        <f t="shared" si="734"/>
        <v>0</v>
      </c>
      <c r="AI4815" s="47"/>
      <c r="AJ4815" s="126" t="e">
        <v>#N/A</v>
      </c>
      <c r="AK4815" s="80">
        <f t="shared" si="738"/>
        <v>0</v>
      </c>
      <c r="AM4815" s="85"/>
    </row>
    <row r="4816" spans="1:39" hidden="1" x14ac:dyDescent="0.3">
      <c r="A4816" s="89" t="s">
        <v>3583</v>
      </c>
      <c r="B4816" s="86" t="s">
        <v>35</v>
      </c>
      <c r="C4816" s="86" t="s">
        <v>36</v>
      </c>
      <c r="D4816" s="86" t="s">
        <v>54</v>
      </c>
      <c r="E4816" s="86" t="s">
        <v>2957</v>
      </c>
      <c r="F4816" s="86" t="s">
        <v>2957</v>
      </c>
      <c r="G4816" s="86" t="s">
        <v>2957</v>
      </c>
      <c r="H4816" s="144">
        <v>22</v>
      </c>
      <c r="I4816" s="86" t="s">
        <v>2935</v>
      </c>
      <c r="J4816" s="1" t="s">
        <v>3302</v>
      </c>
      <c r="K4816" s="1" t="s">
        <v>3371</v>
      </c>
      <c r="L4816" s="1" t="s">
        <v>35</v>
      </c>
      <c r="M4816" s="86" t="s">
        <v>2957</v>
      </c>
      <c r="N4816" s="86"/>
      <c r="O4816" s="47" t="s">
        <v>410</v>
      </c>
      <c r="P4816" s="47" t="s">
        <v>46</v>
      </c>
      <c r="Q4816" s="14">
        <v>0.04</v>
      </c>
      <c r="R4816" s="143">
        <v>108552</v>
      </c>
      <c r="S4816" s="47"/>
      <c r="T4816" s="6">
        <v>1051240.0900000003</v>
      </c>
      <c r="U4816" s="6"/>
      <c r="V4816" s="6">
        <v>83000.5</v>
      </c>
      <c r="W4816" s="6">
        <f t="shared" si="732"/>
        <v>968239.59000000032</v>
      </c>
      <c r="X4816" s="6">
        <f t="shared" si="735"/>
        <v>79808.173076923078</v>
      </c>
      <c r="Y4816" s="13">
        <f t="shared" si="736"/>
        <v>0</v>
      </c>
      <c r="Z4816" s="14">
        <v>0</v>
      </c>
      <c r="AA4816" s="6">
        <v>0</v>
      </c>
      <c r="AB4816" s="4">
        <f t="shared" si="737"/>
        <v>79808.173076923078</v>
      </c>
      <c r="AC4816" s="4">
        <f t="shared" si="740"/>
        <v>3192.326923076922</v>
      </c>
      <c r="AD4816" s="6">
        <f t="shared" si="733"/>
        <v>83000.5</v>
      </c>
      <c r="AE4816" s="2">
        <f>VLOOKUP(I4816,[1]媒体政策预估表!A:N,MATCH(O4816,[1]媒体政策预估表!$A$2:$M$2,0),0)</f>
        <v>0.09</v>
      </c>
      <c r="AF4816" s="6">
        <f t="shared" si="741"/>
        <v>7470.0450000000001</v>
      </c>
      <c r="AG4816" s="14">
        <v>0</v>
      </c>
      <c r="AH4816" s="65">
        <f t="shared" si="734"/>
        <v>83000.5</v>
      </c>
      <c r="AI4816" s="47"/>
      <c r="AJ4816" s="126" t="e">
        <v>#N/A</v>
      </c>
      <c r="AK4816" s="80">
        <f t="shared" si="738"/>
        <v>0</v>
      </c>
      <c r="AM4816" s="85"/>
    </row>
    <row r="4817" spans="1:39" hidden="1" x14ac:dyDescent="0.3">
      <c r="A4817" s="89" t="s">
        <v>3582</v>
      </c>
      <c r="B4817" s="86" t="s">
        <v>35</v>
      </c>
      <c r="C4817" s="86" t="s">
        <v>65</v>
      </c>
      <c r="D4817" s="86" t="s">
        <v>66</v>
      </c>
      <c r="E4817" s="86" t="s">
        <v>489</v>
      </c>
      <c r="F4817" s="86" t="s">
        <v>3043</v>
      </c>
      <c r="G4817" s="86" t="s">
        <v>489</v>
      </c>
      <c r="H4817" s="144">
        <v>22</v>
      </c>
      <c r="I4817" s="86" t="s">
        <v>2935</v>
      </c>
      <c r="J4817" s="1" t="s">
        <v>3302</v>
      </c>
      <c r="K4817" s="1" t="s">
        <v>3371</v>
      </c>
      <c r="L4817" s="1" t="s">
        <v>35</v>
      </c>
      <c r="M4817" s="86" t="s">
        <v>3044</v>
      </c>
      <c r="N4817" s="86"/>
      <c r="O4817" s="47" t="s">
        <v>410</v>
      </c>
      <c r="P4817" s="47" t="s">
        <v>46</v>
      </c>
      <c r="Q4817" s="14">
        <v>0.02</v>
      </c>
      <c r="R4817" s="143">
        <v>18122</v>
      </c>
      <c r="S4817" s="47"/>
      <c r="T4817" s="6">
        <v>298644.25</v>
      </c>
      <c r="U4817" s="6"/>
      <c r="V4817" s="6">
        <v>298644.25</v>
      </c>
      <c r="W4817" s="6">
        <f t="shared" si="732"/>
        <v>0</v>
      </c>
      <c r="X4817" s="6">
        <f t="shared" si="735"/>
        <v>292788.48039215687</v>
      </c>
      <c r="Y4817" s="13">
        <f t="shared" si="736"/>
        <v>0</v>
      </c>
      <c r="Z4817" s="14">
        <v>0</v>
      </c>
      <c r="AA4817" s="6">
        <v>0</v>
      </c>
      <c r="AB4817" s="4">
        <f t="shared" si="737"/>
        <v>292788.48039215687</v>
      </c>
      <c r="AC4817" s="4">
        <f t="shared" si="740"/>
        <v>5855.7696078431327</v>
      </c>
      <c r="AD4817" s="6">
        <f t="shared" si="733"/>
        <v>298644.25</v>
      </c>
      <c r="AE4817" s="2">
        <f>VLOOKUP(I4817,[1]媒体政策预估表!A:N,MATCH(O4817,[1]媒体政策预估表!$A$2:$M$2,0),0)</f>
        <v>0.09</v>
      </c>
      <c r="AF4817" s="6">
        <f t="shared" si="741"/>
        <v>26877.982499999998</v>
      </c>
      <c r="AG4817" s="14">
        <v>0</v>
      </c>
      <c r="AH4817" s="65">
        <f t="shared" si="734"/>
        <v>298644.25</v>
      </c>
      <c r="AI4817" s="47"/>
      <c r="AJ4817" s="126" t="e">
        <v>#N/A</v>
      </c>
      <c r="AK4817" s="80">
        <f t="shared" si="738"/>
        <v>0</v>
      </c>
      <c r="AM4817" s="85"/>
    </row>
    <row r="4818" spans="1:39" hidden="1" x14ac:dyDescent="0.3">
      <c r="A4818" s="89" t="s">
        <v>3397</v>
      </c>
      <c r="B4818" s="86" t="s">
        <v>35</v>
      </c>
      <c r="C4818" s="86" t="s">
        <v>65</v>
      </c>
      <c r="D4818" s="86" t="s">
        <v>66</v>
      </c>
      <c r="E4818" s="86" t="s">
        <v>1877</v>
      </c>
      <c r="F4818" s="86" t="s">
        <v>1877</v>
      </c>
      <c r="G4818" s="86" t="s">
        <v>1877</v>
      </c>
      <c r="H4818" s="143">
        <v>22</v>
      </c>
      <c r="I4818" s="86" t="s">
        <v>2935</v>
      </c>
      <c r="J4818" s="1" t="s">
        <v>3302</v>
      </c>
      <c r="K4818" s="1" t="s">
        <v>3371</v>
      </c>
      <c r="L4818" s="1" t="s">
        <v>35</v>
      </c>
      <c r="M4818" s="86" t="s">
        <v>1877</v>
      </c>
      <c r="N4818" s="86"/>
      <c r="O4818" s="47" t="s">
        <v>410</v>
      </c>
      <c r="P4818" s="47" t="s">
        <v>46</v>
      </c>
      <c r="Q4818" s="14">
        <v>0.02</v>
      </c>
      <c r="R4818" s="143">
        <v>186892</v>
      </c>
      <c r="S4818" s="47"/>
      <c r="T4818" s="6">
        <v>4073.05</v>
      </c>
      <c r="U4818" s="6"/>
      <c r="V4818" s="6">
        <v>0</v>
      </c>
      <c r="W4818" s="6">
        <f t="shared" si="732"/>
        <v>4073.05</v>
      </c>
      <c r="X4818" s="6">
        <f t="shared" si="735"/>
        <v>0</v>
      </c>
      <c r="Y4818" s="13">
        <f t="shared" si="736"/>
        <v>0</v>
      </c>
      <c r="Z4818" s="14">
        <v>0</v>
      </c>
      <c r="AA4818" s="6">
        <v>0</v>
      </c>
      <c r="AB4818" s="4">
        <f t="shared" si="737"/>
        <v>0</v>
      </c>
      <c r="AC4818" s="4">
        <f t="shared" si="740"/>
        <v>0</v>
      </c>
      <c r="AD4818" s="6">
        <f t="shared" si="733"/>
        <v>0</v>
      </c>
      <c r="AE4818" s="2">
        <f>VLOOKUP(I4818,[1]媒体政策预估表!A:N,MATCH(O4818,[1]媒体政策预估表!$A$2:$M$2,0),0)</f>
        <v>0.09</v>
      </c>
      <c r="AF4818" s="6">
        <f t="shared" si="741"/>
        <v>0</v>
      </c>
      <c r="AG4818" s="14">
        <v>0</v>
      </c>
      <c r="AH4818" s="65">
        <f t="shared" si="734"/>
        <v>0</v>
      </c>
      <c r="AI4818" s="47"/>
      <c r="AJ4818" s="126" t="e">
        <v>#N/A</v>
      </c>
      <c r="AK4818" s="80">
        <f t="shared" si="738"/>
        <v>0</v>
      </c>
      <c r="AM4818" s="85"/>
    </row>
    <row r="4819" spans="1:39" hidden="1" x14ac:dyDescent="0.3">
      <c r="A4819" s="89" t="s">
        <v>3397</v>
      </c>
      <c r="B4819" s="86" t="s">
        <v>35</v>
      </c>
      <c r="C4819" s="86" t="s">
        <v>65</v>
      </c>
      <c r="D4819" s="86" t="s">
        <v>66</v>
      </c>
      <c r="E4819" s="86" t="s">
        <v>2678</v>
      </c>
      <c r="F4819" s="86" t="s">
        <v>2679</v>
      </c>
      <c r="G4819" s="86" t="s">
        <v>2678</v>
      </c>
      <c r="H4819" s="144">
        <v>22</v>
      </c>
      <c r="I4819" s="86" t="s">
        <v>2935</v>
      </c>
      <c r="J4819" s="1" t="s">
        <v>3302</v>
      </c>
      <c r="K4819" s="1" t="s">
        <v>3371</v>
      </c>
      <c r="L4819" s="1" t="s">
        <v>35</v>
      </c>
      <c r="M4819" s="86" t="s">
        <v>2966</v>
      </c>
      <c r="N4819" s="86"/>
      <c r="O4819" s="47" t="s">
        <v>45</v>
      </c>
      <c r="P4819" s="47" t="s">
        <v>41</v>
      </c>
      <c r="Q4819" s="14">
        <v>0</v>
      </c>
      <c r="R4819" s="143">
        <v>242112</v>
      </c>
      <c r="S4819" s="47"/>
      <c r="T4819" s="6">
        <v>130086.67</v>
      </c>
      <c r="U4819" s="6"/>
      <c r="V4819" s="6">
        <v>59656.909999999996</v>
      </c>
      <c r="W4819" s="6">
        <f t="shared" si="732"/>
        <v>70429.760000000009</v>
      </c>
      <c r="X4819" s="6">
        <f t="shared" si="735"/>
        <v>59656.909999999996</v>
      </c>
      <c r="Y4819" s="13">
        <f t="shared" si="736"/>
        <v>0</v>
      </c>
      <c r="Z4819" s="14">
        <v>0</v>
      </c>
      <c r="AA4819" s="6">
        <v>0</v>
      </c>
      <c r="AB4819" s="4">
        <f t="shared" si="737"/>
        <v>59656.909999999996</v>
      </c>
      <c r="AC4819" s="4">
        <f t="shared" si="740"/>
        <v>0</v>
      </c>
      <c r="AD4819" s="6">
        <f t="shared" si="733"/>
        <v>59656.909999999996</v>
      </c>
      <c r="AE4819" s="2">
        <f>VLOOKUP(I4819,[1]媒体政策预估表!A:N,MATCH(O4819,[1]媒体政策预估表!$A$2:$M$2,0),0)</f>
        <v>0.18</v>
      </c>
      <c r="AF4819" s="6">
        <f t="shared" si="741"/>
        <v>10738.243799999998</v>
      </c>
      <c r="AG4819" s="14">
        <v>0</v>
      </c>
      <c r="AH4819" s="65">
        <f t="shared" si="734"/>
        <v>59656.909999999996</v>
      </c>
      <c r="AI4819" s="47"/>
      <c r="AJ4819" s="126" t="e">
        <v>#N/A</v>
      </c>
      <c r="AK4819" s="80">
        <f t="shared" si="738"/>
        <v>0</v>
      </c>
      <c r="AM4819" s="85"/>
    </row>
    <row r="4820" spans="1:39" hidden="1" x14ac:dyDescent="0.3">
      <c r="A4820" s="89" t="s">
        <v>3397</v>
      </c>
      <c r="B4820" s="86" t="s">
        <v>35</v>
      </c>
      <c r="C4820" s="86" t="s">
        <v>65</v>
      </c>
      <c r="D4820" s="86" t="s">
        <v>122</v>
      </c>
      <c r="E4820" s="86" t="s">
        <v>3045</v>
      </c>
      <c r="F4820" s="86" t="s">
        <v>3045</v>
      </c>
      <c r="G4820" s="86" t="s">
        <v>3045</v>
      </c>
      <c r="H4820" s="143">
        <v>22</v>
      </c>
      <c r="I4820" s="86" t="s">
        <v>2935</v>
      </c>
      <c r="J4820" s="1" t="s">
        <v>3302</v>
      </c>
      <c r="K4820" s="1" t="s">
        <v>3371</v>
      </c>
      <c r="L4820" s="1" t="s">
        <v>35</v>
      </c>
      <c r="M4820" s="86" t="s">
        <v>3046</v>
      </c>
      <c r="N4820" s="86"/>
      <c r="O4820" s="47" t="s">
        <v>410</v>
      </c>
      <c r="P4820" s="47" t="s">
        <v>46</v>
      </c>
      <c r="Q4820" s="14">
        <v>0.02</v>
      </c>
      <c r="R4820" s="143">
        <v>236362</v>
      </c>
      <c r="S4820" s="47"/>
      <c r="T4820" s="6">
        <v>29890.9</v>
      </c>
      <c r="U4820" s="6"/>
      <c r="V4820" s="6">
        <v>0</v>
      </c>
      <c r="W4820" s="6">
        <f t="shared" si="732"/>
        <v>29890.9</v>
      </c>
      <c r="X4820" s="6">
        <f t="shared" si="735"/>
        <v>0</v>
      </c>
      <c r="Y4820" s="13">
        <f t="shared" si="736"/>
        <v>0</v>
      </c>
      <c r="Z4820" s="14">
        <v>0</v>
      </c>
      <c r="AA4820" s="6">
        <v>0</v>
      </c>
      <c r="AB4820" s="4">
        <f t="shared" si="737"/>
        <v>0</v>
      </c>
      <c r="AC4820" s="4">
        <f t="shared" si="740"/>
        <v>0</v>
      </c>
      <c r="AD4820" s="6">
        <f t="shared" si="733"/>
        <v>0</v>
      </c>
      <c r="AE4820" s="2">
        <f>VLOOKUP(I4820,[1]媒体政策预估表!A:N,MATCH(O4820,[1]媒体政策预估表!$A$2:$M$2,0),0)</f>
        <v>0.09</v>
      </c>
      <c r="AF4820" s="6">
        <f t="shared" si="741"/>
        <v>0</v>
      </c>
      <c r="AG4820" s="14">
        <v>0</v>
      </c>
      <c r="AH4820" s="65">
        <f t="shared" si="734"/>
        <v>0</v>
      </c>
      <c r="AI4820" s="47"/>
      <c r="AJ4820" s="126" t="e">
        <v>#N/A</v>
      </c>
      <c r="AK4820" s="80">
        <f t="shared" si="738"/>
        <v>0</v>
      </c>
      <c r="AM4820" s="85"/>
    </row>
    <row r="4821" spans="1:39" hidden="1" x14ac:dyDescent="0.3">
      <c r="A4821" s="89" t="s">
        <v>3582</v>
      </c>
      <c r="B4821" s="86" t="s">
        <v>35</v>
      </c>
      <c r="C4821" s="86" t="s">
        <v>47</v>
      </c>
      <c r="D4821" s="86" t="s">
        <v>48</v>
      </c>
      <c r="E4821" s="86" t="s">
        <v>550</v>
      </c>
      <c r="F4821" s="86" t="s">
        <v>551</v>
      </c>
      <c r="G4821" s="86" t="s">
        <v>550</v>
      </c>
      <c r="H4821" s="143">
        <v>22</v>
      </c>
      <c r="I4821" s="86" t="s">
        <v>2935</v>
      </c>
      <c r="J4821" s="1" t="s">
        <v>3302</v>
      </c>
      <c r="K4821" s="1" t="s">
        <v>3371</v>
      </c>
      <c r="L4821" s="1" t="s">
        <v>35</v>
      </c>
      <c r="M4821" s="86" t="s">
        <v>550</v>
      </c>
      <c r="N4821" s="86"/>
      <c r="O4821" s="47" t="s">
        <v>410</v>
      </c>
      <c r="P4821" s="47" t="s">
        <v>46</v>
      </c>
      <c r="Q4821" s="14">
        <v>0.03</v>
      </c>
      <c r="R4821" s="143">
        <v>100212</v>
      </c>
      <c r="S4821" s="47"/>
      <c r="T4821" s="6">
        <v>15548.39</v>
      </c>
      <c r="U4821" s="6"/>
      <c r="V4821" s="6">
        <v>0</v>
      </c>
      <c r="W4821" s="6">
        <f t="shared" si="732"/>
        <v>15548.39</v>
      </c>
      <c r="X4821" s="6">
        <f t="shared" si="735"/>
        <v>0</v>
      </c>
      <c r="Y4821" s="13">
        <f t="shared" si="736"/>
        <v>0</v>
      </c>
      <c r="Z4821" s="14">
        <v>0</v>
      </c>
      <c r="AA4821" s="6">
        <v>0</v>
      </c>
      <c r="AB4821" s="4">
        <f t="shared" si="737"/>
        <v>0</v>
      </c>
      <c r="AC4821" s="4">
        <f t="shared" si="740"/>
        <v>0</v>
      </c>
      <c r="AD4821" s="6">
        <f t="shared" si="733"/>
        <v>0</v>
      </c>
      <c r="AE4821" s="2">
        <f>VLOOKUP(I4821,[1]媒体政策预估表!A:N,MATCH(O4821,[1]媒体政策预估表!$A$2:$M$2,0),0)</f>
        <v>0.09</v>
      </c>
      <c r="AF4821" s="6">
        <f t="shared" si="741"/>
        <v>0</v>
      </c>
      <c r="AG4821" s="14">
        <v>0</v>
      </c>
      <c r="AH4821" s="65">
        <f t="shared" si="734"/>
        <v>0</v>
      </c>
      <c r="AI4821" s="47"/>
      <c r="AJ4821" s="126" t="e">
        <v>#N/A</v>
      </c>
      <c r="AK4821" s="80">
        <f t="shared" si="738"/>
        <v>0</v>
      </c>
      <c r="AM4821" s="85"/>
    </row>
    <row r="4822" spans="1:39" hidden="1" x14ac:dyDescent="0.3">
      <c r="A4822" s="89" t="s">
        <v>3582</v>
      </c>
      <c r="B4822" s="86" t="s">
        <v>35</v>
      </c>
      <c r="C4822" s="86" t="s">
        <v>144</v>
      </c>
      <c r="D4822" s="86" t="s">
        <v>145</v>
      </c>
      <c r="E4822" s="86" t="s">
        <v>3048</v>
      </c>
      <c r="F4822" s="86" t="s">
        <v>3048</v>
      </c>
      <c r="G4822" s="86" t="s">
        <v>3048</v>
      </c>
      <c r="H4822" s="144">
        <v>22</v>
      </c>
      <c r="I4822" s="86" t="s">
        <v>2935</v>
      </c>
      <c r="J4822" s="1" t="s">
        <v>3302</v>
      </c>
      <c r="K4822" s="1" t="s">
        <v>3371</v>
      </c>
      <c r="L4822" s="1" t="s">
        <v>35</v>
      </c>
      <c r="M4822" s="86" t="s">
        <v>3048</v>
      </c>
      <c r="N4822" s="86"/>
      <c r="O4822" s="47" t="s">
        <v>410</v>
      </c>
      <c r="P4822" s="47" t="s">
        <v>46</v>
      </c>
      <c r="Q4822" s="14">
        <v>0.02</v>
      </c>
      <c r="R4822" s="143">
        <v>54872</v>
      </c>
      <c r="S4822" s="47"/>
      <c r="T4822" s="6">
        <v>38160.100000000006</v>
      </c>
      <c r="U4822" s="6"/>
      <c r="V4822" s="6">
        <v>27537.83</v>
      </c>
      <c r="W4822" s="6">
        <f t="shared" si="732"/>
        <v>10622.270000000004</v>
      </c>
      <c r="X4822" s="6">
        <f t="shared" si="735"/>
        <v>26997.872549019608</v>
      </c>
      <c r="Y4822" s="13">
        <f t="shared" si="736"/>
        <v>0</v>
      </c>
      <c r="Z4822" s="14">
        <v>0</v>
      </c>
      <c r="AA4822" s="6">
        <v>0</v>
      </c>
      <c r="AB4822" s="4">
        <f t="shared" si="737"/>
        <v>26997.872549019608</v>
      </c>
      <c r="AC4822" s="4">
        <f t="shared" si="740"/>
        <v>539.95745098039333</v>
      </c>
      <c r="AD4822" s="6">
        <f t="shared" si="733"/>
        <v>27537.83</v>
      </c>
      <c r="AE4822" s="2">
        <f>VLOOKUP(I4822,[1]媒体政策预估表!A:N,MATCH(O4822,[1]媒体政策预估表!$A$2:$M$2,0),0)</f>
        <v>0.09</v>
      </c>
      <c r="AF4822" s="6">
        <f t="shared" si="741"/>
        <v>2478.4047</v>
      </c>
      <c r="AG4822" s="14">
        <v>0</v>
      </c>
      <c r="AH4822" s="65">
        <f t="shared" si="734"/>
        <v>27537.83</v>
      </c>
      <c r="AI4822" s="47"/>
      <c r="AJ4822" s="126" t="e">
        <v>#N/A</v>
      </c>
      <c r="AK4822" s="80">
        <f t="shared" si="738"/>
        <v>0</v>
      </c>
      <c r="AM4822" s="85"/>
    </row>
    <row r="4823" spans="1:39" hidden="1" x14ac:dyDescent="0.3">
      <c r="A4823" s="89" t="s">
        <v>3583</v>
      </c>
      <c r="B4823" s="86" t="s">
        <v>35</v>
      </c>
      <c r="C4823" s="86" t="s">
        <v>144</v>
      </c>
      <c r="D4823" s="86" t="s">
        <v>145</v>
      </c>
      <c r="E4823" s="86" t="s">
        <v>3048</v>
      </c>
      <c r="F4823" s="86" t="s">
        <v>3048</v>
      </c>
      <c r="G4823" s="86" t="s">
        <v>3048</v>
      </c>
      <c r="H4823" s="144">
        <v>22</v>
      </c>
      <c r="I4823" s="86" t="s">
        <v>2935</v>
      </c>
      <c r="J4823" s="1" t="s">
        <v>3302</v>
      </c>
      <c r="K4823" s="1" t="s">
        <v>3371</v>
      </c>
      <c r="L4823" s="1" t="s">
        <v>35</v>
      </c>
      <c r="M4823" s="86" t="s">
        <v>3049</v>
      </c>
      <c r="N4823" s="86"/>
      <c r="O4823" s="47" t="s">
        <v>410</v>
      </c>
      <c r="P4823" s="47" t="s">
        <v>46</v>
      </c>
      <c r="Q4823" s="14">
        <v>0.02</v>
      </c>
      <c r="R4823" s="143">
        <v>228052</v>
      </c>
      <c r="S4823" s="47"/>
      <c r="T4823" s="6">
        <v>10372.300000000003</v>
      </c>
      <c r="U4823" s="6"/>
      <c r="V4823" s="6">
        <v>8055</v>
      </c>
      <c r="W4823" s="6">
        <f t="shared" si="732"/>
        <v>2317.3000000000029</v>
      </c>
      <c r="X4823" s="6">
        <f t="shared" si="735"/>
        <v>7897.0588235294117</v>
      </c>
      <c r="Y4823" s="13">
        <f t="shared" si="736"/>
        <v>0</v>
      </c>
      <c r="Z4823" s="14">
        <v>0</v>
      </c>
      <c r="AA4823" s="6">
        <v>0</v>
      </c>
      <c r="AB4823" s="4">
        <f t="shared" si="737"/>
        <v>7897.0588235294117</v>
      </c>
      <c r="AC4823" s="4">
        <f t="shared" si="740"/>
        <v>157.94117647058829</v>
      </c>
      <c r="AD4823" s="6">
        <f t="shared" si="733"/>
        <v>8055</v>
      </c>
      <c r="AE4823" s="2">
        <f>VLOOKUP(I4823,[1]媒体政策预估表!A:N,MATCH(O4823,[1]媒体政策预估表!$A$2:$M$2,0),0)</f>
        <v>0.09</v>
      </c>
      <c r="AF4823" s="6">
        <f t="shared" si="741"/>
        <v>724.94999999999993</v>
      </c>
      <c r="AG4823" s="14">
        <v>0</v>
      </c>
      <c r="AH4823" s="65">
        <f t="shared" si="734"/>
        <v>8055</v>
      </c>
      <c r="AI4823" s="47"/>
      <c r="AJ4823" s="126" t="e">
        <v>#N/A</v>
      </c>
      <c r="AK4823" s="80">
        <f t="shared" si="738"/>
        <v>0</v>
      </c>
      <c r="AM4823" s="85"/>
    </row>
    <row r="4824" spans="1:39" hidden="1" x14ac:dyDescent="0.3">
      <c r="A4824" s="89" t="s">
        <v>3583</v>
      </c>
      <c r="B4824" s="86" t="s">
        <v>35</v>
      </c>
      <c r="C4824" s="86" t="s">
        <v>144</v>
      </c>
      <c r="D4824" s="86" t="s">
        <v>152</v>
      </c>
      <c r="E4824" s="86" t="s">
        <v>3050</v>
      </c>
      <c r="F4824" s="86" t="s">
        <v>3050</v>
      </c>
      <c r="G4824" s="86" t="s">
        <v>3050</v>
      </c>
      <c r="H4824" s="144">
        <v>22</v>
      </c>
      <c r="I4824" s="86" t="s">
        <v>2935</v>
      </c>
      <c r="J4824" s="1" t="s">
        <v>3302</v>
      </c>
      <c r="K4824" s="1" t="s">
        <v>3371</v>
      </c>
      <c r="L4824" s="1" t="s">
        <v>35</v>
      </c>
      <c r="M4824" s="86" t="s">
        <v>3051</v>
      </c>
      <c r="N4824" s="86"/>
      <c r="O4824" s="47" t="s">
        <v>410</v>
      </c>
      <c r="P4824" s="47" t="s">
        <v>46</v>
      </c>
      <c r="Q4824" s="14">
        <v>0.02</v>
      </c>
      <c r="R4824" s="143">
        <v>42992</v>
      </c>
      <c r="S4824" s="47"/>
      <c r="T4824" s="6">
        <v>15521.95</v>
      </c>
      <c r="U4824" s="6"/>
      <c r="V4824" s="6">
        <v>42.5</v>
      </c>
      <c r="W4824" s="6">
        <f t="shared" si="732"/>
        <v>15479.45</v>
      </c>
      <c r="X4824" s="6">
        <f t="shared" si="735"/>
        <v>41.666666666666664</v>
      </c>
      <c r="Y4824" s="13">
        <f t="shared" si="736"/>
        <v>0</v>
      </c>
      <c r="Z4824" s="14">
        <v>0</v>
      </c>
      <c r="AA4824" s="6">
        <v>0</v>
      </c>
      <c r="AB4824" s="4">
        <f t="shared" si="737"/>
        <v>41.666666666666664</v>
      </c>
      <c r="AC4824" s="4">
        <f t="shared" si="740"/>
        <v>0.8333333333333357</v>
      </c>
      <c r="AD4824" s="6">
        <f t="shared" si="733"/>
        <v>42.5</v>
      </c>
      <c r="AE4824" s="2">
        <f>VLOOKUP(I4824,[1]媒体政策预估表!A:N,MATCH(O4824,[1]媒体政策预估表!$A$2:$M$2,0),0)</f>
        <v>0.09</v>
      </c>
      <c r="AF4824" s="6">
        <f t="shared" si="741"/>
        <v>3.8249999999999997</v>
      </c>
      <c r="AG4824" s="14">
        <v>0</v>
      </c>
      <c r="AH4824" s="65">
        <f t="shared" si="734"/>
        <v>42.5</v>
      </c>
      <c r="AI4824" s="47"/>
      <c r="AJ4824" s="126" t="e">
        <v>#N/A</v>
      </c>
      <c r="AK4824" s="80">
        <f t="shared" si="738"/>
        <v>0</v>
      </c>
      <c r="AM4824" s="85"/>
    </row>
    <row r="4825" spans="1:39" hidden="1" x14ac:dyDescent="0.3">
      <c r="A4825" s="89" t="s">
        <v>3583</v>
      </c>
      <c r="B4825" s="86" t="s">
        <v>35</v>
      </c>
      <c r="C4825" s="86" t="s">
        <v>164</v>
      </c>
      <c r="D4825" s="86" t="s">
        <v>174</v>
      </c>
      <c r="E4825" s="86" t="s">
        <v>1966</v>
      </c>
      <c r="F4825" s="86" t="s">
        <v>1966</v>
      </c>
      <c r="G4825" s="86" t="s">
        <v>1966</v>
      </c>
      <c r="H4825" s="143">
        <v>22</v>
      </c>
      <c r="I4825" s="86" t="s">
        <v>2935</v>
      </c>
      <c r="J4825" s="1" t="s">
        <v>3302</v>
      </c>
      <c r="K4825" s="1" t="s">
        <v>3371</v>
      </c>
      <c r="L4825" s="1" t="s">
        <v>35</v>
      </c>
      <c r="M4825" s="86" t="s">
        <v>3017</v>
      </c>
      <c r="N4825" s="86"/>
      <c r="O4825" s="47" t="s">
        <v>45</v>
      </c>
      <c r="P4825" s="47" t="s">
        <v>41</v>
      </c>
      <c r="Q4825" s="14">
        <v>0</v>
      </c>
      <c r="R4825" s="143">
        <v>215472</v>
      </c>
      <c r="S4825" s="47"/>
      <c r="T4825" s="6">
        <v>371992.43</v>
      </c>
      <c r="U4825" s="6"/>
      <c r="V4825" s="6">
        <v>0</v>
      </c>
      <c r="W4825" s="6">
        <f t="shared" si="732"/>
        <v>371992.43</v>
      </c>
      <c r="X4825" s="6">
        <f t="shared" si="735"/>
        <v>0</v>
      </c>
      <c r="Y4825" s="13">
        <f t="shared" si="736"/>
        <v>0</v>
      </c>
      <c r="Z4825" s="14">
        <v>0</v>
      </c>
      <c r="AA4825" s="6">
        <v>0</v>
      </c>
      <c r="AB4825" s="4">
        <f t="shared" si="737"/>
        <v>0</v>
      </c>
      <c r="AC4825" s="4">
        <f t="shared" si="740"/>
        <v>0</v>
      </c>
      <c r="AD4825" s="6">
        <f t="shared" si="733"/>
        <v>0</v>
      </c>
      <c r="AE4825" s="2">
        <f>VLOOKUP(I4825,[1]媒体政策预估表!A:N,MATCH(O4825,[1]媒体政策预估表!$A$2:$M$2,0),0)</f>
        <v>0.18</v>
      </c>
      <c r="AF4825" s="6">
        <f t="shared" si="741"/>
        <v>0</v>
      </c>
      <c r="AG4825" s="14">
        <v>0</v>
      </c>
      <c r="AH4825" s="65">
        <f t="shared" si="734"/>
        <v>0</v>
      </c>
      <c r="AI4825" s="47"/>
      <c r="AJ4825" s="126" t="e">
        <v>#N/A</v>
      </c>
      <c r="AK4825" s="80">
        <f t="shared" si="738"/>
        <v>0</v>
      </c>
      <c r="AM4825" s="85"/>
    </row>
    <row r="4826" spans="1:39" hidden="1" x14ac:dyDescent="0.3">
      <c r="A4826" s="89" t="s">
        <v>3397</v>
      </c>
      <c r="B4826" s="86" t="s">
        <v>35</v>
      </c>
      <c r="C4826" s="86" t="s">
        <v>164</v>
      </c>
      <c r="D4826" s="86" t="s">
        <v>174</v>
      </c>
      <c r="E4826" s="86" t="s">
        <v>1966</v>
      </c>
      <c r="F4826" s="86" t="s">
        <v>1966</v>
      </c>
      <c r="G4826" s="86" t="s">
        <v>1966</v>
      </c>
      <c r="H4826" s="143">
        <v>22</v>
      </c>
      <c r="I4826" s="86" t="s">
        <v>2935</v>
      </c>
      <c r="J4826" s="1" t="s">
        <v>3302</v>
      </c>
      <c r="K4826" s="1" t="s">
        <v>3371</v>
      </c>
      <c r="L4826" s="1" t="s">
        <v>35</v>
      </c>
      <c r="M4826" s="86" t="s">
        <v>3052</v>
      </c>
      <c r="N4826" s="86"/>
      <c r="O4826" s="47" t="s">
        <v>410</v>
      </c>
      <c r="P4826" s="47" t="s">
        <v>41</v>
      </c>
      <c r="Q4826" s="14">
        <v>0</v>
      </c>
      <c r="R4826" s="143">
        <v>215482</v>
      </c>
      <c r="S4826" s="47"/>
      <c r="T4826" s="6">
        <v>25761.950000000012</v>
      </c>
      <c r="U4826" s="6"/>
      <c r="V4826" s="6">
        <v>0</v>
      </c>
      <c r="W4826" s="6">
        <f t="shared" si="732"/>
        <v>25761.950000000012</v>
      </c>
      <c r="X4826" s="6">
        <f t="shared" si="735"/>
        <v>0</v>
      </c>
      <c r="Y4826" s="13">
        <f t="shared" si="736"/>
        <v>0</v>
      </c>
      <c r="Z4826" s="14">
        <v>0</v>
      </c>
      <c r="AA4826" s="6">
        <v>0</v>
      </c>
      <c r="AB4826" s="4">
        <f t="shared" si="737"/>
        <v>0</v>
      </c>
      <c r="AC4826" s="4">
        <f t="shared" si="740"/>
        <v>0</v>
      </c>
      <c r="AD4826" s="6">
        <f t="shared" si="733"/>
        <v>0</v>
      </c>
      <c r="AE4826" s="2">
        <f>VLOOKUP(I4826,[1]媒体政策预估表!A:N,MATCH(O4826,[1]媒体政策预估表!$A$2:$M$2,0),0)</f>
        <v>0.09</v>
      </c>
      <c r="AF4826" s="6">
        <f t="shared" si="741"/>
        <v>0</v>
      </c>
      <c r="AG4826" s="14">
        <v>0</v>
      </c>
      <c r="AH4826" s="65">
        <f t="shared" si="734"/>
        <v>0</v>
      </c>
      <c r="AI4826" s="47"/>
      <c r="AJ4826" s="126" t="e">
        <v>#N/A</v>
      </c>
      <c r="AK4826" s="80">
        <f t="shared" si="738"/>
        <v>0</v>
      </c>
      <c r="AM4826" s="85"/>
    </row>
    <row r="4827" spans="1:39" hidden="1" x14ac:dyDescent="0.3">
      <c r="A4827" s="89" t="s">
        <v>3397</v>
      </c>
      <c r="B4827" s="86" t="s">
        <v>35</v>
      </c>
      <c r="C4827" s="86" t="s">
        <v>164</v>
      </c>
      <c r="D4827" s="86" t="s">
        <v>174</v>
      </c>
      <c r="E4827" s="86" t="s">
        <v>3053</v>
      </c>
      <c r="F4827" s="86" t="s">
        <v>3053</v>
      </c>
      <c r="G4827" s="86" t="s">
        <v>3053</v>
      </c>
      <c r="H4827" s="144">
        <v>22</v>
      </c>
      <c r="I4827" s="86" t="s">
        <v>2935</v>
      </c>
      <c r="J4827" s="1" t="s">
        <v>3302</v>
      </c>
      <c r="K4827" s="1" t="s">
        <v>3371</v>
      </c>
      <c r="L4827" s="1" t="s">
        <v>35</v>
      </c>
      <c r="M4827" s="86" t="s">
        <v>3054</v>
      </c>
      <c r="N4827" s="86"/>
      <c r="O4827" s="47" t="s">
        <v>410</v>
      </c>
      <c r="P4827" s="47" t="s">
        <v>46</v>
      </c>
      <c r="Q4827" s="14">
        <v>0.02</v>
      </c>
      <c r="R4827" s="143">
        <v>152972</v>
      </c>
      <c r="S4827" s="47"/>
      <c r="T4827" s="6">
        <v>2982.0699999999997</v>
      </c>
      <c r="U4827" s="6"/>
      <c r="V4827" s="6">
        <v>2982.07</v>
      </c>
      <c r="W4827" s="6">
        <f t="shared" si="732"/>
        <v>0</v>
      </c>
      <c r="X4827" s="6">
        <f t="shared" si="735"/>
        <v>2923.5980392156862</v>
      </c>
      <c r="Y4827" s="13">
        <f t="shared" si="736"/>
        <v>0</v>
      </c>
      <c r="Z4827" s="14">
        <v>0</v>
      </c>
      <c r="AA4827" s="6">
        <v>0</v>
      </c>
      <c r="AB4827" s="4">
        <f t="shared" si="737"/>
        <v>2923.5980392156862</v>
      </c>
      <c r="AC4827" s="4">
        <f t="shared" si="740"/>
        <v>58.471960784313978</v>
      </c>
      <c r="AD4827" s="6">
        <f t="shared" si="733"/>
        <v>2982.07</v>
      </c>
      <c r="AE4827" s="2">
        <f>VLOOKUP(I4827,[1]媒体政策预估表!A:N,MATCH(O4827,[1]媒体政策预估表!$A$2:$M$2,0),0)</f>
        <v>0.09</v>
      </c>
      <c r="AF4827" s="6">
        <f t="shared" si="741"/>
        <v>268.38630000000001</v>
      </c>
      <c r="AG4827" s="14">
        <v>0</v>
      </c>
      <c r="AH4827" s="65">
        <f t="shared" si="734"/>
        <v>2982.07</v>
      </c>
      <c r="AI4827" s="47"/>
      <c r="AJ4827" s="126" t="e">
        <v>#N/A</v>
      </c>
      <c r="AK4827" s="80">
        <f t="shared" si="738"/>
        <v>0</v>
      </c>
      <c r="AM4827" s="85"/>
    </row>
    <row r="4828" spans="1:39" hidden="1" x14ac:dyDescent="0.3">
      <c r="A4828" s="89" t="s">
        <v>3397</v>
      </c>
      <c r="B4828" s="86" t="s">
        <v>35</v>
      </c>
      <c r="C4828" s="86" t="s">
        <v>164</v>
      </c>
      <c r="D4828" s="86" t="s">
        <v>181</v>
      </c>
      <c r="E4828" s="86" t="s">
        <v>182</v>
      </c>
      <c r="F4828" s="86" t="s">
        <v>183</v>
      </c>
      <c r="G4828" s="86" t="s">
        <v>182</v>
      </c>
      <c r="H4828" s="144">
        <v>22</v>
      </c>
      <c r="I4828" s="86" t="s">
        <v>2935</v>
      </c>
      <c r="J4828" s="1" t="s">
        <v>3302</v>
      </c>
      <c r="K4828" s="1" t="s">
        <v>3371</v>
      </c>
      <c r="L4828" s="1" t="s">
        <v>35</v>
      </c>
      <c r="M4828" s="86" t="s">
        <v>1832</v>
      </c>
      <c r="N4828" s="86"/>
      <c r="O4828" s="47" t="s">
        <v>410</v>
      </c>
      <c r="P4828" s="47" t="s">
        <v>41</v>
      </c>
      <c r="Q4828" s="14">
        <v>0</v>
      </c>
      <c r="R4828" s="143">
        <v>16472</v>
      </c>
      <c r="S4828" s="47"/>
      <c r="T4828" s="6">
        <v>318200.62</v>
      </c>
      <c r="U4828" s="6"/>
      <c r="V4828" s="6">
        <v>58412.78</v>
      </c>
      <c r="W4828" s="6">
        <f t="shared" si="732"/>
        <v>259787.84</v>
      </c>
      <c r="X4828" s="6">
        <f t="shared" si="735"/>
        <v>58412.78</v>
      </c>
      <c r="Y4828" s="13">
        <f t="shared" si="736"/>
        <v>0</v>
      </c>
      <c r="Z4828" s="14">
        <v>0.02</v>
      </c>
      <c r="AA4828" s="6">
        <f>X4828/(1-Z4828)*Z4828</f>
        <v>1192.0975510204082</v>
      </c>
      <c r="AB4828" s="4">
        <f t="shared" si="737"/>
        <v>59604.877551020407</v>
      </c>
      <c r="AC4828" s="4">
        <f t="shared" si="740"/>
        <v>0</v>
      </c>
      <c r="AD4828" s="6">
        <f t="shared" si="733"/>
        <v>58412.78</v>
      </c>
      <c r="AE4828" s="2">
        <f>VLOOKUP(I4828,[1]媒体政策预估表!A:N,MATCH(O4828,[1]媒体政策预估表!$A$2:$M$2,0),0)</f>
        <v>0.09</v>
      </c>
      <c r="AF4828" s="6">
        <f t="shared" si="741"/>
        <v>5257.1502</v>
      </c>
      <c r="AG4828" s="14">
        <v>0</v>
      </c>
      <c r="AH4828" s="65">
        <f t="shared" si="734"/>
        <v>58412.78</v>
      </c>
      <c r="AI4828" s="47"/>
      <c r="AJ4828" s="126" t="e">
        <v>#N/A</v>
      </c>
      <c r="AK4828" s="80">
        <f t="shared" si="738"/>
        <v>0</v>
      </c>
      <c r="AM4828" s="85"/>
    </row>
    <row r="4829" spans="1:39" hidden="1" x14ac:dyDescent="0.3">
      <c r="A4829" s="89" t="s">
        <v>3582</v>
      </c>
      <c r="B4829" s="86" t="s">
        <v>35</v>
      </c>
      <c r="C4829" s="86" t="s">
        <v>59</v>
      </c>
      <c r="D4829" s="86" t="s">
        <v>60</v>
      </c>
      <c r="E4829" s="86" t="s">
        <v>3057</v>
      </c>
      <c r="F4829" s="86" t="s">
        <v>3057</v>
      </c>
      <c r="G4829" s="86" t="s">
        <v>3057</v>
      </c>
      <c r="H4829" s="144">
        <v>22</v>
      </c>
      <c r="I4829" s="86" t="s">
        <v>2935</v>
      </c>
      <c r="J4829" s="1" t="s">
        <v>3302</v>
      </c>
      <c r="K4829" s="1" t="s">
        <v>3371</v>
      </c>
      <c r="L4829" s="1" t="s">
        <v>35</v>
      </c>
      <c r="M4829" s="86" t="s">
        <v>3057</v>
      </c>
      <c r="N4829" s="86"/>
      <c r="O4829" s="47" t="s">
        <v>410</v>
      </c>
      <c r="P4829" s="47" t="s">
        <v>41</v>
      </c>
      <c r="Q4829" s="14">
        <v>0</v>
      </c>
      <c r="R4829" s="143">
        <v>96962</v>
      </c>
      <c r="S4829" s="47"/>
      <c r="T4829" s="6">
        <v>7470.6600000000017</v>
      </c>
      <c r="U4829" s="6"/>
      <c r="V4829" s="6">
        <v>3143.12</v>
      </c>
      <c r="W4829" s="6">
        <f t="shared" si="732"/>
        <v>4327.5400000000018</v>
      </c>
      <c r="X4829" s="6">
        <f t="shared" si="735"/>
        <v>3143.12</v>
      </c>
      <c r="Y4829" s="13">
        <f t="shared" si="736"/>
        <v>0</v>
      </c>
      <c r="Z4829" s="14">
        <v>0</v>
      </c>
      <c r="AA4829" s="6">
        <v>0</v>
      </c>
      <c r="AB4829" s="4">
        <f t="shared" si="737"/>
        <v>3143.12</v>
      </c>
      <c r="AC4829" s="4">
        <f t="shared" si="740"/>
        <v>0</v>
      </c>
      <c r="AD4829" s="6">
        <f t="shared" si="733"/>
        <v>3143.12</v>
      </c>
      <c r="AE4829" s="2">
        <f>VLOOKUP(I4829,[1]媒体政策预估表!A:N,MATCH(O4829,[1]媒体政策预估表!$A$2:$M$2,0),0)</f>
        <v>0.09</v>
      </c>
      <c r="AF4829" s="6">
        <f t="shared" si="741"/>
        <v>282.88079999999997</v>
      </c>
      <c r="AG4829" s="14">
        <v>0</v>
      </c>
      <c r="AH4829" s="65">
        <f t="shared" si="734"/>
        <v>3143.12</v>
      </c>
      <c r="AI4829" s="47"/>
      <c r="AJ4829" s="126" t="e">
        <v>#N/A</v>
      </c>
      <c r="AK4829" s="80">
        <f t="shared" si="738"/>
        <v>0</v>
      </c>
      <c r="AM4829" s="85"/>
    </row>
    <row r="4830" spans="1:39" hidden="1" x14ac:dyDescent="0.3">
      <c r="A4830" s="89" t="s">
        <v>3583</v>
      </c>
      <c r="B4830" s="86" t="s">
        <v>35</v>
      </c>
      <c r="C4830" s="86" t="s">
        <v>59</v>
      </c>
      <c r="D4830" s="86" t="s">
        <v>60</v>
      </c>
      <c r="E4830" s="86" t="s">
        <v>421</v>
      </c>
      <c r="F4830" s="86" t="s">
        <v>422</v>
      </c>
      <c r="G4830" s="86" t="s">
        <v>421</v>
      </c>
      <c r="H4830" s="143">
        <v>22</v>
      </c>
      <c r="I4830" s="86" t="s">
        <v>2935</v>
      </c>
      <c r="J4830" s="1" t="s">
        <v>3302</v>
      </c>
      <c r="K4830" s="1" t="s">
        <v>3371</v>
      </c>
      <c r="L4830" s="1" t="s">
        <v>35</v>
      </c>
      <c r="M4830" s="86" t="s">
        <v>3058</v>
      </c>
      <c r="N4830" s="86"/>
      <c r="O4830" s="47" t="s">
        <v>410</v>
      </c>
      <c r="P4830" s="47" t="s">
        <v>46</v>
      </c>
      <c r="Q4830" s="14">
        <v>0.02</v>
      </c>
      <c r="R4830" s="143">
        <v>8555</v>
      </c>
      <c r="S4830" s="47"/>
      <c r="T4830" s="6">
        <v>3000</v>
      </c>
      <c r="U4830" s="6"/>
      <c r="V4830" s="6">
        <v>0</v>
      </c>
      <c r="W4830" s="6">
        <f t="shared" si="732"/>
        <v>3000</v>
      </c>
      <c r="X4830" s="6">
        <f t="shared" si="735"/>
        <v>0</v>
      </c>
      <c r="Y4830" s="13">
        <f t="shared" si="736"/>
        <v>0</v>
      </c>
      <c r="Z4830" s="14">
        <v>0</v>
      </c>
      <c r="AA4830" s="6">
        <v>0</v>
      </c>
      <c r="AB4830" s="4">
        <f t="shared" si="737"/>
        <v>0</v>
      </c>
      <c r="AC4830" s="4">
        <f t="shared" si="740"/>
        <v>0</v>
      </c>
      <c r="AD4830" s="6">
        <f t="shared" si="733"/>
        <v>0</v>
      </c>
      <c r="AE4830" s="2">
        <f>VLOOKUP(I4830,[1]媒体政策预估表!A:N,MATCH(O4830,[1]媒体政策预估表!$A$2:$M$2,0),0)</f>
        <v>0.09</v>
      </c>
      <c r="AF4830" s="6">
        <f t="shared" si="741"/>
        <v>0</v>
      </c>
      <c r="AG4830" s="14">
        <v>0</v>
      </c>
      <c r="AH4830" s="65">
        <f t="shared" si="734"/>
        <v>0</v>
      </c>
      <c r="AI4830" s="47"/>
      <c r="AJ4830" s="126" t="e">
        <v>#N/A</v>
      </c>
      <c r="AK4830" s="80">
        <f t="shared" si="738"/>
        <v>0</v>
      </c>
      <c r="AM4830" s="85"/>
    </row>
    <row r="4831" spans="1:39" hidden="1" x14ac:dyDescent="0.3">
      <c r="A4831" s="89" t="s">
        <v>3583</v>
      </c>
      <c r="B4831" s="86" t="s">
        <v>35</v>
      </c>
      <c r="C4831" s="86" t="s">
        <v>47</v>
      </c>
      <c r="D4831" s="86" t="s">
        <v>63</v>
      </c>
      <c r="E4831" s="86" t="s">
        <v>3059</v>
      </c>
      <c r="F4831" s="86" t="s">
        <v>3059</v>
      </c>
      <c r="G4831" s="86" t="s">
        <v>3059</v>
      </c>
      <c r="H4831" s="143">
        <v>22</v>
      </c>
      <c r="I4831" s="86" t="s">
        <v>2935</v>
      </c>
      <c r="J4831" s="1" t="s">
        <v>3302</v>
      </c>
      <c r="K4831" s="1" t="s">
        <v>3371</v>
      </c>
      <c r="L4831" s="1" t="s">
        <v>35</v>
      </c>
      <c r="M4831" s="86" t="s">
        <v>3059</v>
      </c>
      <c r="N4831" s="86"/>
      <c r="O4831" s="47" t="s">
        <v>410</v>
      </c>
      <c r="P4831" s="47" t="s">
        <v>41</v>
      </c>
      <c r="Q4831" s="14">
        <v>0</v>
      </c>
      <c r="R4831" s="143">
        <v>55682</v>
      </c>
      <c r="S4831" s="47"/>
      <c r="T4831" s="6">
        <v>75415.339999999982</v>
      </c>
      <c r="U4831" s="6"/>
      <c r="V4831" s="6">
        <v>0</v>
      </c>
      <c r="W4831" s="6">
        <f t="shared" si="732"/>
        <v>75415.339999999982</v>
      </c>
      <c r="X4831" s="6">
        <f t="shared" si="735"/>
        <v>0</v>
      </c>
      <c r="Y4831" s="13">
        <f t="shared" si="736"/>
        <v>0</v>
      </c>
      <c r="Z4831" s="14">
        <v>0</v>
      </c>
      <c r="AA4831" s="6">
        <v>0</v>
      </c>
      <c r="AB4831" s="4">
        <f t="shared" si="737"/>
        <v>0</v>
      </c>
      <c r="AC4831" s="4">
        <f t="shared" si="740"/>
        <v>0</v>
      </c>
      <c r="AD4831" s="6">
        <f t="shared" si="733"/>
        <v>0</v>
      </c>
      <c r="AE4831" s="2">
        <f>VLOOKUP(I4831,[1]媒体政策预估表!A:N,MATCH(O4831,[1]媒体政策预估表!$A$2:$M$2,0),0)</f>
        <v>0.09</v>
      </c>
      <c r="AF4831" s="6">
        <f t="shared" si="741"/>
        <v>0</v>
      </c>
      <c r="AG4831" s="14">
        <v>0</v>
      </c>
      <c r="AH4831" s="65">
        <f t="shared" si="734"/>
        <v>0</v>
      </c>
      <c r="AI4831" s="47"/>
      <c r="AJ4831" s="126" t="e">
        <v>#N/A</v>
      </c>
      <c r="AK4831" s="80">
        <f t="shared" si="738"/>
        <v>0</v>
      </c>
      <c r="AM4831" s="85"/>
    </row>
    <row r="4832" spans="1:39" hidden="1" x14ac:dyDescent="0.3">
      <c r="A4832" s="89" t="s">
        <v>3397</v>
      </c>
      <c r="B4832" s="86" t="s">
        <v>35</v>
      </c>
      <c r="C4832" s="86" t="s">
        <v>164</v>
      </c>
      <c r="D4832" s="86" t="s">
        <v>174</v>
      </c>
      <c r="E4832" s="86" t="s">
        <v>3053</v>
      </c>
      <c r="F4832" s="86" t="s">
        <v>3053</v>
      </c>
      <c r="G4832" s="86" t="s">
        <v>3053</v>
      </c>
      <c r="H4832" s="144">
        <v>22</v>
      </c>
      <c r="I4832" s="86" t="s">
        <v>2935</v>
      </c>
      <c r="J4832" s="1" t="s">
        <v>3302</v>
      </c>
      <c r="K4832" s="1" t="s">
        <v>3371</v>
      </c>
      <c r="L4832" s="1" t="s">
        <v>35</v>
      </c>
      <c r="M4832" s="86" t="s">
        <v>3053</v>
      </c>
      <c r="N4832" s="86"/>
      <c r="O4832" s="47" t="s">
        <v>410</v>
      </c>
      <c r="P4832" s="47" t="s">
        <v>46</v>
      </c>
      <c r="Q4832" s="14">
        <v>0.02</v>
      </c>
      <c r="R4832" s="143">
        <v>133822</v>
      </c>
      <c r="S4832" s="47"/>
      <c r="T4832" s="6">
        <v>4110.1300000000019</v>
      </c>
      <c r="U4832" s="6"/>
      <c r="V4832" s="6">
        <v>2812.5</v>
      </c>
      <c r="W4832" s="6">
        <f t="shared" si="732"/>
        <v>1297.6300000000019</v>
      </c>
      <c r="X4832" s="6">
        <f t="shared" si="735"/>
        <v>2757.3529411764707</v>
      </c>
      <c r="Y4832" s="13">
        <f t="shared" si="736"/>
        <v>0</v>
      </c>
      <c r="Z4832" s="14">
        <v>0</v>
      </c>
      <c r="AA4832" s="6">
        <v>0</v>
      </c>
      <c r="AB4832" s="4">
        <f t="shared" si="737"/>
        <v>2757.3529411764707</v>
      </c>
      <c r="AC4832" s="4">
        <f t="shared" si="740"/>
        <v>55.147058823529278</v>
      </c>
      <c r="AD4832" s="6">
        <f t="shared" si="733"/>
        <v>2812.5</v>
      </c>
      <c r="AE4832" s="2">
        <f>VLOOKUP(I4832,[1]媒体政策预估表!A:N,MATCH(O4832,[1]媒体政策预估表!$A$2:$M$2,0),0)</f>
        <v>0.09</v>
      </c>
      <c r="AF4832" s="6">
        <f t="shared" si="741"/>
        <v>253.125</v>
      </c>
      <c r="AG4832" s="14">
        <v>0</v>
      </c>
      <c r="AH4832" s="65">
        <f t="shared" si="734"/>
        <v>2812.5</v>
      </c>
      <c r="AI4832" s="47"/>
      <c r="AJ4832" s="126" t="e">
        <v>#N/A</v>
      </c>
      <c r="AK4832" s="80">
        <f t="shared" si="738"/>
        <v>0</v>
      </c>
      <c r="AM4832" s="85"/>
    </row>
    <row r="4833" spans="1:39" hidden="1" x14ac:dyDescent="0.3">
      <c r="A4833" s="89" t="s">
        <v>3582</v>
      </c>
      <c r="B4833" s="86" t="s">
        <v>35</v>
      </c>
      <c r="C4833" s="86" t="s">
        <v>164</v>
      </c>
      <c r="D4833" s="86" t="s">
        <v>174</v>
      </c>
      <c r="E4833" s="86" t="s">
        <v>3060</v>
      </c>
      <c r="F4833" s="86" t="s">
        <v>3060</v>
      </c>
      <c r="G4833" s="86" t="s">
        <v>3060</v>
      </c>
      <c r="H4833" s="143">
        <v>22</v>
      </c>
      <c r="I4833" s="86" t="s">
        <v>2935</v>
      </c>
      <c r="J4833" s="1" t="s">
        <v>3302</v>
      </c>
      <c r="K4833" s="1" t="s">
        <v>3371</v>
      </c>
      <c r="L4833" s="1" t="s">
        <v>35</v>
      </c>
      <c r="M4833" s="86" t="s">
        <v>3060</v>
      </c>
      <c r="N4833" s="86"/>
      <c r="O4833" s="47" t="s">
        <v>410</v>
      </c>
      <c r="P4833" s="47" t="s">
        <v>46</v>
      </c>
      <c r="Q4833" s="14">
        <v>0.04</v>
      </c>
      <c r="R4833" s="143">
        <v>237162</v>
      </c>
      <c r="S4833" s="47"/>
      <c r="T4833" s="6">
        <v>3711.48</v>
      </c>
      <c r="U4833" s="6"/>
      <c r="V4833" s="6">
        <v>0</v>
      </c>
      <c r="W4833" s="6">
        <f t="shared" si="732"/>
        <v>3711.48</v>
      </c>
      <c r="X4833" s="6">
        <f t="shared" si="735"/>
        <v>0</v>
      </c>
      <c r="Y4833" s="13">
        <f t="shared" si="736"/>
        <v>0</v>
      </c>
      <c r="Z4833" s="14">
        <v>0</v>
      </c>
      <c r="AA4833" s="6">
        <v>0</v>
      </c>
      <c r="AB4833" s="4">
        <f t="shared" si="737"/>
        <v>0</v>
      </c>
      <c r="AC4833" s="4">
        <f t="shared" si="740"/>
        <v>0</v>
      </c>
      <c r="AD4833" s="6">
        <f t="shared" si="733"/>
        <v>0</v>
      </c>
      <c r="AE4833" s="2">
        <f>VLOOKUP(I4833,[1]媒体政策预估表!A:N,MATCH(O4833,[1]媒体政策预估表!$A$2:$M$2,0),0)</f>
        <v>0.09</v>
      </c>
      <c r="AF4833" s="6">
        <f t="shared" si="741"/>
        <v>0</v>
      </c>
      <c r="AG4833" s="14">
        <v>0</v>
      </c>
      <c r="AH4833" s="65">
        <f t="shared" si="734"/>
        <v>0</v>
      </c>
      <c r="AI4833" s="47"/>
      <c r="AJ4833" s="126" t="e">
        <v>#N/A</v>
      </c>
      <c r="AK4833" s="80">
        <f t="shared" si="738"/>
        <v>0</v>
      </c>
      <c r="AM4833" s="85"/>
    </row>
    <row r="4834" spans="1:39" hidden="1" x14ac:dyDescent="0.3">
      <c r="A4834" s="89" t="s">
        <v>3583</v>
      </c>
      <c r="B4834" s="86" t="s">
        <v>35</v>
      </c>
      <c r="C4834" s="86" t="s">
        <v>36</v>
      </c>
      <c r="D4834" s="86" t="s">
        <v>224</v>
      </c>
      <c r="E4834" s="86" t="s">
        <v>1852</v>
      </c>
      <c r="F4834" s="86" t="s">
        <v>1852</v>
      </c>
      <c r="G4834" s="86" t="s">
        <v>1852</v>
      </c>
      <c r="H4834" s="143">
        <v>22</v>
      </c>
      <c r="I4834" s="86" t="s">
        <v>2935</v>
      </c>
      <c r="J4834" s="1" t="s">
        <v>3302</v>
      </c>
      <c r="K4834" s="1" t="s">
        <v>3371</v>
      </c>
      <c r="L4834" s="1" t="s">
        <v>35</v>
      </c>
      <c r="M4834" s="86" t="s">
        <v>1852</v>
      </c>
      <c r="N4834" s="86"/>
      <c r="O4834" s="47" t="s">
        <v>410</v>
      </c>
      <c r="P4834" s="47" t="s">
        <v>46</v>
      </c>
      <c r="Q4834" s="14">
        <v>0.03</v>
      </c>
      <c r="R4834" s="143">
        <v>42432</v>
      </c>
      <c r="S4834" s="47"/>
      <c r="T4834" s="6">
        <v>100990.47999999998</v>
      </c>
      <c r="U4834" s="6"/>
      <c r="V4834" s="6">
        <v>0</v>
      </c>
      <c r="W4834" s="6">
        <f t="shared" si="732"/>
        <v>100990.47999999998</v>
      </c>
      <c r="X4834" s="6">
        <f t="shared" si="735"/>
        <v>0</v>
      </c>
      <c r="Y4834" s="13">
        <f t="shared" si="736"/>
        <v>0</v>
      </c>
      <c r="Z4834" s="14">
        <v>0</v>
      </c>
      <c r="AA4834" s="6">
        <v>0</v>
      </c>
      <c r="AB4834" s="4">
        <f t="shared" si="737"/>
        <v>0</v>
      </c>
      <c r="AC4834" s="4">
        <f t="shared" si="740"/>
        <v>0</v>
      </c>
      <c r="AD4834" s="6">
        <f t="shared" si="733"/>
        <v>0</v>
      </c>
      <c r="AE4834" s="2">
        <f>VLOOKUP(I4834,[1]媒体政策预估表!A:N,MATCH(O4834,[1]媒体政策预估表!$A$2:$M$2,0),0)</f>
        <v>0.09</v>
      </c>
      <c r="AF4834" s="6">
        <f t="shared" si="741"/>
        <v>0</v>
      </c>
      <c r="AG4834" s="14">
        <v>0</v>
      </c>
      <c r="AH4834" s="65">
        <f t="shared" si="734"/>
        <v>0</v>
      </c>
      <c r="AI4834" s="47"/>
      <c r="AJ4834" s="126" t="e">
        <v>#N/A</v>
      </c>
      <c r="AK4834" s="80">
        <f t="shared" si="738"/>
        <v>0</v>
      </c>
      <c r="AM4834" s="85"/>
    </row>
    <row r="4835" spans="1:39" hidden="1" x14ac:dyDescent="0.3">
      <c r="A4835" s="89" t="s">
        <v>3583</v>
      </c>
      <c r="B4835" s="86" t="s">
        <v>35</v>
      </c>
      <c r="C4835" s="86" t="s">
        <v>65</v>
      </c>
      <c r="D4835" s="86" t="s">
        <v>232</v>
      </c>
      <c r="E4835" s="86" t="s">
        <v>3062</v>
      </c>
      <c r="F4835" s="86" t="s">
        <v>3062</v>
      </c>
      <c r="G4835" s="86" t="s">
        <v>3062</v>
      </c>
      <c r="H4835" s="143">
        <v>22</v>
      </c>
      <c r="I4835" s="86" t="s">
        <v>2935</v>
      </c>
      <c r="J4835" s="1" t="s">
        <v>3302</v>
      </c>
      <c r="K4835" s="1" t="s">
        <v>3371</v>
      </c>
      <c r="L4835" s="1" t="s">
        <v>35</v>
      </c>
      <c r="M4835" s="86" t="s">
        <v>3063</v>
      </c>
      <c r="N4835" s="86"/>
      <c r="O4835" s="47" t="s">
        <v>410</v>
      </c>
      <c r="P4835" s="47" t="s">
        <v>41</v>
      </c>
      <c r="Q4835" s="14">
        <v>0</v>
      </c>
      <c r="R4835" s="143">
        <v>552</v>
      </c>
      <c r="S4835" s="47"/>
      <c r="T4835" s="6">
        <v>9071.89</v>
      </c>
      <c r="U4835" s="6"/>
      <c r="V4835" s="6">
        <v>0</v>
      </c>
      <c r="W4835" s="6">
        <f t="shared" si="732"/>
        <v>9071.89</v>
      </c>
      <c r="X4835" s="6">
        <f t="shared" si="735"/>
        <v>0</v>
      </c>
      <c r="Y4835" s="13">
        <f t="shared" si="736"/>
        <v>0</v>
      </c>
      <c r="Z4835" s="14">
        <v>0</v>
      </c>
      <c r="AA4835" s="6">
        <v>0</v>
      </c>
      <c r="AB4835" s="4">
        <f t="shared" si="737"/>
        <v>0</v>
      </c>
      <c r="AC4835" s="4">
        <f t="shared" si="740"/>
        <v>0</v>
      </c>
      <c r="AD4835" s="6">
        <f t="shared" si="733"/>
        <v>0</v>
      </c>
      <c r="AE4835" s="2">
        <f>VLOOKUP(I4835,[1]媒体政策预估表!A:N,MATCH(O4835,[1]媒体政策预估表!$A$2:$M$2,0),0)</f>
        <v>0.09</v>
      </c>
      <c r="AF4835" s="6">
        <f t="shared" si="741"/>
        <v>0</v>
      </c>
      <c r="AG4835" s="14">
        <v>0</v>
      </c>
      <c r="AH4835" s="65">
        <f t="shared" si="734"/>
        <v>0</v>
      </c>
      <c r="AI4835" s="47"/>
      <c r="AJ4835" s="126" t="e">
        <v>#N/A</v>
      </c>
      <c r="AK4835" s="80">
        <f t="shared" si="738"/>
        <v>0</v>
      </c>
      <c r="AM4835" s="85"/>
    </row>
    <row r="4836" spans="1:39" hidden="1" x14ac:dyDescent="0.3">
      <c r="A4836" s="89" t="s">
        <v>3582</v>
      </c>
      <c r="B4836" s="86" t="s">
        <v>35</v>
      </c>
      <c r="C4836" s="86" t="s">
        <v>59</v>
      </c>
      <c r="D4836" s="86" t="s">
        <v>60</v>
      </c>
      <c r="E4836" s="86" t="s">
        <v>906</v>
      </c>
      <c r="F4836" s="86" t="s">
        <v>3064</v>
      </c>
      <c r="G4836" s="86" t="s">
        <v>906</v>
      </c>
      <c r="H4836" s="143">
        <v>22</v>
      </c>
      <c r="I4836" s="86" t="s">
        <v>2935</v>
      </c>
      <c r="J4836" s="1" t="s">
        <v>3302</v>
      </c>
      <c r="K4836" s="1" t="s">
        <v>3371</v>
      </c>
      <c r="L4836" s="1" t="s">
        <v>35</v>
      </c>
      <c r="M4836" s="86" t="s">
        <v>3065</v>
      </c>
      <c r="N4836" s="86"/>
      <c r="O4836" s="47" t="s">
        <v>410</v>
      </c>
      <c r="P4836" s="47" t="s">
        <v>46</v>
      </c>
      <c r="Q4836" s="14">
        <v>0.02</v>
      </c>
      <c r="R4836" s="143">
        <v>9986</v>
      </c>
      <c r="S4836" s="47"/>
      <c r="T4836" s="6">
        <v>42453.239999999983</v>
      </c>
      <c r="U4836" s="6"/>
      <c r="V4836" s="6">
        <v>0</v>
      </c>
      <c r="W4836" s="6">
        <f t="shared" si="732"/>
        <v>42453.239999999983</v>
      </c>
      <c r="X4836" s="6">
        <f t="shared" si="735"/>
        <v>0</v>
      </c>
      <c r="Y4836" s="13">
        <f t="shared" si="736"/>
        <v>0</v>
      </c>
      <c r="Z4836" s="14">
        <v>0</v>
      </c>
      <c r="AA4836" s="6">
        <v>0</v>
      </c>
      <c r="AB4836" s="4">
        <f t="shared" si="737"/>
        <v>0</v>
      </c>
      <c r="AC4836" s="4">
        <f t="shared" si="740"/>
        <v>0</v>
      </c>
      <c r="AD4836" s="6">
        <f t="shared" si="733"/>
        <v>0</v>
      </c>
      <c r="AE4836" s="2">
        <f>VLOOKUP(I4836,[1]媒体政策预估表!A:N,MATCH(O4836,[1]媒体政策预估表!$A$2:$M$2,0),0)</f>
        <v>0.09</v>
      </c>
      <c r="AF4836" s="6">
        <f t="shared" si="741"/>
        <v>0</v>
      </c>
      <c r="AG4836" s="14">
        <v>0</v>
      </c>
      <c r="AH4836" s="65">
        <f t="shared" si="734"/>
        <v>0</v>
      </c>
      <c r="AI4836" s="47"/>
      <c r="AJ4836" s="126" t="e">
        <v>#N/A</v>
      </c>
      <c r="AK4836" s="80">
        <f t="shared" si="738"/>
        <v>0</v>
      </c>
      <c r="AM4836" s="85"/>
    </row>
    <row r="4837" spans="1:39" hidden="1" x14ac:dyDescent="0.3">
      <c r="A4837" s="89" t="s">
        <v>3582</v>
      </c>
      <c r="B4837" s="86" t="s">
        <v>35</v>
      </c>
      <c r="C4837" s="86" t="s">
        <v>65</v>
      </c>
      <c r="D4837" s="86" t="s">
        <v>66</v>
      </c>
      <c r="E4837" s="86" t="s">
        <v>233</v>
      </c>
      <c r="F4837" s="86" t="s">
        <v>233</v>
      </c>
      <c r="G4837" s="86" t="s">
        <v>233</v>
      </c>
      <c r="H4837" s="143">
        <v>22</v>
      </c>
      <c r="I4837" s="86" t="s">
        <v>2935</v>
      </c>
      <c r="J4837" s="1" t="s">
        <v>3302</v>
      </c>
      <c r="K4837" s="1" t="s">
        <v>3371</v>
      </c>
      <c r="L4837" s="1" t="s">
        <v>35</v>
      </c>
      <c r="M4837" s="86" t="s">
        <v>3066</v>
      </c>
      <c r="N4837" s="86"/>
      <c r="O4837" s="47" t="s">
        <v>410</v>
      </c>
      <c r="P4837" s="47" t="s">
        <v>46</v>
      </c>
      <c r="Q4837" s="14">
        <v>0.02</v>
      </c>
      <c r="R4837" s="143">
        <v>138972</v>
      </c>
      <c r="S4837" s="47"/>
      <c r="T4837" s="6">
        <v>43378.239999999998</v>
      </c>
      <c r="U4837" s="6"/>
      <c r="V4837" s="6">
        <v>0</v>
      </c>
      <c r="W4837" s="6">
        <f t="shared" si="732"/>
        <v>43378.239999999998</v>
      </c>
      <c r="X4837" s="6">
        <f t="shared" si="735"/>
        <v>0</v>
      </c>
      <c r="Y4837" s="13">
        <f t="shared" si="736"/>
        <v>0</v>
      </c>
      <c r="Z4837" s="14">
        <v>0</v>
      </c>
      <c r="AA4837" s="6">
        <v>0</v>
      </c>
      <c r="AB4837" s="4">
        <f t="shared" si="737"/>
        <v>0</v>
      </c>
      <c r="AC4837" s="4">
        <f t="shared" si="740"/>
        <v>0</v>
      </c>
      <c r="AD4837" s="6">
        <f t="shared" si="733"/>
        <v>0</v>
      </c>
      <c r="AE4837" s="2">
        <f>VLOOKUP(I4837,[1]媒体政策预估表!A:N,MATCH(O4837,[1]媒体政策预估表!$A$2:$M$2,0),0)</f>
        <v>0.09</v>
      </c>
      <c r="AF4837" s="6">
        <f t="shared" si="741"/>
        <v>0</v>
      </c>
      <c r="AG4837" s="14">
        <v>0</v>
      </c>
      <c r="AH4837" s="65">
        <f t="shared" si="734"/>
        <v>0</v>
      </c>
      <c r="AI4837" s="47"/>
      <c r="AJ4837" s="126" t="e">
        <v>#N/A</v>
      </c>
      <c r="AK4837" s="80">
        <f t="shared" si="738"/>
        <v>0</v>
      </c>
      <c r="AM4837" s="85"/>
    </row>
    <row r="4838" spans="1:39" hidden="1" x14ac:dyDescent="0.3">
      <c r="A4838" s="89" t="s">
        <v>3582</v>
      </c>
      <c r="B4838" s="86" t="s">
        <v>35</v>
      </c>
      <c r="C4838" s="86" t="s">
        <v>144</v>
      </c>
      <c r="D4838" s="86" t="s">
        <v>145</v>
      </c>
      <c r="E4838" s="86" t="s">
        <v>3068</v>
      </c>
      <c r="F4838" s="86" t="s">
        <v>3068</v>
      </c>
      <c r="G4838" s="86" t="s">
        <v>3068</v>
      </c>
      <c r="H4838" s="143">
        <v>22</v>
      </c>
      <c r="I4838" s="86" t="s">
        <v>2935</v>
      </c>
      <c r="J4838" s="1" t="s">
        <v>3302</v>
      </c>
      <c r="K4838" s="1" t="s">
        <v>3371</v>
      </c>
      <c r="L4838" s="1" t="s">
        <v>35</v>
      </c>
      <c r="M4838" s="86" t="s">
        <v>3068</v>
      </c>
      <c r="N4838" s="86"/>
      <c r="O4838" s="47" t="s">
        <v>410</v>
      </c>
      <c r="P4838" s="47" t="s">
        <v>41</v>
      </c>
      <c r="Q4838" s="14">
        <v>0</v>
      </c>
      <c r="R4838" s="143">
        <v>85162</v>
      </c>
      <c r="S4838" s="47"/>
      <c r="T4838" s="6">
        <v>18.449999999999818</v>
      </c>
      <c r="U4838" s="6"/>
      <c r="V4838" s="6">
        <v>0</v>
      </c>
      <c r="W4838" s="6">
        <f t="shared" si="732"/>
        <v>18.449999999999818</v>
      </c>
      <c r="X4838" s="6">
        <f t="shared" si="735"/>
        <v>0</v>
      </c>
      <c r="Y4838" s="13">
        <f t="shared" si="736"/>
        <v>0</v>
      </c>
      <c r="Z4838" s="14">
        <v>0</v>
      </c>
      <c r="AA4838" s="6">
        <v>0</v>
      </c>
      <c r="AB4838" s="4">
        <f t="shared" si="737"/>
        <v>0</v>
      </c>
      <c r="AC4838" s="4">
        <f t="shared" si="740"/>
        <v>0</v>
      </c>
      <c r="AD4838" s="6">
        <f t="shared" si="733"/>
        <v>0</v>
      </c>
      <c r="AE4838" s="2">
        <f>VLOOKUP(I4838,[1]媒体政策预估表!A:N,MATCH(O4838,[1]媒体政策预估表!$A$2:$M$2,0),0)</f>
        <v>0.09</v>
      </c>
      <c r="AF4838" s="6">
        <f t="shared" si="741"/>
        <v>0</v>
      </c>
      <c r="AG4838" s="14">
        <v>0</v>
      </c>
      <c r="AH4838" s="65">
        <f t="shared" si="734"/>
        <v>0</v>
      </c>
      <c r="AI4838" s="47"/>
      <c r="AJ4838" s="126" t="e">
        <v>#N/A</v>
      </c>
      <c r="AK4838" s="80">
        <f t="shared" si="738"/>
        <v>0</v>
      </c>
      <c r="AM4838" s="85"/>
    </row>
    <row r="4839" spans="1:39" hidden="1" x14ac:dyDescent="0.3">
      <c r="A4839" s="89" t="s">
        <v>3397</v>
      </c>
      <c r="B4839" s="86" t="s">
        <v>35</v>
      </c>
      <c r="C4839" s="86" t="s">
        <v>59</v>
      </c>
      <c r="D4839" s="86" t="s">
        <v>60</v>
      </c>
      <c r="E4839" s="86" t="s">
        <v>3073</v>
      </c>
      <c r="F4839" s="86" t="s">
        <v>3074</v>
      </c>
      <c r="G4839" s="86" t="s">
        <v>3073</v>
      </c>
      <c r="H4839" s="143">
        <v>22</v>
      </c>
      <c r="I4839" s="86" t="s">
        <v>2935</v>
      </c>
      <c r="J4839" s="1" t="s">
        <v>3302</v>
      </c>
      <c r="K4839" s="1" t="s">
        <v>3371</v>
      </c>
      <c r="L4839" s="1" t="s">
        <v>35</v>
      </c>
      <c r="M4839" s="86" t="s">
        <v>3075</v>
      </c>
      <c r="N4839" s="86"/>
      <c r="O4839" s="47" t="s">
        <v>410</v>
      </c>
      <c r="P4839" s="47" t="s">
        <v>75</v>
      </c>
      <c r="Q4839" s="14">
        <v>0.02</v>
      </c>
      <c r="R4839" s="143">
        <v>8757</v>
      </c>
      <c r="S4839" s="47"/>
      <c r="T4839" s="6">
        <v>55769.140000000007</v>
      </c>
      <c r="U4839" s="6"/>
      <c r="V4839" s="6">
        <v>0</v>
      </c>
      <c r="W4839" s="6">
        <f t="shared" si="732"/>
        <v>55769.140000000007</v>
      </c>
      <c r="X4839" s="6">
        <f t="shared" si="735"/>
        <v>0</v>
      </c>
      <c r="Y4839" s="13">
        <f t="shared" si="736"/>
        <v>0</v>
      </c>
      <c r="Z4839" s="14">
        <v>0</v>
      </c>
      <c r="AA4839" s="6">
        <v>0</v>
      </c>
      <c r="AB4839" s="4">
        <f t="shared" si="737"/>
        <v>0</v>
      </c>
      <c r="AC4839" s="4">
        <f t="shared" si="740"/>
        <v>0</v>
      </c>
      <c r="AD4839" s="6">
        <f t="shared" si="733"/>
        <v>0</v>
      </c>
      <c r="AE4839" s="2">
        <f>VLOOKUP(I4839,[1]媒体政策预估表!A:N,MATCH(O4839,[1]媒体政策预估表!$A$2:$M$2,0),0)</f>
        <v>0.09</v>
      </c>
      <c r="AF4839" s="6">
        <f t="shared" si="741"/>
        <v>0</v>
      </c>
      <c r="AG4839" s="14">
        <v>0</v>
      </c>
      <c r="AH4839" s="65">
        <f t="shared" si="734"/>
        <v>0</v>
      </c>
      <c r="AI4839" s="47"/>
      <c r="AJ4839" s="126" t="e">
        <v>#N/A</v>
      </c>
      <c r="AK4839" s="80">
        <f t="shared" si="738"/>
        <v>0</v>
      </c>
      <c r="AM4839" s="85"/>
    </row>
    <row r="4840" spans="1:39" hidden="1" x14ac:dyDescent="0.3">
      <c r="A4840" s="89" t="s">
        <v>3583</v>
      </c>
      <c r="B4840" s="86" t="s">
        <v>35</v>
      </c>
      <c r="C4840" s="86" t="s">
        <v>36</v>
      </c>
      <c r="D4840" s="86" t="s">
        <v>54</v>
      </c>
      <c r="E4840" s="86" t="s">
        <v>2957</v>
      </c>
      <c r="F4840" s="86" t="s">
        <v>2957</v>
      </c>
      <c r="G4840" s="86" t="s">
        <v>2957</v>
      </c>
      <c r="H4840" s="143">
        <v>22</v>
      </c>
      <c r="I4840" s="86" t="s">
        <v>2935</v>
      </c>
      <c r="J4840" s="1" t="s">
        <v>3302</v>
      </c>
      <c r="K4840" s="1" t="s">
        <v>3371</v>
      </c>
      <c r="L4840" s="1" t="s">
        <v>35</v>
      </c>
      <c r="M4840" s="86" t="s">
        <v>2959</v>
      </c>
      <c r="N4840" s="86"/>
      <c r="O4840" s="47" t="s">
        <v>45</v>
      </c>
      <c r="P4840" s="47" t="s">
        <v>46</v>
      </c>
      <c r="Q4840" s="14">
        <v>0.05</v>
      </c>
      <c r="R4840" s="143">
        <v>110452</v>
      </c>
      <c r="S4840" s="47"/>
      <c r="T4840" s="6">
        <v>-17443.18</v>
      </c>
      <c r="U4840" s="6"/>
      <c r="V4840" s="6">
        <v>0</v>
      </c>
      <c r="W4840" s="6">
        <f t="shared" si="732"/>
        <v>-17443.18</v>
      </c>
      <c r="X4840" s="6">
        <f t="shared" si="735"/>
        <v>0</v>
      </c>
      <c r="Y4840" s="13">
        <f t="shared" si="736"/>
        <v>0</v>
      </c>
      <c r="Z4840" s="14">
        <v>0</v>
      </c>
      <c r="AA4840" s="6">
        <v>0</v>
      </c>
      <c r="AB4840" s="4">
        <f t="shared" si="737"/>
        <v>0</v>
      </c>
      <c r="AC4840" s="4">
        <f t="shared" si="740"/>
        <v>0</v>
      </c>
      <c r="AD4840" s="6">
        <f t="shared" si="733"/>
        <v>0</v>
      </c>
      <c r="AE4840" s="2">
        <f>VLOOKUP(I4840,[1]媒体政策预估表!A:N,MATCH(O4840,[1]媒体政策预估表!$A$2:$M$2,0),0)</f>
        <v>0.18</v>
      </c>
      <c r="AF4840" s="6">
        <f t="shared" si="741"/>
        <v>0</v>
      </c>
      <c r="AG4840" s="14">
        <v>0</v>
      </c>
      <c r="AH4840" s="65">
        <f t="shared" si="734"/>
        <v>0</v>
      </c>
      <c r="AI4840" s="47"/>
      <c r="AJ4840" s="126" t="e">
        <v>#N/A</v>
      </c>
      <c r="AK4840" s="80">
        <f t="shared" si="738"/>
        <v>0</v>
      </c>
      <c r="AM4840" s="85"/>
    </row>
    <row r="4841" spans="1:39" hidden="1" x14ac:dyDescent="0.3">
      <c r="A4841" s="89" t="s">
        <v>3582</v>
      </c>
      <c r="B4841" s="86" t="s">
        <v>35</v>
      </c>
      <c r="C4841" s="86" t="s">
        <v>36</v>
      </c>
      <c r="D4841" s="86" t="s">
        <v>54</v>
      </c>
      <c r="E4841" s="86" t="s">
        <v>2957</v>
      </c>
      <c r="F4841" s="86" t="s">
        <v>2957</v>
      </c>
      <c r="G4841" s="86" t="s">
        <v>2957</v>
      </c>
      <c r="H4841" s="144">
        <v>22</v>
      </c>
      <c r="I4841" s="86" t="s">
        <v>2935</v>
      </c>
      <c r="J4841" s="1" t="s">
        <v>3302</v>
      </c>
      <c r="K4841" s="1" t="s">
        <v>3371</v>
      </c>
      <c r="L4841" s="1" t="s">
        <v>35</v>
      </c>
      <c r="M4841" s="86" t="s">
        <v>2957</v>
      </c>
      <c r="N4841" s="86"/>
      <c r="O4841" s="47" t="s">
        <v>45</v>
      </c>
      <c r="P4841" s="47" t="s">
        <v>46</v>
      </c>
      <c r="Q4841" s="14">
        <v>0.08</v>
      </c>
      <c r="R4841" s="143">
        <v>108552</v>
      </c>
      <c r="S4841" s="47"/>
      <c r="T4841" s="6">
        <v>-934564.75000000012</v>
      </c>
      <c r="U4841" s="6"/>
      <c r="V4841" s="6">
        <v>16994.900000000001</v>
      </c>
      <c r="W4841" s="6">
        <f t="shared" si="732"/>
        <v>-951559.65000000014</v>
      </c>
      <c r="X4841" s="6">
        <f t="shared" si="735"/>
        <v>15736.018518518518</v>
      </c>
      <c r="Y4841" s="13">
        <f t="shared" si="736"/>
        <v>0</v>
      </c>
      <c r="Z4841" s="14">
        <v>0</v>
      </c>
      <c r="AA4841" s="6">
        <v>0</v>
      </c>
      <c r="AB4841" s="4">
        <f t="shared" si="737"/>
        <v>15736.018518518518</v>
      </c>
      <c r="AC4841" s="4">
        <f t="shared" si="740"/>
        <v>1258.8814814814832</v>
      </c>
      <c r="AD4841" s="6">
        <f t="shared" si="733"/>
        <v>16994.900000000001</v>
      </c>
      <c r="AE4841" s="2">
        <f>VLOOKUP(I4841,[1]媒体政策预估表!A:N,MATCH(O4841,[1]媒体政策预估表!$A$2:$M$2,0),0)</f>
        <v>0.18</v>
      </c>
      <c r="AF4841" s="6">
        <f t="shared" si="741"/>
        <v>3059.0820000000003</v>
      </c>
      <c r="AG4841" s="14">
        <v>0</v>
      </c>
      <c r="AH4841" s="65">
        <f t="shared" si="734"/>
        <v>16994.900000000001</v>
      </c>
      <c r="AI4841" s="47"/>
      <c r="AJ4841" s="126" t="e">
        <v>#N/A</v>
      </c>
      <c r="AK4841" s="80">
        <f t="shared" si="738"/>
        <v>0</v>
      </c>
      <c r="AM4841" s="85"/>
    </row>
    <row r="4842" spans="1:39" hidden="1" x14ac:dyDescent="0.3">
      <c r="A4842" s="89" t="s">
        <v>3397</v>
      </c>
      <c r="B4842" s="86" t="s">
        <v>35</v>
      </c>
      <c r="C4842" s="86" t="s">
        <v>47</v>
      </c>
      <c r="D4842" s="86" t="s">
        <v>48</v>
      </c>
      <c r="E4842" s="86" t="s">
        <v>3077</v>
      </c>
      <c r="F4842" s="86" t="s">
        <v>3077</v>
      </c>
      <c r="G4842" s="86" t="s">
        <v>3077</v>
      </c>
      <c r="H4842" s="143">
        <v>22</v>
      </c>
      <c r="I4842" s="86" t="s">
        <v>2935</v>
      </c>
      <c r="J4842" s="1" t="s">
        <v>3302</v>
      </c>
      <c r="K4842" s="1" t="s">
        <v>3371</v>
      </c>
      <c r="L4842" s="1" t="s">
        <v>35</v>
      </c>
      <c r="M4842" s="86" t="s">
        <v>3077</v>
      </c>
      <c r="N4842" s="86"/>
      <c r="O4842" s="47" t="s">
        <v>410</v>
      </c>
      <c r="P4842" s="47" t="s">
        <v>41</v>
      </c>
      <c r="Q4842" s="14">
        <v>0</v>
      </c>
      <c r="R4842" s="143">
        <v>169952</v>
      </c>
      <c r="S4842" s="47"/>
      <c r="T4842" s="6">
        <v>23558.670000000006</v>
      </c>
      <c r="U4842" s="6"/>
      <c r="V4842" s="6">
        <v>0</v>
      </c>
      <c r="W4842" s="6">
        <f t="shared" si="732"/>
        <v>23558.670000000006</v>
      </c>
      <c r="X4842" s="6">
        <f t="shared" si="735"/>
        <v>0</v>
      </c>
      <c r="Y4842" s="13">
        <f t="shared" si="736"/>
        <v>0</v>
      </c>
      <c r="Z4842" s="14">
        <v>0</v>
      </c>
      <c r="AA4842" s="6">
        <v>0</v>
      </c>
      <c r="AB4842" s="4">
        <f t="shared" si="737"/>
        <v>0</v>
      </c>
      <c r="AC4842" s="4">
        <f t="shared" si="740"/>
        <v>0</v>
      </c>
      <c r="AD4842" s="6">
        <f t="shared" si="733"/>
        <v>0</v>
      </c>
      <c r="AE4842" s="2">
        <f>VLOOKUP(I4842,[1]媒体政策预估表!A:N,MATCH(O4842,[1]媒体政策预估表!$A$2:$M$2,0),0)</f>
        <v>0.09</v>
      </c>
      <c r="AF4842" s="6">
        <f t="shared" si="741"/>
        <v>0</v>
      </c>
      <c r="AG4842" s="14">
        <v>0</v>
      </c>
      <c r="AH4842" s="65">
        <f t="shared" si="734"/>
        <v>0</v>
      </c>
      <c r="AI4842" s="47"/>
      <c r="AJ4842" s="126" t="e">
        <v>#N/A</v>
      </c>
      <c r="AK4842" s="80">
        <f t="shared" si="738"/>
        <v>0</v>
      </c>
      <c r="AM4842" s="85"/>
    </row>
    <row r="4843" spans="1:39" hidden="1" x14ac:dyDescent="0.3">
      <c r="A4843" s="89" t="s">
        <v>3397</v>
      </c>
      <c r="B4843" s="86" t="s">
        <v>35</v>
      </c>
      <c r="C4843" s="86" t="s">
        <v>3078</v>
      </c>
      <c r="D4843" s="86" t="s">
        <v>3079</v>
      </c>
      <c r="E4843" s="86" t="s">
        <v>3080</v>
      </c>
      <c r="F4843" s="86" t="s">
        <v>3081</v>
      </c>
      <c r="G4843" s="86" t="s">
        <v>3080</v>
      </c>
      <c r="H4843" s="143">
        <v>22</v>
      </c>
      <c r="I4843" s="86" t="s">
        <v>2935</v>
      </c>
      <c r="J4843" s="1" t="s">
        <v>3302</v>
      </c>
      <c r="K4843" s="1" t="s">
        <v>3371</v>
      </c>
      <c r="L4843" s="1" t="s">
        <v>35</v>
      </c>
      <c r="M4843" s="86" t="s">
        <v>3082</v>
      </c>
      <c r="N4843" s="86"/>
      <c r="O4843" s="47" t="s">
        <v>410</v>
      </c>
      <c r="P4843" s="47" t="s">
        <v>46</v>
      </c>
      <c r="Q4843" s="14">
        <v>0.05</v>
      </c>
      <c r="R4843" s="143">
        <v>6815</v>
      </c>
      <c r="S4843" s="47"/>
      <c r="T4843" s="6">
        <v>427.65</v>
      </c>
      <c r="U4843" s="6"/>
      <c r="V4843" s="6">
        <v>0</v>
      </c>
      <c r="W4843" s="6">
        <f t="shared" si="732"/>
        <v>427.65</v>
      </c>
      <c r="X4843" s="6">
        <f t="shared" si="735"/>
        <v>0</v>
      </c>
      <c r="Y4843" s="13">
        <f t="shared" si="736"/>
        <v>0</v>
      </c>
      <c r="Z4843" s="14">
        <v>0</v>
      </c>
      <c r="AA4843" s="6">
        <v>0</v>
      </c>
      <c r="AB4843" s="4">
        <f t="shared" si="737"/>
        <v>0</v>
      </c>
      <c r="AC4843" s="4">
        <f t="shared" si="740"/>
        <v>0</v>
      </c>
      <c r="AD4843" s="6">
        <f t="shared" si="733"/>
        <v>0</v>
      </c>
      <c r="AE4843" s="2">
        <f>VLOOKUP(I4843,[1]媒体政策预估表!A:N,MATCH(O4843,[1]媒体政策预估表!$A$2:$M$2,0),0)</f>
        <v>0.09</v>
      </c>
      <c r="AF4843" s="6">
        <f t="shared" si="741"/>
        <v>0</v>
      </c>
      <c r="AG4843" s="14">
        <v>0</v>
      </c>
      <c r="AH4843" s="65">
        <f t="shared" si="734"/>
        <v>0</v>
      </c>
      <c r="AI4843" s="47"/>
      <c r="AJ4843" s="126" t="e">
        <v>#N/A</v>
      </c>
      <c r="AK4843" s="80">
        <f t="shared" si="738"/>
        <v>0</v>
      </c>
      <c r="AM4843" s="85"/>
    </row>
    <row r="4844" spans="1:39" hidden="1" x14ac:dyDescent="0.3">
      <c r="A4844" s="89" t="s">
        <v>3397</v>
      </c>
      <c r="B4844" s="86" t="s">
        <v>35</v>
      </c>
      <c r="C4844" s="86" t="s">
        <v>59</v>
      </c>
      <c r="D4844" s="86" t="s">
        <v>60</v>
      </c>
      <c r="E4844" s="86" t="s">
        <v>891</v>
      </c>
      <c r="F4844" s="86" t="s">
        <v>3083</v>
      </c>
      <c r="G4844" s="86" t="s">
        <v>891</v>
      </c>
      <c r="H4844" s="143">
        <v>22</v>
      </c>
      <c r="I4844" s="86" t="s">
        <v>2935</v>
      </c>
      <c r="J4844" s="1" t="s">
        <v>3302</v>
      </c>
      <c r="K4844" s="1" t="s">
        <v>3371</v>
      </c>
      <c r="L4844" s="1" t="s">
        <v>35</v>
      </c>
      <c r="M4844" s="86" t="s">
        <v>3084</v>
      </c>
      <c r="N4844" s="86"/>
      <c r="O4844" s="47" t="s">
        <v>410</v>
      </c>
      <c r="P4844" s="47" t="s">
        <v>46</v>
      </c>
      <c r="Q4844" s="14">
        <v>0.02</v>
      </c>
      <c r="R4844" s="143">
        <v>3316</v>
      </c>
      <c r="S4844" s="47"/>
      <c r="T4844" s="6">
        <v>25000</v>
      </c>
      <c r="U4844" s="6"/>
      <c r="V4844" s="6">
        <v>0</v>
      </c>
      <c r="W4844" s="6">
        <f t="shared" si="732"/>
        <v>25000</v>
      </c>
      <c r="X4844" s="6">
        <f t="shared" si="735"/>
        <v>0</v>
      </c>
      <c r="Y4844" s="13">
        <f t="shared" si="736"/>
        <v>0</v>
      </c>
      <c r="Z4844" s="14">
        <v>0</v>
      </c>
      <c r="AA4844" s="6">
        <v>0</v>
      </c>
      <c r="AB4844" s="4">
        <f t="shared" si="737"/>
        <v>0</v>
      </c>
      <c r="AC4844" s="4">
        <f t="shared" si="740"/>
        <v>0</v>
      </c>
      <c r="AD4844" s="6">
        <f t="shared" si="733"/>
        <v>0</v>
      </c>
      <c r="AE4844" s="2">
        <f>VLOOKUP(I4844,[1]媒体政策预估表!A:N,MATCH(O4844,[1]媒体政策预估表!$A$2:$M$2,0),0)</f>
        <v>0.09</v>
      </c>
      <c r="AF4844" s="6">
        <f t="shared" si="741"/>
        <v>0</v>
      </c>
      <c r="AG4844" s="14">
        <v>0</v>
      </c>
      <c r="AH4844" s="65">
        <f t="shared" si="734"/>
        <v>0</v>
      </c>
      <c r="AI4844" s="47"/>
      <c r="AJ4844" s="126" t="e">
        <v>#N/A</v>
      </c>
      <c r="AK4844" s="80">
        <f t="shared" si="738"/>
        <v>0</v>
      </c>
      <c r="AM4844" s="85"/>
    </row>
    <row r="4845" spans="1:39" hidden="1" x14ac:dyDescent="0.3">
      <c r="A4845" s="89" t="s">
        <v>3397</v>
      </c>
      <c r="B4845" s="86" t="s">
        <v>35</v>
      </c>
      <c r="C4845" s="86" t="s">
        <v>59</v>
      </c>
      <c r="D4845" s="86" t="s">
        <v>60</v>
      </c>
      <c r="E4845" s="86" t="s">
        <v>891</v>
      </c>
      <c r="F4845" s="86" t="s">
        <v>3085</v>
      </c>
      <c r="G4845" s="86" t="s">
        <v>891</v>
      </c>
      <c r="H4845" s="143">
        <v>22</v>
      </c>
      <c r="I4845" s="86" t="s">
        <v>2935</v>
      </c>
      <c r="J4845" s="1" t="s">
        <v>3302</v>
      </c>
      <c r="K4845" s="1" t="s">
        <v>3371</v>
      </c>
      <c r="L4845" s="1" t="s">
        <v>35</v>
      </c>
      <c r="M4845" s="86" t="s">
        <v>3084</v>
      </c>
      <c r="N4845" s="86"/>
      <c r="O4845" s="47" t="s">
        <v>410</v>
      </c>
      <c r="P4845" s="47" t="s">
        <v>46</v>
      </c>
      <c r="Q4845" s="14">
        <v>7.0000000000000007E-2</v>
      </c>
      <c r="R4845" s="143">
        <v>3316</v>
      </c>
      <c r="S4845" s="47"/>
      <c r="T4845" s="6">
        <v>9500</v>
      </c>
      <c r="U4845" s="6"/>
      <c r="V4845" s="6">
        <v>0</v>
      </c>
      <c r="W4845" s="6">
        <f t="shared" si="732"/>
        <v>9500</v>
      </c>
      <c r="X4845" s="6">
        <f t="shared" si="735"/>
        <v>0</v>
      </c>
      <c r="Y4845" s="13">
        <f t="shared" si="736"/>
        <v>0</v>
      </c>
      <c r="Z4845" s="14">
        <v>0</v>
      </c>
      <c r="AA4845" s="6">
        <v>0</v>
      </c>
      <c r="AB4845" s="4">
        <f t="shared" si="737"/>
        <v>0</v>
      </c>
      <c r="AC4845" s="4">
        <f t="shared" si="740"/>
        <v>0</v>
      </c>
      <c r="AD4845" s="6">
        <f t="shared" si="733"/>
        <v>0</v>
      </c>
      <c r="AE4845" s="2">
        <f>VLOOKUP(I4845,[1]媒体政策预估表!A:N,MATCH(O4845,[1]媒体政策预估表!$A$2:$M$2,0),0)</f>
        <v>0.09</v>
      </c>
      <c r="AF4845" s="6">
        <f t="shared" si="741"/>
        <v>0</v>
      </c>
      <c r="AG4845" s="14">
        <v>0</v>
      </c>
      <c r="AH4845" s="65">
        <f t="shared" si="734"/>
        <v>0</v>
      </c>
      <c r="AI4845" s="47"/>
      <c r="AJ4845" s="126" t="e">
        <v>#N/A</v>
      </c>
      <c r="AK4845" s="80">
        <f t="shared" si="738"/>
        <v>0</v>
      </c>
      <c r="AM4845" s="85"/>
    </row>
    <row r="4846" spans="1:39" hidden="1" x14ac:dyDescent="0.3">
      <c r="A4846" s="89" t="s">
        <v>3582</v>
      </c>
      <c r="B4846" s="86" t="s">
        <v>35</v>
      </c>
      <c r="C4846" s="86" t="s">
        <v>59</v>
      </c>
      <c r="D4846" s="86" t="s">
        <v>60</v>
      </c>
      <c r="E4846" s="86" t="s">
        <v>3086</v>
      </c>
      <c r="F4846" s="86" t="s">
        <v>3086</v>
      </c>
      <c r="G4846" s="86" t="s">
        <v>3086</v>
      </c>
      <c r="H4846" s="143">
        <v>22</v>
      </c>
      <c r="I4846" s="86" t="s">
        <v>2935</v>
      </c>
      <c r="J4846" s="1" t="s">
        <v>3302</v>
      </c>
      <c r="K4846" s="1" t="s">
        <v>3371</v>
      </c>
      <c r="L4846" s="1" t="s">
        <v>35</v>
      </c>
      <c r="M4846" s="86" t="s">
        <v>3087</v>
      </c>
      <c r="N4846" s="86"/>
      <c r="O4846" s="47" t="s">
        <v>45</v>
      </c>
      <c r="P4846" s="47" t="s">
        <v>46</v>
      </c>
      <c r="Q4846" s="14">
        <v>0.02</v>
      </c>
      <c r="R4846" s="143">
        <v>181292</v>
      </c>
      <c r="S4846" s="47"/>
      <c r="T4846" s="6">
        <v>-1143.1799999999998</v>
      </c>
      <c r="U4846" s="6"/>
      <c r="V4846" s="6">
        <v>0</v>
      </c>
      <c r="W4846" s="6">
        <f t="shared" si="732"/>
        <v>-1143.1799999999998</v>
      </c>
      <c r="X4846" s="6">
        <f t="shared" si="735"/>
        <v>0</v>
      </c>
      <c r="Y4846" s="13">
        <f t="shared" si="736"/>
        <v>0</v>
      </c>
      <c r="Z4846" s="14">
        <v>0</v>
      </c>
      <c r="AA4846" s="6">
        <v>0</v>
      </c>
      <c r="AB4846" s="4">
        <f t="shared" si="737"/>
        <v>0</v>
      </c>
      <c r="AC4846" s="4">
        <f t="shared" si="740"/>
        <v>0</v>
      </c>
      <c r="AD4846" s="6">
        <f t="shared" si="733"/>
        <v>0</v>
      </c>
      <c r="AE4846" s="2">
        <f>VLOOKUP(I4846,[1]媒体政策预估表!A:N,MATCH(O4846,[1]媒体政策预估表!$A$2:$M$2,0),0)</f>
        <v>0.18</v>
      </c>
      <c r="AF4846" s="6">
        <f t="shared" si="741"/>
        <v>0</v>
      </c>
      <c r="AG4846" s="14">
        <v>0</v>
      </c>
      <c r="AH4846" s="65">
        <f t="shared" si="734"/>
        <v>0</v>
      </c>
      <c r="AI4846" s="47"/>
      <c r="AJ4846" s="126" t="e">
        <v>#N/A</v>
      </c>
      <c r="AK4846" s="80">
        <f t="shared" si="738"/>
        <v>0</v>
      </c>
      <c r="AM4846" s="85"/>
    </row>
    <row r="4847" spans="1:39" hidden="1" x14ac:dyDescent="0.3">
      <c r="A4847" s="89" t="s">
        <v>3397</v>
      </c>
      <c r="B4847" s="86" t="s">
        <v>35</v>
      </c>
      <c r="C4847" s="86" t="s">
        <v>59</v>
      </c>
      <c r="D4847" s="86" t="s">
        <v>60</v>
      </c>
      <c r="E4847" s="86" t="s">
        <v>3086</v>
      </c>
      <c r="F4847" s="86" t="s">
        <v>3086</v>
      </c>
      <c r="G4847" s="86" t="s">
        <v>3086</v>
      </c>
      <c r="H4847" s="143">
        <v>22</v>
      </c>
      <c r="I4847" s="86" t="s">
        <v>2935</v>
      </c>
      <c r="J4847" s="1" t="s">
        <v>3302</v>
      </c>
      <c r="K4847" s="1" t="s">
        <v>3371</v>
      </c>
      <c r="L4847" s="1" t="s">
        <v>35</v>
      </c>
      <c r="M4847" s="86" t="s">
        <v>3087</v>
      </c>
      <c r="N4847" s="86"/>
      <c r="O4847" s="47" t="s">
        <v>410</v>
      </c>
      <c r="P4847" s="47" t="s">
        <v>46</v>
      </c>
      <c r="Q4847" s="14">
        <v>0.02</v>
      </c>
      <c r="R4847" s="143">
        <v>181292</v>
      </c>
      <c r="S4847" s="47"/>
      <c r="T4847" s="6">
        <v>2808.2299999999996</v>
      </c>
      <c r="U4847" s="6"/>
      <c r="V4847" s="6">
        <v>0</v>
      </c>
      <c r="W4847" s="6">
        <f t="shared" ref="W4847:W4908" si="742">T4847+U4847-V4847</f>
        <v>2808.2299999999996</v>
      </c>
      <c r="X4847" s="6">
        <f t="shared" si="735"/>
        <v>0</v>
      </c>
      <c r="Y4847" s="13">
        <f t="shared" si="736"/>
        <v>0</v>
      </c>
      <c r="Z4847" s="14">
        <v>0</v>
      </c>
      <c r="AA4847" s="6">
        <v>0</v>
      </c>
      <c r="AB4847" s="4">
        <f t="shared" si="737"/>
        <v>0</v>
      </c>
      <c r="AC4847" s="4">
        <f t="shared" si="740"/>
        <v>0</v>
      </c>
      <c r="AD4847" s="6">
        <f t="shared" ref="AD4847:AD4909" si="743">V4847</f>
        <v>0</v>
      </c>
      <c r="AE4847" s="2">
        <f>VLOOKUP(I4847,[1]媒体政策预估表!A:N,MATCH(O4847,[1]媒体政策预估表!$A$2:$M$2,0),0)</f>
        <v>0.09</v>
      </c>
      <c r="AF4847" s="6">
        <f t="shared" si="741"/>
        <v>0</v>
      </c>
      <c r="AG4847" s="14">
        <v>0</v>
      </c>
      <c r="AH4847" s="65">
        <f t="shared" ref="AH4847:AH4909" si="744">AD4847</f>
        <v>0</v>
      </c>
      <c r="AI4847" s="47"/>
      <c r="AJ4847" s="126" t="e">
        <v>#N/A</v>
      </c>
      <c r="AK4847" s="80">
        <f t="shared" si="738"/>
        <v>0</v>
      </c>
      <c r="AM4847" s="85"/>
    </row>
    <row r="4848" spans="1:39" hidden="1" x14ac:dyDescent="0.3">
      <c r="A4848" s="89" t="s">
        <v>3397</v>
      </c>
      <c r="B4848" s="86" t="s">
        <v>35</v>
      </c>
      <c r="C4848" s="86" t="s">
        <v>59</v>
      </c>
      <c r="D4848" s="86" t="s">
        <v>60</v>
      </c>
      <c r="E4848" s="86" t="s">
        <v>774</v>
      </c>
      <c r="F4848" s="86" t="s">
        <v>774</v>
      </c>
      <c r="G4848" s="86" t="s">
        <v>774</v>
      </c>
      <c r="H4848" s="143">
        <v>22</v>
      </c>
      <c r="I4848" s="86" t="s">
        <v>2935</v>
      </c>
      <c r="J4848" s="1" t="s">
        <v>3302</v>
      </c>
      <c r="K4848" s="1" t="s">
        <v>3371</v>
      </c>
      <c r="L4848" s="1" t="s">
        <v>35</v>
      </c>
      <c r="M4848" s="86" t="s">
        <v>3088</v>
      </c>
      <c r="N4848" s="86"/>
      <c r="O4848" s="47" t="s">
        <v>410</v>
      </c>
      <c r="P4848" s="47" t="s">
        <v>46</v>
      </c>
      <c r="Q4848" s="14">
        <v>7.0000000000000007E-2</v>
      </c>
      <c r="R4848" s="143">
        <v>7957</v>
      </c>
      <c r="S4848" s="47"/>
      <c r="T4848" s="6">
        <v>10079.870000000001</v>
      </c>
      <c r="U4848" s="6"/>
      <c r="V4848" s="6">
        <v>0</v>
      </c>
      <c r="W4848" s="6">
        <f t="shared" si="742"/>
        <v>10079.870000000001</v>
      </c>
      <c r="X4848" s="6">
        <f t="shared" si="735"/>
        <v>0</v>
      </c>
      <c r="Y4848" s="13">
        <f t="shared" si="736"/>
        <v>0</v>
      </c>
      <c r="Z4848" s="14">
        <v>0</v>
      </c>
      <c r="AA4848" s="6">
        <v>0</v>
      </c>
      <c r="AB4848" s="4">
        <f t="shared" si="737"/>
        <v>0</v>
      </c>
      <c r="AC4848" s="4">
        <f t="shared" si="740"/>
        <v>0</v>
      </c>
      <c r="AD4848" s="6">
        <f t="shared" si="743"/>
        <v>0</v>
      </c>
      <c r="AE4848" s="2">
        <f>VLOOKUP(I4848,[1]媒体政策预估表!A:N,MATCH(O4848,[1]媒体政策预估表!$A$2:$M$2,0),0)</f>
        <v>0.09</v>
      </c>
      <c r="AF4848" s="6">
        <f t="shared" si="741"/>
        <v>0</v>
      </c>
      <c r="AG4848" s="14">
        <v>0</v>
      </c>
      <c r="AH4848" s="65">
        <f t="shared" si="744"/>
        <v>0</v>
      </c>
      <c r="AI4848" s="47"/>
      <c r="AJ4848" s="126" t="e">
        <v>#N/A</v>
      </c>
      <c r="AK4848" s="80">
        <f t="shared" si="738"/>
        <v>0</v>
      </c>
      <c r="AM4848" s="85"/>
    </row>
    <row r="4849" spans="1:39" hidden="1" x14ac:dyDescent="0.3">
      <c r="A4849" s="89" t="s">
        <v>3582</v>
      </c>
      <c r="B4849" s="86" t="s">
        <v>35</v>
      </c>
      <c r="C4849" s="86" t="s">
        <v>59</v>
      </c>
      <c r="D4849" s="86" t="s">
        <v>60</v>
      </c>
      <c r="E4849" s="86" t="s">
        <v>3040</v>
      </c>
      <c r="F4849" s="86" t="s">
        <v>3040</v>
      </c>
      <c r="G4849" s="86" t="s">
        <v>3040</v>
      </c>
      <c r="H4849" s="144">
        <v>22</v>
      </c>
      <c r="I4849" s="86" t="s">
        <v>2935</v>
      </c>
      <c r="J4849" s="1" t="s">
        <v>3302</v>
      </c>
      <c r="K4849" s="1" t="s">
        <v>3371</v>
      </c>
      <c r="L4849" s="1" t="s">
        <v>35</v>
      </c>
      <c r="M4849" s="86" t="s">
        <v>3040</v>
      </c>
      <c r="N4849" s="86"/>
      <c r="O4849" s="47" t="s">
        <v>45</v>
      </c>
      <c r="P4849" s="47" t="s">
        <v>41</v>
      </c>
      <c r="Q4849" s="14">
        <v>0</v>
      </c>
      <c r="R4849" s="143">
        <v>150932</v>
      </c>
      <c r="S4849" s="47"/>
      <c r="T4849" s="6">
        <v>-39902.44</v>
      </c>
      <c r="U4849" s="6"/>
      <c r="V4849" s="6">
        <v>2920</v>
      </c>
      <c r="W4849" s="6">
        <f t="shared" si="742"/>
        <v>-42822.44</v>
      </c>
      <c r="X4849" s="6">
        <f t="shared" si="735"/>
        <v>2920</v>
      </c>
      <c r="Y4849" s="13">
        <f t="shared" si="736"/>
        <v>0</v>
      </c>
      <c r="Z4849" s="14">
        <v>0</v>
      </c>
      <c r="AA4849" s="6">
        <v>0</v>
      </c>
      <c r="AB4849" s="4">
        <f t="shared" si="737"/>
        <v>2920</v>
      </c>
      <c r="AC4849" s="4">
        <f t="shared" si="740"/>
        <v>0</v>
      </c>
      <c r="AD4849" s="6">
        <f t="shared" si="743"/>
        <v>2920</v>
      </c>
      <c r="AE4849" s="2">
        <f>VLOOKUP(I4849,[1]媒体政策预估表!A:N,MATCH(O4849,[1]媒体政策预估表!$A$2:$M$2,0),0)</f>
        <v>0.18</v>
      </c>
      <c r="AF4849" s="6">
        <f t="shared" si="741"/>
        <v>525.6</v>
      </c>
      <c r="AG4849" s="14">
        <v>0</v>
      </c>
      <c r="AH4849" s="65">
        <f t="shared" si="744"/>
        <v>2920</v>
      </c>
      <c r="AI4849" s="47"/>
      <c r="AJ4849" s="126" t="e">
        <v>#N/A</v>
      </c>
      <c r="AK4849" s="80">
        <f t="shared" si="738"/>
        <v>0</v>
      </c>
      <c r="AM4849" s="85"/>
    </row>
    <row r="4850" spans="1:39" hidden="1" x14ac:dyDescent="0.3">
      <c r="A4850" s="89" t="s">
        <v>3397</v>
      </c>
      <c r="B4850" s="86" t="s">
        <v>35</v>
      </c>
      <c r="C4850" s="86" t="s">
        <v>184</v>
      </c>
      <c r="D4850" s="86" t="s">
        <v>185</v>
      </c>
      <c r="E4850" s="86" t="s">
        <v>3089</v>
      </c>
      <c r="F4850" s="86" t="s">
        <v>3089</v>
      </c>
      <c r="G4850" s="86" t="s">
        <v>3089</v>
      </c>
      <c r="H4850" s="143">
        <v>22</v>
      </c>
      <c r="I4850" s="86" t="s">
        <v>2935</v>
      </c>
      <c r="J4850" s="1" t="s">
        <v>3302</v>
      </c>
      <c r="K4850" s="1" t="s">
        <v>3371</v>
      </c>
      <c r="L4850" s="1" t="s">
        <v>35</v>
      </c>
      <c r="M4850" s="86" t="s">
        <v>3089</v>
      </c>
      <c r="N4850" s="86"/>
      <c r="O4850" s="47" t="s">
        <v>410</v>
      </c>
      <c r="P4850" s="47" t="s">
        <v>41</v>
      </c>
      <c r="Q4850" s="14">
        <v>0</v>
      </c>
      <c r="R4850" s="143">
        <v>90462</v>
      </c>
      <c r="S4850" s="47"/>
      <c r="T4850" s="6">
        <v>27897.68</v>
      </c>
      <c r="U4850" s="6"/>
      <c r="V4850" s="6">
        <v>0</v>
      </c>
      <c r="W4850" s="6">
        <f t="shared" si="742"/>
        <v>27897.68</v>
      </c>
      <c r="X4850" s="6">
        <f t="shared" si="735"/>
        <v>0</v>
      </c>
      <c r="Y4850" s="13">
        <f t="shared" si="736"/>
        <v>0</v>
      </c>
      <c r="Z4850" s="14">
        <v>0</v>
      </c>
      <c r="AA4850" s="6">
        <v>0</v>
      </c>
      <c r="AB4850" s="4">
        <f t="shared" si="737"/>
        <v>0</v>
      </c>
      <c r="AC4850" s="4">
        <f t="shared" si="740"/>
        <v>0</v>
      </c>
      <c r="AD4850" s="6">
        <f t="shared" si="743"/>
        <v>0</v>
      </c>
      <c r="AE4850" s="2">
        <f>VLOOKUP(I4850,[1]媒体政策预估表!A:N,MATCH(O4850,[1]媒体政策预估表!$A$2:$M$2,0),0)</f>
        <v>0.09</v>
      </c>
      <c r="AF4850" s="6">
        <f t="shared" si="741"/>
        <v>0</v>
      </c>
      <c r="AG4850" s="14">
        <v>0</v>
      </c>
      <c r="AH4850" s="65">
        <f t="shared" si="744"/>
        <v>0</v>
      </c>
      <c r="AI4850" s="47"/>
      <c r="AJ4850" s="126" t="e">
        <v>#N/A</v>
      </c>
      <c r="AK4850" s="80">
        <f t="shared" si="738"/>
        <v>0</v>
      </c>
      <c r="AM4850" s="85"/>
    </row>
    <row r="4851" spans="1:39" hidden="1" x14ac:dyDescent="0.3">
      <c r="A4851" s="89" t="s">
        <v>3582</v>
      </c>
      <c r="B4851" s="86" t="s">
        <v>35</v>
      </c>
      <c r="C4851" s="86" t="s">
        <v>144</v>
      </c>
      <c r="D4851" s="86" t="s">
        <v>145</v>
      </c>
      <c r="E4851" s="86" t="s">
        <v>805</v>
      </c>
      <c r="F4851" s="86" t="s">
        <v>805</v>
      </c>
      <c r="G4851" s="86" t="s">
        <v>805</v>
      </c>
      <c r="H4851" s="143">
        <v>22</v>
      </c>
      <c r="I4851" s="86" t="s">
        <v>2935</v>
      </c>
      <c r="J4851" s="1" t="s">
        <v>3302</v>
      </c>
      <c r="K4851" s="1" t="s">
        <v>3371</v>
      </c>
      <c r="L4851" s="1" t="s">
        <v>35</v>
      </c>
      <c r="M4851" s="86" t="s">
        <v>3090</v>
      </c>
      <c r="N4851" s="86"/>
      <c r="O4851" s="47" t="s">
        <v>410</v>
      </c>
      <c r="P4851" s="47" t="s">
        <v>46</v>
      </c>
      <c r="Q4851" s="14">
        <v>0.02</v>
      </c>
      <c r="R4851" s="143">
        <v>6486</v>
      </c>
      <c r="S4851" s="47"/>
      <c r="T4851" s="6">
        <v>4006.75</v>
      </c>
      <c r="U4851" s="6"/>
      <c r="V4851" s="6">
        <v>0</v>
      </c>
      <c r="W4851" s="6">
        <f t="shared" si="742"/>
        <v>4006.75</v>
      </c>
      <c r="X4851" s="6">
        <f t="shared" si="735"/>
        <v>0</v>
      </c>
      <c r="Y4851" s="13">
        <f t="shared" si="736"/>
        <v>0</v>
      </c>
      <c r="Z4851" s="14">
        <v>0</v>
      </c>
      <c r="AA4851" s="6">
        <v>0</v>
      </c>
      <c r="AB4851" s="4">
        <f t="shared" si="737"/>
        <v>0</v>
      </c>
      <c r="AC4851" s="4">
        <f t="shared" si="740"/>
        <v>0</v>
      </c>
      <c r="AD4851" s="6">
        <f t="shared" si="743"/>
        <v>0</v>
      </c>
      <c r="AE4851" s="2">
        <f>VLOOKUP(I4851,[1]媒体政策预估表!A:N,MATCH(O4851,[1]媒体政策预估表!$A$2:$M$2,0),0)</f>
        <v>0.09</v>
      </c>
      <c r="AF4851" s="6">
        <f t="shared" si="741"/>
        <v>0</v>
      </c>
      <c r="AG4851" s="14">
        <v>0</v>
      </c>
      <c r="AH4851" s="65">
        <f t="shared" si="744"/>
        <v>0</v>
      </c>
      <c r="AI4851" s="47"/>
      <c r="AJ4851" s="126" t="e">
        <v>#N/A</v>
      </c>
      <c r="AK4851" s="80">
        <f t="shared" si="738"/>
        <v>0</v>
      </c>
      <c r="AM4851" s="85"/>
    </row>
    <row r="4852" spans="1:39" hidden="1" x14ac:dyDescent="0.3">
      <c r="A4852" s="89" t="s">
        <v>3582</v>
      </c>
      <c r="B4852" s="86" t="s">
        <v>35</v>
      </c>
      <c r="C4852" s="86" t="s">
        <v>184</v>
      </c>
      <c r="D4852" s="86" t="s">
        <v>185</v>
      </c>
      <c r="E4852" s="86" t="s">
        <v>3091</v>
      </c>
      <c r="F4852" s="86" t="s">
        <v>3091</v>
      </c>
      <c r="G4852" s="86" t="s">
        <v>3091</v>
      </c>
      <c r="H4852" s="143">
        <v>22</v>
      </c>
      <c r="I4852" s="86" t="s">
        <v>2935</v>
      </c>
      <c r="J4852" s="1" t="s">
        <v>3302</v>
      </c>
      <c r="K4852" s="1" t="s">
        <v>3371</v>
      </c>
      <c r="L4852" s="1" t="s">
        <v>35</v>
      </c>
      <c r="M4852" s="86" t="s">
        <v>3091</v>
      </c>
      <c r="N4852" s="86"/>
      <c r="O4852" s="47" t="s">
        <v>45</v>
      </c>
      <c r="P4852" s="47" t="s">
        <v>46</v>
      </c>
      <c r="Q4852" s="14">
        <v>0.04</v>
      </c>
      <c r="R4852" s="143">
        <v>94602</v>
      </c>
      <c r="S4852" s="47"/>
      <c r="T4852" s="6">
        <v>2238.3000000000002</v>
      </c>
      <c r="U4852" s="6"/>
      <c r="V4852" s="6">
        <v>0</v>
      </c>
      <c r="W4852" s="6">
        <f t="shared" si="742"/>
        <v>2238.3000000000002</v>
      </c>
      <c r="X4852" s="6">
        <f t="shared" si="735"/>
        <v>0</v>
      </c>
      <c r="Y4852" s="13">
        <f t="shared" si="736"/>
        <v>0</v>
      </c>
      <c r="Z4852" s="14">
        <v>0</v>
      </c>
      <c r="AA4852" s="6">
        <v>0</v>
      </c>
      <c r="AB4852" s="4">
        <f t="shared" si="737"/>
        <v>0</v>
      </c>
      <c r="AC4852" s="4">
        <f t="shared" si="740"/>
        <v>0</v>
      </c>
      <c r="AD4852" s="6">
        <f t="shared" si="743"/>
        <v>0</v>
      </c>
      <c r="AE4852" s="2">
        <f>VLOOKUP(I4852,[1]媒体政策预估表!A:N,MATCH(O4852,[1]媒体政策预估表!$A$2:$M$2,0),0)</f>
        <v>0.18</v>
      </c>
      <c r="AF4852" s="6">
        <f t="shared" si="741"/>
        <v>0</v>
      </c>
      <c r="AG4852" s="14">
        <v>0</v>
      </c>
      <c r="AH4852" s="65">
        <f t="shared" si="744"/>
        <v>0</v>
      </c>
      <c r="AI4852" s="47"/>
      <c r="AJ4852" s="126" t="e">
        <v>#N/A</v>
      </c>
      <c r="AK4852" s="80">
        <f t="shared" si="738"/>
        <v>0</v>
      </c>
      <c r="AM4852" s="85"/>
    </row>
    <row r="4853" spans="1:39" hidden="1" x14ac:dyDescent="0.3">
      <c r="A4853" s="89" t="s">
        <v>3582</v>
      </c>
      <c r="B4853" s="86" t="s">
        <v>35</v>
      </c>
      <c r="C4853" s="86" t="s">
        <v>184</v>
      </c>
      <c r="D4853" s="86" t="s">
        <v>185</v>
      </c>
      <c r="E4853" s="86" t="s">
        <v>2113</v>
      </c>
      <c r="F4853" s="86" t="s">
        <v>2113</v>
      </c>
      <c r="G4853" s="86" t="s">
        <v>2113</v>
      </c>
      <c r="H4853" s="143">
        <v>22</v>
      </c>
      <c r="I4853" s="86" t="s">
        <v>2935</v>
      </c>
      <c r="J4853" s="1" t="s">
        <v>3302</v>
      </c>
      <c r="K4853" s="1" t="s">
        <v>3371</v>
      </c>
      <c r="L4853" s="1" t="s">
        <v>35</v>
      </c>
      <c r="M4853" s="86" t="s">
        <v>2113</v>
      </c>
      <c r="N4853" s="86"/>
      <c r="O4853" s="47" t="s">
        <v>410</v>
      </c>
      <c r="P4853" s="47" t="s">
        <v>41</v>
      </c>
      <c r="Q4853" s="14">
        <v>0</v>
      </c>
      <c r="R4853" s="143">
        <v>90942</v>
      </c>
      <c r="S4853" s="47"/>
      <c r="T4853" s="6">
        <v>4257.3999999999996</v>
      </c>
      <c r="U4853" s="6"/>
      <c r="V4853" s="6">
        <v>0</v>
      </c>
      <c r="W4853" s="6">
        <f t="shared" si="742"/>
        <v>4257.3999999999996</v>
      </c>
      <c r="X4853" s="6">
        <f t="shared" si="735"/>
        <v>0</v>
      </c>
      <c r="Y4853" s="13">
        <f t="shared" si="736"/>
        <v>0</v>
      </c>
      <c r="Z4853" s="14">
        <v>0</v>
      </c>
      <c r="AA4853" s="6">
        <v>0</v>
      </c>
      <c r="AB4853" s="4">
        <f t="shared" si="737"/>
        <v>0</v>
      </c>
      <c r="AC4853" s="4">
        <f t="shared" si="740"/>
        <v>0</v>
      </c>
      <c r="AD4853" s="6">
        <f t="shared" si="743"/>
        <v>0</v>
      </c>
      <c r="AE4853" s="2">
        <f>VLOOKUP(I4853,[1]媒体政策预估表!A:N,MATCH(O4853,[1]媒体政策预估表!$A$2:$M$2,0),0)</f>
        <v>0.09</v>
      </c>
      <c r="AF4853" s="6">
        <f t="shared" si="741"/>
        <v>0</v>
      </c>
      <c r="AG4853" s="14">
        <v>0</v>
      </c>
      <c r="AH4853" s="65">
        <f t="shared" si="744"/>
        <v>0</v>
      </c>
      <c r="AI4853" s="47"/>
      <c r="AJ4853" s="126" t="e">
        <v>#N/A</v>
      </c>
      <c r="AK4853" s="80">
        <f t="shared" si="738"/>
        <v>0</v>
      </c>
      <c r="AM4853" s="85"/>
    </row>
    <row r="4854" spans="1:39" hidden="1" x14ac:dyDescent="0.3">
      <c r="A4854" s="89" t="s">
        <v>3582</v>
      </c>
      <c r="B4854" s="86" t="s">
        <v>35</v>
      </c>
      <c r="C4854" s="86" t="s">
        <v>164</v>
      </c>
      <c r="D4854" s="86" t="s">
        <v>165</v>
      </c>
      <c r="E4854" s="86" t="s">
        <v>2129</v>
      </c>
      <c r="F4854" s="86" t="s">
        <v>2129</v>
      </c>
      <c r="G4854" s="86" t="s">
        <v>2129</v>
      </c>
      <c r="H4854" s="144">
        <v>22</v>
      </c>
      <c r="I4854" s="86" t="s">
        <v>2935</v>
      </c>
      <c r="J4854" s="1" t="s">
        <v>3302</v>
      </c>
      <c r="K4854" s="1" t="s">
        <v>3371</v>
      </c>
      <c r="L4854" s="1" t="s">
        <v>35</v>
      </c>
      <c r="M4854" s="86" t="s">
        <v>1539</v>
      </c>
      <c r="N4854" s="86"/>
      <c r="O4854" s="47" t="s">
        <v>45</v>
      </c>
      <c r="P4854" s="47" t="s">
        <v>41</v>
      </c>
      <c r="Q4854" s="14">
        <v>0</v>
      </c>
      <c r="R4854" s="143">
        <v>20182</v>
      </c>
      <c r="S4854" s="47"/>
      <c r="T4854" s="6">
        <v>-2332917.0300000003</v>
      </c>
      <c r="U4854" s="6"/>
      <c r="V4854" s="6">
        <v>293456.42000000004</v>
      </c>
      <c r="W4854" s="6">
        <f t="shared" si="742"/>
        <v>-2626373.4500000002</v>
      </c>
      <c r="X4854" s="6">
        <f t="shared" si="735"/>
        <v>293456.42000000004</v>
      </c>
      <c r="Y4854" s="13">
        <f t="shared" si="736"/>
        <v>0</v>
      </c>
      <c r="Z4854" s="14">
        <v>0</v>
      </c>
      <c r="AA4854" s="6">
        <v>0</v>
      </c>
      <c r="AB4854" s="4">
        <f t="shared" si="737"/>
        <v>293456.42000000004</v>
      </c>
      <c r="AC4854" s="4">
        <f t="shared" si="740"/>
        <v>0</v>
      </c>
      <c r="AD4854" s="6">
        <f t="shared" si="743"/>
        <v>293456.42000000004</v>
      </c>
      <c r="AE4854" s="2">
        <f>VLOOKUP(I4854,[1]媒体政策预估表!A:N,MATCH(O4854,[1]媒体政策预估表!$A$2:$M$2,0),0)</f>
        <v>0.18</v>
      </c>
      <c r="AF4854" s="6">
        <f t="shared" si="741"/>
        <v>52822.155600000006</v>
      </c>
      <c r="AG4854" s="14">
        <v>0</v>
      </c>
      <c r="AH4854" s="65">
        <f t="shared" si="744"/>
        <v>293456.42000000004</v>
      </c>
      <c r="AI4854" s="47"/>
      <c r="AJ4854" s="126" t="e">
        <v>#N/A</v>
      </c>
      <c r="AK4854" s="80">
        <f t="shared" si="738"/>
        <v>0</v>
      </c>
      <c r="AM4854" s="85"/>
    </row>
    <row r="4855" spans="1:39" hidden="1" x14ac:dyDescent="0.3">
      <c r="A4855" s="89" t="s">
        <v>3397</v>
      </c>
      <c r="B4855" s="86" t="s">
        <v>35</v>
      </c>
      <c r="C4855" s="86" t="s">
        <v>164</v>
      </c>
      <c r="D4855" s="86" t="s">
        <v>165</v>
      </c>
      <c r="E4855" s="86" t="s">
        <v>2129</v>
      </c>
      <c r="F4855" s="86" t="s">
        <v>2129</v>
      </c>
      <c r="G4855" s="86" t="s">
        <v>2129</v>
      </c>
      <c r="H4855" s="143">
        <v>22</v>
      </c>
      <c r="I4855" s="86" t="s">
        <v>2935</v>
      </c>
      <c r="J4855" s="1" t="s">
        <v>3302</v>
      </c>
      <c r="K4855" s="1" t="s">
        <v>3371</v>
      </c>
      <c r="L4855" s="1" t="s">
        <v>35</v>
      </c>
      <c r="M4855" s="86" t="s">
        <v>2129</v>
      </c>
      <c r="N4855" s="86"/>
      <c r="O4855" s="47" t="s">
        <v>410</v>
      </c>
      <c r="P4855" s="47" t="s">
        <v>46</v>
      </c>
      <c r="Q4855" s="14">
        <v>0.01</v>
      </c>
      <c r="R4855" s="143">
        <v>105642</v>
      </c>
      <c r="S4855" s="47"/>
      <c r="T4855" s="6">
        <v>33802.089999999997</v>
      </c>
      <c r="U4855" s="6"/>
      <c r="V4855" s="6">
        <v>0</v>
      </c>
      <c r="W4855" s="6">
        <f t="shared" si="742"/>
        <v>33802.089999999997</v>
      </c>
      <c r="X4855" s="6">
        <f t="shared" si="735"/>
        <v>0</v>
      </c>
      <c r="Y4855" s="13">
        <f t="shared" si="736"/>
        <v>0</v>
      </c>
      <c r="Z4855" s="14">
        <v>0</v>
      </c>
      <c r="AA4855" s="6">
        <v>0</v>
      </c>
      <c r="AB4855" s="4">
        <f t="shared" si="737"/>
        <v>0</v>
      </c>
      <c r="AC4855" s="4">
        <f t="shared" si="740"/>
        <v>0</v>
      </c>
      <c r="AD4855" s="6">
        <f t="shared" si="743"/>
        <v>0</v>
      </c>
      <c r="AE4855" s="2">
        <f>VLOOKUP(I4855,[1]媒体政策预估表!A:N,MATCH(O4855,[1]媒体政策预估表!$A$2:$M$2,0),0)</f>
        <v>0.09</v>
      </c>
      <c r="AF4855" s="6">
        <f t="shared" si="741"/>
        <v>0</v>
      </c>
      <c r="AG4855" s="14">
        <v>0</v>
      </c>
      <c r="AH4855" s="65">
        <f t="shared" si="744"/>
        <v>0</v>
      </c>
      <c r="AI4855" s="47"/>
      <c r="AJ4855" s="126" t="e">
        <v>#N/A</v>
      </c>
      <c r="AK4855" s="80">
        <f t="shared" si="738"/>
        <v>0</v>
      </c>
      <c r="AM4855" s="85"/>
    </row>
    <row r="4856" spans="1:39" hidden="1" x14ac:dyDescent="0.3">
      <c r="A4856" s="89" t="s">
        <v>3583</v>
      </c>
      <c r="B4856" s="86" t="s">
        <v>35</v>
      </c>
      <c r="C4856" s="86" t="s">
        <v>184</v>
      </c>
      <c r="D4856" s="86" t="s">
        <v>298</v>
      </c>
      <c r="E4856" s="86" t="s">
        <v>831</v>
      </c>
      <c r="F4856" s="86" t="s">
        <v>831</v>
      </c>
      <c r="G4856" s="86" t="s">
        <v>831</v>
      </c>
      <c r="H4856" s="143">
        <v>22</v>
      </c>
      <c r="I4856" s="86" t="s">
        <v>2935</v>
      </c>
      <c r="J4856" s="1" t="s">
        <v>3302</v>
      </c>
      <c r="K4856" s="1" t="s">
        <v>3371</v>
      </c>
      <c r="L4856" s="1" t="s">
        <v>35</v>
      </c>
      <c r="M4856" s="86" t="s">
        <v>3094</v>
      </c>
      <c r="N4856" s="86"/>
      <c r="O4856" s="47" t="s">
        <v>45</v>
      </c>
      <c r="P4856" s="47" t="s">
        <v>46</v>
      </c>
      <c r="Q4856" s="14">
        <v>0.15</v>
      </c>
      <c r="R4856" s="143">
        <v>9039</v>
      </c>
      <c r="S4856" s="47"/>
      <c r="T4856" s="6">
        <v>1153.1199999999999</v>
      </c>
      <c r="U4856" s="6"/>
      <c r="V4856" s="6">
        <v>0</v>
      </c>
      <c r="W4856" s="6">
        <f t="shared" si="742"/>
        <v>1153.1199999999999</v>
      </c>
      <c r="X4856" s="6">
        <f t="shared" si="735"/>
        <v>0</v>
      </c>
      <c r="Y4856" s="13">
        <f t="shared" si="736"/>
        <v>0</v>
      </c>
      <c r="Z4856" s="14">
        <v>0</v>
      </c>
      <c r="AA4856" s="6">
        <v>0</v>
      </c>
      <c r="AB4856" s="4"/>
      <c r="AC4856" s="4">
        <f t="shared" si="740"/>
        <v>0</v>
      </c>
      <c r="AD4856" s="6">
        <f t="shared" si="743"/>
        <v>0</v>
      </c>
      <c r="AE4856" s="2">
        <f>VLOOKUP(I4856,[1]媒体政策预估表!A:N,MATCH(O4856,[1]媒体政策预估表!$A$2:$M$2,0),0)</f>
        <v>0.18</v>
      </c>
      <c r="AF4856" s="6">
        <f t="shared" si="741"/>
        <v>0</v>
      </c>
      <c r="AG4856" s="14">
        <v>0</v>
      </c>
      <c r="AH4856" s="65">
        <f t="shared" si="744"/>
        <v>0</v>
      </c>
      <c r="AI4856" s="47"/>
      <c r="AJ4856" s="126">
        <v>25</v>
      </c>
      <c r="AK4856" s="80">
        <f t="shared" si="738"/>
        <v>0</v>
      </c>
      <c r="AM4856" s="85"/>
    </row>
    <row r="4857" spans="1:39" hidden="1" x14ac:dyDescent="0.3">
      <c r="A4857" s="89" t="s">
        <v>3582</v>
      </c>
      <c r="B4857" s="86" t="s">
        <v>35</v>
      </c>
      <c r="C4857" s="86" t="s">
        <v>184</v>
      </c>
      <c r="D4857" s="86" t="s">
        <v>298</v>
      </c>
      <c r="E4857" s="86" t="s">
        <v>833</v>
      </c>
      <c r="F4857" s="86" t="s">
        <v>833</v>
      </c>
      <c r="G4857" s="86" t="s">
        <v>833</v>
      </c>
      <c r="H4857" s="143">
        <v>22</v>
      </c>
      <c r="I4857" s="86" t="s">
        <v>2935</v>
      </c>
      <c r="J4857" s="1" t="s">
        <v>3302</v>
      </c>
      <c r="K4857" s="1" t="s">
        <v>3371</v>
      </c>
      <c r="L4857" s="1" t="s">
        <v>35</v>
      </c>
      <c r="M4857" s="86" t="s">
        <v>3095</v>
      </c>
      <c r="N4857" s="86"/>
      <c r="O4857" s="47" t="s">
        <v>410</v>
      </c>
      <c r="P4857" s="47" t="s">
        <v>41</v>
      </c>
      <c r="Q4857" s="14">
        <v>0</v>
      </c>
      <c r="R4857" s="143">
        <v>7587</v>
      </c>
      <c r="S4857" s="47"/>
      <c r="T4857" s="6">
        <v>977.7</v>
      </c>
      <c r="U4857" s="6"/>
      <c r="V4857" s="6">
        <v>0</v>
      </c>
      <c r="W4857" s="6">
        <f t="shared" si="742"/>
        <v>977.7</v>
      </c>
      <c r="X4857" s="6">
        <f t="shared" si="735"/>
        <v>0</v>
      </c>
      <c r="Y4857" s="13">
        <f t="shared" si="736"/>
        <v>0</v>
      </c>
      <c r="Z4857" s="14">
        <v>0</v>
      </c>
      <c r="AA4857" s="6">
        <v>0</v>
      </c>
      <c r="AB4857" s="4">
        <f t="shared" si="737"/>
        <v>0</v>
      </c>
      <c r="AC4857" s="4">
        <f t="shared" si="740"/>
        <v>0</v>
      </c>
      <c r="AD4857" s="6">
        <f t="shared" si="743"/>
        <v>0</v>
      </c>
      <c r="AE4857" s="2">
        <f>VLOOKUP(I4857,[1]媒体政策预估表!A:N,MATCH(O4857,[1]媒体政策预估表!$A$2:$M$2,0),0)</f>
        <v>0.09</v>
      </c>
      <c r="AF4857" s="6">
        <f t="shared" si="741"/>
        <v>0</v>
      </c>
      <c r="AG4857" s="14">
        <v>0</v>
      </c>
      <c r="AH4857" s="65">
        <f t="shared" si="744"/>
        <v>0</v>
      </c>
      <c r="AI4857" s="47"/>
      <c r="AJ4857" s="126" t="e">
        <v>#N/A</v>
      </c>
      <c r="AK4857" s="80">
        <f t="shared" si="738"/>
        <v>0</v>
      </c>
      <c r="AM4857" s="85"/>
    </row>
    <row r="4858" spans="1:39" hidden="1" x14ac:dyDescent="0.3">
      <c r="A4858" s="89" t="s">
        <v>3397</v>
      </c>
      <c r="B4858" s="86" t="s">
        <v>35</v>
      </c>
      <c r="C4858" s="86" t="s">
        <v>164</v>
      </c>
      <c r="D4858" s="86" t="s">
        <v>165</v>
      </c>
      <c r="E4858" s="86" t="s">
        <v>2806</v>
      </c>
      <c r="F4858" s="86" t="s">
        <v>2806</v>
      </c>
      <c r="G4858" s="86" t="s">
        <v>2806</v>
      </c>
      <c r="H4858" s="144">
        <v>22</v>
      </c>
      <c r="I4858" s="86" t="s">
        <v>2935</v>
      </c>
      <c r="J4858" s="1" t="s">
        <v>3302</v>
      </c>
      <c r="K4858" s="1" t="s">
        <v>3371</v>
      </c>
      <c r="L4858" s="1" t="s">
        <v>35</v>
      </c>
      <c r="M4858" s="86" t="s">
        <v>3010</v>
      </c>
      <c r="N4858" s="86"/>
      <c r="O4858" s="47" t="s">
        <v>45</v>
      </c>
      <c r="P4858" s="47" t="s">
        <v>41</v>
      </c>
      <c r="Q4858" s="14">
        <v>0</v>
      </c>
      <c r="R4858" s="143">
        <v>19782</v>
      </c>
      <c r="S4858" s="47"/>
      <c r="T4858" s="6">
        <v>-732001.65</v>
      </c>
      <c r="U4858" s="6"/>
      <c r="V4858" s="6">
        <v>124.36</v>
      </c>
      <c r="W4858" s="6">
        <f t="shared" si="742"/>
        <v>-732126.01</v>
      </c>
      <c r="X4858" s="6">
        <f t="shared" si="735"/>
        <v>124.36</v>
      </c>
      <c r="Y4858" s="13">
        <f t="shared" si="736"/>
        <v>0</v>
      </c>
      <c r="Z4858" s="14">
        <v>0</v>
      </c>
      <c r="AA4858" s="6">
        <v>0</v>
      </c>
      <c r="AB4858" s="4">
        <f t="shared" si="737"/>
        <v>124.36</v>
      </c>
      <c r="AC4858" s="4">
        <f t="shared" si="740"/>
        <v>0</v>
      </c>
      <c r="AD4858" s="6">
        <f t="shared" si="743"/>
        <v>124.36</v>
      </c>
      <c r="AE4858" s="2">
        <f>VLOOKUP(I4858,[1]媒体政策预估表!A:N,MATCH(O4858,[1]媒体政策预估表!$A$2:$M$2,0),0)</f>
        <v>0.18</v>
      </c>
      <c r="AF4858" s="6">
        <f t="shared" si="741"/>
        <v>22.384799999999998</v>
      </c>
      <c r="AG4858" s="14">
        <v>0</v>
      </c>
      <c r="AH4858" s="65">
        <f t="shared" si="744"/>
        <v>124.36</v>
      </c>
      <c r="AI4858" s="47"/>
      <c r="AJ4858" s="126" t="e">
        <v>#N/A</v>
      </c>
      <c r="AK4858" s="80">
        <f t="shared" si="738"/>
        <v>0</v>
      </c>
      <c r="AM4858" s="85"/>
    </row>
    <row r="4859" spans="1:39" hidden="1" x14ac:dyDescent="0.3">
      <c r="A4859" s="89" t="s">
        <v>3582</v>
      </c>
      <c r="B4859" s="86" t="s">
        <v>35</v>
      </c>
      <c r="C4859" s="86" t="s">
        <v>47</v>
      </c>
      <c r="D4859" s="86" t="s">
        <v>63</v>
      </c>
      <c r="E4859" s="86" t="s">
        <v>2772</v>
      </c>
      <c r="F4859" s="86" t="s">
        <v>2772</v>
      </c>
      <c r="G4859" s="86" t="s">
        <v>2772</v>
      </c>
      <c r="H4859" s="143">
        <v>22</v>
      </c>
      <c r="I4859" s="86" t="s">
        <v>2935</v>
      </c>
      <c r="J4859" s="1" t="s">
        <v>3302</v>
      </c>
      <c r="K4859" s="1" t="s">
        <v>3371</v>
      </c>
      <c r="L4859" s="1" t="s">
        <v>35</v>
      </c>
      <c r="M4859" s="86" t="s">
        <v>2974</v>
      </c>
      <c r="N4859" s="86"/>
      <c r="O4859" s="47" t="s">
        <v>45</v>
      </c>
      <c r="P4859" s="47" t="s">
        <v>41</v>
      </c>
      <c r="Q4859" s="14">
        <v>0</v>
      </c>
      <c r="R4859" s="143">
        <v>40472</v>
      </c>
      <c r="S4859" s="47"/>
      <c r="T4859" s="6">
        <v>-288203.2</v>
      </c>
      <c r="U4859" s="6"/>
      <c r="V4859" s="6">
        <v>0</v>
      </c>
      <c r="W4859" s="6">
        <f t="shared" si="742"/>
        <v>-288203.2</v>
      </c>
      <c r="X4859" s="6">
        <f t="shared" ref="X4859:X4909" si="745">IF(P4859="折扣",V4859*Q4859,IF(P4859="返现",V4859,V4859/(1+Q4859)))</f>
        <v>0</v>
      </c>
      <c r="Y4859" s="13">
        <f t="shared" si="736"/>
        <v>0</v>
      </c>
      <c r="Z4859" s="14">
        <v>0</v>
      </c>
      <c r="AA4859" s="6">
        <v>0</v>
      </c>
      <c r="AB4859" s="4">
        <f t="shared" si="737"/>
        <v>0</v>
      </c>
      <c r="AC4859" s="4">
        <f t="shared" si="740"/>
        <v>0</v>
      </c>
      <c r="AD4859" s="6">
        <f t="shared" si="743"/>
        <v>0</v>
      </c>
      <c r="AE4859" s="2">
        <f>VLOOKUP(I4859,[1]媒体政策预估表!A:N,MATCH(O4859,[1]媒体政策预估表!$A$2:$M$2,0),0)</f>
        <v>0.18</v>
      </c>
      <c r="AF4859" s="6">
        <f t="shared" si="741"/>
        <v>0</v>
      </c>
      <c r="AG4859" s="14">
        <v>0</v>
      </c>
      <c r="AH4859" s="65">
        <f t="shared" si="744"/>
        <v>0</v>
      </c>
      <c r="AI4859" s="47"/>
      <c r="AJ4859" s="126" t="e">
        <v>#N/A</v>
      </c>
      <c r="AK4859" s="80">
        <f t="shared" si="738"/>
        <v>0</v>
      </c>
      <c r="AM4859" s="85"/>
    </row>
    <row r="4860" spans="1:39" hidden="1" x14ac:dyDescent="0.3">
      <c r="A4860" s="89" t="s">
        <v>3397</v>
      </c>
      <c r="B4860" s="86" t="s">
        <v>35</v>
      </c>
      <c r="C4860" s="86" t="s">
        <v>184</v>
      </c>
      <c r="D4860" s="86" t="s">
        <v>185</v>
      </c>
      <c r="E4860" s="86" t="s">
        <v>3096</v>
      </c>
      <c r="F4860" s="86" t="s">
        <v>3096</v>
      </c>
      <c r="G4860" s="86" t="s">
        <v>3096</v>
      </c>
      <c r="H4860" s="143">
        <v>22</v>
      </c>
      <c r="I4860" s="86" t="s">
        <v>2935</v>
      </c>
      <c r="J4860" s="1" t="s">
        <v>3302</v>
      </c>
      <c r="K4860" s="1" t="s">
        <v>3371</v>
      </c>
      <c r="L4860" s="1" t="s">
        <v>35</v>
      </c>
      <c r="M4860" s="86" t="s">
        <v>3097</v>
      </c>
      <c r="N4860" s="86"/>
      <c r="O4860" s="47" t="s">
        <v>410</v>
      </c>
      <c r="P4860" s="47" t="s">
        <v>46</v>
      </c>
      <c r="Q4860" s="14">
        <v>0.05</v>
      </c>
      <c r="R4860" s="143">
        <v>6122</v>
      </c>
      <c r="S4860" s="47"/>
      <c r="T4860" s="6">
        <v>4458.1899999999996</v>
      </c>
      <c r="U4860" s="6"/>
      <c r="V4860" s="6">
        <v>0</v>
      </c>
      <c r="W4860" s="6">
        <f t="shared" si="742"/>
        <v>4458.1899999999996</v>
      </c>
      <c r="X4860" s="6">
        <f t="shared" si="745"/>
        <v>0</v>
      </c>
      <c r="Y4860" s="13">
        <f t="shared" si="736"/>
        <v>0</v>
      </c>
      <c r="Z4860" s="14">
        <v>0</v>
      </c>
      <c r="AA4860" s="6">
        <v>0</v>
      </c>
      <c r="AB4860" s="4">
        <f t="shared" si="737"/>
        <v>0</v>
      </c>
      <c r="AC4860" s="4">
        <f t="shared" si="740"/>
        <v>0</v>
      </c>
      <c r="AD4860" s="6">
        <f t="shared" si="743"/>
        <v>0</v>
      </c>
      <c r="AE4860" s="2">
        <f>VLOOKUP(I4860,[1]媒体政策预估表!A:N,MATCH(O4860,[1]媒体政策预估表!$A$2:$M$2,0),0)</f>
        <v>0.09</v>
      </c>
      <c r="AF4860" s="6">
        <f t="shared" si="741"/>
        <v>0</v>
      </c>
      <c r="AG4860" s="14">
        <v>0</v>
      </c>
      <c r="AH4860" s="65">
        <f t="shared" si="744"/>
        <v>0</v>
      </c>
      <c r="AI4860" s="47"/>
      <c r="AJ4860" s="126" t="e">
        <v>#N/A</v>
      </c>
      <c r="AK4860" s="80">
        <f t="shared" si="738"/>
        <v>0</v>
      </c>
      <c r="AM4860" s="85"/>
    </row>
    <row r="4861" spans="1:39" hidden="1" x14ac:dyDescent="0.3">
      <c r="A4861" s="89" t="s">
        <v>3582</v>
      </c>
      <c r="B4861" s="86" t="s">
        <v>35</v>
      </c>
      <c r="C4861" s="86" t="s">
        <v>65</v>
      </c>
      <c r="D4861" s="86" t="s">
        <v>66</v>
      </c>
      <c r="E4861" s="86" t="s">
        <v>3098</v>
      </c>
      <c r="F4861" s="86" t="s">
        <v>3098</v>
      </c>
      <c r="G4861" s="86" t="s">
        <v>3098</v>
      </c>
      <c r="H4861" s="143">
        <v>22</v>
      </c>
      <c r="I4861" s="86" t="s">
        <v>2935</v>
      </c>
      <c r="J4861" s="1" t="s">
        <v>3302</v>
      </c>
      <c r="K4861" s="1" t="s">
        <v>3371</v>
      </c>
      <c r="L4861" s="1" t="s">
        <v>35</v>
      </c>
      <c r="M4861" s="86" t="s">
        <v>3099</v>
      </c>
      <c r="N4861" s="86"/>
      <c r="O4861" s="47" t="s">
        <v>410</v>
      </c>
      <c r="P4861" s="47" t="s">
        <v>46</v>
      </c>
      <c r="Q4861" s="14">
        <v>0.08</v>
      </c>
      <c r="R4861" s="143">
        <v>5508</v>
      </c>
      <c r="S4861" s="47"/>
      <c r="T4861" s="6">
        <v>69200.62</v>
      </c>
      <c r="U4861" s="6"/>
      <c r="V4861" s="6">
        <v>0</v>
      </c>
      <c r="W4861" s="6">
        <f t="shared" si="742"/>
        <v>69200.62</v>
      </c>
      <c r="X4861" s="6">
        <f t="shared" si="745"/>
        <v>0</v>
      </c>
      <c r="Y4861" s="13">
        <f t="shared" si="736"/>
        <v>0</v>
      </c>
      <c r="Z4861" s="14">
        <v>0</v>
      </c>
      <c r="AA4861" s="6">
        <v>0</v>
      </c>
      <c r="AB4861" s="4">
        <f t="shared" si="737"/>
        <v>0</v>
      </c>
      <c r="AC4861" s="4">
        <f t="shared" si="740"/>
        <v>0</v>
      </c>
      <c r="AD4861" s="6">
        <f t="shared" si="743"/>
        <v>0</v>
      </c>
      <c r="AE4861" s="2">
        <f>VLOOKUP(I4861,[1]媒体政策预估表!A:N,MATCH(O4861,[1]媒体政策预估表!$A$2:$M$2,0),0)</f>
        <v>0.09</v>
      </c>
      <c r="AF4861" s="6">
        <f t="shared" si="741"/>
        <v>0</v>
      </c>
      <c r="AG4861" s="14">
        <v>0</v>
      </c>
      <c r="AH4861" s="65">
        <f t="shared" si="744"/>
        <v>0</v>
      </c>
      <c r="AI4861" s="47"/>
      <c r="AJ4861" s="126" t="e">
        <v>#N/A</v>
      </c>
      <c r="AK4861" s="80">
        <f t="shared" si="738"/>
        <v>0</v>
      </c>
      <c r="AM4861" s="85"/>
    </row>
    <row r="4862" spans="1:39" hidden="1" x14ac:dyDescent="0.3">
      <c r="A4862" s="89" t="s">
        <v>3582</v>
      </c>
      <c r="B4862" s="86" t="s">
        <v>35</v>
      </c>
      <c r="C4862" s="86" t="s">
        <v>65</v>
      </c>
      <c r="D4862" s="86" t="s">
        <v>66</v>
      </c>
      <c r="E4862" s="86" t="s">
        <v>1891</v>
      </c>
      <c r="F4862" s="86" t="s">
        <v>1891</v>
      </c>
      <c r="G4862" s="86" t="s">
        <v>1891</v>
      </c>
      <c r="H4862" s="143">
        <v>22</v>
      </c>
      <c r="I4862" s="86" t="s">
        <v>2935</v>
      </c>
      <c r="J4862" s="1" t="s">
        <v>3302</v>
      </c>
      <c r="K4862" s="1" t="s">
        <v>3371</v>
      </c>
      <c r="L4862" s="1" t="s">
        <v>35</v>
      </c>
      <c r="M4862" s="86" t="s">
        <v>3100</v>
      </c>
      <c r="N4862" s="86"/>
      <c r="O4862" s="47" t="s">
        <v>410</v>
      </c>
      <c r="P4862" s="47" t="s">
        <v>46</v>
      </c>
      <c r="Q4862" s="14">
        <v>0.06</v>
      </c>
      <c r="R4862" s="143">
        <v>3771</v>
      </c>
      <c r="S4862" s="47"/>
      <c r="T4862" s="6">
        <v>4331.8599999999997</v>
      </c>
      <c r="U4862" s="6"/>
      <c r="V4862" s="6">
        <v>0</v>
      </c>
      <c r="W4862" s="6">
        <f t="shared" si="742"/>
        <v>4331.8599999999997</v>
      </c>
      <c r="X4862" s="6">
        <f t="shared" si="745"/>
        <v>0</v>
      </c>
      <c r="Y4862" s="13">
        <f t="shared" si="736"/>
        <v>0</v>
      </c>
      <c r="Z4862" s="14">
        <v>0</v>
      </c>
      <c r="AA4862" s="6">
        <v>0</v>
      </c>
      <c r="AB4862" s="4">
        <f t="shared" si="737"/>
        <v>0</v>
      </c>
      <c r="AC4862" s="4">
        <f t="shared" si="740"/>
        <v>0</v>
      </c>
      <c r="AD4862" s="6">
        <f t="shared" si="743"/>
        <v>0</v>
      </c>
      <c r="AE4862" s="2">
        <f>VLOOKUP(I4862,[1]媒体政策预估表!A:N,MATCH(O4862,[1]媒体政策预估表!$A$2:$M$2,0),0)</f>
        <v>0.09</v>
      </c>
      <c r="AF4862" s="6">
        <f t="shared" si="741"/>
        <v>0</v>
      </c>
      <c r="AG4862" s="14">
        <v>0</v>
      </c>
      <c r="AH4862" s="65">
        <f t="shared" si="744"/>
        <v>0</v>
      </c>
      <c r="AI4862" s="47"/>
      <c r="AJ4862" s="126" t="e">
        <v>#N/A</v>
      </c>
      <c r="AK4862" s="80">
        <f t="shared" si="738"/>
        <v>0</v>
      </c>
      <c r="AM4862" s="85"/>
    </row>
    <row r="4863" spans="1:39" hidden="1" x14ac:dyDescent="0.3">
      <c r="A4863" s="89" t="s">
        <v>3582</v>
      </c>
      <c r="B4863" s="86" t="s">
        <v>35</v>
      </c>
      <c r="C4863" s="86" t="s">
        <v>65</v>
      </c>
      <c r="D4863" s="86" t="s">
        <v>125</v>
      </c>
      <c r="E4863" s="86" t="s">
        <v>3101</v>
      </c>
      <c r="F4863" s="86" t="s">
        <v>3101</v>
      </c>
      <c r="G4863" s="86" t="s">
        <v>3101</v>
      </c>
      <c r="H4863" s="143">
        <v>22</v>
      </c>
      <c r="I4863" s="86" t="s">
        <v>2935</v>
      </c>
      <c r="J4863" s="1" t="s">
        <v>3302</v>
      </c>
      <c r="K4863" s="1" t="s">
        <v>3371</v>
      </c>
      <c r="L4863" s="1" t="s">
        <v>35</v>
      </c>
      <c r="M4863" s="86" t="s">
        <v>3102</v>
      </c>
      <c r="N4863" s="86"/>
      <c r="O4863" s="47" t="s">
        <v>45</v>
      </c>
      <c r="P4863" s="47" t="s">
        <v>46</v>
      </c>
      <c r="Q4863" s="14">
        <v>0.02</v>
      </c>
      <c r="R4863" s="143">
        <v>185192</v>
      </c>
      <c r="S4863" s="47"/>
      <c r="T4863" s="6">
        <v>-5342.56</v>
      </c>
      <c r="U4863" s="6"/>
      <c r="V4863" s="6">
        <v>0</v>
      </c>
      <c r="W4863" s="6">
        <f t="shared" si="742"/>
        <v>-5342.56</v>
      </c>
      <c r="X4863" s="6">
        <f t="shared" si="745"/>
        <v>0</v>
      </c>
      <c r="Y4863" s="13">
        <f t="shared" si="736"/>
        <v>0</v>
      </c>
      <c r="Z4863" s="14">
        <v>0</v>
      </c>
      <c r="AA4863" s="6">
        <v>0</v>
      </c>
      <c r="AB4863" s="4">
        <f t="shared" si="737"/>
        <v>0</v>
      </c>
      <c r="AC4863" s="4">
        <f t="shared" si="740"/>
        <v>0</v>
      </c>
      <c r="AD4863" s="6">
        <f t="shared" si="743"/>
        <v>0</v>
      </c>
      <c r="AE4863" s="2">
        <f>VLOOKUP(I4863,[1]媒体政策预估表!A:N,MATCH(O4863,[1]媒体政策预估表!$A$2:$M$2,0),0)</f>
        <v>0.18</v>
      </c>
      <c r="AF4863" s="6">
        <f t="shared" si="741"/>
        <v>0</v>
      </c>
      <c r="AG4863" s="14">
        <v>0</v>
      </c>
      <c r="AH4863" s="65">
        <f t="shared" si="744"/>
        <v>0</v>
      </c>
      <c r="AI4863" s="47"/>
      <c r="AJ4863" s="126" t="e">
        <v>#N/A</v>
      </c>
      <c r="AK4863" s="80">
        <f t="shared" si="738"/>
        <v>0</v>
      </c>
      <c r="AM4863" s="85"/>
    </row>
    <row r="4864" spans="1:39" hidden="1" x14ac:dyDescent="0.3">
      <c r="A4864" s="89" t="s">
        <v>3582</v>
      </c>
      <c r="B4864" s="86" t="s">
        <v>35</v>
      </c>
      <c r="C4864" s="86" t="s">
        <v>65</v>
      </c>
      <c r="D4864" s="86" t="s">
        <v>125</v>
      </c>
      <c r="E4864" s="86" t="s">
        <v>3101</v>
      </c>
      <c r="F4864" s="86" t="s">
        <v>3101</v>
      </c>
      <c r="G4864" s="86" t="s">
        <v>3101</v>
      </c>
      <c r="H4864" s="143">
        <v>22</v>
      </c>
      <c r="I4864" s="86" t="s">
        <v>2935</v>
      </c>
      <c r="J4864" s="1" t="s">
        <v>3302</v>
      </c>
      <c r="K4864" s="1" t="s">
        <v>3371</v>
      </c>
      <c r="L4864" s="1" t="s">
        <v>35</v>
      </c>
      <c r="M4864" s="86" t="s">
        <v>3102</v>
      </c>
      <c r="N4864" s="86"/>
      <c r="O4864" s="47" t="s">
        <v>410</v>
      </c>
      <c r="P4864" s="47" t="s">
        <v>46</v>
      </c>
      <c r="Q4864" s="14">
        <v>0.02</v>
      </c>
      <c r="R4864" s="143">
        <v>185192</v>
      </c>
      <c r="S4864" s="47"/>
      <c r="T4864" s="6">
        <v>102479.85</v>
      </c>
      <c r="U4864" s="6"/>
      <c r="V4864" s="6">
        <v>0</v>
      </c>
      <c r="W4864" s="6">
        <f t="shared" si="742"/>
        <v>102479.85</v>
      </c>
      <c r="X4864" s="6">
        <f t="shared" si="745"/>
        <v>0</v>
      </c>
      <c r="Y4864" s="13">
        <f t="shared" si="736"/>
        <v>0</v>
      </c>
      <c r="Z4864" s="14">
        <v>0</v>
      </c>
      <c r="AA4864" s="6">
        <v>0</v>
      </c>
      <c r="AB4864" s="4">
        <f t="shared" si="737"/>
        <v>0</v>
      </c>
      <c r="AC4864" s="4">
        <f t="shared" si="740"/>
        <v>0</v>
      </c>
      <c r="AD4864" s="6">
        <f t="shared" si="743"/>
        <v>0</v>
      </c>
      <c r="AE4864" s="2">
        <f>VLOOKUP(I4864,[1]媒体政策预估表!A:N,MATCH(O4864,[1]媒体政策预估表!$A$2:$M$2,0),0)</f>
        <v>0.09</v>
      </c>
      <c r="AF4864" s="6">
        <f t="shared" si="741"/>
        <v>0</v>
      </c>
      <c r="AG4864" s="14">
        <v>0</v>
      </c>
      <c r="AH4864" s="65">
        <f t="shared" si="744"/>
        <v>0</v>
      </c>
      <c r="AI4864" s="47"/>
      <c r="AJ4864" s="126" t="e">
        <v>#N/A</v>
      </c>
      <c r="AK4864" s="80">
        <f t="shared" si="738"/>
        <v>0</v>
      </c>
      <c r="AM4864" s="85"/>
    </row>
    <row r="4865" spans="1:39" hidden="1" x14ac:dyDescent="0.3">
      <c r="A4865" s="89" t="s">
        <v>3583</v>
      </c>
      <c r="B4865" s="86" t="s">
        <v>35</v>
      </c>
      <c r="C4865" s="86" t="s">
        <v>65</v>
      </c>
      <c r="D4865" s="86" t="s">
        <v>66</v>
      </c>
      <c r="E4865" s="86" t="s">
        <v>1907</v>
      </c>
      <c r="F4865" s="86" t="s">
        <v>1908</v>
      </c>
      <c r="G4865" s="86" t="s">
        <v>1907</v>
      </c>
      <c r="H4865" s="143">
        <v>22</v>
      </c>
      <c r="I4865" s="86" t="s">
        <v>2935</v>
      </c>
      <c r="J4865" s="1" t="s">
        <v>3302</v>
      </c>
      <c r="K4865" s="1" t="s">
        <v>3371</v>
      </c>
      <c r="L4865" s="1" t="s">
        <v>35</v>
      </c>
      <c r="M4865" s="86" t="s">
        <v>483</v>
      </c>
      <c r="N4865" s="86"/>
      <c r="O4865" s="47" t="s">
        <v>45</v>
      </c>
      <c r="P4865" s="47" t="s">
        <v>41</v>
      </c>
      <c r="Q4865" s="14">
        <v>0</v>
      </c>
      <c r="R4865" s="143">
        <v>41252</v>
      </c>
      <c r="S4865" s="47"/>
      <c r="T4865" s="6">
        <v>-307236.3</v>
      </c>
      <c r="U4865" s="6"/>
      <c r="V4865" s="6">
        <v>0</v>
      </c>
      <c r="W4865" s="6">
        <f t="shared" si="742"/>
        <v>-307236.3</v>
      </c>
      <c r="X4865" s="6">
        <f t="shared" si="745"/>
        <v>0</v>
      </c>
      <c r="Y4865" s="13">
        <f t="shared" si="736"/>
        <v>0</v>
      </c>
      <c r="Z4865" s="14">
        <v>0</v>
      </c>
      <c r="AA4865" s="6">
        <v>0</v>
      </c>
      <c r="AB4865" s="4">
        <f t="shared" si="737"/>
        <v>0</v>
      </c>
      <c r="AC4865" s="4">
        <f t="shared" si="740"/>
        <v>0</v>
      </c>
      <c r="AD4865" s="6">
        <f t="shared" si="743"/>
        <v>0</v>
      </c>
      <c r="AE4865" s="2">
        <f>VLOOKUP(I4865,[1]媒体政策预估表!A:N,MATCH(O4865,[1]媒体政策预估表!$A$2:$M$2,0),0)</f>
        <v>0.18</v>
      </c>
      <c r="AF4865" s="6">
        <f t="shared" si="741"/>
        <v>0</v>
      </c>
      <c r="AG4865" s="14">
        <v>0</v>
      </c>
      <c r="AH4865" s="65">
        <f t="shared" si="744"/>
        <v>0</v>
      </c>
      <c r="AI4865" s="47"/>
      <c r="AJ4865" s="126" t="e">
        <v>#N/A</v>
      </c>
      <c r="AK4865" s="80">
        <f t="shared" si="738"/>
        <v>0</v>
      </c>
      <c r="AM4865" s="85"/>
    </row>
    <row r="4866" spans="1:39" hidden="1" x14ac:dyDescent="0.3">
      <c r="A4866" s="89" t="s">
        <v>3397</v>
      </c>
      <c r="B4866" s="86" t="s">
        <v>35</v>
      </c>
      <c r="C4866" s="86" t="s">
        <v>47</v>
      </c>
      <c r="D4866" s="86" t="s">
        <v>48</v>
      </c>
      <c r="E4866" s="86" t="s">
        <v>2789</v>
      </c>
      <c r="F4866" s="86" t="s">
        <v>2789</v>
      </c>
      <c r="G4866" s="86" t="s">
        <v>2789</v>
      </c>
      <c r="H4866" s="143">
        <v>22</v>
      </c>
      <c r="I4866" s="86" t="s">
        <v>2935</v>
      </c>
      <c r="J4866" s="1" t="s">
        <v>3302</v>
      </c>
      <c r="K4866" s="1" t="s">
        <v>3371</v>
      </c>
      <c r="L4866" s="1" t="s">
        <v>35</v>
      </c>
      <c r="M4866" s="86" t="s">
        <v>2789</v>
      </c>
      <c r="N4866" s="86"/>
      <c r="O4866" s="47" t="s">
        <v>45</v>
      </c>
      <c r="P4866" s="47" t="s">
        <v>41</v>
      </c>
      <c r="Q4866" s="14">
        <v>0</v>
      </c>
      <c r="R4866" s="143">
        <v>34612</v>
      </c>
      <c r="S4866" s="47"/>
      <c r="T4866" s="6">
        <v>-1416309.59</v>
      </c>
      <c r="U4866" s="6"/>
      <c r="V4866" s="6">
        <v>0</v>
      </c>
      <c r="W4866" s="6">
        <f t="shared" si="742"/>
        <v>-1416309.59</v>
      </c>
      <c r="X4866" s="6">
        <f t="shared" si="745"/>
        <v>0</v>
      </c>
      <c r="Y4866" s="13">
        <f t="shared" si="736"/>
        <v>0</v>
      </c>
      <c r="Z4866" s="14">
        <v>0</v>
      </c>
      <c r="AA4866" s="6">
        <v>0</v>
      </c>
      <c r="AB4866" s="4">
        <f t="shared" si="737"/>
        <v>0</v>
      </c>
      <c r="AC4866" s="4">
        <f t="shared" si="740"/>
        <v>0</v>
      </c>
      <c r="AD4866" s="6">
        <f t="shared" si="743"/>
        <v>0</v>
      </c>
      <c r="AE4866" s="2">
        <f>VLOOKUP(I4866,[1]媒体政策预估表!A:N,MATCH(O4866,[1]媒体政策预估表!$A$2:$M$2,0),0)</f>
        <v>0.18</v>
      </c>
      <c r="AF4866" s="6">
        <f t="shared" si="741"/>
        <v>0</v>
      </c>
      <c r="AG4866" s="14">
        <v>0</v>
      </c>
      <c r="AH4866" s="65">
        <f t="shared" si="744"/>
        <v>0</v>
      </c>
      <c r="AI4866" s="47"/>
      <c r="AJ4866" s="126" t="e">
        <v>#N/A</v>
      </c>
      <c r="AK4866" s="80">
        <f t="shared" si="738"/>
        <v>0</v>
      </c>
      <c r="AM4866" s="85"/>
    </row>
    <row r="4867" spans="1:39" hidden="1" x14ac:dyDescent="0.3">
      <c r="A4867" s="89" t="s">
        <v>3397</v>
      </c>
      <c r="B4867" s="86" t="s">
        <v>35</v>
      </c>
      <c r="C4867" s="86" t="s">
        <v>47</v>
      </c>
      <c r="D4867" s="86" t="s">
        <v>63</v>
      </c>
      <c r="E4867" s="86" t="s">
        <v>3103</v>
      </c>
      <c r="F4867" s="86" t="s">
        <v>3103</v>
      </c>
      <c r="G4867" s="86" t="s">
        <v>3103</v>
      </c>
      <c r="H4867" s="143">
        <v>22</v>
      </c>
      <c r="I4867" s="86" t="s">
        <v>2935</v>
      </c>
      <c r="J4867" s="1" t="s">
        <v>3302</v>
      </c>
      <c r="K4867" s="1" t="s">
        <v>3371</v>
      </c>
      <c r="L4867" s="1" t="s">
        <v>35</v>
      </c>
      <c r="M4867" s="86" t="s">
        <v>3104</v>
      </c>
      <c r="N4867" s="86"/>
      <c r="O4867" s="47" t="s">
        <v>410</v>
      </c>
      <c r="P4867" s="47" t="s">
        <v>46</v>
      </c>
      <c r="Q4867" s="14">
        <v>0.06</v>
      </c>
      <c r="R4867" s="143">
        <v>8028</v>
      </c>
      <c r="S4867" s="47"/>
      <c r="T4867" s="6">
        <v>10000</v>
      </c>
      <c r="U4867" s="6"/>
      <c r="V4867" s="6">
        <v>0</v>
      </c>
      <c r="W4867" s="6">
        <f t="shared" si="742"/>
        <v>10000</v>
      </c>
      <c r="X4867" s="6">
        <f t="shared" si="745"/>
        <v>0</v>
      </c>
      <c r="Y4867" s="13">
        <f t="shared" ref="Y4867:Y4930" si="746">IF(X4867-AD4867&lt;=0,0,IF(P4867="返现",MAX(X4867-AC4867-AD4867,0),MAX(X4867-AD4867)))</f>
        <v>0</v>
      </c>
      <c r="Z4867" s="14">
        <v>0</v>
      </c>
      <c r="AA4867" s="6">
        <v>0</v>
      </c>
      <c r="AB4867" s="4">
        <f t="shared" ref="AB4867:AB4930" si="747">X4867+AA4867</f>
        <v>0</v>
      </c>
      <c r="AC4867" s="4">
        <f t="shared" si="740"/>
        <v>0</v>
      </c>
      <c r="AD4867" s="6">
        <f t="shared" si="743"/>
        <v>0</v>
      </c>
      <c r="AE4867" s="2">
        <f>VLOOKUP(I4867,[1]媒体政策预估表!A:N,MATCH(O4867,[1]媒体政策预估表!$A$2:$M$2,0),0)</f>
        <v>0.09</v>
      </c>
      <c r="AF4867" s="6">
        <f t="shared" si="741"/>
        <v>0</v>
      </c>
      <c r="AG4867" s="14">
        <v>0</v>
      </c>
      <c r="AH4867" s="65">
        <f t="shared" si="744"/>
        <v>0</v>
      </c>
      <c r="AI4867" s="47"/>
      <c r="AJ4867" s="126" t="e">
        <v>#N/A</v>
      </c>
      <c r="AK4867" s="80">
        <f t="shared" ref="AK4867:AK4930" si="748">X4867+AA4867-AB4867</f>
        <v>0</v>
      </c>
      <c r="AM4867" s="85"/>
    </row>
    <row r="4868" spans="1:39" hidden="1" x14ac:dyDescent="0.3">
      <c r="A4868" s="89" t="s">
        <v>3582</v>
      </c>
      <c r="B4868" s="86" t="s">
        <v>35</v>
      </c>
      <c r="C4868" s="86" t="s">
        <v>47</v>
      </c>
      <c r="D4868" s="86" t="s">
        <v>63</v>
      </c>
      <c r="E4868" s="86" t="s">
        <v>3105</v>
      </c>
      <c r="F4868" s="86" t="s">
        <v>3105</v>
      </c>
      <c r="G4868" s="86" t="s">
        <v>3105</v>
      </c>
      <c r="H4868" s="143">
        <v>22</v>
      </c>
      <c r="I4868" s="86" t="s">
        <v>2935</v>
      </c>
      <c r="J4868" s="1" t="s">
        <v>3302</v>
      </c>
      <c r="K4868" s="1" t="s">
        <v>3371</v>
      </c>
      <c r="L4868" s="1" t="s">
        <v>35</v>
      </c>
      <c r="M4868" s="86" t="s">
        <v>3106</v>
      </c>
      <c r="N4868" s="86"/>
      <c r="O4868" s="47" t="s">
        <v>410</v>
      </c>
      <c r="P4868" s="47" t="s">
        <v>46</v>
      </c>
      <c r="Q4868" s="14">
        <v>0.05</v>
      </c>
      <c r="R4868" s="143">
        <v>6086</v>
      </c>
      <c r="S4868" s="47"/>
      <c r="T4868" s="6">
        <v>8478.73</v>
      </c>
      <c r="U4868" s="6"/>
      <c r="V4868" s="6">
        <v>0</v>
      </c>
      <c r="W4868" s="6">
        <f t="shared" si="742"/>
        <v>8478.73</v>
      </c>
      <c r="X4868" s="6">
        <f t="shared" si="745"/>
        <v>0</v>
      </c>
      <c r="Y4868" s="13">
        <f t="shared" si="746"/>
        <v>0</v>
      </c>
      <c r="Z4868" s="14">
        <v>0</v>
      </c>
      <c r="AA4868" s="6">
        <v>0</v>
      </c>
      <c r="AB4868" s="4">
        <f t="shared" si="747"/>
        <v>0</v>
      </c>
      <c r="AC4868" s="4">
        <f t="shared" si="740"/>
        <v>0</v>
      </c>
      <c r="AD4868" s="6">
        <f t="shared" si="743"/>
        <v>0</v>
      </c>
      <c r="AE4868" s="2">
        <f>VLOOKUP(I4868,[1]媒体政策预估表!A:N,MATCH(O4868,[1]媒体政策预估表!$A$2:$M$2,0),0)</f>
        <v>0.09</v>
      </c>
      <c r="AF4868" s="6">
        <f t="shared" si="741"/>
        <v>0</v>
      </c>
      <c r="AG4868" s="14">
        <v>0</v>
      </c>
      <c r="AH4868" s="65">
        <f t="shared" si="744"/>
        <v>0</v>
      </c>
      <c r="AI4868" s="47"/>
      <c r="AJ4868" s="126" t="e">
        <v>#N/A</v>
      </c>
      <c r="AK4868" s="80">
        <f t="shared" si="748"/>
        <v>0</v>
      </c>
      <c r="AM4868" s="85"/>
    </row>
    <row r="4869" spans="1:39" hidden="1" x14ac:dyDescent="0.3">
      <c r="A4869" s="89" t="s">
        <v>3582</v>
      </c>
      <c r="B4869" s="86" t="s">
        <v>35</v>
      </c>
      <c r="C4869" s="86" t="s">
        <v>47</v>
      </c>
      <c r="D4869" s="86" t="s">
        <v>63</v>
      </c>
      <c r="E4869" s="86" t="s">
        <v>3107</v>
      </c>
      <c r="F4869" s="86" t="s">
        <v>3107</v>
      </c>
      <c r="G4869" s="86" t="s">
        <v>3107</v>
      </c>
      <c r="H4869" s="143">
        <v>22</v>
      </c>
      <c r="I4869" s="86" t="s">
        <v>2935</v>
      </c>
      <c r="J4869" s="1" t="s">
        <v>3302</v>
      </c>
      <c r="K4869" s="1" t="s">
        <v>3371</v>
      </c>
      <c r="L4869" s="1" t="s">
        <v>35</v>
      </c>
      <c r="M4869" s="86" t="s">
        <v>3108</v>
      </c>
      <c r="N4869" s="86"/>
      <c r="O4869" s="47" t="s">
        <v>410</v>
      </c>
      <c r="P4869" s="47" t="s">
        <v>46</v>
      </c>
      <c r="Q4869" s="14">
        <v>0.05</v>
      </c>
      <c r="R4869" s="143">
        <v>3487</v>
      </c>
      <c r="S4869" s="47"/>
      <c r="T4869" s="6">
        <v>1105.3699999999999</v>
      </c>
      <c r="U4869" s="6"/>
      <c r="V4869" s="6">
        <v>0</v>
      </c>
      <c r="W4869" s="6">
        <f t="shared" si="742"/>
        <v>1105.3699999999999</v>
      </c>
      <c r="X4869" s="6">
        <f t="shared" si="745"/>
        <v>0</v>
      </c>
      <c r="Y4869" s="13">
        <f t="shared" si="746"/>
        <v>0</v>
      </c>
      <c r="Z4869" s="14">
        <v>0</v>
      </c>
      <c r="AA4869" s="6">
        <v>0</v>
      </c>
      <c r="AB4869" s="4">
        <f t="shared" si="747"/>
        <v>0</v>
      </c>
      <c r="AC4869" s="4">
        <f t="shared" si="740"/>
        <v>0</v>
      </c>
      <c r="AD4869" s="6">
        <f t="shared" si="743"/>
        <v>0</v>
      </c>
      <c r="AE4869" s="2">
        <f>VLOOKUP(I4869,[1]媒体政策预估表!A:N,MATCH(O4869,[1]媒体政策预估表!$A$2:$M$2,0),0)</f>
        <v>0.09</v>
      </c>
      <c r="AF4869" s="6">
        <f t="shared" si="741"/>
        <v>0</v>
      </c>
      <c r="AG4869" s="14">
        <v>0</v>
      </c>
      <c r="AH4869" s="65">
        <f t="shared" si="744"/>
        <v>0</v>
      </c>
      <c r="AI4869" s="47"/>
      <c r="AJ4869" s="126" t="e">
        <v>#N/A</v>
      </c>
      <c r="AK4869" s="80">
        <f t="shared" si="748"/>
        <v>0</v>
      </c>
      <c r="AM4869" s="85"/>
    </row>
    <row r="4870" spans="1:39" hidden="1" x14ac:dyDescent="0.3">
      <c r="A4870" s="89" t="s">
        <v>3397</v>
      </c>
      <c r="B4870" s="86" t="s">
        <v>35</v>
      </c>
      <c r="C4870" s="86" t="s">
        <v>47</v>
      </c>
      <c r="D4870" s="86" t="s">
        <v>63</v>
      </c>
      <c r="E4870" s="86" t="s">
        <v>906</v>
      </c>
      <c r="F4870" s="86" t="s">
        <v>3109</v>
      </c>
      <c r="G4870" s="86" t="s">
        <v>906</v>
      </c>
      <c r="H4870" s="143">
        <v>22</v>
      </c>
      <c r="I4870" s="86" t="s">
        <v>2935</v>
      </c>
      <c r="J4870" s="1" t="s">
        <v>3302</v>
      </c>
      <c r="K4870" s="1" t="s">
        <v>3371</v>
      </c>
      <c r="L4870" s="1" t="s">
        <v>35</v>
      </c>
      <c r="M4870" s="86" t="s">
        <v>3110</v>
      </c>
      <c r="N4870" s="86"/>
      <c r="O4870" s="47" t="s">
        <v>410</v>
      </c>
      <c r="P4870" s="47" t="s">
        <v>75</v>
      </c>
      <c r="Q4870" s="14">
        <v>0.04</v>
      </c>
      <c r="R4870" s="143">
        <v>3193</v>
      </c>
      <c r="S4870" s="47"/>
      <c r="T4870" s="6">
        <v>500000</v>
      </c>
      <c r="U4870" s="6"/>
      <c r="V4870" s="6">
        <v>0</v>
      </c>
      <c r="W4870" s="6">
        <f t="shared" si="742"/>
        <v>500000</v>
      </c>
      <c r="X4870" s="6">
        <f t="shared" si="745"/>
        <v>0</v>
      </c>
      <c r="Y4870" s="13">
        <f t="shared" si="746"/>
        <v>0</v>
      </c>
      <c r="Z4870" s="14">
        <v>0</v>
      </c>
      <c r="AA4870" s="6">
        <v>0</v>
      </c>
      <c r="AB4870" s="4">
        <f t="shared" si="747"/>
        <v>0</v>
      </c>
      <c r="AC4870" s="4">
        <f t="shared" si="740"/>
        <v>0</v>
      </c>
      <c r="AD4870" s="6">
        <f t="shared" si="743"/>
        <v>0</v>
      </c>
      <c r="AE4870" s="2">
        <f>VLOOKUP(I4870,[1]媒体政策预估表!A:N,MATCH(O4870,[1]媒体政策预估表!$A$2:$M$2,0),0)</f>
        <v>0.09</v>
      </c>
      <c r="AF4870" s="6">
        <f t="shared" si="741"/>
        <v>0</v>
      </c>
      <c r="AG4870" s="14">
        <v>0</v>
      </c>
      <c r="AH4870" s="65">
        <f t="shared" si="744"/>
        <v>0</v>
      </c>
      <c r="AI4870" s="47"/>
      <c r="AJ4870" s="126" t="e">
        <v>#N/A</v>
      </c>
      <c r="AK4870" s="80">
        <f t="shared" si="748"/>
        <v>0</v>
      </c>
      <c r="AM4870" s="85"/>
    </row>
    <row r="4871" spans="1:39" hidden="1" x14ac:dyDescent="0.3">
      <c r="A4871" s="89" t="s">
        <v>3582</v>
      </c>
      <c r="B4871" s="86" t="s">
        <v>35</v>
      </c>
      <c r="C4871" s="86" t="s">
        <v>144</v>
      </c>
      <c r="D4871" s="86" t="s">
        <v>303</v>
      </c>
      <c r="E4871" s="86" t="s">
        <v>3111</v>
      </c>
      <c r="F4871" s="86" t="s">
        <v>3111</v>
      </c>
      <c r="G4871" s="86" t="s">
        <v>3111</v>
      </c>
      <c r="H4871" s="143">
        <v>22</v>
      </c>
      <c r="I4871" s="86" t="s">
        <v>2935</v>
      </c>
      <c r="J4871" s="1" t="s">
        <v>3302</v>
      </c>
      <c r="K4871" s="1" t="s">
        <v>3371</v>
      </c>
      <c r="L4871" s="1" t="s">
        <v>35</v>
      </c>
      <c r="M4871" s="86" t="s">
        <v>3112</v>
      </c>
      <c r="N4871" s="86"/>
      <c r="O4871" s="47" t="s">
        <v>410</v>
      </c>
      <c r="P4871" s="47" t="s">
        <v>46</v>
      </c>
      <c r="Q4871" s="14">
        <v>0.02</v>
      </c>
      <c r="R4871" s="143">
        <v>133322</v>
      </c>
      <c r="S4871" s="47"/>
      <c r="T4871" s="6">
        <v>26746.11</v>
      </c>
      <c r="U4871" s="6"/>
      <c r="V4871" s="6">
        <v>0</v>
      </c>
      <c r="W4871" s="6">
        <f t="shared" si="742"/>
        <v>26746.11</v>
      </c>
      <c r="X4871" s="6">
        <f t="shared" si="745"/>
        <v>0</v>
      </c>
      <c r="Y4871" s="13">
        <f t="shared" si="746"/>
        <v>0</v>
      </c>
      <c r="Z4871" s="14">
        <v>0</v>
      </c>
      <c r="AA4871" s="6">
        <v>0</v>
      </c>
      <c r="AB4871" s="4">
        <f t="shared" si="747"/>
        <v>0</v>
      </c>
      <c r="AC4871" s="4">
        <f t="shared" si="740"/>
        <v>0</v>
      </c>
      <c r="AD4871" s="6">
        <f t="shared" si="743"/>
        <v>0</v>
      </c>
      <c r="AE4871" s="2">
        <f>VLOOKUP(I4871,[1]媒体政策预估表!A:N,MATCH(O4871,[1]媒体政策预估表!$A$2:$M$2,0),0)</f>
        <v>0.09</v>
      </c>
      <c r="AF4871" s="6">
        <f t="shared" si="741"/>
        <v>0</v>
      </c>
      <c r="AG4871" s="14">
        <v>0</v>
      </c>
      <c r="AH4871" s="65">
        <f t="shared" si="744"/>
        <v>0</v>
      </c>
      <c r="AI4871" s="47"/>
      <c r="AJ4871" s="126" t="e">
        <v>#N/A</v>
      </c>
      <c r="AK4871" s="80">
        <f t="shared" si="748"/>
        <v>0</v>
      </c>
      <c r="AM4871" s="85"/>
    </row>
    <row r="4872" spans="1:39" hidden="1" x14ac:dyDescent="0.3">
      <c r="A4872" s="89" t="s">
        <v>3582</v>
      </c>
      <c r="B4872" s="86" t="s">
        <v>35</v>
      </c>
      <c r="C4872" s="86" t="s">
        <v>144</v>
      </c>
      <c r="D4872" s="86" t="s">
        <v>303</v>
      </c>
      <c r="E4872" s="86" t="s">
        <v>3113</v>
      </c>
      <c r="F4872" s="86" t="s">
        <v>3113</v>
      </c>
      <c r="G4872" s="86" t="s">
        <v>3113</v>
      </c>
      <c r="H4872" s="143">
        <v>22</v>
      </c>
      <c r="I4872" s="86" t="s">
        <v>2935</v>
      </c>
      <c r="J4872" s="1" t="s">
        <v>3302</v>
      </c>
      <c r="K4872" s="1" t="s">
        <v>3371</v>
      </c>
      <c r="L4872" s="1" t="s">
        <v>35</v>
      </c>
      <c r="M4872" s="86" t="s">
        <v>3114</v>
      </c>
      <c r="N4872" s="86"/>
      <c r="O4872" s="47" t="s">
        <v>45</v>
      </c>
      <c r="P4872" s="47" t="s">
        <v>46</v>
      </c>
      <c r="Q4872" s="14">
        <v>0.15</v>
      </c>
      <c r="R4872" s="143">
        <v>8533</v>
      </c>
      <c r="S4872" s="47"/>
      <c r="T4872" s="6">
        <v>1262.4100000000001</v>
      </c>
      <c r="U4872" s="6"/>
      <c r="V4872" s="6">
        <v>0</v>
      </c>
      <c r="W4872" s="6">
        <f t="shared" si="742"/>
        <v>1262.4100000000001</v>
      </c>
      <c r="X4872" s="6">
        <f t="shared" si="745"/>
        <v>0</v>
      </c>
      <c r="Y4872" s="13">
        <f t="shared" si="746"/>
        <v>0</v>
      </c>
      <c r="Z4872" s="14">
        <v>0</v>
      </c>
      <c r="AA4872" s="6">
        <v>0</v>
      </c>
      <c r="AB4872" s="4">
        <f t="shared" si="747"/>
        <v>0</v>
      </c>
      <c r="AC4872" s="4">
        <f t="shared" si="740"/>
        <v>0</v>
      </c>
      <c r="AD4872" s="6">
        <f t="shared" si="743"/>
        <v>0</v>
      </c>
      <c r="AE4872" s="2">
        <f>VLOOKUP(I4872,[1]媒体政策预估表!A:N,MATCH(O4872,[1]媒体政策预估表!$A$2:$M$2,0),0)</f>
        <v>0.18</v>
      </c>
      <c r="AF4872" s="6">
        <f t="shared" si="741"/>
        <v>0</v>
      </c>
      <c r="AG4872" s="14">
        <v>0</v>
      </c>
      <c r="AH4872" s="65">
        <f t="shared" si="744"/>
        <v>0</v>
      </c>
      <c r="AI4872" s="47"/>
      <c r="AJ4872" s="126" t="e">
        <v>#N/A</v>
      </c>
      <c r="AK4872" s="80">
        <f t="shared" si="748"/>
        <v>0</v>
      </c>
      <c r="AM4872" s="85"/>
    </row>
    <row r="4873" spans="1:39" hidden="1" x14ac:dyDescent="0.3">
      <c r="A4873" s="89" t="s">
        <v>3397</v>
      </c>
      <c r="B4873" s="86" t="s">
        <v>35</v>
      </c>
      <c r="C4873" s="86" t="s">
        <v>164</v>
      </c>
      <c r="D4873" s="86" t="s">
        <v>174</v>
      </c>
      <c r="E4873" s="86" t="s">
        <v>2272</v>
      </c>
      <c r="F4873" s="86" t="s">
        <v>2272</v>
      </c>
      <c r="G4873" s="86" t="s">
        <v>2272</v>
      </c>
      <c r="H4873" s="143">
        <v>22</v>
      </c>
      <c r="I4873" s="86" t="s">
        <v>2935</v>
      </c>
      <c r="J4873" s="1" t="s">
        <v>3302</v>
      </c>
      <c r="K4873" s="1" t="s">
        <v>3371</v>
      </c>
      <c r="L4873" s="1" t="s">
        <v>35</v>
      </c>
      <c r="M4873" s="86" t="s">
        <v>2273</v>
      </c>
      <c r="N4873" s="86"/>
      <c r="O4873" s="47" t="s">
        <v>410</v>
      </c>
      <c r="P4873" s="47" t="s">
        <v>46</v>
      </c>
      <c r="Q4873" s="14">
        <v>0.14000000000000001</v>
      </c>
      <c r="R4873" s="143">
        <v>84202</v>
      </c>
      <c r="S4873" s="47"/>
      <c r="T4873" s="6">
        <v>7397.8599999999988</v>
      </c>
      <c r="U4873" s="6"/>
      <c r="V4873" s="6">
        <v>0</v>
      </c>
      <c r="W4873" s="6">
        <f t="shared" si="742"/>
        <v>7397.8599999999988</v>
      </c>
      <c r="X4873" s="6">
        <f t="shared" si="745"/>
        <v>0</v>
      </c>
      <c r="Y4873" s="13">
        <f t="shared" si="746"/>
        <v>0</v>
      </c>
      <c r="Z4873" s="14">
        <v>0</v>
      </c>
      <c r="AA4873" s="6">
        <v>0</v>
      </c>
      <c r="AB4873" s="4">
        <f t="shared" si="747"/>
        <v>0</v>
      </c>
      <c r="AC4873" s="4">
        <f t="shared" si="740"/>
        <v>0</v>
      </c>
      <c r="AD4873" s="6">
        <f t="shared" si="743"/>
        <v>0</v>
      </c>
      <c r="AE4873" s="2">
        <f>VLOOKUP(I4873,[1]媒体政策预估表!A:N,MATCH(O4873,[1]媒体政策预估表!$A$2:$M$2,0),0)</f>
        <v>0.09</v>
      </c>
      <c r="AF4873" s="6">
        <f t="shared" si="741"/>
        <v>0</v>
      </c>
      <c r="AG4873" s="14">
        <v>0</v>
      </c>
      <c r="AH4873" s="65">
        <f t="shared" si="744"/>
        <v>0</v>
      </c>
      <c r="AI4873" s="47"/>
      <c r="AJ4873" s="126" t="e">
        <v>#N/A</v>
      </c>
      <c r="AK4873" s="80">
        <f t="shared" si="748"/>
        <v>0</v>
      </c>
      <c r="AM4873" s="85"/>
    </row>
    <row r="4874" spans="1:39" hidden="1" x14ac:dyDescent="0.3">
      <c r="A4874" s="89" t="s">
        <v>3397</v>
      </c>
      <c r="B4874" s="86" t="s">
        <v>35</v>
      </c>
      <c r="C4874" s="86" t="s">
        <v>164</v>
      </c>
      <c r="D4874" s="86" t="s">
        <v>181</v>
      </c>
      <c r="E4874" s="86" t="s">
        <v>182</v>
      </c>
      <c r="F4874" s="86" t="s">
        <v>183</v>
      </c>
      <c r="G4874" s="86" t="s">
        <v>182</v>
      </c>
      <c r="H4874" s="144">
        <v>22</v>
      </c>
      <c r="I4874" s="86" t="s">
        <v>2935</v>
      </c>
      <c r="J4874" s="1" t="s">
        <v>3302</v>
      </c>
      <c r="K4874" s="1" t="s">
        <v>3371</v>
      </c>
      <c r="L4874" s="1" t="s">
        <v>35</v>
      </c>
      <c r="M4874" s="86" t="s">
        <v>1832</v>
      </c>
      <c r="N4874" s="86"/>
      <c r="O4874" s="47" t="s">
        <v>45</v>
      </c>
      <c r="P4874" s="47" t="s">
        <v>41</v>
      </c>
      <c r="Q4874" s="14">
        <v>0</v>
      </c>
      <c r="R4874" s="143">
        <v>16472</v>
      </c>
      <c r="S4874" s="47"/>
      <c r="T4874" s="6">
        <v>-236147.21</v>
      </c>
      <c r="U4874" s="6"/>
      <c r="V4874" s="6">
        <v>23640.629999999997</v>
      </c>
      <c r="W4874" s="6">
        <f t="shared" si="742"/>
        <v>-259787.84</v>
      </c>
      <c r="X4874" s="6">
        <f t="shared" si="745"/>
        <v>23640.629999999997</v>
      </c>
      <c r="Y4874" s="13">
        <f t="shared" si="746"/>
        <v>0</v>
      </c>
      <c r="Z4874" s="14">
        <v>0.02</v>
      </c>
      <c r="AA4874" s="6">
        <f>X4874/(1-Z4874)*Z4874</f>
        <v>482.46183673469386</v>
      </c>
      <c r="AB4874" s="4">
        <f t="shared" si="747"/>
        <v>24123.091836734689</v>
      </c>
      <c r="AC4874" s="4">
        <f t="shared" si="740"/>
        <v>0</v>
      </c>
      <c r="AD4874" s="6">
        <f t="shared" si="743"/>
        <v>23640.629999999997</v>
      </c>
      <c r="AE4874" s="2">
        <f>VLOOKUP(I4874,[1]媒体政策预估表!A:N,MATCH(O4874,[1]媒体政策预估表!$A$2:$M$2,0),0)</f>
        <v>0.18</v>
      </c>
      <c r="AF4874" s="6">
        <f t="shared" si="741"/>
        <v>4255.3133999999991</v>
      </c>
      <c r="AG4874" s="14">
        <v>0</v>
      </c>
      <c r="AH4874" s="65">
        <f t="shared" si="744"/>
        <v>23640.629999999997</v>
      </c>
      <c r="AI4874" s="47"/>
      <c r="AJ4874" s="126" t="e">
        <v>#N/A</v>
      </c>
      <c r="AK4874" s="80">
        <f t="shared" si="748"/>
        <v>0</v>
      </c>
      <c r="AM4874" s="85"/>
    </row>
    <row r="4875" spans="1:39" hidden="1" x14ac:dyDescent="0.3">
      <c r="A4875" s="89" t="s">
        <v>3397</v>
      </c>
      <c r="B4875" s="86" t="s">
        <v>35</v>
      </c>
      <c r="C4875" s="86" t="s">
        <v>164</v>
      </c>
      <c r="D4875" s="86" t="s">
        <v>181</v>
      </c>
      <c r="E4875" s="86" t="s">
        <v>3069</v>
      </c>
      <c r="F4875" s="86" t="s">
        <v>3069</v>
      </c>
      <c r="G4875" s="86" t="s">
        <v>3069</v>
      </c>
      <c r="H4875" s="144">
        <v>22</v>
      </c>
      <c r="I4875" s="86" t="s">
        <v>2935</v>
      </c>
      <c r="J4875" s="1" t="s">
        <v>3302</v>
      </c>
      <c r="K4875" s="1" t="s">
        <v>3371</v>
      </c>
      <c r="L4875" s="1" t="s">
        <v>35</v>
      </c>
      <c r="M4875" s="86" t="s">
        <v>3070</v>
      </c>
      <c r="N4875" s="86"/>
      <c r="O4875" s="47" t="s">
        <v>45</v>
      </c>
      <c r="P4875" s="47" t="s">
        <v>46</v>
      </c>
      <c r="Q4875" s="14">
        <v>0.02</v>
      </c>
      <c r="R4875" s="143">
        <v>48782</v>
      </c>
      <c r="S4875" s="47"/>
      <c r="T4875" s="6">
        <v>-559476.19999999995</v>
      </c>
      <c r="U4875" s="6"/>
      <c r="V4875" s="6">
        <v>49386.8</v>
      </c>
      <c r="W4875" s="6">
        <f t="shared" si="742"/>
        <v>-608863</v>
      </c>
      <c r="X4875" s="6">
        <f t="shared" si="745"/>
        <v>48418.431372549021</v>
      </c>
      <c r="Y4875" s="13">
        <f t="shared" si="746"/>
        <v>0</v>
      </c>
      <c r="Z4875" s="14">
        <v>0</v>
      </c>
      <c r="AA4875" s="6">
        <v>0</v>
      </c>
      <c r="AB4875" s="4">
        <f t="shared" si="747"/>
        <v>48418.431372549021</v>
      </c>
      <c r="AC4875" s="4">
        <f t="shared" si="740"/>
        <v>968.36862745098188</v>
      </c>
      <c r="AD4875" s="6">
        <f t="shared" si="743"/>
        <v>49386.8</v>
      </c>
      <c r="AE4875" s="2">
        <f>VLOOKUP(I4875,[1]媒体政策预估表!A:N,MATCH(O4875,[1]媒体政策预估表!$A$2:$M$2,0),0)</f>
        <v>0.18</v>
      </c>
      <c r="AF4875" s="6">
        <f t="shared" si="741"/>
        <v>8889.6239999999998</v>
      </c>
      <c r="AG4875" s="14">
        <v>0</v>
      </c>
      <c r="AH4875" s="65">
        <f t="shared" si="744"/>
        <v>49386.8</v>
      </c>
      <c r="AI4875" s="47"/>
      <c r="AJ4875" s="126" t="e">
        <v>#N/A</v>
      </c>
      <c r="AK4875" s="80">
        <f t="shared" si="748"/>
        <v>0</v>
      </c>
      <c r="AM4875" s="85"/>
    </row>
    <row r="4876" spans="1:39" hidden="1" x14ac:dyDescent="0.3">
      <c r="A4876" s="89" t="s">
        <v>3582</v>
      </c>
      <c r="B4876" s="86" t="s">
        <v>35</v>
      </c>
      <c r="C4876" s="86" t="s">
        <v>164</v>
      </c>
      <c r="D4876" s="86" t="s">
        <v>181</v>
      </c>
      <c r="E4876" s="86" t="s">
        <v>3115</v>
      </c>
      <c r="F4876" s="86" t="s">
        <v>3115</v>
      </c>
      <c r="G4876" s="86" t="s">
        <v>3115</v>
      </c>
      <c r="H4876" s="143">
        <v>22</v>
      </c>
      <c r="I4876" s="86" t="s">
        <v>2935</v>
      </c>
      <c r="J4876" s="1" t="s">
        <v>3302</v>
      </c>
      <c r="K4876" s="1" t="s">
        <v>3371</v>
      </c>
      <c r="L4876" s="1" t="s">
        <v>35</v>
      </c>
      <c r="M4876" s="86" t="s">
        <v>3116</v>
      </c>
      <c r="N4876" s="86"/>
      <c r="O4876" s="47" t="s">
        <v>410</v>
      </c>
      <c r="P4876" s="47" t="s">
        <v>46</v>
      </c>
      <c r="Q4876" s="14">
        <v>0.05</v>
      </c>
      <c r="R4876" s="143">
        <v>8283</v>
      </c>
      <c r="S4876" s="47"/>
      <c r="T4876" s="6">
        <v>650</v>
      </c>
      <c r="U4876" s="6"/>
      <c r="V4876" s="6">
        <v>0</v>
      </c>
      <c r="W4876" s="6">
        <f t="shared" si="742"/>
        <v>650</v>
      </c>
      <c r="X4876" s="6">
        <f t="shared" si="745"/>
        <v>0</v>
      </c>
      <c r="Y4876" s="13">
        <f t="shared" si="746"/>
        <v>0</v>
      </c>
      <c r="Z4876" s="14">
        <v>0</v>
      </c>
      <c r="AA4876" s="6">
        <v>0</v>
      </c>
      <c r="AB4876" s="4"/>
      <c r="AC4876" s="4">
        <f t="shared" ref="AC4876:AC4939" si="749">IF(P4876="返现",X4876*Q4876,V4876-X4876)</f>
        <v>0</v>
      </c>
      <c r="AD4876" s="6">
        <f t="shared" si="743"/>
        <v>0</v>
      </c>
      <c r="AE4876" s="2">
        <f>VLOOKUP(I4876,[1]媒体政策预估表!A:N,MATCH(O4876,[1]媒体政策预估表!$A$2:$M$2,0),0)</f>
        <v>0.09</v>
      </c>
      <c r="AF4876" s="6">
        <f t="shared" ref="AF4876:AF4939" si="750">AD4876*AE4876</f>
        <v>0</v>
      </c>
      <c r="AG4876" s="14">
        <v>0</v>
      </c>
      <c r="AH4876" s="65">
        <f t="shared" si="744"/>
        <v>0</v>
      </c>
      <c r="AI4876" s="47"/>
      <c r="AJ4876" s="126">
        <v>3</v>
      </c>
      <c r="AK4876" s="80">
        <f t="shared" si="748"/>
        <v>0</v>
      </c>
      <c r="AM4876" s="85"/>
    </row>
    <row r="4877" spans="1:39" hidden="1" x14ac:dyDescent="0.3">
      <c r="A4877" s="89" t="s">
        <v>3582</v>
      </c>
      <c r="B4877" s="86" t="s">
        <v>35</v>
      </c>
      <c r="C4877" s="86" t="s">
        <v>36</v>
      </c>
      <c r="D4877" s="86" t="s">
        <v>224</v>
      </c>
      <c r="E4877" s="86" t="s">
        <v>3117</v>
      </c>
      <c r="F4877" s="86" t="s">
        <v>3117</v>
      </c>
      <c r="G4877" s="86" t="s">
        <v>3117</v>
      </c>
      <c r="H4877" s="143">
        <v>22</v>
      </c>
      <c r="I4877" s="86" t="s">
        <v>2935</v>
      </c>
      <c r="J4877" s="1" t="s">
        <v>3302</v>
      </c>
      <c r="K4877" s="1" t="s">
        <v>3371</v>
      </c>
      <c r="L4877" s="1" t="s">
        <v>35</v>
      </c>
      <c r="M4877" s="86" t="s">
        <v>3117</v>
      </c>
      <c r="N4877" s="86"/>
      <c r="O4877" s="47" t="s">
        <v>410</v>
      </c>
      <c r="P4877" s="47" t="s">
        <v>41</v>
      </c>
      <c r="Q4877" s="14">
        <v>0</v>
      </c>
      <c r="R4877" s="143">
        <v>88232</v>
      </c>
      <c r="S4877" s="47"/>
      <c r="T4877" s="6">
        <v>7337</v>
      </c>
      <c r="U4877" s="6"/>
      <c r="V4877" s="6">
        <v>0</v>
      </c>
      <c r="W4877" s="6">
        <f t="shared" si="742"/>
        <v>7337</v>
      </c>
      <c r="X4877" s="6">
        <f t="shared" si="745"/>
        <v>0</v>
      </c>
      <c r="Y4877" s="13">
        <f t="shared" si="746"/>
        <v>0</v>
      </c>
      <c r="Z4877" s="14">
        <v>0</v>
      </c>
      <c r="AA4877" s="6">
        <v>0</v>
      </c>
      <c r="AB4877" s="4">
        <f t="shared" si="747"/>
        <v>0</v>
      </c>
      <c r="AC4877" s="4">
        <f t="shared" si="749"/>
        <v>0</v>
      </c>
      <c r="AD4877" s="6">
        <f t="shared" si="743"/>
        <v>0</v>
      </c>
      <c r="AE4877" s="2">
        <f>VLOOKUP(I4877,[1]媒体政策预估表!A:N,MATCH(O4877,[1]媒体政策预估表!$A$2:$M$2,0),0)</f>
        <v>0.09</v>
      </c>
      <c r="AF4877" s="6">
        <f t="shared" si="750"/>
        <v>0</v>
      </c>
      <c r="AG4877" s="14">
        <v>0</v>
      </c>
      <c r="AH4877" s="65">
        <f t="shared" si="744"/>
        <v>0</v>
      </c>
      <c r="AI4877" s="47"/>
      <c r="AJ4877" s="126" t="e">
        <v>#N/A</v>
      </c>
      <c r="AK4877" s="80">
        <f t="shared" si="748"/>
        <v>0</v>
      </c>
      <c r="AM4877" s="85"/>
    </row>
    <row r="4878" spans="1:39" hidden="1" x14ac:dyDescent="0.3">
      <c r="A4878" s="89" t="s">
        <v>3397</v>
      </c>
      <c r="B4878" s="86" t="s">
        <v>35</v>
      </c>
      <c r="C4878" s="86" t="s">
        <v>36</v>
      </c>
      <c r="D4878" s="86" t="s">
        <v>224</v>
      </c>
      <c r="E4878" s="86" t="s">
        <v>2290</v>
      </c>
      <c r="F4878" s="86" t="s">
        <v>2292</v>
      </c>
      <c r="G4878" s="86" t="s">
        <v>2290</v>
      </c>
      <c r="H4878" s="143">
        <v>22</v>
      </c>
      <c r="I4878" s="86" t="s">
        <v>2935</v>
      </c>
      <c r="J4878" s="1" t="s">
        <v>3302</v>
      </c>
      <c r="K4878" s="1" t="s">
        <v>3371</v>
      </c>
      <c r="L4878" s="1" t="s">
        <v>35</v>
      </c>
      <c r="M4878" s="86" t="s">
        <v>2293</v>
      </c>
      <c r="N4878" s="86"/>
      <c r="O4878" s="47" t="s">
        <v>410</v>
      </c>
      <c r="P4878" s="47" t="s">
        <v>46</v>
      </c>
      <c r="Q4878" s="14">
        <v>0.02</v>
      </c>
      <c r="R4878" s="143">
        <v>125032</v>
      </c>
      <c r="S4878" s="47"/>
      <c r="T4878" s="6">
        <v>19864.599999999999</v>
      </c>
      <c r="U4878" s="6"/>
      <c r="V4878" s="6">
        <v>0</v>
      </c>
      <c r="W4878" s="6">
        <f t="shared" si="742"/>
        <v>19864.599999999999</v>
      </c>
      <c r="X4878" s="6">
        <f t="shared" si="745"/>
        <v>0</v>
      </c>
      <c r="Y4878" s="13">
        <f t="shared" si="746"/>
        <v>0</v>
      </c>
      <c r="Z4878" s="14">
        <v>0</v>
      </c>
      <c r="AA4878" s="6">
        <v>0</v>
      </c>
      <c r="AB4878" s="4">
        <f t="shared" si="747"/>
        <v>0</v>
      </c>
      <c r="AC4878" s="4">
        <f t="shared" si="749"/>
        <v>0</v>
      </c>
      <c r="AD4878" s="6">
        <f t="shared" si="743"/>
        <v>0</v>
      </c>
      <c r="AE4878" s="2">
        <f>VLOOKUP(I4878,[1]媒体政策预估表!A:N,MATCH(O4878,[1]媒体政策预估表!$A$2:$M$2,0),0)</f>
        <v>0.09</v>
      </c>
      <c r="AF4878" s="6">
        <f t="shared" si="750"/>
        <v>0</v>
      </c>
      <c r="AG4878" s="14">
        <v>0</v>
      </c>
      <c r="AH4878" s="65">
        <f t="shared" si="744"/>
        <v>0</v>
      </c>
      <c r="AI4878" s="47"/>
      <c r="AJ4878" s="126" t="e">
        <v>#N/A</v>
      </c>
      <c r="AK4878" s="80">
        <f t="shared" si="748"/>
        <v>0</v>
      </c>
      <c r="AM4878" s="85"/>
    </row>
    <row r="4879" spans="1:39" hidden="1" x14ac:dyDescent="0.3">
      <c r="A4879" s="89" t="s">
        <v>3397</v>
      </c>
      <c r="B4879" s="86" t="s">
        <v>35</v>
      </c>
      <c r="C4879" s="86" t="s">
        <v>36</v>
      </c>
      <c r="D4879" s="86" t="s">
        <v>54</v>
      </c>
      <c r="E4879" s="86" t="s">
        <v>2589</v>
      </c>
      <c r="F4879" s="86" t="s">
        <v>2589</v>
      </c>
      <c r="G4879" s="86" t="s">
        <v>2589</v>
      </c>
      <c r="H4879" s="143">
        <v>22</v>
      </c>
      <c r="I4879" s="86" t="s">
        <v>2935</v>
      </c>
      <c r="J4879" s="1" t="s">
        <v>3302</v>
      </c>
      <c r="K4879" s="1" t="s">
        <v>3371</v>
      </c>
      <c r="L4879" s="1" t="s">
        <v>35</v>
      </c>
      <c r="M4879" s="86" t="s">
        <v>2590</v>
      </c>
      <c r="N4879" s="86"/>
      <c r="O4879" s="47" t="s">
        <v>410</v>
      </c>
      <c r="P4879" s="47" t="s">
        <v>41</v>
      </c>
      <c r="Q4879" s="14">
        <v>0</v>
      </c>
      <c r="R4879" s="143">
        <v>73192</v>
      </c>
      <c r="S4879" s="47"/>
      <c r="T4879" s="6">
        <v>2641</v>
      </c>
      <c r="U4879" s="6"/>
      <c r="V4879" s="6">
        <v>0</v>
      </c>
      <c r="W4879" s="6">
        <f t="shared" si="742"/>
        <v>2641</v>
      </c>
      <c r="X4879" s="6">
        <f t="shared" si="745"/>
        <v>0</v>
      </c>
      <c r="Y4879" s="13">
        <f t="shared" si="746"/>
        <v>0</v>
      </c>
      <c r="Z4879" s="14">
        <v>0</v>
      </c>
      <c r="AA4879" s="6">
        <v>0</v>
      </c>
      <c r="AB4879" s="4">
        <f t="shared" si="747"/>
        <v>0</v>
      </c>
      <c r="AC4879" s="4">
        <f t="shared" si="749"/>
        <v>0</v>
      </c>
      <c r="AD4879" s="6">
        <f t="shared" si="743"/>
        <v>0</v>
      </c>
      <c r="AE4879" s="2">
        <f>VLOOKUP(I4879,[1]媒体政策预估表!A:N,MATCH(O4879,[1]媒体政策预估表!$A$2:$M$2,0),0)</f>
        <v>0.09</v>
      </c>
      <c r="AF4879" s="6">
        <f t="shared" si="750"/>
        <v>0</v>
      </c>
      <c r="AG4879" s="14">
        <v>0</v>
      </c>
      <c r="AH4879" s="65">
        <f t="shared" si="744"/>
        <v>0</v>
      </c>
      <c r="AI4879" s="47"/>
      <c r="AJ4879" s="126" t="e">
        <v>#N/A</v>
      </c>
      <c r="AK4879" s="80">
        <f t="shared" si="748"/>
        <v>0</v>
      </c>
      <c r="AM4879" s="85"/>
    </row>
    <row r="4880" spans="1:39" hidden="1" x14ac:dyDescent="0.3">
      <c r="A4880" s="89" t="s">
        <v>3397</v>
      </c>
      <c r="B4880" s="86" t="s">
        <v>35</v>
      </c>
      <c r="C4880" s="86" t="s">
        <v>36</v>
      </c>
      <c r="D4880" s="86" t="s">
        <v>54</v>
      </c>
      <c r="E4880" s="86" t="s">
        <v>2590</v>
      </c>
      <c r="F4880" s="86" t="s">
        <v>3118</v>
      </c>
      <c r="G4880" s="86" t="s">
        <v>2590</v>
      </c>
      <c r="H4880" s="143">
        <v>22</v>
      </c>
      <c r="I4880" s="86" t="s">
        <v>2935</v>
      </c>
      <c r="J4880" s="1" t="s">
        <v>3302</v>
      </c>
      <c r="K4880" s="1" t="s">
        <v>3371</v>
      </c>
      <c r="L4880" s="1" t="s">
        <v>35</v>
      </c>
      <c r="M4880" s="86" t="s">
        <v>3119</v>
      </c>
      <c r="N4880" s="86"/>
      <c r="O4880" s="47" t="s">
        <v>410</v>
      </c>
      <c r="P4880" s="47" t="s">
        <v>41</v>
      </c>
      <c r="Q4880" s="14">
        <v>0</v>
      </c>
      <c r="R4880" s="143">
        <v>86832</v>
      </c>
      <c r="S4880" s="47"/>
      <c r="T4880" s="6">
        <v>3533.05</v>
      </c>
      <c r="U4880" s="6"/>
      <c r="V4880" s="6">
        <v>0</v>
      </c>
      <c r="W4880" s="6">
        <f t="shared" si="742"/>
        <v>3533.05</v>
      </c>
      <c r="X4880" s="6">
        <f t="shared" si="745"/>
        <v>0</v>
      </c>
      <c r="Y4880" s="13">
        <f t="shared" si="746"/>
        <v>0</v>
      </c>
      <c r="Z4880" s="14">
        <v>0</v>
      </c>
      <c r="AA4880" s="6">
        <v>0</v>
      </c>
      <c r="AB4880" s="4">
        <f t="shared" si="747"/>
        <v>0</v>
      </c>
      <c r="AC4880" s="4">
        <f t="shared" si="749"/>
        <v>0</v>
      </c>
      <c r="AD4880" s="6">
        <f t="shared" si="743"/>
        <v>0</v>
      </c>
      <c r="AE4880" s="2">
        <f>VLOOKUP(I4880,[1]媒体政策预估表!A:N,MATCH(O4880,[1]媒体政策预估表!$A$2:$M$2,0),0)</f>
        <v>0.09</v>
      </c>
      <c r="AF4880" s="6">
        <f t="shared" si="750"/>
        <v>0</v>
      </c>
      <c r="AG4880" s="14">
        <v>0</v>
      </c>
      <c r="AH4880" s="65">
        <f t="shared" si="744"/>
        <v>0</v>
      </c>
      <c r="AI4880" s="47"/>
      <c r="AJ4880" s="126" t="e">
        <v>#N/A</v>
      </c>
      <c r="AK4880" s="80">
        <f t="shared" si="748"/>
        <v>0</v>
      </c>
      <c r="AM4880" s="85"/>
    </row>
    <row r="4881" spans="1:39" hidden="1" x14ac:dyDescent="0.3">
      <c r="A4881" s="89" t="s">
        <v>3582</v>
      </c>
      <c r="B4881" s="86" t="s">
        <v>35</v>
      </c>
      <c r="C4881" s="86" t="s">
        <v>36</v>
      </c>
      <c r="D4881" s="86" t="s">
        <v>54</v>
      </c>
      <c r="E4881" s="86" t="s">
        <v>2740</v>
      </c>
      <c r="F4881" s="86" t="s">
        <v>2740</v>
      </c>
      <c r="G4881" s="86" t="s">
        <v>2740</v>
      </c>
      <c r="H4881" s="144">
        <v>22</v>
      </c>
      <c r="I4881" s="86" t="s">
        <v>2935</v>
      </c>
      <c r="J4881" s="1" t="s">
        <v>3302</v>
      </c>
      <c r="K4881" s="1" t="s">
        <v>3371</v>
      </c>
      <c r="L4881" s="1" t="s">
        <v>35</v>
      </c>
      <c r="M4881" s="86" t="s">
        <v>2948</v>
      </c>
      <c r="N4881" s="86"/>
      <c r="O4881" s="47" t="s">
        <v>45</v>
      </c>
      <c r="P4881" s="47" t="s">
        <v>41</v>
      </c>
      <c r="Q4881" s="14">
        <v>0</v>
      </c>
      <c r="R4881" s="143">
        <v>46462</v>
      </c>
      <c r="S4881" s="47"/>
      <c r="T4881" s="6">
        <v>-1045.43</v>
      </c>
      <c r="U4881" s="6"/>
      <c r="V4881" s="6">
        <v>107.81</v>
      </c>
      <c r="W4881" s="6">
        <f t="shared" si="742"/>
        <v>-1153.24</v>
      </c>
      <c r="X4881" s="6">
        <f t="shared" si="745"/>
        <v>107.81</v>
      </c>
      <c r="Y4881" s="13">
        <f t="shared" si="746"/>
        <v>0</v>
      </c>
      <c r="Z4881" s="14">
        <v>0</v>
      </c>
      <c r="AA4881" s="6">
        <v>0</v>
      </c>
      <c r="AB4881" s="4">
        <f t="shared" si="747"/>
        <v>107.81</v>
      </c>
      <c r="AC4881" s="4">
        <f t="shared" si="749"/>
        <v>0</v>
      </c>
      <c r="AD4881" s="6">
        <f t="shared" si="743"/>
        <v>107.81</v>
      </c>
      <c r="AE4881" s="2">
        <f>VLOOKUP(I4881,[1]媒体政策预估表!A:N,MATCH(O4881,[1]媒体政策预估表!$A$2:$M$2,0),0)</f>
        <v>0.18</v>
      </c>
      <c r="AF4881" s="6">
        <f t="shared" si="750"/>
        <v>19.405799999999999</v>
      </c>
      <c r="AG4881" s="14">
        <v>0</v>
      </c>
      <c r="AH4881" s="65">
        <f t="shared" si="744"/>
        <v>107.81</v>
      </c>
      <c r="AI4881" s="47"/>
      <c r="AJ4881" s="126" t="e">
        <v>#N/A</v>
      </c>
      <c r="AK4881" s="80">
        <f t="shared" si="748"/>
        <v>0</v>
      </c>
      <c r="AM4881" s="85"/>
    </row>
    <row r="4882" spans="1:39" hidden="1" x14ac:dyDescent="0.3">
      <c r="A4882" s="89" t="s">
        <v>3582</v>
      </c>
      <c r="B4882" s="86" t="s">
        <v>35</v>
      </c>
      <c r="C4882" s="86" t="s">
        <v>36</v>
      </c>
      <c r="D4882" s="86" t="s">
        <v>54</v>
      </c>
      <c r="E4882" s="86" t="s">
        <v>1200</v>
      </c>
      <c r="F4882" s="86" t="s">
        <v>1201</v>
      </c>
      <c r="G4882" s="86" t="s">
        <v>1200</v>
      </c>
      <c r="H4882" s="143">
        <v>22</v>
      </c>
      <c r="I4882" s="86" t="s">
        <v>2935</v>
      </c>
      <c r="J4882" s="1" t="s">
        <v>3302</v>
      </c>
      <c r="K4882" s="1" t="s">
        <v>3371</v>
      </c>
      <c r="L4882" s="1" t="s">
        <v>35</v>
      </c>
      <c r="M4882" s="86" t="s">
        <v>1200</v>
      </c>
      <c r="N4882" s="86"/>
      <c r="O4882" s="47" t="s">
        <v>45</v>
      </c>
      <c r="P4882" s="47" t="s">
        <v>41</v>
      </c>
      <c r="Q4882" s="14">
        <v>0</v>
      </c>
      <c r="R4882" s="143">
        <v>49572</v>
      </c>
      <c r="S4882" s="47"/>
      <c r="T4882" s="6">
        <v>-67672</v>
      </c>
      <c r="U4882" s="6"/>
      <c r="V4882" s="6">
        <v>0</v>
      </c>
      <c r="W4882" s="6">
        <f t="shared" si="742"/>
        <v>-67672</v>
      </c>
      <c r="X4882" s="6">
        <f t="shared" si="745"/>
        <v>0</v>
      </c>
      <c r="Y4882" s="13">
        <f t="shared" si="746"/>
        <v>0</v>
      </c>
      <c r="Z4882" s="14">
        <v>0</v>
      </c>
      <c r="AA4882" s="6">
        <v>0</v>
      </c>
      <c r="AB4882" s="4">
        <f t="shared" si="747"/>
        <v>0</v>
      </c>
      <c r="AC4882" s="4">
        <f t="shared" si="749"/>
        <v>0</v>
      </c>
      <c r="AD4882" s="6">
        <f t="shared" si="743"/>
        <v>0</v>
      </c>
      <c r="AE4882" s="2">
        <f>VLOOKUP(I4882,[1]媒体政策预估表!A:N,MATCH(O4882,[1]媒体政策预估表!$A$2:$M$2,0),0)</f>
        <v>0.18</v>
      </c>
      <c r="AF4882" s="6">
        <f t="shared" si="750"/>
        <v>0</v>
      </c>
      <c r="AG4882" s="14">
        <v>0</v>
      </c>
      <c r="AH4882" s="65">
        <f t="shared" si="744"/>
        <v>0</v>
      </c>
      <c r="AI4882" s="47"/>
      <c r="AJ4882" s="126" t="e">
        <v>#N/A</v>
      </c>
      <c r="AK4882" s="80">
        <f t="shared" si="748"/>
        <v>0</v>
      </c>
      <c r="AM4882" s="85"/>
    </row>
    <row r="4883" spans="1:39" hidden="1" x14ac:dyDescent="0.3">
      <c r="A4883" s="89" t="s">
        <v>3582</v>
      </c>
      <c r="B4883" s="86" t="s">
        <v>35</v>
      </c>
      <c r="C4883" s="86" t="s">
        <v>36</v>
      </c>
      <c r="D4883" s="86" t="s">
        <v>54</v>
      </c>
      <c r="E4883" s="86" t="s">
        <v>458</v>
      </c>
      <c r="F4883" s="86" t="s">
        <v>458</v>
      </c>
      <c r="G4883" s="86" t="s">
        <v>458</v>
      </c>
      <c r="H4883" s="143">
        <v>22</v>
      </c>
      <c r="I4883" s="86" t="s">
        <v>2935</v>
      </c>
      <c r="J4883" s="1" t="s">
        <v>3302</v>
      </c>
      <c r="K4883" s="1" t="s">
        <v>3371</v>
      </c>
      <c r="L4883" s="1" t="s">
        <v>35</v>
      </c>
      <c r="M4883" s="86" t="s">
        <v>3120</v>
      </c>
      <c r="N4883" s="86"/>
      <c r="O4883" s="47" t="s">
        <v>410</v>
      </c>
      <c r="P4883" s="47" t="s">
        <v>41</v>
      </c>
      <c r="Q4883" s="14">
        <v>0</v>
      </c>
      <c r="R4883" s="143">
        <v>67222</v>
      </c>
      <c r="S4883" s="47"/>
      <c r="T4883" s="6">
        <v>7130.130000000001</v>
      </c>
      <c r="U4883" s="6"/>
      <c r="V4883" s="6">
        <v>0</v>
      </c>
      <c r="W4883" s="6">
        <f t="shared" si="742"/>
        <v>7130.130000000001</v>
      </c>
      <c r="X4883" s="6">
        <f t="shared" si="745"/>
        <v>0</v>
      </c>
      <c r="Y4883" s="13">
        <f t="shared" si="746"/>
        <v>0</v>
      </c>
      <c r="Z4883" s="14">
        <v>0</v>
      </c>
      <c r="AA4883" s="6">
        <v>0</v>
      </c>
      <c r="AB4883" s="4">
        <f t="shared" si="747"/>
        <v>0</v>
      </c>
      <c r="AC4883" s="4">
        <f t="shared" si="749"/>
        <v>0</v>
      </c>
      <c r="AD4883" s="6">
        <f t="shared" si="743"/>
        <v>0</v>
      </c>
      <c r="AE4883" s="2">
        <f>VLOOKUP(I4883,[1]媒体政策预估表!A:N,MATCH(O4883,[1]媒体政策预估表!$A$2:$M$2,0),0)</f>
        <v>0.09</v>
      </c>
      <c r="AF4883" s="6">
        <f t="shared" si="750"/>
        <v>0</v>
      </c>
      <c r="AG4883" s="14">
        <v>0</v>
      </c>
      <c r="AH4883" s="65">
        <f t="shared" si="744"/>
        <v>0</v>
      </c>
      <c r="AI4883" s="47"/>
      <c r="AJ4883" s="126" t="e">
        <v>#N/A</v>
      </c>
      <c r="AK4883" s="80">
        <f t="shared" si="748"/>
        <v>0</v>
      </c>
      <c r="AM4883" s="85"/>
    </row>
    <row r="4884" spans="1:39" hidden="1" x14ac:dyDescent="0.3">
      <c r="A4884" s="89" t="s">
        <v>3582</v>
      </c>
      <c r="B4884" s="86" t="s">
        <v>35</v>
      </c>
      <c r="C4884" s="86" t="s">
        <v>47</v>
      </c>
      <c r="D4884" s="86" t="s">
        <v>63</v>
      </c>
      <c r="E4884" s="86" t="s">
        <v>2480</v>
      </c>
      <c r="F4884" s="86" t="s">
        <v>2480</v>
      </c>
      <c r="G4884" s="86" t="s">
        <v>2480</v>
      </c>
      <c r="H4884" s="143">
        <v>22</v>
      </c>
      <c r="I4884" s="86" t="s">
        <v>2935</v>
      </c>
      <c r="J4884" s="1" t="s">
        <v>3302</v>
      </c>
      <c r="K4884" s="1" t="s">
        <v>3371</v>
      </c>
      <c r="L4884" s="1" t="s">
        <v>35</v>
      </c>
      <c r="M4884" s="86" t="s">
        <v>2480</v>
      </c>
      <c r="N4884" s="86"/>
      <c r="O4884" s="47" t="s">
        <v>45</v>
      </c>
      <c r="P4884" s="47" t="s">
        <v>41</v>
      </c>
      <c r="Q4884" s="14">
        <v>0</v>
      </c>
      <c r="R4884" s="143">
        <v>26532</v>
      </c>
      <c r="S4884" s="47"/>
      <c r="T4884" s="6">
        <v>-41545.46</v>
      </c>
      <c r="U4884" s="6"/>
      <c r="V4884" s="6">
        <v>0</v>
      </c>
      <c r="W4884" s="6">
        <f t="shared" si="742"/>
        <v>-41545.46</v>
      </c>
      <c r="X4884" s="6">
        <f t="shared" si="745"/>
        <v>0</v>
      </c>
      <c r="Y4884" s="13">
        <f t="shared" si="746"/>
        <v>0</v>
      </c>
      <c r="Z4884" s="14">
        <v>0</v>
      </c>
      <c r="AA4884" s="6">
        <v>0</v>
      </c>
      <c r="AB4884" s="4">
        <f t="shared" si="747"/>
        <v>0</v>
      </c>
      <c r="AC4884" s="4">
        <f t="shared" si="749"/>
        <v>0</v>
      </c>
      <c r="AD4884" s="6">
        <f t="shared" si="743"/>
        <v>0</v>
      </c>
      <c r="AE4884" s="2">
        <f>VLOOKUP(I4884,[1]媒体政策预估表!A:N,MATCH(O4884,[1]媒体政策预估表!$A$2:$M$2,0),0)</f>
        <v>0.18</v>
      </c>
      <c r="AF4884" s="6">
        <f t="shared" si="750"/>
        <v>0</v>
      </c>
      <c r="AG4884" s="14">
        <v>0</v>
      </c>
      <c r="AH4884" s="65">
        <f t="shared" si="744"/>
        <v>0</v>
      </c>
      <c r="AI4884" s="47"/>
      <c r="AJ4884" s="126" t="e">
        <v>#N/A</v>
      </c>
      <c r="AK4884" s="80">
        <f t="shared" si="748"/>
        <v>0</v>
      </c>
      <c r="AM4884" s="85"/>
    </row>
    <row r="4885" spans="1:39" hidden="1" x14ac:dyDescent="0.3">
      <c r="A4885" s="89" t="s">
        <v>3397</v>
      </c>
      <c r="B4885" s="86" t="s">
        <v>35</v>
      </c>
      <c r="C4885" s="86" t="s">
        <v>47</v>
      </c>
      <c r="D4885" s="86" t="s">
        <v>48</v>
      </c>
      <c r="E4885" s="86" t="s">
        <v>3077</v>
      </c>
      <c r="F4885" s="86" t="s">
        <v>3077</v>
      </c>
      <c r="G4885" s="86" t="s">
        <v>3077</v>
      </c>
      <c r="H4885" s="143">
        <v>22</v>
      </c>
      <c r="I4885" s="86" t="s">
        <v>2935</v>
      </c>
      <c r="J4885" s="1" t="s">
        <v>3302</v>
      </c>
      <c r="K4885" s="1" t="s">
        <v>3371</v>
      </c>
      <c r="L4885" s="1" t="s">
        <v>35</v>
      </c>
      <c r="M4885" s="86" t="s">
        <v>3077</v>
      </c>
      <c r="N4885" s="86"/>
      <c r="O4885" s="47" t="s">
        <v>45</v>
      </c>
      <c r="P4885" s="47" t="s">
        <v>41</v>
      </c>
      <c r="Q4885" s="14">
        <v>0</v>
      </c>
      <c r="R4885" s="143">
        <v>169952</v>
      </c>
      <c r="S4885" s="47"/>
      <c r="T4885" s="6">
        <v>-10080.1</v>
      </c>
      <c r="U4885" s="6"/>
      <c r="V4885" s="6">
        <v>0</v>
      </c>
      <c r="W4885" s="6">
        <f t="shared" si="742"/>
        <v>-10080.1</v>
      </c>
      <c r="X4885" s="6">
        <f t="shared" si="745"/>
        <v>0</v>
      </c>
      <c r="Y4885" s="13">
        <f t="shared" si="746"/>
        <v>0</v>
      </c>
      <c r="Z4885" s="14">
        <v>0</v>
      </c>
      <c r="AA4885" s="6">
        <v>0</v>
      </c>
      <c r="AB4885" s="4">
        <f t="shared" si="747"/>
        <v>0</v>
      </c>
      <c r="AC4885" s="4">
        <f t="shared" si="749"/>
        <v>0</v>
      </c>
      <c r="AD4885" s="6">
        <f t="shared" si="743"/>
        <v>0</v>
      </c>
      <c r="AE4885" s="2">
        <f>VLOOKUP(I4885,[1]媒体政策预估表!A:N,MATCH(O4885,[1]媒体政策预估表!$A$2:$M$2,0),0)</f>
        <v>0.18</v>
      </c>
      <c r="AF4885" s="6">
        <f t="shared" si="750"/>
        <v>0</v>
      </c>
      <c r="AG4885" s="14">
        <v>0</v>
      </c>
      <c r="AH4885" s="65">
        <f t="shared" si="744"/>
        <v>0</v>
      </c>
      <c r="AI4885" s="47"/>
      <c r="AJ4885" s="126" t="e">
        <v>#N/A</v>
      </c>
      <c r="AK4885" s="80">
        <f t="shared" si="748"/>
        <v>0</v>
      </c>
      <c r="AM4885" s="85"/>
    </row>
    <row r="4886" spans="1:39" hidden="1" x14ac:dyDescent="0.3">
      <c r="A4886" s="89" t="s">
        <v>3397</v>
      </c>
      <c r="B4886" s="86" t="s">
        <v>35</v>
      </c>
      <c r="C4886" s="86" t="s">
        <v>47</v>
      </c>
      <c r="D4886" s="86" t="s">
        <v>48</v>
      </c>
      <c r="E4886" s="86" t="s">
        <v>2279</v>
      </c>
      <c r="F4886" s="86" t="s">
        <v>2980</v>
      </c>
      <c r="G4886" s="86" t="s">
        <v>2279</v>
      </c>
      <c r="H4886" s="143">
        <v>22</v>
      </c>
      <c r="I4886" s="86" t="s">
        <v>2935</v>
      </c>
      <c r="J4886" s="1" t="s">
        <v>3302</v>
      </c>
      <c r="K4886" s="1" t="s">
        <v>3371</v>
      </c>
      <c r="L4886" s="1" t="s">
        <v>35</v>
      </c>
      <c r="M4886" s="86" t="s">
        <v>2279</v>
      </c>
      <c r="N4886" s="86"/>
      <c r="O4886" s="47" t="s">
        <v>45</v>
      </c>
      <c r="P4886" s="47" t="s">
        <v>46</v>
      </c>
      <c r="Q4886" s="14">
        <v>0.04</v>
      </c>
      <c r="R4886" s="143">
        <v>208532</v>
      </c>
      <c r="S4886" s="47"/>
      <c r="T4886" s="6">
        <v>-365615.88</v>
      </c>
      <c r="U4886" s="6"/>
      <c r="V4886" s="6">
        <v>0</v>
      </c>
      <c r="W4886" s="6">
        <f t="shared" si="742"/>
        <v>-365615.88</v>
      </c>
      <c r="X4886" s="6">
        <f t="shared" si="745"/>
        <v>0</v>
      </c>
      <c r="Y4886" s="13">
        <f t="shared" si="746"/>
        <v>0</v>
      </c>
      <c r="Z4886" s="14">
        <v>0</v>
      </c>
      <c r="AA4886" s="6">
        <v>0</v>
      </c>
      <c r="AB4886" s="4">
        <f t="shared" si="747"/>
        <v>0</v>
      </c>
      <c r="AC4886" s="4">
        <f t="shared" si="749"/>
        <v>0</v>
      </c>
      <c r="AD4886" s="6">
        <f t="shared" si="743"/>
        <v>0</v>
      </c>
      <c r="AE4886" s="2">
        <f>VLOOKUP(I4886,[1]媒体政策预估表!A:N,MATCH(O4886,[1]媒体政策预估表!$A$2:$M$2,0),0)</f>
        <v>0.18</v>
      </c>
      <c r="AF4886" s="6">
        <f t="shared" si="750"/>
        <v>0</v>
      </c>
      <c r="AG4886" s="14">
        <v>0</v>
      </c>
      <c r="AH4886" s="65">
        <f t="shared" si="744"/>
        <v>0</v>
      </c>
      <c r="AI4886" s="47"/>
      <c r="AJ4886" s="126" t="e">
        <v>#N/A</v>
      </c>
      <c r="AK4886" s="80">
        <f t="shared" si="748"/>
        <v>0</v>
      </c>
      <c r="AM4886" s="85"/>
    </row>
    <row r="4887" spans="1:39" hidden="1" x14ac:dyDescent="0.3">
      <c r="A4887" s="89" t="s">
        <v>3582</v>
      </c>
      <c r="B4887" s="86" t="s">
        <v>35</v>
      </c>
      <c r="C4887" s="86" t="s">
        <v>164</v>
      </c>
      <c r="D4887" s="86" t="s">
        <v>169</v>
      </c>
      <c r="E4887" s="86" t="s">
        <v>3011</v>
      </c>
      <c r="F4887" s="86" t="s">
        <v>3011</v>
      </c>
      <c r="G4887" s="86" t="s">
        <v>3011</v>
      </c>
      <c r="H4887" s="143">
        <v>22</v>
      </c>
      <c r="I4887" s="86" t="s">
        <v>2935</v>
      </c>
      <c r="J4887" s="1" t="s">
        <v>3302</v>
      </c>
      <c r="K4887" s="1" t="s">
        <v>3371</v>
      </c>
      <c r="L4887" s="1" t="s">
        <v>35</v>
      </c>
      <c r="M4887" s="86" t="s">
        <v>3011</v>
      </c>
      <c r="N4887" s="86"/>
      <c r="O4887" s="47" t="s">
        <v>45</v>
      </c>
      <c r="P4887" s="47" t="s">
        <v>41</v>
      </c>
      <c r="Q4887" s="14">
        <v>0</v>
      </c>
      <c r="R4887" s="143">
        <v>51562</v>
      </c>
      <c r="S4887" s="47"/>
      <c r="T4887" s="6">
        <v>-168764.61</v>
      </c>
      <c r="U4887" s="6"/>
      <c r="V4887" s="6">
        <v>0</v>
      </c>
      <c r="W4887" s="6">
        <f t="shared" si="742"/>
        <v>-168764.61</v>
      </c>
      <c r="X4887" s="6">
        <f t="shared" si="745"/>
        <v>0</v>
      </c>
      <c r="Y4887" s="13">
        <f t="shared" si="746"/>
        <v>0</v>
      </c>
      <c r="Z4887" s="14">
        <v>0</v>
      </c>
      <c r="AA4887" s="6">
        <v>0</v>
      </c>
      <c r="AB4887" s="4">
        <f t="shared" si="747"/>
        <v>0</v>
      </c>
      <c r="AC4887" s="4">
        <f t="shared" si="749"/>
        <v>0</v>
      </c>
      <c r="AD4887" s="6">
        <f t="shared" si="743"/>
        <v>0</v>
      </c>
      <c r="AE4887" s="2">
        <f>VLOOKUP(I4887,[1]媒体政策预估表!A:N,MATCH(O4887,[1]媒体政策预估表!$A$2:$M$2,0),0)</f>
        <v>0.18</v>
      </c>
      <c r="AF4887" s="6">
        <f t="shared" si="750"/>
        <v>0</v>
      </c>
      <c r="AG4887" s="14">
        <v>0</v>
      </c>
      <c r="AH4887" s="65">
        <f t="shared" si="744"/>
        <v>0</v>
      </c>
      <c r="AI4887" s="47"/>
      <c r="AJ4887" s="126" t="e">
        <v>#N/A</v>
      </c>
      <c r="AK4887" s="80">
        <f t="shared" si="748"/>
        <v>0</v>
      </c>
      <c r="AM4887" s="85"/>
    </row>
    <row r="4888" spans="1:39" hidden="1" x14ac:dyDescent="0.3">
      <c r="A4888" s="89" t="s">
        <v>3397</v>
      </c>
      <c r="B4888" s="86" t="s">
        <v>35</v>
      </c>
      <c r="C4888" s="86" t="s">
        <v>47</v>
      </c>
      <c r="D4888" s="86" t="s">
        <v>48</v>
      </c>
      <c r="E4888" s="86" t="s">
        <v>2482</v>
      </c>
      <c r="F4888" s="86" t="s">
        <v>2483</v>
      </c>
      <c r="G4888" s="86" t="s">
        <v>2482</v>
      </c>
      <c r="H4888" s="143">
        <v>22</v>
      </c>
      <c r="I4888" s="86" t="s">
        <v>2935</v>
      </c>
      <c r="J4888" s="1" t="s">
        <v>3302</v>
      </c>
      <c r="K4888" s="1" t="s">
        <v>3371</v>
      </c>
      <c r="L4888" s="1" t="s">
        <v>35</v>
      </c>
      <c r="M4888" s="86" t="s">
        <v>2482</v>
      </c>
      <c r="N4888" s="86"/>
      <c r="O4888" s="47" t="s">
        <v>45</v>
      </c>
      <c r="P4888" s="47" t="s">
        <v>41</v>
      </c>
      <c r="Q4888" s="14">
        <v>0</v>
      </c>
      <c r="R4888" s="143">
        <v>52872</v>
      </c>
      <c r="S4888" s="47"/>
      <c r="T4888" s="6">
        <v>-51441.16</v>
      </c>
      <c r="U4888" s="6"/>
      <c r="V4888" s="6">
        <v>0</v>
      </c>
      <c r="W4888" s="6">
        <f t="shared" si="742"/>
        <v>-51441.16</v>
      </c>
      <c r="X4888" s="6">
        <f t="shared" si="745"/>
        <v>0</v>
      </c>
      <c r="Y4888" s="13">
        <f t="shared" si="746"/>
        <v>0</v>
      </c>
      <c r="Z4888" s="14">
        <v>0</v>
      </c>
      <c r="AA4888" s="6">
        <v>0</v>
      </c>
      <c r="AB4888" s="4">
        <f t="shared" si="747"/>
        <v>0</v>
      </c>
      <c r="AC4888" s="4">
        <f t="shared" si="749"/>
        <v>0</v>
      </c>
      <c r="AD4888" s="6">
        <f t="shared" si="743"/>
        <v>0</v>
      </c>
      <c r="AE4888" s="2">
        <f>VLOOKUP(I4888,[1]媒体政策预估表!A:N,MATCH(O4888,[1]媒体政策预估表!$A$2:$M$2,0),0)</f>
        <v>0.18</v>
      </c>
      <c r="AF4888" s="6">
        <f t="shared" si="750"/>
        <v>0</v>
      </c>
      <c r="AG4888" s="14">
        <v>0</v>
      </c>
      <c r="AH4888" s="65">
        <f t="shared" si="744"/>
        <v>0</v>
      </c>
      <c r="AI4888" s="47"/>
      <c r="AJ4888" s="126" t="e">
        <v>#N/A</v>
      </c>
      <c r="AK4888" s="80">
        <f t="shared" si="748"/>
        <v>0</v>
      </c>
      <c r="AM4888" s="85"/>
    </row>
    <row r="4889" spans="1:39" hidden="1" x14ac:dyDescent="0.3">
      <c r="A4889" s="89" t="s">
        <v>3582</v>
      </c>
      <c r="B4889" s="86" t="s">
        <v>35</v>
      </c>
      <c r="C4889" s="86" t="s">
        <v>164</v>
      </c>
      <c r="D4889" s="86" t="s">
        <v>174</v>
      </c>
      <c r="E4889" s="86" t="s">
        <v>1966</v>
      </c>
      <c r="F4889" s="86" t="s">
        <v>1966</v>
      </c>
      <c r="G4889" s="86" t="s">
        <v>1966</v>
      </c>
      <c r="H4889" s="143">
        <v>22</v>
      </c>
      <c r="I4889" s="86" t="s">
        <v>2935</v>
      </c>
      <c r="J4889" s="1" t="s">
        <v>3302</v>
      </c>
      <c r="K4889" s="1" t="s">
        <v>3371</v>
      </c>
      <c r="L4889" s="1" t="s">
        <v>35</v>
      </c>
      <c r="M4889" s="86" t="s">
        <v>3018</v>
      </c>
      <c r="N4889" s="86"/>
      <c r="O4889" s="47" t="s">
        <v>45</v>
      </c>
      <c r="P4889" s="47" t="s">
        <v>41</v>
      </c>
      <c r="Q4889" s="14">
        <v>0</v>
      </c>
      <c r="R4889" s="143">
        <v>41722</v>
      </c>
      <c r="S4889" s="47"/>
      <c r="T4889" s="6">
        <v>-145114.81</v>
      </c>
      <c r="U4889" s="6"/>
      <c r="V4889" s="6">
        <v>0</v>
      </c>
      <c r="W4889" s="6">
        <f t="shared" si="742"/>
        <v>-145114.81</v>
      </c>
      <c r="X4889" s="6">
        <f t="shared" si="745"/>
        <v>0</v>
      </c>
      <c r="Y4889" s="13">
        <f t="shared" si="746"/>
        <v>0</v>
      </c>
      <c r="Z4889" s="14">
        <v>0</v>
      </c>
      <c r="AA4889" s="6">
        <v>0</v>
      </c>
      <c r="AB4889" s="4">
        <f t="shared" si="747"/>
        <v>0</v>
      </c>
      <c r="AC4889" s="4">
        <f t="shared" si="749"/>
        <v>0</v>
      </c>
      <c r="AD4889" s="6">
        <f t="shared" si="743"/>
        <v>0</v>
      </c>
      <c r="AE4889" s="2">
        <f>VLOOKUP(I4889,[1]媒体政策预估表!A:N,MATCH(O4889,[1]媒体政策预估表!$A$2:$M$2,0),0)</f>
        <v>0.18</v>
      </c>
      <c r="AF4889" s="6">
        <f t="shared" si="750"/>
        <v>0</v>
      </c>
      <c r="AG4889" s="14">
        <v>0</v>
      </c>
      <c r="AH4889" s="65">
        <f t="shared" si="744"/>
        <v>0</v>
      </c>
      <c r="AI4889" s="47"/>
      <c r="AJ4889" s="126" t="e">
        <v>#N/A</v>
      </c>
      <c r="AK4889" s="80">
        <f t="shared" si="748"/>
        <v>0</v>
      </c>
      <c r="AM4889" s="85"/>
    </row>
    <row r="4890" spans="1:39" hidden="1" x14ac:dyDescent="0.3">
      <c r="A4890" s="89" t="s">
        <v>3583</v>
      </c>
      <c r="B4890" s="86" t="s">
        <v>35</v>
      </c>
      <c r="C4890" s="86" t="s">
        <v>164</v>
      </c>
      <c r="D4890" s="86" t="s">
        <v>165</v>
      </c>
      <c r="E4890" s="86" t="s">
        <v>615</v>
      </c>
      <c r="F4890" s="86" t="s">
        <v>615</v>
      </c>
      <c r="G4890" s="86" t="s">
        <v>615</v>
      </c>
      <c r="H4890" s="143">
        <v>22</v>
      </c>
      <c r="I4890" s="86" t="s">
        <v>2935</v>
      </c>
      <c r="J4890" s="1" t="s">
        <v>3302</v>
      </c>
      <c r="K4890" s="1" t="s">
        <v>3371</v>
      </c>
      <c r="L4890" s="1" t="s">
        <v>35</v>
      </c>
      <c r="M4890" s="86" t="s">
        <v>616</v>
      </c>
      <c r="N4890" s="86"/>
      <c r="O4890" s="47" t="s">
        <v>45</v>
      </c>
      <c r="P4890" s="47" t="s">
        <v>41</v>
      </c>
      <c r="Q4890" s="14">
        <v>0</v>
      </c>
      <c r="R4890" s="143">
        <v>31572</v>
      </c>
      <c r="S4890" s="47"/>
      <c r="T4890" s="6">
        <v>-6716.95</v>
      </c>
      <c r="U4890" s="6"/>
      <c r="V4890" s="6">
        <v>0</v>
      </c>
      <c r="W4890" s="6">
        <f t="shared" si="742"/>
        <v>-6716.95</v>
      </c>
      <c r="X4890" s="6">
        <f t="shared" si="745"/>
        <v>0</v>
      </c>
      <c r="Y4890" s="13">
        <f t="shared" si="746"/>
        <v>0</v>
      </c>
      <c r="Z4890" s="14">
        <v>0</v>
      </c>
      <c r="AA4890" s="6">
        <v>0</v>
      </c>
      <c r="AB4890" s="4">
        <f t="shared" si="747"/>
        <v>0</v>
      </c>
      <c r="AC4890" s="4">
        <f t="shared" si="749"/>
        <v>0</v>
      </c>
      <c r="AD4890" s="6">
        <f t="shared" si="743"/>
        <v>0</v>
      </c>
      <c r="AE4890" s="2">
        <f>VLOOKUP(I4890,[1]媒体政策预估表!A:N,MATCH(O4890,[1]媒体政策预估表!$A$2:$M$2,0),0)</f>
        <v>0.18</v>
      </c>
      <c r="AF4890" s="6">
        <f t="shared" si="750"/>
        <v>0</v>
      </c>
      <c r="AG4890" s="14">
        <v>0</v>
      </c>
      <c r="AH4890" s="65">
        <f t="shared" si="744"/>
        <v>0</v>
      </c>
      <c r="AI4890" s="47"/>
      <c r="AJ4890" s="126" t="e">
        <v>#N/A</v>
      </c>
      <c r="AK4890" s="80">
        <f t="shared" si="748"/>
        <v>0</v>
      </c>
      <c r="AM4890" s="85"/>
    </row>
    <row r="4891" spans="1:39" hidden="1" x14ac:dyDescent="0.3">
      <c r="A4891" s="89" t="s">
        <v>3582</v>
      </c>
      <c r="B4891" s="86" t="s">
        <v>35</v>
      </c>
      <c r="C4891" s="86" t="s">
        <v>36</v>
      </c>
      <c r="D4891" s="86" t="s">
        <v>37</v>
      </c>
      <c r="E4891" s="86" t="s">
        <v>57</v>
      </c>
      <c r="F4891" s="86" t="s">
        <v>3071</v>
      </c>
      <c r="G4891" s="86" t="s">
        <v>57</v>
      </c>
      <c r="H4891" s="143">
        <v>22</v>
      </c>
      <c r="I4891" s="86" t="s">
        <v>2935</v>
      </c>
      <c r="J4891" s="1" t="s">
        <v>3302</v>
      </c>
      <c r="K4891" s="1" t="s">
        <v>3371</v>
      </c>
      <c r="L4891" s="1" t="s">
        <v>35</v>
      </c>
      <c r="M4891" s="86" t="s">
        <v>3076</v>
      </c>
      <c r="N4891" s="86"/>
      <c r="O4891" s="47" t="s">
        <v>45</v>
      </c>
      <c r="P4891" s="47" t="s">
        <v>46</v>
      </c>
      <c r="Q4891" s="14">
        <v>0.04</v>
      </c>
      <c r="R4891" s="143">
        <v>33302</v>
      </c>
      <c r="S4891" s="47"/>
      <c r="T4891" s="6">
        <v>-3229.28</v>
      </c>
      <c r="U4891" s="6"/>
      <c r="V4891" s="6">
        <v>0</v>
      </c>
      <c r="W4891" s="6">
        <f t="shared" si="742"/>
        <v>-3229.28</v>
      </c>
      <c r="X4891" s="6">
        <f t="shared" si="745"/>
        <v>0</v>
      </c>
      <c r="Y4891" s="13">
        <f t="shared" si="746"/>
        <v>0</v>
      </c>
      <c r="Z4891" s="14">
        <v>0</v>
      </c>
      <c r="AA4891" s="6">
        <v>0</v>
      </c>
      <c r="AB4891" s="4">
        <f t="shared" si="747"/>
        <v>0</v>
      </c>
      <c r="AC4891" s="4">
        <f t="shared" si="749"/>
        <v>0</v>
      </c>
      <c r="AD4891" s="6">
        <f t="shared" si="743"/>
        <v>0</v>
      </c>
      <c r="AE4891" s="2">
        <f>VLOOKUP(I4891,[1]媒体政策预估表!A:N,MATCH(O4891,[1]媒体政策预估表!$A$2:$M$2,0),0)</f>
        <v>0.18</v>
      </c>
      <c r="AF4891" s="6">
        <f t="shared" si="750"/>
        <v>0</v>
      </c>
      <c r="AG4891" s="14">
        <v>0</v>
      </c>
      <c r="AH4891" s="65">
        <f t="shared" si="744"/>
        <v>0</v>
      </c>
      <c r="AI4891" s="47"/>
      <c r="AJ4891" s="126" t="e">
        <v>#N/A</v>
      </c>
      <c r="AK4891" s="80">
        <f t="shared" si="748"/>
        <v>0</v>
      </c>
      <c r="AM4891" s="85"/>
    </row>
    <row r="4892" spans="1:39" hidden="1" x14ac:dyDescent="0.3">
      <c r="A4892" s="89" t="s">
        <v>3397</v>
      </c>
      <c r="B4892" s="86" t="s">
        <v>35</v>
      </c>
      <c r="C4892" s="86" t="s">
        <v>164</v>
      </c>
      <c r="D4892" s="86" t="s">
        <v>174</v>
      </c>
      <c r="E4892" s="86" t="s">
        <v>1966</v>
      </c>
      <c r="F4892" s="86" t="s">
        <v>1966</v>
      </c>
      <c r="G4892" s="86" t="s">
        <v>1966</v>
      </c>
      <c r="H4892" s="144">
        <v>22</v>
      </c>
      <c r="I4892" s="86" t="s">
        <v>2935</v>
      </c>
      <c r="J4892" s="1" t="s">
        <v>3302</v>
      </c>
      <c r="K4892" s="1" t="s">
        <v>3371</v>
      </c>
      <c r="L4892" s="1" t="s">
        <v>35</v>
      </c>
      <c r="M4892" s="86" t="s">
        <v>2604</v>
      </c>
      <c r="N4892" s="86"/>
      <c r="O4892" s="47" t="s">
        <v>45</v>
      </c>
      <c r="P4892" s="47" t="s">
        <v>41</v>
      </c>
      <c r="Q4892" s="14">
        <v>0</v>
      </c>
      <c r="R4892" s="143">
        <v>20942</v>
      </c>
      <c r="S4892" s="47"/>
      <c r="T4892" s="6">
        <v>-69890.53</v>
      </c>
      <c r="U4892" s="6"/>
      <c r="V4892" s="6">
        <v>477.07</v>
      </c>
      <c r="W4892" s="6">
        <f t="shared" si="742"/>
        <v>-70367.600000000006</v>
      </c>
      <c r="X4892" s="6">
        <f t="shared" si="745"/>
        <v>477.07</v>
      </c>
      <c r="Y4892" s="13">
        <f t="shared" si="746"/>
        <v>0</v>
      </c>
      <c r="Z4892" s="14">
        <v>0</v>
      </c>
      <c r="AA4892" s="6">
        <v>0</v>
      </c>
      <c r="AB4892" s="4">
        <f t="shared" si="747"/>
        <v>477.07</v>
      </c>
      <c r="AC4892" s="4">
        <f t="shared" si="749"/>
        <v>0</v>
      </c>
      <c r="AD4892" s="6">
        <f t="shared" si="743"/>
        <v>477.07</v>
      </c>
      <c r="AE4892" s="2">
        <f>VLOOKUP(I4892,[1]媒体政策预估表!A:N,MATCH(O4892,[1]媒体政策预估表!$A$2:$M$2,0),0)</f>
        <v>0.18</v>
      </c>
      <c r="AF4892" s="6">
        <f t="shared" si="750"/>
        <v>85.872599999999991</v>
      </c>
      <c r="AG4892" s="14">
        <v>0</v>
      </c>
      <c r="AH4892" s="65">
        <f t="shared" si="744"/>
        <v>477.07</v>
      </c>
      <c r="AI4892" s="47"/>
      <c r="AJ4892" s="126" t="e">
        <v>#N/A</v>
      </c>
      <c r="AK4892" s="80">
        <f t="shared" si="748"/>
        <v>0</v>
      </c>
      <c r="AM4892" s="85"/>
    </row>
    <row r="4893" spans="1:39" hidden="1" x14ac:dyDescent="0.3">
      <c r="A4893" s="89" t="s">
        <v>3397</v>
      </c>
      <c r="B4893" s="86" t="s">
        <v>35</v>
      </c>
      <c r="C4893" s="86" t="s">
        <v>164</v>
      </c>
      <c r="D4893" s="86" t="s">
        <v>181</v>
      </c>
      <c r="E4893" s="86" t="s">
        <v>182</v>
      </c>
      <c r="F4893" s="86" t="s">
        <v>183</v>
      </c>
      <c r="G4893" s="86" t="s">
        <v>182</v>
      </c>
      <c r="H4893" s="143">
        <v>22</v>
      </c>
      <c r="I4893" s="86" t="s">
        <v>2935</v>
      </c>
      <c r="J4893" s="1" t="s">
        <v>3302</v>
      </c>
      <c r="K4893" s="1" t="s">
        <v>3371</v>
      </c>
      <c r="L4893" s="1" t="s">
        <v>35</v>
      </c>
      <c r="M4893" s="86" t="s">
        <v>3038</v>
      </c>
      <c r="N4893" s="86"/>
      <c r="O4893" s="47" t="s">
        <v>45</v>
      </c>
      <c r="P4893" s="47" t="s">
        <v>41</v>
      </c>
      <c r="Q4893" s="14">
        <v>0</v>
      </c>
      <c r="R4893" s="143">
        <v>116712</v>
      </c>
      <c r="S4893" s="47"/>
      <c r="T4893" s="6">
        <v>-26</v>
      </c>
      <c r="U4893" s="6"/>
      <c r="V4893" s="6">
        <v>0</v>
      </c>
      <c r="W4893" s="6">
        <f t="shared" si="742"/>
        <v>-26</v>
      </c>
      <c r="X4893" s="6">
        <f t="shared" si="745"/>
        <v>0</v>
      </c>
      <c r="Y4893" s="13">
        <f t="shared" si="746"/>
        <v>0</v>
      </c>
      <c r="Z4893" s="14">
        <v>0.02</v>
      </c>
      <c r="AA4893" s="6">
        <f>X4893/(1-Z4893)*Z4893</f>
        <v>0</v>
      </c>
      <c r="AB4893" s="4">
        <f t="shared" si="747"/>
        <v>0</v>
      </c>
      <c r="AC4893" s="4">
        <f t="shared" si="749"/>
        <v>0</v>
      </c>
      <c r="AD4893" s="6">
        <f t="shared" si="743"/>
        <v>0</v>
      </c>
      <c r="AE4893" s="2">
        <f>VLOOKUP(I4893,[1]媒体政策预估表!A:N,MATCH(O4893,[1]媒体政策预估表!$A$2:$M$2,0),0)</f>
        <v>0.18</v>
      </c>
      <c r="AF4893" s="6">
        <f t="shared" si="750"/>
        <v>0</v>
      </c>
      <c r="AG4893" s="14">
        <v>0</v>
      </c>
      <c r="AH4893" s="65">
        <f t="shared" si="744"/>
        <v>0</v>
      </c>
      <c r="AI4893" s="47"/>
      <c r="AJ4893" s="126" t="e">
        <v>#N/A</v>
      </c>
      <c r="AK4893" s="80">
        <f t="shared" si="748"/>
        <v>0</v>
      </c>
      <c r="AM4893" s="85"/>
    </row>
    <row r="4894" spans="1:39" hidden="1" x14ac:dyDescent="0.3">
      <c r="A4894" s="89" t="s">
        <v>3397</v>
      </c>
      <c r="B4894" s="86" t="s">
        <v>35</v>
      </c>
      <c r="C4894" s="86" t="s">
        <v>47</v>
      </c>
      <c r="D4894" s="86" t="s">
        <v>48</v>
      </c>
      <c r="E4894" s="86" t="s">
        <v>2909</v>
      </c>
      <c r="F4894" s="86" t="s">
        <v>2909</v>
      </c>
      <c r="G4894" s="86" t="s">
        <v>2909</v>
      </c>
      <c r="H4894" s="143">
        <v>22</v>
      </c>
      <c r="I4894" s="86" t="s">
        <v>2935</v>
      </c>
      <c r="J4894" s="1" t="s">
        <v>3302</v>
      </c>
      <c r="K4894" s="1" t="s">
        <v>3371</v>
      </c>
      <c r="L4894" s="1" t="s">
        <v>35</v>
      </c>
      <c r="M4894" s="86" t="s">
        <v>2983</v>
      </c>
      <c r="N4894" s="86"/>
      <c r="O4894" s="47" t="s">
        <v>45</v>
      </c>
      <c r="P4894" s="47" t="s">
        <v>41</v>
      </c>
      <c r="Q4894" s="14">
        <v>0</v>
      </c>
      <c r="R4894" s="143">
        <v>235462</v>
      </c>
      <c r="S4894" s="47"/>
      <c r="T4894" s="6">
        <v>-160375.22</v>
      </c>
      <c r="U4894" s="6"/>
      <c r="V4894" s="6">
        <v>0</v>
      </c>
      <c r="W4894" s="6">
        <f t="shared" si="742"/>
        <v>-160375.22</v>
      </c>
      <c r="X4894" s="6">
        <f t="shared" si="745"/>
        <v>0</v>
      </c>
      <c r="Y4894" s="13">
        <f t="shared" si="746"/>
        <v>0</v>
      </c>
      <c r="Z4894" s="14">
        <v>0</v>
      </c>
      <c r="AA4894" s="6">
        <v>0</v>
      </c>
      <c r="AB4894" s="4">
        <f t="shared" si="747"/>
        <v>0</v>
      </c>
      <c r="AC4894" s="4">
        <f t="shared" si="749"/>
        <v>0</v>
      </c>
      <c r="AD4894" s="6">
        <f t="shared" si="743"/>
        <v>0</v>
      </c>
      <c r="AE4894" s="2">
        <f>VLOOKUP(I4894,[1]媒体政策预估表!A:N,MATCH(O4894,[1]媒体政策预估表!$A$2:$M$2,0),0)</f>
        <v>0.18</v>
      </c>
      <c r="AF4894" s="6">
        <f t="shared" si="750"/>
        <v>0</v>
      </c>
      <c r="AG4894" s="14">
        <v>0</v>
      </c>
      <c r="AH4894" s="65">
        <f t="shared" si="744"/>
        <v>0</v>
      </c>
      <c r="AI4894" s="47"/>
      <c r="AJ4894" s="126" t="e">
        <v>#N/A</v>
      </c>
      <c r="AK4894" s="80">
        <f t="shared" si="748"/>
        <v>0</v>
      </c>
      <c r="AM4894" s="85"/>
    </row>
    <row r="4895" spans="1:39" hidden="1" x14ac:dyDescent="0.3">
      <c r="A4895" s="89" t="s">
        <v>3582</v>
      </c>
      <c r="B4895" s="86" t="s">
        <v>35</v>
      </c>
      <c r="C4895" s="86" t="s">
        <v>59</v>
      </c>
      <c r="D4895" s="86" t="s">
        <v>60</v>
      </c>
      <c r="E4895" s="86" t="s">
        <v>891</v>
      </c>
      <c r="F4895" s="86" t="s">
        <v>3085</v>
      </c>
      <c r="G4895" s="86" t="s">
        <v>891</v>
      </c>
      <c r="H4895" s="143">
        <v>22</v>
      </c>
      <c r="I4895" s="86" t="s">
        <v>2935</v>
      </c>
      <c r="J4895" s="1" t="s">
        <v>3302</v>
      </c>
      <c r="K4895" s="1" t="s">
        <v>3371</v>
      </c>
      <c r="L4895" s="1" t="s">
        <v>35</v>
      </c>
      <c r="M4895" s="86" t="s">
        <v>3084</v>
      </c>
      <c r="N4895" s="86"/>
      <c r="O4895" s="47" t="s">
        <v>410</v>
      </c>
      <c r="P4895" s="47" t="s">
        <v>46</v>
      </c>
      <c r="Q4895" s="14">
        <v>0.05</v>
      </c>
      <c r="R4895" s="143">
        <v>3316</v>
      </c>
      <c r="S4895" s="47"/>
      <c r="T4895" s="6">
        <v>356.31999999999971</v>
      </c>
      <c r="U4895" s="6"/>
      <c r="V4895" s="6">
        <v>0</v>
      </c>
      <c r="W4895" s="6">
        <f t="shared" si="742"/>
        <v>356.31999999999971</v>
      </c>
      <c r="X4895" s="6">
        <f t="shared" si="745"/>
        <v>0</v>
      </c>
      <c r="Y4895" s="13">
        <f t="shared" si="746"/>
        <v>0</v>
      </c>
      <c r="Z4895" s="14">
        <v>0</v>
      </c>
      <c r="AA4895" s="6">
        <v>0</v>
      </c>
      <c r="AB4895" s="4">
        <f t="shared" si="747"/>
        <v>0</v>
      </c>
      <c r="AC4895" s="4">
        <f t="shared" si="749"/>
        <v>0</v>
      </c>
      <c r="AD4895" s="6">
        <f t="shared" si="743"/>
        <v>0</v>
      </c>
      <c r="AE4895" s="2">
        <f>VLOOKUP(I4895,[1]媒体政策预估表!A:N,MATCH(O4895,[1]媒体政策预估表!$A$2:$M$2,0),0)</f>
        <v>0.09</v>
      </c>
      <c r="AF4895" s="6">
        <f t="shared" si="750"/>
        <v>0</v>
      </c>
      <c r="AG4895" s="14">
        <v>0</v>
      </c>
      <c r="AH4895" s="65">
        <f t="shared" si="744"/>
        <v>0</v>
      </c>
      <c r="AI4895" s="47"/>
      <c r="AJ4895" s="126" t="e">
        <v>#N/A</v>
      </c>
      <c r="AK4895" s="80">
        <f t="shared" si="748"/>
        <v>0</v>
      </c>
      <c r="AM4895" s="85"/>
    </row>
    <row r="4896" spans="1:39" hidden="1" x14ac:dyDescent="0.3">
      <c r="A4896" s="89" t="s">
        <v>3582</v>
      </c>
      <c r="B4896" s="86" t="s">
        <v>35</v>
      </c>
      <c r="C4896" s="86" t="s">
        <v>164</v>
      </c>
      <c r="D4896" s="86" t="s">
        <v>174</v>
      </c>
      <c r="E4896" s="86" t="s">
        <v>651</v>
      </c>
      <c r="F4896" s="86" t="s">
        <v>651</v>
      </c>
      <c r="G4896" s="86" t="s">
        <v>651</v>
      </c>
      <c r="H4896" s="143">
        <v>22</v>
      </c>
      <c r="I4896" s="86" t="s">
        <v>2935</v>
      </c>
      <c r="J4896" s="1" t="s">
        <v>3302</v>
      </c>
      <c r="K4896" s="1" t="s">
        <v>3371</v>
      </c>
      <c r="L4896" s="1" t="s">
        <v>35</v>
      </c>
      <c r="M4896" s="86" t="s">
        <v>651</v>
      </c>
      <c r="N4896" s="86"/>
      <c r="O4896" s="47" t="s">
        <v>410</v>
      </c>
      <c r="P4896" s="47" t="s">
        <v>46</v>
      </c>
      <c r="Q4896" s="14">
        <v>0.02</v>
      </c>
      <c r="R4896" s="143">
        <v>104552</v>
      </c>
      <c r="S4896" s="47"/>
      <c r="T4896" s="6">
        <v>-48518.63</v>
      </c>
      <c r="U4896" s="6"/>
      <c r="V4896" s="6">
        <v>0</v>
      </c>
      <c r="W4896" s="6">
        <f t="shared" si="742"/>
        <v>-48518.63</v>
      </c>
      <c r="X4896" s="6">
        <f t="shared" si="745"/>
        <v>0</v>
      </c>
      <c r="Y4896" s="13">
        <f t="shared" si="746"/>
        <v>0</v>
      </c>
      <c r="Z4896" s="14">
        <v>0</v>
      </c>
      <c r="AA4896" s="6">
        <v>0</v>
      </c>
      <c r="AB4896" s="4">
        <f t="shared" si="747"/>
        <v>0</v>
      </c>
      <c r="AC4896" s="4">
        <f t="shared" si="749"/>
        <v>0</v>
      </c>
      <c r="AD4896" s="6">
        <f t="shared" si="743"/>
        <v>0</v>
      </c>
      <c r="AE4896" s="2">
        <f>VLOOKUP(I4896,[1]媒体政策预估表!A:N,MATCH(O4896,[1]媒体政策预估表!$A$2:$M$2,0),0)</f>
        <v>0.09</v>
      </c>
      <c r="AF4896" s="6">
        <f t="shared" si="750"/>
        <v>0</v>
      </c>
      <c r="AG4896" s="14">
        <v>0</v>
      </c>
      <c r="AH4896" s="65">
        <f t="shared" si="744"/>
        <v>0</v>
      </c>
      <c r="AI4896" s="47"/>
      <c r="AJ4896" s="126" t="e">
        <v>#N/A</v>
      </c>
      <c r="AK4896" s="80">
        <f t="shared" si="748"/>
        <v>0</v>
      </c>
      <c r="AM4896" s="85"/>
    </row>
    <row r="4897" spans="1:39" hidden="1" x14ac:dyDescent="0.3">
      <c r="A4897" s="89" t="s">
        <v>3582</v>
      </c>
      <c r="B4897" s="86" t="s">
        <v>35</v>
      </c>
      <c r="C4897" s="86" t="s">
        <v>59</v>
      </c>
      <c r="D4897" s="86" t="s">
        <v>60</v>
      </c>
      <c r="E4897" s="86" t="s">
        <v>3057</v>
      </c>
      <c r="F4897" s="86" t="s">
        <v>3057</v>
      </c>
      <c r="G4897" s="86" t="s">
        <v>3057</v>
      </c>
      <c r="H4897" s="143">
        <v>22</v>
      </c>
      <c r="I4897" s="86" t="s">
        <v>2935</v>
      </c>
      <c r="J4897" s="1" t="s">
        <v>3302</v>
      </c>
      <c r="K4897" s="1" t="s">
        <v>3371</v>
      </c>
      <c r="L4897" s="1" t="s">
        <v>35</v>
      </c>
      <c r="M4897" s="86" t="s">
        <v>3057</v>
      </c>
      <c r="N4897" s="86"/>
      <c r="O4897" s="47" t="s">
        <v>45</v>
      </c>
      <c r="P4897" s="47" t="s">
        <v>41</v>
      </c>
      <c r="Q4897" s="14">
        <v>0</v>
      </c>
      <c r="R4897" s="143">
        <v>96962</v>
      </c>
      <c r="S4897" s="47"/>
      <c r="T4897" s="6">
        <v>-293.76</v>
      </c>
      <c r="U4897" s="6"/>
      <c r="V4897" s="6">
        <v>0</v>
      </c>
      <c r="W4897" s="6">
        <f t="shared" si="742"/>
        <v>-293.76</v>
      </c>
      <c r="X4897" s="6">
        <f t="shared" si="745"/>
        <v>0</v>
      </c>
      <c r="Y4897" s="13">
        <f t="shared" si="746"/>
        <v>0</v>
      </c>
      <c r="Z4897" s="14">
        <v>0</v>
      </c>
      <c r="AA4897" s="6">
        <v>0</v>
      </c>
      <c r="AB4897" s="4">
        <f t="shared" si="747"/>
        <v>0</v>
      </c>
      <c r="AC4897" s="4">
        <f t="shared" si="749"/>
        <v>0</v>
      </c>
      <c r="AD4897" s="6">
        <f t="shared" si="743"/>
        <v>0</v>
      </c>
      <c r="AE4897" s="2">
        <f>VLOOKUP(I4897,[1]媒体政策预估表!A:N,MATCH(O4897,[1]媒体政策预估表!$A$2:$M$2,0),0)</f>
        <v>0.18</v>
      </c>
      <c r="AF4897" s="6">
        <f t="shared" si="750"/>
        <v>0</v>
      </c>
      <c r="AG4897" s="14">
        <v>0</v>
      </c>
      <c r="AH4897" s="65">
        <f t="shared" si="744"/>
        <v>0</v>
      </c>
      <c r="AI4897" s="47"/>
      <c r="AJ4897" s="126" t="e">
        <v>#N/A</v>
      </c>
      <c r="AK4897" s="80">
        <f t="shared" si="748"/>
        <v>0</v>
      </c>
      <c r="AM4897" s="85"/>
    </row>
    <row r="4898" spans="1:39" hidden="1" x14ac:dyDescent="0.3">
      <c r="A4898" s="89" t="s">
        <v>3582</v>
      </c>
      <c r="B4898" s="86" t="s">
        <v>35</v>
      </c>
      <c r="C4898" s="86" t="s">
        <v>164</v>
      </c>
      <c r="D4898" s="86" t="s">
        <v>165</v>
      </c>
      <c r="E4898" s="86" t="s">
        <v>2129</v>
      </c>
      <c r="F4898" s="86" t="s">
        <v>2129</v>
      </c>
      <c r="G4898" s="86" t="s">
        <v>2129</v>
      </c>
      <c r="H4898" s="143">
        <v>22</v>
      </c>
      <c r="I4898" s="86" t="s">
        <v>2935</v>
      </c>
      <c r="J4898" s="1" t="s">
        <v>3302</v>
      </c>
      <c r="K4898" s="1" t="s">
        <v>3371</v>
      </c>
      <c r="L4898" s="1" t="s">
        <v>35</v>
      </c>
      <c r="M4898" s="86" t="s">
        <v>3004</v>
      </c>
      <c r="N4898" s="86"/>
      <c r="O4898" s="47" t="s">
        <v>45</v>
      </c>
      <c r="P4898" s="47" t="s">
        <v>41</v>
      </c>
      <c r="Q4898" s="14">
        <v>0</v>
      </c>
      <c r="R4898" s="143">
        <v>238232</v>
      </c>
      <c r="S4898" s="47"/>
      <c r="T4898" s="6">
        <v>-935756.02</v>
      </c>
      <c r="U4898" s="6"/>
      <c r="V4898" s="6">
        <v>0</v>
      </c>
      <c r="W4898" s="6">
        <f t="shared" si="742"/>
        <v>-935756.02</v>
      </c>
      <c r="X4898" s="6">
        <f t="shared" si="745"/>
        <v>0</v>
      </c>
      <c r="Y4898" s="13">
        <f t="shared" si="746"/>
        <v>0</v>
      </c>
      <c r="Z4898" s="14">
        <v>0</v>
      </c>
      <c r="AA4898" s="6">
        <v>0</v>
      </c>
      <c r="AB4898" s="4">
        <f t="shared" si="747"/>
        <v>0</v>
      </c>
      <c r="AC4898" s="4">
        <f t="shared" si="749"/>
        <v>0</v>
      </c>
      <c r="AD4898" s="6">
        <f t="shared" si="743"/>
        <v>0</v>
      </c>
      <c r="AE4898" s="2">
        <f>VLOOKUP(I4898,[1]媒体政策预估表!A:N,MATCH(O4898,[1]媒体政策预估表!$A$2:$M$2,0),0)</f>
        <v>0.18</v>
      </c>
      <c r="AF4898" s="6">
        <f t="shared" si="750"/>
        <v>0</v>
      </c>
      <c r="AG4898" s="14">
        <v>0</v>
      </c>
      <c r="AH4898" s="65">
        <f t="shared" si="744"/>
        <v>0</v>
      </c>
      <c r="AI4898" s="47"/>
      <c r="AJ4898" s="126" t="e">
        <v>#N/A</v>
      </c>
      <c r="AK4898" s="80">
        <f t="shared" si="748"/>
        <v>0</v>
      </c>
      <c r="AM4898" s="85"/>
    </row>
    <row r="4899" spans="1:39" hidden="1" x14ac:dyDescent="0.3">
      <c r="A4899" s="89" t="s">
        <v>3397</v>
      </c>
      <c r="B4899" s="86" t="s">
        <v>35</v>
      </c>
      <c r="C4899" s="86" t="s">
        <v>36</v>
      </c>
      <c r="D4899" s="86" t="s">
        <v>54</v>
      </c>
      <c r="E4899" s="86" t="s">
        <v>114</v>
      </c>
      <c r="F4899" s="86" t="s">
        <v>114</v>
      </c>
      <c r="G4899" s="86" t="s">
        <v>114</v>
      </c>
      <c r="H4899" s="144">
        <v>22</v>
      </c>
      <c r="I4899" s="86" t="s">
        <v>2935</v>
      </c>
      <c r="J4899" s="1" t="s">
        <v>3302</v>
      </c>
      <c r="K4899" s="1" t="s">
        <v>3371</v>
      </c>
      <c r="L4899" s="1" t="s">
        <v>35</v>
      </c>
      <c r="M4899" s="86" t="s">
        <v>1866</v>
      </c>
      <c r="N4899" s="86"/>
      <c r="O4899" s="47" t="s">
        <v>45</v>
      </c>
      <c r="P4899" s="47" t="s">
        <v>46</v>
      </c>
      <c r="Q4899" s="14">
        <v>0.04</v>
      </c>
      <c r="R4899" s="143">
        <v>62122</v>
      </c>
      <c r="S4899" s="47"/>
      <c r="T4899" s="6">
        <v>-430564.51</v>
      </c>
      <c r="U4899" s="6"/>
      <c r="V4899" s="6">
        <v>869862.15</v>
      </c>
      <c r="W4899" s="6">
        <f t="shared" si="742"/>
        <v>-1300426.6600000001</v>
      </c>
      <c r="X4899" s="6">
        <f t="shared" si="745"/>
        <v>836405.9134615385</v>
      </c>
      <c r="Y4899" s="13">
        <f t="shared" si="746"/>
        <v>0</v>
      </c>
      <c r="Z4899" s="14">
        <v>0</v>
      </c>
      <c r="AA4899" s="6">
        <v>0</v>
      </c>
      <c r="AB4899" s="4">
        <f t="shared" si="747"/>
        <v>836405.9134615385</v>
      </c>
      <c r="AC4899" s="4">
        <f t="shared" si="749"/>
        <v>33456.236538461526</v>
      </c>
      <c r="AD4899" s="6">
        <f t="shared" si="743"/>
        <v>869862.15</v>
      </c>
      <c r="AE4899" s="2">
        <f>VLOOKUP(I4899,[1]媒体政策预估表!A:N,MATCH(O4899,[1]媒体政策预估表!$A$2:$M$2,0),0)</f>
        <v>0.18</v>
      </c>
      <c r="AF4899" s="6">
        <f t="shared" si="750"/>
        <v>156575.18700000001</v>
      </c>
      <c r="AG4899" s="14">
        <v>0</v>
      </c>
      <c r="AH4899" s="65">
        <f t="shared" si="744"/>
        <v>869862.15</v>
      </c>
      <c r="AI4899" s="47"/>
      <c r="AJ4899" s="126" t="e">
        <v>#N/A</v>
      </c>
      <c r="AK4899" s="80">
        <f t="shared" si="748"/>
        <v>0</v>
      </c>
      <c r="AM4899" s="85"/>
    </row>
    <row r="4900" spans="1:39" hidden="1" x14ac:dyDescent="0.3">
      <c r="A4900" s="89" t="s">
        <v>3397</v>
      </c>
      <c r="B4900" s="86" t="s">
        <v>35</v>
      </c>
      <c r="C4900" s="86" t="s">
        <v>164</v>
      </c>
      <c r="D4900" s="86" t="s">
        <v>174</v>
      </c>
      <c r="E4900" s="86" t="s">
        <v>1966</v>
      </c>
      <c r="F4900" s="86" t="s">
        <v>1966</v>
      </c>
      <c r="G4900" s="86" t="s">
        <v>1966</v>
      </c>
      <c r="H4900" s="143">
        <v>22</v>
      </c>
      <c r="I4900" s="86" t="s">
        <v>2935</v>
      </c>
      <c r="J4900" s="1" t="s">
        <v>3302</v>
      </c>
      <c r="K4900" s="1" t="s">
        <v>3371</v>
      </c>
      <c r="L4900" s="1" t="s">
        <v>35</v>
      </c>
      <c r="M4900" s="86" t="s">
        <v>3052</v>
      </c>
      <c r="N4900" s="86"/>
      <c r="O4900" s="47" t="s">
        <v>45</v>
      </c>
      <c r="P4900" s="47" t="s">
        <v>41</v>
      </c>
      <c r="Q4900" s="14">
        <v>0</v>
      </c>
      <c r="R4900" s="143">
        <v>215482</v>
      </c>
      <c r="S4900" s="47"/>
      <c r="T4900" s="6">
        <v>-23601.200000000001</v>
      </c>
      <c r="U4900" s="6"/>
      <c r="V4900" s="6">
        <v>0</v>
      </c>
      <c r="W4900" s="6">
        <f t="shared" si="742"/>
        <v>-23601.200000000001</v>
      </c>
      <c r="X4900" s="6">
        <f t="shared" si="745"/>
        <v>0</v>
      </c>
      <c r="Y4900" s="13">
        <f t="shared" si="746"/>
        <v>0</v>
      </c>
      <c r="Z4900" s="14">
        <v>0</v>
      </c>
      <c r="AA4900" s="6">
        <v>0</v>
      </c>
      <c r="AB4900" s="4">
        <f t="shared" si="747"/>
        <v>0</v>
      </c>
      <c r="AC4900" s="4">
        <f t="shared" si="749"/>
        <v>0</v>
      </c>
      <c r="AD4900" s="6">
        <f t="shared" si="743"/>
        <v>0</v>
      </c>
      <c r="AE4900" s="2">
        <f>VLOOKUP(I4900,[1]媒体政策预估表!A:N,MATCH(O4900,[1]媒体政策预估表!$A$2:$M$2,0),0)</f>
        <v>0.18</v>
      </c>
      <c r="AF4900" s="6">
        <f t="shared" si="750"/>
        <v>0</v>
      </c>
      <c r="AG4900" s="14">
        <v>0</v>
      </c>
      <c r="AH4900" s="65">
        <f t="shared" si="744"/>
        <v>0</v>
      </c>
      <c r="AI4900" s="47"/>
      <c r="AJ4900" s="126" t="e">
        <v>#N/A</v>
      </c>
      <c r="AK4900" s="80">
        <f t="shared" si="748"/>
        <v>0</v>
      </c>
      <c r="AM4900" s="85"/>
    </row>
    <row r="4901" spans="1:39" hidden="1" x14ac:dyDescent="0.3">
      <c r="A4901" s="89" t="s">
        <v>3397</v>
      </c>
      <c r="B4901" s="86" t="s">
        <v>35</v>
      </c>
      <c r="C4901" s="86" t="s">
        <v>36</v>
      </c>
      <c r="D4901" s="86" t="s">
        <v>54</v>
      </c>
      <c r="E4901" s="86" t="s">
        <v>114</v>
      </c>
      <c r="F4901" s="86" t="s">
        <v>114</v>
      </c>
      <c r="G4901" s="86" t="s">
        <v>114</v>
      </c>
      <c r="H4901" s="144">
        <v>22</v>
      </c>
      <c r="I4901" s="86" t="s">
        <v>2935</v>
      </c>
      <c r="J4901" s="1" t="s">
        <v>3302</v>
      </c>
      <c r="K4901" s="1" t="s">
        <v>3371</v>
      </c>
      <c r="L4901" s="1" t="s">
        <v>35</v>
      </c>
      <c r="M4901" s="86" t="s">
        <v>2956</v>
      </c>
      <c r="N4901" s="86"/>
      <c r="O4901" s="47" t="s">
        <v>45</v>
      </c>
      <c r="P4901" s="47" t="s">
        <v>46</v>
      </c>
      <c r="Q4901" s="14">
        <v>0.04</v>
      </c>
      <c r="R4901" s="143">
        <v>238152</v>
      </c>
      <c r="S4901" s="47"/>
      <c r="T4901" s="6">
        <v>-58669.73</v>
      </c>
      <c r="U4901" s="6"/>
      <c r="V4901" s="6">
        <v>28680.400000000001</v>
      </c>
      <c r="W4901" s="6">
        <f t="shared" si="742"/>
        <v>-87350.13</v>
      </c>
      <c r="X4901" s="6">
        <f t="shared" si="745"/>
        <v>27577.307692307691</v>
      </c>
      <c r="Y4901" s="13">
        <f t="shared" si="746"/>
        <v>0</v>
      </c>
      <c r="Z4901" s="14">
        <v>0</v>
      </c>
      <c r="AA4901" s="6">
        <v>0</v>
      </c>
      <c r="AB4901" s="4">
        <f t="shared" si="747"/>
        <v>27577.307692307691</v>
      </c>
      <c r="AC4901" s="4">
        <f t="shared" si="749"/>
        <v>1103.09230769231</v>
      </c>
      <c r="AD4901" s="6">
        <f t="shared" si="743"/>
        <v>28680.400000000001</v>
      </c>
      <c r="AE4901" s="2">
        <f>VLOOKUP(I4901,[1]媒体政策预估表!A:N,MATCH(O4901,[1]媒体政策预估表!$A$2:$M$2,0),0)</f>
        <v>0.18</v>
      </c>
      <c r="AF4901" s="6">
        <f t="shared" si="750"/>
        <v>5162.4719999999998</v>
      </c>
      <c r="AG4901" s="14">
        <v>0</v>
      </c>
      <c r="AH4901" s="65">
        <f t="shared" si="744"/>
        <v>28680.400000000001</v>
      </c>
      <c r="AI4901" s="47"/>
      <c r="AJ4901" s="126" t="e">
        <v>#N/A</v>
      </c>
      <c r="AK4901" s="80">
        <f t="shared" si="748"/>
        <v>0</v>
      </c>
      <c r="AM4901" s="85"/>
    </row>
    <row r="4902" spans="1:39" hidden="1" x14ac:dyDescent="0.3">
      <c r="A4902" s="89" t="s">
        <v>3582</v>
      </c>
      <c r="B4902" s="86" t="s">
        <v>35</v>
      </c>
      <c r="C4902" s="86" t="s">
        <v>47</v>
      </c>
      <c r="D4902" s="86" t="s">
        <v>48</v>
      </c>
      <c r="E4902" s="86" t="s">
        <v>2909</v>
      </c>
      <c r="F4902" s="86" t="s">
        <v>2909</v>
      </c>
      <c r="G4902" s="86" t="s">
        <v>2909</v>
      </c>
      <c r="H4902" s="143">
        <v>22</v>
      </c>
      <c r="I4902" s="86" t="s">
        <v>2935</v>
      </c>
      <c r="J4902" s="1" t="s">
        <v>3302</v>
      </c>
      <c r="K4902" s="1" t="s">
        <v>3371</v>
      </c>
      <c r="L4902" s="1" t="s">
        <v>35</v>
      </c>
      <c r="M4902" s="86" t="s">
        <v>2984</v>
      </c>
      <c r="N4902" s="86"/>
      <c r="O4902" s="47" t="s">
        <v>45</v>
      </c>
      <c r="P4902" s="47" t="s">
        <v>41</v>
      </c>
      <c r="Q4902" s="14">
        <v>0</v>
      </c>
      <c r="R4902" s="143">
        <v>238242</v>
      </c>
      <c r="S4902" s="47"/>
      <c r="T4902" s="6">
        <v>-75624.570000000007</v>
      </c>
      <c r="U4902" s="6"/>
      <c r="V4902" s="6">
        <v>0</v>
      </c>
      <c r="W4902" s="6">
        <f t="shared" si="742"/>
        <v>-75624.570000000007</v>
      </c>
      <c r="X4902" s="6">
        <f t="shared" si="745"/>
        <v>0</v>
      </c>
      <c r="Y4902" s="13">
        <f t="shared" si="746"/>
        <v>0</v>
      </c>
      <c r="Z4902" s="14">
        <v>0</v>
      </c>
      <c r="AA4902" s="6">
        <v>0</v>
      </c>
      <c r="AB4902" s="4">
        <f t="shared" si="747"/>
        <v>0</v>
      </c>
      <c r="AC4902" s="4">
        <f t="shared" si="749"/>
        <v>0</v>
      </c>
      <c r="AD4902" s="6">
        <f t="shared" si="743"/>
        <v>0</v>
      </c>
      <c r="AE4902" s="2">
        <f>VLOOKUP(I4902,[1]媒体政策预估表!A:N,MATCH(O4902,[1]媒体政策预估表!$A$2:$M$2,0),0)</f>
        <v>0.18</v>
      </c>
      <c r="AF4902" s="6">
        <f t="shared" si="750"/>
        <v>0</v>
      </c>
      <c r="AG4902" s="14">
        <v>0</v>
      </c>
      <c r="AH4902" s="65">
        <f t="shared" si="744"/>
        <v>0</v>
      </c>
      <c r="AI4902" s="47"/>
      <c r="AJ4902" s="126" t="e">
        <v>#N/A</v>
      </c>
      <c r="AK4902" s="80">
        <f t="shared" si="748"/>
        <v>0</v>
      </c>
      <c r="AM4902" s="85"/>
    </row>
    <row r="4903" spans="1:39" hidden="1" x14ac:dyDescent="0.3">
      <c r="A4903" s="89" t="s">
        <v>3582</v>
      </c>
      <c r="B4903" s="86" t="s">
        <v>35</v>
      </c>
      <c r="C4903" s="86" t="s">
        <v>65</v>
      </c>
      <c r="D4903" s="86" t="s">
        <v>66</v>
      </c>
      <c r="E4903" s="86" t="s">
        <v>2354</v>
      </c>
      <c r="F4903" s="86" t="s">
        <v>2354</v>
      </c>
      <c r="G4903" s="86" t="s">
        <v>2354</v>
      </c>
      <c r="H4903" s="144">
        <v>22</v>
      </c>
      <c r="I4903" s="86" t="s">
        <v>2935</v>
      </c>
      <c r="J4903" s="1" t="s">
        <v>3302</v>
      </c>
      <c r="K4903" s="1" t="s">
        <v>3371</v>
      </c>
      <c r="L4903" s="1" t="s">
        <v>35</v>
      </c>
      <c r="M4903" s="86" t="s">
        <v>2354</v>
      </c>
      <c r="N4903" s="86"/>
      <c r="O4903" s="47" t="s">
        <v>45</v>
      </c>
      <c r="P4903" s="47" t="s">
        <v>46</v>
      </c>
      <c r="Q4903" s="14">
        <v>0.05</v>
      </c>
      <c r="R4903" s="143">
        <v>10872</v>
      </c>
      <c r="S4903" s="47"/>
      <c r="T4903" s="6">
        <v>-876159.79</v>
      </c>
      <c r="U4903" s="6"/>
      <c r="V4903" s="6">
        <v>1045913.22</v>
      </c>
      <c r="W4903" s="6">
        <f t="shared" si="742"/>
        <v>-1922073.01</v>
      </c>
      <c r="X4903" s="6">
        <f t="shared" si="745"/>
        <v>996107.82857142854</v>
      </c>
      <c r="Y4903" s="13">
        <f t="shared" si="746"/>
        <v>0</v>
      </c>
      <c r="Z4903" s="14">
        <v>0</v>
      </c>
      <c r="AA4903" s="6">
        <v>0</v>
      </c>
      <c r="AB4903" s="4">
        <f t="shared" si="747"/>
        <v>996107.82857142854</v>
      </c>
      <c r="AC4903" s="4">
        <f t="shared" si="749"/>
        <v>49805.391428571427</v>
      </c>
      <c r="AD4903" s="6">
        <f t="shared" si="743"/>
        <v>1045913.22</v>
      </c>
      <c r="AE4903" s="2">
        <f>VLOOKUP(I4903,[1]媒体政策预估表!A:N,MATCH(O4903,[1]媒体政策预估表!$A$2:$M$2,0),0)</f>
        <v>0.18</v>
      </c>
      <c r="AF4903" s="6">
        <f t="shared" si="750"/>
        <v>188264.37959999999</v>
      </c>
      <c r="AG4903" s="14">
        <v>0</v>
      </c>
      <c r="AH4903" s="65">
        <f t="shared" si="744"/>
        <v>1045913.22</v>
      </c>
      <c r="AI4903" s="47"/>
      <c r="AJ4903" s="126" t="e">
        <v>#N/A</v>
      </c>
      <c r="AK4903" s="80">
        <f t="shared" si="748"/>
        <v>0</v>
      </c>
      <c r="AM4903" s="85"/>
    </row>
    <row r="4904" spans="1:39" hidden="1" x14ac:dyDescent="0.3">
      <c r="A4904" s="89" t="s">
        <v>3583</v>
      </c>
      <c r="B4904" s="86" t="s">
        <v>35</v>
      </c>
      <c r="C4904" s="86" t="s">
        <v>47</v>
      </c>
      <c r="D4904" s="86" t="s">
        <v>48</v>
      </c>
      <c r="E4904" s="86" t="s">
        <v>550</v>
      </c>
      <c r="F4904" s="86" t="s">
        <v>551</v>
      </c>
      <c r="G4904" s="86" t="s">
        <v>550</v>
      </c>
      <c r="H4904" s="144">
        <v>22</v>
      </c>
      <c r="I4904" s="86" t="s">
        <v>2935</v>
      </c>
      <c r="J4904" s="1" t="s">
        <v>3302</v>
      </c>
      <c r="K4904" s="1" t="s">
        <v>3371</v>
      </c>
      <c r="L4904" s="1" t="s">
        <v>35</v>
      </c>
      <c r="M4904" s="86" t="s">
        <v>550</v>
      </c>
      <c r="N4904" s="86"/>
      <c r="O4904" s="47" t="s">
        <v>45</v>
      </c>
      <c r="P4904" s="47" t="s">
        <v>46</v>
      </c>
      <c r="Q4904" s="14">
        <v>0.06</v>
      </c>
      <c r="R4904" s="143">
        <v>100212</v>
      </c>
      <c r="S4904" s="47"/>
      <c r="T4904" s="6">
        <v>0</v>
      </c>
      <c r="U4904" s="6"/>
      <c r="V4904" s="6">
        <v>11543.85</v>
      </c>
      <c r="W4904" s="6">
        <f t="shared" si="742"/>
        <v>-11543.85</v>
      </c>
      <c r="X4904" s="6">
        <f t="shared" si="745"/>
        <v>10890.424528301886</v>
      </c>
      <c r="Y4904" s="13">
        <f t="shared" si="746"/>
        <v>0</v>
      </c>
      <c r="Z4904" s="14">
        <v>0</v>
      </c>
      <c r="AA4904" s="6">
        <v>0</v>
      </c>
      <c r="AB4904" s="4">
        <f t="shared" si="747"/>
        <v>10890.424528301886</v>
      </c>
      <c r="AC4904" s="4">
        <f t="shared" si="749"/>
        <v>653.42547169811405</v>
      </c>
      <c r="AD4904" s="6">
        <f t="shared" si="743"/>
        <v>11543.85</v>
      </c>
      <c r="AE4904" s="2">
        <f>VLOOKUP(I4904,[1]媒体政策预估表!A:N,MATCH(O4904,[1]媒体政策预估表!$A$2:$M$2,0),0)</f>
        <v>0.18</v>
      </c>
      <c r="AF4904" s="6">
        <f t="shared" si="750"/>
        <v>2077.893</v>
      </c>
      <c r="AG4904" s="14">
        <v>0</v>
      </c>
      <c r="AH4904" s="65">
        <f t="shared" si="744"/>
        <v>11543.85</v>
      </c>
      <c r="AI4904" s="47"/>
      <c r="AJ4904" s="126" t="e">
        <v>#N/A</v>
      </c>
      <c r="AK4904" s="80">
        <f t="shared" si="748"/>
        <v>0</v>
      </c>
      <c r="AM4904" s="85"/>
    </row>
    <row r="4905" spans="1:39" hidden="1" x14ac:dyDescent="0.3">
      <c r="A4905" s="89" t="s">
        <v>3583</v>
      </c>
      <c r="B4905" s="86" t="s">
        <v>35</v>
      </c>
      <c r="C4905" s="86" t="s">
        <v>65</v>
      </c>
      <c r="D4905" s="86" t="s">
        <v>66</v>
      </c>
      <c r="E4905" s="86" t="s">
        <v>2678</v>
      </c>
      <c r="F4905" s="86" t="s">
        <v>2679</v>
      </c>
      <c r="G4905" s="86" t="s">
        <v>2678</v>
      </c>
      <c r="H4905" s="143">
        <v>22</v>
      </c>
      <c r="I4905" s="86" t="s">
        <v>2935</v>
      </c>
      <c r="J4905" s="1" t="s">
        <v>3302</v>
      </c>
      <c r="K4905" s="1" t="s">
        <v>3371</v>
      </c>
      <c r="L4905" s="1" t="s">
        <v>35</v>
      </c>
      <c r="M4905" s="86" t="s">
        <v>2965</v>
      </c>
      <c r="N4905" s="86"/>
      <c r="O4905" s="47" t="s">
        <v>45</v>
      </c>
      <c r="P4905" s="47" t="s">
        <v>41</v>
      </c>
      <c r="Q4905" s="14">
        <v>0</v>
      </c>
      <c r="R4905" s="143">
        <v>112112</v>
      </c>
      <c r="S4905" s="47"/>
      <c r="T4905" s="6">
        <v>-608.1</v>
      </c>
      <c r="U4905" s="6"/>
      <c r="V4905" s="6">
        <v>0</v>
      </c>
      <c r="W4905" s="6">
        <f t="shared" si="742"/>
        <v>-608.1</v>
      </c>
      <c r="X4905" s="6">
        <f t="shared" si="745"/>
        <v>0</v>
      </c>
      <c r="Y4905" s="13">
        <f t="shared" si="746"/>
        <v>0</v>
      </c>
      <c r="Z4905" s="14">
        <v>0</v>
      </c>
      <c r="AA4905" s="6">
        <v>0</v>
      </c>
      <c r="AB4905" s="4">
        <f t="shared" si="747"/>
        <v>0</v>
      </c>
      <c r="AC4905" s="4">
        <f t="shared" si="749"/>
        <v>0</v>
      </c>
      <c r="AD4905" s="6">
        <f t="shared" si="743"/>
        <v>0</v>
      </c>
      <c r="AE4905" s="2">
        <f>VLOOKUP(I4905,[1]媒体政策预估表!A:N,MATCH(O4905,[1]媒体政策预估表!$A$2:$M$2,0),0)</f>
        <v>0.18</v>
      </c>
      <c r="AF4905" s="6">
        <f t="shared" si="750"/>
        <v>0</v>
      </c>
      <c r="AG4905" s="14">
        <v>0</v>
      </c>
      <c r="AH4905" s="65">
        <f t="shared" si="744"/>
        <v>0</v>
      </c>
      <c r="AI4905" s="47"/>
      <c r="AJ4905" s="126" t="e">
        <v>#N/A</v>
      </c>
      <c r="AK4905" s="80">
        <f t="shared" si="748"/>
        <v>0</v>
      </c>
      <c r="AM4905" s="85"/>
    </row>
    <row r="4906" spans="1:39" hidden="1" x14ac:dyDescent="0.3">
      <c r="A4906" s="89" t="s">
        <v>3397</v>
      </c>
      <c r="B4906" s="86" t="s">
        <v>35</v>
      </c>
      <c r="C4906" s="86" t="s">
        <v>164</v>
      </c>
      <c r="D4906" s="86" t="s">
        <v>174</v>
      </c>
      <c r="E4906" s="86" t="s">
        <v>1966</v>
      </c>
      <c r="F4906" s="86" t="s">
        <v>1966</v>
      </c>
      <c r="G4906" s="86" t="s">
        <v>1966</v>
      </c>
      <c r="H4906" s="144">
        <v>22</v>
      </c>
      <c r="I4906" s="86" t="s">
        <v>2935</v>
      </c>
      <c r="J4906" s="1" t="s">
        <v>3302</v>
      </c>
      <c r="K4906" s="1" t="s">
        <v>3371</v>
      </c>
      <c r="L4906" s="1" t="s">
        <v>35</v>
      </c>
      <c r="M4906" s="86" t="s">
        <v>3019</v>
      </c>
      <c r="N4906" s="86"/>
      <c r="O4906" s="47" t="s">
        <v>45</v>
      </c>
      <c r="P4906" s="47" t="s">
        <v>41</v>
      </c>
      <c r="Q4906" s="14">
        <v>0</v>
      </c>
      <c r="R4906" s="143">
        <v>186502</v>
      </c>
      <c r="S4906" s="47"/>
      <c r="T4906" s="6">
        <v>-1400</v>
      </c>
      <c r="U4906" s="6"/>
      <c r="V4906" s="6">
        <v>200.9</v>
      </c>
      <c r="W4906" s="6">
        <f t="shared" si="742"/>
        <v>-1600.9</v>
      </c>
      <c r="X4906" s="6">
        <f t="shared" si="745"/>
        <v>200.9</v>
      </c>
      <c r="Y4906" s="13">
        <f t="shared" si="746"/>
        <v>0</v>
      </c>
      <c r="Z4906" s="14">
        <v>0</v>
      </c>
      <c r="AA4906" s="6">
        <v>0</v>
      </c>
      <c r="AB4906" s="4">
        <f t="shared" si="747"/>
        <v>200.9</v>
      </c>
      <c r="AC4906" s="4">
        <f t="shared" si="749"/>
        <v>0</v>
      </c>
      <c r="AD4906" s="6">
        <f t="shared" si="743"/>
        <v>200.9</v>
      </c>
      <c r="AE4906" s="2">
        <f>VLOOKUP(I4906,[1]媒体政策预估表!A:N,MATCH(O4906,[1]媒体政策预估表!$A$2:$M$2,0),0)</f>
        <v>0.18</v>
      </c>
      <c r="AF4906" s="6">
        <f t="shared" si="750"/>
        <v>36.161999999999999</v>
      </c>
      <c r="AG4906" s="14">
        <v>0</v>
      </c>
      <c r="AH4906" s="65">
        <f t="shared" si="744"/>
        <v>200.9</v>
      </c>
      <c r="AI4906" s="47"/>
      <c r="AJ4906" s="126" t="e">
        <v>#N/A</v>
      </c>
      <c r="AK4906" s="80">
        <f t="shared" si="748"/>
        <v>0</v>
      </c>
      <c r="AM4906" s="85"/>
    </row>
    <row r="4907" spans="1:39" hidden="1" x14ac:dyDescent="0.3">
      <c r="A4907" s="89" t="s">
        <v>3582</v>
      </c>
      <c r="B4907" s="86" t="s">
        <v>35</v>
      </c>
      <c r="C4907" s="86" t="s">
        <v>164</v>
      </c>
      <c r="D4907" s="86" t="s">
        <v>174</v>
      </c>
      <c r="E4907" s="86" t="s">
        <v>1668</v>
      </c>
      <c r="F4907" s="86" t="s">
        <v>1669</v>
      </c>
      <c r="G4907" s="86" t="s">
        <v>1668</v>
      </c>
      <c r="H4907" s="143">
        <v>22</v>
      </c>
      <c r="I4907" s="86" t="s">
        <v>2935</v>
      </c>
      <c r="J4907" s="1" t="s">
        <v>3302</v>
      </c>
      <c r="K4907" s="1" t="s">
        <v>3371</v>
      </c>
      <c r="L4907" s="1" t="s">
        <v>35</v>
      </c>
      <c r="M4907" s="86" t="s">
        <v>3029</v>
      </c>
      <c r="N4907" s="86"/>
      <c r="O4907" s="47" t="s">
        <v>45</v>
      </c>
      <c r="P4907" s="47" t="s">
        <v>46</v>
      </c>
      <c r="Q4907" s="14">
        <v>0.05</v>
      </c>
      <c r="R4907" s="143">
        <v>10818</v>
      </c>
      <c r="S4907" s="47"/>
      <c r="T4907" s="6">
        <v>-1117.1300000000001</v>
      </c>
      <c r="U4907" s="6"/>
      <c r="V4907" s="6">
        <v>0</v>
      </c>
      <c r="W4907" s="6">
        <f t="shared" si="742"/>
        <v>-1117.1300000000001</v>
      </c>
      <c r="X4907" s="6">
        <f t="shared" si="745"/>
        <v>0</v>
      </c>
      <c r="Y4907" s="13">
        <f t="shared" si="746"/>
        <v>0</v>
      </c>
      <c r="Z4907" s="14">
        <v>0</v>
      </c>
      <c r="AA4907" s="6">
        <v>0</v>
      </c>
      <c r="AB4907" s="4">
        <f t="shared" si="747"/>
        <v>0</v>
      </c>
      <c r="AC4907" s="4">
        <f t="shared" si="749"/>
        <v>0</v>
      </c>
      <c r="AD4907" s="6">
        <f t="shared" si="743"/>
        <v>0</v>
      </c>
      <c r="AE4907" s="2">
        <f>VLOOKUP(I4907,[1]媒体政策预估表!A:N,MATCH(O4907,[1]媒体政策预估表!$A$2:$M$2,0),0)</f>
        <v>0.18</v>
      </c>
      <c r="AF4907" s="6">
        <f t="shared" si="750"/>
        <v>0</v>
      </c>
      <c r="AG4907" s="14">
        <v>0</v>
      </c>
      <c r="AH4907" s="65">
        <f t="shared" si="744"/>
        <v>0</v>
      </c>
      <c r="AI4907" s="47"/>
      <c r="AJ4907" s="126" t="e">
        <v>#N/A</v>
      </c>
      <c r="AK4907" s="80">
        <f t="shared" si="748"/>
        <v>0</v>
      </c>
      <c r="AM4907" s="85"/>
    </row>
    <row r="4908" spans="1:39" hidden="1" x14ac:dyDescent="0.3">
      <c r="A4908" s="89" t="s">
        <v>3583</v>
      </c>
      <c r="B4908" s="86" t="s">
        <v>35</v>
      </c>
      <c r="C4908" s="86" t="s">
        <v>65</v>
      </c>
      <c r="D4908" s="86" t="s">
        <v>66</v>
      </c>
      <c r="E4908" s="86" t="s">
        <v>501</v>
      </c>
      <c r="F4908" s="86" t="s">
        <v>501</v>
      </c>
      <c r="G4908" s="86" t="s">
        <v>501</v>
      </c>
      <c r="H4908" s="144">
        <v>22</v>
      </c>
      <c r="I4908" s="86" t="s">
        <v>2935</v>
      </c>
      <c r="J4908" s="1" t="s">
        <v>3302</v>
      </c>
      <c r="K4908" s="1" t="s">
        <v>3371</v>
      </c>
      <c r="L4908" s="1" t="s">
        <v>35</v>
      </c>
      <c r="M4908" s="86" t="s">
        <v>501</v>
      </c>
      <c r="N4908" s="86"/>
      <c r="O4908" s="47" t="s">
        <v>3597</v>
      </c>
      <c r="P4908" s="47" t="s">
        <v>41</v>
      </c>
      <c r="Q4908" s="14">
        <v>0</v>
      </c>
      <c r="R4908" s="143">
        <v>26112</v>
      </c>
      <c r="S4908" s="47"/>
      <c r="T4908" s="6">
        <v>-22923.33</v>
      </c>
      <c r="U4908" s="6">
        <v>0</v>
      </c>
      <c r="V4908" s="6">
        <v>41486.57</v>
      </c>
      <c r="W4908" s="6">
        <f t="shared" si="742"/>
        <v>-64409.9</v>
      </c>
      <c r="X4908" s="6">
        <f t="shared" si="745"/>
        <v>41486.57</v>
      </c>
      <c r="Y4908" s="13">
        <f t="shared" si="746"/>
        <v>0</v>
      </c>
      <c r="Z4908" s="14">
        <v>0</v>
      </c>
      <c r="AA4908" s="6">
        <v>0</v>
      </c>
      <c r="AB4908" s="4">
        <f t="shared" si="747"/>
        <v>41486.57</v>
      </c>
      <c r="AC4908" s="4">
        <f t="shared" si="749"/>
        <v>0</v>
      </c>
      <c r="AD4908" s="6">
        <f t="shared" si="743"/>
        <v>41486.57</v>
      </c>
      <c r="AE4908" s="2">
        <f>VLOOKUP(I4908,[1]媒体政策预估表!A:N,MATCH(O4908,[1]媒体政策预估表!$A$2:$M$2,0),0)</f>
        <v>0.18</v>
      </c>
      <c r="AF4908" s="6">
        <f t="shared" si="750"/>
        <v>7467.5825999999997</v>
      </c>
      <c r="AG4908" s="14">
        <v>0</v>
      </c>
      <c r="AH4908" s="65">
        <f t="shared" si="744"/>
        <v>41486.57</v>
      </c>
      <c r="AI4908" s="47"/>
      <c r="AJ4908" s="126" t="e">
        <v>#N/A</v>
      </c>
      <c r="AK4908" s="80">
        <f t="shared" si="748"/>
        <v>0</v>
      </c>
      <c r="AM4908" s="85"/>
    </row>
    <row r="4909" spans="1:39" hidden="1" x14ac:dyDescent="0.3">
      <c r="A4909" s="89" t="s">
        <v>3583</v>
      </c>
      <c r="B4909" s="86" t="s">
        <v>35</v>
      </c>
      <c r="C4909" s="86" t="s">
        <v>36</v>
      </c>
      <c r="D4909" s="86" t="s">
        <v>54</v>
      </c>
      <c r="E4909" s="86" t="s">
        <v>3581</v>
      </c>
      <c r="F4909" s="86" t="s">
        <v>3581</v>
      </c>
      <c r="G4909" s="86" t="s">
        <v>3581</v>
      </c>
      <c r="H4909" s="143">
        <v>22</v>
      </c>
      <c r="I4909" s="86" t="s">
        <v>2935</v>
      </c>
      <c r="J4909" s="1" t="s">
        <v>3302</v>
      </c>
      <c r="K4909" s="1" t="s">
        <v>3371</v>
      </c>
      <c r="L4909" s="1" t="s">
        <v>35</v>
      </c>
      <c r="M4909" s="86" t="s">
        <v>3581</v>
      </c>
      <c r="N4909" s="86"/>
      <c r="O4909" s="47" t="s">
        <v>3598</v>
      </c>
      <c r="P4909" s="47" t="s">
        <v>46</v>
      </c>
      <c r="Q4909" s="14">
        <v>0.02</v>
      </c>
      <c r="R4909" s="143">
        <v>247082</v>
      </c>
      <c r="S4909" s="47"/>
      <c r="T4909" s="6">
        <v>0</v>
      </c>
      <c r="U4909" s="6">
        <v>0</v>
      </c>
      <c r="V4909" s="6">
        <v>1339.01</v>
      </c>
      <c r="W4909" s="6">
        <v>0</v>
      </c>
      <c r="X4909" s="6">
        <f t="shared" si="745"/>
        <v>1312.7549019607843</v>
      </c>
      <c r="Y4909" s="13">
        <f t="shared" si="746"/>
        <v>0</v>
      </c>
      <c r="Z4909" s="14">
        <v>0</v>
      </c>
      <c r="AA4909" s="6">
        <v>0</v>
      </c>
      <c r="AB4909" s="4"/>
      <c r="AC4909" s="4">
        <f t="shared" si="749"/>
        <v>26.255098039215682</v>
      </c>
      <c r="AD4909" s="6">
        <f t="shared" si="743"/>
        <v>1339.01</v>
      </c>
      <c r="AE4909" s="2">
        <f>VLOOKUP(I4909,[1]媒体政策预估表!A:N,MATCH(O4909,[1]媒体政策预估表!$A$2:$M$2,0),0)</f>
        <v>0.18</v>
      </c>
      <c r="AF4909" s="6">
        <f t="shared" si="750"/>
        <v>241.02179999999998</v>
      </c>
      <c r="AG4909" s="14">
        <v>0</v>
      </c>
      <c r="AH4909" s="65">
        <f t="shared" si="744"/>
        <v>1339.01</v>
      </c>
      <c r="AI4909" s="47"/>
      <c r="AJ4909" s="126">
        <v>117</v>
      </c>
      <c r="AK4909" s="80">
        <f t="shared" si="748"/>
        <v>1312.7549019607843</v>
      </c>
      <c r="AM4909" s="85"/>
    </row>
    <row r="4910" spans="1:39" hidden="1" x14ac:dyDescent="0.3">
      <c r="A4910" s="89" t="s">
        <v>3582</v>
      </c>
      <c r="B4910" s="86" t="s">
        <v>35</v>
      </c>
      <c r="C4910" s="86" t="s">
        <v>36</v>
      </c>
      <c r="D4910" s="86" t="s">
        <v>54</v>
      </c>
      <c r="E4910" s="86" t="s">
        <v>3146</v>
      </c>
      <c r="F4910" s="86" t="s">
        <v>3146</v>
      </c>
      <c r="G4910" s="86" t="s">
        <v>3146</v>
      </c>
      <c r="H4910" s="144">
        <v>229</v>
      </c>
      <c r="I4910" s="86" t="s">
        <v>3356</v>
      </c>
      <c r="J4910" s="1" t="s">
        <v>3326</v>
      </c>
      <c r="K4910" s="1" t="s">
        <v>3712</v>
      </c>
      <c r="L4910" s="1" t="s">
        <v>35</v>
      </c>
      <c r="M4910" s="86"/>
      <c r="N4910" s="86" t="s">
        <v>3712</v>
      </c>
      <c r="O4910" s="47" t="s">
        <v>3598</v>
      </c>
      <c r="P4910" s="47" t="s">
        <v>41</v>
      </c>
      <c r="Q4910" s="14">
        <v>0</v>
      </c>
      <c r="R4910" s="143"/>
      <c r="S4910" s="47"/>
      <c r="T4910" s="6"/>
      <c r="U4910" s="6"/>
      <c r="V4910" s="6"/>
      <c r="W4910" s="6"/>
      <c r="X4910" s="6"/>
      <c r="Y4910" s="13">
        <f t="shared" si="746"/>
        <v>0</v>
      </c>
      <c r="Z4910" s="14"/>
      <c r="AA4910" s="6">
        <v>123906.96</v>
      </c>
      <c r="AB4910" s="4">
        <f t="shared" si="747"/>
        <v>123906.96</v>
      </c>
      <c r="AC4910" s="4">
        <f t="shared" si="749"/>
        <v>0</v>
      </c>
      <c r="AD4910" s="6"/>
      <c r="AE4910" s="2">
        <v>0.06</v>
      </c>
      <c r="AF4910" s="6">
        <f t="shared" si="750"/>
        <v>0</v>
      </c>
      <c r="AG4910" s="14">
        <v>0</v>
      </c>
      <c r="AH4910" s="65"/>
      <c r="AI4910" s="47"/>
      <c r="AJ4910" s="126" t="e">
        <v>#N/A</v>
      </c>
      <c r="AK4910" s="80">
        <f t="shared" si="748"/>
        <v>0</v>
      </c>
      <c r="AM4910" s="85"/>
    </row>
    <row r="4911" spans="1:39" hidden="1" x14ac:dyDescent="0.3">
      <c r="A4911" s="89" t="s">
        <v>3397</v>
      </c>
      <c r="B4911" s="86" t="s">
        <v>35</v>
      </c>
      <c r="C4911" s="86" t="s">
        <v>36</v>
      </c>
      <c r="D4911" s="86" t="s">
        <v>54</v>
      </c>
      <c r="E4911" s="86" t="s">
        <v>2695</v>
      </c>
      <c r="F4911" s="86" t="s">
        <v>3599</v>
      </c>
      <c r="G4911" s="86" t="s">
        <v>2695</v>
      </c>
      <c r="H4911" s="144">
        <v>360</v>
      </c>
      <c r="I4911" s="86" t="s">
        <v>1060</v>
      </c>
      <c r="J4911" s="1" t="s">
        <v>3325</v>
      </c>
      <c r="K4911" s="1" t="s">
        <v>3287</v>
      </c>
      <c r="L4911" s="1" t="s">
        <v>35</v>
      </c>
      <c r="M4911" s="86"/>
      <c r="N4911" s="86"/>
      <c r="O4911" s="47" t="s">
        <v>1196</v>
      </c>
      <c r="P4911" s="47" t="s">
        <v>41</v>
      </c>
      <c r="Q4911" s="14">
        <v>0</v>
      </c>
      <c r="R4911" s="143"/>
      <c r="S4911" s="47"/>
      <c r="T4911" s="6"/>
      <c r="U4911" s="6"/>
      <c r="V4911" s="6"/>
      <c r="W4911" s="6"/>
      <c r="X4911" s="6"/>
      <c r="Y4911" s="13">
        <f t="shared" si="746"/>
        <v>0</v>
      </c>
      <c r="Z4911" s="14">
        <v>0</v>
      </c>
      <c r="AA4911" s="6">
        <v>47982.59</v>
      </c>
      <c r="AB4911" s="4">
        <f t="shared" si="747"/>
        <v>47982.59</v>
      </c>
      <c r="AC4911" s="4">
        <f t="shared" si="749"/>
        <v>0</v>
      </c>
      <c r="AD4911" s="6"/>
      <c r="AE4911" s="2">
        <f>VLOOKUP(I4911,[1]媒体政策预估表!A:N,MATCH(O4911,[1]媒体政策预估表!$A$2:$M$2,0),0)</f>
        <v>0.12</v>
      </c>
      <c r="AF4911" s="6">
        <f t="shared" si="750"/>
        <v>0</v>
      </c>
      <c r="AG4911" s="14">
        <v>0</v>
      </c>
      <c r="AH4911" s="65"/>
      <c r="AI4911" s="47"/>
      <c r="AJ4911" s="126" t="e">
        <v>#N/A</v>
      </c>
      <c r="AK4911" s="80">
        <f t="shared" si="748"/>
        <v>0</v>
      </c>
      <c r="AM4911" s="85"/>
    </row>
    <row r="4912" spans="1:39" hidden="1" x14ac:dyDescent="0.3">
      <c r="A4912" s="89" t="s">
        <v>3582</v>
      </c>
      <c r="B4912" s="86" t="s">
        <v>35</v>
      </c>
      <c r="C4912" s="86" t="s">
        <v>36</v>
      </c>
      <c r="D4912" s="86" t="s">
        <v>54</v>
      </c>
      <c r="E4912" s="86" t="s">
        <v>2695</v>
      </c>
      <c r="F4912" s="86" t="s">
        <v>3148</v>
      </c>
      <c r="G4912" s="86" t="s">
        <v>2695</v>
      </c>
      <c r="H4912" s="144">
        <v>360</v>
      </c>
      <c r="I4912" s="86" t="s">
        <v>1060</v>
      </c>
      <c r="J4912" s="1" t="s">
        <v>3325</v>
      </c>
      <c r="K4912" s="1" t="s">
        <v>3287</v>
      </c>
      <c r="L4912" s="1" t="s">
        <v>35</v>
      </c>
      <c r="M4912" s="86"/>
      <c r="N4912" s="86"/>
      <c r="O4912" s="47" t="s">
        <v>3598</v>
      </c>
      <c r="P4912" s="47" t="s">
        <v>41</v>
      </c>
      <c r="Q4912" s="14">
        <v>0</v>
      </c>
      <c r="R4912" s="143"/>
      <c r="S4912" s="47"/>
      <c r="T4912" s="6"/>
      <c r="U4912" s="6"/>
      <c r="V4912" s="6"/>
      <c r="W4912" s="6"/>
      <c r="X4912" s="6"/>
      <c r="Y4912" s="13">
        <f t="shared" si="746"/>
        <v>0</v>
      </c>
      <c r="Z4912" s="14">
        <v>0</v>
      </c>
      <c r="AA4912" s="6">
        <v>104023.67</v>
      </c>
      <c r="AB4912" s="4">
        <f t="shared" si="747"/>
        <v>104023.67</v>
      </c>
      <c r="AC4912" s="4">
        <f t="shared" si="749"/>
        <v>0</v>
      </c>
      <c r="AD4912" s="6"/>
      <c r="AE4912" s="2">
        <f>VLOOKUP(I4912,[1]媒体政策预估表!A:N,MATCH(O4912,[1]媒体政策预估表!$A$2:$M$2,0),0)</f>
        <v>0.12</v>
      </c>
      <c r="AF4912" s="6">
        <f t="shared" si="750"/>
        <v>0</v>
      </c>
      <c r="AG4912" s="14">
        <v>0</v>
      </c>
      <c r="AH4912" s="65"/>
      <c r="AI4912" s="47"/>
      <c r="AJ4912" s="126" t="e">
        <v>#N/A</v>
      </c>
      <c r="AK4912" s="80">
        <f t="shared" si="748"/>
        <v>0</v>
      </c>
      <c r="AM4912" s="85"/>
    </row>
    <row r="4913" spans="1:39" hidden="1" x14ac:dyDescent="0.3">
      <c r="A4913" s="89" t="s">
        <v>3582</v>
      </c>
      <c r="B4913" s="86" t="s">
        <v>35</v>
      </c>
      <c r="C4913" s="86" t="s">
        <v>65</v>
      </c>
      <c r="D4913" s="86" t="s">
        <v>66</v>
      </c>
      <c r="E4913" s="86" t="s">
        <v>121</v>
      </c>
      <c r="F4913" s="86" t="s">
        <v>3600</v>
      </c>
      <c r="G4913" s="86" t="s">
        <v>121</v>
      </c>
      <c r="H4913" s="144">
        <v>237</v>
      </c>
      <c r="I4913" s="86" t="s">
        <v>2374</v>
      </c>
      <c r="J4913" s="1" t="s">
        <v>3322</v>
      </c>
      <c r="K4913" s="1" t="s">
        <v>3269</v>
      </c>
      <c r="L4913" s="1" t="s">
        <v>35</v>
      </c>
      <c r="M4913" s="86"/>
      <c r="N4913" s="86"/>
      <c r="O4913" s="47" t="s">
        <v>3597</v>
      </c>
      <c r="P4913" s="47" t="s">
        <v>41</v>
      </c>
      <c r="Q4913" s="14">
        <v>0</v>
      </c>
      <c r="R4913" s="143"/>
      <c r="S4913" s="47" t="s">
        <v>3601</v>
      </c>
      <c r="T4913" s="6"/>
      <c r="U4913" s="6"/>
      <c r="V4913" s="6"/>
      <c r="W4913" s="6"/>
      <c r="X4913" s="6"/>
      <c r="Y4913" s="13">
        <f t="shared" si="746"/>
        <v>0</v>
      </c>
      <c r="Z4913" s="14"/>
      <c r="AA4913" s="6">
        <f>258954.91-1000</f>
        <v>257954.91</v>
      </c>
      <c r="AB4913" s="4">
        <f t="shared" si="747"/>
        <v>257954.91</v>
      </c>
      <c r="AC4913" s="4">
        <f t="shared" si="749"/>
        <v>0</v>
      </c>
      <c r="AD4913" s="6"/>
      <c r="AE4913" s="2">
        <f>VLOOKUP(I4913,[1]媒体政策预估表!A:N,MATCH(O4913,[1]媒体政策预估表!$A$2:$M$2,0),0)</f>
        <v>0.06</v>
      </c>
      <c r="AF4913" s="6">
        <f t="shared" si="750"/>
        <v>0</v>
      </c>
      <c r="AG4913" s="14">
        <v>0</v>
      </c>
      <c r="AH4913" s="65"/>
      <c r="AI4913" s="47"/>
      <c r="AJ4913" s="126" t="e">
        <v>#N/A</v>
      </c>
      <c r="AK4913" s="80">
        <f t="shared" si="748"/>
        <v>0</v>
      </c>
      <c r="AM4913" s="85"/>
    </row>
    <row r="4914" spans="1:39" hidden="1" x14ac:dyDescent="0.3">
      <c r="A4914" s="89" t="s">
        <v>3397</v>
      </c>
      <c r="B4914" s="86" t="s">
        <v>35</v>
      </c>
      <c r="C4914" s="86" t="s">
        <v>65</v>
      </c>
      <c r="D4914" s="86" t="s">
        <v>66</v>
      </c>
      <c r="E4914" s="86" t="s">
        <v>121</v>
      </c>
      <c r="F4914" s="86" t="s">
        <v>3602</v>
      </c>
      <c r="G4914" s="86" t="s">
        <v>121</v>
      </c>
      <c r="H4914" s="144">
        <v>237</v>
      </c>
      <c r="I4914" s="86" t="s">
        <v>2374</v>
      </c>
      <c r="J4914" s="1" t="s">
        <v>3322</v>
      </c>
      <c r="K4914" s="1" t="s">
        <v>3269</v>
      </c>
      <c r="L4914" s="1" t="s">
        <v>35</v>
      </c>
      <c r="M4914" s="86"/>
      <c r="N4914" s="86"/>
      <c r="O4914" s="47" t="s">
        <v>1196</v>
      </c>
      <c r="P4914" s="47" t="s">
        <v>41</v>
      </c>
      <c r="Q4914" s="14">
        <v>0</v>
      </c>
      <c r="R4914" s="143"/>
      <c r="S4914" s="47"/>
      <c r="T4914" s="6"/>
      <c r="U4914" s="6"/>
      <c r="V4914" s="6"/>
      <c r="W4914" s="6"/>
      <c r="X4914" s="6"/>
      <c r="Y4914" s="13">
        <f t="shared" si="746"/>
        <v>0</v>
      </c>
      <c r="Z4914" s="14"/>
      <c r="AA4914" s="6">
        <v>1315.54</v>
      </c>
      <c r="AB4914" s="4">
        <f t="shared" si="747"/>
        <v>1315.54</v>
      </c>
      <c r="AC4914" s="4">
        <f t="shared" si="749"/>
        <v>0</v>
      </c>
      <c r="AD4914" s="6"/>
      <c r="AE4914" s="2">
        <f>VLOOKUP(I4914,[1]媒体政策预估表!A:N,MATCH(O4914,[1]媒体政策预估表!$A$2:$M$2,0),0)</f>
        <v>0.06</v>
      </c>
      <c r="AF4914" s="6">
        <f t="shared" si="750"/>
        <v>0</v>
      </c>
      <c r="AG4914" s="14">
        <v>0</v>
      </c>
      <c r="AH4914" s="65"/>
      <c r="AI4914" s="47"/>
      <c r="AJ4914" s="126" t="e">
        <v>#N/A</v>
      </c>
      <c r="AK4914" s="80">
        <f t="shared" si="748"/>
        <v>0</v>
      </c>
      <c r="AM4914" s="85"/>
    </row>
    <row r="4915" spans="1:39" hidden="1" x14ac:dyDescent="0.3">
      <c r="A4915" s="89" t="s">
        <v>3397</v>
      </c>
      <c r="B4915" s="86" t="s">
        <v>35</v>
      </c>
      <c r="C4915" s="86" t="s">
        <v>65</v>
      </c>
      <c r="D4915" s="86" t="s">
        <v>122</v>
      </c>
      <c r="E4915" s="86" t="s">
        <v>2393</v>
      </c>
      <c r="F4915" s="86" t="s">
        <v>3603</v>
      </c>
      <c r="G4915" s="86" t="s">
        <v>2393</v>
      </c>
      <c r="H4915" s="144">
        <v>229</v>
      </c>
      <c r="I4915" s="86" t="s">
        <v>3356</v>
      </c>
      <c r="J4915" s="1" t="s">
        <v>3326</v>
      </c>
      <c r="K4915" s="1" t="s">
        <v>3712</v>
      </c>
      <c r="L4915" s="1" t="s">
        <v>35</v>
      </c>
      <c r="M4915" s="86"/>
      <c r="N4915" s="86" t="s">
        <v>3712</v>
      </c>
      <c r="O4915" s="47" t="s">
        <v>3598</v>
      </c>
      <c r="P4915" s="47" t="s">
        <v>41</v>
      </c>
      <c r="Q4915" s="14">
        <v>0</v>
      </c>
      <c r="R4915" s="143"/>
      <c r="S4915" s="47"/>
      <c r="T4915" s="6"/>
      <c r="U4915" s="6"/>
      <c r="V4915" s="6"/>
      <c r="W4915" s="6"/>
      <c r="X4915" s="6"/>
      <c r="Y4915" s="13">
        <f t="shared" si="746"/>
        <v>0</v>
      </c>
      <c r="Z4915" s="14"/>
      <c r="AA4915" s="6">
        <v>1001344.72</v>
      </c>
      <c r="AB4915" s="4">
        <f t="shared" si="747"/>
        <v>1001344.72</v>
      </c>
      <c r="AC4915" s="4">
        <f t="shared" si="749"/>
        <v>0</v>
      </c>
      <c r="AD4915" s="6"/>
      <c r="AE4915" s="2">
        <v>0.06</v>
      </c>
      <c r="AF4915" s="6">
        <f t="shared" si="750"/>
        <v>0</v>
      </c>
      <c r="AG4915" s="14">
        <v>0</v>
      </c>
      <c r="AH4915" s="65"/>
      <c r="AI4915" s="47"/>
      <c r="AJ4915" s="126" t="e">
        <v>#N/A</v>
      </c>
      <c r="AK4915" s="80">
        <f t="shared" si="748"/>
        <v>0</v>
      </c>
      <c r="AM4915" s="85"/>
    </row>
    <row r="4916" spans="1:39" hidden="1" x14ac:dyDescent="0.3">
      <c r="A4916" s="89" t="s">
        <v>3582</v>
      </c>
      <c r="B4916" s="86" t="s">
        <v>35</v>
      </c>
      <c r="C4916" s="86" t="s">
        <v>65</v>
      </c>
      <c r="D4916" s="86" t="s">
        <v>1291</v>
      </c>
      <c r="E4916" s="86" t="s">
        <v>3153</v>
      </c>
      <c r="F4916" s="86" t="s">
        <v>3153</v>
      </c>
      <c r="G4916" s="86" t="s">
        <v>3153</v>
      </c>
      <c r="H4916" s="144">
        <v>72</v>
      </c>
      <c r="I4916" s="86" t="s">
        <v>2572</v>
      </c>
      <c r="J4916" s="1" t="s">
        <v>3327</v>
      </c>
      <c r="K4916" s="1" t="s">
        <v>3284</v>
      </c>
      <c r="L4916" s="1" t="s">
        <v>35</v>
      </c>
      <c r="M4916" s="86"/>
      <c r="N4916" s="86"/>
      <c r="O4916" s="47" t="s">
        <v>2366</v>
      </c>
      <c r="P4916" s="47" t="s">
        <v>41</v>
      </c>
      <c r="Q4916" s="14">
        <v>0</v>
      </c>
      <c r="R4916" s="143"/>
      <c r="S4916" s="47"/>
      <c r="T4916" s="6"/>
      <c r="U4916" s="6"/>
      <c r="V4916" s="6"/>
      <c r="W4916" s="6"/>
      <c r="X4916" s="6"/>
      <c r="Y4916" s="13">
        <f t="shared" si="746"/>
        <v>0</v>
      </c>
      <c r="Z4916" s="14"/>
      <c r="AA4916" s="6">
        <v>4338.46</v>
      </c>
      <c r="AB4916" s="4">
        <f t="shared" si="747"/>
        <v>4338.46</v>
      </c>
      <c r="AC4916" s="4">
        <f t="shared" si="749"/>
        <v>0</v>
      </c>
      <c r="AD4916" s="6"/>
      <c r="AE4916" s="2">
        <f>VLOOKUP(I4916,[1]媒体政策预估表!A:N,MATCH(O4916,[1]媒体政策预估表!$A$2:$M$2,0),0)</f>
        <v>0</v>
      </c>
      <c r="AF4916" s="6">
        <f t="shared" si="750"/>
        <v>0</v>
      </c>
      <c r="AG4916" s="14">
        <v>0</v>
      </c>
      <c r="AH4916" s="65"/>
      <c r="AI4916" s="47"/>
      <c r="AJ4916" s="126" t="e">
        <v>#N/A</v>
      </c>
      <c r="AK4916" s="80">
        <f t="shared" si="748"/>
        <v>0</v>
      </c>
      <c r="AM4916" s="85"/>
    </row>
    <row r="4917" spans="1:39" hidden="1" x14ac:dyDescent="0.3">
      <c r="A4917" s="89" t="s">
        <v>3582</v>
      </c>
      <c r="B4917" s="86" t="s">
        <v>35</v>
      </c>
      <c r="C4917" s="86" t="s">
        <v>47</v>
      </c>
      <c r="D4917" s="86" t="s">
        <v>63</v>
      </c>
      <c r="E4917" s="86" t="s">
        <v>128</v>
      </c>
      <c r="F4917" s="86" t="s">
        <v>128</v>
      </c>
      <c r="G4917" s="86" t="s">
        <v>128</v>
      </c>
      <c r="H4917" s="144">
        <v>237</v>
      </c>
      <c r="I4917" s="86" t="s">
        <v>2374</v>
      </c>
      <c r="J4917" s="1" t="s">
        <v>3322</v>
      </c>
      <c r="K4917" s="1" t="s">
        <v>3269</v>
      </c>
      <c r="L4917" s="1" t="s">
        <v>35</v>
      </c>
      <c r="M4917" s="86"/>
      <c r="N4917" s="86"/>
      <c r="O4917" s="47" t="s">
        <v>3604</v>
      </c>
      <c r="P4917" s="47" t="s">
        <v>41</v>
      </c>
      <c r="Q4917" s="14">
        <v>0</v>
      </c>
      <c r="R4917" s="143"/>
      <c r="S4917" s="47"/>
      <c r="T4917" s="6"/>
      <c r="U4917" s="6"/>
      <c r="V4917" s="6"/>
      <c r="W4917" s="6"/>
      <c r="X4917" s="6"/>
      <c r="Y4917" s="13">
        <f t="shared" si="746"/>
        <v>0</v>
      </c>
      <c r="Z4917" s="14"/>
      <c r="AA4917" s="6">
        <v>34185.21</v>
      </c>
      <c r="AB4917" s="4">
        <f t="shared" si="747"/>
        <v>34185.21</v>
      </c>
      <c r="AC4917" s="4">
        <f t="shared" si="749"/>
        <v>0</v>
      </c>
      <c r="AD4917" s="6"/>
      <c r="AE4917" s="2">
        <f>VLOOKUP(I4917,[1]媒体政策预估表!A:N,MATCH(O4917,[1]媒体政策预估表!$A$2:$M$2,0),0)</f>
        <v>7.0000000000000007E-2</v>
      </c>
      <c r="AF4917" s="6">
        <f t="shared" si="750"/>
        <v>0</v>
      </c>
      <c r="AG4917" s="14">
        <v>0</v>
      </c>
      <c r="AH4917" s="65"/>
      <c r="AI4917" s="47"/>
      <c r="AJ4917" s="126" t="e">
        <v>#N/A</v>
      </c>
      <c r="AK4917" s="80">
        <f t="shared" si="748"/>
        <v>0</v>
      </c>
      <c r="AM4917" s="85"/>
    </row>
    <row r="4918" spans="1:39" hidden="1" x14ac:dyDescent="0.3">
      <c r="A4918" s="89" t="s">
        <v>3582</v>
      </c>
      <c r="B4918" s="86" t="s">
        <v>35</v>
      </c>
      <c r="C4918" s="86" t="s">
        <v>47</v>
      </c>
      <c r="D4918" s="86" t="s">
        <v>63</v>
      </c>
      <c r="E4918" s="86" t="s">
        <v>2393</v>
      </c>
      <c r="F4918" s="86" t="s">
        <v>3605</v>
      </c>
      <c r="G4918" s="86" t="s">
        <v>2393</v>
      </c>
      <c r="H4918" s="144">
        <v>229</v>
      </c>
      <c r="I4918" s="86" t="s">
        <v>3356</v>
      </c>
      <c r="J4918" s="1" t="s">
        <v>3326</v>
      </c>
      <c r="K4918" s="1" t="s">
        <v>3712</v>
      </c>
      <c r="L4918" s="1" t="s">
        <v>35</v>
      </c>
      <c r="M4918" s="86"/>
      <c r="N4918" s="86" t="s">
        <v>3712</v>
      </c>
      <c r="O4918" s="47" t="s">
        <v>3598</v>
      </c>
      <c r="P4918" s="47" t="s">
        <v>41</v>
      </c>
      <c r="Q4918" s="14">
        <v>0</v>
      </c>
      <c r="R4918" s="143"/>
      <c r="S4918" s="47"/>
      <c r="T4918" s="6"/>
      <c r="U4918" s="6"/>
      <c r="V4918" s="6"/>
      <c r="W4918" s="6"/>
      <c r="X4918" s="6"/>
      <c r="Y4918" s="13">
        <f t="shared" si="746"/>
        <v>0</v>
      </c>
      <c r="Z4918" s="14"/>
      <c r="AA4918" s="6">
        <v>2058710.32</v>
      </c>
      <c r="AB4918" s="4">
        <f t="shared" si="747"/>
        <v>2058710.32</v>
      </c>
      <c r="AC4918" s="4">
        <f t="shared" si="749"/>
        <v>0</v>
      </c>
      <c r="AD4918" s="6"/>
      <c r="AE4918" s="2">
        <v>0.06</v>
      </c>
      <c r="AF4918" s="6">
        <f t="shared" si="750"/>
        <v>0</v>
      </c>
      <c r="AG4918" s="14">
        <v>0</v>
      </c>
      <c r="AH4918" s="65"/>
      <c r="AI4918" s="47"/>
      <c r="AJ4918" s="126" t="e">
        <v>#N/A</v>
      </c>
      <c r="AK4918" s="80">
        <f t="shared" si="748"/>
        <v>0</v>
      </c>
      <c r="AM4918" s="85"/>
    </row>
    <row r="4919" spans="1:39" hidden="1" x14ac:dyDescent="0.3">
      <c r="A4919" s="89" t="s">
        <v>3582</v>
      </c>
      <c r="B4919" s="86" t="s">
        <v>35</v>
      </c>
      <c r="C4919" s="86" t="s">
        <v>47</v>
      </c>
      <c r="D4919" s="86" t="s">
        <v>63</v>
      </c>
      <c r="E4919" s="86" t="s">
        <v>2409</v>
      </c>
      <c r="F4919" s="86" t="s">
        <v>3606</v>
      </c>
      <c r="G4919" s="86" t="s">
        <v>2409</v>
      </c>
      <c r="H4919" s="144">
        <v>229</v>
      </c>
      <c r="I4919" s="86" t="s">
        <v>3356</v>
      </c>
      <c r="J4919" s="1" t="s">
        <v>3326</v>
      </c>
      <c r="K4919" s="1" t="s">
        <v>3712</v>
      </c>
      <c r="L4919" s="1" t="s">
        <v>35</v>
      </c>
      <c r="M4919" s="86"/>
      <c r="N4919" s="86" t="s">
        <v>3712</v>
      </c>
      <c r="O4919" s="47" t="s">
        <v>3598</v>
      </c>
      <c r="P4919" s="47" t="s">
        <v>41</v>
      </c>
      <c r="Q4919" s="14">
        <v>0</v>
      </c>
      <c r="R4919" s="143"/>
      <c r="S4919" s="47"/>
      <c r="T4919" s="6"/>
      <c r="U4919" s="6"/>
      <c r="V4919" s="6"/>
      <c r="W4919" s="6"/>
      <c r="X4919" s="6"/>
      <c r="Y4919" s="13">
        <f t="shared" si="746"/>
        <v>0</v>
      </c>
      <c r="Z4919" s="14"/>
      <c r="AA4919" s="6">
        <v>1510510.2999999998</v>
      </c>
      <c r="AB4919" s="4">
        <f t="shared" si="747"/>
        <v>1510510.2999999998</v>
      </c>
      <c r="AC4919" s="4">
        <f t="shared" si="749"/>
        <v>0</v>
      </c>
      <c r="AD4919" s="6"/>
      <c r="AE4919" s="2">
        <v>0.06</v>
      </c>
      <c r="AF4919" s="6">
        <f t="shared" si="750"/>
        <v>0</v>
      </c>
      <c r="AG4919" s="14">
        <v>0</v>
      </c>
      <c r="AH4919" s="65"/>
      <c r="AI4919" s="47"/>
      <c r="AJ4919" s="126" t="e">
        <v>#N/A</v>
      </c>
      <c r="AK4919" s="80">
        <f t="shared" si="748"/>
        <v>0</v>
      </c>
      <c r="AM4919" s="85"/>
    </row>
    <row r="4920" spans="1:39" hidden="1" x14ac:dyDescent="0.3">
      <c r="A4920" s="89" t="s">
        <v>3582</v>
      </c>
      <c r="B4920" s="86" t="s">
        <v>35</v>
      </c>
      <c r="C4920" s="86" t="s">
        <v>47</v>
      </c>
      <c r="D4920" s="86" t="s">
        <v>63</v>
      </c>
      <c r="E4920" s="86" t="s">
        <v>2418</v>
      </c>
      <c r="F4920" s="86" t="s">
        <v>3607</v>
      </c>
      <c r="G4920" s="86" t="s">
        <v>2418</v>
      </c>
      <c r="H4920" s="144">
        <v>229</v>
      </c>
      <c r="I4920" s="86" t="s">
        <v>3356</v>
      </c>
      <c r="J4920" s="1" t="s">
        <v>3326</v>
      </c>
      <c r="K4920" s="1" t="s">
        <v>3712</v>
      </c>
      <c r="L4920" s="1" t="s">
        <v>35</v>
      </c>
      <c r="M4920" s="86"/>
      <c r="N4920" s="86" t="s">
        <v>3712</v>
      </c>
      <c r="O4920" s="47" t="s">
        <v>3597</v>
      </c>
      <c r="P4920" s="47" t="s">
        <v>41</v>
      </c>
      <c r="Q4920" s="14">
        <v>0</v>
      </c>
      <c r="R4920" s="143"/>
      <c r="S4920" s="47"/>
      <c r="T4920" s="6"/>
      <c r="U4920" s="6"/>
      <c r="V4920" s="6"/>
      <c r="W4920" s="6"/>
      <c r="X4920" s="6"/>
      <c r="Y4920" s="13">
        <f t="shared" si="746"/>
        <v>0</v>
      </c>
      <c r="Z4920" s="14"/>
      <c r="AA4920" s="6">
        <v>1200967.9099999999</v>
      </c>
      <c r="AB4920" s="4">
        <f t="shared" si="747"/>
        <v>1200967.9099999999</v>
      </c>
      <c r="AC4920" s="4">
        <f t="shared" si="749"/>
        <v>0</v>
      </c>
      <c r="AD4920" s="6"/>
      <c r="AE4920" s="2">
        <v>0.06</v>
      </c>
      <c r="AF4920" s="6">
        <f t="shared" si="750"/>
        <v>0</v>
      </c>
      <c r="AG4920" s="14">
        <v>0</v>
      </c>
      <c r="AH4920" s="65"/>
      <c r="AI4920" s="47"/>
      <c r="AJ4920" s="126" t="e">
        <v>#N/A</v>
      </c>
      <c r="AK4920" s="80">
        <f t="shared" si="748"/>
        <v>0</v>
      </c>
      <c r="AM4920" s="85"/>
    </row>
    <row r="4921" spans="1:39" hidden="1" x14ac:dyDescent="0.3">
      <c r="A4921" s="89" t="s">
        <v>3582</v>
      </c>
      <c r="B4921" s="86" t="s">
        <v>35</v>
      </c>
      <c r="C4921" s="86" t="s">
        <v>144</v>
      </c>
      <c r="D4921" s="86" t="s">
        <v>145</v>
      </c>
      <c r="E4921" s="86" t="s">
        <v>3161</v>
      </c>
      <c r="F4921" s="86" t="s">
        <v>3161</v>
      </c>
      <c r="G4921" s="86" t="s">
        <v>3161</v>
      </c>
      <c r="H4921" s="144">
        <v>229</v>
      </c>
      <c r="I4921" s="86" t="s">
        <v>3356</v>
      </c>
      <c r="J4921" s="1" t="s">
        <v>3326</v>
      </c>
      <c r="K4921" s="1" t="s">
        <v>3712</v>
      </c>
      <c r="L4921" s="1" t="s">
        <v>35</v>
      </c>
      <c r="M4921" s="86"/>
      <c r="N4921" s="86" t="s">
        <v>3712</v>
      </c>
      <c r="O4921" s="47" t="s">
        <v>3598</v>
      </c>
      <c r="P4921" s="47" t="s">
        <v>41</v>
      </c>
      <c r="Q4921" s="14">
        <v>0</v>
      </c>
      <c r="R4921" s="143"/>
      <c r="S4921" s="47"/>
      <c r="T4921" s="6"/>
      <c r="U4921" s="6"/>
      <c r="V4921" s="6"/>
      <c r="W4921" s="6"/>
      <c r="X4921" s="6"/>
      <c r="Y4921" s="13">
        <f t="shared" si="746"/>
        <v>0</v>
      </c>
      <c r="Z4921" s="14"/>
      <c r="AA4921" s="6">
        <v>2754.93</v>
      </c>
      <c r="AB4921" s="4">
        <f t="shared" si="747"/>
        <v>2754.93</v>
      </c>
      <c r="AC4921" s="4">
        <f t="shared" si="749"/>
        <v>0</v>
      </c>
      <c r="AD4921" s="6"/>
      <c r="AE4921" s="2">
        <v>0.06</v>
      </c>
      <c r="AF4921" s="6">
        <f t="shared" si="750"/>
        <v>0</v>
      </c>
      <c r="AG4921" s="14">
        <v>0</v>
      </c>
      <c r="AH4921" s="65"/>
      <c r="AI4921" s="47"/>
      <c r="AJ4921" s="126" t="e">
        <v>#N/A</v>
      </c>
      <c r="AK4921" s="80">
        <f t="shared" si="748"/>
        <v>0</v>
      </c>
      <c r="AM4921" s="85"/>
    </row>
    <row r="4922" spans="1:39" hidden="1" x14ac:dyDescent="0.3">
      <c r="A4922" s="89" t="s">
        <v>3582</v>
      </c>
      <c r="B4922" s="86" t="s">
        <v>35</v>
      </c>
      <c r="C4922" s="86" t="s">
        <v>164</v>
      </c>
      <c r="D4922" s="86" t="s">
        <v>169</v>
      </c>
      <c r="E4922" s="86" t="s">
        <v>2518</v>
      </c>
      <c r="F4922" s="86" t="s">
        <v>2518</v>
      </c>
      <c r="G4922" s="86" t="s">
        <v>2518</v>
      </c>
      <c r="H4922" s="144">
        <v>360</v>
      </c>
      <c r="I4922" s="86" t="s">
        <v>1060</v>
      </c>
      <c r="J4922" s="1" t="s">
        <v>3325</v>
      </c>
      <c r="K4922" s="1" t="s">
        <v>3287</v>
      </c>
      <c r="L4922" s="1" t="s">
        <v>35</v>
      </c>
      <c r="M4922" s="86"/>
      <c r="N4922" s="86"/>
      <c r="O4922" s="47" t="s">
        <v>3598</v>
      </c>
      <c r="P4922" s="47" t="s">
        <v>41</v>
      </c>
      <c r="Q4922" s="14">
        <v>0</v>
      </c>
      <c r="R4922" s="143"/>
      <c r="S4922" s="47"/>
      <c r="T4922" s="6"/>
      <c r="U4922" s="6"/>
      <c r="V4922" s="6"/>
      <c r="W4922" s="6"/>
      <c r="X4922" s="6"/>
      <c r="Y4922" s="13">
        <f t="shared" si="746"/>
        <v>0</v>
      </c>
      <c r="Z4922" s="14">
        <v>0</v>
      </c>
      <c r="AA4922" s="6">
        <v>13921.87</v>
      </c>
      <c r="AB4922" s="4">
        <f t="shared" si="747"/>
        <v>13921.87</v>
      </c>
      <c r="AC4922" s="4">
        <f t="shared" si="749"/>
        <v>0</v>
      </c>
      <c r="AD4922" s="6"/>
      <c r="AE4922" s="2">
        <f>VLOOKUP(I4922,[1]媒体政策预估表!A:N,MATCH(O4922,[1]媒体政策预估表!$A$2:$M$2,0),0)</f>
        <v>0.12</v>
      </c>
      <c r="AF4922" s="6">
        <f t="shared" si="750"/>
        <v>0</v>
      </c>
      <c r="AG4922" s="14">
        <v>0</v>
      </c>
      <c r="AH4922" s="65"/>
      <c r="AI4922" s="47"/>
      <c r="AJ4922" s="126" t="e">
        <v>#N/A</v>
      </c>
      <c r="AK4922" s="80">
        <f t="shared" si="748"/>
        <v>0</v>
      </c>
      <c r="AM4922" s="85"/>
    </row>
    <row r="4923" spans="1:39" hidden="1" x14ac:dyDescent="0.3">
      <c r="A4923" s="89" t="s">
        <v>3394</v>
      </c>
      <c r="B4923" s="86" t="s">
        <v>35</v>
      </c>
      <c r="C4923" s="86" t="s">
        <v>59</v>
      </c>
      <c r="D4923" s="86" t="s">
        <v>60</v>
      </c>
      <c r="E4923" s="86" t="s">
        <v>220</v>
      </c>
      <c r="F4923" s="86" t="s">
        <v>2373</v>
      </c>
      <c r="G4923" s="86" t="s">
        <v>220</v>
      </c>
      <c r="H4923" s="143">
        <v>229</v>
      </c>
      <c r="I4923" s="86" t="s">
        <v>3356</v>
      </c>
      <c r="J4923" s="1" t="s">
        <v>3326</v>
      </c>
      <c r="K4923" s="1" t="s">
        <v>3712</v>
      </c>
      <c r="L4923" s="1" t="s">
        <v>35</v>
      </c>
      <c r="M4923" s="86"/>
      <c r="N4923" s="86" t="s">
        <v>3712</v>
      </c>
      <c r="O4923" s="47" t="s">
        <v>45</v>
      </c>
      <c r="P4923" s="47" t="s">
        <v>92</v>
      </c>
      <c r="Q4923" s="14">
        <v>0.94</v>
      </c>
      <c r="R4923" s="143"/>
      <c r="S4923" s="47"/>
      <c r="T4923" s="6">
        <v>0</v>
      </c>
      <c r="U4923" s="6">
        <v>0</v>
      </c>
      <c r="V4923" s="6">
        <v>0</v>
      </c>
      <c r="W4923" s="6">
        <f>T4923+U4923-V4923</f>
        <v>0</v>
      </c>
      <c r="X4923" s="6">
        <f>IF(P4923="折扣",V4923*Q4923,IF(P4923="返现",V4923,V4923/(1+Q4923)))</f>
        <v>0</v>
      </c>
      <c r="Y4923" s="13">
        <f t="shared" si="746"/>
        <v>0</v>
      </c>
      <c r="Z4923" s="14">
        <v>0</v>
      </c>
      <c r="AA4923" s="6">
        <v>0</v>
      </c>
      <c r="AB4923" s="4">
        <f t="shared" si="747"/>
        <v>0</v>
      </c>
      <c r="AC4923" s="4">
        <f t="shared" si="749"/>
        <v>0</v>
      </c>
      <c r="AD4923" s="6">
        <f>V4923</f>
        <v>0</v>
      </c>
      <c r="AE4923" s="2">
        <v>0.06</v>
      </c>
      <c r="AF4923" s="6">
        <f t="shared" si="750"/>
        <v>0</v>
      </c>
      <c r="AG4923" s="14">
        <v>0</v>
      </c>
      <c r="AH4923" s="64">
        <f>V4923</f>
        <v>0</v>
      </c>
      <c r="AI4923" s="47"/>
      <c r="AJ4923" s="126" t="e">
        <v>#N/A</v>
      </c>
      <c r="AK4923" s="80">
        <f t="shared" si="748"/>
        <v>0</v>
      </c>
      <c r="AM4923" s="85"/>
    </row>
    <row r="4924" spans="1:39" hidden="1" x14ac:dyDescent="0.3">
      <c r="A4924" s="89" t="s">
        <v>3394</v>
      </c>
      <c r="B4924" s="86" t="s">
        <v>35</v>
      </c>
      <c r="C4924" s="86" t="s">
        <v>59</v>
      </c>
      <c r="D4924" s="86" t="s">
        <v>60</v>
      </c>
      <c r="E4924" s="86" t="s">
        <v>74</v>
      </c>
      <c r="F4924" s="86" t="s">
        <v>74</v>
      </c>
      <c r="G4924" s="86" t="s">
        <v>74</v>
      </c>
      <c r="H4924" s="144">
        <v>229</v>
      </c>
      <c r="I4924" s="86" t="s">
        <v>3356</v>
      </c>
      <c r="J4924" s="1" t="s">
        <v>3326</v>
      </c>
      <c r="K4924" s="1" t="s">
        <v>3707</v>
      </c>
      <c r="L4924" s="1" t="s">
        <v>35</v>
      </c>
      <c r="M4924" s="86"/>
      <c r="N4924" s="86" t="s">
        <v>3707</v>
      </c>
      <c r="O4924" s="47" t="s">
        <v>45</v>
      </c>
      <c r="P4924" s="47" t="s">
        <v>75</v>
      </c>
      <c r="Q4924" s="14">
        <v>0.06</v>
      </c>
      <c r="R4924" s="143"/>
      <c r="S4924" s="47"/>
      <c r="T4924" s="6">
        <v>357377.46999999927</v>
      </c>
      <c r="U4924" s="6">
        <v>2120000</v>
      </c>
      <c r="V4924" s="6">
        <v>591056.46</v>
      </c>
      <c r="W4924" s="6">
        <f t="shared" ref="W4924:W4987" si="751">T4924+U4924-V4924</f>
        <v>1886321.0099999993</v>
      </c>
      <c r="X4924" s="6">
        <f t="shared" ref="X4924:X4987" si="752">IF(P4924="折扣",V4924*Q4924,IF(P4924="返现",V4924,V4924/(1+Q4924)))</f>
        <v>591056.46</v>
      </c>
      <c r="Y4924" s="13">
        <f t="shared" si="746"/>
        <v>0</v>
      </c>
      <c r="Z4924" s="14">
        <v>0</v>
      </c>
      <c r="AA4924" s="6">
        <v>0</v>
      </c>
      <c r="AB4924" s="4">
        <f t="shared" si="747"/>
        <v>591056.46</v>
      </c>
      <c r="AC4924" s="4">
        <f t="shared" si="749"/>
        <v>35463.387599999995</v>
      </c>
      <c r="AD4924" s="6">
        <f t="shared" ref="AD4924:AD4987" si="753">V4924</f>
        <v>591056.46</v>
      </c>
      <c r="AE4924" s="2">
        <v>0.06</v>
      </c>
      <c r="AF4924" s="6">
        <f t="shared" si="750"/>
        <v>35463.387599999995</v>
      </c>
      <c r="AG4924" s="14">
        <v>0</v>
      </c>
      <c r="AH4924" s="64">
        <f t="shared" ref="AH4924:AH4987" si="754">V4924</f>
        <v>591056.46</v>
      </c>
      <c r="AI4924" s="47"/>
      <c r="AJ4924" s="126" t="e">
        <v>#N/A</v>
      </c>
      <c r="AK4924" s="80">
        <f t="shared" si="748"/>
        <v>0</v>
      </c>
      <c r="AM4924" s="85"/>
    </row>
    <row r="4925" spans="1:39" hidden="1" x14ac:dyDescent="0.3">
      <c r="A4925" s="89" t="s">
        <v>3394</v>
      </c>
      <c r="B4925" s="86" t="s">
        <v>35</v>
      </c>
      <c r="C4925" s="86" t="s">
        <v>59</v>
      </c>
      <c r="D4925" s="86" t="s">
        <v>60</v>
      </c>
      <c r="E4925" s="86" t="s">
        <v>76</v>
      </c>
      <c r="F4925" s="86" t="s">
        <v>76</v>
      </c>
      <c r="G4925" s="86" t="s">
        <v>76</v>
      </c>
      <c r="H4925" s="144">
        <v>229</v>
      </c>
      <c r="I4925" s="86" t="s">
        <v>3356</v>
      </c>
      <c r="J4925" s="1" t="s">
        <v>3326</v>
      </c>
      <c r="K4925" s="1" t="s">
        <v>3712</v>
      </c>
      <c r="L4925" s="1" t="s">
        <v>35</v>
      </c>
      <c r="M4925" s="86"/>
      <c r="N4925" s="86" t="s">
        <v>3712</v>
      </c>
      <c r="O4925" s="47" t="s">
        <v>45</v>
      </c>
      <c r="P4925" s="47" t="s">
        <v>75</v>
      </c>
      <c r="Q4925" s="14">
        <v>0.06</v>
      </c>
      <c r="R4925" s="143"/>
      <c r="S4925" s="47"/>
      <c r="T4925" s="6">
        <v>289694.00000000023</v>
      </c>
      <c r="U4925" s="6">
        <v>350000</v>
      </c>
      <c r="V4925" s="6">
        <v>446504.06000000011</v>
      </c>
      <c r="W4925" s="6">
        <f t="shared" si="751"/>
        <v>193189.94000000012</v>
      </c>
      <c r="X4925" s="6">
        <f t="shared" si="752"/>
        <v>446504.06000000011</v>
      </c>
      <c r="Y4925" s="13">
        <f t="shared" si="746"/>
        <v>0</v>
      </c>
      <c r="Z4925" s="14">
        <v>0</v>
      </c>
      <c r="AA4925" s="6">
        <v>0</v>
      </c>
      <c r="AB4925" s="4">
        <f t="shared" si="747"/>
        <v>446504.06000000011</v>
      </c>
      <c r="AC4925" s="4">
        <f t="shared" si="749"/>
        <v>26790.243600000005</v>
      </c>
      <c r="AD4925" s="6">
        <f t="shared" si="753"/>
        <v>446504.06000000011</v>
      </c>
      <c r="AE4925" s="2">
        <v>0.06</v>
      </c>
      <c r="AF4925" s="6">
        <f t="shared" si="750"/>
        <v>26790.243600000005</v>
      </c>
      <c r="AG4925" s="14">
        <v>0</v>
      </c>
      <c r="AH4925" s="64">
        <f t="shared" si="754"/>
        <v>446504.06000000011</v>
      </c>
      <c r="AI4925" s="47"/>
      <c r="AJ4925" s="126" t="e">
        <v>#N/A</v>
      </c>
      <c r="AK4925" s="80">
        <f t="shared" si="748"/>
        <v>0</v>
      </c>
      <c r="AM4925" s="85"/>
    </row>
    <row r="4926" spans="1:39" hidden="1" x14ac:dyDescent="0.3">
      <c r="A4926" s="89" t="s">
        <v>3394</v>
      </c>
      <c r="B4926" s="86" t="s">
        <v>35</v>
      </c>
      <c r="C4926" s="86" t="s">
        <v>59</v>
      </c>
      <c r="D4926" s="86" t="s">
        <v>60</v>
      </c>
      <c r="E4926" s="86" t="s">
        <v>77</v>
      </c>
      <c r="F4926" s="86" t="s">
        <v>77</v>
      </c>
      <c r="G4926" s="86" t="s">
        <v>77</v>
      </c>
      <c r="H4926" s="144">
        <v>229</v>
      </c>
      <c r="I4926" s="86" t="s">
        <v>3356</v>
      </c>
      <c r="J4926" s="1" t="s">
        <v>3326</v>
      </c>
      <c r="K4926" s="1" t="s">
        <v>3712</v>
      </c>
      <c r="L4926" s="1" t="s">
        <v>35</v>
      </c>
      <c r="M4926" s="86"/>
      <c r="N4926" s="86" t="s">
        <v>3735</v>
      </c>
      <c r="O4926" s="47" t="s">
        <v>45</v>
      </c>
      <c r="P4926" s="47" t="s">
        <v>75</v>
      </c>
      <c r="Q4926" s="14">
        <v>0.06</v>
      </c>
      <c r="R4926" s="143"/>
      <c r="S4926" s="47"/>
      <c r="T4926" s="6">
        <v>3778820.7900000014</v>
      </c>
      <c r="U4926" s="6">
        <v>15000000</v>
      </c>
      <c r="V4926" s="6">
        <v>5901816.6999999993</v>
      </c>
      <c r="W4926" s="6">
        <f t="shared" si="751"/>
        <v>12877004.090000004</v>
      </c>
      <c r="X4926" s="6">
        <f t="shared" si="752"/>
        <v>5901816.6999999993</v>
      </c>
      <c r="Y4926" s="13">
        <f t="shared" si="746"/>
        <v>0</v>
      </c>
      <c r="Z4926" s="14">
        <v>0</v>
      </c>
      <c r="AA4926" s="6">
        <v>0</v>
      </c>
      <c r="AB4926" s="4">
        <f t="shared" si="747"/>
        <v>5901816.6999999993</v>
      </c>
      <c r="AC4926" s="4">
        <f t="shared" si="749"/>
        <v>354109.00199999992</v>
      </c>
      <c r="AD4926" s="6">
        <f t="shared" si="753"/>
        <v>5901816.6999999993</v>
      </c>
      <c r="AE4926" s="2">
        <v>0.06</v>
      </c>
      <c r="AF4926" s="6">
        <f t="shared" si="750"/>
        <v>354109.00199999992</v>
      </c>
      <c r="AG4926" s="14">
        <v>0</v>
      </c>
      <c r="AH4926" s="64">
        <f t="shared" si="754"/>
        <v>5901816.6999999993</v>
      </c>
      <c r="AI4926" s="47"/>
      <c r="AJ4926" s="126" t="e">
        <v>#N/A</v>
      </c>
      <c r="AK4926" s="80">
        <f t="shared" si="748"/>
        <v>0</v>
      </c>
      <c r="AM4926" s="85"/>
    </row>
    <row r="4927" spans="1:39" hidden="1" x14ac:dyDescent="0.3">
      <c r="A4927" s="89" t="s">
        <v>3397</v>
      </c>
      <c r="B4927" s="86" t="s">
        <v>35</v>
      </c>
      <c r="C4927" s="86" t="s">
        <v>59</v>
      </c>
      <c r="D4927" s="86" t="s">
        <v>60</v>
      </c>
      <c r="E4927" s="86" t="s">
        <v>78</v>
      </c>
      <c r="F4927" s="86" t="s">
        <v>79</v>
      </c>
      <c r="G4927" s="86" t="s">
        <v>78</v>
      </c>
      <c r="H4927" s="144">
        <v>229</v>
      </c>
      <c r="I4927" s="86" t="s">
        <v>3356</v>
      </c>
      <c r="J4927" s="1" t="s">
        <v>3326</v>
      </c>
      <c r="K4927" s="1" t="s">
        <v>3283</v>
      </c>
      <c r="L4927" s="1" t="s">
        <v>35</v>
      </c>
      <c r="M4927" s="86"/>
      <c r="N4927" s="86" t="s">
        <v>3283</v>
      </c>
      <c r="O4927" s="47" t="s">
        <v>45</v>
      </c>
      <c r="P4927" s="47" t="s">
        <v>46</v>
      </c>
      <c r="Q4927" s="14">
        <v>0.06</v>
      </c>
      <c r="R4927" s="143"/>
      <c r="S4927" s="47"/>
      <c r="T4927" s="6">
        <v>1606662.4799999958</v>
      </c>
      <c r="U4927" s="6">
        <v>5100000</v>
      </c>
      <c r="V4927" s="6">
        <v>4361102.3199999984</v>
      </c>
      <c r="W4927" s="6">
        <f t="shared" si="751"/>
        <v>2345560.1599999974</v>
      </c>
      <c r="X4927" s="6">
        <f t="shared" si="752"/>
        <v>4114247.4716981114</v>
      </c>
      <c r="Y4927" s="13">
        <f t="shared" si="746"/>
        <v>0</v>
      </c>
      <c r="Z4927" s="14">
        <v>0</v>
      </c>
      <c r="AA4927" s="6">
        <v>0</v>
      </c>
      <c r="AB4927" s="4">
        <f t="shared" si="747"/>
        <v>4114247.4716981114</v>
      </c>
      <c r="AC4927" s="4">
        <f t="shared" si="749"/>
        <v>246854.84830188705</v>
      </c>
      <c r="AD4927" s="6">
        <f t="shared" si="753"/>
        <v>4361102.3199999984</v>
      </c>
      <c r="AE4927" s="2">
        <v>0.06</v>
      </c>
      <c r="AF4927" s="6">
        <f t="shared" si="750"/>
        <v>261666.13919999989</v>
      </c>
      <c r="AG4927" s="14">
        <v>0</v>
      </c>
      <c r="AH4927" s="64">
        <f t="shared" si="754"/>
        <v>4361102.3199999984</v>
      </c>
      <c r="AI4927" s="47"/>
      <c r="AJ4927" s="126" t="e">
        <v>#N/A</v>
      </c>
      <c r="AK4927" s="80">
        <f t="shared" si="748"/>
        <v>0</v>
      </c>
      <c r="AM4927" s="85"/>
    </row>
    <row r="4928" spans="1:39" hidden="1" x14ac:dyDescent="0.3">
      <c r="A4928" s="89" t="s">
        <v>3395</v>
      </c>
      <c r="B4928" s="86" t="s">
        <v>35</v>
      </c>
      <c r="C4928" s="86" t="s">
        <v>59</v>
      </c>
      <c r="D4928" s="86" t="s">
        <v>60</v>
      </c>
      <c r="E4928" s="86" t="s">
        <v>82</v>
      </c>
      <c r="F4928" s="86" t="s">
        <v>83</v>
      </c>
      <c r="G4928" s="86" t="s">
        <v>82</v>
      </c>
      <c r="H4928" s="144">
        <v>229</v>
      </c>
      <c r="I4928" s="86" t="s">
        <v>3356</v>
      </c>
      <c r="J4928" s="1" t="s">
        <v>3326</v>
      </c>
      <c r="K4928" s="1" t="s">
        <v>3710</v>
      </c>
      <c r="L4928" s="1" t="s">
        <v>35</v>
      </c>
      <c r="M4928" s="86"/>
      <c r="N4928" s="86" t="s">
        <v>3730</v>
      </c>
      <c r="O4928" s="47" t="s">
        <v>45</v>
      </c>
      <c r="P4928" s="47" t="s">
        <v>75</v>
      </c>
      <c r="Q4928" s="14">
        <v>0.06</v>
      </c>
      <c r="R4928" s="143"/>
      <c r="S4928" s="47"/>
      <c r="T4928" s="6">
        <v>1118040.4400000004</v>
      </c>
      <c r="U4928" s="6">
        <v>2000000</v>
      </c>
      <c r="V4928" s="6">
        <v>74173.009999999995</v>
      </c>
      <c r="W4928" s="6">
        <f t="shared" si="751"/>
        <v>3043867.4300000006</v>
      </c>
      <c r="X4928" s="6">
        <f t="shared" si="752"/>
        <v>74173.009999999995</v>
      </c>
      <c r="Y4928" s="13">
        <f t="shared" si="746"/>
        <v>0</v>
      </c>
      <c r="Z4928" s="14">
        <v>0</v>
      </c>
      <c r="AA4928" s="6">
        <v>0</v>
      </c>
      <c r="AB4928" s="4">
        <f t="shared" si="747"/>
        <v>74173.009999999995</v>
      </c>
      <c r="AC4928" s="4">
        <f t="shared" si="749"/>
        <v>4450.3805999999995</v>
      </c>
      <c r="AD4928" s="6">
        <f t="shared" si="753"/>
        <v>74173.009999999995</v>
      </c>
      <c r="AE4928" s="2">
        <v>0.06</v>
      </c>
      <c r="AF4928" s="6">
        <f t="shared" si="750"/>
        <v>4450.3805999999995</v>
      </c>
      <c r="AG4928" s="14">
        <v>0</v>
      </c>
      <c r="AH4928" s="64">
        <f t="shared" si="754"/>
        <v>74173.009999999995</v>
      </c>
      <c r="AI4928" s="47"/>
      <c r="AJ4928" s="126" t="e">
        <v>#N/A</v>
      </c>
      <c r="AK4928" s="80">
        <f t="shared" si="748"/>
        <v>0</v>
      </c>
      <c r="AM4928" s="85"/>
    </row>
    <row r="4929" spans="1:39" hidden="1" x14ac:dyDescent="0.3">
      <c r="A4929" s="89" t="s">
        <v>3397</v>
      </c>
      <c r="B4929" s="86" t="s">
        <v>35</v>
      </c>
      <c r="C4929" s="86" t="s">
        <v>59</v>
      </c>
      <c r="D4929" s="86" t="s">
        <v>60</v>
      </c>
      <c r="E4929" s="86" t="s">
        <v>85</v>
      </c>
      <c r="F4929" s="86" t="s">
        <v>86</v>
      </c>
      <c r="G4929" s="86" t="s">
        <v>85</v>
      </c>
      <c r="H4929" s="144">
        <v>229</v>
      </c>
      <c r="I4929" s="86" t="s">
        <v>3356</v>
      </c>
      <c r="J4929" s="1" t="s">
        <v>3326</v>
      </c>
      <c r="K4929" s="1" t="s">
        <v>3707</v>
      </c>
      <c r="L4929" s="1" t="s">
        <v>35</v>
      </c>
      <c r="M4929" s="86"/>
      <c r="N4929" s="86" t="s">
        <v>3707</v>
      </c>
      <c r="O4929" s="47" t="s">
        <v>45</v>
      </c>
      <c r="P4929" s="47" t="s">
        <v>75</v>
      </c>
      <c r="Q4929" s="14">
        <v>0.06</v>
      </c>
      <c r="R4929" s="143"/>
      <c r="S4929" s="47" t="s">
        <v>3608</v>
      </c>
      <c r="T4929" s="6">
        <v>5438681.0700000012</v>
      </c>
      <c r="U4929" s="6">
        <v>17350000</v>
      </c>
      <c r="V4929" s="6">
        <v>17186601.549999993</v>
      </c>
      <c r="W4929" s="6">
        <f t="shared" si="751"/>
        <v>5602079.520000007</v>
      </c>
      <c r="X4929" s="6">
        <f>IF(P4929="折扣",V4929*Q4929,IF(P4929="返现",V4929,V4929/(1+Q4929)))+9392.54</f>
        <v>17195994.089999992</v>
      </c>
      <c r="Y4929" s="13">
        <f t="shared" si="746"/>
        <v>0</v>
      </c>
      <c r="Z4929" s="14">
        <v>0</v>
      </c>
      <c r="AA4929" s="6">
        <v>0</v>
      </c>
      <c r="AB4929" s="4">
        <f t="shared" si="747"/>
        <v>17195994.089999992</v>
      </c>
      <c r="AC4929" s="4">
        <f t="shared" si="749"/>
        <v>1031759.6453999995</v>
      </c>
      <c r="AD4929" s="6">
        <f t="shared" si="753"/>
        <v>17186601.549999993</v>
      </c>
      <c r="AE4929" s="2">
        <v>0.06</v>
      </c>
      <c r="AF4929" s="6">
        <f t="shared" si="750"/>
        <v>1031196.0929999995</v>
      </c>
      <c r="AG4929" s="14">
        <v>0</v>
      </c>
      <c r="AH4929" s="64">
        <f t="shared" si="754"/>
        <v>17186601.549999993</v>
      </c>
      <c r="AI4929" s="47"/>
      <c r="AJ4929" s="126" t="e">
        <v>#N/A</v>
      </c>
      <c r="AK4929" s="80">
        <f t="shared" si="748"/>
        <v>0</v>
      </c>
      <c r="AM4929" s="85"/>
    </row>
    <row r="4930" spans="1:39" hidden="1" x14ac:dyDescent="0.3">
      <c r="A4930" s="89" t="s">
        <v>3394</v>
      </c>
      <c r="B4930" s="86" t="s">
        <v>35</v>
      </c>
      <c r="C4930" s="86" t="s">
        <v>59</v>
      </c>
      <c r="D4930" s="86" t="s">
        <v>60</v>
      </c>
      <c r="E4930" s="86" t="s">
        <v>89</v>
      </c>
      <c r="F4930" s="86" t="s">
        <v>89</v>
      </c>
      <c r="G4930" s="86" t="s">
        <v>89</v>
      </c>
      <c r="H4930" s="144">
        <v>229</v>
      </c>
      <c r="I4930" s="86" t="s">
        <v>3356</v>
      </c>
      <c r="J4930" s="1" t="s">
        <v>3326</v>
      </c>
      <c r="K4930" s="1" t="s">
        <v>3707</v>
      </c>
      <c r="L4930" s="1" t="s">
        <v>35</v>
      </c>
      <c r="M4930" s="86"/>
      <c r="N4930" s="86" t="s">
        <v>3707</v>
      </c>
      <c r="O4930" s="47" t="s">
        <v>45</v>
      </c>
      <c r="P4930" s="47" t="s">
        <v>75</v>
      </c>
      <c r="Q4930" s="14">
        <v>0.06</v>
      </c>
      <c r="R4930" s="143"/>
      <c r="S4930" s="47"/>
      <c r="T4930" s="6">
        <v>3669487.8700000029</v>
      </c>
      <c r="U4930" s="6">
        <v>10000000</v>
      </c>
      <c r="V4930" s="6">
        <v>8963739.620000001</v>
      </c>
      <c r="W4930" s="6">
        <f t="shared" si="751"/>
        <v>4705748.2500000019</v>
      </c>
      <c r="X4930" s="6">
        <f t="shared" si="752"/>
        <v>8963739.620000001</v>
      </c>
      <c r="Y4930" s="13">
        <f t="shared" si="746"/>
        <v>0</v>
      </c>
      <c r="Z4930" s="14">
        <v>0</v>
      </c>
      <c r="AA4930" s="6">
        <v>0</v>
      </c>
      <c r="AB4930" s="4">
        <f t="shared" si="747"/>
        <v>8963739.620000001</v>
      </c>
      <c r="AC4930" s="4">
        <f t="shared" si="749"/>
        <v>537824.37719999999</v>
      </c>
      <c r="AD4930" s="6">
        <f t="shared" si="753"/>
        <v>8963739.620000001</v>
      </c>
      <c r="AE4930" s="2">
        <v>0.06</v>
      </c>
      <c r="AF4930" s="6">
        <f t="shared" si="750"/>
        <v>537824.37719999999</v>
      </c>
      <c r="AG4930" s="14">
        <v>0</v>
      </c>
      <c r="AH4930" s="64">
        <f t="shared" si="754"/>
        <v>8963739.620000001</v>
      </c>
      <c r="AI4930" s="47"/>
      <c r="AJ4930" s="126" t="e">
        <v>#N/A</v>
      </c>
      <c r="AK4930" s="80">
        <f t="shared" si="748"/>
        <v>0</v>
      </c>
      <c r="AM4930" s="85"/>
    </row>
    <row r="4931" spans="1:39" hidden="1" x14ac:dyDescent="0.3">
      <c r="A4931" s="89" t="s">
        <v>3395</v>
      </c>
      <c r="B4931" s="86" t="s">
        <v>35</v>
      </c>
      <c r="C4931" s="86" t="s">
        <v>59</v>
      </c>
      <c r="D4931" s="86" t="s">
        <v>60</v>
      </c>
      <c r="E4931" s="86" t="s">
        <v>90</v>
      </c>
      <c r="F4931" s="86" t="s">
        <v>91</v>
      </c>
      <c r="G4931" s="86" t="s">
        <v>90</v>
      </c>
      <c r="H4931" s="143">
        <v>229</v>
      </c>
      <c r="I4931" s="86" t="s">
        <v>3356</v>
      </c>
      <c r="J4931" s="1" t="s">
        <v>3326</v>
      </c>
      <c r="K4931" s="1" t="s">
        <v>3712</v>
      </c>
      <c r="L4931" s="1" t="s">
        <v>35</v>
      </c>
      <c r="M4931" s="86"/>
      <c r="N4931" s="86" t="s">
        <v>3712</v>
      </c>
      <c r="O4931" s="47" t="s">
        <v>45</v>
      </c>
      <c r="P4931" s="47" t="s">
        <v>92</v>
      </c>
      <c r="Q4931" s="14">
        <v>0.94</v>
      </c>
      <c r="R4931" s="143"/>
      <c r="S4931" s="47"/>
      <c r="T4931" s="6">
        <v>0</v>
      </c>
      <c r="U4931" s="6">
        <v>0</v>
      </c>
      <c r="V4931" s="6">
        <v>0</v>
      </c>
      <c r="W4931" s="6">
        <f t="shared" si="751"/>
        <v>0</v>
      </c>
      <c r="X4931" s="6">
        <f t="shared" si="752"/>
        <v>0</v>
      </c>
      <c r="Y4931" s="13">
        <f t="shared" ref="Y4931:Y4994" si="755">IF(X4931-AD4931&lt;=0,0,IF(P4931="返现",MAX(X4931-AC4931-AD4931,0),MAX(X4931-AD4931)))</f>
        <v>0</v>
      </c>
      <c r="Z4931" s="14">
        <v>0</v>
      </c>
      <c r="AA4931" s="6">
        <v>0</v>
      </c>
      <c r="AB4931" s="4">
        <f t="shared" ref="AB4931:AB4994" si="756">X4931+AA4931</f>
        <v>0</v>
      </c>
      <c r="AC4931" s="4">
        <f t="shared" si="749"/>
        <v>0</v>
      </c>
      <c r="AD4931" s="6">
        <f t="shared" si="753"/>
        <v>0</v>
      </c>
      <c r="AE4931" s="2">
        <v>0.06</v>
      </c>
      <c r="AF4931" s="6">
        <f t="shared" si="750"/>
        <v>0</v>
      </c>
      <c r="AG4931" s="14">
        <v>0</v>
      </c>
      <c r="AH4931" s="64">
        <f t="shared" si="754"/>
        <v>0</v>
      </c>
      <c r="AI4931" s="47"/>
      <c r="AJ4931" s="126" t="e">
        <v>#N/A</v>
      </c>
      <c r="AK4931" s="80">
        <f t="shared" ref="AK4931:AK4994" si="757">X4931+AA4931-AB4931</f>
        <v>0</v>
      </c>
      <c r="AM4931" s="85"/>
    </row>
    <row r="4932" spans="1:39" hidden="1" x14ac:dyDescent="0.3">
      <c r="A4932" s="89" t="s">
        <v>3394</v>
      </c>
      <c r="B4932" s="86" t="s">
        <v>35</v>
      </c>
      <c r="C4932" s="86" t="s">
        <v>59</v>
      </c>
      <c r="D4932" s="86" t="s">
        <v>60</v>
      </c>
      <c r="E4932" s="86" t="s">
        <v>95</v>
      </c>
      <c r="F4932" s="86" t="s">
        <v>95</v>
      </c>
      <c r="G4932" s="86" t="s">
        <v>95</v>
      </c>
      <c r="H4932" s="144">
        <v>229</v>
      </c>
      <c r="I4932" s="86" t="s">
        <v>3356</v>
      </c>
      <c r="J4932" s="1" t="s">
        <v>3326</v>
      </c>
      <c r="K4932" s="1" t="s">
        <v>3712</v>
      </c>
      <c r="L4932" s="1" t="s">
        <v>35</v>
      </c>
      <c r="M4932" s="86"/>
      <c r="N4932" s="86" t="s">
        <v>3735</v>
      </c>
      <c r="O4932" s="47" t="s">
        <v>45</v>
      </c>
      <c r="P4932" s="47" t="s">
        <v>46</v>
      </c>
      <c r="Q4932" s="14">
        <v>0.05</v>
      </c>
      <c r="R4932" s="143"/>
      <c r="S4932" s="47"/>
      <c r="T4932" s="6">
        <v>2540435.4100000006</v>
      </c>
      <c r="U4932" s="6">
        <v>1188085.3900000001</v>
      </c>
      <c r="V4932" s="6">
        <v>265304.5</v>
      </c>
      <c r="W4932" s="6">
        <f t="shared" si="751"/>
        <v>3463216.3000000007</v>
      </c>
      <c r="X4932" s="6">
        <f t="shared" si="752"/>
        <v>252670.95238095237</v>
      </c>
      <c r="Y4932" s="13">
        <f t="shared" si="755"/>
        <v>0</v>
      </c>
      <c r="Z4932" s="14">
        <v>0</v>
      </c>
      <c r="AA4932" s="6">
        <v>0</v>
      </c>
      <c r="AB4932" s="4">
        <f t="shared" si="756"/>
        <v>252670.95238095237</v>
      </c>
      <c r="AC4932" s="4">
        <f t="shared" si="749"/>
        <v>12633.547619047633</v>
      </c>
      <c r="AD4932" s="6">
        <f t="shared" si="753"/>
        <v>265304.5</v>
      </c>
      <c r="AE4932" s="2">
        <v>0.06</v>
      </c>
      <c r="AF4932" s="6">
        <f t="shared" si="750"/>
        <v>15918.269999999999</v>
      </c>
      <c r="AG4932" s="14">
        <v>0</v>
      </c>
      <c r="AH4932" s="64">
        <f t="shared" si="754"/>
        <v>265304.5</v>
      </c>
      <c r="AI4932" s="47"/>
      <c r="AJ4932" s="126" t="e">
        <v>#N/A</v>
      </c>
      <c r="AK4932" s="80">
        <f t="shared" si="757"/>
        <v>0</v>
      </c>
      <c r="AM4932" s="85"/>
    </row>
    <row r="4933" spans="1:39" hidden="1" x14ac:dyDescent="0.3">
      <c r="A4933" s="89" t="s">
        <v>3395</v>
      </c>
      <c r="B4933" s="86" t="s">
        <v>35</v>
      </c>
      <c r="C4933" s="86" t="s">
        <v>96</v>
      </c>
      <c r="D4933" s="86" t="s">
        <v>97</v>
      </c>
      <c r="E4933" s="86" t="s">
        <v>98</v>
      </c>
      <c r="F4933" s="86" t="s">
        <v>98</v>
      </c>
      <c r="G4933" s="86" t="s">
        <v>98</v>
      </c>
      <c r="H4933" s="143">
        <v>229</v>
      </c>
      <c r="I4933" s="86" t="s">
        <v>3356</v>
      </c>
      <c r="J4933" s="1" t="s">
        <v>3326</v>
      </c>
      <c r="K4933" s="1" t="s">
        <v>3712</v>
      </c>
      <c r="L4933" s="1" t="s">
        <v>35</v>
      </c>
      <c r="M4933" s="86"/>
      <c r="N4933" s="86" t="s">
        <v>3712</v>
      </c>
      <c r="O4933" s="47" t="s">
        <v>45</v>
      </c>
      <c r="P4933" s="47" t="s">
        <v>41</v>
      </c>
      <c r="Q4933" s="14">
        <v>0</v>
      </c>
      <c r="R4933" s="143"/>
      <c r="S4933" s="47" t="s">
        <v>3609</v>
      </c>
      <c r="T4933" s="6">
        <v>4877.43</v>
      </c>
      <c r="U4933" s="6">
        <v>70000</v>
      </c>
      <c r="V4933" s="6">
        <v>50440.229999999989</v>
      </c>
      <c r="W4933" s="6">
        <f t="shared" si="751"/>
        <v>24437.200000000004</v>
      </c>
      <c r="X4933" s="6">
        <v>0</v>
      </c>
      <c r="Y4933" s="13">
        <f t="shared" si="755"/>
        <v>0</v>
      </c>
      <c r="Z4933" s="14">
        <v>0</v>
      </c>
      <c r="AA4933" s="6">
        <v>0</v>
      </c>
      <c r="AB4933" s="4">
        <f t="shared" si="756"/>
        <v>0</v>
      </c>
      <c r="AC4933" s="4">
        <f t="shared" si="749"/>
        <v>50440.229999999989</v>
      </c>
      <c r="AD4933" s="6">
        <f t="shared" si="753"/>
        <v>50440.229999999989</v>
      </c>
      <c r="AE4933" s="2">
        <v>0.06</v>
      </c>
      <c r="AF4933" s="6">
        <f t="shared" si="750"/>
        <v>3026.4137999999994</v>
      </c>
      <c r="AG4933" s="14">
        <v>0</v>
      </c>
      <c r="AH4933" s="64">
        <f t="shared" si="754"/>
        <v>50440.229999999989</v>
      </c>
      <c r="AI4933" s="47"/>
      <c r="AJ4933" s="126" t="e">
        <v>#N/A</v>
      </c>
      <c r="AK4933" s="80">
        <f t="shared" si="757"/>
        <v>0</v>
      </c>
      <c r="AM4933" s="85"/>
    </row>
    <row r="4934" spans="1:39" hidden="1" x14ac:dyDescent="0.3">
      <c r="A4934" s="89" t="s">
        <v>3394</v>
      </c>
      <c r="B4934" s="86" t="s">
        <v>35</v>
      </c>
      <c r="C4934" s="86" t="s">
        <v>36</v>
      </c>
      <c r="D4934" s="86" t="s">
        <v>54</v>
      </c>
      <c r="E4934" s="86" t="s">
        <v>3610</v>
      </c>
      <c r="F4934" s="86" t="s">
        <v>3610</v>
      </c>
      <c r="G4934" s="86" t="s">
        <v>3610</v>
      </c>
      <c r="H4934" s="143">
        <v>229</v>
      </c>
      <c r="I4934" s="86" t="s">
        <v>3356</v>
      </c>
      <c r="J4934" s="1" t="s">
        <v>3326</v>
      </c>
      <c r="K4934" s="1" t="s">
        <v>3712</v>
      </c>
      <c r="L4934" s="1" t="s">
        <v>35</v>
      </c>
      <c r="M4934" s="86"/>
      <c r="N4934" s="86" t="s">
        <v>3712</v>
      </c>
      <c r="O4934" s="47" t="s">
        <v>45</v>
      </c>
      <c r="P4934" s="47" t="s">
        <v>41</v>
      </c>
      <c r="Q4934" s="14">
        <v>0</v>
      </c>
      <c r="R4934" s="143"/>
      <c r="S4934" s="47"/>
      <c r="T4934" s="6">
        <v>0</v>
      </c>
      <c r="U4934" s="6">
        <v>2810000</v>
      </c>
      <c r="V4934" s="6">
        <v>0</v>
      </c>
      <c r="W4934" s="6">
        <f t="shared" si="751"/>
        <v>2810000</v>
      </c>
      <c r="X4934" s="6">
        <f t="shared" si="752"/>
        <v>0</v>
      </c>
      <c r="Y4934" s="13">
        <f t="shared" si="755"/>
        <v>0</v>
      </c>
      <c r="Z4934" s="14">
        <v>0</v>
      </c>
      <c r="AA4934" s="6">
        <v>0</v>
      </c>
      <c r="AB4934" s="4">
        <f t="shared" si="756"/>
        <v>0</v>
      </c>
      <c r="AC4934" s="4">
        <f t="shared" si="749"/>
        <v>0</v>
      </c>
      <c r="AD4934" s="6">
        <f t="shared" si="753"/>
        <v>0</v>
      </c>
      <c r="AE4934" s="2">
        <v>0.06</v>
      </c>
      <c r="AF4934" s="6">
        <f t="shared" si="750"/>
        <v>0</v>
      </c>
      <c r="AG4934" s="14">
        <v>0</v>
      </c>
      <c r="AH4934" s="64">
        <f t="shared" si="754"/>
        <v>0</v>
      </c>
      <c r="AI4934" s="47"/>
      <c r="AJ4934" s="126" t="e">
        <v>#N/A</v>
      </c>
      <c r="AK4934" s="80">
        <f t="shared" si="757"/>
        <v>0</v>
      </c>
      <c r="AM4934" s="85"/>
    </row>
    <row r="4935" spans="1:39" hidden="1" x14ac:dyDescent="0.3">
      <c r="A4935" s="89" t="s">
        <v>3394</v>
      </c>
      <c r="B4935" s="86" t="s">
        <v>35</v>
      </c>
      <c r="C4935" s="86" t="s">
        <v>36</v>
      </c>
      <c r="D4935" s="86" t="s">
        <v>54</v>
      </c>
      <c r="E4935" s="86" t="s">
        <v>71</v>
      </c>
      <c r="F4935" s="86" t="s">
        <v>102</v>
      </c>
      <c r="G4935" s="86" t="s">
        <v>71</v>
      </c>
      <c r="H4935" s="144">
        <v>229</v>
      </c>
      <c r="I4935" s="86" t="s">
        <v>3356</v>
      </c>
      <c r="J4935" s="1" t="s">
        <v>3326</v>
      </c>
      <c r="K4935" s="1" t="s">
        <v>3718</v>
      </c>
      <c r="L4935" s="1" t="s">
        <v>35</v>
      </c>
      <c r="M4935" s="86"/>
      <c r="N4935" s="86" t="s">
        <v>3718</v>
      </c>
      <c r="O4935" s="47" t="s">
        <v>45</v>
      </c>
      <c r="P4935" s="47" t="s">
        <v>46</v>
      </c>
      <c r="Q4935" s="14">
        <v>5.6000000000000001E-2</v>
      </c>
      <c r="R4935" s="143"/>
      <c r="S4935" s="47"/>
      <c r="T4935" s="6">
        <v>0</v>
      </c>
      <c r="U4935" s="6">
        <v>12710000</v>
      </c>
      <c r="V4935" s="6">
        <v>7820109.7199999988</v>
      </c>
      <c r="W4935" s="6">
        <f t="shared" si="751"/>
        <v>4889890.2800000012</v>
      </c>
      <c r="X4935" s="6">
        <f t="shared" si="752"/>
        <v>7405406.9318181807</v>
      </c>
      <c r="Y4935" s="13">
        <f t="shared" si="755"/>
        <v>0</v>
      </c>
      <c r="Z4935" s="14">
        <v>0</v>
      </c>
      <c r="AA4935" s="6">
        <v>0</v>
      </c>
      <c r="AB4935" s="4">
        <f t="shared" si="756"/>
        <v>7405406.9318181807</v>
      </c>
      <c r="AC4935" s="4">
        <f t="shared" si="749"/>
        <v>414702.78818181809</v>
      </c>
      <c r="AD4935" s="6">
        <f t="shared" si="753"/>
        <v>7820109.7199999988</v>
      </c>
      <c r="AE4935" s="2">
        <v>0.06</v>
      </c>
      <c r="AF4935" s="6">
        <f t="shared" si="750"/>
        <v>469206.58319999994</v>
      </c>
      <c r="AG4935" s="14">
        <v>0</v>
      </c>
      <c r="AH4935" s="64">
        <f t="shared" si="754"/>
        <v>7820109.7199999988</v>
      </c>
      <c r="AI4935" s="47"/>
      <c r="AJ4935" s="126" t="e">
        <v>#N/A</v>
      </c>
      <c r="AK4935" s="80">
        <f t="shared" si="757"/>
        <v>0</v>
      </c>
      <c r="AM4935" s="85"/>
    </row>
    <row r="4936" spans="1:39" hidden="1" x14ac:dyDescent="0.3">
      <c r="A4936" s="89" t="s">
        <v>3394</v>
      </c>
      <c r="B4936" s="86" t="s">
        <v>35</v>
      </c>
      <c r="C4936" s="86" t="s">
        <v>36</v>
      </c>
      <c r="D4936" s="86" t="s">
        <v>54</v>
      </c>
      <c r="E4936" s="86" t="s">
        <v>103</v>
      </c>
      <c r="F4936" s="86" t="s">
        <v>104</v>
      </c>
      <c r="G4936" s="86" t="s">
        <v>103</v>
      </c>
      <c r="H4936" s="144">
        <v>229</v>
      </c>
      <c r="I4936" s="86" t="s">
        <v>3356</v>
      </c>
      <c r="J4936" s="1" t="s">
        <v>3326</v>
      </c>
      <c r="K4936" s="1" t="s">
        <v>3718</v>
      </c>
      <c r="L4936" s="1" t="s">
        <v>35</v>
      </c>
      <c r="M4936" s="86"/>
      <c r="N4936" s="86" t="s">
        <v>3718</v>
      </c>
      <c r="O4936" s="47" t="s">
        <v>45</v>
      </c>
      <c r="P4936" s="47" t="s">
        <v>41</v>
      </c>
      <c r="Q4936" s="14">
        <v>0</v>
      </c>
      <c r="R4936" s="143"/>
      <c r="S4936" s="47"/>
      <c r="T4936" s="6">
        <v>2474196.1199999824</v>
      </c>
      <c r="U4936" s="6">
        <v>12876000</v>
      </c>
      <c r="V4936" s="6">
        <v>11215040.799999999</v>
      </c>
      <c r="W4936" s="6">
        <f t="shared" si="751"/>
        <v>4135155.3199999835</v>
      </c>
      <c r="X4936" s="6">
        <f t="shared" si="752"/>
        <v>11215040.799999999</v>
      </c>
      <c r="Y4936" s="13">
        <f t="shared" si="755"/>
        <v>0</v>
      </c>
      <c r="Z4936" s="14">
        <v>0</v>
      </c>
      <c r="AA4936" s="6">
        <v>0</v>
      </c>
      <c r="AB4936" s="4">
        <f t="shared" si="756"/>
        <v>11215040.799999999</v>
      </c>
      <c r="AC4936" s="4">
        <f t="shared" si="749"/>
        <v>0</v>
      </c>
      <c r="AD4936" s="6">
        <f t="shared" si="753"/>
        <v>11215040.799999999</v>
      </c>
      <c r="AE4936" s="2">
        <v>0.06</v>
      </c>
      <c r="AF4936" s="6">
        <f t="shared" si="750"/>
        <v>672902.44799999986</v>
      </c>
      <c r="AG4936" s="14">
        <v>0</v>
      </c>
      <c r="AH4936" s="64">
        <f t="shared" si="754"/>
        <v>11215040.799999999</v>
      </c>
      <c r="AI4936" s="47"/>
      <c r="AJ4936" s="126" t="e">
        <v>#N/A</v>
      </c>
      <c r="AK4936" s="80">
        <f t="shared" si="757"/>
        <v>0</v>
      </c>
      <c r="AM4936" s="85"/>
    </row>
    <row r="4937" spans="1:39" hidden="1" x14ac:dyDescent="0.3">
      <c r="A4937" s="89" t="s">
        <v>3394</v>
      </c>
      <c r="B4937" s="86" t="s">
        <v>35</v>
      </c>
      <c r="C4937" s="86" t="s">
        <v>36</v>
      </c>
      <c r="D4937" s="86" t="s">
        <v>54</v>
      </c>
      <c r="E4937" s="86" t="s">
        <v>3611</v>
      </c>
      <c r="F4937" s="86" t="s">
        <v>3612</v>
      </c>
      <c r="G4937" s="86" t="s">
        <v>3611</v>
      </c>
      <c r="H4937" s="144">
        <v>229</v>
      </c>
      <c r="I4937" s="86" t="s">
        <v>3356</v>
      </c>
      <c r="J4937" s="1" t="s">
        <v>3326</v>
      </c>
      <c r="K4937" s="1" t="s">
        <v>3718</v>
      </c>
      <c r="L4937" s="1" t="s">
        <v>35</v>
      </c>
      <c r="M4937" s="86"/>
      <c r="N4937" s="86" t="s">
        <v>3718</v>
      </c>
      <c r="O4937" s="47" t="s">
        <v>45</v>
      </c>
      <c r="P4937" s="47" t="s">
        <v>46</v>
      </c>
      <c r="Q4937" s="14">
        <v>5.6000000000000001E-2</v>
      </c>
      <c r="R4937" s="143"/>
      <c r="S4937" s="47"/>
      <c r="T4937" s="6">
        <v>0</v>
      </c>
      <c r="U4937" s="6">
        <v>528000</v>
      </c>
      <c r="V4937" s="6">
        <v>116838.48000000001</v>
      </c>
      <c r="W4937" s="6">
        <f t="shared" si="751"/>
        <v>411161.52</v>
      </c>
      <c r="X4937" s="6">
        <f t="shared" si="752"/>
        <v>110642.5</v>
      </c>
      <c r="Y4937" s="13">
        <f t="shared" si="755"/>
        <v>0</v>
      </c>
      <c r="Z4937" s="14">
        <v>0</v>
      </c>
      <c r="AA4937" s="6">
        <v>0</v>
      </c>
      <c r="AB4937" s="4">
        <f t="shared" si="756"/>
        <v>110642.5</v>
      </c>
      <c r="AC4937" s="4">
        <f t="shared" si="749"/>
        <v>6195.9800000000105</v>
      </c>
      <c r="AD4937" s="6">
        <f t="shared" si="753"/>
        <v>116838.48000000001</v>
      </c>
      <c r="AE4937" s="2">
        <v>0.06</v>
      </c>
      <c r="AF4937" s="6">
        <f t="shared" si="750"/>
        <v>7010.3088000000007</v>
      </c>
      <c r="AG4937" s="14">
        <v>0</v>
      </c>
      <c r="AH4937" s="64">
        <f t="shared" si="754"/>
        <v>116838.48000000001</v>
      </c>
      <c r="AI4937" s="47"/>
      <c r="AJ4937" s="126" t="e">
        <v>#N/A</v>
      </c>
      <c r="AK4937" s="80">
        <f t="shared" si="757"/>
        <v>0</v>
      </c>
      <c r="AM4937" s="85"/>
    </row>
    <row r="4938" spans="1:39" hidden="1" x14ac:dyDescent="0.3">
      <c r="A4938" s="89" t="s">
        <v>3394</v>
      </c>
      <c r="B4938" s="86" t="s">
        <v>35</v>
      </c>
      <c r="C4938" s="86" t="s">
        <v>36</v>
      </c>
      <c r="D4938" s="86" t="s">
        <v>54</v>
      </c>
      <c r="E4938" s="86" t="s">
        <v>106</v>
      </c>
      <c r="F4938" s="86" t="s">
        <v>106</v>
      </c>
      <c r="G4938" s="86" t="s">
        <v>107</v>
      </c>
      <c r="H4938" s="144">
        <v>229</v>
      </c>
      <c r="I4938" s="86" t="s">
        <v>3356</v>
      </c>
      <c r="J4938" s="1" t="s">
        <v>3326</v>
      </c>
      <c r="K4938" s="1" t="s">
        <v>3707</v>
      </c>
      <c r="L4938" s="1" t="s">
        <v>35</v>
      </c>
      <c r="M4938" s="86"/>
      <c r="N4938" s="86" t="s">
        <v>3707</v>
      </c>
      <c r="O4938" s="47" t="s">
        <v>45</v>
      </c>
      <c r="P4938" s="47" t="s">
        <v>41</v>
      </c>
      <c r="Q4938" s="14">
        <v>0</v>
      </c>
      <c r="R4938" s="143"/>
      <c r="S4938" s="47"/>
      <c r="T4938" s="6">
        <v>294974.72000000044</v>
      </c>
      <c r="U4938" s="6">
        <v>1900000</v>
      </c>
      <c r="V4938" s="6">
        <v>1376604.25</v>
      </c>
      <c r="W4938" s="6">
        <f t="shared" si="751"/>
        <v>818370.47000000067</v>
      </c>
      <c r="X4938" s="6">
        <f t="shared" si="752"/>
        <v>1376604.25</v>
      </c>
      <c r="Y4938" s="13">
        <f t="shared" si="755"/>
        <v>0</v>
      </c>
      <c r="Z4938" s="14">
        <v>0</v>
      </c>
      <c r="AA4938" s="6">
        <v>0</v>
      </c>
      <c r="AB4938" s="4">
        <f t="shared" si="756"/>
        <v>1376604.25</v>
      </c>
      <c r="AC4938" s="4">
        <f t="shared" si="749"/>
        <v>0</v>
      </c>
      <c r="AD4938" s="6">
        <f t="shared" si="753"/>
        <v>1376604.25</v>
      </c>
      <c r="AE4938" s="2">
        <v>0.06</v>
      </c>
      <c r="AF4938" s="6">
        <f t="shared" si="750"/>
        <v>82596.25499999999</v>
      </c>
      <c r="AG4938" s="14">
        <v>0</v>
      </c>
      <c r="AH4938" s="64">
        <f t="shared" si="754"/>
        <v>1376604.25</v>
      </c>
      <c r="AI4938" s="47"/>
      <c r="AJ4938" s="126" t="e">
        <v>#N/A</v>
      </c>
      <c r="AK4938" s="80">
        <f t="shared" si="757"/>
        <v>0</v>
      </c>
      <c r="AM4938" s="85"/>
    </row>
    <row r="4939" spans="1:39" hidden="1" x14ac:dyDescent="0.3">
      <c r="A4939" s="89" t="s">
        <v>3394</v>
      </c>
      <c r="B4939" s="86" t="s">
        <v>35</v>
      </c>
      <c r="C4939" s="86" t="s">
        <v>36</v>
      </c>
      <c r="D4939" s="86" t="s">
        <v>54</v>
      </c>
      <c r="E4939" s="86" t="s">
        <v>108</v>
      </c>
      <c r="F4939" s="86" t="s">
        <v>108</v>
      </c>
      <c r="G4939" s="86" t="s">
        <v>108</v>
      </c>
      <c r="H4939" s="144">
        <v>229</v>
      </c>
      <c r="I4939" s="86" t="s">
        <v>3356</v>
      </c>
      <c r="J4939" s="1" t="s">
        <v>3326</v>
      </c>
      <c r="K4939" s="1" t="s">
        <v>3712</v>
      </c>
      <c r="L4939" s="1" t="s">
        <v>35</v>
      </c>
      <c r="M4939" s="86"/>
      <c r="N4939" s="86" t="s">
        <v>3712</v>
      </c>
      <c r="O4939" s="47" t="s">
        <v>45</v>
      </c>
      <c r="P4939" s="47" t="s">
        <v>41</v>
      </c>
      <c r="Q4939" s="14">
        <v>0</v>
      </c>
      <c r="R4939" s="143"/>
      <c r="S4939" s="47" t="s">
        <v>3613</v>
      </c>
      <c r="T4939" s="6">
        <v>1081347.2699999996</v>
      </c>
      <c r="U4939" s="6">
        <v>1020700</v>
      </c>
      <c r="V4939" s="6">
        <v>1008988.1300000001</v>
      </c>
      <c r="W4939" s="6">
        <f t="shared" si="751"/>
        <v>1093059.1399999994</v>
      </c>
      <c r="X4939" s="6">
        <f t="shared" si="752"/>
        <v>1008988.1300000001</v>
      </c>
      <c r="Y4939" s="13">
        <f t="shared" si="755"/>
        <v>0</v>
      </c>
      <c r="Z4939" s="14">
        <v>0</v>
      </c>
      <c r="AA4939" s="6">
        <v>39300</v>
      </c>
      <c r="AB4939" s="4">
        <f t="shared" si="756"/>
        <v>1048288.1300000001</v>
      </c>
      <c r="AC4939" s="4">
        <f t="shared" si="749"/>
        <v>0</v>
      </c>
      <c r="AD4939" s="6">
        <f t="shared" si="753"/>
        <v>1008988.1300000001</v>
      </c>
      <c r="AE4939" s="2">
        <v>0.06</v>
      </c>
      <c r="AF4939" s="6">
        <f t="shared" si="750"/>
        <v>60539.287800000006</v>
      </c>
      <c r="AG4939" s="14">
        <v>0</v>
      </c>
      <c r="AH4939" s="64">
        <f t="shared" si="754"/>
        <v>1008988.1300000001</v>
      </c>
      <c r="AI4939" s="47"/>
      <c r="AJ4939" s="126" t="e">
        <v>#N/A</v>
      </c>
      <c r="AK4939" s="80">
        <f t="shared" si="757"/>
        <v>0</v>
      </c>
      <c r="AM4939" s="85"/>
    </row>
    <row r="4940" spans="1:39" hidden="1" x14ac:dyDescent="0.3">
      <c r="A4940" s="89" t="s">
        <v>3394</v>
      </c>
      <c r="B4940" s="86" t="s">
        <v>35</v>
      </c>
      <c r="C4940" s="86" t="s">
        <v>36</v>
      </c>
      <c r="D4940" s="86" t="s">
        <v>54</v>
      </c>
      <c r="E4940" s="86" t="s">
        <v>109</v>
      </c>
      <c r="F4940" s="86" t="s">
        <v>109</v>
      </c>
      <c r="G4940" s="86" t="s">
        <v>109</v>
      </c>
      <c r="H4940" s="144">
        <v>229</v>
      </c>
      <c r="I4940" s="86" t="s">
        <v>3356</v>
      </c>
      <c r="J4940" s="1" t="s">
        <v>3326</v>
      </c>
      <c r="K4940" s="1" t="s">
        <v>3718</v>
      </c>
      <c r="L4940" s="1" t="s">
        <v>35</v>
      </c>
      <c r="M4940" s="86"/>
      <c r="N4940" s="86" t="s">
        <v>3718</v>
      </c>
      <c r="O4940" s="47" t="s">
        <v>45</v>
      </c>
      <c r="P4940" s="47" t="s">
        <v>41</v>
      </c>
      <c r="Q4940" s="14">
        <v>0</v>
      </c>
      <c r="R4940" s="143"/>
      <c r="S4940" s="47"/>
      <c r="T4940" s="6">
        <v>1649510.8799999962</v>
      </c>
      <c r="U4940" s="6">
        <v>9140000</v>
      </c>
      <c r="V4940" s="6">
        <v>7368755.2699999996</v>
      </c>
      <c r="W4940" s="6">
        <f t="shared" si="751"/>
        <v>3420755.6099999957</v>
      </c>
      <c r="X4940" s="6">
        <f t="shared" si="752"/>
        <v>7368755.2699999996</v>
      </c>
      <c r="Y4940" s="13">
        <f t="shared" si="755"/>
        <v>0</v>
      </c>
      <c r="Z4940" s="14">
        <v>0</v>
      </c>
      <c r="AA4940" s="6">
        <v>0</v>
      </c>
      <c r="AB4940" s="4">
        <f t="shared" si="756"/>
        <v>7368755.2699999996</v>
      </c>
      <c r="AC4940" s="4">
        <f t="shared" ref="AC4940:AC5003" si="758">IF(P4940="返现",X4940*Q4940,V4940-X4940)</f>
        <v>0</v>
      </c>
      <c r="AD4940" s="6">
        <f t="shared" si="753"/>
        <v>7368755.2699999996</v>
      </c>
      <c r="AE4940" s="2">
        <v>0.06</v>
      </c>
      <c r="AF4940" s="6">
        <f t="shared" ref="AF4940:AF5003" si="759">AD4940*AE4940</f>
        <v>442125.31619999994</v>
      </c>
      <c r="AG4940" s="14">
        <v>0</v>
      </c>
      <c r="AH4940" s="64">
        <f t="shared" si="754"/>
        <v>7368755.2699999996</v>
      </c>
      <c r="AI4940" s="47"/>
      <c r="AJ4940" s="126" t="e">
        <v>#N/A</v>
      </c>
      <c r="AK4940" s="80">
        <f t="shared" si="757"/>
        <v>0</v>
      </c>
      <c r="AM4940" s="85"/>
    </row>
    <row r="4941" spans="1:39" hidden="1" x14ac:dyDescent="0.3">
      <c r="A4941" s="89" t="s">
        <v>3394</v>
      </c>
      <c r="B4941" s="86" t="s">
        <v>35</v>
      </c>
      <c r="C4941" s="86" t="s">
        <v>36</v>
      </c>
      <c r="D4941" s="86" t="s">
        <v>54</v>
      </c>
      <c r="E4941" s="86" t="s">
        <v>109</v>
      </c>
      <c r="F4941" s="86" t="s">
        <v>109</v>
      </c>
      <c r="G4941" s="86" t="s">
        <v>109</v>
      </c>
      <c r="H4941" s="144">
        <v>229</v>
      </c>
      <c r="I4941" s="86" t="s">
        <v>3356</v>
      </c>
      <c r="J4941" s="1" t="s">
        <v>3326</v>
      </c>
      <c r="K4941" s="1" t="s">
        <v>3718</v>
      </c>
      <c r="L4941" s="1" t="s">
        <v>35</v>
      </c>
      <c r="M4941" s="86"/>
      <c r="N4941" s="86" t="s">
        <v>3718</v>
      </c>
      <c r="O4941" s="47" t="s">
        <v>105</v>
      </c>
      <c r="P4941" s="47" t="s">
        <v>41</v>
      </c>
      <c r="Q4941" s="14">
        <v>0</v>
      </c>
      <c r="R4941" s="143"/>
      <c r="S4941" s="47"/>
      <c r="T4941" s="6">
        <v>191261.81999999972</v>
      </c>
      <c r="U4941" s="6">
        <v>410000</v>
      </c>
      <c r="V4941" s="6">
        <v>806399.83000000007</v>
      </c>
      <c r="W4941" s="6">
        <f t="shared" si="751"/>
        <v>-205138.01000000036</v>
      </c>
      <c r="X4941" s="6">
        <f t="shared" si="752"/>
        <v>806399.83000000007</v>
      </c>
      <c r="Y4941" s="13">
        <f t="shared" si="755"/>
        <v>0</v>
      </c>
      <c r="Z4941" s="14">
        <v>0</v>
      </c>
      <c r="AA4941" s="6">
        <v>0</v>
      </c>
      <c r="AB4941" s="4">
        <f t="shared" si="756"/>
        <v>806399.83000000007</v>
      </c>
      <c r="AC4941" s="4">
        <f t="shared" si="758"/>
        <v>0</v>
      </c>
      <c r="AD4941" s="6">
        <f t="shared" si="753"/>
        <v>806399.83000000007</v>
      </c>
      <c r="AE4941" s="2">
        <v>0.06</v>
      </c>
      <c r="AF4941" s="6">
        <f t="shared" si="759"/>
        <v>48383.989800000003</v>
      </c>
      <c r="AG4941" s="14">
        <v>0</v>
      </c>
      <c r="AH4941" s="64">
        <f t="shared" si="754"/>
        <v>806399.83000000007</v>
      </c>
      <c r="AI4941" s="47"/>
      <c r="AJ4941" s="126" t="e">
        <v>#N/A</v>
      </c>
      <c r="AK4941" s="80">
        <f t="shared" si="757"/>
        <v>0</v>
      </c>
      <c r="AM4941" s="85"/>
    </row>
    <row r="4942" spans="1:39" hidden="1" x14ac:dyDescent="0.3">
      <c r="A4942" s="89" t="s">
        <v>3394</v>
      </c>
      <c r="B4942" s="86" t="s">
        <v>35</v>
      </c>
      <c r="C4942" s="86" t="s">
        <v>36</v>
      </c>
      <c r="D4942" s="86" t="s">
        <v>54</v>
      </c>
      <c r="E4942" s="86" t="s">
        <v>110</v>
      </c>
      <c r="F4942" s="86" t="s">
        <v>110</v>
      </c>
      <c r="G4942" s="86" t="s">
        <v>110</v>
      </c>
      <c r="H4942" s="144">
        <v>229</v>
      </c>
      <c r="I4942" s="86" t="s">
        <v>3356</v>
      </c>
      <c r="J4942" s="1" t="s">
        <v>3326</v>
      </c>
      <c r="K4942" s="1" t="s">
        <v>3712</v>
      </c>
      <c r="L4942" s="1" t="s">
        <v>35</v>
      </c>
      <c r="M4942" s="86"/>
      <c r="N4942" s="86" t="s">
        <v>3712</v>
      </c>
      <c r="O4942" s="47" t="s">
        <v>45</v>
      </c>
      <c r="P4942" s="47" t="s">
        <v>41</v>
      </c>
      <c r="Q4942" s="14">
        <v>0</v>
      </c>
      <c r="R4942" s="143"/>
      <c r="S4942" s="47"/>
      <c r="T4942" s="6">
        <v>723100.72</v>
      </c>
      <c r="U4942" s="6">
        <v>900000</v>
      </c>
      <c r="V4942" s="6">
        <v>862313.81000000017</v>
      </c>
      <c r="W4942" s="6">
        <f t="shared" si="751"/>
        <v>760786.9099999998</v>
      </c>
      <c r="X4942" s="6">
        <f t="shared" si="752"/>
        <v>862313.81000000017</v>
      </c>
      <c r="Y4942" s="13">
        <f t="shared" si="755"/>
        <v>0</v>
      </c>
      <c r="Z4942" s="14">
        <v>0</v>
      </c>
      <c r="AA4942" s="6">
        <v>0</v>
      </c>
      <c r="AB4942" s="4">
        <f t="shared" si="756"/>
        <v>862313.81000000017</v>
      </c>
      <c r="AC4942" s="4">
        <f t="shared" si="758"/>
        <v>0</v>
      </c>
      <c r="AD4942" s="6">
        <f t="shared" si="753"/>
        <v>862313.81000000017</v>
      </c>
      <c r="AE4942" s="2">
        <v>0.06</v>
      </c>
      <c r="AF4942" s="6">
        <f t="shared" si="759"/>
        <v>51738.828600000008</v>
      </c>
      <c r="AG4942" s="14">
        <v>0</v>
      </c>
      <c r="AH4942" s="64">
        <f t="shared" si="754"/>
        <v>862313.81000000017</v>
      </c>
      <c r="AI4942" s="47"/>
      <c r="AJ4942" s="126" t="e">
        <v>#N/A</v>
      </c>
      <c r="AK4942" s="80">
        <f t="shared" si="757"/>
        <v>0</v>
      </c>
      <c r="AM4942" s="85"/>
    </row>
    <row r="4943" spans="1:39" hidden="1" x14ac:dyDescent="0.3">
      <c r="A4943" s="89" t="s">
        <v>3394</v>
      </c>
      <c r="B4943" s="86" t="s">
        <v>35</v>
      </c>
      <c r="C4943" s="86" t="s">
        <v>36</v>
      </c>
      <c r="D4943" s="86" t="s">
        <v>54</v>
      </c>
      <c r="E4943" s="86" t="s">
        <v>111</v>
      </c>
      <c r="F4943" s="86" t="s">
        <v>111</v>
      </c>
      <c r="G4943" s="86" t="s">
        <v>111</v>
      </c>
      <c r="H4943" s="144">
        <v>229</v>
      </c>
      <c r="I4943" s="86" t="s">
        <v>3356</v>
      </c>
      <c r="J4943" s="1" t="s">
        <v>3326</v>
      </c>
      <c r="K4943" s="1" t="s">
        <v>3712</v>
      </c>
      <c r="L4943" s="1" t="s">
        <v>35</v>
      </c>
      <c r="M4943" s="86"/>
      <c r="N4943" s="86" t="s">
        <v>3712</v>
      </c>
      <c r="O4943" s="47" t="s">
        <v>45</v>
      </c>
      <c r="P4943" s="47" t="s">
        <v>41</v>
      </c>
      <c r="Q4943" s="14">
        <v>0</v>
      </c>
      <c r="R4943" s="143"/>
      <c r="S4943" s="47"/>
      <c r="T4943" s="6">
        <v>2584.9799999999814</v>
      </c>
      <c r="U4943" s="6">
        <v>200000</v>
      </c>
      <c r="V4943" s="6">
        <v>137221.43</v>
      </c>
      <c r="W4943" s="6">
        <f t="shared" si="751"/>
        <v>65363.549999999988</v>
      </c>
      <c r="X4943" s="6">
        <f t="shared" si="752"/>
        <v>137221.43</v>
      </c>
      <c r="Y4943" s="13">
        <f t="shared" si="755"/>
        <v>0</v>
      </c>
      <c r="Z4943" s="14">
        <v>0</v>
      </c>
      <c r="AA4943" s="6">
        <v>0</v>
      </c>
      <c r="AB4943" s="4">
        <f t="shared" si="756"/>
        <v>137221.43</v>
      </c>
      <c r="AC4943" s="4">
        <f t="shared" si="758"/>
        <v>0</v>
      </c>
      <c r="AD4943" s="6">
        <f t="shared" si="753"/>
        <v>137221.43</v>
      </c>
      <c r="AE4943" s="2">
        <v>0.06</v>
      </c>
      <c r="AF4943" s="6">
        <f t="shared" si="759"/>
        <v>8233.2857999999997</v>
      </c>
      <c r="AG4943" s="14">
        <v>0</v>
      </c>
      <c r="AH4943" s="64">
        <f t="shared" si="754"/>
        <v>137221.43</v>
      </c>
      <c r="AI4943" s="47"/>
      <c r="AJ4943" s="126" t="e">
        <v>#N/A</v>
      </c>
      <c r="AK4943" s="80">
        <f t="shared" si="757"/>
        <v>0</v>
      </c>
      <c r="AM4943" s="85"/>
    </row>
    <row r="4944" spans="1:39" hidden="1" x14ac:dyDescent="0.3">
      <c r="A4944" s="89" t="s">
        <v>3394</v>
      </c>
      <c r="B4944" s="86" t="s">
        <v>35</v>
      </c>
      <c r="C4944" s="86" t="s">
        <v>36</v>
      </c>
      <c r="D4944" s="86" t="s">
        <v>54</v>
      </c>
      <c r="E4944" s="86" t="s">
        <v>112</v>
      </c>
      <c r="F4944" s="86" t="s">
        <v>113</v>
      </c>
      <c r="G4944" s="86" t="s">
        <v>112</v>
      </c>
      <c r="H4944" s="144">
        <v>229</v>
      </c>
      <c r="I4944" s="86" t="s">
        <v>3356</v>
      </c>
      <c r="J4944" s="1" t="s">
        <v>3326</v>
      </c>
      <c r="K4944" s="1" t="s">
        <v>3712</v>
      </c>
      <c r="L4944" s="1" t="s">
        <v>35</v>
      </c>
      <c r="M4944" s="86"/>
      <c r="N4944" s="86" t="s">
        <v>3712</v>
      </c>
      <c r="O4944" s="47" t="s">
        <v>45</v>
      </c>
      <c r="P4944" s="47" t="s">
        <v>41</v>
      </c>
      <c r="Q4944" s="14">
        <v>0</v>
      </c>
      <c r="R4944" s="143"/>
      <c r="S4944" s="47"/>
      <c r="T4944" s="6">
        <v>39534</v>
      </c>
      <c r="U4944" s="6">
        <v>140000</v>
      </c>
      <c r="V4944" s="6">
        <v>122907.4</v>
      </c>
      <c r="W4944" s="6">
        <f t="shared" si="751"/>
        <v>56626.600000000006</v>
      </c>
      <c r="X4944" s="6">
        <f t="shared" si="752"/>
        <v>122907.4</v>
      </c>
      <c r="Y4944" s="13">
        <f t="shared" si="755"/>
        <v>0</v>
      </c>
      <c r="Z4944" s="14">
        <v>0</v>
      </c>
      <c r="AA4944" s="6">
        <v>0</v>
      </c>
      <c r="AB4944" s="4">
        <f t="shared" si="756"/>
        <v>122907.4</v>
      </c>
      <c r="AC4944" s="4">
        <f t="shared" si="758"/>
        <v>0</v>
      </c>
      <c r="AD4944" s="6">
        <f t="shared" si="753"/>
        <v>122907.4</v>
      </c>
      <c r="AE4944" s="2">
        <v>0.06</v>
      </c>
      <c r="AF4944" s="6">
        <f t="shared" si="759"/>
        <v>7374.4439999999995</v>
      </c>
      <c r="AG4944" s="14">
        <v>0</v>
      </c>
      <c r="AH4944" s="64">
        <f t="shared" si="754"/>
        <v>122907.4</v>
      </c>
      <c r="AI4944" s="47"/>
      <c r="AJ4944" s="126" t="e">
        <v>#N/A</v>
      </c>
      <c r="AK4944" s="80">
        <f t="shared" si="757"/>
        <v>0</v>
      </c>
      <c r="AM4944" s="85"/>
    </row>
    <row r="4945" spans="1:39" hidden="1" x14ac:dyDescent="0.3">
      <c r="A4945" s="89" t="s">
        <v>3394</v>
      </c>
      <c r="B4945" s="86" t="s">
        <v>35</v>
      </c>
      <c r="C4945" s="86" t="s">
        <v>36</v>
      </c>
      <c r="D4945" s="86" t="s">
        <v>54</v>
      </c>
      <c r="E4945" s="86" t="s">
        <v>114</v>
      </c>
      <c r="F4945" s="86" t="s">
        <v>114</v>
      </c>
      <c r="G4945" s="86" t="s">
        <v>114</v>
      </c>
      <c r="H4945" s="144">
        <v>229</v>
      </c>
      <c r="I4945" s="86" t="s">
        <v>3356</v>
      </c>
      <c r="J4945" s="1" t="s">
        <v>3326</v>
      </c>
      <c r="K4945" s="1" t="s">
        <v>3712</v>
      </c>
      <c r="L4945" s="1" t="s">
        <v>35</v>
      </c>
      <c r="M4945" s="86"/>
      <c r="N4945" s="86" t="s">
        <v>3712</v>
      </c>
      <c r="O4945" s="47" t="s">
        <v>45</v>
      </c>
      <c r="P4945" s="47" t="s">
        <v>46</v>
      </c>
      <c r="Q4945" s="14">
        <v>0.02</v>
      </c>
      <c r="R4945" s="143"/>
      <c r="S4945" s="47"/>
      <c r="T4945" s="6">
        <v>67351.530000000057</v>
      </c>
      <c r="U4945" s="6">
        <v>300000</v>
      </c>
      <c r="V4945" s="6">
        <v>93578.63</v>
      </c>
      <c r="W4945" s="6">
        <f t="shared" si="751"/>
        <v>273772.90000000002</v>
      </c>
      <c r="X4945" s="6">
        <f t="shared" si="752"/>
        <v>91743.754901960783</v>
      </c>
      <c r="Y4945" s="13">
        <f t="shared" si="755"/>
        <v>0</v>
      </c>
      <c r="Z4945" s="14">
        <v>0</v>
      </c>
      <c r="AA4945" s="6">
        <v>0</v>
      </c>
      <c r="AB4945" s="4">
        <f t="shared" si="756"/>
        <v>91743.754901960783</v>
      </c>
      <c r="AC4945" s="4">
        <f t="shared" si="758"/>
        <v>1834.8750980392215</v>
      </c>
      <c r="AD4945" s="6">
        <f t="shared" si="753"/>
        <v>93578.63</v>
      </c>
      <c r="AE4945" s="2">
        <v>0.06</v>
      </c>
      <c r="AF4945" s="6">
        <f t="shared" si="759"/>
        <v>5614.7178000000004</v>
      </c>
      <c r="AG4945" s="14">
        <v>0</v>
      </c>
      <c r="AH4945" s="64">
        <f t="shared" si="754"/>
        <v>93578.63</v>
      </c>
      <c r="AI4945" s="47"/>
      <c r="AJ4945" s="126" t="e">
        <v>#N/A</v>
      </c>
      <c r="AK4945" s="80">
        <f t="shared" si="757"/>
        <v>0</v>
      </c>
      <c r="AM4945" s="85"/>
    </row>
    <row r="4946" spans="1:39" hidden="1" x14ac:dyDescent="0.3">
      <c r="A4946" s="89" t="s">
        <v>3394</v>
      </c>
      <c r="B4946" s="86" t="s">
        <v>35</v>
      </c>
      <c r="C4946" s="86" t="s">
        <v>36</v>
      </c>
      <c r="D4946" s="86" t="s">
        <v>37</v>
      </c>
      <c r="E4946" s="86" t="s">
        <v>228</v>
      </c>
      <c r="F4946" s="86" t="s">
        <v>228</v>
      </c>
      <c r="G4946" s="86" t="s">
        <v>228</v>
      </c>
      <c r="H4946" s="144">
        <v>229</v>
      </c>
      <c r="I4946" s="86" t="s">
        <v>3356</v>
      </c>
      <c r="J4946" s="1" t="s">
        <v>3326</v>
      </c>
      <c r="K4946" s="1" t="s">
        <v>3712</v>
      </c>
      <c r="L4946" s="1" t="s">
        <v>35</v>
      </c>
      <c r="M4946" s="86"/>
      <c r="N4946" s="86" t="s">
        <v>3712</v>
      </c>
      <c r="O4946" s="47" t="s">
        <v>45</v>
      </c>
      <c r="P4946" s="47" t="s">
        <v>41</v>
      </c>
      <c r="Q4946" s="14">
        <v>0</v>
      </c>
      <c r="R4946" s="143"/>
      <c r="S4946" s="47"/>
      <c r="T4946" s="6">
        <v>194974.17000000019</v>
      </c>
      <c r="U4946" s="6">
        <v>400000</v>
      </c>
      <c r="V4946" s="6">
        <v>353320.65</v>
      </c>
      <c r="W4946" s="6">
        <f t="shared" si="751"/>
        <v>241653.52000000014</v>
      </c>
      <c r="X4946" s="6">
        <f t="shared" si="752"/>
        <v>353320.65</v>
      </c>
      <c r="Y4946" s="13">
        <f t="shared" si="755"/>
        <v>0</v>
      </c>
      <c r="Z4946" s="14">
        <v>0</v>
      </c>
      <c r="AA4946" s="6">
        <v>0</v>
      </c>
      <c r="AB4946" s="4">
        <f t="shared" si="756"/>
        <v>353320.65</v>
      </c>
      <c r="AC4946" s="4">
        <f t="shared" si="758"/>
        <v>0</v>
      </c>
      <c r="AD4946" s="6">
        <f t="shared" si="753"/>
        <v>353320.65</v>
      </c>
      <c r="AE4946" s="2">
        <v>0.06</v>
      </c>
      <c r="AF4946" s="6">
        <f t="shared" si="759"/>
        <v>21199.239000000001</v>
      </c>
      <c r="AG4946" s="14">
        <v>0</v>
      </c>
      <c r="AH4946" s="64">
        <f t="shared" si="754"/>
        <v>353320.65</v>
      </c>
      <c r="AI4946" s="47"/>
      <c r="AJ4946" s="126" t="e">
        <v>#N/A</v>
      </c>
      <c r="AK4946" s="80">
        <f t="shared" si="757"/>
        <v>0</v>
      </c>
      <c r="AM4946" s="85"/>
    </row>
    <row r="4947" spans="1:39" hidden="1" x14ac:dyDescent="0.3">
      <c r="A4947" s="89" t="s">
        <v>3397</v>
      </c>
      <c r="B4947" s="86" t="s">
        <v>35</v>
      </c>
      <c r="C4947" s="86" t="s">
        <v>65</v>
      </c>
      <c r="D4947" s="86" t="s">
        <v>116</v>
      </c>
      <c r="E4947" s="86" t="s">
        <v>117</v>
      </c>
      <c r="F4947" s="86" t="s">
        <v>117</v>
      </c>
      <c r="G4947" s="86" t="s">
        <v>117</v>
      </c>
      <c r="H4947" s="144">
        <v>229</v>
      </c>
      <c r="I4947" s="86" t="s">
        <v>3356</v>
      </c>
      <c r="J4947" s="1" t="s">
        <v>3326</v>
      </c>
      <c r="K4947" s="1" t="s">
        <v>3283</v>
      </c>
      <c r="L4947" s="1" t="s">
        <v>35</v>
      </c>
      <c r="M4947" s="86"/>
      <c r="N4947" s="86" t="s">
        <v>3283</v>
      </c>
      <c r="O4947" s="47" t="s">
        <v>45</v>
      </c>
      <c r="P4947" s="47" t="s">
        <v>46</v>
      </c>
      <c r="Q4947" s="14">
        <v>0.06</v>
      </c>
      <c r="R4947" s="143"/>
      <c r="S4947" s="47"/>
      <c r="T4947" s="6">
        <v>115799.76000000001</v>
      </c>
      <c r="U4947" s="6">
        <v>-60704.099999999977</v>
      </c>
      <c r="V4947" s="6">
        <v>54830.14</v>
      </c>
      <c r="W4947" s="6">
        <f t="shared" si="751"/>
        <v>265.52000000003318</v>
      </c>
      <c r="X4947" s="6">
        <f t="shared" si="752"/>
        <v>51726.547169811318</v>
      </c>
      <c r="Y4947" s="13">
        <f t="shared" si="755"/>
        <v>0</v>
      </c>
      <c r="Z4947" s="14">
        <v>0</v>
      </c>
      <c r="AA4947" s="6">
        <v>0</v>
      </c>
      <c r="AB4947" s="4">
        <f t="shared" si="756"/>
        <v>51726.547169811318</v>
      </c>
      <c r="AC4947" s="4">
        <f t="shared" si="758"/>
        <v>3103.5928301886815</v>
      </c>
      <c r="AD4947" s="6">
        <f t="shared" si="753"/>
        <v>54830.14</v>
      </c>
      <c r="AE4947" s="2">
        <v>0.06</v>
      </c>
      <c r="AF4947" s="6">
        <f t="shared" si="759"/>
        <v>3289.8083999999999</v>
      </c>
      <c r="AG4947" s="14">
        <v>0</v>
      </c>
      <c r="AH4947" s="64">
        <f t="shared" si="754"/>
        <v>54830.14</v>
      </c>
      <c r="AI4947" s="47"/>
      <c r="AJ4947" s="126" t="e">
        <v>#N/A</v>
      </c>
      <c r="AK4947" s="80">
        <f t="shared" si="757"/>
        <v>0</v>
      </c>
      <c r="AM4947" s="85"/>
    </row>
    <row r="4948" spans="1:39" hidden="1" x14ac:dyDescent="0.3">
      <c r="A4948" s="89" t="s">
        <v>3394</v>
      </c>
      <c r="B4948" s="86" t="s">
        <v>35</v>
      </c>
      <c r="C4948" s="86" t="s">
        <v>65</v>
      </c>
      <c r="D4948" s="86" t="s">
        <v>66</v>
      </c>
      <c r="E4948" s="86" t="s">
        <v>120</v>
      </c>
      <c r="F4948" s="86" t="s">
        <v>120</v>
      </c>
      <c r="G4948" s="86" t="s">
        <v>120</v>
      </c>
      <c r="H4948" s="144">
        <v>229</v>
      </c>
      <c r="I4948" s="86" t="s">
        <v>3356</v>
      </c>
      <c r="J4948" s="1" t="s">
        <v>3326</v>
      </c>
      <c r="K4948" s="1" t="s">
        <v>3712</v>
      </c>
      <c r="L4948" s="1" t="s">
        <v>35</v>
      </c>
      <c r="M4948" s="86"/>
      <c r="N4948" s="86" t="s">
        <v>3712</v>
      </c>
      <c r="O4948" s="47" t="s">
        <v>45</v>
      </c>
      <c r="P4948" s="47" t="s">
        <v>41</v>
      </c>
      <c r="Q4948" s="14">
        <v>0</v>
      </c>
      <c r="R4948" s="143"/>
      <c r="S4948" s="47"/>
      <c r="T4948" s="6">
        <v>125751.20000000001</v>
      </c>
      <c r="U4948" s="6">
        <v>400000</v>
      </c>
      <c r="V4948" s="6">
        <v>361553.20000000013</v>
      </c>
      <c r="W4948" s="6">
        <f t="shared" si="751"/>
        <v>164197.99999999983</v>
      </c>
      <c r="X4948" s="6">
        <f t="shared" si="752"/>
        <v>361553.20000000013</v>
      </c>
      <c r="Y4948" s="13">
        <f t="shared" si="755"/>
        <v>0</v>
      </c>
      <c r="Z4948" s="14">
        <v>0</v>
      </c>
      <c r="AA4948" s="6">
        <v>0</v>
      </c>
      <c r="AB4948" s="4">
        <f t="shared" si="756"/>
        <v>361553.20000000013</v>
      </c>
      <c r="AC4948" s="4">
        <f t="shared" si="758"/>
        <v>0</v>
      </c>
      <c r="AD4948" s="6">
        <f t="shared" si="753"/>
        <v>361553.20000000013</v>
      </c>
      <c r="AE4948" s="2">
        <v>0.06</v>
      </c>
      <c r="AF4948" s="6">
        <f t="shared" si="759"/>
        <v>21693.192000000006</v>
      </c>
      <c r="AG4948" s="14">
        <v>0</v>
      </c>
      <c r="AH4948" s="64">
        <f t="shared" si="754"/>
        <v>361553.20000000013</v>
      </c>
      <c r="AI4948" s="47"/>
      <c r="AJ4948" s="126" t="e">
        <v>#N/A</v>
      </c>
      <c r="AK4948" s="80">
        <f t="shared" si="757"/>
        <v>0</v>
      </c>
      <c r="AM4948" s="85"/>
    </row>
    <row r="4949" spans="1:39" hidden="1" x14ac:dyDescent="0.3">
      <c r="A4949" s="89" t="s">
        <v>3394</v>
      </c>
      <c r="B4949" s="86" t="s">
        <v>35</v>
      </c>
      <c r="C4949" s="86" t="s">
        <v>65</v>
      </c>
      <c r="D4949" s="86" t="s">
        <v>66</v>
      </c>
      <c r="E4949" s="86" t="s">
        <v>121</v>
      </c>
      <c r="F4949" s="86" t="s">
        <v>121</v>
      </c>
      <c r="G4949" s="86" t="s">
        <v>121</v>
      </c>
      <c r="H4949" s="144">
        <v>229</v>
      </c>
      <c r="I4949" s="86" t="s">
        <v>3356</v>
      </c>
      <c r="J4949" s="1" t="s">
        <v>3326</v>
      </c>
      <c r="K4949" s="1" t="s">
        <v>3707</v>
      </c>
      <c r="L4949" s="1" t="s">
        <v>35</v>
      </c>
      <c r="M4949" s="86"/>
      <c r="N4949" s="86" t="s">
        <v>3707</v>
      </c>
      <c r="O4949" s="47" t="s">
        <v>45</v>
      </c>
      <c r="P4949" s="47" t="s">
        <v>46</v>
      </c>
      <c r="Q4949" s="14">
        <v>0.03</v>
      </c>
      <c r="R4949" s="143"/>
      <c r="S4949" s="47"/>
      <c r="T4949" s="6">
        <v>2216913.1399999987</v>
      </c>
      <c r="U4949" s="6">
        <v>14453137.960000001</v>
      </c>
      <c r="V4949" s="6">
        <v>13277610.560000002</v>
      </c>
      <c r="W4949" s="6">
        <f t="shared" si="751"/>
        <v>3392440.5399999972</v>
      </c>
      <c r="X4949" s="6">
        <f t="shared" si="752"/>
        <v>12890884.038834954</v>
      </c>
      <c r="Y4949" s="13">
        <f t="shared" si="755"/>
        <v>0</v>
      </c>
      <c r="Z4949" s="14">
        <v>0</v>
      </c>
      <c r="AA4949" s="6">
        <v>0</v>
      </c>
      <c r="AB4949" s="4">
        <f t="shared" si="756"/>
        <v>12890884.038834954</v>
      </c>
      <c r="AC4949" s="4">
        <f t="shared" si="758"/>
        <v>386726.5211650487</v>
      </c>
      <c r="AD4949" s="6">
        <f t="shared" si="753"/>
        <v>13277610.560000002</v>
      </c>
      <c r="AE4949" s="2">
        <v>0.06</v>
      </c>
      <c r="AF4949" s="6">
        <f t="shared" si="759"/>
        <v>796656.63360000006</v>
      </c>
      <c r="AG4949" s="14">
        <v>0</v>
      </c>
      <c r="AH4949" s="64">
        <f t="shared" si="754"/>
        <v>13277610.560000002</v>
      </c>
      <c r="AI4949" s="47"/>
      <c r="AJ4949" s="126" t="e">
        <v>#N/A</v>
      </c>
      <c r="AK4949" s="80">
        <f t="shared" si="757"/>
        <v>0</v>
      </c>
      <c r="AM4949" s="85"/>
    </row>
    <row r="4950" spans="1:39" hidden="1" x14ac:dyDescent="0.3">
      <c r="A4950" s="89" t="s">
        <v>3394</v>
      </c>
      <c r="B4950" s="86" t="s">
        <v>35</v>
      </c>
      <c r="C4950" s="86" t="s">
        <v>65</v>
      </c>
      <c r="D4950" s="86" t="s">
        <v>66</v>
      </c>
      <c r="E4950" s="86" t="s">
        <v>231</v>
      </c>
      <c r="F4950" s="86" t="s">
        <v>231</v>
      </c>
      <c r="G4950" s="86" t="s">
        <v>231</v>
      </c>
      <c r="H4950" s="143">
        <v>229</v>
      </c>
      <c r="I4950" s="86" t="s">
        <v>3356</v>
      </c>
      <c r="J4950" s="1" t="s">
        <v>3326</v>
      </c>
      <c r="K4950" s="1" t="s">
        <v>3712</v>
      </c>
      <c r="L4950" s="1" t="s">
        <v>35</v>
      </c>
      <c r="M4950" s="86"/>
      <c r="N4950" s="86" t="s">
        <v>3712</v>
      </c>
      <c r="O4950" s="47" t="s">
        <v>45</v>
      </c>
      <c r="P4950" s="47" t="s">
        <v>41</v>
      </c>
      <c r="Q4950" s="14">
        <v>0</v>
      </c>
      <c r="R4950" s="143"/>
      <c r="S4950" s="47"/>
      <c r="T4950" s="6">
        <v>51736.429999999775</v>
      </c>
      <c r="U4950" s="6">
        <v>-51736.43</v>
      </c>
      <c r="V4950" s="6">
        <v>0</v>
      </c>
      <c r="W4950" s="6">
        <f t="shared" si="751"/>
        <v>-2.255546860396862E-10</v>
      </c>
      <c r="X4950" s="6">
        <f t="shared" si="752"/>
        <v>0</v>
      </c>
      <c r="Y4950" s="13">
        <f t="shared" si="755"/>
        <v>0</v>
      </c>
      <c r="Z4950" s="14">
        <v>0</v>
      </c>
      <c r="AA4950" s="6">
        <v>0</v>
      </c>
      <c r="AB4950" s="4">
        <f t="shared" si="756"/>
        <v>0</v>
      </c>
      <c r="AC4950" s="4">
        <f t="shared" si="758"/>
        <v>0</v>
      </c>
      <c r="AD4950" s="6">
        <f t="shared" si="753"/>
        <v>0</v>
      </c>
      <c r="AE4950" s="2">
        <v>0.06</v>
      </c>
      <c r="AF4950" s="6">
        <f t="shared" si="759"/>
        <v>0</v>
      </c>
      <c r="AG4950" s="14">
        <v>0</v>
      </c>
      <c r="AH4950" s="64">
        <f t="shared" si="754"/>
        <v>0</v>
      </c>
      <c r="AI4950" s="47"/>
      <c r="AJ4950" s="126" t="e">
        <v>#N/A</v>
      </c>
      <c r="AK4950" s="80">
        <f t="shared" si="757"/>
        <v>0</v>
      </c>
      <c r="AM4950" s="85"/>
    </row>
    <row r="4951" spans="1:39" hidden="1" x14ac:dyDescent="0.3">
      <c r="A4951" s="89" t="s">
        <v>3395</v>
      </c>
      <c r="B4951" s="86" t="s">
        <v>35</v>
      </c>
      <c r="C4951" s="86" t="s">
        <v>65</v>
      </c>
      <c r="D4951" s="86" t="s">
        <v>122</v>
      </c>
      <c r="E4951" s="86" t="s">
        <v>123</v>
      </c>
      <c r="F4951" s="86" t="s">
        <v>123</v>
      </c>
      <c r="G4951" s="86" t="s">
        <v>123</v>
      </c>
      <c r="H4951" s="143">
        <v>229</v>
      </c>
      <c r="I4951" s="86" t="s">
        <v>3356</v>
      </c>
      <c r="J4951" s="1" t="s">
        <v>3326</v>
      </c>
      <c r="K4951" s="1" t="s">
        <v>3707</v>
      </c>
      <c r="L4951" s="1" t="s">
        <v>35</v>
      </c>
      <c r="M4951" s="86"/>
      <c r="N4951" s="86" t="s">
        <v>3707</v>
      </c>
      <c r="O4951" s="47" t="s">
        <v>45</v>
      </c>
      <c r="P4951" s="47" t="s">
        <v>46</v>
      </c>
      <c r="Q4951" s="14">
        <v>6.5000000000000002E-2</v>
      </c>
      <c r="R4951" s="143"/>
      <c r="S4951" s="47"/>
      <c r="T4951" s="6">
        <v>268419.61999999988</v>
      </c>
      <c r="U4951" s="6">
        <v>-268419.62</v>
      </c>
      <c r="V4951" s="6">
        <v>0</v>
      </c>
      <c r="W4951" s="6">
        <f t="shared" si="751"/>
        <v>-1.1641532182693481E-10</v>
      </c>
      <c r="X4951" s="6">
        <f t="shared" si="752"/>
        <v>0</v>
      </c>
      <c r="Y4951" s="13">
        <f t="shared" si="755"/>
        <v>0</v>
      </c>
      <c r="Z4951" s="14">
        <v>0</v>
      </c>
      <c r="AA4951" s="6">
        <v>0</v>
      </c>
      <c r="AB4951" s="4">
        <f t="shared" si="756"/>
        <v>0</v>
      </c>
      <c r="AC4951" s="4">
        <f t="shared" si="758"/>
        <v>0</v>
      </c>
      <c r="AD4951" s="6">
        <f t="shared" si="753"/>
        <v>0</v>
      </c>
      <c r="AE4951" s="2">
        <v>0.06</v>
      </c>
      <c r="AF4951" s="6">
        <f t="shared" si="759"/>
        <v>0</v>
      </c>
      <c r="AG4951" s="14">
        <v>0</v>
      </c>
      <c r="AH4951" s="64">
        <f t="shared" si="754"/>
        <v>0</v>
      </c>
      <c r="AI4951" s="47"/>
      <c r="AJ4951" s="126" t="e">
        <v>#N/A</v>
      </c>
      <c r="AK4951" s="80">
        <f t="shared" si="757"/>
        <v>0</v>
      </c>
      <c r="AM4951" s="85"/>
    </row>
    <row r="4952" spans="1:39" hidden="1" x14ac:dyDescent="0.3">
      <c r="A4952" s="89" t="s">
        <v>3394</v>
      </c>
      <c r="B4952" s="86" t="s">
        <v>35</v>
      </c>
      <c r="C4952" s="86" t="s">
        <v>65</v>
      </c>
      <c r="D4952" s="86" t="s">
        <v>122</v>
      </c>
      <c r="E4952" s="86" t="s">
        <v>123</v>
      </c>
      <c r="F4952" s="86" t="s">
        <v>123</v>
      </c>
      <c r="G4952" s="86" t="s">
        <v>123</v>
      </c>
      <c r="H4952" s="144">
        <v>229</v>
      </c>
      <c r="I4952" s="86" t="s">
        <v>3356</v>
      </c>
      <c r="J4952" s="1" t="s">
        <v>3326</v>
      </c>
      <c r="K4952" s="1" t="s">
        <v>3707</v>
      </c>
      <c r="L4952" s="1" t="s">
        <v>35</v>
      </c>
      <c r="M4952" s="86"/>
      <c r="N4952" s="86" t="s">
        <v>3707</v>
      </c>
      <c r="O4952" s="47" t="s">
        <v>45</v>
      </c>
      <c r="P4952" s="47" t="s">
        <v>41</v>
      </c>
      <c r="Q4952" s="14">
        <v>0</v>
      </c>
      <c r="R4952" s="143"/>
      <c r="S4952" s="47" t="s">
        <v>3689</v>
      </c>
      <c r="T4952" s="6">
        <v>521082.62000000011</v>
      </c>
      <c r="U4952" s="6">
        <v>1068419.6200000001</v>
      </c>
      <c r="V4952" s="6">
        <v>528947.53</v>
      </c>
      <c r="W4952" s="6">
        <f t="shared" si="751"/>
        <v>1060554.7100000002</v>
      </c>
      <c r="X4952" s="6">
        <f>IF(P4952="折扣",V4952*Q4952,IF(P4952="返现",V4952,V4952/(1+Q4952)))-100</f>
        <v>528847.53</v>
      </c>
      <c r="Y4952" s="13">
        <f t="shared" si="755"/>
        <v>0</v>
      </c>
      <c r="Z4952" s="14">
        <v>0</v>
      </c>
      <c r="AA4952" s="6">
        <v>0</v>
      </c>
      <c r="AB4952" s="4">
        <f t="shared" si="756"/>
        <v>528847.53</v>
      </c>
      <c r="AC4952" s="4">
        <f t="shared" si="758"/>
        <v>100</v>
      </c>
      <c r="AD4952" s="6">
        <f t="shared" si="753"/>
        <v>528947.53</v>
      </c>
      <c r="AE4952" s="2">
        <v>0.06</v>
      </c>
      <c r="AF4952" s="6">
        <f t="shared" si="759"/>
        <v>31736.8518</v>
      </c>
      <c r="AG4952" s="14">
        <v>0</v>
      </c>
      <c r="AH4952" s="64">
        <f t="shared" si="754"/>
        <v>528947.53</v>
      </c>
      <c r="AI4952" s="47"/>
      <c r="AJ4952" s="126" t="e">
        <v>#N/A</v>
      </c>
      <c r="AK4952" s="80">
        <f t="shared" si="757"/>
        <v>0</v>
      </c>
      <c r="AM4952" s="85"/>
    </row>
    <row r="4953" spans="1:39" hidden="1" x14ac:dyDescent="0.3">
      <c r="A4953" s="89" t="s">
        <v>3394</v>
      </c>
      <c r="B4953" s="86" t="s">
        <v>35</v>
      </c>
      <c r="C4953" s="86" t="s">
        <v>65</v>
      </c>
      <c r="D4953" s="86" t="s">
        <v>122</v>
      </c>
      <c r="E4953" s="86" t="s">
        <v>124</v>
      </c>
      <c r="F4953" s="86" t="s">
        <v>124</v>
      </c>
      <c r="G4953" s="86" t="s">
        <v>124</v>
      </c>
      <c r="H4953" s="143">
        <v>229</v>
      </c>
      <c r="I4953" s="86" t="s">
        <v>3356</v>
      </c>
      <c r="J4953" s="1" t="s">
        <v>3326</v>
      </c>
      <c r="K4953" s="1" t="s">
        <v>3712</v>
      </c>
      <c r="L4953" s="1" t="s">
        <v>35</v>
      </c>
      <c r="M4953" s="86"/>
      <c r="N4953" s="86" t="s">
        <v>3712</v>
      </c>
      <c r="O4953" s="47" t="s">
        <v>45</v>
      </c>
      <c r="P4953" s="47" t="s">
        <v>46</v>
      </c>
      <c r="Q4953" s="14">
        <v>7.0000000000000007E-2</v>
      </c>
      <c r="R4953" s="143"/>
      <c r="S4953" s="47"/>
      <c r="T4953" s="6">
        <v>0</v>
      </c>
      <c r="U4953" s="6">
        <v>0</v>
      </c>
      <c r="V4953" s="6">
        <v>0</v>
      </c>
      <c r="W4953" s="6">
        <f t="shared" si="751"/>
        <v>0</v>
      </c>
      <c r="X4953" s="6">
        <f t="shared" si="752"/>
        <v>0</v>
      </c>
      <c r="Y4953" s="13">
        <f t="shared" si="755"/>
        <v>0</v>
      </c>
      <c r="Z4953" s="14">
        <v>0</v>
      </c>
      <c r="AA4953" s="6">
        <v>0</v>
      </c>
      <c r="AB4953" s="4">
        <f t="shared" si="756"/>
        <v>0</v>
      </c>
      <c r="AC4953" s="4">
        <f t="shared" si="758"/>
        <v>0</v>
      </c>
      <c r="AD4953" s="6">
        <f t="shared" si="753"/>
        <v>0</v>
      </c>
      <c r="AE4953" s="2">
        <v>0.06</v>
      </c>
      <c r="AF4953" s="6">
        <f t="shared" si="759"/>
        <v>0</v>
      </c>
      <c r="AG4953" s="14">
        <v>0</v>
      </c>
      <c r="AH4953" s="64">
        <f t="shared" si="754"/>
        <v>0</v>
      </c>
      <c r="AI4953" s="47"/>
      <c r="AJ4953" s="126" t="e">
        <v>#N/A</v>
      </c>
      <c r="AK4953" s="80">
        <f t="shared" si="757"/>
        <v>0</v>
      </c>
      <c r="AM4953" s="85"/>
    </row>
    <row r="4954" spans="1:39" hidden="1" x14ac:dyDescent="0.3">
      <c r="A4954" s="89" t="s">
        <v>3394</v>
      </c>
      <c r="B4954" s="86" t="s">
        <v>35</v>
      </c>
      <c r="C4954" s="86" t="s">
        <v>65</v>
      </c>
      <c r="D4954" s="86" t="s">
        <v>122</v>
      </c>
      <c r="E4954" s="86" t="s">
        <v>124</v>
      </c>
      <c r="F4954" s="86" t="s">
        <v>124</v>
      </c>
      <c r="G4954" s="86" t="s">
        <v>124</v>
      </c>
      <c r="H4954" s="143">
        <v>229</v>
      </c>
      <c r="I4954" s="86" t="s">
        <v>3356</v>
      </c>
      <c r="J4954" s="1" t="s">
        <v>3326</v>
      </c>
      <c r="K4954" s="1" t="s">
        <v>3712</v>
      </c>
      <c r="L4954" s="1" t="s">
        <v>35</v>
      </c>
      <c r="M4954" s="86"/>
      <c r="N4954" s="86" t="s">
        <v>3712</v>
      </c>
      <c r="O4954" s="47" t="s">
        <v>45</v>
      </c>
      <c r="P4954" s="47" t="s">
        <v>41</v>
      </c>
      <c r="Q4954" s="14">
        <v>0</v>
      </c>
      <c r="R4954" s="143"/>
      <c r="S4954" s="47"/>
      <c r="T4954" s="6">
        <v>300.26000000002023</v>
      </c>
      <c r="U4954" s="6">
        <v>0</v>
      </c>
      <c r="V4954" s="6">
        <v>0</v>
      </c>
      <c r="W4954" s="6">
        <v>0</v>
      </c>
      <c r="X4954" s="6">
        <f t="shared" si="752"/>
        <v>0</v>
      </c>
      <c r="Y4954" s="13">
        <f t="shared" si="755"/>
        <v>0</v>
      </c>
      <c r="Z4954" s="14">
        <v>0</v>
      </c>
      <c r="AA4954" s="6">
        <v>0</v>
      </c>
      <c r="AB4954" s="4">
        <f t="shared" si="756"/>
        <v>0</v>
      </c>
      <c r="AC4954" s="4">
        <f t="shared" si="758"/>
        <v>0</v>
      </c>
      <c r="AD4954" s="6">
        <f t="shared" si="753"/>
        <v>0</v>
      </c>
      <c r="AE4954" s="2">
        <v>0.06</v>
      </c>
      <c r="AF4954" s="6">
        <f t="shared" si="759"/>
        <v>0</v>
      </c>
      <c r="AG4954" s="14">
        <v>0</v>
      </c>
      <c r="AH4954" s="64">
        <f t="shared" si="754"/>
        <v>0</v>
      </c>
      <c r="AI4954" s="47"/>
      <c r="AJ4954" s="126" t="e">
        <v>#N/A</v>
      </c>
      <c r="AK4954" s="80">
        <f t="shared" si="757"/>
        <v>0</v>
      </c>
      <c r="AM4954" s="85"/>
    </row>
    <row r="4955" spans="1:39" hidden="1" x14ac:dyDescent="0.3">
      <c r="A4955" s="89" t="s">
        <v>3397</v>
      </c>
      <c r="B4955" s="86" t="s">
        <v>35</v>
      </c>
      <c r="C4955" s="86" t="s">
        <v>65</v>
      </c>
      <c r="D4955" s="86" t="s">
        <v>125</v>
      </c>
      <c r="E4955" s="86" t="s">
        <v>276</v>
      </c>
      <c r="F4955" s="86" t="s">
        <v>277</v>
      </c>
      <c r="G4955" s="86" t="s">
        <v>276</v>
      </c>
      <c r="H4955" s="144">
        <v>229</v>
      </c>
      <c r="I4955" s="86" t="s">
        <v>3356</v>
      </c>
      <c r="J4955" s="1" t="s">
        <v>3326</v>
      </c>
      <c r="K4955" s="1" t="s">
        <v>3710</v>
      </c>
      <c r="L4955" s="1" t="s">
        <v>35</v>
      </c>
      <c r="M4955" s="86"/>
      <c r="N4955" s="86" t="s">
        <v>3710</v>
      </c>
      <c r="O4955" s="47" t="s">
        <v>45</v>
      </c>
      <c r="P4955" s="47" t="s">
        <v>46</v>
      </c>
      <c r="Q4955" s="14">
        <v>0.06</v>
      </c>
      <c r="R4955" s="143"/>
      <c r="S4955" s="47"/>
      <c r="T4955" s="6">
        <v>0</v>
      </c>
      <c r="U4955" s="6">
        <v>160000</v>
      </c>
      <c r="V4955" s="6">
        <v>141475.68999999989</v>
      </c>
      <c r="W4955" s="6">
        <f t="shared" si="751"/>
        <v>18524.310000000114</v>
      </c>
      <c r="X4955" s="6">
        <f t="shared" si="752"/>
        <v>133467.63207547157</v>
      </c>
      <c r="Y4955" s="13">
        <f t="shared" si="755"/>
        <v>0</v>
      </c>
      <c r="Z4955" s="14">
        <v>0</v>
      </c>
      <c r="AA4955" s="6">
        <v>0</v>
      </c>
      <c r="AB4955" s="4">
        <f t="shared" si="756"/>
        <v>133467.63207547157</v>
      </c>
      <c r="AC4955" s="4">
        <f t="shared" si="758"/>
        <v>8008.0579245283152</v>
      </c>
      <c r="AD4955" s="6">
        <f t="shared" si="753"/>
        <v>141475.68999999989</v>
      </c>
      <c r="AE4955" s="2">
        <v>0.06</v>
      </c>
      <c r="AF4955" s="6">
        <f t="shared" si="759"/>
        <v>8488.5413999999928</v>
      </c>
      <c r="AG4955" s="14">
        <v>0</v>
      </c>
      <c r="AH4955" s="64">
        <f t="shared" si="754"/>
        <v>141475.68999999989</v>
      </c>
      <c r="AI4955" s="47"/>
      <c r="AJ4955" s="126" t="e">
        <v>#N/A</v>
      </c>
      <c r="AK4955" s="80">
        <f t="shared" si="757"/>
        <v>0</v>
      </c>
      <c r="AM4955" s="85"/>
    </row>
    <row r="4956" spans="1:39" hidden="1" x14ac:dyDescent="0.3">
      <c r="A4956" s="89" t="s">
        <v>3394</v>
      </c>
      <c r="B4956" s="86" t="s">
        <v>35</v>
      </c>
      <c r="C4956" s="86" t="s">
        <v>65</v>
      </c>
      <c r="D4956" s="86" t="s">
        <v>1291</v>
      </c>
      <c r="E4956" s="86" t="s">
        <v>3614</v>
      </c>
      <c r="F4956" s="86" t="s">
        <v>3614</v>
      </c>
      <c r="G4956" s="86" t="s">
        <v>3614</v>
      </c>
      <c r="H4956" s="144">
        <v>229</v>
      </c>
      <c r="I4956" s="86" t="s">
        <v>3356</v>
      </c>
      <c r="J4956" s="1" t="s">
        <v>3326</v>
      </c>
      <c r="K4956" s="1" t="s">
        <v>3712</v>
      </c>
      <c r="L4956" s="1" t="s">
        <v>35</v>
      </c>
      <c r="M4956" s="86"/>
      <c r="N4956" s="86" t="s">
        <v>3712</v>
      </c>
      <c r="O4956" s="47" t="s">
        <v>45</v>
      </c>
      <c r="P4956" s="47" t="s">
        <v>3748</v>
      </c>
      <c r="Q4956" s="14">
        <v>0.06</v>
      </c>
      <c r="R4956" s="143"/>
      <c r="S4956" s="47"/>
      <c r="T4956" s="6">
        <v>0</v>
      </c>
      <c r="U4956" s="6">
        <v>18518.52</v>
      </c>
      <c r="V4956" s="6">
        <v>277.63</v>
      </c>
      <c r="W4956" s="6">
        <f t="shared" si="751"/>
        <v>18240.89</v>
      </c>
      <c r="X4956" s="6">
        <f t="shared" si="752"/>
        <v>261.91509433962261</v>
      </c>
      <c r="Y4956" s="13">
        <f t="shared" si="755"/>
        <v>0</v>
      </c>
      <c r="Z4956" s="14">
        <v>0</v>
      </c>
      <c r="AA4956" s="6">
        <v>0</v>
      </c>
      <c r="AB4956" s="4">
        <f t="shared" si="756"/>
        <v>261.91509433962261</v>
      </c>
      <c r="AC4956" s="4">
        <f t="shared" si="758"/>
        <v>15.714905660377383</v>
      </c>
      <c r="AD4956" s="6">
        <f t="shared" si="753"/>
        <v>277.63</v>
      </c>
      <c r="AE4956" s="2">
        <v>0.06</v>
      </c>
      <c r="AF4956" s="6">
        <f t="shared" si="759"/>
        <v>16.657799999999998</v>
      </c>
      <c r="AG4956" s="14">
        <v>0</v>
      </c>
      <c r="AH4956" s="64">
        <f t="shared" si="754"/>
        <v>277.63</v>
      </c>
      <c r="AI4956" s="47"/>
      <c r="AJ4956" s="126" t="e">
        <v>#N/A</v>
      </c>
      <c r="AK4956" s="80">
        <f t="shared" si="757"/>
        <v>0</v>
      </c>
      <c r="AM4956" s="85"/>
    </row>
    <row r="4957" spans="1:39" hidden="1" x14ac:dyDescent="0.3">
      <c r="A4957" s="89" t="s">
        <v>3394</v>
      </c>
      <c r="B4957" s="86" t="s">
        <v>35</v>
      </c>
      <c r="C4957" s="86" t="s">
        <v>47</v>
      </c>
      <c r="D4957" s="86" t="s">
        <v>63</v>
      </c>
      <c r="E4957" s="86" t="s">
        <v>127</v>
      </c>
      <c r="F4957" s="86" t="s">
        <v>127</v>
      </c>
      <c r="G4957" s="86" t="s">
        <v>127</v>
      </c>
      <c r="H4957" s="144">
        <v>229</v>
      </c>
      <c r="I4957" s="86" t="s">
        <v>3356</v>
      </c>
      <c r="J4957" s="1" t="s">
        <v>3326</v>
      </c>
      <c r="K4957" s="1" t="s">
        <v>3710</v>
      </c>
      <c r="L4957" s="1" t="s">
        <v>35</v>
      </c>
      <c r="M4957" s="86"/>
      <c r="N4957" s="86" t="s">
        <v>3710</v>
      </c>
      <c r="O4957" s="47" t="s">
        <v>45</v>
      </c>
      <c r="P4957" s="47" t="s">
        <v>41</v>
      </c>
      <c r="Q4957" s="14">
        <v>0</v>
      </c>
      <c r="R4957" s="143"/>
      <c r="S4957" s="47"/>
      <c r="T4957" s="6">
        <v>1948385.3900000006</v>
      </c>
      <c r="U4957" s="6">
        <v>4000000</v>
      </c>
      <c r="V4957" s="6">
        <v>3594746.0199999991</v>
      </c>
      <c r="W4957" s="6">
        <f t="shared" si="751"/>
        <v>2353639.3700000015</v>
      </c>
      <c r="X4957" s="6">
        <f t="shared" si="752"/>
        <v>3594746.0199999991</v>
      </c>
      <c r="Y4957" s="13">
        <f t="shared" si="755"/>
        <v>0</v>
      </c>
      <c r="Z4957" s="14">
        <v>0</v>
      </c>
      <c r="AA4957" s="6">
        <v>0</v>
      </c>
      <c r="AB4957" s="4">
        <f t="shared" si="756"/>
        <v>3594746.0199999991</v>
      </c>
      <c r="AC4957" s="4">
        <f t="shared" si="758"/>
        <v>0</v>
      </c>
      <c r="AD4957" s="6">
        <f t="shared" si="753"/>
        <v>3594746.0199999991</v>
      </c>
      <c r="AE4957" s="2">
        <v>0.06</v>
      </c>
      <c r="AF4957" s="6">
        <f t="shared" si="759"/>
        <v>215684.76119999995</v>
      </c>
      <c r="AG4957" s="14">
        <v>0</v>
      </c>
      <c r="AH4957" s="64">
        <f t="shared" si="754"/>
        <v>3594746.0199999991</v>
      </c>
      <c r="AI4957" s="47"/>
      <c r="AJ4957" s="126" t="e">
        <v>#N/A</v>
      </c>
      <c r="AK4957" s="80">
        <f t="shared" si="757"/>
        <v>0</v>
      </c>
      <c r="AM4957" s="85"/>
    </row>
    <row r="4958" spans="1:39" hidden="1" x14ac:dyDescent="0.3">
      <c r="A4958" s="89" t="s">
        <v>3394</v>
      </c>
      <c r="B4958" s="86" t="s">
        <v>35</v>
      </c>
      <c r="C4958" s="86" t="s">
        <v>47</v>
      </c>
      <c r="D4958" s="86" t="s">
        <v>63</v>
      </c>
      <c r="E4958" s="86" t="s">
        <v>128</v>
      </c>
      <c r="F4958" s="86" t="s">
        <v>128</v>
      </c>
      <c r="G4958" s="86" t="s">
        <v>128</v>
      </c>
      <c r="H4958" s="144">
        <v>229</v>
      </c>
      <c r="I4958" s="86" t="s">
        <v>3356</v>
      </c>
      <c r="J4958" s="1" t="s">
        <v>3326</v>
      </c>
      <c r="K4958" s="1" t="s">
        <v>3710</v>
      </c>
      <c r="L4958" s="1" t="s">
        <v>35</v>
      </c>
      <c r="M4958" s="86"/>
      <c r="N4958" s="86" t="s">
        <v>3710</v>
      </c>
      <c r="O4958" s="47" t="s">
        <v>45</v>
      </c>
      <c r="P4958" s="47" t="s">
        <v>92</v>
      </c>
      <c r="Q4958" s="14">
        <v>0.99</v>
      </c>
      <c r="R4958" s="143"/>
      <c r="S4958" s="47"/>
      <c r="T4958" s="6">
        <v>-537865.25999999605</v>
      </c>
      <c r="U4958" s="6">
        <v>5905795.5999999996</v>
      </c>
      <c r="V4958" s="6">
        <v>2476427.54</v>
      </c>
      <c r="W4958" s="6">
        <f t="shared" si="751"/>
        <v>2891502.8000000035</v>
      </c>
      <c r="X4958" s="6">
        <f t="shared" si="752"/>
        <v>2451663.2645999999</v>
      </c>
      <c r="Y4958" s="13">
        <f t="shared" si="755"/>
        <v>0</v>
      </c>
      <c r="Z4958" s="14">
        <v>0</v>
      </c>
      <c r="AA4958" s="6">
        <v>0</v>
      </c>
      <c r="AB4958" s="4">
        <f t="shared" si="756"/>
        <v>2451663.2645999999</v>
      </c>
      <c r="AC4958" s="4">
        <f t="shared" si="758"/>
        <v>24764.275400000159</v>
      </c>
      <c r="AD4958" s="6">
        <f t="shared" si="753"/>
        <v>2476427.54</v>
      </c>
      <c r="AE4958" s="2">
        <v>0.06</v>
      </c>
      <c r="AF4958" s="6">
        <f t="shared" si="759"/>
        <v>148585.65239999999</v>
      </c>
      <c r="AG4958" s="14">
        <v>0</v>
      </c>
      <c r="AH4958" s="64">
        <f t="shared" si="754"/>
        <v>2476427.54</v>
      </c>
      <c r="AI4958" s="47"/>
      <c r="AJ4958" s="126" t="e">
        <v>#N/A</v>
      </c>
      <c r="AK4958" s="80">
        <f t="shared" si="757"/>
        <v>0</v>
      </c>
      <c r="AM4958" s="85"/>
    </row>
    <row r="4959" spans="1:39" hidden="1" x14ac:dyDescent="0.3">
      <c r="A4959" s="89" t="s">
        <v>3394</v>
      </c>
      <c r="B4959" s="86" t="s">
        <v>35</v>
      </c>
      <c r="C4959" s="86" t="s">
        <v>47</v>
      </c>
      <c r="D4959" s="86" t="s">
        <v>63</v>
      </c>
      <c r="E4959" s="86" t="s">
        <v>129</v>
      </c>
      <c r="F4959" s="86" t="s">
        <v>129</v>
      </c>
      <c r="G4959" s="86" t="s">
        <v>129</v>
      </c>
      <c r="H4959" s="143">
        <v>229</v>
      </c>
      <c r="I4959" s="86" t="s">
        <v>3356</v>
      </c>
      <c r="J4959" s="1" t="s">
        <v>3326</v>
      </c>
      <c r="K4959" s="1" t="s">
        <v>3712</v>
      </c>
      <c r="L4959" s="1" t="s">
        <v>35</v>
      </c>
      <c r="M4959" s="86"/>
      <c r="N4959" s="86" t="s">
        <v>3712</v>
      </c>
      <c r="O4959" s="47" t="s">
        <v>45</v>
      </c>
      <c r="P4959" s="47" t="s">
        <v>92</v>
      </c>
      <c r="Q4959" s="14">
        <v>0.99</v>
      </c>
      <c r="R4959" s="143"/>
      <c r="S4959" s="47"/>
      <c r="T4959" s="6">
        <v>3317202.2400000049</v>
      </c>
      <c r="U4959" s="6">
        <v>-3282008.2</v>
      </c>
      <c r="V4959" s="6">
        <v>0</v>
      </c>
      <c r="W4959" s="6">
        <f t="shared" si="751"/>
        <v>35194.040000004694</v>
      </c>
      <c r="X4959" s="6">
        <f t="shared" si="752"/>
        <v>0</v>
      </c>
      <c r="Y4959" s="13">
        <f t="shared" si="755"/>
        <v>0</v>
      </c>
      <c r="Z4959" s="14">
        <v>0</v>
      </c>
      <c r="AA4959" s="6">
        <v>0</v>
      </c>
      <c r="AB4959" s="4">
        <f t="shared" si="756"/>
        <v>0</v>
      </c>
      <c r="AC4959" s="4">
        <f t="shared" si="758"/>
        <v>0</v>
      </c>
      <c r="AD4959" s="6">
        <f t="shared" si="753"/>
        <v>0</v>
      </c>
      <c r="AE4959" s="2">
        <v>0.06</v>
      </c>
      <c r="AF4959" s="6">
        <f t="shared" si="759"/>
        <v>0</v>
      </c>
      <c r="AG4959" s="14">
        <v>0</v>
      </c>
      <c r="AH4959" s="64">
        <f t="shared" si="754"/>
        <v>0</v>
      </c>
      <c r="AI4959" s="47"/>
      <c r="AJ4959" s="126" t="e">
        <v>#N/A</v>
      </c>
      <c r="AK4959" s="80">
        <f t="shared" si="757"/>
        <v>0</v>
      </c>
      <c r="AM4959" s="85"/>
    </row>
    <row r="4960" spans="1:39" hidden="1" x14ac:dyDescent="0.3">
      <c r="A4960" s="89" t="s">
        <v>3394</v>
      </c>
      <c r="B4960" s="86" t="s">
        <v>35</v>
      </c>
      <c r="C4960" s="86" t="s">
        <v>47</v>
      </c>
      <c r="D4960" s="86" t="s">
        <v>63</v>
      </c>
      <c r="E4960" s="86" t="s">
        <v>130</v>
      </c>
      <c r="F4960" s="86" t="s">
        <v>130</v>
      </c>
      <c r="G4960" s="86" t="s">
        <v>130</v>
      </c>
      <c r="H4960" s="143">
        <v>229</v>
      </c>
      <c r="I4960" s="86" t="s">
        <v>3356</v>
      </c>
      <c r="J4960" s="1" t="s">
        <v>3326</v>
      </c>
      <c r="K4960" s="1" t="s">
        <v>3712</v>
      </c>
      <c r="L4960" s="1" t="s">
        <v>35</v>
      </c>
      <c r="M4960" s="86"/>
      <c r="N4960" s="86" t="s">
        <v>3712</v>
      </c>
      <c r="O4960" s="47" t="s">
        <v>45</v>
      </c>
      <c r="P4960" s="47" t="s">
        <v>41</v>
      </c>
      <c r="Q4960" s="14">
        <v>0</v>
      </c>
      <c r="R4960" s="143"/>
      <c r="S4960" s="47"/>
      <c r="T4960" s="6">
        <v>195274.17999999673</v>
      </c>
      <c r="U4960" s="6">
        <v>-195274.18</v>
      </c>
      <c r="V4960" s="6">
        <v>0</v>
      </c>
      <c r="W4960" s="6">
        <f t="shared" si="751"/>
        <v>-3.2596290111541748E-9</v>
      </c>
      <c r="X4960" s="6">
        <f t="shared" si="752"/>
        <v>0</v>
      </c>
      <c r="Y4960" s="13">
        <f t="shared" si="755"/>
        <v>0</v>
      </c>
      <c r="Z4960" s="14">
        <v>0</v>
      </c>
      <c r="AA4960" s="6">
        <v>0</v>
      </c>
      <c r="AB4960" s="4">
        <f t="shared" si="756"/>
        <v>0</v>
      </c>
      <c r="AC4960" s="4">
        <f t="shared" si="758"/>
        <v>0</v>
      </c>
      <c r="AD4960" s="6">
        <f t="shared" si="753"/>
        <v>0</v>
      </c>
      <c r="AE4960" s="2">
        <v>0.06</v>
      </c>
      <c r="AF4960" s="6">
        <f t="shared" si="759"/>
        <v>0</v>
      </c>
      <c r="AG4960" s="14">
        <v>0</v>
      </c>
      <c r="AH4960" s="64">
        <f t="shared" si="754"/>
        <v>0</v>
      </c>
      <c r="AI4960" s="47"/>
      <c r="AJ4960" s="126" t="e">
        <v>#N/A</v>
      </c>
      <c r="AK4960" s="80">
        <f t="shared" si="757"/>
        <v>0</v>
      </c>
      <c r="AM4960" s="85"/>
    </row>
    <row r="4961" spans="1:39" hidden="1" x14ac:dyDescent="0.3">
      <c r="A4961" s="89" t="s">
        <v>3394</v>
      </c>
      <c r="B4961" s="86" t="s">
        <v>35</v>
      </c>
      <c r="C4961" s="86" t="s">
        <v>47</v>
      </c>
      <c r="D4961" s="86" t="s">
        <v>63</v>
      </c>
      <c r="E4961" s="86" t="s">
        <v>131</v>
      </c>
      <c r="F4961" s="86" t="s">
        <v>131</v>
      </c>
      <c r="G4961" s="86" t="s">
        <v>131</v>
      </c>
      <c r="H4961" s="144">
        <v>229</v>
      </c>
      <c r="I4961" s="86" t="s">
        <v>3356</v>
      </c>
      <c r="J4961" s="1" t="s">
        <v>3326</v>
      </c>
      <c r="K4961" s="1" t="s">
        <v>3718</v>
      </c>
      <c r="L4961" s="1" t="s">
        <v>35</v>
      </c>
      <c r="M4961" s="86"/>
      <c r="N4961" s="86" t="s">
        <v>3718</v>
      </c>
      <c r="O4961" s="47" t="s">
        <v>45</v>
      </c>
      <c r="P4961" s="47" t="s">
        <v>41</v>
      </c>
      <c r="Q4961" s="14">
        <v>0</v>
      </c>
      <c r="R4961" s="143"/>
      <c r="S4961" s="47"/>
      <c r="T4961" s="6">
        <v>22989.299999999581</v>
      </c>
      <c r="U4961" s="6">
        <v>615000</v>
      </c>
      <c r="V4961" s="6">
        <v>627780.19999999995</v>
      </c>
      <c r="W4961" s="6">
        <f t="shared" si="751"/>
        <v>10209.099999999627</v>
      </c>
      <c r="X4961" s="6">
        <f t="shared" si="752"/>
        <v>627780.19999999995</v>
      </c>
      <c r="Y4961" s="13">
        <f t="shared" si="755"/>
        <v>0</v>
      </c>
      <c r="Z4961" s="14">
        <v>0</v>
      </c>
      <c r="AA4961" s="6">
        <v>0</v>
      </c>
      <c r="AB4961" s="4">
        <f t="shared" si="756"/>
        <v>627780.19999999995</v>
      </c>
      <c r="AC4961" s="4">
        <f t="shared" si="758"/>
        <v>0</v>
      </c>
      <c r="AD4961" s="6">
        <f t="shared" si="753"/>
        <v>627780.19999999995</v>
      </c>
      <c r="AE4961" s="2">
        <v>0.06</v>
      </c>
      <c r="AF4961" s="6">
        <f t="shared" si="759"/>
        <v>37666.811999999998</v>
      </c>
      <c r="AG4961" s="14">
        <v>0</v>
      </c>
      <c r="AH4961" s="64">
        <f t="shared" si="754"/>
        <v>627780.19999999995</v>
      </c>
      <c r="AI4961" s="47"/>
      <c r="AJ4961" s="126" t="e">
        <v>#N/A</v>
      </c>
      <c r="AK4961" s="80">
        <f t="shared" si="757"/>
        <v>0</v>
      </c>
      <c r="AM4961" s="85"/>
    </row>
    <row r="4962" spans="1:39" hidden="1" x14ac:dyDescent="0.3">
      <c r="A4962" s="89" t="s">
        <v>3394</v>
      </c>
      <c r="B4962" s="86" t="s">
        <v>35</v>
      </c>
      <c r="C4962" s="86" t="s">
        <v>47</v>
      </c>
      <c r="D4962" s="86" t="s">
        <v>63</v>
      </c>
      <c r="E4962" s="86" t="s">
        <v>132</v>
      </c>
      <c r="F4962" s="86" t="s">
        <v>133</v>
      </c>
      <c r="G4962" s="86" t="s">
        <v>132</v>
      </c>
      <c r="H4962" s="144">
        <v>229</v>
      </c>
      <c r="I4962" s="86" t="s">
        <v>3356</v>
      </c>
      <c r="J4962" s="1" t="s">
        <v>3326</v>
      </c>
      <c r="K4962" s="1" t="s">
        <v>3707</v>
      </c>
      <c r="L4962" s="1" t="s">
        <v>35</v>
      </c>
      <c r="M4962" s="86"/>
      <c r="N4962" s="86" t="s">
        <v>3707</v>
      </c>
      <c r="O4962" s="47" t="s">
        <v>45</v>
      </c>
      <c r="P4962" s="47" t="s">
        <v>46</v>
      </c>
      <c r="Q4962" s="14">
        <v>1.4999999999999999E-2</v>
      </c>
      <c r="R4962" s="143"/>
      <c r="S4962" s="47"/>
      <c r="T4962" s="6">
        <v>2881025.4600000009</v>
      </c>
      <c r="U4962" s="6">
        <v>7830000</v>
      </c>
      <c r="V4962" s="6">
        <v>5640141.8399999999</v>
      </c>
      <c r="W4962" s="6">
        <f t="shared" si="751"/>
        <v>5070883.620000001</v>
      </c>
      <c r="X4962" s="6">
        <f t="shared" si="752"/>
        <v>5556789.9901477834</v>
      </c>
      <c r="Y4962" s="13">
        <f t="shared" si="755"/>
        <v>0</v>
      </c>
      <c r="Z4962" s="14">
        <v>0</v>
      </c>
      <c r="AA4962" s="6">
        <v>0</v>
      </c>
      <c r="AB4962" s="4">
        <f t="shared" si="756"/>
        <v>5556789.9901477834</v>
      </c>
      <c r="AC4962" s="4">
        <f t="shared" si="758"/>
        <v>83351.84985221643</v>
      </c>
      <c r="AD4962" s="6">
        <f t="shared" si="753"/>
        <v>5640141.8399999999</v>
      </c>
      <c r="AE4962" s="2">
        <v>0.06</v>
      </c>
      <c r="AF4962" s="6">
        <f t="shared" si="759"/>
        <v>338408.51039999997</v>
      </c>
      <c r="AG4962" s="14">
        <v>0</v>
      </c>
      <c r="AH4962" s="64">
        <f t="shared" si="754"/>
        <v>5640141.8399999999</v>
      </c>
      <c r="AI4962" s="47"/>
      <c r="AJ4962" s="126" t="e">
        <v>#N/A</v>
      </c>
      <c r="AK4962" s="80">
        <f t="shared" si="757"/>
        <v>0</v>
      </c>
      <c r="AM4962" s="85"/>
    </row>
    <row r="4963" spans="1:39" hidden="1" x14ac:dyDescent="0.3">
      <c r="A4963" s="89" t="s">
        <v>3394</v>
      </c>
      <c r="B4963" s="86" t="s">
        <v>35</v>
      </c>
      <c r="C4963" s="86" t="s">
        <v>47</v>
      </c>
      <c r="D4963" s="86" t="s">
        <v>63</v>
      </c>
      <c r="E4963" s="86" t="s">
        <v>134</v>
      </c>
      <c r="F4963" s="86" t="s">
        <v>135</v>
      </c>
      <c r="G4963" s="86" t="s">
        <v>134</v>
      </c>
      <c r="H4963" s="144">
        <v>229</v>
      </c>
      <c r="I4963" s="86" t="s">
        <v>3356</v>
      </c>
      <c r="J4963" s="1" t="s">
        <v>3326</v>
      </c>
      <c r="K4963" s="1" t="s">
        <v>3707</v>
      </c>
      <c r="L4963" s="1" t="s">
        <v>35</v>
      </c>
      <c r="M4963" s="86"/>
      <c r="N4963" s="86" t="s">
        <v>3707</v>
      </c>
      <c r="O4963" s="47" t="s">
        <v>45</v>
      </c>
      <c r="P4963" s="47" t="s">
        <v>41</v>
      </c>
      <c r="Q4963" s="14">
        <v>0</v>
      </c>
      <c r="R4963" s="143"/>
      <c r="S4963" s="47"/>
      <c r="T4963" s="6">
        <v>74140.709999999963</v>
      </c>
      <c r="U4963" s="6">
        <v>250000</v>
      </c>
      <c r="V4963" s="6">
        <v>290412.43</v>
      </c>
      <c r="W4963" s="6">
        <f t="shared" si="751"/>
        <v>33728.27999999997</v>
      </c>
      <c r="X4963" s="6">
        <f t="shared" si="752"/>
        <v>290412.43</v>
      </c>
      <c r="Y4963" s="13">
        <f t="shared" si="755"/>
        <v>0</v>
      </c>
      <c r="Z4963" s="14">
        <v>0</v>
      </c>
      <c r="AA4963" s="6">
        <v>0</v>
      </c>
      <c r="AB4963" s="4">
        <f t="shared" si="756"/>
        <v>290412.43</v>
      </c>
      <c r="AC4963" s="4">
        <f t="shared" si="758"/>
        <v>0</v>
      </c>
      <c r="AD4963" s="6">
        <f t="shared" si="753"/>
        <v>290412.43</v>
      </c>
      <c r="AE4963" s="2">
        <v>0.06</v>
      </c>
      <c r="AF4963" s="6">
        <f t="shared" si="759"/>
        <v>17424.745800000001</v>
      </c>
      <c r="AG4963" s="14">
        <v>0</v>
      </c>
      <c r="AH4963" s="64">
        <f t="shared" si="754"/>
        <v>290412.43</v>
      </c>
      <c r="AI4963" s="47"/>
      <c r="AJ4963" s="126" t="e">
        <v>#N/A</v>
      </c>
      <c r="AK4963" s="80">
        <f t="shared" si="757"/>
        <v>0</v>
      </c>
      <c r="AM4963" s="85"/>
    </row>
    <row r="4964" spans="1:39" hidden="1" x14ac:dyDescent="0.3">
      <c r="A4964" s="89" t="s">
        <v>3394</v>
      </c>
      <c r="B4964" s="86" t="s">
        <v>35</v>
      </c>
      <c r="C4964" s="86" t="s">
        <v>47</v>
      </c>
      <c r="D4964" s="86" t="s">
        <v>63</v>
      </c>
      <c r="E4964" s="86" t="s">
        <v>136</v>
      </c>
      <c r="F4964" s="86" t="s">
        <v>136</v>
      </c>
      <c r="G4964" s="86" t="s">
        <v>136</v>
      </c>
      <c r="H4964" s="144">
        <v>229</v>
      </c>
      <c r="I4964" s="86" t="s">
        <v>3356</v>
      </c>
      <c r="J4964" s="1" t="s">
        <v>3326</v>
      </c>
      <c r="K4964" s="1" t="s">
        <v>3712</v>
      </c>
      <c r="L4964" s="1" t="s">
        <v>35</v>
      </c>
      <c r="M4964" s="86"/>
      <c r="N4964" s="86" t="s">
        <v>3712</v>
      </c>
      <c r="O4964" s="47" t="s">
        <v>45</v>
      </c>
      <c r="P4964" s="47" t="s">
        <v>41</v>
      </c>
      <c r="Q4964" s="14">
        <v>0</v>
      </c>
      <c r="R4964" s="143"/>
      <c r="S4964" s="47"/>
      <c r="T4964" s="6">
        <v>143939.68</v>
      </c>
      <c r="U4964" s="6">
        <v>250000</v>
      </c>
      <c r="V4964" s="6">
        <v>152276.60999999999</v>
      </c>
      <c r="W4964" s="6">
        <f t="shared" si="751"/>
        <v>241663.07</v>
      </c>
      <c r="X4964" s="6">
        <f t="shared" si="752"/>
        <v>152276.60999999999</v>
      </c>
      <c r="Y4964" s="13">
        <f t="shared" si="755"/>
        <v>0</v>
      </c>
      <c r="Z4964" s="14">
        <v>0</v>
      </c>
      <c r="AA4964" s="6">
        <v>0</v>
      </c>
      <c r="AB4964" s="4">
        <f t="shared" si="756"/>
        <v>152276.60999999999</v>
      </c>
      <c r="AC4964" s="4">
        <f t="shared" si="758"/>
        <v>0</v>
      </c>
      <c r="AD4964" s="6">
        <f t="shared" si="753"/>
        <v>152276.60999999999</v>
      </c>
      <c r="AE4964" s="2">
        <v>0.06</v>
      </c>
      <c r="AF4964" s="6">
        <f t="shared" si="759"/>
        <v>9136.5965999999989</v>
      </c>
      <c r="AG4964" s="14">
        <v>0</v>
      </c>
      <c r="AH4964" s="64">
        <f t="shared" si="754"/>
        <v>152276.60999999999</v>
      </c>
      <c r="AI4964" s="47"/>
      <c r="AJ4964" s="126" t="e">
        <v>#N/A</v>
      </c>
      <c r="AK4964" s="80">
        <f t="shared" si="757"/>
        <v>0</v>
      </c>
      <c r="AM4964" s="85"/>
    </row>
    <row r="4965" spans="1:39" hidden="1" x14ac:dyDescent="0.3">
      <c r="A4965" s="89" t="s">
        <v>3394</v>
      </c>
      <c r="B4965" s="86" t="s">
        <v>35</v>
      </c>
      <c r="C4965" s="86" t="s">
        <v>47</v>
      </c>
      <c r="D4965" s="86" t="s">
        <v>63</v>
      </c>
      <c r="E4965" s="86" t="s">
        <v>138</v>
      </c>
      <c r="F4965" s="86" t="s">
        <v>139</v>
      </c>
      <c r="G4965" s="86" t="s">
        <v>138</v>
      </c>
      <c r="H4965" s="144">
        <v>229</v>
      </c>
      <c r="I4965" s="86" t="s">
        <v>3356</v>
      </c>
      <c r="J4965" s="1" t="s">
        <v>3326</v>
      </c>
      <c r="K4965" s="1" t="s">
        <v>3707</v>
      </c>
      <c r="L4965" s="1" t="s">
        <v>35</v>
      </c>
      <c r="M4965" s="86"/>
      <c r="N4965" s="86" t="s">
        <v>3707</v>
      </c>
      <c r="O4965" s="47" t="s">
        <v>45</v>
      </c>
      <c r="P4965" s="47" t="s">
        <v>41</v>
      </c>
      <c r="Q4965" s="14">
        <v>0</v>
      </c>
      <c r="R4965" s="143"/>
      <c r="S4965" s="47"/>
      <c r="T4965" s="6">
        <v>2084123.0599999968</v>
      </c>
      <c r="U4965" s="6">
        <v>8000000</v>
      </c>
      <c r="V4965" s="6">
        <v>5009011.42</v>
      </c>
      <c r="W4965" s="6">
        <f t="shared" si="751"/>
        <v>5075111.6399999969</v>
      </c>
      <c r="X4965" s="6">
        <f t="shared" si="752"/>
        <v>5009011.42</v>
      </c>
      <c r="Y4965" s="13">
        <f t="shared" si="755"/>
        <v>0</v>
      </c>
      <c r="Z4965" s="14">
        <v>0</v>
      </c>
      <c r="AA4965" s="6">
        <v>0</v>
      </c>
      <c r="AB4965" s="4">
        <f t="shared" si="756"/>
        <v>5009011.42</v>
      </c>
      <c r="AC4965" s="4">
        <f t="shared" si="758"/>
        <v>0</v>
      </c>
      <c r="AD4965" s="6">
        <f t="shared" si="753"/>
        <v>5009011.42</v>
      </c>
      <c r="AE4965" s="2">
        <v>0.06</v>
      </c>
      <c r="AF4965" s="6">
        <f t="shared" si="759"/>
        <v>300540.68520000001</v>
      </c>
      <c r="AG4965" s="14">
        <v>0</v>
      </c>
      <c r="AH4965" s="64">
        <f t="shared" si="754"/>
        <v>5009011.42</v>
      </c>
      <c r="AI4965" s="47"/>
      <c r="AJ4965" s="126" t="e">
        <v>#N/A</v>
      </c>
      <c r="AK4965" s="80">
        <f t="shared" si="757"/>
        <v>0</v>
      </c>
      <c r="AM4965" s="85"/>
    </row>
    <row r="4966" spans="1:39" hidden="1" x14ac:dyDescent="0.3">
      <c r="A4966" s="89" t="s">
        <v>3394</v>
      </c>
      <c r="B4966" s="86" t="s">
        <v>35</v>
      </c>
      <c r="C4966" s="86" t="s">
        <v>47</v>
      </c>
      <c r="D4966" s="86" t="s">
        <v>63</v>
      </c>
      <c r="E4966" s="86" t="s">
        <v>141</v>
      </c>
      <c r="F4966" s="86" t="s">
        <v>142</v>
      </c>
      <c r="G4966" s="86" t="s">
        <v>141</v>
      </c>
      <c r="H4966" s="143">
        <v>229</v>
      </c>
      <c r="I4966" s="86" t="s">
        <v>3356</v>
      </c>
      <c r="J4966" s="1" t="s">
        <v>3326</v>
      </c>
      <c r="K4966" s="1" t="s">
        <v>3712</v>
      </c>
      <c r="L4966" s="1" t="s">
        <v>35</v>
      </c>
      <c r="M4966" s="86"/>
      <c r="N4966" s="86" t="s">
        <v>3712</v>
      </c>
      <c r="O4966" s="47" t="s">
        <v>45</v>
      </c>
      <c r="P4966" s="47" t="s">
        <v>46</v>
      </c>
      <c r="Q4966" s="14">
        <v>0.01</v>
      </c>
      <c r="R4966" s="143"/>
      <c r="S4966" s="47"/>
      <c r="T4966" s="6">
        <v>100001.9799999902</v>
      </c>
      <c r="U4966" s="6">
        <v>1100000</v>
      </c>
      <c r="V4966" s="6">
        <v>0</v>
      </c>
      <c r="W4966" s="6">
        <f t="shared" si="751"/>
        <v>1200001.9799999902</v>
      </c>
      <c r="X4966" s="6">
        <f t="shared" si="752"/>
        <v>0</v>
      </c>
      <c r="Y4966" s="13">
        <f t="shared" si="755"/>
        <v>0</v>
      </c>
      <c r="Z4966" s="14">
        <v>0</v>
      </c>
      <c r="AA4966" s="6">
        <v>0</v>
      </c>
      <c r="AB4966" s="4">
        <f t="shared" si="756"/>
        <v>0</v>
      </c>
      <c r="AC4966" s="4">
        <f t="shared" si="758"/>
        <v>0</v>
      </c>
      <c r="AD4966" s="6">
        <f t="shared" si="753"/>
        <v>0</v>
      </c>
      <c r="AE4966" s="2">
        <v>0.06</v>
      </c>
      <c r="AF4966" s="6">
        <f t="shared" si="759"/>
        <v>0</v>
      </c>
      <c r="AG4966" s="14">
        <v>0</v>
      </c>
      <c r="AH4966" s="64">
        <f t="shared" si="754"/>
        <v>0</v>
      </c>
      <c r="AI4966" s="47"/>
      <c r="AJ4966" s="126" t="e">
        <v>#N/A</v>
      </c>
      <c r="AK4966" s="80">
        <f t="shared" si="757"/>
        <v>0</v>
      </c>
      <c r="AM4966" s="85"/>
    </row>
    <row r="4967" spans="1:39" hidden="1" x14ac:dyDescent="0.3">
      <c r="A4967" s="89" t="s">
        <v>3394</v>
      </c>
      <c r="B4967" s="86" t="s">
        <v>35</v>
      </c>
      <c r="C4967" s="86" t="s">
        <v>47</v>
      </c>
      <c r="D4967" s="86" t="s">
        <v>48</v>
      </c>
      <c r="E4967" s="86" t="s">
        <v>50</v>
      </c>
      <c r="F4967" s="86" t="s">
        <v>50</v>
      </c>
      <c r="G4967" s="86" t="s">
        <v>50</v>
      </c>
      <c r="H4967" s="144">
        <v>229</v>
      </c>
      <c r="I4967" s="86" t="s">
        <v>3356</v>
      </c>
      <c r="J4967" s="1" t="s">
        <v>3326</v>
      </c>
      <c r="K4967" s="1" t="s">
        <v>3710</v>
      </c>
      <c r="L4967" s="1" t="s">
        <v>35</v>
      </c>
      <c r="M4967" s="86"/>
      <c r="N4967" s="86" t="s">
        <v>3738</v>
      </c>
      <c r="O4967" s="47" t="s">
        <v>45</v>
      </c>
      <c r="P4967" s="1" t="s">
        <v>3753</v>
      </c>
      <c r="Q4967" s="2">
        <v>0.01</v>
      </c>
      <c r="R4967" s="143"/>
      <c r="S4967" s="47"/>
      <c r="T4967" s="6">
        <v>3913077.4299999755</v>
      </c>
      <c r="U4967" s="6">
        <v>1350000</v>
      </c>
      <c r="V4967" s="6">
        <v>26955.530000000002</v>
      </c>
      <c r="W4967" s="6">
        <f t="shared" si="751"/>
        <v>5236121.8999999752</v>
      </c>
      <c r="X4967" s="6">
        <f t="shared" si="752"/>
        <v>26688.643564356436</v>
      </c>
      <c r="Y4967" s="13">
        <f t="shared" si="755"/>
        <v>0</v>
      </c>
      <c r="Z4967" s="14">
        <v>0</v>
      </c>
      <c r="AA4967" s="6">
        <v>0</v>
      </c>
      <c r="AB4967" s="4">
        <f t="shared" si="756"/>
        <v>26688.643564356436</v>
      </c>
      <c r="AC4967" s="4">
        <f t="shared" si="758"/>
        <v>266.88643564356607</v>
      </c>
      <c r="AD4967" s="6">
        <f t="shared" si="753"/>
        <v>26955.530000000002</v>
      </c>
      <c r="AE4967" s="2">
        <v>0.06</v>
      </c>
      <c r="AF4967" s="6">
        <f t="shared" si="759"/>
        <v>1617.3318000000002</v>
      </c>
      <c r="AG4967" s="14">
        <v>0</v>
      </c>
      <c r="AH4967" s="64">
        <f t="shared" si="754"/>
        <v>26955.530000000002</v>
      </c>
      <c r="AI4967" s="47"/>
      <c r="AJ4967" s="126" t="e">
        <v>#N/A</v>
      </c>
      <c r="AK4967" s="80">
        <f t="shared" si="757"/>
        <v>0</v>
      </c>
      <c r="AM4967" s="85"/>
    </row>
    <row r="4968" spans="1:39" hidden="1" x14ac:dyDescent="0.3">
      <c r="A4968" s="89" t="s">
        <v>3395</v>
      </c>
      <c r="B4968" s="86" t="s">
        <v>35</v>
      </c>
      <c r="C4968" s="86" t="s">
        <v>144</v>
      </c>
      <c r="D4968" s="86" t="s">
        <v>145</v>
      </c>
      <c r="E4968" s="86" t="s">
        <v>146</v>
      </c>
      <c r="F4968" s="86" t="s">
        <v>146</v>
      </c>
      <c r="G4968" s="86" t="s">
        <v>146</v>
      </c>
      <c r="H4968" s="144">
        <v>229</v>
      </c>
      <c r="I4968" s="86" t="s">
        <v>3356</v>
      </c>
      <c r="J4968" s="1" t="s">
        <v>3326</v>
      </c>
      <c r="K4968" s="1" t="s">
        <v>3712</v>
      </c>
      <c r="L4968" s="1" t="s">
        <v>35</v>
      </c>
      <c r="M4968" s="86"/>
      <c r="N4968" s="86" t="s">
        <v>3712</v>
      </c>
      <c r="O4968" s="47" t="s">
        <v>45</v>
      </c>
      <c r="P4968" s="47" t="s">
        <v>41</v>
      </c>
      <c r="Q4968" s="14">
        <v>0</v>
      </c>
      <c r="R4968" s="143"/>
      <c r="S4968" s="47"/>
      <c r="T4968" s="6">
        <v>1085118.51</v>
      </c>
      <c r="U4968" s="6">
        <v>2349000</v>
      </c>
      <c r="V4968" s="6">
        <v>2477429.6599999997</v>
      </c>
      <c r="W4968" s="6">
        <f t="shared" si="751"/>
        <v>956688.85000000009</v>
      </c>
      <c r="X4968" s="6">
        <f t="shared" si="752"/>
        <v>2477429.6599999997</v>
      </c>
      <c r="Y4968" s="13">
        <f t="shared" si="755"/>
        <v>0</v>
      </c>
      <c r="Z4968" s="14">
        <v>0</v>
      </c>
      <c r="AA4968" s="6">
        <v>0</v>
      </c>
      <c r="AB4968" s="4">
        <f t="shared" si="756"/>
        <v>2477429.6599999997</v>
      </c>
      <c r="AC4968" s="4">
        <f t="shared" si="758"/>
        <v>0</v>
      </c>
      <c r="AD4968" s="6">
        <f t="shared" si="753"/>
        <v>2477429.6599999997</v>
      </c>
      <c r="AE4968" s="2">
        <v>0.06</v>
      </c>
      <c r="AF4968" s="6">
        <f t="shared" si="759"/>
        <v>148645.77959999998</v>
      </c>
      <c r="AG4968" s="14">
        <v>0</v>
      </c>
      <c r="AH4968" s="64">
        <f t="shared" si="754"/>
        <v>2477429.6599999997</v>
      </c>
      <c r="AI4968" s="47"/>
      <c r="AJ4968" s="126" t="e">
        <v>#N/A</v>
      </c>
      <c r="AK4968" s="80">
        <f t="shared" si="757"/>
        <v>0</v>
      </c>
      <c r="AM4968" s="85"/>
    </row>
    <row r="4969" spans="1:39" hidden="1" x14ac:dyDescent="0.3">
      <c r="A4969" s="89" t="s">
        <v>3394</v>
      </c>
      <c r="B4969" s="86" t="s">
        <v>35</v>
      </c>
      <c r="C4969" s="86" t="s">
        <v>144</v>
      </c>
      <c r="D4969" s="86" t="s">
        <v>145</v>
      </c>
      <c r="E4969" s="86" t="s">
        <v>237</v>
      </c>
      <c r="F4969" s="86" t="s">
        <v>238</v>
      </c>
      <c r="G4969" s="86" t="s">
        <v>239</v>
      </c>
      <c r="H4969" s="143">
        <v>229</v>
      </c>
      <c r="I4969" s="86" t="s">
        <v>3356</v>
      </c>
      <c r="J4969" s="1" t="s">
        <v>3326</v>
      </c>
      <c r="K4969" s="1" t="s">
        <v>3712</v>
      </c>
      <c r="L4969" s="1" t="s">
        <v>35</v>
      </c>
      <c r="M4969" s="86"/>
      <c r="N4969" s="86" t="s">
        <v>3712</v>
      </c>
      <c r="O4969" s="47" t="s">
        <v>45</v>
      </c>
      <c r="P4969" s="47" t="s">
        <v>41</v>
      </c>
      <c r="Q4969" s="14">
        <v>0</v>
      </c>
      <c r="R4969" s="143"/>
      <c r="S4969" s="47"/>
      <c r="T4969" s="6">
        <v>110147.85999999968</v>
      </c>
      <c r="U4969" s="6">
        <v>-101372.18</v>
      </c>
      <c r="V4969" s="6">
        <v>0</v>
      </c>
      <c r="W4969" s="6">
        <f t="shared" si="751"/>
        <v>8775.6799999996874</v>
      </c>
      <c r="X4969" s="6">
        <f t="shared" si="752"/>
        <v>0</v>
      </c>
      <c r="Y4969" s="13">
        <f t="shared" si="755"/>
        <v>0</v>
      </c>
      <c r="Z4969" s="14">
        <v>0</v>
      </c>
      <c r="AA4969" s="6">
        <v>0</v>
      </c>
      <c r="AB4969" s="4">
        <f t="shared" si="756"/>
        <v>0</v>
      </c>
      <c r="AC4969" s="4">
        <f t="shared" si="758"/>
        <v>0</v>
      </c>
      <c r="AD4969" s="6">
        <f t="shared" si="753"/>
        <v>0</v>
      </c>
      <c r="AE4969" s="2">
        <v>0.06</v>
      </c>
      <c r="AF4969" s="6">
        <f t="shared" si="759"/>
        <v>0</v>
      </c>
      <c r="AG4969" s="14">
        <v>0</v>
      </c>
      <c r="AH4969" s="64">
        <f t="shared" si="754"/>
        <v>0</v>
      </c>
      <c r="AI4969" s="47"/>
      <c r="AJ4969" s="126" t="e">
        <v>#N/A</v>
      </c>
      <c r="AK4969" s="80">
        <f t="shared" si="757"/>
        <v>0</v>
      </c>
      <c r="AM4969" s="85"/>
    </row>
    <row r="4970" spans="1:39" hidden="1" x14ac:dyDescent="0.3">
      <c r="A4970" s="89" t="s">
        <v>3394</v>
      </c>
      <c r="B4970" s="86" t="s">
        <v>35</v>
      </c>
      <c r="C4970" s="86" t="s">
        <v>144</v>
      </c>
      <c r="D4970" s="86" t="s">
        <v>145</v>
      </c>
      <c r="E4970" s="86" t="s">
        <v>3615</v>
      </c>
      <c r="F4970" s="86" t="s">
        <v>3615</v>
      </c>
      <c r="G4970" s="86" t="s">
        <v>3615</v>
      </c>
      <c r="H4970" s="144">
        <v>229</v>
      </c>
      <c r="I4970" s="86" t="s">
        <v>3356</v>
      </c>
      <c r="J4970" s="1" t="s">
        <v>3326</v>
      </c>
      <c r="K4970" s="1" t="s">
        <v>3707</v>
      </c>
      <c r="L4970" s="1" t="s">
        <v>35</v>
      </c>
      <c r="M4970" s="86"/>
      <c r="N4970" s="86" t="s">
        <v>3707</v>
      </c>
      <c r="O4970" s="47" t="s">
        <v>45</v>
      </c>
      <c r="P4970" s="47" t="s">
        <v>41</v>
      </c>
      <c r="Q4970" s="14">
        <v>0</v>
      </c>
      <c r="R4970" s="143"/>
      <c r="S4970" s="47"/>
      <c r="T4970" s="6">
        <v>0</v>
      </c>
      <c r="U4970" s="6">
        <v>320000</v>
      </c>
      <c r="V4970" s="6">
        <v>44186.14</v>
      </c>
      <c r="W4970" s="6">
        <f t="shared" si="751"/>
        <v>275813.86</v>
      </c>
      <c r="X4970" s="6">
        <f t="shared" si="752"/>
        <v>44186.14</v>
      </c>
      <c r="Y4970" s="13">
        <f t="shared" si="755"/>
        <v>0</v>
      </c>
      <c r="Z4970" s="14">
        <v>0</v>
      </c>
      <c r="AA4970" s="6">
        <v>0</v>
      </c>
      <c r="AB4970" s="4">
        <f t="shared" si="756"/>
        <v>44186.14</v>
      </c>
      <c r="AC4970" s="4">
        <f t="shared" si="758"/>
        <v>0</v>
      </c>
      <c r="AD4970" s="6">
        <f t="shared" si="753"/>
        <v>44186.14</v>
      </c>
      <c r="AE4970" s="2">
        <v>0.06</v>
      </c>
      <c r="AF4970" s="6">
        <f t="shared" si="759"/>
        <v>2651.1684</v>
      </c>
      <c r="AG4970" s="14">
        <v>0</v>
      </c>
      <c r="AH4970" s="64">
        <f t="shared" si="754"/>
        <v>44186.14</v>
      </c>
      <c r="AI4970" s="47"/>
      <c r="AJ4970" s="126" t="e">
        <v>#N/A</v>
      </c>
      <c r="AK4970" s="80">
        <f t="shared" si="757"/>
        <v>0</v>
      </c>
      <c r="AM4970" s="85"/>
    </row>
    <row r="4971" spans="1:39" hidden="1" x14ac:dyDescent="0.3">
      <c r="A4971" s="89" t="s">
        <v>3395</v>
      </c>
      <c r="B4971" s="86" t="s">
        <v>35</v>
      </c>
      <c r="C4971" s="86" t="s">
        <v>144</v>
      </c>
      <c r="D4971" s="86" t="s">
        <v>145</v>
      </c>
      <c r="E4971" s="86" t="s">
        <v>147</v>
      </c>
      <c r="F4971" s="86" t="s">
        <v>148</v>
      </c>
      <c r="G4971" s="86" t="s">
        <v>147</v>
      </c>
      <c r="H4971" s="144">
        <v>229</v>
      </c>
      <c r="I4971" s="86" t="s">
        <v>3356</v>
      </c>
      <c r="J4971" s="1" t="s">
        <v>3326</v>
      </c>
      <c r="K4971" s="1" t="s">
        <v>3707</v>
      </c>
      <c r="L4971" s="1" t="s">
        <v>35</v>
      </c>
      <c r="M4971" s="86"/>
      <c r="N4971" s="86" t="s">
        <v>3707</v>
      </c>
      <c r="O4971" s="47" t="s">
        <v>45</v>
      </c>
      <c r="P4971" s="47" t="s">
        <v>41</v>
      </c>
      <c r="Q4971" s="14">
        <v>0</v>
      </c>
      <c r="R4971" s="143"/>
      <c r="S4971" s="47"/>
      <c r="T4971" s="6">
        <v>2221008.5200000009</v>
      </c>
      <c r="U4971" s="6">
        <v>6000000</v>
      </c>
      <c r="V4971" s="6">
        <v>5558700.0799999991</v>
      </c>
      <c r="W4971" s="6">
        <f t="shared" si="751"/>
        <v>2662308.4400000023</v>
      </c>
      <c r="X4971" s="6">
        <f t="shared" si="752"/>
        <v>5558700.0799999991</v>
      </c>
      <c r="Y4971" s="13">
        <f t="shared" si="755"/>
        <v>0</v>
      </c>
      <c r="Z4971" s="14">
        <v>0</v>
      </c>
      <c r="AA4971" s="6">
        <v>0</v>
      </c>
      <c r="AB4971" s="4">
        <f t="shared" si="756"/>
        <v>5558700.0799999991</v>
      </c>
      <c r="AC4971" s="4">
        <f t="shared" si="758"/>
        <v>0</v>
      </c>
      <c r="AD4971" s="6">
        <f t="shared" si="753"/>
        <v>5558700.0799999991</v>
      </c>
      <c r="AE4971" s="2">
        <v>0.06</v>
      </c>
      <c r="AF4971" s="6">
        <f t="shared" si="759"/>
        <v>333522.00479999994</v>
      </c>
      <c r="AG4971" s="14">
        <v>0</v>
      </c>
      <c r="AH4971" s="64">
        <f t="shared" si="754"/>
        <v>5558700.0799999991</v>
      </c>
      <c r="AI4971" s="47"/>
      <c r="AJ4971" s="126" t="e">
        <v>#N/A</v>
      </c>
      <c r="AK4971" s="80">
        <f t="shared" si="757"/>
        <v>0</v>
      </c>
      <c r="AM4971" s="85"/>
    </row>
    <row r="4972" spans="1:39" hidden="1" x14ac:dyDescent="0.3">
      <c r="A4972" s="89" t="s">
        <v>3394</v>
      </c>
      <c r="B4972" s="86" t="s">
        <v>35</v>
      </c>
      <c r="C4972" s="86" t="s">
        <v>144</v>
      </c>
      <c r="D4972" s="86" t="s">
        <v>145</v>
      </c>
      <c r="E4972" s="86" t="s">
        <v>150</v>
      </c>
      <c r="F4972" s="86" t="s">
        <v>151</v>
      </c>
      <c r="G4972" s="86" t="s">
        <v>150</v>
      </c>
      <c r="H4972" s="144">
        <v>229</v>
      </c>
      <c r="I4972" s="86" t="s">
        <v>3356</v>
      </c>
      <c r="J4972" s="1" t="s">
        <v>3326</v>
      </c>
      <c r="K4972" s="1" t="s">
        <v>3712</v>
      </c>
      <c r="L4972" s="1" t="s">
        <v>35</v>
      </c>
      <c r="M4972" s="86"/>
      <c r="N4972" s="86" t="s">
        <v>3712</v>
      </c>
      <c r="O4972" s="47" t="s">
        <v>45</v>
      </c>
      <c r="P4972" s="47" t="s">
        <v>41</v>
      </c>
      <c r="Q4972" s="14">
        <v>0</v>
      </c>
      <c r="R4972" s="143"/>
      <c r="S4972" s="47"/>
      <c r="T4972" s="6">
        <v>3198084.0399999977</v>
      </c>
      <c r="U4972" s="6">
        <v>14030000</v>
      </c>
      <c r="V4972" s="6">
        <v>10282298.07</v>
      </c>
      <c r="W4972" s="6">
        <f t="shared" si="751"/>
        <v>6945785.9699999988</v>
      </c>
      <c r="X4972" s="6">
        <f t="shared" si="752"/>
        <v>10282298.07</v>
      </c>
      <c r="Y4972" s="13">
        <f t="shared" si="755"/>
        <v>0</v>
      </c>
      <c r="Z4972" s="14">
        <v>0</v>
      </c>
      <c r="AA4972" s="6">
        <v>0</v>
      </c>
      <c r="AB4972" s="4">
        <f t="shared" si="756"/>
        <v>10282298.07</v>
      </c>
      <c r="AC4972" s="4">
        <f t="shared" si="758"/>
        <v>0</v>
      </c>
      <c r="AD4972" s="6">
        <f t="shared" si="753"/>
        <v>10282298.07</v>
      </c>
      <c r="AE4972" s="2">
        <v>0.06</v>
      </c>
      <c r="AF4972" s="6">
        <f t="shared" si="759"/>
        <v>616937.88419999997</v>
      </c>
      <c r="AG4972" s="14">
        <v>0</v>
      </c>
      <c r="AH4972" s="64">
        <f t="shared" si="754"/>
        <v>10282298.07</v>
      </c>
      <c r="AI4972" s="47"/>
      <c r="AJ4972" s="126" t="e">
        <v>#N/A</v>
      </c>
      <c r="AK4972" s="80">
        <f t="shared" si="757"/>
        <v>0</v>
      </c>
      <c r="AM4972" s="85"/>
    </row>
    <row r="4973" spans="1:39" hidden="1" x14ac:dyDescent="0.3">
      <c r="A4973" s="89" t="s">
        <v>3394</v>
      </c>
      <c r="B4973" s="86" t="s">
        <v>35</v>
      </c>
      <c r="C4973" s="86" t="s">
        <v>144</v>
      </c>
      <c r="D4973" s="86" t="s">
        <v>152</v>
      </c>
      <c r="E4973" s="86" t="s">
        <v>153</v>
      </c>
      <c r="F4973" s="86" t="s">
        <v>153</v>
      </c>
      <c r="G4973" s="86" t="s">
        <v>153</v>
      </c>
      <c r="H4973" s="144">
        <v>229</v>
      </c>
      <c r="I4973" s="86" t="s">
        <v>3356</v>
      </c>
      <c r="J4973" s="1" t="s">
        <v>3326</v>
      </c>
      <c r="K4973" s="1" t="s">
        <v>3710</v>
      </c>
      <c r="L4973" s="1" t="s">
        <v>35</v>
      </c>
      <c r="M4973" s="86"/>
      <c r="N4973" s="86" t="s">
        <v>3710</v>
      </c>
      <c r="O4973" s="47" t="s">
        <v>105</v>
      </c>
      <c r="P4973" s="47" t="s">
        <v>46</v>
      </c>
      <c r="Q4973" s="14">
        <v>0.05</v>
      </c>
      <c r="R4973" s="143"/>
      <c r="S4973" s="47"/>
      <c r="T4973" s="6">
        <v>66651.609999999928</v>
      </c>
      <c r="U4973" s="6">
        <v>450000</v>
      </c>
      <c r="V4973" s="6">
        <v>308758.94999999995</v>
      </c>
      <c r="W4973" s="6">
        <f t="shared" si="751"/>
        <v>207892.65999999997</v>
      </c>
      <c r="X4973" s="6">
        <f t="shared" si="752"/>
        <v>294056.14285714278</v>
      </c>
      <c r="Y4973" s="13">
        <f t="shared" si="755"/>
        <v>0</v>
      </c>
      <c r="Z4973" s="14">
        <v>0</v>
      </c>
      <c r="AA4973" s="6">
        <v>0</v>
      </c>
      <c r="AB4973" s="4">
        <f t="shared" si="756"/>
        <v>294056.14285714278</v>
      </c>
      <c r="AC4973" s="4">
        <f t="shared" si="758"/>
        <v>14702.807142857171</v>
      </c>
      <c r="AD4973" s="6">
        <f t="shared" si="753"/>
        <v>308758.94999999995</v>
      </c>
      <c r="AE4973" s="2">
        <v>0.06</v>
      </c>
      <c r="AF4973" s="6">
        <f t="shared" si="759"/>
        <v>18525.536999999997</v>
      </c>
      <c r="AG4973" s="14">
        <v>0</v>
      </c>
      <c r="AH4973" s="64">
        <f t="shared" si="754"/>
        <v>308758.94999999995</v>
      </c>
      <c r="AI4973" s="47"/>
      <c r="AJ4973" s="126" t="e">
        <v>#N/A</v>
      </c>
      <c r="AK4973" s="80">
        <f t="shared" si="757"/>
        <v>0</v>
      </c>
      <c r="AM4973" s="85"/>
    </row>
    <row r="4974" spans="1:39" hidden="1" x14ac:dyDescent="0.3">
      <c r="A4974" s="89" t="s">
        <v>3394</v>
      </c>
      <c r="B4974" s="86" t="s">
        <v>35</v>
      </c>
      <c r="C4974" s="86" t="s">
        <v>144</v>
      </c>
      <c r="D4974" s="86" t="s">
        <v>152</v>
      </c>
      <c r="E4974" s="86" t="s">
        <v>157</v>
      </c>
      <c r="F4974" s="86" t="s">
        <v>157</v>
      </c>
      <c r="G4974" s="86" t="s">
        <v>157</v>
      </c>
      <c r="H4974" s="144">
        <v>229</v>
      </c>
      <c r="I4974" s="86" t="s">
        <v>3356</v>
      </c>
      <c r="J4974" s="1" t="s">
        <v>3326</v>
      </c>
      <c r="K4974" s="1" t="s">
        <v>3712</v>
      </c>
      <c r="L4974" s="1" t="s">
        <v>35</v>
      </c>
      <c r="M4974" s="86"/>
      <c r="N4974" s="86" t="s">
        <v>3712</v>
      </c>
      <c r="O4974" s="47" t="s">
        <v>45</v>
      </c>
      <c r="P4974" s="47" t="s">
        <v>41</v>
      </c>
      <c r="Q4974" s="14">
        <v>0</v>
      </c>
      <c r="R4974" s="143"/>
      <c r="S4974" s="47"/>
      <c r="T4974" s="6">
        <v>325251.03000000026</v>
      </c>
      <c r="U4974" s="6">
        <v>3970000</v>
      </c>
      <c r="V4974" s="6">
        <v>3574025.4799999995</v>
      </c>
      <c r="W4974" s="6">
        <f t="shared" si="751"/>
        <v>721225.55000000075</v>
      </c>
      <c r="X4974" s="6">
        <f t="shared" si="752"/>
        <v>3574025.4799999995</v>
      </c>
      <c r="Y4974" s="13">
        <f t="shared" si="755"/>
        <v>0</v>
      </c>
      <c r="Z4974" s="14">
        <v>0</v>
      </c>
      <c r="AA4974" s="6">
        <v>0</v>
      </c>
      <c r="AB4974" s="4">
        <f t="shared" si="756"/>
        <v>3574025.4799999995</v>
      </c>
      <c r="AC4974" s="4">
        <f t="shared" si="758"/>
        <v>0</v>
      </c>
      <c r="AD4974" s="6">
        <f t="shared" si="753"/>
        <v>3574025.4799999995</v>
      </c>
      <c r="AE4974" s="2">
        <v>0.06</v>
      </c>
      <c r="AF4974" s="6">
        <f t="shared" si="759"/>
        <v>214441.52879999997</v>
      </c>
      <c r="AG4974" s="14">
        <v>0</v>
      </c>
      <c r="AH4974" s="64">
        <f t="shared" si="754"/>
        <v>3574025.4799999995</v>
      </c>
      <c r="AI4974" s="47"/>
      <c r="AJ4974" s="126" t="e">
        <v>#N/A</v>
      </c>
      <c r="AK4974" s="80">
        <f t="shared" si="757"/>
        <v>0</v>
      </c>
      <c r="AM4974" s="85"/>
    </row>
    <row r="4975" spans="1:39" hidden="1" x14ac:dyDescent="0.3">
      <c r="A4975" s="89" t="s">
        <v>3394</v>
      </c>
      <c r="B4975" s="86" t="s">
        <v>35</v>
      </c>
      <c r="C4975" s="86" t="s">
        <v>144</v>
      </c>
      <c r="D4975" s="86" t="s">
        <v>152</v>
      </c>
      <c r="E4975" s="86" t="s">
        <v>159</v>
      </c>
      <c r="F4975" s="86" t="s">
        <v>159</v>
      </c>
      <c r="G4975" s="86" t="s">
        <v>159</v>
      </c>
      <c r="H4975" s="144">
        <v>229</v>
      </c>
      <c r="I4975" s="86" t="s">
        <v>3356</v>
      </c>
      <c r="J4975" s="1" t="s">
        <v>3326</v>
      </c>
      <c r="K4975" s="1" t="s">
        <v>3712</v>
      </c>
      <c r="L4975" s="1" t="s">
        <v>35</v>
      </c>
      <c r="M4975" s="86"/>
      <c r="N4975" s="86" t="s">
        <v>3712</v>
      </c>
      <c r="O4975" s="47" t="s">
        <v>45</v>
      </c>
      <c r="P4975" s="47" t="s">
        <v>41</v>
      </c>
      <c r="Q4975" s="14">
        <v>0</v>
      </c>
      <c r="R4975" s="143"/>
      <c r="S4975" s="47"/>
      <c r="T4975" s="6">
        <v>1439724.470000003</v>
      </c>
      <c r="U4975" s="6">
        <v>4435367.5999999996</v>
      </c>
      <c r="V4975" s="6">
        <v>4012820.92</v>
      </c>
      <c r="W4975" s="6">
        <f t="shared" si="751"/>
        <v>1862271.1500000022</v>
      </c>
      <c r="X4975" s="6">
        <f t="shared" si="752"/>
        <v>4012820.92</v>
      </c>
      <c r="Y4975" s="13">
        <f t="shared" si="755"/>
        <v>0</v>
      </c>
      <c r="Z4975" s="14">
        <v>0</v>
      </c>
      <c r="AA4975" s="6">
        <v>0</v>
      </c>
      <c r="AB4975" s="4">
        <f t="shared" si="756"/>
        <v>4012820.92</v>
      </c>
      <c r="AC4975" s="4">
        <f t="shared" si="758"/>
        <v>0</v>
      </c>
      <c r="AD4975" s="6">
        <f t="shared" si="753"/>
        <v>4012820.92</v>
      </c>
      <c r="AE4975" s="2">
        <v>0.06</v>
      </c>
      <c r="AF4975" s="6">
        <f t="shared" si="759"/>
        <v>240769.25519999999</v>
      </c>
      <c r="AG4975" s="14">
        <v>0</v>
      </c>
      <c r="AH4975" s="64">
        <f t="shared" si="754"/>
        <v>4012820.92</v>
      </c>
      <c r="AI4975" s="47"/>
      <c r="AJ4975" s="126" t="e">
        <v>#N/A</v>
      </c>
      <c r="AK4975" s="80">
        <f t="shared" si="757"/>
        <v>0</v>
      </c>
      <c r="AM4975" s="85"/>
    </row>
    <row r="4976" spans="1:39" hidden="1" x14ac:dyDescent="0.3">
      <c r="A4976" s="89" t="s">
        <v>3394</v>
      </c>
      <c r="B4976" s="86" t="s">
        <v>35</v>
      </c>
      <c r="C4976" s="86" t="s">
        <v>144</v>
      </c>
      <c r="D4976" s="86" t="s">
        <v>161</v>
      </c>
      <c r="E4976" s="86" t="s">
        <v>162</v>
      </c>
      <c r="F4976" s="86" t="s">
        <v>162</v>
      </c>
      <c r="G4976" s="86" t="s">
        <v>162</v>
      </c>
      <c r="H4976" s="144">
        <v>229</v>
      </c>
      <c r="I4976" s="86" t="s">
        <v>3356</v>
      </c>
      <c r="J4976" s="1" t="s">
        <v>3326</v>
      </c>
      <c r="K4976" s="1" t="s">
        <v>3707</v>
      </c>
      <c r="L4976" s="1" t="s">
        <v>35</v>
      </c>
      <c r="M4976" s="86"/>
      <c r="N4976" s="86" t="s">
        <v>3707</v>
      </c>
      <c r="O4976" s="47" t="s">
        <v>45</v>
      </c>
      <c r="P4976" s="47" t="s">
        <v>41</v>
      </c>
      <c r="Q4976" s="14">
        <v>0</v>
      </c>
      <c r="R4976" s="143"/>
      <c r="S4976" s="47"/>
      <c r="T4976" s="6">
        <v>49523.78</v>
      </c>
      <c r="U4976" s="6">
        <v>310000</v>
      </c>
      <c r="V4976" s="6">
        <v>229751.43000000008</v>
      </c>
      <c r="W4976" s="6">
        <f t="shared" si="751"/>
        <v>129772.34999999995</v>
      </c>
      <c r="X4976" s="6">
        <f t="shared" si="752"/>
        <v>229751.43000000008</v>
      </c>
      <c r="Y4976" s="13">
        <f t="shared" si="755"/>
        <v>0</v>
      </c>
      <c r="Z4976" s="14">
        <v>0</v>
      </c>
      <c r="AA4976" s="6">
        <v>0</v>
      </c>
      <c r="AB4976" s="4">
        <f t="shared" si="756"/>
        <v>229751.43000000008</v>
      </c>
      <c r="AC4976" s="4">
        <f t="shared" si="758"/>
        <v>0</v>
      </c>
      <c r="AD4976" s="6">
        <f t="shared" si="753"/>
        <v>229751.43000000008</v>
      </c>
      <c r="AE4976" s="2">
        <v>0.06</v>
      </c>
      <c r="AF4976" s="6">
        <f t="shared" si="759"/>
        <v>13785.085800000004</v>
      </c>
      <c r="AG4976" s="14">
        <v>0</v>
      </c>
      <c r="AH4976" s="64">
        <f t="shared" si="754"/>
        <v>229751.43000000008</v>
      </c>
      <c r="AI4976" s="47"/>
      <c r="AJ4976" s="126" t="e">
        <v>#N/A</v>
      </c>
      <c r="AK4976" s="80">
        <f t="shared" si="757"/>
        <v>0</v>
      </c>
      <c r="AM4976" s="85"/>
    </row>
    <row r="4977" spans="1:39" hidden="1" x14ac:dyDescent="0.3">
      <c r="A4977" s="89" t="s">
        <v>3394</v>
      </c>
      <c r="B4977" s="86" t="s">
        <v>35</v>
      </c>
      <c r="C4977" s="86" t="s">
        <v>144</v>
      </c>
      <c r="D4977" s="86" t="s">
        <v>161</v>
      </c>
      <c r="E4977" s="86" t="s">
        <v>163</v>
      </c>
      <c r="F4977" s="86" t="s">
        <v>163</v>
      </c>
      <c r="G4977" s="86" t="s">
        <v>163</v>
      </c>
      <c r="H4977" s="144">
        <v>229</v>
      </c>
      <c r="I4977" s="86" t="s">
        <v>3356</v>
      </c>
      <c r="J4977" s="1" t="s">
        <v>3326</v>
      </c>
      <c r="K4977" s="1" t="s">
        <v>3712</v>
      </c>
      <c r="L4977" s="1" t="s">
        <v>35</v>
      </c>
      <c r="M4977" s="86"/>
      <c r="N4977" s="86" t="s">
        <v>3712</v>
      </c>
      <c r="O4977" s="47" t="s">
        <v>45</v>
      </c>
      <c r="P4977" s="47" t="s">
        <v>41</v>
      </c>
      <c r="Q4977" s="14">
        <v>0</v>
      </c>
      <c r="R4977" s="143"/>
      <c r="S4977" s="47"/>
      <c r="T4977" s="6">
        <v>367097.20999999961</v>
      </c>
      <c r="U4977" s="6">
        <v>7000000</v>
      </c>
      <c r="V4977" s="6">
        <v>3277537.399999999</v>
      </c>
      <c r="W4977" s="6">
        <f t="shared" si="751"/>
        <v>4089559.810000001</v>
      </c>
      <c r="X4977" s="6">
        <f t="shared" si="752"/>
        <v>3277537.399999999</v>
      </c>
      <c r="Y4977" s="13">
        <f t="shared" si="755"/>
        <v>0</v>
      </c>
      <c r="Z4977" s="14">
        <v>0</v>
      </c>
      <c r="AA4977" s="6">
        <v>0</v>
      </c>
      <c r="AB4977" s="4">
        <f t="shared" si="756"/>
        <v>3277537.399999999</v>
      </c>
      <c r="AC4977" s="4">
        <f t="shared" si="758"/>
        <v>0</v>
      </c>
      <c r="AD4977" s="6">
        <f t="shared" si="753"/>
        <v>3277537.399999999</v>
      </c>
      <c r="AE4977" s="2">
        <v>0.06</v>
      </c>
      <c r="AF4977" s="6">
        <f t="shared" si="759"/>
        <v>196652.24399999992</v>
      </c>
      <c r="AG4977" s="14">
        <v>0</v>
      </c>
      <c r="AH4977" s="64">
        <f t="shared" si="754"/>
        <v>3277537.399999999</v>
      </c>
      <c r="AI4977" s="47"/>
      <c r="AJ4977" s="126" t="e">
        <v>#N/A</v>
      </c>
      <c r="AK4977" s="80">
        <f t="shared" si="757"/>
        <v>0</v>
      </c>
      <c r="AM4977" s="85"/>
    </row>
    <row r="4978" spans="1:39" hidden="1" x14ac:dyDescent="0.3">
      <c r="A4978" s="89" t="s">
        <v>3394</v>
      </c>
      <c r="B4978" s="86" t="s">
        <v>35</v>
      </c>
      <c r="C4978" s="86" t="s">
        <v>164</v>
      </c>
      <c r="D4978" s="86" t="s">
        <v>165</v>
      </c>
      <c r="E4978" s="86" t="s">
        <v>166</v>
      </c>
      <c r="F4978" s="86" t="s">
        <v>166</v>
      </c>
      <c r="G4978" s="86" t="s">
        <v>166</v>
      </c>
      <c r="H4978" s="144">
        <v>229</v>
      </c>
      <c r="I4978" s="86" t="s">
        <v>3356</v>
      </c>
      <c r="J4978" s="1" t="s">
        <v>3326</v>
      </c>
      <c r="K4978" s="1" t="s">
        <v>3710</v>
      </c>
      <c r="L4978" s="1" t="s">
        <v>35</v>
      </c>
      <c r="M4978" s="86"/>
      <c r="N4978" s="86" t="s">
        <v>3710</v>
      </c>
      <c r="O4978" s="47" t="s">
        <v>45</v>
      </c>
      <c r="P4978" s="47" t="s">
        <v>41</v>
      </c>
      <c r="Q4978" s="14">
        <v>0</v>
      </c>
      <c r="R4978" s="143"/>
      <c r="S4978" s="47"/>
      <c r="T4978" s="6">
        <v>474652.93999999901</v>
      </c>
      <c r="U4978" s="6">
        <v>-2685.7000000000116</v>
      </c>
      <c r="V4978" s="6">
        <v>52134.22</v>
      </c>
      <c r="W4978" s="6">
        <f t="shared" si="751"/>
        <v>419833.01999999897</v>
      </c>
      <c r="X4978" s="6">
        <f t="shared" si="752"/>
        <v>52134.22</v>
      </c>
      <c r="Y4978" s="13">
        <f t="shared" si="755"/>
        <v>0</v>
      </c>
      <c r="Z4978" s="14">
        <v>0</v>
      </c>
      <c r="AA4978" s="6">
        <v>0</v>
      </c>
      <c r="AB4978" s="4">
        <f t="shared" si="756"/>
        <v>52134.22</v>
      </c>
      <c r="AC4978" s="4">
        <f t="shared" si="758"/>
        <v>0</v>
      </c>
      <c r="AD4978" s="6">
        <f t="shared" si="753"/>
        <v>52134.22</v>
      </c>
      <c r="AE4978" s="2">
        <v>0.06</v>
      </c>
      <c r="AF4978" s="6">
        <f t="shared" si="759"/>
        <v>3128.0531999999998</v>
      </c>
      <c r="AG4978" s="14">
        <v>0</v>
      </c>
      <c r="AH4978" s="64">
        <f t="shared" si="754"/>
        <v>52134.22</v>
      </c>
      <c r="AI4978" s="47"/>
      <c r="AJ4978" s="126" t="e">
        <v>#N/A</v>
      </c>
      <c r="AK4978" s="80">
        <f t="shared" si="757"/>
        <v>0</v>
      </c>
      <c r="AM4978" s="85"/>
    </row>
    <row r="4979" spans="1:39" hidden="1" x14ac:dyDescent="0.3">
      <c r="A4979" s="89" t="s">
        <v>3394</v>
      </c>
      <c r="B4979" s="86" t="s">
        <v>35</v>
      </c>
      <c r="C4979" s="86" t="s">
        <v>164</v>
      </c>
      <c r="D4979" s="86" t="s">
        <v>165</v>
      </c>
      <c r="E4979" s="86" t="s">
        <v>166</v>
      </c>
      <c r="F4979" s="86" t="s">
        <v>245</v>
      </c>
      <c r="G4979" s="86" t="s">
        <v>166</v>
      </c>
      <c r="H4979" s="144">
        <v>229</v>
      </c>
      <c r="I4979" s="86" t="s">
        <v>3356</v>
      </c>
      <c r="J4979" s="1" t="s">
        <v>3326</v>
      </c>
      <c r="K4979" s="1" t="s">
        <v>3710</v>
      </c>
      <c r="L4979" s="1" t="s">
        <v>35</v>
      </c>
      <c r="M4979" s="86"/>
      <c r="N4979" s="86" t="s">
        <v>3710</v>
      </c>
      <c r="O4979" s="47" t="s">
        <v>45</v>
      </c>
      <c r="P4979" s="8" t="s">
        <v>353</v>
      </c>
      <c r="Q4979" s="9">
        <v>0.04</v>
      </c>
      <c r="R4979" s="143"/>
      <c r="S4979" s="47"/>
      <c r="T4979" s="6">
        <v>-74632.5</v>
      </c>
      <c r="U4979" s="6">
        <v>200000</v>
      </c>
      <c r="V4979" s="6">
        <v>53644.72</v>
      </c>
      <c r="W4979" s="6">
        <f t="shared" si="751"/>
        <v>71722.78</v>
      </c>
      <c r="X4979" s="6">
        <f t="shared" si="752"/>
        <v>51581.461538461539</v>
      </c>
      <c r="Y4979" s="13">
        <f t="shared" si="755"/>
        <v>0</v>
      </c>
      <c r="Z4979" s="14">
        <v>0</v>
      </c>
      <c r="AA4979" s="6">
        <v>0</v>
      </c>
      <c r="AB4979" s="4">
        <f t="shared" si="756"/>
        <v>51581.461538461539</v>
      </c>
      <c r="AC4979" s="4">
        <f t="shared" si="758"/>
        <v>2063.2584615384621</v>
      </c>
      <c r="AD4979" s="6">
        <f t="shared" si="753"/>
        <v>53644.72</v>
      </c>
      <c r="AE4979" s="2">
        <v>0.06</v>
      </c>
      <c r="AF4979" s="6">
        <f t="shared" si="759"/>
        <v>3218.6831999999999</v>
      </c>
      <c r="AG4979" s="14">
        <v>0</v>
      </c>
      <c r="AH4979" s="64">
        <f t="shared" si="754"/>
        <v>53644.72</v>
      </c>
      <c r="AI4979" s="47"/>
      <c r="AJ4979" s="126" t="e">
        <v>#N/A</v>
      </c>
      <c r="AK4979" s="80">
        <f t="shared" si="757"/>
        <v>0</v>
      </c>
      <c r="AM4979" s="85"/>
    </row>
    <row r="4980" spans="1:39" hidden="1" x14ac:dyDescent="0.3">
      <c r="A4980" s="89" t="s">
        <v>3395</v>
      </c>
      <c r="B4980" s="86" t="s">
        <v>35</v>
      </c>
      <c r="C4980" s="86" t="s">
        <v>164</v>
      </c>
      <c r="D4980" s="86" t="s">
        <v>165</v>
      </c>
      <c r="E4980" s="86" t="s">
        <v>3542</v>
      </c>
      <c r="F4980" s="86" t="s">
        <v>3542</v>
      </c>
      <c r="G4980" s="86" t="s">
        <v>3542</v>
      </c>
      <c r="H4980" s="144">
        <v>229</v>
      </c>
      <c r="I4980" s="86" t="s">
        <v>3356</v>
      </c>
      <c r="J4980" s="1" t="s">
        <v>3326</v>
      </c>
      <c r="K4980" s="1" t="s">
        <v>3707</v>
      </c>
      <c r="L4980" s="1" t="s">
        <v>35</v>
      </c>
      <c r="M4980" s="86"/>
      <c r="N4980" s="86" t="s">
        <v>3707</v>
      </c>
      <c r="O4980" s="47" t="s">
        <v>45</v>
      </c>
      <c r="P4980" s="47" t="s">
        <v>41</v>
      </c>
      <c r="Q4980" s="14">
        <v>0</v>
      </c>
      <c r="R4980" s="143"/>
      <c r="S4980" s="47"/>
      <c r="T4980" s="6">
        <v>0</v>
      </c>
      <c r="U4980" s="6">
        <v>200000</v>
      </c>
      <c r="V4980" s="6">
        <v>73680.78</v>
      </c>
      <c r="W4980" s="6">
        <f t="shared" si="751"/>
        <v>126319.22</v>
      </c>
      <c r="X4980" s="6">
        <f t="shared" si="752"/>
        <v>73680.78</v>
      </c>
      <c r="Y4980" s="13">
        <f t="shared" si="755"/>
        <v>0</v>
      </c>
      <c r="Z4980" s="14">
        <v>0</v>
      </c>
      <c r="AA4980" s="6">
        <v>0</v>
      </c>
      <c r="AB4980" s="4">
        <f t="shared" si="756"/>
        <v>73680.78</v>
      </c>
      <c r="AC4980" s="4">
        <f t="shared" si="758"/>
        <v>0</v>
      </c>
      <c r="AD4980" s="6">
        <f t="shared" si="753"/>
        <v>73680.78</v>
      </c>
      <c r="AE4980" s="2">
        <v>0.06</v>
      </c>
      <c r="AF4980" s="6">
        <f t="shared" si="759"/>
        <v>4420.8467999999993</v>
      </c>
      <c r="AG4980" s="14">
        <v>0</v>
      </c>
      <c r="AH4980" s="64">
        <f t="shared" si="754"/>
        <v>73680.78</v>
      </c>
      <c r="AI4980" s="47"/>
      <c r="AJ4980" s="126" t="e">
        <v>#N/A</v>
      </c>
      <c r="AK4980" s="80">
        <f t="shared" si="757"/>
        <v>0</v>
      </c>
      <c r="AM4980" s="85"/>
    </row>
    <row r="4981" spans="1:39" hidden="1" x14ac:dyDescent="0.3">
      <c r="A4981" s="89" t="s">
        <v>3394</v>
      </c>
      <c r="B4981" s="86" t="s">
        <v>35</v>
      </c>
      <c r="C4981" s="86" t="s">
        <v>164</v>
      </c>
      <c r="D4981" s="86" t="s">
        <v>165</v>
      </c>
      <c r="E4981" s="86" t="s">
        <v>168</v>
      </c>
      <c r="F4981" s="86" t="s">
        <v>168</v>
      </c>
      <c r="G4981" s="86" t="s">
        <v>168</v>
      </c>
      <c r="H4981" s="144">
        <v>229</v>
      </c>
      <c r="I4981" s="86" t="s">
        <v>3356</v>
      </c>
      <c r="J4981" s="1" t="s">
        <v>3326</v>
      </c>
      <c r="K4981" s="1" t="s">
        <v>3710</v>
      </c>
      <c r="L4981" s="1" t="s">
        <v>35</v>
      </c>
      <c r="M4981" s="86"/>
      <c r="N4981" s="86" t="s">
        <v>3710</v>
      </c>
      <c r="O4981" s="47" t="s">
        <v>45</v>
      </c>
      <c r="P4981" s="47" t="s">
        <v>41</v>
      </c>
      <c r="Q4981" s="14">
        <v>0</v>
      </c>
      <c r="R4981" s="143"/>
      <c r="S4981" s="47"/>
      <c r="T4981" s="6">
        <v>158823.2100000002</v>
      </c>
      <c r="U4981" s="6">
        <v>-60540.350000000006</v>
      </c>
      <c r="V4981" s="6">
        <v>95641.25</v>
      </c>
      <c r="W4981" s="6">
        <f t="shared" si="751"/>
        <v>2641.6100000001898</v>
      </c>
      <c r="X4981" s="6">
        <f t="shared" si="752"/>
        <v>95641.25</v>
      </c>
      <c r="Y4981" s="13">
        <f t="shared" si="755"/>
        <v>0</v>
      </c>
      <c r="Z4981" s="14">
        <v>0</v>
      </c>
      <c r="AA4981" s="6">
        <v>0</v>
      </c>
      <c r="AB4981" s="4">
        <f t="shared" si="756"/>
        <v>95641.25</v>
      </c>
      <c r="AC4981" s="4">
        <f t="shared" si="758"/>
        <v>0</v>
      </c>
      <c r="AD4981" s="6">
        <f t="shared" si="753"/>
        <v>95641.25</v>
      </c>
      <c r="AE4981" s="2">
        <v>0.06</v>
      </c>
      <c r="AF4981" s="6">
        <f t="shared" si="759"/>
        <v>5738.4749999999995</v>
      </c>
      <c r="AG4981" s="14">
        <v>0</v>
      </c>
      <c r="AH4981" s="64">
        <f t="shared" si="754"/>
        <v>95641.25</v>
      </c>
      <c r="AI4981" s="47"/>
      <c r="AJ4981" s="126" t="e">
        <v>#N/A</v>
      </c>
      <c r="AK4981" s="80">
        <f t="shared" si="757"/>
        <v>0</v>
      </c>
      <c r="AM4981" s="85"/>
    </row>
    <row r="4982" spans="1:39" hidden="1" x14ac:dyDescent="0.3">
      <c r="A4982" s="89" t="s">
        <v>3397</v>
      </c>
      <c r="B4982" s="86" t="s">
        <v>35</v>
      </c>
      <c r="C4982" s="86" t="s">
        <v>164</v>
      </c>
      <c r="D4982" s="86" t="s">
        <v>169</v>
      </c>
      <c r="E4982" s="86" t="s">
        <v>170</v>
      </c>
      <c r="F4982" s="86" t="s">
        <v>170</v>
      </c>
      <c r="G4982" s="86" t="s">
        <v>170</v>
      </c>
      <c r="H4982" s="144">
        <v>229</v>
      </c>
      <c r="I4982" s="86" t="s">
        <v>3356</v>
      </c>
      <c r="J4982" s="1" t="s">
        <v>3326</v>
      </c>
      <c r="K4982" s="1" t="s">
        <v>3710</v>
      </c>
      <c r="L4982" s="1" t="s">
        <v>35</v>
      </c>
      <c r="M4982" s="86"/>
      <c r="N4982" s="86" t="s">
        <v>3710</v>
      </c>
      <c r="O4982" s="47" t="s">
        <v>45</v>
      </c>
      <c r="P4982" s="47" t="s">
        <v>75</v>
      </c>
      <c r="Q4982" s="14">
        <v>0.06</v>
      </c>
      <c r="R4982" s="143"/>
      <c r="S4982" s="47"/>
      <c r="T4982" s="6">
        <v>3491279.1699999832</v>
      </c>
      <c r="U4982" s="6">
        <v>6000000</v>
      </c>
      <c r="V4982" s="6">
        <v>5728685.5100000007</v>
      </c>
      <c r="W4982" s="6">
        <f t="shared" si="751"/>
        <v>3762593.6599999825</v>
      </c>
      <c r="X4982" s="6">
        <f t="shared" si="752"/>
        <v>5728685.5100000007</v>
      </c>
      <c r="Y4982" s="13">
        <f t="shared" si="755"/>
        <v>0</v>
      </c>
      <c r="Z4982" s="14">
        <v>0</v>
      </c>
      <c r="AA4982" s="6">
        <v>0</v>
      </c>
      <c r="AB4982" s="4">
        <f t="shared" si="756"/>
        <v>5728685.5100000007</v>
      </c>
      <c r="AC4982" s="4">
        <f t="shared" si="758"/>
        <v>343721.13060000003</v>
      </c>
      <c r="AD4982" s="6">
        <f t="shared" si="753"/>
        <v>5728685.5100000007</v>
      </c>
      <c r="AE4982" s="2">
        <v>0.06</v>
      </c>
      <c r="AF4982" s="6">
        <f t="shared" si="759"/>
        <v>343721.13060000003</v>
      </c>
      <c r="AG4982" s="14">
        <v>0</v>
      </c>
      <c r="AH4982" s="64">
        <f t="shared" si="754"/>
        <v>5728685.5100000007</v>
      </c>
      <c r="AI4982" s="47"/>
      <c r="AJ4982" s="126" t="e">
        <v>#N/A</v>
      </c>
      <c r="AK4982" s="80">
        <f t="shared" si="757"/>
        <v>0</v>
      </c>
      <c r="AM4982" s="85"/>
    </row>
    <row r="4983" spans="1:39" hidden="1" x14ac:dyDescent="0.3">
      <c r="A4983" s="89" t="s">
        <v>3394</v>
      </c>
      <c r="B4983" s="86" t="s">
        <v>35</v>
      </c>
      <c r="C4983" s="86" t="s">
        <v>164</v>
      </c>
      <c r="D4983" s="86" t="s">
        <v>169</v>
      </c>
      <c r="E4983" s="86" t="s">
        <v>170</v>
      </c>
      <c r="F4983" s="86" t="s">
        <v>171</v>
      </c>
      <c r="G4983" s="86" t="s">
        <v>170</v>
      </c>
      <c r="H4983" s="144">
        <v>229</v>
      </c>
      <c r="I4983" s="86" t="s">
        <v>3356</v>
      </c>
      <c r="J4983" s="1" t="s">
        <v>3326</v>
      </c>
      <c r="K4983" s="1" t="s">
        <v>3710</v>
      </c>
      <c r="L4983" s="1" t="s">
        <v>35</v>
      </c>
      <c r="M4983" s="86"/>
      <c r="N4983" s="86" t="s">
        <v>3710</v>
      </c>
      <c r="O4983" s="47" t="s">
        <v>45</v>
      </c>
      <c r="P4983" s="47" t="s">
        <v>75</v>
      </c>
      <c r="Q4983" s="14">
        <v>0.06</v>
      </c>
      <c r="R4983" s="143"/>
      <c r="S4983" s="47" t="s">
        <v>3697</v>
      </c>
      <c r="T4983" s="6">
        <v>1619254.8299999889</v>
      </c>
      <c r="U4983" s="6">
        <v>2659130.9699999997</v>
      </c>
      <c r="V4983" s="6">
        <v>3368044.3999999994</v>
      </c>
      <c r="W4983" s="6">
        <f t="shared" si="751"/>
        <v>910341.3999999892</v>
      </c>
      <c r="X4983" s="6">
        <f>IF(P4983="折扣",V4983*Q4983,IF(P4983="返现",V4983,V4983/(1+Q4983)))-106415.53</f>
        <v>3261628.8699999996</v>
      </c>
      <c r="Y4983" s="13">
        <f t="shared" si="755"/>
        <v>0</v>
      </c>
      <c r="Z4983" s="14">
        <v>0</v>
      </c>
      <c r="AA4983" s="6">
        <v>0</v>
      </c>
      <c r="AB4983" s="4">
        <f t="shared" si="756"/>
        <v>3261628.8699999996</v>
      </c>
      <c r="AC4983" s="4">
        <f t="shared" si="758"/>
        <v>195697.73219999997</v>
      </c>
      <c r="AD4983" s="6">
        <f t="shared" si="753"/>
        <v>3368044.3999999994</v>
      </c>
      <c r="AE4983" s="2">
        <v>0.06</v>
      </c>
      <c r="AF4983" s="6">
        <f t="shared" si="759"/>
        <v>202082.66399999996</v>
      </c>
      <c r="AG4983" s="14">
        <v>0</v>
      </c>
      <c r="AH4983" s="64">
        <f t="shared" si="754"/>
        <v>3368044.3999999994</v>
      </c>
      <c r="AI4983" s="47"/>
      <c r="AJ4983" s="126" t="e">
        <v>#N/A</v>
      </c>
      <c r="AK4983" s="80">
        <f t="shared" si="757"/>
        <v>0</v>
      </c>
      <c r="AM4983" s="85"/>
    </row>
    <row r="4984" spans="1:39" hidden="1" x14ac:dyDescent="0.3">
      <c r="A4984" s="89" t="s">
        <v>3394</v>
      </c>
      <c r="B4984" s="86" t="s">
        <v>35</v>
      </c>
      <c r="C4984" s="86" t="s">
        <v>164</v>
      </c>
      <c r="D4984" s="86" t="s">
        <v>169</v>
      </c>
      <c r="E4984" s="86" t="s">
        <v>172</v>
      </c>
      <c r="F4984" s="86" t="s">
        <v>172</v>
      </c>
      <c r="G4984" s="86" t="s">
        <v>172</v>
      </c>
      <c r="H4984" s="144">
        <v>229</v>
      </c>
      <c r="I4984" s="86" t="s">
        <v>3356</v>
      </c>
      <c r="J4984" s="1" t="s">
        <v>3326</v>
      </c>
      <c r="K4984" s="1" t="s">
        <v>3710</v>
      </c>
      <c r="L4984" s="1" t="s">
        <v>35</v>
      </c>
      <c r="M4984" s="86"/>
      <c r="N4984" s="86" t="s">
        <v>3710</v>
      </c>
      <c r="O4984" s="47" t="s">
        <v>45</v>
      </c>
      <c r="P4984" s="47" t="s">
        <v>46</v>
      </c>
      <c r="Q4984" s="14">
        <v>0.02</v>
      </c>
      <c r="R4984" s="143"/>
      <c r="S4984" s="47"/>
      <c r="T4984" s="6">
        <v>3431908.9699999914</v>
      </c>
      <c r="U4984" s="6">
        <v>0</v>
      </c>
      <c r="V4984" s="6">
        <v>1391227.7899999991</v>
      </c>
      <c r="W4984" s="6">
        <f t="shared" si="751"/>
        <v>2040681.1799999923</v>
      </c>
      <c r="X4984" s="6">
        <f t="shared" si="752"/>
        <v>1363948.8137254892</v>
      </c>
      <c r="Y4984" s="13">
        <f t="shared" si="755"/>
        <v>0</v>
      </c>
      <c r="Z4984" s="14">
        <v>0</v>
      </c>
      <c r="AA4984" s="6">
        <v>0</v>
      </c>
      <c r="AB4984" s="4">
        <f t="shared" si="756"/>
        <v>1363948.8137254892</v>
      </c>
      <c r="AC4984" s="4">
        <f t="shared" si="758"/>
        <v>27278.976274509914</v>
      </c>
      <c r="AD4984" s="6">
        <f t="shared" si="753"/>
        <v>1391227.7899999991</v>
      </c>
      <c r="AE4984" s="2">
        <v>0.06</v>
      </c>
      <c r="AF4984" s="6">
        <f t="shared" si="759"/>
        <v>83473.667399999948</v>
      </c>
      <c r="AG4984" s="14">
        <v>0</v>
      </c>
      <c r="AH4984" s="64">
        <f t="shared" si="754"/>
        <v>1391227.7899999991</v>
      </c>
      <c r="AI4984" s="47"/>
      <c r="AJ4984" s="126" t="e">
        <v>#N/A</v>
      </c>
      <c r="AK4984" s="80">
        <f t="shared" si="757"/>
        <v>0</v>
      </c>
      <c r="AM4984" s="85"/>
    </row>
    <row r="4985" spans="1:39" hidden="1" x14ac:dyDescent="0.3">
      <c r="A4985" s="89" t="s">
        <v>3395</v>
      </c>
      <c r="B4985" s="86" t="s">
        <v>35</v>
      </c>
      <c r="C4985" s="86" t="s">
        <v>164</v>
      </c>
      <c r="D4985" s="86" t="s">
        <v>169</v>
      </c>
      <c r="E4985" s="86" t="s">
        <v>172</v>
      </c>
      <c r="F4985" s="86" t="s">
        <v>172</v>
      </c>
      <c r="G4985" s="86" t="s">
        <v>172</v>
      </c>
      <c r="H4985" s="143">
        <v>229</v>
      </c>
      <c r="I4985" s="86" t="s">
        <v>3356</v>
      </c>
      <c r="J4985" s="1" t="s">
        <v>3326</v>
      </c>
      <c r="K4985" s="1" t="s">
        <v>3710</v>
      </c>
      <c r="L4985" s="1" t="s">
        <v>35</v>
      </c>
      <c r="M4985" s="86"/>
      <c r="N4985" s="86" t="s">
        <v>3710</v>
      </c>
      <c r="O4985" s="47" t="s">
        <v>45</v>
      </c>
      <c r="P4985" s="47" t="s">
        <v>41</v>
      </c>
      <c r="Q4985" s="14">
        <v>0</v>
      </c>
      <c r="R4985" s="143"/>
      <c r="S4985" s="47"/>
      <c r="T4985" s="6">
        <v>3148959.1100000003</v>
      </c>
      <c r="U4985" s="6">
        <v>350000</v>
      </c>
      <c r="V4985" s="6">
        <v>0</v>
      </c>
      <c r="W4985" s="6">
        <f t="shared" si="751"/>
        <v>3498959.1100000003</v>
      </c>
      <c r="X4985" s="6">
        <f t="shared" si="752"/>
        <v>0</v>
      </c>
      <c r="Y4985" s="13">
        <f t="shared" si="755"/>
        <v>0</v>
      </c>
      <c r="Z4985" s="14">
        <v>0</v>
      </c>
      <c r="AA4985" s="6">
        <v>0</v>
      </c>
      <c r="AB4985" s="4">
        <f t="shared" si="756"/>
        <v>0</v>
      </c>
      <c r="AC4985" s="4">
        <f t="shared" si="758"/>
        <v>0</v>
      </c>
      <c r="AD4985" s="6">
        <f t="shared" si="753"/>
        <v>0</v>
      </c>
      <c r="AE4985" s="2">
        <v>0.06</v>
      </c>
      <c r="AF4985" s="6">
        <f t="shared" si="759"/>
        <v>0</v>
      </c>
      <c r="AG4985" s="14">
        <v>0</v>
      </c>
      <c r="AH4985" s="64">
        <f t="shared" si="754"/>
        <v>0</v>
      </c>
      <c r="AI4985" s="47"/>
      <c r="AJ4985" s="126" t="e">
        <v>#N/A</v>
      </c>
      <c r="AK4985" s="80">
        <f t="shared" si="757"/>
        <v>0</v>
      </c>
      <c r="AM4985" s="85"/>
    </row>
    <row r="4986" spans="1:39" hidden="1" x14ac:dyDescent="0.3">
      <c r="A4986" s="89" t="s">
        <v>3394</v>
      </c>
      <c r="B4986" s="86" t="s">
        <v>35</v>
      </c>
      <c r="C4986" s="86" t="s">
        <v>164</v>
      </c>
      <c r="D4986" s="86" t="s">
        <v>169</v>
      </c>
      <c r="E4986" s="86" t="s">
        <v>2436</v>
      </c>
      <c r="F4986" s="86" t="s">
        <v>3676</v>
      </c>
      <c r="G4986" s="86" t="s">
        <v>2436</v>
      </c>
      <c r="H4986" s="144">
        <v>229</v>
      </c>
      <c r="I4986" s="86" t="s">
        <v>3356</v>
      </c>
      <c r="J4986" s="1" t="s">
        <v>3326</v>
      </c>
      <c r="K4986" s="1" t="s">
        <v>3707</v>
      </c>
      <c r="L4986" s="1" t="s">
        <v>35</v>
      </c>
      <c r="M4986" s="86"/>
      <c r="N4986" s="86" t="s">
        <v>3707</v>
      </c>
      <c r="O4986" s="47" t="s">
        <v>45</v>
      </c>
      <c r="P4986" s="47" t="s">
        <v>41</v>
      </c>
      <c r="Q4986" s="14">
        <v>0</v>
      </c>
      <c r="R4986" s="143"/>
      <c r="S4986" s="47"/>
      <c r="T4986" s="6">
        <v>0</v>
      </c>
      <c r="U4986" s="6">
        <v>600000</v>
      </c>
      <c r="V4986" s="6">
        <v>378539.96999999991</v>
      </c>
      <c r="W4986" s="6">
        <f t="shared" si="751"/>
        <v>221460.03000000009</v>
      </c>
      <c r="X4986" s="6">
        <f t="shared" si="752"/>
        <v>378539.96999999991</v>
      </c>
      <c r="Y4986" s="13">
        <f t="shared" si="755"/>
        <v>0</v>
      </c>
      <c r="Z4986" s="14">
        <v>0</v>
      </c>
      <c r="AA4986" s="6">
        <v>0</v>
      </c>
      <c r="AB4986" s="4">
        <f t="shared" si="756"/>
        <v>378539.96999999991</v>
      </c>
      <c r="AC4986" s="4">
        <f t="shared" si="758"/>
        <v>0</v>
      </c>
      <c r="AD4986" s="6">
        <f t="shared" si="753"/>
        <v>378539.96999999991</v>
      </c>
      <c r="AE4986" s="2">
        <v>0.06</v>
      </c>
      <c r="AF4986" s="6">
        <f t="shared" si="759"/>
        <v>22712.398199999992</v>
      </c>
      <c r="AG4986" s="14">
        <v>0</v>
      </c>
      <c r="AH4986" s="64">
        <f t="shared" si="754"/>
        <v>378539.96999999991</v>
      </c>
      <c r="AI4986" s="47"/>
      <c r="AJ4986" s="126" t="e">
        <v>#N/A</v>
      </c>
      <c r="AK4986" s="80">
        <f t="shared" si="757"/>
        <v>0</v>
      </c>
      <c r="AM4986" s="85"/>
    </row>
    <row r="4987" spans="1:39" hidden="1" x14ac:dyDescent="0.3">
      <c r="A4987" s="89" t="s">
        <v>3394</v>
      </c>
      <c r="B4987" s="86" t="s">
        <v>35</v>
      </c>
      <c r="C4987" s="86" t="s">
        <v>164</v>
      </c>
      <c r="D4987" s="86" t="s">
        <v>169</v>
      </c>
      <c r="E4987" s="86" t="s">
        <v>3616</v>
      </c>
      <c r="F4987" s="86" t="s">
        <v>3616</v>
      </c>
      <c r="G4987" s="86" t="s">
        <v>3616</v>
      </c>
      <c r="H4987" s="144">
        <v>229</v>
      </c>
      <c r="I4987" s="86" t="s">
        <v>3356</v>
      </c>
      <c r="J4987" s="1" t="s">
        <v>3326</v>
      </c>
      <c r="K4987" s="1" t="s">
        <v>3707</v>
      </c>
      <c r="L4987" s="1" t="s">
        <v>35</v>
      </c>
      <c r="M4987" s="86"/>
      <c r="N4987" s="86" t="s">
        <v>3707</v>
      </c>
      <c r="O4987" s="47" t="s">
        <v>45</v>
      </c>
      <c r="P4987" s="47" t="s">
        <v>46</v>
      </c>
      <c r="Q4987" s="14">
        <v>0.02</v>
      </c>
      <c r="R4987" s="143"/>
      <c r="S4987" s="47"/>
      <c r="T4987" s="6">
        <v>0</v>
      </c>
      <c r="U4987" s="6">
        <v>500000</v>
      </c>
      <c r="V4987" s="6">
        <v>180099.32999999996</v>
      </c>
      <c r="W4987" s="6">
        <f t="shared" si="751"/>
        <v>319900.67000000004</v>
      </c>
      <c r="X4987" s="6">
        <f t="shared" si="752"/>
        <v>176567.97058823524</v>
      </c>
      <c r="Y4987" s="13">
        <f t="shared" si="755"/>
        <v>0</v>
      </c>
      <c r="Z4987" s="14">
        <v>0</v>
      </c>
      <c r="AA4987" s="6">
        <v>0</v>
      </c>
      <c r="AB4987" s="4">
        <f t="shared" si="756"/>
        <v>176567.97058823524</v>
      </c>
      <c r="AC4987" s="4">
        <f t="shared" si="758"/>
        <v>3531.3594117647153</v>
      </c>
      <c r="AD4987" s="6">
        <f t="shared" si="753"/>
        <v>180099.32999999996</v>
      </c>
      <c r="AE4987" s="2">
        <v>0.06</v>
      </c>
      <c r="AF4987" s="6">
        <f t="shared" si="759"/>
        <v>10805.959799999997</v>
      </c>
      <c r="AG4987" s="14">
        <v>0</v>
      </c>
      <c r="AH4987" s="64">
        <f t="shared" si="754"/>
        <v>180099.32999999996</v>
      </c>
      <c r="AI4987" s="47"/>
      <c r="AJ4987" s="126" t="e">
        <v>#N/A</v>
      </c>
      <c r="AK4987" s="80">
        <f t="shared" si="757"/>
        <v>0</v>
      </c>
      <c r="AM4987" s="85"/>
    </row>
    <row r="4988" spans="1:39" hidden="1" x14ac:dyDescent="0.3">
      <c r="A4988" s="89" t="s">
        <v>3395</v>
      </c>
      <c r="B4988" s="86" t="s">
        <v>35</v>
      </c>
      <c r="C4988" s="86" t="s">
        <v>164</v>
      </c>
      <c r="D4988" s="86" t="s">
        <v>174</v>
      </c>
      <c r="E4988" s="86" t="s">
        <v>1966</v>
      </c>
      <c r="F4988" s="86" t="s">
        <v>1966</v>
      </c>
      <c r="G4988" s="86" t="s">
        <v>1966</v>
      </c>
      <c r="H4988" s="144">
        <v>229</v>
      </c>
      <c r="I4988" s="86" t="s">
        <v>3356</v>
      </c>
      <c r="J4988" s="1" t="s">
        <v>3326</v>
      </c>
      <c r="K4988" s="1" t="s">
        <v>3712</v>
      </c>
      <c r="L4988" s="1" t="s">
        <v>35</v>
      </c>
      <c r="M4988" s="86"/>
      <c r="N4988" s="86" t="s">
        <v>3712</v>
      </c>
      <c r="O4988" s="47" t="s">
        <v>45</v>
      </c>
      <c r="P4988" s="47" t="s">
        <v>46</v>
      </c>
      <c r="Q4988" s="14">
        <v>0.02</v>
      </c>
      <c r="R4988" s="143"/>
      <c r="S4988" s="47"/>
      <c r="T4988" s="6">
        <v>0</v>
      </c>
      <c r="U4988" s="6">
        <v>153000</v>
      </c>
      <c r="V4988" s="6">
        <v>44319.119999999995</v>
      </c>
      <c r="W4988" s="6">
        <f t="shared" ref="W4988:W5051" si="760">T4988+U4988-V4988</f>
        <v>108680.88</v>
      </c>
      <c r="X4988" s="6">
        <f t="shared" ref="X4988:X5051" si="761">IF(P4988="折扣",V4988*Q4988,IF(P4988="返现",V4988,V4988/(1+Q4988)))</f>
        <v>43450.117647058818</v>
      </c>
      <c r="Y4988" s="13">
        <f t="shared" si="755"/>
        <v>0</v>
      </c>
      <c r="Z4988" s="14">
        <v>0</v>
      </c>
      <c r="AA4988" s="6">
        <v>0</v>
      </c>
      <c r="AB4988" s="4">
        <f t="shared" si="756"/>
        <v>43450.117647058818</v>
      </c>
      <c r="AC4988" s="4">
        <f t="shared" si="758"/>
        <v>869.00235294117738</v>
      </c>
      <c r="AD4988" s="6">
        <f t="shared" ref="AD4988:AD5051" si="762">V4988</f>
        <v>44319.119999999995</v>
      </c>
      <c r="AE4988" s="2">
        <v>0.06</v>
      </c>
      <c r="AF4988" s="6">
        <f t="shared" si="759"/>
        <v>2659.1471999999994</v>
      </c>
      <c r="AG4988" s="14">
        <v>0</v>
      </c>
      <c r="AH4988" s="64">
        <f t="shared" ref="AH4988:AH5051" si="763">V4988</f>
        <v>44319.119999999995</v>
      </c>
      <c r="AI4988" s="47"/>
      <c r="AJ4988" s="126" t="e">
        <v>#N/A</v>
      </c>
      <c r="AK4988" s="80">
        <f t="shared" si="757"/>
        <v>0</v>
      </c>
      <c r="AM4988" s="85"/>
    </row>
    <row r="4989" spans="1:39" hidden="1" x14ac:dyDescent="0.3">
      <c r="A4989" s="89" t="s">
        <v>3395</v>
      </c>
      <c r="B4989" s="86" t="s">
        <v>35</v>
      </c>
      <c r="C4989" s="86" t="s">
        <v>164</v>
      </c>
      <c r="D4989" s="86" t="s">
        <v>174</v>
      </c>
      <c r="E4989" s="86" t="s">
        <v>177</v>
      </c>
      <c r="F4989" s="86" t="s">
        <v>177</v>
      </c>
      <c r="G4989" s="86" t="s">
        <v>177</v>
      </c>
      <c r="H4989" s="144">
        <v>229</v>
      </c>
      <c r="I4989" s="86" t="s">
        <v>3356</v>
      </c>
      <c r="J4989" s="1" t="s">
        <v>3326</v>
      </c>
      <c r="K4989" s="1" t="s">
        <v>3283</v>
      </c>
      <c r="L4989" s="1" t="s">
        <v>35</v>
      </c>
      <c r="M4989" s="86"/>
      <c r="N4989" s="86" t="s">
        <v>3283</v>
      </c>
      <c r="O4989" s="47" t="s">
        <v>45</v>
      </c>
      <c r="P4989" s="47" t="s">
        <v>41</v>
      </c>
      <c r="Q4989" s="14">
        <v>0</v>
      </c>
      <c r="R4989" s="143"/>
      <c r="S4989" s="47"/>
      <c r="T4989" s="6">
        <v>2064.6799999999785</v>
      </c>
      <c r="U4989" s="6">
        <v>40000</v>
      </c>
      <c r="V4989" s="6">
        <v>37733.859999999993</v>
      </c>
      <c r="W4989" s="6">
        <f t="shared" si="760"/>
        <v>4330.8199999999852</v>
      </c>
      <c r="X4989" s="6">
        <f t="shared" si="761"/>
        <v>37733.859999999993</v>
      </c>
      <c r="Y4989" s="13">
        <f t="shared" si="755"/>
        <v>0</v>
      </c>
      <c r="Z4989" s="14">
        <v>0</v>
      </c>
      <c r="AA4989" s="6">
        <v>0</v>
      </c>
      <c r="AB4989" s="4">
        <f t="shared" si="756"/>
        <v>37733.859999999993</v>
      </c>
      <c r="AC4989" s="4">
        <f t="shared" si="758"/>
        <v>0</v>
      </c>
      <c r="AD4989" s="6">
        <f t="shared" si="762"/>
        <v>37733.859999999993</v>
      </c>
      <c r="AE4989" s="2">
        <v>0.06</v>
      </c>
      <c r="AF4989" s="6">
        <f t="shared" si="759"/>
        <v>2264.0315999999993</v>
      </c>
      <c r="AG4989" s="14">
        <v>0</v>
      </c>
      <c r="AH4989" s="64">
        <f t="shared" si="763"/>
        <v>37733.859999999993</v>
      </c>
      <c r="AI4989" s="47"/>
      <c r="AJ4989" s="126" t="e">
        <v>#N/A</v>
      </c>
      <c r="AK4989" s="80">
        <f t="shared" si="757"/>
        <v>0</v>
      </c>
      <c r="AM4989" s="85"/>
    </row>
    <row r="4990" spans="1:39" hidden="1" x14ac:dyDescent="0.3">
      <c r="A4990" s="89" t="s">
        <v>3395</v>
      </c>
      <c r="B4990" s="86" t="s">
        <v>35</v>
      </c>
      <c r="C4990" s="86" t="s">
        <v>164</v>
      </c>
      <c r="D4990" s="86" t="s">
        <v>174</v>
      </c>
      <c r="E4990" s="86" t="s">
        <v>178</v>
      </c>
      <c r="F4990" s="86" t="s">
        <v>179</v>
      </c>
      <c r="G4990" s="86" t="s">
        <v>178</v>
      </c>
      <c r="H4990" s="144">
        <v>229</v>
      </c>
      <c r="I4990" s="86" t="s">
        <v>3356</v>
      </c>
      <c r="J4990" s="1" t="s">
        <v>3326</v>
      </c>
      <c r="K4990" s="1" t="s">
        <v>3283</v>
      </c>
      <c r="L4990" s="1" t="s">
        <v>35</v>
      </c>
      <c r="M4990" s="86"/>
      <c r="N4990" s="86" t="s">
        <v>3283</v>
      </c>
      <c r="O4990" s="47" t="s">
        <v>45</v>
      </c>
      <c r="P4990" s="47" t="s">
        <v>46</v>
      </c>
      <c r="Q4990" s="14">
        <v>0.03</v>
      </c>
      <c r="R4990" s="143"/>
      <c r="S4990" s="47"/>
      <c r="T4990" s="6">
        <v>-1192116.620000002</v>
      </c>
      <c r="U4990" s="6">
        <v>2800000</v>
      </c>
      <c r="V4990" s="6">
        <v>2292174.5100000007</v>
      </c>
      <c r="W4990" s="6">
        <f t="shared" si="760"/>
        <v>-684291.13000000268</v>
      </c>
      <c r="X4990" s="6">
        <f t="shared" si="761"/>
        <v>2225412.1456310684</v>
      </c>
      <c r="Y4990" s="13">
        <f t="shared" si="755"/>
        <v>0</v>
      </c>
      <c r="Z4990" s="14">
        <v>0</v>
      </c>
      <c r="AA4990" s="6">
        <v>0</v>
      </c>
      <c r="AB4990" s="4">
        <f t="shared" si="756"/>
        <v>2225412.1456310684</v>
      </c>
      <c r="AC4990" s="4">
        <f t="shared" si="758"/>
        <v>66762.364368932322</v>
      </c>
      <c r="AD4990" s="6">
        <f t="shared" si="762"/>
        <v>2292174.5100000007</v>
      </c>
      <c r="AE4990" s="2">
        <v>0.06</v>
      </c>
      <c r="AF4990" s="6">
        <f t="shared" si="759"/>
        <v>137530.47060000003</v>
      </c>
      <c r="AG4990" s="14">
        <v>0</v>
      </c>
      <c r="AH4990" s="64">
        <f t="shared" si="763"/>
        <v>2292174.5100000007</v>
      </c>
      <c r="AI4990" s="47"/>
      <c r="AJ4990" s="126" t="e">
        <v>#N/A</v>
      </c>
      <c r="AK4990" s="80">
        <f t="shared" si="757"/>
        <v>0</v>
      </c>
      <c r="AM4990" s="85"/>
    </row>
    <row r="4991" spans="1:39" hidden="1" x14ac:dyDescent="0.3">
      <c r="A4991" s="89" t="s">
        <v>3395</v>
      </c>
      <c r="B4991" s="86" t="s">
        <v>35</v>
      </c>
      <c r="C4991" s="86" t="s">
        <v>164</v>
      </c>
      <c r="D4991" s="86" t="s">
        <v>174</v>
      </c>
      <c r="E4991" s="86" t="s">
        <v>180</v>
      </c>
      <c r="F4991" s="86" t="s">
        <v>180</v>
      </c>
      <c r="G4991" s="86" t="s">
        <v>180</v>
      </c>
      <c r="H4991" s="143">
        <v>229</v>
      </c>
      <c r="I4991" s="86" t="s">
        <v>3356</v>
      </c>
      <c r="J4991" s="1" t="s">
        <v>3326</v>
      </c>
      <c r="K4991" s="1" t="s">
        <v>3712</v>
      </c>
      <c r="L4991" s="1" t="s">
        <v>35</v>
      </c>
      <c r="M4991" s="86"/>
      <c r="N4991" s="86" t="s">
        <v>3712</v>
      </c>
      <c r="O4991" s="47" t="s">
        <v>45</v>
      </c>
      <c r="P4991" s="1" t="s">
        <v>3355</v>
      </c>
      <c r="Q4991" s="2">
        <v>0.01</v>
      </c>
      <c r="R4991" s="143"/>
      <c r="S4991" s="47"/>
      <c r="T4991" s="6">
        <v>-298239.03999999992</v>
      </c>
      <c r="U4991" s="6">
        <v>200000</v>
      </c>
      <c r="V4991" s="6">
        <v>0</v>
      </c>
      <c r="W4991" s="6">
        <f t="shared" si="760"/>
        <v>-98239.039999999921</v>
      </c>
      <c r="X4991" s="6">
        <f t="shared" si="761"/>
        <v>0</v>
      </c>
      <c r="Y4991" s="13">
        <f t="shared" si="755"/>
        <v>0</v>
      </c>
      <c r="Z4991" s="14">
        <v>0</v>
      </c>
      <c r="AA4991" s="6">
        <v>0</v>
      </c>
      <c r="AB4991" s="4">
        <f t="shared" si="756"/>
        <v>0</v>
      </c>
      <c r="AC4991" s="4">
        <f t="shared" si="758"/>
        <v>0</v>
      </c>
      <c r="AD4991" s="6">
        <f t="shared" si="762"/>
        <v>0</v>
      </c>
      <c r="AE4991" s="2">
        <v>0.06</v>
      </c>
      <c r="AF4991" s="6">
        <f t="shared" si="759"/>
        <v>0</v>
      </c>
      <c r="AG4991" s="14">
        <v>0</v>
      </c>
      <c r="AH4991" s="64">
        <f t="shared" si="763"/>
        <v>0</v>
      </c>
      <c r="AI4991" s="47"/>
      <c r="AJ4991" s="126" t="e">
        <v>#N/A</v>
      </c>
      <c r="AK4991" s="80">
        <f t="shared" si="757"/>
        <v>0</v>
      </c>
      <c r="AM4991" s="85"/>
    </row>
    <row r="4992" spans="1:39" hidden="1" x14ac:dyDescent="0.3">
      <c r="A4992" s="89" t="s">
        <v>3395</v>
      </c>
      <c r="B4992" s="86" t="s">
        <v>35</v>
      </c>
      <c r="C4992" s="86" t="s">
        <v>164</v>
      </c>
      <c r="D4992" s="86" t="s">
        <v>174</v>
      </c>
      <c r="E4992" s="86" t="s">
        <v>180</v>
      </c>
      <c r="F4992" s="86" t="s">
        <v>180</v>
      </c>
      <c r="G4992" s="86" t="s">
        <v>180</v>
      </c>
      <c r="H4992" s="144">
        <v>229</v>
      </c>
      <c r="I4992" s="86" t="s">
        <v>3356</v>
      </c>
      <c r="J4992" s="1" t="s">
        <v>3326</v>
      </c>
      <c r="K4992" s="1" t="s">
        <v>3712</v>
      </c>
      <c r="L4992" s="1" t="s">
        <v>35</v>
      </c>
      <c r="M4992" s="86"/>
      <c r="N4992" s="86" t="s">
        <v>3712</v>
      </c>
      <c r="O4992" s="47" t="s">
        <v>45</v>
      </c>
      <c r="P4992" s="1" t="s">
        <v>3355</v>
      </c>
      <c r="Q4992" s="2">
        <v>0.01</v>
      </c>
      <c r="R4992" s="143"/>
      <c r="S4992" s="47"/>
      <c r="T4992" s="6">
        <v>504399.35</v>
      </c>
      <c r="U4992" s="6">
        <v>40000</v>
      </c>
      <c r="V4992" s="6">
        <v>221090.00999999998</v>
      </c>
      <c r="W4992" s="6">
        <f t="shared" si="760"/>
        <v>323309.33999999997</v>
      </c>
      <c r="X4992" s="6">
        <f t="shared" si="761"/>
        <v>218900.99999999997</v>
      </c>
      <c r="Y4992" s="13">
        <f t="shared" si="755"/>
        <v>0</v>
      </c>
      <c r="Z4992" s="14">
        <v>0</v>
      </c>
      <c r="AA4992" s="6">
        <v>0</v>
      </c>
      <c r="AB4992" s="4">
        <f t="shared" si="756"/>
        <v>218900.99999999997</v>
      </c>
      <c r="AC4992" s="4">
        <f t="shared" si="758"/>
        <v>2189.0100000000093</v>
      </c>
      <c r="AD4992" s="6">
        <f t="shared" si="762"/>
        <v>221090.00999999998</v>
      </c>
      <c r="AE4992" s="2">
        <v>0.06</v>
      </c>
      <c r="AF4992" s="6">
        <f t="shared" si="759"/>
        <v>13265.400599999999</v>
      </c>
      <c r="AG4992" s="14">
        <v>0</v>
      </c>
      <c r="AH4992" s="64">
        <f t="shared" si="763"/>
        <v>221090.00999999998</v>
      </c>
      <c r="AI4992" s="47"/>
      <c r="AJ4992" s="126" t="e">
        <v>#N/A</v>
      </c>
      <c r="AK4992" s="80">
        <f t="shared" si="757"/>
        <v>0</v>
      </c>
      <c r="AM4992" s="85"/>
    </row>
    <row r="4993" spans="1:39" hidden="1" x14ac:dyDescent="0.3">
      <c r="A4993" s="89" t="s">
        <v>3394</v>
      </c>
      <c r="B4993" s="86" t="s">
        <v>35</v>
      </c>
      <c r="C4993" s="86" t="s">
        <v>164</v>
      </c>
      <c r="D4993" s="86" t="s">
        <v>181</v>
      </c>
      <c r="E4993" s="86" t="s">
        <v>182</v>
      </c>
      <c r="F4993" s="86" t="s">
        <v>183</v>
      </c>
      <c r="G4993" s="86" t="s">
        <v>182</v>
      </c>
      <c r="H4993" s="144">
        <v>229</v>
      </c>
      <c r="I4993" s="86" t="s">
        <v>3356</v>
      </c>
      <c r="J4993" s="1" t="s">
        <v>3326</v>
      </c>
      <c r="K4993" s="1" t="s">
        <v>3283</v>
      </c>
      <c r="L4993" s="1" t="s">
        <v>35</v>
      </c>
      <c r="M4993" s="86"/>
      <c r="N4993" s="86" t="s">
        <v>3283</v>
      </c>
      <c r="O4993" s="47" t="s">
        <v>45</v>
      </c>
      <c r="P4993" s="47" t="s">
        <v>41</v>
      </c>
      <c r="Q4993" s="14">
        <v>0</v>
      </c>
      <c r="R4993" s="143"/>
      <c r="S4993" s="47"/>
      <c r="T4993" s="6">
        <v>502238.27999999974</v>
      </c>
      <c r="U4993" s="6">
        <v>0</v>
      </c>
      <c r="V4993" s="6">
        <v>130109.56</v>
      </c>
      <c r="W4993" s="6">
        <f t="shared" si="760"/>
        <v>372128.71999999974</v>
      </c>
      <c r="X4993" s="6">
        <f t="shared" si="761"/>
        <v>130109.56</v>
      </c>
      <c r="Y4993" s="13">
        <f t="shared" si="755"/>
        <v>0</v>
      </c>
      <c r="Z4993" s="14">
        <v>0</v>
      </c>
      <c r="AA4993" s="6">
        <v>0</v>
      </c>
      <c r="AB4993" s="4">
        <f t="shared" si="756"/>
        <v>130109.56</v>
      </c>
      <c r="AC4993" s="4">
        <f t="shared" si="758"/>
        <v>0</v>
      </c>
      <c r="AD4993" s="6">
        <f t="shared" si="762"/>
        <v>130109.56</v>
      </c>
      <c r="AE4993" s="2">
        <v>0.06</v>
      </c>
      <c r="AF4993" s="6">
        <f t="shared" si="759"/>
        <v>7806.5735999999997</v>
      </c>
      <c r="AG4993" s="14">
        <v>0</v>
      </c>
      <c r="AH4993" s="64">
        <f t="shared" si="763"/>
        <v>130109.56</v>
      </c>
      <c r="AI4993" s="47"/>
      <c r="AJ4993" s="126" t="e">
        <v>#N/A</v>
      </c>
      <c r="AK4993" s="80">
        <f t="shared" si="757"/>
        <v>0</v>
      </c>
      <c r="AM4993" s="85"/>
    </row>
    <row r="4994" spans="1:39" hidden="1" x14ac:dyDescent="0.3">
      <c r="A4994" s="89" t="s">
        <v>3394</v>
      </c>
      <c r="B4994" s="86" t="s">
        <v>35</v>
      </c>
      <c r="C4994" s="86" t="s">
        <v>184</v>
      </c>
      <c r="D4994" s="86" t="s">
        <v>185</v>
      </c>
      <c r="E4994" s="86" t="s">
        <v>186</v>
      </c>
      <c r="F4994" s="86" t="s">
        <v>186</v>
      </c>
      <c r="G4994" s="86" t="s">
        <v>186</v>
      </c>
      <c r="H4994" s="144">
        <v>229</v>
      </c>
      <c r="I4994" s="86" t="s">
        <v>3356</v>
      </c>
      <c r="J4994" s="1" t="s">
        <v>3326</v>
      </c>
      <c r="K4994" s="1" t="s">
        <v>3712</v>
      </c>
      <c r="L4994" s="1" t="s">
        <v>35</v>
      </c>
      <c r="M4994" s="86"/>
      <c r="N4994" s="86" t="s">
        <v>3712</v>
      </c>
      <c r="O4994" s="47" t="s">
        <v>45</v>
      </c>
      <c r="P4994" s="1" t="s">
        <v>3753</v>
      </c>
      <c r="Q4994" s="2">
        <v>0.01</v>
      </c>
      <c r="R4994" s="143"/>
      <c r="S4994" s="47"/>
      <c r="T4994" s="6">
        <v>2083923.1799999992</v>
      </c>
      <c r="U4994" s="6">
        <v>21500000</v>
      </c>
      <c r="V4994" s="6">
        <v>16686091.589999998</v>
      </c>
      <c r="W4994" s="6">
        <f t="shared" si="760"/>
        <v>6897831.5900000017</v>
      </c>
      <c r="X4994" s="6">
        <f t="shared" si="761"/>
        <v>16520882.762376236</v>
      </c>
      <c r="Y4994" s="13">
        <f t="shared" si="755"/>
        <v>0</v>
      </c>
      <c r="Z4994" s="14">
        <v>0</v>
      </c>
      <c r="AA4994" s="6">
        <v>0</v>
      </c>
      <c r="AB4994" s="4">
        <f t="shared" si="756"/>
        <v>16520882.762376236</v>
      </c>
      <c r="AC4994" s="4">
        <f t="shared" si="758"/>
        <v>165208.82762376219</v>
      </c>
      <c r="AD4994" s="6">
        <f t="shared" si="762"/>
        <v>16686091.589999998</v>
      </c>
      <c r="AE4994" s="2">
        <v>0.06</v>
      </c>
      <c r="AF4994" s="6">
        <f t="shared" si="759"/>
        <v>1001165.4953999999</v>
      </c>
      <c r="AG4994" s="14">
        <v>0</v>
      </c>
      <c r="AH4994" s="64">
        <f t="shared" si="763"/>
        <v>16686091.589999998</v>
      </c>
      <c r="AI4994" s="47"/>
      <c r="AJ4994" s="126" t="e">
        <v>#N/A</v>
      </c>
      <c r="AK4994" s="80">
        <f t="shared" si="757"/>
        <v>0</v>
      </c>
      <c r="AM4994" s="85"/>
    </row>
    <row r="4995" spans="1:39" hidden="1" x14ac:dyDescent="0.3">
      <c r="A4995" s="89" t="s">
        <v>3394</v>
      </c>
      <c r="B4995" s="86" t="s">
        <v>35</v>
      </c>
      <c r="C4995" s="86" t="s">
        <v>187</v>
      </c>
      <c r="D4995" s="86" t="s">
        <v>188</v>
      </c>
      <c r="E4995" s="86" t="s">
        <v>189</v>
      </c>
      <c r="F4995" s="86" t="s">
        <v>189</v>
      </c>
      <c r="G4995" s="86" t="s">
        <v>189</v>
      </c>
      <c r="H4995" s="144">
        <v>229</v>
      </c>
      <c r="I4995" s="86" t="s">
        <v>3356</v>
      </c>
      <c r="J4995" s="1" t="s">
        <v>3326</v>
      </c>
      <c r="K4995" s="1" t="s">
        <v>3283</v>
      </c>
      <c r="L4995" s="1" t="s">
        <v>35</v>
      </c>
      <c r="M4995" s="86"/>
      <c r="N4995" s="86" t="s">
        <v>3283</v>
      </c>
      <c r="O4995" s="47" t="s">
        <v>45</v>
      </c>
      <c r="P4995" s="47" t="s">
        <v>46</v>
      </c>
      <c r="Q4995" s="14">
        <v>0.03</v>
      </c>
      <c r="R4995" s="143"/>
      <c r="S4995" s="47"/>
      <c r="T4995" s="6">
        <v>495272.53000000049</v>
      </c>
      <c r="U4995" s="6">
        <v>1102100</v>
      </c>
      <c r="V4995" s="6">
        <v>903431.59</v>
      </c>
      <c r="W4995" s="6">
        <f t="shared" si="760"/>
        <v>693940.94000000053</v>
      </c>
      <c r="X4995" s="6">
        <f t="shared" si="761"/>
        <v>877118.04854368931</v>
      </c>
      <c r="Y4995" s="13">
        <f t="shared" ref="Y4995:Y5058" si="764">IF(X4995-AD4995&lt;=0,0,IF(P4995="返现",MAX(X4995-AC4995-AD4995,0),MAX(X4995-AD4995)))</f>
        <v>0</v>
      </c>
      <c r="Z4995" s="14">
        <v>0</v>
      </c>
      <c r="AA4995" s="6">
        <v>0</v>
      </c>
      <c r="AB4995" s="4">
        <f t="shared" ref="AB4995:AB5058" si="765">X4995+AA4995</f>
        <v>877118.04854368931</v>
      </c>
      <c r="AC4995" s="4">
        <f t="shared" si="758"/>
        <v>26313.541456310661</v>
      </c>
      <c r="AD4995" s="6">
        <f t="shared" si="762"/>
        <v>903431.59</v>
      </c>
      <c r="AE4995" s="2">
        <v>0.06</v>
      </c>
      <c r="AF4995" s="6">
        <f t="shared" si="759"/>
        <v>54205.895399999994</v>
      </c>
      <c r="AG4995" s="14">
        <v>0</v>
      </c>
      <c r="AH4995" s="64">
        <f t="shared" si="763"/>
        <v>903431.59</v>
      </c>
      <c r="AI4995" s="47"/>
      <c r="AJ4995" s="126" t="e">
        <v>#N/A</v>
      </c>
      <c r="AK4995" s="80">
        <f t="shared" ref="AK4995:AK5058" si="766">X4995+AA4995-AB4995</f>
        <v>0</v>
      </c>
      <c r="AM4995" s="85"/>
    </row>
    <row r="4996" spans="1:39" hidden="1" x14ac:dyDescent="0.3">
      <c r="A4996" s="89" t="s">
        <v>3394</v>
      </c>
      <c r="B4996" s="86" t="s">
        <v>35</v>
      </c>
      <c r="C4996" s="86" t="s">
        <v>187</v>
      </c>
      <c r="D4996" s="86" t="s">
        <v>188</v>
      </c>
      <c r="E4996" s="86" t="s">
        <v>190</v>
      </c>
      <c r="F4996" s="86" t="s">
        <v>190</v>
      </c>
      <c r="G4996" s="86" t="s">
        <v>190</v>
      </c>
      <c r="H4996" s="144">
        <v>229</v>
      </c>
      <c r="I4996" s="86" t="s">
        <v>3356</v>
      </c>
      <c r="J4996" s="1" t="s">
        <v>3326</v>
      </c>
      <c r="K4996" s="1" t="s">
        <v>3283</v>
      </c>
      <c r="L4996" s="1" t="s">
        <v>35</v>
      </c>
      <c r="M4996" s="86"/>
      <c r="N4996" s="86" t="s">
        <v>3283</v>
      </c>
      <c r="O4996" s="47" t="s">
        <v>45</v>
      </c>
      <c r="P4996" s="47" t="s">
        <v>46</v>
      </c>
      <c r="Q4996" s="14">
        <v>0.06</v>
      </c>
      <c r="R4996" s="143"/>
      <c r="S4996" s="47"/>
      <c r="T4996" s="6">
        <v>749008.96</v>
      </c>
      <c r="U4996" s="6">
        <v>39600</v>
      </c>
      <c r="V4996" s="6">
        <v>489739.12</v>
      </c>
      <c r="W4996" s="6">
        <f t="shared" si="760"/>
        <v>298869.83999999997</v>
      </c>
      <c r="X4996" s="6">
        <f t="shared" si="761"/>
        <v>462018.03773584904</v>
      </c>
      <c r="Y4996" s="13">
        <f t="shared" si="764"/>
        <v>0</v>
      </c>
      <c r="Z4996" s="14">
        <v>0</v>
      </c>
      <c r="AA4996" s="6">
        <v>0</v>
      </c>
      <c r="AB4996" s="4">
        <f t="shared" si="765"/>
        <v>462018.03773584904</v>
      </c>
      <c r="AC4996" s="4">
        <f t="shared" si="758"/>
        <v>27721.082264150959</v>
      </c>
      <c r="AD4996" s="6">
        <f t="shared" si="762"/>
        <v>489739.12</v>
      </c>
      <c r="AE4996" s="2">
        <v>0.06</v>
      </c>
      <c r="AF4996" s="6">
        <f t="shared" si="759"/>
        <v>29384.3472</v>
      </c>
      <c r="AG4996" s="14">
        <v>0</v>
      </c>
      <c r="AH4996" s="64">
        <f t="shared" si="763"/>
        <v>489739.12</v>
      </c>
      <c r="AI4996" s="47"/>
      <c r="AJ4996" s="126" t="e">
        <v>#N/A</v>
      </c>
      <c r="AK4996" s="80">
        <f t="shared" si="766"/>
        <v>0</v>
      </c>
      <c r="AM4996" s="85"/>
    </row>
    <row r="4997" spans="1:39" hidden="1" x14ac:dyDescent="0.3">
      <c r="A4997" s="89" t="s">
        <v>3394</v>
      </c>
      <c r="B4997" s="86" t="s">
        <v>35</v>
      </c>
      <c r="C4997" s="86" t="s">
        <v>187</v>
      </c>
      <c r="D4997" s="86" t="s">
        <v>188</v>
      </c>
      <c r="E4997" s="86" t="s">
        <v>192</v>
      </c>
      <c r="F4997" s="86" t="s">
        <v>192</v>
      </c>
      <c r="G4997" s="86" t="s">
        <v>192</v>
      </c>
      <c r="H4997" s="144">
        <v>229</v>
      </c>
      <c r="I4997" s="86" t="s">
        <v>3356</v>
      </c>
      <c r="J4997" s="1" t="s">
        <v>3326</v>
      </c>
      <c r="K4997" s="1" t="s">
        <v>3283</v>
      </c>
      <c r="L4997" s="1" t="s">
        <v>35</v>
      </c>
      <c r="M4997" s="86"/>
      <c r="N4997" s="86" t="s">
        <v>3283</v>
      </c>
      <c r="O4997" s="47" t="s">
        <v>45</v>
      </c>
      <c r="P4997" s="47" t="s">
        <v>46</v>
      </c>
      <c r="Q4997" s="14">
        <v>0.06</v>
      </c>
      <c r="R4997" s="143"/>
      <c r="S4997" s="47"/>
      <c r="T4997" s="6">
        <v>30898713.669999991</v>
      </c>
      <c r="U4997" s="6">
        <v>-3180000</v>
      </c>
      <c r="V4997" s="6">
        <v>15487139.15000001</v>
      </c>
      <c r="W4997" s="6">
        <f t="shared" si="760"/>
        <v>12231574.519999981</v>
      </c>
      <c r="X4997" s="6">
        <f t="shared" si="761"/>
        <v>14610508.632075479</v>
      </c>
      <c r="Y4997" s="13">
        <f t="shared" si="764"/>
        <v>0</v>
      </c>
      <c r="Z4997" s="14">
        <v>0</v>
      </c>
      <c r="AA4997" s="6">
        <v>0</v>
      </c>
      <c r="AB4997" s="4">
        <f t="shared" si="765"/>
        <v>14610508.632075479</v>
      </c>
      <c r="AC4997" s="4">
        <f t="shared" si="758"/>
        <v>876630.51792453043</v>
      </c>
      <c r="AD4997" s="6">
        <f t="shared" si="762"/>
        <v>15487139.15000001</v>
      </c>
      <c r="AE4997" s="2">
        <v>0.06</v>
      </c>
      <c r="AF4997" s="6">
        <f t="shared" si="759"/>
        <v>929228.34900000051</v>
      </c>
      <c r="AG4997" s="14">
        <v>0</v>
      </c>
      <c r="AH4997" s="64">
        <f t="shared" si="763"/>
        <v>15487139.15000001</v>
      </c>
      <c r="AI4997" s="47"/>
      <c r="AJ4997" s="126" t="e">
        <v>#N/A</v>
      </c>
      <c r="AK4997" s="80">
        <f t="shared" si="766"/>
        <v>0</v>
      </c>
      <c r="AM4997" s="85"/>
    </row>
    <row r="4998" spans="1:39" hidden="1" x14ac:dyDescent="0.3">
      <c r="A4998" s="89" t="s">
        <v>3394</v>
      </c>
      <c r="B4998" s="86" t="s">
        <v>35</v>
      </c>
      <c r="C4998" s="86" t="s">
        <v>187</v>
      </c>
      <c r="D4998" s="86" t="s">
        <v>188</v>
      </c>
      <c r="E4998" s="86" t="s">
        <v>193</v>
      </c>
      <c r="F4998" s="86" t="s">
        <v>193</v>
      </c>
      <c r="G4998" s="86" t="s">
        <v>193</v>
      </c>
      <c r="H4998" s="144">
        <v>229</v>
      </c>
      <c r="I4998" s="86" t="s">
        <v>3356</v>
      </c>
      <c r="J4998" s="1" t="s">
        <v>3326</v>
      </c>
      <c r="K4998" s="1" t="s">
        <v>3283</v>
      </c>
      <c r="L4998" s="1" t="s">
        <v>35</v>
      </c>
      <c r="M4998" s="86"/>
      <c r="N4998" s="86" t="s">
        <v>3283</v>
      </c>
      <c r="O4998" s="47" t="s">
        <v>45</v>
      </c>
      <c r="P4998" s="47" t="s">
        <v>46</v>
      </c>
      <c r="Q4998" s="14">
        <v>0.04</v>
      </c>
      <c r="R4998" s="143"/>
      <c r="S4998" s="47"/>
      <c r="T4998" s="6">
        <v>552769.43000000005</v>
      </c>
      <c r="U4998" s="6">
        <v>3848000</v>
      </c>
      <c r="V4998" s="6">
        <v>3457192.6099999994</v>
      </c>
      <c r="W4998" s="6">
        <f t="shared" si="760"/>
        <v>943576.8200000003</v>
      </c>
      <c r="X4998" s="6">
        <f t="shared" si="761"/>
        <v>3324223.6634615376</v>
      </c>
      <c r="Y4998" s="13">
        <f t="shared" si="764"/>
        <v>0</v>
      </c>
      <c r="Z4998" s="14">
        <v>0</v>
      </c>
      <c r="AA4998" s="6">
        <v>0</v>
      </c>
      <c r="AB4998" s="4">
        <f t="shared" si="765"/>
        <v>3324223.6634615376</v>
      </c>
      <c r="AC4998" s="4">
        <f t="shared" si="758"/>
        <v>132968.94653846184</v>
      </c>
      <c r="AD4998" s="6">
        <f t="shared" si="762"/>
        <v>3457192.6099999994</v>
      </c>
      <c r="AE4998" s="2">
        <v>0.06</v>
      </c>
      <c r="AF4998" s="6">
        <f t="shared" si="759"/>
        <v>207431.55659999995</v>
      </c>
      <c r="AG4998" s="14">
        <v>0</v>
      </c>
      <c r="AH4998" s="64">
        <f t="shared" si="763"/>
        <v>3457192.6099999994</v>
      </c>
      <c r="AI4998" s="47"/>
      <c r="AJ4998" s="126" t="e">
        <v>#N/A</v>
      </c>
      <c r="AK4998" s="80">
        <f t="shared" si="766"/>
        <v>0</v>
      </c>
      <c r="AM4998" s="85"/>
    </row>
    <row r="4999" spans="1:39" hidden="1" x14ac:dyDescent="0.3">
      <c r="A4999" s="89" t="s">
        <v>3397</v>
      </c>
      <c r="B4999" s="86" t="s">
        <v>35</v>
      </c>
      <c r="C4999" s="86" t="s">
        <v>187</v>
      </c>
      <c r="D4999" s="86" t="s">
        <v>188</v>
      </c>
      <c r="E4999" s="86" t="s">
        <v>3617</v>
      </c>
      <c r="F4999" s="86" t="s">
        <v>3617</v>
      </c>
      <c r="G4999" s="86" t="s">
        <v>3617</v>
      </c>
      <c r="H4999" s="143">
        <v>229</v>
      </c>
      <c r="I4999" s="86" t="s">
        <v>3356</v>
      </c>
      <c r="J4999" s="1" t="s">
        <v>3326</v>
      </c>
      <c r="K4999" s="1" t="s">
        <v>3712</v>
      </c>
      <c r="L4999" s="1" t="s">
        <v>35</v>
      </c>
      <c r="M4999" s="86"/>
      <c r="N4999" s="86" t="s">
        <v>3712</v>
      </c>
      <c r="O4999" s="47" t="s">
        <v>45</v>
      </c>
      <c r="P4999" s="47" t="s">
        <v>41</v>
      </c>
      <c r="Q4999" s="14">
        <v>0</v>
      </c>
      <c r="R4999" s="143"/>
      <c r="S4999" s="47"/>
      <c r="T4999" s="6">
        <v>0</v>
      </c>
      <c r="U4999" s="6">
        <v>0</v>
      </c>
      <c r="V4999" s="6">
        <v>0</v>
      </c>
      <c r="W4999" s="6">
        <f t="shared" si="760"/>
        <v>0</v>
      </c>
      <c r="X4999" s="6">
        <f t="shared" si="761"/>
        <v>0</v>
      </c>
      <c r="Y4999" s="13">
        <f t="shared" si="764"/>
        <v>0</v>
      </c>
      <c r="Z4999" s="14">
        <v>0</v>
      </c>
      <c r="AA4999" s="6">
        <v>0</v>
      </c>
      <c r="AB4999" s="4">
        <f t="shared" si="765"/>
        <v>0</v>
      </c>
      <c r="AC4999" s="4">
        <f t="shared" si="758"/>
        <v>0</v>
      </c>
      <c r="AD4999" s="6">
        <f t="shared" si="762"/>
        <v>0</v>
      </c>
      <c r="AE4999" s="2">
        <v>0.06</v>
      </c>
      <c r="AF4999" s="6">
        <f t="shared" si="759"/>
        <v>0</v>
      </c>
      <c r="AG4999" s="14">
        <v>0</v>
      </c>
      <c r="AH4999" s="64">
        <f t="shared" si="763"/>
        <v>0</v>
      </c>
      <c r="AI4999" s="47"/>
      <c r="AJ4999" s="126" t="e">
        <v>#N/A</v>
      </c>
      <c r="AK4999" s="80">
        <f t="shared" si="766"/>
        <v>0</v>
      </c>
      <c r="AM4999" s="85"/>
    </row>
    <row r="5000" spans="1:39" hidden="1" x14ac:dyDescent="0.3">
      <c r="A5000" s="89" t="s">
        <v>3394</v>
      </c>
      <c r="B5000" s="86" t="s">
        <v>35</v>
      </c>
      <c r="C5000" s="86" t="s">
        <v>187</v>
      </c>
      <c r="D5000" s="86" t="s">
        <v>188</v>
      </c>
      <c r="E5000" s="86" t="s">
        <v>195</v>
      </c>
      <c r="F5000" s="86" t="s">
        <v>195</v>
      </c>
      <c r="G5000" s="86" t="s">
        <v>195</v>
      </c>
      <c r="H5000" s="144">
        <v>229</v>
      </c>
      <c r="I5000" s="86" t="s">
        <v>3356</v>
      </c>
      <c r="J5000" s="1" t="s">
        <v>3326</v>
      </c>
      <c r="K5000" s="1" t="s">
        <v>3283</v>
      </c>
      <c r="L5000" s="1" t="s">
        <v>35</v>
      </c>
      <c r="M5000" s="86"/>
      <c r="N5000" s="86" t="s">
        <v>3283</v>
      </c>
      <c r="O5000" s="47" t="s">
        <v>45</v>
      </c>
      <c r="P5000" s="47" t="s">
        <v>46</v>
      </c>
      <c r="Q5000" s="14">
        <v>0.03</v>
      </c>
      <c r="R5000" s="143"/>
      <c r="S5000" s="47"/>
      <c r="T5000" s="6">
        <v>683970.89000000525</v>
      </c>
      <c r="U5000" s="6">
        <v>607764.5</v>
      </c>
      <c r="V5000" s="6">
        <v>1291691.5199999996</v>
      </c>
      <c r="W5000" s="6">
        <f t="shared" si="760"/>
        <v>43.870000005699694</v>
      </c>
      <c r="X5000" s="6">
        <f t="shared" si="761"/>
        <v>1254069.4368932035</v>
      </c>
      <c r="Y5000" s="13">
        <f t="shared" si="764"/>
        <v>0</v>
      </c>
      <c r="Z5000" s="14">
        <v>0</v>
      </c>
      <c r="AA5000" s="6">
        <v>0</v>
      </c>
      <c r="AB5000" s="4">
        <f t="shared" si="765"/>
        <v>1254069.4368932035</v>
      </c>
      <c r="AC5000" s="4">
        <f t="shared" si="758"/>
        <v>37622.083106796024</v>
      </c>
      <c r="AD5000" s="6">
        <f t="shared" si="762"/>
        <v>1291691.5199999996</v>
      </c>
      <c r="AE5000" s="2">
        <v>0.06</v>
      </c>
      <c r="AF5000" s="6">
        <f t="shared" si="759"/>
        <v>77501.491199999975</v>
      </c>
      <c r="AG5000" s="14">
        <v>0</v>
      </c>
      <c r="AH5000" s="64">
        <f t="shared" si="763"/>
        <v>1291691.5199999996</v>
      </c>
      <c r="AI5000" s="47"/>
      <c r="AJ5000" s="126" t="e">
        <v>#N/A</v>
      </c>
      <c r="AK5000" s="80">
        <f t="shared" si="766"/>
        <v>0</v>
      </c>
      <c r="AM5000" s="85"/>
    </row>
    <row r="5001" spans="1:39" hidden="1" x14ac:dyDescent="0.3">
      <c r="A5001" s="89" t="s">
        <v>3395</v>
      </c>
      <c r="B5001" s="86" t="s">
        <v>35</v>
      </c>
      <c r="C5001" s="86" t="s">
        <v>187</v>
      </c>
      <c r="D5001" s="86" t="s">
        <v>188</v>
      </c>
      <c r="E5001" s="86" t="s">
        <v>196</v>
      </c>
      <c r="F5001" s="86" t="s">
        <v>196</v>
      </c>
      <c r="G5001" s="86" t="s">
        <v>196</v>
      </c>
      <c r="H5001" s="143">
        <v>229</v>
      </c>
      <c r="I5001" s="86" t="s">
        <v>3356</v>
      </c>
      <c r="J5001" s="1" t="s">
        <v>3326</v>
      </c>
      <c r="K5001" s="1" t="s">
        <v>3712</v>
      </c>
      <c r="L5001" s="1" t="s">
        <v>35</v>
      </c>
      <c r="M5001" s="86"/>
      <c r="N5001" s="86" t="s">
        <v>3712</v>
      </c>
      <c r="O5001" s="47" t="s">
        <v>45</v>
      </c>
      <c r="P5001" s="47" t="s">
        <v>46</v>
      </c>
      <c r="Q5001" s="14">
        <v>0.05</v>
      </c>
      <c r="R5001" s="143"/>
      <c r="S5001" s="47"/>
      <c r="T5001" s="6">
        <v>97275.820000000065</v>
      </c>
      <c r="U5001" s="6">
        <v>-96781.61</v>
      </c>
      <c r="V5001" s="6">
        <v>0</v>
      </c>
      <c r="W5001" s="6">
        <v>0</v>
      </c>
      <c r="X5001" s="6">
        <f t="shared" si="761"/>
        <v>0</v>
      </c>
      <c r="Y5001" s="13">
        <f t="shared" si="764"/>
        <v>0</v>
      </c>
      <c r="Z5001" s="14">
        <v>0</v>
      </c>
      <c r="AA5001" s="6">
        <v>0</v>
      </c>
      <c r="AB5001" s="4">
        <f t="shared" si="765"/>
        <v>0</v>
      </c>
      <c r="AC5001" s="4">
        <f t="shared" si="758"/>
        <v>0</v>
      </c>
      <c r="AD5001" s="6">
        <f t="shared" si="762"/>
        <v>0</v>
      </c>
      <c r="AE5001" s="2">
        <v>0.06</v>
      </c>
      <c r="AF5001" s="6">
        <f t="shared" si="759"/>
        <v>0</v>
      </c>
      <c r="AG5001" s="14">
        <v>0</v>
      </c>
      <c r="AH5001" s="64">
        <f t="shared" si="763"/>
        <v>0</v>
      </c>
      <c r="AI5001" s="47"/>
      <c r="AJ5001" s="126" t="e">
        <v>#N/A</v>
      </c>
      <c r="AK5001" s="80">
        <f t="shared" si="766"/>
        <v>0</v>
      </c>
      <c r="AM5001" s="85"/>
    </row>
    <row r="5002" spans="1:39" hidden="1" x14ac:dyDescent="0.3">
      <c r="A5002" s="89" t="s">
        <v>3395</v>
      </c>
      <c r="B5002" s="86" t="s">
        <v>35</v>
      </c>
      <c r="C5002" s="86" t="s">
        <v>187</v>
      </c>
      <c r="D5002" s="86" t="s">
        <v>188</v>
      </c>
      <c r="E5002" s="86" t="s">
        <v>196</v>
      </c>
      <c r="F5002" s="86" t="s">
        <v>196</v>
      </c>
      <c r="G5002" s="86" t="s">
        <v>196</v>
      </c>
      <c r="H5002" s="143">
        <v>229</v>
      </c>
      <c r="I5002" s="86" t="s">
        <v>3356</v>
      </c>
      <c r="J5002" s="1" t="s">
        <v>3326</v>
      </c>
      <c r="K5002" s="1" t="s">
        <v>3712</v>
      </c>
      <c r="L5002" s="1" t="s">
        <v>35</v>
      </c>
      <c r="M5002" s="86"/>
      <c r="N5002" s="86" t="s">
        <v>3712</v>
      </c>
      <c r="O5002" s="47" t="s">
        <v>45</v>
      </c>
      <c r="P5002" s="47" t="s">
        <v>41</v>
      </c>
      <c r="Q5002" s="14">
        <v>0</v>
      </c>
      <c r="R5002" s="143"/>
      <c r="S5002" s="47"/>
      <c r="T5002" s="6">
        <v>200000</v>
      </c>
      <c r="U5002" s="6">
        <v>-200000</v>
      </c>
      <c r="V5002" s="6">
        <v>0</v>
      </c>
      <c r="W5002" s="6">
        <f t="shared" si="760"/>
        <v>0</v>
      </c>
      <c r="X5002" s="6">
        <f t="shared" si="761"/>
        <v>0</v>
      </c>
      <c r="Y5002" s="13">
        <f t="shared" si="764"/>
        <v>0</v>
      </c>
      <c r="Z5002" s="14">
        <v>0</v>
      </c>
      <c r="AA5002" s="6">
        <v>0</v>
      </c>
      <c r="AB5002" s="4">
        <f t="shared" si="765"/>
        <v>0</v>
      </c>
      <c r="AC5002" s="4">
        <f t="shared" si="758"/>
        <v>0</v>
      </c>
      <c r="AD5002" s="6">
        <f t="shared" si="762"/>
        <v>0</v>
      </c>
      <c r="AE5002" s="2">
        <v>0.06</v>
      </c>
      <c r="AF5002" s="6">
        <f t="shared" si="759"/>
        <v>0</v>
      </c>
      <c r="AG5002" s="14">
        <v>0</v>
      </c>
      <c r="AH5002" s="64">
        <f t="shared" si="763"/>
        <v>0</v>
      </c>
      <c r="AI5002" s="47"/>
      <c r="AJ5002" s="126" t="e">
        <v>#N/A</v>
      </c>
      <c r="AK5002" s="80">
        <f t="shared" si="766"/>
        <v>0</v>
      </c>
      <c r="AM5002" s="85"/>
    </row>
    <row r="5003" spans="1:39" hidden="1" x14ac:dyDescent="0.3">
      <c r="A5003" s="89" t="s">
        <v>3394</v>
      </c>
      <c r="B5003" s="86" t="s">
        <v>35</v>
      </c>
      <c r="C5003" s="86" t="s">
        <v>187</v>
      </c>
      <c r="D5003" s="86" t="s">
        <v>188</v>
      </c>
      <c r="E5003" s="86" t="s">
        <v>198</v>
      </c>
      <c r="F5003" s="86" t="s">
        <v>198</v>
      </c>
      <c r="G5003" s="86" t="s">
        <v>198</v>
      </c>
      <c r="H5003" s="144">
        <v>229</v>
      </c>
      <c r="I5003" s="86" t="s">
        <v>3356</v>
      </c>
      <c r="J5003" s="1" t="s">
        <v>3326</v>
      </c>
      <c r="K5003" s="1" t="s">
        <v>3283</v>
      </c>
      <c r="L5003" s="1" t="s">
        <v>35</v>
      </c>
      <c r="M5003" s="86"/>
      <c r="N5003" s="86" t="s">
        <v>3283</v>
      </c>
      <c r="O5003" s="47" t="s">
        <v>45</v>
      </c>
      <c r="P5003" s="47" t="s">
        <v>41</v>
      </c>
      <c r="Q5003" s="14">
        <v>0</v>
      </c>
      <c r="R5003" s="143"/>
      <c r="S5003" s="47"/>
      <c r="T5003" s="6">
        <v>42618.589999999618</v>
      </c>
      <c r="U5003" s="6">
        <v>480000</v>
      </c>
      <c r="V5003" s="6">
        <v>437019.75</v>
      </c>
      <c r="W5003" s="6">
        <f t="shared" si="760"/>
        <v>85598.839999999618</v>
      </c>
      <c r="X5003" s="6">
        <f t="shared" si="761"/>
        <v>437019.75</v>
      </c>
      <c r="Y5003" s="13">
        <f t="shared" si="764"/>
        <v>0</v>
      </c>
      <c r="Z5003" s="14">
        <v>0</v>
      </c>
      <c r="AA5003" s="6">
        <v>0</v>
      </c>
      <c r="AB5003" s="4">
        <f t="shared" si="765"/>
        <v>437019.75</v>
      </c>
      <c r="AC5003" s="4">
        <f t="shared" si="758"/>
        <v>0</v>
      </c>
      <c r="AD5003" s="6">
        <f t="shared" si="762"/>
        <v>437019.75</v>
      </c>
      <c r="AE5003" s="2">
        <v>0.06</v>
      </c>
      <c r="AF5003" s="6">
        <f t="shared" si="759"/>
        <v>26221.184999999998</v>
      </c>
      <c r="AG5003" s="14">
        <v>0</v>
      </c>
      <c r="AH5003" s="64">
        <f t="shared" si="763"/>
        <v>437019.75</v>
      </c>
      <c r="AI5003" s="47"/>
      <c r="AJ5003" s="126" t="e">
        <v>#N/A</v>
      </c>
      <c r="AK5003" s="80">
        <f t="shared" si="766"/>
        <v>0</v>
      </c>
      <c r="AM5003" s="85"/>
    </row>
    <row r="5004" spans="1:39" hidden="1" x14ac:dyDescent="0.3">
      <c r="A5004" s="89" t="s">
        <v>3394</v>
      </c>
      <c r="B5004" s="86" t="s">
        <v>35</v>
      </c>
      <c r="C5004" s="86" t="s">
        <v>187</v>
      </c>
      <c r="D5004" s="86" t="s">
        <v>188</v>
      </c>
      <c r="E5004" s="86" t="s">
        <v>199</v>
      </c>
      <c r="F5004" s="86" t="s">
        <v>199</v>
      </c>
      <c r="G5004" s="86" t="s">
        <v>199</v>
      </c>
      <c r="H5004" s="144">
        <v>229</v>
      </c>
      <c r="I5004" s="86" t="s">
        <v>3356</v>
      </c>
      <c r="J5004" s="1" t="s">
        <v>3326</v>
      </c>
      <c r="K5004" s="1" t="s">
        <v>3283</v>
      </c>
      <c r="L5004" s="1" t="s">
        <v>35</v>
      </c>
      <c r="M5004" s="86"/>
      <c r="N5004" s="86" t="s">
        <v>3283</v>
      </c>
      <c r="O5004" s="47" t="s">
        <v>45</v>
      </c>
      <c r="P5004" s="47" t="s">
        <v>46</v>
      </c>
      <c r="Q5004" s="14">
        <v>0.02</v>
      </c>
      <c r="R5004" s="143"/>
      <c r="S5004" s="47"/>
      <c r="T5004" s="6">
        <v>0</v>
      </c>
      <c r="U5004" s="6">
        <v>2508385.31</v>
      </c>
      <c r="V5004" s="6">
        <v>1573131.9800000093</v>
      </c>
      <c r="W5004" s="6">
        <f t="shared" si="760"/>
        <v>935253.32999999076</v>
      </c>
      <c r="X5004" s="6">
        <f>(V5004-22000)/(1+Q5004)</f>
        <v>1520717.6274509896</v>
      </c>
      <c r="Y5004" s="13">
        <f t="shared" si="764"/>
        <v>0</v>
      </c>
      <c r="Z5004" s="14">
        <v>0</v>
      </c>
      <c r="AA5004" s="6">
        <v>0</v>
      </c>
      <c r="AB5004" s="4">
        <f t="shared" si="765"/>
        <v>1520717.6274509896</v>
      </c>
      <c r="AC5004" s="4">
        <f t="shared" ref="AC5004:AC5067" si="767">IF(P5004="返现",X5004*Q5004,V5004-X5004)</f>
        <v>52414.352549019735</v>
      </c>
      <c r="AD5004" s="6">
        <f t="shared" si="762"/>
        <v>1573131.9800000093</v>
      </c>
      <c r="AE5004" s="2">
        <v>0.06</v>
      </c>
      <c r="AF5004" s="6">
        <f t="shared" ref="AF5004:AF5067" si="768">AD5004*AE5004</f>
        <v>94387.918800000552</v>
      </c>
      <c r="AG5004" s="14">
        <v>0</v>
      </c>
      <c r="AH5004" s="64">
        <f t="shared" si="763"/>
        <v>1573131.9800000093</v>
      </c>
      <c r="AI5004" s="47"/>
      <c r="AJ5004" s="126" t="e">
        <v>#N/A</v>
      </c>
      <c r="AK5004" s="80">
        <f t="shared" si="766"/>
        <v>0</v>
      </c>
      <c r="AM5004" s="85"/>
    </row>
    <row r="5005" spans="1:39" hidden="1" x14ac:dyDescent="0.3">
      <c r="A5005" s="89" t="s">
        <v>3394</v>
      </c>
      <c r="B5005" s="86" t="s">
        <v>35</v>
      </c>
      <c r="C5005" s="86" t="s">
        <v>187</v>
      </c>
      <c r="D5005" s="86" t="s">
        <v>188</v>
      </c>
      <c r="E5005" s="86" t="s">
        <v>267</v>
      </c>
      <c r="F5005" s="86" t="s">
        <v>267</v>
      </c>
      <c r="G5005" s="86" t="s">
        <v>267</v>
      </c>
      <c r="H5005" s="144">
        <v>229</v>
      </c>
      <c r="I5005" s="86" t="s">
        <v>3356</v>
      </c>
      <c r="J5005" s="1" t="s">
        <v>3326</v>
      </c>
      <c r="K5005" s="1" t="s">
        <v>3283</v>
      </c>
      <c r="L5005" s="1" t="s">
        <v>35</v>
      </c>
      <c r="M5005" s="86"/>
      <c r="N5005" s="86" t="s">
        <v>3283</v>
      </c>
      <c r="O5005" s="47" t="s">
        <v>45</v>
      </c>
      <c r="P5005" s="47" t="s">
        <v>46</v>
      </c>
      <c r="Q5005" s="14">
        <v>0.04</v>
      </c>
      <c r="R5005" s="143"/>
      <c r="S5005" s="47"/>
      <c r="T5005" s="6">
        <v>70859.939999999333</v>
      </c>
      <c r="U5005" s="6">
        <v>1040000</v>
      </c>
      <c r="V5005" s="6">
        <v>360307.6</v>
      </c>
      <c r="W5005" s="6">
        <f t="shared" si="760"/>
        <v>750552.33999999927</v>
      </c>
      <c r="X5005" s="6">
        <f t="shared" si="761"/>
        <v>346449.61538461538</v>
      </c>
      <c r="Y5005" s="13">
        <f t="shared" si="764"/>
        <v>0</v>
      </c>
      <c r="Z5005" s="14">
        <v>0</v>
      </c>
      <c r="AA5005" s="6">
        <v>0</v>
      </c>
      <c r="AB5005" s="4">
        <f t="shared" si="765"/>
        <v>346449.61538461538</v>
      </c>
      <c r="AC5005" s="4">
        <f t="shared" si="767"/>
        <v>13857.984615384601</v>
      </c>
      <c r="AD5005" s="6">
        <f t="shared" si="762"/>
        <v>360307.6</v>
      </c>
      <c r="AE5005" s="2">
        <v>0.06</v>
      </c>
      <c r="AF5005" s="6">
        <f t="shared" si="768"/>
        <v>21618.455999999998</v>
      </c>
      <c r="AG5005" s="14">
        <v>0</v>
      </c>
      <c r="AH5005" s="64">
        <f t="shared" si="763"/>
        <v>360307.6</v>
      </c>
      <c r="AI5005" s="47"/>
      <c r="AJ5005" s="126" t="e">
        <v>#N/A</v>
      </c>
      <c r="AK5005" s="80">
        <f t="shared" si="766"/>
        <v>0</v>
      </c>
      <c r="AM5005" s="85"/>
    </row>
    <row r="5006" spans="1:39" hidden="1" x14ac:dyDescent="0.3">
      <c r="A5006" s="89" t="s">
        <v>3395</v>
      </c>
      <c r="B5006" s="86" t="s">
        <v>35</v>
      </c>
      <c r="C5006" s="86" t="s">
        <v>187</v>
      </c>
      <c r="D5006" s="86" t="s">
        <v>188</v>
      </c>
      <c r="E5006" s="86" t="s">
        <v>202</v>
      </c>
      <c r="F5006" s="86" t="s">
        <v>202</v>
      </c>
      <c r="G5006" s="86" t="s">
        <v>202</v>
      </c>
      <c r="H5006" s="143">
        <v>229</v>
      </c>
      <c r="I5006" s="86" t="s">
        <v>3356</v>
      </c>
      <c r="J5006" s="1" t="s">
        <v>3326</v>
      </c>
      <c r="K5006" s="1" t="s">
        <v>3283</v>
      </c>
      <c r="L5006" s="1" t="s">
        <v>35</v>
      </c>
      <c r="M5006" s="86"/>
      <c r="N5006" s="86" t="s">
        <v>3283</v>
      </c>
      <c r="O5006" s="47" t="s">
        <v>45</v>
      </c>
      <c r="P5006" s="47" t="s">
        <v>46</v>
      </c>
      <c r="Q5006" s="14">
        <v>0.04</v>
      </c>
      <c r="R5006" s="143"/>
      <c r="S5006" s="47"/>
      <c r="T5006" s="6">
        <v>2476822.5500000119</v>
      </c>
      <c r="U5006" s="6">
        <v>-929704.15000000037</v>
      </c>
      <c r="V5006" s="6">
        <v>0</v>
      </c>
      <c r="W5006" s="6">
        <f t="shared" si="760"/>
        <v>1547118.4000000115</v>
      </c>
      <c r="X5006" s="6">
        <f t="shared" si="761"/>
        <v>0</v>
      </c>
      <c r="Y5006" s="13">
        <f t="shared" si="764"/>
        <v>0</v>
      </c>
      <c r="Z5006" s="14">
        <v>0</v>
      </c>
      <c r="AA5006" s="6">
        <v>0</v>
      </c>
      <c r="AB5006" s="4">
        <f t="shared" si="765"/>
        <v>0</v>
      </c>
      <c r="AC5006" s="4">
        <f t="shared" si="767"/>
        <v>0</v>
      </c>
      <c r="AD5006" s="6">
        <f t="shared" si="762"/>
        <v>0</v>
      </c>
      <c r="AE5006" s="2">
        <v>0.06</v>
      </c>
      <c r="AF5006" s="6">
        <f t="shared" si="768"/>
        <v>0</v>
      </c>
      <c r="AG5006" s="14">
        <v>0</v>
      </c>
      <c r="AH5006" s="64">
        <f t="shared" si="763"/>
        <v>0</v>
      </c>
      <c r="AI5006" s="47"/>
      <c r="AJ5006" s="126" t="e">
        <v>#N/A</v>
      </c>
      <c r="AK5006" s="80">
        <f t="shared" si="766"/>
        <v>0</v>
      </c>
      <c r="AM5006" s="85"/>
    </row>
    <row r="5007" spans="1:39" hidden="1" x14ac:dyDescent="0.3">
      <c r="A5007" s="89" t="s">
        <v>3394</v>
      </c>
      <c r="B5007" s="86" t="s">
        <v>35</v>
      </c>
      <c r="C5007" s="86" t="s">
        <v>187</v>
      </c>
      <c r="D5007" s="86" t="s">
        <v>188</v>
      </c>
      <c r="E5007" s="86" t="s">
        <v>202</v>
      </c>
      <c r="F5007" s="86" t="s">
        <v>202</v>
      </c>
      <c r="G5007" s="86" t="s">
        <v>202</v>
      </c>
      <c r="H5007" s="144">
        <v>229</v>
      </c>
      <c r="I5007" s="86" t="s">
        <v>3356</v>
      </c>
      <c r="J5007" s="1" t="s">
        <v>3326</v>
      </c>
      <c r="K5007" s="1" t="s">
        <v>3283</v>
      </c>
      <c r="L5007" s="1" t="s">
        <v>35</v>
      </c>
      <c r="M5007" s="86"/>
      <c r="N5007" s="86" t="s">
        <v>3283</v>
      </c>
      <c r="O5007" s="47" t="s">
        <v>45</v>
      </c>
      <c r="P5007" s="47" t="s">
        <v>41</v>
      </c>
      <c r="Q5007" s="14">
        <v>0</v>
      </c>
      <c r="R5007" s="143"/>
      <c r="S5007" s="47"/>
      <c r="T5007" s="6">
        <v>-675783.96999999974</v>
      </c>
      <c r="U5007" s="6">
        <v>3558097.22</v>
      </c>
      <c r="V5007" s="6">
        <v>1870627.8099999998</v>
      </c>
      <c r="W5007" s="6">
        <f t="shared" si="760"/>
        <v>1011685.4400000006</v>
      </c>
      <c r="X5007" s="6">
        <f t="shared" si="761"/>
        <v>1870627.8099999998</v>
      </c>
      <c r="Y5007" s="13">
        <f t="shared" si="764"/>
        <v>0</v>
      </c>
      <c r="Z5007" s="14">
        <v>0</v>
      </c>
      <c r="AA5007" s="6">
        <v>0</v>
      </c>
      <c r="AB5007" s="4">
        <f t="shared" si="765"/>
        <v>1870627.8099999998</v>
      </c>
      <c r="AC5007" s="4">
        <f t="shared" si="767"/>
        <v>0</v>
      </c>
      <c r="AD5007" s="6">
        <f t="shared" si="762"/>
        <v>1870627.8099999998</v>
      </c>
      <c r="AE5007" s="2">
        <v>0.06</v>
      </c>
      <c r="AF5007" s="6">
        <f t="shared" si="768"/>
        <v>112237.66859999999</v>
      </c>
      <c r="AG5007" s="14">
        <v>0</v>
      </c>
      <c r="AH5007" s="64">
        <f t="shared" si="763"/>
        <v>1870627.8099999998</v>
      </c>
      <c r="AI5007" s="47"/>
      <c r="AJ5007" s="126" t="e">
        <v>#N/A</v>
      </c>
      <c r="AK5007" s="80">
        <f t="shared" si="766"/>
        <v>0</v>
      </c>
      <c r="AM5007" s="85"/>
    </row>
    <row r="5008" spans="1:39" hidden="1" x14ac:dyDescent="0.3">
      <c r="A5008" s="89" t="s">
        <v>3394</v>
      </c>
      <c r="B5008" s="86" t="s">
        <v>35</v>
      </c>
      <c r="C5008" s="86" t="s">
        <v>187</v>
      </c>
      <c r="D5008" s="86" t="s">
        <v>188</v>
      </c>
      <c r="E5008" s="86" t="s">
        <v>248</v>
      </c>
      <c r="F5008" s="86" t="s">
        <v>248</v>
      </c>
      <c r="G5008" s="86" t="s">
        <v>248</v>
      </c>
      <c r="H5008" s="144">
        <v>229</v>
      </c>
      <c r="I5008" s="86" t="s">
        <v>3356</v>
      </c>
      <c r="J5008" s="1" t="s">
        <v>3326</v>
      </c>
      <c r="K5008" s="1" t="s">
        <v>3283</v>
      </c>
      <c r="L5008" s="1" t="s">
        <v>35</v>
      </c>
      <c r="M5008" s="86"/>
      <c r="N5008" s="86" t="s">
        <v>3283</v>
      </c>
      <c r="O5008" s="47" t="s">
        <v>45</v>
      </c>
      <c r="P5008" s="47" t="s">
        <v>41</v>
      </c>
      <c r="Q5008" s="14">
        <v>0</v>
      </c>
      <c r="R5008" s="143"/>
      <c r="S5008" s="47"/>
      <c r="T5008" s="6">
        <v>0</v>
      </c>
      <c r="U5008" s="6">
        <v>51000</v>
      </c>
      <c r="V5008" s="6">
        <v>66278.339999999982</v>
      </c>
      <c r="W5008" s="6">
        <f t="shared" si="760"/>
        <v>-15278.339999999982</v>
      </c>
      <c r="X5008" s="6">
        <f t="shared" si="761"/>
        <v>66278.339999999982</v>
      </c>
      <c r="Y5008" s="13">
        <f t="shared" si="764"/>
        <v>0</v>
      </c>
      <c r="Z5008" s="14">
        <v>0</v>
      </c>
      <c r="AA5008" s="6">
        <v>0</v>
      </c>
      <c r="AB5008" s="4">
        <f t="shared" si="765"/>
        <v>66278.339999999982</v>
      </c>
      <c r="AC5008" s="4">
        <f t="shared" si="767"/>
        <v>0</v>
      </c>
      <c r="AD5008" s="6">
        <f t="shared" si="762"/>
        <v>66278.339999999982</v>
      </c>
      <c r="AE5008" s="2">
        <v>0.06</v>
      </c>
      <c r="AF5008" s="6">
        <f t="shared" si="768"/>
        <v>3976.7003999999988</v>
      </c>
      <c r="AG5008" s="14">
        <v>0</v>
      </c>
      <c r="AH5008" s="64">
        <f t="shared" si="763"/>
        <v>66278.339999999982</v>
      </c>
      <c r="AI5008" s="47"/>
      <c r="AJ5008" s="126" t="e">
        <v>#N/A</v>
      </c>
      <c r="AK5008" s="80">
        <f t="shared" si="766"/>
        <v>0</v>
      </c>
      <c r="AM5008" s="85"/>
    </row>
    <row r="5009" spans="1:39" hidden="1" x14ac:dyDescent="0.3">
      <c r="A5009" s="89" t="s">
        <v>3394</v>
      </c>
      <c r="B5009" s="86" t="s">
        <v>35</v>
      </c>
      <c r="C5009" s="86" t="s">
        <v>187</v>
      </c>
      <c r="D5009" s="86" t="s">
        <v>188</v>
      </c>
      <c r="E5009" s="86" t="s">
        <v>204</v>
      </c>
      <c r="F5009" s="86" t="s">
        <v>3618</v>
      </c>
      <c r="G5009" s="86" t="s">
        <v>204</v>
      </c>
      <c r="H5009" s="144">
        <v>229</v>
      </c>
      <c r="I5009" s="86" t="s">
        <v>3356</v>
      </c>
      <c r="J5009" s="1" t="s">
        <v>3326</v>
      </c>
      <c r="K5009" s="1" t="s">
        <v>3283</v>
      </c>
      <c r="L5009" s="1" t="s">
        <v>35</v>
      </c>
      <c r="M5009" s="86"/>
      <c r="N5009" s="86" t="s">
        <v>3283</v>
      </c>
      <c r="O5009" s="47" t="s">
        <v>45</v>
      </c>
      <c r="P5009" s="47" t="s">
        <v>46</v>
      </c>
      <c r="Q5009" s="14">
        <v>0.03</v>
      </c>
      <c r="R5009" s="143"/>
      <c r="S5009" s="47"/>
      <c r="T5009" s="6">
        <v>202241.82</v>
      </c>
      <c r="U5009" s="6">
        <v>-228170.83</v>
      </c>
      <c r="V5009" s="6">
        <v>-25929.00999999998</v>
      </c>
      <c r="W5009" s="6">
        <f t="shared" si="760"/>
        <v>0</v>
      </c>
      <c r="X5009" s="6">
        <f t="shared" si="761"/>
        <v>-25173.796116504833</v>
      </c>
      <c r="Y5009" s="13">
        <f t="shared" si="764"/>
        <v>755.21388349514746</v>
      </c>
      <c r="Z5009" s="14">
        <v>0</v>
      </c>
      <c r="AA5009" s="6">
        <v>0</v>
      </c>
      <c r="AB5009" s="4">
        <f t="shared" si="765"/>
        <v>-25173.796116504833</v>
      </c>
      <c r="AC5009" s="4">
        <f t="shared" si="767"/>
        <v>-755.21388349514746</v>
      </c>
      <c r="AD5009" s="6">
        <f t="shared" si="762"/>
        <v>-25929.00999999998</v>
      </c>
      <c r="AE5009" s="2">
        <v>0.06</v>
      </c>
      <c r="AF5009" s="6">
        <f t="shared" si="768"/>
        <v>-1555.7405999999987</v>
      </c>
      <c r="AG5009" s="14">
        <v>0</v>
      </c>
      <c r="AH5009" s="64">
        <f t="shared" si="763"/>
        <v>-25929.00999999998</v>
      </c>
      <c r="AI5009" s="47"/>
      <c r="AJ5009" s="126" t="e">
        <v>#N/A</v>
      </c>
      <c r="AK5009" s="80">
        <f t="shared" si="766"/>
        <v>0</v>
      </c>
      <c r="AM5009" s="85"/>
    </row>
    <row r="5010" spans="1:39" hidden="1" x14ac:dyDescent="0.3">
      <c r="A5010" s="89" t="s">
        <v>3394</v>
      </c>
      <c r="B5010" s="86" t="s">
        <v>35</v>
      </c>
      <c r="C5010" s="86" t="s">
        <v>187</v>
      </c>
      <c r="D5010" s="86" t="s">
        <v>188</v>
      </c>
      <c r="E5010" s="86" t="s">
        <v>204</v>
      </c>
      <c r="F5010" s="86" t="s">
        <v>204</v>
      </c>
      <c r="G5010" s="86" t="s">
        <v>204</v>
      </c>
      <c r="H5010" s="144">
        <v>229</v>
      </c>
      <c r="I5010" s="86" t="s">
        <v>3356</v>
      </c>
      <c r="J5010" s="1" t="s">
        <v>3326</v>
      </c>
      <c r="K5010" s="1" t="s">
        <v>3283</v>
      </c>
      <c r="L5010" s="1" t="s">
        <v>35</v>
      </c>
      <c r="M5010" s="86"/>
      <c r="N5010" s="86" t="s">
        <v>3283</v>
      </c>
      <c r="O5010" s="47" t="s">
        <v>45</v>
      </c>
      <c r="P5010" s="47" t="s">
        <v>46</v>
      </c>
      <c r="Q5010" s="14">
        <v>0.03</v>
      </c>
      <c r="R5010" s="143"/>
      <c r="S5010" s="47"/>
      <c r="T5010" s="6">
        <v>0</v>
      </c>
      <c r="U5010" s="6">
        <v>328170.82999999996</v>
      </c>
      <c r="V5010" s="6">
        <v>71369.889999999985</v>
      </c>
      <c r="W5010" s="6">
        <f t="shared" si="760"/>
        <v>256800.93999999997</v>
      </c>
      <c r="X5010" s="6">
        <f t="shared" si="761"/>
        <v>69291.155339805802</v>
      </c>
      <c r="Y5010" s="13">
        <f t="shared" si="764"/>
        <v>0</v>
      </c>
      <c r="Z5010" s="14">
        <v>0</v>
      </c>
      <c r="AA5010" s="6">
        <v>0</v>
      </c>
      <c r="AB5010" s="4">
        <f t="shared" si="765"/>
        <v>69291.155339805802</v>
      </c>
      <c r="AC5010" s="4">
        <f t="shared" si="767"/>
        <v>2078.7346601941827</v>
      </c>
      <c r="AD5010" s="6">
        <f t="shared" si="762"/>
        <v>71369.889999999985</v>
      </c>
      <c r="AE5010" s="2">
        <v>0.06</v>
      </c>
      <c r="AF5010" s="6">
        <f t="shared" si="768"/>
        <v>4282.1933999999992</v>
      </c>
      <c r="AG5010" s="14">
        <v>0</v>
      </c>
      <c r="AH5010" s="64">
        <f t="shared" si="763"/>
        <v>71369.889999999985</v>
      </c>
      <c r="AI5010" s="47"/>
      <c r="AJ5010" s="126" t="e">
        <v>#N/A</v>
      </c>
      <c r="AK5010" s="80">
        <f t="shared" si="766"/>
        <v>0</v>
      </c>
      <c r="AM5010" s="85"/>
    </row>
    <row r="5011" spans="1:39" hidden="1" x14ac:dyDescent="0.3">
      <c r="A5011" s="89" t="s">
        <v>3395</v>
      </c>
      <c r="B5011" s="86" t="s">
        <v>35</v>
      </c>
      <c r="C5011" s="86" t="s">
        <v>187</v>
      </c>
      <c r="D5011" s="86" t="s">
        <v>188</v>
      </c>
      <c r="E5011" s="86" t="s">
        <v>205</v>
      </c>
      <c r="F5011" s="86" t="s">
        <v>205</v>
      </c>
      <c r="G5011" s="86" t="s">
        <v>205</v>
      </c>
      <c r="H5011" s="144">
        <v>229</v>
      </c>
      <c r="I5011" s="86" t="s">
        <v>3356</v>
      </c>
      <c r="J5011" s="1" t="s">
        <v>3326</v>
      </c>
      <c r="K5011" s="1" t="s">
        <v>3283</v>
      </c>
      <c r="L5011" s="1" t="s">
        <v>35</v>
      </c>
      <c r="M5011" s="86"/>
      <c r="N5011" s="86" t="s">
        <v>3283</v>
      </c>
      <c r="O5011" s="47" t="s">
        <v>45</v>
      </c>
      <c r="P5011" s="47" t="s">
        <v>41</v>
      </c>
      <c r="Q5011" s="14">
        <v>0</v>
      </c>
      <c r="R5011" s="143"/>
      <c r="S5011" s="47"/>
      <c r="T5011" s="6">
        <v>6008444.9700000174</v>
      </c>
      <c r="U5011" s="6">
        <v>100000</v>
      </c>
      <c r="V5011" s="6">
        <v>4771010.1400000006</v>
      </c>
      <c r="W5011" s="6">
        <f t="shared" si="760"/>
        <v>1337434.8300000168</v>
      </c>
      <c r="X5011" s="6">
        <f t="shared" si="761"/>
        <v>4771010.1400000006</v>
      </c>
      <c r="Y5011" s="13">
        <f t="shared" si="764"/>
        <v>0</v>
      </c>
      <c r="Z5011" s="14">
        <v>0</v>
      </c>
      <c r="AA5011" s="6">
        <v>0</v>
      </c>
      <c r="AB5011" s="4">
        <f t="shared" si="765"/>
        <v>4771010.1400000006</v>
      </c>
      <c r="AC5011" s="4">
        <f t="shared" si="767"/>
        <v>0</v>
      </c>
      <c r="AD5011" s="6">
        <f t="shared" si="762"/>
        <v>4771010.1400000006</v>
      </c>
      <c r="AE5011" s="2">
        <v>0.06</v>
      </c>
      <c r="AF5011" s="6">
        <f t="shared" si="768"/>
        <v>286260.60840000003</v>
      </c>
      <c r="AG5011" s="14">
        <v>0</v>
      </c>
      <c r="AH5011" s="64">
        <f t="shared" si="763"/>
        <v>4771010.1400000006</v>
      </c>
      <c r="AI5011" s="47"/>
      <c r="AJ5011" s="126" t="e">
        <v>#N/A</v>
      </c>
      <c r="AK5011" s="80">
        <f t="shared" si="766"/>
        <v>0</v>
      </c>
      <c r="AM5011" s="85"/>
    </row>
    <row r="5012" spans="1:39" hidden="1" x14ac:dyDescent="0.3">
      <c r="A5012" s="89" t="s">
        <v>3395</v>
      </c>
      <c r="B5012" s="86" t="s">
        <v>35</v>
      </c>
      <c r="C5012" s="86" t="s">
        <v>187</v>
      </c>
      <c r="D5012" s="86" t="s">
        <v>188</v>
      </c>
      <c r="E5012" s="86" t="s">
        <v>3619</v>
      </c>
      <c r="F5012" s="86" t="s">
        <v>3619</v>
      </c>
      <c r="G5012" s="86" t="s">
        <v>3619</v>
      </c>
      <c r="H5012" s="144">
        <v>229</v>
      </c>
      <c r="I5012" s="86" t="s">
        <v>3356</v>
      </c>
      <c r="J5012" s="1" t="s">
        <v>3326</v>
      </c>
      <c r="K5012" s="1" t="s">
        <v>3283</v>
      </c>
      <c r="L5012" s="1" t="s">
        <v>35</v>
      </c>
      <c r="M5012" s="86"/>
      <c r="N5012" s="86" t="s">
        <v>3283</v>
      </c>
      <c r="O5012" s="47" t="s">
        <v>45</v>
      </c>
      <c r="P5012" s="47" t="s">
        <v>46</v>
      </c>
      <c r="Q5012" s="14">
        <v>0.06</v>
      </c>
      <c r="R5012" s="143"/>
      <c r="S5012" s="47"/>
      <c r="T5012" s="6">
        <v>0</v>
      </c>
      <c r="U5012" s="6">
        <v>742000</v>
      </c>
      <c r="V5012" s="6">
        <v>425506.91000000009</v>
      </c>
      <c r="W5012" s="6">
        <f t="shared" si="760"/>
        <v>316493.08999999991</v>
      </c>
      <c r="X5012" s="6">
        <f t="shared" si="761"/>
        <v>401421.61320754723</v>
      </c>
      <c r="Y5012" s="13">
        <f t="shared" si="764"/>
        <v>0</v>
      </c>
      <c r="Z5012" s="14">
        <v>0</v>
      </c>
      <c r="AA5012" s="6">
        <v>0</v>
      </c>
      <c r="AB5012" s="4">
        <f t="shared" si="765"/>
        <v>401421.61320754723</v>
      </c>
      <c r="AC5012" s="4">
        <f t="shared" si="767"/>
        <v>24085.296792452864</v>
      </c>
      <c r="AD5012" s="6">
        <f t="shared" si="762"/>
        <v>425506.91000000009</v>
      </c>
      <c r="AE5012" s="2">
        <v>0.06</v>
      </c>
      <c r="AF5012" s="6">
        <f t="shared" si="768"/>
        <v>25530.414600000004</v>
      </c>
      <c r="AG5012" s="14">
        <v>0</v>
      </c>
      <c r="AH5012" s="64">
        <f t="shared" si="763"/>
        <v>425506.91000000009</v>
      </c>
      <c r="AI5012" s="47"/>
      <c r="AJ5012" s="126" t="e">
        <v>#N/A</v>
      </c>
      <c r="AK5012" s="80">
        <f t="shared" si="766"/>
        <v>0</v>
      </c>
      <c r="AM5012" s="85"/>
    </row>
    <row r="5013" spans="1:39" hidden="1" x14ac:dyDescent="0.3">
      <c r="A5013" s="89" t="s">
        <v>3395</v>
      </c>
      <c r="B5013" s="86" t="s">
        <v>35</v>
      </c>
      <c r="C5013" s="86" t="s">
        <v>187</v>
      </c>
      <c r="D5013" s="86" t="s">
        <v>208</v>
      </c>
      <c r="E5013" s="86" t="s">
        <v>210</v>
      </c>
      <c r="F5013" s="86" t="s">
        <v>210</v>
      </c>
      <c r="G5013" s="86" t="s">
        <v>210</v>
      </c>
      <c r="H5013" s="144">
        <v>229</v>
      </c>
      <c r="I5013" s="86" t="s">
        <v>3356</v>
      </c>
      <c r="J5013" s="1" t="s">
        <v>3326</v>
      </c>
      <c r="K5013" s="1" t="s">
        <v>3283</v>
      </c>
      <c r="L5013" s="1" t="s">
        <v>35</v>
      </c>
      <c r="M5013" s="86"/>
      <c r="N5013" s="86" t="s">
        <v>3283</v>
      </c>
      <c r="O5013" s="47" t="s">
        <v>45</v>
      </c>
      <c r="P5013" s="47" t="s">
        <v>46</v>
      </c>
      <c r="Q5013" s="14">
        <v>0.03</v>
      </c>
      <c r="R5013" s="143"/>
      <c r="S5013" s="47"/>
      <c r="T5013" s="6">
        <v>16250.470000000103</v>
      </c>
      <c r="U5013" s="6">
        <v>826373.35</v>
      </c>
      <c r="V5013" s="6">
        <v>547991.60000000021</v>
      </c>
      <c r="W5013" s="6">
        <f t="shared" si="760"/>
        <v>294632.21999999986</v>
      </c>
      <c r="X5013" s="6">
        <f t="shared" si="761"/>
        <v>532030.67961165064</v>
      </c>
      <c r="Y5013" s="13">
        <f t="shared" si="764"/>
        <v>0</v>
      </c>
      <c r="Z5013" s="14">
        <v>0</v>
      </c>
      <c r="AA5013" s="6">
        <v>0</v>
      </c>
      <c r="AB5013" s="4">
        <f t="shared" si="765"/>
        <v>532030.67961165064</v>
      </c>
      <c r="AC5013" s="4">
        <f t="shared" si="767"/>
        <v>15960.920388349565</v>
      </c>
      <c r="AD5013" s="6">
        <f t="shared" si="762"/>
        <v>547991.60000000021</v>
      </c>
      <c r="AE5013" s="2">
        <v>0.06</v>
      </c>
      <c r="AF5013" s="6">
        <f t="shared" si="768"/>
        <v>32879.496000000014</v>
      </c>
      <c r="AG5013" s="14">
        <v>0</v>
      </c>
      <c r="AH5013" s="64">
        <f t="shared" si="763"/>
        <v>547991.60000000021</v>
      </c>
      <c r="AI5013" s="47"/>
      <c r="AJ5013" s="126" t="e">
        <v>#N/A</v>
      </c>
      <c r="AK5013" s="80">
        <f t="shared" si="766"/>
        <v>0</v>
      </c>
      <c r="AM5013" s="85"/>
    </row>
    <row r="5014" spans="1:39" hidden="1" x14ac:dyDescent="0.3">
      <c r="A5014" s="89" t="s">
        <v>3394</v>
      </c>
      <c r="B5014" s="86" t="s">
        <v>35</v>
      </c>
      <c r="C5014" s="86" t="s">
        <v>187</v>
      </c>
      <c r="D5014" s="86" t="s">
        <v>208</v>
      </c>
      <c r="E5014" s="86" t="s">
        <v>251</v>
      </c>
      <c r="F5014" s="86" t="s">
        <v>251</v>
      </c>
      <c r="G5014" s="86" t="s">
        <v>251</v>
      </c>
      <c r="H5014" s="144">
        <v>229</v>
      </c>
      <c r="I5014" s="86" t="s">
        <v>3356</v>
      </c>
      <c r="J5014" s="1" t="s">
        <v>3326</v>
      </c>
      <c r="K5014" s="1" t="s">
        <v>3283</v>
      </c>
      <c r="L5014" s="1" t="s">
        <v>35</v>
      </c>
      <c r="M5014" s="86"/>
      <c r="N5014" s="86" t="s">
        <v>3283</v>
      </c>
      <c r="O5014" s="47" t="s">
        <v>45</v>
      </c>
      <c r="P5014" s="47" t="s">
        <v>46</v>
      </c>
      <c r="Q5014" s="14">
        <v>0.05</v>
      </c>
      <c r="R5014" s="143"/>
      <c r="S5014" s="47"/>
      <c r="T5014" s="6">
        <v>6845.3200000000006</v>
      </c>
      <c r="U5014" s="6">
        <v>4200</v>
      </c>
      <c r="V5014" s="6">
        <v>11045.32</v>
      </c>
      <c r="W5014" s="6">
        <f t="shared" si="760"/>
        <v>0</v>
      </c>
      <c r="X5014" s="6">
        <f t="shared" si="761"/>
        <v>10519.352380952379</v>
      </c>
      <c r="Y5014" s="13">
        <f t="shared" si="764"/>
        <v>0</v>
      </c>
      <c r="Z5014" s="14">
        <v>0</v>
      </c>
      <c r="AA5014" s="6">
        <v>0</v>
      </c>
      <c r="AB5014" s="4">
        <f t="shared" si="765"/>
        <v>10519.352380952379</v>
      </c>
      <c r="AC5014" s="4">
        <f t="shared" si="767"/>
        <v>525.96761904762025</v>
      </c>
      <c r="AD5014" s="6">
        <f t="shared" si="762"/>
        <v>11045.32</v>
      </c>
      <c r="AE5014" s="2">
        <v>0.06</v>
      </c>
      <c r="AF5014" s="6">
        <f t="shared" si="768"/>
        <v>662.7192</v>
      </c>
      <c r="AG5014" s="14">
        <v>0</v>
      </c>
      <c r="AH5014" s="64">
        <f t="shared" si="763"/>
        <v>11045.32</v>
      </c>
      <c r="AI5014" s="47"/>
      <c r="AJ5014" s="126" t="e">
        <v>#N/A</v>
      </c>
      <c r="AK5014" s="80">
        <f t="shared" si="766"/>
        <v>0</v>
      </c>
      <c r="AM5014" s="85"/>
    </row>
    <row r="5015" spans="1:39" hidden="1" x14ac:dyDescent="0.3">
      <c r="A5015" s="89" t="s">
        <v>3394</v>
      </c>
      <c r="B5015" s="86" t="s">
        <v>35</v>
      </c>
      <c r="C5015" s="86" t="s">
        <v>187</v>
      </c>
      <c r="D5015" s="86" t="s">
        <v>208</v>
      </c>
      <c r="E5015" s="86" t="s">
        <v>211</v>
      </c>
      <c r="F5015" s="86" t="s">
        <v>211</v>
      </c>
      <c r="G5015" s="86" t="s">
        <v>211</v>
      </c>
      <c r="H5015" s="143">
        <v>229</v>
      </c>
      <c r="I5015" s="86" t="s">
        <v>3356</v>
      </c>
      <c r="J5015" s="1" t="s">
        <v>3326</v>
      </c>
      <c r="K5015" s="1" t="s">
        <v>3283</v>
      </c>
      <c r="L5015" s="1" t="s">
        <v>35</v>
      </c>
      <c r="M5015" s="86"/>
      <c r="N5015" s="86" t="s">
        <v>3283</v>
      </c>
      <c r="O5015" s="47" t="s">
        <v>45</v>
      </c>
      <c r="P5015" s="47" t="s">
        <v>46</v>
      </c>
      <c r="Q5015" s="14">
        <v>0.03</v>
      </c>
      <c r="R5015" s="143"/>
      <c r="S5015" s="47"/>
      <c r="T5015" s="6">
        <v>1069828.1699999981</v>
      </c>
      <c r="U5015" s="6">
        <v>-1069828.17</v>
      </c>
      <c r="V5015" s="6">
        <v>0</v>
      </c>
      <c r="W5015" s="6">
        <f t="shared" si="760"/>
        <v>-1.862645149230957E-9</v>
      </c>
      <c r="X5015" s="6">
        <f t="shared" si="761"/>
        <v>0</v>
      </c>
      <c r="Y5015" s="13">
        <f t="shared" si="764"/>
        <v>0</v>
      </c>
      <c r="Z5015" s="14">
        <v>0</v>
      </c>
      <c r="AA5015" s="6">
        <v>0</v>
      </c>
      <c r="AB5015" s="4">
        <f t="shared" si="765"/>
        <v>0</v>
      </c>
      <c r="AC5015" s="4">
        <f t="shared" si="767"/>
        <v>0</v>
      </c>
      <c r="AD5015" s="6">
        <f t="shared" si="762"/>
        <v>0</v>
      </c>
      <c r="AE5015" s="2">
        <v>0.06</v>
      </c>
      <c r="AF5015" s="6">
        <f t="shared" si="768"/>
        <v>0</v>
      </c>
      <c r="AG5015" s="14">
        <v>0</v>
      </c>
      <c r="AH5015" s="64">
        <f t="shared" si="763"/>
        <v>0</v>
      </c>
      <c r="AI5015" s="47"/>
      <c r="AJ5015" s="126" t="e">
        <v>#N/A</v>
      </c>
      <c r="AK5015" s="80">
        <f t="shared" si="766"/>
        <v>0</v>
      </c>
      <c r="AM5015" s="85"/>
    </row>
    <row r="5016" spans="1:39" hidden="1" x14ac:dyDescent="0.3">
      <c r="A5016" s="89" t="s">
        <v>3394</v>
      </c>
      <c r="B5016" s="86" t="s">
        <v>35</v>
      </c>
      <c r="C5016" s="86" t="s">
        <v>187</v>
      </c>
      <c r="D5016" s="86" t="s">
        <v>208</v>
      </c>
      <c r="E5016" s="86" t="s">
        <v>211</v>
      </c>
      <c r="F5016" s="86" t="s">
        <v>211</v>
      </c>
      <c r="G5016" s="86" t="s">
        <v>211</v>
      </c>
      <c r="H5016" s="144">
        <v>229</v>
      </c>
      <c r="I5016" s="86" t="s">
        <v>3356</v>
      </c>
      <c r="J5016" s="1" t="s">
        <v>3326</v>
      </c>
      <c r="K5016" s="1" t="s">
        <v>3283</v>
      </c>
      <c r="L5016" s="1" t="s">
        <v>35</v>
      </c>
      <c r="M5016" s="86"/>
      <c r="N5016" s="86" t="s">
        <v>3283</v>
      </c>
      <c r="O5016" s="47" t="s">
        <v>45</v>
      </c>
      <c r="P5016" s="47" t="s">
        <v>46</v>
      </c>
      <c r="Q5016" s="14">
        <v>0.04</v>
      </c>
      <c r="R5016" s="143"/>
      <c r="S5016" s="47"/>
      <c r="T5016" s="6">
        <v>260804.89</v>
      </c>
      <c r="U5016" s="6">
        <v>208000</v>
      </c>
      <c r="V5016" s="6">
        <v>468797.56</v>
      </c>
      <c r="W5016" s="6">
        <v>0</v>
      </c>
      <c r="X5016" s="6">
        <f t="shared" si="761"/>
        <v>450766.88461538462</v>
      </c>
      <c r="Y5016" s="13">
        <f t="shared" si="764"/>
        <v>0</v>
      </c>
      <c r="Z5016" s="14">
        <v>0</v>
      </c>
      <c r="AA5016" s="6">
        <v>0</v>
      </c>
      <c r="AB5016" s="4">
        <f t="shared" si="765"/>
        <v>450766.88461538462</v>
      </c>
      <c r="AC5016" s="4">
        <f t="shared" si="767"/>
        <v>18030.675384615373</v>
      </c>
      <c r="AD5016" s="6">
        <f t="shared" si="762"/>
        <v>468797.56</v>
      </c>
      <c r="AE5016" s="2">
        <v>0.06</v>
      </c>
      <c r="AF5016" s="6">
        <f t="shared" si="768"/>
        <v>28127.853599999999</v>
      </c>
      <c r="AG5016" s="14">
        <v>0</v>
      </c>
      <c r="AH5016" s="64">
        <f t="shared" si="763"/>
        <v>468797.56</v>
      </c>
      <c r="AI5016" s="47"/>
      <c r="AJ5016" s="126" t="e">
        <v>#N/A</v>
      </c>
      <c r="AK5016" s="80">
        <f t="shared" si="766"/>
        <v>0</v>
      </c>
      <c r="AM5016" s="85"/>
    </row>
    <row r="5017" spans="1:39" hidden="1" x14ac:dyDescent="0.3">
      <c r="A5017" s="89" t="s">
        <v>3394</v>
      </c>
      <c r="B5017" s="86" t="s">
        <v>35</v>
      </c>
      <c r="C5017" s="86" t="s">
        <v>187</v>
      </c>
      <c r="D5017" s="86" t="s">
        <v>208</v>
      </c>
      <c r="E5017" s="86" t="s">
        <v>211</v>
      </c>
      <c r="F5017" s="86" t="s">
        <v>211</v>
      </c>
      <c r="G5017" s="86" t="s">
        <v>211</v>
      </c>
      <c r="H5017" s="144">
        <v>229</v>
      </c>
      <c r="I5017" s="86" t="s">
        <v>3356</v>
      </c>
      <c r="J5017" s="1" t="s">
        <v>3326</v>
      </c>
      <c r="K5017" s="1" t="s">
        <v>3283</v>
      </c>
      <c r="L5017" s="1" t="s">
        <v>35</v>
      </c>
      <c r="M5017" s="86"/>
      <c r="N5017" s="86" t="s">
        <v>3283</v>
      </c>
      <c r="O5017" s="47" t="s">
        <v>45</v>
      </c>
      <c r="P5017" s="8" t="s">
        <v>46</v>
      </c>
      <c r="Q5017" s="2">
        <v>0.04</v>
      </c>
      <c r="R5017" s="143"/>
      <c r="S5017" s="47"/>
      <c r="T5017" s="6">
        <v>0</v>
      </c>
      <c r="U5017" s="6">
        <v>1069828.17</v>
      </c>
      <c r="V5017" s="6">
        <v>32436.020000000019</v>
      </c>
      <c r="W5017" s="6">
        <f t="shared" si="760"/>
        <v>1037392.1499999999</v>
      </c>
      <c r="X5017" s="6">
        <f t="shared" si="761"/>
        <v>31188.480769230788</v>
      </c>
      <c r="Y5017" s="13">
        <f t="shared" si="764"/>
        <v>0</v>
      </c>
      <c r="Z5017" s="14">
        <v>0</v>
      </c>
      <c r="AA5017" s="6">
        <v>0</v>
      </c>
      <c r="AB5017" s="4">
        <f t="shared" si="765"/>
        <v>31188.480769230788</v>
      </c>
      <c r="AC5017" s="4">
        <f t="shared" si="767"/>
        <v>1247.5392307692309</v>
      </c>
      <c r="AD5017" s="6">
        <f t="shared" si="762"/>
        <v>32436.020000000019</v>
      </c>
      <c r="AE5017" s="2">
        <v>0.06</v>
      </c>
      <c r="AF5017" s="6">
        <f t="shared" si="768"/>
        <v>1946.1612000000011</v>
      </c>
      <c r="AG5017" s="14">
        <v>0</v>
      </c>
      <c r="AH5017" s="64">
        <f t="shared" si="763"/>
        <v>32436.020000000019</v>
      </c>
      <c r="AI5017" s="47"/>
      <c r="AJ5017" s="126" t="e">
        <v>#N/A</v>
      </c>
      <c r="AK5017" s="80">
        <f t="shared" si="766"/>
        <v>0</v>
      </c>
      <c r="AM5017" s="85"/>
    </row>
    <row r="5018" spans="1:39" hidden="1" x14ac:dyDescent="0.3">
      <c r="A5018" s="89" t="s">
        <v>3394</v>
      </c>
      <c r="B5018" s="86" t="s">
        <v>35</v>
      </c>
      <c r="C5018" s="86" t="s">
        <v>187</v>
      </c>
      <c r="D5018" s="86" t="s">
        <v>208</v>
      </c>
      <c r="E5018" s="86" t="s">
        <v>212</v>
      </c>
      <c r="F5018" s="86" t="s">
        <v>212</v>
      </c>
      <c r="G5018" s="86" t="s">
        <v>212</v>
      </c>
      <c r="H5018" s="144">
        <v>229</v>
      </c>
      <c r="I5018" s="86" t="s">
        <v>3356</v>
      </c>
      <c r="J5018" s="1" t="s">
        <v>3326</v>
      </c>
      <c r="K5018" s="1" t="s">
        <v>3283</v>
      </c>
      <c r="L5018" s="1" t="s">
        <v>35</v>
      </c>
      <c r="M5018" s="86"/>
      <c r="N5018" s="86" t="s">
        <v>3283</v>
      </c>
      <c r="O5018" s="47" t="s">
        <v>45</v>
      </c>
      <c r="P5018" s="8" t="s">
        <v>46</v>
      </c>
      <c r="Q5018" s="9">
        <v>0.04</v>
      </c>
      <c r="R5018" s="143"/>
      <c r="S5018" s="47"/>
      <c r="T5018" s="6">
        <v>154577.05999999866</v>
      </c>
      <c r="U5018" s="6">
        <v>2920000</v>
      </c>
      <c r="V5018" s="6">
        <v>2744760.1500000008</v>
      </c>
      <c r="W5018" s="6">
        <f t="shared" si="760"/>
        <v>329816.90999999782</v>
      </c>
      <c r="X5018" s="6">
        <f t="shared" si="761"/>
        <v>2639192.4519230775</v>
      </c>
      <c r="Y5018" s="13">
        <f t="shared" si="764"/>
        <v>0</v>
      </c>
      <c r="Z5018" s="14">
        <v>0</v>
      </c>
      <c r="AA5018" s="6">
        <v>0</v>
      </c>
      <c r="AB5018" s="4">
        <f t="shared" si="765"/>
        <v>2639192.4519230775</v>
      </c>
      <c r="AC5018" s="4">
        <f t="shared" si="767"/>
        <v>105567.69807692338</v>
      </c>
      <c r="AD5018" s="6">
        <f t="shared" si="762"/>
        <v>2744760.1500000008</v>
      </c>
      <c r="AE5018" s="2">
        <v>0.06</v>
      </c>
      <c r="AF5018" s="6">
        <f t="shared" si="768"/>
        <v>164685.60900000005</v>
      </c>
      <c r="AG5018" s="14">
        <v>0</v>
      </c>
      <c r="AH5018" s="64">
        <f t="shared" si="763"/>
        <v>2744760.1500000008</v>
      </c>
      <c r="AI5018" s="47"/>
      <c r="AJ5018" s="126" t="e">
        <v>#N/A</v>
      </c>
      <c r="AK5018" s="80">
        <f t="shared" si="766"/>
        <v>0</v>
      </c>
      <c r="AM5018" s="85"/>
    </row>
    <row r="5019" spans="1:39" hidden="1" x14ac:dyDescent="0.3">
      <c r="A5019" s="89" t="s">
        <v>3394</v>
      </c>
      <c r="B5019" s="86" t="s">
        <v>35</v>
      </c>
      <c r="C5019" s="86" t="s">
        <v>187</v>
      </c>
      <c r="D5019" s="86" t="s">
        <v>208</v>
      </c>
      <c r="E5019" s="86" t="s">
        <v>282</v>
      </c>
      <c r="F5019" s="86" t="s">
        <v>283</v>
      </c>
      <c r="G5019" s="86" t="s">
        <v>282</v>
      </c>
      <c r="H5019" s="143">
        <v>229</v>
      </c>
      <c r="I5019" s="86" t="s">
        <v>3356</v>
      </c>
      <c r="J5019" s="1" t="s">
        <v>3326</v>
      </c>
      <c r="K5019" s="1" t="s">
        <v>3283</v>
      </c>
      <c r="L5019" s="1" t="s">
        <v>35</v>
      </c>
      <c r="M5019" s="86"/>
      <c r="N5019" s="86" t="s">
        <v>3283</v>
      </c>
      <c r="O5019" s="47" t="s">
        <v>45</v>
      </c>
      <c r="P5019" s="47" t="s">
        <v>46</v>
      </c>
      <c r="Q5019" s="14">
        <v>0.06</v>
      </c>
      <c r="R5019" s="143"/>
      <c r="S5019" s="47"/>
      <c r="T5019" s="6">
        <v>0</v>
      </c>
      <c r="U5019" s="6">
        <v>5300</v>
      </c>
      <c r="V5019" s="6">
        <v>0</v>
      </c>
      <c r="W5019" s="6">
        <f t="shared" si="760"/>
        <v>5300</v>
      </c>
      <c r="X5019" s="6">
        <f t="shared" si="761"/>
        <v>0</v>
      </c>
      <c r="Y5019" s="13">
        <f t="shared" si="764"/>
        <v>0</v>
      </c>
      <c r="Z5019" s="14">
        <v>0</v>
      </c>
      <c r="AA5019" s="6">
        <v>0</v>
      </c>
      <c r="AB5019" s="4">
        <f t="shared" si="765"/>
        <v>0</v>
      </c>
      <c r="AC5019" s="4">
        <f t="shared" si="767"/>
        <v>0</v>
      </c>
      <c r="AD5019" s="6">
        <f t="shared" si="762"/>
        <v>0</v>
      </c>
      <c r="AE5019" s="2">
        <v>0.06</v>
      </c>
      <c r="AF5019" s="6">
        <f t="shared" si="768"/>
        <v>0</v>
      </c>
      <c r="AG5019" s="14">
        <v>0</v>
      </c>
      <c r="AH5019" s="64">
        <f t="shared" si="763"/>
        <v>0</v>
      </c>
      <c r="AI5019" s="47"/>
      <c r="AJ5019" s="126" t="e">
        <v>#N/A</v>
      </c>
      <c r="AK5019" s="80">
        <f t="shared" si="766"/>
        <v>0</v>
      </c>
      <c r="AM5019" s="85"/>
    </row>
    <row r="5020" spans="1:39" hidden="1" x14ac:dyDescent="0.3">
      <c r="A5020" s="89" t="s">
        <v>3395</v>
      </c>
      <c r="B5020" s="86" t="s">
        <v>35</v>
      </c>
      <c r="C5020" s="86" t="s">
        <v>187</v>
      </c>
      <c r="D5020" s="86" t="s">
        <v>208</v>
      </c>
      <c r="E5020" s="86" t="s">
        <v>214</v>
      </c>
      <c r="F5020" s="86" t="s">
        <v>214</v>
      </c>
      <c r="G5020" s="86" t="s">
        <v>214</v>
      </c>
      <c r="H5020" s="144">
        <v>229</v>
      </c>
      <c r="I5020" s="86" t="s">
        <v>3356</v>
      </c>
      <c r="J5020" s="1" t="s">
        <v>3326</v>
      </c>
      <c r="K5020" s="1" t="s">
        <v>3283</v>
      </c>
      <c r="L5020" s="1" t="s">
        <v>35</v>
      </c>
      <c r="M5020" s="86"/>
      <c r="N5020" s="86" t="s">
        <v>3283</v>
      </c>
      <c r="O5020" s="47" t="s">
        <v>45</v>
      </c>
      <c r="P5020" s="47" t="s">
        <v>41</v>
      </c>
      <c r="Q5020" s="14">
        <v>0</v>
      </c>
      <c r="R5020" s="143"/>
      <c r="S5020" s="47"/>
      <c r="T5020" s="6">
        <v>69234.33</v>
      </c>
      <c r="U5020" s="6">
        <v>50000</v>
      </c>
      <c r="V5020" s="6">
        <v>30022.280000000002</v>
      </c>
      <c r="W5020" s="6">
        <f t="shared" si="760"/>
        <v>89212.05</v>
      </c>
      <c r="X5020" s="6">
        <f t="shared" si="761"/>
        <v>30022.280000000002</v>
      </c>
      <c r="Y5020" s="13">
        <f t="shared" si="764"/>
        <v>0</v>
      </c>
      <c r="Z5020" s="14">
        <v>0</v>
      </c>
      <c r="AA5020" s="6">
        <v>0</v>
      </c>
      <c r="AB5020" s="4">
        <f t="shared" si="765"/>
        <v>30022.280000000002</v>
      </c>
      <c r="AC5020" s="4">
        <f t="shared" si="767"/>
        <v>0</v>
      </c>
      <c r="AD5020" s="6">
        <f t="shared" si="762"/>
        <v>30022.280000000002</v>
      </c>
      <c r="AE5020" s="2">
        <v>0.06</v>
      </c>
      <c r="AF5020" s="6">
        <f t="shared" si="768"/>
        <v>1801.3368</v>
      </c>
      <c r="AG5020" s="14">
        <v>0</v>
      </c>
      <c r="AH5020" s="64">
        <f t="shared" si="763"/>
        <v>30022.280000000002</v>
      </c>
      <c r="AI5020" s="47"/>
      <c r="AJ5020" s="126" t="e">
        <v>#N/A</v>
      </c>
      <c r="AK5020" s="80">
        <f t="shared" si="766"/>
        <v>0</v>
      </c>
      <c r="AM5020" s="85"/>
    </row>
    <row r="5021" spans="1:39" hidden="1" x14ac:dyDescent="0.3">
      <c r="A5021" s="89" t="s">
        <v>3394</v>
      </c>
      <c r="B5021" s="86" t="s">
        <v>35</v>
      </c>
      <c r="C5021" s="86" t="s">
        <v>187</v>
      </c>
      <c r="D5021" s="86" t="s">
        <v>208</v>
      </c>
      <c r="E5021" s="86" t="s">
        <v>215</v>
      </c>
      <c r="F5021" s="86" t="s">
        <v>216</v>
      </c>
      <c r="G5021" s="86" t="s">
        <v>215</v>
      </c>
      <c r="H5021" s="144">
        <v>229</v>
      </c>
      <c r="I5021" s="86" t="s">
        <v>3356</v>
      </c>
      <c r="J5021" s="1" t="s">
        <v>3326</v>
      </c>
      <c r="K5021" s="1" t="s">
        <v>3283</v>
      </c>
      <c r="L5021" s="1" t="s">
        <v>35</v>
      </c>
      <c r="M5021" s="86"/>
      <c r="N5021" s="86" t="s">
        <v>3283</v>
      </c>
      <c r="O5021" s="47" t="s">
        <v>45</v>
      </c>
      <c r="P5021" s="8" t="s">
        <v>46</v>
      </c>
      <c r="Q5021" s="9">
        <v>0.04</v>
      </c>
      <c r="R5021" s="143"/>
      <c r="S5021" s="47"/>
      <c r="T5021" s="6">
        <v>718732.22000000067</v>
      </c>
      <c r="U5021" s="6">
        <v>3373075.76</v>
      </c>
      <c r="V5021" s="6">
        <v>2990804.1800000034</v>
      </c>
      <c r="W5021" s="6">
        <f t="shared" si="760"/>
        <v>1101003.799999997</v>
      </c>
      <c r="X5021" s="6">
        <f t="shared" si="761"/>
        <v>2875773.2500000033</v>
      </c>
      <c r="Y5021" s="13">
        <f t="shared" si="764"/>
        <v>0</v>
      </c>
      <c r="Z5021" s="14">
        <v>0</v>
      </c>
      <c r="AA5021" s="6">
        <v>0</v>
      </c>
      <c r="AB5021" s="4">
        <f t="shared" si="765"/>
        <v>2875773.2500000033</v>
      </c>
      <c r="AC5021" s="4">
        <f t="shared" si="767"/>
        <v>115030.93000000017</v>
      </c>
      <c r="AD5021" s="6">
        <f t="shared" si="762"/>
        <v>2990804.1800000034</v>
      </c>
      <c r="AE5021" s="2">
        <v>0.06</v>
      </c>
      <c r="AF5021" s="6">
        <f t="shared" si="768"/>
        <v>179448.25080000021</v>
      </c>
      <c r="AG5021" s="14">
        <v>0</v>
      </c>
      <c r="AH5021" s="64">
        <f t="shared" si="763"/>
        <v>2990804.1800000034</v>
      </c>
      <c r="AI5021" s="47"/>
      <c r="AJ5021" s="126" t="e">
        <v>#N/A</v>
      </c>
      <c r="AK5021" s="80">
        <f t="shared" si="766"/>
        <v>0</v>
      </c>
      <c r="AM5021" s="85"/>
    </row>
    <row r="5022" spans="1:39" hidden="1" x14ac:dyDescent="0.3">
      <c r="A5022" s="89" t="s">
        <v>3394</v>
      </c>
      <c r="B5022" s="86" t="s">
        <v>35</v>
      </c>
      <c r="C5022" s="86" t="s">
        <v>187</v>
      </c>
      <c r="D5022" s="86" t="s">
        <v>208</v>
      </c>
      <c r="E5022" s="86" t="s">
        <v>3620</v>
      </c>
      <c r="F5022" s="86" t="s">
        <v>3621</v>
      </c>
      <c r="G5022" s="86" t="s">
        <v>3620</v>
      </c>
      <c r="H5022" s="144">
        <v>229</v>
      </c>
      <c r="I5022" s="86" t="s">
        <v>3356</v>
      </c>
      <c r="J5022" s="1" t="s">
        <v>3326</v>
      </c>
      <c r="K5022" s="1" t="s">
        <v>3283</v>
      </c>
      <c r="L5022" s="1" t="s">
        <v>35</v>
      </c>
      <c r="M5022" s="86"/>
      <c r="N5022" s="86" t="s">
        <v>3283</v>
      </c>
      <c r="O5022" s="47" t="s">
        <v>45</v>
      </c>
      <c r="P5022" s="47" t="s">
        <v>46</v>
      </c>
      <c r="Q5022" s="14">
        <v>0.03</v>
      </c>
      <c r="R5022" s="143"/>
      <c r="S5022" s="47"/>
      <c r="T5022" s="6">
        <v>0</v>
      </c>
      <c r="U5022" s="6">
        <v>206000</v>
      </c>
      <c r="V5022" s="6">
        <v>112389.51</v>
      </c>
      <c r="W5022" s="6">
        <f t="shared" si="760"/>
        <v>93610.49</v>
      </c>
      <c r="X5022" s="6">
        <f t="shared" si="761"/>
        <v>109116.02912621359</v>
      </c>
      <c r="Y5022" s="13">
        <f t="shared" si="764"/>
        <v>0</v>
      </c>
      <c r="Z5022" s="14">
        <v>0</v>
      </c>
      <c r="AA5022" s="6">
        <v>0</v>
      </c>
      <c r="AB5022" s="4">
        <f t="shared" si="765"/>
        <v>109116.02912621359</v>
      </c>
      <c r="AC5022" s="4">
        <f t="shared" si="767"/>
        <v>3273.4808737864078</v>
      </c>
      <c r="AD5022" s="6">
        <f t="shared" si="762"/>
        <v>112389.51</v>
      </c>
      <c r="AE5022" s="2">
        <v>0.06</v>
      </c>
      <c r="AF5022" s="6">
        <f t="shared" si="768"/>
        <v>6743.3705999999993</v>
      </c>
      <c r="AG5022" s="14">
        <v>0</v>
      </c>
      <c r="AH5022" s="64">
        <f t="shared" si="763"/>
        <v>112389.51</v>
      </c>
      <c r="AI5022" s="47"/>
      <c r="AJ5022" s="126" t="e">
        <v>#N/A</v>
      </c>
      <c r="AK5022" s="80">
        <f t="shared" si="766"/>
        <v>0</v>
      </c>
      <c r="AM5022" s="85"/>
    </row>
    <row r="5023" spans="1:39" hidden="1" x14ac:dyDescent="0.3">
      <c r="A5023" s="89" t="s">
        <v>3395</v>
      </c>
      <c r="B5023" s="86" t="s">
        <v>35</v>
      </c>
      <c r="C5023" s="86" t="s">
        <v>187</v>
      </c>
      <c r="D5023" s="86" t="s">
        <v>208</v>
      </c>
      <c r="E5023" s="86" t="s">
        <v>217</v>
      </c>
      <c r="F5023" s="86" t="s">
        <v>217</v>
      </c>
      <c r="G5023" s="86" t="s">
        <v>217</v>
      </c>
      <c r="H5023" s="143">
        <v>229</v>
      </c>
      <c r="I5023" s="86" t="s">
        <v>3356</v>
      </c>
      <c r="J5023" s="1" t="s">
        <v>3326</v>
      </c>
      <c r="K5023" s="1" t="s">
        <v>3712</v>
      </c>
      <c r="L5023" s="1" t="s">
        <v>35</v>
      </c>
      <c r="M5023" s="86"/>
      <c r="N5023" s="86" t="s">
        <v>3712</v>
      </c>
      <c r="O5023" s="47" t="s">
        <v>45</v>
      </c>
      <c r="P5023" s="47" t="s">
        <v>41</v>
      </c>
      <c r="Q5023" s="14">
        <v>0</v>
      </c>
      <c r="R5023" s="143"/>
      <c r="S5023" s="47"/>
      <c r="T5023" s="6">
        <v>300000</v>
      </c>
      <c r="U5023" s="6">
        <v>-300000</v>
      </c>
      <c r="V5023" s="6">
        <v>0</v>
      </c>
      <c r="W5023" s="6">
        <f t="shared" si="760"/>
        <v>0</v>
      </c>
      <c r="X5023" s="6">
        <f t="shared" si="761"/>
        <v>0</v>
      </c>
      <c r="Y5023" s="13">
        <f t="shared" si="764"/>
        <v>0</v>
      </c>
      <c r="Z5023" s="14">
        <v>0</v>
      </c>
      <c r="AA5023" s="6">
        <v>0</v>
      </c>
      <c r="AB5023" s="4">
        <f t="shared" si="765"/>
        <v>0</v>
      </c>
      <c r="AC5023" s="4">
        <f t="shared" si="767"/>
        <v>0</v>
      </c>
      <c r="AD5023" s="6">
        <f t="shared" si="762"/>
        <v>0</v>
      </c>
      <c r="AE5023" s="2">
        <v>0.06</v>
      </c>
      <c r="AF5023" s="6">
        <f t="shared" si="768"/>
        <v>0</v>
      </c>
      <c r="AG5023" s="14">
        <v>0</v>
      </c>
      <c r="AH5023" s="64">
        <f t="shared" si="763"/>
        <v>0</v>
      </c>
      <c r="AI5023" s="47"/>
      <c r="AJ5023" s="126" t="e">
        <v>#N/A</v>
      </c>
      <c r="AK5023" s="80">
        <f t="shared" si="766"/>
        <v>0</v>
      </c>
      <c r="AM5023" s="85"/>
    </row>
    <row r="5024" spans="1:39" hidden="1" x14ac:dyDescent="0.3">
      <c r="A5024" s="89" t="s">
        <v>3395</v>
      </c>
      <c r="B5024" s="86" t="s">
        <v>35</v>
      </c>
      <c r="C5024" s="86" t="s">
        <v>187</v>
      </c>
      <c r="D5024" s="86" t="s">
        <v>208</v>
      </c>
      <c r="E5024" s="86" t="s">
        <v>218</v>
      </c>
      <c r="F5024" s="86" t="s">
        <v>218</v>
      </c>
      <c r="G5024" s="86" t="s">
        <v>218</v>
      </c>
      <c r="H5024" s="144">
        <v>229</v>
      </c>
      <c r="I5024" s="86" t="s">
        <v>3356</v>
      </c>
      <c r="J5024" s="1" t="s">
        <v>3326</v>
      </c>
      <c r="K5024" s="1" t="s">
        <v>3283</v>
      </c>
      <c r="L5024" s="1" t="s">
        <v>35</v>
      </c>
      <c r="M5024" s="86"/>
      <c r="N5024" s="86" t="s">
        <v>3283</v>
      </c>
      <c r="O5024" s="47" t="s">
        <v>45</v>
      </c>
      <c r="P5024" s="47" t="s">
        <v>46</v>
      </c>
      <c r="Q5024" s="14">
        <v>0.06</v>
      </c>
      <c r="R5024" s="143"/>
      <c r="S5024" s="47"/>
      <c r="T5024" s="6">
        <v>0</v>
      </c>
      <c r="U5024" s="6">
        <v>180200</v>
      </c>
      <c r="V5024" s="6">
        <v>10696.25</v>
      </c>
      <c r="W5024" s="6">
        <f t="shared" si="760"/>
        <v>169503.75</v>
      </c>
      <c r="X5024" s="6">
        <f t="shared" si="761"/>
        <v>10090.801886792453</v>
      </c>
      <c r="Y5024" s="13">
        <f t="shared" si="764"/>
        <v>0</v>
      </c>
      <c r="Z5024" s="14">
        <v>0</v>
      </c>
      <c r="AA5024" s="6">
        <v>0</v>
      </c>
      <c r="AB5024" s="4">
        <f t="shared" si="765"/>
        <v>10090.801886792453</v>
      </c>
      <c r="AC5024" s="4">
        <f t="shared" si="767"/>
        <v>605.44811320754707</v>
      </c>
      <c r="AD5024" s="6">
        <f t="shared" si="762"/>
        <v>10696.25</v>
      </c>
      <c r="AE5024" s="2">
        <v>0.06</v>
      </c>
      <c r="AF5024" s="6">
        <f t="shared" si="768"/>
        <v>641.77499999999998</v>
      </c>
      <c r="AG5024" s="14">
        <v>0</v>
      </c>
      <c r="AH5024" s="64">
        <f t="shared" si="763"/>
        <v>10696.25</v>
      </c>
      <c r="AI5024" s="47"/>
      <c r="AJ5024" s="126" t="e">
        <v>#N/A</v>
      </c>
      <c r="AK5024" s="80">
        <f t="shared" si="766"/>
        <v>0</v>
      </c>
      <c r="AM5024" s="85"/>
    </row>
    <row r="5025" spans="1:39" hidden="1" x14ac:dyDescent="0.3">
      <c r="A5025" s="89" t="s">
        <v>3394</v>
      </c>
      <c r="B5025" s="86" t="s">
        <v>35</v>
      </c>
      <c r="C5025" s="86" t="s">
        <v>187</v>
      </c>
      <c r="D5025" s="86" t="s">
        <v>208</v>
      </c>
      <c r="E5025" s="86" t="s">
        <v>218</v>
      </c>
      <c r="F5025" s="86" t="s">
        <v>218</v>
      </c>
      <c r="G5025" s="86" t="s">
        <v>218</v>
      </c>
      <c r="H5025" s="144">
        <v>229</v>
      </c>
      <c r="I5025" s="86" t="s">
        <v>3356</v>
      </c>
      <c r="J5025" s="1" t="s">
        <v>3326</v>
      </c>
      <c r="K5025" s="1" t="s">
        <v>3283</v>
      </c>
      <c r="L5025" s="1" t="s">
        <v>35</v>
      </c>
      <c r="M5025" s="86"/>
      <c r="N5025" s="86" t="s">
        <v>3283</v>
      </c>
      <c r="O5025" s="47" t="s">
        <v>45</v>
      </c>
      <c r="P5025" s="47" t="s">
        <v>41</v>
      </c>
      <c r="Q5025" s="14">
        <v>0</v>
      </c>
      <c r="R5025" s="143"/>
      <c r="S5025" s="47"/>
      <c r="T5025" s="6">
        <v>93175.31</v>
      </c>
      <c r="U5025" s="6">
        <v>50000</v>
      </c>
      <c r="V5025" s="6">
        <v>143175.31</v>
      </c>
      <c r="W5025" s="6">
        <f t="shared" si="760"/>
        <v>0</v>
      </c>
      <c r="X5025" s="6">
        <f t="shared" si="761"/>
        <v>143175.31</v>
      </c>
      <c r="Y5025" s="13">
        <f t="shared" si="764"/>
        <v>0</v>
      </c>
      <c r="Z5025" s="14">
        <v>0</v>
      </c>
      <c r="AA5025" s="6">
        <v>0</v>
      </c>
      <c r="AB5025" s="4">
        <f t="shared" si="765"/>
        <v>143175.31</v>
      </c>
      <c r="AC5025" s="4">
        <f t="shared" si="767"/>
        <v>0</v>
      </c>
      <c r="AD5025" s="6">
        <f t="shared" si="762"/>
        <v>143175.31</v>
      </c>
      <c r="AE5025" s="2">
        <v>0.06</v>
      </c>
      <c r="AF5025" s="6">
        <f t="shared" si="768"/>
        <v>8590.5185999999994</v>
      </c>
      <c r="AG5025" s="14">
        <v>0</v>
      </c>
      <c r="AH5025" s="64">
        <f t="shared" si="763"/>
        <v>143175.31</v>
      </c>
      <c r="AI5025" s="47"/>
      <c r="AJ5025" s="126" t="e">
        <v>#N/A</v>
      </c>
      <c r="AK5025" s="80">
        <f t="shared" si="766"/>
        <v>0</v>
      </c>
      <c r="AM5025" s="85"/>
    </row>
    <row r="5026" spans="1:39" hidden="1" x14ac:dyDescent="0.3">
      <c r="A5026" s="89" t="s">
        <v>3394</v>
      </c>
      <c r="B5026" s="86" t="s">
        <v>35</v>
      </c>
      <c r="C5026" s="86" t="s">
        <v>187</v>
      </c>
      <c r="D5026" s="86" t="s">
        <v>208</v>
      </c>
      <c r="E5026" s="86" t="s">
        <v>219</v>
      </c>
      <c r="F5026" s="86" t="s">
        <v>219</v>
      </c>
      <c r="G5026" s="86" t="s">
        <v>219</v>
      </c>
      <c r="H5026" s="144">
        <v>229</v>
      </c>
      <c r="I5026" s="86" t="s">
        <v>3356</v>
      </c>
      <c r="J5026" s="1" t="s">
        <v>3326</v>
      </c>
      <c r="K5026" s="1" t="s">
        <v>3283</v>
      </c>
      <c r="L5026" s="1" t="s">
        <v>35</v>
      </c>
      <c r="M5026" s="86"/>
      <c r="N5026" s="86" t="s">
        <v>3283</v>
      </c>
      <c r="O5026" s="47" t="s">
        <v>45</v>
      </c>
      <c r="P5026" s="47" t="s">
        <v>41</v>
      </c>
      <c r="Q5026" s="14">
        <v>0</v>
      </c>
      <c r="R5026" s="143"/>
      <c r="S5026" s="47"/>
      <c r="T5026" s="6">
        <v>501585.6</v>
      </c>
      <c r="U5026" s="6">
        <v>1589126.34</v>
      </c>
      <c r="V5026" s="6">
        <v>2090124.01</v>
      </c>
      <c r="W5026" s="6">
        <f t="shared" si="760"/>
        <v>587.92999999993481</v>
      </c>
      <c r="X5026" s="6">
        <f t="shared" si="761"/>
        <v>2090124.01</v>
      </c>
      <c r="Y5026" s="13">
        <f t="shared" si="764"/>
        <v>0</v>
      </c>
      <c r="Z5026" s="14">
        <v>0</v>
      </c>
      <c r="AA5026" s="6">
        <v>0</v>
      </c>
      <c r="AB5026" s="4">
        <f t="shared" si="765"/>
        <v>2090124.01</v>
      </c>
      <c r="AC5026" s="4">
        <f t="shared" si="767"/>
        <v>0</v>
      </c>
      <c r="AD5026" s="6">
        <f t="shared" si="762"/>
        <v>2090124.01</v>
      </c>
      <c r="AE5026" s="2">
        <v>0.06</v>
      </c>
      <c r="AF5026" s="6">
        <f t="shared" si="768"/>
        <v>125407.4406</v>
      </c>
      <c r="AG5026" s="14">
        <v>0</v>
      </c>
      <c r="AH5026" s="64">
        <f t="shared" si="763"/>
        <v>2090124.01</v>
      </c>
      <c r="AI5026" s="47"/>
      <c r="AJ5026" s="126" t="e">
        <v>#N/A</v>
      </c>
      <c r="AK5026" s="80">
        <f t="shared" si="766"/>
        <v>0</v>
      </c>
      <c r="AM5026" s="85"/>
    </row>
    <row r="5027" spans="1:39" hidden="1" x14ac:dyDescent="0.3">
      <c r="A5027" s="89" t="s">
        <v>3397</v>
      </c>
      <c r="B5027" s="86" t="s">
        <v>35</v>
      </c>
      <c r="C5027" s="86" t="s">
        <v>59</v>
      </c>
      <c r="D5027" s="86" t="s">
        <v>60</v>
      </c>
      <c r="E5027" s="86" t="s">
        <v>78</v>
      </c>
      <c r="F5027" s="86" t="s">
        <v>81</v>
      </c>
      <c r="G5027" s="86" t="s">
        <v>78</v>
      </c>
      <c r="H5027" s="144">
        <v>229</v>
      </c>
      <c r="I5027" s="86" t="s">
        <v>3356</v>
      </c>
      <c r="J5027" s="1" t="s">
        <v>3326</v>
      </c>
      <c r="K5027" s="1" t="s">
        <v>3718</v>
      </c>
      <c r="L5027" s="1" t="s">
        <v>35</v>
      </c>
      <c r="M5027" s="86"/>
      <c r="N5027" s="86" t="s">
        <v>3736</v>
      </c>
      <c r="O5027" s="47" t="s">
        <v>45</v>
      </c>
      <c r="P5027" s="47" t="s">
        <v>46</v>
      </c>
      <c r="Q5027" s="14">
        <v>7.0000000000000007E-2</v>
      </c>
      <c r="R5027" s="143"/>
      <c r="S5027" s="47"/>
      <c r="T5027" s="6">
        <v>5080.4800000000105</v>
      </c>
      <c r="U5027" s="6"/>
      <c r="V5027" s="6">
        <v>5080.4800000000105</v>
      </c>
      <c r="W5027" s="6">
        <f t="shared" si="760"/>
        <v>0</v>
      </c>
      <c r="X5027" s="6">
        <f t="shared" si="761"/>
        <v>4748.1121495327197</v>
      </c>
      <c r="Y5027" s="13">
        <f t="shared" si="764"/>
        <v>0</v>
      </c>
      <c r="Z5027" s="14">
        <v>0</v>
      </c>
      <c r="AA5027" s="6">
        <v>0</v>
      </c>
      <c r="AB5027" s="4">
        <f t="shared" si="765"/>
        <v>4748.1121495327197</v>
      </c>
      <c r="AC5027" s="4">
        <f t="shared" si="767"/>
        <v>332.36785046729074</v>
      </c>
      <c r="AD5027" s="6">
        <f t="shared" si="762"/>
        <v>5080.4800000000105</v>
      </c>
      <c r="AE5027" s="2">
        <v>0.06</v>
      </c>
      <c r="AF5027" s="6">
        <f t="shared" si="768"/>
        <v>304.82880000000063</v>
      </c>
      <c r="AG5027" s="14">
        <v>0</v>
      </c>
      <c r="AH5027" s="64">
        <f t="shared" si="763"/>
        <v>5080.4800000000105</v>
      </c>
      <c r="AI5027" s="47"/>
      <c r="AJ5027" s="126" t="e">
        <v>#N/A</v>
      </c>
      <c r="AK5027" s="80">
        <f t="shared" si="766"/>
        <v>0</v>
      </c>
      <c r="AM5027" s="85"/>
    </row>
    <row r="5028" spans="1:39" hidden="1" x14ac:dyDescent="0.3">
      <c r="A5028" s="89" t="s">
        <v>3395</v>
      </c>
      <c r="B5028" s="86" t="s">
        <v>35</v>
      </c>
      <c r="C5028" s="86" t="s">
        <v>59</v>
      </c>
      <c r="D5028" s="86" t="s">
        <v>60</v>
      </c>
      <c r="E5028" s="86" t="s">
        <v>93</v>
      </c>
      <c r="F5028" s="86" t="s">
        <v>94</v>
      </c>
      <c r="G5028" s="86" t="s">
        <v>93</v>
      </c>
      <c r="H5028" s="143">
        <v>229</v>
      </c>
      <c r="I5028" s="86" t="s">
        <v>3356</v>
      </c>
      <c r="J5028" s="1" t="s">
        <v>3326</v>
      </c>
      <c r="K5028" s="1" t="s">
        <v>3712</v>
      </c>
      <c r="L5028" s="1" t="s">
        <v>35</v>
      </c>
      <c r="M5028" s="86"/>
      <c r="N5028" s="86" t="s">
        <v>3712</v>
      </c>
      <c r="O5028" s="47" t="s">
        <v>45</v>
      </c>
      <c r="P5028" s="47" t="s">
        <v>46</v>
      </c>
      <c r="Q5028" s="14">
        <v>7.0000000000000007E-2</v>
      </c>
      <c r="R5028" s="143"/>
      <c r="S5028" s="47"/>
      <c r="T5028" s="6">
        <v>3774.0399999991059</v>
      </c>
      <c r="U5028" s="6"/>
      <c r="V5028" s="6">
        <v>0</v>
      </c>
      <c r="W5028" s="6">
        <f t="shared" si="760"/>
        <v>3774.0399999991059</v>
      </c>
      <c r="X5028" s="6">
        <f t="shared" si="761"/>
        <v>0</v>
      </c>
      <c r="Y5028" s="13">
        <f t="shared" si="764"/>
        <v>0</v>
      </c>
      <c r="Z5028" s="14">
        <v>0</v>
      </c>
      <c r="AA5028" s="6">
        <v>0</v>
      </c>
      <c r="AB5028" s="4">
        <f t="shared" si="765"/>
        <v>0</v>
      </c>
      <c r="AC5028" s="4">
        <f t="shared" si="767"/>
        <v>0</v>
      </c>
      <c r="AD5028" s="6">
        <f t="shared" si="762"/>
        <v>0</v>
      </c>
      <c r="AE5028" s="2">
        <v>0.06</v>
      </c>
      <c r="AF5028" s="6">
        <f t="shared" si="768"/>
        <v>0</v>
      </c>
      <c r="AG5028" s="14">
        <v>0</v>
      </c>
      <c r="AH5028" s="64">
        <f t="shared" si="763"/>
        <v>0</v>
      </c>
      <c r="AI5028" s="47"/>
      <c r="AJ5028" s="126" t="e">
        <v>#N/A</v>
      </c>
      <c r="AK5028" s="80">
        <f t="shared" si="766"/>
        <v>0</v>
      </c>
      <c r="AM5028" s="85"/>
    </row>
    <row r="5029" spans="1:39" hidden="1" x14ac:dyDescent="0.3">
      <c r="A5029" s="89" t="s">
        <v>3397</v>
      </c>
      <c r="B5029" s="86" t="s">
        <v>35</v>
      </c>
      <c r="C5029" s="86" t="s">
        <v>36</v>
      </c>
      <c r="D5029" s="86" t="s">
        <v>54</v>
      </c>
      <c r="E5029" s="86" t="s">
        <v>101</v>
      </c>
      <c r="F5029" s="86" t="s">
        <v>101</v>
      </c>
      <c r="G5029" s="86" t="s">
        <v>101</v>
      </c>
      <c r="H5029" s="144">
        <v>229</v>
      </c>
      <c r="I5029" s="86" t="s">
        <v>3356</v>
      </c>
      <c r="J5029" s="1" t="s">
        <v>3326</v>
      </c>
      <c r="K5029" s="1" t="s">
        <v>3707</v>
      </c>
      <c r="L5029" s="1" t="s">
        <v>35</v>
      </c>
      <c r="M5029" s="86"/>
      <c r="N5029" s="86" t="s">
        <v>3707</v>
      </c>
      <c r="O5029" s="47" t="s">
        <v>45</v>
      </c>
      <c r="P5029" s="47" t="s">
        <v>41</v>
      </c>
      <c r="Q5029" s="14">
        <v>0</v>
      </c>
      <c r="R5029" s="143"/>
      <c r="S5029" s="47"/>
      <c r="T5029" s="6">
        <v>1949877.0899999999</v>
      </c>
      <c r="U5029" s="6"/>
      <c r="V5029" s="6">
        <v>534363.81999999995</v>
      </c>
      <c r="W5029" s="6">
        <f t="shared" si="760"/>
        <v>1415513.27</v>
      </c>
      <c r="X5029" s="6">
        <f t="shared" si="761"/>
        <v>534363.81999999995</v>
      </c>
      <c r="Y5029" s="13">
        <f t="shared" si="764"/>
        <v>0</v>
      </c>
      <c r="Z5029" s="14">
        <v>0</v>
      </c>
      <c r="AA5029" s="6">
        <v>0</v>
      </c>
      <c r="AB5029" s="4">
        <f t="shared" si="765"/>
        <v>534363.81999999995</v>
      </c>
      <c r="AC5029" s="4">
        <f t="shared" si="767"/>
        <v>0</v>
      </c>
      <c r="AD5029" s="6">
        <f t="shared" si="762"/>
        <v>534363.81999999995</v>
      </c>
      <c r="AE5029" s="2">
        <v>0.06</v>
      </c>
      <c r="AF5029" s="6">
        <f t="shared" si="768"/>
        <v>32061.829199999996</v>
      </c>
      <c r="AG5029" s="14">
        <v>0</v>
      </c>
      <c r="AH5029" s="64">
        <f t="shared" si="763"/>
        <v>534363.81999999995</v>
      </c>
      <c r="AI5029" s="47"/>
      <c r="AJ5029" s="126" t="e">
        <v>#N/A</v>
      </c>
      <c r="AK5029" s="80">
        <f t="shared" si="766"/>
        <v>0</v>
      </c>
      <c r="AM5029" s="85"/>
    </row>
    <row r="5030" spans="1:39" hidden="1" x14ac:dyDescent="0.3">
      <c r="A5030" s="89" t="s">
        <v>3394</v>
      </c>
      <c r="B5030" s="86" t="s">
        <v>35</v>
      </c>
      <c r="C5030" s="86" t="s">
        <v>36</v>
      </c>
      <c r="D5030" s="86" t="s">
        <v>54</v>
      </c>
      <c r="E5030" s="86" t="s">
        <v>71</v>
      </c>
      <c r="F5030" s="86" t="s">
        <v>102</v>
      </c>
      <c r="G5030" s="86" t="s">
        <v>71</v>
      </c>
      <c r="H5030" s="143">
        <v>229</v>
      </c>
      <c r="I5030" s="86" t="s">
        <v>3356</v>
      </c>
      <c r="J5030" s="1" t="s">
        <v>3326</v>
      </c>
      <c r="K5030" s="1" t="s">
        <v>3718</v>
      </c>
      <c r="L5030" s="1" t="s">
        <v>35</v>
      </c>
      <c r="M5030" s="86"/>
      <c r="N5030" s="86" t="s">
        <v>3718</v>
      </c>
      <c r="O5030" s="47" t="s">
        <v>45</v>
      </c>
      <c r="P5030" s="47" t="s">
        <v>41</v>
      </c>
      <c r="Q5030" s="14">
        <v>0</v>
      </c>
      <c r="R5030" s="143"/>
      <c r="S5030" s="47"/>
      <c r="T5030" s="6">
        <v>3.0195224098861217E-10</v>
      </c>
      <c r="U5030" s="6"/>
      <c r="V5030" s="6">
        <v>0</v>
      </c>
      <c r="W5030" s="6">
        <f t="shared" si="760"/>
        <v>3.0195224098861217E-10</v>
      </c>
      <c r="X5030" s="6">
        <f t="shared" si="761"/>
        <v>0</v>
      </c>
      <c r="Y5030" s="13">
        <f t="shared" si="764"/>
        <v>0</v>
      </c>
      <c r="Z5030" s="14">
        <v>0</v>
      </c>
      <c r="AA5030" s="6">
        <v>0</v>
      </c>
      <c r="AB5030" s="4">
        <f t="shared" si="765"/>
        <v>0</v>
      </c>
      <c r="AC5030" s="4">
        <f t="shared" si="767"/>
        <v>0</v>
      </c>
      <c r="AD5030" s="6">
        <f t="shared" si="762"/>
        <v>0</v>
      </c>
      <c r="AE5030" s="2">
        <v>0.06</v>
      </c>
      <c r="AF5030" s="6">
        <f t="shared" si="768"/>
        <v>0</v>
      </c>
      <c r="AG5030" s="14">
        <v>0</v>
      </c>
      <c r="AH5030" s="64">
        <f t="shared" si="763"/>
        <v>0</v>
      </c>
      <c r="AI5030" s="47"/>
      <c r="AJ5030" s="126" t="e">
        <v>#N/A</v>
      </c>
      <c r="AK5030" s="80">
        <f t="shared" si="766"/>
        <v>0</v>
      </c>
      <c r="AM5030" s="85"/>
    </row>
    <row r="5031" spans="1:39" hidden="1" x14ac:dyDescent="0.3">
      <c r="A5031" s="89" t="s">
        <v>3394</v>
      </c>
      <c r="B5031" s="86" t="s">
        <v>35</v>
      </c>
      <c r="C5031" s="86" t="s">
        <v>36</v>
      </c>
      <c r="D5031" s="86" t="s">
        <v>54</v>
      </c>
      <c r="E5031" s="86" t="s">
        <v>103</v>
      </c>
      <c r="F5031" s="86" t="s">
        <v>104</v>
      </c>
      <c r="G5031" s="86" t="s">
        <v>103</v>
      </c>
      <c r="H5031" s="144">
        <v>229</v>
      </c>
      <c r="I5031" s="86" t="s">
        <v>3356</v>
      </c>
      <c r="J5031" s="1" t="s">
        <v>3326</v>
      </c>
      <c r="K5031" s="1" t="s">
        <v>3718</v>
      </c>
      <c r="L5031" s="1" t="s">
        <v>35</v>
      </c>
      <c r="M5031" s="86"/>
      <c r="N5031" s="86" t="s">
        <v>3718</v>
      </c>
      <c r="O5031" s="47" t="s">
        <v>105</v>
      </c>
      <c r="P5031" s="47" t="s">
        <v>41</v>
      </c>
      <c r="Q5031" s="14">
        <v>0</v>
      </c>
      <c r="R5031" s="143"/>
      <c r="S5031" s="47"/>
      <c r="T5031" s="6">
        <v>-63565.73000000001</v>
      </c>
      <c r="U5031" s="6"/>
      <c r="V5031" s="6">
        <v>417935.77</v>
      </c>
      <c r="W5031" s="6">
        <f t="shared" si="760"/>
        <v>-481501.5</v>
      </c>
      <c r="X5031" s="6">
        <f t="shared" si="761"/>
        <v>417935.77</v>
      </c>
      <c r="Y5031" s="13">
        <f t="shared" si="764"/>
        <v>0</v>
      </c>
      <c r="Z5031" s="14">
        <v>0</v>
      </c>
      <c r="AA5031" s="6">
        <v>0</v>
      </c>
      <c r="AB5031" s="4">
        <f t="shared" si="765"/>
        <v>417935.77</v>
      </c>
      <c r="AC5031" s="4">
        <f t="shared" si="767"/>
        <v>0</v>
      </c>
      <c r="AD5031" s="6">
        <f t="shared" si="762"/>
        <v>417935.77</v>
      </c>
      <c r="AE5031" s="2">
        <v>0.06</v>
      </c>
      <c r="AF5031" s="6">
        <f t="shared" si="768"/>
        <v>25076.146199999999</v>
      </c>
      <c r="AG5031" s="14">
        <v>0</v>
      </c>
      <c r="AH5031" s="64">
        <f t="shared" si="763"/>
        <v>417935.77</v>
      </c>
      <c r="AI5031" s="47"/>
      <c r="AJ5031" s="126" t="e">
        <v>#N/A</v>
      </c>
      <c r="AK5031" s="80">
        <f t="shared" si="766"/>
        <v>0</v>
      </c>
      <c r="AM5031" s="85"/>
    </row>
    <row r="5032" spans="1:39" hidden="1" x14ac:dyDescent="0.3">
      <c r="A5032" s="89" t="s">
        <v>3394</v>
      </c>
      <c r="B5032" s="86" t="s">
        <v>35</v>
      </c>
      <c r="C5032" s="86" t="s">
        <v>65</v>
      </c>
      <c r="D5032" s="86" t="s">
        <v>125</v>
      </c>
      <c r="E5032" s="86" t="s">
        <v>126</v>
      </c>
      <c r="F5032" s="86" t="s">
        <v>126</v>
      </c>
      <c r="G5032" s="86" t="s">
        <v>126</v>
      </c>
      <c r="H5032" s="143">
        <v>229</v>
      </c>
      <c r="I5032" s="86" t="s">
        <v>3356</v>
      </c>
      <c r="J5032" s="1" t="s">
        <v>3326</v>
      </c>
      <c r="K5032" s="1" t="s">
        <v>3710</v>
      </c>
      <c r="L5032" s="1" t="s">
        <v>35</v>
      </c>
      <c r="M5032" s="86"/>
      <c r="N5032" s="86" t="s">
        <v>3710</v>
      </c>
      <c r="O5032" s="47" t="s">
        <v>45</v>
      </c>
      <c r="P5032" s="47" t="s">
        <v>41</v>
      </c>
      <c r="Q5032" s="14">
        <v>0</v>
      </c>
      <c r="R5032" s="143"/>
      <c r="S5032" s="47"/>
      <c r="T5032" s="6">
        <v>468.18999999994412</v>
      </c>
      <c r="U5032" s="6"/>
      <c r="V5032" s="6">
        <v>0</v>
      </c>
      <c r="W5032" s="6">
        <v>0</v>
      </c>
      <c r="X5032" s="6">
        <f t="shared" si="761"/>
        <v>0</v>
      </c>
      <c r="Y5032" s="13">
        <f t="shared" si="764"/>
        <v>0</v>
      </c>
      <c r="Z5032" s="14">
        <v>0</v>
      </c>
      <c r="AA5032" s="6">
        <v>0</v>
      </c>
      <c r="AB5032" s="4">
        <f t="shared" si="765"/>
        <v>0</v>
      </c>
      <c r="AC5032" s="4">
        <f t="shared" si="767"/>
        <v>0</v>
      </c>
      <c r="AD5032" s="6">
        <f t="shared" si="762"/>
        <v>0</v>
      </c>
      <c r="AE5032" s="2">
        <v>0.06</v>
      </c>
      <c r="AF5032" s="6">
        <f t="shared" si="768"/>
        <v>0</v>
      </c>
      <c r="AG5032" s="14">
        <v>0</v>
      </c>
      <c r="AH5032" s="64">
        <f t="shared" si="763"/>
        <v>0</v>
      </c>
      <c r="AI5032" s="47"/>
      <c r="AJ5032" s="126" t="e">
        <v>#N/A</v>
      </c>
      <c r="AK5032" s="80">
        <f t="shared" si="766"/>
        <v>0</v>
      </c>
      <c r="AM5032" s="85"/>
    </row>
    <row r="5033" spans="1:39" hidden="1" x14ac:dyDescent="0.3">
      <c r="A5033" s="89" t="s">
        <v>3394</v>
      </c>
      <c r="B5033" s="86" t="s">
        <v>35</v>
      </c>
      <c r="C5033" s="86" t="s">
        <v>144</v>
      </c>
      <c r="D5033" s="86" t="s">
        <v>145</v>
      </c>
      <c r="E5033" s="86" t="s">
        <v>149</v>
      </c>
      <c r="F5033" s="86" t="s">
        <v>149</v>
      </c>
      <c r="G5033" s="86" t="s">
        <v>149</v>
      </c>
      <c r="H5033" s="143">
        <v>229</v>
      </c>
      <c r="I5033" s="86" t="s">
        <v>3356</v>
      </c>
      <c r="J5033" s="1" t="s">
        <v>3326</v>
      </c>
      <c r="K5033" s="1" t="s">
        <v>3712</v>
      </c>
      <c r="L5033" s="1" t="s">
        <v>35</v>
      </c>
      <c r="M5033" s="86"/>
      <c r="N5033" s="86" t="s">
        <v>3712</v>
      </c>
      <c r="O5033" s="47" t="s">
        <v>45</v>
      </c>
      <c r="P5033" s="47" t="s">
        <v>41</v>
      </c>
      <c r="Q5033" s="14">
        <v>0</v>
      </c>
      <c r="R5033" s="143"/>
      <c r="S5033" s="47"/>
      <c r="T5033" s="6">
        <v>100000</v>
      </c>
      <c r="U5033" s="6"/>
      <c r="V5033" s="6">
        <v>0</v>
      </c>
      <c r="W5033" s="6">
        <f t="shared" si="760"/>
        <v>100000</v>
      </c>
      <c r="X5033" s="6">
        <f t="shared" si="761"/>
        <v>0</v>
      </c>
      <c r="Y5033" s="13">
        <f t="shared" si="764"/>
        <v>0</v>
      </c>
      <c r="Z5033" s="14">
        <v>0</v>
      </c>
      <c r="AA5033" s="6">
        <v>0</v>
      </c>
      <c r="AB5033" s="4">
        <f t="shared" si="765"/>
        <v>0</v>
      </c>
      <c r="AC5033" s="4">
        <f t="shared" si="767"/>
        <v>0</v>
      </c>
      <c r="AD5033" s="6">
        <f t="shared" si="762"/>
        <v>0</v>
      </c>
      <c r="AE5033" s="2">
        <v>0.06</v>
      </c>
      <c r="AF5033" s="6">
        <f t="shared" si="768"/>
        <v>0</v>
      </c>
      <c r="AG5033" s="14">
        <v>0</v>
      </c>
      <c r="AH5033" s="64">
        <f t="shared" si="763"/>
        <v>0</v>
      </c>
      <c r="AI5033" s="47"/>
      <c r="AJ5033" s="126" t="e">
        <v>#N/A</v>
      </c>
      <c r="AK5033" s="80">
        <f t="shared" si="766"/>
        <v>0</v>
      </c>
      <c r="AM5033" s="85"/>
    </row>
    <row r="5034" spans="1:39" hidden="1" x14ac:dyDescent="0.3">
      <c r="A5034" s="89" t="s">
        <v>3395</v>
      </c>
      <c r="B5034" s="86" t="s">
        <v>35</v>
      </c>
      <c r="C5034" s="86" t="s">
        <v>144</v>
      </c>
      <c r="D5034" s="86" t="s">
        <v>152</v>
      </c>
      <c r="E5034" s="86" t="s">
        <v>155</v>
      </c>
      <c r="F5034" s="86" t="s">
        <v>156</v>
      </c>
      <c r="G5034" s="86" t="s">
        <v>155</v>
      </c>
      <c r="H5034" s="143">
        <v>229</v>
      </c>
      <c r="I5034" s="86" t="s">
        <v>3356</v>
      </c>
      <c r="J5034" s="1" t="s">
        <v>3326</v>
      </c>
      <c r="K5034" s="1" t="s">
        <v>3712</v>
      </c>
      <c r="L5034" s="1" t="s">
        <v>35</v>
      </c>
      <c r="M5034" s="86"/>
      <c r="N5034" s="86" t="s">
        <v>3712</v>
      </c>
      <c r="O5034" s="47" t="s">
        <v>45</v>
      </c>
      <c r="P5034" s="47" t="s">
        <v>46</v>
      </c>
      <c r="Q5034" s="14">
        <v>0.03</v>
      </c>
      <c r="R5034" s="143"/>
      <c r="S5034" s="47"/>
      <c r="T5034" s="6">
        <v>42219.16</v>
      </c>
      <c r="U5034" s="6"/>
      <c r="V5034" s="6">
        <v>0</v>
      </c>
      <c r="W5034" s="6">
        <f t="shared" si="760"/>
        <v>42219.16</v>
      </c>
      <c r="X5034" s="6">
        <f t="shared" si="761"/>
        <v>0</v>
      </c>
      <c r="Y5034" s="13">
        <f t="shared" si="764"/>
        <v>0</v>
      </c>
      <c r="Z5034" s="14">
        <v>0</v>
      </c>
      <c r="AA5034" s="6">
        <v>0</v>
      </c>
      <c r="AB5034" s="4">
        <f t="shared" si="765"/>
        <v>0</v>
      </c>
      <c r="AC5034" s="4">
        <f t="shared" si="767"/>
        <v>0</v>
      </c>
      <c r="AD5034" s="6">
        <f t="shared" si="762"/>
        <v>0</v>
      </c>
      <c r="AE5034" s="2">
        <v>0.06</v>
      </c>
      <c r="AF5034" s="6">
        <f t="shared" si="768"/>
        <v>0</v>
      </c>
      <c r="AG5034" s="14">
        <v>0</v>
      </c>
      <c r="AH5034" s="64">
        <f t="shared" si="763"/>
        <v>0</v>
      </c>
      <c r="AI5034" s="47"/>
      <c r="AJ5034" s="126" t="e">
        <v>#N/A</v>
      </c>
      <c r="AK5034" s="80">
        <f t="shared" si="766"/>
        <v>0</v>
      </c>
      <c r="AM5034" s="85"/>
    </row>
    <row r="5035" spans="1:39" hidden="1" x14ac:dyDescent="0.3">
      <c r="A5035" s="89" t="s">
        <v>3394</v>
      </c>
      <c r="B5035" s="86" t="s">
        <v>35</v>
      </c>
      <c r="C5035" s="86" t="s">
        <v>144</v>
      </c>
      <c r="D5035" s="86" t="s">
        <v>152</v>
      </c>
      <c r="E5035" s="86" t="s">
        <v>160</v>
      </c>
      <c r="F5035" s="86" t="s">
        <v>160</v>
      </c>
      <c r="G5035" s="86" t="s">
        <v>160</v>
      </c>
      <c r="H5035" s="143">
        <v>229</v>
      </c>
      <c r="I5035" s="86" t="s">
        <v>3356</v>
      </c>
      <c r="J5035" s="1" t="s">
        <v>3326</v>
      </c>
      <c r="K5035" s="1" t="s">
        <v>3712</v>
      </c>
      <c r="L5035" s="1" t="s">
        <v>35</v>
      </c>
      <c r="M5035" s="86"/>
      <c r="N5035" s="86" t="s">
        <v>3712</v>
      </c>
      <c r="O5035" s="47" t="s">
        <v>45</v>
      </c>
      <c r="P5035" s="47" t="s">
        <v>41</v>
      </c>
      <c r="Q5035" s="14">
        <v>0</v>
      </c>
      <c r="R5035" s="143"/>
      <c r="S5035" s="47"/>
      <c r="T5035" s="6">
        <v>69393.119999999908</v>
      </c>
      <c r="U5035" s="6"/>
      <c r="V5035" s="6">
        <v>0</v>
      </c>
      <c r="W5035" s="6">
        <f t="shared" si="760"/>
        <v>69393.119999999908</v>
      </c>
      <c r="X5035" s="6">
        <f t="shared" si="761"/>
        <v>0</v>
      </c>
      <c r="Y5035" s="13">
        <f t="shared" si="764"/>
        <v>0</v>
      </c>
      <c r="Z5035" s="14">
        <v>0</v>
      </c>
      <c r="AA5035" s="6">
        <v>0</v>
      </c>
      <c r="AB5035" s="4">
        <f t="shared" si="765"/>
        <v>0</v>
      </c>
      <c r="AC5035" s="4">
        <f t="shared" si="767"/>
        <v>0</v>
      </c>
      <c r="AD5035" s="6">
        <f t="shared" si="762"/>
        <v>0</v>
      </c>
      <c r="AE5035" s="2">
        <v>0.06</v>
      </c>
      <c r="AF5035" s="6">
        <f t="shared" si="768"/>
        <v>0</v>
      </c>
      <c r="AG5035" s="14">
        <v>0</v>
      </c>
      <c r="AH5035" s="64">
        <f t="shared" si="763"/>
        <v>0</v>
      </c>
      <c r="AI5035" s="47"/>
      <c r="AJ5035" s="126" t="e">
        <v>#N/A</v>
      </c>
      <c r="AK5035" s="80">
        <f t="shared" si="766"/>
        <v>0</v>
      </c>
      <c r="AM5035" s="85"/>
    </row>
    <row r="5036" spans="1:39" hidden="1" x14ac:dyDescent="0.3">
      <c r="A5036" s="89" t="s">
        <v>3397</v>
      </c>
      <c r="B5036" s="86" t="s">
        <v>35</v>
      </c>
      <c r="C5036" s="86" t="s">
        <v>164</v>
      </c>
      <c r="D5036" s="86" t="s">
        <v>174</v>
      </c>
      <c r="E5036" s="86" t="s">
        <v>178</v>
      </c>
      <c r="F5036" s="86" t="s">
        <v>179</v>
      </c>
      <c r="G5036" s="86" t="s">
        <v>178</v>
      </c>
      <c r="H5036" s="143">
        <v>229</v>
      </c>
      <c r="I5036" s="86" t="s">
        <v>3356</v>
      </c>
      <c r="J5036" s="1" t="s">
        <v>3326</v>
      </c>
      <c r="K5036" s="1" t="s">
        <v>3283</v>
      </c>
      <c r="L5036" s="1" t="s">
        <v>35</v>
      </c>
      <c r="M5036" s="86"/>
      <c r="N5036" s="86" t="s">
        <v>3283</v>
      </c>
      <c r="O5036" s="47" t="s">
        <v>45</v>
      </c>
      <c r="P5036" s="47" t="s">
        <v>46</v>
      </c>
      <c r="Q5036" s="14">
        <v>0.05</v>
      </c>
      <c r="R5036" s="143"/>
      <c r="S5036" s="47"/>
      <c r="T5036" s="6">
        <v>3196977.4600000018</v>
      </c>
      <c r="U5036" s="6"/>
      <c r="V5036" s="6">
        <v>0</v>
      </c>
      <c r="W5036" s="6">
        <f t="shared" si="760"/>
        <v>3196977.4600000018</v>
      </c>
      <c r="X5036" s="6">
        <f t="shared" si="761"/>
        <v>0</v>
      </c>
      <c r="Y5036" s="13">
        <f t="shared" si="764"/>
        <v>0</v>
      </c>
      <c r="Z5036" s="14">
        <v>0</v>
      </c>
      <c r="AA5036" s="6">
        <v>0</v>
      </c>
      <c r="AB5036" s="4">
        <f t="shared" si="765"/>
        <v>0</v>
      </c>
      <c r="AC5036" s="4">
        <f t="shared" si="767"/>
        <v>0</v>
      </c>
      <c r="AD5036" s="6">
        <f t="shared" si="762"/>
        <v>0</v>
      </c>
      <c r="AE5036" s="2">
        <v>0.06</v>
      </c>
      <c r="AF5036" s="6">
        <f t="shared" si="768"/>
        <v>0</v>
      </c>
      <c r="AG5036" s="14">
        <v>0</v>
      </c>
      <c r="AH5036" s="64">
        <f t="shared" si="763"/>
        <v>0</v>
      </c>
      <c r="AI5036" s="47"/>
      <c r="AJ5036" s="126" t="e">
        <v>#N/A</v>
      </c>
      <c r="AK5036" s="80">
        <f t="shared" si="766"/>
        <v>0</v>
      </c>
      <c r="AM5036" s="85"/>
    </row>
    <row r="5037" spans="1:39" hidden="1" x14ac:dyDescent="0.3">
      <c r="A5037" s="89" t="s">
        <v>3394</v>
      </c>
      <c r="B5037" s="86" t="s">
        <v>35</v>
      </c>
      <c r="C5037" s="86" t="s">
        <v>187</v>
      </c>
      <c r="D5037" s="86" t="s">
        <v>188</v>
      </c>
      <c r="E5037" s="86" t="s">
        <v>191</v>
      </c>
      <c r="F5037" s="86" t="s">
        <v>191</v>
      </c>
      <c r="G5037" s="86" t="s">
        <v>191</v>
      </c>
      <c r="H5037" s="143">
        <v>229</v>
      </c>
      <c r="I5037" s="86" t="s">
        <v>3356</v>
      </c>
      <c r="J5037" s="1" t="s">
        <v>3326</v>
      </c>
      <c r="K5037" s="1" t="s">
        <v>3712</v>
      </c>
      <c r="L5037" s="1" t="s">
        <v>35</v>
      </c>
      <c r="M5037" s="86"/>
      <c r="N5037" s="86" t="s">
        <v>3712</v>
      </c>
      <c r="O5037" s="47" t="s">
        <v>45</v>
      </c>
      <c r="P5037" s="47" t="s">
        <v>46</v>
      </c>
      <c r="Q5037" s="14">
        <v>0.03</v>
      </c>
      <c r="R5037" s="143"/>
      <c r="S5037" s="47"/>
      <c r="T5037" s="6">
        <v>87737.87999999999</v>
      </c>
      <c r="U5037" s="6"/>
      <c r="V5037" s="6">
        <v>0</v>
      </c>
      <c r="W5037" s="6">
        <f t="shared" si="760"/>
        <v>87737.87999999999</v>
      </c>
      <c r="X5037" s="6">
        <f t="shared" si="761"/>
        <v>0</v>
      </c>
      <c r="Y5037" s="13">
        <f t="shared" si="764"/>
        <v>0</v>
      </c>
      <c r="Z5037" s="14">
        <v>0</v>
      </c>
      <c r="AA5037" s="6">
        <v>0</v>
      </c>
      <c r="AB5037" s="4">
        <f t="shared" si="765"/>
        <v>0</v>
      </c>
      <c r="AC5037" s="4">
        <f t="shared" si="767"/>
        <v>0</v>
      </c>
      <c r="AD5037" s="6">
        <f t="shared" si="762"/>
        <v>0</v>
      </c>
      <c r="AE5037" s="2">
        <v>0.06</v>
      </c>
      <c r="AF5037" s="6">
        <f t="shared" si="768"/>
        <v>0</v>
      </c>
      <c r="AG5037" s="14">
        <v>0</v>
      </c>
      <c r="AH5037" s="64">
        <f t="shared" si="763"/>
        <v>0</v>
      </c>
      <c r="AI5037" s="47"/>
      <c r="AJ5037" s="126" t="e">
        <v>#N/A</v>
      </c>
      <c r="AK5037" s="80">
        <f t="shared" si="766"/>
        <v>0</v>
      </c>
      <c r="AM5037" s="85"/>
    </row>
    <row r="5038" spans="1:39" hidden="1" x14ac:dyDescent="0.3">
      <c r="A5038" s="89" t="s">
        <v>3394</v>
      </c>
      <c r="B5038" s="86" t="s">
        <v>35</v>
      </c>
      <c r="C5038" s="86" t="s">
        <v>187</v>
      </c>
      <c r="D5038" s="86" t="s">
        <v>188</v>
      </c>
      <c r="E5038" s="86" t="s">
        <v>192</v>
      </c>
      <c r="F5038" s="86" t="s">
        <v>192</v>
      </c>
      <c r="G5038" s="86" t="s">
        <v>192</v>
      </c>
      <c r="H5038" s="143">
        <v>229</v>
      </c>
      <c r="I5038" s="86" t="s">
        <v>3356</v>
      </c>
      <c r="J5038" s="1" t="s">
        <v>3326</v>
      </c>
      <c r="K5038" s="1" t="s">
        <v>3283</v>
      </c>
      <c r="L5038" s="1" t="s">
        <v>35</v>
      </c>
      <c r="M5038" s="86"/>
      <c r="N5038" s="86" t="s">
        <v>3283</v>
      </c>
      <c r="O5038" s="47" t="s">
        <v>45</v>
      </c>
      <c r="P5038" s="47" t="s">
        <v>41</v>
      </c>
      <c r="Q5038" s="14">
        <v>0</v>
      </c>
      <c r="R5038" s="143"/>
      <c r="S5038" s="47"/>
      <c r="T5038" s="6">
        <v>8000000</v>
      </c>
      <c r="U5038" s="6"/>
      <c r="V5038" s="6">
        <v>0</v>
      </c>
      <c r="W5038" s="6">
        <f t="shared" si="760"/>
        <v>8000000</v>
      </c>
      <c r="X5038" s="6">
        <f t="shared" si="761"/>
        <v>0</v>
      </c>
      <c r="Y5038" s="13">
        <f t="shared" si="764"/>
        <v>0</v>
      </c>
      <c r="Z5038" s="14">
        <v>0</v>
      </c>
      <c r="AA5038" s="6">
        <v>0</v>
      </c>
      <c r="AB5038" s="4">
        <f t="shared" si="765"/>
        <v>0</v>
      </c>
      <c r="AC5038" s="4">
        <f t="shared" si="767"/>
        <v>0</v>
      </c>
      <c r="AD5038" s="6">
        <f t="shared" si="762"/>
        <v>0</v>
      </c>
      <c r="AE5038" s="2">
        <v>0.06</v>
      </c>
      <c r="AF5038" s="6">
        <f t="shared" si="768"/>
        <v>0</v>
      </c>
      <c r="AG5038" s="14">
        <v>0</v>
      </c>
      <c r="AH5038" s="64">
        <f t="shared" si="763"/>
        <v>0</v>
      </c>
      <c r="AI5038" s="47"/>
      <c r="AJ5038" s="126" t="e">
        <v>#N/A</v>
      </c>
      <c r="AK5038" s="80">
        <f t="shared" si="766"/>
        <v>0</v>
      </c>
      <c r="AM5038" s="85"/>
    </row>
    <row r="5039" spans="1:39" hidden="1" x14ac:dyDescent="0.3">
      <c r="A5039" s="89" t="s">
        <v>3395</v>
      </c>
      <c r="B5039" s="86" t="s">
        <v>35</v>
      </c>
      <c r="C5039" s="86" t="s">
        <v>187</v>
      </c>
      <c r="D5039" s="86" t="s">
        <v>188</v>
      </c>
      <c r="E5039" s="86" t="s">
        <v>199</v>
      </c>
      <c r="F5039" s="86" t="s">
        <v>199</v>
      </c>
      <c r="G5039" s="86" t="s">
        <v>199</v>
      </c>
      <c r="H5039" s="144">
        <v>229</v>
      </c>
      <c r="I5039" s="86" t="s">
        <v>3356</v>
      </c>
      <c r="J5039" s="1" t="s">
        <v>3326</v>
      </c>
      <c r="K5039" s="1" t="s">
        <v>3283</v>
      </c>
      <c r="L5039" s="1" t="s">
        <v>35</v>
      </c>
      <c r="M5039" s="86"/>
      <c r="N5039" s="86" t="s">
        <v>3283</v>
      </c>
      <c r="O5039" s="47" t="s">
        <v>45</v>
      </c>
      <c r="P5039" s="47" t="s">
        <v>41</v>
      </c>
      <c r="Q5039" s="14">
        <v>0</v>
      </c>
      <c r="R5039" s="143"/>
      <c r="S5039" s="47"/>
      <c r="T5039" s="6">
        <v>1877420.9499999909</v>
      </c>
      <c r="U5039" s="6"/>
      <c r="V5039" s="6">
        <v>1877420.9499999909</v>
      </c>
      <c r="W5039" s="6">
        <f t="shared" si="760"/>
        <v>0</v>
      </c>
      <c r="X5039" s="6">
        <f t="shared" si="761"/>
        <v>1877420.9499999909</v>
      </c>
      <c r="Y5039" s="13">
        <f t="shared" si="764"/>
        <v>0</v>
      </c>
      <c r="Z5039" s="14">
        <v>0</v>
      </c>
      <c r="AA5039" s="6">
        <v>0</v>
      </c>
      <c r="AB5039" s="4">
        <f t="shared" si="765"/>
        <v>1877420.9499999909</v>
      </c>
      <c r="AC5039" s="4">
        <f t="shared" si="767"/>
        <v>0</v>
      </c>
      <c r="AD5039" s="6">
        <f t="shared" si="762"/>
        <v>1877420.9499999909</v>
      </c>
      <c r="AE5039" s="2">
        <v>0.06</v>
      </c>
      <c r="AF5039" s="6">
        <f t="shared" si="768"/>
        <v>112645.25699999944</v>
      </c>
      <c r="AG5039" s="14">
        <v>0</v>
      </c>
      <c r="AH5039" s="64">
        <f t="shared" si="763"/>
        <v>1877420.9499999909</v>
      </c>
      <c r="AI5039" s="47"/>
      <c r="AJ5039" s="126" t="e">
        <v>#N/A</v>
      </c>
      <c r="AK5039" s="80">
        <f t="shared" si="766"/>
        <v>0</v>
      </c>
      <c r="AM5039" s="85"/>
    </row>
    <row r="5040" spans="1:39" hidden="1" x14ac:dyDescent="0.3">
      <c r="A5040" s="89" t="s">
        <v>3394</v>
      </c>
      <c r="B5040" s="86" t="s">
        <v>35</v>
      </c>
      <c r="C5040" s="86" t="s">
        <v>187</v>
      </c>
      <c r="D5040" s="86" t="s">
        <v>188</v>
      </c>
      <c r="E5040" s="86" t="s">
        <v>201</v>
      </c>
      <c r="F5040" s="86" t="s">
        <v>201</v>
      </c>
      <c r="G5040" s="86" t="s">
        <v>201</v>
      </c>
      <c r="H5040" s="144">
        <v>229</v>
      </c>
      <c r="I5040" s="86" t="s">
        <v>3356</v>
      </c>
      <c r="J5040" s="1" t="s">
        <v>3326</v>
      </c>
      <c r="K5040" s="1" t="s">
        <v>3283</v>
      </c>
      <c r="L5040" s="1" t="s">
        <v>35</v>
      </c>
      <c r="M5040" s="86"/>
      <c r="N5040" s="86" t="s">
        <v>3283</v>
      </c>
      <c r="O5040" s="47" t="s">
        <v>45</v>
      </c>
      <c r="P5040" s="47" t="s">
        <v>41</v>
      </c>
      <c r="Q5040" s="14">
        <v>0</v>
      </c>
      <c r="R5040" s="143"/>
      <c r="S5040" s="47"/>
      <c r="T5040" s="6">
        <v>797483.3899999992</v>
      </c>
      <c r="U5040" s="6"/>
      <c r="V5040" s="6">
        <v>351400.33</v>
      </c>
      <c r="W5040" s="6">
        <f t="shared" si="760"/>
        <v>446083.05999999918</v>
      </c>
      <c r="X5040" s="6">
        <f t="shared" si="761"/>
        <v>351400.33</v>
      </c>
      <c r="Y5040" s="13">
        <f t="shared" si="764"/>
        <v>0</v>
      </c>
      <c r="Z5040" s="14">
        <v>0</v>
      </c>
      <c r="AA5040" s="6">
        <v>0</v>
      </c>
      <c r="AB5040" s="4">
        <f t="shared" si="765"/>
        <v>351400.33</v>
      </c>
      <c r="AC5040" s="4">
        <f t="shared" si="767"/>
        <v>0</v>
      </c>
      <c r="AD5040" s="6">
        <f t="shared" si="762"/>
        <v>351400.33</v>
      </c>
      <c r="AE5040" s="2">
        <v>0.06</v>
      </c>
      <c r="AF5040" s="6">
        <f t="shared" si="768"/>
        <v>21084.019800000002</v>
      </c>
      <c r="AG5040" s="14">
        <v>0</v>
      </c>
      <c r="AH5040" s="64">
        <f t="shared" si="763"/>
        <v>351400.33</v>
      </c>
      <c r="AI5040" s="47"/>
      <c r="AJ5040" s="126" t="e">
        <v>#N/A</v>
      </c>
      <c r="AK5040" s="80">
        <f t="shared" si="766"/>
        <v>0</v>
      </c>
      <c r="AM5040" s="85"/>
    </row>
    <row r="5041" spans="1:39" hidden="1" x14ac:dyDescent="0.3">
      <c r="A5041" s="89" t="s">
        <v>3395</v>
      </c>
      <c r="B5041" s="86" t="s">
        <v>35</v>
      </c>
      <c r="C5041" s="86" t="s">
        <v>187</v>
      </c>
      <c r="D5041" s="86" t="s">
        <v>188</v>
      </c>
      <c r="E5041" s="86" t="s">
        <v>206</v>
      </c>
      <c r="F5041" s="86" t="s">
        <v>206</v>
      </c>
      <c r="G5041" s="86" t="s">
        <v>206</v>
      </c>
      <c r="H5041" s="144">
        <v>229</v>
      </c>
      <c r="I5041" s="86" t="s">
        <v>3356</v>
      </c>
      <c r="J5041" s="1" t="s">
        <v>3326</v>
      </c>
      <c r="K5041" s="1" t="s">
        <v>3283</v>
      </c>
      <c r="L5041" s="1" t="s">
        <v>35</v>
      </c>
      <c r="M5041" s="86"/>
      <c r="N5041" s="86" t="s">
        <v>3283</v>
      </c>
      <c r="O5041" s="47" t="s">
        <v>45</v>
      </c>
      <c r="P5041" s="47" t="s">
        <v>41</v>
      </c>
      <c r="Q5041" s="14">
        <v>0</v>
      </c>
      <c r="R5041" s="143"/>
      <c r="S5041" s="47"/>
      <c r="T5041" s="6">
        <v>200000</v>
      </c>
      <c r="U5041" s="6"/>
      <c r="V5041" s="6">
        <v>177089.29999999411</v>
      </c>
      <c r="W5041" s="6">
        <f t="shared" si="760"/>
        <v>22910.700000005891</v>
      </c>
      <c r="X5041" s="6">
        <f t="shared" si="761"/>
        <v>177089.29999999411</v>
      </c>
      <c r="Y5041" s="13">
        <f t="shared" si="764"/>
        <v>0</v>
      </c>
      <c r="Z5041" s="14">
        <v>0</v>
      </c>
      <c r="AA5041" s="6">
        <v>0</v>
      </c>
      <c r="AB5041" s="4">
        <f t="shared" si="765"/>
        <v>177089.29999999411</v>
      </c>
      <c r="AC5041" s="4">
        <f t="shared" si="767"/>
        <v>0</v>
      </c>
      <c r="AD5041" s="6">
        <f t="shared" si="762"/>
        <v>177089.29999999411</v>
      </c>
      <c r="AE5041" s="2">
        <v>0.06</v>
      </c>
      <c r="AF5041" s="6">
        <f t="shared" si="768"/>
        <v>10625.357999999645</v>
      </c>
      <c r="AG5041" s="14">
        <v>0</v>
      </c>
      <c r="AH5041" s="64">
        <f t="shared" si="763"/>
        <v>177089.29999999411</v>
      </c>
      <c r="AI5041" s="47"/>
      <c r="AJ5041" s="126" t="s">
        <v>4218</v>
      </c>
      <c r="AK5041" s="80">
        <f t="shared" si="766"/>
        <v>0</v>
      </c>
      <c r="AL5041" s="150"/>
      <c r="AM5041" s="85"/>
    </row>
    <row r="5042" spans="1:39" hidden="1" x14ac:dyDescent="0.3">
      <c r="A5042" s="89" t="s">
        <v>3394</v>
      </c>
      <c r="B5042" s="86" t="s">
        <v>35</v>
      </c>
      <c r="C5042" s="86" t="s">
        <v>187</v>
      </c>
      <c r="D5042" s="86" t="s">
        <v>208</v>
      </c>
      <c r="E5042" s="86" t="s">
        <v>213</v>
      </c>
      <c r="F5042" s="86" t="s">
        <v>213</v>
      </c>
      <c r="G5042" s="86" t="s">
        <v>213</v>
      </c>
      <c r="H5042" s="144">
        <v>229</v>
      </c>
      <c r="I5042" s="86" t="s">
        <v>3356</v>
      </c>
      <c r="J5042" s="1" t="s">
        <v>3326</v>
      </c>
      <c r="K5042" s="1" t="s">
        <v>3283</v>
      </c>
      <c r="L5042" s="1" t="s">
        <v>35</v>
      </c>
      <c r="M5042" s="86"/>
      <c r="N5042" s="86" t="s">
        <v>3283</v>
      </c>
      <c r="O5042" s="47" t="s">
        <v>45</v>
      </c>
      <c r="P5042" s="47" t="s">
        <v>41</v>
      </c>
      <c r="Q5042" s="14">
        <v>0</v>
      </c>
      <c r="R5042" s="143"/>
      <c r="S5042" s="47"/>
      <c r="T5042" s="6">
        <v>261501.7300000001</v>
      </c>
      <c r="U5042" s="6"/>
      <c r="V5042" s="6">
        <v>3762.14</v>
      </c>
      <c r="W5042" s="6">
        <f t="shared" si="760"/>
        <v>257739.59000000008</v>
      </c>
      <c r="X5042" s="6">
        <f t="shared" si="761"/>
        <v>3762.14</v>
      </c>
      <c r="Y5042" s="13">
        <f t="shared" si="764"/>
        <v>0</v>
      </c>
      <c r="Z5042" s="14">
        <v>0</v>
      </c>
      <c r="AA5042" s="6">
        <v>0</v>
      </c>
      <c r="AB5042" s="4">
        <f t="shared" si="765"/>
        <v>3762.14</v>
      </c>
      <c r="AC5042" s="4">
        <f t="shared" si="767"/>
        <v>0</v>
      </c>
      <c r="AD5042" s="6">
        <f t="shared" si="762"/>
        <v>3762.14</v>
      </c>
      <c r="AE5042" s="2">
        <v>0.06</v>
      </c>
      <c r="AF5042" s="6">
        <f t="shared" si="768"/>
        <v>225.72839999999999</v>
      </c>
      <c r="AG5042" s="14">
        <v>0</v>
      </c>
      <c r="AH5042" s="64">
        <f t="shared" si="763"/>
        <v>3762.14</v>
      </c>
      <c r="AI5042" s="47"/>
      <c r="AJ5042" s="126" t="e">
        <v>#N/A</v>
      </c>
      <c r="AK5042" s="80">
        <f t="shared" si="766"/>
        <v>0</v>
      </c>
      <c r="AM5042" s="85"/>
    </row>
    <row r="5043" spans="1:39" hidden="1" x14ac:dyDescent="0.3">
      <c r="A5043" s="89" t="s">
        <v>3395</v>
      </c>
      <c r="B5043" s="86" t="s">
        <v>35</v>
      </c>
      <c r="C5043" s="86" t="s">
        <v>59</v>
      </c>
      <c r="D5043" s="86" t="s">
        <v>60</v>
      </c>
      <c r="E5043" s="86" t="s">
        <v>222</v>
      </c>
      <c r="F5043" s="86" t="s">
        <v>223</v>
      </c>
      <c r="G5043" s="86" t="s">
        <v>222</v>
      </c>
      <c r="H5043" s="143">
        <v>229</v>
      </c>
      <c r="I5043" s="86" t="s">
        <v>3356</v>
      </c>
      <c r="J5043" s="1" t="s">
        <v>3326</v>
      </c>
      <c r="K5043" s="1" t="s">
        <v>3712</v>
      </c>
      <c r="L5043" s="1" t="s">
        <v>35</v>
      </c>
      <c r="M5043" s="86"/>
      <c r="N5043" s="86" t="s">
        <v>3712</v>
      </c>
      <c r="O5043" s="47" t="s">
        <v>45</v>
      </c>
      <c r="P5043" s="47" t="s">
        <v>41</v>
      </c>
      <c r="Q5043" s="14">
        <v>0</v>
      </c>
      <c r="R5043" s="143"/>
      <c r="S5043" s="47"/>
      <c r="T5043" s="6">
        <v>9989.83</v>
      </c>
      <c r="U5043" s="6"/>
      <c r="V5043" s="6">
        <v>0</v>
      </c>
      <c r="W5043" s="6">
        <f t="shared" si="760"/>
        <v>9989.83</v>
      </c>
      <c r="X5043" s="6">
        <f t="shared" si="761"/>
        <v>0</v>
      </c>
      <c r="Y5043" s="13">
        <f t="shared" si="764"/>
        <v>0</v>
      </c>
      <c r="Z5043" s="14">
        <v>0</v>
      </c>
      <c r="AA5043" s="6">
        <v>0</v>
      </c>
      <c r="AB5043" s="4">
        <f t="shared" si="765"/>
        <v>0</v>
      </c>
      <c r="AC5043" s="4">
        <f t="shared" si="767"/>
        <v>0</v>
      </c>
      <c r="AD5043" s="6">
        <f t="shared" si="762"/>
        <v>0</v>
      </c>
      <c r="AE5043" s="2">
        <v>0.06</v>
      </c>
      <c r="AF5043" s="6">
        <f t="shared" si="768"/>
        <v>0</v>
      </c>
      <c r="AG5043" s="14">
        <v>0</v>
      </c>
      <c r="AH5043" s="64">
        <f t="shared" si="763"/>
        <v>0</v>
      </c>
      <c r="AI5043" s="47"/>
      <c r="AJ5043" s="126" t="e">
        <v>#N/A</v>
      </c>
      <c r="AK5043" s="80">
        <f t="shared" si="766"/>
        <v>0</v>
      </c>
      <c r="AM5043" s="85"/>
    </row>
    <row r="5044" spans="1:39" hidden="1" x14ac:dyDescent="0.3">
      <c r="A5044" s="89" t="s">
        <v>3395</v>
      </c>
      <c r="B5044" s="86" t="s">
        <v>35</v>
      </c>
      <c r="C5044" s="86" t="s">
        <v>59</v>
      </c>
      <c r="D5044" s="86" t="s">
        <v>60</v>
      </c>
      <c r="E5044" s="86" t="s">
        <v>78</v>
      </c>
      <c r="F5044" s="86" t="s">
        <v>81</v>
      </c>
      <c r="G5044" s="86" t="s">
        <v>78</v>
      </c>
      <c r="H5044" s="144">
        <v>229</v>
      </c>
      <c r="I5044" s="86" t="s">
        <v>3356</v>
      </c>
      <c r="J5044" s="1" t="s">
        <v>3326</v>
      </c>
      <c r="K5044" s="1" t="s">
        <v>3718</v>
      </c>
      <c r="L5044" s="1" t="s">
        <v>35</v>
      </c>
      <c r="M5044" s="86"/>
      <c r="N5044" s="86" t="s">
        <v>3736</v>
      </c>
      <c r="O5044" s="47" t="s">
        <v>45</v>
      </c>
      <c r="P5044" s="47" t="s">
        <v>92</v>
      </c>
      <c r="Q5044" s="14">
        <v>0.93</v>
      </c>
      <c r="R5044" s="143"/>
      <c r="S5044" s="47"/>
      <c r="T5044" s="6">
        <v>67081.169999999984</v>
      </c>
      <c r="U5044" s="6"/>
      <c r="V5044" s="6">
        <v>22287.73</v>
      </c>
      <c r="W5044" s="6">
        <f t="shared" si="760"/>
        <v>44793.439999999988</v>
      </c>
      <c r="X5044" s="6">
        <f t="shared" si="761"/>
        <v>20727.588900000002</v>
      </c>
      <c r="Y5044" s="13">
        <f t="shared" si="764"/>
        <v>0</v>
      </c>
      <c r="Z5044" s="14">
        <v>0</v>
      </c>
      <c r="AA5044" s="6">
        <v>0</v>
      </c>
      <c r="AB5044" s="4">
        <f t="shared" si="765"/>
        <v>20727.588900000002</v>
      </c>
      <c r="AC5044" s="4">
        <f t="shared" si="767"/>
        <v>1560.1410999999971</v>
      </c>
      <c r="AD5044" s="6">
        <f t="shared" si="762"/>
        <v>22287.73</v>
      </c>
      <c r="AE5044" s="2">
        <v>0.06</v>
      </c>
      <c r="AF5044" s="6">
        <f t="shared" si="768"/>
        <v>1337.2637999999999</v>
      </c>
      <c r="AG5044" s="14">
        <v>0</v>
      </c>
      <c r="AH5044" s="64">
        <f t="shared" si="763"/>
        <v>22287.73</v>
      </c>
      <c r="AI5044" s="47"/>
      <c r="AJ5044" s="126" t="e">
        <v>#N/A</v>
      </c>
      <c r="AK5044" s="80">
        <f t="shared" si="766"/>
        <v>0</v>
      </c>
      <c r="AM5044" s="85"/>
    </row>
    <row r="5045" spans="1:39" hidden="1" x14ac:dyDescent="0.3">
      <c r="A5045" s="89" t="s">
        <v>3394</v>
      </c>
      <c r="B5045" s="86" t="s">
        <v>35</v>
      </c>
      <c r="C5045" s="86" t="s">
        <v>36</v>
      </c>
      <c r="D5045" s="86" t="s">
        <v>54</v>
      </c>
      <c r="E5045" s="86" t="s">
        <v>227</v>
      </c>
      <c r="F5045" s="86" t="s">
        <v>227</v>
      </c>
      <c r="G5045" s="86" t="s">
        <v>227</v>
      </c>
      <c r="H5045" s="143">
        <v>229</v>
      </c>
      <c r="I5045" s="86" t="s">
        <v>3356</v>
      </c>
      <c r="J5045" s="1" t="s">
        <v>3326</v>
      </c>
      <c r="K5045" s="1" t="s">
        <v>3712</v>
      </c>
      <c r="L5045" s="1" t="s">
        <v>35</v>
      </c>
      <c r="M5045" s="86"/>
      <c r="N5045" s="86" t="s">
        <v>3712</v>
      </c>
      <c r="O5045" s="47" t="s">
        <v>45</v>
      </c>
      <c r="P5045" s="47" t="s">
        <v>41</v>
      </c>
      <c r="Q5045" s="14">
        <v>0</v>
      </c>
      <c r="R5045" s="143"/>
      <c r="S5045" s="47"/>
      <c r="T5045" s="6">
        <v>-871.09000000011292</v>
      </c>
      <c r="U5045" s="6"/>
      <c r="V5045" s="6">
        <v>0</v>
      </c>
      <c r="W5045" s="6">
        <f t="shared" si="760"/>
        <v>-871.09000000011292</v>
      </c>
      <c r="X5045" s="6">
        <f t="shared" si="761"/>
        <v>0</v>
      </c>
      <c r="Y5045" s="13">
        <f t="shared" si="764"/>
        <v>0</v>
      </c>
      <c r="Z5045" s="14">
        <v>0</v>
      </c>
      <c r="AA5045" s="6">
        <v>0</v>
      </c>
      <c r="AB5045" s="4">
        <f t="shared" si="765"/>
        <v>0</v>
      </c>
      <c r="AC5045" s="4">
        <f t="shared" si="767"/>
        <v>0</v>
      </c>
      <c r="AD5045" s="6">
        <f t="shared" si="762"/>
        <v>0</v>
      </c>
      <c r="AE5045" s="2">
        <v>0.06</v>
      </c>
      <c r="AF5045" s="6">
        <f t="shared" si="768"/>
        <v>0</v>
      </c>
      <c r="AG5045" s="14">
        <v>0</v>
      </c>
      <c r="AH5045" s="64">
        <f t="shared" si="763"/>
        <v>0</v>
      </c>
      <c r="AI5045" s="47"/>
      <c r="AJ5045" s="126" t="e">
        <v>#N/A</v>
      </c>
      <c r="AK5045" s="80">
        <f t="shared" si="766"/>
        <v>0</v>
      </c>
      <c r="AM5045" s="85"/>
    </row>
    <row r="5046" spans="1:39" hidden="1" x14ac:dyDescent="0.3">
      <c r="A5046" s="89" t="s">
        <v>3395</v>
      </c>
      <c r="B5046" s="86" t="s">
        <v>35</v>
      </c>
      <c r="C5046" s="86" t="s">
        <v>65</v>
      </c>
      <c r="D5046" s="86" t="s">
        <v>66</v>
      </c>
      <c r="E5046" s="86" t="s">
        <v>229</v>
      </c>
      <c r="F5046" s="86" t="s">
        <v>229</v>
      </c>
      <c r="G5046" s="86" t="s">
        <v>229</v>
      </c>
      <c r="H5046" s="143">
        <v>229</v>
      </c>
      <c r="I5046" s="86" t="s">
        <v>3356</v>
      </c>
      <c r="J5046" s="1" t="s">
        <v>3326</v>
      </c>
      <c r="K5046" s="1" t="s">
        <v>3712</v>
      </c>
      <c r="L5046" s="1" t="s">
        <v>35</v>
      </c>
      <c r="M5046" s="86"/>
      <c r="N5046" s="86" t="s">
        <v>3712</v>
      </c>
      <c r="O5046" s="47" t="s">
        <v>45</v>
      </c>
      <c r="P5046" s="47" t="s">
        <v>46</v>
      </c>
      <c r="Q5046" s="9">
        <v>0.05</v>
      </c>
      <c r="R5046" s="143"/>
      <c r="S5046" s="47"/>
      <c r="T5046" s="6">
        <v>109622.31000000046</v>
      </c>
      <c r="U5046" s="6"/>
      <c r="V5046" s="6">
        <v>0</v>
      </c>
      <c r="W5046" s="6">
        <f t="shared" si="760"/>
        <v>109622.31000000046</v>
      </c>
      <c r="X5046" s="6">
        <f t="shared" si="761"/>
        <v>0</v>
      </c>
      <c r="Y5046" s="13">
        <f t="shared" si="764"/>
        <v>0</v>
      </c>
      <c r="Z5046" s="14">
        <v>0</v>
      </c>
      <c r="AA5046" s="6">
        <v>0</v>
      </c>
      <c r="AB5046" s="4">
        <f t="shared" si="765"/>
        <v>0</v>
      </c>
      <c r="AC5046" s="4">
        <f t="shared" si="767"/>
        <v>0</v>
      </c>
      <c r="AD5046" s="6">
        <f t="shared" si="762"/>
        <v>0</v>
      </c>
      <c r="AE5046" s="2">
        <v>0.06</v>
      </c>
      <c r="AF5046" s="6">
        <f t="shared" si="768"/>
        <v>0</v>
      </c>
      <c r="AG5046" s="14">
        <v>0</v>
      </c>
      <c r="AH5046" s="64">
        <f t="shared" si="763"/>
        <v>0</v>
      </c>
      <c r="AI5046" s="47"/>
      <c r="AJ5046" s="126" t="e">
        <v>#N/A</v>
      </c>
      <c r="AK5046" s="80">
        <f t="shared" si="766"/>
        <v>0</v>
      </c>
      <c r="AM5046" s="85"/>
    </row>
    <row r="5047" spans="1:39" hidden="1" x14ac:dyDescent="0.3">
      <c r="A5047" s="89" t="s">
        <v>3395</v>
      </c>
      <c r="B5047" s="86" t="s">
        <v>35</v>
      </c>
      <c r="C5047" s="86" t="s">
        <v>65</v>
      </c>
      <c r="D5047" s="86" t="s">
        <v>66</v>
      </c>
      <c r="E5047" s="86" t="s">
        <v>233</v>
      </c>
      <c r="F5047" s="86" t="s">
        <v>233</v>
      </c>
      <c r="G5047" s="86" t="s">
        <v>233</v>
      </c>
      <c r="H5047" s="144">
        <v>229</v>
      </c>
      <c r="I5047" s="86" t="s">
        <v>3356</v>
      </c>
      <c r="J5047" s="1" t="s">
        <v>3326</v>
      </c>
      <c r="K5047" s="1" t="s">
        <v>3712</v>
      </c>
      <c r="L5047" s="1" t="s">
        <v>35</v>
      </c>
      <c r="M5047" s="86"/>
      <c r="N5047" s="86" t="s">
        <v>3712</v>
      </c>
      <c r="O5047" s="47" t="s">
        <v>45</v>
      </c>
      <c r="P5047" s="47" t="s">
        <v>41</v>
      </c>
      <c r="Q5047" s="14">
        <v>0</v>
      </c>
      <c r="R5047" s="143"/>
      <c r="S5047" s="47"/>
      <c r="T5047" s="6">
        <v>497.80999999999767</v>
      </c>
      <c r="U5047" s="6"/>
      <c r="V5047" s="6">
        <v>497.81</v>
      </c>
      <c r="W5047" s="6">
        <f t="shared" si="760"/>
        <v>-2.3305801732931286E-12</v>
      </c>
      <c r="X5047" s="6">
        <f t="shared" si="761"/>
        <v>497.81</v>
      </c>
      <c r="Y5047" s="13">
        <f t="shared" si="764"/>
        <v>0</v>
      </c>
      <c r="Z5047" s="14">
        <v>0</v>
      </c>
      <c r="AA5047" s="6">
        <v>0</v>
      </c>
      <c r="AB5047" s="4">
        <f t="shared" si="765"/>
        <v>497.81</v>
      </c>
      <c r="AC5047" s="4">
        <f t="shared" si="767"/>
        <v>0</v>
      </c>
      <c r="AD5047" s="6">
        <f t="shared" si="762"/>
        <v>497.81</v>
      </c>
      <c r="AE5047" s="2">
        <v>0.06</v>
      </c>
      <c r="AF5047" s="6">
        <f t="shared" si="768"/>
        <v>29.868600000000001</v>
      </c>
      <c r="AG5047" s="14">
        <v>0</v>
      </c>
      <c r="AH5047" s="64">
        <f t="shared" si="763"/>
        <v>497.81</v>
      </c>
      <c r="AI5047" s="47"/>
      <c r="AJ5047" s="126" t="e">
        <v>#N/A</v>
      </c>
      <c r="AK5047" s="80">
        <f t="shared" si="766"/>
        <v>0</v>
      </c>
      <c r="AM5047" s="85"/>
    </row>
    <row r="5048" spans="1:39" hidden="1" x14ac:dyDescent="0.3">
      <c r="A5048" s="89" t="s">
        <v>3394</v>
      </c>
      <c r="B5048" s="86" t="s">
        <v>35</v>
      </c>
      <c r="C5048" s="86" t="s">
        <v>47</v>
      </c>
      <c r="D5048" s="86" t="s">
        <v>63</v>
      </c>
      <c r="E5048" s="86" t="s">
        <v>234</v>
      </c>
      <c r="F5048" s="86" t="s">
        <v>234</v>
      </c>
      <c r="G5048" s="86" t="s">
        <v>234</v>
      </c>
      <c r="H5048" s="143">
        <v>229</v>
      </c>
      <c r="I5048" s="86" t="s">
        <v>3356</v>
      </c>
      <c r="J5048" s="1" t="s">
        <v>3326</v>
      </c>
      <c r="K5048" s="1" t="s">
        <v>3712</v>
      </c>
      <c r="L5048" s="1" t="s">
        <v>35</v>
      </c>
      <c r="M5048" s="86"/>
      <c r="N5048" s="86" t="s">
        <v>3712</v>
      </c>
      <c r="O5048" s="47" t="s">
        <v>45</v>
      </c>
      <c r="P5048" s="47" t="s">
        <v>41</v>
      </c>
      <c r="Q5048" s="14">
        <v>0</v>
      </c>
      <c r="R5048" s="143"/>
      <c r="S5048" s="47"/>
      <c r="T5048" s="6">
        <v>3.5100000000020373</v>
      </c>
      <c r="U5048" s="6"/>
      <c r="V5048" s="6">
        <v>0</v>
      </c>
      <c r="W5048" s="6">
        <f t="shared" si="760"/>
        <v>3.5100000000020373</v>
      </c>
      <c r="X5048" s="6">
        <f t="shared" si="761"/>
        <v>0</v>
      </c>
      <c r="Y5048" s="13">
        <f t="shared" si="764"/>
        <v>0</v>
      </c>
      <c r="Z5048" s="14">
        <v>0</v>
      </c>
      <c r="AA5048" s="6">
        <v>0</v>
      </c>
      <c r="AB5048" s="4">
        <f t="shared" si="765"/>
        <v>0</v>
      </c>
      <c r="AC5048" s="4">
        <f t="shared" si="767"/>
        <v>0</v>
      </c>
      <c r="AD5048" s="6">
        <f t="shared" si="762"/>
        <v>0</v>
      </c>
      <c r="AE5048" s="2">
        <v>0.06</v>
      </c>
      <c r="AF5048" s="6">
        <f t="shared" si="768"/>
        <v>0</v>
      </c>
      <c r="AG5048" s="14">
        <v>0</v>
      </c>
      <c r="AH5048" s="64">
        <f t="shared" si="763"/>
        <v>0</v>
      </c>
      <c r="AI5048" s="47"/>
      <c r="AJ5048" s="126" t="e">
        <v>#N/A</v>
      </c>
      <c r="AK5048" s="80">
        <f t="shared" si="766"/>
        <v>0</v>
      </c>
      <c r="AM5048" s="85"/>
    </row>
    <row r="5049" spans="1:39" hidden="1" x14ac:dyDescent="0.3">
      <c r="A5049" s="89" t="s">
        <v>3395</v>
      </c>
      <c r="B5049" s="86" t="s">
        <v>35</v>
      </c>
      <c r="C5049" s="86" t="s">
        <v>47</v>
      </c>
      <c r="D5049" s="86" t="s">
        <v>48</v>
      </c>
      <c r="E5049" s="86" t="s">
        <v>225</v>
      </c>
      <c r="F5049" s="86" t="s">
        <v>235</v>
      </c>
      <c r="G5049" s="86" t="s">
        <v>225</v>
      </c>
      <c r="H5049" s="143">
        <v>229</v>
      </c>
      <c r="I5049" s="86" t="s">
        <v>3356</v>
      </c>
      <c r="J5049" s="1" t="s">
        <v>3326</v>
      </c>
      <c r="K5049" s="1" t="s">
        <v>3712</v>
      </c>
      <c r="L5049" s="1" t="s">
        <v>35</v>
      </c>
      <c r="M5049" s="86"/>
      <c r="N5049" s="86" t="s">
        <v>3712</v>
      </c>
      <c r="O5049" s="47" t="s">
        <v>45</v>
      </c>
      <c r="P5049" s="47" t="s">
        <v>46</v>
      </c>
      <c r="Q5049" s="14">
        <v>0.01</v>
      </c>
      <c r="R5049" s="143"/>
      <c r="S5049" s="47"/>
      <c r="T5049" s="6">
        <v>382494.92000000039</v>
      </c>
      <c r="U5049" s="6"/>
      <c r="V5049" s="6">
        <v>0</v>
      </c>
      <c r="W5049" s="6">
        <f t="shared" si="760"/>
        <v>382494.92000000039</v>
      </c>
      <c r="X5049" s="6">
        <f t="shared" si="761"/>
        <v>0</v>
      </c>
      <c r="Y5049" s="13">
        <f t="shared" si="764"/>
        <v>0</v>
      </c>
      <c r="Z5049" s="14">
        <v>0</v>
      </c>
      <c r="AA5049" s="6">
        <v>0</v>
      </c>
      <c r="AB5049" s="4">
        <f t="shared" si="765"/>
        <v>0</v>
      </c>
      <c r="AC5049" s="4">
        <f t="shared" si="767"/>
        <v>0</v>
      </c>
      <c r="AD5049" s="6">
        <f t="shared" si="762"/>
        <v>0</v>
      </c>
      <c r="AE5049" s="2">
        <v>0.06</v>
      </c>
      <c r="AF5049" s="6">
        <f t="shared" si="768"/>
        <v>0</v>
      </c>
      <c r="AG5049" s="14">
        <v>0</v>
      </c>
      <c r="AH5049" s="64">
        <f t="shared" si="763"/>
        <v>0</v>
      </c>
      <c r="AI5049" s="47"/>
      <c r="AJ5049" s="126" t="e">
        <v>#N/A</v>
      </c>
      <c r="AK5049" s="80">
        <f t="shared" si="766"/>
        <v>0</v>
      </c>
      <c r="AM5049" s="85"/>
    </row>
    <row r="5050" spans="1:39" hidden="1" x14ac:dyDescent="0.3">
      <c r="A5050" s="89" t="s">
        <v>3395</v>
      </c>
      <c r="B5050" s="86" t="s">
        <v>35</v>
      </c>
      <c r="C5050" s="86" t="s">
        <v>144</v>
      </c>
      <c r="D5050" s="86" t="s">
        <v>145</v>
      </c>
      <c r="E5050" s="86" t="s">
        <v>240</v>
      </c>
      <c r="F5050" s="86" t="s">
        <v>240</v>
      </c>
      <c r="G5050" s="86" t="s">
        <v>240</v>
      </c>
      <c r="H5050" s="143">
        <v>229</v>
      </c>
      <c r="I5050" s="86" t="s">
        <v>3356</v>
      </c>
      <c r="J5050" s="1" t="s">
        <v>3326</v>
      </c>
      <c r="K5050" s="1" t="s">
        <v>3712</v>
      </c>
      <c r="L5050" s="1" t="s">
        <v>35</v>
      </c>
      <c r="M5050" s="86"/>
      <c r="N5050" s="86" t="s">
        <v>3712</v>
      </c>
      <c r="O5050" s="47" t="s">
        <v>45</v>
      </c>
      <c r="P5050" s="47" t="s">
        <v>41</v>
      </c>
      <c r="Q5050" s="14">
        <v>0</v>
      </c>
      <c r="R5050" s="143"/>
      <c r="S5050" s="47"/>
      <c r="T5050" s="6">
        <v>132865.17000000016</v>
      </c>
      <c r="U5050" s="6"/>
      <c r="V5050" s="6">
        <v>0</v>
      </c>
      <c r="W5050" s="6">
        <f t="shared" si="760"/>
        <v>132865.17000000016</v>
      </c>
      <c r="X5050" s="6">
        <f t="shared" si="761"/>
        <v>0</v>
      </c>
      <c r="Y5050" s="13">
        <f t="shared" si="764"/>
        <v>0</v>
      </c>
      <c r="Z5050" s="14">
        <v>0</v>
      </c>
      <c r="AA5050" s="6">
        <v>0</v>
      </c>
      <c r="AB5050" s="4">
        <f t="shared" si="765"/>
        <v>0</v>
      </c>
      <c r="AC5050" s="4">
        <f t="shared" si="767"/>
        <v>0</v>
      </c>
      <c r="AD5050" s="6">
        <f t="shared" si="762"/>
        <v>0</v>
      </c>
      <c r="AE5050" s="2">
        <v>0.06</v>
      </c>
      <c r="AF5050" s="6">
        <f t="shared" si="768"/>
        <v>0</v>
      </c>
      <c r="AG5050" s="14">
        <v>0</v>
      </c>
      <c r="AH5050" s="64">
        <f t="shared" si="763"/>
        <v>0</v>
      </c>
      <c r="AI5050" s="47"/>
      <c r="AJ5050" s="126" t="e">
        <v>#N/A</v>
      </c>
      <c r="AK5050" s="80">
        <f t="shared" si="766"/>
        <v>0</v>
      </c>
      <c r="AM5050" s="85"/>
    </row>
    <row r="5051" spans="1:39" hidden="1" x14ac:dyDescent="0.3">
      <c r="A5051" s="89" t="s">
        <v>3395</v>
      </c>
      <c r="B5051" s="86" t="s">
        <v>35</v>
      </c>
      <c r="C5051" s="86" t="s">
        <v>144</v>
      </c>
      <c r="D5051" s="86" t="s">
        <v>152</v>
      </c>
      <c r="E5051" s="86" t="s">
        <v>241</v>
      </c>
      <c r="F5051" s="86" t="s">
        <v>241</v>
      </c>
      <c r="G5051" s="86" t="s">
        <v>241</v>
      </c>
      <c r="H5051" s="143">
        <v>229</v>
      </c>
      <c r="I5051" s="86" t="s">
        <v>3356</v>
      </c>
      <c r="J5051" s="1" t="s">
        <v>3326</v>
      </c>
      <c r="K5051" s="1" t="s">
        <v>3712</v>
      </c>
      <c r="L5051" s="1" t="s">
        <v>35</v>
      </c>
      <c r="M5051" s="86"/>
      <c r="N5051" s="86" t="s">
        <v>3712</v>
      </c>
      <c r="O5051" s="47" t="s">
        <v>45</v>
      </c>
      <c r="P5051" s="47" t="s">
        <v>41</v>
      </c>
      <c r="Q5051" s="14">
        <v>0</v>
      </c>
      <c r="R5051" s="143"/>
      <c r="S5051" s="47"/>
      <c r="T5051" s="6">
        <v>31406.659999999996</v>
      </c>
      <c r="U5051" s="6"/>
      <c r="V5051" s="6">
        <v>0</v>
      </c>
      <c r="W5051" s="6">
        <f t="shared" si="760"/>
        <v>31406.659999999996</v>
      </c>
      <c r="X5051" s="6">
        <f t="shared" si="761"/>
        <v>0</v>
      </c>
      <c r="Y5051" s="13">
        <f t="shared" si="764"/>
        <v>0</v>
      </c>
      <c r="Z5051" s="14">
        <v>0</v>
      </c>
      <c r="AA5051" s="6">
        <v>0</v>
      </c>
      <c r="AB5051" s="4">
        <f t="shared" si="765"/>
        <v>0</v>
      </c>
      <c r="AC5051" s="4">
        <f t="shared" si="767"/>
        <v>0</v>
      </c>
      <c r="AD5051" s="6">
        <f t="shared" si="762"/>
        <v>0</v>
      </c>
      <c r="AE5051" s="2">
        <v>0.06</v>
      </c>
      <c r="AF5051" s="6">
        <f t="shared" si="768"/>
        <v>0</v>
      </c>
      <c r="AG5051" s="14">
        <v>0</v>
      </c>
      <c r="AH5051" s="64">
        <f t="shared" si="763"/>
        <v>0</v>
      </c>
      <c r="AI5051" s="47"/>
      <c r="AJ5051" s="126" t="e">
        <v>#N/A</v>
      </c>
      <c r="AK5051" s="80">
        <f t="shared" si="766"/>
        <v>0</v>
      </c>
      <c r="AM5051" s="85"/>
    </row>
    <row r="5052" spans="1:39" hidden="1" x14ac:dyDescent="0.3">
      <c r="A5052" s="89" t="s">
        <v>3394</v>
      </c>
      <c r="B5052" s="86" t="s">
        <v>35</v>
      </c>
      <c r="C5052" s="86" t="s">
        <v>144</v>
      </c>
      <c r="D5052" s="86" t="s">
        <v>161</v>
      </c>
      <c r="E5052" s="86" t="s">
        <v>242</v>
      </c>
      <c r="F5052" s="86" t="s">
        <v>243</v>
      </c>
      <c r="G5052" s="86" t="s">
        <v>242</v>
      </c>
      <c r="H5052" s="143">
        <v>229</v>
      </c>
      <c r="I5052" s="86" t="s">
        <v>3356</v>
      </c>
      <c r="J5052" s="1" t="s">
        <v>3326</v>
      </c>
      <c r="K5052" s="1" t="s">
        <v>3712</v>
      </c>
      <c r="L5052" s="1" t="s">
        <v>35</v>
      </c>
      <c r="M5052" s="86"/>
      <c r="N5052" s="86" t="s">
        <v>3712</v>
      </c>
      <c r="O5052" s="47" t="s">
        <v>45</v>
      </c>
      <c r="P5052" s="47" t="s">
        <v>41</v>
      </c>
      <c r="Q5052" s="14">
        <v>0</v>
      </c>
      <c r="R5052" s="143"/>
      <c r="S5052" s="47"/>
      <c r="T5052" s="6">
        <v>15439.349999999999</v>
      </c>
      <c r="U5052" s="6"/>
      <c r="V5052" s="6">
        <v>0</v>
      </c>
      <c r="W5052" s="6">
        <f t="shared" ref="W5052:W5115" si="769">T5052+U5052-V5052</f>
        <v>15439.349999999999</v>
      </c>
      <c r="X5052" s="6">
        <f t="shared" ref="X5052:X5115" si="770">IF(P5052="折扣",V5052*Q5052,IF(P5052="返现",V5052,V5052/(1+Q5052)))</f>
        <v>0</v>
      </c>
      <c r="Y5052" s="13">
        <f t="shared" si="764"/>
        <v>0</v>
      </c>
      <c r="Z5052" s="14">
        <v>0</v>
      </c>
      <c r="AA5052" s="6">
        <v>0</v>
      </c>
      <c r="AB5052" s="4">
        <f t="shared" si="765"/>
        <v>0</v>
      </c>
      <c r="AC5052" s="4">
        <f t="shared" si="767"/>
        <v>0</v>
      </c>
      <c r="AD5052" s="6">
        <f t="shared" ref="AD5052:AD5115" si="771">V5052</f>
        <v>0</v>
      </c>
      <c r="AE5052" s="2">
        <v>0.06</v>
      </c>
      <c r="AF5052" s="6">
        <f t="shared" si="768"/>
        <v>0</v>
      </c>
      <c r="AG5052" s="14">
        <v>0</v>
      </c>
      <c r="AH5052" s="64">
        <f t="shared" ref="AH5052:AH5115" si="772">V5052</f>
        <v>0</v>
      </c>
      <c r="AI5052" s="47"/>
      <c r="AJ5052" s="126" t="e">
        <v>#N/A</v>
      </c>
      <c r="AK5052" s="80">
        <f t="shared" si="766"/>
        <v>0</v>
      </c>
      <c r="AM5052" s="85"/>
    </row>
    <row r="5053" spans="1:39" hidden="1" x14ac:dyDescent="0.3">
      <c r="A5053" s="89" t="s">
        <v>3394</v>
      </c>
      <c r="B5053" s="86" t="s">
        <v>35</v>
      </c>
      <c r="C5053" s="86" t="s">
        <v>144</v>
      </c>
      <c r="D5053" s="86" t="s">
        <v>161</v>
      </c>
      <c r="E5053" s="86" t="s">
        <v>244</v>
      </c>
      <c r="F5053" s="86" t="s">
        <v>244</v>
      </c>
      <c r="G5053" s="86" t="s">
        <v>244</v>
      </c>
      <c r="H5053" s="143">
        <v>229</v>
      </c>
      <c r="I5053" s="86" t="s">
        <v>3356</v>
      </c>
      <c r="J5053" s="1" t="s">
        <v>3326</v>
      </c>
      <c r="K5053" s="1" t="s">
        <v>3712</v>
      </c>
      <c r="L5053" s="1" t="s">
        <v>35</v>
      </c>
      <c r="M5053" s="86"/>
      <c r="N5053" s="86" t="s">
        <v>3712</v>
      </c>
      <c r="O5053" s="47" t="s">
        <v>45</v>
      </c>
      <c r="P5053" s="47" t="s">
        <v>46</v>
      </c>
      <c r="Q5053" s="14">
        <v>0.06</v>
      </c>
      <c r="R5053" s="143"/>
      <c r="S5053" s="47"/>
      <c r="T5053" s="6">
        <v>50000</v>
      </c>
      <c r="U5053" s="6"/>
      <c r="V5053" s="6">
        <v>0</v>
      </c>
      <c r="W5053" s="6">
        <f t="shared" si="769"/>
        <v>50000</v>
      </c>
      <c r="X5053" s="6">
        <f t="shared" si="770"/>
        <v>0</v>
      </c>
      <c r="Y5053" s="13">
        <f t="shared" si="764"/>
        <v>0</v>
      </c>
      <c r="Z5053" s="14">
        <v>0</v>
      </c>
      <c r="AA5053" s="6">
        <v>0</v>
      </c>
      <c r="AB5053" s="4">
        <f t="shared" si="765"/>
        <v>0</v>
      </c>
      <c r="AC5053" s="4">
        <f t="shared" si="767"/>
        <v>0</v>
      </c>
      <c r="AD5053" s="6">
        <f t="shared" si="771"/>
        <v>0</v>
      </c>
      <c r="AE5053" s="2">
        <v>0.06</v>
      </c>
      <c r="AF5053" s="6">
        <f t="shared" si="768"/>
        <v>0</v>
      </c>
      <c r="AG5053" s="14">
        <v>0</v>
      </c>
      <c r="AH5053" s="64">
        <f t="shared" si="772"/>
        <v>0</v>
      </c>
      <c r="AI5053" s="47"/>
      <c r="AJ5053" s="126" t="e">
        <v>#N/A</v>
      </c>
      <c r="AK5053" s="80">
        <f t="shared" si="766"/>
        <v>0</v>
      </c>
      <c r="AM5053" s="85"/>
    </row>
    <row r="5054" spans="1:39" hidden="1" x14ac:dyDescent="0.3">
      <c r="A5054" s="89" t="s">
        <v>3395</v>
      </c>
      <c r="B5054" s="86" t="s">
        <v>35</v>
      </c>
      <c r="C5054" s="86" t="s">
        <v>164</v>
      </c>
      <c r="D5054" s="86" t="s">
        <v>169</v>
      </c>
      <c r="E5054" s="86" t="s">
        <v>247</v>
      </c>
      <c r="F5054" s="86" t="s">
        <v>247</v>
      </c>
      <c r="G5054" s="86" t="s">
        <v>247</v>
      </c>
      <c r="H5054" s="143">
        <v>229</v>
      </c>
      <c r="I5054" s="86" t="s">
        <v>3356</v>
      </c>
      <c r="J5054" s="1" t="s">
        <v>3326</v>
      </c>
      <c r="K5054" s="1" t="s">
        <v>3712</v>
      </c>
      <c r="L5054" s="1" t="s">
        <v>35</v>
      </c>
      <c r="M5054" s="86"/>
      <c r="N5054" s="86" t="s">
        <v>3712</v>
      </c>
      <c r="O5054" s="47" t="s">
        <v>45</v>
      </c>
      <c r="P5054" s="47" t="s">
        <v>41</v>
      </c>
      <c r="Q5054" s="14">
        <v>0</v>
      </c>
      <c r="R5054" s="143"/>
      <c r="S5054" s="47"/>
      <c r="T5054" s="6">
        <v>626655.07999999996</v>
      </c>
      <c r="U5054" s="6"/>
      <c r="V5054" s="6">
        <v>0</v>
      </c>
      <c r="W5054" s="6">
        <f t="shared" si="769"/>
        <v>626655.07999999996</v>
      </c>
      <c r="X5054" s="6">
        <f t="shared" si="770"/>
        <v>0</v>
      </c>
      <c r="Y5054" s="13">
        <f t="shared" si="764"/>
        <v>0</v>
      </c>
      <c r="Z5054" s="14">
        <v>0</v>
      </c>
      <c r="AA5054" s="6">
        <v>0</v>
      </c>
      <c r="AB5054" s="4">
        <f t="shared" si="765"/>
        <v>0</v>
      </c>
      <c r="AC5054" s="4">
        <f t="shared" si="767"/>
        <v>0</v>
      </c>
      <c r="AD5054" s="6">
        <f t="shared" si="771"/>
        <v>0</v>
      </c>
      <c r="AE5054" s="2">
        <v>0.06</v>
      </c>
      <c r="AF5054" s="6">
        <f t="shared" si="768"/>
        <v>0</v>
      </c>
      <c r="AG5054" s="14">
        <v>0</v>
      </c>
      <c r="AH5054" s="64">
        <f t="shared" si="772"/>
        <v>0</v>
      </c>
      <c r="AI5054" s="47"/>
      <c r="AJ5054" s="126" t="e">
        <v>#N/A</v>
      </c>
      <c r="AK5054" s="80">
        <f t="shared" si="766"/>
        <v>0</v>
      </c>
      <c r="AM5054" s="85"/>
    </row>
    <row r="5055" spans="1:39" hidden="1" x14ac:dyDescent="0.3">
      <c r="A5055" s="89" t="s">
        <v>3394</v>
      </c>
      <c r="B5055" s="86" t="s">
        <v>35</v>
      </c>
      <c r="C5055" s="86" t="s">
        <v>187</v>
      </c>
      <c r="D5055" s="86" t="s">
        <v>188</v>
      </c>
      <c r="E5055" s="86" t="s">
        <v>248</v>
      </c>
      <c r="F5055" s="86" t="s">
        <v>248</v>
      </c>
      <c r="G5055" s="86" t="s">
        <v>248</v>
      </c>
      <c r="H5055" s="143">
        <v>229</v>
      </c>
      <c r="I5055" s="86" t="s">
        <v>3356</v>
      </c>
      <c r="J5055" s="1" t="s">
        <v>3326</v>
      </c>
      <c r="K5055" s="1" t="s">
        <v>3283</v>
      </c>
      <c r="L5055" s="1" t="s">
        <v>35</v>
      </c>
      <c r="M5055" s="86"/>
      <c r="N5055" s="86" t="s">
        <v>3283</v>
      </c>
      <c r="O5055" s="47" t="s">
        <v>45</v>
      </c>
      <c r="P5055" s="47" t="s">
        <v>46</v>
      </c>
      <c r="Q5055" s="14">
        <v>0.02</v>
      </c>
      <c r="R5055" s="143"/>
      <c r="S5055" s="47"/>
      <c r="T5055" s="6">
        <v>54957.919999999409</v>
      </c>
      <c r="U5055" s="6"/>
      <c r="V5055" s="6">
        <v>0</v>
      </c>
      <c r="W5055" s="6">
        <f t="shared" si="769"/>
        <v>54957.919999999409</v>
      </c>
      <c r="X5055" s="6">
        <f t="shared" si="770"/>
        <v>0</v>
      </c>
      <c r="Y5055" s="13">
        <f t="shared" si="764"/>
        <v>0</v>
      </c>
      <c r="Z5055" s="14">
        <v>0</v>
      </c>
      <c r="AA5055" s="6">
        <v>0</v>
      </c>
      <c r="AB5055" s="4">
        <f t="shared" si="765"/>
        <v>0</v>
      </c>
      <c r="AC5055" s="4">
        <f t="shared" si="767"/>
        <v>0</v>
      </c>
      <c r="AD5055" s="6">
        <f t="shared" si="771"/>
        <v>0</v>
      </c>
      <c r="AE5055" s="2">
        <v>0.06</v>
      </c>
      <c r="AF5055" s="6">
        <f t="shared" si="768"/>
        <v>0</v>
      </c>
      <c r="AG5055" s="14">
        <v>0</v>
      </c>
      <c r="AH5055" s="64">
        <f t="shared" si="772"/>
        <v>0</v>
      </c>
      <c r="AI5055" s="47"/>
      <c r="AJ5055" s="126" t="e">
        <v>#N/A</v>
      </c>
      <c r="AK5055" s="80">
        <f t="shared" si="766"/>
        <v>0</v>
      </c>
      <c r="AM5055" s="85"/>
    </row>
    <row r="5056" spans="1:39" hidden="1" x14ac:dyDescent="0.3">
      <c r="A5056" s="89" t="s">
        <v>3395</v>
      </c>
      <c r="B5056" s="86" t="s">
        <v>35</v>
      </c>
      <c r="C5056" s="86" t="s">
        <v>187</v>
      </c>
      <c r="D5056" s="86" t="s">
        <v>188</v>
      </c>
      <c r="E5056" s="86" t="s">
        <v>249</v>
      </c>
      <c r="F5056" s="86" t="s">
        <v>249</v>
      </c>
      <c r="G5056" s="86" t="s">
        <v>249</v>
      </c>
      <c r="H5056" s="144">
        <v>229</v>
      </c>
      <c r="I5056" s="86" t="s">
        <v>3356</v>
      </c>
      <c r="J5056" s="1" t="s">
        <v>3326</v>
      </c>
      <c r="K5056" s="1" t="s">
        <v>3283</v>
      </c>
      <c r="L5056" s="1" t="s">
        <v>35</v>
      </c>
      <c r="M5056" s="86"/>
      <c r="N5056" s="86" t="s">
        <v>3283</v>
      </c>
      <c r="O5056" s="47" t="s">
        <v>45</v>
      </c>
      <c r="P5056" s="47" t="s">
        <v>46</v>
      </c>
      <c r="Q5056" s="14">
        <v>0.06</v>
      </c>
      <c r="R5056" s="143"/>
      <c r="S5056" s="47"/>
      <c r="T5056" s="6">
        <v>497506.96999999927</v>
      </c>
      <c r="U5056" s="6"/>
      <c r="V5056" s="6">
        <v>3579.5400000000004</v>
      </c>
      <c r="W5056" s="6">
        <f t="shared" si="769"/>
        <v>493927.42999999929</v>
      </c>
      <c r="X5056" s="6">
        <f t="shared" si="770"/>
        <v>3376.9245283018872</v>
      </c>
      <c r="Y5056" s="13">
        <f t="shared" si="764"/>
        <v>0</v>
      </c>
      <c r="Z5056" s="14">
        <v>0</v>
      </c>
      <c r="AA5056" s="6">
        <v>0</v>
      </c>
      <c r="AB5056" s="4">
        <f t="shared" si="765"/>
        <v>3376.9245283018872</v>
      </c>
      <c r="AC5056" s="4">
        <f t="shared" si="767"/>
        <v>202.6154716981132</v>
      </c>
      <c r="AD5056" s="6">
        <f t="shared" si="771"/>
        <v>3579.5400000000004</v>
      </c>
      <c r="AE5056" s="2">
        <v>0.06</v>
      </c>
      <c r="AF5056" s="6">
        <f t="shared" si="768"/>
        <v>214.7724</v>
      </c>
      <c r="AG5056" s="14">
        <v>0</v>
      </c>
      <c r="AH5056" s="64">
        <f t="shared" si="772"/>
        <v>3579.5400000000004</v>
      </c>
      <c r="AI5056" s="47"/>
      <c r="AJ5056" s="126" t="e">
        <v>#N/A</v>
      </c>
      <c r="AK5056" s="80">
        <f t="shared" si="766"/>
        <v>0</v>
      </c>
      <c r="AM5056" s="85"/>
    </row>
    <row r="5057" spans="1:39" hidden="1" x14ac:dyDescent="0.3">
      <c r="A5057" s="89" t="s">
        <v>3395</v>
      </c>
      <c r="B5057" s="86" t="s">
        <v>35</v>
      </c>
      <c r="C5057" s="86" t="s">
        <v>187</v>
      </c>
      <c r="D5057" s="86" t="s">
        <v>188</v>
      </c>
      <c r="E5057" s="86" t="s">
        <v>206</v>
      </c>
      <c r="F5057" s="86" t="s">
        <v>206</v>
      </c>
      <c r="G5057" s="86" t="s">
        <v>206</v>
      </c>
      <c r="H5057" s="144">
        <v>229</v>
      </c>
      <c r="I5057" s="86" t="s">
        <v>3356</v>
      </c>
      <c r="J5057" s="1" t="s">
        <v>3326</v>
      </c>
      <c r="K5057" s="1" t="s">
        <v>3283</v>
      </c>
      <c r="L5057" s="1" t="s">
        <v>35</v>
      </c>
      <c r="M5057" s="86"/>
      <c r="N5057" s="86" t="s">
        <v>3283</v>
      </c>
      <c r="O5057" s="47" t="s">
        <v>45</v>
      </c>
      <c r="P5057" s="47" t="s">
        <v>46</v>
      </c>
      <c r="Q5057" s="14">
        <v>0.04</v>
      </c>
      <c r="R5057" s="143"/>
      <c r="S5057" s="47"/>
      <c r="T5057" s="6">
        <v>10182.340000005897</v>
      </c>
      <c r="U5057" s="6"/>
      <c r="V5057" s="6">
        <v>10182.340000005897</v>
      </c>
      <c r="W5057" s="6">
        <f t="shared" si="769"/>
        <v>0</v>
      </c>
      <c r="X5057" s="6">
        <f t="shared" si="770"/>
        <v>9790.7115384672088</v>
      </c>
      <c r="Y5057" s="13">
        <f t="shared" si="764"/>
        <v>0</v>
      </c>
      <c r="Z5057" s="14">
        <v>0</v>
      </c>
      <c r="AA5057" s="6">
        <v>0</v>
      </c>
      <c r="AB5057" s="4">
        <f t="shared" si="765"/>
        <v>9790.7115384672088</v>
      </c>
      <c r="AC5057" s="4">
        <f t="shared" si="767"/>
        <v>391.6284615386885</v>
      </c>
      <c r="AD5057" s="6">
        <f t="shared" si="771"/>
        <v>10182.340000005897</v>
      </c>
      <c r="AE5057" s="2">
        <v>0.06</v>
      </c>
      <c r="AF5057" s="6">
        <f t="shared" si="768"/>
        <v>610.94040000035386</v>
      </c>
      <c r="AG5057" s="14">
        <v>0</v>
      </c>
      <c r="AH5057" s="64">
        <f t="shared" si="772"/>
        <v>10182.340000005897</v>
      </c>
      <c r="AI5057" s="47"/>
      <c r="AJ5057" s="126" t="s">
        <v>4218</v>
      </c>
      <c r="AK5057" s="80">
        <f t="shared" si="766"/>
        <v>0</v>
      </c>
      <c r="AL5057" s="150"/>
      <c r="AM5057" s="85"/>
    </row>
    <row r="5058" spans="1:39" hidden="1" x14ac:dyDescent="0.3">
      <c r="A5058" s="89" t="s">
        <v>3395</v>
      </c>
      <c r="B5058" s="86" t="s">
        <v>35</v>
      </c>
      <c r="C5058" s="86" t="s">
        <v>187</v>
      </c>
      <c r="D5058" s="86" t="s">
        <v>208</v>
      </c>
      <c r="E5058" s="86" t="s">
        <v>250</v>
      </c>
      <c r="F5058" s="86" t="s">
        <v>250</v>
      </c>
      <c r="G5058" s="86" t="s">
        <v>250</v>
      </c>
      <c r="H5058" s="144">
        <v>229</v>
      </c>
      <c r="I5058" s="86" t="s">
        <v>3356</v>
      </c>
      <c r="J5058" s="1" t="s">
        <v>3326</v>
      </c>
      <c r="K5058" s="1" t="s">
        <v>3283</v>
      </c>
      <c r="L5058" s="1" t="s">
        <v>35</v>
      </c>
      <c r="M5058" s="86"/>
      <c r="N5058" s="86" t="s">
        <v>3283</v>
      </c>
      <c r="O5058" s="47" t="s">
        <v>45</v>
      </c>
      <c r="P5058" s="47" t="s">
        <v>46</v>
      </c>
      <c r="Q5058" s="14">
        <v>0.03</v>
      </c>
      <c r="R5058" s="143"/>
      <c r="S5058" s="47"/>
      <c r="T5058" s="6">
        <v>39848.28999999995</v>
      </c>
      <c r="U5058" s="6"/>
      <c r="V5058" s="6">
        <v>17844.71</v>
      </c>
      <c r="W5058" s="6">
        <f t="shared" si="769"/>
        <v>22003.579999999951</v>
      </c>
      <c r="X5058" s="6">
        <f t="shared" si="770"/>
        <v>17324.961165048542</v>
      </c>
      <c r="Y5058" s="13">
        <f t="shared" si="764"/>
        <v>0</v>
      </c>
      <c r="Z5058" s="14">
        <v>0</v>
      </c>
      <c r="AA5058" s="6">
        <v>0</v>
      </c>
      <c r="AB5058" s="4">
        <f t="shared" si="765"/>
        <v>17324.961165048542</v>
      </c>
      <c r="AC5058" s="4">
        <f t="shared" si="767"/>
        <v>519.74883495145696</v>
      </c>
      <c r="AD5058" s="6">
        <f t="shared" si="771"/>
        <v>17844.71</v>
      </c>
      <c r="AE5058" s="2">
        <v>0.06</v>
      </c>
      <c r="AF5058" s="6">
        <f t="shared" si="768"/>
        <v>1070.6825999999999</v>
      </c>
      <c r="AG5058" s="14">
        <v>0</v>
      </c>
      <c r="AH5058" s="64">
        <f t="shared" si="772"/>
        <v>17844.71</v>
      </c>
      <c r="AI5058" s="47"/>
      <c r="AJ5058" s="126" t="e">
        <v>#N/A</v>
      </c>
      <c r="AK5058" s="80">
        <f t="shared" si="766"/>
        <v>0</v>
      </c>
      <c r="AM5058" s="85"/>
    </row>
    <row r="5059" spans="1:39" hidden="1" x14ac:dyDescent="0.3">
      <c r="A5059" s="89" t="s">
        <v>3395</v>
      </c>
      <c r="B5059" s="86" t="s">
        <v>35</v>
      </c>
      <c r="C5059" s="86" t="s">
        <v>187</v>
      </c>
      <c r="D5059" s="86" t="s">
        <v>208</v>
      </c>
      <c r="E5059" s="86" t="s">
        <v>252</v>
      </c>
      <c r="F5059" s="86" t="s">
        <v>252</v>
      </c>
      <c r="G5059" s="86" t="s">
        <v>252</v>
      </c>
      <c r="H5059" s="143">
        <v>229</v>
      </c>
      <c r="I5059" s="86" t="s">
        <v>3356</v>
      </c>
      <c r="J5059" s="1" t="s">
        <v>3326</v>
      </c>
      <c r="K5059" s="1" t="s">
        <v>3712</v>
      </c>
      <c r="L5059" s="1" t="s">
        <v>35</v>
      </c>
      <c r="M5059" s="86"/>
      <c r="N5059" s="86" t="s">
        <v>3712</v>
      </c>
      <c r="O5059" s="47" t="s">
        <v>45</v>
      </c>
      <c r="P5059" s="47" t="s">
        <v>46</v>
      </c>
      <c r="Q5059" s="14">
        <v>0.03</v>
      </c>
      <c r="R5059" s="143"/>
      <c r="S5059" s="47"/>
      <c r="T5059" s="6">
        <v>242260.61999999976</v>
      </c>
      <c r="U5059" s="6"/>
      <c r="V5059" s="6">
        <v>0</v>
      </c>
      <c r="W5059" s="6">
        <f t="shared" si="769"/>
        <v>242260.61999999976</v>
      </c>
      <c r="X5059" s="6">
        <f t="shared" si="770"/>
        <v>0</v>
      </c>
      <c r="Y5059" s="13">
        <f t="shared" ref="Y5059:Y5122" si="773">IF(X5059-AD5059&lt;=0,0,IF(P5059="返现",MAX(X5059-AC5059-AD5059,0),MAX(X5059-AD5059)))</f>
        <v>0</v>
      </c>
      <c r="Z5059" s="14">
        <v>0</v>
      </c>
      <c r="AA5059" s="6">
        <v>0</v>
      </c>
      <c r="AB5059" s="4">
        <f t="shared" ref="AB5059:AB5122" si="774">X5059+AA5059</f>
        <v>0</v>
      </c>
      <c r="AC5059" s="4">
        <f t="shared" si="767"/>
        <v>0</v>
      </c>
      <c r="AD5059" s="6">
        <f t="shared" si="771"/>
        <v>0</v>
      </c>
      <c r="AE5059" s="2">
        <v>0.06</v>
      </c>
      <c r="AF5059" s="6">
        <f t="shared" si="768"/>
        <v>0</v>
      </c>
      <c r="AG5059" s="14">
        <v>0</v>
      </c>
      <c r="AH5059" s="64">
        <f t="shared" si="772"/>
        <v>0</v>
      </c>
      <c r="AI5059" s="47"/>
      <c r="AJ5059" s="126" t="e">
        <v>#N/A</v>
      </c>
      <c r="AK5059" s="80">
        <f t="shared" ref="AK5059:AK5122" si="775">X5059+AA5059-AB5059</f>
        <v>0</v>
      </c>
      <c r="AM5059" s="85"/>
    </row>
    <row r="5060" spans="1:39" hidden="1" x14ac:dyDescent="0.3">
      <c r="A5060" s="89" t="s">
        <v>3394</v>
      </c>
      <c r="B5060" s="86" t="s">
        <v>35</v>
      </c>
      <c r="C5060" s="86" t="s">
        <v>96</v>
      </c>
      <c r="D5060" s="86" t="s">
        <v>97</v>
      </c>
      <c r="E5060" s="86" t="s">
        <v>255</v>
      </c>
      <c r="F5060" s="86" t="s">
        <v>255</v>
      </c>
      <c r="G5060" s="86" t="s">
        <v>255</v>
      </c>
      <c r="H5060" s="143">
        <v>229</v>
      </c>
      <c r="I5060" s="86" t="s">
        <v>3356</v>
      </c>
      <c r="J5060" s="1" t="s">
        <v>3326</v>
      </c>
      <c r="K5060" s="1" t="s">
        <v>3712</v>
      </c>
      <c r="L5060" s="1" t="s">
        <v>35</v>
      </c>
      <c r="M5060" s="86"/>
      <c r="N5060" s="86" t="s">
        <v>3712</v>
      </c>
      <c r="O5060" s="47" t="s">
        <v>45</v>
      </c>
      <c r="P5060" s="47" t="s">
        <v>41</v>
      </c>
      <c r="Q5060" s="14">
        <v>0</v>
      </c>
      <c r="R5060" s="143"/>
      <c r="S5060" s="47" t="s">
        <v>3622</v>
      </c>
      <c r="T5060" s="6">
        <v>9574.2799999999916</v>
      </c>
      <c r="U5060" s="6"/>
      <c r="V5060" s="6">
        <v>4953.59</v>
      </c>
      <c r="W5060" s="6">
        <f t="shared" si="769"/>
        <v>4620.6899999999914</v>
      </c>
      <c r="X5060" s="6">
        <v>0</v>
      </c>
      <c r="Y5060" s="13">
        <f t="shared" si="773"/>
        <v>0</v>
      </c>
      <c r="Z5060" s="14">
        <v>0</v>
      </c>
      <c r="AA5060" s="6">
        <v>0</v>
      </c>
      <c r="AB5060" s="4">
        <f t="shared" si="774"/>
        <v>0</v>
      </c>
      <c r="AC5060" s="4">
        <f t="shared" si="767"/>
        <v>4953.59</v>
      </c>
      <c r="AD5060" s="6">
        <f t="shared" si="771"/>
        <v>4953.59</v>
      </c>
      <c r="AE5060" s="2">
        <v>0.06</v>
      </c>
      <c r="AF5060" s="6">
        <f t="shared" si="768"/>
        <v>297.21539999999999</v>
      </c>
      <c r="AG5060" s="14">
        <v>0</v>
      </c>
      <c r="AH5060" s="64">
        <f t="shared" si="772"/>
        <v>4953.59</v>
      </c>
      <c r="AI5060" s="47"/>
      <c r="AJ5060" s="126" t="e">
        <v>#N/A</v>
      </c>
      <c r="AK5060" s="80">
        <f t="shared" si="775"/>
        <v>0</v>
      </c>
      <c r="AM5060" s="85"/>
    </row>
    <row r="5061" spans="1:39" hidden="1" x14ac:dyDescent="0.3">
      <c r="A5061" s="89" t="s">
        <v>3394</v>
      </c>
      <c r="B5061" s="86" t="s">
        <v>35</v>
      </c>
      <c r="C5061" s="86" t="s">
        <v>47</v>
      </c>
      <c r="D5061" s="86" t="s">
        <v>63</v>
      </c>
      <c r="E5061" s="86" t="s">
        <v>257</v>
      </c>
      <c r="F5061" s="86" t="s">
        <v>257</v>
      </c>
      <c r="G5061" s="86" t="s">
        <v>257</v>
      </c>
      <c r="H5061" s="143">
        <v>229</v>
      </c>
      <c r="I5061" s="86" t="s">
        <v>3356</v>
      </c>
      <c r="J5061" s="1" t="s">
        <v>3326</v>
      </c>
      <c r="K5061" s="1" t="s">
        <v>3712</v>
      </c>
      <c r="L5061" s="1" t="s">
        <v>35</v>
      </c>
      <c r="M5061" s="86"/>
      <c r="N5061" s="86" t="s">
        <v>3712</v>
      </c>
      <c r="O5061" s="47" t="s">
        <v>45</v>
      </c>
      <c r="P5061" s="47" t="s">
        <v>46</v>
      </c>
      <c r="Q5061" s="14">
        <v>0.06</v>
      </c>
      <c r="R5061" s="143"/>
      <c r="S5061" s="47"/>
      <c r="T5061" s="6">
        <v>1275.9200000000019</v>
      </c>
      <c r="U5061" s="6"/>
      <c r="V5061" s="6">
        <v>0</v>
      </c>
      <c r="W5061" s="6">
        <f t="shared" si="769"/>
        <v>1275.9200000000019</v>
      </c>
      <c r="X5061" s="6">
        <f t="shared" si="770"/>
        <v>0</v>
      </c>
      <c r="Y5061" s="13">
        <f t="shared" si="773"/>
        <v>0</v>
      </c>
      <c r="Z5061" s="14">
        <v>0</v>
      </c>
      <c r="AA5061" s="6">
        <v>0</v>
      </c>
      <c r="AB5061" s="4">
        <f t="shared" si="774"/>
        <v>0</v>
      </c>
      <c r="AC5061" s="4">
        <f t="shared" si="767"/>
        <v>0</v>
      </c>
      <c r="AD5061" s="6">
        <f t="shared" si="771"/>
        <v>0</v>
      </c>
      <c r="AE5061" s="2">
        <v>0.06</v>
      </c>
      <c r="AF5061" s="6">
        <f t="shared" si="768"/>
        <v>0</v>
      </c>
      <c r="AG5061" s="14">
        <v>0</v>
      </c>
      <c r="AH5061" s="64">
        <f t="shared" si="772"/>
        <v>0</v>
      </c>
      <c r="AI5061" s="47"/>
      <c r="AJ5061" s="126" t="e">
        <v>#N/A</v>
      </c>
      <c r="AK5061" s="80">
        <f t="shared" si="775"/>
        <v>0</v>
      </c>
      <c r="AM5061" s="85"/>
    </row>
    <row r="5062" spans="1:39" hidden="1" x14ac:dyDescent="0.3">
      <c r="A5062" s="89" t="s">
        <v>3394</v>
      </c>
      <c r="B5062" s="86" t="s">
        <v>35</v>
      </c>
      <c r="C5062" s="86" t="s">
        <v>47</v>
      </c>
      <c r="D5062" s="86" t="s">
        <v>63</v>
      </c>
      <c r="E5062" s="86" t="s">
        <v>258</v>
      </c>
      <c r="F5062" s="86" t="s">
        <v>258</v>
      </c>
      <c r="G5062" s="86" t="s">
        <v>258</v>
      </c>
      <c r="H5062" s="143">
        <v>229</v>
      </c>
      <c r="I5062" s="86" t="s">
        <v>3356</v>
      </c>
      <c r="J5062" s="1" t="s">
        <v>3326</v>
      </c>
      <c r="K5062" s="1" t="s">
        <v>3712</v>
      </c>
      <c r="L5062" s="1" t="s">
        <v>35</v>
      </c>
      <c r="M5062" s="86"/>
      <c r="N5062" s="86" t="s">
        <v>3712</v>
      </c>
      <c r="O5062" s="47" t="s">
        <v>45</v>
      </c>
      <c r="P5062" s="47" t="s">
        <v>46</v>
      </c>
      <c r="Q5062" s="14">
        <v>0.03</v>
      </c>
      <c r="R5062" s="143"/>
      <c r="S5062" s="47"/>
      <c r="T5062" s="6">
        <v>13934.639999999985</v>
      </c>
      <c r="U5062" s="6"/>
      <c r="V5062" s="6">
        <v>0</v>
      </c>
      <c r="W5062" s="6">
        <f t="shared" si="769"/>
        <v>13934.639999999985</v>
      </c>
      <c r="X5062" s="6">
        <f t="shared" si="770"/>
        <v>0</v>
      </c>
      <c r="Y5062" s="13">
        <f t="shared" si="773"/>
        <v>0</v>
      </c>
      <c r="Z5062" s="14">
        <v>0</v>
      </c>
      <c r="AA5062" s="6">
        <v>0</v>
      </c>
      <c r="AB5062" s="4">
        <f t="shared" si="774"/>
        <v>0</v>
      </c>
      <c r="AC5062" s="4">
        <f t="shared" si="767"/>
        <v>0</v>
      </c>
      <c r="AD5062" s="6">
        <f t="shared" si="771"/>
        <v>0</v>
      </c>
      <c r="AE5062" s="2">
        <v>0.06</v>
      </c>
      <c r="AF5062" s="6">
        <f t="shared" si="768"/>
        <v>0</v>
      </c>
      <c r="AG5062" s="14">
        <v>0</v>
      </c>
      <c r="AH5062" s="64">
        <f t="shared" si="772"/>
        <v>0</v>
      </c>
      <c r="AI5062" s="47"/>
      <c r="AJ5062" s="126" t="e">
        <v>#N/A</v>
      </c>
      <c r="AK5062" s="80">
        <f t="shared" si="775"/>
        <v>0</v>
      </c>
      <c r="AM5062" s="85"/>
    </row>
    <row r="5063" spans="1:39" hidden="1" x14ac:dyDescent="0.3">
      <c r="A5063" s="89" t="s">
        <v>3394</v>
      </c>
      <c r="B5063" s="86" t="s">
        <v>35</v>
      </c>
      <c r="C5063" s="86" t="s">
        <v>47</v>
      </c>
      <c r="D5063" s="86" t="s">
        <v>63</v>
      </c>
      <c r="E5063" s="86" t="s">
        <v>259</v>
      </c>
      <c r="F5063" s="86" t="s">
        <v>259</v>
      </c>
      <c r="G5063" s="86" t="s">
        <v>259</v>
      </c>
      <c r="H5063" s="144">
        <v>229</v>
      </c>
      <c r="I5063" s="86" t="s">
        <v>3356</v>
      </c>
      <c r="J5063" s="1" t="s">
        <v>3326</v>
      </c>
      <c r="K5063" s="1" t="s">
        <v>3712</v>
      </c>
      <c r="L5063" s="1" t="s">
        <v>35</v>
      </c>
      <c r="M5063" s="86"/>
      <c r="N5063" s="86" t="s">
        <v>3712</v>
      </c>
      <c r="O5063" s="47" t="s">
        <v>45</v>
      </c>
      <c r="P5063" s="47" t="s">
        <v>41</v>
      </c>
      <c r="Q5063" s="14">
        <v>0</v>
      </c>
      <c r="R5063" s="143"/>
      <c r="S5063" s="47"/>
      <c r="T5063" s="6">
        <v>20638.059999999998</v>
      </c>
      <c r="U5063" s="6"/>
      <c r="V5063" s="6">
        <v>12172.580000000004</v>
      </c>
      <c r="W5063" s="6">
        <f t="shared" si="769"/>
        <v>8465.4799999999941</v>
      </c>
      <c r="X5063" s="6">
        <f t="shared" si="770"/>
        <v>12172.580000000004</v>
      </c>
      <c r="Y5063" s="13">
        <f t="shared" si="773"/>
        <v>0</v>
      </c>
      <c r="Z5063" s="14">
        <v>0</v>
      </c>
      <c r="AA5063" s="6">
        <v>0</v>
      </c>
      <c r="AB5063" s="4">
        <f t="shared" si="774"/>
        <v>12172.580000000004</v>
      </c>
      <c r="AC5063" s="4">
        <f t="shared" si="767"/>
        <v>0</v>
      </c>
      <c r="AD5063" s="6">
        <f t="shared" si="771"/>
        <v>12172.580000000004</v>
      </c>
      <c r="AE5063" s="2">
        <v>0.06</v>
      </c>
      <c r="AF5063" s="6">
        <f t="shared" si="768"/>
        <v>730.35480000000018</v>
      </c>
      <c r="AG5063" s="14">
        <v>0</v>
      </c>
      <c r="AH5063" s="64">
        <f t="shared" si="772"/>
        <v>12172.580000000004</v>
      </c>
      <c r="AI5063" s="47"/>
      <c r="AJ5063" s="126" t="e">
        <v>#N/A</v>
      </c>
      <c r="AK5063" s="80">
        <f t="shared" si="775"/>
        <v>0</v>
      </c>
      <c r="AM5063" s="85"/>
    </row>
    <row r="5064" spans="1:39" hidden="1" x14ac:dyDescent="0.3">
      <c r="A5064" s="89" t="s">
        <v>3394</v>
      </c>
      <c r="B5064" s="86" t="s">
        <v>35</v>
      </c>
      <c r="C5064" s="86" t="s">
        <v>47</v>
      </c>
      <c r="D5064" s="86" t="s">
        <v>48</v>
      </c>
      <c r="E5064" s="86" t="s">
        <v>50</v>
      </c>
      <c r="F5064" s="86" t="s">
        <v>260</v>
      </c>
      <c r="G5064" s="86" t="s">
        <v>50</v>
      </c>
      <c r="H5064" s="143">
        <v>229</v>
      </c>
      <c r="I5064" s="86" t="s">
        <v>3356</v>
      </c>
      <c r="J5064" s="1" t="s">
        <v>3326</v>
      </c>
      <c r="K5064" s="1" t="s">
        <v>3712</v>
      </c>
      <c r="L5064" s="1" t="s">
        <v>35</v>
      </c>
      <c r="M5064" s="86"/>
      <c r="N5064" s="86" t="s">
        <v>3712</v>
      </c>
      <c r="O5064" s="47" t="s">
        <v>105</v>
      </c>
      <c r="P5064" s="47" t="s">
        <v>46</v>
      </c>
      <c r="Q5064" s="14">
        <v>0.1</v>
      </c>
      <c r="R5064" s="143"/>
      <c r="S5064" s="47"/>
      <c r="T5064" s="6">
        <v>278207.93000000005</v>
      </c>
      <c r="U5064" s="6"/>
      <c r="V5064" s="6">
        <v>0</v>
      </c>
      <c r="W5064" s="6">
        <f t="shared" si="769"/>
        <v>278207.93000000005</v>
      </c>
      <c r="X5064" s="6">
        <f t="shared" si="770"/>
        <v>0</v>
      </c>
      <c r="Y5064" s="13">
        <f t="shared" si="773"/>
        <v>0</v>
      </c>
      <c r="Z5064" s="14">
        <v>0</v>
      </c>
      <c r="AA5064" s="6">
        <v>0</v>
      </c>
      <c r="AB5064" s="4">
        <f t="shared" si="774"/>
        <v>0</v>
      </c>
      <c r="AC5064" s="4">
        <f t="shared" si="767"/>
        <v>0</v>
      </c>
      <c r="AD5064" s="6">
        <f t="shared" si="771"/>
        <v>0</v>
      </c>
      <c r="AE5064" s="2">
        <v>0.06</v>
      </c>
      <c r="AF5064" s="6">
        <f t="shared" si="768"/>
        <v>0</v>
      </c>
      <c r="AG5064" s="14">
        <v>0</v>
      </c>
      <c r="AH5064" s="64">
        <f t="shared" si="772"/>
        <v>0</v>
      </c>
      <c r="AI5064" s="47"/>
      <c r="AJ5064" s="126" t="e">
        <v>#N/A</v>
      </c>
      <c r="AK5064" s="80">
        <f t="shared" si="775"/>
        <v>0</v>
      </c>
      <c r="AM5064" s="85"/>
    </row>
    <row r="5065" spans="1:39" hidden="1" x14ac:dyDescent="0.3">
      <c r="A5065" s="89" t="s">
        <v>3394</v>
      </c>
      <c r="B5065" s="86" t="s">
        <v>35</v>
      </c>
      <c r="C5065" s="86" t="s">
        <v>144</v>
      </c>
      <c r="D5065" s="86" t="s">
        <v>145</v>
      </c>
      <c r="E5065" s="86" t="s">
        <v>261</v>
      </c>
      <c r="F5065" s="86" t="s">
        <v>262</v>
      </c>
      <c r="G5065" s="86" t="s">
        <v>261</v>
      </c>
      <c r="H5065" s="144">
        <v>229</v>
      </c>
      <c r="I5065" s="86" t="s">
        <v>3356</v>
      </c>
      <c r="J5065" s="1" t="s">
        <v>3326</v>
      </c>
      <c r="K5065" s="1" t="s">
        <v>3707</v>
      </c>
      <c r="L5065" s="1" t="s">
        <v>35</v>
      </c>
      <c r="M5065" s="86"/>
      <c r="N5065" s="86" t="s">
        <v>3707</v>
      </c>
      <c r="O5065" s="47" t="s">
        <v>45</v>
      </c>
      <c r="P5065" s="47" t="s">
        <v>41</v>
      </c>
      <c r="Q5065" s="14">
        <v>0</v>
      </c>
      <c r="R5065" s="143"/>
      <c r="S5065" s="47" t="s">
        <v>3623</v>
      </c>
      <c r="T5065" s="6">
        <v>31610.540000000852</v>
      </c>
      <c r="U5065" s="6"/>
      <c r="V5065" s="6">
        <v>23540.599999999995</v>
      </c>
      <c r="W5065" s="6">
        <f t="shared" si="769"/>
        <v>8069.9400000008573</v>
      </c>
      <c r="X5065" s="6">
        <f>IF(P5065="折扣",V5065*Q5065,IF(P5065="返现",V5065,V5065/(1+Q5065)))-17032.05</f>
        <v>6508.5499999999956</v>
      </c>
      <c r="Y5065" s="13">
        <f t="shared" si="773"/>
        <v>0</v>
      </c>
      <c r="Z5065" s="14">
        <v>0</v>
      </c>
      <c r="AA5065" s="6">
        <v>0</v>
      </c>
      <c r="AB5065" s="4">
        <f t="shared" si="774"/>
        <v>6508.5499999999956</v>
      </c>
      <c r="AC5065" s="4">
        <f t="shared" si="767"/>
        <v>17032.05</v>
      </c>
      <c r="AD5065" s="6">
        <f t="shared" si="771"/>
        <v>23540.599999999995</v>
      </c>
      <c r="AE5065" s="2">
        <v>0.06</v>
      </c>
      <c r="AF5065" s="6">
        <f t="shared" si="768"/>
        <v>1412.4359999999997</v>
      </c>
      <c r="AG5065" s="14">
        <v>0</v>
      </c>
      <c r="AH5065" s="64">
        <f t="shared" si="772"/>
        <v>23540.599999999995</v>
      </c>
      <c r="AI5065" s="47"/>
      <c r="AJ5065" s="126" t="e">
        <v>#N/A</v>
      </c>
      <c r="AK5065" s="80">
        <f t="shared" si="775"/>
        <v>0</v>
      </c>
      <c r="AM5065" s="85"/>
    </row>
    <row r="5066" spans="1:39" hidden="1" x14ac:dyDescent="0.3">
      <c r="A5066" s="89" t="s">
        <v>3394</v>
      </c>
      <c r="B5066" s="86" t="s">
        <v>35</v>
      </c>
      <c r="C5066" s="86" t="s">
        <v>164</v>
      </c>
      <c r="D5066" s="86" t="s">
        <v>165</v>
      </c>
      <c r="E5066" s="86" t="s">
        <v>263</v>
      </c>
      <c r="F5066" s="86" t="s">
        <v>264</v>
      </c>
      <c r="G5066" s="86" t="s">
        <v>263</v>
      </c>
      <c r="H5066" s="144">
        <v>229</v>
      </c>
      <c r="I5066" s="86" t="s">
        <v>3356</v>
      </c>
      <c r="J5066" s="1" t="s">
        <v>3326</v>
      </c>
      <c r="K5066" s="1" t="s">
        <v>3707</v>
      </c>
      <c r="L5066" s="1" t="s">
        <v>35</v>
      </c>
      <c r="M5066" s="86"/>
      <c r="N5066" s="86" t="s">
        <v>3707</v>
      </c>
      <c r="O5066" s="47" t="s">
        <v>45</v>
      </c>
      <c r="P5066" s="47" t="s">
        <v>46</v>
      </c>
      <c r="Q5066" s="14">
        <v>0.02</v>
      </c>
      <c r="R5066" s="143"/>
      <c r="S5066" s="47"/>
      <c r="T5066" s="6">
        <v>57337.81</v>
      </c>
      <c r="U5066" s="6"/>
      <c r="V5066" s="6">
        <v>57291.920000000013</v>
      </c>
      <c r="W5066" s="6">
        <f t="shared" si="769"/>
        <v>45.889999999984866</v>
      </c>
      <c r="X5066" s="6">
        <f t="shared" si="770"/>
        <v>56168.549019607854</v>
      </c>
      <c r="Y5066" s="13">
        <f t="shared" si="773"/>
        <v>0</v>
      </c>
      <c r="Z5066" s="14">
        <v>0</v>
      </c>
      <c r="AA5066" s="6">
        <v>0</v>
      </c>
      <c r="AB5066" s="4">
        <f t="shared" si="774"/>
        <v>56168.549019607854</v>
      </c>
      <c r="AC5066" s="4">
        <f t="shared" si="767"/>
        <v>1123.3709803921593</v>
      </c>
      <c r="AD5066" s="6">
        <f t="shared" si="771"/>
        <v>57291.920000000013</v>
      </c>
      <c r="AE5066" s="2">
        <v>0.06</v>
      </c>
      <c r="AF5066" s="6">
        <f t="shared" si="768"/>
        <v>3437.5152000000007</v>
      </c>
      <c r="AG5066" s="14">
        <v>0</v>
      </c>
      <c r="AH5066" s="64">
        <f t="shared" si="772"/>
        <v>57291.920000000013</v>
      </c>
      <c r="AI5066" s="47"/>
      <c r="AJ5066" s="126" t="e">
        <v>#N/A</v>
      </c>
      <c r="AK5066" s="80">
        <f t="shared" si="775"/>
        <v>0</v>
      </c>
      <c r="AM5066" s="85"/>
    </row>
    <row r="5067" spans="1:39" hidden="1" x14ac:dyDescent="0.3">
      <c r="A5067" s="89" t="s">
        <v>3395</v>
      </c>
      <c r="B5067" s="86" t="s">
        <v>35</v>
      </c>
      <c r="C5067" s="86" t="s">
        <v>36</v>
      </c>
      <c r="D5067" s="86" t="s">
        <v>54</v>
      </c>
      <c r="E5067" s="86" t="s">
        <v>265</v>
      </c>
      <c r="F5067" s="86" t="s">
        <v>265</v>
      </c>
      <c r="G5067" s="86" t="s">
        <v>265</v>
      </c>
      <c r="H5067" s="143">
        <v>229</v>
      </c>
      <c r="I5067" s="86" t="s">
        <v>3356</v>
      </c>
      <c r="J5067" s="1" t="s">
        <v>3326</v>
      </c>
      <c r="K5067" s="1" t="s">
        <v>3712</v>
      </c>
      <c r="L5067" s="1" t="s">
        <v>35</v>
      </c>
      <c r="M5067" s="86"/>
      <c r="N5067" s="86" t="s">
        <v>3712</v>
      </c>
      <c r="O5067" s="47" t="s">
        <v>45</v>
      </c>
      <c r="P5067" s="47" t="s">
        <v>41</v>
      </c>
      <c r="Q5067" s="14">
        <v>0</v>
      </c>
      <c r="R5067" s="143"/>
      <c r="S5067" s="47"/>
      <c r="T5067" s="6">
        <v>147006.94999999969</v>
      </c>
      <c r="U5067" s="6"/>
      <c r="V5067" s="6">
        <v>0</v>
      </c>
      <c r="W5067" s="6">
        <f t="shared" si="769"/>
        <v>147006.94999999969</v>
      </c>
      <c r="X5067" s="6">
        <f t="shared" si="770"/>
        <v>0</v>
      </c>
      <c r="Y5067" s="13">
        <f t="shared" si="773"/>
        <v>0</v>
      </c>
      <c r="Z5067" s="14">
        <v>0</v>
      </c>
      <c r="AA5067" s="6">
        <v>0</v>
      </c>
      <c r="AB5067" s="4">
        <f t="shared" si="774"/>
        <v>0</v>
      </c>
      <c r="AC5067" s="4">
        <f t="shared" si="767"/>
        <v>0</v>
      </c>
      <c r="AD5067" s="6">
        <f t="shared" si="771"/>
        <v>0</v>
      </c>
      <c r="AE5067" s="2">
        <v>0.06</v>
      </c>
      <c r="AF5067" s="6">
        <f t="shared" si="768"/>
        <v>0</v>
      </c>
      <c r="AG5067" s="14">
        <v>0</v>
      </c>
      <c r="AH5067" s="64">
        <f t="shared" si="772"/>
        <v>0</v>
      </c>
      <c r="AI5067" s="47"/>
      <c r="AJ5067" s="126" t="e">
        <v>#N/A</v>
      </c>
      <c r="AK5067" s="80">
        <f t="shared" si="775"/>
        <v>0</v>
      </c>
      <c r="AM5067" s="85"/>
    </row>
    <row r="5068" spans="1:39" hidden="1" x14ac:dyDescent="0.3">
      <c r="A5068" s="89" t="s">
        <v>3397</v>
      </c>
      <c r="B5068" s="86" t="s">
        <v>35</v>
      </c>
      <c r="C5068" s="86" t="s">
        <v>187</v>
      </c>
      <c r="D5068" s="86" t="s">
        <v>188</v>
      </c>
      <c r="E5068" s="86" t="s">
        <v>266</v>
      </c>
      <c r="F5068" s="86" t="s">
        <v>266</v>
      </c>
      <c r="G5068" s="86" t="s">
        <v>266</v>
      </c>
      <c r="H5068" s="143">
        <v>229</v>
      </c>
      <c r="I5068" s="86" t="s">
        <v>3356</v>
      </c>
      <c r="J5068" s="1" t="s">
        <v>3326</v>
      </c>
      <c r="K5068" s="1" t="s">
        <v>3712</v>
      </c>
      <c r="L5068" s="1" t="s">
        <v>35</v>
      </c>
      <c r="M5068" s="86"/>
      <c r="N5068" s="86" t="s">
        <v>3712</v>
      </c>
      <c r="O5068" s="47" t="s">
        <v>45</v>
      </c>
      <c r="P5068" s="47" t="s">
        <v>46</v>
      </c>
      <c r="Q5068" s="14">
        <v>0.03</v>
      </c>
      <c r="R5068" s="143"/>
      <c r="S5068" s="47"/>
      <c r="T5068" s="6">
        <v>991.68000000002212</v>
      </c>
      <c r="U5068" s="6"/>
      <c r="V5068" s="6">
        <v>0</v>
      </c>
      <c r="W5068" s="6">
        <f t="shared" si="769"/>
        <v>991.68000000002212</v>
      </c>
      <c r="X5068" s="6">
        <f t="shared" si="770"/>
        <v>0</v>
      </c>
      <c r="Y5068" s="13">
        <f t="shared" si="773"/>
        <v>0</v>
      </c>
      <c r="Z5068" s="14">
        <v>0</v>
      </c>
      <c r="AA5068" s="6">
        <v>0</v>
      </c>
      <c r="AB5068" s="4">
        <f t="shared" si="774"/>
        <v>0</v>
      </c>
      <c r="AC5068" s="4">
        <f t="shared" ref="AC5068:AC5131" si="776">IF(P5068="返现",X5068*Q5068,V5068-X5068)</f>
        <v>0</v>
      </c>
      <c r="AD5068" s="6">
        <f t="shared" si="771"/>
        <v>0</v>
      </c>
      <c r="AE5068" s="2">
        <v>0.06</v>
      </c>
      <c r="AF5068" s="6">
        <f t="shared" ref="AF5068:AF5131" si="777">AD5068*AE5068</f>
        <v>0</v>
      </c>
      <c r="AG5068" s="14">
        <v>0</v>
      </c>
      <c r="AH5068" s="64">
        <f t="shared" si="772"/>
        <v>0</v>
      </c>
      <c r="AI5068" s="47"/>
      <c r="AJ5068" s="126" t="e">
        <v>#N/A</v>
      </c>
      <c r="AK5068" s="80">
        <f t="shared" si="775"/>
        <v>0</v>
      </c>
      <c r="AM5068" s="85"/>
    </row>
    <row r="5069" spans="1:39" hidden="1" x14ac:dyDescent="0.3">
      <c r="A5069" s="89" t="s">
        <v>3394</v>
      </c>
      <c r="B5069" s="86" t="s">
        <v>35</v>
      </c>
      <c r="C5069" s="86" t="s">
        <v>164</v>
      </c>
      <c r="D5069" s="86" t="s">
        <v>174</v>
      </c>
      <c r="E5069" s="86" t="s">
        <v>269</v>
      </c>
      <c r="F5069" s="86" t="s">
        <v>269</v>
      </c>
      <c r="G5069" s="86" t="s">
        <v>269</v>
      </c>
      <c r="H5069" s="143">
        <v>229</v>
      </c>
      <c r="I5069" s="86" t="s">
        <v>3356</v>
      </c>
      <c r="J5069" s="1" t="s">
        <v>3326</v>
      </c>
      <c r="K5069" s="1" t="s">
        <v>3712</v>
      </c>
      <c r="L5069" s="1" t="s">
        <v>35</v>
      </c>
      <c r="M5069" s="86"/>
      <c r="N5069" s="86" t="s">
        <v>3712</v>
      </c>
      <c r="O5069" s="47" t="s">
        <v>45</v>
      </c>
      <c r="P5069" s="47" t="s">
        <v>41</v>
      </c>
      <c r="Q5069" s="14">
        <v>0</v>
      </c>
      <c r="R5069" s="143"/>
      <c r="S5069" s="47"/>
      <c r="T5069" s="6">
        <v>11077.229999999978</v>
      </c>
      <c r="U5069" s="6"/>
      <c r="V5069" s="6">
        <v>0</v>
      </c>
      <c r="W5069" s="6">
        <f t="shared" si="769"/>
        <v>11077.229999999978</v>
      </c>
      <c r="X5069" s="6">
        <f t="shared" si="770"/>
        <v>0</v>
      </c>
      <c r="Y5069" s="13">
        <f t="shared" si="773"/>
        <v>0</v>
      </c>
      <c r="Z5069" s="14">
        <v>0</v>
      </c>
      <c r="AA5069" s="6">
        <v>0</v>
      </c>
      <c r="AB5069" s="4">
        <f t="shared" si="774"/>
        <v>0</v>
      </c>
      <c r="AC5069" s="4">
        <f t="shared" si="776"/>
        <v>0</v>
      </c>
      <c r="AD5069" s="6">
        <f t="shared" si="771"/>
        <v>0</v>
      </c>
      <c r="AE5069" s="2">
        <v>0.06</v>
      </c>
      <c r="AF5069" s="6">
        <f t="shared" si="777"/>
        <v>0</v>
      </c>
      <c r="AG5069" s="14">
        <v>0</v>
      </c>
      <c r="AH5069" s="64">
        <f t="shared" si="772"/>
        <v>0</v>
      </c>
      <c r="AI5069" s="47"/>
      <c r="AJ5069" s="126" t="e">
        <v>#N/A</v>
      </c>
      <c r="AK5069" s="80">
        <f t="shared" si="775"/>
        <v>0</v>
      </c>
      <c r="AM5069" s="85"/>
    </row>
    <row r="5070" spans="1:39" hidden="1" x14ac:dyDescent="0.3">
      <c r="A5070" s="89" t="s">
        <v>3394</v>
      </c>
      <c r="B5070" s="86" t="s">
        <v>35</v>
      </c>
      <c r="C5070" s="86" t="s">
        <v>36</v>
      </c>
      <c r="D5070" s="86" t="s">
        <v>224</v>
      </c>
      <c r="E5070" s="86" t="s">
        <v>270</v>
      </c>
      <c r="F5070" s="86" t="s">
        <v>270</v>
      </c>
      <c r="G5070" s="86" t="s">
        <v>270</v>
      </c>
      <c r="H5070" s="143">
        <v>229</v>
      </c>
      <c r="I5070" s="86" t="s">
        <v>3356</v>
      </c>
      <c r="J5070" s="1" t="s">
        <v>3326</v>
      </c>
      <c r="K5070" s="1" t="s">
        <v>3712</v>
      </c>
      <c r="L5070" s="1" t="s">
        <v>35</v>
      </c>
      <c r="M5070" s="86"/>
      <c r="N5070" s="86" t="s">
        <v>3712</v>
      </c>
      <c r="O5070" s="47" t="s">
        <v>45</v>
      </c>
      <c r="P5070" s="47" t="s">
        <v>41</v>
      </c>
      <c r="Q5070" s="14">
        <v>0</v>
      </c>
      <c r="R5070" s="143"/>
      <c r="S5070" s="47"/>
      <c r="T5070" s="6">
        <v>42453.569999999694</v>
      </c>
      <c r="U5070" s="6"/>
      <c r="V5070" s="6">
        <v>0</v>
      </c>
      <c r="W5070" s="6">
        <f t="shared" si="769"/>
        <v>42453.569999999694</v>
      </c>
      <c r="X5070" s="6">
        <f t="shared" si="770"/>
        <v>0</v>
      </c>
      <c r="Y5070" s="13">
        <f t="shared" si="773"/>
        <v>0</v>
      </c>
      <c r="Z5070" s="14">
        <v>0</v>
      </c>
      <c r="AA5070" s="6">
        <v>0</v>
      </c>
      <c r="AB5070" s="4">
        <f t="shared" si="774"/>
        <v>0</v>
      </c>
      <c r="AC5070" s="4">
        <f t="shared" si="776"/>
        <v>0</v>
      </c>
      <c r="AD5070" s="6">
        <f t="shared" si="771"/>
        <v>0</v>
      </c>
      <c r="AE5070" s="2">
        <v>0.06</v>
      </c>
      <c r="AF5070" s="6">
        <f t="shared" si="777"/>
        <v>0</v>
      </c>
      <c r="AG5070" s="14">
        <v>0</v>
      </c>
      <c r="AH5070" s="64">
        <f t="shared" si="772"/>
        <v>0</v>
      </c>
      <c r="AI5070" s="47"/>
      <c r="AJ5070" s="126" t="e">
        <v>#N/A</v>
      </c>
      <c r="AK5070" s="80">
        <f t="shared" si="775"/>
        <v>0</v>
      </c>
      <c r="AM5070" s="85"/>
    </row>
    <row r="5071" spans="1:39" hidden="1" x14ac:dyDescent="0.3">
      <c r="A5071" s="89" t="s">
        <v>3394</v>
      </c>
      <c r="B5071" s="86" t="s">
        <v>35</v>
      </c>
      <c r="C5071" s="86" t="s">
        <v>36</v>
      </c>
      <c r="D5071" s="86" t="s">
        <v>224</v>
      </c>
      <c r="E5071" s="86" t="s">
        <v>225</v>
      </c>
      <c r="F5071" s="86" t="s">
        <v>225</v>
      </c>
      <c r="G5071" s="86" t="s">
        <v>225</v>
      </c>
      <c r="H5071" s="144">
        <v>229</v>
      </c>
      <c r="I5071" s="86" t="s">
        <v>3356</v>
      </c>
      <c r="J5071" s="1" t="s">
        <v>3326</v>
      </c>
      <c r="K5071" s="1" t="s">
        <v>3707</v>
      </c>
      <c r="L5071" s="1" t="s">
        <v>35</v>
      </c>
      <c r="M5071" s="86"/>
      <c r="N5071" s="86" t="s">
        <v>3707</v>
      </c>
      <c r="O5071" s="47" t="s">
        <v>45</v>
      </c>
      <c r="P5071" s="47" t="s">
        <v>46</v>
      </c>
      <c r="Q5071" s="14">
        <v>0.01</v>
      </c>
      <c r="R5071" s="143"/>
      <c r="S5071" s="47"/>
      <c r="T5071" s="6">
        <v>1093783.0199999996</v>
      </c>
      <c r="U5071" s="6"/>
      <c r="V5071" s="6">
        <v>0.76</v>
      </c>
      <c r="W5071" s="6">
        <f t="shared" si="769"/>
        <v>1093782.2599999995</v>
      </c>
      <c r="X5071" s="6">
        <f t="shared" si="770"/>
        <v>0.75247524752475248</v>
      </c>
      <c r="Y5071" s="13">
        <f t="shared" si="773"/>
        <v>0</v>
      </c>
      <c r="Z5071" s="14">
        <v>0</v>
      </c>
      <c r="AA5071" s="6">
        <v>0</v>
      </c>
      <c r="AB5071" s="4">
        <f t="shared" si="774"/>
        <v>0.75247524752475248</v>
      </c>
      <c r="AC5071" s="4">
        <f t="shared" si="776"/>
        <v>7.5247524752475314E-3</v>
      </c>
      <c r="AD5071" s="6">
        <f t="shared" si="771"/>
        <v>0.76</v>
      </c>
      <c r="AE5071" s="2">
        <v>0.06</v>
      </c>
      <c r="AF5071" s="6">
        <f t="shared" si="777"/>
        <v>4.5600000000000002E-2</v>
      </c>
      <c r="AG5071" s="14">
        <v>0</v>
      </c>
      <c r="AH5071" s="64">
        <f t="shared" si="772"/>
        <v>0.76</v>
      </c>
      <c r="AI5071" s="47"/>
      <c r="AJ5071" s="126" t="e">
        <v>#N/A</v>
      </c>
      <c r="AK5071" s="80">
        <f t="shared" si="775"/>
        <v>0</v>
      </c>
      <c r="AM5071" s="85"/>
    </row>
    <row r="5072" spans="1:39" hidden="1" x14ac:dyDescent="0.3">
      <c r="A5072" s="89" t="s">
        <v>3394</v>
      </c>
      <c r="B5072" s="86" t="s">
        <v>35</v>
      </c>
      <c r="C5072" s="86" t="s">
        <v>36</v>
      </c>
      <c r="D5072" s="86" t="s">
        <v>54</v>
      </c>
      <c r="E5072" s="86" t="s">
        <v>271</v>
      </c>
      <c r="F5072" s="86" t="s">
        <v>271</v>
      </c>
      <c r="G5072" s="86" t="s">
        <v>271</v>
      </c>
      <c r="H5072" s="143">
        <v>229</v>
      </c>
      <c r="I5072" s="86" t="s">
        <v>3356</v>
      </c>
      <c r="J5072" s="1" t="s">
        <v>3326</v>
      </c>
      <c r="K5072" s="1" t="s">
        <v>3712</v>
      </c>
      <c r="L5072" s="1" t="s">
        <v>35</v>
      </c>
      <c r="M5072" s="86"/>
      <c r="N5072" s="86" t="s">
        <v>3712</v>
      </c>
      <c r="O5072" s="47" t="s">
        <v>45</v>
      </c>
      <c r="P5072" s="47" t="s">
        <v>41</v>
      </c>
      <c r="Q5072" s="14">
        <v>0</v>
      </c>
      <c r="R5072" s="143"/>
      <c r="S5072" s="47"/>
      <c r="T5072" s="6">
        <v>36436.51</v>
      </c>
      <c r="U5072" s="6"/>
      <c r="V5072" s="6">
        <v>0</v>
      </c>
      <c r="W5072" s="6">
        <f t="shared" si="769"/>
        <v>36436.51</v>
      </c>
      <c r="X5072" s="6">
        <f t="shared" si="770"/>
        <v>0</v>
      </c>
      <c r="Y5072" s="13">
        <f t="shared" si="773"/>
        <v>0</v>
      </c>
      <c r="Z5072" s="14">
        <v>0</v>
      </c>
      <c r="AA5072" s="6">
        <v>0</v>
      </c>
      <c r="AB5072" s="4">
        <f t="shared" si="774"/>
        <v>0</v>
      </c>
      <c r="AC5072" s="4">
        <f t="shared" si="776"/>
        <v>0</v>
      </c>
      <c r="AD5072" s="6">
        <f t="shared" si="771"/>
        <v>0</v>
      </c>
      <c r="AE5072" s="2">
        <v>0.06</v>
      </c>
      <c r="AF5072" s="6">
        <f t="shared" si="777"/>
        <v>0</v>
      </c>
      <c r="AG5072" s="14">
        <v>0</v>
      </c>
      <c r="AH5072" s="64">
        <f t="shared" si="772"/>
        <v>0</v>
      </c>
      <c r="AI5072" s="47"/>
      <c r="AJ5072" s="126" t="e">
        <v>#N/A</v>
      </c>
      <c r="AK5072" s="80">
        <f t="shared" si="775"/>
        <v>0</v>
      </c>
      <c r="AM5072" s="85"/>
    </row>
    <row r="5073" spans="1:39" hidden="1" x14ac:dyDescent="0.3">
      <c r="A5073" s="89" t="s">
        <v>3395</v>
      </c>
      <c r="B5073" s="86" t="s">
        <v>35</v>
      </c>
      <c r="C5073" s="86" t="s">
        <v>36</v>
      </c>
      <c r="D5073" s="86" t="s">
        <v>54</v>
      </c>
      <c r="E5073" s="86" t="s">
        <v>272</v>
      </c>
      <c r="F5073" s="86" t="s">
        <v>272</v>
      </c>
      <c r="G5073" s="86" t="s">
        <v>272</v>
      </c>
      <c r="H5073" s="143">
        <v>229</v>
      </c>
      <c r="I5073" s="86" t="s">
        <v>3356</v>
      </c>
      <c r="J5073" s="1" t="s">
        <v>3326</v>
      </c>
      <c r="K5073" s="1" t="s">
        <v>3712</v>
      </c>
      <c r="L5073" s="1" t="s">
        <v>35</v>
      </c>
      <c r="M5073" s="86"/>
      <c r="N5073" s="86" t="s">
        <v>3712</v>
      </c>
      <c r="O5073" s="47" t="s">
        <v>45</v>
      </c>
      <c r="P5073" s="47" t="s">
        <v>41</v>
      </c>
      <c r="Q5073" s="14">
        <v>0</v>
      </c>
      <c r="R5073" s="143"/>
      <c r="S5073" s="47"/>
      <c r="T5073" s="6">
        <v>48801.06</v>
      </c>
      <c r="U5073" s="6"/>
      <c r="V5073" s="6">
        <v>0</v>
      </c>
      <c r="W5073" s="6">
        <f t="shared" si="769"/>
        <v>48801.06</v>
      </c>
      <c r="X5073" s="6">
        <f t="shared" si="770"/>
        <v>0</v>
      </c>
      <c r="Y5073" s="13">
        <f t="shared" si="773"/>
        <v>0</v>
      </c>
      <c r="Z5073" s="14">
        <v>0</v>
      </c>
      <c r="AA5073" s="6">
        <v>0</v>
      </c>
      <c r="AB5073" s="4">
        <f t="shared" si="774"/>
        <v>0</v>
      </c>
      <c r="AC5073" s="4">
        <f t="shared" si="776"/>
        <v>0</v>
      </c>
      <c r="AD5073" s="6">
        <f t="shared" si="771"/>
        <v>0</v>
      </c>
      <c r="AE5073" s="2">
        <v>0.06</v>
      </c>
      <c r="AF5073" s="6">
        <f t="shared" si="777"/>
        <v>0</v>
      </c>
      <c r="AG5073" s="14">
        <v>0</v>
      </c>
      <c r="AH5073" s="64">
        <f t="shared" si="772"/>
        <v>0</v>
      </c>
      <c r="AI5073" s="47"/>
      <c r="AJ5073" s="126" t="e">
        <v>#N/A</v>
      </c>
      <c r="AK5073" s="80">
        <f t="shared" si="775"/>
        <v>0</v>
      </c>
      <c r="AM5073" s="85"/>
    </row>
    <row r="5074" spans="1:39" hidden="1" x14ac:dyDescent="0.3">
      <c r="A5074" s="89" t="s">
        <v>3394</v>
      </c>
      <c r="B5074" s="86" t="s">
        <v>35</v>
      </c>
      <c r="C5074" s="86" t="s">
        <v>36</v>
      </c>
      <c r="D5074" s="86" t="s">
        <v>54</v>
      </c>
      <c r="E5074" s="86" t="s">
        <v>225</v>
      </c>
      <c r="F5074" s="86" t="s">
        <v>273</v>
      </c>
      <c r="G5074" s="86" t="s">
        <v>225</v>
      </c>
      <c r="H5074" s="143">
        <v>229</v>
      </c>
      <c r="I5074" s="86" t="s">
        <v>3356</v>
      </c>
      <c r="J5074" s="1" t="s">
        <v>3326</v>
      </c>
      <c r="K5074" s="1" t="s">
        <v>3712</v>
      </c>
      <c r="L5074" s="1" t="s">
        <v>35</v>
      </c>
      <c r="M5074" s="86"/>
      <c r="N5074" s="86" t="s">
        <v>3712</v>
      </c>
      <c r="O5074" s="47" t="s">
        <v>45</v>
      </c>
      <c r="P5074" s="47" t="s">
        <v>46</v>
      </c>
      <c r="Q5074" s="14">
        <v>0.01</v>
      </c>
      <c r="R5074" s="143"/>
      <c r="S5074" s="47"/>
      <c r="T5074" s="6">
        <v>190115.95</v>
      </c>
      <c r="U5074" s="6"/>
      <c r="V5074" s="6">
        <v>0</v>
      </c>
      <c r="W5074" s="6">
        <f t="shared" si="769"/>
        <v>190115.95</v>
      </c>
      <c r="X5074" s="6">
        <f t="shared" si="770"/>
        <v>0</v>
      </c>
      <c r="Y5074" s="13">
        <f t="shared" si="773"/>
        <v>0</v>
      </c>
      <c r="Z5074" s="14">
        <v>0</v>
      </c>
      <c r="AA5074" s="6">
        <v>0</v>
      </c>
      <c r="AB5074" s="4">
        <f t="shared" si="774"/>
        <v>0</v>
      </c>
      <c r="AC5074" s="4">
        <f t="shared" si="776"/>
        <v>0</v>
      </c>
      <c r="AD5074" s="6">
        <f t="shared" si="771"/>
        <v>0</v>
      </c>
      <c r="AE5074" s="2">
        <v>0.06</v>
      </c>
      <c r="AF5074" s="6">
        <f t="shared" si="777"/>
        <v>0</v>
      </c>
      <c r="AG5074" s="14">
        <v>0</v>
      </c>
      <c r="AH5074" s="64">
        <f t="shared" si="772"/>
        <v>0</v>
      </c>
      <c r="AI5074" s="47"/>
      <c r="AJ5074" s="126" t="e">
        <v>#N/A</v>
      </c>
      <c r="AK5074" s="80">
        <f t="shared" si="775"/>
        <v>0</v>
      </c>
      <c r="AM5074" s="85"/>
    </row>
    <row r="5075" spans="1:39" hidden="1" x14ac:dyDescent="0.3">
      <c r="A5075" s="89" t="s">
        <v>3394</v>
      </c>
      <c r="B5075" s="86" t="s">
        <v>35</v>
      </c>
      <c r="C5075" s="86" t="s">
        <v>36</v>
      </c>
      <c r="D5075" s="86" t="s">
        <v>54</v>
      </c>
      <c r="E5075" s="86" t="s">
        <v>274</v>
      </c>
      <c r="F5075" s="86" t="s">
        <v>274</v>
      </c>
      <c r="G5075" s="86" t="s">
        <v>274</v>
      </c>
      <c r="H5075" s="143">
        <v>229</v>
      </c>
      <c r="I5075" s="86" t="s">
        <v>3356</v>
      </c>
      <c r="J5075" s="1" t="s">
        <v>3326</v>
      </c>
      <c r="K5075" s="1" t="s">
        <v>3712</v>
      </c>
      <c r="L5075" s="1" t="s">
        <v>35</v>
      </c>
      <c r="M5075" s="86"/>
      <c r="N5075" s="86" t="s">
        <v>3712</v>
      </c>
      <c r="O5075" s="47" t="s">
        <v>45</v>
      </c>
      <c r="P5075" s="47" t="s">
        <v>41</v>
      </c>
      <c r="Q5075" s="14">
        <v>0</v>
      </c>
      <c r="R5075" s="143"/>
      <c r="S5075" s="47"/>
      <c r="T5075" s="6">
        <v>17494.22</v>
      </c>
      <c r="U5075" s="6"/>
      <c r="V5075" s="6">
        <v>0</v>
      </c>
      <c r="W5075" s="6">
        <f t="shared" si="769"/>
        <v>17494.22</v>
      </c>
      <c r="X5075" s="6">
        <f t="shared" si="770"/>
        <v>0</v>
      </c>
      <c r="Y5075" s="13">
        <f t="shared" si="773"/>
        <v>0</v>
      </c>
      <c r="Z5075" s="14">
        <v>0</v>
      </c>
      <c r="AA5075" s="6">
        <v>0</v>
      </c>
      <c r="AB5075" s="4">
        <f t="shared" si="774"/>
        <v>0</v>
      </c>
      <c r="AC5075" s="4">
        <f t="shared" si="776"/>
        <v>0</v>
      </c>
      <c r="AD5075" s="6">
        <f t="shared" si="771"/>
        <v>0</v>
      </c>
      <c r="AE5075" s="2">
        <v>0.06</v>
      </c>
      <c r="AF5075" s="6">
        <f t="shared" si="777"/>
        <v>0</v>
      </c>
      <c r="AG5075" s="14">
        <v>0</v>
      </c>
      <c r="AH5075" s="64">
        <f t="shared" si="772"/>
        <v>0</v>
      </c>
      <c r="AI5075" s="47"/>
      <c r="AJ5075" s="126" t="e">
        <v>#N/A</v>
      </c>
      <c r="AK5075" s="80">
        <f t="shared" si="775"/>
        <v>0</v>
      </c>
      <c r="AM5075" s="85"/>
    </row>
    <row r="5076" spans="1:39" hidden="1" x14ac:dyDescent="0.3">
      <c r="A5076" s="89" t="s">
        <v>3394</v>
      </c>
      <c r="B5076" s="86" t="s">
        <v>35</v>
      </c>
      <c r="C5076" s="86" t="s">
        <v>187</v>
      </c>
      <c r="D5076" s="86" t="s">
        <v>208</v>
      </c>
      <c r="E5076" s="86" t="s">
        <v>275</v>
      </c>
      <c r="F5076" s="86" t="s">
        <v>275</v>
      </c>
      <c r="G5076" s="86" t="s">
        <v>275</v>
      </c>
      <c r="H5076" s="143">
        <v>229</v>
      </c>
      <c r="I5076" s="86" t="s">
        <v>3356</v>
      </c>
      <c r="J5076" s="1" t="s">
        <v>3326</v>
      </c>
      <c r="K5076" s="1" t="s">
        <v>3712</v>
      </c>
      <c r="L5076" s="1" t="s">
        <v>35</v>
      </c>
      <c r="M5076" s="86"/>
      <c r="N5076" s="86" t="s">
        <v>3712</v>
      </c>
      <c r="O5076" s="47" t="s">
        <v>45</v>
      </c>
      <c r="P5076" s="47" t="s">
        <v>46</v>
      </c>
      <c r="Q5076" s="14">
        <v>0.02</v>
      </c>
      <c r="R5076" s="143"/>
      <c r="S5076" s="47"/>
      <c r="T5076" s="6">
        <v>60.99999999976626</v>
      </c>
      <c r="U5076" s="6"/>
      <c r="V5076" s="6">
        <v>0</v>
      </c>
      <c r="W5076" s="6">
        <f t="shared" si="769"/>
        <v>60.99999999976626</v>
      </c>
      <c r="X5076" s="6">
        <f t="shared" si="770"/>
        <v>0</v>
      </c>
      <c r="Y5076" s="13">
        <f t="shared" si="773"/>
        <v>0</v>
      </c>
      <c r="Z5076" s="14">
        <v>0</v>
      </c>
      <c r="AA5076" s="6">
        <v>0</v>
      </c>
      <c r="AB5076" s="4">
        <f t="shared" si="774"/>
        <v>0</v>
      </c>
      <c r="AC5076" s="4">
        <f t="shared" si="776"/>
        <v>0</v>
      </c>
      <c r="AD5076" s="6">
        <f t="shared" si="771"/>
        <v>0</v>
      </c>
      <c r="AE5076" s="2">
        <v>0.06</v>
      </c>
      <c r="AF5076" s="6">
        <f t="shared" si="777"/>
        <v>0</v>
      </c>
      <c r="AG5076" s="14">
        <v>0</v>
      </c>
      <c r="AH5076" s="64">
        <f t="shared" si="772"/>
        <v>0</v>
      </c>
      <c r="AI5076" s="47"/>
      <c r="AJ5076" s="126" t="e">
        <v>#N/A</v>
      </c>
      <c r="AK5076" s="80">
        <f t="shared" si="775"/>
        <v>0</v>
      </c>
      <c r="AM5076" s="85"/>
    </row>
    <row r="5077" spans="1:39" hidden="1" x14ac:dyDescent="0.3">
      <c r="A5077" s="89" t="s">
        <v>3394</v>
      </c>
      <c r="B5077" s="86" t="s">
        <v>35</v>
      </c>
      <c r="C5077" s="86" t="s">
        <v>65</v>
      </c>
      <c r="D5077" s="86" t="s">
        <v>125</v>
      </c>
      <c r="E5077" s="86" t="s">
        <v>276</v>
      </c>
      <c r="F5077" s="86" t="s">
        <v>277</v>
      </c>
      <c r="G5077" s="86" t="s">
        <v>276</v>
      </c>
      <c r="H5077" s="144">
        <v>229</v>
      </c>
      <c r="I5077" s="86" t="s">
        <v>3356</v>
      </c>
      <c r="J5077" s="1" t="s">
        <v>3326</v>
      </c>
      <c r="K5077" s="1" t="s">
        <v>3710</v>
      </c>
      <c r="L5077" s="1" t="s">
        <v>35</v>
      </c>
      <c r="M5077" s="86"/>
      <c r="N5077" s="86" t="s">
        <v>3710</v>
      </c>
      <c r="O5077" s="47" t="s">
        <v>45</v>
      </c>
      <c r="P5077" s="47" t="s">
        <v>46</v>
      </c>
      <c r="Q5077" s="14">
        <v>0.02</v>
      </c>
      <c r="R5077" s="143"/>
      <c r="S5077" s="47"/>
      <c r="T5077" s="6">
        <v>20855.960000000101</v>
      </c>
      <c r="U5077" s="6"/>
      <c r="V5077" s="6">
        <v>20855.960000000101</v>
      </c>
      <c r="W5077" s="6">
        <f t="shared" si="769"/>
        <v>0</v>
      </c>
      <c r="X5077" s="6">
        <f t="shared" si="770"/>
        <v>20447.019607843235</v>
      </c>
      <c r="Y5077" s="13">
        <f t="shared" si="773"/>
        <v>0</v>
      </c>
      <c r="Z5077" s="14">
        <v>0</v>
      </c>
      <c r="AA5077" s="6">
        <v>0</v>
      </c>
      <c r="AB5077" s="4">
        <f t="shared" si="774"/>
        <v>20447.019607843235</v>
      </c>
      <c r="AC5077" s="4">
        <f t="shared" si="776"/>
        <v>408.94039215686644</v>
      </c>
      <c r="AD5077" s="6">
        <f t="shared" si="771"/>
        <v>20855.960000000101</v>
      </c>
      <c r="AE5077" s="2">
        <v>0.06</v>
      </c>
      <c r="AF5077" s="6">
        <f t="shared" si="777"/>
        <v>1251.357600000006</v>
      </c>
      <c r="AG5077" s="14">
        <v>0</v>
      </c>
      <c r="AH5077" s="64">
        <f t="shared" si="772"/>
        <v>20855.960000000101</v>
      </c>
      <c r="AI5077" s="47"/>
      <c r="AJ5077" s="126" t="e">
        <v>#N/A</v>
      </c>
      <c r="AK5077" s="80">
        <f t="shared" si="775"/>
        <v>0</v>
      </c>
      <c r="AM5077" s="85"/>
    </row>
    <row r="5078" spans="1:39" hidden="1" x14ac:dyDescent="0.3">
      <c r="A5078" s="89" t="s">
        <v>3394</v>
      </c>
      <c r="B5078" s="86" t="s">
        <v>35</v>
      </c>
      <c r="C5078" s="86" t="s">
        <v>36</v>
      </c>
      <c r="D5078" s="86" t="s">
        <v>54</v>
      </c>
      <c r="E5078" s="86" t="s">
        <v>278</v>
      </c>
      <c r="F5078" s="86" t="s">
        <v>278</v>
      </c>
      <c r="G5078" s="86" t="s">
        <v>278</v>
      </c>
      <c r="H5078" s="143">
        <v>229</v>
      </c>
      <c r="I5078" s="86" t="s">
        <v>3356</v>
      </c>
      <c r="J5078" s="1" t="s">
        <v>3326</v>
      </c>
      <c r="K5078" s="1" t="s">
        <v>3712</v>
      </c>
      <c r="L5078" s="1" t="s">
        <v>35</v>
      </c>
      <c r="M5078" s="86"/>
      <c r="N5078" s="86" t="s">
        <v>3712</v>
      </c>
      <c r="O5078" s="47" t="s">
        <v>45</v>
      </c>
      <c r="P5078" s="47" t="s">
        <v>46</v>
      </c>
      <c r="Q5078" s="14">
        <v>0.03</v>
      </c>
      <c r="R5078" s="143"/>
      <c r="S5078" s="47"/>
      <c r="T5078" s="6">
        <v>917.43000000001666</v>
      </c>
      <c r="U5078" s="6"/>
      <c r="V5078" s="6">
        <v>0</v>
      </c>
      <c r="W5078" s="6">
        <f t="shared" si="769"/>
        <v>917.43000000001666</v>
      </c>
      <c r="X5078" s="6">
        <f t="shared" si="770"/>
        <v>0</v>
      </c>
      <c r="Y5078" s="13">
        <f t="shared" si="773"/>
        <v>0</v>
      </c>
      <c r="Z5078" s="14">
        <v>0</v>
      </c>
      <c r="AA5078" s="6">
        <v>0</v>
      </c>
      <c r="AB5078" s="4">
        <f t="shared" si="774"/>
        <v>0</v>
      </c>
      <c r="AC5078" s="4">
        <f t="shared" si="776"/>
        <v>0</v>
      </c>
      <c r="AD5078" s="6">
        <f t="shared" si="771"/>
        <v>0</v>
      </c>
      <c r="AE5078" s="2">
        <v>0.06</v>
      </c>
      <c r="AF5078" s="6">
        <f t="shared" si="777"/>
        <v>0</v>
      </c>
      <c r="AG5078" s="14">
        <v>0</v>
      </c>
      <c r="AH5078" s="64">
        <f t="shared" si="772"/>
        <v>0</v>
      </c>
      <c r="AI5078" s="47"/>
      <c r="AJ5078" s="126" t="e">
        <v>#N/A</v>
      </c>
      <c r="AK5078" s="80">
        <f t="shared" si="775"/>
        <v>0</v>
      </c>
      <c r="AM5078" s="85"/>
    </row>
    <row r="5079" spans="1:39" hidden="1" x14ac:dyDescent="0.3">
      <c r="A5079" s="89" t="s">
        <v>3394</v>
      </c>
      <c r="B5079" s="86" t="s">
        <v>35</v>
      </c>
      <c r="C5079" s="86" t="s">
        <v>187</v>
      </c>
      <c r="D5079" s="86" t="s">
        <v>188</v>
      </c>
      <c r="E5079" s="86" t="s">
        <v>279</v>
      </c>
      <c r="F5079" s="86" t="s">
        <v>279</v>
      </c>
      <c r="G5079" s="86" t="s">
        <v>279</v>
      </c>
      <c r="H5079" s="144">
        <v>229</v>
      </c>
      <c r="I5079" s="86" t="s">
        <v>3356</v>
      </c>
      <c r="J5079" s="1" t="s">
        <v>3326</v>
      </c>
      <c r="K5079" s="1" t="s">
        <v>3283</v>
      </c>
      <c r="L5079" s="1" t="s">
        <v>35</v>
      </c>
      <c r="M5079" s="86"/>
      <c r="N5079" s="86" t="s">
        <v>3283</v>
      </c>
      <c r="O5079" s="47" t="s">
        <v>45</v>
      </c>
      <c r="P5079" s="47" t="s">
        <v>46</v>
      </c>
      <c r="Q5079" s="14">
        <v>0.03</v>
      </c>
      <c r="R5079" s="143"/>
      <c r="S5079" s="47"/>
      <c r="T5079" s="6">
        <v>39287.96999999979</v>
      </c>
      <c r="U5079" s="6"/>
      <c r="V5079" s="6">
        <v>18048.27</v>
      </c>
      <c r="W5079" s="6">
        <f t="shared" si="769"/>
        <v>21239.69999999979</v>
      </c>
      <c r="X5079" s="6">
        <f t="shared" si="770"/>
        <v>17522.592233009709</v>
      </c>
      <c r="Y5079" s="13">
        <f t="shared" si="773"/>
        <v>0</v>
      </c>
      <c r="Z5079" s="14">
        <v>0</v>
      </c>
      <c r="AA5079" s="6">
        <v>0</v>
      </c>
      <c r="AB5079" s="4">
        <f t="shared" si="774"/>
        <v>17522.592233009709</v>
      </c>
      <c r="AC5079" s="4">
        <f t="shared" si="776"/>
        <v>525.67776699029127</v>
      </c>
      <c r="AD5079" s="6">
        <f t="shared" si="771"/>
        <v>18048.27</v>
      </c>
      <c r="AE5079" s="2">
        <v>0.06</v>
      </c>
      <c r="AF5079" s="6">
        <f t="shared" si="777"/>
        <v>1082.8961999999999</v>
      </c>
      <c r="AG5079" s="14">
        <v>0</v>
      </c>
      <c r="AH5079" s="64">
        <f t="shared" si="772"/>
        <v>18048.27</v>
      </c>
      <c r="AI5079" s="47"/>
      <c r="AJ5079" s="126" t="e">
        <v>#N/A</v>
      </c>
      <c r="AK5079" s="80">
        <f t="shared" si="775"/>
        <v>0</v>
      </c>
      <c r="AM5079" s="85"/>
    </row>
    <row r="5080" spans="1:39" hidden="1" x14ac:dyDescent="0.3">
      <c r="A5080" s="89" t="s">
        <v>3394</v>
      </c>
      <c r="B5080" s="86" t="s">
        <v>35</v>
      </c>
      <c r="C5080" s="86" t="s">
        <v>187</v>
      </c>
      <c r="D5080" s="86" t="s">
        <v>188</v>
      </c>
      <c r="E5080" s="86" t="s">
        <v>280</v>
      </c>
      <c r="F5080" s="86" t="s">
        <v>280</v>
      </c>
      <c r="G5080" s="86" t="s">
        <v>280</v>
      </c>
      <c r="H5080" s="143">
        <v>229</v>
      </c>
      <c r="I5080" s="86" t="s">
        <v>3356</v>
      </c>
      <c r="J5080" s="1" t="s">
        <v>3326</v>
      </c>
      <c r="K5080" s="1" t="s">
        <v>3712</v>
      </c>
      <c r="L5080" s="1" t="s">
        <v>35</v>
      </c>
      <c r="M5080" s="86"/>
      <c r="N5080" s="86" t="s">
        <v>3712</v>
      </c>
      <c r="O5080" s="47" t="s">
        <v>45</v>
      </c>
      <c r="P5080" s="47" t="s">
        <v>46</v>
      </c>
      <c r="Q5080" s="14">
        <v>0.03</v>
      </c>
      <c r="R5080" s="143"/>
      <c r="S5080" s="47"/>
      <c r="T5080" s="6">
        <v>1864.210000000021</v>
      </c>
      <c r="U5080" s="6"/>
      <c r="V5080" s="6">
        <v>0</v>
      </c>
      <c r="W5080" s="6">
        <f t="shared" si="769"/>
        <v>1864.210000000021</v>
      </c>
      <c r="X5080" s="6">
        <f t="shared" si="770"/>
        <v>0</v>
      </c>
      <c r="Y5080" s="13">
        <f t="shared" si="773"/>
        <v>0</v>
      </c>
      <c r="Z5080" s="14">
        <v>0</v>
      </c>
      <c r="AA5080" s="6">
        <v>0</v>
      </c>
      <c r="AB5080" s="4">
        <f t="shared" si="774"/>
        <v>0</v>
      </c>
      <c r="AC5080" s="4">
        <f t="shared" si="776"/>
        <v>0</v>
      </c>
      <c r="AD5080" s="6">
        <f t="shared" si="771"/>
        <v>0</v>
      </c>
      <c r="AE5080" s="2">
        <v>0.06</v>
      </c>
      <c r="AF5080" s="6">
        <f t="shared" si="777"/>
        <v>0</v>
      </c>
      <c r="AG5080" s="14">
        <v>0</v>
      </c>
      <c r="AH5080" s="64">
        <f t="shared" si="772"/>
        <v>0</v>
      </c>
      <c r="AI5080" s="47"/>
      <c r="AJ5080" s="126" t="e">
        <v>#N/A</v>
      </c>
      <c r="AK5080" s="80">
        <f t="shared" si="775"/>
        <v>0</v>
      </c>
      <c r="AM5080" s="85"/>
    </row>
    <row r="5081" spans="1:39" hidden="1" x14ac:dyDescent="0.3">
      <c r="A5081" s="89" t="s">
        <v>3395</v>
      </c>
      <c r="B5081" s="86" t="s">
        <v>35</v>
      </c>
      <c r="C5081" s="86" t="s">
        <v>187</v>
      </c>
      <c r="D5081" s="86" t="s">
        <v>208</v>
      </c>
      <c r="E5081" s="86" t="s">
        <v>281</v>
      </c>
      <c r="F5081" s="86" t="s">
        <v>281</v>
      </c>
      <c r="G5081" s="86" t="s">
        <v>281</v>
      </c>
      <c r="H5081" s="143">
        <v>229</v>
      </c>
      <c r="I5081" s="86" t="s">
        <v>3356</v>
      </c>
      <c r="J5081" s="1" t="s">
        <v>3326</v>
      </c>
      <c r="K5081" s="1" t="s">
        <v>3712</v>
      </c>
      <c r="L5081" s="1" t="s">
        <v>35</v>
      </c>
      <c r="M5081" s="86"/>
      <c r="N5081" s="86" t="s">
        <v>3712</v>
      </c>
      <c r="O5081" s="47" t="s">
        <v>45</v>
      </c>
      <c r="P5081" s="47" t="s">
        <v>41</v>
      </c>
      <c r="Q5081" s="14">
        <v>0</v>
      </c>
      <c r="R5081" s="143"/>
      <c r="S5081" s="47"/>
      <c r="T5081" s="6">
        <v>11757.100000000022</v>
      </c>
      <c r="U5081" s="6"/>
      <c r="V5081" s="6">
        <v>0</v>
      </c>
      <c r="W5081" s="6">
        <f t="shared" si="769"/>
        <v>11757.100000000022</v>
      </c>
      <c r="X5081" s="6">
        <f t="shared" si="770"/>
        <v>0</v>
      </c>
      <c r="Y5081" s="13">
        <f t="shared" si="773"/>
        <v>0</v>
      </c>
      <c r="Z5081" s="14">
        <v>0</v>
      </c>
      <c r="AA5081" s="6">
        <v>0</v>
      </c>
      <c r="AB5081" s="4">
        <f t="shared" si="774"/>
        <v>0</v>
      </c>
      <c r="AC5081" s="4">
        <f t="shared" si="776"/>
        <v>0</v>
      </c>
      <c r="AD5081" s="6">
        <f t="shared" si="771"/>
        <v>0</v>
      </c>
      <c r="AE5081" s="2">
        <v>0.06</v>
      </c>
      <c r="AF5081" s="6">
        <f t="shared" si="777"/>
        <v>0</v>
      </c>
      <c r="AG5081" s="14">
        <v>0</v>
      </c>
      <c r="AH5081" s="64">
        <f t="shared" si="772"/>
        <v>0</v>
      </c>
      <c r="AI5081" s="47"/>
      <c r="AJ5081" s="126" t="e">
        <v>#N/A</v>
      </c>
      <c r="AK5081" s="80">
        <f t="shared" si="775"/>
        <v>0</v>
      </c>
      <c r="AM5081" s="85"/>
    </row>
    <row r="5082" spans="1:39" hidden="1" x14ac:dyDescent="0.3">
      <c r="A5082" s="89" t="s">
        <v>3394</v>
      </c>
      <c r="B5082" s="86" t="s">
        <v>35</v>
      </c>
      <c r="C5082" s="86" t="s">
        <v>187</v>
      </c>
      <c r="D5082" s="86" t="s">
        <v>208</v>
      </c>
      <c r="E5082" s="86" t="s">
        <v>282</v>
      </c>
      <c r="F5082" s="86" t="s">
        <v>283</v>
      </c>
      <c r="G5082" s="86" t="s">
        <v>282</v>
      </c>
      <c r="H5082" s="144">
        <v>229</v>
      </c>
      <c r="I5082" s="86" t="s">
        <v>3356</v>
      </c>
      <c r="J5082" s="1" t="s">
        <v>3326</v>
      </c>
      <c r="K5082" s="1" t="s">
        <v>3283</v>
      </c>
      <c r="L5082" s="1" t="s">
        <v>35</v>
      </c>
      <c r="M5082" s="86"/>
      <c r="N5082" s="86" t="s">
        <v>3283</v>
      </c>
      <c r="O5082" s="47" t="s">
        <v>45</v>
      </c>
      <c r="P5082" s="47" t="s">
        <v>46</v>
      </c>
      <c r="Q5082" s="14">
        <v>0.05</v>
      </c>
      <c r="R5082" s="143"/>
      <c r="S5082" s="47"/>
      <c r="T5082" s="6">
        <v>22848.750000000004</v>
      </c>
      <c r="U5082" s="6"/>
      <c r="V5082" s="6">
        <v>3021.53</v>
      </c>
      <c r="W5082" s="6">
        <f t="shared" si="769"/>
        <v>19827.220000000005</v>
      </c>
      <c r="X5082" s="6">
        <f t="shared" si="770"/>
        <v>2877.6476190476192</v>
      </c>
      <c r="Y5082" s="13">
        <f t="shared" si="773"/>
        <v>0</v>
      </c>
      <c r="Z5082" s="14">
        <v>0</v>
      </c>
      <c r="AA5082" s="6">
        <v>0</v>
      </c>
      <c r="AB5082" s="4">
        <f t="shared" si="774"/>
        <v>2877.6476190476192</v>
      </c>
      <c r="AC5082" s="4">
        <f t="shared" si="776"/>
        <v>143.88238095238103</v>
      </c>
      <c r="AD5082" s="6">
        <f t="shared" si="771"/>
        <v>3021.53</v>
      </c>
      <c r="AE5082" s="2">
        <v>0.06</v>
      </c>
      <c r="AF5082" s="6">
        <f t="shared" si="777"/>
        <v>181.29179999999999</v>
      </c>
      <c r="AG5082" s="14">
        <v>0</v>
      </c>
      <c r="AH5082" s="64">
        <f t="shared" si="772"/>
        <v>3021.53</v>
      </c>
      <c r="AI5082" s="47"/>
      <c r="AJ5082" s="126" t="e">
        <v>#N/A</v>
      </c>
      <c r="AK5082" s="80">
        <f t="shared" si="775"/>
        <v>0</v>
      </c>
      <c r="AM5082" s="85"/>
    </row>
    <row r="5083" spans="1:39" hidden="1" x14ac:dyDescent="0.3">
      <c r="A5083" s="89" t="s">
        <v>3395</v>
      </c>
      <c r="B5083" s="86" t="s">
        <v>35</v>
      </c>
      <c r="C5083" s="86" t="s">
        <v>164</v>
      </c>
      <c r="D5083" s="86" t="s">
        <v>174</v>
      </c>
      <c r="E5083" s="86" t="s">
        <v>284</v>
      </c>
      <c r="F5083" s="86" t="s">
        <v>284</v>
      </c>
      <c r="G5083" s="86" t="s">
        <v>284</v>
      </c>
      <c r="H5083" s="143">
        <v>229</v>
      </c>
      <c r="I5083" s="86" t="s">
        <v>3356</v>
      </c>
      <c r="J5083" s="1" t="s">
        <v>3326</v>
      </c>
      <c r="K5083" s="1" t="s">
        <v>3712</v>
      </c>
      <c r="L5083" s="1" t="s">
        <v>35</v>
      </c>
      <c r="M5083" s="86"/>
      <c r="N5083" s="86" t="s">
        <v>3712</v>
      </c>
      <c r="O5083" s="47" t="s">
        <v>45</v>
      </c>
      <c r="P5083" s="47" t="s">
        <v>46</v>
      </c>
      <c r="Q5083" s="14">
        <v>0.04</v>
      </c>
      <c r="R5083" s="143"/>
      <c r="S5083" s="47"/>
      <c r="T5083" s="6">
        <v>8919.66</v>
      </c>
      <c r="U5083" s="6"/>
      <c r="V5083" s="6">
        <v>0</v>
      </c>
      <c r="W5083" s="6">
        <f t="shared" si="769"/>
        <v>8919.66</v>
      </c>
      <c r="X5083" s="6">
        <f t="shared" si="770"/>
        <v>0</v>
      </c>
      <c r="Y5083" s="13">
        <f t="shared" si="773"/>
        <v>0</v>
      </c>
      <c r="Z5083" s="14">
        <v>0</v>
      </c>
      <c r="AA5083" s="6">
        <v>0</v>
      </c>
      <c r="AB5083" s="4">
        <f t="shared" si="774"/>
        <v>0</v>
      </c>
      <c r="AC5083" s="4">
        <f t="shared" si="776"/>
        <v>0</v>
      </c>
      <c r="AD5083" s="6">
        <f t="shared" si="771"/>
        <v>0</v>
      </c>
      <c r="AE5083" s="2">
        <v>0.06</v>
      </c>
      <c r="AF5083" s="6">
        <f t="shared" si="777"/>
        <v>0</v>
      </c>
      <c r="AG5083" s="14">
        <v>0</v>
      </c>
      <c r="AH5083" s="64">
        <f t="shared" si="772"/>
        <v>0</v>
      </c>
      <c r="AI5083" s="47"/>
      <c r="AJ5083" s="126" t="e">
        <v>#N/A</v>
      </c>
      <c r="AK5083" s="80">
        <f t="shared" si="775"/>
        <v>0</v>
      </c>
      <c r="AM5083" s="85"/>
    </row>
    <row r="5084" spans="1:39" hidden="1" x14ac:dyDescent="0.3">
      <c r="A5084" s="89" t="s">
        <v>3394</v>
      </c>
      <c r="B5084" s="86" t="s">
        <v>35</v>
      </c>
      <c r="C5084" s="86" t="s">
        <v>187</v>
      </c>
      <c r="D5084" s="86" t="s">
        <v>188</v>
      </c>
      <c r="E5084" s="86" t="s">
        <v>285</v>
      </c>
      <c r="F5084" s="86" t="s">
        <v>286</v>
      </c>
      <c r="G5084" s="86" t="s">
        <v>285</v>
      </c>
      <c r="H5084" s="143">
        <v>229</v>
      </c>
      <c r="I5084" s="86" t="s">
        <v>3356</v>
      </c>
      <c r="J5084" s="1" t="s">
        <v>3326</v>
      </c>
      <c r="K5084" s="1" t="s">
        <v>3712</v>
      </c>
      <c r="L5084" s="1" t="s">
        <v>35</v>
      </c>
      <c r="M5084" s="86"/>
      <c r="N5084" s="86" t="s">
        <v>3712</v>
      </c>
      <c r="O5084" s="47" t="s">
        <v>45</v>
      </c>
      <c r="P5084" s="47" t="s">
        <v>41</v>
      </c>
      <c r="Q5084" s="14">
        <v>0</v>
      </c>
      <c r="R5084" s="143"/>
      <c r="S5084" s="47"/>
      <c r="T5084" s="6">
        <v>6840.6500000000015</v>
      </c>
      <c r="U5084" s="6"/>
      <c r="V5084" s="6">
        <v>0</v>
      </c>
      <c r="W5084" s="6">
        <f t="shared" si="769"/>
        <v>6840.6500000000015</v>
      </c>
      <c r="X5084" s="6">
        <f t="shared" si="770"/>
        <v>0</v>
      </c>
      <c r="Y5084" s="13">
        <f t="shared" si="773"/>
        <v>0</v>
      </c>
      <c r="Z5084" s="14">
        <v>0</v>
      </c>
      <c r="AA5084" s="6">
        <v>0</v>
      </c>
      <c r="AB5084" s="4">
        <f t="shared" si="774"/>
        <v>0</v>
      </c>
      <c r="AC5084" s="4">
        <f t="shared" si="776"/>
        <v>0</v>
      </c>
      <c r="AD5084" s="6">
        <f t="shared" si="771"/>
        <v>0</v>
      </c>
      <c r="AE5084" s="2">
        <v>0.06</v>
      </c>
      <c r="AF5084" s="6">
        <f t="shared" si="777"/>
        <v>0</v>
      </c>
      <c r="AG5084" s="14">
        <v>0</v>
      </c>
      <c r="AH5084" s="64">
        <f t="shared" si="772"/>
        <v>0</v>
      </c>
      <c r="AI5084" s="47"/>
      <c r="AJ5084" s="126" t="e">
        <v>#N/A</v>
      </c>
      <c r="AK5084" s="80">
        <f t="shared" si="775"/>
        <v>0</v>
      </c>
      <c r="AM5084" s="85"/>
    </row>
    <row r="5085" spans="1:39" hidden="1" x14ac:dyDescent="0.3">
      <c r="A5085" s="89" t="s">
        <v>3397</v>
      </c>
      <c r="B5085" s="86" t="s">
        <v>35</v>
      </c>
      <c r="C5085" s="86" t="s">
        <v>47</v>
      </c>
      <c r="D5085" s="86" t="s">
        <v>48</v>
      </c>
      <c r="E5085" s="86" t="s">
        <v>50</v>
      </c>
      <c r="F5085" s="86" t="s">
        <v>287</v>
      </c>
      <c r="G5085" s="86" t="s">
        <v>50</v>
      </c>
      <c r="H5085" s="143">
        <v>229</v>
      </c>
      <c r="I5085" s="86" t="s">
        <v>3356</v>
      </c>
      <c r="J5085" s="1" t="s">
        <v>3326</v>
      </c>
      <c r="K5085" s="1" t="s">
        <v>3712</v>
      </c>
      <c r="L5085" s="1" t="s">
        <v>35</v>
      </c>
      <c r="M5085" s="86"/>
      <c r="N5085" s="86" t="s">
        <v>3712</v>
      </c>
      <c r="O5085" s="47" t="s">
        <v>45</v>
      </c>
      <c r="P5085" s="47" t="s">
        <v>41</v>
      </c>
      <c r="Q5085" s="14">
        <v>0</v>
      </c>
      <c r="R5085" s="143"/>
      <c r="S5085" s="47"/>
      <c r="T5085" s="6">
        <v>52722.929999999978</v>
      </c>
      <c r="U5085" s="6"/>
      <c r="V5085" s="6">
        <v>0</v>
      </c>
      <c r="W5085" s="6">
        <f t="shared" si="769"/>
        <v>52722.929999999978</v>
      </c>
      <c r="X5085" s="6">
        <f t="shared" si="770"/>
        <v>0</v>
      </c>
      <c r="Y5085" s="13">
        <f t="shared" si="773"/>
        <v>0</v>
      </c>
      <c r="Z5085" s="14">
        <v>0</v>
      </c>
      <c r="AA5085" s="6">
        <v>0</v>
      </c>
      <c r="AB5085" s="4">
        <f t="shared" si="774"/>
        <v>0</v>
      </c>
      <c r="AC5085" s="4">
        <f t="shared" si="776"/>
        <v>0</v>
      </c>
      <c r="AD5085" s="6">
        <f t="shared" si="771"/>
        <v>0</v>
      </c>
      <c r="AE5085" s="2">
        <v>0.06</v>
      </c>
      <c r="AF5085" s="6">
        <f t="shared" si="777"/>
        <v>0</v>
      </c>
      <c r="AG5085" s="14">
        <v>0</v>
      </c>
      <c r="AH5085" s="64">
        <f t="shared" si="772"/>
        <v>0</v>
      </c>
      <c r="AI5085" s="47"/>
      <c r="AJ5085" s="126" t="e">
        <v>#N/A</v>
      </c>
      <c r="AK5085" s="80">
        <f t="shared" si="775"/>
        <v>0</v>
      </c>
      <c r="AM5085" s="85"/>
    </row>
    <row r="5086" spans="1:39" hidden="1" x14ac:dyDescent="0.3">
      <c r="A5086" s="89" t="s">
        <v>3394</v>
      </c>
      <c r="B5086" s="86" t="s">
        <v>35</v>
      </c>
      <c r="C5086" s="86" t="s">
        <v>187</v>
      </c>
      <c r="D5086" s="86" t="s">
        <v>208</v>
      </c>
      <c r="E5086" s="86" t="s">
        <v>288</v>
      </c>
      <c r="F5086" s="86" t="s">
        <v>288</v>
      </c>
      <c r="G5086" s="86" t="s">
        <v>288</v>
      </c>
      <c r="H5086" s="143">
        <v>229</v>
      </c>
      <c r="I5086" s="86" t="s">
        <v>3356</v>
      </c>
      <c r="J5086" s="1" t="s">
        <v>3326</v>
      </c>
      <c r="K5086" s="1" t="s">
        <v>3712</v>
      </c>
      <c r="L5086" s="1" t="s">
        <v>35</v>
      </c>
      <c r="M5086" s="86"/>
      <c r="N5086" s="86" t="s">
        <v>3712</v>
      </c>
      <c r="O5086" s="47" t="s">
        <v>45</v>
      </c>
      <c r="P5086" s="47" t="s">
        <v>41</v>
      </c>
      <c r="Q5086" s="14">
        <v>0</v>
      </c>
      <c r="R5086" s="143"/>
      <c r="S5086" s="47"/>
      <c r="T5086" s="6">
        <v>3138.33</v>
      </c>
      <c r="U5086" s="6"/>
      <c r="V5086" s="6">
        <v>0</v>
      </c>
      <c r="W5086" s="6">
        <f t="shared" si="769"/>
        <v>3138.33</v>
      </c>
      <c r="X5086" s="6">
        <f t="shared" si="770"/>
        <v>0</v>
      </c>
      <c r="Y5086" s="13">
        <f t="shared" si="773"/>
        <v>0</v>
      </c>
      <c r="Z5086" s="14">
        <v>0</v>
      </c>
      <c r="AA5086" s="6">
        <v>0</v>
      </c>
      <c r="AB5086" s="4">
        <f t="shared" si="774"/>
        <v>0</v>
      </c>
      <c r="AC5086" s="4">
        <f t="shared" si="776"/>
        <v>0</v>
      </c>
      <c r="AD5086" s="6">
        <f t="shared" si="771"/>
        <v>0</v>
      </c>
      <c r="AE5086" s="2">
        <v>0.06</v>
      </c>
      <c r="AF5086" s="6">
        <f t="shared" si="777"/>
        <v>0</v>
      </c>
      <c r="AG5086" s="14">
        <v>0</v>
      </c>
      <c r="AH5086" s="64">
        <f t="shared" si="772"/>
        <v>0</v>
      </c>
      <c r="AI5086" s="47"/>
      <c r="AJ5086" s="126" t="e">
        <v>#N/A</v>
      </c>
      <c r="AK5086" s="80">
        <f t="shared" si="775"/>
        <v>0</v>
      </c>
      <c r="AM5086" s="85"/>
    </row>
    <row r="5087" spans="1:39" hidden="1" x14ac:dyDescent="0.3">
      <c r="A5087" s="89" t="s">
        <v>3394</v>
      </c>
      <c r="B5087" s="86" t="s">
        <v>35</v>
      </c>
      <c r="C5087" s="86" t="s">
        <v>36</v>
      </c>
      <c r="D5087" s="86" t="s">
        <v>54</v>
      </c>
      <c r="E5087" s="86" t="s">
        <v>289</v>
      </c>
      <c r="F5087" s="86" t="s">
        <v>289</v>
      </c>
      <c r="G5087" s="86" t="s">
        <v>289</v>
      </c>
      <c r="H5087" s="143">
        <v>229</v>
      </c>
      <c r="I5087" s="86" t="s">
        <v>3356</v>
      </c>
      <c r="J5087" s="1" t="s">
        <v>3326</v>
      </c>
      <c r="K5087" s="1" t="s">
        <v>3712</v>
      </c>
      <c r="L5087" s="1" t="s">
        <v>35</v>
      </c>
      <c r="M5087" s="86"/>
      <c r="N5087" s="86" t="s">
        <v>3712</v>
      </c>
      <c r="O5087" s="47" t="s">
        <v>45</v>
      </c>
      <c r="P5087" s="47" t="s">
        <v>41</v>
      </c>
      <c r="Q5087" s="14">
        <v>0</v>
      </c>
      <c r="R5087" s="143"/>
      <c r="S5087" s="47"/>
      <c r="T5087" s="6">
        <v>0.1000000000349246</v>
      </c>
      <c r="U5087" s="6"/>
      <c r="V5087" s="6">
        <v>0</v>
      </c>
      <c r="W5087" s="6">
        <f t="shared" si="769"/>
        <v>0.1000000000349246</v>
      </c>
      <c r="X5087" s="6">
        <f t="shared" si="770"/>
        <v>0</v>
      </c>
      <c r="Y5087" s="13">
        <f t="shared" si="773"/>
        <v>0</v>
      </c>
      <c r="Z5087" s="14">
        <v>0</v>
      </c>
      <c r="AA5087" s="6">
        <v>0</v>
      </c>
      <c r="AB5087" s="4">
        <f t="shared" si="774"/>
        <v>0</v>
      </c>
      <c r="AC5087" s="4">
        <f t="shared" si="776"/>
        <v>0</v>
      </c>
      <c r="AD5087" s="6">
        <f t="shared" si="771"/>
        <v>0</v>
      </c>
      <c r="AE5087" s="2">
        <v>0.06</v>
      </c>
      <c r="AF5087" s="6">
        <f t="shared" si="777"/>
        <v>0</v>
      </c>
      <c r="AG5087" s="14">
        <v>0</v>
      </c>
      <c r="AH5087" s="64">
        <f t="shared" si="772"/>
        <v>0</v>
      </c>
      <c r="AI5087" s="47"/>
      <c r="AJ5087" s="126" t="e">
        <v>#N/A</v>
      </c>
      <c r="AK5087" s="80">
        <f t="shared" si="775"/>
        <v>0</v>
      </c>
      <c r="AM5087" s="85"/>
    </row>
    <row r="5088" spans="1:39" hidden="1" x14ac:dyDescent="0.3">
      <c r="A5088" s="89" t="s">
        <v>3394</v>
      </c>
      <c r="B5088" s="86" t="s">
        <v>35</v>
      </c>
      <c r="C5088" s="86" t="s">
        <v>36</v>
      </c>
      <c r="D5088" s="86" t="s">
        <v>54</v>
      </c>
      <c r="E5088" s="86" t="s">
        <v>290</v>
      </c>
      <c r="F5088" s="86" t="s">
        <v>290</v>
      </c>
      <c r="G5088" s="86" t="s">
        <v>290</v>
      </c>
      <c r="H5088" s="143">
        <v>229</v>
      </c>
      <c r="I5088" s="86" t="s">
        <v>3356</v>
      </c>
      <c r="J5088" s="1" t="s">
        <v>3326</v>
      </c>
      <c r="K5088" s="1" t="s">
        <v>3712</v>
      </c>
      <c r="L5088" s="1" t="s">
        <v>35</v>
      </c>
      <c r="M5088" s="86"/>
      <c r="N5088" s="86" t="s">
        <v>3712</v>
      </c>
      <c r="O5088" s="47" t="s">
        <v>45</v>
      </c>
      <c r="P5088" s="47" t="s">
        <v>41</v>
      </c>
      <c r="Q5088" s="14">
        <v>0</v>
      </c>
      <c r="R5088" s="143"/>
      <c r="S5088" s="47"/>
      <c r="T5088" s="6">
        <v>468.08000000000175</v>
      </c>
      <c r="U5088" s="6"/>
      <c r="V5088" s="6">
        <v>0</v>
      </c>
      <c r="W5088" s="6">
        <f t="shared" si="769"/>
        <v>468.08000000000175</v>
      </c>
      <c r="X5088" s="6">
        <f t="shared" si="770"/>
        <v>0</v>
      </c>
      <c r="Y5088" s="13">
        <f t="shared" si="773"/>
        <v>0</v>
      </c>
      <c r="Z5088" s="14">
        <v>0</v>
      </c>
      <c r="AA5088" s="6">
        <v>0</v>
      </c>
      <c r="AB5088" s="4"/>
      <c r="AC5088" s="4">
        <f t="shared" si="776"/>
        <v>0</v>
      </c>
      <c r="AD5088" s="6">
        <f t="shared" si="771"/>
        <v>0</v>
      </c>
      <c r="AE5088" s="2">
        <v>0.06</v>
      </c>
      <c r="AF5088" s="6">
        <f t="shared" si="777"/>
        <v>0</v>
      </c>
      <c r="AG5088" s="14">
        <v>0</v>
      </c>
      <c r="AH5088" s="64">
        <f t="shared" si="772"/>
        <v>0</v>
      </c>
      <c r="AI5088" s="47"/>
      <c r="AJ5088" s="126">
        <v>95</v>
      </c>
      <c r="AK5088" s="80">
        <f t="shared" si="775"/>
        <v>0</v>
      </c>
      <c r="AM5088" s="85"/>
    </row>
    <row r="5089" spans="1:39" hidden="1" x14ac:dyDescent="0.3">
      <c r="A5089" s="89" t="s">
        <v>3394</v>
      </c>
      <c r="B5089" s="86" t="s">
        <v>35</v>
      </c>
      <c r="C5089" s="86" t="s">
        <v>36</v>
      </c>
      <c r="D5089" s="86" t="s">
        <v>54</v>
      </c>
      <c r="E5089" s="86" t="s">
        <v>291</v>
      </c>
      <c r="F5089" s="86" t="s">
        <v>292</v>
      </c>
      <c r="G5089" s="86" t="s">
        <v>291</v>
      </c>
      <c r="H5089" s="143">
        <v>229</v>
      </c>
      <c r="I5089" s="86" t="s">
        <v>3356</v>
      </c>
      <c r="J5089" s="1" t="s">
        <v>3326</v>
      </c>
      <c r="K5089" s="1" t="s">
        <v>3712</v>
      </c>
      <c r="L5089" s="1" t="s">
        <v>35</v>
      </c>
      <c r="M5089" s="86"/>
      <c r="N5089" s="86" t="s">
        <v>3712</v>
      </c>
      <c r="O5089" s="47" t="s">
        <v>45</v>
      </c>
      <c r="P5089" s="47" t="s">
        <v>41</v>
      </c>
      <c r="Q5089" s="14">
        <v>0</v>
      </c>
      <c r="R5089" s="143"/>
      <c r="S5089" s="47"/>
      <c r="T5089" s="6">
        <v>16146.760000000018</v>
      </c>
      <c r="U5089" s="6"/>
      <c r="V5089" s="6">
        <v>0</v>
      </c>
      <c r="W5089" s="6">
        <f t="shared" si="769"/>
        <v>16146.760000000018</v>
      </c>
      <c r="X5089" s="6">
        <f t="shared" si="770"/>
        <v>0</v>
      </c>
      <c r="Y5089" s="13">
        <f t="shared" si="773"/>
        <v>0</v>
      </c>
      <c r="Z5089" s="14">
        <v>0</v>
      </c>
      <c r="AA5089" s="6">
        <v>0</v>
      </c>
      <c r="AB5089" s="4">
        <f t="shared" si="774"/>
        <v>0</v>
      </c>
      <c r="AC5089" s="4">
        <f t="shared" si="776"/>
        <v>0</v>
      </c>
      <c r="AD5089" s="6">
        <f t="shared" si="771"/>
        <v>0</v>
      </c>
      <c r="AE5089" s="2">
        <v>0.06</v>
      </c>
      <c r="AF5089" s="6">
        <f t="shared" si="777"/>
        <v>0</v>
      </c>
      <c r="AG5089" s="14">
        <v>0</v>
      </c>
      <c r="AH5089" s="64">
        <f t="shared" si="772"/>
        <v>0</v>
      </c>
      <c r="AI5089" s="47"/>
      <c r="AJ5089" s="126" t="e">
        <v>#N/A</v>
      </c>
      <c r="AK5089" s="80">
        <f t="shared" si="775"/>
        <v>0</v>
      </c>
      <c r="AM5089" s="85"/>
    </row>
    <row r="5090" spans="1:39" hidden="1" x14ac:dyDescent="0.3">
      <c r="A5090" s="89" t="s">
        <v>3394</v>
      </c>
      <c r="B5090" s="86" t="s">
        <v>35</v>
      </c>
      <c r="C5090" s="86" t="s">
        <v>187</v>
      </c>
      <c r="D5090" s="86" t="s">
        <v>208</v>
      </c>
      <c r="E5090" s="86" t="s">
        <v>294</v>
      </c>
      <c r="F5090" s="86" t="s">
        <v>294</v>
      </c>
      <c r="G5090" s="86" t="s">
        <v>294</v>
      </c>
      <c r="H5090" s="143">
        <v>229</v>
      </c>
      <c r="I5090" s="86" t="s">
        <v>3356</v>
      </c>
      <c r="J5090" s="1" t="s">
        <v>3326</v>
      </c>
      <c r="K5090" s="1" t="s">
        <v>3712</v>
      </c>
      <c r="L5090" s="1" t="s">
        <v>35</v>
      </c>
      <c r="M5090" s="86"/>
      <c r="N5090" s="86" t="s">
        <v>3712</v>
      </c>
      <c r="O5090" s="47" t="s">
        <v>45</v>
      </c>
      <c r="P5090" s="47" t="s">
        <v>41</v>
      </c>
      <c r="Q5090" s="14">
        <v>0</v>
      </c>
      <c r="R5090" s="143"/>
      <c r="S5090" s="47"/>
      <c r="T5090" s="6">
        <v>25609.800000000287</v>
      </c>
      <c r="U5090" s="6"/>
      <c r="V5090" s="6">
        <v>0</v>
      </c>
      <c r="W5090" s="6">
        <f t="shared" si="769"/>
        <v>25609.800000000287</v>
      </c>
      <c r="X5090" s="6">
        <f t="shared" si="770"/>
        <v>0</v>
      </c>
      <c r="Y5090" s="13">
        <f t="shared" si="773"/>
        <v>0</v>
      </c>
      <c r="Z5090" s="14">
        <v>0</v>
      </c>
      <c r="AA5090" s="6">
        <v>0</v>
      </c>
      <c r="AB5090" s="4">
        <f t="shared" si="774"/>
        <v>0</v>
      </c>
      <c r="AC5090" s="4">
        <f t="shared" si="776"/>
        <v>0</v>
      </c>
      <c r="AD5090" s="6">
        <f t="shared" si="771"/>
        <v>0</v>
      </c>
      <c r="AE5090" s="2">
        <v>0.06</v>
      </c>
      <c r="AF5090" s="6">
        <f t="shared" si="777"/>
        <v>0</v>
      </c>
      <c r="AG5090" s="14">
        <v>0</v>
      </c>
      <c r="AH5090" s="64">
        <f t="shared" si="772"/>
        <v>0</v>
      </c>
      <c r="AI5090" s="47"/>
      <c r="AJ5090" s="126" t="e">
        <v>#N/A</v>
      </c>
      <c r="AK5090" s="80">
        <f t="shared" si="775"/>
        <v>0</v>
      </c>
      <c r="AM5090" s="85"/>
    </row>
    <row r="5091" spans="1:39" hidden="1" x14ac:dyDescent="0.3">
      <c r="A5091" s="89" t="s">
        <v>3394</v>
      </c>
      <c r="B5091" s="86" t="s">
        <v>35</v>
      </c>
      <c r="C5091" s="86" t="s">
        <v>184</v>
      </c>
      <c r="D5091" s="86" t="s">
        <v>185</v>
      </c>
      <c r="E5091" s="86" t="s">
        <v>296</v>
      </c>
      <c r="F5091" s="86" t="s">
        <v>296</v>
      </c>
      <c r="G5091" s="86" t="s">
        <v>296</v>
      </c>
      <c r="H5091" s="143">
        <v>229</v>
      </c>
      <c r="I5091" s="86" t="s">
        <v>3356</v>
      </c>
      <c r="J5091" s="1" t="s">
        <v>3326</v>
      </c>
      <c r="K5091" s="1" t="s">
        <v>3712</v>
      </c>
      <c r="L5091" s="1" t="s">
        <v>35</v>
      </c>
      <c r="M5091" s="86"/>
      <c r="N5091" s="86" t="s">
        <v>3712</v>
      </c>
      <c r="O5091" s="47" t="s">
        <v>45</v>
      </c>
      <c r="P5091" s="47" t="s">
        <v>46</v>
      </c>
      <c r="Q5091" s="14">
        <v>0.03</v>
      </c>
      <c r="R5091" s="143"/>
      <c r="S5091" s="47"/>
      <c r="T5091" s="6">
        <v>6946.6599999999698</v>
      </c>
      <c r="U5091" s="6"/>
      <c r="V5091" s="6">
        <v>0</v>
      </c>
      <c r="W5091" s="6">
        <f t="shared" si="769"/>
        <v>6946.6599999999698</v>
      </c>
      <c r="X5091" s="6">
        <f t="shared" si="770"/>
        <v>0</v>
      </c>
      <c r="Y5091" s="13">
        <f t="shared" si="773"/>
        <v>0</v>
      </c>
      <c r="Z5091" s="14">
        <v>0</v>
      </c>
      <c r="AA5091" s="6">
        <v>0</v>
      </c>
      <c r="AB5091" s="4">
        <f t="shared" si="774"/>
        <v>0</v>
      </c>
      <c r="AC5091" s="4">
        <f t="shared" si="776"/>
        <v>0</v>
      </c>
      <c r="AD5091" s="6">
        <f t="shared" si="771"/>
        <v>0</v>
      </c>
      <c r="AE5091" s="2">
        <v>0.06</v>
      </c>
      <c r="AF5091" s="6">
        <f t="shared" si="777"/>
        <v>0</v>
      </c>
      <c r="AG5091" s="14">
        <v>0</v>
      </c>
      <c r="AH5091" s="64">
        <f t="shared" si="772"/>
        <v>0</v>
      </c>
      <c r="AI5091" s="47"/>
      <c r="AJ5091" s="126" t="e">
        <v>#N/A</v>
      </c>
      <c r="AK5091" s="80">
        <f t="shared" si="775"/>
        <v>0</v>
      </c>
      <c r="AM5091" s="85"/>
    </row>
    <row r="5092" spans="1:39" hidden="1" x14ac:dyDescent="0.3">
      <c r="A5092" s="89" t="s">
        <v>3394</v>
      </c>
      <c r="B5092" s="86" t="s">
        <v>35</v>
      </c>
      <c r="C5092" s="86" t="s">
        <v>184</v>
      </c>
      <c r="D5092" s="86" t="s">
        <v>185</v>
      </c>
      <c r="E5092" s="86" t="s">
        <v>297</v>
      </c>
      <c r="F5092" s="86" t="s">
        <v>297</v>
      </c>
      <c r="G5092" s="86" t="s">
        <v>297</v>
      </c>
      <c r="H5092" s="143">
        <v>229</v>
      </c>
      <c r="I5092" s="86" t="s">
        <v>3356</v>
      </c>
      <c r="J5092" s="1" t="s">
        <v>3326</v>
      </c>
      <c r="K5092" s="1" t="s">
        <v>3712</v>
      </c>
      <c r="L5092" s="1" t="s">
        <v>35</v>
      </c>
      <c r="M5092" s="86"/>
      <c r="N5092" s="86" t="s">
        <v>3712</v>
      </c>
      <c r="O5092" s="47" t="s">
        <v>45</v>
      </c>
      <c r="P5092" s="47" t="s">
        <v>46</v>
      </c>
      <c r="Q5092" s="14">
        <v>0.03</v>
      </c>
      <c r="R5092" s="143"/>
      <c r="S5092" s="47"/>
      <c r="T5092" s="6">
        <v>53361.72</v>
      </c>
      <c r="U5092" s="6"/>
      <c r="V5092" s="6">
        <v>0</v>
      </c>
      <c r="W5092" s="6">
        <f t="shared" si="769"/>
        <v>53361.72</v>
      </c>
      <c r="X5092" s="6">
        <f t="shared" si="770"/>
        <v>0</v>
      </c>
      <c r="Y5092" s="13">
        <f t="shared" si="773"/>
        <v>0</v>
      </c>
      <c r="Z5092" s="14">
        <v>0</v>
      </c>
      <c r="AA5092" s="6">
        <v>0</v>
      </c>
      <c r="AB5092" s="4">
        <f t="shared" si="774"/>
        <v>0</v>
      </c>
      <c r="AC5092" s="4">
        <f t="shared" si="776"/>
        <v>0</v>
      </c>
      <c r="AD5092" s="6">
        <f t="shared" si="771"/>
        <v>0</v>
      </c>
      <c r="AE5092" s="2">
        <v>0.06</v>
      </c>
      <c r="AF5092" s="6">
        <f t="shared" si="777"/>
        <v>0</v>
      </c>
      <c r="AG5092" s="14">
        <v>0</v>
      </c>
      <c r="AH5092" s="64">
        <f t="shared" si="772"/>
        <v>0</v>
      </c>
      <c r="AI5092" s="47"/>
      <c r="AJ5092" s="126" t="e">
        <v>#N/A</v>
      </c>
      <c r="AK5092" s="80">
        <f t="shared" si="775"/>
        <v>0</v>
      </c>
      <c r="AM5092" s="85"/>
    </row>
    <row r="5093" spans="1:39" hidden="1" x14ac:dyDescent="0.3">
      <c r="A5093" s="89" t="s">
        <v>3394</v>
      </c>
      <c r="B5093" s="86" t="s">
        <v>35</v>
      </c>
      <c r="C5093" s="86" t="s">
        <v>184</v>
      </c>
      <c r="D5093" s="86" t="s">
        <v>298</v>
      </c>
      <c r="E5093" s="86" t="s">
        <v>299</v>
      </c>
      <c r="F5093" s="86" t="s">
        <v>299</v>
      </c>
      <c r="G5093" s="86" t="s">
        <v>299</v>
      </c>
      <c r="H5093" s="143">
        <v>229</v>
      </c>
      <c r="I5093" s="86" t="s">
        <v>3356</v>
      </c>
      <c r="J5093" s="1" t="s">
        <v>3326</v>
      </c>
      <c r="K5093" s="1" t="s">
        <v>3712</v>
      </c>
      <c r="L5093" s="1" t="s">
        <v>35</v>
      </c>
      <c r="M5093" s="86"/>
      <c r="N5093" s="86" t="s">
        <v>3712</v>
      </c>
      <c r="O5093" s="47" t="s">
        <v>45</v>
      </c>
      <c r="P5093" s="47" t="s">
        <v>41</v>
      </c>
      <c r="Q5093" s="14">
        <v>0</v>
      </c>
      <c r="R5093" s="143"/>
      <c r="S5093" s="47"/>
      <c r="T5093" s="6">
        <v>1889.01999999999</v>
      </c>
      <c r="U5093" s="6"/>
      <c r="V5093" s="6">
        <v>0</v>
      </c>
      <c r="W5093" s="6">
        <f t="shared" si="769"/>
        <v>1889.01999999999</v>
      </c>
      <c r="X5093" s="6">
        <f t="shared" si="770"/>
        <v>0</v>
      </c>
      <c r="Y5093" s="13">
        <f t="shared" si="773"/>
        <v>0</v>
      </c>
      <c r="Z5093" s="14">
        <v>0</v>
      </c>
      <c r="AA5093" s="6">
        <v>0</v>
      </c>
      <c r="AB5093" s="4">
        <f t="shared" si="774"/>
        <v>0</v>
      </c>
      <c r="AC5093" s="4">
        <f t="shared" si="776"/>
        <v>0</v>
      </c>
      <c r="AD5093" s="6">
        <f t="shared" si="771"/>
        <v>0</v>
      </c>
      <c r="AE5093" s="2">
        <v>0.06</v>
      </c>
      <c r="AF5093" s="6">
        <f t="shared" si="777"/>
        <v>0</v>
      </c>
      <c r="AG5093" s="14">
        <v>0</v>
      </c>
      <c r="AH5093" s="64">
        <f t="shared" si="772"/>
        <v>0</v>
      </c>
      <c r="AI5093" s="47"/>
      <c r="AJ5093" s="126" t="e">
        <v>#N/A</v>
      </c>
      <c r="AK5093" s="80">
        <f t="shared" si="775"/>
        <v>0</v>
      </c>
      <c r="AM5093" s="85"/>
    </row>
    <row r="5094" spans="1:39" hidden="1" x14ac:dyDescent="0.3">
      <c r="A5094" s="89" t="s">
        <v>3395</v>
      </c>
      <c r="B5094" s="86" t="s">
        <v>35</v>
      </c>
      <c r="C5094" s="86" t="s">
        <v>65</v>
      </c>
      <c r="D5094" s="86" t="s">
        <v>232</v>
      </c>
      <c r="E5094" s="86" t="s">
        <v>300</v>
      </c>
      <c r="F5094" s="86" t="s">
        <v>300</v>
      </c>
      <c r="G5094" s="86" t="s">
        <v>300</v>
      </c>
      <c r="H5094" s="143">
        <v>229</v>
      </c>
      <c r="I5094" s="86" t="s">
        <v>3356</v>
      </c>
      <c r="J5094" s="1" t="s">
        <v>3326</v>
      </c>
      <c r="K5094" s="1" t="s">
        <v>3712</v>
      </c>
      <c r="L5094" s="1" t="s">
        <v>35</v>
      </c>
      <c r="M5094" s="86"/>
      <c r="N5094" s="86" t="s">
        <v>3712</v>
      </c>
      <c r="O5094" s="47" t="s">
        <v>45</v>
      </c>
      <c r="P5094" s="47" t="s">
        <v>41</v>
      </c>
      <c r="Q5094" s="14">
        <v>0</v>
      </c>
      <c r="R5094" s="143"/>
      <c r="S5094" s="47"/>
      <c r="T5094" s="6">
        <v>11492.549999999996</v>
      </c>
      <c r="U5094" s="6"/>
      <c r="V5094" s="6">
        <v>0</v>
      </c>
      <c r="W5094" s="6">
        <f t="shared" si="769"/>
        <v>11492.549999999996</v>
      </c>
      <c r="X5094" s="6">
        <f t="shared" si="770"/>
        <v>0</v>
      </c>
      <c r="Y5094" s="13">
        <f t="shared" si="773"/>
        <v>0</v>
      </c>
      <c r="Z5094" s="14">
        <v>0</v>
      </c>
      <c r="AA5094" s="6">
        <v>0</v>
      </c>
      <c r="AB5094" s="4">
        <f t="shared" si="774"/>
        <v>0</v>
      </c>
      <c r="AC5094" s="4">
        <f t="shared" si="776"/>
        <v>0</v>
      </c>
      <c r="AD5094" s="6">
        <f t="shared" si="771"/>
        <v>0</v>
      </c>
      <c r="AE5094" s="2">
        <v>0.06</v>
      </c>
      <c r="AF5094" s="6">
        <f t="shared" si="777"/>
        <v>0</v>
      </c>
      <c r="AG5094" s="14">
        <v>0</v>
      </c>
      <c r="AH5094" s="64">
        <f t="shared" si="772"/>
        <v>0</v>
      </c>
      <c r="AI5094" s="47"/>
      <c r="AJ5094" s="126" t="e">
        <v>#N/A</v>
      </c>
      <c r="AK5094" s="80">
        <f t="shared" si="775"/>
        <v>0</v>
      </c>
      <c r="AM5094" s="85"/>
    </row>
    <row r="5095" spans="1:39" hidden="1" x14ac:dyDescent="0.3">
      <c r="A5095" s="89" t="s">
        <v>3394</v>
      </c>
      <c r="B5095" s="86" t="s">
        <v>35</v>
      </c>
      <c r="C5095" s="86" t="s">
        <v>47</v>
      </c>
      <c r="D5095" s="86" t="s">
        <v>63</v>
      </c>
      <c r="E5095" s="86" t="s">
        <v>301</v>
      </c>
      <c r="F5095" s="86" t="s">
        <v>301</v>
      </c>
      <c r="G5095" s="86" t="s">
        <v>301</v>
      </c>
      <c r="H5095" s="143">
        <v>229</v>
      </c>
      <c r="I5095" s="86" t="s">
        <v>3356</v>
      </c>
      <c r="J5095" s="1" t="s">
        <v>3326</v>
      </c>
      <c r="K5095" s="1" t="s">
        <v>3712</v>
      </c>
      <c r="L5095" s="1" t="s">
        <v>35</v>
      </c>
      <c r="M5095" s="86"/>
      <c r="N5095" s="86" t="s">
        <v>3712</v>
      </c>
      <c r="O5095" s="47" t="s">
        <v>45</v>
      </c>
      <c r="P5095" s="47" t="s">
        <v>92</v>
      </c>
      <c r="Q5095" s="14">
        <v>0.97</v>
      </c>
      <c r="R5095" s="143"/>
      <c r="S5095" s="47"/>
      <c r="T5095" s="6">
        <v>0.60999999998603005</v>
      </c>
      <c r="U5095" s="6"/>
      <c r="V5095" s="6">
        <v>0</v>
      </c>
      <c r="W5095" s="6">
        <f t="shared" si="769"/>
        <v>0.60999999998603005</v>
      </c>
      <c r="X5095" s="6">
        <f t="shared" si="770"/>
        <v>0</v>
      </c>
      <c r="Y5095" s="13">
        <f t="shared" si="773"/>
        <v>0</v>
      </c>
      <c r="Z5095" s="14">
        <v>0</v>
      </c>
      <c r="AA5095" s="6">
        <v>0</v>
      </c>
      <c r="AB5095" s="4">
        <f t="shared" si="774"/>
        <v>0</v>
      </c>
      <c r="AC5095" s="4">
        <f t="shared" si="776"/>
        <v>0</v>
      </c>
      <c r="AD5095" s="6">
        <f t="shared" si="771"/>
        <v>0</v>
      </c>
      <c r="AE5095" s="2">
        <v>0.06</v>
      </c>
      <c r="AF5095" s="6">
        <f t="shared" si="777"/>
        <v>0</v>
      </c>
      <c r="AG5095" s="14">
        <v>0</v>
      </c>
      <c r="AH5095" s="64">
        <f t="shared" si="772"/>
        <v>0</v>
      </c>
      <c r="AI5095" s="47"/>
      <c r="AJ5095" s="126" t="e">
        <v>#N/A</v>
      </c>
      <c r="AK5095" s="80">
        <f t="shared" si="775"/>
        <v>0</v>
      </c>
      <c r="AM5095" s="85"/>
    </row>
    <row r="5096" spans="1:39" hidden="1" x14ac:dyDescent="0.3">
      <c r="A5096" s="89" t="s">
        <v>3395</v>
      </c>
      <c r="B5096" s="86" t="s">
        <v>35</v>
      </c>
      <c r="C5096" s="86" t="s">
        <v>47</v>
      </c>
      <c r="D5096" s="86" t="s">
        <v>48</v>
      </c>
      <c r="E5096" s="86" t="s">
        <v>302</v>
      </c>
      <c r="F5096" s="86" t="s">
        <v>302</v>
      </c>
      <c r="G5096" s="86" t="s">
        <v>302</v>
      </c>
      <c r="H5096" s="143">
        <v>229</v>
      </c>
      <c r="I5096" s="86" t="s">
        <v>3356</v>
      </c>
      <c r="J5096" s="1" t="s">
        <v>3326</v>
      </c>
      <c r="K5096" s="1" t="s">
        <v>3712</v>
      </c>
      <c r="L5096" s="1" t="s">
        <v>35</v>
      </c>
      <c r="M5096" s="86"/>
      <c r="N5096" s="86" t="s">
        <v>3712</v>
      </c>
      <c r="O5096" s="47" t="s">
        <v>45</v>
      </c>
      <c r="P5096" s="47" t="s">
        <v>46</v>
      </c>
      <c r="Q5096" s="14">
        <v>0.03</v>
      </c>
      <c r="R5096" s="143"/>
      <c r="S5096" s="47"/>
      <c r="T5096" s="6">
        <v>46636.04</v>
      </c>
      <c r="U5096" s="6"/>
      <c r="V5096" s="6">
        <v>0</v>
      </c>
      <c r="W5096" s="6">
        <f t="shared" si="769"/>
        <v>46636.04</v>
      </c>
      <c r="X5096" s="6">
        <f t="shared" si="770"/>
        <v>0</v>
      </c>
      <c r="Y5096" s="13">
        <f t="shared" si="773"/>
        <v>0</v>
      </c>
      <c r="Z5096" s="14">
        <v>0</v>
      </c>
      <c r="AA5096" s="6">
        <v>0</v>
      </c>
      <c r="AB5096" s="4">
        <f t="shared" si="774"/>
        <v>0</v>
      </c>
      <c r="AC5096" s="4">
        <f t="shared" si="776"/>
        <v>0</v>
      </c>
      <c r="AD5096" s="6">
        <f t="shared" si="771"/>
        <v>0</v>
      </c>
      <c r="AE5096" s="2">
        <v>0.06</v>
      </c>
      <c r="AF5096" s="6">
        <f t="shared" si="777"/>
        <v>0</v>
      </c>
      <c r="AG5096" s="14">
        <v>0</v>
      </c>
      <c r="AH5096" s="64">
        <f t="shared" si="772"/>
        <v>0</v>
      </c>
      <c r="AI5096" s="47"/>
      <c r="AJ5096" s="126" t="e">
        <v>#N/A</v>
      </c>
      <c r="AK5096" s="80">
        <f t="shared" si="775"/>
        <v>0</v>
      </c>
      <c r="AM5096" s="85"/>
    </row>
    <row r="5097" spans="1:39" hidden="1" x14ac:dyDescent="0.3">
      <c r="A5097" s="89" t="s">
        <v>3395</v>
      </c>
      <c r="B5097" s="86" t="s">
        <v>35</v>
      </c>
      <c r="C5097" s="86" t="s">
        <v>144</v>
      </c>
      <c r="D5097" s="86" t="s">
        <v>303</v>
      </c>
      <c r="E5097" s="86" t="s">
        <v>304</v>
      </c>
      <c r="F5097" s="86" t="s">
        <v>304</v>
      </c>
      <c r="G5097" s="86" t="s">
        <v>304</v>
      </c>
      <c r="H5097" s="143">
        <v>229</v>
      </c>
      <c r="I5097" s="86" t="s">
        <v>3356</v>
      </c>
      <c r="J5097" s="1" t="s">
        <v>3326</v>
      </c>
      <c r="K5097" s="1" t="s">
        <v>3712</v>
      </c>
      <c r="L5097" s="1" t="s">
        <v>35</v>
      </c>
      <c r="M5097" s="86"/>
      <c r="N5097" s="86" t="s">
        <v>3712</v>
      </c>
      <c r="O5097" s="47" t="s">
        <v>45</v>
      </c>
      <c r="P5097" s="47" t="s">
        <v>46</v>
      </c>
      <c r="Q5097" s="14">
        <v>0.03</v>
      </c>
      <c r="R5097" s="143"/>
      <c r="S5097" s="47"/>
      <c r="T5097" s="6">
        <v>21919.17</v>
      </c>
      <c r="U5097" s="6"/>
      <c r="V5097" s="6">
        <v>0</v>
      </c>
      <c r="W5097" s="6">
        <f t="shared" si="769"/>
        <v>21919.17</v>
      </c>
      <c r="X5097" s="6">
        <f t="shared" si="770"/>
        <v>0</v>
      </c>
      <c r="Y5097" s="13">
        <f t="shared" si="773"/>
        <v>0</v>
      </c>
      <c r="Z5097" s="14">
        <v>0</v>
      </c>
      <c r="AA5097" s="6">
        <v>0</v>
      </c>
      <c r="AB5097" s="4">
        <f t="shared" si="774"/>
        <v>0</v>
      </c>
      <c r="AC5097" s="4">
        <f t="shared" si="776"/>
        <v>0</v>
      </c>
      <c r="AD5097" s="6">
        <f t="shared" si="771"/>
        <v>0</v>
      </c>
      <c r="AE5097" s="2">
        <v>0.06</v>
      </c>
      <c r="AF5097" s="6">
        <f t="shared" si="777"/>
        <v>0</v>
      </c>
      <c r="AG5097" s="14">
        <v>0</v>
      </c>
      <c r="AH5097" s="64">
        <f t="shared" si="772"/>
        <v>0</v>
      </c>
      <c r="AI5097" s="47"/>
      <c r="AJ5097" s="126" t="e">
        <v>#N/A</v>
      </c>
      <c r="AK5097" s="80">
        <f t="shared" si="775"/>
        <v>0</v>
      </c>
      <c r="AM5097" s="85"/>
    </row>
    <row r="5098" spans="1:39" hidden="1" x14ac:dyDescent="0.3">
      <c r="A5098" s="89" t="s">
        <v>3394</v>
      </c>
      <c r="B5098" s="86" t="s">
        <v>35</v>
      </c>
      <c r="C5098" s="86" t="s">
        <v>164</v>
      </c>
      <c r="D5098" s="86" t="s">
        <v>305</v>
      </c>
      <c r="E5098" s="86" t="s">
        <v>306</v>
      </c>
      <c r="F5098" s="86" t="s">
        <v>306</v>
      </c>
      <c r="G5098" s="86" t="s">
        <v>306</v>
      </c>
      <c r="H5098" s="143">
        <v>229</v>
      </c>
      <c r="I5098" s="86" t="s">
        <v>3356</v>
      </c>
      <c r="J5098" s="1" t="s">
        <v>3326</v>
      </c>
      <c r="K5098" s="1" t="s">
        <v>3712</v>
      </c>
      <c r="L5098" s="1" t="s">
        <v>35</v>
      </c>
      <c r="M5098" s="86"/>
      <c r="N5098" s="86" t="s">
        <v>3712</v>
      </c>
      <c r="O5098" s="47" t="s">
        <v>45</v>
      </c>
      <c r="P5098" s="47" t="s">
        <v>46</v>
      </c>
      <c r="Q5098" s="14">
        <v>0.03</v>
      </c>
      <c r="R5098" s="143"/>
      <c r="S5098" s="47"/>
      <c r="T5098" s="6">
        <v>18345.28</v>
      </c>
      <c r="U5098" s="6"/>
      <c r="V5098" s="6">
        <v>0</v>
      </c>
      <c r="W5098" s="6">
        <f t="shared" si="769"/>
        <v>18345.28</v>
      </c>
      <c r="X5098" s="6">
        <f t="shared" si="770"/>
        <v>0</v>
      </c>
      <c r="Y5098" s="13">
        <f t="shared" si="773"/>
        <v>0</v>
      </c>
      <c r="Z5098" s="14">
        <v>0</v>
      </c>
      <c r="AA5098" s="6">
        <v>0</v>
      </c>
      <c r="AB5098" s="4">
        <f t="shared" si="774"/>
        <v>0</v>
      </c>
      <c r="AC5098" s="4">
        <f t="shared" si="776"/>
        <v>0</v>
      </c>
      <c r="AD5098" s="6">
        <f t="shared" si="771"/>
        <v>0</v>
      </c>
      <c r="AE5098" s="2">
        <v>0.06</v>
      </c>
      <c r="AF5098" s="6">
        <f t="shared" si="777"/>
        <v>0</v>
      </c>
      <c r="AG5098" s="14">
        <v>0</v>
      </c>
      <c r="AH5098" s="64">
        <f t="shared" si="772"/>
        <v>0</v>
      </c>
      <c r="AI5098" s="47"/>
      <c r="AJ5098" s="126" t="e">
        <v>#N/A</v>
      </c>
      <c r="AK5098" s="80">
        <f t="shared" si="775"/>
        <v>0</v>
      </c>
      <c r="AM5098" s="85"/>
    </row>
    <row r="5099" spans="1:39" hidden="1" x14ac:dyDescent="0.3">
      <c r="A5099" s="89" t="s">
        <v>3394</v>
      </c>
      <c r="B5099" s="86" t="s">
        <v>35</v>
      </c>
      <c r="C5099" s="86" t="s">
        <v>164</v>
      </c>
      <c r="D5099" s="86" t="s">
        <v>174</v>
      </c>
      <c r="E5099" s="86" t="s">
        <v>239</v>
      </c>
      <c r="F5099" s="86" t="s">
        <v>308</v>
      </c>
      <c r="G5099" s="86" t="s">
        <v>239</v>
      </c>
      <c r="H5099" s="143">
        <v>229</v>
      </c>
      <c r="I5099" s="86" t="s">
        <v>3356</v>
      </c>
      <c r="J5099" s="1" t="s">
        <v>3326</v>
      </c>
      <c r="K5099" s="1" t="s">
        <v>3712</v>
      </c>
      <c r="L5099" s="1" t="s">
        <v>35</v>
      </c>
      <c r="M5099" s="86"/>
      <c r="N5099" s="86" t="s">
        <v>3712</v>
      </c>
      <c r="O5099" s="47" t="s">
        <v>45</v>
      </c>
      <c r="P5099" s="47" t="s">
        <v>41</v>
      </c>
      <c r="Q5099" s="14">
        <v>0</v>
      </c>
      <c r="R5099" s="143"/>
      <c r="S5099" s="47"/>
      <c r="T5099" s="6">
        <v>68719.03</v>
      </c>
      <c r="U5099" s="6"/>
      <c r="V5099" s="6">
        <v>0</v>
      </c>
      <c r="W5099" s="6">
        <f t="shared" si="769"/>
        <v>68719.03</v>
      </c>
      <c r="X5099" s="6">
        <f t="shared" si="770"/>
        <v>0</v>
      </c>
      <c r="Y5099" s="13">
        <f t="shared" si="773"/>
        <v>0</v>
      </c>
      <c r="Z5099" s="14">
        <v>0</v>
      </c>
      <c r="AA5099" s="6">
        <v>0</v>
      </c>
      <c r="AB5099" s="4">
        <f t="shared" si="774"/>
        <v>0</v>
      </c>
      <c r="AC5099" s="4">
        <f t="shared" si="776"/>
        <v>0</v>
      </c>
      <c r="AD5099" s="6">
        <f t="shared" si="771"/>
        <v>0</v>
      </c>
      <c r="AE5099" s="2">
        <v>0.06</v>
      </c>
      <c r="AF5099" s="6">
        <f t="shared" si="777"/>
        <v>0</v>
      </c>
      <c r="AG5099" s="14">
        <v>0</v>
      </c>
      <c r="AH5099" s="64">
        <f t="shared" si="772"/>
        <v>0</v>
      </c>
      <c r="AI5099" s="47"/>
      <c r="AJ5099" s="126" t="e">
        <v>#N/A</v>
      </c>
      <c r="AK5099" s="80">
        <f t="shared" si="775"/>
        <v>0</v>
      </c>
      <c r="AM5099" s="85"/>
    </row>
    <row r="5100" spans="1:39" hidden="1" x14ac:dyDescent="0.3">
      <c r="A5100" s="89" t="s">
        <v>3394</v>
      </c>
      <c r="B5100" s="86" t="s">
        <v>35</v>
      </c>
      <c r="C5100" s="86" t="s">
        <v>36</v>
      </c>
      <c r="D5100" s="86" t="s">
        <v>224</v>
      </c>
      <c r="E5100" s="86" t="s">
        <v>310</v>
      </c>
      <c r="F5100" s="86" t="s">
        <v>310</v>
      </c>
      <c r="G5100" s="86" t="s">
        <v>310</v>
      </c>
      <c r="H5100" s="143">
        <v>229</v>
      </c>
      <c r="I5100" s="86" t="s">
        <v>3356</v>
      </c>
      <c r="J5100" s="1" t="s">
        <v>3326</v>
      </c>
      <c r="K5100" s="1" t="s">
        <v>3712</v>
      </c>
      <c r="L5100" s="1" t="s">
        <v>35</v>
      </c>
      <c r="M5100" s="86"/>
      <c r="N5100" s="86" t="s">
        <v>3712</v>
      </c>
      <c r="O5100" s="47" t="s">
        <v>45</v>
      </c>
      <c r="P5100" s="47" t="s">
        <v>41</v>
      </c>
      <c r="Q5100" s="14">
        <v>0</v>
      </c>
      <c r="R5100" s="143"/>
      <c r="S5100" s="47"/>
      <c r="T5100" s="6">
        <v>593579.56000000006</v>
      </c>
      <c r="U5100" s="6"/>
      <c r="V5100" s="6">
        <v>0</v>
      </c>
      <c r="W5100" s="6">
        <f t="shared" si="769"/>
        <v>593579.56000000006</v>
      </c>
      <c r="X5100" s="6">
        <f t="shared" si="770"/>
        <v>0</v>
      </c>
      <c r="Y5100" s="13">
        <f t="shared" si="773"/>
        <v>0</v>
      </c>
      <c r="Z5100" s="14">
        <v>0</v>
      </c>
      <c r="AA5100" s="6">
        <v>0</v>
      </c>
      <c r="AB5100" s="4">
        <f t="shared" si="774"/>
        <v>0</v>
      </c>
      <c r="AC5100" s="4">
        <f t="shared" si="776"/>
        <v>0</v>
      </c>
      <c r="AD5100" s="6">
        <f t="shared" si="771"/>
        <v>0</v>
      </c>
      <c r="AE5100" s="2">
        <v>0.06</v>
      </c>
      <c r="AF5100" s="6">
        <f t="shared" si="777"/>
        <v>0</v>
      </c>
      <c r="AG5100" s="14">
        <v>0</v>
      </c>
      <c r="AH5100" s="64">
        <f t="shared" si="772"/>
        <v>0</v>
      </c>
      <c r="AI5100" s="47"/>
      <c r="AJ5100" s="126" t="e">
        <v>#N/A</v>
      </c>
      <c r="AK5100" s="80">
        <f t="shared" si="775"/>
        <v>0</v>
      </c>
      <c r="AM5100" s="85"/>
    </row>
    <row r="5101" spans="1:39" hidden="1" x14ac:dyDescent="0.3">
      <c r="A5101" s="89" t="s">
        <v>3394</v>
      </c>
      <c r="B5101" s="86" t="s">
        <v>35</v>
      </c>
      <c r="C5101" s="86" t="s">
        <v>36</v>
      </c>
      <c r="D5101" s="86" t="s">
        <v>224</v>
      </c>
      <c r="E5101" s="86" t="s">
        <v>311</v>
      </c>
      <c r="F5101" s="86" t="s">
        <v>311</v>
      </c>
      <c r="G5101" s="86" t="s">
        <v>311</v>
      </c>
      <c r="H5101" s="143">
        <v>229</v>
      </c>
      <c r="I5101" s="86" t="s">
        <v>3356</v>
      </c>
      <c r="J5101" s="1" t="s">
        <v>3326</v>
      </c>
      <c r="K5101" s="1" t="s">
        <v>3712</v>
      </c>
      <c r="L5101" s="1" t="s">
        <v>35</v>
      </c>
      <c r="M5101" s="86"/>
      <c r="N5101" s="86" t="s">
        <v>3712</v>
      </c>
      <c r="O5101" s="47" t="s">
        <v>45</v>
      </c>
      <c r="P5101" s="47" t="s">
        <v>46</v>
      </c>
      <c r="Q5101" s="14">
        <v>0.03</v>
      </c>
      <c r="R5101" s="143"/>
      <c r="S5101" s="47"/>
      <c r="T5101" s="6">
        <v>1035.29</v>
      </c>
      <c r="U5101" s="6"/>
      <c r="V5101" s="6">
        <v>0</v>
      </c>
      <c r="W5101" s="6">
        <f t="shared" si="769"/>
        <v>1035.29</v>
      </c>
      <c r="X5101" s="6">
        <f t="shared" si="770"/>
        <v>0</v>
      </c>
      <c r="Y5101" s="13">
        <f t="shared" si="773"/>
        <v>0</v>
      </c>
      <c r="Z5101" s="14">
        <v>0</v>
      </c>
      <c r="AA5101" s="6">
        <v>0</v>
      </c>
      <c r="AB5101" s="4"/>
      <c r="AC5101" s="4">
        <f t="shared" si="776"/>
        <v>0</v>
      </c>
      <c r="AD5101" s="6">
        <f t="shared" si="771"/>
        <v>0</v>
      </c>
      <c r="AE5101" s="2">
        <v>0.06</v>
      </c>
      <c r="AF5101" s="6">
        <f t="shared" si="777"/>
        <v>0</v>
      </c>
      <c r="AG5101" s="14">
        <v>0</v>
      </c>
      <c r="AH5101" s="64">
        <f t="shared" si="772"/>
        <v>0</v>
      </c>
      <c r="AI5101" s="47"/>
      <c r="AJ5101" s="126">
        <v>47</v>
      </c>
      <c r="AK5101" s="80">
        <f t="shared" si="775"/>
        <v>0</v>
      </c>
      <c r="AM5101" s="85"/>
    </row>
    <row r="5102" spans="1:39" hidden="1" x14ac:dyDescent="0.3">
      <c r="A5102" s="89" t="s">
        <v>3394</v>
      </c>
      <c r="B5102" s="86" t="s">
        <v>35</v>
      </c>
      <c r="C5102" s="86" t="s">
        <v>36</v>
      </c>
      <c r="D5102" s="86" t="s">
        <v>224</v>
      </c>
      <c r="E5102" s="86" t="s">
        <v>312</v>
      </c>
      <c r="F5102" s="86" t="s">
        <v>312</v>
      </c>
      <c r="G5102" s="86" t="s">
        <v>312</v>
      </c>
      <c r="H5102" s="143">
        <v>229</v>
      </c>
      <c r="I5102" s="86" t="s">
        <v>3356</v>
      </c>
      <c r="J5102" s="1" t="s">
        <v>3326</v>
      </c>
      <c r="K5102" s="1" t="s">
        <v>3712</v>
      </c>
      <c r="L5102" s="1" t="s">
        <v>35</v>
      </c>
      <c r="M5102" s="86"/>
      <c r="N5102" s="86" t="s">
        <v>3712</v>
      </c>
      <c r="O5102" s="47" t="s">
        <v>45</v>
      </c>
      <c r="P5102" s="47" t="s">
        <v>41</v>
      </c>
      <c r="Q5102" s="14">
        <v>0</v>
      </c>
      <c r="R5102" s="143"/>
      <c r="S5102" s="47"/>
      <c r="T5102" s="6">
        <v>3723.67</v>
      </c>
      <c r="U5102" s="6"/>
      <c r="V5102" s="6">
        <v>0</v>
      </c>
      <c r="W5102" s="6">
        <f t="shared" si="769"/>
        <v>3723.67</v>
      </c>
      <c r="X5102" s="6">
        <f t="shared" si="770"/>
        <v>0</v>
      </c>
      <c r="Y5102" s="13">
        <f t="shared" si="773"/>
        <v>0</v>
      </c>
      <c r="Z5102" s="14">
        <v>0</v>
      </c>
      <c r="AA5102" s="6">
        <v>0</v>
      </c>
      <c r="AB5102" s="4"/>
      <c r="AC5102" s="4">
        <f t="shared" si="776"/>
        <v>0</v>
      </c>
      <c r="AD5102" s="6">
        <f t="shared" si="771"/>
        <v>0</v>
      </c>
      <c r="AE5102" s="2">
        <v>0.06</v>
      </c>
      <c r="AF5102" s="6">
        <f t="shared" si="777"/>
        <v>0</v>
      </c>
      <c r="AG5102" s="14">
        <v>0</v>
      </c>
      <c r="AH5102" s="64">
        <f t="shared" si="772"/>
        <v>0</v>
      </c>
      <c r="AI5102" s="47"/>
      <c r="AJ5102" s="126">
        <v>48</v>
      </c>
      <c r="AK5102" s="80">
        <f t="shared" si="775"/>
        <v>0</v>
      </c>
      <c r="AM5102" s="85"/>
    </row>
    <row r="5103" spans="1:39" hidden="1" x14ac:dyDescent="0.3">
      <c r="A5103" s="89" t="s">
        <v>3395</v>
      </c>
      <c r="B5103" s="86" t="s">
        <v>35</v>
      </c>
      <c r="C5103" s="86" t="s">
        <v>36</v>
      </c>
      <c r="D5103" s="86" t="s">
        <v>54</v>
      </c>
      <c r="E5103" s="86" t="s">
        <v>313</v>
      </c>
      <c r="F5103" s="86" t="s">
        <v>313</v>
      </c>
      <c r="G5103" s="86" t="s">
        <v>313</v>
      </c>
      <c r="H5103" s="143">
        <v>229</v>
      </c>
      <c r="I5103" s="86" t="s">
        <v>3356</v>
      </c>
      <c r="J5103" s="1" t="s">
        <v>3326</v>
      </c>
      <c r="K5103" s="1" t="s">
        <v>3712</v>
      </c>
      <c r="L5103" s="1" t="s">
        <v>35</v>
      </c>
      <c r="M5103" s="86"/>
      <c r="N5103" s="86" t="s">
        <v>3712</v>
      </c>
      <c r="O5103" s="47" t="s">
        <v>45</v>
      </c>
      <c r="P5103" s="47" t="s">
        <v>46</v>
      </c>
      <c r="Q5103" s="14">
        <v>0.03</v>
      </c>
      <c r="R5103" s="143"/>
      <c r="S5103" s="47"/>
      <c r="T5103" s="6">
        <v>9</v>
      </c>
      <c r="U5103" s="6"/>
      <c r="V5103" s="6">
        <v>0</v>
      </c>
      <c r="W5103" s="6">
        <f t="shared" si="769"/>
        <v>9</v>
      </c>
      <c r="X5103" s="6">
        <f t="shared" si="770"/>
        <v>0</v>
      </c>
      <c r="Y5103" s="13">
        <f t="shared" si="773"/>
        <v>0</v>
      </c>
      <c r="Z5103" s="14">
        <v>0</v>
      </c>
      <c r="AA5103" s="6">
        <v>0</v>
      </c>
      <c r="AB5103" s="4">
        <f t="shared" si="774"/>
        <v>0</v>
      </c>
      <c r="AC5103" s="4">
        <f t="shared" si="776"/>
        <v>0</v>
      </c>
      <c r="AD5103" s="6">
        <f t="shared" si="771"/>
        <v>0</v>
      </c>
      <c r="AE5103" s="2">
        <v>0.06</v>
      </c>
      <c r="AF5103" s="6">
        <f t="shared" si="777"/>
        <v>0</v>
      </c>
      <c r="AG5103" s="14">
        <v>0</v>
      </c>
      <c r="AH5103" s="64">
        <f t="shared" si="772"/>
        <v>0</v>
      </c>
      <c r="AI5103" s="47"/>
      <c r="AJ5103" s="126" t="e">
        <v>#N/A</v>
      </c>
      <c r="AK5103" s="80">
        <f t="shared" si="775"/>
        <v>0</v>
      </c>
      <c r="AM5103" s="85"/>
    </row>
    <row r="5104" spans="1:39" hidden="1" x14ac:dyDescent="0.3">
      <c r="A5104" s="89" t="s">
        <v>3394</v>
      </c>
      <c r="B5104" s="86" t="s">
        <v>35</v>
      </c>
      <c r="C5104" s="86" t="s">
        <v>187</v>
      </c>
      <c r="D5104" s="86" t="s">
        <v>188</v>
      </c>
      <c r="E5104" s="86" t="s">
        <v>314</v>
      </c>
      <c r="F5104" s="86" t="s">
        <v>314</v>
      </c>
      <c r="G5104" s="86" t="s">
        <v>314</v>
      </c>
      <c r="H5104" s="143">
        <v>229</v>
      </c>
      <c r="I5104" s="86" t="s">
        <v>3356</v>
      </c>
      <c r="J5104" s="1" t="s">
        <v>3326</v>
      </c>
      <c r="K5104" s="1" t="s">
        <v>3283</v>
      </c>
      <c r="L5104" s="1" t="s">
        <v>35</v>
      </c>
      <c r="M5104" s="86"/>
      <c r="N5104" s="86" t="s">
        <v>3283</v>
      </c>
      <c r="O5104" s="47" t="s">
        <v>45</v>
      </c>
      <c r="P5104" s="47" t="s">
        <v>46</v>
      </c>
      <c r="Q5104" s="14">
        <v>0.03</v>
      </c>
      <c r="R5104" s="143"/>
      <c r="S5104" s="47"/>
      <c r="T5104" s="6">
        <v>31038.160000000102</v>
      </c>
      <c r="U5104" s="6"/>
      <c r="V5104" s="6">
        <v>0</v>
      </c>
      <c r="W5104" s="6">
        <f t="shared" si="769"/>
        <v>31038.160000000102</v>
      </c>
      <c r="X5104" s="6">
        <f t="shared" si="770"/>
        <v>0</v>
      </c>
      <c r="Y5104" s="13">
        <f t="shared" si="773"/>
        <v>0</v>
      </c>
      <c r="Z5104" s="14">
        <v>0</v>
      </c>
      <c r="AA5104" s="6">
        <v>0</v>
      </c>
      <c r="AB5104" s="4">
        <f t="shared" si="774"/>
        <v>0</v>
      </c>
      <c r="AC5104" s="4">
        <f t="shared" si="776"/>
        <v>0</v>
      </c>
      <c r="AD5104" s="6">
        <f t="shared" si="771"/>
        <v>0</v>
      </c>
      <c r="AE5104" s="2">
        <v>0.06</v>
      </c>
      <c r="AF5104" s="6">
        <f t="shared" si="777"/>
        <v>0</v>
      </c>
      <c r="AG5104" s="14">
        <v>0</v>
      </c>
      <c r="AH5104" s="64">
        <f t="shared" si="772"/>
        <v>0</v>
      </c>
      <c r="AI5104" s="47"/>
      <c r="AJ5104" s="126" t="e">
        <v>#N/A</v>
      </c>
      <c r="AK5104" s="80">
        <f t="shared" si="775"/>
        <v>0</v>
      </c>
      <c r="AM5104" s="85"/>
    </row>
    <row r="5105" spans="1:39" hidden="1" x14ac:dyDescent="0.3">
      <c r="A5105" s="89" t="s">
        <v>3394</v>
      </c>
      <c r="B5105" s="86" t="s">
        <v>35</v>
      </c>
      <c r="C5105" s="86" t="s">
        <v>187</v>
      </c>
      <c r="D5105" s="86" t="s">
        <v>188</v>
      </c>
      <c r="E5105" s="86" t="s">
        <v>315</v>
      </c>
      <c r="F5105" s="86" t="s">
        <v>315</v>
      </c>
      <c r="G5105" s="86" t="s">
        <v>315</v>
      </c>
      <c r="H5105" s="143">
        <v>229</v>
      </c>
      <c r="I5105" s="86" t="s">
        <v>3356</v>
      </c>
      <c r="J5105" s="1" t="s">
        <v>3326</v>
      </c>
      <c r="K5105" s="1" t="s">
        <v>3712</v>
      </c>
      <c r="L5105" s="1" t="s">
        <v>35</v>
      </c>
      <c r="M5105" s="86"/>
      <c r="N5105" s="86" t="s">
        <v>3712</v>
      </c>
      <c r="O5105" s="47" t="s">
        <v>45</v>
      </c>
      <c r="P5105" s="47" t="s">
        <v>46</v>
      </c>
      <c r="Q5105" s="14">
        <v>0.05</v>
      </c>
      <c r="R5105" s="143"/>
      <c r="S5105" s="47"/>
      <c r="T5105" s="6">
        <v>1049.2</v>
      </c>
      <c r="U5105" s="6"/>
      <c r="V5105" s="6">
        <v>0</v>
      </c>
      <c r="W5105" s="6">
        <f t="shared" si="769"/>
        <v>1049.2</v>
      </c>
      <c r="X5105" s="6">
        <f t="shared" si="770"/>
        <v>0</v>
      </c>
      <c r="Y5105" s="13">
        <f t="shared" si="773"/>
        <v>0</v>
      </c>
      <c r="Z5105" s="14">
        <v>0</v>
      </c>
      <c r="AA5105" s="6">
        <v>0</v>
      </c>
      <c r="AB5105" s="4">
        <f t="shared" si="774"/>
        <v>0</v>
      </c>
      <c r="AC5105" s="4">
        <f t="shared" si="776"/>
        <v>0</v>
      </c>
      <c r="AD5105" s="6">
        <f t="shared" si="771"/>
        <v>0</v>
      </c>
      <c r="AE5105" s="2">
        <v>0.06</v>
      </c>
      <c r="AF5105" s="6">
        <f t="shared" si="777"/>
        <v>0</v>
      </c>
      <c r="AG5105" s="14">
        <v>0</v>
      </c>
      <c r="AH5105" s="64">
        <f t="shared" si="772"/>
        <v>0</v>
      </c>
      <c r="AI5105" s="47"/>
      <c r="AJ5105" s="126" t="e">
        <v>#N/A</v>
      </c>
      <c r="AK5105" s="80">
        <f t="shared" si="775"/>
        <v>0</v>
      </c>
      <c r="AM5105" s="85"/>
    </row>
    <row r="5106" spans="1:39" hidden="1" x14ac:dyDescent="0.3">
      <c r="A5106" s="89" t="s">
        <v>3395</v>
      </c>
      <c r="B5106" s="86" t="s">
        <v>35</v>
      </c>
      <c r="C5106" s="86" t="s">
        <v>187</v>
      </c>
      <c r="D5106" s="86" t="s">
        <v>208</v>
      </c>
      <c r="E5106" s="86" t="s">
        <v>316</v>
      </c>
      <c r="F5106" s="86" t="s">
        <v>316</v>
      </c>
      <c r="G5106" s="86" t="s">
        <v>316</v>
      </c>
      <c r="H5106" s="143">
        <v>229</v>
      </c>
      <c r="I5106" s="86" t="s">
        <v>3356</v>
      </c>
      <c r="J5106" s="1" t="s">
        <v>3326</v>
      </c>
      <c r="K5106" s="1" t="s">
        <v>3712</v>
      </c>
      <c r="L5106" s="1" t="s">
        <v>35</v>
      </c>
      <c r="M5106" s="86"/>
      <c r="N5106" s="86" t="s">
        <v>3712</v>
      </c>
      <c r="O5106" s="47" t="s">
        <v>45</v>
      </c>
      <c r="P5106" s="47" t="s">
        <v>46</v>
      </c>
      <c r="Q5106" s="14">
        <v>0.06</v>
      </c>
      <c r="R5106" s="143"/>
      <c r="S5106" s="47"/>
      <c r="T5106" s="6">
        <v>1446.59</v>
      </c>
      <c r="U5106" s="6"/>
      <c r="V5106" s="6">
        <v>0</v>
      </c>
      <c r="W5106" s="6">
        <f t="shared" si="769"/>
        <v>1446.59</v>
      </c>
      <c r="X5106" s="6">
        <f t="shared" si="770"/>
        <v>0</v>
      </c>
      <c r="Y5106" s="13">
        <f t="shared" si="773"/>
        <v>0</v>
      </c>
      <c r="Z5106" s="14">
        <v>0</v>
      </c>
      <c r="AA5106" s="6">
        <v>0</v>
      </c>
      <c r="AB5106" s="4">
        <f t="shared" si="774"/>
        <v>0</v>
      </c>
      <c r="AC5106" s="4">
        <f t="shared" si="776"/>
        <v>0</v>
      </c>
      <c r="AD5106" s="6">
        <f t="shared" si="771"/>
        <v>0</v>
      </c>
      <c r="AE5106" s="2">
        <v>0.06</v>
      </c>
      <c r="AF5106" s="6">
        <f t="shared" si="777"/>
        <v>0</v>
      </c>
      <c r="AG5106" s="14">
        <v>0</v>
      </c>
      <c r="AH5106" s="64">
        <f t="shared" si="772"/>
        <v>0</v>
      </c>
      <c r="AI5106" s="47"/>
      <c r="AJ5106" s="126" t="e">
        <v>#N/A</v>
      </c>
      <c r="AK5106" s="80">
        <f t="shared" si="775"/>
        <v>0</v>
      </c>
      <c r="AM5106" s="85"/>
    </row>
    <row r="5107" spans="1:39" hidden="1" x14ac:dyDescent="0.3">
      <c r="A5107" s="89" t="s">
        <v>3394</v>
      </c>
      <c r="B5107" s="86" t="s">
        <v>35</v>
      </c>
      <c r="C5107" s="86" t="s">
        <v>187</v>
      </c>
      <c r="D5107" s="86" t="s">
        <v>208</v>
      </c>
      <c r="E5107" s="86" t="s">
        <v>317</v>
      </c>
      <c r="F5107" s="86" t="s">
        <v>318</v>
      </c>
      <c r="G5107" s="86" t="s">
        <v>317</v>
      </c>
      <c r="H5107" s="144">
        <v>229</v>
      </c>
      <c r="I5107" s="86" t="s">
        <v>3356</v>
      </c>
      <c r="J5107" s="1" t="s">
        <v>3326</v>
      </c>
      <c r="K5107" s="1" t="s">
        <v>3283</v>
      </c>
      <c r="L5107" s="1" t="s">
        <v>35</v>
      </c>
      <c r="M5107" s="86"/>
      <c r="N5107" s="86" t="s">
        <v>3283</v>
      </c>
      <c r="O5107" s="47" t="s">
        <v>45</v>
      </c>
      <c r="P5107" s="47" t="s">
        <v>46</v>
      </c>
      <c r="Q5107" s="14">
        <v>0.04</v>
      </c>
      <c r="R5107" s="143"/>
      <c r="S5107" s="47"/>
      <c r="T5107" s="6">
        <v>7114.5599999999931</v>
      </c>
      <c r="U5107" s="6"/>
      <c r="V5107" s="6">
        <v>91.799999999999983</v>
      </c>
      <c r="W5107" s="6">
        <f t="shared" si="769"/>
        <v>7022.7599999999929</v>
      </c>
      <c r="X5107" s="6">
        <f t="shared" si="770"/>
        <v>88.269230769230745</v>
      </c>
      <c r="Y5107" s="13">
        <f t="shared" si="773"/>
        <v>0</v>
      </c>
      <c r="Z5107" s="14">
        <v>0</v>
      </c>
      <c r="AA5107" s="6">
        <v>0</v>
      </c>
      <c r="AB5107" s="4">
        <f t="shared" si="774"/>
        <v>88.269230769230745</v>
      </c>
      <c r="AC5107" s="4">
        <f t="shared" si="776"/>
        <v>3.5307692307692378</v>
      </c>
      <c r="AD5107" s="6">
        <f t="shared" si="771"/>
        <v>91.799999999999983</v>
      </c>
      <c r="AE5107" s="2">
        <v>0.06</v>
      </c>
      <c r="AF5107" s="6">
        <f t="shared" si="777"/>
        <v>5.5079999999999991</v>
      </c>
      <c r="AG5107" s="14">
        <v>0</v>
      </c>
      <c r="AH5107" s="64">
        <f t="shared" si="772"/>
        <v>91.799999999999983</v>
      </c>
      <c r="AI5107" s="47"/>
      <c r="AJ5107" s="126" t="e">
        <v>#N/A</v>
      </c>
      <c r="AK5107" s="80">
        <f t="shared" si="775"/>
        <v>0</v>
      </c>
      <c r="AM5107" s="85"/>
    </row>
    <row r="5108" spans="1:39" hidden="1" x14ac:dyDescent="0.3">
      <c r="A5108" s="89" t="s">
        <v>3395</v>
      </c>
      <c r="B5108" s="86" t="s">
        <v>319</v>
      </c>
      <c r="C5108" s="86" t="s">
        <v>36</v>
      </c>
      <c r="D5108" s="86" t="s">
        <v>320</v>
      </c>
      <c r="E5108" s="86" t="s">
        <v>321</v>
      </c>
      <c r="F5108" s="86" t="s">
        <v>322</v>
      </c>
      <c r="G5108" s="86" t="s">
        <v>323</v>
      </c>
      <c r="H5108" s="143">
        <v>229</v>
      </c>
      <c r="I5108" s="86" t="s">
        <v>3356</v>
      </c>
      <c r="J5108" s="1" t="s">
        <v>3326</v>
      </c>
      <c r="K5108" s="1" t="s">
        <v>3712</v>
      </c>
      <c r="L5108" s="1" t="s">
        <v>35</v>
      </c>
      <c r="M5108" s="86"/>
      <c r="N5108" s="86" t="s">
        <v>3712</v>
      </c>
      <c r="O5108" s="47" t="s">
        <v>45</v>
      </c>
      <c r="P5108" s="47" t="s">
        <v>46</v>
      </c>
      <c r="Q5108" s="14">
        <v>0.03</v>
      </c>
      <c r="R5108" s="143"/>
      <c r="S5108" s="47"/>
      <c r="T5108" s="6">
        <v>78.56</v>
      </c>
      <c r="U5108" s="6"/>
      <c r="V5108" s="6">
        <v>0</v>
      </c>
      <c r="W5108" s="6">
        <f t="shared" si="769"/>
        <v>78.56</v>
      </c>
      <c r="X5108" s="6">
        <f t="shared" si="770"/>
        <v>0</v>
      </c>
      <c r="Y5108" s="13">
        <f t="shared" si="773"/>
        <v>0</v>
      </c>
      <c r="Z5108" s="14">
        <v>0</v>
      </c>
      <c r="AA5108" s="6">
        <v>0</v>
      </c>
      <c r="AB5108" s="4">
        <f t="shared" si="774"/>
        <v>0</v>
      </c>
      <c r="AC5108" s="4">
        <f t="shared" si="776"/>
        <v>0</v>
      </c>
      <c r="AD5108" s="6">
        <f t="shared" si="771"/>
        <v>0</v>
      </c>
      <c r="AE5108" s="2">
        <v>0.06</v>
      </c>
      <c r="AF5108" s="6">
        <f t="shared" si="777"/>
        <v>0</v>
      </c>
      <c r="AG5108" s="14">
        <v>0</v>
      </c>
      <c r="AH5108" s="64">
        <f t="shared" si="772"/>
        <v>0</v>
      </c>
      <c r="AI5108" s="47"/>
      <c r="AJ5108" s="126" t="e">
        <v>#N/A</v>
      </c>
      <c r="AK5108" s="80">
        <f t="shared" si="775"/>
        <v>0</v>
      </c>
      <c r="AM5108" s="85"/>
    </row>
    <row r="5109" spans="1:39" hidden="1" x14ac:dyDescent="0.3">
      <c r="A5109" s="89" t="s">
        <v>3394</v>
      </c>
      <c r="B5109" s="86" t="s">
        <v>35</v>
      </c>
      <c r="C5109" s="86" t="s">
        <v>59</v>
      </c>
      <c r="D5109" s="86" t="s">
        <v>60</v>
      </c>
      <c r="E5109" s="86" t="s">
        <v>78</v>
      </c>
      <c r="F5109" s="86" t="s">
        <v>324</v>
      </c>
      <c r="G5109" s="86" t="s">
        <v>78</v>
      </c>
      <c r="H5109" s="143">
        <v>229</v>
      </c>
      <c r="I5109" s="86" t="s">
        <v>3356</v>
      </c>
      <c r="J5109" s="1" t="s">
        <v>3326</v>
      </c>
      <c r="K5109" s="1" t="s">
        <v>3712</v>
      </c>
      <c r="L5109" s="1" t="s">
        <v>35</v>
      </c>
      <c r="M5109" s="86"/>
      <c r="N5109" s="86" t="s">
        <v>3712</v>
      </c>
      <c r="O5109" s="47" t="s">
        <v>45</v>
      </c>
      <c r="P5109" s="47" t="s">
        <v>46</v>
      </c>
      <c r="Q5109" s="14">
        <v>0.06</v>
      </c>
      <c r="R5109" s="143"/>
      <c r="S5109" s="47"/>
      <c r="T5109" s="6">
        <v>214992.03999999995</v>
      </c>
      <c r="U5109" s="6"/>
      <c r="V5109" s="6">
        <v>0</v>
      </c>
      <c r="W5109" s="6">
        <f t="shared" si="769"/>
        <v>214992.03999999995</v>
      </c>
      <c r="X5109" s="6">
        <f t="shared" si="770"/>
        <v>0</v>
      </c>
      <c r="Y5109" s="13">
        <f t="shared" si="773"/>
        <v>0</v>
      </c>
      <c r="Z5109" s="14">
        <v>0</v>
      </c>
      <c r="AA5109" s="6">
        <v>0</v>
      </c>
      <c r="AB5109" s="4">
        <f t="shared" si="774"/>
        <v>0</v>
      </c>
      <c r="AC5109" s="4">
        <f t="shared" si="776"/>
        <v>0</v>
      </c>
      <c r="AD5109" s="6">
        <f t="shared" si="771"/>
        <v>0</v>
      </c>
      <c r="AE5109" s="2">
        <v>0.05</v>
      </c>
      <c r="AF5109" s="6">
        <f t="shared" si="777"/>
        <v>0</v>
      </c>
      <c r="AG5109" s="14">
        <v>0</v>
      </c>
      <c r="AH5109" s="64">
        <f t="shared" si="772"/>
        <v>0</v>
      </c>
      <c r="AI5109" s="47"/>
      <c r="AJ5109" s="126" t="e">
        <v>#N/A</v>
      </c>
      <c r="AK5109" s="80">
        <f t="shared" si="775"/>
        <v>0</v>
      </c>
      <c r="AM5109" s="85"/>
    </row>
    <row r="5110" spans="1:39" hidden="1" x14ac:dyDescent="0.3">
      <c r="A5110" s="89" t="s">
        <v>3394</v>
      </c>
      <c r="B5110" s="86" t="s">
        <v>35</v>
      </c>
      <c r="C5110" s="86" t="s">
        <v>59</v>
      </c>
      <c r="D5110" s="86" t="s">
        <v>60</v>
      </c>
      <c r="E5110" s="86" t="s">
        <v>78</v>
      </c>
      <c r="F5110" s="86" t="s">
        <v>325</v>
      </c>
      <c r="G5110" s="86" t="s">
        <v>78</v>
      </c>
      <c r="H5110" s="143">
        <v>229</v>
      </c>
      <c r="I5110" s="86" t="s">
        <v>3356</v>
      </c>
      <c r="J5110" s="1" t="s">
        <v>3326</v>
      </c>
      <c r="K5110" s="1" t="s">
        <v>3712</v>
      </c>
      <c r="L5110" s="1" t="s">
        <v>35</v>
      </c>
      <c r="M5110" s="86"/>
      <c r="N5110" s="86" t="s">
        <v>3712</v>
      </c>
      <c r="O5110" s="47" t="s">
        <v>45</v>
      </c>
      <c r="P5110" s="47" t="s">
        <v>41</v>
      </c>
      <c r="Q5110" s="14">
        <v>0</v>
      </c>
      <c r="R5110" s="143"/>
      <c r="S5110" s="47"/>
      <c r="T5110" s="6">
        <v>29636.910000000003</v>
      </c>
      <c r="U5110" s="6"/>
      <c r="V5110" s="6">
        <v>0</v>
      </c>
      <c r="W5110" s="6">
        <f t="shared" si="769"/>
        <v>29636.910000000003</v>
      </c>
      <c r="X5110" s="6">
        <f t="shared" si="770"/>
        <v>0</v>
      </c>
      <c r="Y5110" s="13">
        <f t="shared" si="773"/>
        <v>0</v>
      </c>
      <c r="Z5110" s="14">
        <v>0</v>
      </c>
      <c r="AA5110" s="6">
        <v>0</v>
      </c>
      <c r="AB5110" s="4">
        <f t="shared" si="774"/>
        <v>0</v>
      </c>
      <c r="AC5110" s="4">
        <f t="shared" si="776"/>
        <v>0</v>
      </c>
      <c r="AD5110" s="6">
        <f t="shared" si="771"/>
        <v>0</v>
      </c>
      <c r="AE5110" s="2">
        <v>0.05</v>
      </c>
      <c r="AF5110" s="6">
        <f t="shared" si="777"/>
        <v>0</v>
      </c>
      <c r="AG5110" s="14">
        <v>0</v>
      </c>
      <c r="AH5110" s="64">
        <f t="shared" si="772"/>
        <v>0</v>
      </c>
      <c r="AI5110" s="47"/>
      <c r="AJ5110" s="126" t="e">
        <v>#N/A</v>
      </c>
      <c r="AK5110" s="80">
        <f t="shared" si="775"/>
        <v>0</v>
      </c>
      <c r="AM5110" s="85"/>
    </row>
    <row r="5111" spans="1:39" hidden="1" x14ac:dyDescent="0.3">
      <c r="A5111" s="89" t="s">
        <v>3395</v>
      </c>
      <c r="B5111" s="86" t="s">
        <v>35</v>
      </c>
      <c r="C5111" s="86" t="s">
        <v>59</v>
      </c>
      <c r="D5111" s="86" t="s">
        <v>60</v>
      </c>
      <c r="E5111" s="86" t="s">
        <v>78</v>
      </c>
      <c r="F5111" s="86" t="s">
        <v>326</v>
      </c>
      <c r="G5111" s="86" t="s">
        <v>78</v>
      </c>
      <c r="H5111" s="143">
        <v>229</v>
      </c>
      <c r="I5111" s="86" t="s">
        <v>3356</v>
      </c>
      <c r="J5111" s="1" t="s">
        <v>3326</v>
      </c>
      <c r="K5111" s="1" t="s">
        <v>3712</v>
      </c>
      <c r="L5111" s="1" t="s">
        <v>35</v>
      </c>
      <c r="M5111" s="86"/>
      <c r="N5111" s="86" t="s">
        <v>3712</v>
      </c>
      <c r="O5111" s="47" t="s">
        <v>45</v>
      </c>
      <c r="P5111" s="47" t="s">
        <v>41</v>
      </c>
      <c r="Q5111" s="14">
        <v>0</v>
      </c>
      <c r="R5111" s="143"/>
      <c r="S5111" s="47"/>
      <c r="T5111" s="6">
        <v>37367.300000000003</v>
      </c>
      <c r="U5111" s="6"/>
      <c r="V5111" s="6">
        <v>0</v>
      </c>
      <c r="W5111" s="6">
        <f t="shared" si="769"/>
        <v>37367.300000000003</v>
      </c>
      <c r="X5111" s="6">
        <f t="shared" si="770"/>
        <v>0</v>
      </c>
      <c r="Y5111" s="13">
        <f t="shared" si="773"/>
        <v>0</v>
      </c>
      <c r="Z5111" s="14">
        <v>0</v>
      </c>
      <c r="AA5111" s="6">
        <v>0</v>
      </c>
      <c r="AB5111" s="4">
        <f t="shared" si="774"/>
        <v>0</v>
      </c>
      <c r="AC5111" s="4">
        <f t="shared" si="776"/>
        <v>0</v>
      </c>
      <c r="AD5111" s="6">
        <f t="shared" si="771"/>
        <v>0</v>
      </c>
      <c r="AE5111" s="2">
        <v>0.05</v>
      </c>
      <c r="AF5111" s="6">
        <f t="shared" si="777"/>
        <v>0</v>
      </c>
      <c r="AG5111" s="14">
        <v>0</v>
      </c>
      <c r="AH5111" s="64">
        <f t="shared" si="772"/>
        <v>0</v>
      </c>
      <c r="AI5111" s="47"/>
      <c r="AJ5111" s="126" t="e">
        <v>#N/A</v>
      </c>
      <c r="AK5111" s="80">
        <f t="shared" si="775"/>
        <v>0</v>
      </c>
      <c r="AM5111" s="85"/>
    </row>
    <row r="5112" spans="1:39" hidden="1" x14ac:dyDescent="0.3">
      <c r="A5112" s="89" t="s">
        <v>3394</v>
      </c>
      <c r="B5112" s="86" t="s">
        <v>35</v>
      </c>
      <c r="C5112" s="86" t="s">
        <v>59</v>
      </c>
      <c r="D5112" s="86" t="s">
        <v>60</v>
      </c>
      <c r="E5112" s="86" t="s">
        <v>327</v>
      </c>
      <c r="F5112" s="86" t="s">
        <v>328</v>
      </c>
      <c r="G5112" s="86" t="s">
        <v>327</v>
      </c>
      <c r="H5112" s="144">
        <v>229</v>
      </c>
      <c r="I5112" s="86" t="s">
        <v>3356</v>
      </c>
      <c r="J5112" s="1" t="s">
        <v>3326</v>
      </c>
      <c r="K5112" s="1" t="s">
        <v>3283</v>
      </c>
      <c r="L5112" s="1" t="s">
        <v>35</v>
      </c>
      <c r="M5112" s="86"/>
      <c r="N5112" s="86" t="s">
        <v>3283</v>
      </c>
      <c r="O5112" s="47" t="s">
        <v>45</v>
      </c>
      <c r="P5112" s="47" t="s">
        <v>75</v>
      </c>
      <c r="Q5112" s="14">
        <v>0.06</v>
      </c>
      <c r="R5112" s="143"/>
      <c r="S5112" s="47"/>
      <c r="T5112" s="6">
        <v>423446.02000000043</v>
      </c>
      <c r="U5112" s="6">
        <v>700000</v>
      </c>
      <c r="V5112" s="6">
        <v>993211.67</v>
      </c>
      <c r="W5112" s="6">
        <f t="shared" si="769"/>
        <v>130234.35000000044</v>
      </c>
      <c r="X5112" s="6">
        <f t="shared" si="770"/>
        <v>993211.67</v>
      </c>
      <c r="Y5112" s="13">
        <f t="shared" si="773"/>
        <v>0</v>
      </c>
      <c r="Z5112" s="14">
        <v>0</v>
      </c>
      <c r="AA5112" s="6">
        <v>0</v>
      </c>
      <c r="AB5112" s="4">
        <f t="shared" si="774"/>
        <v>993211.67</v>
      </c>
      <c r="AC5112" s="4">
        <f t="shared" si="776"/>
        <v>59592.700199999999</v>
      </c>
      <c r="AD5112" s="6">
        <f t="shared" si="771"/>
        <v>993211.67</v>
      </c>
      <c r="AE5112" s="2">
        <v>0.05</v>
      </c>
      <c r="AF5112" s="6">
        <f t="shared" si="777"/>
        <v>49660.583500000008</v>
      </c>
      <c r="AG5112" s="14">
        <v>0</v>
      </c>
      <c r="AH5112" s="64">
        <f t="shared" si="772"/>
        <v>993211.67</v>
      </c>
      <c r="AI5112" s="47"/>
      <c r="AJ5112" s="126" t="e">
        <v>#N/A</v>
      </c>
      <c r="AK5112" s="80">
        <f t="shared" si="775"/>
        <v>0</v>
      </c>
      <c r="AM5112" s="85"/>
    </row>
    <row r="5113" spans="1:39" hidden="1" x14ac:dyDescent="0.3">
      <c r="A5113" s="89" t="s">
        <v>3395</v>
      </c>
      <c r="B5113" s="86" t="s">
        <v>35</v>
      </c>
      <c r="C5113" s="86" t="s">
        <v>47</v>
      </c>
      <c r="D5113" s="86" t="s">
        <v>63</v>
      </c>
      <c r="E5113" s="86" t="s">
        <v>127</v>
      </c>
      <c r="F5113" s="86" t="s">
        <v>127</v>
      </c>
      <c r="G5113" s="86" t="s">
        <v>127</v>
      </c>
      <c r="H5113" s="144">
        <v>229</v>
      </c>
      <c r="I5113" s="86" t="s">
        <v>3356</v>
      </c>
      <c r="J5113" s="1" t="s">
        <v>3326</v>
      </c>
      <c r="K5113" s="1" t="s">
        <v>3710</v>
      </c>
      <c r="L5113" s="1" t="s">
        <v>35</v>
      </c>
      <c r="M5113" s="86"/>
      <c r="N5113" s="86" t="s">
        <v>3710</v>
      </c>
      <c r="O5113" s="47" t="s">
        <v>105</v>
      </c>
      <c r="P5113" s="47" t="s">
        <v>41</v>
      </c>
      <c r="Q5113" s="14">
        <v>0</v>
      </c>
      <c r="R5113" s="143"/>
      <c r="S5113" s="47"/>
      <c r="T5113" s="6">
        <v>-1113409.5499999998</v>
      </c>
      <c r="U5113" s="6"/>
      <c r="V5113" s="6">
        <v>340652.36000000004</v>
      </c>
      <c r="W5113" s="6">
        <f t="shared" si="769"/>
        <v>-1454061.91</v>
      </c>
      <c r="X5113" s="6">
        <f t="shared" si="770"/>
        <v>340652.36000000004</v>
      </c>
      <c r="Y5113" s="13">
        <f t="shared" si="773"/>
        <v>0</v>
      </c>
      <c r="Z5113" s="14">
        <v>0</v>
      </c>
      <c r="AA5113" s="6">
        <v>0</v>
      </c>
      <c r="AB5113" s="4">
        <f t="shared" si="774"/>
        <v>340652.36000000004</v>
      </c>
      <c r="AC5113" s="4">
        <f t="shared" si="776"/>
        <v>0</v>
      </c>
      <c r="AD5113" s="6">
        <f t="shared" si="771"/>
        <v>340652.36000000004</v>
      </c>
      <c r="AE5113" s="2">
        <v>0.06</v>
      </c>
      <c r="AF5113" s="6">
        <f t="shared" si="777"/>
        <v>20439.141600000003</v>
      </c>
      <c r="AG5113" s="14">
        <v>0</v>
      </c>
      <c r="AH5113" s="64">
        <f t="shared" si="772"/>
        <v>340652.36000000004</v>
      </c>
      <c r="AI5113" s="47"/>
      <c r="AJ5113" s="126" t="e">
        <v>#N/A</v>
      </c>
      <c r="AK5113" s="80">
        <f t="shared" si="775"/>
        <v>0</v>
      </c>
      <c r="AM5113" s="85"/>
    </row>
    <row r="5114" spans="1:39" hidden="1" x14ac:dyDescent="0.3">
      <c r="A5114" s="89" t="s">
        <v>3394</v>
      </c>
      <c r="B5114" s="86" t="s">
        <v>35</v>
      </c>
      <c r="C5114" s="86" t="s">
        <v>187</v>
      </c>
      <c r="D5114" s="86" t="s">
        <v>188</v>
      </c>
      <c r="E5114" s="86" t="s">
        <v>280</v>
      </c>
      <c r="F5114" s="86" t="s">
        <v>280</v>
      </c>
      <c r="G5114" s="86" t="s">
        <v>280</v>
      </c>
      <c r="H5114" s="143">
        <v>229</v>
      </c>
      <c r="I5114" s="86" t="s">
        <v>3356</v>
      </c>
      <c r="J5114" s="1" t="s">
        <v>3326</v>
      </c>
      <c r="K5114" s="1" t="s">
        <v>3712</v>
      </c>
      <c r="L5114" s="1" t="s">
        <v>35</v>
      </c>
      <c r="M5114" s="86"/>
      <c r="N5114" s="86" t="s">
        <v>3712</v>
      </c>
      <c r="O5114" s="47" t="s">
        <v>105</v>
      </c>
      <c r="P5114" s="47" t="s">
        <v>46</v>
      </c>
      <c r="Q5114" s="14">
        <v>0.03</v>
      </c>
      <c r="R5114" s="143"/>
      <c r="S5114" s="47"/>
      <c r="T5114" s="6">
        <v>-33.549999999999997</v>
      </c>
      <c r="U5114" s="6"/>
      <c r="V5114" s="6">
        <v>0</v>
      </c>
      <c r="W5114" s="6">
        <f t="shared" si="769"/>
        <v>-33.549999999999997</v>
      </c>
      <c r="X5114" s="6">
        <f t="shared" si="770"/>
        <v>0</v>
      </c>
      <c r="Y5114" s="13">
        <f t="shared" si="773"/>
        <v>0</v>
      </c>
      <c r="Z5114" s="14">
        <v>0</v>
      </c>
      <c r="AA5114" s="6">
        <v>0</v>
      </c>
      <c r="AB5114" s="4">
        <f t="shared" si="774"/>
        <v>0</v>
      </c>
      <c r="AC5114" s="4">
        <f t="shared" si="776"/>
        <v>0</v>
      </c>
      <c r="AD5114" s="6">
        <f t="shared" si="771"/>
        <v>0</v>
      </c>
      <c r="AE5114" s="2">
        <v>0.06</v>
      </c>
      <c r="AF5114" s="6">
        <f t="shared" si="777"/>
        <v>0</v>
      </c>
      <c r="AG5114" s="14">
        <v>0</v>
      </c>
      <c r="AH5114" s="64">
        <f t="shared" si="772"/>
        <v>0</v>
      </c>
      <c r="AI5114" s="47"/>
      <c r="AJ5114" s="126" t="e">
        <v>#N/A</v>
      </c>
      <c r="AK5114" s="80">
        <f t="shared" si="775"/>
        <v>0</v>
      </c>
      <c r="AM5114" s="85"/>
    </row>
    <row r="5115" spans="1:39" hidden="1" x14ac:dyDescent="0.3">
      <c r="A5115" s="89" t="s">
        <v>3394</v>
      </c>
      <c r="B5115" s="86" t="s">
        <v>35</v>
      </c>
      <c r="C5115" s="86" t="s">
        <v>59</v>
      </c>
      <c r="D5115" s="86" t="s">
        <v>60</v>
      </c>
      <c r="E5115" s="86" t="s">
        <v>78</v>
      </c>
      <c r="F5115" s="86" t="s">
        <v>330</v>
      </c>
      <c r="G5115" s="86" t="s">
        <v>78</v>
      </c>
      <c r="H5115" s="143">
        <v>229</v>
      </c>
      <c r="I5115" s="86" t="s">
        <v>3356</v>
      </c>
      <c r="J5115" s="1" t="s">
        <v>3326</v>
      </c>
      <c r="K5115" s="1" t="s">
        <v>3283</v>
      </c>
      <c r="L5115" s="1" t="s">
        <v>35</v>
      </c>
      <c r="M5115" s="86"/>
      <c r="N5115" s="86" t="s">
        <v>3283</v>
      </c>
      <c r="O5115" s="47" t="s">
        <v>45</v>
      </c>
      <c r="P5115" s="47" t="s">
        <v>46</v>
      </c>
      <c r="Q5115" s="14">
        <v>0.04</v>
      </c>
      <c r="R5115" s="143"/>
      <c r="S5115" s="47"/>
      <c r="T5115" s="6">
        <v>2.3759000013087643</v>
      </c>
      <c r="U5115" s="6"/>
      <c r="V5115" s="6">
        <v>0</v>
      </c>
      <c r="W5115" s="6">
        <f t="shared" si="769"/>
        <v>2.3759000013087643</v>
      </c>
      <c r="X5115" s="6">
        <f t="shared" si="770"/>
        <v>0</v>
      </c>
      <c r="Y5115" s="13">
        <f t="shared" si="773"/>
        <v>0</v>
      </c>
      <c r="Z5115" s="14">
        <v>0</v>
      </c>
      <c r="AA5115" s="6">
        <v>0</v>
      </c>
      <c r="AB5115" s="4">
        <f t="shared" si="774"/>
        <v>0</v>
      </c>
      <c r="AC5115" s="4">
        <f t="shared" si="776"/>
        <v>0</v>
      </c>
      <c r="AD5115" s="6">
        <f t="shared" si="771"/>
        <v>0</v>
      </c>
      <c r="AE5115" s="2">
        <v>0.05</v>
      </c>
      <c r="AF5115" s="6">
        <f t="shared" si="777"/>
        <v>0</v>
      </c>
      <c r="AG5115" s="14">
        <v>0</v>
      </c>
      <c r="AH5115" s="64">
        <f t="shared" si="772"/>
        <v>0</v>
      </c>
      <c r="AI5115" s="47"/>
      <c r="AJ5115" s="126" t="e">
        <v>#N/A</v>
      </c>
      <c r="AK5115" s="80">
        <f t="shared" si="775"/>
        <v>0</v>
      </c>
      <c r="AM5115" s="85"/>
    </row>
    <row r="5116" spans="1:39" hidden="1" x14ac:dyDescent="0.3">
      <c r="A5116" s="89" t="s">
        <v>3394</v>
      </c>
      <c r="B5116" s="86" t="s">
        <v>35</v>
      </c>
      <c r="C5116" s="86" t="s">
        <v>47</v>
      </c>
      <c r="D5116" s="86" t="s">
        <v>63</v>
      </c>
      <c r="E5116" s="86" t="s">
        <v>131</v>
      </c>
      <c r="F5116" s="86" t="s">
        <v>131</v>
      </c>
      <c r="G5116" s="86" t="s">
        <v>131</v>
      </c>
      <c r="H5116" s="144">
        <v>229</v>
      </c>
      <c r="I5116" s="86" t="s">
        <v>3356</v>
      </c>
      <c r="J5116" s="1" t="s">
        <v>3326</v>
      </c>
      <c r="K5116" s="1" t="s">
        <v>3718</v>
      </c>
      <c r="L5116" s="1" t="s">
        <v>35</v>
      </c>
      <c r="M5116" s="86"/>
      <c r="N5116" s="86" t="s">
        <v>3718</v>
      </c>
      <c r="O5116" s="47" t="s">
        <v>105</v>
      </c>
      <c r="P5116" s="47" t="s">
        <v>41</v>
      </c>
      <c r="Q5116" s="14">
        <v>0</v>
      </c>
      <c r="R5116" s="143"/>
      <c r="S5116" s="47"/>
      <c r="T5116" s="6">
        <v>-8809.93</v>
      </c>
      <c r="U5116" s="6"/>
      <c r="V5116" s="6">
        <v>402.26</v>
      </c>
      <c r="W5116" s="6">
        <f t="shared" ref="W5116:W5179" si="778">T5116+U5116-V5116</f>
        <v>-9212.19</v>
      </c>
      <c r="X5116" s="6">
        <f t="shared" ref="X5116:X5179" si="779">IF(P5116="折扣",V5116*Q5116,IF(P5116="返现",V5116,V5116/(1+Q5116)))</f>
        <v>402.26</v>
      </c>
      <c r="Y5116" s="13">
        <f t="shared" si="773"/>
        <v>0</v>
      </c>
      <c r="Z5116" s="14">
        <v>0</v>
      </c>
      <c r="AA5116" s="6">
        <v>0</v>
      </c>
      <c r="AB5116" s="4">
        <f t="shared" si="774"/>
        <v>402.26</v>
      </c>
      <c r="AC5116" s="4">
        <f t="shared" si="776"/>
        <v>0</v>
      </c>
      <c r="AD5116" s="6">
        <f t="shared" ref="AD5116:AD5179" si="780">V5116</f>
        <v>402.26</v>
      </c>
      <c r="AE5116" s="2">
        <v>0.06</v>
      </c>
      <c r="AF5116" s="6">
        <f t="shared" si="777"/>
        <v>24.1356</v>
      </c>
      <c r="AG5116" s="14">
        <v>0</v>
      </c>
      <c r="AH5116" s="64">
        <f t="shared" ref="AH5116:AH5179" si="781">V5116</f>
        <v>402.26</v>
      </c>
      <c r="AI5116" s="47"/>
      <c r="AJ5116" s="126" t="e">
        <v>#N/A</v>
      </c>
      <c r="AK5116" s="80">
        <f t="shared" si="775"/>
        <v>0</v>
      </c>
      <c r="AM5116" s="85"/>
    </row>
    <row r="5117" spans="1:39" hidden="1" x14ac:dyDescent="0.3">
      <c r="A5117" s="89" t="s">
        <v>3394</v>
      </c>
      <c r="B5117" s="86" t="s">
        <v>35</v>
      </c>
      <c r="C5117" s="86" t="s">
        <v>187</v>
      </c>
      <c r="D5117" s="86" t="s">
        <v>188</v>
      </c>
      <c r="E5117" s="86" t="s">
        <v>206</v>
      </c>
      <c r="F5117" s="86" t="s">
        <v>206</v>
      </c>
      <c r="G5117" s="86" t="s">
        <v>206</v>
      </c>
      <c r="H5117" s="143">
        <v>229</v>
      </c>
      <c r="I5117" s="86" t="s">
        <v>3356</v>
      </c>
      <c r="J5117" s="1" t="s">
        <v>3326</v>
      </c>
      <c r="K5117" s="1" t="s">
        <v>3283</v>
      </c>
      <c r="L5117" s="1" t="s">
        <v>35</v>
      </c>
      <c r="M5117" s="86"/>
      <c r="N5117" s="86" t="s">
        <v>3283</v>
      </c>
      <c r="O5117" s="47" t="s">
        <v>105</v>
      </c>
      <c r="P5117" s="47" t="s">
        <v>41</v>
      </c>
      <c r="Q5117" s="14">
        <v>0</v>
      </c>
      <c r="R5117" s="143"/>
      <c r="S5117" s="47"/>
      <c r="T5117" s="6">
        <v>0</v>
      </c>
      <c r="U5117" s="6"/>
      <c r="V5117" s="6">
        <v>0</v>
      </c>
      <c r="W5117" s="6">
        <f t="shared" si="778"/>
        <v>0</v>
      </c>
      <c r="X5117" s="6">
        <f t="shared" si="779"/>
        <v>0</v>
      </c>
      <c r="Y5117" s="13">
        <f t="shared" si="773"/>
        <v>0</v>
      </c>
      <c r="Z5117" s="14">
        <v>0</v>
      </c>
      <c r="AA5117" s="6">
        <v>0</v>
      </c>
      <c r="AB5117" s="4">
        <f t="shared" si="774"/>
        <v>0</v>
      </c>
      <c r="AC5117" s="4">
        <f t="shared" si="776"/>
        <v>0</v>
      </c>
      <c r="AD5117" s="6">
        <f t="shared" si="780"/>
        <v>0</v>
      </c>
      <c r="AE5117" s="2">
        <v>0.06</v>
      </c>
      <c r="AF5117" s="6">
        <f t="shared" si="777"/>
        <v>0</v>
      </c>
      <c r="AG5117" s="14">
        <v>0</v>
      </c>
      <c r="AH5117" s="64">
        <f t="shared" si="781"/>
        <v>0</v>
      </c>
      <c r="AI5117" s="47"/>
      <c r="AJ5117" s="126" t="s">
        <v>4218</v>
      </c>
      <c r="AK5117" s="80">
        <f t="shared" si="775"/>
        <v>0</v>
      </c>
      <c r="AL5117" s="150"/>
      <c r="AM5117" s="85"/>
    </row>
    <row r="5118" spans="1:39" hidden="1" x14ac:dyDescent="0.3">
      <c r="A5118" s="89" t="s">
        <v>3394</v>
      </c>
      <c r="B5118" s="86" t="s">
        <v>35</v>
      </c>
      <c r="C5118" s="86" t="s">
        <v>59</v>
      </c>
      <c r="D5118" s="86" t="s">
        <v>60</v>
      </c>
      <c r="E5118" s="86" t="s">
        <v>78</v>
      </c>
      <c r="F5118" s="86" t="s">
        <v>333</v>
      </c>
      <c r="G5118" s="86" t="s">
        <v>78</v>
      </c>
      <c r="H5118" s="144">
        <v>229</v>
      </c>
      <c r="I5118" s="86" t="s">
        <v>3356</v>
      </c>
      <c r="J5118" s="1" t="s">
        <v>3326</v>
      </c>
      <c r="K5118" s="1" t="s">
        <v>3283</v>
      </c>
      <c r="L5118" s="1" t="s">
        <v>35</v>
      </c>
      <c r="M5118" s="86"/>
      <c r="N5118" s="86" t="s">
        <v>3283</v>
      </c>
      <c r="O5118" s="47" t="s">
        <v>45</v>
      </c>
      <c r="P5118" s="47" t="s">
        <v>46</v>
      </c>
      <c r="Q5118" s="14">
        <v>0.04</v>
      </c>
      <c r="R5118" s="143"/>
      <c r="S5118" s="47"/>
      <c r="T5118" s="6">
        <v>1113446.5999999989</v>
      </c>
      <c r="U5118" s="6"/>
      <c r="V5118" s="6">
        <v>1113446.5999999989</v>
      </c>
      <c r="W5118" s="6">
        <f t="shared" si="778"/>
        <v>0</v>
      </c>
      <c r="X5118" s="6">
        <f t="shared" si="779"/>
        <v>1070621.7307692296</v>
      </c>
      <c r="Y5118" s="13">
        <f t="shared" si="773"/>
        <v>0</v>
      </c>
      <c r="Z5118" s="14">
        <v>0</v>
      </c>
      <c r="AA5118" s="6">
        <v>0</v>
      </c>
      <c r="AB5118" s="4">
        <f t="shared" si="774"/>
        <v>1070621.7307692296</v>
      </c>
      <c r="AC5118" s="4">
        <f t="shared" si="776"/>
        <v>42824.869230769342</v>
      </c>
      <c r="AD5118" s="6">
        <f t="shared" si="780"/>
        <v>1113446.5999999989</v>
      </c>
      <c r="AE5118" s="2">
        <v>0.05</v>
      </c>
      <c r="AF5118" s="6">
        <f t="shared" si="777"/>
        <v>55672.329999999951</v>
      </c>
      <c r="AG5118" s="14">
        <v>0</v>
      </c>
      <c r="AH5118" s="64">
        <f t="shared" si="781"/>
        <v>1113446.5999999989</v>
      </c>
      <c r="AI5118" s="47"/>
      <c r="AJ5118" s="126" t="e">
        <v>#N/A</v>
      </c>
      <c r="AK5118" s="80">
        <f t="shared" si="775"/>
        <v>0</v>
      </c>
      <c r="AM5118" s="85"/>
    </row>
    <row r="5119" spans="1:39" hidden="1" x14ac:dyDescent="0.3">
      <c r="A5119" s="89" t="s">
        <v>3395</v>
      </c>
      <c r="B5119" s="86" t="s">
        <v>35</v>
      </c>
      <c r="C5119" s="86" t="s">
        <v>59</v>
      </c>
      <c r="D5119" s="86" t="s">
        <v>60</v>
      </c>
      <c r="E5119" s="86" t="s">
        <v>78</v>
      </c>
      <c r="F5119" s="86" t="s">
        <v>335</v>
      </c>
      <c r="G5119" s="86" t="s">
        <v>78</v>
      </c>
      <c r="H5119" s="143">
        <v>229</v>
      </c>
      <c r="I5119" s="86" t="s">
        <v>3356</v>
      </c>
      <c r="J5119" s="1" t="s">
        <v>3326</v>
      </c>
      <c r="K5119" s="1" t="s">
        <v>3283</v>
      </c>
      <c r="L5119" s="1" t="s">
        <v>35</v>
      </c>
      <c r="M5119" s="86"/>
      <c r="N5119" s="86" t="s">
        <v>3283</v>
      </c>
      <c r="O5119" s="47" t="s">
        <v>45</v>
      </c>
      <c r="P5119" s="47" t="s">
        <v>46</v>
      </c>
      <c r="Q5119" s="14">
        <v>0.04</v>
      </c>
      <c r="R5119" s="143"/>
      <c r="S5119" s="47"/>
      <c r="T5119" s="6">
        <v>4131.2300000003597</v>
      </c>
      <c r="U5119" s="6"/>
      <c r="V5119" s="6">
        <v>0</v>
      </c>
      <c r="W5119" s="6">
        <f t="shared" si="778"/>
        <v>4131.2300000003597</v>
      </c>
      <c r="X5119" s="6">
        <f t="shared" si="779"/>
        <v>0</v>
      </c>
      <c r="Y5119" s="13">
        <f t="shared" si="773"/>
        <v>0</v>
      </c>
      <c r="Z5119" s="14">
        <v>0</v>
      </c>
      <c r="AA5119" s="6">
        <v>0</v>
      </c>
      <c r="AB5119" s="4">
        <f t="shared" si="774"/>
        <v>0</v>
      </c>
      <c r="AC5119" s="4">
        <f t="shared" si="776"/>
        <v>0</v>
      </c>
      <c r="AD5119" s="6">
        <f t="shared" si="780"/>
        <v>0</v>
      </c>
      <c r="AE5119" s="2">
        <v>0.05</v>
      </c>
      <c r="AF5119" s="6">
        <f t="shared" si="777"/>
        <v>0</v>
      </c>
      <c r="AG5119" s="14">
        <v>0</v>
      </c>
      <c r="AH5119" s="64">
        <f t="shared" si="781"/>
        <v>0</v>
      </c>
      <c r="AI5119" s="47"/>
      <c r="AJ5119" s="126" t="e">
        <v>#N/A</v>
      </c>
      <c r="AK5119" s="80">
        <f t="shared" si="775"/>
        <v>0</v>
      </c>
      <c r="AM5119" s="85"/>
    </row>
    <row r="5120" spans="1:39" hidden="1" x14ac:dyDescent="0.3">
      <c r="A5120" s="89" t="s">
        <v>3394</v>
      </c>
      <c r="B5120" s="86" t="s">
        <v>35</v>
      </c>
      <c r="C5120" s="86" t="s">
        <v>59</v>
      </c>
      <c r="D5120" s="86" t="s">
        <v>60</v>
      </c>
      <c r="E5120" s="86" t="s">
        <v>78</v>
      </c>
      <c r="F5120" s="86" t="s">
        <v>336</v>
      </c>
      <c r="G5120" s="86" t="s">
        <v>78</v>
      </c>
      <c r="H5120" s="143">
        <v>229</v>
      </c>
      <c r="I5120" s="86" t="s">
        <v>3356</v>
      </c>
      <c r="J5120" s="1" t="s">
        <v>3326</v>
      </c>
      <c r="K5120" s="1" t="s">
        <v>3283</v>
      </c>
      <c r="L5120" s="1" t="s">
        <v>35</v>
      </c>
      <c r="M5120" s="86"/>
      <c r="N5120" s="86" t="s">
        <v>3283</v>
      </c>
      <c r="O5120" s="47" t="s">
        <v>45</v>
      </c>
      <c r="P5120" s="47" t="s">
        <v>46</v>
      </c>
      <c r="Q5120" s="14">
        <v>0.03</v>
      </c>
      <c r="R5120" s="143"/>
      <c r="S5120" s="47"/>
      <c r="T5120" s="6">
        <v>-1.8500000000494765</v>
      </c>
      <c r="U5120" s="6"/>
      <c r="V5120" s="6">
        <v>0</v>
      </c>
      <c r="W5120" s="6">
        <f t="shared" si="778"/>
        <v>-1.8500000000494765</v>
      </c>
      <c r="X5120" s="6">
        <f t="shared" si="779"/>
        <v>0</v>
      </c>
      <c r="Y5120" s="13">
        <f t="shared" si="773"/>
        <v>0</v>
      </c>
      <c r="Z5120" s="14">
        <v>0</v>
      </c>
      <c r="AA5120" s="6">
        <v>0</v>
      </c>
      <c r="AB5120" s="4">
        <f t="shared" si="774"/>
        <v>0</v>
      </c>
      <c r="AC5120" s="4">
        <f t="shared" si="776"/>
        <v>0</v>
      </c>
      <c r="AD5120" s="6">
        <f t="shared" si="780"/>
        <v>0</v>
      </c>
      <c r="AE5120" s="2">
        <v>0.05</v>
      </c>
      <c r="AF5120" s="6">
        <f t="shared" si="777"/>
        <v>0</v>
      </c>
      <c r="AG5120" s="14">
        <v>0</v>
      </c>
      <c r="AH5120" s="64">
        <f t="shared" si="781"/>
        <v>0</v>
      </c>
      <c r="AI5120" s="47"/>
      <c r="AJ5120" s="126" t="e">
        <v>#N/A</v>
      </c>
      <c r="AK5120" s="80">
        <f t="shared" si="775"/>
        <v>0</v>
      </c>
      <c r="AM5120" s="85"/>
    </row>
    <row r="5121" spans="1:39" hidden="1" x14ac:dyDescent="0.3">
      <c r="A5121" s="89" t="s">
        <v>3394</v>
      </c>
      <c r="B5121" s="86" t="s">
        <v>35</v>
      </c>
      <c r="C5121" s="86" t="s">
        <v>59</v>
      </c>
      <c r="D5121" s="86" t="s">
        <v>60</v>
      </c>
      <c r="E5121" s="86" t="s">
        <v>78</v>
      </c>
      <c r="F5121" s="86" t="s">
        <v>337</v>
      </c>
      <c r="G5121" s="86" t="s">
        <v>78</v>
      </c>
      <c r="H5121" s="144">
        <v>229</v>
      </c>
      <c r="I5121" s="86" t="s">
        <v>3356</v>
      </c>
      <c r="J5121" s="1" t="s">
        <v>3326</v>
      </c>
      <c r="K5121" s="1" t="s">
        <v>3283</v>
      </c>
      <c r="L5121" s="1" t="s">
        <v>35</v>
      </c>
      <c r="M5121" s="86"/>
      <c r="N5121" s="86" t="s">
        <v>3283</v>
      </c>
      <c r="O5121" s="47" t="s">
        <v>45</v>
      </c>
      <c r="P5121" s="47" t="s">
        <v>46</v>
      </c>
      <c r="Q5121" s="14">
        <v>0.02</v>
      </c>
      <c r="R5121" s="143"/>
      <c r="S5121" s="47"/>
      <c r="T5121" s="6">
        <v>1349015.7999998829</v>
      </c>
      <c r="U5121" s="6"/>
      <c r="V5121" s="6">
        <v>326390.87000000011</v>
      </c>
      <c r="W5121" s="6">
        <f t="shared" si="778"/>
        <v>1022624.9299998828</v>
      </c>
      <c r="X5121" s="6">
        <f t="shared" si="779"/>
        <v>319991.04901960795</v>
      </c>
      <c r="Y5121" s="13">
        <f t="shared" si="773"/>
        <v>0</v>
      </c>
      <c r="Z5121" s="14">
        <v>0</v>
      </c>
      <c r="AA5121" s="6">
        <v>0</v>
      </c>
      <c r="AB5121" s="4">
        <f t="shared" si="774"/>
        <v>319991.04901960795</v>
      </c>
      <c r="AC5121" s="4">
        <f t="shared" si="776"/>
        <v>6399.8209803921636</v>
      </c>
      <c r="AD5121" s="6">
        <f t="shared" si="780"/>
        <v>326390.87000000011</v>
      </c>
      <c r="AE5121" s="2">
        <v>0.05</v>
      </c>
      <c r="AF5121" s="6">
        <f t="shared" si="777"/>
        <v>16319.543500000007</v>
      </c>
      <c r="AG5121" s="14">
        <v>0</v>
      </c>
      <c r="AH5121" s="64">
        <f t="shared" si="781"/>
        <v>326390.87000000011</v>
      </c>
      <c r="AI5121" s="47"/>
      <c r="AJ5121" s="126" t="e">
        <v>#N/A</v>
      </c>
      <c r="AK5121" s="80">
        <f t="shared" si="775"/>
        <v>0</v>
      </c>
      <c r="AM5121" s="85"/>
    </row>
    <row r="5122" spans="1:39" hidden="1" x14ac:dyDescent="0.3">
      <c r="A5122" s="89" t="s">
        <v>3394</v>
      </c>
      <c r="B5122" s="86" t="s">
        <v>35</v>
      </c>
      <c r="C5122" s="86" t="s">
        <v>65</v>
      </c>
      <c r="D5122" s="86" t="s">
        <v>66</v>
      </c>
      <c r="E5122" s="86" t="s">
        <v>118</v>
      </c>
      <c r="F5122" s="86" t="s">
        <v>230</v>
      </c>
      <c r="G5122" s="86" t="s">
        <v>118</v>
      </c>
      <c r="H5122" s="143">
        <v>229</v>
      </c>
      <c r="I5122" s="86" t="s">
        <v>3356</v>
      </c>
      <c r="J5122" s="1" t="s">
        <v>3326</v>
      </c>
      <c r="K5122" s="1" t="s">
        <v>3712</v>
      </c>
      <c r="L5122" s="1" t="s">
        <v>35</v>
      </c>
      <c r="M5122" s="86"/>
      <c r="N5122" s="86" t="s">
        <v>3712</v>
      </c>
      <c r="O5122" s="47" t="s">
        <v>105</v>
      </c>
      <c r="P5122" s="47" t="s">
        <v>46</v>
      </c>
      <c r="Q5122" s="14">
        <v>0.03</v>
      </c>
      <c r="R5122" s="143"/>
      <c r="S5122" s="47"/>
      <c r="T5122" s="6">
        <v>172252.86999999997</v>
      </c>
      <c r="U5122" s="6"/>
      <c r="V5122" s="6">
        <v>0</v>
      </c>
      <c r="W5122" s="6">
        <f t="shared" si="778"/>
        <v>172252.86999999997</v>
      </c>
      <c r="X5122" s="6">
        <f t="shared" si="779"/>
        <v>0</v>
      </c>
      <c r="Y5122" s="13">
        <f t="shared" si="773"/>
        <v>0</v>
      </c>
      <c r="Z5122" s="14">
        <v>0</v>
      </c>
      <c r="AA5122" s="6">
        <v>0</v>
      </c>
      <c r="AB5122" s="4">
        <f t="shared" si="774"/>
        <v>0</v>
      </c>
      <c r="AC5122" s="4">
        <f t="shared" si="776"/>
        <v>0</v>
      </c>
      <c r="AD5122" s="6">
        <f t="shared" si="780"/>
        <v>0</v>
      </c>
      <c r="AE5122" s="2">
        <v>0.06</v>
      </c>
      <c r="AF5122" s="6">
        <f t="shared" si="777"/>
        <v>0</v>
      </c>
      <c r="AG5122" s="14">
        <v>0</v>
      </c>
      <c r="AH5122" s="64">
        <f t="shared" si="781"/>
        <v>0</v>
      </c>
      <c r="AI5122" s="47"/>
      <c r="AJ5122" s="126" t="e">
        <v>#N/A</v>
      </c>
      <c r="AK5122" s="80">
        <f t="shared" si="775"/>
        <v>0</v>
      </c>
      <c r="AM5122" s="85"/>
    </row>
    <row r="5123" spans="1:39" hidden="1" x14ac:dyDescent="0.3">
      <c r="A5123" s="89" t="s">
        <v>3394</v>
      </c>
      <c r="B5123" s="86" t="s">
        <v>35</v>
      </c>
      <c r="C5123" s="86" t="s">
        <v>144</v>
      </c>
      <c r="D5123" s="86" t="s">
        <v>152</v>
      </c>
      <c r="E5123" s="86" t="s">
        <v>157</v>
      </c>
      <c r="F5123" s="86" t="s">
        <v>157</v>
      </c>
      <c r="G5123" s="86" t="s">
        <v>157</v>
      </c>
      <c r="H5123" s="144">
        <v>229</v>
      </c>
      <c r="I5123" s="86" t="s">
        <v>3356</v>
      </c>
      <c r="J5123" s="1" t="s">
        <v>3326</v>
      </c>
      <c r="K5123" s="1" t="s">
        <v>3712</v>
      </c>
      <c r="L5123" s="1" t="s">
        <v>35</v>
      </c>
      <c r="M5123" s="86"/>
      <c r="N5123" s="86" t="s">
        <v>3712</v>
      </c>
      <c r="O5123" s="47" t="s">
        <v>105</v>
      </c>
      <c r="P5123" s="47" t="s">
        <v>41</v>
      </c>
      <c r="Q5123" s="14">
        <v>0</v>
      </c>
      <c r="R5123" s="143"/>
      <c r="S5123" s="47"/>
      <c r="T5123" s="6">
        <v>-27052.059999999998</v>
      </c>
      <c r="U5123" s="6"/>
      <c r="V5123" s="6">
        <v>22005.789999999997</v>
      </c>
      <c r="W5123" s="6">
        <f t="shared" si="778"/>
        <v>-49057.849999999991</v>
      </c>
      <c r="X5123" s="6">
        <f t="shared" si="779"/>
        <v>22005.789999999997</v>
      </c>
      <c r="Y5123" s="13">
        <f t="shared" ref="Y5123:Y5186" si="782">IF(X5123-AD5123&lt;=0,0,IF(P5123="返现",MAX(X5123-AC5123-AD5123,0),MAX(X5123-AD5123)))</f>
        <v>0</v>
      </c>
      <c r="Z5123" s="14">
        <v>0</v>
      </c>
      <c r="AA5123" s="6">
        <v>0</v>
      </c>
      <c r="AB5123" s="4">
        <f t="shared" ref="AB5123:AB5186" si="783">X5123+AA5123</f>
        <v>22005.789999999997</v>
      </c>
      <c r="AC5123" s="4">
        <f t="shared" si="776"/>
        <v>0</v>
      </c>
      <c r="AD5123" s="6">
        <f t="shared" si="780"/>
        <v>22005.789999999997</v>
      </c>
      <c r="AE5123" s="2">
        <v>0.06</v>
      </c>
      <c r="AF5123" s="6">
        <f t="shared" si="777"/>
        <v>1320.3473999999999</v>
      </c>
      <c r="AG5123" s="14">
        <v>0</v>
      </c>
      <c r="AH5123" s="64">
        <f t="shared" si="781"/>
        <v>22005.789999999997</v>
      </c>
      <c r="AI5123" s="47"/>
      <c r="AJ5123" s="126" t="e">
        <v>#N/A</v>
      </c>
      <c r="AK5123" s="80">
        <f t="shared" ref="AK5123:AK5186" si="784">X5123+AA5123-AB5123</f>
        <v>0</v>
      </c>
      <c r="AM5123" s="85"/>
    </row>
    <row r="5124" spans="1:39" hidden="1" x14ac:dyDescent="0.3">
      <c r="A5124" s="89" t="s">
        <v>3394</v>
      </c>
      <c r="B5124" s="86" t="s">
        <v>35</v>
      </c>
      <c r="C5124" s="86" t="s">
        <v>164</v>
      </c>
      <c r="D5124" s="86" t="s">
        <v>181</v>
      </c>
      <c r="E5124" s="86" t="s">
        <v>182</v>
      </c>
      <c r="F5124" s="86" t="s">
        <v>183</v>
      </c>
      <c r="G5124" s="86" t="s">
        <v>182</v>
      </c>
      <c r="H5124" s="143">
        <v>229</v>
      </c>
      <c r="I5124" s="86" t="s">
        <v>3356</v>
      </c>
      <c r="J5124" s="1" t="s">
        <v>3326</v>
      </c>
      <c r="K5124" s="1" t="s">
        <v>3283</v>
      </c>
      <c r="L5124" s="1" t="s">
        <v>35</v>
      </c>
      <c r="M5124" s="86"/>
      <c r="N5124" s="86" t="s">
        <v>3283</v>
      </c>
      <c r="O5124" s="47" t="s">
        <v>105</v>
      </c>
      <c r="P5124" s="47" t="s">
        <v>41</v>
      </c>
      <c r="Q5124" s="14">
        <v>0</v>
      </c>
      <c r="R5124" s="143"/>
      <c r="S5124" s="47"/>
      <c r="T5124" s="6">
        <v>-30453.61</v>
      </c>
      <c r="U5124" s="6"/>
      <c r="V5124" s="6">
        <v>0</v>
      </c>
      <c r="W5124" s="6">
        <f t="shared" si="778"/>
        <v>-30453.61</v>
      </c>
      <c r="X5124" s="6">
        <f t="shared" si="779"/>
        <v>0</v>
      </c>
      <c r="Y5124" s="13">
        <f t="shared" si="782"/>
        <v>0</v>
      </c>
      <c r="Z5124" s="14">
        <v>0</v>
      </c>
      <c r="AA5124" s="6">
        <v>0</v>
      </c>
      <c r="AB5124" s="4">
        <f t="shared" si="783"/>
        <v>0</v>
      </c>
      <c r="AC5124" s="4">
        <f t="shared" si="776"/>
        <v>0</v>
      </c>
      <c r="AD5124" s="6">
        <f t="shared" si="780"/>
        <v>0</v>
      </c>
      <c r="AE5124" s="2">
        <v>0.06</v>
      </c>
      <c r="AF5124" s="6">
        <f t="shared" si="777"/>
        <v>0</v>
      </c>
      <c r="AG5124" s="14">
        <v>0</v>
      </c>
      <c r="AH5124" s="64">
        <f t="shared" si="781"/>
        <v>0</v>
      </c>
      <c r="AI5124" s="47"/>
      <c r="AJ5124" s="126" t="e">
        <v>#N/A</v>
      </c>
      <c r="AK5124" s="80">
        <f t="shared" si="784"/>
        <v>0</v>
      </c>
      <c r="AM5124" s="85"/>
    </row>
    <row r="5125" spans="1:39" hidden="1" x14ac:dyDescent="0.3">
      <c r="A5125" s="89" t="s">
        <v>3395</v>
      </c>
      <c r="B5125" s="86" t="s">
        <v>35</v>
      </c>
      <c r="C5125" s="86" t="s">
        <v>47</v>
      </c>
      <c r="D5125" s="86" t="s">
        <v>63</v>
      </c>
      <c r="E5125" s="86" t="s">
        <v>259</v>
      </c>
      <c r="F5125" s="86" t="s">
        <v>259</v>
      </c>
      <c r="G5125" s="86" t="s">
        <v>259</v>
      </c>
      <c r="H5125" s="144">
        <v>229</v>
      </c>
      <c r="I5125" s="86" t="s">
        <v>3356</v>
      </c>
      <c r="J5125" s="1" t="s">
        <v>3326</v>
      </c>
      <c r="K5125" s="1" t="s">
        <v>3712</v>
      </c>
      <c r="L5125" s="1" t="s">
        <v>35</v>
      </c>
      <c r="M5125" s="86"/>
      <c r="N5125" s="86" t="s">
        <v>3712</v>
      </c>
      <c r="O5125" s="47" t="s">
        <v>105</v>
      </c>
      <c r="P5125" s="47" t="s">
        <v>41</v>
      </c>
      <c r="Q5125" s="14">
        <v>0</v>
      </c>
      <c r="R5125" s="143"/>
      <c r="S5125" s="47"/>
      <c r="T5125" s="6">
        <v>-96.37</v>
      </c>
      <c r="U5125" s="6"/>
      <c r="V5125" s="6">
        <v>147.57</v>
      </c>
      <c r="W5125" s="6">
        <f t="shared" si="778"/>
        <v>-243.94</v>
      </c>
      <c r="X5125" s="6">
        <f t="shared" si="779"/>
        <v>147.57</v>
      </c>
      <c r="Y5125" s="13">
        <f t="shared" si="782"/>
        <v>0</v>
      </c>
      <c r="Z5125" s="14">
        <v>0</v>
      </c>
      <c r="AA5125" s="6">
        <v>0</v>
      </c>
      <c r="AB5125" s="4">
        <f t="shared" si="783"/>
        <v>147.57</v>
      </c>
      <c r="AC5125" s="4">
        <f t="shared" si="776"/>
        <v>0</v>
      </c>
      <c r="AD5125" s="6">
        <f t="shared" si="780"/>
        <v>147.57</v>
      </c>
      <c r="AE5125" s="2">
        <v>0.06</v>
      </c>
      <c r="AF5125" s="6">
        <f t="shared" si="777"/>
        <v>8.8541999999999987</v>
      </c>
      <c r="AG5125" s="14">
        <v>0</v>
      </c>
      <c r="AH5125" s="64">
        <f t="shared" si="781"/>
        <v>147.57</v>
      </c>
      <c r="AI5125" s="47"/>
      <c r="AJ5125" s="126" t="e">
        <v>#N/A</v>
      </c>
      <c r="AK5125" s="80">
        <f t="shared" si="784"/>
        <v>0</v>
      </c>
      <c r="AM5125" s="85"/>
    </row>
    <row r="5126" spans="1:39" hidden="1" x14ac:dyDescent="0.3">
      <c r="A5126" s="89" t="s">
        <v>3395</v>
      </c>
      <c r="B5126" s="86" t="s">
        <v>35</v>
      </c>
      <c r="C5126" s="86" t="s">
        <v>36</v>
      </c>
      <c r="D5126" s="86" t="s">
        <v>54</v>
      </c>
      <c r="E5126" s="86" t="s">
        <v>71</v>
      </c>
      <c r="F5126" s="86" t="s">
        <v>102</v>
      </c>
      <c r="G5126" s="86" t="s">
        <v>71</v>
      </c>
      <c r="H5126" s="144">
        <v>229</v>
      </c>
      <c r="I5126" s="86" t="s">
        <v>3356</v>
      </c>
      <c r="J5126" s="1" t="s">
        <v>3326</v>
      </c>
      <c r="K5126" s="1" t="s">
        <v>3718</v>
      </c>
      <c r="L5126" s="1" t="s">
        <v>35</v>
      </c>
      <c r="M5126" s="86"/>
      <c r="N5126" s="86" t="s">
        <v>3718</v>
      </c>
      <c r="O5126" s="47" t="s">
        <v>105</v>
      </c>
      <c r="P5126" s="47" t="s">
        <v>46</v>
      </c>
      <c r="Q5126" s="14">
        <v>5.6000000000000001E-2</v>
      </c>
      <c r="R5126" s="143"/>
      <c r="S5126" s="47"/>
      <c r="T5126" s="6">
        <v>0</v>
      </c>
      <c r="U5126" s="6"/>
      <c r="V5126" s="6">
        <v>4311.2900000000009</v>
      </c>
      <c r="W5126" s="6">
        <f t="shared" si="778"/>
        <v>-4311.2900000000009</v>
      </c>
      <c r="X5126" s="6">
        <f t="shared" si="779"/>
        <v>4082.6609848484854</v>
      </c>
      <c r="Y5126" s="13">
        <f t="shared" si="782"/>
        <v>0</v>
      </c>
      <c r="Z5126" s="14">
        <v>0</v>
      </c>
      <c r="AA5126" s="6">
        <v>0</v>
      </c>
      <c r="AB5126" s="4">
        <f t="shared" si="783"/>
        <v>4082.6609848484854</v>
      </c>
      <c r="AC5126" s="4">
        <f t="shared" si="776"/>
        <v>228.62901515151543</v>
      </c>
      <c r="AD5126" s="6">
        <f t="shared" si="780"/>
        <v>4311.2900000000009</v>
      </c>
      <c r="AE5126" s="2">
        <v>0.06</v>
      </c>
      <c r="AF5126" s="6">
        <f t="shared" si="777"/>
        <v>258.67740000000003</v>
      </c>
      <c r="AG5126" s="14">
        <v>0</v>
      </c>
      <c r="AH5126" s="64">
        <f t="shared" si="781"/>
        <v>4311.2900000000009</v>
      </c>
      <c r="AI5126" s="47"/>
      <c r="AJ5126" s="126" t="e">
        <v>#N/A</v>
      </c>
      <c r="AK5126" s="80">
        <f t="shared" si="784"/>
        <v>0</v>
      </c>
      <c r="AM5126" s="85"/>
    </row>
    <row r="5127" spans="1:39" hidden="1" x14ac:dyDescent="0.3">
      <c r="A5127" s="89" t="s">
        <v>3394</v>
      </c>
      <c r="B5127" s="86" t="s">
        <v>35</v>
      </c>
      <c r="C5127" s="86" t="s">
        <v>59</v>
      </c>
      <c r="D5127" s="86" t="s">
        <v>60</v>
      </c>
      <c r="E5127" s="86" t="s">
        <v>78</v>
      </c>
      <c r="F5127" s="86" t="s">
        <v>336</v>
      </c>
      <c r="G5127" s="86" t="s">
        <v>78</v>
      </c>
      <c r="H5127" s="144">
        <v>229</v>
      </c>
      <c r="I5127" s="86" t="s">
        <v>3356</v>
      </c>
      <c r="J5127" s="1" t="s">
        <v>3326</v>
      </c>
      <c r="K5127" s="1" t="s">
        <v>3283</v>
      </c>
      <c r="L5127" s="1" t="s">
        <v>35</v>
      </c>
      <c r="M5127" s="86"/>
      <c r="N5127" s="86" t="s">
        <v>3283</v>
      </c>
      <c r="O5127" s="47" t="s">
        <v>45</v>
      </c>
      <c r="P5127" s="47" t="s">
        <v>46</v>
      </c>
      <c r="Q5127" s="14">
        <v>0.06</v>
      </c>
      <c r="R5127" s="143"/>
      <c r="S5127" s="47"/>
      <c r="T5127" s="6">
        <v>1058131.8900000001</v>
      </c>
      <c r="U5127" s="6"/>
      <c r="V5127" s="6">
        <v>246054.36999999997</v>
      </c>
      <c r="W5127" s="6">
        <f t="shared" si="778"/>
        <v>812077.52000000014</v>
      </c>
      <c r="X5127" s="6">
        <f t="shared" si="779"/>
        <v>232126.76415094335</v>
      </c>
      <c r="Y5127" s="13">
        <f t="shared" si="782"/>
        <v>0</v>
      </c>
      <c r="Z5127" s="14">
        <v>0</v>
      </c>
      <c r="AA5127" s="6">
        <v>0</v>
      </c>
      <c r="AB5127" s="4">
        <f t="shared" si="783"/>
        <v>232126.76415094335</v>
      </c>
      <c r="AC5127" s="4">
        <f t="shared" si="776"/>
        <v>13927.605849056621</v>
      </c>
      <c r="AD5127" s="6">
        <f t="shared" si="780"/>
        <v>246054.36999999997</v>
      </c>
      <c r="AE5127" s="2">
        <v>0.05</v>
      </c>
      <c r="AF5127" s="6">
        <f t="shared" si="777"/>
        <v>12302.718499999999</v>
      </c>
      <c r="AG5127" s="14">
        <v>0</v>
      </c>
      <c r="AH5127" s="64">
        <f t="shared" si="781"/>
        <v>246054.36999999997</v>
      </c>
      <c r="AI5127" s="47"/>
      <c r="AJ5127" s="126" t="e">
        <v>#N/A</v>
      </c>
      <c r="AK5127" s="80">
        <f t="shared" si="784"/>
        <v>0</v>
      </c>
      <c r="AM5127" s="85"/>
    </row>
    <row r="5128" spans="1:39" hidden="1" x14ac:dyDescent="0.3">
      <c r="A5128" s="89" t="s">
        <v>3394</v>
      </c>
      <c r="B5128" s="86" t="s">
        <v>35</v>
      </c>
      <c r="C5128" s="86" t="s">
        <v>59</v>
      </c>
      <c r="D5128" s="86" t="s">
        <v>60</v>
      </c>
      <c r="E5128" s="86" t="s">
        <v>327</v>
      </c>
      <c r="F5128" s="86" t="s">
        <v>3624</v>
      </c>
      <c r="G5128" s="86" t="s">
        <v>327</v>
      </c>
      <c r="H5128" s="144">
        <v>229</v>
      </c>
      <c r="I5128" s="86" t="s">
        <v>3356</v>
      </c>
      <c r="J5128" s="1" t="s">
        <v>3326</v>
      </c>
      <c r="K5128" s="1" t="s">
        <v>3283</v>
      </c>
      <c r="L5128" s="1" t="s">
        <v>35</v>
      </c>
      <c r="M5128" s="86"/>
      <c r="N5128" s="86" t="s">
        <v>3283</v>
      </c>
      <c r="O5128" s="47" t="s">
        <v>105</v>
      </c>
      <c r="P5128" s="47" t="s">
        <v>75</v>
      </c>
      <c r="Q5128" s="14">
        <v>0.06</v>
      </c>
      <c r="R5128" s="143"/>
      <c r="S5128" s="47"/>
      <c r="T5128" s="6">
        <v>-81.19</v>
      </c>
      <c r="U5128" s="6"/>
      <c r="V5128" s="6">
        <v>1122.02</v>
      </c>
      <c r="W5128" s="6">
        <f t="shared" si="778"/>
        <v>-1203.21</v>
      </c>
      <c r="X5128" s="6">
        <f t="shared" si="779"/>
        <v>1122.02</v>
      </c>
      <c r="Y5128" s="13">
        <f t="shared" si="782"/>
        <v>0</v>
      </c>
      <c r="Z5128" s="14">
        <v>0</v>
      </c>
      <c r="AA5128" s="6">
        <v>0</v>
      </c>
      <c r="AB5128" s="4">
        <f t="shared" si="783"/>
        <v>1122.02</v>
      </c>
      <c r="AC5128" s="4">
        <f t="shared" si="776"/>
        <v>67.32119999999999</v>
      </c>
      <c r="AD5128" s="6">
        <f t="shared" si="780"/>
        <v>1122.02</v>
      </c>
      <c r="AE5128" s="2">
        <v>0.05</v>
      </c>
      <c r="AF5128" s="6">
        <f t="shared" si="777"/>
        <v>56.100999999999999</v>
      </c>
      <c r="AG5128" s="14">
        <v>0</v>
      </c>
      <c r="AH5128" s="64">
        <f t="shared" si="781"/>
        <v>1122.02</v>
      </c>
      <c r="AI5128" s="47"/>
      <c r="AJ5128" s="126" t="e">
        <v>#N/A</v>
      </c>
      <c r="AK5128" s="80">
        <f t="shared" si="784"/>
        <v>0</v>
      </c>
      <c r="AM5128" s="85"/>
    </row>
    <row r="5129" spans="1:39" hidden="1" x14ac:dyDescent="0.3">
      <c r="A5129" s="89" t="s">
        <v>3394</v>
      </c>
      <c r="B5129" s="86" t="s">
        <v>35</v>
      </c>
      <c r="C5129" s="86" t="s">
        <v>47</v>
      </c>
      <c r="D5129" s="86" t="s">
        <v>63</v>
      </c>
      <c r="E5129" s="86" t="s">
        <v>129</v>
      </c>
      <c r="F5129" s="86" t="s">
        <v>129</v>
      </c>
      <c r="G5129" s="86" t="s">
        <v>129</v>
      </c>
      <c r="H5129" s="143">
        <v>229</v>
      </c>
      <c r="I5129" s="86" t="s">
        <v>3356</v>
      </c>
      <c r="J5129" s="1" t="s">
        <v>3326</v>
      </c>
      <c r="K5129" s="1" t="s">
        <v>3712</v>
      </c>
      <c r="L5129" s="1" t="s">
        <v>35</v>
      </c>
      <c r="M5129" s="86"/>
      <c r="N5129" s="86" t="s">
        <v>3712</v>
      </c>
      <c r="O5129" s="47" t="s">
        <v>105</v>
      </c>
      <c r="P5129" s="47" t="s">
        <v>92</v>
      </c>
      <c r="Q5129" s="14">
        <v>0.99</v>
      </c>
      <c r="R5129" s="143"/>
      <c r="S5129" s="47"/>
      <c r="T5129" s="6">
        <v>-0.13</v>
      </c>
      <c r="U5129" s="6"/>
      <c r="V5129" s="6">
        <v>0</v>
      </c>
      <c r="W5129" s="6">
        <f t="shared" si="778"/>
        <v>-0.13</v>
      </c>
      <c r="X5129" s="6">
        <f t="shared" si="779"/>
        <v>0</v>
      </c>
      <c r="Y5129" s="13">
        <f t="shared" si="782"/>
        <v>0</v>
      </c>
      <c r="Z5129" s="14">
        <v>0</v>
      </c>
      <c r="AA5129" s="6">
        <v>0</v>
      </c>
      <c r="AB5129" s="4">
        <f t="shared" si="783"/>
        <v>0</v>
      </c>
      <c r="AC5129" s="4">
        <f t="shared" si="776"/>
        <v>0</v>
      </c>
      <c r="AD5129" s="6">
        <f t="shared" si="780"/>
        <v>0</v>
      </c>
      <c r="AE5129" s="2">
        <v>0.06</v>
      </c>
      <c r="AF5129" s="6">
        <f t="shared" si="777"/>
        <v>0</v>
      </c>
      <c r="AG5129" s="14">
        <v>0</v>
      </c>
      <c r="AH5129" s="64">
        <f t="shared" si="781"/>
        <v>0</v>
      </c>
      <c r="AI5129" s="47"/>
      <c r="AJ5129" s="126" t="e">
        <v>#N/A</v>
      </c>
      <c r="AK5129" s="80">
        <f t="shared" si="784"/>
        <v>0</v>
      </c>
      <c r="AM5129" s="85"/>
    </row>
    <row r="5130" spans="1:39" hidden="1" x14ac:dyDescent="0.3">
      <c r="A5130" s="89" t="s">
        <v>3395</v>
      </c>
      <c r="B5130" s="86" t="s">
        <v>35</v>
      </c>
      <c r="C5130" s="86" t="s">
        <v>164</v>
      </c>
      <c r="D5130" s="86" t="s">
        <v>169</v>
      </c>
      <c r="E5130" s="86" t="s">
        <v>172</v>
      </c>
      <c r="F5130" s="86" t="s">
        <v>172</v>
      </c>
      <c r="G5130" s="86" t="s">
        <v>172</v>
      </c>
      <c r="H5130" s="144">
        <v>229</v>
      </c>
      <c r="I5130" s="86" t="s">
        <v>3356</v>
      </c>
      <c r="J5130" s="1" t="s">
        <v>3326</v>
      </c>
      <c r="K5130" s="1" t="s">
        <v>3710</v>
      </c>
      <c r="L5130" s="1" t="s">
        <v>35</v>
      </c>
      <c r="M5130" s="86"/>
      <c r="N5130" s="86" t="s">
        <v>3710</v>
      </c>
      <c r="O5130" s="47" t="s">
        <v>105</v>
      </c>
      <c r="P5130" s="47" t="s">
        <v>41</v>
      </c>
      <c r="Q5130" s="14">
        <v>0</v>
      </c>
      <c r="R5130" s="143"/>
      <c r="S5130" s="47"/>
      <c r="T5130" s="6">
        <v>-45527.760000000009</v>
      </c>
      <c r="U5130" s="6"/>
      <c r="V5130" s="6">
        <v>1259.9000000000001</v>
      </c>
      <c r="W5130" s="6">
        <f t="shared" si="778"/>
        <v>-46787.660000000011</v>
      </c>
      <c r="X5130" s="6">
        <f t="shared" si="779"/>
        <v>1259.9000000000001</v>
      </c>
      <c r="Y5130" s="13">
        <f t="shared" si="782"/>
        <v>0</v>
      </c>
      <c r="Z5130" s="14">
        <v>0</v>
      </c>
      <c r="AA5130" s="6">
        <v>0</v>
      </c>
      <c r="AB5130" s="4">
        <f t="shared" si="783"/>
        <v>1259.9000000000001</v>
      </c>
      <c r="AC5130" s="4">
        <f t="shared" si="776"/>
        <v>0</v>
      </c>
      <c r="AD5130" s="6">
        <f t="shared" si="780"/>
        <v>1259.9000000000001</v>
      </c>
      <c r="AE5130" s="2">
        <v>0.06</v>
      </c>
      <c r="AF5130" s="6">
        <f t="shared" si="777"/>
        <v>75.594000000000008</v>
      </c>
      <c r="AG5130" s="14">
        <v>0</v>
      </c>
      <c r="AH5130" s="64">
        <f t="shared" si="781"/>
        <v>1259.9000000000001</v>
      </c>
      <c r="AI5130" s="47"/>
      <c r="AJ5130" s="126" t="e">
        <v>#N/A</v>
      </c>
      <c r="AK5130" s="80">
        <f t="shared" si="784"/>
        <v>0</v>
      </c>
      <c r="AM5130" s="85"/>
    </row>
    <row r="5131" spans="1:39" hidden="1" x14ac:dyDescent="0.3">
      <c r="A5131" s="89" t="s">
        <v>3394</v>
      </c>
      <c r="B5131" s="86" t="s">
        <v>35</v>
      </c>
      <c r="C5131" s="86" t="s">
        <v>164</v>
      </c>
      <c r="D5131" s="86" t="s">
        <v>169</v>
      </c>
      <c r="E5131" s="86" t="s">
        <v>170</v>
      </c>
      <c r="F5131" s="86" t="s">
        <v>170</v>
      </c>
      <c r="G5131" s="86" t="s">
        <v>170</v>
      </c>
      <c r="H5131" s="144">
        <v>229</v>
      </c>
      <c r="I5131" s="86" t="s">
        <v>3356</v>
      </c>
      <c r="J5131" s="1" t="s">
        <v>3326</v>
      </c>
      <c r="K5131" s="1" t="s">
        <v>3710</v>
      </c>
      <c r="L5131" s="1" t="s">
        <v>35</v>
      </c>
      <c r="M5131" s="86"/>
      <c r="N5131" s="86" t="s">
        <v>3710</v>
      </c>
      <c r="O5131" s="47" t="s">
        <v>105</v>
      </c>
      <c r="P5131" s="47" t="s">
        <v>75</v>
      </c>
      <c r="Q5131" s="14">
        <v>0.06</v>
      </c>
      <c r="R5131" s="143"/>
      <c r="S5131" s="47"/>
      <c r="T5131" s="6">
        <v>-465114.81</v>
      </c>
      <c r="U5131" s="6"/>
      <c r="V5131" s="6">
        <v>28158.49</v>
      </c>
      <c r="W5131" s="6">
        <f t="shared" si="778"/>
        <v>-493273.3</v>
      </c>
      <c r="X5131" s="6">
        <f t="shared" si="779"/>
        <v>28158.49</v>
      </c>
      <c r="Y5131" s="13">
        <f t="shared" si="782"/>
        <v>0</v>
      </c>
      <c r="Z5131" s="14">
        <v>0</v>
      </c>
      <c r="AA5131" s="6">
        <v>0</v>
      </c>
      <c r="AB5131" s="4">
        <f t="shared" si="783"/>
        <v>28158.49</v>
      </c>
      <c r="AC5131" s="4">
        <f t="shared" si="776"/>
        <v>1689.5094000000001</v>
      </c>
      <c r="AD5131" s="6">
        <f t="shared" si="780"/>
        <v>28158.49</v>
      </c>
      <c r="AE5131" s="2">
        <v>0.06</v>
      </c>
      <c r="AF5131" s="6">
        <f t="shared" si="777"/>
        <v>1689.5094000000001</v>
      </c>
      <c r="AG5131" s="14">
        <v>0</v>
      </c>
      <c r="AH5131" s="64">
        <f t="shared" si="781"/>
        <v>28158.49</v>
      </c>
      <c r="AI5131" s="47"/>
      <c r="AJ5131" s="126" t="e">
        <v>#N/A</v>
      </c>
      <c r="AK5131" s="80">
        <f t="shared" si="784"/>
        <v>0</v>
      </c>
      <c r="AM5131" s="85"/>
    </row>
    <row r="5132" spans="1:39" hidden="1" x14ac:dyDescent="0.3">
      <c r="A5132" s="89" t="s">
        <v>3395</v>
      </c>
      <c r="B5132" s="86" t="s">
        <v>35</v>
      </c>
      <c r="C5132" s="86" t="s">
        <v>164</v>
      </c>
      <c r="D5132" s="86" t="s">
        <v>169</v>
      </c>
      <c r="E5132" s="86" t="s">
        <v>170</v>
      </c>
      <c r="F5132" s="86" t="s">
        <v>171</v>
      </c>
      <c r="G5132" s="86" t="s">
        <v>170</v>
      </c>
      <c r="H5132" s="144">
        <v>229</v>
      </c>
      <c r="I5132" s="86" t="s">
        <v>3356</v>
      </c>
      <c r="J5132" s="1" t="s">
        <v>3326</v>
      </c>
      <c r="K5132" s="1" t="s">
        <v>3710</v>
      </c>
      <c r="L5132" s="1" t="s">
        <v>35</v>
      </c>
      <c r="M5132" s="86"/>
      <c r="N5132" s="86" t="s">
        <v>3710</v>
      </c>
      <c r="O5132" s="47" t="s">
        <v>105</v>
      </c>
      <c r="P5132" s="47" t="s">
        <v>75</v>
      </c>
      <c r="Q5132" s="14">
        <v>0.06</v>
      </c>
      <c r="R5132" s="143"/>
      <c r="S5132" s="47"/>
      <c r="T5132" s="6">
        <v>-71489.990000000005</v>
      </c>
      <c r="U5132" s="6"/>
      <c r="V5132" s="6">
        <v>213213.1</v>
      </c>
      <c r="W5132" s="6">
        <f t="shared" si="778"/>
        <v>-284703.09000000003</v>
      </c>
      <c r="X5132" s="6">
        <f t="shared" si="779"/>
        <v>213213.1</v>
      </c>
      <c r="Y5132" s="13">
        <f t="shared" si="782"/>
        <v>0</v>
      </c>
      <c r="Z5132" s="14">
        <v>0</v>
      </c>
      <c r="AA5132" s="6">
        <v>0</v>
      </c>
      <c r="AB5132" s="4">
        <f t="shared" si="783"/>
        <v>213213.1</v>
      </c>
      <c r="AC5132" s="4">
        <f t="shared" ref="AC5132:AC5195" si="785">IF(P5132="返现",X5132*Q5132,V5132-X5132)</f>
        <v>12792.786</v>
      </c>
      <c r="AD5132" s="6">
        <f t="shared" si="780"/>
        <v>213213.1</v>
      </c>
      <c r="AE5132" s="2">
        <v>0.06</v>
      </c>
      <c r="AF5132" s="6">
        <f t="shared" ref="AF5132:AF5195" si="786">AD5132*AE5132</f>
        <v>12792.786</v>
      </c>
      <c r="AG5132" s="14">
        <v>0</v>
      </c>
      <c r="AH5132" s="64">
        <f t="shared" si="781"/>
        <v>213213.1</v>
      </c>
      <c r="AI5132" s="47"/>
      <c r="AJ5132" s="126" t="e">
        <v>#N/A</v>
      </c>
      <c r="AK5132" s="80">
        <f t="shared" si="784"/>
        <v>0</v>
      </c>
      <c r="AM5132" s="85"/>
    </row>
    <row r="5133" spans="1:39" hidden="1" x14ac:dyDescent="0.3">
      <c r="A5133" s="89" t="s">
        <v>3397</v>
      </c>
      <c r="B5133" s="86" t="s">
        <v>35</v>
      </c>
      <c r="C5133" s="86" t="s">
        <v>59</v>
      </c>
      <c r="D5133" s="86" t="s">
        <v>60</v>
      </c>
      <c r="E5133" s="86" t="s">
        <v>93</v>
      </c>
      <c r="F5133" s="86" t="s">
        <v>94</v>
      </c>
      <c r="G5133" s="86" t="s">
        <v>93</v>
      </c>
      <c r="H5133" s="143">
        <v>229</v>
      </c>
      <c r="I5133" s="86" t="s">
        <v>3356</v>
      </c>
      <c r="J5133" s="1" t="s">
        <v>3326</v>
      </c>
      <c r="K5133" s="1" t="s">
        <v>3712</v>
      </c>
      <c r="L5133" s="1" t="s">
        <v>35</v>
      </c>
      <c r="M5133" s="86"/>
      <c r="N5133" s="86" t="s">
        <v>3712</v>
      </c>
      <c r="O5133" s="47" t="s">
        <v>105</v>
      </c>
      <c r="P5133" s="47" t="s">
        <v>46</v>
      </c>
      <c r="Q5133" s="14">
        <v>7.0000000000000007E-2</v>
      </c>
      <c r="R5133" s="143"/>
      <c r="S5133" s="47"/>
      <c r="T5133" s="6">
        <v>-1204.8900000000001</v>
      </c>
      <c r="U5133" s="6"/>
      <c r="V5133" s="6">
        <v>0</v>
      </c>
      <c r="W5133" s="6">
        <f t="shared" si="778"/>
        <v>-1204.8900000000001</v>
      </c>
      <c r="X5133" s="6">
        <f t="shared" si="779"/>
        <v>0</v>
      </c>
      <c r="Y5133" s="13">
        <f t="shared" si="782"/>
        <v>0</v>
      </c>
      <c r="Z5133" s="14">
        <v>0</v>
      </c>
      <c r="AA5133" s="6">
        <v>0</v>
      </c>
      <c r="AB5133" s="4">
        <f t="shared" si="783"/>
        <v>0</v>
      </c>
      <c r="AC5133" s="4">
        <f t="shared" si="785"/>
        <v>0</v>
      </c>
      <c r="AD5133" s="6">
        <f t="shared" si="780"/>
        <v>0</v>
      </c>
      <c r="AE5133" s="2">
        <v>0.06</v>
      </c>
      <c r="AF5133" s="6">
        <f t="shared" si="786"/>
        <v>0</v>
      </c>
      <c r="AG5133" s="14">
        <v>0</v>
      </c>
      <c r="AH5133" s="64">
        <f t="shared" si="781"/>
        <v>0</v>
      </c>
      <c r="AI5133" s="47"/>
      <c r="AJ5133" s="126" t="e">
        <v>#N/A</v>
      </c>
      <c r="AK5133" s="80">
        <f t="shared" si="784"/>
        <v>0</v>
      </c>
      <c r="AM5133" s="85"/>
    </row>
    <row r="5134" spans="1:39" hidden="1" x14ac:dyDescent="0.3">
      <c r="A5134" s="89" t="s">
        <v>3394</v>
      </c>
      <c r="B5134" s="86" t="s">
        <v>35</v>
      </c>
      <c r="C5134" s="86" t="s">
        <v>187</v>
      </c>
      <c r="D5134" s="86" t="s">
        <v>208</v>
      </c>
      <c r="E5134" s="86" t="s">
        <v>210</v>
      </c>
      <c r="F5134" s="86" t="s">
        <v>210</v>
      </c>
      <c r="G5134" s="86" t="s">
        <v>210</v>
      </c>
      <c r="H5134" s="144">
        <v>229</v>
      </c>
      <c r="I5134" s="86" t="s">
        <v>3356</v>
      </c>
      <c r="J5134" s="1" t="s">
        <v>3326</v>
      </c>
      <c r="K5134" s="1" t="s">
        <v>3283</v>
      </c>
      <c r="L5134" s="1" t="s">
        <v>35</v>
      </c>
      <c r="M5134" s="86"/>
      <c r="N5134" s="86" t="s">
        <v>3283</v>
      </c>
      <c r="O5134" s="47" t="s">
        <v>105</v>
      </c>
      <c r="P5134" s="47" t="s">
        <v>46</v>
      </c>
      <c r="Q5134" s="14">
        <v>0.03</v>
      </c>
      <c r="R5134" s="143"/>
      <c r="S5134" s="47"/>
      <c r="T5134" s="6">
        <v>-9.0300000000000011</v>
      </c>
      <c r="U5134" s="6"/>
      <c r="V5134" s="6">
        <v>43.14</v>
      </c>
      <c r="W5134" s="6">
        <f t="shared" si="778"/>
        <v>-52.17</v>
      </c>
      <c r="X5134" s="6">
        <f t="shared" si="779"/>
        <v>41.883495145631066</v>
      </c>
      <c r="Y5134" s="13">
        <f t="shared" si="782"/>
        <v>0</v>
      </c>
      <c r="Z5134" s="14">
        <v>0</v>
      </c>
      <c r="AA5134" s="6">
        <v>0</v>
      </c>
      <c r="AB5134" s="4">
        <f t="shared" si="783"/>
        <v>41.883495145631066</v>
      </c>
      <c r="AC5134" s="4">
        <f t="shared" si="785"/>
        <v>1.2565048543689343</v>
      </c>
      <c r="AD5134" s="6">
        <f t="shared" si="780"/>
        <v>43.14</v>
      </c>
      <c r="AE5134" s="2">
        <v>0.06</v>
      </c>
      <c r="AF5134" s="6">
        <f t="shared" si="786"/>
        <v>2.5884</v>
      </c>
      <c r="AG5134" s="14">
        <v>0</v>
      </c>
      <c r="AH5134" s="64">
        <f t="shared" si="781"/>
        <v>43.14</v>
      </c>
      <c r="AI5134" s="47"/>
      <c r="AJ5134" s="126" t="e">
        <v>#N/A</v>
      </c>
      <c r="AK5134" s="80">
        <f t="shared" si="784"/>
        <v>0</v>
      </c>
      <c r="AM5134" s="85"/>
    </row>
    <row r="5135" spans="1:39" hidden="1" x14ac:dyDescent="0.3">
      <c r="A5135" s="89" t="s">
        <v>3394</v>
      </c>
      <c r="B5135" s="86" t="s">
        <v>35</v>
      </c>
      <c r="C5135" s="86" t="s">
        <v>187</v>
      </c>
      <c r="D5135" s="86" t="s">
        <v>188</v>
      </c>
      <c r="E5135" s="86" t="s">
        <v>192</v>
      </c>
      <c r="F5135" s="86" t="s">
        <v>192</v>
      </c>
      <c r="G5135" s="86" t="s">
        <v>192</v>
      </c>
      <c r="H5135" s="144">
        <v>229</v>
      </c>
      <c r="I5135" s="86" t="s">
        <v>3356</v>
      </c>
      <c r="J5135" s="1" t="s">
        <v>3326</v>
      </c>
      <c r="K5135" s="1" t="s">
        <v>3283</v>
      </c>
      <c r="L5135" s="1" t="s">
        <v>35</v>
      </c>
      <c r="M5135" s="86"/>
      <c r="N5135" s="86" t="s">
        <v>3283</v>
      </c>
      <c r="O5135" s="47" t="s">
        <v>105</v>
      </c>
      <c r="P5135" s="47" t="s">
        <v>46</v>
      </c>
      <c r="Q5135" s="14">
        <v>0.06</v>
      </c>
      <c r="R5135" s="143"/>
      <c r="S5135" s="47"/>
      <c r="T5135" s="6">
        <v>-32944.83</v>
      </c>
      <c r="U5135" s="6"/>
      <c r="V5135" s="6">
        <v>4679.5300000000007</v>
      </c>
      <c r="W5135" s="6">
        <f t="shared" si="778"/>
        <v>-37624.36</v>
      </c>
      <c r="X5135" s="6">
        <f t="shared" si="779"/>
        <v>4414.6509433962265</v>
      </c>
      <c r="Y5135" s="13">
        <f t="shared" si="782"/>
        <v>0</v>
      </c>
      <c r="Z5135" s="14">
        <v>0</v>
      </c>
      <c r="AA5135" s="6">
        <v>0</v>
      </c>
      <c r="AB5135" s="4">
        <f t="shared" si="783"/>
        <v>4414.6509433962265</v>
      </c>
      <c r="AC5135" s="4">
        <f t="shared" si="785"/>
        <v>264.87905660377419</v>
      </c>
      <c r="AD5135" s="6">
        <f t="shared" si="780"/>
        <v>4679.5300000000007</v>
      </c>
      <c r="AE5135" s="2">
        <v>0.06</v>
      </c>
      <c r="AF5135" s="6">
        <f t="shared" si="786"/>
        <v>280.77180000000004</v>
      </c>
      <c r="AG5135" s="14">
        <v>0</v>
      </c>
      <c r="AH5135" s="64">
        <f t="shared" si="781"/>
        <v>4679.5300000000007</v>
      </c>
      <c r="AI5135" s="47"/>
      <c r="AJ5135" s="126" t="e">
        <v>#N/A</v>
      </c>
      <c r="AK5135" s="80">
        <f t="shared" si="784"/>
        <v>0</v>
      </c>
      <c r="AM5135" s="85"/>
    </row>
    <row r="5136" spans="1:39" hidden="1" x14ac:dyDescent="0.3">
      <c r="A5136" s="89" t="s">
        <v>3395</v>
      </c>
      <c r="B5136" s="86" t="s">
        <v>35</v>
      </c>
      <c r="C5136" s="86" t="s">
        <v>187</v>
      </c>
      <c r="D5136" s="86" t="s">
        <v>208</v>
      </c>
      <c r="E5136" s="86" t="s">
        <v>252</v>
      </c>
      <c r="F5136" s="86" t="s">
        <v>252</v>
      </c>
      <c r="G5136" s="86" t="s">
        <v>252</v>
      </c>
      <c r="H5136" s="143">
        <v>229</v>
      </c>
      <c r="I5136" s="86" t="s">
        <v>3356</v>
      </c>
      <c r="J5136" s="1" t="s">
        <v>3326</v>
      </c>
      <c r="K5136" s="1" t="s">
        <v>3712</v>
      </c>
      <c r="L5136" s="1" t="s">
        <v>35</v>
      </c>
      <c r="M5136" s="86"/>
      <c r="N5136" s="86" t="s">
        <v>3712</v>
      </c>
      <c r="O5136" s="47" t="s">
        <v>105</v>
      </c>
      <c r="P5136" s="47" t="s">
        <v>46</v>
      </c>
      <c r="Q5136" s="14">
        <v>0.03</v>
      </c>
      <c r="R5136" s="143"/>
      <c r="S5136" s="47"/>
      <c r="T5136" s="6">
        <v>-23.1</v>
      </c>
      <c r="U5136" s="6"/>
      <c r="V5136" s="6">
        <v>0</v>
      </c>
      <c r="W5136" s="6">
        <f t="shared" si="778"/>
        <v>-23.1</v>
      </c>
      <c r="X5136" s="6">
        <f t="shared" si="779"/>
        <v>0</v>
      </c>
      <c r="Y5136" s="13">
        <f t="shared" si="782"/>
        <v>0</v>
      </c>
      <c r="Z5136" s="14">
        <v>0</v>
      </c>
      <c r="AA5136" s="6">
        <v>0</v>
      </c>
      <c r="AB5136" s="4">
        <f t="shared" si="783"/>
        <v>0</v>
      </c>
      <c r="AC5136" s="4">
        <f t="shared" si="785"/>
        <v>0</v>
      </c>
      <c r="AD5136" s="6">
        <f t="shared" si="780"/>
        <v>0</v>
      </c>
      <c r="AE5136" s="2">
        <v>0.06</v>
      </c>
      <c r="AF5136" s="6">
        <f t="shared" si="786"/>
        <v>0</v>
      </c>
      <c r="AG5136" s="14">
        <v>0</v>
      </c>
      <c r="AH5136" s="64">
        <f t="shared" si="781"/>
        <v>0</v>
      </c>
      <c r="AI5136" s="47"/>
      <c r="AJ5136" s="126" t="e">
        <v>#N/A</v>
      </c>
      <c r="AK5136" s="80">
        <f t="shared" si="784"/>
        <v>0</v>
      </c>
      <c r="AM5136" s="85"/>
    </row>
    <row r="5137" spans="1:39" hidden="1" x14ac:dyDescent="0.3">
      <c r="A5137" s="89" t="s">
        <v>3395</v>
      </c>
      <c r="B5137" s="86" t="s">
        <v>35</v>
      </c>
      <c r="C5137" s="86" t="s">
        <v>187</v>
      </c>
      <c r="D5137" s="86" t="s">
        <v>208</v>
      </c>
      <c r="E5137" s="86" t="s">
        <v>250</v>
      </c>
      <c r="F5137" s="86" t="s">
        <v>250</v>
      </c>
      <c r="G5137" s="86" t="s">
        <v>250</v>
      </c>
      <c r="H5137" s="144">
        <v>229</v>
      </c>
      <c r="I5137" s="86" t="s">
        <v>3356</v>
      </c>
      <c r="J5137" s="1" t="s">
        <v>3326</v>
      </c>
      <c r="K5137" s="1" t="s">
        <v>3283</v>
      </c>
      <c r="L5137" s="1" t="s">
        <v>35</v>
      </c>
      <c r="M5137" s="86"/>
      <c r="N5137" s="86" t="s">
        <v>3283</v>
      </c>
      <c r="O5137" s="47" t="s">
        <v>105</v>
      </c>
      <c r="P5137" s="47" t="s">
        <v>46</v>
      </c>
      <c r="Q5137" s="14">
        <v>0.03</v>
      </c>
      <c r="R5137" s="143"/>
      <c r="S5137" s="47"/>
      <c r="T5137" s="6">
        <v>-14041.13</v>
      </c>
      <c r="U5137" s="6"/>
      <c r="V5137" s="6">
        <v>3912.8900000000003</v>
      </c>
      <c r="W5137" s="6">
        <f t="shared" si="778"/>
        <v>-17954.02</v>
      </c>
      <c r="X5137" s="6">
        <f t="shared" si="779"/>
        <v>3798.9223300970875</v>
      </c>
      <c r="Y5137" s="13">
        <f t="shared" si="782"/>
        <v>0</v>
      </c>
      <c r="Z5137" s="14">
        <v>0</v>
      </c>
      <c r="AA5137" s="6">
        <v>0</v>
      </c>
      <c r="AB5137" s="4">
        <f t="shared" si="783"/>
        <v>3798.9223300970875</v>
      </c>
      <c r="AC5137" s="4">
        <f t="shared" si="785"/>
        <v>113.9676699029128</v>
      </c>
      <c r="AD5137" s="6">
        <f t="shared" si="780"/>
        <v>3912.8900000000003</v>
      </c>
      <c r="AE5137" s="2">
        <v>0.06</v>
      </c>
      <c r="AF5137" s="6">
        <f t="shared" si="786"/>
        <v>234.77340000000001</v>
      </c>
      <c r="AG5137" s="14">
        <v>0</v>
      </c>
      <c r="AH5137" s="64">
        <f t="shared" si="781"/>
        <v>3912.8900000000003</v>
      </c>
      <c r="AI5137" s="47"/>
      <c r="AJ5137" s="126" t="e">
        <v>#N/A</v>
      </c>
      <c r="AK5137" s="80">
        <f t="shared" si="784"/>
        <v>0</v>
      </c>
      <c r="AM5137" s="85"/>
    </row>
    <row r="5138" spans="1:39" hidden="1" x14ac:dyDescent="0.3">
      <c r="A5138" s="89" t="s">
        <v>3394</v>
      </c>
      <c r="B5138" s="86" t="s">
        <v>35</v>
      </c>
      <c r="C5138" s="86" t="s">
        <v>59</v>
      </c>
      <c r="D5138" s="86" t="s">
        <v>60</v>
      </c>
      <c r="E5138" s="86" t="s">
        <v>78</v>
      </c>
      <c r="F5138" s="86" t="s">
        <v>79</v>
      </c>
      <c r="G5138" s="86" t="s">
        <v>78</v>
      </c>
      <c r="H5138" s="144">
        <v>229</v>
      </c>
      <c r="I5138" s="86" t="s">
        <v>3356</v>
      </c>
      <c r="J5138" s="1" t="s">
        <v>3326</v>
      </c>
      <c r="K5138" s="1" t="s">
        <v>3283</v>
      </c>
      <c r="L5138" s="1" t="s">
        <v>35</v>
      </c>
      <c r="M5138" s="86"/>
      <c r="N5138" s="86" t="s">
        <v>3283</v>
      </c>
      <c r="O5138" s="47" t="s">
        <v>105</v>
      </c>
      <c r="P5138" s="47" t="s">
        <v>46</v>
      </c>
      <c r="Q5138" s="14">
        <v>0.06</v>
      </c>
      <c r="R5138" s="143"/>
      <c r="S5138" s="47"/>
      <c r="T5138" s="6">
        <v>-1536.11</v>
      </c>
      <c r="U5138" s="6"/>
      <c r="V5138" s="6">
        <v>1018.24</v>
      </c>
      <c r="W5138" s="6">
        <f t="shared" si="778"/>
        <v>-2554.35</v>
      </c>
      <c r="X5138" s="6">
        <f t="shared" si="779"/>
        <v>960.60377358490564</v>
      </c>
      <c r="Y5138" s="13">
        <f t="shared" si="782"/>
        <v>0</v>
      </c>
      <c r="Z5138" s="14">
        <v>0</v>
      </c>
      <c r="AA5138" s="6">
        <v>0</v>
      </c>
      <c r="AB5138" s="4">
        <f t="shared" si="783"/>
        <v>960.60377358490564</v>
      </c>
      <c r="AC5138" s="4">
        <f t="shared" si="785"/>
        <v>57.63622641509437</v>
      </c>
      <c r="AD5138" s="6">
        <f t="shared" si="780"/>
        <v>1018.24</v>
      </c>
      <c r="AE5138" s="2">
        <v>0.06</v>
      </c>
      <c r="AF5138" s="6">
        <f t="shared" si="786"/>
        <v>61.0944</v>
      </c>
      <c r="AG5138" s="14">
        <v>0</v>
      </c>
      <c r="AH5138" s="64">
        <f t="shared" si="781"/>
        <v>1018.24</v>
      </c>
      <c r="AI5138" s="47"/>
      <c r="AJ5138" s="126" t="e">
        <v>#N/A</v>
      </c>
      <c r="AK5138" s="80">
        <f t="shared" si="784"/>
        <v>0</v>
      </c>
      <c r="AM5138" s="85"/>
    </row>
    <row r="5139" spans="1:39" hidden="1" x14ac:dyDescent="0.3">
      <c r="A5139" s="89" t="s">
        <v>3395</v>
      </c>
      <c r="B5139" s="86" t="s">
        <v>35</v>
      </c>
      <c r="C5139" s="86" t="s">
        <v>187</v>
      </c>
      <c r="D5139" s="86" t="s">
        <v>188</v>
      </c>
      <c r="E5139" s="86" t="s">
        <v>201</v>
      </c>
      <c r="F5139" s="86" t="s">
        <v>201</v>
      </c>
      <c r="G5139" s="86" t="s">
        <v>201</v>
      </c>
      <c r="H5139" s="144">
        <v>229</v>
      </c>
      <c r="I5139" s="86" t="s">
        <v>3356</v>
      </c>
      <c r="J5139" s="1" t="s">
        <v>3326</v>
      </c>
      <c r="K5139" s="1" t="s">
        <v>3283</v>
      </c>
      <c r="L5139" s="1" t="s">
        <v>35</v>
      </c>
      <c r="M5139" s="86"/>
      <c r="N5139" s="86" t="s">
        <v>3283</v>
      </c>
      <c r="O5139" s="47" t="s">
        <v>105</v>
      </c>
      <c r="P5139" s="47" t="s">
        <v>46</v>
      </c>
      <c r="Q5139" s="14">
        <v>0.04</v>
      </c>
      <c r="R5139" s="143"/>
      <c r="S5139" s="47"/>
      <c r="T5139" s="6">
        <v>-11001.990000000002</v>
      </c>
      <c r="U5139" s="6"/>
      <c r="V5139" s="6">
        <v>1663.34</v>
      </c>
      <c r="W5139" s="6">
        <f t="shared" si="778"/>
        <v>-12665.330000000002</v>
      </c>
      <c r="X5139" s="6">
        <f t="shared" si="779"/>
        <v>1599.3653846153845</v>
      </c>
      <c r="Y5139" s="13">
        <f t="shared" si="782"/>
        <v>0</v>
      </c>
      <c r="Z5139" s="14">
        <v>0</v>
      </c>
      <c r="AA5139" s="6">
        <v>0</v>
      </c>
      <c r="AB5139" s="4">
        <f t="shared" si="783"/>
        <v>1599.3653846153845</v>
      </c>
      <c r="AC5139" s="4">
        <f t="shared" si="785"/>
        <v>63.97461538461539</v>
      </c>
      <c r="AD5139" s="6">
        <f t="shared" si="780"/>
        <v>1663.34</v>
      </c>
      <c r="AE5139" s="2">
        <v>0.06</v>
      </c>
      <c r="AF5139" s="6">
        <f t="shared" si="786"/>
        <v>99.800399999999996</v>
      </c>
      <c r="AG5139" s="14">
        <v>0</v>
      </c>
      <c r="AH5139" s="64">
        <f t="shared" si="781"/>
        <v>1663.34</v>
      </c>
      <c r="AI5139" s="47"/>
      <c r="AJ5139" s="126" t="e">
        <v>#N/A</v>
      </c>
      <c r="AK5139" s="80">
        <f t="shared" si="784"/>
        <v>0</v>
      </c>
      <c r="AM5139" s="85"/>
    </row>
    <row r="5140" spans="1:39" hidden="1" x14ac:dyDescent="0.3">
      <c r="A5140" s="89" t="s">
        <v>3395</v>
      </c>
      <c r="B5140" s="86" t="s">
        <v>35</v>
      </c>
      <c r="C5140" s="86" t="s">
        <v>187</v>
      </c>
      <c r="D5140" s="86" t="s">
        <v>188</v>
      </c>
      <c r="E5140" s="86" t="s">
        <v>249</v>
      </c>
      <c r="F5140" s="86" t="s">
        <v>249</v>
      </c>
      <c r="G5140" s="86" t="s">
        <v>249</v>
      </c>
      <c r="H5140" s="144">
        <v>229</v>
      </c>
      <c r="I5140" s="86" t="s">
        <v>3356</v>
      </c>
      <c r="J5140" s="1" t="s">
        <v>3326</v>
      </c>
      <c r="K5140" s="1" t="s">
        <v>3283</v>
      </c>
      <c r="L5140" s="1" t="s">
        <v>35</v>
      </c>
      <c r="M5140" s="86"/>
      <c r="N5140" s="86" t="s">
        <v>3283</v>
      </c>
      <c r="O5140" s="47" t="s">
        <v>105</v>
      </c>
      <c r="P5140" s="47" t="s">
        <v>46</v>
      </c>
      <c r="Q5140" s="14">
        <v>0.06</v>
      </c>
      <c r="R5140" s="143"/>
      <c r="S5140" s="47"/>
      <c r="T5140" s="6">
        <v>-10329.550000000001</v>
      </c>
      <c r="U5140" s="6"/>
      <c r="V5140" s="6">
        <v>4.79</v>
      </c>
      <c r="W5140" s="6">
        <f t="shared" si="778"/>
        <v>-10334.340000000002</v>
      </c>
      <c r="X5140" s="6">
        <f t="shared" si="779"/>
        <v>4.5188679245283021</v>
      </c>
      <c r="Y5140" s="13">
        <f t="shared" si="782"/>
        <v>0</v>
      </c>
      <c r="Z5140" s="14">
        <v>0</v>
      </c>
      <c r="AA5140" s="6">
        <v>0</v>
      </c>
      <c r="AB5140" s="4">
        <f t="shared" si="783"/>
        <v>4.5188679245283021</v>
      </c>
      <c r="AC5140" s="4">
        <f t="shared" si="785"/>
        <v>0.27113207547169793</v>
      </c>
      <c r="AD5140" s="6">
        <f t="shared" si="780"/>
        <v>4.79</v>
      </c>
      <c r="AE5140" s="2">
        <v>0.06</v>
      </c>
      <c r="AF5140" s="6">
        <f t="shared" si="786"/>
        <v>0.28739999999999999</v>
      </c>
      <c r="AG5140" s="14">
        <v>0</v>
      </c>
      <c r="AH5140" s="64">
        <f t="shared" si="781"/>
        <v>4.79</v>
      </c>
      <c r="AI5140" s="47"/>
      <c r="AJ5140" s="126" t="e">
        <v>#N/A</v>
      </c>
      <c r="AK5140" s="80">
        <f t="shared" si="784"/>
        <v>0</v>
      </c>
      <c r="AM5140" s="85"/>
    </row>
    <row r="5141" spans="1:39" hidden="1" x14ac:dyDescent="0.3">
      <c r="A5141" s="89" t="s">
        <v>3395</v>
      </c>
      <c r="B5141" s="86" t="s">
        <v>35</v>
      </c>
      <c r="C5141" s="86" t="s">
        <v>144</v>
      </c>
      <c r="D5141" s="86" t="s">
        <v>145</v>
      </c>
      <c r="E5141" s="86" t="s">
        <v>150</v>
      </c>
      <c r="F5141" s="86" t="s">
        <v>151</v>
      </c>
      <c r="G5141" s="86" t="s">
        <v>150</v>
      </c>
      <c r="H5141" s="144">
        <v>229</v>
      </c>
      <c r="I5141" s="86" t="s">
        <v>3356</v>
      </c>
      <c r="J5141" s="1" t="s">
        <v>3326</v>
      </c>
      <c r="K5141" s="1" t="s">
        <v>3712</v>
      </c>
      <c r="L5141" s="1" t="s">
        <v>35</v>
      </c>
      <c r="M5141" s="86"/>
      <c r="N5141" s="86" t="s">
        <v>3712</v>
      </c>
      <c r="O5141" s="47" t="s">
        <v>105</v>
      </c>
      <c r="P5141" s="47" t="s">
        <v>41</v>
      </c>
      <c r="Q5141" s="14">
        <v>0</v>
      </c>
      <c r="R5141" s="143"/>
      <c r="S5141" s="47"/>
      <c r="T5141" s="6">
        <v>-1319.27</v>
      </c>
      <c r="U5141" s="6"/>
      <c r="V5141" s="6">
        <v>1393.5199999999998</v>
      </c>
      <c r="W5141" s="6">
        <f t="shared" si="778"/>
        <v>-2712.79</v>
      </c>
      <c r="X5141" s="6">
        <f t="shared" si="779"/>
        <v>1393.5199999999998</v>
      </c>
      <c r="Y5141" s="13">
        <f t="shared" si="782"/>
        <v>0</v>
      </c>
      <c r="Z5141" s="14">
        <v>0</v>
      </c>
      <c r="AA5141" s="6">
        <v>0</v>
      </c>
      <c r="AB5141" s="4">
        <f t="shared" si="783"/>
        <v>1393.5199999999998</v>
      </c>
      <c r="AC5141" s="4">
        <f t="shared" si="785"/>
        <v>0</v>
      </c>
      <c r="AD5141" s="6">
        <f t="shared" si="780"/>
        <v>1393.5199999999998</v>
      </c>
      <c r="AE5141" s="2">
        <v>0.06</v>
      </c>
      <c r="AF5141" s="6">
        <f t="shared" si="786"/>
        <v>83.611199999999982</v>
      </c>
      <c r="AG5141" s="14">
        <v>0</v>
      </c>
      <c r="AH5141" s="64">
        <f t="shared" si="781"/>
        <v>1393.5199999999998</v>
      </c>
      <c r="AI5141" s="47"/>
      <c r="AJ5141" s="126" t="e">
        <v>#N/A</v>
      </c>
      <c r="AK5141" s="80">
        <f t="shared" si="784"/>
        <v>0</v>
      </c>
      <c r="AM5141" s="85"/>
    </row>
    <row r="5142" spans="1:39" hidden="1" x14ac:dyDescent="0.3">
      <c r="A5142" s="89" t="s">
        <v>3394</v>
      </c>
      <c r="B5142" s="86" t="s">
        <v>35</v>
      </c>
      <c r="C5142" s="86" t="s">
        <v>164</v>
      </c>
      <c r="D5142" s="86" t="s">
        <v>165</v>
      </c>
      <c r="E5142" s="86" t="s">
        <v>168</v>
      </c>
      <c r="F5142" s="86" t="s">
        <v>168</v>
      </c>
      <c r="G5142" s="86" t="s">
        <v>168</v>
      </c>
      <c r="H5142" s="144">
        <v>229</v>
      </c>
      <c r="I5142" s="86" t="s">
        <v>3356</v>
      </c>
      <c r="J5142" s="1" t="s">
        <v>3326</v>
      </c>
      <c r="K5142" s="1" t="s">
        <v>3710</v>
      </c>
      <c r="L5142" s="1" t="s">
        <v>35</v>
      </c>
      <c r="M5142" s="86"/>
      <c r="N5142" s="86" t="s">
        <v>3710</v>
      </c>
      <c r="O5142" s="47" t="s">
        <v>105</v>
      </c>
      <c r="P5142" s="47" t="s">
        <v>41</v>
      </c>
      <c r="Q5142" s="14">
        <v>0</v>
      </c>
      <c r="R5142" s="143"/>
      <c r="S5142" s="47"/>
      <c r="T5142" s="6">
        <v>-1887.74</v>
      </c>
      <c r="U5142" s="6"/>
      <c r="V5142" s="6">
        <v>753.87</v>
      </c>
      <c r="W5142" s="6">
        <f t="shared" si="778"/>
        <v>-2641.61</v>
      </c>
      <c r="X5142" s="6">
        <f t="shared" si="779"/>
        <v>753.87</v>
      </c>
      <c r="Y5142" s="13">
        <f t="shared" si="782"/>
        <v>0</v>
      </c>
      <c r="Z5142" s="14">
        <v>0</v>
      </c>
      <c r="AA5142" s="6">
        <v>0</v>
      </c>
      <c r="AB5142" s="4">
        <f t="shared" si="783"/>
        <v>753.87</v>
      </c>
      <c r="AC5142" s="4">
        <f t="shared" si="785"/>
        <v>0</v>
      </c>
      <c r="AD5142" s="6">
        <f t="shared" si="780"/>
        <v>753.87</v>
      </c>
      <c r="AE5142" s="2">
        <v>0.06</v>
      </c>
      <c r="AF5142" s="6">
        <f t="shared" si="786"/>
        <v>45.232199999999999</v>
      </c>
      <c r="AG5142" s="14">
        <v>0</v>
      </c>
      <c r="AH5142" s="64">
        <f t="shared" si="781"/>
        <v>753.87</v>
      </c>
      <c r="AI5142" s="47"/>
      <c r="AJ5142" s="126" t="e">
        <v>#N/A</v>
      </c>
      <c r="AK5142" s="80">
        <f t="shared" si="784"/>
        <v>0</v>
      </c>
      <c r="AM5142" s="85"/>
    </row>
    <row r="5143" spans="1:39" hidden="1" x14ac:dyDescent="0.3">
      <c r="A5143" s="89" t="s">
        <v>3395</v>
      </c>
      <c r="B5143" s="86" t="s">
        <v>35</v>
      </c>
      <c r="C5143" s="86" t="s">
        <v>47</v>
      </c>
      <c r="D5143" s="86" t="s">
        <v>48</v>
      </c>
      <c r="E5143" s="86" t="s">
        <v>50</v>
      </c>
      <c r="F5143" s="86" t="s">
        <v>50</v>
      </c>
      <c r="G5143" s="86" t="s">
        <v>50</v>
      </c>
      <c r="H5143" s="143">
        <v>229</v>
      </c>
      <c r="I5143" s="86" t="s">
        <v>3356</v>
      </c>
      <c r="J5143" s="1" t="s">
        <v>3326</v>
      </c>
      <c r="K5143" s="1" t="s">
        <v>3707</v>
      </c>
      <c r="L5143" s="1" t="s">
        <v>35</v>
      </c>
      <c r="M5143" s="86"/>
      <c r="N5143" s="86" t="s">
        <v>3707</v>
      </c>
      <c r="O5143" s="47" t="s">
        <v>105</v>
      </c>
      <c r="P5143" s="1" t="s">
        <v>3753</v>
      </c>
      <c r="Q5143" s="2">
        <v>0.01</v>
      </c>
      <c r="R5143" s="143"/>
      <c r="S5143" s="47"/>
      <c r="T5143" s="6">
        <v>-4146.54</v>
      </c>
      <c r="U5143" s="6"/>
      <c r="V5143" s="6">
        <v>0</v>
      </c>
      <c r="W5143" s="6">
        <f t="shared" si="778"/>
        <v>-4146.54</v>
      </c>
      <c r="X5143" s="6">
        <f t="shared" si="779"/>
        <v>0</v>
      </c>
      <c r="Y5143" s="13">
        <f t="shared" si="782"/>
        <v>0</v>
      </c>
      <c r="Z5143" s="14">
        <v>0</v>
      </c>
      <c r="AA5143" s="6">
        <v>0</v>
      </c>
      <c r="AB5143" s="4">
        <f t="shared" si="783"/>
        <v>0</v>
      </c>
      <c r="AC5143" s="4">
        <f t="shared" si="785"/>
        <v>0</v>
      </c>
      <c r="AD5143" s="6">
        <f t="shared" si="780"/>
        <v>0</v>
      </c>
      <c r="AE5143" s="2">
        <v>0.06</v>
      </c>
      <c r="AF5143" s="6">
        <f t="shared" si="786"/>
        <v>0</v>
      </c>
      <c r="AG5143" s="14">
        <v>0</v>
      </c>
      <c r="AH5143" s="64">
        <f t="shared" si="781"/>
        <v>0</v>
      </c>
      <c r="AI5143" s="47"/>
      <c r="AJ5143" s="126" t="e">
        <v>#N/A</v>
      </c>
      <c r="AK5143" s="80">
        <f t="shared" si="784"/>
        <v>0</v>
      </c>
      <c r="AM5143" s="85"/>
    </row>
    <row r="5144" spans="1:39" hidden="1" x14ac:dyDescent="0.3">
      <c r="A5144" s="89" t="s">
        <v>3397</v>
      </c>
      <c r="B5144" s="86" t="s">
        <v>35</v>
      </c>
      <c r="C5144" s="86" t="s">
        <v>36</v>
      </c>
      <c r="D5144" s="86" t="s">
        <v>54</v>
      </c>
      <c r="E5144" s="86" t="s">
        <v>106</v>
      </c>
      <c r="F5144" s="86" t="s">
        <v>106</v>
      </c>
      <c r="G5144" s="86" t="s">
        <v>107</v>
      </c>
      <c r="H5144" s="144">
        <v>229</v>
      </c>
      <c r="I5144" s="86" t="s">
        <v>3356</v>
      </c>
      <c r="J5144" s="1" t="s">
        <v>3326</v>
      </c>
      <c r="K5144" s="1" t="s">
        <v>3707</v>
      </c>
      <c r="L5144" s="1" t="s">
        <v>35</v>
      </c>
      <c r="M5144" s="86"/>
      <c r="N5144" s="86" t="s">
        <v>3707</v>
      </c>
      <c r="O5144" s="47" t="s">
        <v>105</v>
      </c>
      <c r="P5144" s="47" t="s">
        <v>41</v>
      </c>
      <c r="Q5144" s="14">
        <v>0</v>
      </c>
      <c r="R5144" s="143"/>
      <c r="S5144" s="47"/>
      <c r="T5144" s="6">
        <v>-22.220000000000002</v>
      </c>
      <c r="U5144" s="6"/>
      <c r="V5144" s="6">
        <v>107.63000000000001</v>
      </c>
      <c r="W5144" s="6">
        <f t="shared" si="778"/>
        <v>-129.85000000000002</v>
      </c>
      <c r="X5144" s="6">
        <f t="shared" si="779"/>
        <v>107.63000000000001</v>
      </c>
      <c r="Y5144" s="13">
        <f t="shared" si="782"/>
        <v>0</v>
      </c>
      <c r="Z5144" s="14">
        <v>0</v>
      </c>
      <c r="AA5144" s="6">
        <v>0</v>
      </c>
      <c r="AB5144" s="4">
        <f t="shared" si="783"/>
        <v>107.63000000000001</v>
      </c>
      <c r="AC5144" s="4">
        <f t="shared" si="785"/>
        <v>0</v>
      </c>
      <c r="AD5144" s="6">
        <f t="shared" si="780"/>
        <v>107.63000000000001</v>
      </c>
      <c r="AE5144" s="2">
        <v>0.06</v>
      </c>
      <c r="AF5144" s="6">
        <f t="shared" si="786"/>
        <v>6.4578000000000007</v>
      </c>
      <c r="AG5144" s="14">
        <v>0</v>
      </c>
      <c r="AH5144" s="64">
        <f t="shared" si="781"/>
        <v>107.63000000000001</v>
      </c>
      <c r="AI5144" s="47"/>
      <c r="AJ5144" s="126" t="e">
        <v>#N/A</v>
      </c>
      <c r="AK5144" s="80">
        <f t="shared" si="784"/>
        <v>0</v>
      </c>
      <c r="AM5144" s="85"/>
    </row>
    <row r="5145" spans="1:39" hidden="1" x14ac:dyDescent="0.3">
      <c r="A5145" s="89" t="s">
        <v>3395</v>
      </c>
      <c r="B5145" s="86" t="s">
        <v>35</v>
      </c>
      <c r="C5145" s="86" t="s">
        <v>59</v>
      </c>
      <c r="D5145" s="86" t="s">
        <v>60</v>
      </c>
      <c r="E5145" s="86" t="s">
        <v>78</v>
      </c>
      <c r="F5145" s="86" t="s">
        <v>3625</v>
      </c>
      <c r="G5145" s="86" t="s">
        <v>78</v>
      </c>
      <c r="H5145" s="143">
        <v>229</v>
      </c>
      <c r="I5145" s="86" t="s">
        <v>3356</v>
      </c>
      <c r="J5145" s="1" t="s">
        <v>3326</v>
      </c>
      <c r="K5145" s="1" t="s">
        <v>3712</v>
      </c>
      <c r="L5145" s="1" t="s">
        <v>35</v>
      </c>
      <c r="M5145" s="86"/>
      <c r="N5145" s="86" t="s">
        <v>3712</v>
      </c>
      <c r="O5145" s="47" t="s">
        <v>45</v>
      </c>
      <c r="P5145" s="47" t="s">
        <v>46</v>
      </c>
      <c r="Q5145" s="14">
        <v>7.0000000000000007E-2</v>
      </c>
      <c r="R5145" s="143"/>
      <c r="S5145" s="47"/>
      <c r="T5145" s="6">
        <v>10000</v>
      </c>
      <c r="U5145" s="6"/>
      <c r="V5145" s="6">
        <v>0</v>
      </c>
      <c r="W5145" s="6">
        <f t="shared" si="778"/>
        <v>10000</v>
      </c>
      <c r="X5145" s="6">
        <f t="shared" si="779"/>
        <v>0</v>
      </c>
      <c r="Y5145" s="13">
        <f t="shared" si="782"/>
        <v>0</v>
      </c>
      <c r="Z5145" s="14">
        <v>0</v>
      </c>
      <c r="AA5145" s="6">
        <v>0</v>
      </c>
      <c r="AB5145" s="4">
        <f t="shared" si="783"/>
        <v>0</v>
      </c>
      <c r="AC5145" s="4">
        <f t="shared" si="785"/>
        <v>0</v>
      </c>
      <c r="AD5145" s="6">
        <f t="shared" si="780"/>
        <v>0</v>
      </c>
      <c r="AE5145" s="2">
        <v>0.05</v>
      </c>
      <c r="AF5145" s="6">
        <f t="shared" si="786"/>
        <v>0</v>
      </c>
      <c r="AG5145" s="14">
        <v>0</v>
      </c>
      <c r="AH5145" s="64">
        <f t="shared" si="781"/>
        <v>0</v>
      </c>
      <c r="AI5145" s="47"/>
      <c r="AJ5145" s="126" t="e">
        <v>#N/A</v>
      </c>
      <c r="AK5145" s="80">
        <f t="shared" si="784"/>
        <v>0</v>
      </c>
      <c r="AM5145" s="85"/>
    </row>
    <row r="5146" spans="1:39" hidden="1" x14ac:dyDescent="0.3">
      <c r="A5146" s="89" t="s">
        <v>3394</v>
      </c>
      <c r="B5146" s="86" t="s">
        <v>35</v>
      </c>
      <c r="C5146" s="86" t="s">
        <v>59</v>
      </c>
      <c r="D5146" s="86" t="s">
        <v>60</v>
      </c>
      <c r="E5146" s="86" t="s">
        <v>76</v>
      </c>
      <c r="F5146" s="86" t="s">
        <v>76</v>
      </c>
      <c r="G5146" s="86" t="s">
        <v>76</v>
      </c>
      <c r="H5146" s="144">
        <v>229</v>
      </c>
      <c r="I5146" s="86" t="s">
        <v>3356</v>
      </c>
      <c r="J5146" s="1" t="s">
        <v>3326</v>
      </c>
      <c r="K5146" s="1" t="s">
        <v>3712</v>
      </c>
      <c r="L5146" s="1" t="s">
        <v>35</v>
      </c>
      <c r="M5146" s="86"/>
      <c r="N5146" s="86" t="s">
        <v>3712</v>
      </c>
      <c r="O5146" s="47" t="s">
        <v>105</v>
      </c>
      <c r="P5146" s="47" t="s">
        <v>75</v>
      </c>
      <c r="Q5146" s="14">
        <v>0.06</v>
      </c>
      <c r="R5146" s="143"/>
      <c r="S5146" s="47"/>
      <c r="T5146" s="6">
        <v>-15828.030000000004</v>
      </c>
      <c r="U5146" s="6"/>
      <c r="V5146" s="6">
        <v>3146.79</v>
      </c>
      <c r="W5146" s="6">
        <f t="shared" si="778"/>
        <v>-18974.820000000003</v>
      </c>
      <c r="X5146" s="6">
        <f t="shared" si="779"/>
        <v>3146.79</v>
      </c>
      <c r="Y5146" s="13">
        <f t="shared" si="782"/>
        <v>0</v>
      </c>
      <c r="Z5146" s="14">
        <v>0</v>
      </c>
      <c r="AA5146" s="6">
        <v>0</v>
      </c>
      <c r="AB5146" s="4">
        <f t="shared" si="783"/>
        <v>3146.79</v>
      </c>
      <c r="AC5146" s="4">
        <f t="shared" si="785"/>
        <v>188.8074</v>
      </c>
      <c r="AD5146" s="6">
        <f t="shared" si="780"/>
        <v>3146.79</v>
      </c>
      <c r="AE5146" s="2">
        <v>0.06</v>
      </c>
      <c r="AF5146" s="6">
        <f t="shared" si="786"/>
        <v>188.8074</v>
      </c>
      <c r="AG5146" s="14">
        <v>0</v>
      </c>
      <c r="AH5146" s="64">
        <f t="shared" si="781"/>
        <v>3146.79</v>
      </c>
      <c r="AI5146" s="47"/>
      <c r="AJ5146" s="126" t="e">
        <v>#N/A</v>
      </c>
      <c r="AK5146" s="80">
        <f t="shared" si="784"/>
        <v>0</v>
      </c>
      <c r="AM5146" s="85"/>
    </row>
    <row r="5147" spans="1:39" hidden="1" x14ac:dyDescent="0.3">
      <c r="A5147" s="89" t="s">
        <v>3394</v>
      </c>
      <c r="B5147" s="86" t="s">
        <v>35</v>
      </c>
      <c r="C5147" s="86" t="s">
        <v>59</v>
      </c>
      <c r="D5147" s="86" t="s">
        <v>60</v>
      </c>
      <c r="E5147" s="86" t="s">
        <v>77</v>
      </c>
      <c r="F5147" s="86" t="s">
        <v>77</v>
      </c>
      <c r="G5147" s="86" t="s">
        <v>77</v>
      </c>
      <c r="H5147" s="144">
        <v>229</v>
      </c>
      <c r="I5147" s="86" t="s">
        <v>3356</v>
      </c>
      <c r="J5147" s="1" t="s">
        <v>3326</v>
      </c>
      <c r="K5147" s="1" t="s">
        <v>3712</v>
      </c>
      <c r="L5147" s="1" t="s">
        <v>35</v>
      </c>
      <c r="M5147" s="86"/>
      <c r="N5147" s="86" t="s">
        <v>3735</v>
      </c>
      <c r="O5147" s="47" t="s">
        <v>105</v>
      </c>
      <c r="P5147" s="47" t="s">
        <v>75</v>
      </c>
      <c r="Q5147" s="14">
        <v>0.06</v>
      </c>
      <c r="R5147" s="143"/>
      <c r="S5147" s="47"/>
      <c r="T5147" s="6">
        <v>-208150.58999999997</v>
      </c>
      <c r="U5147" s="6"/>
      <c r="V5147" s="6">
        <v>186251.13000000006</v>
      </c>
      <c r="W5147" s="6">
        <f t="shared" si="778"/>
        <v>-394401.72000000003</v>
      </c>
      <c r="X5147" s="6">
        <f t="shared" si="779"/>
        <v>186251.13000000006</v>
      </c>
      <c r="Y5147" s="13">
        <f t="shared" si="782"/>
        <v>0</v>
      </c>
      <c r="Z5147" s="14">
        <v>0</v>
      </c>
      <c r="AA5147" s="6">
        <v>0</v>
      </c>
      <c r="AB5147" s="4">
        <f t="shared" si="783"/>
        <v>186251.13000000006</v>
      </c>
      <c r="AC5147" s="4">
        <f t="shared" si="785"/>
        <v>11175.067800000003</v>
      </c>
      <c r="AD5147" s="6">
        <f t="shared" si="780"/>
        <v>186251.13000000006</v>
      </c>
      <c r="AE5147" s="2">
        <v>0.06</v>
      </c>
      <c r="AF5147" s="6">
        <f t="shared" si="786"/>
        <v>11175.067800000003</v>
      </c>
      <c r="AG5147" s="14">
        <v>0</v>
      </c>
      <c r="AH5147" s="64">
        <f t="shared" si="781"/>
        <v>186251.13000000006</v>
      </c>
      <c r="AI5147" s="47"/>
      <c r="AJ5147" s="126" t="e">
        <v>#N/A</v>
      </c>
      <c r="AK5147" s="80">
        <f t="shared" si="784"/>
        <v>0</v>
      </c>
      <c r="AM5147" s="85"/>
    </row>
    <row r="5148" spans="1:39" hidden="1" x14ac:dyDescent="0.3">
      <c r="A5148" s="89" t="s">
        <v>3395</v>
      </c>
      <c r="B5148" s="86" t="s">
        <v>35</v>
      </c>
      <c r="C5148" s="86" t="s">
        <v>59</v>
      </c>
      <c r="D5148" s="86" t="s">
        <v>60</v>
      </c>
      <c r="E5148" s="86" t="s">
        <v>327</v>
      </c>
      <c r="F5148" s="86" t="s">
        <v>3626</v>
      </c>
      <c r="G5148" s="86" t="s">
        <v>327</v>
      </c>
      <c r="H5148" s="144">
        <v>229</v>
      </c>
      <c r="I5148" s="86" t="s">
        <v>3356</v>
      </c>
      <c r="J5148" s="1" t="s">
        <v>3326</v>
      </c>
      <c r="K5148" s="1" t="s">
        <v>3283</v>
      </c>
      <c r="L5148" s="1" t="s">
        <v>35</v>
      </c>
      <c r="M5148" s="86"/>
      <c r="N5148" s="86" t="s">
        <v>3283</v>
      </c>
      <c r="O5148" s="47" t="s">
        <v>105</v>
      </c>
      <c r="P5148" s="47" t="s">
        <v>75</v>
      </c>
      <c r="Q5148" s="14">
        <v>0.06</v>
      </c>
      <c r="R5148" s="143"/>
      <c r="S5148" s="47"/>
      <c r="T5148" s="6">
        <v>-67.059999999999988</v>
      </c>
      <c r="U5148" s="6"/>
      <c r="V5148" s="6">
        <v>14082.650000000001</v>
      </c>
      <c r="W5148" s="6">
        <f t="shared" si="778"/>
        <v>-14149.710000000001</v>
      </c>
      <c r="X5148" s="6">
        <f t="shared" si="779"/>
        <v>14082.650000000001</v>
      </c>
      <c r="Y5148" s="13">
        <f t="shared" si="782"/>
        <v>0</v>
      </c>
      <c r="Z5148" s="14">
        <v>0</v>
      </c>
      <c r="AA5148" s="6">
        <v>0</v>
      </c>
      <c r="AB5148" s="4">
        <f t="shared" si="783"/>
        <v>14082.650000000001</v>
      </c>
      <c r="AC5148" s="4">
        <f t="shared" si="785"/>
        <v>844.95900000000006</v>
      </c>
      <c r="AD5148" s="6">
        <f t="shared" si="780"/>
        <v>14082.650000000001</v>
      </c>
      <c r="AE5148" s="2">
        <v>0.05</v>
      </c>
      <c r="AF5148" s="6">
        <f t="shared" si="786"/>
        <v>704.13250000000016</v>
      </c>
      <c r="AG5148" s="14">
        <v>0</v>
      </c>
      <c r="AH5148" s="64">
        <f t="shared" si="781"/>
        <v>14082.650000000001</v>
      </c>
      <c r="AI5148" s="47"/>
      <c r="AJ5148" s="126" t="e">
        <v>#N/A</v>
      </c>
      <c r="AK5148" s="80">
        <f t="shared" si="784"/>
        <v>0</v>
      </c>
      <c r="AM5148" s="85"/>
    </row>
    <row r="5149" spans="1:39" hidden="1" x14ac:dyDescent="0.3">
      <c r="A5149" s="89" t="s">
        <v>3395</v>
      </c>
      <c r="B5149" s="86" t="s">
        <v>35</v>
      </c>
      <c r="C5149" s="86" t="s">
        <v>59</v>
      </c>
      <c r="D5149" s="86" t="s">
        <v>60</v>
      </c>
      <c r="E5149" s="86" t="s">
        <v>327</v>
      </c>
      <c r="F5149" s="86" t="s">
        <v>3627</v>
      </c>
      <c r="G5149" s="86" t="s">
        <v>327</v>
      </c>
      <c r="H5149" s="144">
        <v>229</v>
      </c>
      <c r="I5149" s="86" t="s">
        <v>3356</v>
      </c>
      <c r="J5149" s="1" t="s">
        <v>3326</v>
      </c>
      <c r="K5149" s="1" t="s">
        <v>3283</v>
      </c>
      <c r="L5149" s="1" t="s">
        <v>35</v>
      </c>
      <c r="M5149" s="86"/>
      <c r="N5149" s="86" t="s">
        <v>3283</v>
      </c>
      <c r="O5149" s="47" t="s">
        <v>105</v>
      </c>
      <c r="P5149" s="47" t="s">
        <v>75</v>
      </c>
      <c r="Q5149" s="14">
        <v>0.06</v>
      </c>
      <c r="R5149" s="143"/>
      <c r="S5149" s="47"/>
      <c r="T5149" s="6">
        <v>-2132.9499999999998</v>
      </c>
      <c r="U5149" s="6"/>
      <c r="V5149" s="6">
        <v>37534.069999999985</v>
      </c>
      <c r="W5149" s="6">
        <f t="shared" si="778"/>
        <v>-39667.019999999982</v>
      </c>
      <c r="X5149" s="6">
        <f t="shared" si="779"/>
        <v>37534.069999999985</v>
      </c>
      <c r="Y5149" s="13">
        <f t="shared" si="782"/>
        <v>0</v>
      </c>
      <c r="Z5149" s="14">
        <v>0</v>
      </c>
      <c r="AA5149" s="6">
        <v>0</v>
      </c>
      <c r="AB5149" s="4">
        <f t="shared" si="783"/>
        <v>37534.069999999985</v>
      </c>
      <c r="AC5149" s="4">
        <f t="shared" si="785"/>
        <v>2252.0441999999989</v>
      </c>
      <c r="AD5149" s="6">
        <f t="shared" si="780"/>
        <v>37534.069999999985</v>
      </c>
      <c r="AE5149" s="2">
        <v>0.05</v>
      </c>
      <c r="AF5149" s="6">
        <f t="shared" si="786"/>
        <v>1876.7034999999994</v>
      </c>
      <c r="AG5149" s="14">
        <v>0</v>
      </c>
      <c r="AH5149" s="64">
        <f t="shared" si="781"/>
        <v>37534.069999999985</v>
      </c>
      <c r="AI5149" s="47"/>
      <c r="AJ5149" s="126" t="e">
        <v>#N/A</v>
      </c>
      <c r="AK5149" s="80">
        <f t="shared" si="784"/>
        <v>0</v>
      </c>
      <c r="AM5149" s="85"/>
    </row>
    <row r="5150" spans="1:39" hidden="1" x14ac:dyDescent="0.3">
      <c r="A5150" s="89" t="s">
        <v>3394</v>
      </c>
      <c r="B5150" s="86" t="s">
        <v>35</v>
      </c>
      <c r="C5150" s="86" t="s">
        <v>59</v>
      </c>
      <c r="D5150" s="86" t="s">
        <v>60</v>
      </c>
      <c r="E5150" s="86" t="s">
        <v>78</v>
      </c>
      <c r="F5150" s="86" t="s">
        <v>337</v>
      </c>
      <c r="G5150" s="86" t="s">
        <v>78</v>
      </c>
      <c r="H5150" s="144">
        <v>229</v>
      </c>
      <c r="I5150" s="86" t="s">
        <v>3356</v>
      </c>
      <c r="J5150" s="1" t="s">
        <v>3326</v>
      </c>
      <c r="K5150" s="1" t="s">
        <v>3283</v>
      </c>
      <c r="L5150" s="1" t="s">
        <v>35</v>
      </c>
      <c r="M5150" s="86"/>
      <c r="N5150" s="86" t="s">
        <v>3283</v>
      </c>
      <c r="O5150" s="47" t="s">
        <v>105</v>
      </c>
      <c r="P5150" s="47" t="s">
        <v>46</v>
      </c>
      <c r="Q5150" s="14">
        <v>0.02</v>
      </c>
      <c r="R5150" s="143"/>
      <c r="S5150" s="47"/>
      <c r="T5150" s="6">
        <v>-1833.5099999999998</v>
      </c>
      <c r="U5150" s="6"/>
      <c r="V5150" s="6">
        <v>0.01</v>
      </c>
      <c r="W5150" s="6">
        <f t="shared" si="778"/>
        <v>-1833.5199999999998</v>
      </c>
      <c r="X5150" s="6">
        <f t="shared" si="779"/>
        <v>9.8039215686274508E-3</v>
      </c>
      <c r="Y5150" s="13">
        <f t="shared" si="782"/>
        <v>0</v>
      </c>
      <c r="Z5150" s="14">
        <v>0</v>
      </c>
      <c r="AA5150" s="6">
        <v>0</v>
      </c>
      <c r="AB5150" s="4">
        <f t="shared" si="783"/>
        <v>9.8039215686274508E-3</v>
      </c>
      <c r="AC5150" s="4">
        <f t="shared" si="785"/>
        <v>1.9607843137254936E-4</v>
      </c>
      <c r="AD5150" s="6">
        <f t="shared" si="780"/>
        <v>0.01</v>
      </c>
      <c r="AE5150" s="2">
        <v>0.05</v>
      </c>
      <c r="AF5150" s="6">
        <f t="shared" si="786"/>
        <v>5.0000000000000001E-4</v>
      </c>
      <c r="AG5150" s="14">
        <v>0</v>
      </c>
      <c r="AH5150" s="64">
        <f t="shared" si="781"/>
        <v>0.01</v>
      </c>
      <c r="AI5150" s="47"/>
      <c r="AJ5150" s="126" t="e">
        <v>#N/A</v>
      </c>
      <c r="AK5150" s="80">
        <f t="shared" si="784"/>
        <v>0</v>
      </c>
      <c r="AM5150" s="85"/>
    </row>
    <row r="5151" spans="1:39" hidden="1" x14ac:dyDescent="0.3">
      <c r="A5151" s="89" t="s">
        <v>3395</v>
      </c>
      <c r="B5151" s="86" t="s">
        <v>35</v>
      </c>
      <c r="C5151" s="86" t="s">
        <v>59</v>
      </c>
      <c r="D5151" s="86" t="s">
        <v>60</v>
      </c>
      <c r="E5151" s="86" t="s">
        <v>327</v>
      </c>
      <c r="F5151" s="86" t="s">
        <v>3628</v>
      </c>
      <c r="G5151" s="86" t="s">
        <v>327</v>
      </c>
      <c r="H5151" s="143">
        <v>229</v>
      </c>
      <c r="I5151" s="86" t="s">
        <v>3356</v>
      </c>
      <c r="J5151" s="1" t="s">
        <v>3326</v>
      </c>
      <c r="K5151" s="1" t="s">
        <v>3283</v>
      </c>
      <c r="L5151" s="1" t="s">
        <v>35</v>
      </c>
      <c r="M5151" s="86"/>
      <c r="N5151" s="86" t="s">
        <v>3283</v>
      </c>
      <c r="O5151" s="47" t="s">
        <v>105</v>
      </c>
      <c r="P5151" s="47" t="s">
        <v>75</v>
      </c>
      <c r="Q5151" s="14">
        <v>0.06</v>
      </c>
      <c r="R5151" s="143"/>
      <c r="S5151" s="47"/>
      <c r="T5151" s="6">
        <v>-236.93999999999997</v>
      </c>
      <c r="U5151" s="6"/>
      <c r="V5151" s="6">
        <v>0</v>
      </c>
      <c r="W5151" s="6">
        <f t="shared" si="778"/>
        <v>-236.93999999999997</v>
      </c>
      <c r="X5151" s="6">
        <f t="shared" si="779"/>
        <v>0</v>
      </c>
      <c r="Y5151" s="13">
        <f t="shared" si="782"/>
        <v>0</v>
      </c>
      <c r="Z5151" s="14">
        <v>0</v>
      </c>
      <c r="AA5151" s="6">
        <v>0</v>
      </c>
      <c r="AB5151" s="4">
        <f t="shared" si="783"/>
        <v>0</v>
      </c>
      <c r="AC5151" s="4">
        <f t="shared" si="785"/>
        <v>0</v>
      </c>
      <c r="AD5151" s="6">
        <f t="shared" si="780"/>
        <v>0</v>
      </c>
      <c r="AE5151" s="2">
        <v>0.05</v>
      </c>
      <c r="AF5151" s="6">
        <f t="shared" si="786"/>
        <v>0</v>
      </c>
      <c r="AG5151" s="14">
        <v>0</v>
      </c>
      <c r="AH5151" s="64">
        <f t="shared" si="781"/>
        <v>0</v>
      </c>
      <c r="AI5151" s="47"/>
      <c r="AJ5151" s="126" t="e">
        <v>#N/A</v>
      </c>
      <c r="AK5151" s="80">
        <f t="shared" si="784"/>
        <v>0</v>
      </c>
      <c r="AM5151" s="85"/>
    </row>
    <row r="5152" spans="1:39" hidden="1" x14ac:dyDescent="0.3">
      <c r="A5152" s="89" t="s">
        <v>3395</v>
      </c>
      <c r="B5152" s="86" t="s">
        <v>35</v>
      </c>
      <c r="C5152" s="86" t="s">
        <v>59</v>
      </c>
      <c r="D5152" s="86" t="s">
        <v>60</v>
      </c>
      <c r="E5152" s="86" t="s">
        <v>78</v>
      </c>
      <c r="F5152" s="86" t="s">
        <v>3629</v>
      </c>
      <c r="G5152" s="86" t="s">
        <v>78</v>
      </c>
      <c r="H5152" s="144">
        <v>229</v>
      </c>
      <c r="I5152" s="86" t="s">
        <v>3356</v>
      </c>
      <c r="J5152" s="1" t="s">
        <v>3326</v>
      </c>
      <c r="K5152" s="1" t="s">
        <v>3283</v>
      </c>
      <c r="L5152" s="1" t="s">
        <v>35</v>
      </c>
      <c r="M5152" s="86"/>
      <c r="N5152" s="86" t="s">
        <v>3283</v>
      </c>
      <c r="O5152" s="47" t="s">
        <v>45</v>
      </c>
      <c r="P5152" s="8" t="s">
        <v>46</v>
      </c>
      <c r="Q5152" s="9">
        <v>0.04</v>
      </c>
      <c r="R5152" s="143"/>
      <c r="S5152" s="47"/>
      <c r="T5152" s="6">
        <v>10283121.829999983</v>
      </c>
      <c r="U5152" s="6">
        <v>38500000</v>
      </c>
      <c r="V5152" s="6">
        <v>36793425.369999997</v>
      </c>
      <c r="W5152" s="6">
        <f t="shared" si="778"/>
        <v>11989696.459999986</v>
      </c>
      <c r="X5152" s="6">
        <f t="shared" si="779"/>
        <v>35378293.624999993</v>
      </c>
      <c r="Y5152" s="13">
        <f t="shared" si="782"/>
        <v>0</v>
      </c>
      <c r="Z5152" s="14">
        <v>0</v>
      </c>
      <c r="AA5152" s="6">
        <v>0</v>
      </c>
      <c r="AB5152" s="4">
        <f t="shared" si="783"/>
        <v>35378293.624999993</v>
      </c>
      <c r="AC5152" s="4">
        <f t="shared" si="785"/>
        <v>1415131.7450000048</v>
      </c>
      <c r="AD5152" s="6">
        <f t="shared" si="780"/>
        <v>36793425.369999997</v>
      </c>
      <c r="AE5152" s="2">
        <v>0.05</v>
      </c>
      <c r="AF5152" s="6">
        <f t="shared" si="786"/>
        <v>1839671.2685</v>
      </c>
      <c r="AG5152" s="14">
        <v>0</v>
      </c>
      <c r="AH5152" s="64">
        <f t="shared" si="781"/>
        <v>36793425.369999997</v>
      </c>
      <c r="AI5152" s="47"/>
      <c r="AJ5152" s="126" t="e">
        <v>#N/A</v>
      </c>
      <c r="AK5152" s="80">
        <f t="shared" si="784"/>
        <v>0</v>
      </c>
      <c r="AM5152" s="85"/>
    </row>
    <row r="5153" spans="1:39" hidden="1" x14ac:dyDescent="0.3">
      <c r="A5153" s="89" t="s">
        <v>3394</v>
      </c>
      <c r="B5153" s="86" t="s">
        <v>35</v>
      </c>
      <c r="C5153" s="86" t="s">
        <v>59</v>
      </c>
      <c r="D5153" s="86" t="s">
        <v>60</v>
      </c>
      <c r="E5153" s="86" t="s">
        <v>78</v>
      </c>
      <c r="F5153" s="86" t="s">
        <v>3629</v>
      </c>
      <c r="G5153" s="86" t="s">
        <v>78</v>
      </c>
      <c r="H5153" s="144">
        <v>229</v>
      </c>
      <c r="I5153" s="86" t="s">
        <v>3356</v>
      </c>
      <c r="J5153" s="1" t="s">
        <v>3326</v>
      </c>
      <c r="K5153" s="1" t="s">
        <v>3283</v>
      </c>
      <c r="L5153" s="1" t="s">
        <v>35</v>
      </c>
      <c r="M5153" s="86"/>
      <c r="N5153" s="86" t="s">
        <v>3283</v>
      </c>
      <c r="O5153" s="47" t="s">
        <v>105</v>
      </c>
      <c r="P5153" s="8" t="s">
        <v>46</v>
      </c>
      <c r="Q5153" s="9">
        <v>0.04</v>
      </c>
      <c r="R5153" s="143"/>
      <c r="S5153" s="47"/>
      <c r="T5153" s="6">
        <v>-49729.930000000008</v>
      </c>
      <c r="U5153" s="6"/>
      <c r="V5153" s="6">
        <v>24200.710000000003</v>
      </c>
      <c r="W5153" s="6">
        <f t="shared" si="778"/>
        <v>-73930.640000000014</v>
      </c>
      <c r="X5153" s="6">
        <f t="shared" si="779"/>
        <v>23269.913461538465</v>
      </c>
      <c r="Y5153" s="13">
        <f t="shared" si="782"/>
        <v>0</v>
      </c>
      <c r="Z5153" s="14">
        <v>0</v>
      </c>
      <c r="AA5153" s="6">
        <v>0</v>
      </c>
      <c r="AB5153" s="4">
        <f t="shared" si="783"/>
        <v>23269.913461538465</v>
      </c>
      <c r="AC5153" s="4">
        <f t="shared" si="785"/>
        <v>930.79653846153815</v>
      </c>
      <c r="AD5153" s="6">
        <f t="shared" si="780"/>
        <v>24200.710000000003</v>
      </c>
      <c r="AE5153" s="2">
        <v>0.05</v>
      </c>
      <c r="AF5153" s="6">
        <f t="shared" si="786"/>
        <v>1210.0355000000002</v>
      </c>
      <c r="AG5153" s="14">
        <v>0</v>
      </c>
      <c r="AH5153" s="64">
        <f t="shared" si="781"/>
        <v>24200.710000000003</v>
      </c>
      <c r="AI5153" s="47"/>
      <c r="AJ5153" s="126" t="e">
        <v>#N/A</v>
      </c>
      <c r="AK5153" s="80">
        <f t="shared" si="784"/>
        <v>0</v>
      </c>
      <c r="AM5153" s="85"/>
    </row>
    <row r="5154" spans="1:39" hidden="1" x14ac:dyDescent="0.3">
      <c r="A5154" s="89" t="s">
        <v>3394</v>
      </c>
      <c r="B5154" s="86" t="s">
        <v>35</v>
      </c>
      <c r="C5154" s="86" t="s">
        <v>59</v>
      </c>
      <c r="D5154" s="86" t="s">
        <v>60</v>
      </c>
      <c r="E5154" s="86" t="s">
        <v>356</v>
      </c>
      <c r="F5154" s="86" t="s">
        <v>3630</v>
      </c>
      <c r="G5154" s="86" t="s">
        <v>356</v>
      </c>
      <c r="H5154" s="144">
        <v>229</v>
      </c>
      <c r="I5154" s="86" t="s">
        <v>3356</v>
      </c>
      <c r="J5154" s="1" t="s">
        <v>3326</v>
      </c>
      <c r="K5154" s="1" t="s">
        <v>3283</v>
      </c>
      <c r="L5154" s="1" t="s">
        <v>35</v>
      </c>
      <c r="M5154" s="86"/>
      <c r="N5154" s="86" t="s">
        <v>3283</v>
      </c>
      <c r="O5154" s="47" t="s">
        <v>45</v>
      </c>
      <c r="P5154" s="47" t="s">
        <v>75</v>
      </c>
      <c r="Q5154" s="14">
        <v>0.06</v>
      </c>
      <c r="R5154" s="143"/>
      <c r="S5154" s="47"/>
      <c r="T5154" s="6">
        <v>7394010.4199999981</v>
      </c>
      <c r="U5154" s="6">
        <v>16071400</v>
      </c>
      <c r="V5154" s="6">
        <v>23397799.77</v>
      </c>
      <c r="W5154" s="6">
        <f t="shared" si="778"/>
        <v>67610.64999999851</v>
      </c>
      <c r="X5154" s="6">
        <f t="shared" si="779"/>
        <v>23397799.77</v>
      </c>
      <c r="Y5154" s="13">
        <f t="shared" si="782"/>
        <v>0</v>
      </c>
      <c r="Z5154" s="14">
        <v>0</v>
      </c>
      <c r="AA5154" s="6">
        <v>0</v>
      </c>
      <c r="AB5154" s="4">
        <f t="shared" si="783"/>
        <v>23397799.77</v>
      </c>
      <c r="AC5154" s="4">
        <f t="shared" si="785"/>
        <v>1403867.9861999999</v>
      </c>
      <c r="AD5154" s="6">
        <f t="shared" si="780"/>
        <v>23397799.77</v>
      </c>
      <c r="AE5154" s="2">
        <v>0.05</v>
      </c>
      <c r="AF5154" s="6">
        <f t="shared" si="786"/>
        <v>1169889.9885</v>
      </c>
      <c r="AG5154" s="14">
        <v>0</v>
      </c>
      <c r="AH5154" s="64">
        <f t="shared" si="781"/>
        <v>23397799.77</v>
      </c>
      <c r="AI5154" s="47"/>
      <c r="AJ5154" s="126" t="e">
        <v>#N/A</v>
      </c>
      <c r="AK5154" s="80">
        <f t="shared" si="784"/>
        <v>0</v>
      </c>
      <c r="AM5154" s="85"/>
    </row>
    <row r="5155" spans="1:39" hidden="1" x14ac:dyDescent="0.3">
      <c r="A5155" s="89" t="s">
        <v>3394</v>
      </c>
      <c r="B5155" s="86" t="s">
        <v>35</v>
      </c>
      <c r="C5155" s="86" t="s">
        <v>59</v>
      </c>
      <c r="D5155" s="86" t="s">
        <v>60</v>
      </c>
      <c r="E5155" s="86" t="s">
        <v>3631</v>
      </c>
      <c r="F5155" s="86" t="s">
        <v>3632</v>
      </c>
      <c r="G5155" s="86" t="s">
        <v>3641</v>
      </c>
      <c r="H5155" s="144">
        <v>229</v>
      </c>
      <c r="I5155" s="86" t="s">
        <v>3356</v>
      </c>
      <c r="J5155" s="1" t="s">
        <v>3326</v>
      </c>
      <c r="K5155" s="1" t="s">
        <v>3283</v>
      </c>
      <c r="L5155" s="1" t="s">
        <v>35</v>
      </c>
      <c r="M5155" s="86"/>
      <c r="N5155" s="86" t="s">
        <v>3283</v>
      </c>
      <c r="O5155" s="47" t="s">
        <v>105</v>
      </c>
      <c r="P5155" s="47" t="s">
        <v>75</v>
      </c>
      <c r="Q5155" s="14">
        <v>0.06</v>
      </c>
      <c r="R5155" s="143"/>
      <c r="S5155" s="47"/>
      <c r="T5155" s="6">
        <v>0</v>
      </c>
      <c r="U5155" s="6"/>
      <c r="V5155" s="6">
        <v>7885.48</v>
      </c>
      <c r="W5155" s="6">
        <f t="shared" si="778"/>
        <v>-7885.48</v>
      </c>
      <c r="X5155" s="6">
        <f t="shared" si="779"/>
        <v>7885.48</v>
      </c>
      <c r="Y5155" s="13">
        <f t="shared" si="782"/>
        <v>0</v>
      </c>
      <c r="Z5155" s="14">
        <v>0</v>
      </c>
      <c r="AA5155" s="6">
        <v>0</v>
      </c>
      <c r="AB5155" s="4">
        <f t="shared" si="783"/>
        <v>7885.48</v>
      </c>
      <c r="AC5155" s="4">
        <f t="shared" si="785"/>
        <v>473.12879999999996</v>
      </c>
      <c r="AD5155" s="6">
        <f t="shared" si="780"/>
        <v>7885.48</v>
      </c>
      <c r="AE5155" s="2">
        <v>0.05</v>
      </c>
      <c r="AF5155" s="6">
        <f t="shared" si="786"/>
        <v>394.274</v>
      </c>
      <c r="AG5155" s="14">
        <v>0</v>
      </c>
      <c r="AH5155" s="64">
        <f t="shared" si="781"/>
        <v>7885.48</v>
      </c>
      <c r="AI5155" s="47"/>
      <c r="AJ5155" s="126" t="e">
        <v>#N/A</v>
      </c>
      <c r="AK5155" s="80">
        <f t="shared" si="784"/>
        <v>0</v>
      </c>
      <c r="AM5155" s="85"/>
    </row>
    <row r="5156" spans="1:39" hidden="1" x14ac:dyDescent="0.3">
      <c r="A5156" s="89" t="s">
        <v>3395</v>
      </c>
      <c r="B5156" s="86" t="s">
        <v>35</v>
      </c>
      <c r="C5156" s="86" t="s">
        <v>59</v>
      </c>
      <c r="D5156" s="86" t="s">
        <v>60</v>
      </c>
      <c r="E5156" s="86" t="s">
        <v>78</v>
      </c>
      <c r="F5156" s="86" t="s">
        <v>336</v>
      </c>
      <c r="G5156" s="86" t="s">
        <v>78</v>
      </c>
      <c r="H5156" s="144">
        <v>229</v>
      </c>
      <c r="I5156" s="86" t="s">
        <v>3356</v>
      </c>
      <c r="J5156" s="1" t="s">
        <v>3326</v>
      </c>
      <c r="K5156" s="1" t="s">
        <v>3283</v>
      </c>
      <c r="L5156" s="1" t="s">
        <v>35</v>
      </c>
      <c r="M5156" s="86"/>
      <c r="N5156" s="86" t="s">
        <v>3283</v>
      </c>
      <c r="O5156" s="47" t="s">
        <v>105</v>
      </c>
      <c r="P5156" s="47" t="s">
        <v>46</v>
      </c>
      <c r="Q5156" s="14">
        <v>0.06</v>
      </c>
      <c r="R5156" s="143"/>
      <c r="S5156" s="47"/>
      <c r="T5156" s="6">
        <v>-9441.3799999999992</v>
      </c>
      <c r="U5156" s="6"/>
      <c r="V5156" s="6">
        <v>3986.3100000000004</v>
      </c>
      <c r="W5156" s="6">
        <f t="shared" si="778"/>
        <v>-13427.689999999999</v>
      </c>
      <c r="X5156" s="6">
        <f t="shared" si="779"/>
        <v>3760.6698113207549</v>
      </c>
      <c r="Y5156" s="13">
        <f t="shared" si="782"/>
        <v>0</v>
      </c>
      <c r="Z5156" s="14">
        <v>0</v>
      </c>
      <c r="AA5156" s="6">
        <v>0</v>
      </c>
      <c r="AB5156" s="4">
        <f t="shared" si="783"/>
        <v>3760.6698113207549</v>
      </c>
      <c r="AC5156" s="4">
        <f t="shared" si="785"/>
        <v>225.64018867924551</v>
      </c>
      <c r="AD5156" s="6">
        <f t="shared" si="780"/>
        <v>3986.3100000000004</v>
      </c>
      <c r="AE5156" s="2">
        <v>0.05</v>
      </c>
      <c r="AF5156" s="6">
        <f t="shared" si="786"/>
        <v>199.31550000000004</v>
      </c>
      <c r="AG5156" s="14">
        <v>0</v>
      </c>
      <c r="AH5156" s="64">
        <f t="shared" si="781"/>
        <v>3986.3100000000004</v>
      </c>
      <c r="AI5156" s="47"/>
      <c r="AJ5156" s="126" t="e">
        <v>#N/A</v>
      </c>
      <c r="AK5156" s="80">
        <f t="shared" si="784"/>
        <v>0</v>
      </c>
      <c r="AM5156" s="85"/>
    </row>
    <row r="5157" spans="1:39" hidden="1" x14ac:dyDescent="0.3">
      <c r="A5157" s="89" t="s">
        <v>3397</v>
      </c>
      <c r="B5157" s="86" t="s">
        <v>35</v>
      </c>
      <c r="C5157" s="86" t="s">
        <v>59</v>
      </c>
      <c r="D5157" s="86" t="s">
        <v>60</v>
      </c>
      <c r="E5157" s="86" t="s">
        <v>78</v>
      </c>
      <c r="F5157" s="86" t="s">
        <v>3633</v>
      </c>
      <c r="G5157" s="86" t="s">
        <v>78</v>
      </c>
      <c r="H5157" s="143">
        <v>229</v>
      </c>
      <c r="I5157" s="86" t="s">
        <v>3356</v>
      </c>
      <c r="J5157" s="1" t="s">
        <v>3326</v>
      </c>
      <c r="K5157" s="1" t="s">
        <v>3283</v>
      </c>
      <c r="L5157" s="1" t="s">
        <v>35</v>
      </c>
      <c r="M5157" s="86"/>
      <c r="N5157" s="86" t="s">
        <v>3283</v>
      </c>
      <c r="O5157" s="47" t="s">
        <v>45</v>
      </c>
      <c r="P5157" s="47" t="s">
        <v>41</v>
      </c>
      <c r="Q5157" s="14">
        <v>0</v>
      </c>
      <c r="R5157" s="143"/>
      <c r="S5157" s="47"/>
      <c r="T5157" s="6">
        <v>560000</v>
      </c>
      <c r="U5157" s="6"/>
      <c r="V5157" s="6">
        <v>0</v>
      </c>
      <c r="W5157" s="6">
        <f t="shared" si="778"/>
        <v>560000</v>
      </c>
      <c r="X5157" s="6">
        <f t="shared" si="779"/>
        <v>0</v>
      </c>
      <c r="Y5157" s="13">
        <f t="shared" si="782"/>
        <v>0</v>
      </c>
      <c r="Z5157" s="14">
        <v>0</v>
      </c>
      <c r="AA5157" s="6">
        <v>0</v>
      </c>
      <c r="AB5157" s="4">
        <f t="shared" si="783"/>
        <v>0</v>
      </c>
      <c r="AC5157" s="4">
        <f t="shared" si="785"/>
        <v>0</v>
      </c>
      <c r="AD5157" s="6">
        <f t="shared" si="780"/>
        <v>0</v>
      </c>
      <c r="AE5157" s="2">
        <v>0.05</v>
      </c>
      <c r="AF5157" s="6">
        <f t="shared" si="786"/>
        <v>0</v>
      </c>
      <c r="AG5157" s="14">
        <v>0</v>
      </c>
      <c r="AH5157" s="64">
        <f t="shared" si="781"/>
        <v>0</v>
      </c>
      <c r="AI5157" s="47"/>
      <c r="AJ5157" s="126" t="e">
        <v>#N/A</v>
      </c>
      <c r="AK5157" s="80">
        <f t="shared" si="784"/>
        <v>0</v>
      </c>
      <c r="AM5157" s="85"/>
    </row>
    <row r="5158" spans="1:39" hidden="1" x14ac:dyDescent="0.3">
      <c r="A5158" s="89" t="s">
        <v>3394</v>
      </c>
      <c r="B5158" s="86" t="s">
        <v>35</v>
      </c>
      <c r="C5158" s="86" t="s">
        <v>59</v>
      </c>
      <c r="D5158" s="86" t="s">
        <v>60</v>
      </c>
      <c r="E5158" s="86" t="s">
        <v>78</v>
      </c>
      <c r="F5158" s="86" t="s">
        <v>3634</v>
      </c>
      <c r="G5158" s="86" t="s">
        <v>78</v>
      </c>
      <c r="H5158" s="144">
        <v>229</v>
      </c>
      <c r="I5158" s="86" t="s">
        <v>3356</v>
      </c>
      <c r="J5158" s="1" t="s">
        <v>3326</v>
      </c>
      <c r="K5158" s="1" t="s">
        <v>3283</v>
      </c>
      <c r="L5158" s="1" t="s">
        <v>35</v>
      </c>
      <c r="M5158" s="86"/>
      <c r="N5158" s="86" t="s">
        <v>3283</v>
      </c>
      <c r="O5158" s="47" t="s">
        <v>45</v>
      </c>
      <c r="P5158" s="47" t="s">
        <v>46</v>
      </c>
      <c r="Q5158" s="14">
        <v>0.06</v>
      </c>
      <c r="R5158" s="143"/>
      <c r="S5158" s="47"/>
      <c r="T5158" s="6">
        <v>1887784.4</v>
      </c>
      <c r="U5158" s="6">
        <v>10600000</v>
      </c>
      <c r="V5158" s="6">
        <v>10521006.85</v>
      </c>
      <c r="W5158" s="6">
        <f t="shared" si="778"/>
        <v>1966777.5500000007</v>
      </c>
      <c r="X5158" s="6">
        <f t="shared" si="779"/>
        <v>9925478.1603773572</v>
      </c>
      <c r="Y5158" s="13">
        <f t="shared" si="782"/>
        <v>0</v>
      </c>
      <c r="Z5158" s="14">
        <v>0</v>
      </c>
      <c r="AA5158" s="6">
        <v>0</v>
      </c>
      <c r="AB5158" s="4">
        <f t="shared" si="783"/>
        <v>9925478.1603773572</v>
      </c>
      <c r="AC5158" s="4">
        <f t="shared" si="785"/>
        <v>595528.68962264247</v>
      </c>
      <c r="AD5158" s="6">
        <f t="shared" si="780"/>
        <v>10521006.85</v>
      </c>
      <c r="AE5158" s="2">
        <v>0.05</v>
      </c>
      <c r="AF5158" s="6">
        <f t="shared" si="786"/>
        <v>526050.34250000003</v>
      </c>
      <c r="AG5158" s="14">
        <v>0</v>
      </c>
      <c r="AH5158" s="64">
        <f t="shared" si="781"/>
        <v>10521006.85</v>
      </c>
      <c r="AI5158" s="47"/>
      <c r="AJ5158" s="126" t="e">
        <v>#N/A</v>
      </c>
      <c r="AK5158" s="80">
        <f t="shared" si="784"/>
        <v>0</v>
      </c>
      <c r="AM5158" s="85"/>
    </row>
    <row r="5159" spans="1:39" hidden="1" x14ac:dyDescent="0.3">
      <c r="A5159" s="89" t="s">
        <v>3394</v>
      </c>
      <c r="B5159" s="86" t="s">
        <v>35</v>
      </c>
      <c r="C5159" s="86" t="s">
        <v>59</v>
      </c>
      <c r="D5159" s="86" t="s">
        <v>60</v>
      </c>
      <c r="E5159" s="86" t="s">
        <v>78</v>
      </c>
      <c r="F5159" s="86" t="s">
        <v>3634</v>
      </c>
      <c r="G5159" s="86" t="s">
        <v>78</v>
      </c>
      <c r="H5159" s="144">
        <v>229</v>
      </c>
      <c r="I5159" s="86" t="s">
        <v>3356</v>
      </c>
      <c r="J5159" s="1" t="s">
        <v>3326</v>
      </c>
      <c r="K5159" s="1" t="s">
        <v>3283</v>
      </c>
      <c r="L5159" s="1" t="s">
        <v>35</v>
      </c>
      <c r="M5159" s="86"/>
      <c r="N5159" s="86" t="s">
        <v>3283</v>
      </c>
      <c r="O5159" s="47" t="s">
        <v>105</v>
      </c>
      <c r="P5159" s="47" t="s">
        <v>46</v>
      </c>
      <c r="Q5159" s="14">
        <v>0.06</v>
      </c>
      <c r="R5159" s="143"/>
      <c r="S5159" s="47"/>
      <c r="T5159" s="6">
        <v>-19002.559999999998</v>
      </c>
      <c r="U5159" s="6"/>
      <c r="V5159" s="6">
        <v>149980.65</v>
      </c>
      <c r="W5159" s="6">
        <f t="shared" si="778"/>
        <v>-168983.21</v>
      </c>
      <c r="X5159" s="6">
        <f t="shared" si="779"/>
        <v>141491.17924528301</v>
      </c>
      <c r="Y5159" s="13">
        <f t="shared" si="782"/>
        <v>0</v>
      </c>
      <c r="Z5159" s="14">
        <v>0</v>
      </c>
      <c r="AA5159" s="6">
        <v>0</v>
      </c>
      <c r="AB5159" s="4">
        <f t="shared" si="783"/>
        <v>141491.17924528301</v>
      </c>
      <c r="AC5159" s="4">
        <f t="shared" si="785"/>
        <v>8489.4707547169819</v>
      </c>
      <c r="AD5159" s="6">
        <f t="shared" si="780"/>
        <v>149980.65</v>
      </c>
      <c r="AE5159" s="2">
        <v>0.05</v>
      </c>
      <c r="AF5159" s="6">
        <f t="shared" si="786"/>
        <v>7499.0325000000003</v>
      </c>
      <c r="AG5159" s="14">
        <v>0</v>
      </c>
      <c r="AH5159" s="64">
        <f t="shared" si="781"/>
        <v>149980.65</v>
      </c>
      <c r="AI5159" s="47"/>
      <c r="AJ5159" s="126" t="e">
        <v>#N/A</v>
      </c>
      <c r="AK5159" s="80">
        <f t="shared" si="784"/>
        <v>0</v>
      </c>
      <c r="AM5159" s="85"/>
    </row>
    <row r="5160" spans="1:39" hidden="1" x14ac:dyDescent="0.3">
      <c r="A5160" s="89" t="s">
        <v>3395</v>
      </c>
      <c r="B5160" s="86" t="s">
        <v>35</v>
      </c>
      <c r="C5160" s="86" t="s">
        <v>59</v>
      </c>
      <c r="D5160" s="86" t="s">
        <v>60</v>
      </c>
      <c r="E5160" s="86" t="s">
        <v>82</v>
      </c>
      <c r="F5160" s="86" t="s">
        <v>83</v>
      </c>
      <c r="G5160" s="86" t="s">
        <v>82</v>
      </c>
      <c r="H5160" s="144">
        <v>229</v>
      </c>
      <c r="I5160" s="86" t="s">
        <v>3356</v>
      </c>
      <c r="J5160" s="1" t="s">
        <v>3326</v>
      </c>
      <c r="K5160" s="1" t="s">
        <v>3710</v>
      </c>
      <c r="L5160" s="1" t="s">
        <v>35</v>
      </c>
      <c r="M5160" s="86"/>
      <c r="N5160" s="86" t="s">
        <v>3730</v>
      </c>
      <c r="O5160" s="47" t="s">
        <v>105</v>
      </c>
      <c r="P5160" s="47" t="s">
        <v>75</v>
      </c>
      <c r="Q5160" s="14">
        <v>0.06</v>
      </c>
      <c r="R5160" s="143"/>
      <c r="S5160" s="47"/>
      <c r="T5160" s="6">
        <v>-58759.740000000005</v>
      </c>
      <c r="U5160" s="6"/>
      <c r="V5160" s="6">
        <v>390.49</v>
      </c>
      <c r="W5160" s="6">
        <f t="shared" si="778"/>
        <v>-59150.23</v>
      </c>
      <c r="X5160" s="6">
        <f t="shared" si="779"/>
        <v>390.49</v>
      </c>
      <c r="Y5160" s="13">
        <f t="shared" si="782"/>
        <v>0</v>
      </c>
      <c r="Z5160" s="14">
        <v>0</v>
      </c>
      <c r="AA5160" s="6">
        <v>0</v>
      </c>
      <c r="AB5160" s="4">
        <f t="shared" si="783"/>
        <v>390.49</v>
      </c>
      <c r="AC5160" s="4">
        <f t="shared" si="785"/>
        <v>23.429400000000001</v>
      </c>
      <c r="AD5160" s="6">
        <f t="shared" si="780"/>
        <v>390.49</v>
      </c>
      <c r="AE5160" s="2">
        <v>0.06</v>
      </c>
      <c r="AF5160" s="6">
        <f t="shared" si="786"/>
        <v>23.429400000000001</v>
      </c>
      <c r="AG5160" s="14">
        <v>0</v>
      </c>
      <c r="AH5160" s="64">
        <f t="shared" si="781"/>
        <v>390.49</v>
      </c>
      <c r="AI5160" s="47"/>
      <c r="AJ5160" s="126" t="e">
        <v>#N/A</v>
      </c>
      <c r="AK5160" s="80">
        <f t="shared" si="784"/>
        <v>0</v>
      </c>
      <c r="AM5160" s="85"/>
    </row>
    <row r="5161" spans="1:39" hidden="1" x14ac:dyDescent="0.3">
      <c r="A5161" s="89" t="s">
        <v>3394</v>
      </c>
      <c r="B5161" s="86" t="s">
        <v>35</v>
      </c>
      <c r="C5161" s="86" t="s">
        <v>59</v>
      </c>
      <c r="D5161" s="86" t="s">
        <v>60</v>
      </c>
      <c r="E5161" s="86" t="s">
        <v>85</v>
      </c>
      <c r="F5161" s="86" t="s">
        <v>86</v>
      </c>
      <c r="G5161" s="86" t="s">
        <v>85</v>
      </c>
      <c r="H5161" s="144">
        <v>229</v>
      </c>
      <c r="I5161" s="86" t="s">
        <v>3356</v>
      </c>
      <c r="J5161" s="1" t="s">
        <v>3326</v>
      </c>
      <c r="K5161" s="1" t="s">
        <v>3707</v>
      </c>
      <c r="L5161" s="1" t="s">
        <v>35</v>
      </c>
      <c r="M5161" s="86"/>
      <c r="N5161" s="86" t="s">
        <v>3707</v>
      </c>
      <c r="O5161" s="47" t="s">
        <v>105</v>
      </c>
      <c r="P5161" s="47" t="s">
        <v>75</v>
      </c>
      <c r="Q5161" s="14">
        <v>0.06</v>
      </c>
      <c r="R5161" s="143"/>
      <c r="S5161" s="47"/>
      <c r="T5161" s="6">
        <v>-115474.74</v>
      </c>
      <c r="U5161" s="6"/>
      <c r="V5161" s="6">
        <v>148546.30000000002</v>
      </c>
      <c r="W5161" s="6">
        <f t="shared" si="778"/>
        <v>-264021.04000000004</v>
      </c>
      <c r="X5161" s="6">
        <f t="shared" si="779"/>
        <v>148546.30000000002</v>
      </c>
      <c r="Y5161" s="13">
        <f t="shared" si="782"/>
        <v>0</v>
      </c>
      <c r="Z5161" s="14">
        <v>0</v>
      </c>
      <c r="AA5161" s="6">
        <v>0</v>
      </c>
      <c r="AB5161" s="4">
        <f t="shared" si="783"/>
        <v>148546.30000000002</v>
      </c>
      <c r="AC5161" s="4">
        <f t="shared" si="785"/>
        <v>8912.7780000000002</v>
      </c>
      <c r="AD5161" s="6">
        <f t="shared" si="780"/>
        <v>148546.30000000002</v>
      </c>
      <c r="AE5161" s="2">
        <v>0.06</v>
      </c>
      <c r="AF5161" s="6">
        <f t="shared" si="786"/>
        <v>8912.7780000000002</v>
      </c>
      <c r="AG5161" s="14">
        <v>0</v>
      </c>
      <c r="AH5161" s="64">
        <f t="shared" si="781"/>
        <v>148546.30000000002</v>
      </c>
      <c r="AI5161" s="47"/>
      <c r="AJ5161" s="126" t="e">
        <v>#N/A</v>
      </c>
      <c r="AK5161" s="80">
        <f t="shared" si="784"/>
        <v>0</v>
      </c>
      <c r="AM5161" s="85"/>
    </row>
    <row r="5162" spans="1:39" hidden="1" x14ac:dyDescent="0.3">
      <c r="A5162" s="89" t="s">
        <v>3394</v>
      </c>
      <c r="B5162" s="86" t="s">
        <v>35</v>
      </c>
      <c r="C5162" s="86" t="s">
        <v>59</v>
      </c>
      <c r="D5162" s="86" t="s">
        <v>60</v>
      </c>
      <c r="E5162" s="86" t="s">
        <v>89</v>
      </c>
      <c r="F5162" s="86" t="s">
        <v>89</v>
      </c>
      <c r="G5162" s="86" t="s">
        <v>89</v>
      </c>
      <c r="H5162" s="144">
        <v>229</v>
      </c>
      <c r="I5162" s="86" t="s">
        <v>3356</v>
      </c>
      <c r="J5162" s="1" t="s">
        <v>3326</v>
      </c>
      <c r="K5162" s="1" t="s">
        <v>3707</v>
      </c>
      <c r="L5162" s="1" t="s">
        <v>35</v>
      </c>
      <c r="M5162" s="86"/>
      <c r="N5162" s="86" t="s">
        <v>3707</v>
      </c>
      <c r="O5162" s="47" t="s">
        <v>105</v>
      </c>
      <c r="P5162" s="47" t="s">
        <v>75</v>
      </c>
      <c r="Q5162" s="14">
        <v>0.06</v>
      </c>
      <c r="R5162" s="143"/>
      <c r="S5162" s="47"/>
      <c r="T5162" s="6">
        <v>-639.47000000000014</v>
      </c>
      <c r="U5162" s="6"/>
      <c r="V5162" s="6">
        <v>40113.579999999994</v>
      </c>
      <c r="W5162" s="6">
        <f t="shared" si="778"/>
        <v>-40753.049999999996</v>
      </c>
      <c r="X5162" s="6">
        <f t="shared" si="779"/>
        <v>40113.579999999994</v>
      </c>
      <c r="Y5162" s="13">
        <f t="shared" si="782"/>
        <v>0</v>
      </c>
      <c r="Z5162" s="14">
        <v>0</v>
      </c>
      <c r="AA5162" s="6">
        <v>0</v>
      </c>
      <c r="AB5162" s="4">
        <f t="shared" si="783"/>
        <v>40113.579999999994</v>
      </c>
      <c r="AC5162" s="4">
        <f t="shared" si="785"/>
        <v>2406.8147999999997</v>
      </c>
      <c r="AD5162" s="6">
        <f t="shared" si="780"/>
        <v>40113.579999999994</v>
      </c>
      <c r="AE5162" s="2">
        <v>0.06</v>
      </c>
      <c r="AF5162" s="6">
        <f t="shared" si="786"/>
        <v>2406.8147999999997</v>
      </c>
      <c r="AG5162" s="14">
        <v>0</v>
      </c>
      <c r="AH5162" s="64">
        <f t="shared" si="781"/>
        <v>40113.579999999994</v>
      </c>
      <c r="AI5162" s="47"/>
      <c r="AJ5162" s="126" t="e">
        <v>#N/A</v>
      </c>
      <c r="AK5162" s="80">
        <f t="shared" si="784"/>
        <v>0</v>
      </c>
      <c r="AM5162" s="85"/>
    </row>
    <row r="5163" spans="1:39" hidden="1" x14ac:dyDescent="0.3">
      <c r="A5163" s="89" t="s">
        <v>3394</v>
      </c>
      <c r="B5163" s="86" t="s">
        <v>35</v>
      </c>
      <c r="C5163" s="86" t="s">
        <v>59</v>
      </c>
      <c r="D5163" s="86" t="s">
        <v>60</v>
      </c>
      <c r="E5163" s="86" t="s">
        <v>95</v>
      </c>
      <c r="F5163" s="86" t="s">
        <v>95</v>
      </c>
      <c r="G5163" s="86" t="s">
        <v>95</v>
      </c>
      <c r="H5163" s="144">
        <v>229</v>
      </c>
      <c r="I5163" s="86" t="s">
        <v>3356</v>
      </c>
      <c r="J5163" s="1" t="s">
        <v>3326</v>
      </c>
      <c r="K5163" s="1" t="s">
        <v>3712</v>
      </c>
      <c r="L5163" s="1" t="s">
        <v>35</v>
      </c>
      <c r="M5163" s="86"/>
      <c r="N5163" s="86" t="s">
        <v>3740</v>
      </c>
      <c r="O5163" s="47" t="s">
        <v>105</v>
      </c>
      <c r="P5163" s="47" t="s">
        <v>46</v>
      </c>
      <c r="Q5163" s="14">
        <v>0.05</v>
      </c>
      <c r="R5163" s="143"/>
      <c r="S5163" s="47"/>
      <c r="T5163" s="6">
        <v>-29761.760000000006</v>
      </c>
      <c r="U5163" s="6"/>
      <c r="V5163" s="6">
        <v>840.1</v>
      </c>
      <c r="W5163" s="6">
        <f t="shared" si="778"/>
        <v>-30601.860000000004</v>
      </c>
      <c r="X5163" s="6">
        <f t="shared" si="779"/>
        <v>800.09523809523807</v>
      </c>
      <c r="Y5163" s="13">
        <f t="shared" si="782"/>
        <v>0</v>
      </c>
      <c r="Z5163" s="14">
        <v>0</v>
      </c>
      <c r="AA5163" s="6">
        <v>0</v>
      </c>
      <c r="AB5163" s="4">
        <f t="shared" si="783"/>
        <v>800.09523809523807</v>
      </c>
      <c r="AC5163" s="4">
        <f t="shared" si="785"/>
        <v>40.004761904761949</v>
      </c>
      <c r="AD5163" s="6">
        <f t="shared" si="780"/>
        <v>840.1</v>
      </c>
      <c r="AE5163" s="2">
        <v>0.06</v>
      </c>
      <c r="AF5163" s="6">
        <f t="shared" si="786"/>
        <v>50.405999999999999</v>
      </c>
      <c r="AG5163" s="14">
        <v>0</v>
      </c>
      <c r="AH5163" s="64">
        <f t="shared" si="781"/>
        <v>840.1</v>
      </c>
      <c r="AI5163" s="47"/>
      <c r="AJ5163" s="126" t="e">
        <v>#N/A</v>
      </c>
      <c r="AK5163" s="80">
        <f t="shared" si="784"/>
        <v>0</v>
      </c>
      <c r="AM5163" s="85"/>
    </row>
    <row r="5164" spans="1:39" hidden="1" x14ac:dyDescent="0.3">
      <c r="A5164" s="89" t="s">
        <v>3394</v>
      </c>
      <c r="B5164" s="86" t="s">
        <v>35</v>
      </c>
      <c r="C5164" s="86" t="s">
        <v>36</v>
      </c>
      <c r="D5164" s="86" t="s">
        <v>224</v>
      </c>
      <c r="E5164" s="86" t="s">
        <v>225</v>
      </c>
      <c r="F5164" s="86" t="s">
        <v>225</v>
      </c>
      <c r="G5164" s="86" t="s">
        <v>225</v>
      </c>
      <c r="H5164" s="143">
        <v>229</v>
      </c>
      <c r="I5164" s="86" t="s">
        <v>3356</v>
      </c>
      <c r="J5164" s="1" t="s">
        <v>3326</v>
      </c>
      <c r="K5164" s="1" t="s">
        <v>3712</v>
      </c>
      <c r="L5164" s="1" t="s">
        <v>35</v>
      </c>
      <c r="M5164" s="86"/>
      <c r="N5164" s="86" t="s">
        <v>3712</v>
      </c>
      <c r="O5164" s="47" t="s">
        <v>105</v>
      </c>
      <c r="P5164" s="47" t="s">
        <v>46</v>
      </c>
      <c r="Q5164" s="14">
        <v>0.01</v>
      </c>
      <c r="R5164" s="143"/>
      <c r="S5164" s="47"/>
      <c r="T5164" s="6">
        <v>-37.769999999999996</v>
      </c>
      <c r="U5164" s="6"/>
      <c r="V5164" s="6">
        <v>0</v>
      </c>
      <c r="W5164" s="6">
        <f t="shared" si="778"/>
        <v>-37.769999999999996</v>
      </c>
      <c r="X5164" s="6">
        <f t="shared" si="779"/>
        <v>0</v>
      </c>
      <c r="Y5164" s="13">
        <f t="shared" si="782"/>
        <v>0</v>
      </c>
      <c r="Z5164" s="14">
        <v>0</v>
      </c>
      <c r="AA5164" s="6">
        <v>0</v>
      </c>
      <c r="AB5164" s="4">
        <f t="shared" si="783"/>
        <v>0</v>
      </c>
      <c r="AC5164" s="4">
        <f t="shared" si="785"/>
        <v>0</v>
      </c>
      <c r="AD5164" s="6">
        <f t="shared" si="780"/>
        <v>0</v>
      </c>
      <c r="AE5164" s="2">
        <v>0.06</v>
      </c>
      <c r="AF5164" s="6">
        <f t="shared" si="786"/>
        <v>0</v>
      </c>
      <c r="AG5164" s="14">
        <v>0</v>
      </c>
      <c r="AH5164" s="64">
        <f t="shared" si="781"/>
        <v>0</v>
      </c>
      <c r="AI5164" s="47"/>
      <c r="AJ5164" s="126" t="e">
        <v>#N/A</v>
      </c>
      <c r="AK5164" s="80">
        <f t="shared" si="784"/>
        <v>0</v>
      </c>
      <c r="AM5164" s="85"/>
    </row>
    <row r="5165" spans="1:39" hidden="1" x14ac:dyDescent="0.3">
      <c r="A5165" s="89" t="s">
        <v>3395</v>
      </c>
      <c r="B5165" s="86" t="s">
        <v>35</v>
      </c>
      <c r="C5165" s="86" t="s">
        <v>36</v>
      </c>
      <c r="D5165" s="86" t="s">
        <v>54</v>
      </c>
      <c r="E5165" s="86" t="s">
        <v>101</v>
      </c>
      <c r="F5165" s="86" t="s">
        <v>101</v>
      </c>
      <c r="G5165" s="86" t="s">
        <v>101</v>
      </c>
      <c r="H5165" s="144">
        <v>229</v>
      </c>
      <c r="I5165" s="86" t="s">
        <v>3356</v>
      </c>
      <c r="J5165" s="1" t="s">
        <v>3326</v>
      </c>
      <c r="K5165" s="1" t="s">
        <v>3707</v>
      </c>
      <c r="L5165" s="1" t="s">
        <v>35</v>
      </c>
      <c r="M5165" s="86"/>
      <c r="N5165" s="86" t="s">
        <v>3707</v>
      </c>
      <c r="O5165" s="47" t="s">
        <v>105</v>
      </c>
      <c r="P5165" s="47" t="s">
        <v>41</v>
      </c>
      <c r="Q5165" s="14">
        <v>0</v>
      </c>
      <c r="R5165" s="143"/>
      <c r="S5165" s="47"/>
      <c r="T5165" s="6">
        <v>-6189.54</v>
      </c>
      <c r="U5165" s="6"/>
      <c r="V5165" s="6">
        <v>1649.19</v>
      </c>
      <c r="W5165" s="6">
        <f t="shared" si="778"/>
        <v>-7838.73</v>
      </c>
      <c r="X5165" s="6">
        <f t="shared" si="779"/>
        <v>1649.19</v>
      </c>
      <c r="Y5165" s="13">
        <f t="shared" si="782"/>
        <v>0</v>
      </c>
      <c r="Z5165" s="14">
        <v>0</v>
      </c>
      <c r="AA5165" s="6">
        <v>0</v>
      </c>
      <c r="AB5165" s="4">
        <f t="shared" si="783"/>
        <v>1649.19</v>
      </c>
      <c r="AC5165" s="4">
        <f t="shared" si="785"/>
        <v>0</v>
      </c>
      <c r="AD5165" s="6">
        <f t="shared" si="780"/>
        <v>1649.19</v>
      </c>
      <c r="AE5165" s="2">
        <v>0.06</v>
      </c>
      <c r="AF5165" s="6">
        <f t="shared" si="786"/>
        <v>98.951400000000007</v>
      </c>
      <c r="AG5165" s="14">
        <v>0</v>
      </c>
      <c r="AH5165" s="64">
        <f t="shared" si="781"/>
        <v>1649.19</v>
      </c>
      <c r="AI5165" s="47"/>
      <c r="AJ5165" s="126" t="e">
        <v>#N/A</v>
      </c>
      <c r="AK5165" s="80">
        <f t="shared" si="784"/>
        <v>0</v>
      </c>
      <c r="AM5165" s="85"/>
    </row>
    <row r="5166" spans="1:39" hidden="1" x14ac:dyDescent="0.3">
      <c r="A5166" s="89" t="s">
        <v>3395</v>
      </c>
      <c r="B5166" s="86" t="s">
        <v>35</v>
      </c>
      <c r="C5166" s="86" t="s">
        <v>36</v>
      </c>
      <c r="D5166" s="86" t="s">
        <v>54</v>
      </c>
      <c r="E5166" s="86" t="s">
        <v>108</v>
      </c>
      <c r="F5166" s="86" t="s">
        <v>108</v>
      </c>
      <c r="G5166" s="86" t="s">
        <v>108</v>
      </c>
      <c r="H5166" s="144">
        <v>229</v>
      </c>
      <c r="I5166" s="86" t="s">
        <v>3356</v>
      </c>
      <c r="J5166" s="1" t="s">
        <v>3326</v>
      </c>
      <c r="K5166" s="1" t="s">
        <v>3712</v>
      </c>
      <c r="L5166" s="1" t="s">
        <v>35</v>
      </c>
      <c r="M5166" s="86"/>
      <c r="N5166" s="86" t="s">
        <v>3712</v>
      </c>
      <c r="O5166" s="47" t="s">
        <v>105</v>
      </c>
      <c r="P5166" s="47" t="s">
        <v>41</v>
      </c>
      <c r="Q5166" s="14">
        <v>0</v>
      </c>
      <c r="R5166" s="143"/>
      <c r="S5166" s="47"/>
      <c r="T5166" s="6">
        <v>-686.11000000000013</v>
      </c>
      <c r="U5166" s="6"/>
      <c r="V5166" s="6">
        <v>6054.36</v>
      </c>
      <c r="W5166" s="6">
        <f t="shared" si="778"/>
        <v>-6740.4699999999993</v>
      </c>
      <c r="X5166" s="6">
        <f t="shared" si="779"/>
        <v>6054.36</v>
      </c>
      <c r="Y5166" s="13">
        <f t="shared" si="782"/>
        <v>0</v>
      </c>
      <c r="Z5166" s="14">
        <v>0</v>
      </c>
      <c r="AA5166" s="6">
        <v>0</v>
      </c>
      <c r="AB5166" s="4">
        <f t="shared" si="783"/>
        <v>6054.36</v>
      </c>
      <c r="AC5166" s="4">
        <f t="shared" si="785"/>
        <v>0</v>
      </c>
      <c r="AD5166" s="6">
        <f t="shared" si="780"/>
        <v>6054.36</v>
      </c>
      <c r="AE5166" s="2">
        <v>0.06</v>
      </c>
      <c r="AF5166" s="6">
        <f t="shared" si="786"/>
        <v>363.26159999999999</v>
      </c>
      <c r="AG5166" s="14">
        <v>0</v>
      </c>
      <c r="AH5166" s="64">
        <f t="shared" si="781"/>
        <v>6054.36</v>
      </c>
      <c r="AI5166" s="47"/>
      <c r="AJ5166" s="126" t="e">
        <v>#N/A</v>
      </c>
      <c r="AK5166" s="80">
        <f t="shared" si="784"/>
        <v>0</v>
      </c>
      <c r="AM5166" s="85"/>
    </row>
    <row r="5167" spans="1:39" hidden="1" x14ac:dyDescent="0.3">
      <c r="A5167" s="89" t="s">
        <v>3394</v>
      </c>
      <c r="B5167" s="86" t="s">
        <v>35</v>
      </c>
      <c r="C5167" s="86" t="s">
        <v>36</v>
      </c>
      <c r="D5167" s="86" t="s">
        <v>37</v>
      </c>
      <c r="E5167" s="86" t="s">
        <v>228</v>
      </c>
      <c r="F5167" s="86" t="s">
        <v>228</v>
      </c>
      <c r="G5167" s="86" t="s">
        <v>228</v>
      </c>
      <c r="H5167" s="144">
        <v>229</v>
      </c>
      <c r="I5167" s="86" t="s">
        <v>3356</v>
      </c>
      <c r="J5167" s="1" t="s">
        <v>3326</v>
      </c>
      <c r="K5167" s="1" t="s">
        <v>3712</v>
      </c>
      <c r="L5167" s="1" t="s">
        <v>35</v>
      </c>
      <c r="M5167" s="86"/>
      <c r="N5167" s="86" t="s">
        <v>3712</v>
      </c>
      <c r="O5167" s="47" t="s">
        <v>105</v>
      </c>
      <c r="P5167" s="47" t="s">
        <v>41</v>
      </c>
      <c r="Q5167" s="14">
        <v>0</v>
      </c>
      <c r="R5167" s="143"/>
      <c r="S5167" s="47"/>
      <c r="T5167" s="6">
        <v>-95.180000000000021</v>
      </c>
      <c r="U5167" s="6"/>
      <c r="V5167" s="6">
        <v>11.1</v>
      </c>
      <c r="W5167" s="6">
        <f t="shared" si="778"/>
        <v>-106.28000000000002</v>
      </c>
      <c r="X5167" s="6">
        <f t="shared" si="779"/>
        <v>11.1</v>
      </c>
      <c r="Y5167" s="13">
        <f t="shared" si="782"/>
        <v>0</v>
      </c>
      <c r="Z5167" s="14">
        <v>0</v>
      </c>
      <c r="AA5167" s="6">
        <v>0</v>
      </c>
      <c r="AB5167" s="4">
        <f t="shared" si="783"/>
        <v>11.1</v>
      </c>
      <c r="AC5167" s="4">
        <f t="shared" si="785"/>
        <v>0</v>
      </c>
      <c r="AD5167" s="6">
        <f t="shared" si="780"/>
        <v>11.1</v>
      </c>
      <c r="AE5167" s="2">
        <v>0.06</v>
      </c>
      <c r="AF5167" s="6">
        <f t="shared" si="786"/>
        <v>0.66599999999999993</v>
      </c>
      <c r="AG5167" s="14">
        <v>0</v>
      </c>
      <c r="AH5167" s="64">
        <f t="shared" si="781"/>
        <v>11.1</v>
      </c>
      <c r="AI5167" s="47"/>
      <c r="AJ5167" s="126" t="e">
        <v>#N/A</v>
      </c>
      <c r="AK5167" s="80">
        <f t="shared" si="784"/>
        <v>0</v>
      </c>
      <c r="AM5167" s="85"/>
    </row>
    <row r="5168" spans="1:39" hidden="1" x14ac:dyDescent="0.3">
      <c r="A5168" s="89" t="s">
        <v>3394</v>
      </c>
      <c r="B5168" s="86" t="s">
        <v>35</v>
      </c>
      <c r="C5168" s="86" t="s">
        <v>65</v>
      </c>
      <c r="D5168" s="86" t="s">
        <v>116</v>
      </c>
      <c r="E5168" s="86" t="s">
        <v>117</v>
      </c>
      <c r="F5168" s="86" t="s">
        <v>117</v>
      </c>
      <c r="G5168" s="86" t="s">
        <v>117</v>
      </c>
      <c r="H5168" s="144">
        <v>229</v>
      </c>
      <c r="I5168" s="86" t="s">
        <v>3356</v>
      </c>
      <c r="J5168" s="1" t="s">
        <v>3326</v>
      </c>
      <c r="K5168" s="1" t="s">
        <v>3283</v>
      </c>
      <c r="L5168" s="1" t="s">
        <v>35</v>
      </c>
      <c r="M5168" s="86"/>
      <c r="N5168" s="86" t="s">
        <v>3283</v>
      </c>
      <c r="O5168" s="47" t="s">
        <v>105</v>
      </c>
      <c r="P5168" s="47" t="s">
        <v>46</v>
      </c>
      <c r="Q5168" s="14">
        <v>0.06</v>
      </c>
      <c r="R5168" s="143"/>
      <c r="S5168" s="47"/>
      <c r="T5168" s="6">
        <v>-122.30999999999999</v>
      </c>
      <c r="U5168" s="6"/>
      <c r="V5168" s="6">
        <v>143.21</v>
      </c>
      <c r="W5168" s="6">
        <f t="shared" si="778"/>
        <v>-265.52</v>
      </c>
      <c r="X5168" s="6">
        <f t="shared" si="779"/>
        <v>135.10377358490567</v>
      </c>
      <c r="Y5168" s="13">
        <f t="shared" si="782"/>
        <v>0</v>
      </c>
      <c r="Z5168" s="14">
        <v>0</v>
      </c>
      <c r="AA5168" s="6">
        <v>0</v>
      </c>
      <c r="AB5168" s="4">
        <f t="shared" si="783"/>
        <v>135.10377358490567</v>
      </c>
      <c r="AC5168" s="4">
        <f t="shared" si="785"/>
        <v>8.1062264150943406</v>
      </c>
      <c r="AD5168" s="6">
        <f t="shared" si="780"/>
        <v>143.21</v>
      </c>
      <c r="AE5168" s="2">
        <v>0.06</v>
      </c>
      <c r="AF5168" s="6">
        <f t="shared" si="786"/>
        <v>8.5926000000000009</v>
      </c>
      <c r="AG5168" s="14">
        <v>0</v>
      </c>
      <c r="AH5168" s="64">
        <f t="shared" si="781"/>
        <v>143.21</v>
      </c>
      <c r="AI5168" s="47"/>
      <c r="AJ5168" s="126" t="e">
        <v>#N/A</v>
      </c>
      <c r="AK5168" s="80">
        <f t="shared" si="784"/>
        <v>0</v>
      </c>
      <c r="AM5168" s="85"/>
    </row>
    <row r="5169" spans="1:39" hidden="1" x14ac:dyDescent="0.3">
      <c r="A5169" s="89" t="s">
        <v>3394</v>
      </c>
      <c r="B5169" s="86" t="s">
        <v>35</v>
      </c>
      <c r="C5169" s="86" t="s">
        <v>65</v>
      </c>
      <c r="D5169" s="86" t="s">
        <v>66</v>
      </c>
      <c r="E5169" s="86" t="s">
        <v>121</v>
      </c>
      <c r="F5169" s="86" t="s">
        <v>121</v>
      </c>
      <c r="G5169" s="86" t="s">
        <v>121</v>
      </c>
      <c r="H5169" s="144">
        <v>229</v>
      </c>
      <c r="I5169" s="86" t="s">
        <v>3356</v>
      </c>
      <c r="J5169" s="1" t="s">
        <v>3326</v>
      </c>
      <c r="K5169" s="1" t="s">
        <v>3707</v>
      </c>
      <c r="L5169" s="1" t="s">
        <v>35</v>
      </c>
      <c r="M5169" s="86"/>
      <c r="N5169" s="86" t="s">
        <v>3707</v>
      </c>
      <c r="O5169" s="47" t="s">
        <v>105</v>
      </c>
      <c r="P5169" s="47" t="s">
        <v>46</v>
      </c>
      <c r="Q5169" s="14">
        <v>0.03</v>
      </c>
      <c r="R5169" s="143"/>
      <c r="S5169" s="47"/>
      <c r="T5169" s="6">
        <v>-1307.04</v>
      </c>
      <c r="U5169" s="6"/>
      <c r="V5169" s="6">
        <v>14921.68</v>
      </c>
      <c r="W5169" s="6">
        <f t="shared" si="778"/>
        <v>-16228.720000000001</v>
      </c>
      <c r="X5169" s="6">
        <f t="shared" si="779"/>
        <v>14487.067961165048</v>
      </c>
      <c r="Y5169" s="13">
        <f t="shared" si="782"/>
        <v>0</v>
      </c>
      <c r="Z5169" s="14">
        <v>0</v>
      </c>
      <c r="AA5169" s="6">
        <v>0</v>
      </c>
      <c r="AB5169" s="4">
        <f t="shared" si="783"/>
        <v>14487.067961165048</v>
      </c>
      <c r="AC5169" s="4">
        <f t="shared" si="785"/>
        <v>434.61203883495182</v>
      </c>
      <c r="AD5169" s="6">
        <f t="shared" si="780"/>
        <v>14921.68</v>
      </c>
      <c r="AE5169" s="2">
        <v>0.06</v>
      </c>
      <c r="AF5169" s="6">
        <f t="shared" si="786"/>
        <v>895.30079999999998</v>
      </c>
      <c r="AG5169" s="14">
        <v>0</v>
      </c>
      <c r="AH5169" s="64">
        <f t="shared" si="781"/>
        <v>14921.68</v>
      </c>
      <c r="AI5169" s="47"/>
      <c r="AJ5169" s="126" t="e">
        <v>#N/A</v>
      </c>
      <c r="AK5169" s="80">
        <f t="shared" si="784"/>
        <v>0</v>
      </c>
      <c r="AM5169" s="85"/>
    </row>
    <row r="5170" spans="1:39" hidden="1" x14ac:dyDescent="0.3">
      <c r="A5170" s="89" t="s">
        <v>3397</v>
      </c>
      <c r="B5170" s="86" t="s">
        <v>35</v>
      </c>
      <c r="C5170" s="86" t="s">
        <v>65</v>
      </c>
      <c r="D5170" s="86" t="s">
        <v>122</v>
      </c>
      <c r="E5170" s="86" t="s">
        <v>124</v>
      </c>
      <c r="F5170" s="86" t="s">
        <v>124</v>
      </c>
      <c r="G5170" s="86" t="s">
        <v>124</v>
      </c>
      <c r="H5170" s="143">
        <v>229</v>
      </c>
      <c r="I5170" s="86" t="s">
        <v>3356</v>
      </c>
      <c r="J5170" s="1" t="s">
        <v>3326</v>
      </c>
      <c r="K5170" s="1" t="s">
        <v>3712</v>
      </c>
      <c r="L5170" s="1" t="s">
        <v>35</v>
      </c>
      <c r="M5170" s="86"/>
      <c r="N5170" s="86" t="s">
        <v>3712</v>
      </c>
      <c r="O5170" s="47" t="s">
        <v>105</v>
      </c>
      <c r="P5170" s="47" t="s">
        <v>41</v>
      </c>
      <c r="Q5170" s="14">
        <v>0</v>
      </c>
      <c r="R5170" s="143"/>
      <c r="S5170" s="47"/>
      <c r="T5170" s="6">
        <v>-300.26000000000005</v>
      </c>
      <c r="U5170" s="6"/>
      <c r="V5170" s="6">
        <v>0</v>
      </c>
      <c r="W5170" s="6">
        <v>0</v>
      </c>
      <c r="X5170" s="6">
        <f t="shared" si="779"/>
        <v>0</v>
      </c>
      <c r="Y5170" s="13">
        <f t="shared" si="782"/>
        <v>0</v>
      </c>
      <c r="Z5170" s="14">
        <v>0</v>
      </c>
      <c r="AA5170" s="6">
        <v>0</v>
      </c>
      <c r="AB5170" s="4">
        <f t="shared" si="783"/>
        <v>0</v>
      </c>
      <c r="AC5170" s="4">
        <f t="shared" si="785"/>
        <v>0</v>
      </c>
      <c r="AD5170" s="6">
        <f t="shared" si="780"/>
        <v>0</v>
      </c>
      <c r="AE5170" s="2">
        <v>0.06</v>
      </c>
      <c r="AF5170" s="6">
        <f t="shared" si="786"/>
        <v>0</v>
      </c>
      <c r="AG5170" s="14">
        <v>0</v>
      </c>
      <c r="AH5170" s="64">
        <f t="shared" si="781"/>
        <v>0</v>
      </c>
      <c r="AI5170" s="47"/>
      <c r="AJ5170" s="126" t="e">
        <v>#N/A</v>
      </c>
      <c r="AK5170" s="80">
        <f t="shared" si="784"/>
        <v>0</v>
      </c>
      <c r="AM5170" s="85"/>
    </row>
    <row r="5171" spans="1:39" hidden="1" x14ac:dyDescent="0.3">
      <c r="A5171" s="89" t="s">
        <v>3394</v>
      </c>
      <c r="B5171" s="86" t="s">
        <v>35</v>
      </c>
      <c r="C5171" s="86" t="s">
        <v>65</v>
      </c>
      <c r="D5171" s="86" t="s">
        <v>125</v>
      </c>
      <c r="E5171" s="86" t="s">
        <v>126</v>
      </c>
      <c r="F5171" s="86" t="s">
        <v>126</v>
      </c>
      <c r="G5171" s="86" t="s">
        <v>126</v>
      </c>
      <c r="H5171" s="143">
        <v>229</v>
      </c>
      <c r="I5171" s="86" t="s">
        <v>3356</v>
      </c>
      <c r="J5171" s="1" t="s">
        <v>3326</v>
      </c>
      <c r="K5171" s="1" t="s">
        <v>3712</v>
      </c>
      <c r="L5171" s="1" t="s">
        <v>35</v>
      </c>
      <c r="M5171" s="86"/>
      <c r="N5171" s="86" t="s">
        <v>3712</v>
      </c>
      <c r="O5171" s="47" t="s">
        <v>105</v>
      </c>
      <c r="P5171" s="47" t="s">
        <v>41</v>
      </c>
      <c r="Q5171" s="14">
        <v>0</v>
      </c>
      <c r="R5171" s="143"/>
      <c r="S5171" s="47"/>
      <c r="T5171" s="6">
        <v>-468.19</v>
      </c>
      <c r="U5171" s="6"/>
      <c r="V5171" s="6">
        <v>0</v>
      </c>
      <c r="W5171" s="6">
        <v>0</v>
      </c>
      <c r="X5171" s="6">
        <f t="shared" si="779"/>
        <v>0</v>
      </c>
      <c r="Y5171" s="13">
        <f t="shared" si="782"/>
        <v>0</v>
      </c>
      <c r="Z5171" s="14">
        <v>0</v>
      </c>
      <c r="AA5171" s="6">
        <v>0</v>
      </c>
      <c r="AB5171" s="4">
        <f t="shared" si="783"/>
        <v>0</v>
      </c>
      <c r="AC5171" s="4">
        <f t="shared" si="785"/>
        <v>0</v>
      </c>
      <c r="AD5171" s="6">
        <f t="shared" si="780"/>
        <v>0</v>
      </c>
      <c r="AE5171" s="2">
        <v>0.06</v>
      </c>
      <c r="AF5171" s="6">
        <f t="shared" si="786"/>
        <v>0</v>
      </c>
      <c r="AG5171" s="14">
        <v>0</v>
      </c>
      <c r="AH5171" s="64">
        <f t="shared" si="781"/>
        <v>0</v>
      </c>
      <c r="AI5171" s="47"/>
      <c r="AJ5171" s="126" t="e">
        <v>#N/A</v>
      </c>
      <c r="AK5171" s="80">
        <f t="shared" si="784"/>
        <v>0</v>
      </c>
      <c r="AM5171" s="85"/>
    </row>
    <row r="5172" spans="1:39" hidden="1" x14ac:dyDescent="0.3">
      <c r="A5172" s="89" t="s">
        <v>3394</v>
      </c>
      <c r="B5172" s="86" t="s">
        <v>35</v>
      </c>
      <c r="C5172" s="86" t="s">
        <v>65</v>
      </c>
      <c r="D5172" s="86" t="s">
        <v>125</v>
      </c>
      <c r="E5172" s="86" t="s">
        <v>276</v>
      </c>
      <c r="F5172" s="86" t="s">
        <v>277</v>
      </c>
      <c r="G5172" s="86" t="s">
        <v>276</v>
      </c>
      <c r="H5172" s="144">
        <v>229</v>
      </c>
      <c r="I5172" s="86" t="s">
        <v>3356</v>
      </c>
      <c r="J5172" s="1" t="s">
        <v>3326</v>
      </c>
      <c r="K5172" s="1" t="s">
        <v>3710</v>
      </c>
      <c r="L5172" s="1" t="s">
        <v>35</v>
      </c>
      <c r="M5172" s="86"/>
      <c r="N5172" s="86" t="s">
        <v>3710</v>
      </c>
      <c r="O5172" s="47" t="s">
        <v>105</v>
      </c>
      <c r="P5172" s="47" t="s">
        <v>46</v>
      </c>
      <c r="Q5172" s="14">
        <v>0.06</v>
      </c>
      <c r="R5172" s="143"/>
      <c r="S5172" s="47"/>
      <c r="T5172" s="6">
        <v>0</v>
      </c>
      <c r="U5172" s="6"/>
      <c r="V5172" s="6">
        <v>610.77999999999986</v>
      </c>
      <c r="W5172" s="6">
        <f t="shared" si="778"/>
        <v>-610.77999999999986</v>
      </c>
      <c r="X5172" s="6">
        <f t="shared" si="779"/>
        <v>576.20754716981116</v>
      </c>
      <c r="Y5172" s="13">
        <f t="shared" si="782"/>
        <v>0</v>
      </c>
      <c r="Z5172" s="14">
        <v>0</v>
      </c>
      <c r="AA5172" s="6">
        <v>0</v>
      </c>
      <c r="AB5172" s="4">
        <f t="shared" si="783"/>
        <v>576.20754716981116</v>
      </c>
      <c r="AC5172" s="4">
        <f t="shared" si="785"/>
        <v>34.572452830188695</v>
      </c>
      <c r="AD5172" s="6">
        <f t="shared" si="780"/>
        <v>610.77999999999986</v>
      </c>
      <c r="AE5172" s="2">
        <v>0.06</v>
      </c>
      <c r="AF5172" s="6">
        <f t="shared" si="786"/>
        <v>36.646799999999992</v>
      </c>
      <c r="AG5172" s="14">
        <v>0</v>
      </c>
      <c r="AH5172" s="64">
        <f t="shared" si="781"/>
        <v>610.77999999999986</v>
      </c>
      <c r="AI5172" s="47"/>
      <c r="AJ5172" s="126" t="e">
        <v>#N/A</v>
      </c>
      <c r="AK5172" s="80">
        <f t="shared" si="784"/>
        <v>0</v>
      </c>
      <c r="AM5172" s="85"/>
    </row>
    <row r="5173" spans="1:39" hidden="1" x14ac:dyDescent="0.3">
      <c r="A5173" s="89" t="s">
        <v>3394</v>
      </c>
      <c r="B5173" s="86" t="s">
        <v>35</v>
      </c>
      <c r="C5173" s="86" t="s">
        <v>47</v>
      </c>
      <c r="D5173" s="86" t="s">
        <v>63</v>
      </c>
      <c r="E5173" s="86" t="s">
        <v>128</v>
      </c>
      <c r="F5173" s="86" t="s">
        <v>128</v>
      </c>
      <c r="G5173" s="86" t="s">
        <v>128</v>
      </c>
      <c r="H5173" s="143">
        <v>229</v>
      </c>
      <c r="I5173" s="86" t="s">
        <v>3356</v>
      </c>
      <c r="J5173" s="1" t="s">
        <v>3326</v>
      </c>
      <c r="K5173" s="1" t="s">
        <v>3712</v>
      </c>
      <c r="L5173" s="1" t="s">
        <v>35</v>
      </c>
      <c r="M5173" s="86"/>
      <c r="N5173" s="86" t="s">
        <v>3712</v>
      </c>
      <c r="O5173" s="47" t="s">
        <v>105</v>
      </c>
      <c r="P5173" s="47" t="s">
        <v>92</v>
      </c>
      <c r="Q5173" s="14">
        <v>0.99</v>
      </c>
      <c r="R5173" s="143"/>
      <c r="S5173" s="47"/>
      <c r="T5173" s="6">
        <v>-7354.72</v>
      </c>
      <c r="U5173" s="6"/>
      <c r="V5173" s="6">
        <v>0</v>
      </c>
      <c r="W5173" s="6">
        <f t="shared" si="778"/>
        <v>-7354.72</v>
      </c>
      <c r="X5173" s="6">
        <f t="shared" si="779"/>
        <v>0</v>
      </c>
      <c r="Y5173" s="13">
        <f t="shared" si="782"/>
        <v>0</v>
      </c>
      <c r="Z5173" s="14">
        <v>0</v>
      </c>
      <c r="AA5173" s="6">
        <v>0</v>
      </c>
      <c r="AB5173" s="4">
        <f t="shared" si="783"/>
        <v>0</v>
      </c>
      <c r="AC5173" s="4">
        <f t="shared" si="785"/>
        <v>0</v>
      </c>
      <c r="AD5173" s="6">
        <f t="shared" si="780"/>
        <v>0</v>
      </c>
      <c r="AE5173" s="2">
        <v>0.06</v>
      </c>
      <c r="AF5173" s="6">
        <f t="shared" si="786"/>
        <v>0</v>
      </c>
      <c r="AG5173" s="14">
        <v>0</v>
      </c>
      <c r="AH5173" s="64">
        <f t="shared" si="781"/>
        <v>0</v>
      </c>
      <c r="AI5173" s="47"/>
      <c r="AJ5173" s="126" t="e">
        <v>#N/A</v>
      </c>
      <c r="AK5173" s="80">
        <f t="shared" si="784"/>
        <v>0</v>
      </c>
      <c r="AM5173" s="85"/>
    </row>
    <row r="5174" spans="1:39" hidden="1" x14ac:dyDescent="0.3">
      <c r="A5174" s="89" t="s">
        <v>3394</v>
      </c>
      <c r="B5174" s="86" t="s">
        <v>35</v>
      </c>
      <c r="C5174" s="86" t="s">
        <v>47</v>
      </c>
      <c r="D5174" s="86" t="s">
        <v>63</v>
      </c>
      <c r="E5174" s="86" t="s">
        <v>132</v>
      </c>
      <c r="F5174" s="86" t="s">
        <v>133</v>
      </c>
      <c r="G5174" s="86" t="s">
        <v>132</v>
      </c>
      <c r="H5174" s="144">
        <v>229</v>
      </c>
      <c r="I5174" s="86" t="s">
        <v>3356</v>
      </c>
      <c r="J5174" s="1" t="s">
        <v>3326</v>
      </c>
      <c r="K5174" s="1" t="s">
        <v>3707</v>
      </c>
      <c r="L5174" s="1" t="s">
        <v>35</v>
      </c>
      <c r="M5174" s="86"/>
      <c r="N5174" s="86" t="s">
        <v>3707</v>
      </c>
      <c r="O5174" s="47" t="s">
        <v>105</v>
      </c>
      <c r="P5174" s="47" t="s">
        <v>46</v>
      </c>
      <c r="Q5174" s="14">
        <v>1.4999999999999999E-2</v>
      </c>
      <c r="R5174" s="143"/>
      <c r="S5174" s="47"/>
      <c r="T5174" s="6">
        <v>-2367.83</v>
      </c>
      <c r="U5174" s="6"/>
      <c r="V5174" s="6">
        <v>942</v>
      </c>
      <c r="W5174" s="6">
        <f t="shared" si="778"/>
        <v>-3309.83</v>
      </c>
      <c r="X5174" s="6">
        <f t="shared" si="779"/>
        <v>928.07881773399026</v>
      </c>
      <c r="Y5174" s="13">
        <f t="shared" si="782"/>
        <v>0</v>
      </c>
      <c r="Z5174" s="14">
        <v>0</v>
      </c>
      <c r="AA5174" s="6">
        <v>0</v>
      </c>
      <c r="AB5174" s="4">
        <f t="shared" si="783"/>
        <v>928.07881773399026</v>
      </c>
      <c r="AC5174" s="4">
        <f t="shared" si="785"/>
        <v>13.921182266009737</v>
      </c>
      <c r="AD5174" s="6">
        <f t="shared" si="780"/>
        <v>942</v>
      </c>
      <c r="AE5174" s="2">
        <v>0.06</v>
      </c>
      <c r="AF5174" s="6">
        <f t="shared" si="786"/>
        <v>56.519999999999996</v>
      </c>
      <c r="AG5174" s="14">
        <v>0</v>
      </c>
      <c r="AH5174" s="64">
        <f t="shared" si="781"/>
        <v>942</v>
      </c>
      <c r="AI5174" s="47"/>
      <c r="AJ5174" s="126" t="e">
        <v>#N/A</v>
      </c>
      <c r="AK5174" s="80">
        <f t="shared" si="784"/>
        <v>0</v>
      </c>
      <c r="AM5174" s="85"/>
    </row>
    <row r="5175" spans="1:39" hidden="1" x14ac:dyDescent="0.3">
      <c r="A5175" s="89" t="s">
        <v>3394</v>
      </c>
      <c r="B5175" s="86" t="s">
        <v>35</v>
      </c>
      <c r="C5175" s="86" t="s">
        <v>47</v>
      </c>
      <c r="D5175" s="86" t="s">
        <v>63</v>
      </c>
      <c r="E5175" s="86" t="s">
        <v>136</v>
      </c>
      <c r="F5175" s="86" t="s">
        <v>136</v>
      </c>
      <c r="G5175" s="86" t="s">
        <v>136</v>
      </c>
      <c r="H5175" s="144">
        <v>229</v>
      </c>
      <c r="I5175" s="86" t="s">
        <v>3356</v>
      </c>
      <c r="J5175" s="1" t="s">
        <v>3326</v>
      </c>
      <c r="K5175" s="1" t="s">
        <v>3712</v>
      </c>
      <c r="L5175" s="1" t="s">
        <v>35</v>
      </c>
      <c r="M5175" s="86"/>
      <c r="N5175" s="86" t="s">
        <v>3712</v>
      </c>
      <c r="O5175" s="47" t="s">
        <v>105</v>
      </c>
      <c r="P5175" s="47" t="s">
        <v>41</v>
      </c>
      <c r="Q5175" s="14">
        <v>0</v>
      </c>
      <c r="R5175" s="143"/>
      <c r="S5175" s="47"/>
      <c r="T5175" s="6">
        <v>-22.61</v>
      </c>
      <c r="U5175" s="6"/>
      <c r="V5175" s="6">
        <v>26.610000000000003</v>
      </c>
      <c r="W5175" s="6">
        <f t="shared" si="778"/>
        <v>-49.22</v>
      </c>
      <c r="X5175" s="6">
        <f t="shared" si="779"/>
        <v>26.610000000000003</v>
      </c>
      <c r="Y5175" s="13">
        <f t="shared" si="782"/>
        <v>0</v>
      </c>
      <c r="Z5175" s="14">
        <v>0</v>
      </c>
      <c r="AA5175" s="6">
        <v>0</v>
      </c>
      <c r="AB5175" s="4">
        <f t="shared" si="783"/>
        <v>26.610000000000003</v>
      </c>
      <c r="AC5175" s="4">
        <f t="shared" si="785"/>
        <v>0</v>
      </c>
      <c r="AD5175" s="6">
        <f t="shared" si="780"/>
        <v>26.610000000000003</v>
      </c>
      <c r="AE5175" s="2">
        <v>0.06</v>
      </c>
      <c r="AF5175" s="6">
        <f t="shared" si="786"/>
        <v>1.5966</v>
      </c>
      <c r="AG5175" s="14">
        <v>0</v>
      </c>
      <c r="AH5175" s="64">
        <f t="shared" si="781"/>
        <v>26.610000000000003</v>
      </c>
      <c r="AI5175" s="47"/>
      <c r="AJ5175" s="126" t="e">
        <v>#N/A</v>
      </c>
      <c r="AK5175" s="80">
        <f t="shared" si="784"/>
        <v>0</v>
      </c>
      <c r="AM5175" s="85"/>
    </row>
    <row r="5176" spans="1:39" hidden="1" x14ac:dyDescent="0.3">
      <c r="A5176" s="89" t="s">
        <v>3394</v>
      </c>
      <c r="B5176" s="86" t="s">
        <v>35</v>
      </c>
      <c r="C5176" s="86" t="s">
        <v>47</v>
      </c>
      <c r="D5176" s="86" t="s">
        <v>63</v>
      </c>
      <c r="E5176" s="86" t="s">
        <v>138</v>
      </c>
      <c r="F5176" s="86" t="s">
        <v>139</v>
      </c>
      <c r="G5176" s="86" t="s">
        <v>138</v>
      </c>
      <c r="H5176" s="144">
        <v>229</v>
      </c>
      <c r="I5176" s="86" t="s">
        <v>3356</v>
      </c>
      <c r="J5176" s="1" t="s">
        <v>3326</v>
      </c>
      <c r="K5176" s="1" t="s">
        <v>3707</v>
      </c>
      <c r="L5176" s="1" t="s">
        <v>35</v>
      </c>
      <c r="M5176" s="86"/>
      <c r="N5176" s="86" t="s">
        <v>3707</v>
      </c>
      <c r="O5176" s="47" t="s">
        <v>105</v>
      </c>
      <c r="P5176" s="47" t="s">
        <v>41</v>
      </c>
      <c r="Q5176" s="14">
        <v>0</v>
      </c>
      <c r="R5176" s="143"/>
      <c r="S5176" s="47"/>
      <c r="T5176" s="6">
        <v>-40619.18</v>
      </c>
      <c r="U5176" s="6"/>
      <c r="V5176" s="6">
        <v>13149.789999999999</v>
      </c>
      <c r="W5176" s="6">
        <f t="shared" si="778"/>
        <v>-53768.97</v>
      </c>
      <c r="X5176" s="6">
        <f t="shared" si="779"/>
        <v>13149.789999999999</v>
      </c>
      <c r="Y5176" s="13">
        <f t="shared" si="782"/>
        <v>0</v>
      </c>
      <c r="Z5176" s="14">
        <v>0</v>
      </c>
      <c r="AA5176" s="6">
        <v>0</v>
      </c>
      <c r="AB5176" s="4">
        <f t="shared" si="783"/>
        <v>13149.789999999999</v>
      </c>
      <c r="AC5176" s="4">
        <f t="shared" si="785"/>
        <v>0</v>
      </c>
      <c r="AD5176" s="6">
        <f t="shared" si="780"/>
        <v>13149.789999999999</v>
      </c>
      <c r="AE5176" s="2">
        <v>0.06</v>
      </c>
      <c r="AF5176" s="6">
        <f t="shared" si="786"/>
        <v>788.98739999999987</v>
      </c>
      <c r="AG5176" s="14">
        <v>0</v>
      </c>
      <c r="AH5176" s="64">
        <f t="shared" si="781"/>
        <v>13149.789999999999</v>
      </c>
      <c r="AI5176" s="47"/>
      <c r="AJ5176" s="126" t="e">
        <v>#N/A</v>
      </c>
      <c r="AK5176" s="80">
        <f t="shared" si="784"/>
        <v>0</v>
      </c>
      <c r="AM5176" s="85"/>
    </row>
    <row r="5177" spans="1:39" hidden="1" x14ac:dyDescent="0.3">
      <c r="A5177" s="89" t="s">
        <v>3394</v>
      </c>
      <c r="B5177" s="86" t="s">
        <v>35</v>
      </c>
      <c r="C5177" s="86" t="s">
        <v>47</v>
      </c>
      <c r="D5177" s="86" t="s">
        <v>63</v>
      </c>
      <c r="E5177" s="86" t="s">
        <v>141</v>
      </c>
      <c r="F5177" s="86" t="s">
        <v>142</v>
      </c>
      <c r="G5177" s="86" t="s">
        <v>141</v>
      </c>
      <c r="H5177" s="143">
        <v>229</v>
      </c>
      <c r="I5177" s="86" t="s">
        <v>3356</v>
      </c>
      <c r="J5177" s="1" t="s">
        <v>3326</v>
      </c>
      <c r="K5177" s="1" t="s">
        <v>3712</v>
      </c>
      <c r="L5177" s="1" t="s">
        <v>35</v>
      </c>
      <c r="M5177" s="86"/>
      <c r="N5177" s="86" t="s">
        <v>3712</v>
      </c>
      <c r="O5177" s="47" t="s">
        <v>105</v>
      </c>
      <c r="P5177" s="47" t="s">
        <v>46</v>
      </c>
      <c r="Q5177" s="14">
        <v>0.01</v>
      </c>
      <c r="R5177" s="143"/>
      <c r="S5177" s="47"/>
      <c r="T5177" s="6">
        <v>-1.98</v>
      </c>
      <c r="U5177" s="6"/>
      <c r="V5177" s="6">
        <v>0</v>
      </c>
      <c r="W5177" s="6">
        <f t="shared" si="778"/>
        <v>-1.98</v>
      </c>
      <c r="X5177" s="6">
        <f t="shared" si="779"/>
        <v>0</v>
      </c>
      <c r="Y5177" s="13">
        <f t="shared" si="782"/>
        <v>0</v>
      </c>
      <c r="Z5177" s="14">
        <v>0</v>
      </c>
      <c r="AA5177" s="6">
        <v>0</v>
      </c>
      <c r="AB5177" s="4">
        <f t="shared" si="783"/>
        <v>0</v>
      </c>
      <c r="AC5177" s="4">
        <f t="shared" si="785"/>
        <v>0</v>
      </c>
      <c r="AD5177" s="6">
        <f t="shared" si="780"/>
        <v>0</v>
      </c>
      <c r="AE5177" s="2">
        <v>0.06</v>
      </c>
      <c r="AF5177" s="6">
        <f t="shared" si="786"/>
        <v>0</v>
      </c>
      <c r="AG5177" s="14">
        <v>0</v>
      </c>
      <c r="AH5177" s="64">
        <f t="shared" si="781"/>
        <v>0</v>
      </c>
      <c r="AI5177" s="47"/>
      <c r="AJ5177" s="126" t="e">
        <v>#N/A</v>
      </c>
      <c r="AK5177" s="80">
        <f t="shared" si="784"/>
        <v>0</v>
      </c>
      <c r="AM5177" s="85"/>
    </row>
    <row r="5178" spans="1:39" hidden="1" x14ac:dyDescent="0.3">
      <c r="A5178" s="89" t="s">
        <v>3394</v>
      </c>
      <c r="B5178" s="86" t="s">
        <v>35</v>
      </c>
      <c r="C5178" s="86" t="s">
        <v>144</v>
      </c>
      <c r="D5178" s="86" t="s">
        <v>145</v>
      </c>
      <c r="E5178" s="86" t="s">
        <v>146</v>
      </c>
      <c r="F5178" s="86" t="s">
        <v>146</v>
      </c>
      <c r="G5178" s="86" t="s">
        <v>146</v>
      </c>
      <c r="H5178" s="144">
        <v>229</v>
      </c>
      <c r="I5178" s="86" t="s">
        <v>3356</v>
      </c>
      <c r="J5178" s="1" t="s">
        <v>3326</v>
      </c>
      <c r="K5178" s="1" t="s">
        <v>3712</v>
      </c>
      <c r="L5178" s="1" t="s">
        <v>35</v>
      </c>
      <c r="M5178" s="86"/>
      <c r="N5178" s="86" t="s">
        <v>3712</v>
      </c>
      <c r="O5178" s="47" t="s">
        <v>105</v>
      </c>
      <c r="P5178" s="47" t="s">
        <v>41</v>
      </c>
      <c r="Q5178" s="14">
        <v>0</v>
      </c>
      <c r="R5178" s="143"/>
      <c r="S5178" s="47"/>
      <c r="T5178" s="6">
        <v>-47.489999999999995</v>
      </c>
      <c r="U5178" s="6"/>
      <c r="V5178" s="6">
        <v>27.749999999999993</v>
      </c>
      <c r="W5178" s="6">
        <f t="shared" si="778"/>
        <v>-75.239999999999981</v>
      </c>
      <c r="X5178" s="6">
        <f t="shared" si="779"/>
        <v>27.749999999999993</v>
      </c>
      <c r="Y5178" s="13">
        <f t="shared" si="782"/>
        <v>0</v>
      </c>
      <c r="Z5178" s="14">
        <v>0</v>
      </c>
      <c r="AA5178" s="6">
        <v>0</v>
      </c>
      <c r="AB5178" s="4">
        <f t="shared" si="783"/>
        <v>27.749999999999993</v>
      </c>
      <c r="AC5178" s="4">
        <f t="shared" si="785"/>
        <v>0</v>
      </c>
      <c r="AD5178" s="6">
        <f t="shared" si="780"/>
        <v>27.749999999999993</v>
      </c>
      <c r="AE5178" s="2">
        <v>0.06</v>
      </c>
      <c r="AF5178" s="6">
        <f t="shared" si="786"/>
        <v>1.6649999999999996</v>
      </c>
      <c r="AG5178" s="14">
        <v>0</v>
      </c>
      <c r="AH5178" s="64">
        <f t="shared" si="781"/>
        <v>27.749999999999993</v>
      </c>
      <c r="AI5178" s="47"/>
      <c r="AJ5178" s="126" t="e">
        <v>#N/A</v>
      </c>
      <c r="AK5178" s="80">
        <f t="shared" si="784"/>
        <v>0</v>
      </c>
      <c r="AM5178" s="85"/>
    </row>
    <row r="5179" spans="1:39" hidden="1" x14ac:dyDescent="0.3">
      <c r="A5179" s="89" t="s">
        <v>3395</v>
      </c>
      <c r="B5179" s="86" t="s">
        <v>35</v>
      </c>
      <c r="C5179" s="86" t="s">
        <v>144</v>
      </c>
      <c r="D5179" s="86" t="s">
        <v>152</v>
      </c>
      <c r="E5179" s="86" t="s">
        <v>241</v>
      </c>
      <c r="F5179" s="86" t="s">
        <v>241</v>
      </c>
      <c r="G5179" s="86" t="s">
        <v>241</v>
      </c>
      <c r="H5179" s="143">
        <v>229</v>
      </c>
      <c r="I5179" s="86" t="s">
        <v>3356</v>
      </c>
      <c r="J5179" s="1" t="s">
        <v>3326</v>
      </c>
      <c r="K5179" s="1" t="s">
        <v>3712</v>
      </c>
      <c r="L5179" s="1" t="s">
        <v>35</v>
      </c>
      <c r="M5179" s="86"/>
      <c r="N5179" s="86" t="s">
        <v>3712</v>
      </c>
      <c r="O5179" s="47" t="s">
        <v>105</v>
      </c>
      <c r="P5179" s="47" t="s">
        <v>41</v>
      </c>
      <c r="Q5179" s="14">
        <v>0</v>
      </c>
      <c r="R5179" s="143"/>
      <c r="S5179" s="47"/>
      <c r="T5179" s="6">
        <v>-238.92999999999998</v>
      </c>
      <c r="U5179" s="6"/>
      <c r="V5179" s="6">
        <v>0</v>
      </c>
      <c r="W5179" s="6">
        <f t="shared" si="778"/>
        <v>-238.92999999999998</v>
      </c>
      <c r="X5179" s="6">
        <f t="shared" si="779"/>
        <v>0</v>
      </c>
      <c r="Y5179" s="13">
        <f t="shared" si="782"/>
        <v>0</v>
      </c>
      <c r="Z5179" s="14">
        <v>0</v>
      </c>
      <c r="AA5179" s="6">
        <v>0</v>
      </c>
      <c r="AB5179" s="4">
        <f t="shared" si="783"/>
        <v>0</v>
      </c>
      <c r="AC5179" s="4">
        <f t="shared" si="785"/>
        <v>0</v>
      </c>
      <c r="AD5179" s="6">
        <f t="shared" si="780"/>
        <v>0</v>
      </c>
      <c r="AE5179" s="2">
        <v>0.06</v>
      </c>
      <c r="AF5179" s="6">
        <f t="shared" si="786"/>
        <v>0</v>
      </c>
      <c r="AG5179" s="14">
        <v>0</v>
      </c>
      <c r="AH5179" s="64">
        <f t="shared" si="781"/>
        <v>0</v>
      </c>
      <c r="AI5179" s="47"/>
      <c r="AJ5179" s="126" t="e">
        <v>#N/A</v>
      </c>
      <c r="AK5179" s="80">
        <f t="shared" si="784"/>
        <v>0</v>
      </c>
      <c r="AM5179" s="85"/>
    </row>
    <row r="5180" spans="1:39" hidden="1" x14ac:dyDescent="0.3">
      <c r="A5180" s="89" t="s">
        <v>3394</v>
      </c>
      <c r="B5180" s="86" t="s">
        <v>35</v>
      </c>
      <c r="C5180" s="86" t="s">
        <v>144</v>
      </c>
      <c r="D5180" s="86" t="s">
        <v>161</v>
      </c>
      <c r="E5180" s="86" t="s">
        <v>163</v>
      </c>
      <c r="F5180" s="86" t="s">
        <v>163</v>
      </c>
      <c r="G5180" s="86" t="s">
        <v>163</v>
      </c>
      <c r="H5180" s="144">
        <v>229</v>
      </c>
      <c r="I5180" s="86" t="s">
        <v>3356</v>
      </c>
      <c r="J5180" s="1" t="s">
        <v>3326</v>
      </c>
      <c r="K5180" s="1" t="s">
        <v>3712</v>
      </c>
      <c r="L5180" s="1" t="s">
        <v>35</v>
      </c>
      <c r="M5180" s="86"/>
      <c r="N5180" s="86" t="s">
        <v>3712</v>
      </c>
      <c r="O5180" s="47" t="s">
        <v>105</v>
      </c>
      <c r="P5180" s="47" t="s">
        <v>41</v>
      </c>
      <c r="Q5180" s="14">
        <v>0</v>
      </c>
      <c r="R5180" s="143"/>
      <c r="S5180" s="47"/>
      <c r="T5180" s="6">
        <v>-283.64999999999998</v>
      </c>
      <c r="U5180" s="6"/>
      <c r="V5180" s="6">
        <v>121.39</v>
      </c>
      <c r="W5180" s="6">
        <f t="shared" ref="W5180:W5240" si="787">T5180+U5180-V5180</f>
        <v>-405.03999999999996</v>
      </c>
      <c r="X5180" s="6">
        <f t="shared" ref="X5180:X5240" si="788">IF(P5180="折扣",V5180*Q5180,IF(P5180="返现",V5180,V5180/(1+Q5180)))</f>
        <v>121.39</v>
      </c>
      <c r="Y5180" s="13">
        <f t="shared" si="782"/>
        <v>0</v>
      </c>
      <c r="Z5180" s="14">
        <v>0</v>
      </c>
      <c r="AA5180" s="6">
        <v>0</v>
      </c>
      <c r="AB5180" s="4">
        <f t="shared" si="783"/>
        <v>121.39</v>
      </c>
      <c r="AC5180" s="4">
        <f t="shared" si="785"/>
        <v>0</v>
      </c>
      <c r="AD5180" s="6">
        <f t="shared" ref="AD5180:AD5240" si="789">V5180</f>
        <v>121.39</v>
      </c>
      <c r="AE5180" s="2">
        <v>0.06</v>
      </c>
      <c r="AF5180" s="6">
        <f t="shared" si="786"/>
        <v>7.2833999999999994</v>
      </c>
      <c r="AG5180" s="14">
        <v>0</v>
      </c>
      <c r="AH5180" s="64">
        <f t="shared" ref="AH5180:AH5239" si="790">V5180</f>
        <v>121.39</v>
      </c>
      <c r="AI5180" s="47"/>
      <c r="AJ5180" s="126" t="e">
        <v>#N/A</v>
      </c>
      <c r="AK5180" s="80">
        <f t="shared" si="784"/>
        <v>0</v>
      </c>
      <c r="AM5180" s="85"/>
    </row>
    <row r="5181" spans="1:39" hidden="1" x14ac:dyDescent="0.3">
      <c r="A5181" s="89" t="s">
        <v>3394</v>
      </c>
      <c r="B5181" s="86" t="s">
        <v>35</v>
      </c>
      <c r="C5181" s="86" t="s">
        <v>164</v>
      </c>
      <c r="D5181" s="86" t="s">
        <v>165</v>
      </c>
      <c r="E5181" s="86" t="s">
        <v>166</v>
      </c>
      <c r="F5181" s="86" t="s">
        <v>245</v>
      </c>
      <c r="G5181" s="86" t="s">
        <v>166</v>
      </c>
      <c r="H5181" s="144">
        <v>229</v>
      </c>
      <c r="I5181" s="86" t="s">
        <v>3356</v>
      </c>
      <c r="J5181" s="1" t="s">
        <v>3326</v>
      </c>
      <c r="K5181" s="1" t="s">
        <v>3710</v>
      </c>
      <c r="L5181" s="1" t="s">
        <v>35</v>
      </c>
      <c r="M5181" s="86"/>
      <c r="N5181" s="86" t="s">
        <v>3710</v>
      </c>
      <c r="O5181" s="47" t="s">
        <v>105</v>
      </c>
      <c r="P5181" s="8" t="s">
        <v>353</v>
      </c>
      <c r="Q5181" s="9">
        <v>0.04</v>
      </c>
      <c r="R5181" s="143"/>
      <c r="S5181" s="47"/>
      <c r="T5181" s="6">
        <v>-8743.7000000000007</v>
      </c>
      <c r="U5181" s="6"/>
      <c r="V5181" s="6">
        <v>355.15999999999997</v>
      </c>
      <c r="W5181" s="6">
        <f t="shared" si="787"/>
        <v>-9098.86</v>
      </c>
      <c r="X5181" s="6">
        <f t="shared" si="788"/>
        <v>341.49999999999994</v>
      </c>
      <c r="Y5181" s="13">
        <f t="shared" si="782"/>
        <v>0</v>
      </c>
      <c r="Z5181" s="14">
        <v>0</v>
      </c>
      <c r="AA5181" s="6">
        <v>0</v>
      </c>
      <c r="AB5181" s="4">
        <f t="shared" si="783"/>
        <v>341.49999999999994</v>
      </c>
      <c r="AC5181" s="4">
        <f t="shared" si="785"/>
        <v>13.660000000000025</v>
      </c>
      <c r="AD5181" s="6">
        <f t="shared" si="789"/>
        <v>355.15999999999997</v>
      </c>
      <c r="AE5181" s="2">
        <v>0.06</v>
      </c>
      <c r="AF5181" s="6">
        <f t="shared" si="786"/>
        <v>21.309599999999996</v>
      </c>
      <c r="AG5181" s="14">
        <v>0</v>
      </c>
      <c r="AH5181" s="64">
        <f t="shared" si="790"/>
        <v>355.15999999999997</v>
      </c>
      <c r="AI5181" s="47"/>
      <c r="AJ5181" s="126" t="e">
        <v>#N/A</v>
      </c>
      <c r="AK5181" s="80">
        <f t="shared" si="784"/>
        <v>0</v>
      </c>
      <c r="AM5181" s="85"/>
    </row>
    <row r="5182" spans="1:39" hidden="1" x14ac:dyDescent="0.3">
      <c r="A5182" s="89" t="s">
        <v>3395</v>
      </c>
      <c r="B5182" s="86" t="s">
        <v>35</v>
      </c>
      <c r="C5182" s="86" t="s">
        <v>164</v>
      </c>
      <c r="D5182" s="86" t="s">
        <v>174</v>
      </c>
      <c r="E5182" s="86" t="s">
        <v>180</v>
      </c>
      <c r="F5182" s="86" t="s">
        <v>180</v>
      </c>
      <c r="G5182" s="86" t="s">
        <v>180</v>
      </c>
      <c r="H5182" s="144">
        <v>229</v>
      </c>
      <c r="I5182" s="86" t="s">
        <v>3356</v>
      </c>
      <c r="J5182" s="1" t="s">
        <v>3326</v>
      </c>
      <c r="K5182" s="1" t="s">
        <v>3712</v>
      </c>
      <c r="L5182" s="1" t="s">
        <v>35</v>
      </c>
      <c r="M5182" s="86"/>
      <c r="N5182" s="86" t="s">
        <v>3712</v>
      </c>
      <c r="O5182" s="47" t="s">
        <v>105</v>
      </c>
      <c r="P5182" s="1" t="s">
        <v>3355</v>
      </c>
      <c r="Q5182" s="2">
        <v>0.01</v>
      </c>
      <c r="R5182" s="143"/>
      <c r="S5182" s="47"/>
      <c r="T5182" s="6">
        <v>-0.29000000000000004</v>
      </c>
      <c r="U5182" s="6"/>
      <c r="V5182" s="6">
        <v>0.02</v>
      </c>
      <c r="W5182" s="6">
        <f t="shared" si="787"/>
        <v>-0.31000000000000005</v>
      </c>
      <c r="X5182" s="6">
        <f t="shared" si="788"/>
        <v>1.9801980198019802E-2</v>
      </c>
      <c r="Y5182" s="13">
        <f t="shared" si="782"/>
        <v>0</v>
      </c>
      <c r="Z5182" s="14">
        <v>0</v>
      </c>
      <c r="AA5182" s="6">
        <v>0</v>
      </c>
      <c r="AB5182" s="4">
        <f t="shared" si="783"/>
        <v>1.9801980198019802E-2</v>
      </c>
      <c r="AC5182" s="4">
        <f t="shared" si="785"/>
        <v>1.980198019801982E-4</v>
      </c>
      <c r="AD5182" s="6">
        <f t="shared" si="789"/>
        <v>0.02</v>
      </c>
      <c r="AE5182" s="2">
        <v>0.06</v>
      </c>
      <c r="AF5182" s="6">
        <f t="shared" si="786"/>
        <v>1.1999999999999999E-3</v>
      </c>
      <c r="AG5182" s="14">
        <v>0</v>
      </c>
      <c r="AH5182" s="64">
        <f t="shared" si="790"/>
        <v>0.02</v>
      </c>
      <c r="AI5182" s="47"/>
      <c r="AJ5182" s="126" t="e">
        <v>#N/A</v>
      </c>
      <c r="AK5182" s="80">
        <f t="shared" si="784"/>
        <v>0</v>
      </c>
      <c r="AM5182" s="85"/>
    </row>
    <row r="5183" spans="1:39" hidden="1" x14ac:dyDescent="0.3">
      <c r="A5183" s="89" t="s">
        <v>3394</v>
      </c>
      <c r="B5183" s="86" t="s">
        <v>35</v>
      </c>
      <c r="C5183" s="86" t="s">
        <v>184</v>
      </c>
      <c r="D5183" s="86" t="s">
        <v>185</v>
      </c>
      <c r="E5183" s="86" t="s">
        <v>186</v>
      </c>
      <c r="F5183" s="86" t="s">
        <v>186</v>
      </c>
      <c r="G5183" s="86" t="s">
        <v>186</v>
      </c>
      <c r="H5183" s="144">
        <v>229</v>
      </c>
      <c r="I5183" s="86" t="s">
        <v>3356</v>
      </c>
      <c r="J5183" s="1" t="s">
        <v>3326</v>
      </c>
      <c r="K5183" s="1" t="s">
        <v>3712</v>
      </c>
      <c r="L5183" s="1" t="s">
        <v>35</v>
      </c>
      <c r="M5183" s="86"/>
      <c r="N5183" s="86" t="s">
        <v>3712</v>
      </c>
      <c r="O5183" s="47" t="s">
        <v>105</v>
      </c>
      <c r="P5183" s="1" t="s">
        <v>3753</v>
      </c>
      <c r="Q5183" s="2">
        <v>0.01</v>
      </c>
      <c r="R5183" s="143"/>
      <c r="S5183" s="47"/>
      <c r="T5183" s="6">
        <v>-2558.84</v>
      </c>
      <c r="U5183" s="6"/>
      <c r="V5183" s="6">
        <v>8909.7300000000014</v>
      </c>
      <c r="W5183" s="6">
        <f t="shared" si="787"/>
        <v>-11468.570000000002</v>
      </c>
      <c r="X5183" s="6">
        <f t="shared" si="788"/>
        <v>8821.5148514851498</v>
      </c>
      <c r="Y5183" s="13">
        <f t="shared" si="782"/>
        <v>0</v>
      </c>
      <c r="Z5183" s="14">
        <v>0</v>
      </c>
      <c r="AA5183" s="6">
        <v>0</v>
      </c>
      <c r="AB5183" s="4">
        <f t="shared" si="783"/>
        <v>8821.5148514851498</v>
      </c>
      <c r="AC5183" s="4">
        <f t="shared" si="785"/>
        <v>88.215148514851535</v>
      </c>
      <c r="AD5183" s="6">
        <f t="shared" si="789"/>
        <v>8909.7300000000014</v>
      </c>
      <c r="AE5183" s="2">
        <v>0.06</v>
      </c>
      <c r="AF5183" s="6">
        <f t="shared" si="786"/>
        <v>534.58380000000011</v>
      </c>
      <c r="AG5183" s="14">
        <v>0</v>
      </c>
      <c r="AH5183" s="64">
        <f t="shared" si="790"/>
        <v>8909.7300000000014</v>
      </c>
      <c r="AI5183" s="47"/>
      <c r="AJ5183" s="126" t="e">
        <v>#N/A</v>
      </c>
      <c r="AK5183" s="80">
        <f t="shared" si="784"/>
        <v>0</v>
      </c>
      <c r="AM5183" s="85"/>
    </row>
    <row r="5184" spans="1:39" hidden="1" x14ac:dyDescent="0.3">
      <c r="A5184" s="89" t="s">
        <v>3394</v>
      </c>
      <c r="B5184" s="86" t="s">
        <v>35</v>
      </c>
      <c r="C5184" s="86" t="s">
        <v>187</v>
      </c>
      <c r="D5184" s="86" t="s">
        <v>188</v>
      </c>
      <c r="E5184" s="86" t="s">
        <v>189</v>
      </c>
      <c r="F5184" s="86" t="s">
        <v>189</v>
      </c>
      <c r="G5184" s="86" t="s">
        <v>189</v>
      </c>
      <c r="H5184" s="144">
        <v>229</v>
      </c>
      <c r="I5184" s="86" t="s">
        <v>3356</v>
      </c>
      <c r="J5184" s="1" t="s">
        <v>3326</v>
      </c>
      <c r="K5184" s="1" t="s">
        <v>3283</v>
      </c>
      <c r="L5184" s="1" t="s">
        <v>35</v>
      </c>
      <c r="M5184" s="86"/>
      <c r="N5184" s="86" t="s">
        <v>3283</v>
      </c>
      <c r="O5184" s="47" t="s">
        <v>105</v>
      </c>
      <c r="P5184" s="47" t="s">
        <v>46</v>
      </c>
      <c r="Q5184" s="14">
        <v>0.03</v>
      </c>
      <c r="R5184" s="143"/>
      <c r="S5184" s="47"/>
      <c r="T5184" s="6">
        <v>-375.84000000000003</v>
      </c>
      <c r="U5184" s="6"/>
      <c r="V5184" s="6">
        <v>169.00000000000003</v>
      </c>
      <c r="W5184" s="6">
        <f t="shared" si="787"/>
        <v>-544.84</v>
      </c>
      <c r="X5184" s="6">
        <f t="shared" si="788"/>
        <v>164.07766990291265</v>
      </c>
      <c r="Y5184" s="13">
        <f t="shared" si="782"/>
        <v>0</v>
      </c>
      <c r="Z5184" s="14">
        <v>0</v>
      </c>
      <c r="AA5184" s="6">
        <v>0</v>
      </c>
      <c r="AB5184" s="4">
        <f t="shared" si="783"/>
        <v>164.07766990291265</v>
      </c>
      <c r="AC5184" s="4">
        <f t="shared" si="785"/>
        <v>4.9223300970873822</v>
      </c>
      <c r="AD5184" s="6">
        <f t="shared" si="789"/>
        <v>169.00000000000003</v>
      </c>
      <c r="AE5184" s="2">
        <v>0.06</v>
      </c>
      <c r="AF5184" s="6">
        <f t="shared" si="786"/>
        <v>10.14</v>
      </c>
      <c r="AG5184" s="14">
        <v>0</v>
      </c>
      <c r="AH5184" s="64">
        <f t="shared" si="790"/>
        <v>169.00000000000003</v>
      </c>
      <c r="AI5184" s="47"/>
      <c r="AJ5184" s="126" t="e">
        <v>#N/A</v>
      </c>
      <c r="AK5184" s="80">
        <f t="shared" si="784"/>
        <v>0</v>
      </c>
      <c r="AM5184" s="85"/>
    </row>
    <row r="5185" spans="1:39" hidden="1" x14ac:dyDescent="0.3">
      <c r="A5185" s="89" t="s">
        <v>3395</v>
      </c>
      <c r="B5185" s="86" t="s">
        <v>35</v>
      </c>
      <c r="C5185" s="86" t="s">
        <v>187</v>
      </c>
      <c r="D5185" s="86" t="s">
        <v>188</v>
      </c>
      <c r="E5185" s="86" t="s">
        <v>191</v>
      </c>
      <c r="F5185" s="86" t="s">
        <v>191</v>
      </c>
      <c r="G5185" s="86" t="s">
        <v>191</v>
      </c>
      <c r="H5185" s="143">
        <v>229</v>
      </c>
      <c r="I5185" s="86" t="s">
        <v>3356</v>
      </c>
      <c r="J5185" s="1" t="s">
        <v>3326</v>
      </c>
      <c r="K5185" s="1" t="s">
        <v>3712</v>
      </c>
      <c r="L5185" s="1" t="s">
        <v>35</v>
      </c>
      <c r="M5185" s="86"/>
      <c r="N5185" s="86" t="s">
        <v>3712</v>
      </c>
      <c r="O5185" s="47" t="s">
        <v>105</v>
      </c>
      <c r="P5185" s="47" t="s">
        <v>46</v>
      </c>
      <c r="Q5185" s="14">
        <v>0.03</v>
      </c>
      <c r="R5185" s="143"/>
      <c r="S5185" s="47"/>
      <c r="T5185" s="6">
        <v>-158.97999999999999</v>
      </c>
      <c r="U5185" s="6"/>
      <c r="V5185" s="6">
        <v>0</v>
      </c>
      <c r="W5185" s="6">
        <f t="shared" si="787"/>
        <v>-158.97999999999999</v>
      </c>
      <c r="X5185" s="6">
        <f t="shared" si="788"/>
        <v>0</v>
      </c>
      <c r="Y5185" s="13">
        <f t="shared" si="782"/>
        <v>0</v>
      </c>
      <c r="Z5185" s="14">
        <v>0</v>
      </c>
      <c r="AA5185" s="6">
        <v>0</v>
      </c>
      <c r="AB5185" s="4">
        <f t="shared" si="783"/>
        <v>0</v>
      </c>
      <c r="AC5185" s="4">
        <f t="shared" si="785"/>
        <v>0</v>
      </c>
      <c r="AD5185" s="6">
        <f t="shared" si="789"/>
        <v>0</v>
      </c>
      <c r="AE5185" s="2">
        <v>0.06</v>
      </c>
      <c r="AF5185" s="6">
        <f t="shared" si="786"/>
        <v>0</v>
      </c>
      <c r="AG5185" s="14">
        <v>0</v>
      </c>
      <c r="AH5185" s="64">
        <f t="shared" si="790"/>
        <v>0</v>
      </c>
      <c r="AI5185" s="47"/>
      <c r="AJ5185" s="126" t="e">
        <v>#N/A</v>
      </c>
      <c r="AK5185" s="80">
        <f t="shared" si="784"/>
        <v>0</v>
      </c>
      <c r="AM5185" s="85"/>
    </row>
    <row r="5186" spans="1:39" hidden="1" x14ac:dyDescent="0.3">
      <c r="A5186" s="89" t="s">
        <v>3394</v>
      </c>
      <c r="B5186" s="86" t="s">
        <v>35</v>
      </c>
      <c r="C5186" s="86" t="s">
        <v>187</v>
      </c>
      <c r="D5186" s="86" t="s">
        <v>188</v>
      </c>
      <c r="E5186" s="86" t="s">
        <v>193</v>
      </c>
      <c r="F5186" s="86" t="s">
        <v>193</v>
      </c>
      <c r="G5186" s="86" t="s">
        <v>193</v>
      </c>
      <c r="H5186" s="144">
        <v>229</v>
      </c>
      <c r="I5186" s="86" t="s">
        <v>3356</v>
      </c>
      <c r="J5186" s="1" t="s">
        <v>3326</v>
      </c>
      <c r="K5186" s="1" t="s">
        <v>3283</v>
      </c>
      <c r="L5186" s="1" t="s">
        <v>35</v>
      </c>
      <c r="M5186" s="86"/>
      <c r="N5186" s="86" t="s">
        <v>3283</v>
      </c>
      <c r="O5186" s="47" t="s">
        <v>105</v>
      </c>
      <c r="P5186" s="47" t="s">
        <v>46</v>
      </c>
      <c r="Q5186" s="14">
        <v>0.04</v>
      </c>
      <c r="R5186" s="143"/>
      <c r="S5186" s="47"/>
      <c r="T5186" s="6">
        <v>-881.52</v>
      </c>
      <c r="U5186" s="6"/>
      <c r="V5186" s="6">
        <v>36789.589999999997</v>
      </c>
      <c r="W5186" s="6">
        <f t="shared" si="787"/>
        <v>-37671.109999999993</v>
      </c>
      <c r="X5186" s="6">
        <f t="shared" si="788"/>
        <v>35374.605769230766</v>
      </c>
      <c r="Y5186" s="13">
        <f t="shared" si="782"/>
        <v>0</v>
      </c>
      <c r="Z5186" s="14">
        <v>0</v>
      </c>
      <c r="AA5186" s="6">
        <v>0</v>
      </c>
      <c r="AB5186" s="4">
        <f t="shared" si="783"/>
        <v>35374.605769230766</v>
      </c>
      <c r="AC5186" s="4">
        <f t="shared" si="785"/>
        <v>1414.9842307692306</v>
      </c>
      <c r="AD5186" s="6">
        <f t="shared" si="789"/>
        <v>36789.589999999997</v>
      </c>
      <c r="AE5186" s="2">
        <v>0.06</v>
      </c>
      <c r="AF5186" s="6">
        <f t="shared" si="786"/>
        <v>2207.3753999999999</v>
      </c>
      <c r="AG5186" s="14">
        <v>0</v>
      </c>
      <c r="AH5186" s="64">
        <f t="shared" si="790"/>
        <v>36789.589999999997</v>
      </c>
      <c r="AI5186" s="47"/>
      <c r="AJ5186" s="126" t="e">
        <v>#N/A</v>
      </c>
      <c r="AK5186" s="80">
        <f t="shared" si="784"/>
        <v>0</v>
      </c>
      <c r="AM5186" s="85"/>
    </row>
    <row r="5187" spans="1:39" hidden="1" x14ac:dyDescent="0.3">
      <c r="A5187" s="89" t="s">
        <v>3395</v>
      </c>
      <c r="B5187" s="86" t="s">
        <v>35</v>
      </c>
      <c r="C5187" s="86" t="s">
        <v>187</v>
      </c>
      <c r="D5187" s="86" t="s">
        <v>188</v>
      </c>
      <c r="E5187" s="86" t="s">
        <v>195</v>
      </c>
      <c r="F5187" s="86" t="s">
        <v>195</v>
      </c>
      <c r="G5187" s="86" t="s">
        <v>195</v>
      </c>
      <c r="H5187" s="143">
        <v>229</v>
      </c>
      <c r="I5187" s="86" t="s">
        <v>3356</v>
      </c>
      <c r="J5187" s="1" t="s">
        <v>3326</v>
      </c>
      <c r="K5187" s="1" t="s">
        <v>3283</v>
      </c>
      <c r="L5187" s="1" t="s">
        <v>35</v>
      </c>
      <c r="M5187" s="86"/>
      <c r="N5187" s="86" t="s">
        <v>3283</v>
      </c>
      <c r="O5187" s="47" t="s">
        <v>105</v>
      </c>
      <c r="P5187" s="47" t="s">
        <v>46</v>
      </c>
      <c r="Q5187" s="14">
        <v>0.03</v>
      </c>
      <c r="R5187" s="143"/>
      <c r="S5187" s="47"/>
      <c r="T5187" s="6">
        <v>-43.87</v>
      </c>
      <c r="U5187" s="6"/>
      <c r="V5187" s="6">
        <v>0</v>
      </c>
      <c r="W5187" s="6">
        <f t="shared" si="787"/>
        <v>-43.87</v>
      </c>
      <c r="X5187" s="6">
        <f t="shared" si="788"/>
        <v>0</v>
      </c>
      <c r="Y5187" s="13">
        <f t="shared" ref="Y5187:Y5250" si="791">IF(X5187-AD5187&lt;=0,0,IF(P5187="返现",MAX(X5187-AC5187-AD5187,0),MAX(X5187-AD5187)))</f>
        <v>0</v>
      </c>
      <c r="Z5187" s="14">
        <v>0</v>
      </c>
      <c r="AA5187" s="6">
        <v>0</v>
      </c>
      <c r="AB5187" s="4">
        <f t="shared" ref="AB5187:AB5250" si="792">X5187+AA5187</f>
        <v>0</v>
      </c>
      <c r="AC5187" s="4">
        <f t="shared" si="785"/>
        <v>0</v>
      </c>
      <c r="AD5187" s="6">
        <f t="shared" si="789"/>
        <v>0</v>
      </c>
      <c r="AE5187" s="2">
        <v>0.06</v>
      </c>
      <c r="AF5187" s="6">
        <f t="shared" si="786"/>
        <v>0</v>
      </c>
      <c r="AG5187" s="14">
        <v>0</v>
      </c>
      <c r="AH5187" s="64">
        <f t="shared" si="790"/>
        <v>0</v>
      </c>
      <c r="AI5187" s="47"/>
      <c r="AJ5187" s="126" t="e">
        <v>#N/A</v>
      </c>
      <c r="AK5187" s="80">
        <f t="shared" ref="AK5187:AK5250" si="793">X5187+AA5187-AB5187</f>
        <v>0</v>
      </c>
      <c r="AM5187" s="85"/>
    </row>
    <row r="5188" spans="1:39" hidden="1" x14ac:dyDescent="0.3">
      <c r="A5188" s="89" t="s">
        <v>3394</v>
      </c>
      <c r="B5188" s="86" t="s">
        <v>35</v>
      </c>
      <c r="C5188" s="86" t="s">
        <v>187</v>
      </c>
      <c r="D5188" s="86" t="s">
        <v>188</v>
      </c>
      <c r="E5188" s="86" t="s">
        <v>196</v>
      </c>
      <c r="F5188" s="86" t="s">
        <v>196</v>
      </c>
      <c r="G5188" s="86" t="s">
        <v>196</v>
      </c>
      <c r="H5188" s="143">
        <v>229</v>
      </c>
      <c r="I5188" s="86" t="s">
        <v>3356</v>
      </c>
      <c r="J5188" s="1" t="s">
        <v>3326</v>
      </c>
      <c r="K5188" s="1" t="s">
        <v>3712</v>
      </c>
      <c r="L5188" s="1" t="s">
        <v>35</v>
      </c>
      <c r="M5188" s="86"/>
      <c r="N5188" s="86" t="s">
        <v>3712</v>
      </c>
      <c r="O5188" s="47" t="s">
        <v>105</v>
      </c>
      <c r="P5188" s="47" t="s">
        <v>46</v>
      </c>
      <c r="Q5188" s="14">
        <v>5.0000000000000044E-2</v>
      </c>
      <c r="R5188" s="143"/>
      <c r="S5188" s="47"/>
      <c r="T5188" s="6">
        <v>-494.21000000000004</v>
      </c>
      <c r="U5188" s="6"/>
      <c r="V5188" s="6">
        <v>0</v>
      </c>
      <c r="W5188" s="6">
        <v>0</v>
      </c>
      <c r="X5188" s="6">
        <f t="shared" si="788"/>
        <v>0</v>
      </c>
      <c r="Y5188" s="13">
        <f t="shared" si="791"/>
        <v>0</v>
      </c>
      <c r="Z5188" s="14">
        <v>0</v>
      </c>
      <c r="AA5188" s="6">
        <v>0</v>
      </c>
      <c r="AB5188" s="4">
        <f t="shared" si="792"/>
        <v>0</v>
      </c>
      <c r="AC5188" s="4">
        <f t="shared" si="785"/>
        <v>0</v>
      </c>
      <c r="AD5188" s="6">
        <f t="shared" si="789"/>
        <v>0</v>
      </c>
      <c r="AE5188" s="2">
        <v>0.06</v>
      </c>
      <c r="AF5188" s="6">
        <f t="shared" si="786"/>
        <v>0</v>
      </c>
      <c r="AG5188" s="14">
        <v>0</v>
      </c>
      <c r="AH5188" s="64">
        <f t="shared" si="790"/>
        <v>0</v>
      </c>
      <c r="AI5188" s="47"/>
      <c r="AJ5188" s="126" t="e">
        <v>#N/A</v>
      </c>
      <c r="AK5188" s="80">
        <f t="shared" si="793"/>
        <v>0</v>
      </c>
      <c r="AM5188" s="85"/>
    </row>
    <row r="5189" spans="1:39" hidden="1" x14ac:dyDescent="0.3">
      <c r="A5189" s="89" t="s">
        <v>3394</v>
      </c>
      <c r="B5189" s="86" t="s">
        <v>35</v>
      </c>
      <c r="C5189" s="86" t="s">
        <v>187</v>
      </c>
      <c r="D5189" s="86" t="s">
        <v>188</v>
      </c>
      <c r="E5189" s="86" t="s">
        <v>198</v>
      </c>
      <c r="F5189" s="86" t="s">
        <v>198</v>
      </c>
      <c r="G5189" s="86" t="s">
        <v>198</v>
      </c>
      <c r="H5189" s="143">
        <v>229</v>
      </c>
      <c r="I5189" s="86" t="s">
        <v>3356</v>
      </c>
      <c r="J5189" s="1" t="s">
        <v>3326</v>
      </c>
      <c r="K5189" s="1" t="s">
        <v>3283</v>
      </c>
      <c r="L5189" s="1" t="s">
        <v>35</v>
      </c>
      <c r="M5189" s="86"/>
      <c r="N5189" s="86" t="s">
        <v>3283</v>
      </c>
      <c r="O5189" s="47" t="s">
        <v>105</v>
      </c>
      <c r="P5189" s="47" t="s">
        <v>41</v>
      </c>
      <c r="Q5189" s="14">
        <v>0</v>
      </c>
      <c r="R5189" s="143"/>
      <c r="S5189" s="47"/>
      <c r="T5189" s="6">
        <v>-651.94999999999993</v>
      </c>
      <c r="U5189" s="6"/>
      <c r="V5189" s="6">
        <v>0</v>
      </c>
      <c r="W5189" s="6">
        <f t="shared" si="787"/>
        <v>-651.94999999999993</v>
      </c>
      <c r="X5189" s="6">
        <f t="shared" si="788"/>
        <v>0</v>
      </c>
      <c r="Y5189" s="13">
        <f t="shared" si="791"/>
        <v>0</v>
      </c>
      <c r="Z5189" s="14">
        <v>0</v>
      </c>
      <c r="AA5189" s="6">
        <v>0</v>
      </c>
      <c r="AB5189" s="4">
        <f t="shared" si="792"/>
        <v>0</v>
      </c>
      <c r="AC5189" s="4">
        <f t="shared" si="785"/>
        <v>0</v>
      </c>
      <c r="AD5189" s="6">
        <f t="shared" si="789"/>
        <v>0</v>
      </c>
      <c r="AE5189" s="2">
        <v>0.06</v>
      </c>
      <c r="AF5189" s="6">
        <f t="shared" si="786"/>
        <v>0</v>
      </c>
      <c r="AG5189" s="14">
        <v>0</v>
      </c>
      <c r="AH5189" s="64">
        <f t="shared" si="790"/>
        <v>0</v>
      </c>
      <c r="AI5189" s="47"/>
      <c r="AJ5189" s="126" t="e">
        <v>#N/A</v>
      </c>
      <c r="AK5189" s="80">
        <f t="shared" si="793"/>
        <v>0</v>
      </c>
      <c r="AM5189" s="85"/>
    </row>
    <row r="5190" spans="1:39" hidden="1" x14ac:dyDescent="0.3">
      <c r="A5190" s="89" t="s">
        <v>3395</v>
      </c>
      <c r="B5190" s="86" t="s">
        <v>35</v>
      </c>
      <c r="C5190" s="86" t="s">
        <v>187</v>
      </c>
      <c r="D5190" s="86" t="s">
        <v>188</v>
      </c>
      <c r="E5190" s="86" t="s">
        <v>267</v>
      </c>
      <c r="F5190" s="86" t="s">
        <v>267</v>
      </c>
      <c r="G5190" s="86" t="s">
        <v>267</v>
      </c>
      <c r="H5190" s="144">
        <v>229</v>
      </c>
      <c r="I5190" s="86" t="s">
        <v>3356</v>
      </c>
      <c r="J5190" s="1" t="s">
        <v>3326</v>
      </c>
      <c r="K5190" s="1" t="s">
        <v>3283</v>
      </c>
      <c r="L5190" s="1" t="s">
        <v>35</v>
      </c>
      <c r="M5190" s="86"/>
      <c r="N5190" s="86" t="s">
        <v>3283</v>
      </c>
      <c r="O5190" s="47" t="s">
        <v>105</v>
      </c>
      <c r="P5190" s="47" t="s">
        <v>46</v>
      </c>
      <c r="Q5190" s="14">
        <v>0.04</v>
      </c>
      <c r="R5190" s="143"/>
      <c r="S5190" s="47"/>
      <c r="T5190" s="6">
        <v>-327.36999999999989</v>
      </c>
      <c r="U5190" s="6"/>
      <c r="V5190" s="6">
        <v>36281.829999999987</v>
      </c>
      <c r="W5190" s="6">
        <f t="shared" si="787"/>
        <v>-36609.19999999999</v>
      </c>
      <c r="X5190" s="6">
        <f t="shared" si="788"/>
        <v>34886.374999999985</v>
      </c>
      <c r="Y5190" s="13">
        <f t="shared" si="791"/>
        <v>0</v>
      </c>
      <c r="Z5190" s="14">
        <v>0</v>
      </c>
      <c r="AA5190" s="6">
        <v>0</v>
      </c>
      <c r="AB5190" s="4">
        <f t="shared" si="792"/>
        <v>34886.374999999985</v>
      </c>
      <c r="AC5190" s="4">
        <f t="shared" si="785"/>
        <v>1395.4550000000017</v>
      </c>
      <c r="AD5190" s="6">
        <f t="shared" si="789"/>
        <v>36281.829999999987</v>
      </c>
      <c r="AE5190" s="2">
        <v>0.06</v>
      </c>
      <c r="AF5190" s="6">
        <f t="shared" si="786"/>
        <v>2176.909799999999</v>
      </c>
      <c r="AG5190" s="14">
        <v>0</v>
      </c>
      <c r="AH5190" s="64">
        <f t="shared" si="790"/>
        <v>36281.829999999987</v>
      </c>
      <c r="AI5190" s="47"/>
      <c r="AJ5190" s="126" t="e">
        <v>#N/A</v>
      </c>
      <c r="AK5190" s="80">
        <f t="shared" si="793"/>
        <v>0</v>
      </c>
      <c r="AM5190" s="85"/>
    </row>
    <row r="5191" spans="1:39" hidden="1" x14ac:dyDescent="0.3">
      <c r="A5191" s="89" t="s">
        <v>3394</v>
      </c>
      <c r="B5191" s="86" t="s">
        <v>35</v>
      </c>
      <c r="C5191" s="86" t="s">
        <v>187</v>
      </c>
      <c r="D5191" s="86" t="s">
        <v>188</v>
      </c>
      <c r="E5191" s="86" t="s">
        <v>202</v>
      </c>
      <c r="F5191" s="86" t="s">
        <v>202</v>
      </c>
      <c r="G5191" s="86" t="s">
        <v>202</v>
      </c>
      <c r="H5191" s="144">
        <v>229</v>
      </c>
      <c r="I5191" s="86" t="s">
        <v>3356</v>
      </c>
      <c r="J5191" s="1" t="s">
        <v>3326</v>
      </c>
      <c r="K5191" s="1" t="s">
        <v>3283</v>
      </c>
      <c r="L5191" s="1" t="s">
        <v>35</v>
      </c>
      <c r="M5191" s="86"/>
      <c r="N5191" s="86" t="s">
        <v>3283</v>
      </c>
      <c r="O5191" s="47" t="s">
        <v>105</v>
      </c>
      <c r="P5191" s="47" t="s">
        <v>46</v>
      </c>
      <c r="Q5191" s="14">
        <v>0.04</v>
      </c>
      <c r="R5191" s="143"/>
      <c r="S5191" s="47"/>
      <c r="T5191" s="6">
        <v>-111.32000000000001</v>
      </c>
      <c r="U5191" s="6"/>
      <c r="V5191" s="6">
        <v>3823.51</v>
      </c>
      <c r="W5191" s="6">
        <f t="shared" si="787"/>
        <v>-3934.8300000000004</v>
      </c>
      <c r="X5191" s="6">
        <f t="shared" si="788"/>
        <v>3676.4519230769233</v>
      </c>
      <c r="Y5191" s="13">
        <f t="shared" si="791"/>
        <v>0</v>
      </c>
      <c r="Z5191" s="14">
        <v>0</v>
      </c>
      <c r="AA5191" s="6">
        <v>0</v>
      </c>
      <c r="AB5191" s="4">
        <f t="shared" si="792"/>
        <v>3676.4519230769233</v>
      </c>
      <c r="AC5191" s="4">
        <f t="shared" si="785"/>
        <v>147.0580769230769</v>
      </c>
      <c r="AD5191" s="6">
        <f t="shared" si="789"/>
        <v>3823.51</v>
      </c>
      <c r="AE5191" s="2">
        <v>0.06</v>
      </c>
      <c r="AF5191" s="6">
        <f t="shared" si="786"/>
        <v>229.41060000000002</v>
      </c>
      <c r="AG5191" s="14">
        <v>0</v>
      </c>
      <c r="AH5191" s="64">
        <f t="shared" si="790"/>
        <v>3823.51</v>
      </c>
      <c r="AI5191" s="47"/>
      <c r="AJ5191" s="126" t="e">
        <v>#N/A</v>
      </c>
      <c r="AK5191" s="80">
        <f t="shared" si="793"/>
        <v>0</v>
      </c>
      <c r="AM5191" s="85"/>
    </row>
    <row r="5192" spans="1:39" hidden="1" x14ac:dyDescent="0.3">
      <c r="A5192" s="89" t="s">
        <v>3395</v>
      </c>
      <c r="B5192" s="86" t="s">
        <v>35</v>
      </c>
      <c r="C5192" s="86" t="s">
        <v>187</v>
      </c>
      <c r="D5192" s="86" t="s">
        <v>188</v>
      </c>
      <c r="E5192" s="86" t="s">
        <v>204</v>
      </c>
      <c r="F5192" s="86" t="s">
        <v>204</v>
      </c>
      <c r="G5192" s="86" t="s">
        <v>204</v>
      </c>
      <c r="H5192" s="144">
        <v>229</v>
      </c>
      <c r="I5192" s="86" t="s">
        <v>3356</v>
      </c>
      <c r="J5192" s="1" t="s">
        <v>3326</v>
      </c>
      <c r="K5192" s="1" t="s">
        <v>3283</v>
      </c>
      <c r="L5192" s="1" t="s">
        <v>35</v>
      </c>
      <c r="M5192" s="86"/>
      <c r="N5192" s="86" t="s">
        <v>3283</v>
      </c>
      <c r="O5192" s="47" t="s">
        <v>105</v>
      </c>
      <c r="P5192" s="47" t="s">
        <v>46</v>
      </c>
      <c r="Q5192" s="14">
        <v>0.03</v>
      </c>
      <c r="R5192" s="143"/>
      <c r="S5192" s="47"/>
      <c r="T5192" s="6">
        <v>0</v>
      </c>
      <c r="U5192" s="6"/>
      <c r="V5192" s="6">
        <v>819.37999999999988</v>
      </c>
      <c r="W5192" s="6">
        <f t="shared" si="787"/>
        <v>-819.37999999999988</v>
      </c>
      <c r="X5192" s="6">
        <f t="shared" si="788"/>
        <v>795.514563106796</v>
      </c>
      <c r="Y5192" s="13">
        <f t="shared" si="791"/>
        <v>0</v>
      </c>
      <c r="Z5192" s="14">
        <v>0</v>
      </c>
      <c r="AA5192" s="6">
        <v>0</v>
      </c>
      <c r="AB5192" s="4">
        <f t="shared" si="792"/>
        <v>795.514563106796</v>
      </c>
      <c r="AC5192" s="4">
        <f t="shared" si="785"/>
        <v>23.865436893203878</v>
      </c>
      <c r="AD5192" s="6">
        <f t="shared" si="789"/>
        <v>819.37999999999988</v>
      </c>
      <c r="AE5192" s="2">
        <v>0.06</v>
      </c>
      <c r="AF5192" s="6">
        <f t="shared" si="786"/>
        <v>49.16279999999999</v>
      </c>
      <c r="AG5192" s="14">
        <v>0</v>
      </c>
      <c r="AH5192" s="64">
        <f t="shared" si="790"/>
        <v>819.37999999999988</v>
      </c>
      <c r="AI5192" s="47"/>
      <c r="AJ5192" s="126" t="e">
        <v>#N/A</v>
      </c>
      <c r="AK5192" s="80">
        <f t="shared" si="793"/>
        <v>0</v>
      </c>
      <c r="AM5192" s="85"/>
    </row>
    <row r="5193" spans="1:39" hidden="1" x14ac:dyDescent="0.3">
      <c r="A5193" s="89" t="s">
        <v>3394</v>
      </c>
      <c r="B5193" s="86" t="s">
        <v>35</v>
      </c>
      <c r="C5193" s="86" t="s">
        <v>187</v>
      </c>
      <c r="D5193" s="86" t="s">
        <v>188</v>
      </c>
      <c r="E5193" s="86" t="s">
        <v>205</v>
      </c>
      <c r="F5193" s="86" t="s">
        <v>205</v>
      </c>
      <c r="G5193" s="86" t="s">
        <v>205</v>
      </c>
      <c r="H5193" s="144">
        <v>229</v>
      </c>
      <c r="I5193" s="86" t="s">
        <v>3356</v>
      </c>
      <c r="J5193" s="1" t="s">
        <v>3326</v>
      </c>
      <c r="K5193" s="1" t="s">
        <v>3283</v>
      </c>
      <c r="L5193" s="1" t="s">
        <v>35</v>
      </c>
      <c r="M5193" s="86"/>
      <c r="N5193" s="86" t="s">
        <v>3283</v>
      </c>
      <c r="O5193" s="47" t="s">
        <v>105</v>
      </c>
      <c r="P5193" s="47" t="s">
        <v>41</v>
      </c>
      <c r="Q5193" s="14">
        <v>0</v>
      </c>
      <c r="R5193" s="143"/>
      <c r="S5193" s="47"/>
      <c r="T5193" s="6">
        <v>-4470.3500000000004</v>
      </c>
      <c r="U5193" s="6"/>
      <c r="V5193" s="6">
        <v>1483.02</v>
      </c>
      <c r="W5193" s="6">
        <f t="shared" si="787"/>
        <v>-5953.3700000000008</v>
      </c>
      <c r="X5193" s="6">
        <f t="shared" si="788"/>
        <v>1483.02</v>
      </c>
      <c r="Y5193" s="13">
        <f t="shared" si="791"/>
        <v>0</v>
      </c>
      <c r="Z5193" s="14">
        <v>0</v>
      </c>
      <c r="AA5193" s="6">
        <v>0</v>
      </c>
      <c r="AB5193" s="4">
        <f t="shared" si="792"/>
        <v>1483.02</v>
      </c>
      <c r="AC5193" s="4">
        <f t="shared" si="785"/>
        <v>0</v>
      </c>
      <c r="AD5193" s="6">
        <f t="shared" si="789"/>
        <v>1483.02</v>
      </c>
      <c r="AE5193" s="2">
        <v>0.06</v>
      </c>
      <c r="AF5193" s="6">
        <f t="shared" si="786"/>
        <v>88.981200000000001</v>
      </c>
      <c r="AG5193" s="14">
        <v>0</v>
      </c>
      <c r="AH5193" s="64">
        <f t="shared" si="790"/>
        <v>1483.02</v>
      </c>
      <c r="AI5193" s="47"/>
      <c r="AJ5193" s="126" t="e">
        <v>#N/A</v>
      </c>
      <c r="AK5193" s="80">
        <f t="shared" si="793"/>
        <v>0</v>
      </c>
      <c r="AM5193" s="85"/>
    </row>
    <row r="5194" spans="1:39" hidden="1" x14ac:dyDescent="0.3">
      <c r="A5194" s="89" t="s">
        <v>3394</v>
      </c>
      <c r="B5194" s="86" t="s">
        <v>35</v>
      </c>
      <c r="C5194" s="86" t="s">
        <v>187</v>
      </c>
      <c r="D5194" s="86" t="s">
        <v>208</v>
      </c>
      <c r="E5194" s="86" t="s">
        <v>211</v>
      </c>
      <c r="F5194" s="86" t="s">
        <v>211</v>
      </c>
      <c r="G5194" s="86" t="s">
        <v>211</v>
      </c>
      <c r="H5194" s="144">
        <v>229</v>
      </c>
      <c r="I5194" s="86" t="s">
        <v>3356</v>
      </c>
      <c r="J5194" s="1" t="s">
        <v>3326</v>
      </c>
      <c r="K5194" s="1" t="s">
        <v>3283</v>
      </c>
      <c r="L5194" s="1" t="s">
        <v>35</v>
      </c>
      <c r="M5194" s="86"/>
      <c r="N5194" s="86" t="s">
        <v>3283</v>
      </c>
      <c r="O5194" s="47" t="s">
        <v>105</v>
      </c>
      <c r="P5194" s="47" t="s">
        <v>46</v>
      </c>
      <c r="Q5194" s="14">
        <v>0.04</v>
      </c>
      <c r="R5194" s="143"/>
      <c r="S5194" s="47"/>
      <c r="T5194" s="6">
        <v>-6.19</v>
      </c>
      <c r="U5194" s="6"/>
      <c r="V5194" s="6">
        <v>1.1399999999999999</v>
      </c>
      <c r="W5194" s="6">
        <v>0</v>
      </c>
      <c r="X5194" s="6">
        <f t="shared" si="788"/>
        <v>1.096153846153846</v>
      </c>
      <c r="Y5194" s="13">
        <f t="shared" si="791"/>
        <v>0</v>
      </c>
      <c r="Z5194" s="14">
        <v>0</v>
      </c>
      <c r="AA5194" s="6">
        <v>0</v>
      </c>
      <c r="AB5194" s="4">
        <f t="shared" si="792"/>
        <v>1.096153846153846</v>
      </c>
      <c r="AC5194" s="4">
        <f t="shared" si="785"/>
        <v>4.3846153846153868E-2</v>
      </c>
      <c r="AD5194" s="6">
        <f t="shared" si="789"/>
        <v>1.1399999999999999</v>
      </c>
      <c r="AE5194" s="2">
        <v>0.06</v>
      </c>
      <c r="AF5194" s="6">
        <f t="shared" si="786"/>
        <v>6.8399999999999989E-2</v>
      </c>
      <c r="AG5194" s="14">
        <v>0</v>
      </c>
      <c r="AH5194" s="64">
        <f t="shared" si="790"/>
        <v>1.1399999999999999</v>
      </c>
      <c r="AI5194" s="47"/>
      <c r="AJ5194" s="126" t="e">
        <v>#N/A</v>
      </c>
      <c r="AK5194" s="80">
        <f t="shared" si="793"/>
        <v>0</v>
      </c>
      <c r="AM5194" s="85"/>
    </row>
    <row r="5195" spans="1:39" hidden="1" x14ac:dyDescent="0.3">
      <c r="A5195" s="89" t="s">
        <v>3394</v>
      </c>
      <c r="B5195" s="86" t="s">
        <v>35</v>
      </c>
      <c r="C5195" s="86" t="s">
        <v>187</v>
      </c>
      <c r="D5195" s="86" t="s">
        <v>208</v>
      </c>
      <c r="E5195" s="86" t="s">
        <v>212</v>
      </c>
      <c r="F5195" s="86" t="s">
        <v>212</v>
      </c>
      <c r="G5195" s="86" t="s">
        <v>212</v>
      </c>
      <c r="H5195" s="144">
        <v>229</v>
      </c>
      <c r="I5195" s="86" t="s">
        <v>3356</v>
      </c>
      <c r="J5195" s="1" t="s">
        <v>3326</v>
      </c>
      <c r="K5195" s="1" t="s">
        <v>3283</v>
      </c>
      <c r="L5195" s="1" t="s">
        <v>35</v>
      </c>
      <c r="M5195" s="86"/>
      <c r="N5195" s="86" t="s">
        <v>3283</v>
      </c>
      <c r="O5195" s="47" t="s">
        <v>105</v>
      </c>
      <c r="P5195" s="8" t="s">
        <v>46</v>
      </c>
      <c r="Q5195" s="9">
        <v>0.04</v>
      </c>
      <c r="R5195" s="143"/>
      <c r="S5195" s="47"/>
      <c r="T5195" s="6">
        <v>-41.5</v>
      </c>
      <c r="U5195" s="6"/>
      <c r="V5195" s="6">
        <v>7.5500000000000016</v>
      </c>
      <c r="W5195" s="6">
        <f t="shared" si="787"/>
        <v>-49.050000000000004</v>
      </c>
      <c r="X5195" s="6">
        <f t="shared" si="788"/>
        <v>7.2596153846153859</v>
      </c>
      <c r="Y5195" s="13">
        <f t="shared" si="791"/>
        <v>0</v>
      </c>
      <c r="Z5195" s="14">
        <v>0</v>
      </c>
      <c r="AA5195" s="6">
        <v>0</v>
      </c>
      <c r="AB5195" s="4">
        <f t="shared" si="792"/>
        <v>7.2596153846153859</v>
      </c>
      <c r="AC5195" s="4">
        <f t="shared" si="785"/>
        <v>0.29038461538461569</v>
      </c>
      <c r="AD5195" s="6">
        <f t="shared" si="789"/>
        <v>7.5500000000000016</v>
      </c>
      <c r="AE5195" s="2">
        <v>0.06</v>
      </c>
      <c r="AF5195" s="6">
        <f t="shared" si="786"/>
        <v>0.45300000000000007</v>
      </c>
      <c r="AG5195" s="14">
        <v>0</v>
      </c>
      <c r="AH5195" s="64">
        <f t="shared" si="790"/>
        <v>7.5500000000000016</v>
      </c>
      <c r="AI5195" s="47"/>
      <c r="AJ5195" s="126" t="e">
        <v>#N/A</v>
      </c>
      <c r="AK5195" s="80">
        <f t="shared" si="793"/>
        <v>0</v>
      </c>
      <c r="AM5195" s="85"/>
    </row>
    <row r="5196" spans="1:39" hidden="1" x14ac:dyDescent="0.3">
      <c r="A5196" s="89" t="s">
        <v>3394</v>
      </c>
      <c r="B5196" s="86" t="s">
        <v>35</v>
      </c>
      <c r="C5196" s="86" t="s">
        <v>187</v>
      </c>
      <c r="D5196" s="86" t="s">
        <v>208</v>
      </c>
      <c r="E5196" s="86" t="s">
        <v>219</v>
      </c>
      <c r="F5196" s="86" t="s">
        <v>219</v>
      </c>
      <c r="G5196" s="86" t="s">
        <v>219</v>
      </c>
      <c r="H5196" s="144">
        <v>229</v>
      </c>
      <c r="I5196" s="86" t="s">
        <v>3356</v>
      </c>
      <c r="J5196" s="1" t="s">
        <v>3326</v>
      </c>
      <c r="K5196" s="1" t="s">
        <v>3283</v>
      </c>
      <c r="L5196" s="1" t="s">
        <v>35</v>
      </c>
      <c r="M5196" s="86"/>
      <c r="N5196" s="86" t="s">
        <v>3283</v>
      </c>
      <c r="O5196" s="47" t="s">
        <v>105</v>
      </c>
      <c r="P5196" s="47" t="s">
        <v>41</v>
      </c>
      <c r="Q5196" s="14">
        <v>0</v>
      </c>
      <c r="R5196" s="143"/>
      <c r="S5196" s="47"/>
      <c r="T5196" s="6">
        <v>-581.86</v>
      </c>
      <c r="U5196" s="6"/>
      <c r="V5196" s="6">
        <v>6.07</v>
      </c>
      <c r="W5196" s="6">
        <f t="shared" si="787"/>
        <v>-587.93000000000006</v>
      </c>
      <c r="X5196" s="6">
        <f t="shared" si="788"/>
        <v>6.07</v>
      </c>
      <c r="Y5196" s="13">
        <f t="shared" si="791"/>
        <v>0</v>
      </c>
      <c r="Z5196" s="14">
        <v>0</v>
      </c>
      <c r="AA5196" s="6">
        <v>0</v>
      </c>
      <c r="AB5196" s="4">
        <f t="shared" si="792"/>
        <v>6.07</v>
      </c>
      <c r="AC5196" s="4">
        <f t="shared" ref="AC5196:AC5259" si="794">IF(P5196="返现",X5196*Q5196,V5196-X5196)</f>
        <v>0</v>
      </c>
      <c r="AD5196" s="6">
        <f t="shared" si="789"/>
        <v>6.07</v>
      </c>
      <c r="AE5196" s="2">
        <v>0.06</v>
      </c>
      <c r="AF5196" s="6">
        <f t="shared" ref="AF5196:AF5259" si="795">AD5196*AE5196</f>
        <v>0.36420000000000002</v>
      </c>
      <c r="AG5196" s="14">
        <v>0</v>
      </c>
      <c r="AH5196" s="64">
        <f t="shared" si="790"/>
        <v>6.07</v>
      </c>
      <c r="AI5196" s="47"/>
      <c r="AJ5196" s="126" t="e">
        <v>#N/A</v>
      </c>
      <c r="AK5196" s="80">
        <f t="shared" si="793"/>
        <v>0</v>
      </c>
      <c r="AM5196" s="85"/>
    </row>
    <row r="5197" spans="1:39" hidden="1" x14ac:dyDescent="0.3">
      <c r="A5197" s="89" t="s">
        <v>3394</v>
      </c>
      <c r="B5197" s="86" t="s">
        <v>35</v>
      </c>
      <c r="C5197" s="86" t="s">
        <v>59</v>
      </c>
      <c r="D5197" s="86" t="s">
        <v>60</v>
      </c>
      <c r="E5197" s="86" t="s">
        <v>327</v>
      </c>
      <c r="F5197" s="86" t="s">
        <v>3635</v>
      </c>
      <c r="G5197" s="86" t="s">
        <v>327</v>
      </c>
      <c r="H5197" s="144">
        <v>229</v>
      </c>
      <c r="I5197" s="86" t="s">
        <v>3356</v>
      </c>
      <c r="J5197" s="1" t="s">
        <v>3326</v>
      </c>
      <c r="K5197" s="1" t="s">
        <v>3283</v>
      </c>
      <c r="L5197" s="1" t="s">
        <v>35</v>
      </c>
      <c r="M5197" s="86"/>
      <c r="N5197" s="86" t="s">
        <v>3283</v>
      </c>
      <c r="O5197" s="47" t="s">
        <v>45</v>
      </c>
      <c r="P5197" s="47" t="s">
        <v>75</v>
      </c>
      <c r="Q5197" s="14">
        <v>0.06</v>
      </c>
      <c r="R5197" s="143"/>
      <c r="S5197" s="47"/>
      <c r="T5197" s="6">
        <v>856721.18999999203</v>
      </c>
      <c r="U5197" s="6">
        <v>6240000</v>
      </c>
      <c r="V5197" s="6">
        <v>6707465.54</v>
      </c>
      <c r="W5197" s="6">
        <f t="shared" si="787"/>
        <v>389255.64999999199</v>
      </c>
      <c r="X5197" s="6">
        <f t="shared" si="788"/>
        <v>6707465.54</v>
      </c>
      <c r="Y5197" s="13">
        <f t="shared" si="791"/>
        <v>0</v>
      </c>
      <c r="Z5197" s="14">
        <v>0</v>
      </c>
      <c r="AA5197" s="6">
        <v>0</v>
      </c>
      <c r="AB5197" s="4">
        <f t="shared" si="792"/>
        <v>6707465.54</v>
      </c>
      <c r="AC5197" s="4">
        <f t="shared" si="794"/>
        <v>402447.93239999999</v>
      </c>
      <c r="AD5197" s="6">
        <f t="shared" si="789"/>
        <v>6707465.54</v>
      </c>
      <c r="AE5197" s="2">
        <v>0.05</v>
      </c>
      <c r="AF5197" s="6">
        <f t="shared" si="795"/>
        <v>335373.277</v>
      </c>
      <c r="AG5197" s="14">
        <v>0</v>
      </c>
      <c r="AH5197" s="64">
        <f t="shared" si="790"/>
        <v>6707465.54</v>
      </c>
      <c r="AI5197" s="47"/>
      <c r="AJ5197" s="126" t="e">
        <v>#N/A</v>
      </c>
      <c r="AK5197" s="80">
        <f t="shared" si="793"/>
        <v>0</v>
      </c>
      <c r="AM5197" s="85"/>
    </row>
    <row r="5198" spans="1:39" hidden="1" x14ac:dyDescent="0.3">
      <c r="A5198" s="89" t="s">
        <v>3394</v>
      </c>
      <c r="B5198" s="86" t="s">
        <v>35</v>
      </c>
      <c r="C5198" s="86" t="s">
        <v>59</v>
      </c>
      <c r="D5198" s="86" t="s">
        <v>60</v>
      </c>
      <c r="E5198" s="86" t="s">
        <v>327</v>
      </c>
      <c r="F5198" s="86" t="s">
        <v>3626</v>
      </c>
      <c r="G5198" s="86" t="s">
        <v>327</v>
      </c>
      <c r="H5198" s="144">
        <v>229</v>
      </c>
      <c r="I5198" s="86" t="s">
        <v>3356</v>
      </c>
      <c r="J5198" s="1" t="s">
        <v>3326</v>
      </c>
      <c r="K5198" s="1" t="s">
        <v>3283</v>
      </c>
      <c r="L5198" s="1" t="s">
        <v>35</v>
      </c>
      <c r="M5198" s="86"/>
      <c r="N5198" s="86" t="s">
        <v>3283</v>
      </c>
      <c r="O5198" s="47" t="s">
        <v>45</v>
      </c>
      <c r="P5198" s="47" t="s">
        <v>75</v>
      </c>
      <c r="Q5198" s="14">
        <v>0.06</v>
      </c>
      <c r="R5198" s="143"/>
      <c r="S5198" s="47"/>
      <c r="T5198" s="6">
        <v>1007033.430000002</v>
      </c>
      <c r="U5198" s="6">
        <v>174000</v>
      </c>
      <c r="V5198" s="6">
        <v>437911.04999999993</v>
      </c>
      <c r="W5198" s="6">
        <f t="shared" si="787"/>
        <v>743122.3800000021</v>
      </c>
      <c r="X5198" s="6">
        <f t="shared" si="788"/>
        <v>437911.04999999993</v>
      </c>
      <c r="Y5198" s="13">
        <f t="shared" si="791"/>
        <v>0</v>
      </c>
      <c r="Z5198" s="14">
        <v>0</v>
      </c>
      <c r="AA5198" s="6">
        <v>0</v>
      </c>
      <c r="AB5198" s="4">
        <f t="shared" si="792"/>
        <v>437911.04999999993</v>
      </c>
      <c r="AC5198" s="4">
        <f t="shared" si="794"/>
        <v>26274.662999999993</v>
      </c>
      <c r="AD5198" s="6">
        <f t="shared" si="789"/>
        <v>437911.04999999993</v>
      </c>
      <c r="AE5198" s="2">
        <v>0.05</v>
      </c>
      <c r="AF5198" s="6">
        <f t="shared" si="795"/>
        <v>21895.552499999998</v>
      </c>
      <c r="AG5198" s="14">
        <v>0</v>
      </c>
      <c r="AH5198" s="64">
        <f t="shared" si="790"/>
        <v>437911.04999999993</v>
      </c>
      <c r="AI5198" s="47"/>
      <c r="AJ5198" s="126" t="e">
        <v>#N/A</v>
      </c>
      <c r="AK5198" s="80">
        <f t="shared" si="793"/>
        <v>0</v>
      </c>
      <c r="AM5198" s="85"/>
    </row>
    <row r="5199" spans="1:39" hidden="1" x14ac:dyDescent="0.3">
      <c r="A5199" s="89" t="s">
        <v>3394</v>
      </c>
      <c r="B5199" s="86" t="s">
        <v>35</v>
      </c>
      <c r="C5199" s="86" t="s">
        <v>59</v>
      </c>
      <c r="D5199" s="86" t="s">
        <v>60</v>
      </c>
      <c r="E5199" s="86" t="s">
        <v>327</v>
      </c>
      <c r="F5199" s="86" t="s">
        <v>3627</v>
      </c>
      <c r="G5199" s="86" t="s">
        <v>327</v>
      </c>
      <c r="H5199" s="144">
        <v>229</v>
      </c>
      <c r="I5199" s="86" t="s">
        <v>3356</v>
      </c>
      <c r="J5199" s="1" t="s">
        <v>3326</v>
      </c>
      <c r="K5199" s="1" t="s">
        <v>3283</v>
      </c>
      <c r="L5199" s="1" t="s">
        <v>35</v>
      </c>
      <c r="M5199" s="86"/>
      <c r="N5199" s="86" t="s">
        <v>3283</v>
      </c>
      <c r="O5199" s="47" t="s">
        <v>45</v>
      </c>
      <c r="P5199" s="47" t="s">
        <v>75</v>
      </c>
      <c r="Q5199" s="14">
        <v>0.06</v>
      </c>
      <c r="R5199" s="143"/>
      <c r="S5199" s="47"/>
      <c r="T5199" s="6">
        <v>958653.30999999936</v>
      </c>
      <c r="U5199" s="6">
        <v>14500000</v>
      </c>
      <c r="V5199" s="6">
        <v>14858240.25</v>
      </c>
      <c r="W5199" s="6">
        <f t="shared" si="787"/>
        <v>600413.05999999866</v>
      </c>
      <c r="X5199" s="6">
        <f t="shared" si="788"/>
        <v>14858240.25</v>
      </c>
      <c r="Y5199" s="13">
        <f t="shared" si="791"/>
        <v>0</v>
      </c>
      <c r="Z5199" s="14">
        <v>0</v>
      </c>
      <c r="AA5199" s="6">
        <v>0</v>
      </c>
      <c r="AB5199" s="4">
        <f t="shared" si="792"/>
        <v>14858240.25</v>
      </c>
      <c r="AC5199" s="4">
        <f t="shared" si="794"/>
        <v>891494.41499999992</v>
      </c>
      <c r="AD5199" s="6">
        <f t="shared" si="789"/>
        <v>14858240.25</v>
      </c>
      <c r="AE5199" s="2">
        <v>0.05</v>
      </c>
      <c r="AF5199" s="6">
        <f t="shared" si="795"/>
        <v>742912.01250000007</v>
      </c>
      <c r="AG5199" s="14">
        <v>0</v>
      </c>
      <c r="AH5199" s="64">
        <f t="shared" si="790"/>
        <v>14858240.25</v>
      </c>
      <c r="AI5199" s="47"/>
      <c r="AJ5199" s="126" t="e">
        <v>#N/A</v>
      </c>
      <c r="AK5199" s="80">
        <f t="shared" si="793"/>
        <v>0</v>
      </c>
      <c r="AM5199" s="85"/>
    </row>
    <row r="5200" spans="1:39" hidden="1" x14ac:dyDescent="0.3">
      <c r="A5200" s="89" t="s">
        <v>3394</v>
      </c>
      <c r="B5200" s="86" t="s">
        <v>35</v>
      </c>
      <c r="C5200" s="86" t="s">
        <v>59</v>
      </c>
      <c r="D5200" s="86" t="s">
        <v>60</v>
      </c>
      <c r="E5200" s="86" t="s">
        <v>327</v>
      </c>
      <c r="F5200" s="86" t="s">
        <v>3628</v>
      </c>
      <c r="G5200" s="86" t="s">
        <v>327</v>
      </c>
      <c r="H5200" s="144">
        <v>229</v>
      </c>
      <c r="I5200" s="86" t="s">
        <v>3356</v>
      </c>
      <c r="J5200" s="1" t="s">
        <v>3326</v>
      </c>
      <c r="K5200" s="1" t="s">
        <v>3283</v>
      </c>
      <c r="L5200" s="1" t="s">
        <v>35</v>
      </c>
      <c r="M5200" s="86"/>
      <c r="N5200" s="86" t="s">
        <v>3283</v>
      </c>
      <c r="O5200" s="47" t="s">
        <v>45</v>
      </c>
      <c r="P5200" s="47" t="s">
        <v>75</v>
      </c>
      <c r="Q5200" s="14">
        <v>0.06</v>
      </c>
      <c r="R5200" s="143"/>
      <c r="S5200" s="47"/>
      <c r="T5200" s="6">
        <v>1574716.1800000002</v>
      </c>
      <c r="U5200" s="6">
        <v>3640000</v>
      </c>
      <c r="V5200" s="6">
        <v>3314171.9799999991</v>
      </c>
      <c r="W5200" s="6">
        <f t="shared" si="787"/>
        <v>1900544.2000000007</v>
      </c>
      <c r="X5200" s="6">
        <f t="shared" si="788"/>
        <v>3314171.9799999991</v>
      </c>
      <c r="Y5200" s="13">
        <f t="shared" si="791"/>
        <v>0</v>
      </c>
      <c r="Z5200" s="14">
        <v>0</v>
      </c>
      <c r="AA5200" s="6">
        <v>0</v>
      </c>
      <c r="AB5200" s="4">
        <f t="shared" si="792"/>
        <v>3314171.9799999991</v>
      </c>
      <c r="AC5200" s="4">
        <f t="shared" si="794"/>
        <v>198850.31879999995</v>
      </c>
      <c r="AD5200" s="6">
        <f t="shared" si="789"/>
        <v>3314171.9799999991</v>
      </c>
      <c r="AE5200" s="2">
        <v>0.05</v>
      </c>
      <c r="AF5200" s="6">
        <f t="shared" si="795"/>
        <v>165708.59899999996</v>
      </c>
      <c r="AG5200" s="14">
        <v>0</v>
      </c>
      <c r="AH5200" s="64">
        <f t="shared" si="790"/>
        <v>3314171.9799999991</v>
      </c>
      <c r="AI5200" s="47"/>
      <c r="AJ5200" s="126" t="e">
        <v>#N/A</v>
      </c>
      <c r="AK5200" s="80">
        <f t="shared" si="793"/>
        <v>0</v>
      </c>
      <c r="AM5200" s="85"/>
    </row>
    <row r="5201" spans="1:39" hidden="1" x14ac:dyDescent="0.3">
      <c r="A5201" s="89" t="s">
        <v>3394</v>
      </c>
      <c r="B5201" s="86" t="s">
        <v>35</v>
      </c>
      <c r="C5201" s="86" t="s">
        <v>59</v>
      </c>
      <c r="D5201" s="86" t="s">
        <v>60</v>
      </c>
      <c r="E5201" s="86" t="s">
        <v>327</v>
      </c>
      <c r="F5201" s="86" t="s">
        <v>3624</v>
      </c>
      <c r="G5201" s="86" t="s">
        <v>327</v>
      </c>
      <c r="H5201" s="144">
        <v>229</v>
      </c>
      <c r="I5201" s="86" t="s">
        <v>3356</v>
      </c>
      <c r="J5201" s="1" t="s">
        <v>3326</v>
      </c>
      <c r="K5201" s="1" t="s">
        <v>3283</v>
      </c>
      <c r="L5201" s="1" t="s">
        <v>35</v>
      </c>
      <c r="M5201" s="86"/>
      <c r="N5201" s="86" t="s">
        <v>3283</v>
      </c>
      <c r="O5201" s="47" t="s">
        <v>45</v>
      </c>
      <c r="P5201" s="47" t="s">
        <v>75</v>
      </c>
      <c r="Q5201" s="14">
        <v>0.06</v>
      </c>
      <c r="R5201" s="143"/>
      <c r="S5201" s="47"/>
      <c r="T5201" s="6">
        <v>218732.23999999987</v>
      </c>
      <c r="U5201" s="6">
        <v>660000</v>
      </c>
      <c r="V5201" s="6">
        <v>732477.67999999993</v>
      </c>
      <c r="W5201" s="6">
        <f t="shared" si="787"/>
        <v>146254.55999999994</v>
      </c>
      <c r="X5201" s="6">
        <f t="shared" si="788"/>
        <v>732477.67999999993</v>
      </c>
      <c r="Y5201" s="13">
        <f t="shared" si="791"/>
        <v>0</v>
      </c>
      <c r="Z5201" s="14">
        <v>0</v>
      </c>
      <c r="AA5201" s="6">
        <v>0</v>
      </c>
      <c r="AB5201" s="4">
        <f t="shared" si="792"/>
        <v>732477.67999999993</v>
      </c>
      <c r="AC5201" s="4">
        <f t="shared" si="794"/>
        <v>43948.660799999998</v>
      </c>
      <c r="AD5201" s="6">
        <f t="shared" si="789"/>
        <v>732477.67999999993</v>
      </c>
      <c r="AE5201" s="2">
        <v>0.05</v>
      </c>
      <c r="AF5201" s="6">
        <f t="shared" si="795"/>
        <v>36623.883999999998</v>
      </c>
      <c r="AG5201" s="14">
        <v>0</v>
      </c>
      <c r="AH5201" s="64">
        <f t="shared" si="790"/>
        <v>732477.67999999993</v>
      </c>
      <c r="AI5201" s="47"/>
      <c r="AJ5201" s="126" t="e">
        <v>#N/A</v>
      </c>
      <c r="AK5201" s="80">
        <f t="shared" si="793"/>
        <v>0</v>
      </c>
      <c r="AM5201" s="85"/>
    </row>
    <row r="5202" spans="1:39" hidden="1" x14ac:dyDescent="0.3">
      <c r="A5202" s="89" t="s">
        <v>3395</v>
      </c>
      <c r="B5202" s="86" t="s">
        <v>35</v>
      </c>
      <c r="C5202" s="86" t="s">
        <v>59</v>
      </c>
      <c r="D5202" s="86" t="s">
        <v>60</v>
      </c>
      <c r="E5202" s="86" t="s">
        <v>78</v>
      </c>
      <c r="F5202" s="86" t="s">
        <v>332</v>
      </c>
      <c r="G5202" s="86" t="s">
        <v>78</v>
      </c>
      <c r="H5202" s="144">
        <v>229</v>
      </c>
      <c r="I5202" s="86" t="s">
        <v>3356</v>
      </c>
      <c r="J5202" s="1" t="s">
        <v>3326</v>
      </c>
      <c r="K5202" s="1" t="s">
        <v>3283</v>
      </c>
      <c r="L5202" s="1" t="s">
        <v>35</v>
      </c>
      <c r="M5202" s="86"/>
      <c r="N5202" s="86" t="s">
        <v>3283</v>
      </c>
      <c r="O5202" s="47" t="s">
        <v>45</v>
      </c>
      <c r="P5202" s="47" t="s">
        <v>3636</v>
      </c>
      <c r="Q5202" s="14">
        <v>0.04</v>
      </c>
      <c r="R5202" s="143"/>
      <c r="S5202" s="47"/>
      <c r="T5202" s="6">
        <v>1283048.7399999984</v>
      </c>
      <c r="U5202" s="6">
        <v>3840000</v>
      </c>
      <c r="V5202" s="6">
        <v>3925194.6700000013</v>
      </c>
      <c r="W5202" s="6">
        <f t="shared" si="787"/>
        <v>1197854.069999997</v>
      </c>
      <c r="X5202" s="6">
        <f t="shared" si="788"/>
        <v>3774225.6442307704</v>
      </c>
      <c r="Y5202" s="13">
        <f t="shared" si="791"/>
        <v>0</v>
      </c>
      <c r="Z5202" s="14">
        <v>0</v>
      </c>
      <c r="AA5202" s="6">
        <v>0</v>
      </c>
      <c r="AB5202" s="4">
        <f t="shared" si="792"/>
        <v>3774225.6442307704</v>
      </c>
      <c r="AC5202" s="4">
        <f t="shared" si="794"/>
        <v>150969.02576923091</v>
      </c>
      <c r="AD5202" s="6">
        <f t="shared" si="789"/>
        <v>3925194.6700000013</v>
      </c>
      <c r="AE5202" s="2">
        <v>0.05</v>
      </c>
      <c r="AF5202" s="6">
        <f t="shared" si="795"/>
        <v>196259.73350000009</v>
      </c>
      <c r="AG5202" s="14">
        <v>0</v>
      </c>
      <c r="AH5202" s="64">
        <f t="shared" si="790"/>
        <v>3925194.6700000013</v>
      </c>
      <c r="AI5202" s="47"/>
      <c r="AJ5202" s="126" t="e">
        <v>#N/A</v>
      </c>
      <c r="AK5202" s="80">
        <f t="shared" si="793"/>
        <v>0</v>
      </c>
      <c r="AM5202" s="85"/>
    </row>
    <row r="5203" spans="1:39" hidden="1" x14ac:dyDescent="0.3">
      <c r="A5203" s="89" t="s">
        <v>3394</v>
      </c>
      <c r="B5203" s="86" t="s">
        <v>35</v>
      </c>
      <c r="C5203" s="86" t="s">
        <v>59</v>
      </c>
      <c r="D5203" s="86" t="s">
        <v>60</v>
      </c>
      <c r="E5203" s="86" t="s">
        <v>77</v>
      </c>
      <c r="F5203" s="86" t="s">
        <v>77</v>
      </c>
      <c r="G5203" s="86" t="s">
        <v>77</v>
      </c>
      <c r="H5203" s="144">
        <v>229</v>
      </c>
      <c r="I5203" s="86" t="s">
        <v>3356</v>
      </c>
      <c r="J5203" s="1" t="s">
        <v>3326</v>
      </c>
      <c r="K5203" s="1" t="s">
        <v>3710</v>
      </c>
      <c r="L5203" s="1" t="s">
        <v>35</v>
      </c>
      <c r="M5203" s="86"/>
      <c r="N5203" s="86" t="s">
        <v>3734</v>
      </c>
      <c r="O5203" s="47" t="s">
        <v>45</v>
      </c>
      <c r="P5203" s="47" t="s">
        <v>75</v>
      </c>
      <c r="Q5203" s="14">
        <v>0.06</v>
      </c>
      <c r="R5203" s="143"/>
      <c r="S5203" s="47"/>
      <c r="T5203" s="6">
        <v>0</v>
      </c>
      <c r="U5203" s="6"/>
      <c r="V5203" s="6">
        <v>6505246.3200000003</v>
      </c>
      <c r="W5203" s="6">
        <f t="shared" si="787"/>
        <v>-6505246.3200000003</v>
      </c>
      <c r="X5203" s="6">
        <f t="shared" si="788"/>
        <v>6505246.3200000003</v>
      </c>
      <c r="Y5203" s="13">
        <f t="shared" si="791"/>
        <v>0</v>
      </c>
      <c r="Z5203" s="14">
        <v>0</v>
      </c>
      <c r="AA5203" s="6">
        <v>0</v>
      </c>
      <c r="AB5203" s="4">
        <f t="shared" si="792"/>
        <v>6505246.3200000003</v>
      </c>
      <c r="AC5203" s="4">
        <f t="shared" si="794"/>
        <v>390314.77919999999</v>
      </c>
      <c r="AD5203" s="6">
        <f t="shared" si="789"/>
        <v>6505246.3200000003</v>
      </c>
      <c r="AE5203" s="2">
        <v>0.06</v>
      </c>
      <c r="AF5203" s="6">
        <f t="shared" si="795"/>
        <v>390314.77919999999</v>
      </c>
      <c r="AG5203" s="14">
        <v>0</v>
      </c>
      <c r="AH5203" s="64">
        <f t="shared" si="790"/>
        <v>6505246.3200000003</v>
      </c>
      <c r="AI5203" s="47"/>
      <c r="AJ5203" s="126" t="e">
        <v>#N/A</v>
      </c>
      <c r="AK5203" s="80">
        <f t="shared" si="793"/>
        <v>0</v>
      </c>
      <c r="AM5203" s="85"/>
    </row>
    <row r="5204" spans="1:39" hidden="1" x14ac:dyDescent="0.3">
      <c r="A5204" s="89" t="s">
        <v>3394</v>
      </c>
      <c r="B5204" s="86" t="s">
        <v>35</v>
      </c>
      <c r="C5204" s="86" t="s">
        <v>59</v>
      </c>
      <c r="D5204" s="86" t="s">
        <v>60</v>
      </c>
      <c r="E5204" s="86" t="s">
        <v>77</v>
      </c>
      <c r="F5204" s="86" t="s">
        <v>77</v>
      </c>
      <c r="G5204" s="86" t="s">
        <v>77</v>
      </c>
      <c r="H5204" s="144">
        <v>229</v>
      </c>
      <c r="I5204" s="86" t="s">
        <v>3356</v>
      </c>
      <c r="J5204" s="1" t="s">
        <v>3326</v>
      </c>
      <c r="K5204" s="1" t="s">
        <v>3710</v>
      </c>
      <c r="L5204" s="1" t="s">
        <v>35</v>
      </c>
      <c r="M5204" s="86"/>
      <c r="N5204" s="86" t="s">
        <v>3730</v>
      </c>
      <c r="O5204" s="47" t="s">
        <v>105</v>
      </c>
      <c r="P5204" s="47" t="s">
        <v>75</v>
      </c>
      <c r="Q5204" s="14">
        <v>0.06</v>
      </c>
      <c r="R5204" s="143"/>
      <c r="S5204" s="47"/>
      <c r="T5204" s="6">
        <v>0</v>
      </c>
      <c r="U5204" s="6"/>
      <c r="V5204" s="6">
        <v>105392.83000000002</v>
      </c>
      <c r="W5204" s="6">
        <f t="shared" si="787"/>
        <v>-105392.83000000002</v>
      </c>
      <c r="X5204" s="6">
        <f t="shared" si="788"/>
        <v>105392.83000000002</v>
      </c>
      <c r="Y5204" s="13">
        <f t="shared" si="791"/>
        <v>0</v>
      </c>
      <c r="Z5204" s="14">
        <v>0</v>
      </c>
      <c r="AA5204" s="6">
        <v>0</v>
      </c>
      <c r="AB5204" s="4">
        <f t="shared" si="792"/>
        <v>105392.83000000002</v>
      </c>
      <c r="AC5204" s="4">
        <f t="shared" si="794"/>
        <v>6323.5698000000011</v>
      </c>
      <c r="AD5204" s="6">
        <f t="shared" si="789"/>
        <v>105392.83000000002</v>
      </c>
      <c r="AE5204" s="2">
        <v>0.06</v>
      </c>
      <c r="AF5204" s="6">
        <f t="shared" si="795"/>
        <v>6323.5698000000011</v>
      </c>
      <c r="AG5204" s="14">
        <v>0</v>
      </c>
      <c r="AH5204" s="64">
        <f t="shared" si="790"/>
        <v>105392.83000000002</v>
      </c>
      <c r="AI5204" s="47"/>
      <c r="AJ5204" s="126" t="e">
        <v>#N/A</v>
      </c>
      <c r="AK5204" s="80">
        <f t="shared" si="793"/>
        <v>0</v>
      </c>
      <c r="AM5204" s="85"/>
    </row>
    <row r="5205" spans="1:39" hidden="1" x14ac:dyDescent="0.3">
      <c r="A5205" s="89" t="s">
        <v>3394</v>
      </c>
      <c r="B5205" s="86" t="s">
        <v>35</v>
      </c>
      <c r="C5205" s="86" t="s">
        <v>164</v>
      </c>
      <c r="D5205" s="86" t="s">
        <v>165</v>
      </c>
      <c r="E5205" s="86" t="s">
        <v>166</v>
      </c>
      <c r="F5205" s="86" t="s">
        <v>166</v>
      </c>
      <c r="G5205" s="86" t="s">
        <v>166</v>
      </c>
      <c r="H5205" s="144">
        <v>229</v>
      </c>
      <c r="I5205" s="86" t="s">
        <v>3356</v>
      </c>
      <c r="J5205" s="1" t="s">
        <v>3326</v>
      </c>
      <c r="K5205" s="1" t="s">
        <v>3710</v>
      </c>
      <c r="L5205" s="1" t="s">
        <v>35</v>
      </c>
      <c r="M5205" s="86"/>
      <c r="N5205" s="86" t="s">
        <v>3710</v>
      </c>
      <c r="O5205" s="47" t="s">
        <v>105</v>
      </c>
      <c r="P5205" s="47" t="s">
        <v>41</v>
      </c>
      <c r="Q5205" s="14">
        <v>0</v>
      </c>
      <c r="R5205" s="143"/>
      <c r="S5205" s="47"/>
      <c r="T5205" s="6">
        <v>0</v>
      </c>
      <c r="U5205" s="6"/>
      <c r="V5205" s="6">
        <v>3174.94</v>
      </c>
      <c r="W5205" s="6">
        <f t="shared" si="787"/>
        <v>-3174.94</v>
      </c>
      <c r="X5205" s="6">
        <f t="shared" si="788"/>
        <v>3174.94</v>
      </c>
      <c r="Y5205" s="13">
        <f t="shared" si="791"/>
        <v>0</v>
      </c>
      <c r="Z5205" s="14">
        <v>0</v>
      </c>
      <c r="AA5205" s="6">
        <v>0</v>
      </c>
      <c r="AB5205" s="4">
        <f t="shared" si="792"/>
        <v>3174.94</v>
      </c>
      <c r="AC5205" s="4">
        <f t="shared" si="794"/>
        <v>0</v>
      </c>
      <c r="AD5205" s="6">
        <f t="shared" si="789"/>
        <v>3174.94</v>
      </c>
      <c r="AE5205" s="2">
        <v>0.06</v>
      </c>
      <c r="AF5205" s="6">
        <f t="shared" si="795"/>
        <v>190.49639999999999</v>
      </c>
      <c r="AG5205" s="14">
        <v>0</v>
      </c>
      <c r="AH5205" s="64">
        <f t="shared" si="790"/>
        <v>3174.94</v>
      </c>
      <c r="AI5205" s="47"/>
      <c r="AJ5205" s="126" t="e">
        <v>#N/A</v>
      </c>
      <c r="AK5205" s="80">
        <f t="shared" si="793"/>
        <v>0</v>
      </c>
      <c r="AM5205" s="85"/>
    </row>
    <row r="5206" spans="1:39" hidden="1" x14ac:dyDescent="0.3">
      <c r="A5206" s="89" t="s">
        <v>3394</v>
      </c>
      <c r="B5206" s="86" t="s">
        <v>35</v>
      </c>
      <c r="C5206" s="86" t="s">
        <v>164</v>
      </c>
      <c r="D5206" s="86" t="s">
        <v>169</v>
      </c>
      <c r="E5206" s="86" t="s">
        <v>3616</v>
      </c>
      <c r="F5206" s="86" t="s">
        <v>3616</v>
      </c>
      <c r="G5206" s="86" t="s">
        <v>3616</v>
      </c>
      <c r="H5206" s="144">
        <v>229</v>
      </c>
      <c r="I5206" s="86" t="s">
        <v>3356</v>
      </c>
      <c r="J5206" s="1" t="s">
        <v>3326</v>
      </c>
      <c r="K5206" s="1" t="s">
        <v>3707</v>
      </c>
      <c r="L5206" s="1" t="s">
        <v>35</v>
      </c>
      <c r="M5206" s="86"/>
      <c r="N5206" s="86" t="s">
        <v>3707</v>
      </c>
      <c r="O5206" s="47" t="s">
        <v>105</v>
      </c>
      <c r="P5206" s="47" t="s">
        <v>46</v>
      </c>
      <c r="Q5206" s="14">
        <v>0.02</v>
      </c>
      <c r="R5206" s="143"/>
      <c r="S5206" s="47"/>
      <c r="T5206" s="6">
        <v>0</v>
      </c>
      <c r="U5206" s="6"/>
      <c r="V5206" s="6">
        <v>45.9</v>
      </c>
      <c r="W5206" s="6">
        <f t="shared" si="787"/>
        <v>-45.9</v>
      </c>
      <c r="X5206" s="6">
        <f t="shared" si="788"/>
        <v>45</v>
      </c>
      <c r="Y5206" s="13">
        <f t="shared" si="791"/>
        <v>0</v>
      </c>
      <c r="Z5206" s="14">
        <v>0</v>
      </c>
      <c r="AA5206" s="6">
        <v>0</v>
      </c>
      <c r="AB5206" s="4">
        <f t="shared" si="792"/>
        <v>45</v>
      </c>
      <c r="AC5206" s="4">
        <f t="shared" si="794"/>
        <v>0.89999999999999858</v>
      </c>
      <c r="AD5206" s="6">
        <f t="shared" si="789"/>
        <v>45.9</v>
      </c>
      <c r="AE5206" s="2">
        <v>0.06</v>
      </c>
      <c r="AF5206" s="6">
        <f t="shared" si="795"/>
        <v>2.754</v>
      </c>
      <c r="AG5206" s="14">
        <v>0</v>
      </c>
      <c r="AH5206" s="64">
        <f t="shared" si="790"/>
        <v>45.9</v>
      </c>
      <c r="AI5206" s="47"/>
      <c r="AJ5206" s="126" t="e">
        <v>#N/A</v>
      </c>
      <c r="AK5206" s="80">
        <f t="shared" si="793"/>
        <v>0</v>
      </c>
      <c r="AM5206" s="85"/>
    </row>
    <row r="5207" spans="1:39" hidden="1" x14ac:dyDescent="0.3">
      <c r="A5207" s="89" t="s">
        <v>3394</v>
      </c>
      <c r="B5207" s="86" t="s">
        <v>35</v>
      </c>
      <c r="C5207" s="86" t="s">
        <v>36</v>
      </c>
      <c r="D5207" s="86" t="s">
        <v>54</v>
      </c>
      <c r="E5207" s="86" t="s">
        <v>112</v>
      </c>
      <c r="F5207" s="86" t="s">
        <v>113</v>
      </c>
      <c r="G5207" s="86" t="s">
        <v>112</v>
      </c>
      <c r="H5207" s="144">
        <v>229</v>
      </c>
      <c r="I5207" s="86" t="s">
        <v>3356</v>
      </c>
      <c r="J5207" s="1" t="s">
        <v>3326</v>
      </c>
      <c r="K5207" s="1" t="s">
        <v>3712</v>
      </c>
      <c r="L5207" s="1" t="s">
        <v>35</v>
      </c>
      <c r="M5207" s="86"/>
      <c r="N5207" s="86" t="s">
        <v>3712</v>
      </c>
      <c r="O5207" s="47" t="s">
        <v>105</v>
      </c>
      <c r="P5207" s="47" t="s">
        <v>41</v>
      </c>
      <c r="Q5207" s="14">
        <v>0</v>
      </c>
      <c r="R5207" s="143"/>
      <c r="S5207" s="47"/>
      <c r="T5207" s="6">
        <v>0</v>
      </c>
      <c r="U5207" s="6"/>
      <c r="V5207" s="6">
        <v>31.67</v>
      </c>
      <c r="W5207" s="6">
        <f t="shared" si="787"/>
        <v>-31.67</v>
      </c>
      <c r="X5207" s="6">
        <f t="shared" si="788"/>
        <v>31.67</v>
      </c>
      <c r="Y5207" s="13">
        <f t="shared" si="791"/>
        <v>0</v>
      </c>
      <c r="Z5207" s="14">
        <v>0</v>
      </c>
      <c r="AA5207" s="6">
        <v>0</v>
      </c>
      <c r="AB5207" s="4">
        <f t="shared" si="792"/>
        <v>31.67</v>
      </c>
      <c r="AC5207" s="4">
        <f t="shared" si="794"/>
        <v>0</v>
      </c>
      <c r="AD5207" s="6">
        <f t="shared" si="789"/>
        <v>31.67</v>
      </c>
      <c r="AE5207" s="2">
        <v>0.06</v>
      </c>
      <c r="AF5207" s="6">
        <f t="shared" si="795"/>
        <v>1.9002000000000001</v>
      </c>
      <c r="AG5207" s="14">
        <v>0</v>
      </c>
      <c r="AH5207" s="64">
        <f t="shared" si="790"/>
        <v>31.67</v>
      </c>
      <c r="AI5207" s="47"/>
      <c r="AJ5207" s="126" t="e">
        <v>#N/A</v>
      </c>
      <c r="AK5207" s="80">
        <f t="shared" si="793"/>
        <v>0</v>
      </c>
      <c r="AM5207" s="85"/>
    </row>
    <row r="5208" spans="1:39" hidden="1" x14ac:dyDescent="0.3">
      <c r="A5208" s="89" t="s">
        <v>3394</v>
      </c>
      <c r="B5208" s="86" t="s">
        <v>35</v>
      </c>
      <c r="C5208" s="86" t="s">
        <v>36</v>
      </c>
      <c r="D5208" s="86" t="s">
        <v>54</v>
      </c>
      <c r="E5208" s="86" t="s">
        <v>3611</v>
      </c>
      <c r="F5208" s="86" t="s">
        <v>3612</v>
      </c>
      <c r="G5208" s="86" t="s">
        <v>3611</v>
      </c>
      <c r="H5208" s="144">
        <v>229</v>
      </c>
      <c r="I5208" s="86" t="s">
        <v>3356</v>
      </c>
      <c r="J5208" s="1" t="s">
        <v>3326</v>
      </c>
      <c r="K5208" s="1" t="s">
        <v>3718</v>
      </c>
      <c r="L5208" s="1" t="s">
        <v>35</v>
      </c>
      <c r="M5208" s="86"/>
      <c r="N5208" s="86" t="s">
        <v>3718</v>
      </c>
      <c r="O5208" s="47" t="s">
        <v>105</v>
      </c>
      <c r="P5208" s="47" t="s">
        <v>46</v>
      </c>
      <c r="Q5208" s="14">
        <v>5.6000000000000001E-2</v>
      </c>
      <c r="R5208" s="143"/>
      <c r="S5208" s="47"/>
      <c r="T5208" s="6">
        <v>0</v>
      </c>
      <c r="U5208" s="6"/>
      <c r="V5208" s="6">
        <v>1239.69</v>
      </c>
      <c r="W5208" s="6">
        <f t="shared" si="787"/>
        <v>-1239.69</v>
      </c>
      <c r="X5208" s="6">
        <f t="shared" si="788"/>
        <v>1173.9488636363637</v>
      </c>
      <c r="Y5208" s="13">
        <f t="shared" si="791"/>
        <v>0</v>
      </c>
      <c r="Z5208" s="14">
        <v>0</v>
      </c>
      <c r="AA5208" s="6">
        <v>0</v>
      </c>
      <c r="AB5208" s="4">
        <f t="shared" si="792"/>
        <v>1173.9488636363637</v>
      </c>
      <c r="AC5208" s="4">
        <f t="shared" si="794"/>
        <v>65.741136363636315</v>
      </c>
      <c r="AD5208" s="6">
        <f t="shared" si="789"/>
        <v>1239.69</v>
      </c>
      <c r="AE5208" s="2">
        <v>0.06</v>
      </c>
      <c r="AF5208" s="6">
        <f t="shared" si="795"/>
        <v>74.381399999999999</v>
      </c>
      <c r="AG5208" s="14">
        <v>0</v>
      </c>
      <c r="AH5208" s="64">
        <f t="shared" si="790"/>
        <v>1239.69</v>
      </c>
      <c r="AI5208" s="47"/>
      <c r="AJ5208" s="126" t="e">
        <v>#N/A</v>
      </c>
      <c r="AK5208" s="80">
        <f t="shared" si="793"/>
        <v>0</v>
      </c>
      <c r="AM5208" s="85"/>
    </row>
    <row r="5209" spans="1:39" hidden="1" x14ac:dyDescent="0.3">
      <c r="A5209" s="89" t="s">
        <v>3395</v>
      </c>
      <c r="B5209" s="86" t="s">
        <v>35</v>
      </c>
      <c r="C5209" s="86" t="s">
        <v>59</v>
      </c>
      <c r="D5209" s="86" t="s">
        <v>60</v>
      </c>
      <c r="E5209" s="86" t="s">
        <v>85</v>
      </c>
      <c r="F5209" s="86" t="s">
        <v>86</v>
      </c>
      <c r="G5209" s="86" t="s">
        <v>85</v>
      </c>
      <c r="H5209" s="144">
        <v>229</v>
      </c>
      <c r="I5209" s="86" t="s">
        <v>3356</v>
      </c>
      <c r="J5209" s="1" t="s">
        <v>3326</v>
      </c>
      <c r="K5209" s="1" t="s">
        <v>3707</v>
      </c>
      <c r="L5209" s="1" t="s">
        <v>35</v>
      </c>
      <c r="M5209" s="86"/>
      <c r="N5209" s="86" t="s">
        <v>3707</v>
      </c>
      <c r="O5209" s="47" t="s">
        <v>45</v>
      </c>
      <c r="P5209" s="47" t="s">
        <v>75</v>
      </c>
      <c r="Q5209" s="14">
        <v>0.06</v>
      </c>
      <c r="R5209" s="143"/>
      <c r="S5209" s="47"/>
      <c r="T5209" s="6">
        <v>0</v>
      </c>
      <c r="U5209" s="6"/>
      <c r="V5209" s="6">
        <v>77687.91</v>
      </c>
      <c r="W5209" s="6">
        <f t="shared" si="787"/>
        <v>-77687.91</v>
      </c>
      <c r="X5209" s="6">
        <f t="shared" si="788"/>
        <v>77687.91</v>
      </c>
      <c r="Y5209" s="13">
        <f t="shared" si="791"/>
        <v>0</v>
      </c>
      <c r="Z5209" s="14">
        <v>0</v>
      </c>
      <c r="AA5209" s="6">
        <v>0</v>
      </c>
      <c r="AB5209" s="4">
        <f t="shared" si="792"/>
        <v>77687.91</v>
      </c>
      <c r="AC5209" s="4">
        <f t="shared" si="794"/>
        <v>4661.2745999999997</v>
      </c>
      <c r="AD5209" s="6">
        <f t="shared" si="789"/>
        <v>77687.91</v>
      </c>
      <c r="AE5209" s="2">
        <v>0.06</v>
      </c>
      <c r="AF5209" s="6">
        <f t="shared" si="795"/>
        <v>4661.2745999999997</v>
      </c>
      <c r="AG5209" s="14">
        <v>0</v>
      </c>
      <c r="AH5209" s="64">
        <f t="shared" si="790"/>
        <v>77687.91</v>
      </c>
      <c r="AI5209" s="47"/>
      <c r="AJ5209" s="126" t="e">
        <v>#N/A</v>
      </c>
      <c r="AK5209" s="80">
        <f t="shared" si="793"/>
        <v>0</v>
      </c>
      <c r="AM5209" s="85"/>
    </row>
    <row r="5210" spans="1:39" hidden="1" x14ac:dyDescent="0.3">
      <c r="A5210" s="89" t="s">
        <v>3394</v>
      </c>
      <c r="B5210" s="86" t="s">
        <v>35</v>
      </c>
      <c r="C5210" s="86" t="s">
        <v>59</v>
      </c>
      <c r="D5210" s="86" t="s">
        <v>60</v>
      </c>
      <c r="E5210" s="86" t="s">
        <v>85</v>
      </c>
      <c r="F5210" s="86" t="s">
        <v>86</v>
      </c>
      <c r="G5210" s="86" t="s">
        <v>85</v>
      </c>
      <c r="H5210" s="144">
        <v>229</v>
      </c>
      <c r="I5210" s="86" t="s">
        <v>3356</v>
      </c>
      <c r="J5210" s="1" t="s">
        <v>3326</v>
      </c>
      <c r="K5210" s="1" t="s">
        <v>3707</v>
      </c>
      <c r="L5210" s="1" t="s">
        <v>35</v>
      </c>
      <c r="M5210" s="86"/>
      <c r="N5210" s="86" t="s">
        <v>3707</v>
      </c>
      <c r="O5210" s="47" t="s">
        <v>105</v>
      </c>
      <c r="P5210" s="47" t="s">
        <v>75</v>
      </c>
      <c r="Q5210" s="14">
        <v>0.06</v>
      </c>
      <c r="R5210" s="143"/>
      <c r="S5210" s="47"/>
      <c r="T5210" s="6">
        <v>0</v>
      </c>
      <c r="U5210" s="6"/>
      <c r="V5210" s="6">
        <v>2461.2499999999995</v>
      </c>
      <c r="W5210" s="6">
        <f t="shared" si="787"/>
        <v>-2461.2499999999995</v>
      </c>
      <c r="X5210" s="6">
        <f t="shared" si="788"/>
        <v>2461.2499999999995</v>
      </c>
      <c r="Y5210" s="13">
        <f t="shared" si="791"/>
        <v>0</v>
      </c>
      <c r="Z5210" s="14">
        <v>0</v>
      </c>
      <c r="AA5210" s="6">
        <v>0</v>
      </c>
      <c r="AB5210" s="4">
        <f t="shared" si="792"/>
        <v>2461.2499999999995</v>
      </c>
      <c r="AC5210" s="4">
        <f t="shared" si="794"/>
        <v>147.67499999999995</v>
      </c>
      <c r="AD5210" s="6">
        <f t="shared" si="789"/>
        <v>2461.2499999999995</v>
      </c>
      <c r="AE5210" s="2">
        <v>0.06</v>
      </c>
      <c r="AF5210" s="6">
        <f t="shared" si="795"/>
        <v>147.67499999999995</v>
      </c>
      <c r="AG5210" s="14">
        <v>0</v>
      </c>
      <c r="AH5210" s="64">
        <f t="shared" si="790"/>
        <v>2461.2499999999995</v>
      </c>
      <c r="AI5210" s="47"/>
      <c r="AJ5210" s="126" t="e">
        <v>#N/A</v>
      </c>
      <c r="AK5210" s="80">
        <f t="shared" si="793"/>
        <v>0</v>
      </c>
      <c r="AM5210" s="85"/>
    </row>
    <row r="5211" spans="1:39" hidden="1" x14ac:dyDescent="0.3">
      <c r="A5211" s="89" t="s">
        <v>3395</v>
      </c>
      <c r="B5211" s="86" t="s">
        <v>35</v>
      </c>
      <c r="C5211" s="86" t="s">
        <v>59</v>
      </c>
      <c r="D5211" s="86" t="s">
        <v>60</v>
      </c>
      <c r="E5211" s="86" t="s">
        <v>327</v>
      </c>
      <c r="F5211" s="86" t="s">
        <v>328</v>
      </c>
      <c r="G5211" s="86" t="s">
        <v>327</v>
      </c>
      <c r="H5211" s="144">
        <v>229</v>
      </c>
      <c r="I5211" s="86" t="s">
        <v>3356</v>
      </c>
      <c r="J5211" s="1" t="s">
        <v>3326</v>
      </c>
      <c r="K5211" s="1" t="s">
        <v>3283</v>
      </c>
      <c r="L5211" s="1" t="s">
        <v>35</v>
      </c>
      <c r="M5211" s="86"/>
      <c r="N5211" s="86" t="s">
        <v>3283</v>
      </c>
      <c r="O5211" s="47" t="s">
        <v>105</v>
      </c>
      <c r="P5211" s="47" t="s">
        <v>75</v>
      </c>
      <c r="Q5211" s="14">
        <v>0.06</v>
      </c>
      <c r="R5211" s="143"/>
      <c r="S5211" s="47"/>
      <c r="T5211" s="6">
        <v>0</v>
      </c>
      <c r="U5211" s="6"/>
      <c r="V5211" s="6">
        <v>608.4899999999999</v>
      </c>
      <c r="W5211" s="6">
        <f t="shared" si="787"/>
        <v>-608.4899999999999</v>
      </c>
      <c r="X5211" s="6">
        <f t="shared" si="788"/>
        <v>608.4899999999999</v>
      </c>
      <c r="Y5211" s="13">
        <f t="shared" si="791"/>
        <v>0</v>
      </c>
      <c r="Z5211" s="14">
        <v>0</v>
      </c>
      <c r="AA5211" s="6">
        <v>0</v>
      </c>
      <c r="AB5211" s="4">
        <f t="shared" si="792"/>
        <v>608.4899999999999</v>
      </c>
      <c r="AC5211" s="4">
        <f t="shared" si="794"/>
        <v>36.509399999999992</v>
      </c>
      <c r="AD5211" s="6">
        <f t="shared" si="789"/>
        <v>608.4899999999999</v>
      </c>
      <c r="AE5211" s="2">
        <v>0.05</v>
      </c>
      <c r="AF5211" s="6">
        <f t="shared" si="795"/>
        <v>30.424499999999995</v>
      </c>
      <c r="AG5211" s="14">
        <v>0</v>
      </c>
      <c r="AH5211" s="64">
        <f t="shared" si="790"/>
        <v>608.4899999999999</v>
      </c>
      <c r="AI5211" s="47"/>
      <c r="AJ5211" s="126" t="e">
        <v>#N/A</v>
      </c>
      <c r="AK5211" s="80">
        <f t="shared" si="793"/>
        <v>0</v>
      </c>
      <c r="AM5211" s="85"/>
    </row>
    <row r="5212" spans="1:39" hidden="1" x14ac:dyDescent="0.3">
      <c r="A5212" s="89" t="s">
        <v>3395</v>
      </c>
      <c r="B5212" s="86" t="s">
        <v>35</v>
      </c>
      <c r="C5212" s="86" t="s">
        <v>59</v>
      </c>
      <c r="D5212" s="86" t="s">
        <v>60</v>
      </c>
      <c r="E5212" s="86" t="s">
        <v>327</v>
      </c>
      <c r="F5212" s="86" t="s">
        <v>3635</v>
      </c>
      <c r="G5212" s="86" t="s">
        <v>327</v>
      </c>
      <c r="H5212" s="144">
        <v>229</v>
      </c>
      <c r="I5212" s="86" t="s">
        <v>3356</v>
      </c>
      <c r="J5212" s="1" t="s">
        <v>3326</v>
      </c>
      <c r="K5212" s="1" t="s">
        <v>3283</v>
      </c>
      <c r="L5212" s="1" t="s">
        <v>35</v>
      </c>
      <c r="M5212" s="86"/>
      <c r="N5212" s="86" t="s">
        <v>3283</v>
      </c>
      <c r="O5212" s="47" t="s">
        <v>105</v>
      </c>
      <c r="P5212" s="47" t="s">
        <v>75</v>
      </c>
      <c r="Q5212" s="14">
        <v>0.06</v>
      </c>
      <c r="R5212" s="143"/>
      <c r="S5212" s="47"/>
      <c r="T5212" s="6">
        <v>0</v>
      </c>
      <c r="U5212" s="6"/>
      <c r="V5212" s="6">
        <v>17773.849999999999</v>
      </c>
      <c r="W5212" s="6">
        <f t="shared" si="787"/>
        <v>-17773.849999999999</v>
      </c>
      <c r="X5212" s="6">
        <f t="shared" si="788"/>
        <v>17773.849999999999</v>
      </c>
      <c r="Y5212" s="13">
        <f t="shared" si="791"/>
        <v>0</v>
      </c>
      <c r="Z5212" s="14">
        <v>0</v>
      </c>
      <c r="AA5212" s="6">
        <v>0</v>
      </c>
      <c r="AB5212" s="4">
        <f t="shared" si="792"/>
        <v>17773.849999999999</v>
      </c>
      <c r="AC5212" s="4">
        <f t="shared" si="794"/>
        <v>1066.4309999999998</v>
      </c>
      <c r="AD5212" s="6">
        <f t="shared" si="789"/>
        <v>17773.849999999999</v>
      </c>
      <c r="AE5212" s="2">
        <v>0.05</v>
      </c>
      <c r="AF5212" s="6">
        <f t="shared" si="795"/>
        <v>888.6925</v>
      </c>
      <c r="AG5212" s="14">
        <v>0</v>
      </c>
      <c r="AH5212" s="64">
        <f t="shared" si="790"/>
        <v>17773.849999999999</v>
      </c>
      <c r="AI5212" s="47"/>
      <c r="AJ5212" s="126" t="e">
        <v>#N/A</v>
      </c>
      <c r="AK5212" s="80">
        <f t="shared" si="793"/>
        <v>0</v>
      </c>
      <c r="AM5212" s="85"/>
    </row>
    <row r="5213" spans="1:39" hidden="1" x14ac:dyDescent="0.3">
      <c r="A5213" s="89" t="s">
        <v>3394</v>
      </c>
      <c r="B5213" s="86" t="s">
        <v>35</v>
      </c>
      <c r="C5213" s="86" t="s">
        <v>59</v>
      </c>
      <c r="D5213" s="86" t="s">
        <v>60</v>
      </c>
      <c r="E5213" s="86" t="s">
        <v>95</v>
      </c>
      <c r="F5213" s="86" t="s">
        <v>95</v>
      </c>
      <c r="G5213" s="86" t="s">
        <v>95</v>
      </c>
      <c r="H5213" s="144">
        <v>229</v>
      </c>
      <c r="I5213" s="86" t="s">
        <v>3356</v>
      </c>
      <c r="J5213" s="1" t="s">
        <v>3326</v>
      </c>
      <c r="K5213" s="1" t="s">
        <v>3710</v>
      </c>
      <c r="L5213" s="1" t="s">
        <v>35</v>
      </c>
      <c r="M5213" s="86"/>
      <c r="N5213" s="86" t="s">
        <v>3730</v>
      </c>
      <c r="O5213" s="47" t="s">
        <v>45</v>
      </c>
      <c r="P5213" s="47" t="s">
        <v>46</v>
      </c>
      <c r="Q5213" s="14">
        <v>0.05</v>
      </c>
      <c r="R5213" s="143"/>
      <c r="S5213" s="47"/>
      <c r="T5213" s="6">
        <v>0</v>
      </c>
      <c r="U5213" s="6"/>
      <c r="V5213" s="6">
        <v>686394.66000000027</v>
      </c>
      <c r="W5213" s="6">
        <f t="shared" si="787"/>
        <v>-686394.66000000027</v>
      </c>
      <c r="X5213" s="6">
        <f t="shared" si="788"/>
        <v>653709.20000000019</v>
      </c>
      <c r="Y5213" s="13">
        <f t="shared" si="791"/>
        <v>0</v>
      </c>
      <c r="Z5213" s="14">
        <v>0</v>
      </c>
      <c r="AA5213" s="6">
        <v>0</v>
      </c>
      <c r="AB5213" s="4">
        <f t="shared" si="792"/>
        <v>653709.20000000019</v>
      </c>
      <c r="AC5213" s="4">
        <f t="shared" si="794"/>
        <v>32685.460000000079</v>
      </c>
      <c r="AD5213" s="6">
        <f t="shared" si="789"/>
        <v>686394.66000000027</v>
      </c>
      <c r="AE5213" s="2">
        <v>0.06</v>
      </c>
      <c r="AF5213" s="6">
        <f t="shared" si="795"/>
        <v>41183.679600000018</v>
      </c>
      <c r="AG5213" s="14">
        <v>0</v>
      </c>
      <c r="AH5213" s="64">
        <f t="shared" si="790"/>
        <v>686394.66000000027</v>
      </c>
      <c r="AI5213" s="47"/>
      <c r="AJ5213" s="126" t="e">
        <v>#N/A</v>
      </c>
      <c r="AK5213" s="80">
        <f t="shared" si="793"/>
        <v>0</v>
      </c>
      <c r="AM5213" s="85"/>
    </row>
    <row r="5214" spans="1:39" hidden="1" x14ac:dyDescent="0.3">
      <c r="A5214" s="89" t="s">
        <v>3394</v>
      </c>
      <c r="B5214" s="86" t="s">
        <v>35</v>
      </c>
      <c r="C5214" s="86" t="s">
        <v>59</v>
      </c>
      <c r="D5214" s="86" t="s">
        <v>60</v>
      </c>
      <c r="E5214" s="86" t="s">
        <v>95</v>
      </c>
      <c r="F5214" s="86" t="s">
        <v>95</v>
      </c>
      <c r="G5214" s="86" t="s">
        <v>95</v>
      </c>
      <c r="H5214" s="144">
        <v>229</v>
      </c>
      <c r="I5214" s="86" t="s">
        <v>3356</v>
      </c>
      <c r="J5214" s="1" t="s">
        <v>3326</v>
      </c>
      <c r="K5214" s="1" t="s">
        <v>3710</v>
      </c>
      <c r="L5214" s="1" t="s">
        <v>35</v>
      </c>
      <c r="M5214" s="86"/>
      <c r="N5214" s="86" t="s">
        <v>3730</v>
      </c>
      <c r="O5214" s="47" t="s">
        <v>105</v>
      </c>
      <c r="P5214" s="47" t="s">
        <v>46</v>
      </c>
      <c r="Q5214" s="14">
        <v>0.05</v>
      </c>
      <c r="R5214" s="143"/>
      <c r="S5214" s="47"/>
      <c r="T5214" s="6">
        <v>0</v>
      </c>
      <c r="U5214" s="6"/>
      <c r="V5214" s="6">
        <v>2794.1899999999996</v>
      </c>
      <c r="W5214" s="6">
        <f t="shared" si="787"/>
        <v>-2794.1899999999996</v>
      </c>
      <c r="X5214" s="6">
        <f t="shared" si="788"/>
        <v>2661.1333333333328</v>
      </c>
      <c r="Y5214" s="13">
        <f t="shared" si="791"/>
        <v>0</v>
      </c>
      <c r="Z5214" s="14">
        <v>0</v>
      </c>
      <c r="AA5214" s="6">
        <v>0</v>
      </c>
      <c r="AB5214" s="4">
        <f t="shared" si="792"/>
        <v>2661.1333333333328</v>
      </c>
      <c r="AC5214" s="4">
        <f t="shared" si="794"/>
        <v>133.05666666666684</v>
      </c>
      <c r="AD5214" s="6">
        <f t="shared" si="789"/>
        <v>2794.1899999999996</v>
      </c>
      <c r="AE5214" s="2">
        <v>0.06</v>
      </c>
      <c r="AF5214" s="6">
        <f t="shared" si="795"/>
        <v>167.65139999999997</v>
      </c>
      <c r="AG5214" s="14">
        <v>0</v>
      </c>
      <c r="AH5214" s="64">
        <f t="shared" si="790"/>
        <v>2794.1899999999996</v>
      </c>
      <c r="AI5214" s="47"/>
      <c r="AJ5214" s="126" t="e">
        <v>#N/A</v>
      </c>
      <c r="AK5214" s="80">
        <f t="shared" si="793"/>
        <v>0</v>
      </c>
      <c r="AM5214" s="85"/>
    </row>
    <row r="5215" spans="1:39" hidden="1" x14ac:dyDescent="0.3">
      <c r="A5215" s="89" t="s">
        <v>3395</v>
      </c>
      <c r="B5215" s="86" t="s">
        <v>35</v>
      </c>
      <c r="C5215" s="86" t="s">
        <v>144</v>
      </c>
      <c r="D5215" s="86" t="s">
        <v>152</v>
      </c>
      <c r="E5215" s="86" t="s">
        <v>159</v>
      </c>
      <c r="F5215" s="86" t="s">
        <v>159</v>
      </c>
      <c r="G5215" s="86" t="s">
        <v>159</v>
      </c>
      <c r="H5215" s="144">
        <v>229</v>
      </c>
      <c r="I5215" s="86" t="s">
        <v>3356</v>
      </c>
      <c r="J5215" s="1" t="s">
        <v>3326</v>
      </c>
      <c r="K5215" s="1" t="s">
        <v>3712</v>
      </c>
      <c r="L5215" s="1" t="s">
        <v>35</v>
      </c>
      <c r="M5215" s="86"/>
      <c r="N5215" s="86" t="s">
        <v>3712</v>
      </c>
      <c r="O5215" s="47" t="s">
        <v>105</v>
      </c>
      <c r="P5215" s="47" t="s">
        <v>41</v>
      </c>
      <c r="Q5215" s="14">
        <v>0</v>
      </c>
      <c r="R5215" s="143"/>
      <c r="S5215" s="47"/>
      <c r="T5215" s="6">
        <v>0</v>
      </c>
      <c r="U5215" s="6"/>
      <c r="V5215" s="6">
        <v>53060.590000000004</v>
      </c>
      <c r="W5215" s="6">
        <f t="shared" si="787"/>
        <v>-53060.590000000004</v>
      </c>
      <c r="X5215" s="6">
        <f t="shared" si="788"/>
        <v>53060.590000000004</v>
      </c>
      <c r="Y5215" s="13">
        <f t="shared" si="791"/>
        <v>0</v>
      </c>
      <c r="Z5215" s="14">
        <v>0</v>
      </c>
      <c r="AA5215" s="6">
        <v>0</v>
      </c>
      <c r="AB5215" s="4">
        <f t="shared" si="792"/>
        <v>53060.590000000004</v>
      </c>
      <c r="AC5215" s="4">
        <f t="shared" si="794"/>
        <v>0</v>
      </c>
      <c r="AD5215" s="6">
        <f t="shared" si="789"/>
        <v>53060.590000000004</v>
      </c>
      <c r="AE5215" s="2">
        <v>0.06</v>
      </c>
      <c r="AF5215" s="6">
        <f t="shared" si="795"/>
        <v>3183.6354000000001</v>
      </c>
      <c r="AG5215" s="14">
        <v>0</v>
      </c>
      <c r="AH5215" s="64">
        <f t="shared" si="790"/>
        <v>53060.590000000004</v>
      </c>
      <c r="AI5215" s="47"/>
      <c r="AJ5215" s="126" t="e">
        <v>#N/A</v>
      </c>
      <c r="AK5215" s="80">
        <f t="shared" si="793"/>
        <v>0</v>
      </c>
      <c r="AM5215" s="85"/>
    </row>
    <row r="5216" spans="1:39" hidden="1" x14ac:dyDescent="0.3">
      <c r="A5216" s="89" t="s">
        <v>3394</v>
      </c>
      <c r="B5216" s="86" t="s">
        <v>35</v>
      </c>
      <c r="C5216" s="86" t="s">
        <v>187</v>
      </c>
      <c r="D5216" s="86" t="s">
        <v>188</v>
      </c>
      <c r="E5216" s="86" t="s">
        <v>279</v>
      </c>
      <c r="F5216" s="86" t="s">
        <v>279</v>
      </c>
      <c r="G5216" s="86" t="s">
        <v>279</v>
      </c>
      <c r="H5216" s="144">
        <v>229</v>
      </c>
      <c r="I5216" s="86" t="s">
        <v>3356</v>
      </c>
      <c r="J5216" s="1" t="s">
        <v>3326</v>
      </c>
      <c r="K5216" s="1" t="s">
        <v>3283</v>
      </c>
      <c r="L5216" s="1" t="s">
        <v>35</v>
      </c>
      <c r="M5216" s="86"/>
      <c r="N5216" s="86" t="s">
        <v>3283</v>
      </c>
      <c r="O5216" s="47" t="s">
        <v>105</v>
      </c>
      <c r="P5216" s="47" t="s">
        <v>46</v>
      </c>
      <c r="Q5216" s="14">
        <v>0.03</v>
      </c>
      <c r="R5216" s="143"/>
      <c r="S5216" s="47"/>
      <c r="T5216" s="6">
        <v>0</v>
      </c>
      <c r="U5216" s="6"/>
      <c r="V5216" s="6">
        <v>72.55</v>
      </c>
      <c r="W5216" s="6">
        <f t="shared" si="787"/>
        <v>-72.55</v>
      </c>
      <c r="X5216" s="6">
        <f t="shared" si="788"/>
        <v>70.436893203883486</v>
      </c>
      <c r="Y5216" s="13">
        <f t="shared" si="791"/>
        <v>0</v>
      </c>
      <c r="Z5216" s="14">
        <v>0</v>
      </c>
      <c r="AA5216" s="6">
        <v>0</v>
      </c>
      <c r="AB5216" s="4">
        <f t="shared" si="792"/>
        <v>70.436893203883486</v>
      </c>
      <c r="AC5216" s="4">
        <f t="shared" si="794"/>
        <v>2.1131067961165115</v>
      </c>
      <c r="AD5216" s="6">
        <f t="shared" si="789"/>
        <v>72.55</v>
      </c>
      <c r="AE5216" s="2">
        <v>0.06</v>
      </c>
      <c r="AF5216" s="6">
        <f t="shared" si="795"/>
        <v>4.3529999999999998</v>
      </c>
      <c r="AG5216" s="14">
        <v>0</v>
      </c>
      <c r="AH5216" s="64">
        <f t="shared" si="790"/>
        <v>72.55</v>
      </c>
      <c r="AI5216" s="47"/>
      <c r="AJ5216" s="126" t="e">
        <v>#N/A</v>
      </c>
      <c r="AK5216" s="80">
        <f t="shared" si="793"/>
        <v>0</v>
      </c>
      <c r="AM5216" s="85"/>
    </row>
    <row r="5217" spans="1:39" hidden="1" x14ac:dyDescent="0.3">
      <c r="A5217" s="89" t="s">
        <v>3394</v>
      </c>
      <c r="B5217" s="86" t="s">
        <v>35</v>
      </c>
      <c r="C5217" s="86" t="s">
        <v>144</v>
      </c>
      <c r="D5217" s="86" t="s">
        <v>161</v>
      </c>
      <c r="E5217" s="86" t="s">
        <v>162</v>
      </c>
      <c r="F5217" s="86" t="s">
        <v>162</v>
      </c>
      <c r="G5217" s="86" t="s">
        <v>162</v>
      </c>
      <c r="H5217" s="144">
        <v>229</v>
      </c>
      <c r="I5217" s="86" t="s">
        <v>3356</v>
      </c>
      <c r="J5217" s="1" t="s">
        <v>3326</v>
      </c>
      <c r="K5217" s="1" t="s">
        <v>3707</v>
      </c>
      <c r="L5217" s="1" t="s">
        <v>35</v>
      </c>
      <c r="M5217" s="86"/>
      <c r="N5217" s="86" t="s">
        <v>3707</v>
      </c>
      <c r="O5217" s="47" t="s">
        <v>105</v>
      </c>
      <c r="P5217" s="47" t="s">
        <v>41</v>
      </c>
      <c r="Q5217" s="14">
        <v>0</v>
      </c>
      <c r="R5217" s="143"/>
      <c r="S5217" s="47"/>
      <c r="T5217" s="6">
        <v>0</v>
      </c>
      <c r="U5217" s="6"/>
      <c r="V5217" s="6">
        <v>6645.8000000000011</v>
      </c>
      <c r="W5217" s="6">
        <f t="shared" si="787"/>
        <v>-6645.8000000000011</v>
      </c>
      <c r="X5217" s="6">
        <f t="shared" si="788"/>
        <v>6645.8000000000011</v>
      </c>
      <c r="Y5217" s="13">
        <f t="shared" si="791"/>
        <v>0</v>
      </c>
      <c r="Z5217" s="14">
        <v>0</v>
      </c>
      <c r="AA5217" s="6">
        <v>0</v>
      </c>
      <c r="AB5217" s="4">
        <f t="shared" si="792"/>
        <v>6645.8000000000011</v>
      </c>
      <c r="AC5217" s="4">
        <f t="shared" si="794"/>
        <v>0</v>
      </c>
      <c r="AD5217" s="6">
        <f t="shared" si="789"/>
        <v>6645.8000000000011</v>
      </c>
      <c r="AE5217" s="2">
        <v>0.06</v>
      </c>
      <c r="AF5217" s="6">
        <f t="shared" si="795"/>
        <v>398.74800000000005</v>
      </c>
      <c r="AG5217" s="14">
        <v>0</v>
      </c>
      <c r="AH5217" s="64">
        <f t="shared" si="790"/>
        <v>6645.8000000000011</v>
      </c>
      <c r="AI5217" s="47"/>
      <c r="AJ5217" s="126" t="e">
        <v>#N/A</v>
      </c>
      <c r="AK5217" s="80">
        <f t="shared" si="793"/>
        <v>0</v>
      </c>
      <c r="AM5217" s="85"/>
    </row>
    <row r="5218" spans="1:39" hidden="1" x14ac:dyDescent="0.3">
      <c r="A5218" s="89" t="s">
        <v>3394</v>
      </c>
      <c r="B5218" s="86" t="s">
        <v>35</v>
      </c>
      <c r="C5218" s="86" t="s">
        <v>187</v>
      </c>
      <c r="D5218" s="86" t="s">
        <v>208</v>
      </c>
      <c r="E5218" s="86" t="s">
        <v>218</v>
      </c>
      <c r="F5218" s="86" t="s">
        <v>218</v>
      </c>
      <c r="G5218" s="86" t="s">
        <v>218</v>
      </c>
      <c r="H5218" s="144">
        <v>229</v>
      </c>
      <c r="I5218" s="86" t="s">
        <v>3356</v>
      </c>
      <c r="J5218" s="1" t="s">
        <v>3326</v>
      </c>
      <c r="K5218" s="1" t="s">
        <v>3283</v>
      </c>
      <c r="L5218" s="1" t="s">
        <v>35</v>
      </c>
      <c r="M5218" s="86"/>
      <c r="N5218" s="86" t="s">
        <v>3283</v>
      </c>
      <c r="O5218" s="47" t="s">
        <v>105</v>
      </c>
      <c r="P5218" s="47" t="s">
        <v>46</v>
      </c>
      <c r="Q5218" s="14">
        <v>0.06</v>
      </c>
      <c r="R5218" s="143"/>
      <c r="S5218" s="47"/>
      <c r="T5218" s="6">
        <v>0</v>
      </c>
      <c r="U5218" s="6"/>
      <c r="V5218" s="6">
        <v>154.71</v>
      </c>
      <c r="W5218" s="6">
        <f t="shared" si="787"/>
        <v>-154.71</v>
      </c>
      <c r="X5218" s="6">
        <f t="shared" si="788"/>
        <v>145.95283018867926</v>
      </c>
      <c r="Y5218" s="13">
        <f t="shared" si="791"/>
        <v>0</v>
      </c>
      <c r="Z5218" s="14">
        <v>0</v>
      </c>
      <c r="AA5218" s="6">
        <v>0</v>
      </c>
      <c r="AB5218" s="4">
        <f t="shared" si="792"/>
        <v>145.95283018867926</v>
      </c>
      <c r="AC5218" s="4">
        <f t="shared" si="794"/>
        <v>8.7571698113207503</v>
      </c>
      <c r="AD5218" s="6">
        <f t="shared" si="789"/>
        <v>154.71</v>
      </c>
      <c r="AE5218" s="2">
        <v>0.06</v>
      </c>
      <c r="AF5218" s="6">
        <f t="shared" si="795"/>
        <v>9.2826000000000004</v>
      </c>
      <c r="AG5218" s="14">
        <v>0</v>
      </c>
      <c r="AH5218" s="64">
        <f t="shared" si="790"/>
        <v>154.71</v>
      </c>
      <c r="AI5218" s="47"/>
      <c r="AJ5218" s="126" t="e">
        <v>#N/A</v>
      </c>
      <c r="AK5218" s="80">
        <f t="shared" si="793"/>
        <v>0</v>
      </c>
      <c r="AM5218" s="85"/>
    </row>
    <row r="5219" spans="1:39" hidden="1" x14ac:dyDescent="0.3">
      <c r="A5219" s="89" t="s">
        <v>3394</v>
      </c>
      <c r="B5219" s="86" t="s">
        <v>35</v>
      </c>
      <c r="C5219" s="86" t="s">
        <v>187</v>
      </c>
      <c r="D5219" s="86" t="s">
        <v>188</v>
      </c>
      <c r="E5219" s="86" t="s">
        <v>199</v>
      </c>
      <c r="F5219" s="86" t="s">
        <v>199</v>
      </c>
      <c r="G5219" s="86" t="s">
        <v>199</v>
      </c>
      <c r="H5219" s="144">
        <v>229</v>
      </c>
      <c r="I5219" s="86" t="s">
        <v>3356</v>
      </c>
      <c r="J5219" s="1" t="s">
        <v>3326</v>
      </c>
      <c r="K5219" s="1" t="s">
        <v>3283</v>
      </c>
      <c r="L5219" s="1" t="s">
        <v>35</v>
      </c>
      <c r="M5219" s="86"/>
      <c r="N5219" s="86" t="s">
        <v>3283</v>
      </c>
      <c r="O5219" s="47" t="s">
        <v>105</v>
      </c>
      <c r="P5219" s="47" t="s">
        <v>46</v>
      </c>
      <c r="Q5219" s="14">
        <v>0.02</v>
      </c>
      <c r="R5219" s="143"/>
      <c r="S5219" s="47"/>
      <c r="T5219" s="6">
        <v>0</v>
      </c>
      <c r="U5219" s="6"/>
      <c r="V5219" s="6">
        <v>95.47</v>
      </c>
      <c r="W5219" s="6">
        <f t="shared" si="787"/>
        <v>-95.47</v>
      </c>
      <c r="X5219" s="6">
        <f t="shared" si="788"/>
        <v>93.598039215686271</v>
      </c>
      <c r="Y5219" s="13">
        <f t="shared" si="791"/>
        <v>0</v>
      </c>
      <c r="Z5219" s="14">
        <v>0</v>
      </c>
      <c r="AA5219" s="6">
        <v>0</v>
      </c>
      <c r="AB5219" s="4">
        <f t="shared" si="792"/>
        <v>93.598039215686271</v>
      </c>
      <c r="AC5219" s="4">
        <f t="shared" si="794"/>
        <v>1.8719607843137283</v>
      </c>
      <c r="AD5219" s="6">
        <f t="shared" si="789"/>
        <v>95.47</v>
      </c>
      <c r="AE5219" s="2">
        <v>0.06</v>
      </c>
      <c r="AF5219" s="6">
        <f t="shared" si="795"/>
        <v>5.7281999999999993</v>
      </c>
      <c r="AG5219" s="14">
        <v>0</v>
      </c>
      <c r="AH5219" s="64">
        <f t="shared" si="790"/>
        <v>95.47</v>
      </c>
      <c r="AI5219" s="47"/>
      <c r="AJ5219" s="126" t="e">
        <v>#N/A</v>
      </c>
      <c r="AK5219" s="80">
        <f t="shared" si="793"/>
        <v>0</v>
      </c>
      <c r="AM5219" s="85"/>
    </row>
    <row r="5220" spans="1:39" hidden="1" x14ac:dyDescent="0.3">
      <c r="A5220" s="89" t="s">
        <v>3395</v>
      </c>
      <c r="B5220" s="86" t="s">
        <v>35</v>
      </c>
      <c r="C5220" s="86" t="s">
        <v>144</v>
      </c>
      <c r="D5220" s="86" t="s">
        <v>145</v>
      </c>
      <c r="E5220" s="86" t="s">
        <v>147</v>
      </c>
      <c r="F5220" s="86" t="s">
        <v>148</v>
      </c>
      <c r="G5220" s="86" t="s">
        <v>147</v>
      </c>
      <c r="H5220" s="144">
        <v>229</v>
      </c>
      <c r="I5220" s="86" t="s">
        <v>3356</v>
      </c>
      <c r="J5220" s="1" t="s">
        <v>3326</v>
      </c>
      <c r="K5220" s="1" t="s">
        <v>3707</v>
      </c>
      <c r="L5220" s="1" t="s">
        <v>35</v>
      </c>
      <c r="M5220" s="86"/>
      <c r="N5220" s="86" t="s">
        <v>3707</v>
      </c>
      <c r="O5220" s="47" t="s">
        <v>105</v>
      </c>
      <c r="P5220" s="47" t="s">
        <v>41</v>
      </c>
      <c r="Q5220" s="14">
        <v>0</v>
      </c>
      <c r="R5220" s="143"/>
      <c r="S5220" s="47"/>
      <c r="T5220" s="6">
        <v>0</v>
      </c>
      <c r="U5220" s="6"/>
      <c r="V5220" s="6">
        <v>69464.759999999995</v>
      </c>
      <c r="W5220" s="6">
        <f t="shared" si="787"/>
        <v>-69464.759999999995</v>
      </c>
      <c r="X5220" s="6">
        <f t="shared" si="788"/>
        <v>69464.759999999995</v>
      </c>
      <c r="Y5220" s="13">
        <f t="shared" si="791"/>
        <v>0</v>
      </c>
      <c r="Z5220" s="14">
        <v>0</v>
      </c>
      <c r="AA5220" s="6">
        <v>0</v>
      </c>
      <c r="AB5220" s="4">
        <f t="shared" si="792"/>
        <v>69464.759999999995</v>
      </c>
      <c r="AC5220" s="4">
        <f t="shared" si="794"/>
        <v>0</v>
      </c>
      <c r="AD5220" s="6">
        <f t="shared" si="789"/>
        <v>69464.759999999995</v>
      </c>
      <c r="AE5220" s="2">
        <v>0.06</v>
      </c>
      <c r="AF5220" s="6">
        <f t="shared" si="795"/>
        <v>4167.8855999999996</v>
      </c>
      <c r="AG5220" s="14">
        <v>0</v>
      </c>
      <c r="AH5220" s="64">
        <f t="shared" si="790"/>
        <v>69464.759999999995</v>
      </c>
      <c r="AI5220" s="47"/>
      <c r="AJ5220" s="126" t="e">
        <v>#N/A</v>
      </c>
      <c r="AK5220" s="80">
        <f t="shared" si="793"/>
        <v>0</v>
      </c>
      <c r="AM5220" s="85"/>
    </row>
    <row r="5221" spans="1:39" hidden="1" x14ac:dyDescent="0.3">
      <c r="A5221" s="89" t="s">
        <v>3394</v>
      </c>
      <c r="B5221" s="86" t="s">
        <v>35</v>
      </c>
      <c r="C5221" s="86" t="s">
        <v>36</v>
      </c>
      <c r="D5221" s="86" t="s">
        <v>54</v>
      </c>
      <c r="E5221" s="86" t="s">
        <v>108</v>
      </c>
      <c r="F5221" s="86" t="s">
        <v>108</v>
      </c>
      <c r="G5221" s="86" t="s">
        <v>108</v>
      </c>
      <c r="H5221" s="144">
        <v>229</v>
      </c>
      <c r="I5221" s="86" t="s">
        <v>3356</v>
      </c>
      <c r="J5221" s="1" t="s">
        <v>3326</v>
      </c>
      <c r="K5221" s="1" t="s">
        <v>3712</v>
      </c>
      <c r="L5221" s="1" t="s">
        <v>35</v>
      </c>
      <c r="M5221" s="86"/>
      <c r="N5221" s="86" t="s">
        <v>3712</v>
      </c>
      <c r="O5221" s="47" t="s">
        <v>45</v>
      </c>
      <c r="P5221" s="47" t="s">
        <v>41</v>
      </c>
      <c r="Q5221" s="14">
        <v>0</v>
      </c>
      <c r="R5221" s="143"/>
      <c r="S5221" s="47"/>
      <c r="T5221" s="6">
        <v>0</v>
      </c>
      <c r="U5221" s="6"/>
      <c r="V5221" s="6">
        <v>7141.88</v>
      </c>
      <c r="W5221" s="6">
        <f t="shared" si="787"/>
        <v>-7141.88</v>
      </c>
      <c r="X5221" s="6">
        <f t="shared" si="788"/>
        <v>7141.88</v>
      </c>
      <c r="Y5221" s="13">
        <f t="shared" si="791"/>
        <v>0</v>
      </c>
      <c r="Z5221" s="14">
        <v>0</v>
      </c>
      <c r="AA5221" s="6">
        <v>0</v>
      </c>
      <c r="AB5221" s="4">
        <f t="shared" si="792"/>
        <v>7141.88</v>
      </c>
      <c r="AC5221" s="4">
        <f t="shared" si="794"/>
        <v>0</v>
      </c>
      <c r="AD5221" s="6">
        <f t="shared" si="789"/>
        <v>7141.88</v>
      </c>
      <c r="AE5221" s="2">
        <v>0.06</v>
      </c>
      <c r="AF5221" s="6">
        <f t="shared" si="795"/>
        <v>428.51279999999997</v>
      </c>
      <c r="AG5221" s="14">
        <v>0</v>
      </c>
      <c r="AH5221" s="64">
        <f t="shared" si="790"/>
        <v>7141.88</v>
      </c>
      <c r="AI5221" s="47"/>
      <c r="AJ5221" s="126" t="e">
        <v>#N/A</v>
      </c>
      <c r="AK5221" s="80">
        <f t="shared" si="793"/>
        <v>0</v>
      </c>
      <c r="AM5221" s="85"/>
    </row>
    <row r="5222" spans="1:39" hidden="1" x14ac:dyDescent="0.3">
      <c r="A5222" s="89" t="s">
        <v>3394</v>
      </c>
      <c r="B5222" s="86" t="s">
        <v>35</v>
      </c>
      <c r="C5222" s="86" t="s">
        <v>164</v>
      </c>
      <c r="D5222" s="86" t="s">
        <v>181</v>
      </c>
      <c r="E5222" s="86" t="s">
        <v>182</v>
      </c>
      <c r="F5222" s="86" t="s">
        <v>183</v>
      </c>
      <c r="G5222" s="86" t="s">
        <v>182</v>
      </c>
      <c r="H5222" s="144">
        <v>229</v>
      </c>
      <c r="I5222" s="86" t="s">
        <v>3356</v>
      </c>
      <c r="J5222" s="1" t="s">
        <v>3326</v>
      </c>
      <c r="K5222" s="1" t="s">
        <v>3712</v>
      </c>
      <c r="L5222" s="1" t="s">
        <v>35</v>
      </c>
      <c r="M5222" s="86"/>
      <c r="N5222" s="86" t="s">
        <v>3712</v>
      </c>
      <c r="O5222" s="47" t="s">
        <v>45</v>
      </c>
      <c r="P5222" s="47" t="s">
        <v>41</v>
      </c>
      <c r="Q5222" s="14">
        <v>0</v>
      </c>
      <c r="R5222" s="143"/>
      <c r="S5222" s="47"/>
      <c r="T5222" s="6">
        <v>0</v>
      </c>
      <c r="U5222" s="6"/>
      <c r="V5222" s="6">
        <v>240109.02000000002</v>
      </c>
      <c r="W5222" s="6">
        <f t="shared" si="787"/>
        <v>-240109.02000000002</v>
      </c>
      <c r="X5222" s="6">
        <f t="shared" si="788"/>
        <v>240109.02000000002</v>
      </c>
      <c r="Y5222" s="13">
        <f t="shared" si="791"/>
        <v>0</v>
      </c>
      <c r="Z5222" s="14">
        <v>0</v>
      </c>
      <c r="AA5222" s="6">
        <v>0</v>
      </c>
      <c r="AB5222" s="4">
        <f t="shared" si="792"/>
        <v>240109.02000000002</v>
      </c>
      <c r="AC5222" s="4">
        <f t="shared" si="794"/>
        <v>0</v>
      </c>
      <c r="AD5222" s="6">
        <f t="shared" si="789"/>
        <v>240109.02000000002</v>
      </c>
      <c r="AE5222" s="2">
        <v>0.06</v>
      </c>
      <c r="AF5222" s="6">
        <f t="shared" si="795"/>
        <v>14406.541200000001</v>
      </c>
      <c r="AG5222" s="14">
        <v>0</v>
      </c>
      <c r="AH5222" s="64">
        <f t="shared" si="790"/>
        <v>240109.02000000002</v>
      </c>
      <c r="AI5222" s="47"/>
      <c r="AJ5222" s="126" t="e">
        <v>#N/A</v>
      </c>
      <c r="AK5222" s="80">
        <f t="shared" si="793"/>
        <v>0</v>
      </c>
      <c r="AM5222" s="85"/>
    </row>
    <row r="5223" spans="1:39" hidden="1" x14ac:dyDescent="0.3">
      <c r="A5223" s="89" t="s">
        <v>3395</v>
      </c>
      <c r="B5223" s="86" t="s">
        <v>35</v>
      </c>
      <c r="C5223" s="86" t="s">
        <v>65</v>
      </c>
      <c r="D5223" s="86" t="s">
        <v>1291</v>
      </c>
      <c r="E5223" s="86" t="s">
        <v>3614</v>
      </c>
      <c r="F5223" s="86" t="s">
        <v>3614</v>
      </c>
      <c r="G5223" s="86" t="s">
        <v>3614</v>
      </c>
      <c r="H5223" s="144">
        <v>229</v>
      </c>
      <c r="I5223" s="86" t="s">
        <v>3356</v>
      </c>
      <c r="J5223" s="1" t="s">
        <v>3326</v>
      </c>
      <c r="K5223" s="1" t="s">
        <v>3712</v>
      </c>
      <c r="L5223" s="1" t="s">
        <v>35</v>
      </c>
      <c r="M5223" s="86"/>
      <c r="N5223" s="86" t="s">
        <v>3712</v>
      </c>
      <c r="O5223" s="47" t="s">
        <v>105</v>
      </c>
      <c r="P5223" s="47" t="s">
        <v>3748</v>
      </c>
      <c r="Q5223" s="14">
        <v>0.06</v>
      </c>
      <c r="R5223" s="143"/>
      <c r="S5223" s="47"/>
      <c r="T5223" s="6">
        <v>0</v>
      </c>
      <c r="U5223" s="6"/>
      <c r="V5223" s="6">
        <v>0.46</v>
      </c>
      <c r="W5223" s="6">
        <f t="shared" si="787"/>
        <v>-0.46</v>
      </c>
      <c r="X5223" s="6">
        <f t="shared" si="788"/>
        <v>0.43396226415094341</v>
      </c>
      <c r="Y5223" s="13">
        <f t="shared" si="791"/>
        <v>0</v>
      </c>
      <c r="Z5223" s="14">
        <v>0</v>
      </c>
      <c r="AA5223" s="6">
        <v>0</v>
      </c>
      <c r="AB5223" s="4">
        <f t="shared" si="792"/>
        <v>0.43396226415094341</v>
      </c>
      <c r="AC5223" s="4">
        <f t="shared" si="794"/>
        <v>2.6037735849056609E-2</v>
      </c>
      <c r="AD5223" s="6">
        <f t="shared" si="789"/>
        <v>0.46</v>
      </c>
      <c r="AE5223" s="2">
        <v>0.06</v>
      </c>
      <c r="AF5223" s="6">
        <f t="shared" si="795"/>
        <v>2.76E-2</v>
      </c>
      <c r="AG5223" s="14">
        <v>0</v>
      </c>
      <c r="AH5223" s="64">
        <f t="shared" si="790"/>
        <v>0.46</v>
      </c>
      <c r="AI5223" s="47"/>
      <c r="AJ5223" s="126" t="e">
        <v>#N/A</v>
      </c>
      <c r="AK5223" s="80">
        <f t="shared" si="793"/>
        <v>0</v>
      </c>
      <c r="AM5223" s="85"/>
    </row>
    <row r="5224" spans="1:39" hidden="1" x14ac:dyDescent="0.3">
      <c r="A5224" s="89" t="s">
        <v>3395</v>
      </c>
      <c r="B5224" s="86" t="s">
        <v>35</v>
      </c>
      <c r="C5224" s="86" t="s">
        <v>36</v>
      </c>
      <c r="D5224" s="86" t="s">
        <v>54</v>
      </c>
      <c r="E5224" s="86" t="s">
        <v>110</v>
      </c>
      <c r="F5224" s="86" t="s">
        <v>110</v>
      </c>
      <c r="G5224" s="86" t="s">
        <v>110</v>
      </c>
      <c r="H5224" s="144">
        <v>229</v>
      </c>
      <c r="I5224" s="86" t="s">
        <v>3356</v>
      </c>
      <c r="J5224" s="1" t="s">
        <v>3326</v>
      </c>
      <c r="K5224" s="1" t="s">
        <v>3712</v>
      </c>
      <c r="L5224" s="1" t="s">
        <v>35</v>
      </c>
      <c r="M5224" s="86"/>
      <c r="N5224" s="86" t="s">
        <v>3712</v>
      </c>
      <c r="O5224" s="47" t="s">
        <v>105</v>
      </c>
      <c r="P5224" s="47" t="s">
        <v>41</v>
      </c>
      <c r="Q5224" s="14">
        <v>0</v>
      </c>
      <c r="R5224" s="143"/>
      <c r="S5224" s="47"/>
      <c r="T5224" s="6">
        <v>0</v>
      </c>
      <c r="U5224" s="6"/>
      <c r="V5224" s="6">
        <v>11743.239999999998</v>
      </c>
      <c r="W5224" s="6">
        <f t="shared" si="787"/>
        <v>-11743.239999999998</v>
      </c>
      <c r="X5224" s="6">
        <f t="shared" si="788"/>
        <v>11743.239999999998</v>
      </c>
      <c r="Y5224" s="13">
        <f t="shared" si="791"/>
        <v>0</v>
      </c>
      <c r="Z5224" s="14">
        <v>0</v>
      </c>
      <c r="AA5224" s="6">
        <v>0</v>
      </c>
      <c r="AB5224" s="4">
        <f t="shared" si="792"/>
        <v>11743.239999999998</v>
      </c>
      <c r="AC5224" s="4">
        <f t="shared" si="794"/>
        <v>0</v>
      </c>
      <c r="AD5224" s="6">
        <f t="shared" si="789"/>
        <v>11743.239999999998</v>
      </c>
      <c r="AE5224" s="2">
        <v>0.06</v>
      </c>
      <c r="AF5224" s="6">
        <f t="shared" si="795"/>
        <v>704.59439999999984</v>
      </c>
      <c r="AG5224" s="14">
        <v>0</v>
      </c>
      <c r="AH5224" s="64">
        <f t="shared" si="790"/>
        <v>11743.239999999998</v>
      </c>
      <c r="AI5224" s="47"/>
      <c r="AJ5224" s="126" t="e">
        <v>#N/A</v>
      </c>
      <c r="AK5224" s="80">
        <f t="shared" si="793"/>
        <v>0</v>
      </c>
      <c r="AM5224" s="85"/>
    </row>
    <row r="5225" spans="1:39" hidden="1" x14ac:dyDescent="0.3">
      <c r="A5225" s="89" t="s">
        <v>3395</v>
      </c>
      <c r="B5225" s="86" t="s">
        <v>35</v>
      </c>
      <c r="C5225" s="86" t="s">
        <v>164</v>
      </c>
      <c r="D5225" s="86" t="s">
        <v>165</v>
      </c>
      <c r="E5225" s="86" t="s">
        <v>263</v>
      </c>
      <c r="F5225" s="86" t="s">
        <v>264</v>
      </c>
      <c r="G5225" s="86" t="s">
        <v>263</v>
      </c>
      <c r="H5225" s="144">
        <v>229</v>
      </c>
      <c r="I5225" s="86" t="s">
        <v>3356</v>
      </c>
      <c r="J5225" s="1" t="s">
        <v>3326</v>
      </c>
      <c r="K5225" s="1" t="s">
        <v>3707</v>
      </c>
      <c r="L5225" s="1" t="s">
        <v>35</v>
      </c>
      <c r="M5225" s="86"/>
      <c r="N5225" s="86" t="s">
        <v>3707</v>
      </c>
      <c r="O5225" s="47" t="s">
        <v>105</v>
      </c>
      <c r="P5225" s="47" t="s">
        <v>46</v>
      </c>
      <c r="Q5225" s="14">
        <v>0.02</v>
      </c>
      <c r="R5225" s="143"/>
      <c r="S5225" s="47"/>
      <c r="T5225" s="6">
        <v>0</v>
      </c>
      <c r="U5225" s="6"/>
      <c r="V5225" s="6">
        <v>45.89</v>
      </c>
      <c r="W5225" s="6">
        <f t="shared" si="787"/>
        <v>-45.89</v>
      </c>
      <c r="X5225" s="6">
        <f t="shared" si="788"/>
        <v>44.990196078431374</v>
      </c>
      <c r="Y5225" s="13">
        <f t="shared" si="791"/>
        <v>0</v>
      </c>
      <c r="Z5225" s="14">
        <v>0</v>
      </c>
      <c r="AA5225" s="6">
        <v>0</v>
      </c>
      <c r="AB5225" s="4">
        <f t="shared" si="792"/>
        <v>44.990196078431374</v>
      </c>
      <c r="AC5225" s="4">
        <f t="shared" si="794"/>
        <v>0.89980392156862621</v>
      </c>
      <c r="AD5225" s="6">
        <f t="shared" si="789"/>
        <v>45.89</v>
      </c>
      <c r="AE5225" s="2">
        <v>0.06</v>
      </c>
      <c r="AF5225" s="6">
        <f t="shared" si="795"/>
        <v>2.7534000000000001</v>
      </c>
      <c r="AG5225" s="14">
        <v>0</v>
      </c>
      <c r="AH5225" s="64">
        <f t="shared" si="790"/>
        <v>45.89</v>
      </c>
      <c r="AI5225" s="47"/>
      <c r="AJ5225" s="126" t="e">
        <v>#N/A</v>
      </c>
      <c r="AK5225" s="80">
        <f t="shared" si="793"/>
        <v>0</v>
      </c>
      <c r="AM5225" s="85"/>
    </row>
    <row r="5226" spans="1:39" hidden="1" x14ac:dyDescent="0.3">
      <c r="A5226" s="89" t="s">
        <v>3394</v>
      </c>
      <c r="B5226" s="86" t="s">
        <v>35</v>
      </c>
      <c r="C5226" s="86" t="s">
        <v>59</v>
      </c>
      <c r="D5226" s="86" t="s">
        <v>60</v>
      </c>
      <c r="E5226" s="86" t="s">
        <v>78</v>
      </c>
      <c r="F5226" s="86" t="s">
        <v>3633</v>
      </c>
      <c r="G5226" s="86" t="s">
        <v>78</v>
      </c>
      <c r="H5226" s="143">
        <v>229</v>
      </c>
      <c r="I5226" s="86" t="s">
        <v>3356</v>
      </c>
      <c r="J5226" s="1" t="s">
        <v>3326</v>
      </c>
      <c r="K5226" s="1" t="s">
        <v>3283</v>
      </c>
      <c r="L5226" s="1" t="s">
        <v>35</v>
      </c>
      <c r="M5226" s="86"/>
      <c r="N5226" s="86" t="s">
        <v>3283</v>
      </c>
      <c r="O5226" s="47" t="s">
        <v>105</v>
      </c>
      <c r="P5226" s="47" t="s">
        <v>41</v>
      </c>
      <c r="Q5226" s="14">
        <v>0</v>
      </c>
      <c r="R5226" s="143"/>
      <c r="S5226" s="47"/>
      <c r="T5226" s="6">
        <v>0</v>
      </c>
      <c r="U5226" s="6"/>
      <c r="V5226" s="6">
        <v>0</v>
      </c>
      <c r="W5226" s="6">
        <f t="shared" si="787"/>
        <v>0</v>
      </c>
      <c r="X5226" s="6">
        <f t="shared" si="788"/>
        <v>0</v>
      </c>
      <c r="Y5226" s="13">
        <f t="shared" si="791"/>
        <v>0</v>
      </c>
      <c r="Z5226" s="14">
        <v>0</v>
      </c>
      <c r="AA5226" s="6">
        <v>0</v>
      </c>
      <c r="AB5226" s="4">
        <f t="shared" si="792"/>
        <v>0</v>
      </c>
      <c r="AC5226" s="4">
        <f t="shared" si="794"/>
        <v>0</v>
      </c>
      <c r="AD5226" s="6">
        <f t="shared" si="789"/>
        <v>0</v>
      </c>
      <c r="AE5226" s="2">
        <v>0.05</v>
      </c>
      <c r="AF5226" s="6">
        <f t="shared" si="795"/>
        <v>0</v>
      </c>
      <c r="AG5226" s="14">
        <v>0</v>
      </c>
      <c r="AH5226" s="64">
        <f t="shared" si="790"/>
        <v>0</v>
      </c>
      <c r="AI5226" s="47"/>
      <c r="AJ5226" s="126" t="e">
        <v>#N/A</v>
      </c>
      <c r="AK5226" s="80">
        <f t="shared" si="793"/>
        <v>0</v>
      </c>
      <c r="AM5226" s="85"/>
    </row>
    <row r="5227" spans="1:39" hidden="1" x14ac:dyDescent="0.3">
      <c r="A5227" s="89" t="s">
        <v>3395</v>
      </c>
      <c r="B5227" s="86" t="s">
        <v>35</v>
      </c>
      <c r="C5227" s="86" t="s">
        <v>164</v>
      </c>
      <c r="D5227" s="86" t="s">
        <v>165</v>
      </c>
      <c r="E5227" s="86" t="s">
        <v>3542</v>
      </c>
      <c r="F5227" s="86" t="s">
        <v>3542</v>
      </c>
      <c r="G5227" s="86" t="s">
        <v>3542</v>
      </c>
      <c r="H5227" s="144">
        <v>229</v>
      </c>
      <c r="I5227" s="86" t="s">
        <v>3356</v>
      </c>
      <c r="J5227" s="1" t="s">
        <v>3326</v>
      </c>
      <c r="K5227" s="1" t="s">
        <v>3707</v>
      </c>
      <c r="L5227" s="1" t="s">
        <v>35</v>
      </c>
      <c r="M5227" s="86"/>
      <c r="N5227" s="86" t="s">
        <v>3707</v>
      </c>
      <c r="O5227" s="47" t="s">
        <v>105</v>
      </c>
      <c r="P5227" s="47" t="s">
        <v>41</v>
      </c>
      <c r="Q5227" s="14">
        <v>0</v>
      </c>
      <c r="R5227" s="143"/>
      <c r="S5227" s="47"/>
      <c r="T5227" s="6">
        <v>0</v>
      </c>
      <c r="U5227" s="6"/>
      <c r="V5227" s="6">
        <v>1329.79</v>
      </c>
      <c r="W5227" s="6">
        <f t="shared" si="787"/>
        <v>-1329.79</v>
      </c>
      <c r="X5227" s="6">
        <f t="shared" si="788"/>
        <v>1329.79</v>
      </c>
      <c r="Y5227" s="13">
        <f t="shared" si="791"/>
        <v>0</v>
      </c>
      <c r="Z5227" s="14">
        <v>0</v>
      </c>
      <c r="AA5227" s="6">
        <v>0</v>
      </c>
      <c r="AB5227" s="4">
        <f t="shared" si="792"/>
        <v>1329.79</v>
      </c>
      <c r="AC5227" s="4">
        <f t="shared" si="794"/>
        <v>0</v>
      </c>
      <c r="AD5227" s="6">
        <f t="shared" si="789"/>
        <v>1329.79</v>
      </c>
      <c r="AE5227" s="2">
        <v>0.06</v>
      </c>
      <c r="AF5227" s="6">
        <f t="shared" si="795"/>
        <v>79.787399999999991</v>
      </c>
      <c r="AG5227" s="14">
        <v>0</v>
      </c>
      <c r="AH5227" s="64">
        <f t="shared" si="790"/>
        <v>1329.79</v>
      </c>
      <c r="AI5227" s="47"/>
      <c r="AJ5227" s="126" t="e">
        <v>#N/A</v>
      </c>
      <c r="AK5227" s="80">
        <f t="shared" si="793"/>
        <v>0</v>
      </c>
      <c r="AM5227" s="85"/>
    </row>
    <row r="5228" spans="1:39" hidden="1" x14ac:dyDescent="0.3">
      <c r="A5228" s="89" t="s">
        <v>3394</v>
      </c>
      <c r="B5228" s="86" t="s">
        <v>35</v>
      </c>
      <c r="C5228" s="86" t="s">
        <v>47</v>
      </c>
      <c r="D5228" s="86" t="s">
        <v>48</v>
      </c>
      <c r="E5228" s="86" t="s">
        <v>50</v>
      </c>
      <c r="F5228" s="86" t="s">
        <v>50</v>
      </c>
      <c r="G5228" s="86" t="s">
        <v>50</v>
      </c>
      <c r="H5228" s="144">
        <v>229</v>
      </c>
      <c r="I5228" s="86" t="s">
        <v>3356</v>
      </c>
      <c r="J5228" s="1" t="s">
        <v>3326</v>
      </c>
      <c r="K5228" s="1" t="s">
        <v>3707</v>
      </c>
      <c r="L5228" s="1" t="s">
        <v>35</v>
      </c>
      <c r="M5228" s="86"/>
      <c r="N5228" s="86" t="s">
        <v>3737</v>
      </c>
      <c r="O5228" s="47" t="s">
        <v>45</v>
      </c>
      <c r="P5228" s="1" t="s">
        <v>3753</v>
      </c>
      <c r="Q5228" s="2">
        <v>0.01</v>
      </c>
      <c r="R5228" s="143"/>
      <c r="S5228" s="47"/>
      <c r="T5228" s="6">
        <v>0</v>
      </c>
      <c r="U5228" s="6"/>
      <c r="V5228" s="6">
        <v>1209492.0400000003</v>
      </c>
      <c r="W5228" s="6">
        <f t="shared" si="787"/>
        <v>-1209492.0400000003</v>
      </c>
      <c r="X5228" s="6">
        <f t="shared" si="788"/>
        <v>1197516.8712871289</v>
      </c>
      <c r="Y5228" s="13">
        <f t="shared" si="791"/>
        <v>0</v>
      </c>
      <c r="Z5228" s="14">
        <v>0</v>
      </c>
      <c r="AA5228" s="6">
        <v>0</v>
      </c>
      <c r="AB5228" s="4">
        <f t="shared" si="792"/>
        <v>1197516.8712871289</v>
      </c>
      <c r="AC5228" s="4">
        <f t="shared" si="794"/>
        <v>11975.168712871382</v>
      </c>
      <c r="AD5228" s="6">
        <f t="shared" si="789"/>
        <v>1209492.0400000003</v>
      </c>
      <c r="AE5228" s="2">
        <v>0.06</v>
      </c>
      <c r="AF5228" s="6">
        <f t="shared" si="795"/>
        <v>72569.522400000016</v>
      </c>
      <c r="AG5228" s="14">
        <v>0</v>
      </c>
      <c r="AH5228" s="64">
        <f t="shared" si="790"/>
        <v>1209492.0400000003</v>
      </c>
      <c r="AI5228" s="47"/>
      <c r="AJ5228" s="126" t="e">
        <v>#N/A</v>
      </c>
      <c r="AK5228" s="80">
        <f t="shared" si="793"/>
        <v>0</v>
      </c>
      <c r="AM5228" s="85"/>
    </row>
    <row r="5229" spans="1:39" hidden="1" x14ac:dyDescent="0.3">
      <c r="A5229" s="89" t="s">
        <v>3395</v>
      </c>
      <c r="B5229" s="86" t="s">
        <v>35</v>
      </c>
      <c r="C5229" s="86" t="s">
        <v>47</v>
      </c>
      <c r="D5229" s="86" t="s">
        <v>48</v>
      </c>
      <c r="E5229" s="86" t="s">
        <v>50</v>
      </c>
      <c r="F5229" s="86" t="s">
        <v>50</v>
      </c>
      <c r="G5229" s="86" t="s">
        <v>50</v>
      </c>
      <c r="H5229" s="144">
        <v>229</v>
      </c>
      <c r="I5229" s="86" t="s">
        <v>3356</v>
      </c>
      <c r="J5229" s="1" t="s">
        <v>3326</v>
      </c>
      <c r="K5229" s="1" t="s">
        <v>3707</v>
      </c>
      <c r="L5229" s="1" t="s">
        <v>35</v>
      </c>
      <c r="M5229" s="86"/>
      <c r="N5229" s="86" t="s">
        <v>3707</v>
      </c>
      <c r="O5229" s="47" t="s">
        <v>105</v>
      </c>
      <c r="P5229" s="1" t="s">
        <v>3753</v>
      </c>
      <c r="Q5229" s="2">
        <v>0.01</v>
      </c>
      <c r="R5229" s="143"/>
      <c r="S5229" s="47"/>
      <c r="T5229" s="6">
        <v>0</v>
      </c>
      <c r="U5229" s="6"/>
      <c r="V5229" s="6">
        <v>20.47</v>
      </c>
      <c r="W5229" s="6">
        <f t="shared" si="787"/>
        <v>-20.47</v>
      </c>
      <c r="X5229" s="6">
        <f t="shared" si="788"/>
        <v>20.267326732673265</v>
      </c>
      <c r="Y5229" s="13">
        <f t="shared" si="791"/>
        <v>0</v>
      </c>
      <c r="Z5229" s="14">
        <v>0</v>
      </c>
      <c r="AA5229" s="6">
        <v>0</v>
      </c>
      <c r="AB5229" s="4">
        <f t="shared" si="792"/>
        <v>20.267326732673265</v>
      </c>
      <c r="AC5229" s="4">
        <f t="shared" si="794"/>
        <v>0.20267326732673396</v>
      </c>
      <c r="AD5229" s="6">
        <f t="shared" si="789"/>
        <v>20.47</v>
      </c>
      <c r="AE5229" s="2">
        <v>0.06</v>
      </c>
      <c r="AF5229" s="6">
        <f t="shared" si="795"/>
        <v>1.2282</v>
      </c>
      <c r="AG5229" s="14">
        <v>0</v>
      </c>
      <c r="AH5229" s="64">
        <f t="shared" si="790"/>
        <v>20.47</v>
      </c>
      <c r="AI5229" s="47"/>
      <c r="AJ5229" s="126" t="e">
        <v>#N/A</v>
      </c>
      <c r="AK5229" s="80">
        <f t="shared" si="793"/>
        <v>0</v>
      </c>
      <c r="AM5229" s="85"/>
    </row>
    <row r="5230" spans="1:39" hidden="1" x14ac:dyDescent="0.3">
      <c r="A5230" s="89" t="s">
        <v>3395</v>
      </c>
      <c r="B5230" s="86" t="s">
        <v>35</v>
      </c>
      <c r="C5230" s="86" t="s">
        <v>59</v>
      </c>
      <c r="D5230" s="86" t="s">
        <v>60</v>
      </c>
      <c r="E5230" s="86" t="s">
        <v>89</v>
      </c>
      <c r="F5230" s="86" t="s">
        <v>89</v>
      </c>
      <c r="G5230" s="86" t="s">
        <v>89</v>
      </c>
      <c r="H5230" s="144">
        <v>229</v>
      </c>
      <c r="I5230" s="86" t="s">
        <v>3356</v>
      </c>
      <c r="J5230" s="1" t="s">
        <v>3326</v>
      </c>
      <c r="K5230" s="1" t="s">
        <v>3707</v>
      </c>
      <c r="L5230" s="1" t="s">
        <v>35</v>
      </c>
      <c r="M5230" s="86"/>
      <c r="N5230" s="86" t="s">
        <v>3707</v>
      </c>
      <c r="O5230" s="47" t="s">
        <v>45</v>
      </c>
      <c r="P5230" s="47" t="s">
        <v>75</v>
      </c>
      <c r="Q5230" s="14">
        <v>0.06</v>
      </c>
      <c r="R5230" s="143"/>
      <c r="S5230" s="47"/>
      <c r="T5230" s="6">
        <v>0</v>
      </c>
      <c r="U5230" s="6"/>
      <c r="V5230" s="6">
        <v>22.65</v>
      </c>
      <c r="W5230" s="6">
        <f t="shared" si="787"/>
        <v>-22.65</v>
      </c>
      <c r="X5230" s="6">
        <f t="shared" si="788"/>
        <v>22.65</v>
      </c>
      <c r="Y5230" s="13">
        <f t="shared" si="791"/>
        <v>0</v>
      </c>
      <c r="Z5230" s="14">
        <v>0</v>
      </c>
      <c r="AA5230" s="6">
        <v>0</v>
      </c>
      <c r="AB5230" s="4">
        <f t="shared" si="792"/>
        <v>22.65</v>
      </c>
      <c r="AC5230" s="4">
        <f t="shared" si="794"/>
        <v>1.3589999999999998</v>
      </c>
      <c r="AD5230" s="6">
        <f t="shared" si="789"/>
        <v>22.65</v>
      </c>
      <c r="AE5230" s="2">
        <v>0.06</v>
      </c>
      <c r="AF5230" s="6">
        <f t="shared" si="795"/>
        <v>1.3589999999999998</v>
      </c>
      <c r="AG5230" s="14">
        <v>0</v>
      </c>
      <c r="AH5230" s="64">
        <f t="shared" si="790"/>
        <v>22.65</v>
      </c>
      <c r="AI5230" s="47"/>
      <c r="AJ5230" s="126" t="e">
        <v>#N/A</v>
      </c>
      <c r="AK5230" s="80">
        <f t="shared" si="793"/>
        <v>0</v>
      </c>
      <c r="AM5230" s="85"/>
    </row>
    <row r="5231" spans="1:39" hidden="1" x14ac:dyDescent="0.3">
      <c r="A5231" s="89" t="s">
        <v>3395</v>
      </c>
      <c r="B5231" s="86" t="s">
        <v>35</v>
      </c>
      <c r="C5231" s="86" t="s">
        <v>187</v>
      </c>
      <c r="D5231" s="86" t="s">
        <v>208</v>
      </c>
      <c r="E5231" s="86" t="s">
        <v>218</v>
      </c>
      <c r="F5231" s="86" t="s">
        <v>218</v>
      </c>
      <c r="G5231" s="86" t="s">
        <v>218</v>
      </c>
      <c r="H5231" s="144">
        <v>229</v>
      </c>
      <c r="I5231" s="86" t="s">
        <v>3356</v>
      </c>
      <c r="J5231" s="1" t="s">
        <v>3326</v>
      </c>
      <c r="K5231" s="1" t="s">
        <v>3707</v>
      </c>
      <c r="L5231" s="1" t="s">
        <v>35</v>
      </c>
      <c r="M5231" s="86"/>
      <c r="N5231" s="86" t="s">
        <v>3707</v>
      </c>
      <c r="O5231" s="47" t="s">
        <v>45</v>
      </c>
      <c r="P5231" s="47" t="s">
        <v>46</v>
      </c>
      <c r="Q5231" s="14">
        <v>0.06</v>
      </c>
      <c r="R5231" s="143"/>
      <c r="S5231" s="47"/>
      <c r="T5231" s="6">
        <v>0</v>
      </c>
      <c r="U5231" s="6"/>
      <c r="V5231" s="6">
        <v>9686.7099999999991</v>
      </c>
      <c r="W5231" s="6">
        <f t="shared" si="787"/>
        <v>-9686.7099999999991</v>
      </c>
      <c r="X5231" s="6">
        <f t="shared" si="788"/>
        <v>9138.405660377357</v>
      </c>
      <c r="Y5231" s="13">
        <f t="shared" si="791"/>
        <v>0</v>
      </c>
      <c r="Z5231" s="14">
        <v>0</v>
      </c>
      <c r="AA5231" s="6">
        <v>0</v>
      </c>
      <c r="AB5231" s="4">
        <f t="shared" si="792"/>
        <v>9138.405660377357</v>
      </c>
      <c r="AC5231" s="4">
        <f t="shared" si="794"/>
        <v>548.30433962264215</v>
      </c>
      <c r="AD5231" s="6">
        <f t="shared" si="789"/>
        <v>9686.7099999999991</v>
      </c>
      <c r="AE5231" s="2">
        <v>0.06</v>
      </c>
      <c r="AF5231" s="6">
        <f t="shared" si="795"/>
        <v>581.20259999999996</v>
      </c>
      <c r="AG5231" s="14">
        <v>0</v>
      </c>
      <c r="AH5231" s="64">
        <f t="shared" si="790"/>
        <v>9686.7099999999991</v>
      </c>
      <c r="AI5231" s="47"/>
      <c r="AJ5231" s="126" t="e">
        <v>#N/A</v>
      </c>
      <c r="AK5231" s="80">
        <f t="shared" si="793"/>
        <v>0</v>
      </c>
      <c r="AM5231" s="85"/>
    </row>
    <row r="5232" spans="1:39" hidden="1" x14ac:dyDescent="0.3">
      <c r="A5232" s="89" t="s">
        <v>3394</v>
      </c>
      <c r="B5232" s="86" t="s">
        <v>35</v>
      </c>
      <c r="C5232" s="86" t="s">
        <v>187</v>
      </c>
      <c r="D5232" s="86" t="s">
        <v>188</v>
      </c>
      <c r="E5232" s="86" t="s">
        <v>3619</v>
      </c>
      <c r="F5232" s="86" t="s">
        <v>3619</v>
      </c>
      <c r="G5232" s="86" t="s">
        <v>3619</v>
      </c>
      <c r="H5232" s="144">
        <v>229</v>
      </c>
      <c r="I5232" s="86" t="s">
        <v>3356</v>
      </c>
      <c r="J5232" s="1" t="s">
        <v>3326</v>
      </c>
      <c r="K5232" s="1" t="s">
        <v>3283</v>
      </c>
      <c r="L5232" s="1" t="s">
        <v>35</v>
      </c>
      <c r="M5232" s="86"/>
      <c r="N5232" s="86" t="s">
        <v>3283</v>
      </c>
      <c r="O5232" s="47" t="s">
        <v>105</v>
      </c>
      <c r="P5232" s="47" t="s">
        <v>46</v>
      </c>
      <c r="Q5232" s="14">
        <v>0.06</v>
      </c>
      <c r="R5232" s="143"/>
      <c r="S5232" s="47"/>
      <c r="T5232" s="6">
        <v>0</v>
      </c>
      <c r="U5232" s="6"/>
      <c r="V5232" s="6">
        <v>16661.750000000004</v>
      </c>
      <c r="W5232" s="6">
        <f t="shared" si="787"/>
        <v>-16661.750000000004</v>
      </c>
      <c r="X5232" s="6">
        <f t="shared" si="788"/>
        <v>15718.6320754717</v>
      </c>
      <c r="Y5232" s="13">
        <f t="shared" si="791"/>
        <v>0</v>
      </c>
      <c r="Z5232" s="14">
        <v>0</v>
      </c>
      <c r="AA5232" s="6">
        <v>0</v>
      </c>
      <c r="AB5232" s="4">
        <f t="shared" si="792"/>
        <v>15718.6320754717</v>
      </c>
      <c r="AC5232" s="4">
        <f t="shared" si="794"/>
        <v>943.11792452830377</v>
      </c>
      <c r="AD5232" s="6">
        <f t="shared" si="789"/>
        <v>16661.750000000004</v>
      </c>
      <c r="AE5232" s="2">
        <v>0.06</v>
      </c>
      <c r="AF5232" s="6">
        <f t="shared" si="795"/>
        <v>999.70500000000015</v>
      </c>
      <c r="AG5232" s="14">
        <v>0</v>
      </c>
      <c r="AH5232" s="64">
        <f t="shared" si="790"/>
        <v>16661.750000000004</v>
      </c>
      <c r="AI5232" s="47"/>
      <c r="AJ5232" s="126" t="e">
        <v>#N/A</v>
      </c>
      <c r="AK5232" s="80">
        <f t="shared" si="793"/>
        <v>0</v>
      </c>
      <c r="AM5232" s="85"/>
    </row>
    <row r="5233" spans="1:39" hidden="1" x14ac:dyDescent="0.3">
      <c r="A5233" s="89" t="s">
        <v>3394</v>
      </c>
      <c r="B5233" s="86" t="s">
        <v>35</v>
      </c>
      <c r="C5233" s="86" t="s">
        <v>59</v>
      </c>
      <c r="D5233" s="86" t="s">
        <v>60</v>
      </c>
      <c r="E5233" s="86" t="s">
        <v>3398</v>
      </c>
      <c r="F5233" s="86" t="s">
        <v>3637</v>
      </c>
      <c r="G5233" s="86" t="s">
        <v>78</v>
      </c>
      <c r="H5233" s="144">
        <v>229</v>
      </c>
      <c r="I5233" s="86" t="s">
        <v>3356</v>
      </c>
      <c r="J5233" s="1" t="s">
        <v>3326</v>
      </c>
      <c r="K5233" s="1" t="s">
        <v>3283</v>
      </c>
      <c r="L5233" s="1" t="s">
        <v>35</v>
      </c>
      <c r="M5233" s="86"/>
      <c r="N5233" s="86" t="s">
        <v>3283</v>
      </c>
      <c r="O5233" s="47" t="s">
        <v>45</v>
      </c>
      <c r="P5233" s="47" t="s">
        <v>3638</v>
      </c>
      <c r="Q5233" s="14">
        <v>0.04</v>
      </c>
      <c r="R5233" s="143"/>
      <c r="S5233" s="47"/>
      <c r="T5233" s="6">
        <v>14675.82</v>
      </c>
      <c r="U5233" s="6">
        <v>10452000</v>
      </c>
      <c r="V5233" s="6">
        <v>10001046.489999995</v>
      </c>
      <c r="W5233" s="6">
        <f t="shared" si="787"/>
        <v>465629.33000000566</v>
      </c>
      <c r="X5233" s="6">
        <f t="shared" si="788"/>
        <v>9616390.8557692245</v>
      </c>
      <c r="Y5233" s="13">
        <f t="shared" si="791"/>
        <v>0</v>
      </c>
      <c r="Z5233" s="14">
        <v>0</v>
      </c>
      <c r="AA5233" s="6">
        <v>0</v>
      </c>
      <c r="AB5233" s="4">
        <f t="shared" si="792"/>
        <v>9616390.8557692245</v>
      </c>
      <c r="AC5233" s="4">
        <f t="shared" si="794"/>
        <v>384655.63423077017</v>
      </c>
      <c r="AD5233" s="6">
        <f t="shared" si="789"/>
        <v>10001046.489999995</v>
      </c>
      <c r="AE5233" s="2">
        <v>0.05</v>
      </c>
      <c r="AF5233" s="6">
        <f t="shared" si="795"/>
        <v>500052.32449999976</v>
      </c>
      <c r="AG5233" s="14">
        <v>0</v>
      </c>
      <c r="AH5233" s="64">
        <f t="shared" si="790"/>
        <v>10001046.489999995</v>
      </c>
      <c r="AI5233" s="47"/>
      <c r="AJ5233" s="126" t="e">
        <v>#N/A</v>
      </c>
      <c r="AK5233" s="80">
        <f t="shared" si="793"/>
        <v>0</v>
      </c>
      <c r="AM5233" s="85"/>
    </row>
    <row r="5234" spans="1:39" hidden="1" x14ac:dyDescent="0.3">
      <c r="A5234" s="89" t="s">
        <v>3395</v>
      </c>
      <c r="B5234" s="86" t="s">
        <v>35</v>
      </c>
      <c r="C5234" s="86" t="s">
        <v>59</v>
      </c>
      <c r="D5234" s="86" t="s">
        <v>60</v>
      </c>
      <c r="E5234" s="86" t="s">
        <v>78</v>
      </c>
      <c r="F5234" s="86" t="s">
        <v>333</v>
      </c>
      <c r="G5234" s="86" t="s">
        <v>78</v>
      </c>
      <c r="H5234" s="144">
        <v>229</v>
      </c>
      <c r="I5234" s="86" t="s">
        <v>3356</v>
      </c>
      <c r="J5234" s="1" t="s">
        <v>3326</v>
      </c>
      <c r="K5234" s="1" t="s">
        <v>3283</v>
      </c>
      <c r="L5234" s="1" t="s">
        <v>35</v>
      </c>
      <c r="M5234" s="86"/>
      <c r="N5234" s="86" t="s">
        <v>3283</v>
      </c>
      <c r="O5234" s="47" t="s">
        <v>45</v>
      </c>
      <c r="P5234" s="47" t="s">
        <v>3639</v>
      </c>
      <c r="Q5234" s="14">
        <v>0</v>
      </c>
      <c r="R5234" s="143"/>
      <c r="S5234" s="47"/>
      <c r="T5234" s="6">
        <v>0</v>
      </c>
      <c r="U5234" s="6">
        <v>600000</v>
      </c>
      <c r="V5234" s="6">
        <v>44100.200000001118</v>
      </c>
      <c r="W5234" s="6">
        <f t="shared" si="787"/>
        <v>555899.79999999888</v>
      </c>
      <c r="X5234" s="6">
        <f t="shared" si="788"/>
        <v>44100.200000001118</v>
      </c>
      <c r="Y5234" s="13">
        <f t="shared" si="791"/>
        <v>0</v>
      </c>
      <c r="Z5234" s="14">
        <v>0</v>
      </c>
      <c r="AA5234" s="6">
        <v>0</v>
      </c>
      <c r="AB5234" s="4">
        <f t="shared" si="792"/>
        <v>44100.200000001118</v>
      </c>
      <c r="AC5234" s="4">
        <f t="shared" si="794"/>
        <v>0</v>
      </c>
      <c r="AD5234" s="6">
        <f t="shared" si="789"/>
        <v>44100.200000001118</v>
      </c>
      <c r="AE5234" s="2">
        <v>0.05</v>
      </c>
      <c r="AF5234" s="6">
        <f t="shared" si="795"/>
        <v>2205.0100000000562</v>
      </c>
      <c r="AG5234" s="14">
        <v>0</v>
      </c>
      <c r="AH5234" s="64">
        <f t="shared" si="790"/>
        <v>44100.200000001118</v>
      </c>
      <c r="AI5234" s="47"/>
      <c r="AJ5234" s="126" t="e">
        <v>#N/A</v>
      </c>
      <c r="AK5234" s="80">
        <f t="shared" si="793"/>
        <v>0</v>
      </c>
      <c r="AM5234" s="85"/>
    </row>
    <row r="5235" spans="1:39" hidden="1" x14ac:dyDescent="0.3">
      <c r="A5235" s="89" t="s">
        <v>3395</v>
      </c>
      <c r="B5235" s="86" t="s">
        <v>35</v>
      </c>
      <c r="C5235" s="86" t="s">
        <v>59</v>
      </c>
      <c r="D5235" s="86" t="s">
        <v>60</v>
      </c>
      <c r="E5235" s="86" t="s">
        <v>405</v>
      </c>
      <c r="F5235" s="86" t="s">
        <v>3640</v>
      </c>
      <c r="G5235" s="86" t="s">
        <v>405</v>
      </c>
      <c r="H5235" s="144">
        <v>229</v>
      </c>
      <c r="I5235" s="86" t="s">
        <v>3356</v>
      </c>
      <c r="J5235" s="1" t="s">
        <v>3326</v>
      </c>
      <c r="K5235" s="1" t="s">
        <v>3283</v>
      </c>
      <c r="L5235" s="1" t="s">
        <v>35</v>
      </c>
      <c r="M5235" s="86"/>
      <c r="N5235" s="86" t="s">
        <v>3283</v>
      </c>
      <c r="O5235" s="47" t="s">
        <v>45</v>
      </c>
      <c r="P5235" s="47" t="s">
        <v>75</v>
      </c>
      <c r="Q5235" s="14">
        <v>0.06</v>
      </c>
      <c r="R5235" s="143"/>
      <c r="S5235" s="47"/>
      <c r="T5235" s="6">
        <v>9414.339999999851</v>
      </c>
      <c r="U5235" s="6">
        <v>26870910</v>
      </c>
      <c r="V5235" s="6">
        <v>17450592.66</v>
      </c>
      <c r="W5235" s="6">
        <f t="shared" si="787"/>
        <v>9429731.6799999997</v>
      </c>
      <c r="X5235" s="6">
        <f t="shared" si="788"/>
        <v>17450592.66</v>
      </c>
      <c r="Y5235" s="13">
        <f t="shared" si="791"/>
        <v>0</v>
      </c>
      <c r="Z5235" s="14">
        <v>0</v>
      </c>
      <c r="AA5235" s="6">
        <v>0</v>
      </c>
      <c r="AB5235" s="4">
        <f t="shared" si="792"/>
        <v>17450592.66</v>
      </c>
      <c r="AC5235" s="4">
        <f t="shared" si="794"/>
        <v>1047035.5595999999</v>
      </c>
      <c r="AD5235" s="6">
        <f t="shared" si="789"/>
        <v>17450592.66</v>
      </c>
      <c r="AE5235" s="2">
        <v>0.05</v>
      </c>
      <c r="AF5235" s="6">
        <f t="shared" si="795"/>
        <v>872529.63300000003</v>
      </c>
      <c r="AG5235" s="14">
        <v>0</v>
      </c>
      <c r="AH5235" s="64">
        <f t="shared" si="790"/>
        <v>17450592.66</v>
      </c>
      <c r="AI5235" s="47"/>
      <c r="AJ5235" s="126" t="e">
        <v>#N/A</v>
      </c>
      <c r="AK5235" s="80">
        <f t="shared" si="793"/>
        <v>0</v>
      </c>
      <c r="AM5235" s="85"/>
    </row>
    <row r="5236" spans="1:39" hidden="1" x14ac:dyDescent="0.3">
      <c r="A5236" s="89" t="s">
        <v>3395</v>
      </c>
      <c r="B5236" s="86" t="s">
        <v>35</v>
      </c>
      <c r="C5236" s="86" t="s">
        <v>59</v>
      </c>
      <c r="D5236" s="86" t="s">
        <v>60</v>
      </c>
      <c r="E5236" s="86" t="s">
        <v>3641</v>
      </c>
      <c r="F5236" s="86" t="s">
        <v>3642</v>
      </c>
      <c r="G5236" s="86" t="s">
        <v>3641</v>
      </c>
      <c r="H5236" s="144">
        <v>229</v>
      </c>
      <c r="I5236" s="86" t="s">
        <v>3356</v>
      </c>
      <c r="J5236" s="1" t="s">
        <v>3326</v>
      </c>
      <c r="K5236" s="1" t="s">
        <v>3283</v>
      </c>
      <c r="L5236" s="1" t="s">
        <v>35</v>
      </c>
      <c r="M5236" s="86"/>
      <c r="N5236" s="86" t="s">
        <v>3283</v>
      </c>
      <c r="O5236" s="47" t="s">
        <v>45</v>
      </c>
      <c r="P5236" s="47" t="s">
        <v>75</v>
      </c>
      <c r="Q5236" s="14">
        <v>0.06</v>
      </c>
      <c r="R5236" s="143"/>
      <c r="S5236" s="47"/>
      <c r="T5236" s="6">
        <v>0</v>
      </c>
      <c r="U5236" s="6">
        <v>2553840.42</v>
      </c>
      <c r="V5236" s="6">
        <v>2522014.1799999997</v>
      </c>
      <c r="W5236" s="6">
        <f t="shared" si="787"/>
        <v>31826.240000000224</v>
      </c>
      <c r="X5236" s="6">
        <f t="shared" si="788"/>
        <v>2522014.1799999997</v>
      </c>
      <c r="Y5236" s="13">
        <f t="shared" si="791"/>
        <v>0</v>
      </c>
      <c r="Z5236" s="14">
        <v>0</v>
      </c>
      <c r="AA5236" s="6">
        <v>0</v>
      </c>
      <c r="AB5236" s="4">
        <f t="shared" si="792"/>
        <v>2522014.1799999997</v>
      </c>
      <c r="AC5236" s="4">
        <f t="shared" si="794"/>
        <v>151320.85079999999</v>
      </c>
      <c r="AD5236" s="6">
        <f t="shared" si="789"/>
        <v>2522014.1799999997</v>
      </c>
      <c r="AE5236" s="2">
        <v>0.05</v>
      </c>
      <c r="AF5236" s="6">
        <f t="shared" si="795"/>
        <v>126100.70899999999</v>
      </c>
      <c r="AG5236" s="14">
        <v>0</v>
      </c>
      <c r="AH5236" s="64">
        <f t="shared" si="790"/>
        <v>2522014.1799999997</v>
      </c>
      <c r="AI5236" s="47"/>
      <c r="AJ5236" s="126" t="e">
        <v>#N/A</v>
      </c>
      <c r="AK5236" s="80">
        <f t="shared" si="793"/>
        <v>0</v>
      </c>
      <c r="AM5236" s="85"/>
    </row>
    <row r="5237" spans="1:39" hidden="1" x14ac:dyDescent="0.3">
      <c r="A5237" s="89" t="s">
        <v>3394</v>
      </c>
      <c r="B5237" s="86" t="s">
        <v>35</v>
      </c>
      <c r="C5237" s="86" t="s">
        <v>65</v>
      </c>
      <c r="D5237" s="86" t="s">
        <v>66</v>
      </c>
      <c r="E5237" s="86" t="s">
        <v>1907</v>
      </c>
      <c r="F5237" s="86" t="s">
        <v>1908</v>
      </c>
      <c r="G5237" s="86" t="s">
        <v>1907</v>
      </c>
      <c r="H5237" s="144">
        <v>62</v>
      </c>
      <c r="I5237" s="86" t="s">
        <v>408</v>
      </c>
      <c r="J5237" s="1" t="s">
        <v>3324</v>
      </c>
      <c r="K5237" s="1" t="s">
        <v>3278</v>
      </c>
      <c r="L5237" s="1" t="s">
        <v>35</v>
      </c>
      <c r="M5237" s="86" t="s">
        <v>482</v>
      </c>
      <c r="N5237" s="86"/>
      <c r="O5237" s="47" t="s">
        <v>3643</v>
      </c>
      <c r="P5237" s="47" t="s">
        <v>41</v>
      </c>
      <c r="Q5237" s="14">
        <v>0</v>
      </c>
      <c r="R5237" s="143">
        <v>1000043032</v>
      </c>
      <c r="S5237" s="47"/>
      <c r="T5237" s="6">
        <v>0</v>
      </c>
      <c r="U5237" s="6">
        <v>0</v>
      </c>
      <c r="V5237" s="6">
        <v>9080</v>
      </c>
      <c r="W5237" s="6">
        <f t="shared" si="787"/>
        <v>-9080</v>
      </c>
      <c r="X5237" s="6">
        <f t="shared" si="788"/>
        <v>9080</v>
      </c>
      <c r="Y5237" s="13">
        <f t="shared" si="791"/>
        <v>0</v>
      </c>
      <c r="Z5237" s="14">
        <v>0</v>
      </c>
      <c r="AA5237" s="6">
        <v>0</v>
      </c>
      <c r="AB5237" s="4">
        <f t="shared" si="792"/>
        <v>9080</v>
      </c>
      <c r="AC5237" s="4">
        <f t="shared" si="794"/>
        <v>0</v>
      </c>
      <c r="AD5237" s="6">
        <f t="shared" si="789"/>
        <v>9080</v>
      </c>
      <c r="AE5237" s="2">
        <v>7.0000000000000007E-2</v>
      </c>
      <c r="AF5237" s="6">
        <f t="shared" si="795"/>
        <v>635.6</v>
      </c>
      <c r="AG5237" s="14">
        <v>0</v>
      </c>
      <c r="AH5237" s="64">
        <f t="shared" si="790"/>
        <v>9080</v>
      </c>
      <c r="AI5237" s="47"/>
      <c r="AJ5237" s="126" t="e">
        <v>#N/A</v>
      </c>
      <c r="AK5237" s="80">
        <f t="shared" si="793"/>
        <v>0</v>
      </c>
      <c r="AM5237" s="85"/>
    </row>
    <row r="5238" spans="1:39" hidden="1" x14ac:dyDescent="0.3">
      <c r="A5238" s="89" t="s">
        <v>3395</v>
      </c>
      <c r="B5238" s="86" t="s">
        <v>35</v>
      </c>
      <c r="C5238" s="86" t="s">
        <v>65</v>
      </c>
      <c r="D5238" s="86" t="s">
        <v>66</v>
      </c>
      <c r="E5238" s="86" t="s">
        <v>1907</v>
      </c>
      <c r="F5238" s="86" t="s">
        <v>1908</v>
      </c>
      <c r="G5238" s="86" t="s">
        <v>1907</v>
      </c>
      <c r="H5238" s="144">
        <v>62</v>
      </c>
      <c r="I5238" s="86" t="s">
        <v>408</v>
      </c>
      <c r="J5238" s="1" t="s">
        <v>3324</v>
      </c>
      <c r="K5238" s="1" t="s">
        <v>3278</v>
      </c>
      <c r="L5238" s="1" t="s">
        <v>35</v>
      </c>
      <c r="M5238" s="86" t="s">
        <v>475</v>
      </c>
      <c r="N5238" s="86"/>
      <c r="O5238" s="47" t="s">
        <v>3644</v>
      </c>
      <c r="P5238" s="47" t="s">
        <v>41</v>
      </c>
      <c r="Q5238" s="14">
        <v>0</v>
      </c>
      <c r="R5238" s="143">
        <v>1000054594</v>
      </c>
      <c r="S5238" s="47"/>
      <c r="T5238" s="6">
        <v>0</v>
      </c>
      <c r="U5238" s="6">
        <v>0</v>
      </c>
      <c r="V5238" s="6">
        <v>7807.77</v>
      </c>
      <c r="W5238" s="6">
        <f t="shared" si="787"/>
        <v>-7807.77</v>
      </c>
      <c r="X5238" s="6">
        <f t="shared" si="788"/>
        <v>7807.77</v>
      </c>
      <c r="Y5238" s="13">
        <f t="shared" si="791"/>
        <v>0</v>
      </c>
      <c r="Z5238" s="14">
        <v>0</v>
      </c>
      <c r="AA5238" s="6">
        <v>0</v>
      </c>
      <c r="AB5238" s="4">
        <f t="shared" si="792"/>
        <v>7807.77</v>
      </c>
      <c r="AC5238" s="4">
        <f t="shared" si="794"/>
        <v>0</v>
      </c>
      <c r="AD5238" s="6">
        <f t="shared" si="789"/>
        <v>7807.77</v>
      </c>
      <c r="AE5238" s="2">
        <v>7.0000000000000007E-2</v>
      </c>
      <c r="AF5238" s="6">
        <f t="shared" si="795"/>
        <v>546.54390000000012</v>
      </c>
      <c r="AG5238" s="14">
        <v>0</v>
      </c>
      <c r="AH5238" s="64">
        <f t="shared" si="790"/>
        <v>7807.77</v>
      </c>
      <c r="AI5238" s="47"/>
      <c r="AJ5238" s="126" t="e">
        <v>#N/A</v>
      </c>
      <c r="AK5238" s="80">
        <f t="shared" si="793"/>
        <v>0</v>
      </c>
      <c r="AM5238" s="85"/>
    </row>
    <row r="5239" spans="1:39" hidden="1" x14ac:dyDescent="0.3">
      <c r="A5239" s="89" t="s">
        <v>3394</v>
      </c>
      <c r="B5239" s="86" t="s">
        <v>35</v>
      </c>
      <c r="C5239" s="86" t="s">
        <v>65</v>
      </c>
      <c r="D5239" s="86" t="s">
        <v>66</v>
      </c>
      <c r="E5239" s="86" t="s">
        <v>1907</v>
      </c>
      <c r="F5239" s="86" t="s">
        <v>1908</v>
      </c>
      <c r="G5239" s="86" t="s">
        <v>1907</v>
      </c>
      <c r="H5239" s="144">
        <v>62</v>
      </c>
      <c r="I5239" s="86" t="s">
        <v>408</v>
      </c>
      <c r="J5239" s="1" t="s">
        <v>3324</v>
      </c>
      <c r="K5239" s="1" t="s">
        <v>3278</v>
      </c>
      <c r="L5239" s="1" t="s">
        <v>35</v>
      </c>
      <c r="M5239" s="86" t="s">
        <v>474</v>
      </c>
      <c r="N5239" s="86"/>
      <c r="O5239" s="47" t="s">
        <v>3643</v>
      </c>
      <c r="P5239" s="47" t="s">
        <v>41</v>
      </c>
      <c r="Q5239" s="14">
        <v>0</v>
      </c>
      <c r="R5239" s="143">
        <v>1000057798</v>
      </c>
      <c r="S5239" s="47"/>
      <c r="T5239" s="6">
        <v>0</v>
      </c>
      <c r="U5239" s="6">
        <v>0</v>
      </c>
      <c r="V5239" s="6">
        <v>1012</v>
      </c>
      <c r="W5239" s="6">
        <f t="shared" si="787"/>
        <v>-1012</v>
      </c>
      <c r="X5239" s="6">
        <f t="shared" si="788"/>
        <v>1012</v>
      </c>
      <c r="Y5239" s="13">
        <f t="shared" si="791"/>
        <v>0</v>
      </c>
      <c r="Z5239" s="14">
        <v>0</v>
      </c>
      <c r="AA5239" s="6">
        <v>0</v>
      </c>
      <c r="AB5239" s="4">
        <f t="shared" si="792"/>
        <v>1012</v>
      </c>
      <c r="AC5239" s="4">
        <f t="shared" si="794"/>
        <v>0</v>
      </c>
      <c r="AD5239" s="6">
        <f t="shared" si="789"/>
        <v>1012</v>
      </c>
      <c r="AE5239" s="2">
        <v>7.0000000000000007E-2</v>
      </c>
      <c r="AF5239" s="6">
        <f t="shared" si="795"/>
        <v>70.84</v>
      </c>
      <c r="AG5239" s="14">
        <v>0</v>
      </c>
      <c r="AH5239" s="64">
        <f t="shared" si="790"/>
        <v>1012</v>
      </c>
      <c r="AI5239" s="47"/>
      <c r="AJ5239" s="126" t="e">
        <v>#N/A</v>
      </c>
      <c r="AK5239" s="80">
        <f t="shared" si="793"/>
        <v>0</v>
      </c>
      <c r="AM5239" s="85"/>
    </row>
    <row r="5240" spans="1:39" hidden="1" x14ac:dyDescent="0.3">
      <c r="A5240" s="89" t="s">
        <v>3394</v>
      </c>
      <c r="B5240" s="86" t="s">
        <v>35</v>
      </c>
      <c r="C5240" s="86" t="s">
        <v>36</v>
      </c>
      <c r="D5240" s="86" t="s">
        <v>54</v>
      </c>
      <c r="E5240" s="86" t="s">
        <v>291</v>
      </c>
      <c r="F5240" s="86" t="s">
        <v>291</v>
      </c>
      <c r="G5240" s="86" t="s">
        <v>291</v>
      </c>
      <c r="H5240" s="143">
        <v>22</v>
      </c>
      <c r="I5240" s="86" t="s">
        <v>2935</v>
      </c>
      <c r="J5240" s="1" t="s">
        <v>3302</v>
      </c>
      <c r="K5240" s="1" t="s">
        <v>3371</v>
      </c>
      <c r="L5240" s="1" t="s">
        <v>35</v>
      </c>
      <c r="M5240" s="86" t="s">
        <v>2955</v>
      </c>
      <c r="N5240" s="86"/>
      <c r="O5240" s="47" t="s">
        <v>410</v>
      </c>
      <c r="P5240" s="47" t="s">
        <v>3645</v>
      </c>
      <c r="Q5240" s="14">
        <v>0.02</v>
      </c>
      <c r="R5240" s="143">
        <v>46382</v>
      </c>
      <c r="S5240" s="47"/>
      <c r="T5240" s="6">
        <v>8511.7099999999991</v>
      </c>
      <c r="U5240" s="6">
        <v>0</v>
      </c>
      <c r="V5240" s="6">
        <v>0</v>
      </c>
      <c r="W5240" s="6">
        <f t="shared" si="787"/>
        <v>8511.7099999999991</v>
      </c>
      <c r="X5240" s="6">
        <f t="shared" si="788"/>
        <v>0</v>
      </c>
      <c r="Y5240" s="13">
        <f t="shared" si="791"/>
        <v>0</v>
      </c>
      <c r="Z5240" s="14">
        <v>0</v>
      </c>
      <c r="AA5240" s="6">
        <v>0</v>
      </c>
      <c r="AB5240" s="4">
        <f t="shared" si="792"/>
        <v>0</v>
      </c>
      <c r="AC5240" s="4">
        <f t="shared" si="794"/>
        <v>0</v>
      </c>
      <c r="AD5240" s="6">
        <f t="shared" si="789"/>
        <v>0</v>
      </c>
      <c r="AE5240" s="2">
        <f>VLOOKUP(I5240,[1]媒体政策预估表!A:N,MATCH(O5240,[1]媒体政策预估表!$A$2:$M$2,0),0)</f>
        <v>0.09</v>
      </c>
      <c r="AF5240" s="6">
        <f t="shared" si="795"/>
        <v>0</v>
      </c>
      <c r="AG5240" s="14">
        <v>0</v>
      </c>
      <c r="AH5240" s="65">
        <f t="shared" ref="AH5240" si="796">AD5240</f>
        <v>0</v>
      </c>
      <c r="AI5240" s="47"/>
      <c r="AJ5240" s="126" t="e">
        <v>#N/A</v>
      </c>
      <c r="AK5240" s="80">
        <f t="shared" si="793"/>
        <v>0</v>
      </c>
      <c r="AM5240" s="85"/>
    </row>
    <row r="5241" spans="1:39" hidden="1" x14ac:dyDescent="0.3">
      <c r="A5241" s="89" t="s">
        <v>3672</v>
      </c>
      <c r="B5241" s="86" t="s">
        <v>35</v>
      </c>
      <c r="C5241" s="86" t="s">
        <v>65</v>
      </c>
      <c r="D5241" s="86" t="s">
        <v>122</v>
      </c>
      <c r="E5241" s="86" t="s">
        <v>507</v>
      </c>
      <c r="F5241" s="86" t="s">
        <v>507</v>
      </c>
      <c r="G5241" s="86" t="s">
        <v>507</v>
      </c>
      <c r="H5241" s="144">
        <v>360</v>
      </c>
      <c r="I5241" s="86" t="s">
        <v>1060</v>
      </c>
      <c r="J5241" s="1" t="s">
        <v>3325</v>
      </c>
      <c r="K5241" s="1" t="s">
        <v>3287</v>
      </c>
      <c r="L5241" s="1" t="s">
        <v>35</v>
      </c>
      <c r="M5241" s="86"/>
      <c r="N5241" s="86"/>
      <c r="O5241" s="47" t="s">
        <v>3172</v>
      </c>
      <c r="P5241" s="47" t="s">
        <v>41</v>
      </c>
      <c r="Q5241" s="9">
        <v>0</v>
      </c>
      <c r="R5241" s="143"/>
      <c r="S5241" s="47"/>
      <c r="T5241" s="6">
        <v>0</v>
      </c>
      <c r="U5241" s="6">
        <v>63250</v>
      </c>
      <c r="V5241" s="6">
        <v>63250</v>
      </c>
      <c r="W5241" s="6">
        <f>T5241+U5241-V5241</f>
        <v>0</v>
      </c>
      <c r="X5241" s="6">
        <f>IF(P5241="折扣",V5241*Q5241,IF(P5241="返现",V5241,V5241/(1+Q5241)))</f>
        <v>63250</v>
      </c>
      <c r="Y5241" s="13">
        <f t="shared" si="791"/>
        <v>0</v>
      </c>
      <c r="Z5241" s="9">
        <v>0</v>
      </c>
      <c r="AA5241" s="6">
        <v>0</v>
      </c>
      <c r="AB5241" s="4">
        <f t="shared" si="792"/>
        <v>63250</v>
      </c>
      <c r="AC5241" s="4">
        <f t="shared" si="794"/>
        <v>0</v>
      </c>
      <c r="AD5241" s="6">
        <v>63250</v>
      </c>
      <c r="AE5241" s="66">
        <v>7.0000000000000007E-2</v>
      </c>
      <c r="AF5241" s="6">
        <f t="shared" si="795"/>
        <v>4427.5</v>
      </c>
      <c r="AG5241" s="9">
        <v>0</v>
      </c>
      <c r="AH5241" s="47"/>
      <c r="AI5241" s="47"/>
      <c r="AJ5241" s="126" t="e">
        <v>#N/A</v>
      </c>
      <c r="AK5241" s="80">
        <f t="shared" si="793"/>
        <v>0</v>
      </c>
      <c r="AM5241" s="85"/>
    </row>
    <row r="5242" spans="1:39" hidden="1" x14ac:dyDescent="0.3">
      <c r="A5242" s="89" t="s">
        <v>3672</v>
      </c>
      <c r="B5242" s="86" t="s">
        <v>35</v>
      </c>
      <c r="C5242" s="86" t="s">
        <v>65</v>
      </c>
      <c r="D5242" s="86" t="s">
        <v>125</v>
      </c>
      <c r="E5242" s="86" t="s">
        <v>515</v>
      </c>
      <c r="F5242" s="86" t="s">
        <v>515</v>
      </c>
      <c r="G5242" s="86" t="s">
        <v>515</v>
      </c>
      <c r="H5242" s="144">
        <v>360</v>
      </c>
      <c r="I5242" s="86" t="s">
        <v>1060</v>
      </c>
      <c r="J5242" s="1" t="s">
        <v>3325</v>
      </c>
      <c r="K5242" s="1" t="s">
        <v>3287</v>
      </c>
      <c r="L5242" s="1" t="s">
        <v>35</v>
      </c>
      <c r="M5242" s="86"/>
      <c r="N5242" s="86"/>
      <c r="O5242" s="47" t="s">
        <v>3172</v>
      </c>
      <c r="P5242" s="47" t="s">
        <v>41</v>
      </c>
      <c r="Q5242" s="9">
        <v>0</v>
      </c>
      <c r="R5242" s="143"/>
      <c r="S5242" s="47"/>
      <c r="T5242" s="6">
        <v>0</v>
      </c>
      <c r="U5242" s="6">
        <v>21570</v>
      </c>
      <c r="V5242" s="6">
        <v>21570</v>
      </c>
      <c r="W5242" s="6">
        <f t="shared" ref="W5242:W5247" si="797">T5242+U5242-V5242</f>
        <v>0</v>
      </c>
      <c r="X5242" s="6">
        <f t="shared" ref="X5242:X5247" si="798">IF(P5242="折扣",V5242*Q5242,IF(P5242="返现",V5242,V5242/(1+Q5242)))</f>
        <v>21570</v>
      </c>
      <c r="Y5242" s="13">
        <f t="shared" si="791"/>
        <v>0</v>
      </c>
      <c r="Z5242" s="9">
        <v>0</v>
      </c>
      <c r="AA5242" s="6">
        <v>0</v>
      </c>
      <c r="AB5242" s="4">
        <v>21570</v>
      </c>
      <c r="AC5242" s="4">
        <f t="shared" si="794"/>
        <v>0</v>
      </c>
      <c r="AD5242" s="6">
        <v>21570</v>
      </c>
      <c r="AE5242" s="66">
        <v>7.0000000000000007E-2</v>
      </c>
      <c r="AF5242" s="6">
        <f t="shared" si="795"/>
        <v>1509.9</v>
      </c>
      <c r="AG5242" s="9">
        <v>0</v>
      </c>
      <c r="AH5242" s="47"/>
      <c r="AI5242" s="47"/>
      <c r="AJ5242" s="126" t="s">
        <v>4216</v>
      </c>
      <c r="AK5242" s="80">
        <f t="shared" si="793"/>
        <v>0</v>
      </c>
      <c r="AM5242" s="85"/>
    </row>
    <row r="5243" spans="1:39" hidden="1" x14ac:dyDescent="0.3">
      <c r="A5243" s="89" t="s">
        <v>3672</v>
      </c>
      <c r="B5243" s="86" t="s">
        <v>35</v>
      </c>
      <c r="C5243" s="86" t="s">
        <v>144</v>
      </c>
      <c r="D5243" s="86" t="s">
        <v>145</v>
      </c>
      <c r="E5243" s="86" t="s">
        <v>1385</v>
      </c>
      <c r="F5243" s="86" t="s">
        <v>1386</v>
      </c>
      <c r="G5243" s="86" t="s">
        <v>1385</v>
      </c>
      <c r="H5243" s="144">
        <v>360</v>
      </c>
      <c r="I5243" s="86" t="s">
        <v>1060</v>
      </c>
      <c r="J5243" s="1" t="s">
        <v>3325</v>
      </c>
      <c r="K5243" s="1" t="s">
        <v>3287</v>
      </c>
      <c r="L5243" s="1" t="s">
        <v>35</v>
      </c>
      <c r="M5243" s="86"/>
      <c r="N5243" s="86"/>
      <c r="O5243" s="47" t="s">
        <v>3172</v>
      </c>
      <c r="P5243" s="47" t="s">
        <v>41</v>
      </c>
      <c r="Q5243" s="9">
        <v>0</v>
      </c>
      <c r="R5243" s="143"/>
      <c r="S5243" s="47"/>
      <c r="T5243" s="6">
        <v>0</v>
      </c>
      <c r="U5243" s="6">
        <v>21315</v>
      </c>
      <c r="V5243" s="6">
        <v>21315</v>
      </c>
      <c r="W5243" s="6">
        <f t="shared" si="797"/>
        <v>0</v>
      </c>
      <c r="X5243" s="6">
        <f t="shared" si="798"/>
        <v>21315</v>
      </c>
      <c r="Y5243" s="13">
        <f t="shared" si="791"/>
        <v>0</v>
      </c>
      <c r="Z5243" s="9">
        <v>0</v>
      </c>
      <c r="AA5243" s="6">
        <v>0</v>
      </c>
      <c r="AB5243" s="4">
        <f t="shared" si="792"/>
        <v>21315</v>
      </c>
      <c r="AC5243" s="4">
        <f t="shared" si="794"/>
        <v>0</v>
      </c>
      <c r="AD5243" s="6">
        <v>21315</v>
      </c>
      <c r="AE5243" s="66">
        <v>7.0000000000000007E-2</v>
      </c>
      <c r="AF5243" s="6">
        <f t="shared" si="795"/>
        <v>1492.0500000000002</v>
      </c>
      <c r="AG5243" s="9">
        <v>0</v>
      </c>
      <c r="AH5243" s="47"/>
      <c r="AI5243" s="47"/>
      <c r="AJ5243" s="126" t="e">
        <v>#N/A</v>
      </c>
      <c r="AK5243" s="80">
        <f t="shared" si="793"/>
        <v>0</v>
      </c>
      <c r="AM5243" s="85"/>
    </row>
    <row r="5244" spans="1:39" hidden="1" x14ac:dyDescent="0.3">
      <c r="A5244" s="89" t="s">
        <v>3672</v>
      </c>
      <c r="B5244" s="86" t="s">
        <v>35</v>
      </c>
      <c r="C5244" s="86" t="s">
        <v>144</v>
      </c>
      <c r="D5244" s="86" t="s">
        <v>161</v>
      </c>
      <c r="E5244" s="86" t="s">
        <v>162</v>
      </c>
      <c r="F5244" s="86" t="s">
        <v>162</v>
      </c>
      <c r="G5244" s="86" t="s">
        <v>162</v>
      </c>
      <c r="H5244" s="144">
        <v>360</v>
      </c>
      <c r="I5244" s="86" t="s">
        <v>1060</v>
      </c>
      <c r="J5244" s="1" t="s">
        <v>3325</v>
      </c>
      <c r="K5244" s="1" t="s">
        <v>3287</v>
      </c>
      <c r="L5244" s="1" t="s">
        <v>35</v>
      </c>
      <c r="M5244" s="86"/>
      <c r="N5244" s="86"/>
      <c r="O5244" s="47" t="s">
        <v>3172</v>
      </c>
      <c r="P5244" s="47" t="s">
        <v>41</v>
      </c>
      <c r="Q5244" s="9">
        <v>0</v>
      </c>
      <c r="R5244" s="143"/>
      <c r="S5244" s="47"/>
      <c r="T5244" s="6">
        <v>0</v>
      </c>
      <c r="U5244" s="6">
        <v>70579.600000000006</v>
      </c>
      <c r="V5244" s="6">
        <v>70579.600000000006</v>
      </c>
      <c r="W5244" s="6">
        <f t="shared" si="797"/>
        <v>0</v>
      </c>
      <c r="X5244" s="6">
        <f t="shared" si="798"/>
        <v>70579.600000000006</v>
      </c>
      <c r="Y5244" s="13">
        <f t="shared" si="791"/>
        <v>0</v>
      </c>
      <c r="Z5244" s="9">
        <v>0</v>
      </c>
      <c r="AA5244" s="6">
        <v>0</v>
      </c>
      <c r="AB5244" s="4">
        <f t="shared" si="792"/>
        <v>70579.600000000006</v>
      </c>
      <c r="AC5244" s="4">
        <f t="shared" si="794"/>
        <v>0</v>
      </c>
      <c r="AD5244" s="6">
        <v>70579.600000000006</v>
      </c>
      <c r="AE5244" s="66">
        <v>7.0000000000000007E-2</v>
      </c>
      <c r="AF5244" s="6">
        <f t="shared" si="795"/>
        <v>4940.572000000001</v>
      </c>
      <c r="AG5244" s="9">
        <v>0</v>
      </c>
      <c r="AH5244" s="47"/>
      <c r="AI5244" s="47"/>
      <c r="AJ5244" s="126" t="e">
        <v>#N/A</v>
      </c>
      <c r="AK5244" s="80">
        <f t="shared" si="793"/>
        <v>0</v>
      </c>
      <c r="AM5244" s="85"/>
    </row>
    <row r="5245" spans="1:39" hidden="1" x14ac:dyDescent="0.3">
      <c r="A5245" s="89" t="s">
        <v>3672</v>
      </c>
      <c r="B5245" s="86" t="s">
        <v>35</v>
      </c>
      <c r="C5245" s="86" t="s">
        <v>164</v>
      </c>
      <c r="D5245" s="86" t="s">
        <v>174</v>
      </c>
      <c r="E5245" s="86" t="s">
        <v>1617</v>
      </c>
      <c r="F5245" s="86" t="s">
        <v>1617</v>
      </c>
      <c r="G5245" s="86" t="s">
        <v>1617</v>
      </c>
      <c r="H5245" s="144">
        <v>360</v>
      </c>
      <c r="I5245" s="86" t="s">
        <v>1060</v>
      </c>
      <c r="J5245" s="1" t="s">
        <v>3325</v>
      </c>
      <c r="K5245" s="1" t="s">
        <v>3287</v>
      </c>
      <c r="L5245" s="1" t="s">
        <v>35</v>
      </c>
      <c r="M5245" s="86"/>
      <c r="N5245" s="86"/>
      <c r="O5245" s="47" t="s">
        <v>3172</v>
      </c>
      <c r="P5245" s="47" t="s">
        <v>41</v>
      </c>
      <c r="Q5245" s="9">
        <v>0</v>
      </c>
      <c r="R5245" s="143"/>
      <c r="S5245" s="47"/>
      <c r="T5245" s="6">
        <v>0</v>
      </c>
      <c r="U5245" s="6">
        <v>142358.6</v>
      </c>
      <c r="V5245" s="6">
        <v>1187920.17</v>
      </c>
      <c r="W5245" s="6">
        <v>0</v>
      </c>
      <c r="X5245" s="6">
        <f t="shared" si="798"/>
        <v>1187920.17</v>
      </c>
      <c r="Y5245" s="13">
        <f t="shared" si="791"/>
        <v>0</v>
      </c>
      <c r="Z5245" s="9">
        <v>0</v>
      </c>
      <c r="AA5245" s="6">
        <v>0</v>
      </c>
      <c r="AB5245" s="4">
        <f t="shared" si="792"/>
        <v>1187920.17</v>
      </c>
      <c r="AC5245" s="4">
        <f t="shared" si="794"/>
        <v>0</v>
      </c>
      <c r="AD5245" s="6">
        <v>1187920.17</v>
      </c>
      <c r="AE5245" s="66">
        <v>7.0000000000000007E-2</v>
      </c>
      <c r="AF5245" s="6">
        <f t="shared" si="795"/>
        <v>83154.411900000006</v>
      </c>
      <c r="AG5245" s="9">
        <v>0</v>
      </c>
      <c r="AH5245" s="47"/>
      <c r="AI5245" s="47" t="s">
        <v>3375</v>
      </c>
      <c r="AJ5245" s="126" t="e">
        <v>#N/A</v>
      </c>
      <c r="AK5245" s="80">
        <f t="shared" si="793"/>
        <v>0</v>
      </c>
      <c r="AM5245" s="85"/>
    </row>
    <row r="5246" spans="1:39" hidden="1" x14ac:dyDescent="0.3">
      <c r="A5246" s="89" t="s">
        <v>3672</v>
      </c>
      <c r="B5246" s="86" t="s">
        <v>35</v>
      </c>
      <c r="C5246" s="86" t="s">
        <v>164</v>
      </c>
      <c r="D5246" s="86" t="s">
        <v>174</v>
      </c>
      <c r="E5246" s="86" t="s">
        <v>1696</v>
      </c>
      <c r="F5246" s="86" t="s">
        <v>1696</v>
      </c>
      <c r="G5246" s="86" t="s">
        <v>1696</v>
      </c>
      <c r="H5246" s="144">
        <v>360</v>
      </c>
      <c r="I5246" s="86" t="s">
        <v>1060</v>
      </c>
      <c r="J5246" s="1" t="s">
        <v>3325</v>
      </c>
      <c r="K5246" s="1" t="s">
        <v>3287</v>
      </c>
      <c r="L5246" s="1" t="s">
        <v>35</v>
      </c>
      <c r="M5246" s="86"/>
      <c r="N5246" s="86"/>
      <c r="O5246" s="47" t="s">
        <v>3172</v>
      </c>
      <c r="P5246" s="47" t="s">
        <v>41</v>
      </c>
      <c r="Q5246" s="9">
        <v>0</v>
      </c>
      <c r="R5246" s="143"/>
      <c r="S5246" s="47"/>
      <c r="T5246" s="6">
        <v>0</v>
      </c>
      <c r="U5246" s="6">
        <v>57855</v>
      </c>
      <c r="V5246" s="6">
        <v>57855</v>
      </c>
      <c r="W5246" s="6">
        <f t="shared" si="797"/>
        <v>0</v>
      </c>
      <c r="X5246" s="6">
        <f t="shared" si="798"/>
        <v>57855</v>
      </c>
      <c r="Y5246" s="13">
        <f t="shared" si="791"/>
        <v>0</v>
      </c>
      <c r="Z5246" s="9">
        <v>0</v>
      </c>
      <c r="AA5246" s="6">
        <v>0</v>
      </c>
      <c r="AB5246" s="4">
        <f t="shared" si="792"/>
        <v>57855</v>
      </c>
      <c r="AC5246" s="4">
        <f t="shared" si="794"/>
        <v>0</v>
      </c>
      <c r="AD5246" s="6">
        <v>57855</v>
      </c>
      <c r="AE5246" s="66">
        <v>7.0000000000000007E-2</v>
      </c>
      <c r="AF5246" s="6">
        <f t="shared" si="795"/>
        <v>4049.8500000000004</v>
      </c>
      <c r="AG5246" s="9">
        <v>0</v>
      </c>
      <c r="AH5246" s="47"/>
      <c r="AI5246" s="47"/>
      <c r="AJ5246" s="126" t="e">
        <v>#N/A</v>
      </c>
      <c r="AK5246" s="80">
        <f t="shared" si="793"/>
        <v>0</v>
      </c>
      <c r="AM5246" s="85"/>
    </row>
    <row r="5247" spans="1:39" hidden="1" x14ac:dyDescent="0.3">
      <c r="A5247" s="89" t="s">
        <v>3672</v>
      </c>
      <c r="B5247" s="86" t="s">
        <v>35</v>
      </c>
      <c r="C5247" s="86" t="s">
        <v>164</v>
      </c>
      <c r="D5247" s="86" t="s">
        <v>174</v>
      </c>
      <c r="E5247" s="86" t="s">
        <v>1748</v>
      </c>
      <c r="F5247" s="86" t="s">
        <v>1748</v>
      </c>
      <c r="G5247" s="86" t="s">
        <v>1748</v>
      </c>
      <c r="H5247" s="144">
        <v>360</v>
      </c>
      <c r="I5247" s="86" t="s">
        <v>1060</v>
      </c>
      <c r="J5247" s="1" t="s">
        <v>3325</v>
      </c>
      <c r="K5247" s="1" t="s">
        <v>3287</v>
      </c>
      <c r="L5247" s="1" t="s">
        <v>35</v>
      </c>
      <c r="M5247" s="86"/>
      <c r="N5247" s="86"/>
      <c r="O5247" s="47" t="s">
        <v>3172</v>
      </c>
      <c r="P5247" s="47" t="s">
        <v>41</v>
      </c>
      <c r="Q5247" s="9">
        <v>0</v>
      </c>
      <c r="R5247" s="143"/>
      <c r="S5247" s="47"/>
      <c r="T5247" s="6">
        <v>0</v>
      </c>
      <c r="U5247" s="6">
        <v>79170</v>
      </c>
      <c r="V5247" s="6">
        <v>79170</v>
      </c>
      <c r="W5247" s="6">
        <f t="shared" si="797"/>
        <v>0</v>
      </c>
      <c r="X5247" s="6">
        <f t="shared" si="798"/>
        <v>79170</v>
      </c>
      <c r="Y5247" s="13">
        <f t="shared" si="791"/>
        <v>0</v>
      </c>
      <c r="Z5247" s="9">
        <v>0</v>
      </c>
      <c r="AA5247" s="6">
        <v>0</v>
      </c>
      <c r="AB5247" s="4">
        <f t="shared" si="792"/>
        <v>79170</v>
      </c>
      <c r="AC5247" s="4">
        <f t="shared" si="794"/>
        <v>0</v>
      </c>
      <c r="AD5247" s="6">
        <v>79170</v>
      </c>
      <c r="AE5247" s="66">
        <v>7.0000000000000007E-2</v>
      </c>
      <c r="AF5247" s="6">
        <f t="shared" si="795"/>
        <v>5541.9000000000005</v>
      </c>
      <c r="AG5247" s="9">
        <v>0</v>
      </c>
      <c r="AH5247" s="47"/>
      <c r="AI5247" s="47"/>
      <c r="AJ5247" s="126" t="e">
        <v>#N/A</v>
      </c>
      <c r="AK5247" s="80">
        <f t="shared" si="793"/>
        <v>0</v>
      </c>
      <c r="AM5247" s="85"/>
    </row>
    <row r="5248" spans="1:39" hidden="1" x14ac:dyDescent="0.3">
      <c r="A5248" s="89" t="s">
        <v>3672</v>
      </c>
      <c r="B5248" s="86" t="s">
        <v>35</v>
      </c>
      <c r="C5248" s="86" t="s">
        <v>164</v>
      </c>
      <c r="D5248" s="86" t="s">
        <v>174</v>
      </c>
      <c r="E5248" s="86" t="s">
        <v>3168</v>
      </c>
      <c r="F5248" s="86" t="s">
        <v>3169</v>
      </c>
      <c r="G5248" s="86" t="s">
        <v>3168</v>
      </c>
      <c r="H5248" s="143">
        <v>65</v>
      </c>
      <c r="I5248" s="86" t="s">
        <v>3174</v>
      </c>
      <c r="J5248" s="1" t="s">
        <v>3671</v>
      </c>
      <c r="L5248" s="1" t="s">
        <v>3388</v>
      </c>
      <c r="M5248" s="86" t="s">
        <v>1742</v>
      </c>
      <c r="N5248" s="86"/>
      <c r="O5248" s="47" t="s">
        <v>410</v>
      </c>
      <c r="P5248" s="47" t="s">
        <v>41</v>
      </c>
      <c r="Q5248" s="9">
        <v>0</v>
      </c>
      <c r="R5248" s="143">
        <v>7056584</v>
      </c>
      <c r="S5248" s="47"/>
      <c r="T5248" s="6">
        <v>11376.98</v>
      </c>
      <c r="U5248" s="6"/>
      <c r="V5248" s="6">
        <v>0</v>
      </c>
      <c r="W5248" s="6">
        <f>T5248+U5248-V5248</f>
        <v>11376.98</v>
      </c>
      <c r="X5248" s="6">
        <f>IF(P5248="折扣",V5248*Q5248,IF(P5248="返现",V5248,V5248/(1+Q5248)))</f>
        <v>0</v>
      </c>
      <c r="Y5248" s="13">
        <f t="shared" si="791"/>
        <v>0</v>
      </c>
      <c r="Z5248" s="9">
        <v>0</v>
      </c>
      <c r="AA5248" s="6">
        <v>0</v>
      </c>
      <c r="AB5248" s="4">
        <f t="shared" si="792"/>
        <v>0</v>
      </c>
      <c r="AC5248" s="4">
        <f t="shared" si="794"/>
        <v>0</v>
      </c>
      <c r="AD5248" s="6">
        <v>0</v>
      </c>
      <c r="AE5248" s="66">
        <v>0</v>
      </c>
      <c r="AF5248" s="6">
        <f t="shared" si="795"/>
        <v>0</v>
      </c>
      <c r="AG5248" s="9">
        <v>0</v>
      </c>
      <c r="AH5248" s="47"/>
      <c r="AI5248" s="47"/>
      <c r="AJ5248" s="126" t="e">
        <v>#N/A</v>
      </c>
      <c r="AK5248" s="80">
        <f t="shared" si="793"/>
        <v>0</v>
      </c>
      <c r="AM5248" s="85"/>
    </row>
    <row r="5249" spans="1:39" hidden="1" x14ac:dyDescent="0.3">
      <c r="A5249" s="89" t="s">
        <v>3672</v>
      </c>
      <c r="B5249" s="86" t="s">
        <v>35</v>
      </c>
      <c r="C5249" s="86" t="s">
        <v>36</v>
      </c>
      <c r="D5249" s="86" t="s">
        <v>54</v>
      </c>
      <c r="E5249" s="86" t="s">
        <v>71</v>
      </c>
      <c r="F5249" s="86" t="s">
        <v>71</v>
      </c>
      <c r="G5249" s="86" t="s">
        <v>71</v>
      </c>
      <c r="H5249" s="143">
        <v>339</v>
      </c>
      <c r="I5249" s="86" t="s">
        <v>3171</v>
      </c>
      <c r="J5249" s="1" t="s">
        <v>3671</v>
      </c>
      <c r="L5249" s="1" t="s">
        <v>3388</v>
      </c>
      <c r="M5249" s="86"/>
      <c r="N5249" s="86"/>
      <c r="O5249" s="47" t="s">
        <v>410</v>
      </c>
      <c r="P5249" s="47" t="s">
        <v>46</v>
      </c>
      <c r="Q5249" s="9">
        <v>0.03</v>
      </c>
      <c r="R5249" s="143"/>
      <c r="S5249" s="47"/>
      <c r="T5249" s="6">
        <v>93395.28</v>
      </c>
      <c r="U5249" s="6"/>
      <c r="V5249" s="6">
        <v>0</v>
      </c>
      <c r="W5249" s="6">
        <f t="shared" ref="W5249:W5251" si="799">T5249+U5249-V5249</f>
        <v>93395.28</v>
      </c>
      <c r="X5249" s="6">
        <f t="shared" ref="X5249:X5251" si="800">IF(P5249="折扣",V5249*Q5249,IF(P5249="返现",V5249,V5249/(1+Q5249)))</f>
        <v>0</v>
      </c>
      <c r="Y5249" s="13">
        <f t="shared" si="791"/>
        <v>0</v>
      </c>
      <c r="Z5249" s="9">
        <v>0</v>
      </c>
      <c r="AA5249" s="6">
        <v>0</v>
      </c>
      <c r="AB5249" s="4">
        <f t="shared" si="792"/>
        <v>0</v>
      </c>
      <c r="AC5249" s="4">
        <f t="shared" si="794"/>
        <v>0</v>
      </c>
      <c r="AD5249" s="6">
        <v>0</v>
      </c>
      <c r="AE5249" s="66">
        <v>0</v>
      </c>
      <c r="AF5249" s="6">
        <f t="shared" si="795"/>
        <v>0</v>
      </c>
      <c r="AG5249" s="9">
        <v>0</v>
      </c>
      <c r="AH5249" s="47"/>
      <c r="AI5249" s="47"/>
      <c r="AJ5249" s="126" t="e">
        <v>#N/A</v>
      </c>
      <c r="AK5249" s="80">
        <f t="shared" si="793"/>
        <v>0</v>
      </c>
      <c r="AM5249" s="85"/>
    </row>
    <row r="5250" spans="1:39" hidden="1" x14ac:dyDescent="0.3">
      <c r="A5250" s="89" t="s">
        <v>3672</v>
      </c>
      <c r="B5250" s="86" t="s">
        <v>35</v>
      </c>
      <c r="C5250" s="86" t="s">
        <v>47</v>
      </c>
      <c r="D5250" s="86" t="s">
        <v>63</v>
      </c>
      <c r="E5250" s="86" t="s">
        <v>521</v>
      </c>
      <c r="F5250" s="86" t="s">
        <v>522</v>
      </c>
      <c r="G5250" s="86" t="s">
        <v>521</v>
      </c>
      <c r="H5250" s="143">
        <v>65</v>
      </c>
      <c r="I5250" s="86" t="s">
        <v>3174</v>
      </c>
      <c r="J5250" s="1" t="s">
        <v>3671</v>
      </c>
      <c r="L5250" s="1" t="s">
        <v>3388</v>
      </c>
      <c r="M5250" s="86" t="s">
        <v>521</v>
      </c>
      <c r="N5250" s="86"/>
      <c r="O5250" s="47" t="s">
        <v>410</v>
      </c>
      <c r="P5250" s="47" t="s">
        <v>46</v>
      </c>
      <c r="Q5250" s="9">
        <v>0.02</v>
      </c>
      <c r="R5250" s="143"/>
      <c r="S5250" s="47"/>
      <c r="T5250" s="6">
        <v>18381.79</v>
      </c>
      <c r="U5250" s="6"/>
      <c r="V5250" s="6">
        <v>0</v>
      </c>
      <c r="W5250" s="6">
        <f t="shared" si="799"/>
        <v>18381.79</v>
      </c>
      <c r="X5250" s="6">
        <f t="shared" si="800"/>
        <v>0</v>
      </c>
      <c r="Y5250" s="13">
        <f t="shared" si="791"/>
        <v>0</v>
      </c>
      <c r="Z5250" s="9">
        <v>0</v>
      </c>
      <c r="AA5250" s="6">
        <v>0</v>
      </c>
      <c r="AB5250" s="4">
        <f t="shared" si="792"/>
        <v>0</v>
      </c>
      <c r="AC5250" s="4">
        <f t="shared" si="794"/>
        <v>0</v>
      </c>
      <c r="AD5250" s="6">
        <v>0</v>
      </c>
      <c r="AE5250" s="66">
        <v>0</v>
      </c>
      <c r="AF5250" s="6">
        <f t="shared" si="795"/>
        <v>0</v>
      </c>
      <c r="AG5250" s="9">
        <v>0</v>
      </c>
      <c r="AH5250" s="47"/>
      <c r="AI5250" s="47"/>
      <c r="AJ5250" s="126" t="e">
        <v>#N/A</v>
      </c>
      <c r="AK5250" s="80">
        <f t="shared" si="793"/>
        <v>0</v>
      </c>
      <c r="AM5250" s="85"/>
    </row>
    <row r="5251" spans="1:39" hidden="1" x14ac:dyDescent="0.3">
      <c r="A5251" s="89" t="s">
        <v>3672</v>
      </c>
      <c r="B5251" s="86" t="s">
        <v>35</v>
      </c>
      <c r="C5251" s="86" t="s">
        <v>184</v>
      </c>
      <c r="D5251" s="86" t="s">
        <v>54</v>
      </c>
      <c r="E5251" s="86" t="s">
        <v>71</v>
      </c>
      <c r="F5251" s="86" t="s">
        <v>71</v>
      </c>
      <c r="G5251" s="86" t="s">
        <v>71</v>
      </c>
      <c r="H5251" s="143">
        <v>339</v>
      </c>
      <c r="I5251" s="86" t="s">
        <v>3171</v>
      </c>
      <c r="J5251" s="1" t="s">
        <v>3671</v>
      </c>
      <c r="L5251" s="1" t="s">
        <v>3388</v>
      </c>
      <c r="M5251" s="86" t="s">
        <v>71</v>
      </c>
      <c r="N5251" s="86"/>
      <c r="O5251" s="47" t="s">
        <v>45</v>
      </c>
      <c r="P5251" s="47" t="s">
        <v>46</v>
      </c>
      <c r="Q5251" s="9">
        <v>0.06</v>
      </c>
      <c r="R5251" s="143"/>
      <c r="S5251" s="47"/>
      <c r="T5251" s="6">
        <v>-3087.24</v>
      </c>
      <c r="U5251" s="6"/>
      <c r="V5251" s="6">
        <v>0</v>
      </c>
      <c r="W5251" s="6">
        <f t="shared" si="799"/>
        <v>-3087.24</v>
      </c>
      <c r="X5251" s="6">
        <f t="shared" si="800"/>
        <v>0</v>
      </c>
      <c r="Y5251" s="13">
        <f t="shared" ref="Y5251:Y5314" si="801">IF(X5251-AD5251&lt;=0,0,IF(P5251="返现",MAX(X5251-AC5251-AD5251,0),MAX(X5251-AD5251)))</f>
        <v>0</v>
      </c>
      <c r="Z5251" s="9">
        <v>0</v>
      </c>
      <c r="AA5251" s="6">
        <v>0</v>
      </c>
      <c r="AB5251" s="4">
        <f t="shared" ref="AB5251:AB5314" si="802">X5251+AA5251</f>
        <v>0</v>
      </c>
      <c r="AC5251" s="4">
        <f t="shared" si="794"/>
        <v>0</v>
      </c>
      <c r="AD5251" s="6">
        <v>0</v>
      </c>
      <c r="AE5251" s="66">
        <v>0</v>
      </c>
      <c r="AF5251" s="6">
        <f t="shared" si="795"/>
        <v>0</v>
      </c>
      <c r="AG5251" s="9">
        <v>0</v>
      </c>
      <c r="AH5251" s="47"/>
      <c r="AI5251" s="47"/>
      <c r="AJ5251" s="126" t="e">
        <v>#N/A</v>
      </c>
      <c r="AK5251" s="80">
        <f t="shared" ref="AK5251:AK5314" si="803">X5251+AA5251-AB5251</f>
        <v>0</v>
      </c>
      <c r="AM5251" s="85"/>
    </row>
    <row r="5252" spans="1:39" hidden="1" x14ac:dyDescent="0.3">
      <c r="A5252" s="89" t="s">
        <v>3672</v>
      </c>
      <c r="B5252" s="86" t="s">
        <v>35</v>
      </c>
      <c r="C5252" s="86" t="s">
        <v>47</v>
      </c>
      <c r="D5252" s="86" t="s">
        <v>63</v>
      </c>
      <c r="E5252" s="86" t="s">
        <v>528</v>
      </c>
      <c r="F5252" s="86" t="s">
        <v>528</v>
      </c>
      <c r="G5252" s="86" t="s">
        <v>528</v>
      </c>
      <c r="H5252" s="144">
        <v>62</v>
      </c>
      <c r="I5252" s="86" t="s">
        <v>408</v>
      </c>
      <c r="J5252" s="1" t="s">
        <v>3324</v>
      </c>
      <c r="K5252" s="1" t="s">
        <v>3278</v>
      </c>
      <c r="L5252" s="1" t="s">
        <v>35</v>
      </c>
      <c r="M5252" s="86" t="s">
        <v>3646</v>
      </c>
      <c r="N5252" s="86"/>
      <c r="O5252" s="47" t="s">
        <v>3172</v>
      </c>
      <c r="P5252" s="47" t="s">
        <v>41</v>
      </c>
      <c r="Q5252" s="9">
        <v>0</v>
      </c>
      <c r="R5252" s="143"/>
      <c r="S5252" s="47"/>
      <c r="T5252" s="6">
        <v>0</v>
      </c>
      <c r="U5252" s="6">
        <v>123600</v>
      </c>
      <c r="V5252" s="6">
        <v>123600</v>
      </c>
      <c r="W5252" s="6">
        <f>T5252+U5252-V5252</f>
        <v>0</v>
      </c>
      <c r="X5252" s="6">
        <f>IF(P5252="折扣",V5252*Q5252,IF(P5252="返现",V5252,V5252/(1+Q5252)))</f>
        <v>123600</v>
      </c>
      <c r="Y5252" s="13">
        <f t="shared" si="801"/>
        <v>0</v>
      </c>
      <c r="Z5252" s="9">
        <v>0</v>
      </c>
      <c r="AA5252" s="6">
        <v>0</v>
      </c>
      <c r="AB5252" s="4">
        <f t="shared" si="802"/>
        <v>123600</v>
      </c>
      <c r="AC5252" s="4">
        <f t="shared" si="794"/>
        <v>0</v>
      </c>
      <c r="AD5252" s="134">
        <v>123600</v>
      </c>
      <c r="AE5252" s="66">
        <v>7.0000000000000007E-2</v>
      </c>
      <c r="AF5252" s="6">
        <f t="shared" si="795"/>
        <v>8652</v>
      </c>
      <c r="AG5252" s="9">
        <v>0</v>
      </c>
      <c r="AH5252" s="47"/>
      <c r="AI5252" s="47"/>
      <c r="AJ5252" s="126" t="e">
        <v>#N/A</v>
      </c>
      <c r="AK5252" s="80">
        <f t="shared" si="803"/>
        <v>0</v>
      </c>
      <c r="AM5252" s="85"/>
    </row>
    <row r="5253" spans="1:39" hidden="1" x14ac:dyDescent="0.3">
      <c r="A5253" s="89" t="s">
        <v>3672</v>
      </c>
      <c r="B5253" s="86" t="s">
        <v>35</v>
      </c>
      <c r="C5253" s="86" t="s">
        <v>144</v>
      </c>
      <c r="D5253" s="86" t="s">
        <v>145</v>
      </c>
      <c r="E5253" s="86" t="s">
        <v>581</v>
      </c>
      <c r="F5253" s="86" t="s">
        <v>581</v>
      </c>
      <c r="G5253" s="86" t="s">
        <v>581</v>
      </c>
      <c r="H5253" s="144">
        <v>62</v>
      </c>
      <c r="I5253" s="86" t="s">
        <v>408</v>
      </c>
      <c r="J5253" s="1" t="s">
        <v>3324</v>
      </c>
      <c r="K5253" s="1" t="s">
        <v>3278</v>
      </c>
      <c r="L5253" s="1" t="s">
        <v>35</v>
      </c>
      <c r="M5253" s="86" t="s">
        <v>3647</v>
      </c>
      <c r="N5253" s="86"/>
      <c r="O5253" s="47" t="s">
        <v>3172</v>
      </c>
      <c r="P5253" s="47" t="s">
        <v>41</v>
      </c>
      <c r="Q5253" s="9">
        <v>0</v>
      </c>
      <c r="R5253" s="143"/>
      <c r="S5253" s="47"/>
      <c r="T5253" s="6">
        <v>0</v>
      </c>
      <c r="U5253" s="6">
        <v>32700</v>
      </c>
      <c r="V5253" s="6">
        <v>32700</v>
      </c>
      <c r="W5253" s="6">
        <f>T5253+U5253-V5253</f>
        <v>0</v>
      </c>
      <c r="X5253" s="6">
        <f>IF(P5253="折扣",V5253*Q5253,IF(P5253="返现",V5253,V5253/(1+Q5253)))</f>
        <v>32700</v>
      </c>
      <c r="Y5253" s="13">
        <f t="shared" si="801"/>
        <v>0</v>
      </c>
      <c r="Z5253" s="9">
        <v>0</v>
      </c>
      <c r="AA5253" s="6">
        <v>0</v>
      </c>
      <c r="AB5253" s="4">
        <f t="shared" si="802"/>
        <v>32700</v>
      </c>
      <c r="AC5253" s="4">
        <f t="shared" si="794"/>
        <v>0</v>
      </c>
      <c r="AD5253" s="134">
        <v>32700</v>
      </c>
      <c r="AE5253" s="66">
        <v>7.0000000000000007E-2</v>
      </c>
      <c r="AF5253" s="6">
        <f t="shared" si="795"/>
        <v>2289</v>
      </c>
      <c r="AG5253" s="9">
        <v>0</v>
      </c>
      <c r="AH5253" s="47"/>
      <c r="AI5253" s="47"/>
      <c r="AJ5253" s="126" t="e">
        <v>#N/A</v>
      </c>
      <c r="AK5253" s="80">
        <f t="shared" si="803"/>
        <v>0</v>
      </c>
      <c r="AM5253" s="85"/>
    </row>
    <row r="5254" spans="1:39" hidden="1" x14ac:dyDescent="0.3">
      <c r="A5254" s="89" t="s">
        <v>3672</v>
      </c>
      <c r="B5254" s="86" t="s">
        <v>35</v>
      </c>
      <c r="C5254" s="86" t="s">
        <v>47</v>
      </c>
      <c r="D5254" s="86" t="s">
        <v>63</v>
      </c>
      <c r="E5254" s="86" t="s">
        <v>1912</v>
      </c>
      <c r="F5254" s="86" t="s">
        <v>1912</v>
      </c>
      <c r="G5254" s="86" t="s">
        <v>1912</v>
      </c>
      <c r="H5254" s="143">
        <v>224</v>
      </c>
      <c r="I5254" s="86" t="s">
        <v>3214</v>
      </c>
      <c r="J5254" s="1" t="s">
        <v>3323</v>
      </c>
      <c r="K5254" s="1" t="s">
        <v>3306</v>
      </c>
      <c r="L5254" s="1" t="s">
        <v>35</v>
      </c>
      <c r="M5254" s="86" t="s">
        <v>3219</v>
      </c>
      <c r="N5254" s="86"/>
      <c r="O5254" s="47" t="s">
        <v>410</v>
      </c>
      <c r="P5254" s="47" t="s">
        <v>41</v>
      </c>
      <c r="Q5254" s="9">
        <v>0</v>
      </c>
      <c r="R5254" s="143">
        <v>1000082509</v>
      </c>
      <c r="S5254" s="47"/>
      <c r="T5254" s="6">
        <v>1387.5</v>
      </c>
      <c r="U5254" s="6"/>
      <c r="V5254" s="6">
        <v>0</v>
      </c>
      <c r="W5254" s="6">
        <f t="shared" ref="W5254:W5264" si="804">T5254+U5254-V5254</f>
        <v>1387.5</v>
      </c>
      <c r="X5254" s="6">
        <f t="shared" ref="X5254:X5264" si="805">IF(P5254="折扣",V5254*Q5254,IF(P5254="返现",V5254,V5254/(1+Q5254)))</f>
        <v>0</v>
      </c>
      <c r="Y5254" s="13">
        <f t="shared" si="801"/>
        <v>0</v>
      </c>
      <c r="Z5254" s="9">
        <v>0</v>
      </c>
      <c r="AA5254" s="6">
        <v>0</v>
      </c>
      <c r="AB5254" s="4">
        <f t="shared" si="802"/>
        <v>0</v>
      </c>
      <c r="AC5254" s="4">
        <f t="shared" si="794"/>
        <v>0</v>
      </c>
      <c r="AD5254" s="6">
        <v>0</v>
      </c>
      <c r="AE5254" s="9">
        <v>0</v>
      </c>
      <c r="AF5254" s="6">
        <f t="shared" si="795"/>
        <v>0</v>
      </c>
      <c r="AG5254" s="9">
        <v>0</v>
      </c>
      <c r="AH5254" s="47"/>
      <c r="AI5254" s="47"/>
      <c r="AJ5254" s="126" t="e">
        <v>#N/A</v>
      </c>
      <c r="AK5254" s="80">
        <f t="shared" si="803"/>
        <v>0</v>
      </c>
      <c r="AM5254" s="85"/>
    </row>
    <row r="5255" spans="1:39" hidden="1" x14ac:dyDescent="0.3">
      <c r="A5255" s="89" t="s">
        <v>3672</v>
      </c>
      <c r="B5255" s="86" t="s">
        <v>35</v>
      </c>
      <c r="C5255" s="86" t="s">
        <v>144</v>
      </c>
      <c r="D5255" s="86" t="s">
        <v>152</v>
      </c>
      <c r="E5255" s="86" t="s">
        <v>3220</v>
      </c>
      <c r="F5255" s="86" t="s">
        <v>3220</v>
      </c>
      <c r="G5255" s="86" t="s">
        <v>3220</v>
      </c>
      <c r="H5255" s="143">
        <v>224</v>
      </c>
      <c r="I5255" s="86" t="s">
        <v>3214</v>
      </c>
      <c r="J5255" s="1" t="s">
        <v>3323</v>
      </c>
      <c r="K5255" s="1" t="s">
        <v>3306</v>
      </c>
      <c r="L5255" s="1" t="s">
        <v>35</v>
      </c>
      <c r="M5255" s="86" t="s">
        <v>3221</v>
      </c>
      <c r="N5255" s="86"/>
      <c r="O5255" s="47" t="s">
        <v>410</v>
      </c>
      <c r="P5255" s="47" t="s">
        <v>41</v>
      </c>
      <c r="Q5255" s="9">
        <v>0</v>
      </c>
      <c r="R5255" s="143">
        <v>1000043274</v>
      </c>
      <c r="S5255" s="47"/>
      <c r="T5255" s="6">
        <v>22550.75</v>
      </c>
      <c r="U5255" s="6"/>
      <c r="V5255" s="6">
        <v>0</v>
      </c>
      <c r="W5255" s="6">
        <f t="shared" si="804"/>
        <v>22550.75</v>
      </c>
      <c r="X5255" s="6">
        <f t="shared" si="805"/>
        <v>0</v>
      </c>
      <c r="Y5255" s="13">
        <f t="shared" si="801"/>
        <v>0</v>
      </c>
      <c r="Z5255" s="9">
        <v>0</v>
      </c>
      <c r="AA5255" s="6">
        <v>0</v>
      </c>
      <c r="AB5255" s="4">
        <f t="shared" si="802"/>
        <v>0</v>
      </c>
      <c r="AC5255" s="4">
        <f t="shared" si="794"/>
        <v>0</v>
      </c>
      <c r="AD5255" s="6">
        <v>0</v>
      </c>
      <c r="AE5255" s="9">
        <v>0</v>
      </c>
      <c r="AF5255" s="6">
        <f t="shared" si="795"/>
        <v>0</v>
      </c>
      <c r="AG5255" s="9">
        <v>0</v>
      </c>
      <c r="AH5255" s="47"/>
      <c r="AI5255" s="47"/>
      <c r="AJ5255" s="126" t="e">
        <v>#N/A</v>
      </c>
      <c r="AK5255" s="80">
        <f t="shared" si="803"/>
        <v>0</v>
      </c>
      <c r="AM5255" s="85"/>
    </row>
    <row r="5256" spans="1:39" hidden="1" x14ac:dyDescent="0.3">
      <c r="A5256" s="89" t="s">
        <v>3672</v>
      </c>
      <c r="B5256" s="86" t="s">
        <v>35</v>
      </c>
      <c r="C5256" s="86" t="s">
        <v>65</v>
      </c>
      <c r="D5256" s="86" t="s">
        <v>66</v>
      </c>
      <c r="E5256" s="86" t="s">
        <v>2866</v>
      </c>
      <c r="F5256" s="86" t="s">
        <v>2866</v>
      </c>
      <c r="G5256" s="86" t="s">
        <v>2866</v>
      </c>
      <c r="H5256" s="144">
        <v>103</v>
      </c>
      <c r="I5256" s="86" t="s">
        <v>421</v>
      </c>
      <c r="J5256" s="1" t="s">
        <v>3323</v>
      </c>
      <c r="K5256" s="1" t="s">
        <v>3308</v>
      </c>
      <c r="L5256" s="1" t="s">
        <v>35</v>
      </c>
      <c r="M5256" s="86" t="s">
        <v>3222</v>
      </c>
      <c r="N5256" s="86"/>
      <c r="O5256" s="47" t="s">
        <v>410</v>
      </c>
      <c r="P5256" s="47" t="s">
        <v>41</v>
      </c>
      <c r="Q5256" s="9">
        <v>0</v>
      </c>
      <c r="R5256" s="143"/>
      <c r="S5256" s="47"/>
      <c r="T5256" s="6">
        <v>638606.93999999994</v>
      </c>
      <c r="U5256" s="6"/>
      <c r="V5256" s="6">
        <v>272538.17</v>
      </c>
      <c r="W5256" s="6">
        <f t="shared" si="804"/>
        <v>366068.76999999996</v>
      </c>
      <c r="X5256" s="6">
        <f t="shared" si="805"/>
        <v>272538.17</v>
      </c>
      <c r="Y5256" s="13">
        <f t="shared" si="801"/>
        <v>5343.8899999999558</v>
      </c>
      <c r="Z5256" s="9">
        <v>0</v>
      </c>
      <c r="AA5256" s="6">
        <v>0</v>
      </c>
      <c r="AB5256" s="4">
        <f t="shared" si="802"/>
        <v>272538.17</v>
      </c>
      <c r="AC5256" s="4">
        <f t="shared" si="794"/>
        <v>0</v>
      </c>
      <c r="AD5256" s="6">
        <v>267194.28000000003</v>
      </c>
      <c r="AE5256" s="9">
        <v>0.02</v>
      </c>
      <c r="AF5256" s="6">
        <f t="shared" si="795"/>
        <v>5343.8856000000005</v>
      </c>
      <c r="AG5256" s="9">
        <v>0</v>
      </c>
      <c r="AH5256" s="47"/>
      <c r="AI5256" s="47"/>
      <c r="AJ5256" s="126" t="e">
        <v>#N/A</v>
      </c>
      <c r="AK5256" s="80">
        <f t="shared" si="803"/>
        <v>0</v>
      </c>
      <c r="AM5256" s="85"/>
    </row>
    <row r="5257" spans="1:39" hidden="1" x14ac:dyDescent="0.3">
      <c r="A5257" s="89" t="s">
        <v>3672</v>
      </c>
      <c r="B5257" s="86" t="s">
        <v>35</v>
      </c>
      <c r="C5257" s="86" t="s">
        <v>184</v>
      </c>
      <c r="D5257" s="86" t="s">
        <v>37</v>
      </c>
      <c r="E5257" s="86" t="s">
        <v>38</v>
      </c>
      <c r="F5257" s="86" t="s">
        <v>38</v>
      </c>
      <c r="G5257" s="86" t="s">
        <v>38</v>
      </c>
      <c r="H5257" s="143">
        <v>224</v>
      </c>
      <c r="I5257" s="86" t="s">
        <v>3214</v>
      </c>
      <c r="J5257" s="1" t="s">
        <v>3323</v>
      </c>
      <c r="K5257" s="1" t="s">
        <v>3306</v>
      </c>
      <c r="L5257" s="1" t="s">
        <v>35</v>
      </c>
      <c r="M5257" s="86" t="s">
        <v>3228</v>
      </c>
      <c r="N5257" s="86"/>
      <c r="O5257" s="47" t="s">
        <v>410</v>
      </c>
      <c r="P5257" s="47" t="s">
        <v>41</v>
      </c>
      <c r="Q5257" s="9">
        <v>0</v>
      </c>
      <c r="R5257" s="143"/>
      <c r="S5257" s="47"/>
      <c r="T5257" s="6">
        <v>159441.73000000001</v>
      </c>
      <c r="U5257" s="6"/>
      <c r="V5257" s="6">
        <v>0</v>
      </c>
      <c r="W5257" s="6">
        <f t="shared" si="804"/>
        <v>159441.73000000001</v>
      </c>
      <c r="X5257" s="6">
        <f t="shared" si="805"/>
        <v>0</v>
      </c>
      <c r="Y5257" s="13">
        <f t="shared" si="801"/>
        <v>0</v>
      </c>
      <c r="Z5257" s="9">
        <v>0</v>
      </c>
      <c r="AA5257" s="6">
        <v>0</v>
      </c>
      <c r="AB5257" s="4">
        <f t="shared" si="802"/>
        <v>0</v>
      </c>
      <c r="AC5257" s="4">
        <f t="shared" si="794"/>
        <v>0</v>
      </c>
      <c r="AD5257" s="6">
        <v>0</v>
      </c>
      <c r="AE5257" s="9">
        <v>0</v>
      </c>
      <c r="AF5257" s="6">
        <f t="shared" si="795"/>
        <v>0</v>
      </c>
      <c r="AG5257" s="9">
        <v>0</v>
      </c>
      <c r="AH5257" s="47"/>
      <c r="AI5257" s="47"/>
      <c r="AJ5257" s="126" t="e">
        <v>#N/A</v>
      </c>
      <c r="AK5257" s="80">
        <f t="shared" si="803"/>
        <v>0</v>
      </c>
      <c r="AM5257" s="85"/>
    </row>
    <row r="5258" spans="1:39" hidden="1" x14ac:dyDescent="0.3">
      <c r="A5258" s="89" t="s">
        <v>3672</v>
      </c>
      <c r="B5258" s="86" t="s">
        <v>35</v>
      </c>
      <c r="C5258" s="86" t="s">
        <v>47</v>
      </c>
      <c r="D5258" s="86" t="s">
        <v>63</v>
      </c>
      <c r="E5258" s="86" t="s">
        <v>533</v>
      </c>
      <c r="F5258" s="86" t="s">
        <v>533</v>
      </c>
      <c r="G5258" s="86" t="s">
        <v>533</v>
      </c>
      <c r="H5258" s="143">
        <v>224</v>
      </c>
      <c r="I5258" s="86" t="s">
        <v>3214</v>
      </c>
      <c r="J5258" s="1" t="s">
        <v>3323</v>
      </c>
      <c r="K5258" s="1" t="s">
        <v>3306</v>
      </c>
      <c r="L5258" s="1" t="s">
        <v>35</v>
      </c>
      <c r="M5258" s="86" t="s">
        <v>3229</v>
      </c>
      <c r="N5258" s="86"/>
      <c r="O5258" s="47" t="s">
        <v>410</v>
      </c>
      <c r="P5258" s="47" t="s">
        <v>41</v>
      </c>
      <c r="Q5258" s="9">
        <v>0</v>
      </c>
      <c r="R5258" s="143"/>
      <c r="S5258" s="47"/>
      <c r="T5258" s="6">
        <v>9968.7000000000007</v>
      </c>
      <c r="U5258" s="6"/>
      <c r="V5258" s="6">
        <v>0</v>
      </c>
      <c r="W5258" s="6">
        <f t="shared" si="804"/>
        <v>9968.7000000000007</v>
      </c>
      <c r="X5258" s="6">
        <f t="shared" si="805"/>
        <v>0</v>
      </c>
      <c r="Y5258" s="13">
        <f t="shared" si="801"/>
        <v>0</v>
      </c>
      <c r="Z5258" s="9">
        <v>0</v>
      </c>
      <c r="AA5258" s="6">
        <v>0</v>
      </c>
      <c r="AB5258" s="4">
        <f t="shared" si="802"/>
        <v>0</v>
      </c>
      <c r="AC5258" s="4">
        <f t="shared" si="794"/>
        <v>0</v>
      </c>
      <c r="AD5258" s="6">
        <v>0</v>
      </c>
      <c r="AE5258" s="9">
        <v>0</v>
      </c>
      <c r="AF5258" s="6">
        <f t="shared" si="795"/>
        <v>0</v>
      </c>
      <c r="AG5258" s="9">
        <v>0</v>
      </c>
      <c r="AH5258" s="47"/>
      <c r="AI5258" s="47"/>
      <c r="AJ5258" s="126" t="e">
        <v>#N/A</v>
      </c>
      <c r="AK5258" s="80">
        <f t="shared" si="803"/>
        <v>0</v>
      </c>
      <c r="AM5258" s="85"/>
    </row>
    <row r="5259" spans="1:39" hidden="1" x14ac:dyDescent="0.3">
      <c r="A5259" s="89" t="s">
        <v>3672</v>
      </c>
      <c r="B5259" s="86" t="s">
        <v>35</v>
      </c>
      <c r="C5259" s="86" t="s">
        <v>36</v>
      </c>
      <c r="D5259" s="86" t="s">
        <v>185</v>
      </c>
      <c r="E5259" s="86" t="s">
        <v>2339</v>
      </c>
      <c r="F5259" s="86" t="s">
        <v>2339</v>
      </c>
      <c r="G5259" s="86" t="s">
        <v>2339</v>
      </c>
      <c r="H5259" s="143">
        <v>224</v>
      </c>
      <c r="I5259" s="86" t="s">
        <v>3214</v>
      </c>
      <c r="J5259" s="1" t="s">
        <v>3323</v>
      </c>
      <c r="K5259" s="1" t="s">
        <v>3306</v>
      </c>
      <c r="L5259" s="1" t="s">
        <v>35</v>
      </c>
      <c r="M5259" s="86" t="s">
        <v>3230</v>
      </c>
      <c r="N5259" s="86"/>
      <c r="O5259" s="47" t="s">
        <v>410</v>
      </c>
      <c r="P5259" s="47" t="s">
        <v>41</v>
      </c>
      <c r="Q5259" s="9">
        <v>0</v>
      </c>
      <c r="R5259" s="143"/>
      <c r="S5259" s="47"/>
      <c r="T5259" s="6">
        <v>-2059.96</v>
      </c>
      <c r="U5259" s="6"/>
      <c r="V5259" s="6">
        <v>0</v>
      </c>
      <c r="W5259" s="6">
        <f t="shared" si="804"/>
        <v>-2059.96</v>
      </c>
      <c r="X5259" s="6">
        <f t="shared" si="805"/>
        <v>0</v>
      </c>
      <c r="Y5259" s="13">
        <f t="shared" si="801"/>
        <v>0</v>
      </c>
      <c r="Z5259" s="9">
        <v>0</v>
      </c>
      <c r="AA5259" s="6">
        <v>0</v>
      </c>
      <c r="AB5259" s="4">
        <f t="shared" si="802"/>
        <v>0</v>
      </c>
      <c r="AC5259" s="4">
        <f t="shared" si="794"/>
        <v>0</v>
      </c>
      <c r="AD5259" s="6">
        <v>0</v>
      </c>
      <c r="AE5259" s="9">
        <v>0</v>
      </c>
      <c r="AF5259" s="6">
        <f t="shared" si="795"/>
        <v>0</v>
      </c>
      <c r="AG5259" s="9">
        <v>0</v>
      </c>
      <c r="AH5259" s="47"/>
      <c r="AI5259" s="47"/>
      <c r="AJ5259" s="126" t="e">
        <v>#N/A</v>
      </c>
      <c r="AK5259" s="80">
        <f t="shared" si="803"/>
        <v>0</v>
      </c>
      <c r="AM5259" s="85"/>
    </row>
    <row r="5260" spans="1:39" hidden="1" x14ac:dyDescent="0.3">
      <c r="A5260" s="89" t="s">
        <v>3672</v>
      </c>
      <c r="B5260" s="86" t="s">
        <v>35</v>
      </c>
      <c r="C5260" s="86" t="s">
        <v>47</v>
      </c>
      <c r="D5260" s="86" t="s">
        <v>878</v>
      </c>
      <c r="E5260" s="86" t="s">
        <v>3231</v>
      </c>
      <c r="F5260" s="86" t="s">
        <v>3231</v>
      </c>
      <c r="G5260" s="86" t="s">
        <v>3231</v>
      </c>
      <c r="H5260" s="143">
        <v>224</v>
      </c>
      <c r="I5260" s="86" t="s">
        <v>3214</v>
      </c>
      <c r="J5260" s="1" t="s">
        <v>3323</v>
      </c>
      <c r="K5260" s="1" t="s">
        <v>3306</v>
      </c>
      <c r="L5260" s="1" t="s">
        <v>35</v>
      </c>
      <c r="M5260" s="86" t="s">
        <v>3232</v>
      </c>
      <c r="N5260" s="86"/>
      <c r="O5260" s="47" t="s">
        <v>410</v>
      </c>
      <c r="P5260" s="47" t="s">
        <v>41</v>
      </c>
      <c r="Q5260" s="9">
        <v>0</v>
      </c>
      <c r="R5260" s="143"/>
      <c r="S5260" s="47"/>
      <c r="T5260" s="6">
        <v>-74481.459999999905</v>
      </c>
      <c r="U5260" s="6"/>
      <c r="V5260" s="6">
        <v>0</v>
      </c>
      <c r="W5260" s="6">
        <f t="shared" si="804"/>
        <v>-74481.459999999905</v>
      </c>
      <c r="X5260" s="6">
        <f t="shared" si="805"/>
        <v>0</v>
      </c>
      <c r="Y5260" s="13">
        <f t="shared" si="801"/>
        <v>0</v>
      </c>
      <c r="Z5260" s="9">
        <v>0</v>
      </c>
      <c r="AA5260" s="6">
        <v>0</v>
      </c>
      <c r="AB5260" s="4">
        <f t="shared" si="802"/>
        <v>0</v>
      </c>
      <c r="AC5260" s="4">
        <f t="shared" ref="AC5260:AC5303" si="806">IF(P5260="返现",X5260*Q5260,V5260-X5260)</f>
        <v>0</v>
      </c>
      <c r="AD5260" s="6">
        <v>0</v>
      </c>
      <c r="AE5260" s="9">
        <v>0</v>
      </c>
      <c r="AF5260" s="6">
        <f t="shared" ref="AF5260:AF5264" si="807">AD5260*AE5260</f>
        <v>0</v>
      </c>
      <c r="AG5260" s="9">
        <v>0</v>
      </c>
      <c r="AH5260" s="47"/>
      <c r="AI5260" s="47"/>
      <c r="AJ5260" s="126" t="e">
        <v>#N/A</v>
      </c>
      <c r="AK5260" s="80">
        <f t="shared" si="803"/>
        <v>0</v>
      </c>
      <c r="AM5260" s="85"/>
    </row>
    <row r="5261" spans="1:39" hidden="1" x14ac:dyDescent="0.3">
      <c r="A5261" s="89" t="s">
        <v>3672</v>
      </c>
      <c r="B5261" s="86" t="s">
        <v>35</v>
      </c>
      <c r="C5261" s="86" t="s">
        <v>144</v>
      </c>
      <c r="D5261" s="86" t="s">
        <v>145</v>
      </c>
      <c r="E5261" s="86" t="s">
        <v>3233</v>
      </c>
      <c r="F5261" s="86" t="s">
        <v>3233</v>
      </c>
      <c r="G5261" s="86" t="s">
        <v>3233</v>
      </c>
      <c r="H5261" s="143">
        <v>224</v>
      </c>
      <c r="I5261" s="86" t="s">
        <v>3214</v>
      </c>
      <c r="J5261" s="1" t="s">
        <v>3323</v>
      </c>
      <c r="K5261" s="1" t="s">
        <v>3306</v>
      </c>
      <c r="L5261" s="1" t="s">
        <v>35</v>
      </c>
      <c r="M5261" s="86" t="s">
        <v>3234</v>
      </c>
      <c r="N5261" s="86"/>
      <c r="O5261" s="47" t="s">
        <v>410</v>
      </c>
      <c r="P5261" s="47" t="s">
        <v>46</v>
      </c>
      <c r="Q5261" s="9">
        <v>0.01</v>
      </c>
      <c r="R5261" s="143"/>
      <c r="S5261" s="47"/>
      <c r="T5261" s="6">
        <v>-1516.75</v>
      </c>
      <c r="U5261" s="6"/>
      <c r="V5261" s="6">
        <v>0</v>
      </c>
      <c r="W5261" s="6">
        <f t="shared" si="804"/>
        <v>-1516.75</v>
      </c>
      <c r="X5261" s="6">
        <f t="shared" si="805"/>
        <v>0</v>
      </c>
      <c r="Y5261" s="13">
        <f t="shared" si="801"/>
        <v>0</v>
      </c>
      <c r="Z5261" s="9">
        <v>0</v>
      </c>
      <c r="AA5261" s="6">
        <v>0</v>
      </c>
      <c r="AB5261" s="4">
        <f t="shared" si="802"/>
        <v>0</v>
      </c>
      <c r="AC5261" s="4">
        <f t="shared" si="806"/>
        <v>0</v>
      </c>
      <c r="AD5261" s="6">
        <v>0</v>
      </c>
      <c r="AE5261" s="9">
        <v>0</v>
      </c>
      <c r="AF5261" s="6">
        <f t="shared" si="807"/>
        <v>0</v>
      </c>
      <c r="AG5261" s="9">
        <v>0</v>
      </c>
      <c r="AH5261" s="47"/>
      <c r="AI5261" s="47"/>
      <c r="AJ5261" s="126" t="e">
        <v>#N/A</v>
      </c>
      <c r="AK5261" s="80">
        <f t="shared" si="803"/>
        <v>0</v>
      </c>
      <c r="AM5261" s="85"/>
    </row>
    <row r="5262" spans="1:39" hidden="1" x14ac:dyDescent="0.3">
      <c r="A5262" s="89" t="s">
        <v>3672</v>
      </c>
      <c r="B5262" s="86" t="s">
        <v>35</v>
      </c>
      <c r="C5262" s="86" t="s">
        <v>144</v>
      </c>
      <c r="D5262" s="86" t="s">
        <v>161</v>
      </c>
      <c r="E5262" s="86" t="s">
        <v>2212</v>
      </c>
      <c r="F5262" s="86" t="s">
        <v>2212</v>
      </c>
      <c r="G5262" s="86" t="s">
        <v>2212</v>
      </c>
      <c r="H5262" s="143">
        <v>224</v>
      </c>
      <c r="I5262" s="86" t="s">
        <v>3214</v>
      </c>
      <c r="J5262" s="1" t="s">
        <v>3323</v>
      </c>
      <c r="K5262" s="1" t="s">
        <v>3306</v>
      </c>
      <c r="L5262" s="1" t="s">
        <v>35</v>
      </c>
      <c r="M5262" s="86" t="s">
        <v>3235</v>
      </c>
      <c r="N5262" s="86"/>
      <c r="O5262" s="47" t="s">
        <v>410</v>
      </c>
      <c r="P5262" s="47" t="s">
        <v>46</v>
      </c>
      <c r="Q5262" s="9">
        <v>0.02</v>
      </c>
      <c r="R5262" s="143"/>
      <c r="S5262" s="47"/>
      <c r="T5262" s="6">
        <v>45.899999999999899</v>
      </c>
      <c r="U5262" s="6"/>
      <c r="V5262" s="6">
        <v>0</v>
      </c>
      <c r="W5262" s="6">
        <f t="shared" si="804"/>
        <v>45.899999999999899</v>
      </c>
      <c r="X5262" s="6">
        <f t="shared" si="805"/>
        <v>0</v>
      </c>
      <c r="Y5262" s="13">
        <f t="shared" si="801"/>
        <v>0</v>
      </c>
      <c r="Z5262" s="9">
        <v>0</v>
      </c>
      <c r="AA5262" s="6">
        <v>0</v>
      </c>
      <c r="AB5262" s="4">
        <f t="shared" si="802"/>
        <v>0</v>
      </c>
      <c r="AC5262" s="4">
        <f t="shared" si="806"/>
        <v>0</v>
      </c>
      <c r="AD5262" s="6">
        <v>0</v>
      </c>
      <c r="AE5262" s="9">
        <v>0</v>
      </c>
      <c r="AF5262" s="6">
        <f t="shared" si="807"/>
        <v>0</v>
      </c>
      <c r="AG5262" s="9">
        <v>0</v>
      </c>
      <c r="AH5262" s="47"/>
      <c r="AI5262" s="47"/>
      <c r="AJ5262" s="126" t="e">
        <v>#N/A</v>
      </c>
      <c r="AK5262" s="80">
        <f t="shared" si="803"/>
        <v>0</v>
      </c>
      <c r="AM5262" s="85"/>
    </row>
    <row r="5263" spans="1:39" hidden="1" x14ac:dyDescent="0.3">
      <c r="A5263" s="89" t="s">
        <v>3672</v>
      </c>
      <c r="B5263" s="86" t="s">
        <v>35</v>
      </c>
      <c r="C5263" s="86" t="s">
        <v>184</v>
      </c>
      <c r="D5263" s="86" t="s">
        <v>54</v>
      </c>
      <c r="E5263" s="86" t="s">
        <v>2182</v>
      </c>
      <c r="F5263" s="86" t="s">
        <v>2182</v>
      </c>
      <c r="G5263" s="86" t="s">
        <v>2182</v>
      </c>
      <c r="H5263" s="143">
        <v>224</v>
      </c>
      <c r="I5263" s="86" t="s">
        <v>3214</v>
      </c>
      <c r="J5263" s="1" t="s">
        <v>3323</v>
      </c>
      <c r="K5263" s="1" t="s">
        <v>3306</v>
      </c>
      <c r="L5263" s="1" t="s">
        <v>35</v>
      </c>
      <c r="M5263" s="86" t="s">
        <v>3236</v>
      </c>
      <c r="N5263" s="86"/>
      <c r="O5263" s="47" t="s">
        <v>410</v>
      </c>
      <c r="P5263" s="47" t="s">
        <v>41</v>
      </c>
      <c r="Q5263" s="9">
        <v>0</v>
      </c>
      <c r="R5263" s="143"/>
      <c r="S5263" s="47"/>
      <c r="T5263" s="6">
        <v>-2426.1</v>
      </c>
      <c r="U5263" s="6"/>
      <c r="V5263" s="6">
        <v>0</v>
      </c>
      <c r="W5263" s="6">
        <f t="shared" si="804"/>
        <v>-2426.1</v>
      </c>
      <c r="X5263" s="6">
        <f t="shared" si="805"/>
        <v>0</v>
      </c>
      <c r="Y5263" s="13">
        <f t="shared" si="801"/>
        <v>0</v>
      </c>
      <c r="Z5263" s="9">
        <v>0</v>
      </c>
      <c r="AA5263" s="6">
        <v>0</v>
      </c>
      <c r="AB5263" s="4">
        <f t="shared" si="802"/>
        <v>0</v>
      </c>
      <c r="AC5263" s="4">
        <f t="shared" si="806"/>
        <v>0</v>
      </c>
      <c r="AD5263" s="6">
        <v>0</v>
      </c>
      <c r="AE5263" s="9">
        <v>0</v>
      </c>
      <c r="AF5263" s="6">
        <f t="shared" si="807"/>
        <v>0</v>
      </c>
      <c r="AG5263" s="9">
        <v>0</v>
      </c>
      <c r="AH5263" s="47"/>
      <c r="AI5263" s="47"/>
      <c r="AJ5263" s="126" t="e">
        <v>#N/A</v>
      </c>
      <c r="AK5263" s="80">
        <f t="shared" si="803"/>
        <v>0</v>
      </c>
      <c r="AM5263" s="85"/>
    </row>
    <row r="5264" spans="1:39" hidden="1" x14ac:dyDescent="0.3">
      <c r="A5264" s="89" t="s">
        <v>3672</v>
      </c>
      <c r="B5264" s="86" t="s">
        <v>35</v>
      </c>
      <c r="C5264" s="86" t="s">
        <v>65</v>
      </c>
      <c r="D5264" s="86" t="s">
        <v>66</v>
      </c>
      <c r="E5264" s="86" t="s">
        <v>2866</v>
      </c>
      <c r="F5264" s="86" t="s">
        <v>2866</v>
      </c>
      <c r="G5264" s="86" t="s">
        <v>2866</v>
      </c>
      <c r="H5264" s="144">
        <v>103</v>
      </c>
      <c r="I5264" s="86" t="s">
        <v>421</v>
      </c>
      <c r="J5264" s="1" t="s">
        <v>3323</v>
      </c>
      <c r="K5264" s="1" t="s">
        <v>3308</v>
      </c>
      <c r="L5264" s="1" t="s">
        <v>35</v>
      </c>
      <c r="M5264" s="86" t="s">
        <v>3222</v>
      </c>
      <c r="N5264" s="86"/>
      <c r="O5264" s="47" t="s">
        <v>45</v>
      </c>
      <c r="P5264" s="47" t="s">
        <v>41</v>
      </c>
      <c r="Q5264" s="9">
        <v>0</v>
      </c>
      <c r="R5264" s="143"/>
      <c r="S5264" s="47"/>
      <c r="T5264" s="6">
        <v>-22573.94</v>
      </c>
      <c r="U5264" s="6"/>
      <c r="V5264" s="6">
        <v>17391.849999999999</v>
      </c>
      <c r="W5264" s="6">
        <f t="shared" si="804"/>
        <v>-39965.789999999994</v>
      </c>
      <c r="X5264" s="6">
        <f t="shared" si="805"/>
        <v>17391.849999999999</v>
      </c>
      <c r="Y5264" s="13">
        <f t="shared" si="801"/>
        <v>668.91999999999825</v>
      </c>
      <c r="Z5264" s="9">
        <v>0</v>
      </c>
      <c r="AA5264" s="6">
        <v>0</v>
      </c>
      <c r="AB5264" s="4">
        <f t="shared" si="802"/>
        <v>17391.849999999999</v>
      </c>
      <c r="AC5264" s="4">
        <f t="shared" si="806"/>
        <v>0</v>
      </c>
      <c r="AD5264" s="6">
        <v>16722.93</v>
      </c>
      <c r="AE5264" s="9">
        <v>0.04</v>
      </c>
      <c r="AF5264" s="6">
        <f t="shared" si="807"/>
        <v>668.91719999999998</v>
      </c>
      <c r="AG5264" s="9">
        <v>0</v>
      </c>
      <c r="AH5264" s="47"/>
      <c r="AI5264" s="47"/>
      <c r="AJ5264" s="126" t="e">
        <v>#N/A</v>
      </c>
      <c r="AK5264" s="80">
        <f t="shared" si="803"/>
        <v>0</v>
      </c>
      <c r="AM5264" s="85"/>
    </row>
    <row r="5265" spans="1:39" hidden="1" x14ac:dyDescent="0.3">
      <c r="A5265" s="89" t="s">
        <v>3672</v>
      </c>
      <c r="B5265" s="86" t="s">
        <v>35</v>
      </c>
      <c r="C5265" s="86" t="s">
        <v>144</v>
      </c>
      <c r="D5265" s="86" t="s">
        <v>145</v>
      </c>
      <c r="E5265" s="86" t="s">
        <v>146</v>
      </c>
      <c r="F5265" s="86" t="s">
        <v>146</v>
      </c>
      <c r="G5265" s="86" t="s">
        <v>146</v>
      </c>
      <c r="H5265" s="144">
        <v>326</v>
      </c>
      <c r="I5265" s="86" t="s">
        <v>2420</v>
      </c>
      <c r="J5265" s="1" t="s">
        <v>3323</v>
      </c>
      <c r="K5265" s="1" t="s">
        <v>3288</v>
      </c>
      <c r="L5265" s="1" t="s">
        <v>35</v>
      </c>
      <c r="M5265" s="86"/>
      <c r="N5265" s="86"/>
      <c r="O5265" s="47" t="s">
        <v>45</v>
      </c>
      <c r="P5265" s="47" t="s">
        <v>41</v>
      </c>
      <c r="Q5265" s="14">
        <v>0</v>
      </c>
      <c r="R5265" s="143"/>
      <c r="S5265" s="47"/>
      <c r="T5265" s="6">
        <v>0</v>
      </c>
      <c r="U5265" s="6">
        <v>82500</v>
      </c>
      <c r="V5265" s="6">
        <v>230000</v>
      </c>
      <c r="W5265" s="6">
        <v>0</v>
      </c>
      <c r="X5265" s="6">
        <f>IF(P5265="折扣",V5265*Q5265,IF(P5265="返现",V5265,V5265/(1+Q5265)))</f>
        <v>230000</v>
      </c>
      <c r="Y5265" s="13">
        <f t="shared" si="801"/>
        <v>0</v>
      </c>
      <c r="Z5265" s="14">
        <v>0</v>
      </c>
      <c r="AA5265" s="6">
        <v>0</v>
      </c>
      <c r="AB5265" s="4">
        <f t="shared" si="802"/>
        <v>230000</v>
      </c>
      <c r="AC5265" s="4">
        <f t="shared" si="806"/>
        <v>0</v>
      </c>
      <c r="AD5265" s="6">
        <v>230000</v>
      </c>
      <c r="AE5265" s="66">
        <v>0</v>
      </c>
      <c r="AF5265" s="6">
        <f>AD5265*AE5265</f>
        <v>0</v>
      </c>
      <c r="AG5265" s="14">
        <v>0</v>
      </c>
      <c r="AH5265" s="47"/>
      <c r="AI5265" s="47"/>
      <c r="AJ5265" s="126" t="e">
        <v>#N/A</v>
      </c>
      <c r="AK5265" s="80">
        <f t="shared" si="803"/>
        <v>0</v>
      </c>
      <c r="AM5265" s="85"/>
    </row>
    <row r="5266" spans="1:39" hidden="1" x14ac:dyDescent="0.3">
      <c r="A5266" s="89" t="s">
        <v>3672</v>
      </c>
      <c r="B5266" s="86" t="s">
        <v>35</v>
      </c>
      <c r="C5266" s="86" t="s">
        <v>59</v>
      </c>
      <c r="D5266" s="86" t="s">
        <v>60</v>
      </c>
      <c r="E5266" s="86" t="s">
        <v>3175</v>
      </c>
      <c r="F5266" s="86" t="s">
        <v>3175</v>
      </c>
      <c r="G5266" s="86" t="s">
        <v>3175</v>
      </c>
      <c r="H5266" s="144">
        <v>322</v>
      </c>
      <c r="I5266" s="86" t="s">
        <v>3176</v>
      </c>
      <c r="J5266" s="1" t="s">
        <v>3323</v>
      </c>
      <c r="K5266" s="1" t="s">
        <v>3297</v>
      </c>
      <c r="L5266" s="1" t="s">
        <v>35</v>
      </c>
      <c r="M5266" s="86"/>
      <c r="N5266" s="86"/>
      <c r="O5266" s="47" t="s">
        <v>45</v>
      </c>
      <c r="P5266" s="47" t="s">
        <v>41</v>
      </c>
      <c r="Q5266" s="14">
        <v>0</v>
      </c>
      <c r="R5266" s="143"/>
      <c r="S5266" s="47"/>
      <c r="T5266" s="6">
        <v>0</v>
      </c>
      <c r="U5266" s="6">
        <v>253068.93</v>
      </c>
      <c r="V5266" s="6">
        <v>253068.93</v>
      </c>
      <c r="W5266" s="6">
        <f>T5266+U5266-V5266</f>
        <v>0</v>
      </c>
      <c r="X5266" s="6">
        <f>IF(P5266="折扣",V5266*Q5266,IF(P5266="返现",V5266,V5266/(1+Q5266)))</f>
        <v>253068.93</v>
      </c>
      <c r="Y5266" s="13">
        <f t="shared" si="801"/>
        <v>0</v>
      </c>
      <c r="Z5266" s="14">
        <v>0</v>
      </c>
      <c r="AA5266" s="6">
        <v>0</v>
      </c>
      <c r="AB5266" s="4">
        <f t="shared" si="802"/>
        <v>253068.93</v>
      </c>
      <c r="AC5266" s="4">
        <f t="shared" si="806"/>
        <v>0</v>
      </c>
      <c r="AD5266" s="6">
        <v>253068.93</v>
      </c>
      <c r="AE5266" s="66">
        <v>0</v>
      </c>
      <c r="AF5266" s="6">
        <f t="shared" ref="AF5266:AF5299" si="808">AD5266*AE5266</f>
        <v>0</v>
      </c>
      <c r="AG5266" s="14">
        <v>0</v>
      </c>
      <c r="AH5266" s="47"/>
      <c r="AI5266" s="47"/>
      <c r="AJ5266" s="126" t="e">
        <v>#N/A</v>
      </c>
      <c r="AK5266" s="80">
        <f t="shared" si="803"/>
        <v>0</v>
      </c>
      <c r="AM5266" s="85"/>
    </row>
    <row r="5267" spans="1:39" hidden="1" x14ac:dyDescent="0.3">
      <c r="A5267" s="89" t="s">
        <v>3672</v>
      </c>
      <c r="B5267" s="86" t="s">
        <v>35</v>
      </c>
      <c r="C5267" s="86" t="s">
        <v>59</v>
      </c>
      <c r="D5267" s="86" t="s">
        <v>60</v>
      </c>
      <c r="E5267" s="86" t="s">
        <v>78</v>
      </c>
      <c r="F5267" s="86" t="s">
        <v>3195</v>
      </c>
      <c r="G5267" s="86" t="s">
        <v>78</v>
      </c>
      <c r="H5267" s="144">
        <v>229</v>
      </c>
      <c r="I5267" s="86" t="s">
        <v>3356</v>
      </c>
      <c r="J5267" s="1" t="s">
        <v>3326</v>
      </c>
      <c r="K5267" s="1" t="s">
        <v>3283</v>
      </c>
      <c r="L5267" s="1" t="s">
        <v>35</v>
      </c>
      <c r="M5267" s="86"/>
      <c r="N5267" s="3" t="s">
        <v>3741</v>
      </c>
      <c r="O5267" s="47" t="s">
        <v>3172</v>
      </c>
      <c r="P5267" s="47" t="s">
        <v>92</v>
      </c>
      <c r="Q5267" s="14">
        <v>0.88</v>
      </c>
      <c r="R5267" s="143"/>
      <c r="S5267" s="47"/>
      <c r="T5267" s="6">
        <v>0</v>
      </c>
      <c r="U5267" s="6">
        <v>538200</v>
      </c>
      <c r="V5267" s="6">
        <v>538200</v>
      </c>
      <c r="W5267" s="6">
        <f>T5267+U5267-V5267</f>
        <v>0</v>
      </c>
      <c r="X5267" s="6">
        <f>IF(P5267="折扣",V5267*Q5267,IF(P5267="返现",V5267,V5267/(1+Q5267)))</f>
        <v>473616</v>
      </c>
      <c r="Y5267" s="13">
        <f t="shared" si="801"/>
        <v>0</v>
      </c>
      <c r="Z5267" s="14">
        <v>0</v>
      </c>
      <c r="AA5267" s="6">
        <v>0</v>
      </c>
      <c r="AB5267" s="4">
        <f t="shared" si="802"/>
        <v>473616</v>
      </c>
      <c r="AC5267" s="4">
        <f t="shared" si="806"/>
        <v>64584</v>
      </c>
      <c r="AD5267" s="6">
        <v>538200</v>
      </c>
      <c r="AE5267" s="66">
        <v>0.16</v>
      </c>
      <c r="AF5267" s="6">
        <f t="shared" si="808"/>
        <v>86112</v>
      </c>
      <c r="AG5267" s="14">
        <v>0</v>
      </c>
      <c r="AH5267" s="47"/>
      <c r="AI5267" s="47"/>
      <c r="AJ5267" s="126" t="e">
        <v>#N/A</v>
      </c>
      <c r="AK5267" s="80">
        <f t="shared" si="803"/>
        <v>0</v>
      </c>
      <c r="AM5267" s="85"/>
    </row>
    <row r="5268" spans="1:39" hidden="1" x14ac:dyDescent="0.3">
      <c r="A5268" s="89" t="s">
        <v>3672</v>
      </c>
      <c r="B5268" s="86" t="s">
        <v>35</v>
      </c>
      <c r="C5268" s="86" t="s">
        <v>47</v>
      </c>
      <c r="D5268" s="86" t="s">
        <v>63</v>
      </c>
      <c r="E5268" s="86" t="s">
        <v>3183</v>
      </c>
      <c r="F5268" s="86" t="s">
        <v>3183</v>
      </c>
      <c r="G5268" s="86" t="s">
        <v>3183</v>
      </c>
      <c r="H5268" s="144">
        <v>343</v>
      </c>
      <c r="I5268" s="86" t="s">
        <v>3185</v>
      </c>
      <c r="J5268" s="1" t="s">
        <v>3323</v>
      </c>
      <c r="K5268" s="1" t="s">
        <v>3295</v>
      </c>
      <c r="L5268" s="1" t="s">
        <v>35</v>
      </c>
      <c r="M5268" s="86"/>
      <c r="N5268" s="86"/>
      <c r="O5268" s="47" t="s">
        <v>45</v>
      </c>
      <c r="P5268" s="47" t="s">
        <v>46</v>
      </c>
      <c r="Q5268" s="14">
        <v>7.0000000000000007E-2</v>
      </c>
      <c r="R5268" s="143"/>
      <c r="S5268" s="47"/>
      <c r="T5268" s="6">
        <v>451864.56999999983</v>
      </c>
      <c r="U5268" s="6">
        <v>500000</v>
      </c>
      <c r="V5268" s="6">
        <v>653571.72</v>
      </c>
      <c r="W5268" s="6">
        <f>T5268+U5268-V5268</f>
        <v>298292.84999999986</v>
      </c>
      <c r="X5268" s="6">
        <f>IF(P5268="折扣",V5268*Q5268,IF(P5268="返现",V5268,V5268/(1+Q5268)))</f>
        <v>610814.69158878503</v>
      </c>
      <c r="Y5268" s="13">
        <f t="shared" si="801"/>
        <v>0</v>
      </c>
      <c r="Z5268" s="14">
        <v>0</v>
      </c>
      <c r="AA5268" s="6">
        <v>0</v>
      </c>
      <c r="AB5268" s="4">
        <f t="shared" si="802"/>
        <v>610814.69158878503</v>
      </c>
      <c r="AC5268" s="4">
        <f t="shared" si="806"/>
        <v>42757.028411214938</v>
      </c>
      <c r="AD5268" s="6">
        <v>653571.72</v>
      </c>
      <c r="AE5268" s="66">
        <v>0.04</v>
      </c>
      <c r="AF5268" s="6">
        <f t="shared" si="808"/>
        <v>26142.8688</v>
      </c>
      <c r="AG5268" s="14">
        <v>0</v>
      </c>
      <c r="AH5268" s="47"/>
      <c r="AI5268" s="47"/>
      <c r="AJ5268" s="126" t="e">
        <v>#N/A</v>
      </c>
      <c r="AK5268" s="80">
        <f t="shared" si="803"/>
        <v>0</v>
      </c>
      <c r="AM5268" s="85"/>
    </row>
    <row r="5269" spans="1:39" hidden="1" x14ac:dyDescent="0.3">
      <c r="A5269" s="89" t="s">
        <v>3672</v>
      </c>
      <c r="B5269" s="86" t="s">
        <v>35</v>
      </c>
      <c r="C5269" s="86" t="s">
        <v>36</v>
      </c>
      <c r="D5269" s="86" t="s">
        <v>54</v>
      </c>
      <c r="E5269" s="86" t="s">
        <v>55</v>
      </c>
      <c r="F5269" s="86" t="s">
        <v>55</v>
      </c>
      <c r="G5269" s="86" t="s">
        <v>55</v>
      </c>
      <c r="H5269" s="143">
        <v>264</v>
      </c>
      <c r="I5269" s="86" t="s">
        <v>3182</v>
      </c>
      <c r="J5269" s="1" t="s">
        <v>3323</v>
      </c>
      <c r="K5269" s="1" t="s">
        <v>3289</v>
      </c>
      <c r="L5269" s="1" t="s">
        <v>35</v>
      </c>
      <c r="M5269" s="86"/>
      <c r="N5269" s="86"/>
      <c r="O5269" s="47" t="s">
        <v>45</v>
      </c>
      <c r="P5269" s="47" t="s">
        <v>41</v>
      </c>
      <c r="Q5269" s="14">
        <v>0</v>
      </c>
      <c r="R5269" s="143"/>
      <c r="S5269" s="47"/>
      <c r="T5269" s="6">
        <v>242615.16999999993</v>
      </c>
      <c r="U5269" s="6">
        <v>0</v>
      </c>
      <c r="V5269" s="6">
        <v>0</v>
      </c>
      <c r="W5269" s="6">
        <f>T5269+U5269-V5269</f>
        <v>242615.16999999993</v>
      </c>
      <c r="X5269" s="6">
        <f>IF(P5269="折扣",V5269*Q5269,IF(P5269="返现",V5269,V5269/(1+Q5269)))</f>
        <v>0</v>
      </c>
      <c r="Y5269" s="13">
        <f t="shared" si="801"/>
        <v>0</v>
      </c>
      <c r="Z5269" s="14">
        <v>0</v>
      </c>
      <c r="AA5269" s="6">
        <v>0</v>
      </c>
      <c r="AB5269" s="4">
        <f t="shared" si="802"/>
        <v>0</v>
      </c>
      <c r="AC5269" s="4">
        <f t="shared" si="806"/>
        <v>0</v>
      </c>
      <c r="AD5269" s="6">
        <v>0</v>
      </c>
      <c r="AE5269" s="66">
        <v>0</v>
      </c>
      <c r="AF5269" s="6">
        <f t="shared" si="808"/>
        <v>0</v>
      </c>
      <c r="AG5269" s="14">
        <v>0</v>
      </c>
      <c r="AH5269" s="47"/>
      <c r="AI5269" s="47"/>
      <c r="AJ5269" s="126" t="e">
        <v>#N/A</v>
      </c>
      <c r="AK5269" s="80">
        <f t="shared" si="803"/>
        <v>0</v>
      </c>
      <c r="AM5269" s="85"/>
    </row>
    <row r="5270" spans="1:39" hidden="1" x14ac:dyDescent="0.3">
      <c r="A5270" s="89" t="s">
        <v>3672</v>
      </c>
      <c r="B5270" s="86" t="s">
        <v>35</v>
      </c>
      <c r="C5270" s="86" t="s">
        <v>144</v>
      </c>
      <c r="D5270" s="86" t="s">
        <v>145</v>
      </c>
      <c r="E5270" s="86" t="s">
        <v>149</v>
      </c>
      <c r="F5270" s="86" t="s">
        <v>149</v>
      </c>
      <c r="G5270" s="86" t="s">
        <v>149</v>
      </c>
      <c r="H5270" s="144">
        <v>343</v>
      </c>
      <c r="I5270" s="86" t="s">
        <v>3185</v>
      </c>
      <c r="J5270" s="1" t="s">
        <v>3323</v>
      </c>
      <c r="K5270" s="1" t="s">
        <v>3295</v>
      </c>
      <c r="L5270" s="1" t="s">
        <v>35</v>
      </c>
      <c r="M5270" s="86"/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286576.25</v>
      </c>
      <c r="U5270" s="6">
        <v>0</v>
      </c>
      <c r="V5270" s="6">
        <v>109179.44</v>
      </c>
      <c r="W5270" s="6">
        <f t="shared" ref="W5270:W5272" si="809">T5270+U5270-V5270</f>
        <v>177396.81</v>
      </c>
      <c r="X5270" s="6">
        <f t="shared" ref="X5270:X5272" si="810">IF(P5270="折扣",V5270*Q5270,IF(P5270="返现",V5270,V5270/(1+Q5270)))</f>
        <v>109179.44</v>
      </c>
      <c r="Y5270" s="13">
        <f t="shared" si="801"/>
        <v>0</v>
      </c>
      <c r="Z5270" s="14">
        <v>0</v>
      </c>
      <c r="AA5270" s="6">
        <v>0</v>
      </c>
      <c r="AB5270" s="4">
        <f t="shared" si="802"/>
        <v>109179.44</v>
      </c>
      <c r="AC5270" s="4">
        <f t="shared" si="806"/>
        <v>0</v>
      </c>
      <c r="AD5270" s="6">
        <v>109179.44</v>
      </c>
      <c r="AE5270" s="66">
        <v>0.04</v>
      </c>
      <c r="AF5270" s="6">
        <f t="shared" si="808"/>
        <v>4367.1776</v>
      </c>
      <c r="AG5270" s="14">
        <v>0</v>
      </c>
      <c r="AH5270" s="47"/>
      <c r="AI5270" s="47"/>
      <c r="AJ5270" s="126" t="e">
        <v>#N/A</v>
      </c>
      <c r="AK5270" s="80">
        <f t="shared" si="803"/>
        <v>0</v>
      </c>
      <c r="AM5270" s="85"/>
    </row>
    <row r="5271" spans="1:39" hidden="1" x14ac:dyDescent="0.3">
      <c r="A5271" s="89" t="s">
        <v>3672</v>
      </c>
      <c r="B5271" s="86" t="s">
        <v>35</v>
      </c>
      <c r="C5271" s="86" t="s">
        <v>164</v>
      </c>
      <c r="D5271" s="86" t="s">
        <v>174</v>
      </c>
      <c r="E5271" s="86" t="s">
        <v>176</v>
      </c>
      <c r="F5271" s="86" t="s">
        <v>176</v>
      </c>
      <c r="G5271" s="86" t="s">
        <v>176</v>
      </c>
      <c r="H5271" s="144">
        <v>343</v>
      </c>
      <c r="I5271" s="86" t="s">
        <v>3185</v>
      </c>
      <c r="J5271" s="1" t="s">
        <v>3323</v>
      </c>
      <c r="K5271" s="1" t="s">
        <v>3295</v>
      </c>
      <c r="L5271" s="1" t="s">
        <v>35</v>
      </c>
      <c r="M5271" s="86"/>
      <c r="N5271" s="86"/>
      <c r="O5271" s="47" t="s">
        <v>45</v>
      </c>
      <c r="P5271" s="8" t="s">
        <v>3749</v>
      </c>
      <c r="Q5271" s="14">
        <v>0</v>
      </c>
      <c r="R5271" s="143"/>
      <c r="S5271" s="47"/>
      <c r="T5271" s="6">
        <v>77055.920000000013</v>
      </c>
      <c r="U5271" s="6">
        <v>0</v>
      </c>
      <c r="V5271" s="6">
        <v>65079.329999999994</v>
      </c>
      <c r="W5271" s="6">
        <f t="shared" si="809"/>
        <v>11976.590000000018</v>
      </c>
      <c r="X5271" s="6">
        <f t="shared" si="810"/>
        <v>65079.329999999994</v>
      </c>
      <c r="Y5271" s="13">
        <f t="shared" si="801"/>
        <v>0</v>
      </c>
      <c r="Z5271" s="14">
        <v>0</v>
      </c>
      <c r="AA5271" s="6">
        <v>0</v>
      </c>
      <c r="AB5271" s="4">
        <f t="shared" si="802"/>
        <v>65079.329999999994</v>
      </c>
      <c r="AC5271" s="4">
        <f t="shared" si="806"/>
        <v>0</v>
      </c>
      <c r="AD5271" s="6">
        <v>65079.329999999994</v>
      </c>
      <c r="AE5271" s="66">
        <v>0.04</v>
      </c>
      <c r="AF5271" s="6">
        <f t="shared" si="808"/>
        <v>2603.1731999999997</v>
      </c>
      <c r="AG5271" s="14">
        <v>0</v>
      </c>
      <c r="AH5271" s="47"/>
      <c r="AI5271" s="47"/>
      <c r="AJ5271" s="126" t="e">
        <v>#N/A</v>
      </c>
      <c r="AK5271" s="80">
        <f t="shared" si="803"/>
        <v>0</v>
      </c>
      <c r="AM5271" s="85"/>
    </row>
    <row r="5272" spans="1:39" hidden="1" x14ac:dyDescent="0.3">
      <c r="A5272" s="89" t="s">
        <v>3672</v>
      </c>
      <c r="B5272" s="86" t="s">
        <v>35</v>
      </c>
      <c r="C5272" s="86" t="s">
        <v>65</v>
      </c>
      <c r="D5272" s="86" t="s">
        <v>122</v>
      </c>
      <c r="E5272" s="86" t="s">
        <v>3189</v>
      </c>
      <c r="F5272" s="86" t="s">
        <v>3189</v>
      </c>
      <c r="G5272" s="86" t="s">
        <v>3189</v>
      </c>
      <c r="H5272" s="143">
        <v>343</v>
      </c>
      <c r="I5272" s="86" t="s">
        <v>3185</v>
      </c>
      <c r="J5272" s="1" t="s">
        <v>3323</v>
      </c>
      <c r="K5272" s="1" t="s">
        <v>3295</v>
      </c>
      <c r="L5272" s="1" t="s">
        <v>35</v>
      </c>
      <c r="M5272" s="86"/>
      <c r="N5272" s="86"/>
      <c r="O5272" s="47" t="s">
        <v>45</v>
      </c>
      <c r="P5272" s="47" t="s">
        <v>46</v>
      </c>
      <c r="Q5272" s="14">
        <v>0.08</v>
      </c>
      <c r="R5272" s="143"/>
      <c r="S5272" s="47"/>
      <c r="T5272" s="6">
        <v>49999.999999999985</v>
      </c>
      <c r="U5272" s="6">
        <v>0</v>
      </c>
      <c r="V5272" s="6">
        <v>0</v>
      </c>
      <c r="W5272" s="6">
        <f t="shared" si="809"/>
        <v>49999.999999999985</v>
      </c>
      <c r="X5272" s="6">
        <f t="shared" si="810"/>
        <v>0</v>
      </c>
      <c r="Y5272" s="13">
        <f t="shared" si="801"/>
        <v>0</v>
      </c>
      <c r="Z5272" s="14">
        <v>0</v>
      </c>
      <c r="AA5272" s="6">
        <v>0</v>
      </c>
      <c r="AB5272" s="4">
        <f t="shared" si="802"/>
        <v>0</v>
      </c>
      <c r="AC5272" s="4">
        <f t="shared" si="806"/>
        <v>0</v>
      </c>
      <c r="AD5272" s="6">
        <v>0</v>
      </c>
      <c r="AE5272" s="66">
        <v>0.04</v>
      </c>
      <c r="AF5272" s="6">
        <f t="shared" si="808"/>
        <v>0</v>
      </c>
      <c r="AG5272" s="14">
        <v>0</v>
      </c>
      <c r="AH5272" s="47"/>
      <c r="AI5272" s="47"/>
      <c r="AJ5272" s="126" t="e">
        <v>#N/A</v>
      </c>
      <c r="AK5272" s="80">
        <f t="shared" si="803"/>
        <v>0</v>
      </c>
      <c r="AM5272" s="85"/>
    </row>
    <row r="5273" spans="1:39" hidden="1" x14ac:dyDescent="0.3">
      <c r="A5273" s="89" t="s">
        <v>3672</v>
      </c>
      <c r="B5273" s="86" t="s">
        <v>35</v>
      </c>
      <c r="C5273" s="86" t="s">
        <v>184</v>
      </c>
      <c r="D5273" s="86" t="s">
        <v>54</v>
      </c>
      <c r="E5273" s="86" t="s">
        <v>2577</v>
      </c>
      <c r="F5273" s="86" t="s">
        <v>3190</v>
      </c>
      <c r="G5273" s="86" t="s">
        <v>1845</v>
      </c>
      <c r="H5273" s="143">
        <v>128</v>
      </c>
      <c r="I5273" s="90" t="s">
        <v>3648</v>
      </c>
      <c r="J5273" s="1" t="s">
        <v>3671</v>
      </c>
      <c r="L5273" s="1" t="s">
        <v>2711</v>
      </c>
      <c r="M5273" s="86" t="s">
        <v>73</v>
      </c>
      <c r="N5273" s="86"/>
      <c r="O5273" s="47" t="s">
        <v>410</v>
      </c>
      <c r="P5273" s="47" t="s">
        <v>41</v>
      </c>
      <c r="Q5273" s="14">
        <v>0</v>
      </c>
      <c r="R5273" s="143"/>
      <c r="S5273" s="47"/>
      <c r="T5273" s="6">
        <v>40943.42</v>
      </c>
      <c r="U5273" s="6">
        <v>0</v>
      </c>
      <c r="V5273" s="6">
        <v>0</v>
      </c>
      <c r="W5273" s="6">
        <f>T5273+U5273-V5273</f>
        <v>40943.42</v>
      </c>
      <c r="X5273" s="6">
        <f>IF(P5273="折扣",V5273*Q5273,IF(P5273="返现",V5273,V5273/(1+Q5273)))</f>
        <v>0</v>
      </c>
      <c r="Y5273" s="13">
        <f t="shared" si="801"/>
        <v>0</v>
      </c>
      <c r="Z5273" s="14">
        <v>0</v>
      </c>
      <c r="AA5273" s="6">
        <v>0</v>
      </c>
      <c r="AB5273" s="4">
        <f t="shared" si="802"/>
        <v>0</v>
      </c>
      <c r="AC5273" s="4">
        <f t="shared" si="806"/>
        <v>0</v>
      </c>
      <c r="AD5273" s="6">
        <v>0</v>
      </c>
      <c r="AE5273" s="66">
        <v>0</v>
      </c>
      <c r="AF5273" s="6">
        <f t="shared" si="808"/>
        <v>0</v>
      </c>
      <c r="AG5273" s="14">
        <v>0</v>
      </c>
      <c r="AH5273" s="47"/>
      <c r="AI5273" s="47"/>
      <c r="AJ5273" s="126" t="e">
        <v>#N/A</v>
      </c>
      <c r="AK5273" s="80">
        <f t="shared" si="803"/>
        <v>0</v>
      </c>
      <c r="AM5273" s="85"/>
    </row>
    <row r="5274" spans="1:39" hidden="1" x14ac:dyDescent="0.3">
      <c r="A5274" s="89" t="s">
        <v>3672</v>
      </c>
      <c r="B5274" s="86" t="s">
        <v>35</v>
      </c>
      <c r="C5274" s="86" t="s">
        <v>184</v>
      </c>
      <c r="D5274" s="86" t="s">
        <v>54</v>
      </c>
      <c r="E5274" s="86" t="s">
        <v>2577</v>
      </c>
      <c r="F5274" s="86" t="s">
        <v>3192</v>
      </c>
      <c r="G5274" s="86" t="s">
        <v>1845</v>
      </c>
      <c r="H5274" s="143">
        <v>323</v>
      </c>
      <c r="I5274" s="86" t="s">
        <v>3649</v>
      </c>
      <c r="J5274" s="1" t="s">
        <v>3671</v>
      </c>
      <c r="L5274" s="1" t="s">
        <v>3388</v>
      </c>
      <c r="M5274" s="86" t="s">
        <v>2577</v>
      </c>
      <c r="N5274" s="86"/>
      <c r="O5274" s="47" t="s">
        <v>45</v>
      </c>
      <c r="P5274" s="47" t="s">
        <v>41</v>
      </c>
      <c r="Q5274" s="14">
        <v>0</v>
      </c>
      <c r="R5274" s="143"/>
      <c r="S5274" s="47"/>
      <c r="T5274" s="6">
        <v>18870.099999999999</v>
      </c>
      <c r="U5274" s="6">
        <v>0</v>
      </c>
      <c r="V5274" s="6">
        <v>0</v>
      </c>
      <c r="W5274" s="6">
        <f>T5274+U5274-V5274</f>
        <v>18870.099999999999</v>
      </c>
      <c r="X5274" s="6">
        <f>IF(P5274="折扣",V5274*Q5274,IF(P5274="返现",V5274,V5274/(1+Q5274)))</f>
        <v>0</v>
      </c>
      <c r="Y5274" s="13">
        <f t="shared" si="801"/>
        <v>0</v>
      </c>
      <c r="Z5274" s="14">
        <v>0</v>
      </c>
      <c r="AA5274" s="6">
        <v>0</v>
      </c>
      <c r="AB5274" s="4">
        <f t="shared" si="802"/>
        <v>0</v>
      </c>
      <c r="AC5274" s="4">
        <f t="shared" si="806"/>
        <v>0</v>
      </c>
      <c r="AD5274" s="6">
        <v>0</v>
      </c>
      <c r="AE5274" s="66">
        <v>0</v>
      </c>
      <c r="AF5274" s="6">
        <f t="shared" si="808"/>
        <v>0</v>
      </c>
      <c r="AG5274" s="14">
        <v>0</v>
      </c>
      <c r="AH5274" s="47"/>
      <c r="AI5274" s="47"/>
      <c r="AJ5274" s="126" t="e">
        <v>#N/A</v>
      </c>
      <c r="AK5274" s="80">
        <f t="shared" si="803"/>
        <v>0</v>
      </c>
      <c r="AM5274" s="85"/>
    </row>
    <row r="5275" spans="1:39" hidden="1" x14ac:dyDescent="0.3">
      <c r="A5275" s="89" t="s">
        <v>3672</v>
      </c>
      <c r="B5275" s="86" t="s">
        <v>35</v>
      </c>
      <c r="C5275" s="86" t="s">
        <v>184</v>
      </c>
      <c r="D5275" s="86" t="s">
        <v>54</v>
      </c>
      <c r="E5275" s="86" t="s">
        <v>1858</v>
      </c>
      <c r="F5275" s="86" t="s">
        <v>3190</v>
      </c>
      <c r="G5275" s="86" t="s">
        <v>1845</v>
      </c>
      <c r="H5275" s="143">
        <v>128</v>
      </c>
      <c r="I5275" s="90" t="s">
        <v>3191</v>
      </c>
      <c r="J5275" s="1" t="s">
        <v>3671</v>
      </c>
      <c r="L5275" s="1" t="s">
        <v>2711</v>
      </c>
      <c r="M5275" s="86" t="s">
        <v>1858</v>
      </c>
      <c r="N5275" s="86"/>
      <c r="O5275" s="47" t="s">
        <v>410</v>
      </c>
      <c r="P5275" s="47" t="s">
        <v>41</v>
      </c>
      <c r="Q5275" s="14">
        <v>0</v>
      </c>
      <c r="R5275" s="143"/>
      <c r="S5275" s="47"/>
      <c r="T5275" s="6">
        <v>14857.4</v>
      </c>
      <c r="U5275" s="6">
        <v>0</v>
      </c>
      <c r="V5275" s="6">
        <v>0</v>
      </c>
      <c r="W5275" s="6">
        <f>T5275+U5275-V5275</f>
        <v>14857.4</v>
      </c>
      <c r="X5275" s="6">
        <f>IF(P5275="折扣",V5275*Q5275,IF(P5275="返现",V5275,V5275/(1+Q5275)))</f>
        <v>0</v>
      </c>
      <c r="Y5275" s="13">
        <f t="shared" si="801"/>
        <v>0</v>
      </c>
      <c r="Z5275" s="14">
        <v>0</v>
      </c>
      <c r="AA5275" s="6">
        <v>0</v>
      </c>
      <c r="AB5275" s="4">
        <f t="shared" si="802"/>
        <v>0</v>
      </c>
      <c r="AC5275" s="4">
        <f t="shared" si="806"/>
        <v>0</v>
      </c>
      <c r="AD5275" s="6">
        <v>0</v>
      </c>
      <c r="AE5275" s="66">
        <v>0</v>
      </c>
      <c r="AF5275" s="6">
        <f t="shared" si="808"/>
        <v>0</v>
      </c>
      <c r="AG5275" s="14">
        <v>0</v>
      </c>
      <c r="AH5275" s="47"/>
      <c r="AI5275" s="47"/>
      <c r="AJ5275" s="126" t="e">
        <v>#N/A</v>
      </c>
      <c r="AK5275" s="80">
        <f t="shared" si="803"/>
        <v>0</v>
      </c>
      <c r="AM5275" s="85"/>
    </row>
    <row r="5276" spans="1:39" hidden="1" x14ac:dyDescent="0.3">
      <c r="A5276" s="89" t="s">
        <v>3672</v>
      </c>
      <c r="B5276" s="86" t="s">
        <v>35</v>
      </c>
      <c r="C5276" s="86" t="s">
        <v>65</v>
      </c>
      <c r="D5276" s="86" t="s">
        <v>66</v>
      </c>
      <c r="E5276" s="86" t="s">
        <v>132</v>
      </c>
      <c r="F5276" s="86" t="s">
        <v>132</v>
      </c>
      <c r="G5276" s="86" t="s">
        <v>132</v>
      </c>
      <c r="H5276" s="144">
        <v>237</v>
      </c>
      <c r="I5276" s="86" t="s">
        <v>2374</v>
      </c>
      <c r="J5276" s="1" t="s">
        <v>3322</v>
      </c>
      <c r="K5276" s="1" t="s">
        <v>3322</v>
      </c>
      <c r="L5276" s="1" t="s">
        <v>35</v>
      </c>
      <c r="M5276" s="86"/>
      <c r="N5276" s="86"/>
      <c r="O5276" s="47" t="s">
        <v>3226</v>
      </c>
      <c r="P5276" s="47" t="s">
        <v>41</v>
      </c>
      <c r="Q5276" s="14">
        <v>0</v>
      </c>
      <c r="R5276" s="143"/>
      <c r="S5276" s="47"/>
      <c r="T5276" s="6">
        <v>0</v>
      </c>
      <c r="U5276" s="6">
        <v>400000</v>
      </c>
      <c r="V5276" s="6">
        <v>400000</v>
      </c>
      <c r="W5276" s="6">
        <v>0</v>
      </c>
      <c r="X5276" s="6">
        <f>IF(P5276="折扣",V5276*Q5276,IF(P5276="返现",V5276,V5276/(1+Q5276)))</f>
        <v>400000</v>
      </c>
      <c r="Y5276" s="13">
        <f t="shared" si="801"/>
        <v>0</v>
      </c>
      <c r="Z5276" s="14">
        <v>0</v>
      </c>
      <c r="AA5276" s="6">
        <v>0</v>
      </c>
      <c r="AB5276" s="4">
        <f t="shared" si="802"/>
        <v>400000</v>
      </c>
      <c r="AC5276" s="4">
        <f t="shared" si="806"/>
        <v>0</v>
      </c>
      <c r="AD5276" s="67">
        <v>400000</v>
      </c>
      <c r="AE5276" s="66">
        <v>0</v>
      </c>
      <c r="AF5276" s="6">
        <f t="shared" si="808"/>
        <v>0</v>
      </c>
      <c r="AG5276" s="14">
        <v>0</v>
      </c>
      <c r="AH5276" s="47"/>
      <c r="AI5276" s="47"/>
      <c r="AJ5276" s="126" t="e">
        <v>#N/A</v>
      </c>
      <c r="AK5276" s="80">
        <f t="shared" si="803"/>
        <v>0</v>
      </c>
      <c r="AM5276" s="85"/>
    </row>
    <row r="5277" spans="1:39" hidden="1" x14ac:dyDescent="0.3">
      <c r="A5277" s="89" t="s">
        <v>3672</v>
      </c>
      <c r="B5277" s="86" t="s">
        <v>35</v>
      </c>
      <c r="C5277" s="86" t="s">
        <v>65</v>
      </c>
      <c r="D5277" s="86" t="s">
        <v>66</v>
      </c>
      <c r="E5277" s="86" t="s">
        <v>132</v>
      </c>
      <c r="F5277" s="86" t="s">
        <v>132</v>
      </c>
      <c r="G5277" s="86" t="s">
        <v>132</v>
      </c>
      <c r="H5277" s="144">
        <v>237</v>
      </c>
      <c r="I5277" s="86" t="s">
        <v>2374</v>
      </c>
      <c r="J5277" s="1" t="s">
        <v>3322</v>
      </c>
      <c r="K5277" s="1" t="s">
        <v>3322</v>
      </c>
      <c r="L5277" s="1" t="s">
        <v>35</v>
      </c>
      <c r="M5277" s="86"/>
      <c r="N5277" s="86"/>
      <c r="O5277" s="47" t="s">
        <v>3197</v>
      </c>
      <c r="P5277" s="47" t="s">
        <v>41</v>
      </c>
      <c r="Q5277" s="14">
        <v>0</v>
      </c>
      <c r="R5277" s="143"/>
      <c r="S5277" s="47"/>
      <c r="T5277" s="6">
        <v>0</v>
      </c>
      <c r="U5277" s="6">
        <v>575000</v>
      </c>
      <c r="V5277" s="67">
        <v>575000</v>
      </c>
      <c r="W5277" s="6">
        <v>0</v>
      </c>
      <c r="X5277" s="6">
        <f t="shared" ref="X5277:X5297" si="811">IF(P5277="折扣",V5277*Q5277,IF(P5277="返现",V5277,V5277/(1+Q5277)))</f>
        <v>575000</v>
      </c>
      <c r="Y5277" s="13">
        <f t="shared" si="801"/>
        <v>0</v>
      </c>
      <c r="Z5277" s="14">
        <v>0</v>
      </c>
      <c r="AA5277" s="6">
        <v>0</v>
      </c>
      <c r="AB5277" s="4">
        <f t="shared" si="802"/>
        <v>575000</v>
      </c>
      <c r="AC5277" s="4">
        <f t="shared" si="806"/>
        <v>0</v>
      </c>
      <c r="AD5277" s="67">
        <v>575000</v>
      </c>
      <c r="AE5277" s="66">
        <v>0.06</v>
      </c>
      <c r="AF5277" s="6">
        <f t="shared" si="808"/>
        <v>34500</v>
      </c>
      <c r="AG5277" s="14">
        <v>0</v>
      </c>
      <c r="AH5277" s="47"/>
      <c r="AI5277" s="47"/>
      <c r="AJ5277" s="126" t="e">
        <v>#N/A</v>
      </c>
      <c r="AK5277" s="80">
        <f t="shared" si="803"/>
        <v>0</v>
      </c>
      <c r="AM5277" s="85"/>
    </row>
    <row r="5278" spans="1:39" hidden="1" x14ac:dyDescent="0.3">
      <c r="A5278" s="89" t="s">
        <v>3672</v>
      </c>
      <c r="B5278" s="86" t="s">
        <v>35</v>
      </c>
      <c r="C5278" s="86" t="s">
        <v>47</v>
      </c>
      <c r="D5278" s="86" t="s">
        <v>63</v>
      </c>
      <c r="E5278" s="86" t="s">
        <v>3199</v>
      </c>
      <c r="F5278" s="86" t="s">
        <v>3199</v>
      </c>
      <c r="G5278" s="86" t="s">
        <v>3199</v>
      </c>
      <c r="H5278" s="144">
        <v>237</v>
      </c>
      <c r="I5278" s="86" t="s">
        <v>2374</v>
      </c>
      <c r="J5278" s="1" t="s">
        <v>3322</v>
      </c>
      <c r="K5278" s="1" t="s">
        <v>3322</v>
      </c>
      <c r="L5278" s="1" t="s">
        <v>35</v>
      </c>
      <c r="M5278" s="86"/>
      <c r="N5278" s="86"/>
      <c r="O5278" s="47" t="s">
        <v>3197</v>
      </c>
      <c r="P5278" s="47" t="s">
        <v>41</v>
      </c>
      <c r="Q5278" s="14">
        <v>0</v>
      </c>
      <c r="R5278" s="143"/>
      <c r="S5278" s="47"/>
      <c r="T5278" s="6">
        <v>0</v>
      </c>
      <c r="U5278" s="6">
        <v>163600</v>
      </c>
      <c r="V5278" s="67">
        <v>163600</v>
      </c>
      <c r="W5278" s="6">
        <v>0</v>
      </c>
      <c r="X5278" s="6">
        <f t="shared" si="811"/>
        <v>163600</v>
      </c>
      <c r="Y5278" s="13">
        <f t="shared" si="801"/>
        <v>0</v>
      </c>
      <c r="Z5278" s="14">
        <v>0</v>
      </c>
      <c r="AA5278" s="6">
        <v>0</v>
      </c>
      <c r="AB5278" s="4">
        <f t="shared" si="802"/>
        <v>163600</v>
      </c>
      <c r="AC5278" s="4">
        <f t="shared" si="806"/>
        <v>0</v>
      </c>
      <c r="AD5278" s="67">
        <v>163600</v>
      </c>
      <c r="AE5278" s="66">
        <v>0.06</v>
      </c>
      <c r="AF5278" s="6">
        <f t="shared" si="808"/>
        <v>9816</v>
      </c>
      <c r="AG5278" s="14">
        <v>0</v>
      </c>
      <c r="AH5278" s="47"/>
      <c r="AI5278" s="47"/>
      <c r="AJ5278" s="126" t="e">
        <v>#N/A</v>
      </c>
      <c r="AK5278" s="80">
        <f t="shared" si="803"/>
        <v>0</v>
      </c>
      <c r="AM5278" s="85"/>
    </row>
    <row r="5279" spans="1:39" hidden="1" x14ac:dyDescent="0.3">
      <c r="A5279" s="89" t="s">
        <v>3672</v>
      </c>
      <c r="B5279" s="86" t="s">
        <v>35</v>
      </c>
      <c r="C5279" s="86" t="s">
        <v>47</v>
      </c>
      <c r="D5279" s="86" t="s">
        <v>63</v>
      </c>
      <c r="E5279" s="86" t="s">
        <v>2393</v>
      </c>
      <c r="F5279" s="86" t="s">
        <v>3200</v>
      </c>
      <c r="G5279" s="86" t="s">
        <v>2393</v>
      </c>
      <c r="H5279" s="144">
        <v>237</v>
      </c>
      <c r="I5279" s="86" t="s">
        <v>2374</v>
      </c>
      <c r="J5279" s="1" t="s">
        <v>3322</v>
      </c>
      <c r="K5279" s="1" t="s">
        <v>3322</v>
      </c>
      <c r="L5279" s="1" t="s">
        <v>35</v>
      </c>
      <c r="M5279" s="86"/>
      <c r="N5279" s="86"/>
      <c r="O5279" s="47" t="s">
        <v>3197</v>
      </c>
      <c r="P5279" s="47" t="s">
        <v>92</v>
      </c>
      <c r="Q5279" s="14">
        <v>0.94499999999999995</v>
      </c>
      <c r="R5279" s="143"/>
      <c r="S5279" s="47"/>
      <c r="T5279" s="6">
        <v>0</v>
      </c>
      <c r="U5279" s="6">
        <v>153339.68</v>
      </c>
      <c r="V5279" s="67">
        <v>112200</v>
      </c>
      <c r="W5279" s="6">
        <v>0</v>
      </c>
      <c r="X5279" s="6">
        <f t="shared" si="811"/>
        <v>106029</v>
      </c>
      <c r="Y5279" s="13">
        <f t="shared" si="801"/>
        <v>0</v>
      </c>
      <c r="Z5279" s="14">
        <v>0</v>
      </c>
      <c r="AA5279" s="6">
        <v>0</v>
      </c>
      <c r="AB5279" s="4">
        <f t="shared" si="802"/>
        <v>106029</v>
      </c>
      <c r="AC5279" s="4">
        <f t="shared" si="806"/>
        <v>6171</v>
      </c>
      <c r="AD5279" s="67">
        <v>112200</v>
      </c>
      <c r="AE5279" s="66">
        <v>0.06</v>
      </c>
      <c r="AF5279" s="6">
        <f t="shared" si="808"/>
        <v>6732</v>
      </c>
      <c r="AG5279" s="14">
        <v>0</v>
      </c>
      <c r="AH5279" s="47"/>
      <c r="AI5279" s="47"/>
      <c r="AJ5279" s="126" t="e">
        <v>#N/A</v>
      </c>
      <c r="AK5279" s="80">
        <f t="shared" si="803"/>
        <v>0</v>
      </c>
      <c r="AM5279" s="85"/>
    </row>
    <row r="5280" spans="1:39" hidden="1" x14ac:dyDescent="0.3">
      <c r="A5280" s="89" t="s">
        <v>3672</v>
      </c>
      <c r="B5280" s="86" t="s">
        <v>35</v>
      </c>
      <c r="C5280" s="86" t="s">
        <v>47</v>
      </c>
      <c r="D5280" s="86" t="s">
        <v>63</v>
      </c>
      <c r="E5280" s="86" t="s">
        <v>2393</v>
      </c>
      <c r="F5280" s="86" t="s">
        <v>3202</v>
      </c>
      <c r="G5280" s="86" t="s">
        <v>2393</v>
      </c>
      <c r="H5280" s="144">
        <v>237</v>
      </c>
      <c r="I5280" s="86" t="s">
        <v>2374</v>
      </c>
      <c r="J5280" s="1" t="s">
        <v>3322</v>
      </c>
      <c r="K5280" s="1" t="s">
        <v>3322</v>
      </c>
      <c r="L5280" s="1" t="s">
        <v>35</v>
      </c>
      <c r="M5280" s="86"/>
      <c r="N5280" s="86"/>
      <c r="O5280" s="47" t="s">
        <v>3197</v>
      </c>
      <c r="P5280" s="47" t="s">
        <v>92</v>
      </c>
      <c r="Q5280" s="14">
        <v>0.94499999999999995</v>
      </c>
      <c r="R5280" s="143"/>
      <c r="S5280" s="47"/>
      <c r="T5280" s="6">
        <v>0</v>
      </c>
      <c r="U5280" s="6">
        <v>251000</v>
      </c>
      <c r="V5280" s="67">
        <v>251000</v>
      </c>
      <c r="W5280" s="6">
        <v>0</v>
      </c>
      <c r="X5280" s="6">
        <f t="shared" si="811"/>
        <v>237195</v>
      </c>
      <c r="Y5280" s="13">
        <f t="shared" si="801"/>
        <v>0</v>
      </c>
      <c r="Z5280" s="14">
        <v>0</v>
      </c>
      <c r="AA5280" s="6">
        <v>0</v>
      </c>
      <c r="AB5280" s="4">
        <f t="shared" si="802"/>
        <v>237195</v>
      </c>
      <c r="AC5280" s="4">
        <f t="shared" si="806"/>
        <v>13805</v>
      </c>
      <c r="AD5280" s="67">
        <v>251000</v>
      </c>
      <c r="AE5280" s="66">
        <v>0.06</v>
      </c>
      <c r="AF5280" s="6">
        <f t="shared" si="808"/>
        <v>15060</v>
      </c>
      <c r="AG5280" s="14">
        <v>0</v>
      </c>
      <c r="AH5280" s="47"/>
      <c r="AI5280" s="47"/>
      <c r="AJ5280" s="126" t="e">
        <v>#N/A</v>
      </c>
      <c r="AK5280" s="80">
        <f t="shared" si="803"/>
        <v>0</v>
      </c>
      <c r="AM5280" s="85"/>
    </row>
    <row r="5281" spans="1:39" hidden="1" x14ac:dyDescent="0.3">
      <c r="A5281" s="89" t="s">
        <v>3672</v>
      </c>
      <c r="B5281" s="86" t="s">
        <v>35</v>
      </c>
      <c r="C5281" s="86" t="s">
        <v>47</v>
      </c>
      <c r="D5281" s="86" t="s">
        <v>63</v>
      </c>
      <c r="E5281" s="86" t="s">
        <v>2393</v>
      </c>
      <c r="F5281" s="86" t="s">
        <v>3203</v>
      </c>
      <c r="G5281" s="86" t="s">
        <v>2393</v>
      </c>
      <c r="H5281" s="144">
        <v>237</v>
      </c>
      <c r="I5281" s="86" t="s">
        <v>2374</v>
      </c>
      <c r="J5281" s="1" t="s">
        <v>3322</v>
      </c>
      <c r="K5281" s="1" t="s">
        <v>3322</v>
      </c>
      <c r="L5281" s="1" t="s">
        <v>35</v>
      </c>
      <c r="M5281" s="86"/>
      <c r="N5281" s="86"/>
      <c r="O5281" s="47" t="s">
        <v>3197</v>
      </c>
      <c r="P5281" s="47" t="s">
        <v>92</v>
      </c>
      <c r="Q5281" s="14">
        <v>0.94499999999999995</v>
      </c>
      <c r="R5281" s="143"/>
      <c r="S5281" s="47"/>
      <c r="T5281" s="6">
        <v>0</v>
      </c>
      <c r="U5281" s="6">
        <v>109200</v>
      </c>
      <c r="V5281" s="67">
        <v>109200</v>
      </c>
      <c r="W5281" s="6">
        <v>0</v>
      </c>
      <c r="X5281" s="6">
        <f t="shared" si="811"/>
        <v>103194</v>
      </c>
      <c r="Y5281" s="13">
        <f t="shared" si="801"/>
        <v>0</v>
      </c>
      <c r="Z5281" s="14">
        <v>0</v>
      </c>
      <c r="AA5281" s="6">
        <v>0</v>
      </c>
      <c r="AB5281" s="4">
        <f t="shared" si="802"/>
        <v>103194</v>
      </c>
      <c r="AC5281" s="4">
        <f t="shared" si="806"/>
        <v>6006</v>
      </c>
      <c r="AD5281" s="67">
        <v>109200</v>
      </c>
      <c r="AE5281" s="66">
        <v>0.06</v>
      </c>
      <c r="AF5281" s="6">
        <f t="shared" si="808"/>
        <v>6552</v>
      </c>
      <c r="AG5281" s="14">
        <v>0</v>
      </c>
      <c r="AH5281" s="47"/>
      <c r="AI5281" s="47"/>
      <c r="AJ5281" s="126" t="e">
        <v>#N/A</v>
      </c>
      <c r="AK5281" s="80">
        <f t="shared" si="803"/>
        <v>0</v>
      </c>
      <c r="AM5281" s="85"/>
    </row>
    <row r="5282" spans="1:39" hidden="1" x14ac:dyDescent="0.3">
      <c r="A5282" s="89" t="s">
        <v>3672</v>
      </c>
      <c r="B5282" s="86" t="s">
        <v>35</v>
      </c>
      <c r="C5282" s="86" t="s">
        <v>47</v>
      </c>
      <c r="D5282" s="86" t="s">
        <v>63</v>
      </c>
      <c r="E5282" s="86" t="s">
        <v>2393</v>
      </c>
      <c r="F5282" s="86" t="s">
        <v>3650</v>
      </c>
      <c r="G5282" s="86" t="s">
        <v>2393</v>
      </c>
      <c r="H5282" s="143">
        <v>237</v>
      </c>
      <c r="I5282" s="86" t="s">
        <v>2374</v>
      </c>
      <c r="J5282" s="1" t="s">
        <v>3322</v>
      </c>
      <c r="K5282" s="1" t="s">
        <v>3322</v>
      </c>
      <c r="L5282" s="1" t="s">
        <v>35</v>
      </c>
      <c r="M5282" s="86"/>
      <c r="N5282" s="86"/>
      <c r="O5282" s="47" t="s">
        <v>3197</v>
      </c>
      <c r="P5282" s="47" t="s">
        <v>92</v>
      </c>
      <c r="Q5282" s="14">
        <v>0.94499999999999995</v>
      </c>
      <c r="R5282" s="143"/>
      <c r="S5282" s="47"/>
      <c r="T5282" s="6">
        <v>0</v>
      </c>
      <c r="U5282" s="6">
        <v>57580.95</v>
      </c>
      <c r="V5282" s="67">
        <v>0</v>
      </c>
      <c r="W5282" s="6">
        <v>0</v>
      </c>
      <c r="X5282" s="6">
        <f t="shared" si="811"/>
        <v>0</v>
      </c>
      <c r="Y5282" s="13">
        <f t="shared" si="801"/>
        <v>0</v>
      </c>
      <c r="Z5282" s="14">
        <v>0</v>
      </c>
      <c r="AA5282" s="6">
        <v>0</v>
      </c>
      <c r="AB5282" s="4">
        <f t="shared" si="802"/>
        <v>0</v>
      </c>
      <c r="AC5282" s="4">
        <f t="shared" si="806"/>
        <v>0</v>
      </c>
      <c r="AD5282" s="67">
        <v>0</v>
      </c>
      <c r="AE5282" s="66">
        <v>0.06</v>
      </c>
      <c r="AF5282" s="6">
        <f t="shared" si="808"/>
        <v>0</v>
      </c>
      <c r="AG5282" s="14">
        <v>0</v>
      </c>
      <c r="AH5282" s="47"/>
      <c r="AI5282" s="47" t="s">
        <v>3651</v>
      </c>
      <c r="AJ5282" s="126" t="e">
        <v>#N/A</v>
      </c>
      <c r="AK5282" s="80">
        <f t="shared" si="803"/>
        <v>0</v>
      </c>
      <c r="AM5282" s="85"/>
    </row>
    <row r="5283" spans="1:39" hidden="1" x14ac:dyDescent="0.3">
      <c r="A5283" s="89" t="s">
        <v>3672</v>
      </c>
      <c r="B5283" s="86" t="s">
        <v>35</v>
      </c>
      <c r="C5283" s="86" t="s">
        <v>47</v>
      </c>
      <c r="D5283" s="86" t="s">
        <v>63</v>
      </c>
      <c r="E5283" s="86" t="s">
        <v>2393</v>
      </c>
      <c r="F5283" s="86" t="s">
        <v>3652</v>
      </c>
      <c r="G5283" s="86" t="s">
        <v>2393</v>
      </c>
      <c r="H5283" s="144">
        <v>237</v>
      </c>
      <c r="I5283" s="86" t="s">
        <v>2374</v>
      </c>
      <c r="J5283" s="1" t="s">
        <v>3322</v>
      </c>
      <c r="K5283" s="1" t="s">
        <v>3322</v>
      </c>
      <c r="L5283" s="1" t="s">
        <v>35</v>
      </c>
      <c r="M5283" s="86"/>
      <c r="N5283" s="86"/>
      <c r="O5283" s="47" t="s">
        <v>3197</v>
      </c>
      <c r="P5283" s="47" t="s">
        <v>92</v>
      </c>
      <c r="Q5283" s="14">
        <v>0.94499999999999995</v>
      </c>
      <c r="R5283" s="143"/>
      <c r="S5283" s="47"/>
      <c r="T5283" s="6">
        <v>0</v>
      </c>
      <c r="U5283" s="6">
        <v>55000</v>
      </c>
      <c r="V5283" s="67">
        <v>165000</v>
      </c>
      <c r="W5283" s="6">
        <v>0</v>
      </c>
      <c r="X5283" s="6">
        <f t="shared" si="811"/>
        <v>155925</v>
      </c>
      <c r="Y5283" s="13">
        <f t="shared" si="801"/>
        <v>0</v>
      </c>
      <c r="Z5283" s="14">
        <v>0</v>
      </c>
      <c r="AA5283" s="6">
        <v>0</v>
      </c>
      <c r="AB5283" s="4">
        <f t="shared" si="802"/>
        <v>155925</v>
      </c>
      <c r="AC5283" s="4">
        <f t="shared" si="806"/>
        <v>9075</v>
      </c>
      <c r="AD5283" s="67">
        <v>165000</v>
      </c>
      <c r="AE5283" s="66">
        <v>0.06</v>
      </c>
      <c r="AF5283" s="6">
        <f t="shared" si="808"/>
        <v>9900</v>
      </c>
      <c r="AG5283" s="14">
        <v>0</v>
      </c>
      <c r="AH5283" s="47"/>
      <c r="AI5283" s="47"/>
      <c r="AJ5283" s="126" t="e">
        <v>#N/A</v>
      </c>
      <c r="AK5283" s="80">
        <f t="shared" si="803"/>
        <v>0</v>
      </c>
      <c r="AM5283" s="85"/>
    </row>
    <row r="5284" spans="1:39" hidden="1" x14ac:dyDescent="0.3">
      <c r="A5284" s="89" t="s">
        <v>3672</v>
      </c>
      <c r="B5284" s="86" t="s">
        <v>35</v>
      </c>
      <c r="C5284" s="86" t="s">
        <v>47</v>
      </c>
      <c r="D5284" s="86" t="s">
        <v>63</v>
      </c>
      <c r="E5284" s="86" t="s">
        <v>2393</v>
      </c>
      <c r="F5284" s="91" t="s">
        <v>2405</v>
      </c>
      <c r="G5284" s="91" t="s">
        <v>2393</v>
      </c>
      <c r="H5284" s="144">
        <v>237</v>
      </c>
      <c r="I5284" s="92" t="s">
        <v>3653</v>
      </c>
      <c r="J5284" s="1" t="s">
        <v>3322</v>
      </c>
      <c r="K5284" s="1" t="s">
        <v>3322</v>
      </c>
      <c r="L5284" s="1" t="s">
        <v>35</v>
      </c>
      <c r="M5284" s="96"/>
      <c r="N5284" s="97"/>
      <c r="O5284" s="68" t="s">
        <v>3197</v>
      </c>
      <c r="P5284" s="14" t="s">
        <v>92</v>
      </c>
      <c r="Q5284" s="14">
        <v>0.94499999999999995</v>
      </c>
      <c r="R5284" s="144"/>
      <c r="S5284" s="14"/>
      <c r="T5284" s="6">
        <v>0</v>
      </c>
      <c r="U5284" s="6">
        <v>42400</v>
      </c>
      <c r="V5284" s="6">
        <v>42400</v>
      </c>
      <c r="W5284" s="6">
        <v>0</v>
      </c>
      <c r="X5284" s="6">
        <f t="shared" si="811"/>
        <v>40068</v>
      </c>
      <c r="Y5284" s="13">
        <f t="shared" si="801"/>
        <v>0</v>
      </c>
      <c r="Z5284" s="66">
        <v>0</v>
      </c>
      <c r="AA5284" s="6">
        <v>0</v>
      </c>
      <c r="AB5284" s="4">
        <f t="shared" si="802"/>
        <v>40068</v>
      </c>
      <c r="AC5284" s="4">
        <f t="shared" si="806"/>
        <v>2332</v>
      </c>
      <c r="AD5284" s="67">
        <v>42400</v>
      </c>
      <c r="AE5284" s="66">
        <v>0.06</v>
      </c>
      <c r="AF5284" s="6">
        <f t="shared" si="808"/>
        <v>2544</v>
      </c>
      <c r="AG5284" s="14">
        <v>0</v>
      </c>
      <c r="AH5284" s="47"/>
      <c r="AI5284" s="47"/>
      <c r="AJ5284" s="126" t="e">
        <v>#N/A</v>
      </c>
      <c r="AK5284" s="80">
        <f t="shared" si="803"/>
        <v>0</v>
      </c>
      <c r="AM5284" s="85"/>
    </row>
    <row r="5285" spans="1:39" hidden="1" x14ac:dyDescent="0.3">
      <c r="A5285" s="89" t="s">
        <v>3672</v>
      </c>
      <c r="B5285" s="86" t="s">
        <v>35</v>
      </c>
      <c r="C5285" s="86" t="s">
        <v>47</v>
      </c>
      <c r="D5285" s="86" t="s">
        <v>63</v>
      </c>
      <c r="E5285" s="86" t="s">
        <v>2409</v>
      </c>
      <c r="F5285" s="86" t="s">
        <v>3205</v>
      </c>
      <c r="G5285" s="86" t="s">
        <v>2409</v>
      </c>
      <c r="H5285" s="144">
        <v>237</v>
      </c>
      <c r="I5285" s="86" t="s">
        <v>2374</v>
      </c>
      <c r="J5285" s="1" t="s">
        <v>3322</v>
      </c>
      <c r="K5285" s="1" t="s">
        <v>3322</v>
      </c>
      <c r="L5285" s="1" t="s">
        <v>35</v>
      </c>
      <c r="M5285" s="86"/>
      <c r="N5285" s="86"/>
      <c r="O5285" s="47" t="s">
        <v>3197</v>
      </c>
      <c r="P5285" s="47" t="s">
        <v>92</v>
      </c>
      <c r="Q5285" s="14">
        <v>0.94499999999999995</v>
      </c>
      <c r="R5285" s="143"/>
      <c r="S5285" s="47"/>
      <c r="T5285" s="6">
        <v>0</v>
      </c>
      <c r="U5285" s="6">
        <v>50000</v>
      </c>
      <c r="V5285" s="67">
        <v>50000</v>
      </c>
      <c r="W5285" s="6">
        <v>0</v>
      </c>
      <c r="X5285" s="6">
        <f t="shared" si="811"/>
        <v>47250</v>
      </c>
      <c r="Y5285" s="13">
        <f t="shared" si="801"/>
        <v>0</v>
      </c>
      <c r="Z5285" s="14">
        <v>0</v>
      </c>
      <c r="AA5285" s="6">
        <v>0</v>
      </c>
      <c r="AB5285" s="4">
        <f t="shared" si="802"/>
        <v>47250</v>
      </c>
      <c r="AC5285" s="4">
        <f t="shared" si="806"/>
        <v>2750</v>
      </c>
      <c r="AD5285" s="67">
        <v>50000</v>
      </c>
      <c r="AE5285" s="66">
        <v>0.06</v>
      </c>
      <c r="AF5285" s="6">
        <f t="shared" si="808"/>
        <v>3000</v>
      </c>
      <c r="AG5285" s="14">
        <v>0</v>
      </c>
      <c r="AH5285" s="47"/>
      <c r="AI5285" s="47"/>
      <c r="AJ5285" s="126" t="e">
        <v>#N/A</v>
      </c>
      <c r="AK5285" s="80">
        <f t="shared" si="803"/>
        <v>0</v>
      </c>
      <c r="AM5285" s="85"/>
    </row>
    <row r="5286" spans="1:39" hidden="1" x14ac:dyDescent="0.3">
      <c r="A5286" s="89" t="s">
        <v>3672</v>
      </c>
      <c r="B5286" s="86" t="s">
        <v>35</v>
      </c>
      <c r="C5286" s="86" t="s">
        <v>47</v>
      </c>
      <c r="D5286" s="86" t="s">
        <v>63</v>
      </c>
      <c r="E5286" s="86" t="s">
        <v>2409</v>
      </c>
      <c r="F5286" s="86" t="s">
        <v>3206</v>
      </c>
      <c r="G5286" s="86" t="s">
        <v>2409</v>
      </c>
      <c r="H5286" s="143">
        <v>237</v>
      </c>
      <c r="I5286" s="86" t="s">
        <v>2374</v>
      </c>
      <c r="J5286" s="1" t="s">
        <v>3322</v>
      </c>
      <c r="K5286" s="1" t="s">
        <v>3322</v>
      </c>
      <c r="L5286" s="1" t="s">
        <v>35</v>
      </c>
      <c r="M5286" s="86"/>
      <c r="N5286" s="86"/>
      <c r="O5286" s="47" t="s">
        <v>3197</v>
      </c>
      <c r="P5286" s="47" t="s">
        <v>92</v>
      </c>
      <c r="Q5286" s="14">
        <v>0.94499999999999995</v>
      </c>
      <c r="R5286" s="143"/>
      <c r="S5286" s="47"/>
      <c r="T5286" s="6">
        <v>0</v>
      </c>
      <c r="U5286" s="6">
        <v>14090.32</v>
      </c>
      <c r="V5286" s="67">
        <v>0</v>
      </c>
      <c r="W5286" s="6">
        <v>0</v>
      </c>
      <c r="X5286" s="6">
        <f t="shared" si="811"/>
        <v>0</v>
      </c>
      <c r="Y5286" s="13">
        <f t="shared" si="801"/>
        <v>0</v>
      </c>
      <c r="Z5286" s="14">
        <v>0</v>
      </c>
      <c r="AA5286" s="6">
        <v>0</v>
      </c>
      <c r="AB5286" s="4">
        <f t="shared" si="802"/>
        <v>0</v>
      </c>
      <c r="AC5286" s="4">
        <f t="shared" si="806"/>
        <v>0</v>
      </c>
      <c r="AD5286" s="67">
        <v>0</v>
      </c>
      <c r="AE5286" s="66">
        <v>0.06</v>
      </c>
      <c r="AF5286" s="6">
        <f t="shared" si="808"/>
        <v>0</v>
      </c>
      <c r="AG5286" s="14">
        <v>0</v>
      </c>
      <c r="AH5286" s="47"/>
      <c r="AI5286" s="47" t="s">
        <v>3651</v>
      </c>
      <c r="AJ5286" s="126" t="e">
        <v>#N/A</v>
      </c>
      <c r="AK5286" s="80">
        <f t="shared" si="803"/>
        <v>0</v>
      </c>
      <c r="AM5286" s="85"/>
    </row>
    <row r="5287" spans="1:39" hidden="1" x14ac:dyDescent="0.3">
      <c r="A5287" s="89" t="s">
        <v>3672</v>
      </c>
      <c r="B5287" s="86" t="s">
        <v>35</v>
      </c>
      <c r="C5287" s="86" t="s">
        <v>47</v>
      </c>
      <c r="D5287" s="86" t="s">
        <v>63</v>
      </c>
      <c r="E5287" s="86" t="s">
        <v>2409</v>
      </c>
      <c r="F5287" s="86" t="s">
        <v>3207</v>
      </c>
      <c r="G5287" s="86" t="s">
        <v>2409</v>
      </c>
      <c r="H5287" s="144">
        <v>237</v>
      </c>
      <c r="I5287" s="86" t="s">
        <v>2374</v>
      </c>
      <c r="J5287" s="1" t="s">
        <v>3322</v>
      </c>
      <c r="K5287" s="1" t="s">
        <v>3322</v>
      </c>
      <c r="L5287" s="1" t="s">
        <v>35</v>
      </c>
      <c r="M5287" s="86"/>
      <c r="N5287" s="86"/>
      <c r="O5287" s="47" t="s">
        <v>3197</v>
      </c>
      <c r="P5287" s="47" t="s">
        <v>92</v>
      </c>
      <c r="Q5287" s="14">
        <v>0.94499999999999995</v>
      </c>
      <c r="R5287" s="143"/>
      <c r="S5287" s="47"/>
      <c r="T5287" s="6">
        <v>0</v>
      </c>
      <c r="U5287" s="6">
        <v>740000</v>
      </c>
      <c r="V5287" s="67">
        <v>740000</v>
      </c>
      <c r="W5287" s="6">
        <v>0</v>
      </c>
      <c r="X5287" s="6">
        <f t="shared" si="811"/>
        <v>699300</v>
      </c>
      <c r="Y5287" s="13">
        <f t="shared" si="801"/>
        <v>0</v>
      </c>
      <c r="Z5287" s="14">
        <v>0</v>
      </c>
      <c r="AA5287" s="6">
        <v>0</v>
      </c>
      <c r="AB5287" s="4">
        <f t="shared" si="802"/>
        <v>699300</v>
      </c>
      <c r="AC5287" s="4">
        <f t="shared" si="806"/>
        <v>40700</v>
      </c>
      <c r="AD5287" s="67">
        <v>740000</v>
      </c>
      <c r="AE5287" s="66">
        <v>0.06</v>
      </c>
      <c r="AF5287" s="6">
        <f t="shared" si="808"/>
        <v>44400</v>
      </c>
      <c r="AG5287" s="14">
        <v>0</v>
      </c>
      <c r="AH5287" s="47"/>
      <c r="AI5287" s="47"/>
      <c r="AJ5287" s="126" t="e">
        <v>#N/A</v>
      </c>
      <c r="AK5287" s="80">
        <f t="shared" si="803"/>
        <v>0</v>
      </c>
      <c r="AM5287" s="85"/>
    </row>
    <row r="5288" spans="1:39" hidden="1" x14ac:dyDescent="0.3">
      <c r="A5288" s="89" t="s">
        <v>3672</v>
      </c>
      <c r="B5288" s="86" t="s">
        <v>35</v>
      </c>
      <c r="C5288" s="86" t="s">
        <v>47</v>
      </c>
      <c r="D5288" s="86" t="s">
        <v>63</v>
      </c>
      <c r="E5288" s="86" t="s">
        <v>2409</v>
      </c>
      <c r="F5288" s="86" t="s">
        <v>3208</v>
      </c>
      <c r="G5288" s="86" t="s">
        <v>2409</v>
      </c>
      <c r="H5288" s="144">
        <v>237</v>
      </c>
      <c r="I5288" s="86" t="s">
        <v>2374</v>
      </c>
      <c r="J5288" s="1" t="s">
        <v>3322</v>
      </c>
      <c r="K5288" s="1" t="s">
        <v>3322</v>
      </c>
      <c r="L5288" s="1" t="s">
        <v>35</v>
      </c>
      <c r="M5288" s="86"/>
      <c r="N5288" s="86"/>
      <c r="O5288" s="47" t="s">
        <v>3197</v>
      </c>
      <c r="P5288" s="47" t="s">
        <v>92</v>
      </c>
      <c r="Q5288" s="14">
        <v>0.94499999999999995</v>
      </c>
      <c r="R5288" s="143"/>
      <c r="S5288" s="47"/>
      <c r="T5288" s="6">
        <v>0</v>
      </c>
      <c r="U5288" s="6">
        <v>731774.6</v>
      </c>
      <c r="V5288" s="67">
        <v>695000</v>
      </c>
      <c r="W5288" s="6">
        <v>0</v>
      </c>
      <c r="X5288" s="6">
        <f t="shared" si="811"/>
        <v>656775</v>
      </c>
      <c r="Y5288" s="13">
        <f t="shared" si="801"/>
        <v>0</v>
      </c>
      <c r="Z5288" s="14">
        <v>0</v>
      </c>
      <c r="AA5288" s="6">
        <v>0</v>
      </c>
      <c r="AB5288" s="4">
        <f t="shared" si="802"/>
        <v>656775</v>
      </c>
      <c r="AC5288" s="4">
        <f t="shared" si="806"/>
        <v>38225</v>
      </c>
      <c r="AD5288" s="67">
        <v>695000</v>
      </c>
      <c r="AE5288" s="66">
        <v>0.06</v>
      </c>
      <c r="AF5288" s="6">
        <f t="shared" si="808"/>
        <v>41700</v>
      </c>
      <c r="AG5288" s="14">
        <v>0</v>
      </c>
      <c r="AH5288" s="47"/>
      <c r="AI5288" s="47"/>
      <c r="AJ5288" s="126" t="e">
        <v>#N/A</v>
      </c>
      <c r="AK5288" s="80">
        <f t="shared" si="803"/>
        <v>0</v>
      </c>
      <c r="AM5288" s="85"/>
    </row>
    <row r="5289" spans="1:39" hidden="1" x14ac:dyDescent="0.3">
      <c r="A5289" s="89" t="s">
        <v>3672</v>
      </c>
      <c r="B5289" s="86" t="s">
        <v>35</v>
      </c>
      <c r="C5289" s="86" t="s">
        <v>47</v>
      </c>
      <c r="D5289" s="86" t="s">
        <v>63</v>
      </c>
      <c r="E5289" s="86" t="s">
        <v>2418</v>
      </c>
      <c r="F5289" s="86" t="s">
        <v>3209</v>
      </c>
      <c r="G5289" s="86" t="s">
        <v>2418</v>
      </c>
      <c r="H5289" s="144">
        <v>237</v>
      </c>
      <c r="I5289" s="86" t="s">
        <v>2374</v>
      </c>
      <c r="J5289" s="1" t="s">
        <v>3322</v>
      </c>
      <c r="K5289" s="1" t="s">
        <v>3322</v>
      </c>
      <c r="L5289" s="1" t="s">
        <v>35</v>
      </c>
      <c r="M5289" s="86"/>
      <c r="N5289" s="86"/>
      <c r="O5289" s="47" t="s">
        <v>3197</v>
      </c>
      <c r="P5289" s="47" t="s">
        <v>92</v>
      </c>
      <c r="Q5289" s="14">
        <v>0.94499999999999995</v>
      </c>
      <c r="R5289" s="143"/>
      <c r="S5289" s="47"/>
      <c r="T5289" s="6">
        <v>0</v>
      </c>
      <c r="U5289" s="6">
        <v>105400</v>
      </c>
      <c r="V5289" s="67">
        <v>105400</v>
      </c>
      <c r="W5289" s="6">
        <v>0</v>
      </c>
      <c r="X5289" s="6">
        <f t="shared" si="811"/>
        <v>99603</v>
      </c>
      <c r="Y5289" s="13">
        <f t="shared" si="801"/>
        <v>0</v>
      </c>
      <c r="Z5289" s="14">
        <v>0</v>
      </c>
      <c r="AA5289" s="6">
        <v>0</v>
      </c>
      <c r="AB5289" s="4">
        <f t="shared" si="802"/>
        <v>99603</v>
      </c>
      <c r="AC5289" s="4">
        <f t="shared" si="806"/>
        <v>5797</v>
      </c>
      <c r="AD5289" s="67">
        <v>105400</v>
      </c>
      <c r="AE5289" s="66">
        <v>0.06</v>
      </c>
      <c r="AF5289" s="6">
        <f t="shared" si="808"/>
        <v>6324</v>
      </c>
      <c r="AG5289" s="14">
        <v>0</v>
      </c>
      <c r="AH5289" s="47"/>
      <c r="AI5289" s="47"/>
      <c r="AJ5289" s="126" t="e">
        <v>#N/A</v>
      </c>
      <c r="AK5289" s="80">
        <f t="shared" si="803"/>
        <v>0</v>
      </c>
      <c r="AM5289" s="85"/>
    </row>
    <row r="5290" spans="1:39" hidden="1" x14ac:dyDescent="0.3">
      <c r="A5290" s="89" t="s">
        <v>3672</v>
      </c>
      <c r="B5290" s="86" t="s">
        <v>35</v>
      </c>
      <c r="C5290" s="86" t="s">
        <v>47</v>
      </c>
      <c r="D5290" s="86" t="s">
        <v>63</v>
      </c>
      <c r="E5290" s="86" t="s">
        <v>2418</v>
      </c>
      <c r="F5290" s="86" t="s">
        <v>3654</v>
      </c>
      <c r="G5290" s="86" t="s">
        <v>2418</v>
      </c>
      <c r="H5290" s="143">
        <v>237</v>
      </c>
      <c r="I5290" s="86" t="s">
        <v>2374</v>
      </c>
      <c r="J5290" s="1" t="s">
        <v>3322</v>
      </c>
      <c r="K5290" s="1" t="s">
        <v>3322</v>
      </c>
      <c r="L5290" s="1" t="s">
        <v>35</v>
      </c>
      <c r="M5290" s="86"/>
      <c r="N5290" s="86"/>
      <c r="O5290" s="47" t="s">
        <v>3197</v>
      </c>
      <c r="P5290" s="47" t="s">
        <v>92</v>
      </c>
      <c r="Q5290" s="14">
        <v>0.94499999999999995</v>
      </c>
      <c r="R5290" s="143"/>
      <c r="S5290" s="47"/>
      <c r="T5290" s="6">
        <v>0</v>
      </c>
      <c r="U5290" s="6">
        <v>176213.76000000001</v>
      </c>
      <c r="V5290" s="67">
        <v>0</v>
      </c>
      <c r="W5290" s="6">
        <v>0</v>
      </c>
      <c r="X5290" s="6">
        <f t="shared" si="811"/>
        <v>0</v>
      </c>
      <c r="Y5290" s="13">
        <f t="shared" si="801"/>
        <v>0</v>
      </c>
      <c r="Z5290" s="14">
        <v>0</v>
      </c>
      <c r="AA5290" s="6">
        <v>0</v>
      </c>
      <c r="AB5290" s="4">
        <f t="shared" si="802"/>
        <v>0</v>
      </c>
      <c r="AC5290" s="4">
        <f t="shared" si="806"/>
        <v>0</v>
      </c>
      <c r="AD5290" s="67">
        <v>0</v>
      </c>
      <c r="AE5290" s="66">
        <v>0.06</v>
      </c>
      <c r="AF5290" s="6">
        <f t="shared" si="808"/>
        <v>0</v>
      </c>
      <c r="AG5290" s="14">
        <v>0</v>
      </c>
      <c r="AH5290" s="47"/>
      <c r="AI5290" s="47"/>
      <c r="AJ5290" s="126" t="e">
        <v>#N/A</v>
      </c>
      <c r="AK5290" s="80">
        <f t="shared" si="803"/>
        <v>0</v>
      </c>
      <c r="AM5290" s="85"/>
    </row>
    <row r="5291" spans="1:39" hidden="1" x14ac:dyDescent="0.3">
      <c r="A5291" s="89" t="s">
        <v>3672</v>
      </c>
      <c r="B5291" s="86" t="s">
        <v>35</v>
      </c>
      <c r="C5291" s="86" t="s">
        <v>164</v>
      </c>
      <c r="D5291" s="86" t="s">
        <v>169</v>
      </c>
      <c r="E5291" s="86" t="s">
        <v>2518</v>
      </c>
      <c r="F5291" s="86" t="s">
        <v>2518</v>
      </c>
      <c r="G5291" s="86" t="s">
        <v>2518</v>
      </c>
      <c r="H5291" s="144">
        <v>237</v>
      </c>
      <c r="I5291" s="86" t="s">
        <v>2374</v>
      </c>
      <c r="J5291" s="1" t="s">
        <v>3322</v>
      </c>
      <c r="K5291" s="1" t="s">
        <v>3322</v>
      </c>
      <c r="L5291" s="1" t="s">
        <v>35</v>
      </c>
      <c r="M5291" s="86"/>
      <c r="N5291" s="86"/>
      <c r="O5291" s="47" t="s">
        <v>3197</v>
      </c>
      <c r="P5291" s="47" t="s">
        <v>41</v>
      </c>
      <c r="Q5291" s="14">
        <v>0</v>
      </c>
      <c r="R5291" s="143"/>
      <c r="S5291" s="47"/>
      <c r="T5291" s="6">
        <v>0</v>
      </c>
      <c r="U5291" s="6">
        <v>432928.57000000007</v>
      </c>
      <c r="V5291" s="67">
        <v>360000</v>
      </c>
      <c r="W5291" s="6">
        <v>0</v>
      </c>
      <c r="X5291" s="6">
        <f t="shared" si="811"/>
        <v>360000</v>
      </c>
      <c r="Y5291" s="13">
        <f t="shared" si="801"/>
        <v>0</v>
      </c>
      <c r="Z5291" s="14">
        <v>0</v>
      </c>
      <c r="AA5291" s="6">
        <v>0</v>
      </c>
      <c r="AB5291" s="4">
        <f t="shared" si="802"/>
        <v>360000</v>
      </c>
      <c r="AC5291" s="4">
        <f t="shared" si="806"/>
        <v>0</v>
      </c>
      <c r="AD5291" s="67">
        <v>360000</v>
      </c>
      <c r="AE5291" s="66">
        <v>0.06</v>
      </c>
      <c r="AF5291" s="6">
        <f t="shared" si="808"/>
        <v>21600</v>
      </c>
      <c r="AG5291" s="14">
        <v>0</v>
      </c>
      <c r="AH5291" s="47"/>
      <c r="AI5291" s="47"/>
      <c r="AJ5291" s="126" t="e">
        <v>#N/A</v>
      </c>
      <c r="AK5291" s="80">
        <f t="shared" si="803"/>
        <v>0</v>
      </c>
      <c r="AM5291" s="85"/>
    </row>
    <row r="5292" spans="1:39" hidden="1" x14ac:dyDescent="0.3">
      <c r="A5292" s="89" t="s">
        <v>3672</v>
      </c>
      <c r="B5292" s="86" t="s">
        <v>35</v>
      </c>
      <c r="C5292" s="86" t="s">
        <v>164</v>
      </c>
      <c r="D5292" s="86" t="s">
        <v>169</v>
      </c>
      <c r="E5292" s="86" t="s">
        <v>2567</v>
      </c>
      <c r="F5292" s="86" t="s">
        <v>2568</v>
      </c>
      <c r="G5292" s="86" t="s">
        <v>2567</v>
      </c>
      <c r="H5292" s="144">
        <v>237</v>
      </c>
      <c r="I5292" s="86" t="s">
        <v>2374</v>
      </c>
      <c r="J5292" s="1" t="s">
        <v>3322</v>
      </c>
      <c r="K5292" s="1" t="s">
        <v>3322</v>
      </c>
      <c r="L5292" s="1" t="s">
        <v>35</v>
      </c>
      <c r="M5292" s="86"/>
      <c r="N5292" s="86"/>
      <c r="O5292" s="47" t="s">
        <v>3197</v>
      </c>
      <c r="P5292" s="47" t="s">
        <v>41</v>
      </c>
      <c r="Q5292" s="14">
        <v>0</v>
      </c>
      <c r="R5292" s="143"/>
      <c r="S5292" s="47"/>
      <c r="T5292" s="6">
        <v>0</v>
      </c>
      <c r="U5292" s="6">
        <v>45500</v>
      </c>
      <c r="V5292" s="67">
        <v>108500</v>
      </c>
      <c r="W5292" s="6">
        <v>0</v>
      </c>
      <c r="X5292" s="6">
        <f t="shared" si="811"/>
        <v>108500</v>
      </c>
      <c r="Y5292" s="13">
        <f t="shared" si="801"/>
        <v>0</v>
      </c>
      <c r="Z5292" s="14">
        <v>0</v>
      </c>
      <c r="AA5292" s="6">
        <v>0</v>
      </c>
      <c r="AB5292" s="4">
        <f t="shared" si="802"/>
        <v>108500</v>
      </c>
      <c r="AC5292" s="4">
        <f t="shared" si="806"/>
        <v>0</v>
      </c>
      <c r="AD5292" s="67">
        <v>108500</v>
      </c>
      <c r="AE5292" s="66">
        <v>0.06</v>
      </c>
      <c r="AF5292" s="6">
        <f t="shared" si="808"/>
        <v>6510</v>
      </c>
      <c r="AG5292" s="14">
        <v>0</v>
      </c>
      <c r="AH5292" s="47"/>
      <c r="AI5292" s="47"/>
      <c r="AJ5292" s="126" t="e">
        <v>#N/A</v>
      </c>
      <c r="AK5292" s="80">
        <f t="shared" si="803"/>
        <v>0</v>
      </c>
      <c r="AM5292" s="85"/>
    </row>
    <row r="5293" spans="1:39" hidden="1" x14ac:dyDescent="0.3">
      <c r="A5293" s="89" t="s">
        <v>3672</v>
      </c>
      <c r="B5293" s="86" t="s">
        <v>35</v>
      </c>
      <c r="C5293" s="86" t="s">
        <v>187</v>
      </c>
      <c r="D5293" s="86" t="s">
        <v>188</v>
      </c>
      <c r="E5293" s="86" t="s">
        <v>2504</v>
      </c>
      <c r="F5293" s="86" t="s">
        <v>2505</v>
      </c>
      <c r="G5293" s="86" t="s">
        <v>2504</v>
      </c>
      <c r="H5293" s="144">
        <v>237</v>
      </c>
      <c r="I5293" s="86" t="s">
        <v>2374</v>
      </c>
      <c r="J5293" s="1" t="s">
        <v>3322</v>
      </c>
      <c r="K5293" s="1" t="s">
        <v>3322</v>
      </c>
      <c r="L5293" s="1" t="s">
        <v>35</v>
      </c>
      <c r="M5293" s="86"/>
      <c r="N5293" s="86"/>
      <c r="O5293" s="47" t="s">
        <v>3197</v>
      </c>
      <c r="P5293" s="47" t="s">
        <v>41</v>
      </c>
      <c r="Q5293" s="14">
        <v>0</v>
      </c>
      <c r="R5293" s="143"/>
      <c r="S5293" s="47"/>
      <c r="T5293" s="6">
        <v>0</v>
      </c>
      <c r="U5293" s="6">
        <v>42400</v>
      </c>
      <c r="V5293" s="67">
        <v>42400</v>
      </c>
      <c r="W5293" s="6">
        <v>0</v>
      </c>
      <c r="X5293" s="6">
        <f t="shared" si="811"/>
        <v>42400</v>
      </c>
      <c r="Y5293" s="13">
        <f t="shared" si="801"/>
        <v>0</v>
      </c>
      <c r="Z5293" s="14">
        <v>0</v>
      </c>
      <c r="AA5293" s="6">
        <v>0</v>
      </c>
      <c r="AB5293" s="4">
        <f t="shared" si="802"/>
        <v>42400</v>
      </c>
      <c r="AC5293" s="4">
        <f t="shared" si="806"/>
        <v>0</v>
      </c>
      <c r="AD5293" s="67">
        <v>42400</v>
      </c>
      <c r="AE5293" s="66">
        <v>0.06</v>
      </c>
      <c r="AF5293" s="6">
        <f t="shared" si="808"/>
        <v>2544</v>
      </c>
      <c r="AG5293" s="14">
        <v>0</v>
      </c>
      <c r="AH5293" s="47"/>
      <c r="AI5293" s="47"/>
      <c r="AJ5293" s="126" t="e">
        <v>#N/A</v>
      </c>
      <c r="AK5293" s="80">
        <f t="shared" si="803"/>
        <v>0</v>
      </c>
      <c r="AM5293" s="85"/>
    </row>
    <row r="5294" spans="1:39" hidden="1" x14ac:dyDescent="0.3">
      <c r="A5294" s="89" t="s">
        <v>3672</v>
      </c>
      <c r="B5294" s="86" t="s">
        <v>35</v>
      </c>
      <c r="C5294" s="86" t="s">
        <v>187</v>
      </c>
      <c r="D5294" s="86" t="s">
        <v>188</v>
      </c>
      <c r="E5294" s="86" t="s">
        <v>199</v>
      </c>
      <c r="F5294" s="86" t="s">
        <v>199</v>
      </c>
      <c r="G5294" s="86" t="s">
        <v>199</v>
      </c>
      <c r="H5294" s="144">
        <v>237</v>
      </c>
      <c r="I5294" s="86" t="s">
        <v>2374</v>
      </c>
      <c r="J5294" s="1" t="s">
        <v>3322</v>
      </c>
      <c r="K5294" s="1" t="s">
        <v>3322</v>
      </c>
      <c r="L5294" s="1" t="s">
        <v>35</v>
      </c>
      <c r="M5294" s="86"/>
      <c r="N5294" s="86"/>
      <c r="O5294" s="47" t="s">
        <v>3226</v>
      </c>
      <c r="P5294" s="47" t="s">
        <v>41</v>
      </c>
      <c r="Q5294" s="14">
        <v>0</v>
      </c>
      <c r="R5294" s="143"/>
      <c r="S5294" s="47"/>
      <c r="T5294" s="6">
        <v>0</v>
      </c>
      <c r="U5294" s="6">
        <v>26201.759999999998</v>
      </c>
      <c r="V5294" s="6">
        <v>26201.759999999998</v>
      </c>
      <c r="W5294" s="6">
        <v>0</v>
      </c>
      <c r="X5294" s="6">
        <f t="shared" si="811"/>
        <v>26201.759999999998</v>
      </c>
      <c r="Y5294" s="13">
        <f t="shared" si="801"/>
        <v>0</v>
      </c>
      <c r="Z5294" s="14">
        <v>0</v>
      </c>
      <c r="AA5294" s="6">
        <v>0</v>
      </c>
      <c r="AB5294" s="4">
        <f t="shared" si="802"/>
        <v>26201.759999999998</v>
      </c>
      <c r="AC5294" s="4">
        <f t="shared" si="806"/>
        <v>0</v>
      </c>
      <c r="AD5294" s="6">
        <v>26201.759999999998</v>
      </c>
      <c r="AE5294" s="66">
        <v>0</v>
      </c>
      <c r="AF5294" s="6">
        <f t="shared" si="808"/>
        <v>0</v>
      </c>
      <c r="AG5294" s="14">
        <v>0</v>
      </c>
      <c r="AH5294" s="47"/>
      <c r="AI5294" s="47"/>
      <c r="AJ5294" s="126" t="e">
        <v>#N/A</v>
      </c>
      <c r="AK5294" s="80">
        <f t="shared" si="803"/>
        <v>0</v>
      </c>
      <c r="AM5294" s="85"/>
    </row>
    <row r="5295" spans="1:39" hidden="1" x14ac:dyDescent="0.3">
      <c r="A5295" s="89" t="s">
        <v>3672</v>
      </c>
      <c r="B5295" s="86" t="s">
        <v>35</v>
      </c>
      <c r="C5295" s="86" t="s">
        <v>187</v>
      </c>
      <c r="D5295" s="86" t="s">
        <v>188</v>
      </c>
      <c r="E5295" s="86" t="s">
        <v>207</v>
      </c>
      <c r="F5295" s="86" t="s">
        <v>207</v>
      </c>
      <c r="G5295" s="86" t="s">
        <v>207</v>
      </c>
      <c r="H5295" s="144">
        <v>237</v>
      </c>
      <c r="I5295" s="86" t="s">
        <v>2374</v>
      </c>
      <c r="J5295" s="1" t="s">
        <v>3322</v>
      </c>
      <c r="K5295" s="1" t="s">
        <v>3322</v>
      </c>
      <c r="L5295" s="1" t="s">
        <v>35</v>
      </c>
      <c r="M5295" s="86"/>
      <c r="N5295" s="86"/>
      <c r="O5295" s="47" t="s">
        <v>3197</v>
      </c>
      <c r="P5295" s="47" t="s">
        <v>41</v>
      </c>
      <c r="Q5295" s="14">
        <v>0</v>
      </c>
      <c r="R5295" s="143"/>
      <c r="S5295" s="47"/>
      <c r="T5295" s="6">
        <v>0</v>
      </c>
      <c r="U5295" s="6">
        <v>28000</v>
      </c>
      <c r="V5295" s="67">
        <v>30000</v>
      </c>
      <c r="W5295" s="6">
        <v>0</v>
      </c>
      <c r="X5295" s="6">
        <f t="shared" si="811"/>
        <v>30000</v>
      </c>
      <c r="Y5295" s="13">
        <f t="shared" si="801"/>
        <v>0</v>
      </c>
      <c r="Z5295" s="14">
        <v>0</v>
      </c>
      <c r="AA5295" s="6">
        <v>0</v>
      </c>
      <c r="AB5295" s="4">
        <f t="shared" si="802"/>
        <v>30000</v>
      </c>
      <c r="AC5295" s="4">
        <f t="shared" si="806"/>
        <v>0</v>
      </c>
      <c r="AD5295" s="67">
        <v>30000</v>
      </c>
      <c r="AE5295" s="66">
        <v>0.06</v>
      </c>
      <c r="AF5295" s="6">
        <f t="shared" si="808"/>
        <v>1800</v>
      </c>
      <c r="AG5295" s="14">
        <v>0</v>
      </c>
      <c r="AH5295" s="47"/>
      <c r="AI5295" s="47"/>
      <c r="AJ5295" s="126" t="e">
        <v>#N/A</v>
      </c>
      <c r="AK5295" s="80">
        <f t="shared" si="803"/>
        <v>0</v>
      </c>
      <c r="AM5295" s="85"/>
    </row>
    <row r="5296" spans="1:39" hidden="1" x14ac:dyDescent="0.3">
      <c r="A5296" s="89" t="s">
        <v>3672</v>
      </c>
      <c r="B5296" s="86" t="s">
        <v>35</v>
      </c>
      <c r="C5296" s="86" t="s">
        <v>187</v>
      </c>
      <c r="D5296" s="86" t="s">
        <v>208</v>
      </c>
      <c r="E5296" s="86" t="s">
        <v>2462</v>
      </c>
      <c r="F5296" s="86" t="s">
        <v>2462</v>
      </c>
      <c r="G5296" s="86" t="s">
        <v>2462</v>
      </c>
      <c r="H5296" s="144">
        <v>237</v>
      </c>
      <c r="I5296" s="86" t="s">
        <v>2374</v>
      </c>
      <c r="J5296" s="1" t="s">
        <v>3322</v>
      </c>
      <c r="K5296" s="1" t="s">
        <v>3322</v>
      </c>
      <c r="L5296" s="1" t="s">
        <v>35</v>
      </c>
      <c r="M5296" s="86"/>
      <c r="N5296" s="86"/>
      <c r="O5296" s="47" t="s">
        <v>3197</v>
      </c>
      <c r="P5296" s="47" t="s">
        <v>41</v>
      </c>
      <c r="Q5296" s="14">
        <v>0</v>
      </c>
      <c r="R5296" s="143"/>
      <c r="S5296" s="47"/>
      <c r="T5296" s="6">
        <v>0</v>
      </c>
      <c r="U5296" s="6">
        <v>22000</v>
      </c>
      <c r="V5296" s="67">
        <v>25000</v>
      </c>
      <c r="W5296" s="6">
        <v>0</v>
      </c>
      <c r="X5296" s="6">
        <f t="shared" si="811"/>
        <v>25000</v>
      </c>
      <c r="Y5296" s="13">
        <f t="shared" si="801"/>
        <v>3000</v>
      </c>
      <c r="Z5296" s="14">
        <v>0</v>
      </c>
      <c r="AA5296" s="6">
        <v>0</v>
      </c>
      <c r="AB5296" s="4">
        <f t="shared" si="802"/>
        <v>25000</v>
      </c>
      <c r="AC5296" s="4">
        <f t="shared" si="806"/>
        <v>0</v>
      </c>
      <c r="AD5296" s="67">
        <v>22000</v>
      </c>
      <c r="AE5296" s="66">
        <v>0.06</v>
      </c>
      <c r="AF5296" s="6">
        <f t="shared" si="808"/>
        <v>1320</v>
      </c>
      <c r="AG5296" s="14">
        <v>0</v>
      </c>
      <c r="AH5296" s="47"/>
      <c r="AI5296" s="47"/>
      <c r="AJ5296" s="126" t="e">
        <v>#N/A</v>
      </c>
      <c r="AK5296" s="80">
        <f t="shared" si="803"/>
        <v>0</v>
      </c>
      <c r="AM5296" s="85"/>
    </row>
    <row r="5297" spans="1:39" hidden="1" x14ac:dyDescent="0.3">
      <c r="A5297" s="89" t="s">
        <v>3672</v>
      </c>
      <c r="B5297" s="86" t="s">
        <v>35</v>
      </c>
      <c r="C5297" s="86" t="s">
        <v>187</v>
      </c>
      <c r="D5297" s="86" t="s">
        <v>208</v>
      </c>
      <c r="E5297" s="86" t="s">
        <v>2465</v>
      </c>
      <c r="F5297" s="86" t="s">
        <v>2466</v>
      </c>
      <c r="G5297" s="86" t="s">
        <v>2465</v>
      </c>
      <c r="H5297" s="143">
        <v>237</v>
      </c>
      <c r="I5297" s="86" t="s">
        <v>2374</v>
      </c>
      <c r="J5297" s="1" t="s">
        <v>3322</v>
      </c>
      <c r="K5297" s="1" t="s">
        <v>3322</v>
      </c>
      <c r="L5297" s="1" t="s">
        <v>35</v>
      </c>
      <c r="M5297" s="86"/>
      <c r="N5297" s="86"/>
      <c r="O5297" s="47" t="s">
        <v>3197</v>
      </c>
      <c r="P5297" s="47" t="s">
        <v>41</v>
      </c>
      <c r="Q5297" s="14">
        <v>0</v>
      </c>
      <c r="R5297" s="143"/>
      <c r="S5297" s="47"/>
      <c r="T5297" s="6">
        <v>0</v>
      </c>
      <c r="U5297" s="6">
        <v>14195</v>
      </c>
      <c r="V5297" s="67">
        <v>0</v>
      </c>
      <c r="W5297" s="6">
        <v>0</v>
      </c>
      <c r="X5297" s="6">
        <f t="shared" si="811"/>
        <v>0</v>
      </c>
      <c r="Y5297" s="13">
        <f t="shared" si="801"/>
        <v>0</v>
      </c>
      <c r="Z5297" s="14">
        <v>0</v>
      </c>
      <c r="AA5297" s="6">
        <v>0</v>
      </c>
      <c r="AB5297" s="4">
        <f t="shared" si="802"/>
        <v>0</v>
      </c>
      <c r="AC5297" s="4">
        <f t="shared" si="806"/>
        <v>0</v>
      </c>
      <c r="AD5297" s="67">
        <v>0</v>
      </c>
      <c r="AE5297" s="66">
        <v>0.06</v>
      </c>
      <c r="AF5297" s="6">
        <f t="shared" si="808"/>
        <v>0</v>
      </c>
      <c r="AG5297" s="14">
        <v>0</v>
      </c>
      <c r="AH5297" s="47"/>
      <c r="AI5297" s="47" t="s">
        <v>3651</v>
      </c>
      <c r="AJ5297" s="126" t="e">
        <v>#N/A</v>
      </c>
      <c r="AK5297" s="80">
        <f t="shared" si="803"/>
        <v>0</v>
      </c>
      <c r="AM5297" s="85"/>
    </row>
    <row r="5298" spans="1:39" hidden="1" x14ac:dyDescent="0.3">
      <c r="A5298" s="89" t="s">
        <v>3672</v>
      </c>
      <c r="B5298" s="86" t="s">
        <v>35</v>
      </c>
      <c r="C5298" s="86" t="s">
        <v>144</v>
      </c>
      <c r="D5298" s="86" t="s">
        <v>145</v>
      </c>
      <c r="E5298" s="86" t="s">
        <v>2988</v>
      </c>
      <c r="F5298" s="86" t="s">
        <v>2989</v>
      </c>
      <c r="G5298" s="86" t="s">
        <v>2988</v>
      </c>
      <c r="H5298" s="144">
        <v>365</v>
      </c>
      <c r="I5298" s="86" t="s">
        <v>3210</v>
      </c>
      <c r="J5298" s="1" t="s">
        <v>3323</v>
      </c>
      <c r="K5298" s="1">
        <v>360</v>
      </c>
      <c r="L5298" s="1" t="s">
        <v>35</v>
      </c>
      <c r="M5298" s="86"/>
      <c r="N5298" s="86"/>
      <c r="O5298" s="47" t="s">
        <v>45</v>
      </c>
      <c r="P5298" s="47" t="s">
        <v>46</v>
      </c>
      <c r="Q5298" s="14">
        <v>7.0000000000000007E-2</v>
      </c>
      <c r="R5298" s="143"/>
      <c r="S5298" s="47"/>
      <c r="T5298" s="6">
        <v>1038.4300000000003</v>
      </c>
      <c r="U5298" s="6">
        <v>10700</v>
      </c>
      <c r="V5298" s="67">
        <v>10700</v>
      </c>
      <c r="W5298" s="6">
        <f>T5298+U5298-V5298</f>
        <v>1038.4300000000003</v>
      </c>
      <c r="X5298" s="6">
        <f>IF(P5298="折扣",V5298*Q5298,IF(P5298="返现",V5298,V5298/(1+Q5298)))</f>
        <v>10000</v>
      </c>
      <c r="Y5298" s="13">
        <f t="shared" si="801"/>
        <v>0</v>
      </c>
      <c r="Z5298" s="14">
        <v>0</v>
      </c>
      <c r="AA5298" s="6">
        <v>0</v>
      </c>
      <c r="AB5298" s="4">
        <f t="shared" si="802"/>
        <v>10000</v>
      </c>
      <c r="AC5298" s="4">
        <f t="shared" si="806"/>
        <v>700</v>
      </c>
      <c r="AD5298" s="67">
        <v>10700</v>
      </c>
      <c r="AE5298" s="66">
        <v>0.12</v>
      </c>
      <c r="AF5298" s="6">
        <f t="shared" si="808"/>
        <v>1284</v>
      </c>
      <c r="AG5298" s="14">
        <v>0</v>
      </c>
      <c r="AH5298" s="47"/>
      <c r="AI5298" s="47"/>
      <c r="AJ5298" s="126" t="e">
        <v>#N/A</v>
      </c>
      <c r="AK5298" s="80">
        <f t="shared" si="803"/>
        <v>0</v>
      </c>
      <c r="AM5298" s="85"/>
    </row>
    <row r="5299" spans="1:39" hidden="1" x14ac:dyDescent="0.3">
      <c r="A5299" s="89" t="s">
        <v>3672</v>
      </c>
      <c r="B5299" s="86" t="s">
        <v>35</v>
      </c>
      <c r="C5299" s="86" t="s">
        <v>59</v>
      </c>
      <c r="D5299" s="86" t="s">
        <v>60</v>
      </c>
      <c r="E5299" s="86" t="s">
        <v>3211</v>
      </c>
      <c r="F5299" s="86" t="s">
        <v>3686</v>
      </c>
      <c r="G5299" s="86" t="s">
        <v>3211</v>
      </c>
      <c r="H5299" s="144">
        <v>368</v>
      </c>
      <c r="I5299" s="86" t="s">
        <v>3381</v>
      </c>
      <c r="J5299" s="1" t="s">
        <v>3323</v>
      </c>
      <c r="K5299" s="1" t="s">
        <v>3380</v>
      </c>
      <c r="L5299" s="1" t="s">
        <v>35</v>
      </c>
      <c r="M5299" s="86"/>
      <c r="N5299" s="86"/>
      <c r="O5299" s="47" t="s">
        <v>45</v>
      </c>
      <c r="P5299" s="47" t="s">
        <v>46</v>
      </c>
      <c r="Q5299" s="14">
        <v>0.05</v>
      </c>
      <c r="R5299" s="143"/>
      <c r="S5299" s="47"/>
      <c r="T5299" s="6">
        <v>0</v>
      </c>
      <c r="U5299" s="6">
        <v>39252.339999999997</v>
      </c>
      <c r="V5299" s="6">
        <v>42000</v>
      </c>
      <c r="W5299" s="6">
        <v>0</v>
      </c>
      <c r="X5299" s="6">
        <f>IF(P5299="折扣",V5299*Q5299,IF(P5299="返现",V5299,V5299/(1+Q5299)))</f>
        <v>40000</v>
      </c>
      <c r="Y5299" s="13">
        <f t="shared" si="801"/>
        <v>747.66000000000349</v>
      </c>
      <c r="Z5299" s="14">
        <v>0</v>
      </c>
      <c r="AA5299" s="6">
        <v>0</v>
      </c>
      <c r="AB5299" s="4">
        <f t="shared" si="802"/>
        <v>40000</v>
      </c>
      <c r="AC5299" s="4">
        <f t="shared" si="806"/>
        <v>2000</v>
      </c>
      <c r="AD5299" s="6">
        <v>39252.339999999997</v>
      </c>
      <c r="AE5299" s="66">
        <v>0</v>
      </c>
      <c r="AF5299" s="6">
        <f t="shared" si="808"/>
        <v>0</v>
      </c>
      <c r="AG5299" s="14">
        <v>0</v>
      </c>
      <c r="AH5299" s="47"/>
      <c r="AI5299" s="47"/>
      <c r="AJ5299" s="126" t="e">
        <v>#N/A</v>
      </c>
      <c r="AK5299" s="80">
        <f t="shared" si="803"/>
        <v>0</v>
      </c>
      <c r="AM5299" s="85"/>
    </row>
    <row r="5300" spans="1:39" hidden="1" x14ac:dyDescent="0.3">
      <c r="A5300" s="89" t="s">
        <v>3672</v>
      </c>
      <c r="B5300" s="86" t="s">
        <v>35</v>
      </c>
      <c r="C5300" s="86" t="s">
        <v>36</v>
      </c>
      <c r="D5300" s="86" t="s">
        <v>54</v>
      </c>
      <c r="E5300" s="86" t="s">
        <v>2974</v>
      </c>
      <c r="F5300" s="86" t="s">
        <v>2974</v>
      </c>
      <c r="G5300" s="86" t="s">
        <v>2974</v>
      </c>
      <c r="H5300" s="143">
        <v>22</v>
      </c>
      <c r="I5300" s="86" t="s">
        <v>2935</v>
      </c>
      <c r="J5300" s="1" t="s">
        <v>3302</v>
      </c>
      <c r="K5300" s="1" t="s">
        <v>3302</v>
      </c>
      <c r="L5300" s="1" t="s">
        <v>35</v>
      </c>
      <c r="M5300" s="86" t="s">
        <v>2974</v>
      </c>
      <c r="N5300" s="86"/>
      <c r="O5300" s="47" t="s">
        <v>3172</v>
      </c>
      <c r="P5300" s="47" t="s">
        <v>41</v>
      </c>
      <c r="Q5300" s="9">
        <v>0</v>
      </c>
      <c r="R5300" s="143"/>
      <c r="S5300" s="47"/>
      <c r="T5300" s="6">
        <v>0</v>
      </c>
      <c r="U5300" s="6">
        <v>0</v>
      </c>
      <c r="V5300" s="6">
        <v>0</v>
      </c>
      <c r="W5300" s="6">
        <v>0</v>
      </c>
      <c r="X5300" s="6">
        <f>IF(P5300="折扣",V5300*Q5300,IF(P5300="返现",V5300,V5300/(1+Q5300)))</f>
        <v>0</v>
      </c>
      <c r="Y5300" s="13">
        <f t="shared" si="801"/>
        <v>0</v>
      </c>
      <c r="Z5300" s="9">
        <v>0</v>
      </c>
      <c r="AA5300" s="6">
        <v>0</v>
      </c>
      <c r="AB5300" s="4">
        <f t="shared" si="802"/>
        <v>0</v>
      </c>
      <c r="AC5300" s="4">
        <f t="shared" si="806"/>
        <v>0</v>
      </c>
      <c r="AD5300" s="6">
        <v>0</v>
      </c>
      <c r="AE5300" s="66">
        <v>0.09</v>
      </c>
      <c r="AF5300" s="6">
        <f>AD5300*AE5300</f>
        <v>0</v>
      </c>
      <c r="AG5300" s="9">
        <v>0</v>
      </c>
      <c r="AH5300" s="47"/>
      <c r="AI5300" s="69" t="s">
        <v>3655</v>
      </c>
      <c r="AJ5300" s="126" t="e">
        <v>#N/A</v>
      </c>
      <c r="AK5300" s="80">
        <f t="shared" si="803"/>
        <v>0</v>
      </c>
      <c r="AM5300" s="85"/>
    </row>
    <row r="5301" spans="1:39" hidden="1" x14ac:dyDescent="0.3">
      <c r="A5301" s="89" t="s">
        <v>3672</v>
      </c>
      <c r="B5301" s="86" t="s">
        <v>35</v>
      </c>
      <c r="C5301" s="86" t="s">
        <v>36</v>
      </c>
      <c r="D5301" s="86" t="s">
        <v>54</v>
      </c>
      <c r="E5301" s="86" t="s">
        <v>2772</v>
      </c>
      <c r="F5301" s="86" t="s">
        <v>2772</v>
      </c>
      <c r="G5301" s="86" t="s">
        <v>2772</v>
      </c>
      <c r="H5301" s="144">
        <v>22</v>
      </c>
      <c r="I5301" s="86" t="s">
        <v>2935</v>
      </c>
      <c r="J5301" s="1" t="s">
        <v>3302</v>
      </c>
      <c r="K5301" s="1" t="s">
        <v>3302</v>
      </c>
      <c r="L5301" s="1" t="s">
        <v>35</v>
      </c>
      <c r="M5301" s="86" t="s">
        <v>2974</v>
      </c>
      <c r="N5301" s="86"/>
      <c r="O5301" s="47" t="s">
        <v>3172</v>
      </c>
      <c r="P5301" s="47" t="s">
        <v>41</v>
      </c>
      <c r="Q5301" s="9">
        <v>0</v>
      </c>
      <c r="R5301" s="143"/>
      <c r="S5301" s="47"/>
      <c r="T5301" s="6">
        <v>0</v>
      </c>
      <c r="U5301" s="6">
        <v>71429</v>
      </c>
      <c r="V5301" s="6">
        <v>79999.92</v>
      </c>
      <c r="W5301" s="6">
        <v>0</v>
      </c>
      <c r="X5301" s="6">
        <f t="shared" ref="X5301:X5303" si="812">IF(P5301="折扣",V5301*Q5301,IF(P5301="返现",V5301,V5301/(1+Q5301)))</f>
        <v>79999.92</v>
      </c>
      <c r="Y5301" s="13">
        <f t="shared" si="801"/>
        <v>0</v>
      </c>
      <c r="Z5301" s="9">
        <v>0</v>
      </c>
      <c r="AA5301" s="6">
        <v>0</v>
      </c>
      <c r="AB5301" s="4">
        <f t="shared" si="802"/>
        <v>79999.92</v>
      </c>
      <c r="AC5301" s="4">
        <f t="shared" si="806"/>
        <v>0</v>
      </c>
      <c r="AD5301" s="6">
        <v>79999.92</v>
      </c>
      <c r="AE5301" s="66">
        <v>0.09</v>
      </c>
      <c r="AF5301" s="6">
        <f t="shared" ref="AF5301:AF5303" si="813">AD5301*AE5301</f>
        <v>7199.9928</v>
      </c>
      <c r="AG5301" s="9">
        <v>0</v>
      </c>
      <c r="AH5301" s="47"/>
      <c r="AI5301" s="69" t="s">
        <v>3656</v>
      </c>
      <c r="AJ5301" s="126" t="e">
        <v>#N/A</v>
      </c>
      <c r="AK5301" s="80">
        <f t="shared" si="803"/>
        <v>0</v>
      </c>
      <c r="AM5301" s="85"/>
    </row>
    <row r="5302" spans="1:39" hidden="1" x14ac:dyDescent="0.3">
      <c r="A5302" s="89" t="s">
        <v>3672</v>
      </c>
      <c r="B5302" s="86" t="s">
        <v>35</v>
      </c>
      <c r="C5302" s="86" t="s">
        <v>164</v>
      </c>
      <c r="D5302" s="86" t="s">
        <v>174</v>
      </c>
      <c r="E5302" s="86" t="s">
        <v>1966</v>
      </c>
      <c r="F5302" s="86" t="s">
        <v>1966</v>
      </c>
      <c r="G5302" s="86" t="s">
        <v>1966</v>
      </c>
      <c r="H5302" s="143">
        <v>22</v>
      </c>
      <c r="I5302" s="86" t="s">
        <v>2935</v>
      </c>
      <c r="J5302" s="1" t="s">
        <v>3302</v>
      </c>
      <c r="K5302" s="1" t="s">
        <v>3302</v>
      </c>
      <c r="L5302" s="1" t="s">
        <v>35</v>
      </c>
      <c r="M5302" s="86" t="s">
        <v>1966</v>
      </c>
      <c r="N5302" s="86"/>
      <c r="O5302" s="47" t="s">
        <v>3172</v>
      </c>
      <c r="P5302" s="47" t="s">
        <v>41</v>
      </c>
      <c r="Q5302" s="9">
        <v>0</v>
      </c>
      <c r="R5302" s="143"/>
      <c r="S5302" s="47"/>
      <c r="T5302" s="6">
        <v>0</v>
      </c>
      <c r="U5302" s="6">
        <v>958.92</v>
      </c>
      <c r="V5302" s="6">
        <v>0</v>
      </c>
      <c r="W5302" s="6">
        <v>0</v>
      </c>
      <c r="X5302" s="6">
        <f t="shared" si="812"/>
        <v>0</v>
      </c>
      <c r="Y5302" s="13">
        <f t="shared" si="801"/>
        <v>0</v>
      </c>
      <c r="Z5302" s="9">
        <v>0</v>
      </c>
      <c r="AA5302" s="6">
        <v>0</v>
      </c>
      <c r="AB5302" s="4">
        <f t="shared" si="802"/>
        <v>0</v>
      </c>
      <c r="AC5302" s="4">
        <f t="shared" si="806"/>
        <v>0</v>
      </c>
      <c r="AD5302" s="6">
        <v>0</v>
      </c>
      <c r="AE5302" s="66">
        <v>0.09</v>
      </c>
      <c r="AF5302" s="6">
        <f t="shared" si="813"/>
        <v>0</v>
      </c>
      <c r="AG5302" s="9">
        <v>0</v>
      </c>
      <c r="AH5302" s="47"/>
      <c r="AI5302" s="69" t="s">
        <v>3656</v>
      </c>
      <c r="AJ5302" s="126" t="e">
        <v>#N/A</v>
      </c>
      <c r="AK5302" s="80">
        <f t="shared" si="803"/>
        <v>0</v>
      </c>
      <c r="AM5302" s="85"/>
    </row>
    <row r="5303" spans="1:39" hidden="1" x14ac:dyDescent="0.3">
      <c r="A5303" s="89" t="s">
        <v>3672</v>
      </c>
      <c r="B5303" s="86" t="s">
        <v>35</v>
      </c>
      <c r="C5303" s="86" t="s">
        <v>47</v>
      </c>
      <c r="D5303" s="86" t="s">
        <v>63</v>
      </c>
      <c r="E5303" s="86" t="s">
        <v>2393</v>
      </c>
      <c r="F5303" s="86" t="s">
        <v>3657</v>
      </c>
      <c r="G5303" s="86" t="s">
        <v>2393</v>
      </c>
      <c r="H5303" s="144">
        <v>237</v>
      </c>
      <c r="I5303" s="86" t="s">
        <v>2374</v>
      </c>
      <c r="J5303" s="1" t="s">
        <v>3322</v>
      </c>
      <c r="K5303" s="1" t="s">
        <v>3322</v>
      </c>
      <c r="L5303" s="1" t="s">
        <v>35</v>
      </c>
      <c r="M5303" s="86"/>
      <c r="N5303" s="86"/>
      <c r="O5303" s="47" t="s">
        <v>3197</v>
      </c>
      <c r="P5303" s="47" t="s">
        <v>92</v>
      </c>
      <c r="Q5303" s="14">
        <v>0.94499999999999995</v>
      </c>
      <c r="R5303" s="143"/>
      <c r="S5303" s="47"/>
      <c r="T5303" s="6">
        <v>0</v>
      </c>
      <c r="U5303" s="6"/>
      <c r="V5303" s="67">
        <v>102800</v>
      </c>
      <c r="W5303" s="6"/>
      <c r="X5303" s="6">
        <f t="shared" si="812"/>
        <v>97146</v>
      </c>
      <c r="Y5303" s="13">
        <f t="shared" si="801"/>
        <v>0</v>
      </c>
      <c r="Z5303" s="14">
        <v>0</v>
      </c>
      <c r="AA5303" s="6">
        <v>0</v>
      </c>
      <c r="AB5303" s="4">
        <f t="shared" si="802"/>
        <v>97146</v>
      </c>
      <c r="AC5303" s="4">
        <f t="shared" si="806"/>
        <v>5654</v>
      </c>
      <c r="AD5303" s="67">
        <v>102800</v>
      </c>
      <c r="AE5303" s="66">
        <v>0.06</v>
      </c>
      <c r="AF5303" s="6">
        <f t="shared" si="813"/>
        <v>6168</v>
      </c>
      <c r="AG5303" s="14">
        <v>0</v>
      </c>
      <c r="AH5303" s="47"/>
      <c r="AI5303" s="47" t="s">
        <v>3658</v>
      </c>
      <c r="AJ5303" s="126" t="e">
        <v>#N/A</v>
      </c>
      <c r="AK5303" s="80">
        <f t="shared" si="803"/>
        <v>0</v>
      </c>
      <c r="AM5303" s="85"/>
    </row>
    <row r="5304" spans="1:39" hidden="1" x14ac:dyDescent="0.3">
      <c r="A5304" s="93" t="s">
        <v>3395</v>
      </c>
      <c r="B5304" s="94" t="s">
        <v>701</v>
      </c>
      <c r="C5304" s="94" t="s">
        <v>65</v>
      </c>
      <c r="D5304" s="94" t="s">
        <v>122</v>
      </c>
      <c r="E5304" s="94" t="s">
        <v>702</v>
      </c>
      <c r="F5304" s="94" t="s">
        <v>3659</v>
      </c>
      <c r="G5304" s="94" t="s">
        <v>702</v>
      </c>
      <c r="H5304" s="157">
        <v>85</v>
      </c>
      <c r="I5304" s="94" t="s">
        <v>3384</v>
      </c>
      <c r="J5304" s="1" t="s">
        <v>3323</v>
      </c>
      <c r="K5304" s="1" t="s">
        <v>35</v>
      </c>
      <c r="L5304" s="1" t="s">
        <v>701</v>
      </c>
      <c r="M5304" s="94" t="s">
        <v>702</v>
      </c>
      <c r="N5304" s="94"/>
      <c r="O5304" s="70" t="s">
        <v>410</v>
      </c>
      <c r="P5304" s="70" t="s">
        <v>41</v>
      </c>
      <c r="Q5304" s="71">
        <v>0</v>
      </c>
      <c r="R5304" s="145">
        <v>400001033</v>
      </c>
      <c r="S5304" s="70"/>
      <c r="T5304" s="72"/>
      <c r="U5304" s="72"/>
      <c r="V5304" s="72">
        <f>X5304+AA5304</f>
        <v>435298.92960000003</v>
      </c>
      <c r="W5304" s="72"/>
      <c r="X5304" s="72">
        <v>422620.32</v>
      </c>
      <c r="Y5304" s="13">
        <f t="shared" si="801"/>
        <v>0</v>
      </c>
      <c r="Z5304" s="71">
        <v>0.03</v>
      </c>
      <c r="AA5304" s="72">
        <v>12678.6096</v>
      </c>
      <c r="AB5304" s="4">
        <f t="shared" si="802"/>
        <v>435298.92960000003</v>
      </c>
      <c r="AC5304" s="74">
        <v>0</v>
      </c>
      <c r="AD5304" s="72">
        <f t="shared" ref="AD5304" si="814">V5304</f>
        <v>435298.92960000003</v>
      </c>
      <c r="AE5304" s="75">
        <v>0</v>
      </c>
      <c r="AF5304" s="72"/>
      <c r="AG5304" s="71">
        <v>0</v>
      </c>
      <c r="AH5304" s="73">
        <v>0</v>
      </c>
      <c r="AI5304" s="70" t="s">
        <v>3660</v>
      </c>
      <c r="AJ5304" s="126" t="e">
        <v>#N/A</v>
      </c>
      <c r="AK5304" s="80">
        <f t="shared" si="803"/>
        <v>0</v>
      </c>
      <c r="AM5304" s="85"/>
    </row>
    <row r="5305" spans="1:39" hidden="1" x14ac:dyDescent="0.3">
      <c r="A5305" s="93" t="s">
        <v>3394</v>
      </c>
      <c r="B5305" s="94" t="s">
        <v>35</v>
      </c>
      <c r="C5305" s="94" t="s">
        <v>36</v>
      </c>
      <c r="D5305" s="94" t="s">
        <v>54</v>
      </c>
      <c r="E5305" s="94" t="s">
        <v>521</v>
      </c>
      <c r="F5305" s="94" t="s">
        <v>521</v>
      </c>
      <c r="G5305" s="94" t="s">
        <v>521</v>
      </c>
      <c r="H5305" s="157">
        <v>84</v>
      </c>
      <c r="I5305" s="94" t="s">
        <v>3252</v>
      </c>
      <c r="J5305" s="1" t="s">
        <v>3323</v>
      </c>
      <c r="K5305" s="1" t="s">
        <v>701</v>
      </c>
      <c r="L5305" s="1" t="s">
        <v>35</v>
      </c>
      <c r="M5305" s="94" t="s">
        <v>2704</v>
      </c>
      <c r="N5305" s="94"/>
      <c r="O5305" s="70" t="s">
        <v>410</v>
      </c>
      <c r="P5305" s="70" t="s">
        <v>41</v>
      </c>
      <c r="Q5305" s="71">
        <v>0</v>
      </c>
      <c r="R5305" s="145">
        <v>7101</v>
      </c>
      <c r="S5305" s="70"/>
      <c r="T5305" s="72"/>
      <c r="U5305" s="72"/>
      <c r="V5305" s="72">
        <f>X5305+AA5305</f>
        <v>21614.87</v>
      </c>
      <c r="W5305" s="72"/>
      <c r="X5305" s="72">
        <v>21614.87</v>
      </c>
      <c r="Y5305" s="13">
        <f t="shared" si="801"/>
        <v>0</v>
      </c>
      <c r="Z5305" s="71">
        <v>0</v>
      </c>
      <c r="AA5305" s="72">
        <v>0</v>
      </c>
      <c r="AB5305" s="4">
        <f t="shared" si="802"/>
        <v>21614.87</v>
      </c>
      <c r="AC5305" s="74"/>
      <c r="AD5305" s="72">
        <f>V5305</f>
        <v>21614.87</v>
      </c>
      <c r="AE5305" s="75">
        <v>0</v>
      </c>
      <c r="AF5305" s="72"/>
      <c r="AG5305" s="71">
        <v>0</v>
      </c>
      <c r="AH5305" s="73"/>
      <c r="AI5305" s="70" t="s">
        <v>3661</v>
      </c>
      <c r="AJ5305" s="126" t="e">
        <v>#N/A</v>
      </c>
      <c r="AK5305" s="80">
        <f t="shared" si="803"/>
        <v>0</v>
      </c>
      <c r="AM5305" s="85"/>
    </row>
    <row r="5306" spans="1:39" hidden="1" x14ac:dyDescent="0.3">
      <c r="A5306" s="93" t="s">
        <v>3394</v>
      </c>
      <c r="B5306" s="94" t="s">
        <v>35</v>
      </c>
      <c r="C5306" s="94" t="s">
        <v>36</v>
      </c>
      <c r="D5306" s="94" t="s">
        <v>54</v>
      </c>
      <c r="E5306" s="94" t="s">
        <v>2695</v>
      </c>
      <c r="F5306" s="94" t="s">
        <v>2695</v>
      </c>
      <c r="G5306" s="94" t="s">
        <v>2695</v>
      </c>
      <c r="H5306" s="157">
        <v>84</v>
      </c>
      <c r="I5306" s="94" t="s">
        <v>3252</v>
      </c>
      <c r="J5306" s="1" t="s">
        <v>3323</v>
      </c>
      <c r="K5306" s="1" t="s">
        <v>701</v>
      </c>
      <c r="L5306" s="1" t="s">
        <v>35</v>
      </c>
      <c r="M5306" s="94" t="s">
        <v>2865</v>
      </c>
      <c r="N5306" s="94"/>
      <c r="O5306" s="70" t="s">
        <v>410</v>
      </c>
      <c r="P5306" s="70" t="s">
        <v>41</v>
      </c>
      <c r="Q5306" s="71">
        <v>0</v>
      </c>
      <c r="R5306" s="145">
        <v>7523</v>
      </c>
      <c r="S5306" s="70"/>
      <c r="T5306" s="72"/>
      <c r="U5306" s="72"/>
      <c r="V5306" s="72">
        <f t="shared" ref="V5306:V5329" si="815">X5306+AA5306</f>
        <v>8094.0799999999726</v>
      </c>
      <c r="W5306" s="72"/>
      <c r="X5306" s="72">
        <v>8094.0799999999726</v>
      </c>
      <c r="Y5306" s="13">
        <f t="shared" si="801"/>
        <v>0</v>
      </c>
      <c r="Z5306" s="71">
        <v>0</v>
      </c>
      <c r="AA5306" s="72">
        <v>0</v>
      </c>
      <c r="AB5306" s="4">
        <f t="shared" si="802"/>
        <v>8094.0799999999726</v>
      </c>
      <c r="AC5306" s="74"/>
      <c r="AD5306" s="72">
        <f t="shared" ref="AD5306:AD5329" si="816">V5306</f>
        <v>8094.0799999999726</v>
      </c>
      <c r="AE5306" s="75">
        <v>0</v>
      </c>
      <c r="AF5306" s="72"/>
      <c r="AG5306" s="71">
        <v>0</v>
      </c>
      <c r="AH5306" s="73"/>
      <c r="AI5306" s="70" t="s">
        <v>3661</v>
      </c>
      <c r="AJ5306" s="126" t="e">
        <v>#N/A</v>
      </c>
      <c r="AK5306" s="80">
        <f t="shared" si="803"/>
        <v>0</v>
      </c>
      <c r="AM5306" s="85"/>
    </row>
    <row r="5307" spans="1:39" hidden="1" x14ac:dyDescent="0.3">
      <c r="A5307" s="93" t="s">
        <v>3395</v>
      </c>
      <c r="B5307" s="94" t="s">
        <v>35</v>
      </c>
      <c r="C5307" s="94" t="s">
        <v>36</v>
      </c>
      <c r="D5307" s="94" t="s">
        <v>54</v>
      </c>
      <c r="E5307" s="94" t="s">
        <v>2695</v>
      </c>
      <c r="F5307" s="94" t="s">
        <v>2695</v>
      </c>
      <c r="G5307" s="94" t="s">
        <v>2695</v>
      </c>
      <c r="H5307" s="157">
        <v>84</v>
      </c>
      <c r="I5307" s="94" t="s">
        <v>3252</v>
      </c>
      <c r="J5307" s="1" t="s">
        <v>3323</v>
      </c>
      <c r="K5307" s="1" t="s">
        <v>701</v>
      </c>
      <c r="L5307" s="1" t="s">
        <v>35</v>
      </c>
      <c r="M5307" s="94" t="s">
        <v>2697</v>
      </c>
      <c r="N5307" s="94"/>
      <c r="O5307" s="70" t="s">
        <v>410</v>
      </c>
      <c r="P5307" s="70" t="s">
        <v>41</v>
      </c>
      <c r="Q5307" s="71">
        <v>0</v>
      </c>
      <c r="R5307" s="145">
        <v>7170</v>
      </c>
      <c r="S5307" s="70"/>
      <c r="T5307" s="72"/>
      <c r="U5307" s="72"/>
      <c r="V5307" s="72">
        <f t="shared" si="815"/>
        <v>92823.61</v>
      </c>
      <c r="W5307" s="72"/>
      <c r="X5307" s="72">
        <v>92823.61</v>
      </c>
      <c r="Y5307" s="13">
        <f t="shared" si="801"/>
        <v>0</v>
      </c>
      <c r="Z5307" s="71">
        <v>0</v>
      </c>
      <c r="AA5307" s="72">
        <v>0</v>
      </c>
      <c r="AB5307" s="4">
        <f t="shared" si="802"/>
        <v>92823.61</v>
      </c>
      <c r="AC5307" s="74"/>
      <c r="AD5307" s="72">
        <f t="shared" si="816"/>
        <v>92823.61</v>
      </c>
      <c r="AE5307" s="75">
        <v>0</v>
      </c>
      <c r="AF5307" s="72"/>
      <c r="AG5307" s="71">
        <v>0</v>
      </c>
      <c r="AH5307" s="73"/>
      <c r="AI5307" s="70" t="s">
        <v>3661</v>
      </c>
      <c r="AJ5307" s="126" t="e">
        <v>#N/A</v>
      </c>
      <c r="AK5307" s="80">
        <f t="shared" si="803"/>
        <v>0</v>
      </c>
      <c r="AM5307" s="85"/>
    </row>
    <row r="5308" spans="1:39" hidden="1" x14ac:dyDescent="0.3">
      <c r="A5308" s="93" t="s">
        <v>3394</v>
      </c>
      <c r="B5308" s="94" t="s">
        <v>35</v>
      </c>
      <c r="C5308" s="94" t="s">
        <v>65</v>
      </c>
      <c r="D5308" s="94" t="s">
        <v>66</v>
      </c>
      <c r="E5308" s="94" t="s">
        <v>2354</v>
      </c>
      <c r="F5308" s="94" t="s">
        <v>2354</v>
      </c>
      <c r="G5308" s="94" t="s">
        <v>2354</v>
      </c>
      <c r="H5308" s="157">
        <v>84</v>
      </c>
      <c r="I5308" s="94" t="s">
        <v>3252</v>
      </c>
      <c r="J5308" s="1" t="s">
        <v>3323</v>
      </c>
      <c r="K5308" s="1" t="s">
        <v>701</v>
      </c>
      <c r="L5308" s="1" t="s">
        <v>35</v>
      </c>
      <c r="M5308" s="94" t="s">
        <v>2354</v>
      </c>
      <c r="N5308" s="94"/>
      <c r="O5308" s="70" t="s">
        <v>410</v>
      </c>
      <c r="P5308" s="70" t="s">
        <v>41</v>
      </c>
      <c r="Q5308" s="71">
        <v>0</v>
      </c>
      <c r="R5308" s="145">
        <v>7109</v>
      </c>
      <c r="S5308" s="70"/>
      <c r="T5308" s="72"/>
      <c r="U5308" s="72"/>
      <c r="V5308" s="72">
        <f t="shared" si="815"/>
        <v>23588.5</v>
      </c>
      <c r="W5308" s="72"/>
      <c r="X5308" s="72">
        <v>23588.5</v>
      </c>
      <c r="Y5308" s="13">
        <f t="shared" si="801"/>
        <v>0</v>
      </c>
      <c r="Z5308" s="71">
        <v>0</v>
      </c>
      <c r="AA5308" s="72">
        <v>0</v>
      </c>
      <c r="AB5308" s="4">
        <f t="shared" si="802"/>
        <v>23588.5</v>
      </c>
      <c r="AC5308" s="74"/>
      <c r="AD5308" s="72">
        <f t="shared" si="816"/>
        <v>23588.5</v>
      </c>
      <c r="AE5308" s="75">
        <v>0</v>
      </c>
      <c r="AF5308" s="72"/>
      <c r="AG5308" s="71">
        <v>0</v>
      </c>
      <c r="AH5308" s="73"/>
      <c r="AI5308" s="70" t="s">
        <v>3661</v>
      </c>
      <c r="AJ5308" s="126" t="e">
        <v>#N/A</v>
      </c>
      <c r="AK5308" s="80">
        <f t="shared" si="803"/>
        <v>0</v>
      </c>
      <c r="AM5308" s="85"/>
    </row>
    <row r="5309" spans="1:39" hidden="1" x14ac:dyDescent="0.3">
      <c r="A5309" s="93" t="s">
        <v>3394</v>
      </c>
      <c r="B5309" s="94" t="s">
        <v>35</v>
      </c>
      <c r="C5309" s="94" t="s">
        <v>65</v>
      </c>
      <c r="D5309" s="94" t="s">
        <v>66</v>
      </c>
      <c r="E5309" s="94" t="s">
        <v>2709</v>
      </c>
      <c r="F5309" s="94" t="s">
        <v>2709</v>
      </c>
      <c r="G5309" s="94" t="s">
        <v>2709</v>
      </c>
      <c r="H5309" s="157">
        <v>84</v>
      </c>
      <c r="I5309" s="94" t="s">
        <v>3252</v>
      </c>
      <c r="J5309" s="1" t="s">
        <v>3323</v>
      </c>
      <c r="K5309" s="1" t="s">
        <v>701</v>
      </c>
      <c r="L5309" s="1" t="s">
        <v>35</v>
      </c>
      <c r="M5309" s="94" t="s">
        <v>2709</v>
      </c>
      <c r="N5309" s="94"/>
      <c r="O5309" s="70" t="s">
        <v>410</v>
      </c>
      <c r="P5309" s="70" t="s">
        <v>41</v>
      </c>
      <c r="Q5309" s="71">
        <v>0</v>
      </c>
      <c r="R5309" s="145">
        <v>7576</v>
      </c>
      <c r="S5309" s="70"/>
      <c r="T5309" s="72"/>
      <c r="U5309" s="72"/>
      <c r="V5309" s="72">
        <f t="shared" si="815"/>
        <v>10915.715686274511</v>
      </c>
      <c r="W5309" s="72"/>
      <c r="X5309" s="72">
        <v>10915.715686274511</v>
      </c>
      <c r="Y5309" s="13">
        <f t="shared" si="801"/>
        <v>0</v>
      </c>
      <c r="Z5309" s="71">
        <v>0</v>
      </c>
      <c r="AA5309" s="72">
        <v>0</v>
      </c>
      <c r="AB5309" s="4">
        <f t="shared" si="802"/>
        <v>10915.715686274511</v>
      </c>
      <c r="AC5309" s="74"/>
      <c r="AD5309" s="72">
        <f t="shared" si="816"/>
        <v>10915.715686274511</v>
      </c>
      <c r="AE5309" s="75">
        <v>0</v>
      </c>
      <c r="AF5309" s="72"/>
      <c r="AG5309" s="71">
        <v>0</v>
      </c>
      <c r="AH5309" s="73"/>
      <c r="AI5309" s="70" t="s">
        <v>3660</v>
      </c>
      <c r="AJ5309" s="126" t="e">
        <v>#N/A</v>
      </c>
      <c r="AK5309" s="80">
        <f t="shared" si="803"/>
        <v>0</v>
      </c>
      <c r="AM5309" s="85"/>
    </row>
    <row r="5310" spans="1:39" hidden="1" x14ac:dyDescent="0.3">
      <c r="A5310" s="93" t="s">
        <v>3394</v>
      </c>
      <c r="B5310" s="94" t="s">
        <v>35</v>
      </c>
      <c r="C5310" s="94" t="s">
        <v>65</v>
      </c>
      <c r="D5310" s="94" t="s">
        <v>66</v>
      </c>
      <c r="E5310" s="94" t="s">
        <v>2678</v>
      </c>
      <c r="F5310" s="94" t="s">
        <v>2679</v>
      </c>
      <c r="G5310" s="94" t="s">
        <v>2678</v>
      </c>
      <c r="H5310" s="157">
        <v>84</v>
      </c>
      <c r="I5310" s="94" t="s">
        <v>3252</v>
      </c>
      <c r="J5310" s="1" t="s">
        <v>3323</v>
      </c>
      <c r="K5310" s="1" t="s">
        <v>701</v>
      </c>
      <c r="L5310" s="1" t="s">
        <v>35</v>
      </c>
      <c r="M5310" s="94" t="s">
        <v>2702</v>
      </c>
      <c r="N5310" s="94"/>
      <c r="O5310" s="70" t="s">
        <v>410</v>
      </c>
      <c r="P5310" s="70" t="s">
        <v>41</v>
      </c>
      <c r="Q5310" s="71">
        <v>0</v>
      </c>
      <c r="R5310" s="145">
        <v>7152</v>
      </c>
      <c r="S5310" s="70"/>
      <c r="T5310" s="72"/>
      <c r="U5310" s="72"/>
      <c r="V5310" s="72">
        <f t="shared" si="815"/>
        <v>84289</v>
      </c>
      <c r="W5310" s="72"/>
      <c r="X5310" s="72">
        <v>84289</v>
      </c>
      <c r="Y5310" s="13">
        <f t="shared" si="801"/>
        <v>0</v>
      </c>
      <c r="Z5310" s="71">
        <v>0</v>
      </c>
      <c r="AA5310" s="72">
        <v>0</v>
      </c>
      <c r="AB5310" s="4">
        <f t="shared" si="802"/>
        <v>84289</v>
      </c>
      <c r="AC5310" s="74"/>
      <c r="AD5310" s="72">
        <f t="shared" si="816"/>
        <v>84289</v>
      </c>
      <c r="AE5310" s="75">
        <v>0</v>
      </c>
      <c r="AF5310" s="72"/>
      <c r="AG5310" s="71">
        <v>0</v>
      </c>
      <c r="AH5310" s="73"/>
      <c r="AI5310" s="70" t="s">
        <v>3660</v>
      </c>
      <c r="AJ5310" s="126" t="e">
        <v>#N/A</v>
      </c>
      <c r="AK5310" s="80">
        <f t="shared" si="803"/>
        <v>0</v>
      </c>
      <c r="AM5310" s="85"/>
    </row>
    <row r="5311" spans="1:39" hidden="1" x14ac:dyDescent="0.3">
      <c r="A5311" s="93" t="s">
        <v>3394</v>
      </c>
      <c r="B5311" s="94" t="s">
        <v>35</v>
      </c>
      <c r="C5311" s="94" t="s">
        <v>47</v>
      </c>
      <c r="D5311" s="94" t="s">
        <v>48</v>
      </c>
      <c r="E5311" s="94" t="s">
        <v>542</v>
      </c>
      <c r="F5311" s="94" t="s">
        <v>542</v>
      </c>
      <c r="G5311" s="94" t="s">
        <v>542</v>
      </c>
      <c r="H5311" s="157">
        <v>84</v>
      </c>
      <c r="I5311" s="94" t="s">
        <v>3252</v>
      </c>
      <c r="J5311" s="1" t="s">
        <v>3323</v>
      </c>
      <c r="K5311" s="1" t="s">
        <v>701</v>
      </c>
      <c r="L5311" s="1" t="s">
        <v>35</v>
      </c>
      <c r="M5311" s="94" t="s">
        <v>2708</v>
      </c>
      <c r="N5311" s="94"/>
      <c r="O5311" s="70" t="s">
        <v>410</v>
      </c>
      <c r="P5311" s="70" t="s">
        <v>41</v>
      </c>
      <c r="Q5311" s="71">
        <v>0</v>
      </c>
      <c r="R5311" s="145">
        <v>7148</v>
      </c>
      <c r="S5311" s="70"/>
      <c r="T5311" s="72"/>
      <c r="U5311" s="72"/>
      <c r="V5311" s="72">
        <f t="shared" si="815"/>
        <v>39920.76470588235</v>
      </c>
      <c r="W5311" s="72"/>
      <c r="X5311" s="72">
        <v>39920.76470588235</v>
      </c>
      <c r="Y5311" s="13">
        <f t="shared" si="801"/>
        <v>0</v>
      </c>
      <c r="Z5311" s="71">
        <v>0</v>
      </c>
      <c r="AA5311" s="72">
        <v>0</v>
      </c>
      <c r="AB5311" s="4">
        <f t="shared" si="802"/>
        <v>39920.76470588235</v>
      </c>
      <c r="AC5311" s="74"/>
      <c r="AD5311" s="72">
        <f t="shared" si="816"/>
        <v>39920.76470588235</v>
      </c>
      <c r="AE5311" s="75">
        <v>0</v>
      </c>
      <c r="AF5311" s="72"/>
      <c r="AG5311" s="71">
        <v>0</v>
      </c>
      <c r="AH5311" s="73"/>
      <c r="AI5311" s="70" t="s">
        <v>3660</v>
      </c>
      <c r="AJ5311" s="126" t="e">
        <v>#N/A</v>
      </c>
      <c r="AK5311" s="80">
        <f t="shared" si="803"/>
        <v>0</v>
      </c>
      <c r="AM5311" s="85"/>
    </row>
    <row r="5312" spans="1:39" hidden="1" x14ac:dyDescent="0.3">
      <c r="A5312" s="93" t="s">
        <v>3394</v>
      </c>
      <c r="B5312" s="94" t="s">
        <v>35</v>
      </c>
      <c r="C5312" s="94" t="s">
        <v>144</v>
      </c>
      <c r="D5312" s="94" t="s">
        <v>145</v>
      </c>
      <c r="E5312" s="94" t="s">
        <v>146</v>
      </c>
      <c r="F5312" s="94" t="s">
        <v>146</v>
      </c>
      <c r="G5312" s="94" t="s">
        <v>146</v>
      </c>
      <c r="H5312" s="157">
        <v>84</v>
      </c>
      <c r="I5312" s="94" t="s">
        <v>3252</v>
      </c>
      <c r="J5312" s="1" t="s">
        <v>3323</v>
      </c>
      <c r="K5312" s="1" t="s">
        <v>701</v>
      </c>
      <c r="L5312" s="1" t="s">
        <v>35</v>
      </c>
      <c r="M5312" s="94" t="s">
        <v>146</v>
      </c>
      <c r="N5312" s="94"/>
      <c r="O5312" s="70" t="s">
        <v>410</v>
      </c>
      <c r="P5312" s="70" t="s">
        <v>41</v>
      </c>
      <c r="Q5312" s="71">
        <v>0</v>
      </c>
      <c r="R5312" s="145">
        <v>7607</v>
      </c>
      <c r="S5312" s="70"/>
      <c r="T5312" s="72"/>
      <c r="U5312" s="72"/>
      <c r="V5312" s="72">
        <f t="shared" si="815"/>
        <v>150938.26</v>
      </c>
      <c r="W5312" s="72"/>
      <c r="X5312" s="72">
        <v>150938.26</v>
      </c>
      <c r="Y5312" s="13">
        <f t="shared" si="801"/>
        <v>0</v>
      </c>
      <c r="Z5312" s="71">
        <v>0</v>
      </c>
      <c r="AA5312" s="72">
        <v>0</v>
      </c>
      <c r="AB5312" s="4">
        <f t="shared" si="802"/>
        <v>150938.26</v>
      </c>
      <c r="AC5312" s="74"/>
      <c r="AD5312" s="72">
        <f t="shared" si="816"/>
        <v>150938.26</v>
      </c>
      <c r="AE5312" s="75">
        <v>0</v>
      </c>
      <c r="AF5312" s="72"/>
      <c r="AG5312" s="71">
        <v>0</v>
      </c>
      <c r="AH5312" s="73"/>
      <c r="AI5312" s="70" t="s">
        <v>3661</v>
      </c>
      <c r="AJ5312" s="126" t="e">
        <v>#N/A</v>
      </c>
      <c r="AK5312" s="80">
        <f t="shared" si="803"/>
        <v>0</v>
      </c>
      <c r="AM5312" s="85"/>
    </row>
    <row r="5313" spans="1:39" hidden="1" x14ac:dyDescent="0.3">
      <c r="A5313" s="93" t="s">
        <v>3394</v>
      </c>
      <c r="B5313" s="94" t="s">
        <v>35</v>
      </c>
      <c r="C5313" s="94" t="s">
        <v>144</v>
      </c>
      <c r="D5313" s="94" t="s">
        <v>161</v>
      </c>
      <c r="E5313" s="94" t="s">
        <v>163</v>
      </c>
      <c r="F5313" s="94" t="s">
        <v>163</v>
      </c>
      <c r="G5313" s="94" t="s">
        <v>163</v>
      </c>
      <c r="H5313" s="157">
        <v>84</v>
      </c>
      <c r="I5313" s="94" t="s">
        <v>3252</v>
      </c>
      <c r="J5313" s="1" t="s">
        <v>3323</v>
      </c>
      <c r="K5313" s="1" t="s">
        <v>701</v>
      </c>
      <c r="L5313" s="1" t="s">
        <v>35</v>
      </c>
      <c r="M5313" s="94" t="s">
        <v>163</v>
      </c>
      <c r="N5313" s="94"/>
      <c r="O5313" s="70" t="s">
        <v>410</v>
      </c>
      <c r="P5313" s="70" t="s">
        <v>41</v>
      </c>
      <c r="Q5313" s="71">
        <v>0</v>
      </c>
      <c r="R5313" s="145">
        <v>7094</v>
      </c>
      <c r="S5313" s="70"/>
      <c r="T5313" s="72"/>
      <c r="U5313" s="72"/>
      <c r="V5313" s="72">
        <f t="shared" si="815"/>
        <v>42020.25</v>
      </c>
      <c r="W5313" s="72"/>
      <c r="X5313" s="72">
        <v>42020.25</v>
      </c>
      <c r="Y5313" s="13">
        <f t="shared" si="801"/>
        <v>0</v>
      </c>
      <c r="Z5313" s="71">
        <v>0</v>
      </c>
      <c r="AA5313" s="72">
        <v>0</v>
      </c>
      <c r="AB5313" s="4">
        <f t="shared" si="802"/>
        <v>42020.25</v>
      </c>
      <c r="AC5313" s="74"/>
      <c r="AD5313" s="72">
        <f t="shared" si="816"/>
        <v>42020.25</v>
      </c>
      <c r="AE5313" s="75">
        <v>0</v>
      </c>
      <c r="AF5313" s="72"/>
      <c r="AG5313" s="71">
        <v>0</v>
      </c>
      <c r="AH5313" s="73"/>
      <c r="AI5313" s="70" t="s">
        <v>3661</v>
      </c>
      <c r="AJ5313" s="126" t="e">
        <v>#N/A</v>
      </c>
      <c r="AK5313" s="80">
        <f t="shared" si="803"/>
        <v>0</v>
      </c>
      <c r="AM5313" s="85"/>
    </row>
    <row r="5314" spans="1:39" hidden="1" x14ac:dyDescent="0.3">
      <c r="A5314" s="93" t="s">
        <v>3394</v>
      </c>
      <c r="B5314" s="94" t="s">
        <v>35</v>
      </c>
      <c r="C5314" s="94" t="s">
        <v>164</v>
      </c>
      <c r="D5314" s="94" t="s">
        <v>169</v>
      </c>
      <c r="E5314" s="94" t="s">
        <v>172</v>
      </c>
      <c r="F5314" s="94" t="s">
        <v>172</v>
      </c>
      <c r="G5314" s="94" t="s">
        <v>172</v>
      </c>
      <c r="H5314" s="157">
        <v>84</v>
      </c>
      <c r="I5314" s="94" t="s">
        <v>3252</v>
      </c>
      <c r="J5314" s="1" t="s">
        <v>3323</v>
      </c>
      <c r="K5314" s="1" t="s">
        <v>701</v>
      </c>
      <c r="L5314" s="1" t="s">
        <v>35</v>
      </c>
      <c r="M5314" s="94" t="s">
        <v>2716</v>
      </c>
      <c r="N5314" s="94"/>
      <c r="O5314" s="70" t="s">
        <v>410</v>
      </c>
      <c r="P5314" s="70" t="s">
        <v>41</v>
      </c>
      <c r="Q5314" s="71">
        <v>0</v>
      </c>
      <c r="R5314" s="145">
        <v>7283</v>
      </c>
      <c r="S5314" s="70"/>
      <c r="T5314" s="72"/>
      <c r="U5314" s="72"/>
      <c r="V5314" s="72">
        <f t="shared" si="815"/>
        <v>76921.811881188114</v>
      </c>
      <c r="W5314" s="72"/>
      <c r="X5314" s="72">
        <v>76921.811881188114</v>
      </c>
      <c r="Y5314" s="13">
        <f t="shared" si="801"/>
        <v>0</v>
      </c>
      <c r="Z5314" s="71">
        <v>0</v>
      </c>
      <c r="AA5314" s="72">
        <v>0</v>
      </c>
      <c r="AB5314" s="4">
        <f t="shared" si="802"/>
        <v>76921.811881188114</v>
      </c>
      <c r="AC5314" s="74"/>
      <c r="AD5314" s="72">
        <f t="shared" si="816"/>
        <v>76921.811881188114</v>
      </c>
      <c r="AE5314" s="75">
        <v>0</v>
      </c>
      <c r="AF5314" s="72"/>
      <c r="AG5314" s="71">
        <v>0</v>
      </c>
      <c r="AH5314" s="73"/>
      <c r="AI5314" s="70" t="s">
        <v>3661</v>
      </c>
      <c r="AJ5314" s="126" t="e">
        <v>#N/A</v>
      </c>
      <c r="AK5314" s="80">
        <f t="shared" si="803"/>
        <v>0</v>
      </c>
      <c r="AM5314" s="85"/>
    </row>
    <row r="5315" spans="1:39" hidden="1" x14ac:dyDescent="0.3">
      <c r="A5315" s="93" t="s">
        <v>3395</v>
      </c>
      <c r="B5315" s="94" t="s">
        <v>35</v>
      </c>
      <c r="C5315" s="94" t="s">
        <v>164</v>
      </c>
      <c r="D5315" s="94" t="s">
        <v>169</v>
      </c>
      <c r="E5315" s="94" t="s">
        <v>2695</v>
      </c>
      <c r="F5315" s="94" t="s">
        <v>3253</v>
      </c>
      <c r="G5315" s="94" t="s">
        <v>2695</v>
      </c>
      <c r="H5315" s="157">
        <v>84</v>
      </c>
      <c r="I5315" s="94" t="s">
        <v>3252</v>
      </c>
      <c r="J5315" s="1" t="s">
        <v>3323</v>
      </c>
      <c r="K5315" s="1" t="s">
        <v>701</v>
      </c>
      <c r="L5315" s="1" t="s">
        <v>35</v>
      </c>
      <c r="M5315" s="94" t="s">
        <v>2719</v>
      </c>
      <c r="N5315" s="94"/>
      <c r="O5315" s="70" t="s">
        <v>410</v>
      </c>
      <c r="P5315" s="70" t="s">
        <v>41</v>
      </c>
      <c r="Q5315" s="71">
        <v>0</v>
      </c>
      <c r="R5315" s="145">
        <v>7103</v>
      </c>
      <c r="S5315" s="70"/>
      <c r="T5315" s="72"/>
      <c r="U5315" s="72"/>
      <c r="V5315" s="72">
        <f t="shared" si="815"/>
        <v>406885.7</v>
      </c>
      <c r="W5315" s="72"/>
      <c r="X5315" s="72">
        <v>406885.7</v>
      </c>
      <c r="Y5315" s="13">
        <f t="shared" ref="Y5315:Y5378" si="817">IF(X5315-AD5315&lt;=0,0,IF(P5315="返现",MAX(X5315-AC5315-AD5315,0),MAX(X5315-AD5315)))</f>
        <v>0</v>
      </c>
      <c r="Z5315" s="71">
        <v>0</v>
      </c>
      <c r="AA5315" s="72">
        <v>0</v>
      </c>
      <c r="AB5315" s="4">
        <f t="shared" ref="AB5315:AB5378" si="818">X5315+AA5315</f>
        <v>406885.7</v>
      </c>
      <c r="AC5315" s="74"/>
      <c r="AD5315" s="72">
        <f t="shared" si="816"/>
        <v>406885.7</v>
      </c>
      <c r="AE5315" s="75">
        <v>0</v>
      </c>
      <c r="AF5315" s="72"/>
      <c r="AG5315" s="71">
        <v>0</v>
      </c>
      <c r="AH5315" s="73"/>
      <c r="AI5315" s="70" t="s">
        <v>3660</v>
      </c>
      <c r="AJ5315" s="126" t="e">
        <v>#N/A</v>
      </c>
      <c r="AK5315" s="80">
        <f t="shared" ref="AK5315:AK5378" si="819">X5315+AA5315-AB5315</f>
        <v>0</v>
      </c>
      <c r="AM5315" s="85"/>
    </row>
    <row r="5316" spans="1:39" hidden="1" x14ac:dyDescent="0.3">
      <c r="A5316" s="93" t="s">
        <v>3395</v>
      </c>
      <c r="B5316" s="94" t="s">
        <v>35</v>
      </c>
      <c r="C5316" s="94" t="s">
        <v>36</v>
      </c>
      <c r="D5316" s="94" t="s">
        <v>37</v>
      </c>
      <c r="E5316" s="94" t="s">
        <v>285</v>
      </c>
      <c r="F5316" s="94" t="s">
        <v>460</v>
      </c>
      <c r="G5316" s="94" t="s">
        <v>285</v>
      </c>
      <c r="H5316" s="157">
        <v>84</v>
      </c>
      <c r="I5316" s="94" t="s">
        <v>3252</v>
      </c>
      <c r="J5316" s="1" t="s">
        <v>3323</v>
      </c>
      <c r="K5316" s="1" t="s">
        <v>701</v>
      </c>
      <c r="L5316" s="1" t="s">
        <v>35</v>
      </c>
      <c r="M5316" s="94" t="s">
        <v>285</v>
      </c>
      <c r="N5316" s="94"/>
      <c r="O5316" s="70" t="s">
        <v>410</v>
      </c>
      <c r="P5316" s="70" t="s">
        <v>41</v>
      </c>
      <c r="Q5316" s="71">
        <v>0</v>
      </c>
      <c r="R5316" s="145">
        <v>7654</v>
      </c>
      <c r="S5316" s="70"/>
      <c r="T5316" s="72"/>
      <c r="U5316" s="72"/>
      <c r="V5316" s="72">
        <f t="shared" si="815"/>
        <v>137.56</v>
      </c>
      <c r="W5316" s="72"/>
      <c r="X5316" s="72">
        <v>137.56</v>
      </c>
      <c r="Y5316" s="13">
        <f t="shared" si="817"/>
        <v>0</v>
      </c>
      <c r="Z5316" s="71">
        <v>0</v>
      </c>
      <c r="AA5316" s="72">
        <v>0</v>
      </c>
      <c r="AB5316" s="4">
        <f t="shared" si="818"/>
        <v>137.56</v>
      </c>
      <c r="AC5316" s="74"/>
      <c r="AD5316" s="72">
        <f t="shared" si="816"/>
        <v>137.56</v>
      </c>
      <c r="AE5316" s="75">
        <v>0</v>
      </c>
      <c r="AF5316" s="72"/>
      <c r="AG5316" s="71">
        <v>0</v>
      </c>
      <c r="AH5316" s="73"/>
      <c r="AI5316" s="70" t="s">
        <v>3660</v>
      </c>
      <c r="AJ5316" s="126" t="e">
        <v>#N/A</v>
      </c>
      <c r="AK5316" s="80">
        <f t="shared" si="819"/>
        <v>0</v>
      </c>
      <c r="AM5316" s="85"/>
    </row>
    <row r="5317" spans="1:39" hidden="1" x14ac:dyDescent="0.3">
      <c r="A5317" s="93" t="s">
        <v>3394</v>
      </c>
      <c r="B5317" s="94" t="s">
        <v>35</v>
      </c>
      <c r="C5317" s="94" t="s">
        <v>36</v>
      </c>
      <c r="D5317" s="94" t="s">
        <v>37</v>
      </c>
      <c r="E5317" s="94" t="s">
        <v>285</v>
      </c>
      <c r="F5317" s="94" t="s">
        <v>460</v>
      </c>
      <c r="G5317" s="94" t="s">
        <v>285</v>
      </c>
      <c r="H5317" s="157">
        <v>84</v>
      </c>
      <c r="I5317" s="94" t="s">
        <v>3252</v>
      </c>
      <c r="J5317" s="1" t="s">
        <v>3323</v>
      </c>
      <c r="K5317" s="1" t="s">
        <v>701</v>
      </c>
      <c r="L5317" s="1" t="s">
        <v>35</v>
      </c>
      <c r="M5317" s="94" t="s">
        <v>2699</v>
      </c>
      <c r="N5317" s="94"/>
      <c r="O5317" s="70" t="s">
        <v>410</v>
      </c>
      <c r="P5317" s="70" t="s">
        <v>41</v>
      </c>
      <c r="Q5317" s="71">
        <v>0</v>
      </c>
      <c r="R5317" s="145">
        <v>7174</v>
      </c>
      <c r="S5317" s="70"/>
      <c r="T5317" s="72"/>
      <c r="U5317" s="72"/>
      <c r="V5317" s="72">
        <f t="shared" si="815"/>
        <v>1848.48</v>
      </c>
      <c r="W5317" s="72"/>
      <c r="X5317" s="72">
        <v>1848.48</v>
      </c>
      <c r="Y5317" s="13">
        <f t="shared" si="817"/>
        <v>0</v>
      </c>
      <c r="Z5317" s="71">
        <v>0</v>
      </c>
      <c r="AA5317" s="72">
        <v>0</v>
      </c>
      <c r="AB5317" s="4">
        <f t="shared" si="818"/>
        <v>1848.48</v>
      </c>
      <c r="AC5317" s="74"/>
      <c r="AD5317" s="72">
        <f t="shared" si="816"/>
        <v>1848.48</v>
      </c>
      <c r="AE5317" s="75">
        <v>0</v>
      </c>
      <c r="AF5317" s="72"/>
      <c r="AG5317" s="71">
        <v>0</v>
      </c>
      <c r="AH5317" s="73"/>
      <c r="AI5317" s="70" t="s">
        <v>3661</v>
      </c>
      <c r="AJ5317" s="126" t="e">
        <v>#N/A</v>
      </c>
      <c r="AK5317" s="80">
        <f t="shared" si="819"/>
        <v>0</v>
      </c>
      <c r="AM5317" s="85"/>
    </row>
    <row r="5318" spans="1:39" hidden="1" x14ac:dyDescent="0.3">
      <c r="A5318" s="93" t="s">
        <v>3395</v>
      </c>
      <c r="B5318" s="94" t="s">
        <v>35</v>
      </c>
      <c r="C5318" s="94" t="s">
        <v>144</v>
      </c>
      <c r="D5318" s="94" t="s">
        <v>161</v>
      </c>
      <c r="E5318" s="94" t="s">
        <v>163</v>
      </c>
      <c r="F5318" s="94" t="s">
        <v>163</v>
      </c>
      <c r="G5318" s="94" t="s">
        <v>163</v>
      </c>
      <c r="H5318" s="157">
        <v>84</v>
      </c>
      <c r="I5318" s="94" t="s">
        <v>3252</v>
      </c>
      <c r="J5318" s="1" t="s">
        <v>3323</v>
      </c>
      <c r="K5318" s="1" t="s">
        <v>701</v>
      </c>
      <c r="L5318" s="1" t="s">
        <v>35</v>
      </c>
      <c r="M5318" s="94" t="s">
        <v>2714</v>
      </c>
      <c r="N5318" s="94"/>
      <c r="O5318" s="70" t="s">
        <v>410</v>
      </c>
      <c r="P5318" s="70" t="s">
        <v>41</v>
      </c>
      <c r="Q5318" s="71">
        <v>0</v>
      </c>
      <c r="R5318" s="145">
        <v>7135</v>
      </c>
      <c r="S5318" s="70"/>
      <c r="T5318" s="72"/>
      <c r="U5318" s="72"/>
      <c r="V5318" s="72">
        <f t="shared" si="815"/>
        <v>1696.6999999999998</v>
      </c>
      <c r="W5318" s="72"/>
      <c r="X5318" s="72">
        <v>1696.6999999999998</v>
      </c>
      <c r="Y5318" s="13">
        <f t="shared" si="817"/>
        <v>0</v>
      </c>
      <c r="Z5318" s="71">
        <v>0</v>
      </c>
      <c r="AA5318" s="72">
        <v>0</v>
      </c>
      <c r="AB5318" s="4">
        <f t="shared" si="818"/>
        <v>1696.6999999999998</v>
      </c>
      <c r="AC5318" s="74"/>
      <c r="AD5318" s="72">
        <f t="shared" si="816"/>
        <v>1696.6999999999998</v>
      </c>
      <c r="AE5318" s="75">
        <v>0</v>
      </c>
      <c r="AF5318" s="72"/>
      <c r="AG5318" s="71">
        <v>0</v>
      </c>
      <c r="AH5318" s="73"/>
      <c r="AI5318" s="70" t="s">
        <v>3661</v>
      </c>
      <c r="AJ5318" s="126" t="e">
        <v>#N/A</v>
      </c>
      <c r="AK5318" s="80">
        <f t="shared" si="819"/>
        <v>0</v>
      </c>
      <c r="AM5318" s="85"/>
    </row>
    <row r="5319" spans="1:39" hidden="1" x14ac:dyDescent="0.3">
      <c r="A5319" s="93" t="s">
        <v>3397</v>
      </c>
      <c r="B5319" s="94" t="s">
        <v>35</v>
      </c>
      <c r="C5319" s="94" t="s">
        <v>164</v>
      </c>
      <c r="D5319" s="94" t="s">
        <v>169</v>
      </c>
      <c r="E5319" s="94" t="s">
        <v>2695</v>
      </c>
      <c r="F5319" s="94" t="s">
        <v>3253</v>
      </c>
      <c r="G5319" s="94" t="s">
        <v>2695</v>
      </c>
      <c r="H5319" s="157">
        <v>84</v>
      </c>
      <c r="I5319" s="94" t="s">
        <v>3252</v>
      </c>
      <c r="J5319" s="1" t="s">
        <v>3323</v>
      </c>
      <c r="K5319" s="1" t="s">
        <v>701</v>
      </c>
      <c r="L5319" s="1" t="s">
        <v>35</v>
      </c>
      <c r="M5319" s="94" t="s">
        <v>2718</v>
      </c>
      <c r="N5319" s="94"/>
      <c r="O5319" s="70" t="s">
        <v>410</v>
      </c>
      <c r="P5319" s="70" t="s">
        <v>41</v>
      </c>
      <c r="Q5319" s="71">
        <v>0</v>
      </c>
      <c r="R5319" s="145">
        <v>7095</v>
      </c>
      <c r="S5319" s="70"/>
      <c r="T5319" s="72"/>
      <c r="U5319" s="72"/>
      <c r="V5319" s="72">
        <f t="shared" si="815"/>
        <v>33445.199999999997</v>
      </c>
      <c r="W5319" s="72"/>
      <c r="X5319" s="72">
        <v>33445.199999999997</v>
      </c>
      <c r="Y5319" s="13">
        <f t="shared" si="817"/>
        <v>0</v>
      </c>
      <c r="Z5319" s="71">
        <v>0</v>
      </c>
      <c r="AA5319" s="72">
        <v>0</v>
      </c>
      <c r="AB5319" s="4">
        <f t="shared" si="818"/>
        <v>33445.199999999997</v>
      </c>
      <c r="AC5319" s="74"/>
      <c r="AD5319" s="72">
        <f t="shared" si="816"/>
        <v>33445.199999999997</v>
      </c>
      <c r="AE5319" s="75">
        <v>0</v>
      </c>
      <c r="AF5319" s="72"/>
      <c r="AG5319" s="71">
        <v>0</v>
      </c>
      <c r="AH5319" s="73"/>
      <c r="AI5319" s="70" t="s">
        <v>3660</v>
      </c>
      <c r="AJ5319" s="126" t="e">
        <v>#N/A</v>
      </c>
      <c r="AK5319" s="80">
        <f t="shared" si="819"/>
        <v>0</v>
      </c>
      <c r="AM5319" s="85"/>
    </row>
    <row r="5320" spans="1:39" hidden="1" x14ac:dyDescent="0.3">
      <c r="A5320" s="93" t="s">
        <v>3395</v>
      </c>
      <c r="B5320" s="94" t="s">
        <v>35</v>
      </c>
      <c r="C5320" s="94" t="s">
        <v>164</v>
      </c>
      <c r="D5320" s="94" t="s">
        <v>169</v>
      </c>
      <c r="E5320" s="94" t="s">
        <v>2695</v>
      </c>
      <c r="F5320" s="94" t="s">
        <v>3253</v>
      </c>
      <c r="G5320" s="94" t="s">
        <v>2695</v>
      </c>
      <c r="H5320" s="157">
        <v>84</v>
      </c>
      <c r="I5320" s="94" t="s">
        <v>3252</v>
      </c>
      <c r="J5320" s="1" t="s">
        <v>3323</v>
      </c>
      <c r="K5320" s="1" t="s">
        <v>701</v>
      </c>
      <c r="L5320" s="1" t="s">
        <v>35</v>
      </c>
      <c r="M5320" s="94" t="s">
        <v>2720</v>
      </c>
      <c r="N5320" s="94"/>
      <c r="O5320" s="70" t="s">
        <v>410</v>
      </c>
      <c r="P5320" s="70" t="s">
        <v>41</v>
      </c>
      <c r="Q5320" s="71">
        <v>0</v>
      </c>
      <c r="R5320" s="145">
        <v>7169</v>
      </c>
      <c r="S5320" s="70"/>
      <c r="T5320" s="72"/>
      <c r="U5320" s="72"/>
      <c r="V5320" s="72">
        <f t="shared" si="815"/>
        <v>3343.8834951456565</v>
      </c>
      <c r="W5320" s="72"/>
      <c r="X5320" s="72">
        <v>3343.8834951456565</v>
      </c>
      <c r="Y5320" s="13">
        <f t="shared" si="817"/>
        <v>0</v>
      </c>
      <c r="Z5320" s="71">
        <v>0</v>
      </c>
      <c r="AA5320" s="72">
        <v>0</v>
      </c>
      <c r="AB5320" s="4">
        <f t="shared" si="818"/>
        <v>3343.8834951456565</v>
      </c>
      <c r="AC5320" s="74"/>
      <c r="AD5320" s="72">
        <f t="shared" si="816"/>
        <v>3343.8834951456565</v>
      </c>
      <c r="AE5320" s="75">
        <v>0</v>
      </c>
      <c r="AF5320" s="72"/>
      <c r="AG5320" s="71">
        <v>0</v>
      </c>
      <c r="AH5320" s="73"/>
      <c r="AI5320" s="70" t="s">
        <v>3661</v>
      </c>
      <c r="AJ5320" s="126" t="e">
        <v>#N/A</v>
      </c>
      <c r="AK5320" s="80">
        <f t="shared" si="819"/>
        <v>0</v>
      </c>
      <c r="AM5320" s="85"/>
    </row>
    <row r="5321" spans="1:39" hidden="1" x14ac:dyDescent="0.3">
      <c r="A5321" s="93" t="s">
        <v>3395</v>
      </c>
      <c r="B5321" s="94" t="s">
        <v>35</v>
      </c>
      <c r="C5321" s="94" t="s">
        <v>164</v>
      </c>
      <c r="D5321" s="94" t="s">
        <v>169</v>
      </c>
      <c r="E5321" s="94" t="s">
        <v>2695</v>
      </c>
      <c r="F5321" s="94" t="s">
        <v>3253</v>
      </c>
      <c r="G5321" s="94" t="s">
        <v>2695</v>
      </c>
      <c r="H5321" s="157">
        <v>84</v>
      </c>
      <c r="I5321" s="94" t="s">
        <v>3252</v>
      </c>
      <c r="J5321" s="1" t="s">
        <v>3323</v>
      </c>
      <c r="K5321" s="1" t="s">
        <v>701</v>
      </c>
      <c r="L5321" s="1" t="s">
        <v>35</v>
      </c>
      <c r="M5321" s="94" t="s">
        <v>2720</v>
      </c>
      <c r="N5321" s="94"/>
      <c r="O5321" s="70" t="s">
        <v>410</v>
      </c>
      <c r="P5321" s="70" t="s">
        <v>41</v>
      </c>
      <c r="Q5321" s="71">
        <v>0</v>
      </c>
      <c r="R5321" s="145">
        <v>7169</v>
      </c>
      <c r="S5321" s="70"/>
      <c r="T5321" s="72"/>
      <c r="U5321" s="72"/>
      <c r="V5321" s="72">
        <f t="shared" si="815"/>
        <v>25187.299999999974</v>
      </c>
      <c r="W5321" s="72"/>
      <c r="X5321" s="72">
        <v>25187.299999999974</v>
      </c>
      <c r="Y5321" s="13">
        <f t="shared" si="817"/>
        <v>0</v>
      </c>
      <c r="Z5321" s="71">
        <v>0</v>
      </c>
      <c r="AA5321" s="72">
        <v>0</v>
      </c>
      <c r="AB5321" s="4">
        <f t="shared" si="818"/>
        <v>25187.299999999974</v>
      </c>
      <c r="AC5321" s="74"/>
      <c r="AD5321" s="72">
        <f t="shared" si="816"/>
        <v>25187.299999999974</v>
      </c>
      <c r="AE5321" s="75">
        <v>0</v>
      </c>
      <c r="AF5321" s="72"/>
      <c r="AG5321" s="71">
        <v>0</v>
      </c>
      <c r="AH5321" s="73"/>
      <c r="AI5321" s="70" t="s">
        <v>3661</v>
      </c>
      <c r="AJ5321" s="126" t="e">
        <v>#N/A</v>
      </c>
      <c r="AK5321" s="80">
        <f t="shared" si="819"/>
        <v>0</v>
      </c>
      <c r="AM5321" s="85"/>
    </row>
    <row r="5322" spans="1:39" hidden="1" x14ac:dyDescent="0.3">
      <c r="A5322" s="93" t="s">
        <v>3394</v>
      </c>
      <c r="B5322" s="94" t="s">
        <v>35</v>
      </c>
      <c r="C5322" s="94" t="s">
        <v>164</v>
      </c>
      <c r="D5322" s="94" t="s">
        <v>181</v>
      </c>
      <c r="E5322" s="94" t="s">
        <v>182</v>
      </c>
      <c r="F5322" s="94" t="s">
        <v>183</v>
      </c>
      <c r="G5322" s="94" t="s">
        <v>182</v>
      </c>
      <c r="H5322" s="157">
        <v>84</v>
      </c>
      <c r="I5322" s="94" t="s">
        <v>3252</v>
      </c>
      <c r="J5322" s="1" t="s">
        <v>3323</v>
      </c>
      <c r="K5322" s="1" t="s">
        <v>701</v>
      </c>
      <c r="L5322" s="1" t="s">
        <v>35</v>
      </c>
      <c r="M5322" s="94" t="s">
        <v>182</v>
      </c>
      <c r="N5322" s="94"/>
      <c r="O5322" s="70" t="s">
        <v>410</v>
      </c>
      <c r="P5322" s="70" t="s">
        <v>41</v>
      </c>
      <c r="Q5322" s="71">
        <v>0</v>
      </c>
      <c r="R5322" s="145">
        <v>7121</v>
      </c>
      <c r="S5322" s="70"/>
      <c r="T5322" s="72"/>
      <c r="U5322" s="72"/>
      <c r="V5322" s="72">
        <f t="shared" si="815"/>
        <v>8331.0204081632655</v>
      </c>
      <c r="W5322" s="72"/>
      <c r="X5322" s="72">
        <v>8164.4000000000005</v>
      </c>
      <c r="Y5322" s="13">
        <f t="shared" si="817"/>
        <v>0</v>
      </c>
      <c r="Z5322" s="71">
        <v>0.02</v>
      </c>
      <c r="AA5322" s="72">
        <v>166.62040816326532</v>
      </c>
      <c r="AB5322" s="4">
        <f t="shared" si="818"/>
        <v>8331.0204081632655</v>
      </c>
      <c r="AC5322" s="74"/>
      <c r="AD5322" s="72">
        <f t="shared" si="816"/>
        <v>8331.0204081632655</v>
      </c>
      <c r="AE5322" s="75">
        <v>0</v>
      </c>
      <c r="AF5322" s="72"/>
      <c r="AG5322" s="71">
        <v>0</v>
      </c>
      <c r="AH5322" s="73"/>
      <c r="AI5322" s="70" t="s">
        <v>3660</v>
      </c>
      <c r="AJ5322" s="126" t="e">
        <v>#N/A</v>
      </c>
      <c r="AK5322" s="80">
        <f t="shared" si="819"/>
        <v>0</v>
      </c>
      <c r="AM5322" s="85"/>
    </row>
    <row r="5323" spans="1:39" hidden="1" x14ac:dyDescent="0.3">
      <c r="A5323" s="93" t="s">
        <v>3397</v>
      </c>
      <c r="B5323" s="94" t="s">
        <v>35</v>
      </c>
      <c r="C5323" s="94" t="s">
        <v>36</v>
      </c>
      <c r="D5323" s="94" t="s">
        <v>54</v>
      </c>
      <c r="E5323" s="94" t="s">
        <v>55</v>
      </c>
      <c r="F5323" s="94" t="s">
        <v>55</v>
      </c>
      <c r="G5323" s="94" t="s">
        <v>55</v>
      </c>
      <c r="H5323" s="157">
        <v>84</v>
      </c>
      <c r="I5323" s="94" t="s">
        <v>3252</v>
      </c>
      <c r="J5323" s="1" t="s">
        <v>3323</v>
      </c>
      <c r="K5323" s="1" t="s">
        <v>701</v>
      </c>
      <c r="L5323" s="1" t="s">
        <v>35</v>
      </c>
      <c r="M5323" s="94" t="s">
        <v>2832</v>
      </c>
      <c r="N5323" s="94"/>
      <c r="O5323" s="70" t="s">
        <v>410</v>
      </c>
      <c r="P5323" s="70" t="s">
        <v>41</v>
      </c>
      <c r="Q5323" s="71">
        <v>0</v>
      </c>
      <c r="R5323" s="145">
        <v>7265</v>
      </c>
      <c r="S5323" s="70"/>
      <c r="T5323" s="72"/>
      <c r="U5323" s="72"/>
      <c r="V5323" s="72">
        <f t="shared" si="815"/>
        <v>5498.65</v>
      </c>
      <c r="W5323" s="72"/>
      <c r="X5323" s="72">
        <v>5498.65</v>
      </c>
      <c r="Y5323" s="13">
        <f t="shared" si="817"/>
        <v>0</v>
      </c>
      <c r="Z5323" s="71">
        <v>0</v>
      </c>
      <c r="AA5323" s="72">
        <v>0</v>
      </c>
      <c r="AB5323" s="4">
        <f t="shared" si="818"/>
        <v>5498.65</v>
      </c>
      <c r="AC5323" s="74"/>
      <c r="AD5323" s="72">
        <f t="shared" si="816"/>
        <v>5498.65</v>
      </c>
      <c r="AE5323" s="75">
        <v>0</v>
      </c>
      <c r="AF5323" s="72"/>
      <c r="AG5323" s="71">
        <v>0</v>
      </c>
      <c r="AH5323" s="73"/>
      <c r="AI5323" s="70" t="s">
        <v>3661</v>
      </c>
      <c r="AJ5323" s="126" t="e">
        <v>#N/A</v>
      </c>
      <c r="AK5323" s="80">
        <f t="shared" si="819"/>
        <v>0</v>
      </c>
      <c r="AM5323" s="85"/>
    </row>
    <row r="5324" spans="1:39" hidden="1" x14ac:dyDescent="0.3">
      <c r="A5324" s="93" t="s">
        <v>3394</v>
      </c>
      <c r="B5324" s="94" t="s">
        <v>35</v>
      </c>
      <c r="C5324" s="94" t="s">
        <v>47</v>
      </c>
      <c r="D5324" s="94" t="s">
        <v>63</v>
      </c>
      <c r="E5324" s="94" t="s">
        <v>127</v>
      </c>
      <c r="F5324" s="94" t="s">
        <v>127</v>
      </c>
      <c r="G5324" s="94" t="s">
        <v>127</v>
      </c>
      <c r="H5324" s="157">
        <v>84</v>
      </c>
      <c r="I5324" s="94" t="s">
        <v>3252</v>
      </c>
      <c r="J5324" s="1" t="s">
        <v>3323</v>
      </c>
      <c r="K5324" s="1" t="s">
        <v>701</v>
      </c>
      <c r="L5324" s="1" t="s">
        <v>35</v>
      </c>
      <c r="M5324" s="94" t="s">
        <v>127</v>
      </c>
      <c r="N5324" s="94"/>
      <c r="O5324" s="70" t="s">
        <v>410</v>
      </c>
      <c r="P5324" s="70" t="s">
        <v>41</v>
      </c>
      <c r="Q5324" s="71">
        <v>0</v>
      </c>
      <c r="R5324" s="145">
        <v>7545</v>
      </c>
      <c r="S5324" s="70"/>
      <c r="T5324" s="72"/>
      <c r="U5324" s="72"/>
      <c r="V5324" s="72">
        <f t="shared" si="815"/>
        <v>16827.21</v>
      </c>
      <c r="W5324" s="72"/>
      <c r="X5324" s="72">
        <v>16827.21</v>
      </c>
      <c r="Y5324" s="13">
        <f t="shared" si="817"/>
        <v>0</v>
      </c>
      <c r="Z5324" s="71">
        <v>0</v>
      </c>
      <c r="AA5324" s="72">
        <v>0</v>
      </c>
      <c r="AB5324" s="4">
        <f t="shared" si="818"/>
        <v>16827.21</v>
      </c>
      <c r="AC5324" s="74"/>
      <c r="AD5324" s="72">
        <f t="shared" si="816"/>
        <v>16827.21</v>
      </c>
      <c r="AE5324" s="75">
        <v>0</v>
      </c>
      <c r="AF5324" s="72"/>
      <c r="AG5324" s="71">
        <v>0</v>
      </c>
      <c r="AH5324" s="73"/>
      <c r="AI5324" s="70" t="s">
        <v>3661</v>
      </c>
      <c r="AJ5324" s="126" t="e">
        <v>#N/A</v>
      </c>
      <c r="AK5324" s="80">
        <f t="shared" si="819"/>
        <v>0</v>
      </c>
      <c r="AM5324" s="85"/>
    </row>
    <row r="5325" spans="1:39" hidden="1" x14ac:dyDescent="0.3">
      <c r="A5325" s="93" t="s">
        <v>3394</v>
      </c>
      <c r="B5325" s="94" t="s">
        <v>35</v>
      </c>
      <c r="C5325" s="94" t="s">
        <v>36</v>
      </c>
      <c r="D5325" s="94" t="s">
        <v>54</v>
      </c>
      <c r="E5325" s="94" t="s">
        <v>2695</v>
      </c>
      <c r="F5325" s="94" t="s">
        <v>2695</v>
      </c>
      <c r="G5325" s="94" t="s">
        <v>2695</v>
      </c>
      <c r="H5325" s="157">
        <v>84</v>
      </c>
      <c r="I5325" s="94" t="s">
        <v>3252</v>
      </c>
      <c r="J5325" s="1" t="s">
        <v>3323</v>
      </c>
      <c r="K5325" s="1" t="s">
        <v>701</v>
      </c>
      <c r="L5325" s="1" t="s">
        <v>35</v>
      </c>
      <c r="M5325" s="94" t="s">
        <v>2865</v>
      </c>
      <c r="N5325" s="94"/>
      <c r="O5325" s="70" t="s">
        <v>410</v>
      </c>
      <c r="P5325" s="70" t="s">
        <v>41</v>
      </c>
      <c r="Q5325" s="71">
        <v>0</v>
      </c>
      <c r="R5325" s="145">
        <v>7523</v>
      </c>
      <c r="S5325" s="70"/>
      <c r="T5325" s="72"/>
      <c r="U5325" s="72"/>
      <c r="V5325" s="72">
        <f t="shared" si="815"/>
        <v>18163.194174757307</v>
      </c>
      <c r="W5325" s="72"/>
      <c r="X5325" s="72">
        <v>18163.194174757307</v>
      </c>
      <c r="Y5325" s="13">
        <f t="shared" si="817"/>
        <v>0</v>
      </c>
      <c r="Z5325" s="71">
        <v>0</v>
      </c>
      <c r="AA5325" s="72">
        <v>0</v>
      </c>
      <c r="AB5325" s="4">
        <f t="shared" si="818"/>
        <v>18163.194174757307</v>
      </c>
      <c r="AC5325" s="74"/>
      <c r="AD5325" s="72">
        <f t="shared" si="816"/>
        <v>18163.194174757307</v>
      </c>
      <c r="AE5325" s="75">
        <v>0</v>
      </c>
      <c r="AF5325" s="72"/>
      <c r="AG5325" s="71">
        <v>0</v>
      </c>
      <c r="AH5325" s="73"/>
      <c r="AI5325" s="70" t="s">
        <v>3661</v>
      </c>
      <c r="AJ5325" s="126" t="e">
        <v>#N/A</v>
      </c>
      <c r="AK5325" s="80">
        <f t="shared" si="819"/>
        <v>0</v>
      </c>
      <c r="AM5325" s="85"/>
    </row>
    <row r="5326" spans="1:39" hidden="1" x14ac:dyDescent="0.3">
      <c r="A5326" s="93" t="s">
        <v>3395</v>
      </c>
      <c r="B5326" s="94" t="s">
        <v>35</v>
      </c>
      <c r="C5326" s="94" t="s">
        <v>65</v>
      </c>
      <c r="D5326" s="94" t="s">
        <v>66</v>
      </c>
      <c r="E5326" s="94" t="s">
        <v>2354</v>
      </c>
      <c r="F5326" s="94" t="s">
        <v>2354</v>
      </c>
      <c r="G5326" s="94" t="s">
        <v>2354</v>
      </c>
      <c r="H5326" s="157">
        <v>84</v>
      </c>
      <c r="I5326" s="94" t="s">
        <v>3252</v>
      </c>
      <c r="J5326" s="1" t="s">
        <v>3323</v>
      </c>
      <c r="K5326" s="1" t="s">
        <v>701</v>
      </c>
      <c r="L5326" s="1" t="s">
        <v>35</v>
      </c>
      <c r="M5326" s="94" t="s">
        <v>2354</v>
      </c>
      <c r="N5326" s="94"/>
      <c r="O5326" s="70" t="s">
        <v>941</v>
      </c>
      <c r="P5326" s="70" t="s">
        <v>41</v>
      </c>
      <c r="Q5326" s="71">
        <v>0</v>
      </c>
      <c r="R5326" s="145">
        <v>7109</v>
      </c>
      <c r="S5326" s="70"/>
      <c r="T5326" s="72"/>
      <c r="U5326" s="72"/>
      <c r="V5326" s="72">
        <f t="shared" si="815"/>
        <v>4354</v>
      </c>
      <c r="W5326" s="72"/>
      <c r="X5326" s="72">
        <v>4354</v>
      </c>
      <c r="Y5326" s="13">
        <f t="shared" si="817"/>
        <v>0</v>
      </c>
      <c r="Z5326" s="71">
        <v>0</v>
      </c>
      <c r="AA5326" s="72">
        <v>0</v>
      </c>
      <c r="AB5326" s="4">
        <f t="shared" si="818"/>
        <v>4354</v>
      </c>
      <c r="AC5326" s="74"/>
      <c r="AD5326" s="72">
        <f t="shared" si="816"/>
        <v>4354</v>
      </c>
      <c r="AE5326" s="75">
        <v>0</v>
      </c>
      <c r="AF5326" s="72"/>
      <c r="AG5326" s="71">
        <v>0</v>
      </c>
      <c r="AH5326" s="73"/>
      <c r="AI5326" s="70" t="s">
        <v>3660</v>
      </c>
      <c r="AJ5326" s="126" t="e">
        <v>#N/A</v>
      </c>
      <c r="AK5326" s="80">
        <f t="shared" si="819"/>
        <v>0</v>
      </c>
      <c r="AM5326" s="85"/>
    </row>
    <row r="5327" spans="1:39" hidden="1" x14ac:dyDescent="0.3">
      <c r="A5327" s="93" t="s">
        <v>3395</v>
      </c>
      <c r="B5327" s="94" t="s">
        <v>35</v>
      </c>
      <c r="C5327" s="94" t="s">
        <v>65</v>
      </c>
      <c r="D5327" s="94" t="s">
        <v>66</v>
      </c>
      <c r="E5327" s="94" t="s">
        <v>2678</v>
      </c>
      <c r="F5327" s="94" t="s">
        <v>2679</v>
      </c>
      <c r="G5327" s="94" t="s">
        <v>2678</v>
      </c>
      <c r="H5327" s="157">
        <v>84</v>
      </c>
      <c r="I5327" s="94" t="s">
        <v>3252</v>
      </c>
      <c r="J5327" s="1" t="s">
        <v>3323</v>
      </c>
      <c r="K5327" s="1" t="s">
        <v>701</v>
      </c>
      <c r="L5327" s="1" t="s">
        <v>35</v>
      </c>
      <c r="M5327" s="94" t="s">
        <v>2702</v>
      </c>
      <c r="N5327" s="94"/>
      <c r="O5327" s="70" t="s">
        <v>941</v>
      </c>
      <c r="P5327" s="70" t="s">
        <v>41</v>
      </c>
      <c r="Q5327" s="71">
        <v>0</v>
      </c>
      <c r="R5327" s="145">
        <v>7152</v>
      </c>
      <c r="S5327" s="70"/>
      <c r="T5327" s="72"/>
      <c r="U5327" s="72"/>
      <c r="V5327" s="72">
        <f t="shared" si="815"/>
        <v>45588</v>
      </c>
      <c r="W5327" s="72"/>
      <c r="X5327" s="72">
        <v>45588</v>
      </c>
      <c r="Y5327" s="13">
        <f t="shared" si="817"/>
        <v>0</v>
      </c>
      <c r="Z5327" s="71">
        <v>0</v>
      </c>
      <c r="AA5327" s="72">
        <v>0</v>
      </c>
      <c r="AB5327" s="4">
        <f t="shared" si="818"/>
        <v>45588</v>
      </c>
      <c r="AC5327" s="74"/>
      <c r="AD5327" s="72">
        <f t="shared" si="816"/>
        <v>45588</v>
      </c>
      <c r="AE5327" s="75">
        <v>0</v>
      </c>
      <c r="AF5327" s="72"/>
      <c r="AG5327" s="71">
        <v>0</v>
      </c>
      <c r="AH5327" s="73"/>
      <c r="AI5327" s="70" t="s">
        <v>3661</v>
      </c>
      <c r="AJ5327" s="126" t="e">
        <v>#N/A</v>
      </c>
      <c r="AK5327" s="80">
        <f t="shared" si="819"/>
        <v>0</v>
      </c>
      <c r="AM5327" s="85"/>
    </row>
    <row r="5328" spans="1:39" hidden="1" x14ac:dyDescent="0.3">
      <c r="A5328" s="93" t="s">
        <v>3395</v>
      </c>
      <c r="B5328" s="94" t="s">
        <v>35</v>
      </c>
      <c r="C5328" s="94" t="s">
        <v>47</v>
      </c>
      <c r="D5328" s="94" t="s">
        <v>48</v>
      </c>
      <c r="E5328" s="94" t="s">
        <v>542</v>
      </c>
      <c r="F5328" s="94" t="s">
        <v>542</v>
      </c>
      <c r="G5328" s="94" t="s">
        <v>542</v>
      </c>
      <c r="H5328" s="157">
        <v>84</v>
      </c>
      <c r="I5328" s="94" t="s">
        <v>3252</v>
      </c>
      <c r="J5328" s="1" t="s">
        <v>3323</v>
      </c>
      <c r="K5328" s="1" t="s">
        <v>701</v>
      </c>
      <c r="L5328" s="1" t="s">
        <v>35</v>
      </c>
      <c r="M5328" s="94" t="s">
        <v>2708</v>
      </c>
      <c r="N5328" s="94"/>
      <c r="O5328" s="70" t="s">
        <v>1058</v>
      </c>
      <c r="P5328" s="70" t="s">
        <v>41</v>
      </c>
      <c r="Q5328" s="71">
        <v>0</v>
      </c>
      <c r="R5328" s="145">
        <v>7148</v>
      </c>
      <c r="S5328" s="70"/>
      <c r="T5328" s="72"/>
      <c r="U5328" s="72"/>
      <c r="V5328" s="72">
        <f t="shared" si="815"/>
        <v>252.36274509803923</v>
      </c>
      <c r="W5328" s="72"/>
      <c r="X5328" s="72">
        <v>252.36274509803923</v>
      </c>
      <c r="Y5328" s="13">
        <f t="shared" si="817"/>
        <v>0</v>
      </c>
      <c r="Z5328" s="71">
        <v>0</v>
      </c>
      <c r="AA5328" s="72">
        <v>0</v>
      </c>
      <c r="AB5328" s="4">
        <f t="shared" si="818"/>
        <v>252.36274509803923</v>
      </c>
      <c r="AC5328" s="74"/>
      <c r="AD5328" s="72">
        <f t="shared" si="816"/>
        <v>252.36274509803923</v>
      </c>
      <c r="AE5328" s="75">
        <v>0</v>
      </c>
      <c r="AF5328" s="72"/>
      <c r="AG5328" s="71">
        <v>0</v>
      </c>
      <c r="AH5328" s="73"/>
      <c r="AI5328" s="70" t="s">
        <v>3660</v>
      </c>
      <c r="AJ5328" s="126" t="e">
        <v>#N/A</v>
      </c>
      <c r="AK5328" s="80">
        <f t="shared" si="819"/>
        <v>0</v>
      </c>
      <c r="AM5328" s="85"/>
    </row>
    <row r="5329" spans="1:39" hidden="1" x14ac:dyDescent="0.3">
      <c r="A5329" s="93" t="s">
        <v>3394</v>
      </c>
      <c r="B5329" s="94" t="s">
        <v>35</v>
      </c>
      <c r="C5329" s="94" t="s">
        <v>36</v>
      </c>
      <c r="D5329" s="94" t="s">
        <v>54</v>
      </c>
      <c r="E5329" s="94" t="s">
        <v>55</v>
      </c>
      <c r="F5329" s="94" t="s">
        <v>55</v>
      </c>
      <c r="G5329" s="94" t="s">
        <v>55</v>
      </c>
      <c r="H5329" s="157">
        <v>84</v>
      </c>
      <c r="I5329" s="94" t="s">
        <v>3252</v>
      </c>
      <c r="J5329" s="1" t="s">
        <v>3323</v>
      </c>
      <c r="K5329" s="1" t="s">
        <v>701</v>
      </c>
      <c r="L5329" s="1" t="s">
        <v>35</v>
      </c>
      <c r="M5329" s="94" t="s">
        <v>2832</v>
      </c>
      <c r="N5329" s="94"/>
      <c r="O5329" s="70" t="s">
        <v>3479</v>
      </c>
      <c r="P5329" s="70" t="s">
        <v>41</v>
      </c>
      <c r="Q5329" s="71">
        <v>0</v>
      </c>
      <c r="R5329" s="145">
        <v>7265</v>
      </c>
      <c r="S5329" s="70"/>
      <c r="T5329" s="72"/>
      <c r="U5329" s="72"/>
      <c r="V5329" s="72">
        <f t="shared" si="815"/>
        <v>1400</v>
      </c>
      <c r="W5329" s="72"/>
      <c r="X5329" s="72">
        <v>1400</v>
      </c>
      <c r="Y5329" s="13">
        <f t="shared" si="817"/>
        <v>0</v>
      </c>
      <c r="Z5329" s="71">
        <v>0</v>
      </c>
      <c r="AA5329" s="72">
        <v>0</v>
      </c>
      <c r="AB5329" s="4">
        <f t="shared" si="818"/>
        <v>1400</v>
      </c>
      <c r="AC5329" s="74"/>
      <c r="AD5329" s="72">
        <f t="shared" si="816"/>
        <v>1400</v>
      </c>
      <c r="AE5329" s="75">
        <v>0</v>
      </c>
      <c r="AF5329" s="72"/>
      <c r="AG5329" s="71">
        <v>0</v>
      </c>
      <c r="AH5329" s="73"/>
      <c r="AI5329" s="70" t="s">
        <v>3661</v>
      </c>
      <c r="AJ5329" s="126" t="e">
        <v>#N/A</v>
      </c>
      <c r="AK5329" s="80">
        <f t="shared" si="819"/>
        <v>0</v>
      </c>
      <c r="AM5329" s="85"/>
    </row>
    <row r="5330" spans="1:39" hidden="1" x14ac:dyDescent="0.3">
      <c r="A5330" s="89" t="s">
        <v>3672</v>
      </c>
      <c r="B5330" s="48" t="s">
        <v>35</v>
      </c>
      <c r="C5330" s="48" t="s">
        <v>164</v>
      </c>
      <c r="D5330" s="48" t="s">
        <v>169</v>
      </c>
      <c r="E5330" s="48" t="s">
        <v>2518</v>
      </c>
      <c r="F5330" s="48" t="s">
        <v>3662</v>
      </c>
      <c r="G5330" s="48" t="s">
        <v>2518</v>
      </c>
      <c r="H5330" s="158">
        <v>123</v>
      </c>
      <c r="I5330" s="48" t="s">
        <v>3255</v>
      </c>
      <c r="J5330" s="1" t="s">
        <v>3323</v>
      </c>
      <c r="K5330" s="1" t="s">
        <v>3382</v>
      </c>
      <c r="L5330" s="1" t="s">
        <v>35</v>
      </c>
      <c r="M5330" s="48" t="s">
        <v>2519</v>
      </c>
      <c r="N5330" s="48"/>
      <c r="O5330" s="76" t="s">
        <v>45</v>
      </c>
      <c r="P5330" s="76" t="s">
        <v>41</v>
      </c>
      <c r="Q5330" s="2">
        <v>0</v>
      </c>
      <c r="R5330" s="146"/>
      <c r="S5330" s="76"/>
      <c r="T5330" s="4"/>
      <c r="U5330" s="4"/>
      <c r="V5330" s="4">
        <f>X5330</f>
        <v>836764.81249999977</v>
      </c>
      <c r="W5330" s="13"/>
      <c r="X5330" s="13">
        <v>836764.81249999977</v>
      </c>
      <c r="Y5330" s="13">
        <f t="shared" si="817"/>
        <v>0</v>
      </c>
      <c r="Z5330" s="2">
        <v>0</v>
      </c>
      <c r="AA5330" s="4">
        <v>0</v>
      </c>
      <c r="AB5330" s="4">
        <f t="shared" si="818"/>
        <v>836764.81249999977</v>
      </c>
      <c r="AC5330" s="4"/>
      <c r="AD5330" s="4">
        <f>V5330</f>
        <v>836764.81249999977</v>
      </c>
      <c r="AE5330" s="2">
        <v>0</v>
      </c>
      <c r="AF5330" s="4"/>
      <c r="AG5330" s="2">
        <v>0</v>
      </c>
      <c r="AH5330" s="4"/>
      <c r="AI5330" s="76" t="s">
        <v>3661</v>
      </c>
      <c r="AJ5330" s="126" t="e">
        <v>#N/A</v>
      </c>
      <c r="AK5330" s="80">
        <f t="shared" si="819"/>
        <v>0</v>
      </c>
      <c r="AM5330" s="85"/>
    </row>
    <row r="5331" spans="1:39" hidden="1" x14ac:dyDescent="0.3">
      <c r="A5331" s="89" t="s">
        <v>3672</v>
      </c>
      <c r="B5331" s="48" t="s">
        <v>35</v>
      </c>
      <c r="C5331" s="48" t="s">
        <v>164</v>
      </c>
      <c r="D5331" s="48" t="s">
        <v>169</v>
      </c>
      <c r="E5331" s="48" t="s">
        <v>2518</v>
      </c>
      <c r="F5331" s="48" t="s">
        <v>3663</v>
      </c>
      <c r="G5331" s="48" t="s">
        <v>2518</v>
      </c>
      <c r="H5331" s="158">
        <v>123</v>
      </c>
      <c r="I5331" s="48" t="s">
        <v>3255</v>
      </c>
      <c r="J5331" s="1" t="s">
        <v>3323</v>
      </c>
      <c r="K5331" s="1" t="s">
        <v>3382</v>
      </c>
      <c r="L5331" s="1" t="s">
        <v>35</v>
      </c>
      <c r="M5331" s="48" t="s">
        <v>2519</v>
      </c>
      <c r="N5331" s="48"/>
      <c r="O5331" s="76" t="s">
        <v>40</v>
      </c>
      <c r="P5331" s="76" t="s">
        <v>41</v>
      </c>
      <c r="Q5331" s="2">
        <v>0</v>
      </c>
      <c r="R5331" s="146"/>
      <c r="S5331" s="76"/>
      <c r="T5331" s="4"/>
      <c r="U5331" s="4"/>
      <c r="V5331" s="4">
        <f t="shared" ref="V5331:V5332" si="820">X5331</f>
        <v>215279.15942028977</v>
      </c>
      <c r="W5331" s="13"/>
      <c r="X5331" s="13">
        <v>215279.15942028977</v>
      </c>
      <c r="Y5331" s="13">
        <f t="shared" si="817"/>
        <v>0</v>
      </c>
      <c r="Z5331" s="2">
        <v>0</v>
      </c>
      <c r="AA5331" s="4">
        <v>0</v>
      </c>
      <c r="AB5331" s="4">
        <f t="shared" si="818"/>
        <v>215279.15942028977</v>
      </c>
      <c r="AC5331" s="4"/>
      <c r="AD5331" s="4">
        <f t="shared" ref="AD5331:AD5332" si="821">V5331</f>
        <v>215279.15942028977</v>
      </c>
      <c r="AE5331" s="2">
        <v>0</v>
      </c>
      <c r="AF5331" s="4"/>
      <c r="AG5331" s="2">
        <v>0</v>
      </c>
      <c r="AH5331" s="4"/>
      <c r="AI5331" s="76" t="s">
        <v>3660</v>
      </c>
      <c r="AJ5331" s="126" t="e">
        <v>#N/A</v>
      </c>
      <c r="AK5331" s="80">
        <f t="shared" si="819"/>
        <v>0</v>
      </c>
      <c r="AM5331" s="85"/>
    </row>
    <row r="5332" spans="1:39" hidden="1" x14ac:dyDescent="0.3">
      <c r="A5332" s="89" t="s">
        <v>3672</v>
      </c>
      <c r="B5332" s="48" t="s">
        <v>35</v>
      </c>
      <c r="C5332" s="48" t="s">
        <v>187</v>
      </c>
      <c r="D5332" s="48" t="s">
        <v>188</v>
      </c>
      <c r="E5332" s="48" t="s">
        <v>3664</v>
      </c>
      <c r="F5332" s="48" t="s">
        <v>3665</v>
      </c>
      <c r="G5332" s="48" t="s">
        <v>3668</v>
      </c>
      <c r="H5332" s="158">
        <v>123</v>
      </c>
      <c r="I5332" s="48" t="s">
        <v>3255</v>
      </c>
      <c r="J5332" s="1" t="s">
        <v>3323</v>
      </c>
      <c r="K5332" s="1" t="s">
        <v>3382</v>
      </c>
      <c r="L5332" s="1" t="s">
        <v>35</v>
      </c>
      <c r="M5332" s="48" t="s">
        <v>3258</v>
      </c>
      <c r="N5332" s="48"/>
      <c r="O5332" s="76" t="s">
        <v>40</v>
      </c>
      <c r="P5332" s="76" t="s">
        <v>41</v>
      </c>
      <c r="Q5332" s="2">
        <v>0</v>
      </c>
      <c r="R5332" s="146"/>
      <c r="S5332" s="76"/>
      <c r="T5332" s="4"/>
      <c r="U5332" s="4"/>
      <c r="V5332" s="4">
        <f t="shared" si="820"/>
        <v>38482.933333333342</v>
      </c>
      <c r="W5332" s="13"/>
      <c r="X5332" s="13">
        <v>38482.933333333342</v>
      </c>
      <c r="Y5332" s="13">
        <f t="shared" si="817"/>
        <v>0</v>
      </c>
      <c r="Z5332" s="2">
        <v>0</v>
      </c>
      <c r="AA5332" s="4">
        <v>0</v>
      </c>
      <c r="AB5332" s="4">
        <f t="shared" si="818"/>
        <v>38482.933333333342</v>
      </c>
      <c r="AC5332" s="4"/>
      <c r="AD5332" s="4">
        <f t="shared" si="821"/>
        <v>38482.933333333342</v>
      </c>
      <c r="AE5332" s="2">
        <v>0</v>
      </c>
      <c r="AF5332" s="4"/>
      <c r="AG5332" s="2">
        <v>0</v>
      </c>
      <c r="AH5332" s="4"/>
      <c r="AI5332" s="76" t="s">
        <v>3250</v>
      </c>
      <c r="AJ5332" s="126" t="e">
        <v>#N/A</v>
      </c>
      <c r="AK5332" s="80">
        <f t="shared" si="819"/>
        <v>0</v>
      </c>
      <c r="AM5332" s="85"/>
    </row>
    <row r="5333" spans="1:39" hidden="1" x14ac:dyDescent="0.3">
      <c r="A5333" s="89" t="s">
        <v>3672</v>
      </c>
      <c r="B5333" s="86" t="s">
        <v>35</v>
      </c>
      <c r="C5333" s="86" t="s">
        <v>59</v>
      </c>
      <c r="D5333" s="86" t="s">
        <v>60</v>
      </c>
      <c r="E5333" s="86" t="s">
        <v>78</v>
      </c>
      <c r="F5333" s="86" t="s">
        <v>3195</v>
      </c>
      <c r="G5333" s="86" t="s">
        <v>78</v>
      </c>
      <c r="H5333" s="143">
        <v>229</v>
      </c>
      <c r="I5333" s="86" t="s">
        <v>3356</v>
      </c>
      <c r="J5333" s="1" t="s">
        <v>3326</v>
      </c>
      <c r="K5333" s="1" t="s">
        <v>3283</v>
      </c>
      <c r="L5333" s="1" t="s">
        <v>35</v>
      </c>
      <c r="M5333" s="86"/>
      <c r="N5333" s="86" t="s">
        <v>3283</v>
      </c>
      <c r="O5333" s="8" t="s">
        <v>3666</v>
      </c>
      <c r="P5333" s="8" t="s">
        <v>3667</v>
      </c>
      <c r="Q5333" s="77">
        <v>0.02</v>
      </c>
      <c r="R5333" s="139"/>
      <c r="S5333" s="8"/>
      <c r="T5333" s="18"/>
      <c r="U5333" s="18">
        <v>0</v>
      </c>
      <c r="V5333" s="18"/>
      <c r="W5333" s="18"/>
      <c r="X5333" s="18"/>
      <c r="Y5333" s="13">
        <f t="shared" si="817"/>
        <v>0</v>
      </c>
      <c r="Z5333" s="77">
        <v>0</v>
      </c>
      <c r="AA5333" s="18"/>
      <c r="AB5333" s="4">
        <f t="shared" si="818"/>
        <v>0</v>
      </c>
      <c r="AC5333" s="18">
        <v>1290604</v>
      </c>
      <c r="AD5333" s="18"/>
      <c r="AE5333" s="2">
        <v>0.05</v>
      </c>
      <c r="AF5333" s="6">
        <f t="shared" ref="AF5333:AF5347" si="822">AD5333*AE5333</f>
        <v>0</v>
      </c>
      <c r="AG5333" s="77">
        <v>0</v>
      </c>
      <c r="AH5333" s="8"/>
      <c r="AI5333" s="8"/>
      <c r="AJ5333" s="126" t="e">
        <v>#N/A</v>
      </c>
      <c r="AK5333" s="80">
        <f t="shared" si="819"/>
        <v>0</v>
      </c>
      <c r="AM5333" s="85"/>
    </row>
    <row r="5334" spans="1:39" hidden="1" x14ac:dyDescent="0.3">
      <c r="A5334" s="89" t="s">
        <v>3395</v>
      </c>
      <c r="B5334" s="86" t="s">
        <v>35</v>
      </c>
      <c r="C5334" s="86" t="s">
        <v>36</v>
      </c>
      <c r="D5334" s="86" t="s">
        <v>54</v>
      </c>
      <c r="E5334" s="86" t="s">
        <v>2695</v>
      </c>
      <c r="F5334" s="86" t="s">
        <v>2696</v>
      </c>
      <c r="G5334" s="86" t="s">
        <v>1845</v>
      </c>
      <c r="H5334" s="143">
        <v>83</v>
      </c>
      <c r="I5334" s="86" t="s">
        <v>78</v>
      </c>
      <c r="J5334" s="1" t="s">
        <v>3303</v>
      </c>
      <c r="K5334" s="1" t="s">
        <v>3276</v>
      </c>
      <c r="L5334" s="1" t="s">
        <v>701</v>
      </c>
      <c r="M5334" s="86" t="s">
        <v>2697</v>
      </c>
      <c r="N5334" s="86"/>
      <c r="O5334" s="47" t="s">
        <v>410</v>
      </c>
      <c r="P5334" s="8" t="s">
        <v>46</v>
      </c>
      <c r="Q5334" s="9">
        <v>0.03</v>
      </c>
      <c r="R5334" s="143">
        <v>7170</v>
      </c>
      <c r="S5334" s="47"/>
      <c r="T5334" s="6">
        <v>40635.070000000036</v>
      </c>
      <c r="U5334" s="6">
        <v>0</v>
      </c>
      <c r="V5334" s="6">
        <v>0</v>
      </c>
      <c r="W5334" s="6">
        <f t="shared" ref="W5334:W5336" si="823">T5334+U5334-V5334</f>
        <v>40635.070000000036</v>
      </c>
      <c r="X5334" s="6">
        <f t="shared" ref="X5334:X5339" si="824">IF(P5334="折扣",V5334*Q5334,IF(P5334="返现",V5334,V5334/(1+Q5334)))</f>
        <v>0</v>
      </c>
      <c r="Y5334" s="13">
        <f t="shared" si="817"/>
        <v>0</v>
      </c>
      <c r="Z5334" s="14">
        <v>0</v>
      </c>
      <c r="AA5334" s="6">
        <v>0</v>
      </c>
      <c r="AB5334" s="4">
        <f t="shared" si="818"/>
        <v>0</v>
      </c>
      <c r="AC5334" s="4">
        <f t="shared" ref="AC5334:AC5347" si="825">IF(P5334="返现",X5334*Q5334,V5334-X5334)</f>
        <v>0</v>
      </c>
      <c r="AD5334" s="6">
        <f t="shared" ref="AD5334:AD5335" si="826">V5334</f>
        <v>0</v>
      </c>
      <c r="AE5334" s="2">
        <f>VLOOKUP(I5334,[1]媒体政策预估表!A:N,MATCH(O5334,[1]媒体政策预估表!$A$2:$M$2,0),0)</f>
        <v>0.17</v>
      </c>
      <c r="AF5334" s="6">
        <f t="shared" si="822"/>
        <v>0</v>
      </c>
      <c r="AG5334" s="14">
        <v>0</v>
      </c>
      <c r="AH5334" s="64">
        <f t="shared" ref="AH5334:AH5336" si="827">V5334</f>
        <v>0</v>
      </c>
      <c r="AI5334" s="47"/>
      <c r="AJ5334" s="126" t="e">
        <v>#N/A</v>
      </c>
      <c r="AK5334" s="80">
        <f t="shared" si="819"/>
        <v>0</v>
      </c>
      <c r="AM5334" s="85"/>
    </row>
    <row r="5335" spans="1:39" hidden="1" x14ac:dyDescent="0.3">
      <c r="A5335" s="89" t="s">
        <v>3395</v>
      </c>
      <c r="B5335" s="86" t="s">
        <v>35</v>
      </c>
      <c r="C5335" s="86" t="s">
        <v>65</v>
      </c>
      <c r="D5335" s="86" t="s">
        <v>122</v>
      </c>
      <c r="E5335" s="86" t="s">
        <v>1266</v>
      </c>
      <c r="F5335" s="86" t="s">
        <v>1266</v>
      </c>
      <c r="G5335" s="86" t="s">
        <v>1266</v>
      </c>
      <c r="H5335" s="143">
        <v>360</v>
      </c>
      <c r="I5335" s="86" t="s">
        <v>1060</v>
      </c>
      <c r="J5335" s="1" t="s">
        <v>3325</v>
      </c>
      <c r="K5335" s="1" t="s">
        <v>3287</v>
      </c>
      <c r="L5335" s="1" t="s">
        <v>35</v>
      </c>
      <c r="M5335" s="86" t="s">
        <v>1267</v>
      </c>
      <c r="N5335" s="86"/>
      <c r="O5335" s="47" t="s">
        <v>410</v>
      </c>
      <c r="P5335" s="47" t="s">
        <v>41</v>
      </c>
      <c r="Q5335" s="14">
        <v>0</v>
      </c>
      <c r="R5335" s="143" t="s">
        <v>1268</v>
      </c>
      <c r="S5335" s="47"/>
      <c r="T5335" s="6">
        <v>0</v>
      </c>
      <c r="U5335" s="6">
        <v>10000</v>
      </c>
      <c r="V5335" s="6">
        <v>0</v>
      </c>
      <c r="W5335" s="6">
        <f t="shared" si="823"/>
        <v>10000</v>
      </c>
      <c r="X5335" s="6">
        <f t="shared" si="824"/>
        <v>0</v>
      </c>
      <c r="Y5335" s="13">
        <f t="shared" si="817"/>
        <v>0</v>
      </c>
      <c r="Z5335" s="14">
        <v>0</v>
      </c>
      <c r="AA5335" s="6">
        <v>0</v>
      </c>
      <c r="AB5335" s="4">
        <f t="shared" si="818"/>
        <v>0</v>
      </c>
      <c r="AC5335" s="4">
        <f t="shared" si="825"/>
        <v>0</v>
      </c>
      <c r="AD5335" s="6">
        <f t="shared" si="826"/>
        <v>0</v>
      </c>
      <c r="AE5335" s="2">
        <f>VLOOKUP(I5335,[1]媒体政策预估表!A:N,MATCH(O5335,[1]媒体政策预估表!$A$2:$M$2,0),0)</f>
        <v>7.0000000000000007E-2</v>
      </c>
      <c r="AF5335" s="6">
        <f t="shared" si="822"/>
        <v>0</v>
      </c>
      <c r="AG5335" s="14">
        <v>0</v>
      </c>
      <c r="AH5335" s="65">
        <f t="shared" si="827"/>
        <v>0</v>
      </c>
      <c r="AI5335" s="47"/>
      <c r="AJ5335" s="126" t="e">
        <v>#N/A</v>
      </c>
      <c r="AK5335" s="80">
        <f t="shared" si="819"/>
        <v>0</v>
      </c>
      <c r="AM5335" s="85"/>
    </row>
    <row r="5336" spans="1:39" hidden="1" x14ac:dyDescent="0.3">
      <c r="A5336" s="85" t="s">
        <v>3394</v>
      </c>
      <c r="B5336" s="15" t="s">
        <v>35</v>
      </c>
      <c r="C5336" s="15" t="s">
        <v>65</v>
      </c>
      <c r="D5336" s="15" t="s">
        <v>122</v>
      </c>
      <c r="E5336" s="15" t="s">
        <v>1266</v>
      </c>
      <c r="F5336" s="15" t="s">
        <v>1266</v>
      </c>
      <c r="G5336" s="15" t="s">
        <v>1266</v>
      </c>
      <c r="H5336" s="139">
        <v>360</v>
      </c>
      <c r="I5336" s="15" t="s">
        <v>1060</v>
      </c>
      <c r="J5336" s="1" t="s">
        <v>3325</v>
      </c>
      <c r="K5336" s="1" t="s">
        <v>3287</v>
      </c>
      <c r="L5336" s="1" t="s">
        <v>35</v>
      </c>
      <c r="M5336" s="15" t="s">
        <v>1267</v>
      </c>
      <c r="N5336" s="15"/>
      <c r="O5336" s="8" t="s">
        <v>1196</v>
      </c>
      <c r="P5336" s="8" t="s">
        <v>41</v>
      </c>
      <c r="Q5336" s="14">
        <v>0</v>
      </c>
      <c r="R5336" s="139" t="s">
        <v>1268</v>
      </c>
      <c r="S5336" s="15"/>
      <c r="T5336" s="6">
        <v>0</v>
      </c>
      <c r="U5336" s="6">
        <v>10000</v>
      </c>
      <c r="V5336" s="6">
        <v>0</v>
      </c>
      <c r="W5336" s="18">
        <f t="shared" si="823"/>
        <v>10000</v>
      </c>
      <c r="X5336" s="18">
        <f t="shared" si="824"/>
        <v>0</v>
      </c>
      <c r="Y5336" s="13">
        <f t="shared" si="817"/>
        <v>0</v>
      </c>
      <c r="Z5336" s="14">
        <v>0</v>
      </c>
      <c r="AA5336" s="4">
        <v>0</v>
      </c>
      <c r="AB5336" s="4">
        <f t="shared" si="818"/>
        <v>0</v>
      </c>
      <c r="AC5336" s="6">
        <f t="shared" si="825"/>
        <v>0</v>
      </c>
      <c r="AD5336" s="6">
        <f t="shared" ref="AD5336" si="828">V5336*0.598955254612663</f>
        <v>0</v>
      </c>
      <c r="AE5336" s="2">
        <v>0.12</v>
      </c>
      <c r="AF5336" s="5">
        <f t="shared" si="822"/>
        <v>0</v>
      </c>
      <c r="AG5336" s="14">
        <v>0</v>
      </c>
      <c r="AH5336" s="19">
        <f t="shared" si="827"/>
        <v>0</v>
      </c>
      <c r="AJ5336" s="126" t="e">
        <v>#N/A</v>
      </c>
      <c r="AK5336" s="80">
        <f t="shared" si="819"/>
        <v>0</v>
      </c>
      <c r="AM5336" s="85"/>
    </row>
    <row r="5337" spans="1:39" hidden="1" x14ac:dyDescent="0.3">
      <c r="A5337" s="89" t="s">
        <v>3383</v>
      </c>
      <c r="B5337" s="86" t="s">
        <v>35</v>
      </c>
      <c r="C5337" s="86" t="s">
        <v>164</v>
      </c>
      <c r="D5337" s="86" t="s">
        <v>174</v>
      </c>
      <c r="E5337" s="86" t="s">
        <v>1617</v>
      </c>
      <c r="F5337" s="86" t="s">
        <v>1617</v>
      </c>
      <c r="G5337" s="86" t="s">
        <v>1617</v>
      </c>
      <c r="H5337" s="144">
        <v>366</v>
      </c>
      <c r="I5337" s="86" t="s">
        <v>3690</v>
      </c>
      <c r="J5337" s="1" t="s">
        <v>3323</v>
      </c>
      <c r="K5337" s="1" t="s">
        <v>3694</v>
      </c>
      <c r="L5337" s="1" t="s">
        <v>35</v>
      </c>
      <c r="M5337" s="86"/>
      <c r="N5337" s="86"/>
      <c r="O5337" s="47" t="s">
        <v>3692</v>
      </c>
      <c r="P5337" s="47" t="s">
        <v>41</v>
      </c>
      <c r="Q5337" s="9">
        <v>0</v>
      </c>
      <c r="R5337" s="143"/>
      <c r="S5337" s="47"/>
      <c r="T5337" s="6"/>
      <c r="U5337" s="6"/>
      <c r="V5337" s="6">
        <v>19018.240000000002</v>
      </c>
      <c r="W5337" s="6">
        <v>0</v>
      </c>
      <c r="X5337" s="6">
        <f t="shared" si="824"/>
        <v>19018.240000000002</v>
      </c>
      <c r="Y5337" s="13">
        <f t="shared" si="817"/>
        <v>0</v>
      </c>
      <c r="Z5337" s="9">
        <v>0</v>
      </c>
      <c r="AA5337" s="6">
        <v>0</v>
      </c>
      <c r="AB5337" s="4">
        <f t="shared" si="818"/>
        <v>19018.240000000002</v>
      </c>
      <c r="AC5337" s="4">
        <f t="shared" si="825"/>
        <v>0</v>
      </c>
      <c r="AD5337" s="6">
        <v>19018.240000000002</v>
      </c>
      <c r="AE5337" s="66">
        <v>0.08</v>
      </c>
      <c r="AF5337" s="6">
        <f t="shared" si="822"/>
        <v>1521.4592000000002</v>
      </c>
      <c r="AG5337" s="9">
        <v>0</v>
      </c>
      <c r="AH5337" s="3"/>
      <c r="AI5337" s="47" t="s">
        <v>3693</v>
      </c>
      <c r="AJ5337" s="126" t="e">
        <v>#N/A</v>
      </c>
      <c r="AK5337" s="80">
        <f t="shared" si="819"/>
        <v>0</v>
      </c>
      <c r="AM5337" s="85"/>
    </row>
    <row r="5338" spans="1:39" hidden="1" x14ac:dyDescent="0.3">
      <c r="A5338" s="89" t="s">
        <v>3391</v>
      </c>
      <c r="B5338" s="86" t="s">
        <v>701</v>
      </c>
      <c r="C5338" s="86" t="s">
        <v>65</v>
      </c>
      <c r="D5338" s="86" t="s">
        <v>66</v>
      </c>
      <c r="E5338" s="86" t="s">
        <v>2853</v>
      </c>
      <c r="F5338" s="86" t="s">
        <v>2853</v>
      </c>
      <c r="G5338" s="3" t="s">
        <v>2853</v>
      </c>
      <c r="H5338" s="143">
        <v>83</v>
      </c>
      <c r="I5338" s="86" t="s">
        <v>78</v>
      </c>
      <c r="J5338" s="1" t="s">
        <v>3303</v>
      </c>
      <c r="K5338" s="1" t="s">
        <v>3763</v>
      </c>
      <c r="L5338" s="1" t="s">
        <v>701</v>
      </c>
      <c r="M5338" s="86" t="s">
        <v>2854</v>
      </c>
      <c r="N5338" s="86"/>
      <c r="O5338" s="47" t="s">
        <v>410</v>
      </c>
      <c r="P5338" s="8" t="s">
        <v>46</v>
      </c>
      <c r="Q5338" s="9">
        <v>0.02</v>
      </c>
      <c r="R5338" s="143">
        <v>7158</v>
      </c>
      <c r="S5338" s="47"/>
      <c r="T5338" s="6">
        <v>31640.199999999997</v>
      </c>
      <c r="U5338" s="6">
        <v>0</v>
      </c>
      <c r="V5338" s="6">
        <v>0</v>
      </c>
      <c r="W5338" s="6">
        <f t="shared" ref="W5338:W5347" si="829">T5338+U5338-V5338</f>
        <v>31640.199999999997</v>
      </c>
      <c r="X5338" s="13">
        <f t="shared" si="824"/>
        <v>0</v>
      </c>
      <c r="Y5338" s="13">
        <f t="shared" si="817"/>
        <v>0</v>
      </c>
      <c r="Z5338" s="14">
        <v>0</v>
      </c>
      <c r="AA5338" s="6">
        <v>0</v>
      </c>
      <c r="AB5338" s="4">
        <f t="shared" si="818"/>
        <v>0</v>
      </c>
      <c r="AC5338" s="4">
        <f t="shared" si="825"/>
        <v>0</v>
      </c>
      <c r="AD5338" s="6">
        <f t="shared" ref="AD5338:AD5339" si="830">V5338</f>
        <v>0</v>
      </c>
      <c r="AE5338" s="2">
        <f>VLOOKUP(I5338,[1]媒体政策预估表!A:N,MATCH(O5338,[1]媒体政策预估表!$A$2:$M$2,0),0)</f>
        <v>0.17</v>
      </c>
      <c r="AF5338" s="6">
        <f t="shared" si="822"/>
        <v>0</v>
      </c>
      <c r="AG5338" s="14">
        <v>0</v>
      </c>
      <c r="AH5338" s="64">
        <f t="shared" ref="AH5338:AH5339" si="831">V5338</f>
        <v>0</v>
      </c>
      <c r="AI5338" s="47"/>
      <c r="AJ5338" s="126" t="e">
        <v>#N/A</v>
      </c>
      <c r="AK5338" s="80">
        <f t="shared" si="819"/>
        <v>0</v>
      </c>
      <c r="AM5338" s="85"/>
    </row>
    <row r="5339" spans="1:39" hidden="1" x14ac:dyDescent="0.3">
      <c r="A5339" s="85" t="s">
        <v>34</v>
      </c>
      <c r="B5339" s="3" t="s">
        <v>35</v>
      </c>
      <c r="C5339" s="3" t="s">
        <v>184</v>
      </c>
      <c r="D5339" s="3" t="s">
        <v>185</v>
      </c>
      <c r="E5339" s="3" t="s">
        <v>186</v>
      </c>
      <c r="F5339" s="3" t="s">
        <v>186</v>
      </c>
      <c r="G5339" s="3" t="s">
        <v>186</v>
      </c>
      <c r="I5339" s="3" t="s">
        <v>2572</v>
      </c>
      <c r="J5339" s="1" t="s">
        <v>3327</v>
      </c>
      <c r="K5339" s="1" t="s">
        <v>3284</v>
      </c>
      <c r="L5339" s="1" t="s">
        <v>35</v>
      </c>
      <c r="M5339" s="3" t="s">
        <v>2584</v>
      </c>
      <c r="O5339" s="1" t="s">
        <v>410</v>
      </c>
      <c r="P5339" s="1" t="s">
        <v>41</v>
      </c>
      <c r="Q5339" s="2">
        <v>0</v>
      </c>
      <c r="R5339" s="138">
        <v>400002932</v>
      </c>
      <c r="T5339" s="4">
        <v>0</v>
      </c>
      <c r="U5339" s="4">
        <v>10000000</v>
      </c>
      <c r="V5339" s="4">
        <v>8560686.0599999968</v>
      </c>
      <c r="W5339" s="13">
        <f t="shared" si="829"/>
        <v>1439313.9400000032</v>
      </c>
      <c r="X5339" s="13">
        <f t="shared" si="824"/>
        <v>8560686.0599999968</v>
      </c>
      <c r="Y5339" s="13">
        <f t="shared" si="817"/>
        <v>0</v>
      </c>
      <c r="Z5339" s="2">
        <v>0</v>
      </c>
      <c r="AA5339" s="4">
        <v>0</v>
      </c>
      <c r="AB5339" s="4">
        <f t="shared" si="818"/>
        <v>8560686.0599999968</v>
      </c>
      <c r="AC5339" s="6">
        <f t="shared" si="825"/>
        <v>0</v>
      </c>
      <c r="AD5339" s="13">
        <f t="shared" si="830"/>
        <v>8560686.0599999968</v>
      </c>
      <c r="AE5339" s="2">
        <v>0</v>
      </c>
      <c r="AF5339" s="5">
        <f t="shared" si="822"/>
        <v>0</v>
      </c>
      <c r="AG5339" s="2">
        <v>0</v>
      </c>
      <c r="AH5339" s="5">
        <f t="shared" si="831"/>
        <v>8560686.0599999968</v>
      </c>
      <c r="AJ5339" s="126" t="e">
        <v>#N/A</v>
      </c>
      <c r="AK5339" s="80">
        <f t="shared" si="819"/>
        <v>0</v>
      </c>
      <c r="AM5339" s="85"/>
    </row>
    <row r="5340" spans="1:39" hidden="1" x14ac:dyDescent="0.3">
      <c r="A5340" s="85" t="s">
        <v>34</v>
      </c>
      <c r="B5340" s="3" t="s">
        <v>35</v>
      </c>
      <c r="C5340" s="3" t="s">
        <v>47</v>
      </c>
      <c r="D5340" s="3" t="s">
        <v>63</v>
      </c>
      <c r="E5340" s="3" t="s">
        <v>2393</v>
      </c>
      <c r="F5340" s="3" t="s">
        <v>2394</v>
      </c>
      <c r="G5340" s="3" t="s">
        <v>2393</v>
      </c>
      <c r="I5340" s="3" t="s">
        <v>2374</v>
      </c>
      <c r="J5340" s="1" t="s">
        <v>3322</v>
      </c>
      <c r="K5340" s="1" t="s">
        <v>3269</v>
      </c>
      <c r="L5340" s="1" t="s">
        <v>35</v>
      </c>
      <c r="M5340" s="3" t="s">
        <v>2402</v>
      </c>
      <c r="O5340" s="1" t="s">
        <v>45</v>
      </c>
      <c r="P5340" s="1" t="s">
        <v>46</v>
      </c>
      <c r="Q5340" s="2">
        <v>5.5E-2</v>
      </c>
      <c r="R5340" s="138"/>
      <c r="T5340" s="4">
        <f>102642.71+10154.37</f>
        <v>112797.08</v>
      </c>
      <c r="U5340" s="4">
        <v>0</v>
      </c>
      <c r="V5340" s="4">
        <f>102642.71+10154.37</f>
        <v>112797.08</v>
      </c>
      <c r="W5340" s="13">
        <f t="shared" si="829"/>
        <v>0</v>
      </c>
      <c r="X5340" s="13">
        <f t="shared" ref="X5340:X5341" si="832">IF(P5340="折扣",V5340*Q5340,IF(P5340="返现",V5340,V5340/(1+Q5340+AG5340)))</f>
        <v>106916.66350710901</v>
      </c>
      <c r="Y5340" s="13">
        <f t="shared" si="817"/>
        <v>106916.66350710901</v>
      </c>
      <c r="Z5340" s="2">
        <v>0</v>
      </c>
      <c r="AA5340" s="4">
        <v>0</v>
      </c>
      <c r="AB5340" s="4">
        <f t="shared" si="818"/>
        <v>106916.66350710901</v>
      </c>
      <c r="AC5340" s="6">
        <f t="shared" si="825"/>
        <v>5880.4164928909886</v>
      </c>
      <c r="AD5340" s="4">
        <v>0</v>
      </c>
      <c r="AE5340" s="2">
        <v>0.06</v>
      </c>
      <c r="AF5340" s="5">
        <f t="shared" si="822"/>
        <v>0</v>
      </c>
      <c r="AG5340" s="2">
        <v>0</v>
      </c>
      <c r="AH5340" s="4">
        <f t="shared" ref="AH5340:AH5341" si="833">V5340/(1+AG5340)</f>
        <v>112797.08</v>
      </c>
      <c r="AJ5340" s="126" t="e">
        <v>#N/A</v>
      </c>
      <c r="AK5340" s="80">
        <f t="shared" si="819"/>
        <v>0</v>
      </c>
      <c r="AM5340" s="85"/>
    </row>
    <row r="5341" spans="1:39" hidden="1" x14ac:dyDescent="0.3">
      <c r="A5341" s="85" t="s">
        <v>34</v>
      </c>
      <c r="B5341" s="3" t="s">
        <v>35</v>
      </c>
      <c r="C5341" s="3" t="s">
        <v>47</v>
      </c>
      <c r="D5341" s="3" t="s">
        <v>63</v>
      </c>
      <c r="E5341" s="3" t="s">
        <v>2393</v>
      </c>
      <c r="F5341" s="3" t="s">
        <v>2399</v>
      </c>
      <c r="G5341" s="3" t="s">
        <v>2393</v>
      </c>
      <c r="I5341" s="3" t="s">
        <v>2374</v>
      </c>
      <c r="J5341" s="1" t="s">
        <v>3322</v>
      </c>
      <c r="K5341" s="1" t="s">
        <v>3269</v>
      </c>
      <c r="L5341" s="1" t="s">
        <v>35</v>
      </c>
      <c r="M5341" s="3" t="s">
        <v>2396</v>
      </c>
      <c r="O5341" s="1" t="s">
        <v>45</v>
      </c>
      <c r="P5341" s="1" t="s">
        <v>46</v>
      </c>
      <c r="Q5341" s="2">
        <v>5.5E-2</v>
      </c>
      <c r="R5341" s="138"/>
      <c r="T5341" s="4">
        <v>63300</v>
      </c>
      <c r="U5341" s="4">
        <v>0</v>
      </c>
      <c r="V5341" s="4">
        <v>32366.450000000026</v>
      </c>
      <c r="W5341" s="13">
        <f t="shared" si="829"/>
        <v>30933.549999999974</v>
      </c>
      <c r="X5341" s="13">
        <f t="shared" si="832"/>
        <v>30679.099526066377</v>
      </c>
      <c r="Y5341" s="13">
        <f t="shared" si="817"/>
        <v>30679.099526066377</v>
      </c>
      <c r="Z5341" s="2">
        <v>0</v>
      </c>
      <c r="AA5341" s="4">
        <v>0</v>
      </c>
      <c r="AB5341" s="4">
        <f t="shared" si="818"/>
        <v>30679.099526066377</v>
      </c>
      <c r="AC5341" s="6">
        <f t="shared" si="825"/>
        <v>1687.3504739336495</v>
      </c>
      <c r="AD5341" s="4">
        <v>0</v>
      </c>
      <c r="AE5341" s="2">
        <v>0.06</v>
      </c>
      <c r="AF5341" s="5">
        <f t="shared" si="822"/>
        <v>0</v>
      </c>
      <c r="AG5341" s="2">
        <v>0</v>
      </c>
      <c r="AH5341" s="4">
        <f t="shared" si="833"/>
        <v>32366.450000000026</v>
      </c>
      <c r="AJ5341" s="126" t="e">
        <v>#N/A</v>
      </c>
      <c r="AK5341" s="80">
        <f t="shared" si="819"/>
        <v>0</v>
      </c>
      <c r="AM5341" s="85"/>
    </row>
    <row r="5342" spans="1:39" hidden="1" x14ac:dyDescent="0.3">
      <c r="A5342" s="85" t="s">
        <v>3704</v>
      </c>
      <c r="B5342" s="15" t="s">
        <v>35</v>
      </c>
      <c r="C5342" s="15" t="s">
        <v>59</v>
      </c>
      <c r="D5342" s="15" t="s">
        <v>60</v>
      </c>
      <c r="E5342" s="15" t="s">
        <v>78</v>
      </c>
      <c r="F5342" s="15" t="s">
        <v>338</v>
      </c>
      <c r="G5342" s="3" t="s">
        <v>78</v>
      </c>
      <c r="H5342" s="139">
        <v>229</v>
      </c>
      <c r="I5342" s="3" t="s">
        <v>3356</v>
      </c>
      <c r="J5342" s="1" t="s">
        <v>3326</v>
      </c>
      <c r="K5342" s="1" t="s">
        <v>3283</v>
      </c>
      <c r="L5342" s="1" t="s">
        <v>35</v>
      </c>
      <c r="M5342" s="86"/>
      <c r="N5342" s="3" t="s">
        <v>80</v>
      </c>
      <c r="O5342" s="8" t="s">
        <v>45</v>
      </c>
      <c r="P5342" s="8" t="s">
        <v>46</v>
      </c>
      <c r="Q5342" s="9">
        <v>0.03</v>
      </c>
      <c r="R5342" s="138"/>
      <c r="T5342" s="18">
        <v>2.139999997918494</v>
      </c>
      <c r="U5342" s="4">
        <v>0</v>
      </c>
      <c r="V5342" s="18">
        <v>0</v>
      </c>
      <c r="W5342" s="13">
        <f t="shared" si="829"/>
        <v>2.139999997918494</v>
      </c>
      <c r="X5342" s="13">
        <f t="shared" ref="X5342:X5347" si="834">IF(P5342="折扣",V5342*Q5342,IF(P5342="返现",V5342,V5342/(1+Q5342)))</f>
        <v>0</v>
      </c>
      <c r="Y5342" s="13">
        <f t="shared" si="817"/>
        <v>0</v>
      </c>
      <c r="Z5342" s="2">
        <v>0</v>
      </c>
      <c r="AA5342" s="4">
        <v>0</v>
      </c>
      <c r="AB5342" s="4">
        <f t="shared" si="818"/>
        <v>0</v>
      </c>
      <c r="AC5342" s="6">
        <f t="shared" si="825"/>
        <v>0</v>
      </c>
      <c r="AD5342" s="13">
        <f t="shared" ref="AD5342:AD5347" si="835">V5342</f>
        <v>0</v>
      </c>
      <c r="AE5342" s="2">
        <v>0.05</v>
      </c>
      <c r="AF5342" s="5">
        <f t="shared" si="822"/>
        <v>0</v>
      </c>
      <c r="AG5342" s="2">
        <v>0</v>
      </c>
      <c r="AH5342" s="5">
        <f t="shared" ref="AH5342:AH5347" si="836">V5342</f>
        <v>0</v>
      </c>
      <c r="AJ5342" s="126" t="e">
        <v>#N/A</v>
      </c>
      <c r="AK5342" s="80">
        <f t="shared" si="819"/>
        <v>0</v>
      </c>
      <c r="AM5342" s="85"/>
    </row>
    <row r="5343" spans="1:39" hidden="1" x14ac:dyDescent="0.3">
      <c r="A5343" s="85" t="s">
        <v>3704</v>
      </c>
      <c r="B5343" s="15" t="s">
        <v>35</v>
      </c>
      <c r="C5343" s="15" t="s">
        <v>59</v>
      </c>
      <c r="D5343" s="15" t="s">
        <v>60</v>
      </c>
      <c r="E5343" s="15" t="s">
        <v>78</v>
      </c>
      <c r="F5343" s="15" t="s">
        <v>331</v>
      </c>
      <c r="G5343" s="3" t="s">
        <v>78</v>
      </c>
      <c r="H5343" s="154">
        <v>229</v>
      </c>
      <c r="I5343" s="3" t="s">
        <v>3356</v>
      </c>
      <c r="J5343" s="1" t="s">
        <v>3326</v>
      </c>
      <c r="K5343" s="1" t="s">
        <v>3283</v>
      </c>
      <c r="L5343" s="1" t="s">
        <v>35</v>
      </c>
      <c r="M5343" s="86"/>
      <c r="N5343" s="3" t="s">
        <v>80</v>
      </c>
      <c r="O5343" s="8" t="s">
        <v>45</v>
      </c>
      <c r="P5343" s="8" t="s">
        <v>46</v>
      </c>
      <c r="Q5343" s="9">
        <v>0.04</v>
      </c>
      <c r="R5343" s="138"/>
      <c r="T5343" s="18">
        <v>7666.7199999745935</v>
      </c>
      <c r="U5343" s="4">
        <v>0</v>
      </c>
      <c r="V5343" s="18">
        <v>7659.43</v>
      </c>
      <c r="W5343" s="13">
        <f t="shared" si="829"/>
        <v>7.2899999745932291</v>
      </c>
      <c r="X5343" s="13">
        <f t="shared" si="834"/>
        <v>7364.8365384615381</v>
      </c>
      <c r="Y5343" s="13">
        <f t="shared" si="817"/>
        <v>0</v>
      </c>
      <c r="Z5343" s="2">
        <v>0</v>
      </c>
      <c r="AA5343" s="4">
        <v>0</v>
      </c>
      <c r="AB5343" s="4">
        <f t="shared" si="818"/>
        <v>7364.8365384615381</v>
      </c>
      <c r="AC5343" s="6">
        <f t="shared" si="825"/>
        <v>294.59346153846218</v>
      </c>
      <c r="AD5343" s="13">
        <f t="shared" si="835"/>
        <v>7659.43</v>
      </c>
      <c r="AE5343" s="2">
        <v>0.05</v>
      </c>
      <c r="AF5343" s="5">
        <f t="shared" si="822"/>
        <v>382.97150000000005</v>
      </c>
      <c r="AG5343" s="2">
        <v>0</v>
      </c>
      <c r="AH5343" s="5">
        <f t="shared" si="836"/>
        <v>7659.43</v>
      </c>
      <c r="AJ5343" s="126" t="e">
        <v>#N/A</v>
      </c>
      <c r="AK5343" s="80">
        <f t="shared" si="819"/>
        <v>0</v>
      </c>
      <c r="AM5343" s="85"/>
    </row>
    <row r="5344" spans="1:39" hidden="1" x14ac:dyDescent="0.3">
      <c r="A5344" s="85" t="s">
        <v>3704</v>
      </c>
      <c r="B5344" s="15" t="s">
        <v>35</v>
      </c>
      <c r="C5344" s="15" t="s">
        <v>59</v>
      </c>
      <c r="D5344" s="15" t="s">
        <v>60</v>
      </c>
      <c r="E5344" s="15" t="s">
        <v>78</v>
      </c>
      <c r="F5344" s="15" t="s">
        <v>334</v>
      </c>
      <c r="G5344" s="3" t="s">
        <v>78</v>
      </c>
      <c r="H5344" s="139">
        <v>229</v>
      </c>
      <c r="I5344" s="3" t="s">
        <v>3356</v>
      </c>
      <c r="J5344" s="1" t="s">
        <v>3326</v>
      </c>
      <c r="K5344" s="1" t="s">
        <v>3283</v>
      </c>
      <c r="L5344" s="1" t="s">
        <v>35</v>
      </c>
      <c r="M5344" s="86"/>
      <c r="N5344" s="3" t="s">
        <v>80</v>
      </c>
      <c r="O5344" s="8" t="s">
        <v>45</v>
      </c>
      <c r="P5344" s="8" t="s">
        <v>46</v>
      </c>
      <c r="Q5344" s="9">
        <v>0.04</v>
      </c>
      <c r="R5344" s="138"/>
      <c r="T5344" s="18">
        <v>49828.080000001471</v>
      </c>
      <c r="U5344" s="4">
        <v>0</v>
      </c>
      <c r="V5344" s="18">
        <v>0</v>
      </c>
      <c r="W5344" s="13">
        <f t="shared" si="829"/>
        <v>49828.080000001471</v>
      </c>
      <c r="X5344" s="13">
        <f t="shared" si="834"/>
        <v>0</v>
      </c>
      <c r="Y5344" s="13">
        <f t="shared" si="817"/>
        <v>0</v>
      </c>
      <c r="Z5344" s="2">
        <v>0</v>
      </c>
      <c r="AA5344" s="4">
        <v>0</v>
      </c>
      <c r="AB5344" s="4">
        <f t="shared" si="818"/>
        <v>0</v>
      </c>
      <c r="AC5344" s="6">
        <f t="shared" si="825"/>
        <v>0</v>
      </c>
      <c r="AD5344" s="13">
        <f t="shared" si="835"/>
        <v>0</v>
      </c>
      <c r="AE5344" s="2">
        <v>0.05</v>
      </c>
      <c r="AF5344" s="5">
        <f t="shared" si="822"/>
        <v>0</v>
      </c>
      <c r="AG5344" s="2">
        <v>0</v>
      </c>
      <c r="AH5344" s="5">
        <f t="shared" si="836"/>
        <v>0</v>
      </c>
      <c r="AJ5344" s="126" t="e">
        <v>#N/A</v>
      </c>
      <c r="AK5344" s="80">
        <f t="shared" si="819"/>
        <v>0</v>
      </c>
      <c r="AM5344" s="85"/>
    </row>
    <row r="5345" spans="1:39" hidden="1" x14ac:dyDescent="0.3">
      <c r="A5345" s="85" t="s">
        <v>3704</v>
      </c>
      <c r="B5345" s="15" t="s">
        <v>35</v>
      </c>
      <c r="C5345" s="15" t="s">
        <v>59</v>
      </c>
      <c r="D5345" s="15" t="s">
        <v>60</v>
      </c>
      <c r="E5345" s="15" t="s">
        <v>78</v>
      </c>
      <c r="F5345" s="15" t="s">
        <v>339</v>
      </c>
      <c r="G5345" s="3" t="s">
        <v>78</v>
      </c>
      <c r="H5345" s="154">
        <v>229</v>
      </c>
      <c r="I5345" s="3" t="s">
        <v>3356</v>
      </c>
      <c r="J5345" s="1" t="s">
        <v>3326</v>
      </c>
      <c r="K5345" s="1" t="s">
        <v>3283</v>
      </c>
      <c r="L5345" s="1" t="s">
        <v>35</v>
      </c>
      <c r="M5345" s="86"/>
      <c r="N5345" s="3" t="s">
        <v>80</v>
      </c>
      <c r="O5345" s="8" t="s">
        <v>45</v>
      </c>
      <c r="P5345" s="8" t="s">
        <v>46</v>
      </c>
      <c r="Q5345" s="12">
        <v>0.06</v>
      </c>
      <c r="R5345" s="138"/>
      <c r="T5345" s="18">
        <v>4235.6000000001077</v>
      </c>
      <c r="U5345" s="4">
        <v>0</v>
      </c>
      <c r="V5345" s="18">
        <v>4226.6499999999996</v>
      </c>
      <c r="W5345" s="13">
        <f t="shared" si="829"/>
        <v>8.950000000108048</v>
      </c>
      <c r="X5345" s="13">
        <f t="shared" si="834"/>
        <v>3987.4056603773579</v>
      </c>
      <c r="Y5345" s="13">
        <f t="shared" si="817"/>
        <v>0</v>
      </c>
      <c r="Z5345" s="2">
        <v>0</v>
      </c>
      <c r="AA5345" s="4">
        <v>0</v>
      </c>
      <c r="AB5345" s="4">
        <f t="shared" si="818"/>
        <v>3987.4056603773579</v>
      </c>
      <c r="AC5345" s="6">
        <f t="shared" si="825"/>
        <v>239.24433962264175</v>
      </c>
      <c r="AD5345" s="13">
        <f t="shared" si="835"/>
        <v>4226.6499999999996</v>
      </c>
      <c r="AE5345" s="2">
        <v>0.05</v>
      </c>
      <c r="AF5345" s="5">
        <f t="shared" si="822"/>
        <v>211.33249999999998</v>
      </c>
      <c r="AG5345" s="2">
        <v>0</v>
      </c>
      <c r="AH5345" s="5">
        <f t="shared" si="836"/>
        <v>4226.6499999999996</v>
      </c>
      <c r="AJ5345" s="126" t="e">
        <v>#N/A</v>
      </c>
      <c r="AK5345" s="80">
        <f t="shared" si="819"/>
        <v>0</v>
      </c>
      <c r="AM5345" s="85"/>
    </row>
    <row r="5346" spans="1:39" hidden="1" x14ac:dyDescent="0.3">
      <c r="A5346" s="85" t="s">
        <v>34</v>
      </c>
      <c r="B5346" s="15" t="s">
        <v>35</v>
      </c>
      <c r="C5346" s="15" t="s">
        <v>59</v>
      </c>
      <c r="D5346" s="15" t="s">
        <v>60</v>
      </c>
      <c r="E5346" s="3" t="s">
        <v>405</v>
      </c>
      <c r="F5346" s="15" t="s">
        <v>406</v>
      </c>
      <c r="G5346" s="3" t="s">
        <v>405</v>
      </c>
      <c r="H5346" s="154"/>
      <c r="I5346" s="3" t="s">
        <v>3356</v>
      </c>
      <c r="J5346" s="1" t="s">
        <v>3326</v>
      </c>
      <c r="K5346" s="1" t="s">
        <v>3283</v>
      </c>
      <c r="L5346" s="1" t="s">
        <v>35</v>
      </c>
      <c r="M5346" s="95"/>
      <c r="N5346" s="3" t="s">
        <v>80</v>
      </c>
      <c r="O5346" s="8" t="s">
        <v>105</v>
      </c>
      <c r="P5346" s="8" t="s">
        <v>343</v>
      </c>
      <c r="Q5346" s="9">
        <v>0.06</v>
      </c>
      <c r="R5346" s="138"/>
      <c r="T5346" s="18">
        <v>0</v>
      </c>
      <c r="U5346" s="4">
        <v>0</v>
      </c>
      <c r="V5346" s="4">
        <v>607.91</v>
      </c>
      <c r="W5346" s="13">
        <f t="shared" si="829"/>
        <v>-607.91</v>
      </c>
      <c r="X5346" s="13">
        <f t="shared" si="834"/>
        <v>607.91</v>
      </c>
      <c r="Y5346" s="13">
        <f t="shared" si="817"/>
        <v>0</v>
      </c>
      <c r="Z5346" s="2">
        <v>0</v>
      </c>
      <c r="AA5346" s="4">
        <v>0</v>
      </c>
      <c r="AB5346" s="4">
        <f t="shared" si="818"/>
        <v>607.91</v>
      </c>
      <c r="AC5346" s="6">
        <f t="shared" si="825"/>
        <v>36.474599999999995</v>
      </c>
      <c r="AD5346" s="13">
        <f t="shared" si="835"/>
        <v>607.91</v>
      </c>
      <c r="AE5346" s="2">
        <v>0.05</v>
      </c>
      <c r="AF5346" s="5">
        <f t="shared" si="822"/>
        <v>30.395499999999998</v>
      </c>
      <c r="AG5346" s="2">
        <v>0</v>
      </c>
      <c r="AH5346" s="5">
        <f t="shared" si="836"/>
        <v>607.91</v>
      </c>
      <c r="AJ5346" s="126" t="e">
        <v>#N/A</v>
      </c>
      <c r="AK5346" s="80">
        <f t="shared" si="819"/>
        <v>0</v>
      </c>
      <c r="AM5346" s="85"/>
    </row>
    <row r="5347" spans="1:39" hidden="1" x14ac:dyDescent="0.3">
      <c r="A5347" s="89" t="s">
        <v>3391</v>
      </c>
      <c r="B5347" s="86" t="s">
        <v>35</v>
      </c>
      <c r="C5347" s="86" t="s">
        <v>59</v>
      </c>
      <c r="D5347" s="86" t="s">
        <v>60</v>
      </c>
      <c r="E5347" s="86" t="s">
        <v>356</v>
      </c>
      <c r="F5347" s="86" t="s">
        <v>3630</v>
      </c>
      <c r="G5347" s="3" t="s">
        <v>356</v>
      </c>
      <c r="H5347" s="144">
        <v>229</v>
      </c>
      <c r="I5347" s="86" t="s">
        <v>3356</v>
      </c>
      <c r="J5347" s="1" t="s">
        <v>3326</v>
      </c>
      <c r="K5347" s="1" t="s">
        <v>3283</v>
      </c>
      <c r="L5347" s="1" t="s">
        <v>35</v>
      </c>
      <c r="M5347" s="86"/>
      <c r="N5347" s="86" t="s">
        <v>3283</v>
      </c>
      <c r="O5347" s="8" t="s">
        <v>105</v>
      </c>
      <c r="P5347" s="47" t="s">
        <v>75</v>
      </c>
      <c r="Q5347" s="14">
        <v>0.06</v>
      </c>
      <c r="R5347" s="143"/>
      <c r="S5347" s="47"/>
      <c r="T5347" s="6">
        <v>-687.09</v>
      </c>
      <c r="U5347" s="6">
        <v>0</v>
      </c>
      <c r="V5347" s="6">
        <v>20620.13</v>
      </c>
      <c r="W5347" s="6">
        <f t="shared" si="829"/>
        <v>-21307.22</v>
      </c>
      <c r="X5347" s="6">
        <f t="shared" si="834"/>
        <v>20620.13</v>
      </c>
      <c r="Y5347" s="13">
        <f t="shared" si="817"/>
        <v>0</v>
      </c>
      <c r="Z5347" s="14">
        <v>0</v>
      </c>
      <c r="AA5347" s="6">
        <v>0</v>
      </c>
      <c r="AB5347" s="4">
        <f t="shared" si="818"/>
        <v>20620.13</v>
      </c>
      <c r="AC5347" s="4">
        <f t="shared" si="825"/>
        <v>1237.2077999999999</v>
      </c>
      <c r="AD5347" s="6">
        <f t="shared" si="835"/>
        <v>20620.13</v>
      </c>
      <c r="AE5347" s="2">
        <v>0.05</v>
      </c>
      <c r="AF5347" s="6">
        <f t="shared" si="822"/>
        <v>1031.0065000000002</v>
      </c>
      <c r="AG5347" s="14">
        <v>0</v>
      </c>
      <c r="AH5347" s="64">
        <f t="shared" si="836"/>
        <v>20620.13</v>
      </c>
      <c r="AI5347" s="47"/>
      <c r="AJ5347" s="126" t="e">
        <v>#N/A</v>
      </c>
      <c r="AK5347" s="80">
        <f t="shared" si="819"/>
        <v>0</v>
      </c>
      <c r="AM5347" s="85"/>
    </row>
    <row r="5348" spans="1:39" hidden="1" x14ac:dyDescent="0.3">
      <c r="A5348" s="85" t="s">
        <v>3705</v>
      </c>
      <c r="B5348" s="15" t="s">
        <v>35</v>
      </c>
      <c r="C5348" s="15" t="s">
        <v>59</v>
      </c>
      <c r="D5348" s="15" t="s">
        <v>60</v>
      </c>
      <c r="E5348" s="3" t="s">
        <v>405</v>
      </c>
      <c r="F5348" s="15" t="s">
        <v>406</v>
      </c>
      <c r="G5348" s="3" t="s">
        <v>405</v>
      </c>
      <c r="H5348" s="154">
        <v>229</v>
      </c>
      <c r="I5348" s="3" t="s">
        <v>3356</v>
      </c>
      <c r="J5348" s="1" t="s">
        <v>3326</v>
      </c>
      <c r="K5348" s="1" t="s">
        <v>3283</v>
      </c>
      <c r="L5348" s="1" t="s">
        <v>35</v>
      </c>
      <c r="M5348" s="86"/>
      <c r="N5348" s="3" t="s">
        <v>80</v>
      </c>
      <c r="O5348" s="8" t="s">
        <v>105</v>
      </c>
      <c r="P5348" s="8" t="s">
        <v>343</v>
      </c>
      <c r="Q5348" s="9">
        <v>0.06</v>
      </c>
      <c r="R5348" s="138"/>
      <c r="T5348" s="18">
        <v>-607.91</v>
      </c>
      <c r="U5348" s="4">
        <v>0</v>
      </c>
      <c r="V5348" s="6">
        <v>456.21</v>
      </c>
      <c r="W5348" s="13">
        <f t="shared" ref="W5348:W5352" si="837">T5348+U5348-V5348</f>
        <v>-1064.1199999999999</v>
      </c>
      <c r="X5348" s="13">
        <f t="shared" ref="X5348:X5364" si="838">IF(P5348="折扣",V5348*Q5348,IF(P5348="返现",V5348,V5348/(1+Q5348)))</f>
        <v>456.21</v>
      </c>
      <c r="Y5348" s="13">
        <f t="shared" si="817"/>
        <v>0</v>
      </c>
      <c r="Z5348" s="2">
        <v>0</v>
      </c>
      <c r="AA5348" s="4">
        <v>0</v>
      </c>
      <c r="AB5348" s="4">
        <f t="shared" si="818"/>
        <v>456.21</v>
      </c>
      <c r="AC5348" s="6">
        <f t="shared" ref="AC5348:AC5372" si="839">IF(P5348="返现",X5348*Q5348,V5348-X5348)</f>
        <v>27.372599999999998</v>
      </c>
      <c r="AD5348" s="13">
        <f t="shared" ref="AD5348:AD5364" si="840">V5348</f>
        <v>456.21</v>
      </c>
      <c r="AE5348" s="2">
        <v>0.05</v>
      </c>
      <c r="AF5348" s="5">
        <f t="shared" ref="AF5348:AF5411" si="841">AD5348*AE5348</f>
        <v>22.810500000000001</v>
      </c>
      <c r="AG5348" s="2">
        <v>0</v>
      </c>
      <c r="AH5348" s="5">
        <f t="shared" ref="AH5348:AH5364" si="842">V5348</f>
        <v>456.21</v>
      </c>
      <c r="AJ5348" s="126" t="e">
        <v>#N/A</v>
      </c>
      <c r="AK5348" s="80">
        <f t="shared" si="819"/>
        <v>0</v>
      </c>
      <c r="AM5348" s="85"/>
    </row>
    <row r="5349" spans="1:39" hidden="1" x14ac:dyDescent="0.3">
      <c r="A5349" s="85" t="s">
        <v>34</v>
      </c>
      <c r="B5349" s="3" t="s">
        <v>35</v>
      </c>
      <c r="C5349" s="3" t="s">
        <v>59</v>
      </c>
      <c r="D5349" s="3" t="s">
        <v>60</v>
      </c>
      <c r="E5349" s="3" t="s">
        <v>78</v>
      </c>
      <c r="F5349" s="3" t="s">
        <v>81</v>
      </c>
      <c r="G5349" s="3" t="s">
        <v>78</v>
      </c>
      <c r="I5349" s="3" t="s">
        <v>3356</v>
      </c>
      <c r="J5349" s="1" t="s">
        <v>3326</v>
      </c>
      <c r="K5349" s="1" t="s">
        <v>3718</v>
      </c>
      <c r="L5349" s="1" t="s">
        <v>35</v>
      </c>
      <c r="N5349" s="3" t="s">
        <v>3719</v>
      </c>
      <c r="O5349" s="1" t="s">
        <v>45</v>
      </c>
      <c r="P5349" s="1" t="s">
        <v>46</v>
      </c>
      <c r="Q5349" s="2">
        <v>7.0000000000000007E-2</v>
      </c>
      <c r="R5349" s="138"/>
      <c r="T5349" s="4">
        <v>0</v>
      </c>
      <c r="U5349" s="4">
        <v>0</v>
      </c>
      <c r="V5349" s="4">
        <v>24928.979999999996</v>
      </c>
      <c r="W5349" s="13">
        <f t="shared" si="837"/>
        <v>-24928.979999999996</v>
      </c>
      <c r="X5349" s="13">
        <f t="shared" si="838"/>
        <v>23298.112149532706</v>
      </c>
      <c r="Y5349" s="13">
        <f t="shared" si="817"/>
        <v>0</v>
      </c>
      <c r="Z5349" s="2">
        <v>0</v>
      </c>
      <c r="AA5349" s="4">
        <v>0</v>
      </c>
      <c r="AB5349" s="4">
        <f t="shared" si="818"/>
        <v>23298.112149532706</v>
      </c>
      <c r="AC5349" s="6">
        <f t="shared" si="839"/>
        <v>1630.8678504672898</v>
      </c>
      <c r="AD5349" s="13">
        <f t="shared" si="840"/>
        <v>24928.979999999996</v>
      </c>
      <c r="AE5349" s="2">
        <v>0.05</v>
      </c>
      <c r="AF5349" s="5">
        <f t="shared" si="841"/>
        <v>1246.4489999999998</v>
      </c>
      <c r="AG5349" s="2">
        <v>0</v>
      </c>
      <c r="AH5349" s="5">
        <f t="shared" si="842"/>
        <v>24928.979999999996</v>
      </c>
      <c r="AJ5349" s="126" t="e">
        <v>#N/A</v>
      </c>
      <c r="AK5349" s="80">
        <f t="shared" si="819"/>
        <v>0</v>
      </c>
      <c r="AM5349" s="85"/>
    </row>
    <row r="5350" spans="1:39" hidden="1" x14ac:dyDescent="0.3">
      <c r="A5350" s="85" t="s">
        <v>34</v>
      </c>
      <c r="B5350" s="3" t="s">
        <v>35</v>
      </c>
      <c r="C5350" s="3" t="s">
        <v>47</v>
      </c>
      <c r="D5350" s="3" t="s">
        <v>63</v>
      </c>
      <c r="E5350" s="3" t="s">
        <v>131</v>
      </c>
      <c r="F5350" s="3" t="s">
        <v>131</v>
      </c>
      <c r="G5350" s="3" t="s">
        <v>131</v>
      </c>
      <c r="I5350" s="3" t="s">
        <v>3356</v>
      </c>
      <c r="J5350" s="1" t="s">
        <v>3326</v>
      </c>
      <c r="K5350" s="1" t="s">
        <v>3718</v>
      </c>
      <c r="L5350" s="1" t="s">
        <v>35</v>
      </c>
      <c r="N5350" s="3" t="s">
        <v>3720</v>
      </c>
      <c r="O5350" s="1" t="s">
        <v>45</v>
      </c>
      <c r="P5350" s="1" t="s">
        <v>41</v>
      </c>
      <c r="Q5350" s="2">
        <v>0</v>
      </c>
      <c r="R5350" s="138"/>
      <c r="T5350" s="4">
        <v>0</v>
      </c>
      <c r="U5350" s="4">
        <v>0</v>
      </c>
      <c r="V5350" s="4">
        <v>557959.93000000005</v>
      </c>
      <c r="W5350" s="13">
        <f t="shared" si="837"/>
        <v>-557959.93000000005</v>
      </c>
      <c r="X5350" s="13">
        <f t="shared" si="838"/>
        <v>557959.93000000005</v>
      </c>
      <c r="Y5350" s="13">
        <f t="shared" si="817"/>
        <v>0</v>
      </c>
      <c r="Z5350" s="2">
        <v>0</v>
      </c>
      <c r="AA5350" s="4">
        <v>0</v>
      </c>
      <c r="AB5350" s="4">
        <f t="shared" si="818"/>
        <v>557959.93000000005</v>
      </c>
      <c r="AC5350" s="6">
        <f t="shared" si="839"/>
        <v>0</v>
      </c>
      <c r="AD5350" s="13">
        <f t="shared" si="840"/>
        <v>557959.93000000005</v>
      </c>
      <c r="AE5350" s="2">
        <v>0.05</v>
      </c>
      <c r="AF5350" s="5">
        <f t="shared" si="841"/>
        <v>27897.996500000005</v>
      </c>
      <c r="AG5350" s="2">
        <v>0</v>
      </c>
      <c r="AH5350" s="5">
        <f t="shared" si="842"/>
        <v>557959.93000000005</v>
      </c>
      <c r="AJ5350" s="126" t="e">
        <v>#N/A</v>
      </c>
      <c r="AK5350" s="80">
        <f t="shared" si="819"/>
        <v>0</v>
      </c>
      <c r="AM5350" s="85"/>
    </row>
    <row r="5351" spans="1:39" hidden="1" x14ac:dyDescent="0.3">
      <c r="A5351" s="85" t="s">
        <v>34</v>
      </c>
      <c r="B5351" s="15" t="s">
        <v>35</v>
      </c>
      <c r="C5351" s="15" t="s">
        <v>47</v>
      </c>
      <c r="D5351" s="15" t="s">
        <v>63</v>
      </c>
      <c r="E5351" s="15" t="s">
        <v>131</v>
      </c>
      <c r="F5351" s="15" t="s">
        <v>131</v>
      </c>
      <c r="G5351" s="15" t="s">
        <v>131</v>
      </c>
      <c r="H5351" s="154"/>
      <c r="I5351" s="3" t="s">
        <v>3356</v>
      </c>
      <c r="J5351" s="1" t="s">
        <v>3326</v>
      </c>
      <c r="K5351" s="1" t="s">
        <v>3718</v>
      </c>
      <c r="L5351" s="1" t="s">
        <v>35</v>
      </c>
      <c r="M5351" s="95"/>
      <c r="N5351" s="3" t="s">
        <v>3720</v>
      </c>
      <c r="O5351" s="8" t="s">
        <v>105</v>
      </c>
      <c r="P5351" s="8" t="s">
        <v>41</v>
      </c>
      <c r="Q5351" s="9">
        <v>0</v>
      </c>
      <c r="R5351" s="138"/>
      <c r="T5351" s="18">
        <v>0</v>
      </c>
      <c r="U5351" s="4">
        <v>0</v>
      </c>
      <c r="V5351" s="4">
        <v>656.18000000000006</v>
      </c>
      <c r="W5351" s="13">
        <f t="shared" si="837"/>
        <v>-656.18000000000006</v>
      </c>
      <c r="X5351" s="13">
        <f t="shared" si="838"/>
        <v>656.18000000000006</v>
      </c>
      <c r="Y5351" s="13">
        <f t="shared" si="817"/>
        <v>0</v>
      </c>
      <c r="Z5351" s="2">
        <v>0</v>
      </c>
      <c r="AA5351" s="4">
        <v>0</v>
      </c>
      <c r="AB5351" s="4">
        <f t="shared" si="818"/>
        <v>656.18000000000006</v>
      </c>
      <c r="AC5351" s="6">
        <f t="shared" si="839"/>
        <v>0</v>
      </c>
      <c r="AD5351" s="13">
        <f t="shared" si="840"/>
        <v>656.18000000000006</v>
      </c>
      <c r="AE5351" s="2">
        <v>0.05</v>
      </c>
      <c r="AF5351" s="5">
        <f t="shared" si="841"/>
        <v>32.809000000000005</v>
      </c>
      <c r="AG5351" s="2">
        <v>0</v>
      </c>
      <c r="AH5351" s="5">
        <f t="shared" si="842"/>
        <v>656.18000000000006</v>
      </c>
      <c r="AJ5351" s="126" t="e">
        <v>#N/A</v>
      </c>
      <c r="AK5351" s="80">
        <f t="shared" si="819"/>
        <v>0</v>
      </c>
      <c r="AM5351" s="85"/>
    </row>
    <row r="5352" spans="1:39" hidden="1" x14ac:dyDescent="0.3">
      <c r="A5352" s="85" t="s">
        <v>34</v>
      </c>
      <c r="B5352" s="15" t="s">
        <v>35</v>
      </c>
      <c r="C5352" s="15" t="s">
        <v>144</v>
      </c>
      <c r="D5352" s="15" t="s">
        <v>145</v>
      </c>
      <c r="E5352" s="15" t="s">
        <v>146</v>
      </c>
      <c r="F5352" s="15" t="s">
        <v>381</v>
      </c>
      <c r="G5352" s="15" t="s">
        <v>146</v>
      </c>
      <c r="H5352" s="154"/>
      <c r="I5352" s="3" t="s">
        <v>3356</v>
      </c>
      <c r="J5352" s="1" t="s">
        <v>3326</v>
      </c>
      <c r="K5352" s="1" t="s">
        <v>3707</v>
      </c>
      <c r="L5352" s="1" t="s">
        <v>35</v>
      </c>
      <c r="M5352" s="95"/>
      <c r="N5352" s="3" t="s">
        <v>3708</v>
      </c>
      <c r="O5352" s="8" t="s">
        <v>105</v>
      </c>
      <c r="P5352" s="8" t="s">
        <v>246</v>
      </c>
      <c r="Q5352" s="9">
        <v>0</v>
      </c>
      <c r="R5352" s="138"/>
      <c r="T5352" s="18">
        <v>0</v>
      </c>
      <c r="U5352" s="4">
        <v>0</v>
      </c>
      <c r="V5352" s="4">
        <v>2.2600000000000051</v>
      </c>
      <c r="W5352" s="13">
        <f t="shared" si="837"/>
        <v>-2.2600000000000051</v>
      </c>
      <c r="X5352" s="13">
        <f t="shared" si="838"/>
        <v>2.2600000000000051</v>
      </c>
      <c r="Y5352" s="13">
        <f t="shared" si="817"/>
        <v>0</v>
      </c>
      <c r="Z5352" s="2">
        <v>0</v>
      </c>
      <c r="AA5352" s="4">
        <v>0</v>
      </c>
      <c r="AB5352" s="4">
        <f t="shared" si="818"/>
        <v>2.2600000000000051</v>
      </c>
      <c r="AC5352" s="6">
        <f t="shared" si="839"/>
        <v>0</v>
      </c>
      <c r="AD5352" s="13">
        <f t="shared" si="840"/>
        <v>2.2600000000000051</v>
      </c>
      <c r="AE5352" s="2">
        <v>0.05</v>
      </c>
      <c r="AF5352" s="5">
        <f t="shared" si="841"/>
        <v>0.11300000000000027</v>
      </c>
      <c r="AG5352" s="2">
        <v>0</v>
      </c>
      <c r="AH5352" s="5">
        <f t="shared" si="842"/>
        <v>2.2600000000000051</v>
      </c>
      <c r="AJ5352" s="126" t="e">
        <v>#N/A</v>
      </c>
      <c r="AK5352" s="80">
        <f t="shared" si="819"/>
        <v>0</v>
      </c>
      <c r="AM5352" s="85"/>
    </row>
    <row r="5353" spans="1:39" hidden="1" x14ac:dyDescent="0.3">
      <c r="A5353" s="85" t="s">
        <v>34</v>
      </c>
      <c r="B5353" s="15" t="s">
        <v>35</v>
      </c>
      <c r="C5353" s="15" t="s">
        <v>144</v>
      </c>
      <c r="D5353" s="15" t="s">
        <v>145</v>
      </c>
      <c r="E5353" s="15" t="s">
        <v>237</v>
      </c>
      <c r="F5353" s="15" t="s">
        <v>382</v>
      </c>
      <c r="G5353" s="15" t="s">
        <v>239</v>
      </c>
      <c r="H5353" s="154"/>
      <c r="I5353" s="3" t="s">
        <v>3356</v>
      </c>
      <c r="J5353" s="1" t="s">
        <v>3326</v>
      </c>
      <c r="K5353" s="1" t="s">
        <v>3707</v>
      </c>
      <c r="L5353" s="1" t="s">
        <v>35</v>
      </c>
      <c r="M5353" s="95"/>
      <c r="N5353" s="3" t="s">
        <v>3708</v>
      </c>
      <c r="O5353" s="8" t="s">
        <v>105</v>
      </c>
      <c r="P5353" s="8" t="s">
        <v>246</v>
      </c>
      <c r="Q5353" s="9">
        <v>0</v>
      </c>
      <c r="R5353" s="138"/>
      <c r="T5353" s="18">
        <v>0</v>
      </c>
      <c r="U5353" s="4">
        <v>0</v>
      </c>
      <c r="V5353" s="4">
        <v>5</v>
      </c>
      <c r="W5353" s="13">
        <f>T5353+U5353-V5353</f>
        <v>-5</v>
      </c>
      <c r="X5353" s="13">
        <f t="shared" si="838"/>
        <v>5</v>
      </c>
      <c r="Y5353" s="13">
        <f t="shared" si="817"/>
        <v>0</v>
      </c>
      <c r="Z5353" s="2">
        <v>0</v>
      </c>
      <c r="AA5353" s="4">
        <v>0</v>
      </c>
      <c r="AB5353" s="4">
        <f t="shared" si="818"/>
        <v>5</v>
      </c>
      <c r="AC5353" s="6">
        <f t="shared" si="839"/>
        <v>0</v>
      </c>
      <c r="AD5353" s="13">
        <f t="shared" si="840"/>
        <v>5</v>
      </c>
      <c r="AE5353" s="2">
        <v>0.05</v>
      </c>
      <c r="AF5353" s="5">
        <f t="shared" si="841"/>
        <v>0.25</v>
      </c>
      <c r="AG5353" s="2">
        <v>0</v>
      </c>
      <c r="AH5353" s="5">
        <f t="shared" si="842"/>
        <v>5</v>
      </c>
      <c r="AJ5353" s="126" t="e">
        <v>#N/A</v>
      </c>
      <c r="AK5353" s="80">
        <f t="shared" si="819"/>
        <v>0</v>
      </c>
      <c r="AM5353" s="85"/>
    </row>
    <row r="5354" spans="1:39" hidden="1" x14ac:dyDescent="0.3">
      <c r="A5354" s="85" t="s">
        <v>34</v>
      </c>
      <c r="B5354" s="15" t="s">
        <v>35</v>
      </c>
      <c r="C5354" s="15" t="s">
        <v>144</v>
      </c>
      <c r="D5354" s="15" t="s">
        <v>145</v>
      </c>
      <c r="E5354" s="15" t="s">
        <v>236</v>
      </c>
      <c r="F5354" s="15" t="s">
        <v>236</v>
      </c>
      <c r="G5354" s="15" t="s">
        <v>236</v>
      </c>
      <c r="H5354" s="154"/>
      <c r="I5354" s="3" t="s">
        <v>3356</v>
      </c>
      <c r="J5354" s="1" t="s">
        <v>3326</v>
      </c>
      <c r="K5354" s="1" t="s">
        <v>3707</v>
      </c>
      <c r="L5354" s="1" t="s">
        <v>35</v>
      </c>
      <c r="M5354" s="95"/>
      <c r="N5354" s="3" t="s">
        <v>3721</v>
      </c>
      <c r="O5354" s="8" t="s">
        <v>45</v>
      </c>
      <c r="P5354" s="8" t="s">
        <v>41</v>
      </c>
      <c r="Q5354" s="9">
        <v>0</v>
      </c>
      <c r="R5354" s="138"/>
      <c r="T5354" s="18">
        <v>0</v>
      </c>
      <c r="U5354" s="4">
        <v>0</v>
      </c>
      <c r="V5354" s="18">
        <v>844115.07</v>
      </c>
      <c r="W5354" s="13">
        <f t="shared" ref="W5354:W5370" si="843">T5354+U5354-V5354</f>
        <v>-844115.07</v>
      </c>
      <c r="X5354" s="13">
        <f t="shared" si="838"/>
        <v>844115.07</v>
      </c>
      <c r="Y5354" s="13">
        <f t="shared" si="817"/>
        <v>0</v>
      </c>
      <c r="Z5354" s="2">
        <v>0</v>
      </c>
      <c r="AA5354" s="4">
        <v>0</v>
      </c>
      <c r="AB5354" s="4">
        <f t="shared" si="818"/>
        <v>844115.07</v>
      </c>
      <c r="AC5354" s="6">
        <f t="shared" si="839"/>
        <v>0</v>
      </c>
      <c r="AD5354" s="13">
        <f t="shared" si="840"/>
        <v>844115.07</v>
      </c>
      <c r="AE5354" s="2">
        <v>0.05</v>
      </c>
      <c r="AF5354" s="5">
        <f t="shared" si="841"/>
        <v>42205.753499999999</v>
      </c>
      <c r="AG5354" s="2">
        <v>0</v>
      </c>
      <c r="AH5354" s="5">
        <f t="shared" si="842"/>
        <v>844115.07</v>
      </c>
      <c r="AJ5354" s="126" t="e">
        <v>#N/A</v>
      </c>
      <c r="AK5354" s="80">
        <f t="shared" si="819"/>
        <v>0</v>
      </c>
      <c r="AM5354" s="85"/>
    </row>
    <row r="5355" spans="1:39" hidden="1" x14ac:dyDescent="0.3">
      <c r="A5355" s="85" t="s">
        <v>34</v>
      </c>
      <c r="B5355" s="15" t="s">
        <v>35</v>
      </c>
      <c r="C5355" s="15" t="s">
        <v>59</v>
      </c>
      <c r="D5355" s="15" t="s">
        <v>60</v>
      </c>
      <c r="E5355" s="15" t="s">
        <v>95</v>
      </c>
      <c r="F5355" s="15" t="s">
        <v>364</v>
      </c>
      <c r="G5355" s="15" t="s">
        <v>95</v>
      </c>
      <c r="H5355" s="154"/>
      <c r="I5355" s="3" t="s">
        <v>3356</v>
      </c>
      <c r="J5355" s="1" t="s">
        <v>3326</v>
      </c>
      <c r="K5355" s="1" t="s">
        <v>3707</v>
      </c>
      <c r="L5355" s="1" t="s">
        <v>35</v>
      </c>
      <c r="M5355" s="95"/>
      <c r="N5355" s="3" t="s">
        <v>3724</v>
      </c>
      <c r="O5355" s="8" t="s">
        <v>105</v>
      </c>
      <c r="P5355" s="8" t="s">
        <v>353</v>
      </c>
      <c r="Q5355" s="9">
        <v>0.05</v>
      </c>
      <c r="R5355" s="138"/>
      <c r="T5355" s="18">
        <v>0</v>
      </c>
      <c r="U5355" s="4">
        <v>0</v>
      </c>
      <c r="V5355" s="4">
        <v>28016.37</v>
      </c>
      <c r="W5355" s="13">
        <f t="shared" si="843"/>
        <v>-28016.37</v>
      </c>
      <c r="X5355" s="13">
        <f t="shared" si="838"/>
        <v>26682.257142857139</v>
      </c>
      <c r="Y5355" s="13">
        <f t="shared" si="817"/>
        <v>0</v>
      </c>
      <c r="Z5355" s="2">
        <v>0</v>
      </c>
      <c r="AA5355" s="4">
        <v>0</v>
      </c>
      <c r="AB5355" s="4">
        <f t="shared" si="818"/>
        <v>26682.257142857139</v>
      </c>
      <c r="AC5355" s="6">
        <f t="shared" si="839"/>
        <v>1334.1128571428599</v>
      </c>
      <c r="AD5355" s="13">
        <f t="shared" si="840"/>
        <v>28016.37</v>
      </c>
      <c r="AE5355" s="2">
        <v>0.05</v>
      </c>
      <c r="AF5355" s="5">
        <f t="shared" si="841"/>
        <v>1400.8185000000001</v>
      </c>
      <c r="AG5355" s="2">
        <v>0</v>
      </c>
      <c r="AH5355" s="5">
        <f t="shared" si="842"/>
        <v>28016.37</v>
      </c>
      <c r="AJ5355" s="126" t="e">
        <v>#N/A</v>
      </c>
      <c r="AK5355" s="80">
        <f t="shared" si="819"/>
        <v>0</v>
      </c>
      <c r="AM5355" s="85"/>
    </row>
    <row r="5356" spans="1:39" hidden="1" x14ac:dyDescent="0.3">
      <c r="A5356" s="85" t="s">
        <v>34</v>
      </c>
      <c r="B5356" s="15" t="s">
        <v>35</v>
      </c>
      <c r="C5356" s="15" t="s">
        <v>59</v>
      </c>
      <c r="D5356" s="15" t="s">
        <v>60</v>
      </c>
      <c r="E5356" s="15" t="s">
        <v>95</v>
      </c>
      <c r="F5356" s="15" t="s">
        <v>364</v>
      </c>
      <c r="G5356" s="15" t="s">
        <v>95</v>
      </c>
      <c r="H5356" s="154"/>
      <c r="I5356" s="3" t="s">
        <v>3356</v>
      </c>
      <c r="J5356" s="1" t="s">
        <v>3326</v>
      </c>
      <c r="K5356" s="1" t="s">
        <v>3707</v>
      </c>
      <c r="L5356" s="1" t="s">
        <v>35</v>
      </c>
      <c r="M5356" s="95"/>
      <c r="N5356" s="3" t="s">
        <v>3727</v>
      </c>
      <c r="O5356" s="8" t="s">
        <v>45</v>
      </c>
      <c r="P5356" s="8" t="s">
        <v>353</v>
      </c>
      <c r="Q5356" s="9">
        <v>0.05</v>
      </c>
      <c r="R5356" s="138"/>
      <c r="T5356" s="18">
        <v>0</v>
      </c>
      <c r="U5356" s="4">
        <v>0</v>
      </c>
      <c r="V5356" s="4">
        <v>1166741.47</v>
      </c>
      <c r="W5356" s="13">
        <f t="shared" si="843"/>
        <v>-1166741.47</v>
      </c>
      <c r="X5356" s="13">
        <f t="shared" si="838"/>
        <v>1111182.3523809523</v>
      </c>
      <c r="Y5356" s="13">
        <f t="shared" si="817"/>
        <v>0</v>
      </c>
      <c r="Z5356" s="2">
        <v>0</v>
      </c>
      <c r="AA5356" s="4">
        <v>0</v>
      </c>
      <c r="AB5356" s="4">
        <f t="shared" si="818"/>
        <v>1111182.3523809523</v>
      </c>
      <c r="AC5356" s="6">
        <f t="shared" si="839"/>
        <v>55559.11761904764</v>
      </c>
      <c r="AD5356" s="13">
        <f t="shared" si="840"/>
        <v>1166741.47</v>
      </c>
      <c r="AE5356" s="2">
        <v>0.05</v>
      </c>
      <c r="AF5356" s="5">
        <f t="shared" si="841"/>
        <v>58337.073499999999</v>
      </c>
      <c r="AG5356" s="2">
        <v>0</v>
      </c>
      <c r="AH5356" s="5">
        <f t="shared" si="842"/>
        <v>1166741.47</v>
      </c>
      <c r="AJ5356" s="126" t="e">
        <v>#N/A</v>
      </c>
      <c r="AK5356" s="80">
        <f t="shared" si="819"/>
        <v>0</v>
      </c>
      <c r="AM5356" s="85"/>
    </row>
    <row r="5357" spans="1:39" hidden="1" x14ac:dyDescent="0.3">
      <c r="A5357" s="85" t="s">
        <v>34</v>
      </c>
      <c r="B5357" s="15" t="s">
        <v>35</v>
      </c>
      <c r="C5357" s="15" t="s">
        <v>59</v>
      </c>
      <c r="D5357" s="15" t="s">
        <v>60</v>
      </c>
      <c r="E5357" s="15" t="s">
        <v>95</v>
      </c>
      <c r="F5357" s="15" t="s">
        <v>364</v>
      </c>
      <c r="G5357" s="15" t="s">
        <v>95</v>
      </c>
      <c r="H5357" s="154"/>
      <c r="I5357" s="3" t="s">
        <v>3356</v>
      </c>
      <c r="J5357" s="1" t="s">
        <v>3326</v>
      </c>
      <c r="K5357" s="1" t="s">
        <v>3718</v>
      </c>
      <c r="L5357" s="1" t="s">
        <v>35</v>
      </c>
      <c r="M5357" s="95"/>
      <c r="N5357" s="3" t="s">
        <v>3720</v>
      </c>
      <c r="O5357" s="8" t="s">
        <v>45</v>
      </c>
      <c r="P5357" s="8" t="s">
        <v>353</v>
      </c>
      <c r="Q5357" s="9">
        <v>0.05</v>
      </c>
      <c r="R5357" s="138"/>
      <c r="T5357" s="18">
        <v>0</v>
      </c>
      <c r="U5357" s="4">
        <v>0</v>
      </c>
      <c r="V5357" s="4">
        <v>15751.620000000577</v>
      </c>
      <c r="W5357" s="13">
        <f t="shared" si="843"/>
        <v>-15751.620000000577</v>
      </c>
      <c r="X5357" s="13">
        <f t="shared" si="838"/>
        <v>15001.542857143406</v>
      </c>
      <c r="Y5357" s="13">
        <f t="shared" si="817"/>
        <v>0</v>
      </c>
      <c r="Z5357" s="2">
        <v>0</v>
      </c>
      <c r="AA5357" s="4">
        <v>0</v>
      </c>
      <c r="AB5357" s="4">
        <f t="shared" si="818"/>
        <v>15001.542857143406</v>
      </c>
      <c r="AC5357" s="6">
        <f t="shared" si="839"/>
        <v>750.07714285717157</v>
      </c>
      <c r="AD5357" s="13">
        <f t="shared" si="840"/>
        <v>15751.620000000577</v>
      </c>
      <c r="AE5357" s="2">
        <v>0.05</v>
      </c>
      <c r="AF5357" s="5">
        <f t="shared" si="841"/>
        <v>787.58100000002889</v>
      </c>
      <c r="AG5357" s="2">
        <v>0</v>
      </c>
      <c r="AH5357" s="5">
        <f t="shared" si="842"/>
        <v>15751.620000000577</v>
      </c>
      <c r="AJ5357" s="126" t="e">
        <v>#N/A</v>
      </c>
      <c r="AK5357" s="80">
        <f t="shared" si="819"/>
        <v>0</v>
      </c>
      <c r="AM5357" s="85"/>
    </row>
    <row r="5358" spans="1:39" hidden="1" x14ac:dyDescent="0.3">
      <c r="A5358" s="89" t="s">
        <v>3391</v>
      </c>
      <c r="B5358" s="86" t="s">
        <v>35</v>
      </c>
      <c r="C5358" s="86" t="s">
        <v>59</v>
      </c>
      <c r="D5358" s="86" t="s">
        <v>60</v>
      </c>
      <c r="E5358" s="86" t="s">
        <v>78</v>
      </c>
      <c r="F5358" s="86" t="s">
        <v>81</v>
      </c>
      <c r="G5358" s="86" t="s">
        <v>78</v>
      </c>
      <c r="H5358" s="144">
        <v>229</v>
      </c>
      <c r="I5358" s="86" t="s">
        <v>3356</v>
      </c>
      <c r="J5358" s="1" t="s">
        <v>3326</v>
      </c>
      <c r="K5358" s="1" t="s">
        <v>3712</v>
      </c>
      <c r="L5358" s="1" t="s">
        <v>35</v>
      </c>
      <c r="M5358" s="86"/>
      <c r="N5358" s="86" t="s">
        <v>3735</v>
      </c>
      <c r="O5358" s="47" t="s">
        <v>45</v>
      </c>
      <c r="P5358" s="47" t="s">
        <v>92</v>
      </c>
      <c r="Q5358" s="14">
        <v>0.93</v>
      </c>
      <c r="R5358" s="143"/>
      <c r="S5358" s="47"/>
      <c r="T5358" s="6">
        <v>0</v>
      </c>
      <c r="U5358" s="6"/>
      <c r="V5358" s="6">
        <v>9.4600000000000009</v>
      </c>
      <c r="W5358" s="6">
        <f t="shared" si="843"/>
        <v>-9.4600000000000009</v>
      </c>
      <c r="X5358" s="6">
        <f t="shared" si="838"/>
        <v>8.7978000000000005</v>
      </c>
      <c r="Y5358" s="13">
        <f t="shared" si="817"/>
        <v>0</v>
      </c>
      <c r="Z5358" s="14">
        <v>0</v>
      </c>
      <c r="AA5358" s="6">
        <v>0</v>
      </c>
      <c r="AB5358" s="4">
        <f t="shared" si="818"/>
        <v>8.7978000000000005</v>
      </c>
      <c r="AC5358" s="4">
        <f t="shared" si="839"/>
        <v>0.66220000000000034</v>
      </c>
      <c r="AD5358" s="6">
        <f t="shared" si="840"/>
        <v>9.4600000000000009</v>
      </c>
      <c r="AE5358" s="2">
        <v>0.06</v>
      </c>
      <c r="AF5358" s="6">
        <f t="shared" si="841"/>
        <v>0.56759999999999999</v>
      </c>
      <c r="AG5358" s="14">
        <v>0</v>
      </c>
      <c r="AH5358" s="64">
        <f t="shared" si="842"/>
        <v>9.4600000000000009</v>
      </c>
      <c r="AI5358" s="47"/>
      <c r="AJ5358" s="126" t="e">
        <v>#N/A</v>
      </c>
      <c r="AK5358" s="80">
        <f t="shared" si="819"/>
        <v>0</v>
      </c>
      <c r="AM5358" s="85"/>
    </row>
    <row r="5359" spans="1:39" hidden="1" x14ac:dyDescent="0.3">
      <c r="A5359" s="89" t="s">
        <v>3391</v>
      </c>
      <c r="B5359" s="86" t="s">
        <v>35</v>
      </c>
      <c r="C5359" s="86" t="s">
        <v>59</v>
      </c>
      <c r="D5359" s="86" t="s">
        <v>60</v>
      </c>
      <c r="E5359" s="86" t="s">
        <v>82</v>
      </c>
      <c r="F5359" s="86" t="s">
        <v>83</v>
      </c>
      <c r="G5359" s="86" t="s">
        <v>82</v>
      </c>
      <c r="H5359" s="144">
        <v>229</v>
      </c>
      <c r="I5359" s="86" t="s">
        <v>3356</v>
      </c>
      <c r="J5359" s="1" t="s">
        <v>3326</v>
      </c>
      <c r="K5359" s="1" t="s">
        <v>3707</v>
      </c>
      <c r="L5359" s="1" t="s">
        <v>35</v>
      </c>
      <c r="M5359" s="86"/>
      <c r="N5359" s="86" t="s">
        <v>3737</v>
      </c>
      <c r="O5359" s="47" t="s">
        <v>105</v>
      </c>
      <c r="P5359" s="47" t="s">
        <v>75</v>
      </c>
      <c r="Q5359" s="14">
        <v>0.06</v>
      </c>
      <c r="R5359" s="143"/>
      <c r="S5359" s="47"/>
      <c r="T5359" s="6">
        <v>0</v>
      </c>
      <c r="U5359" s="6"/>
      <c r="V5359" s="6">
        <v>52.21999999999997</v>
      </c>
      <c r="W5359" s="6">
        <f t="shared" si="843"/>
        <v>-52.21999999999997</v>
      </c>
      <c r="X5359" s="6">
        <f t="shared" si="838"/>
        <v>52.21999999999997</v>
      </c>
      <c r="Y5359" s="13">
        <f t="shared" si="817"/>
        <v>0</v>
      </c>
      <c r="Z5359" s="14">
        <v>0</v>
      </c>
      <c r="AA5359" s="6">
        <v>0</v>
      </c>
      <c r="AB5359" s="4">
        <f t="shared" si="818"/>
        <v>52.21999999999997</v>
      </c>
      <c r="AC5359" s="4">
        <f t="shared" si="839"/>
        <v>3.1331999999999982</v>
      </c>
      <c r="AD5359" s="6">
        <f t="shared" si="840"/>
        <v>52.21999999999997</v>
      </c>
      <c r="AE5359" s="2">
        <v>0.06</v>
      </c>
      <c r="AF5359" s="6">
        <f t="shared" si="841"/>
        <v>3.1331999999999982</v>
      </c>
      <c r="AG5359" s="14">
        <v>0</v>
      </c>
      <c r="AH5359" s="64">
        <f t="shared" si="842"/>
        <v>52.21999999999997</v>
      </c>
      <c r="AI5359" s="47"/>
      <c r="AJ5359" s="126" t="e">
        <v>#N/A</v>
      </c>
      <c r="AK5359" s="80">
        <f t="shared" si="819"/>
        <v>0</v>
      </c>
      <c r="AM5359" s="85"/>
    </row>
    <row r="5360" spans="1:39" hidden="1" x14ac:dyDescent="0.3">
      <c r="A5360" s="89" t="s">
        <v>3391</v>
      </c>
      <c r="B5360" s="86" t="s">
        <v>35</v>
      </c>
      <c r="C5360" s="86" t="s">
        <v>59</v>
      </c>
      <c r="D5360" s="86" t="s">
        <v>60</v>
      </c>
      <c r="E5360" s="86" t="s">
        <v>82</v>
      </c>
      <c r="F5360" s="86" t="s">
        <v>83</v>
      </c>
      <c r="G5360" s="86" t="s">
        <v>82</v>
      </c>
      <c r="H5360" s="144">
        <v>229</v>
      </c>
      <c r="I5360" s="86" t="s">
        <v>3356</v>
      </c>
      <c r="J5360" s="1" t="s">
        <v>3326</v>
      </c>
      <c r="K5360" s="1" t="s">
        <v>3707</v>
      </c>
      <c r="L5360" s="1" t="s">
        <v>35</v>
      </c>
      <c r="M5360" s="86"/>
      <c r="N5360" s="86" t="s">
        <v>3737</v>
      </c>
      <c r="O5360" s="47" t="s">
        <v>45</v>
      </c>
      <c r="P5360" s="47" t="s">
        <v>75</v>
      </c>
      <c r="Q5360" s="14">
        <v>0.06</v>
      </c>
      <c r="R5360" s="143"/>
      <c r="S5360" s="47"/>
      <c r="T5360" s="6">
        <v>0</v>
      </c>
      <c r="U5360" s="6">
        <v>0</v>
      </c>
      <c r="V5360" s="6">
        <v>1903755.17</v>
      </c>
      <c r="W5360" s="6">
        <f t="shared" si="843"/>
        <v>-1903755.17</v>
      </c>
      <c r="X5360" s="6">
        <f t="shared" si="838"/>
        <v>1903755.17</v>
      </c>
      <c r="Y5360" s="13">
        <f t="shared" si="817"/>
        <v>0</v>
      </c>
      <c r="Z5360" s="14">
        <v>0</v>
      </c>
      <c r="AA5360" s="6">
        <v>0</v>
      </c>
      <c r="AB5360" s="4">
        <f t="shared" si="818"/>
        <v>1903755.17</v>
      </c>
      <c r="AC5360" s="4">
        <f t="shared" si="839"/>
        <v>114225.31019999999</v>
      </c>
      <c r="AD5360" s="6">
        <f t="shared" si="840"/>
        <v>1903755.17</v>
      </c>
      <c r="AE5360" s="2">
        <v>0.06</v>
      </c>
      <c r="AF5360" s="6">
        <f t="shared" si="841"/>
        <v>114225.31019999999</v>
      </c>
      <c r="AG5360" s="14">
        <v>0</v>
      </c>
      <c r="AH5360" s="64">
        <f t="shared" si="842"/>
        <v>1903755.17</v>
      </c>
      <c r="AI5360" s="47"/>
      <c r="AJ5360" s="126" t="e">
        <v>#N/A</v>
      </c>
      <c r="AK5360" s="80">
        <f t="shared" si="819"/>
        <v>0</v>
      </c>
      <c r="AM5360" s="85"/>
    </row>
    <row r="5361" spans="1:39" hidden="1" x14ac:dyDescent="0.3">
      <c r="A5361" s="89" t="s">
        <v>3391</v>
      </c>
      <c r="B5361" s="86" t="s">
        <v>35</v>
      </c>
      <c r="C5361" s="86" t="s">
        <v>59</v>
      </c>
      <c r="D5361" s="86" t="s">
        <v>60</v>
      </c>
      <c r="E5361" s="86" t="s">
        <v>95</v>
      </c>
      <c r="F5361" s="86" t="s">
        <v>95</v>
      </c>
      <c r="G5361" s="86" t="s">
        <v>95</v>
      </c>
      <c r="H5361" s="144">
        <v>229</v>
      </c>
      <c r="I5361" s="86" t="s">
        <v>3356</v>
      </c>
      <c r="J5361" s="1" t="s">
        <v>3326</v>
      </c>
      <c r="K5361" s="1" t="s">
        <v>3707</v>
      </c>
      <c r="L5361" s="1" t="s">
        <v>35</v>
      </c>
      <c r="M5361" s="86"/>
      <c r="N5361" s="86" t="s">
        <v>3737</v>
      </c>
      <c r="O5361" s="47" t="s">
        <v>45</v>
      </c>
      <c r="P5361" s="47" t="s">
        <v>46</v>
      </c>
      <c r="Q5361" s="14">
        <v>0.05</v>
      </c>
      <c r="R5361" s="143"/>
      <c r="S5361" s="47"/>
      <c r="T5361" s="6">
        <v>0</v>
      </c>
      <c r="U5361" s="6"/>
      <c r="V5361" s="6">
        <v>531589.36</v>
      </c>
      <c r="W5361" s="6">
        <f t="shared" si="843"/>
        <v>-531589.36</v>
      </c>
      <c r="X5361" s="6">
        <f t="shared" si="838"/>
        <v>506275.5809523809</v>
      </c>
      <c r="Y5361" s="13">
        <f t="shared" si="817"/>
        <v>0</v>
      </c>
      <c r="Z5361" s="14">
        <v>0</v>
      </c>
      <c r="AA5361" s="6">
        <v>0</v>
      </c>
      <c r="AB5361" s="4">
        <f t="shared" si="818"/>
        <v>506275.5809523809</v>
      </c>
      <c r="AC5361" s="4">
        <f t="shared" si="839"/>
        <v>25313.779047619086</v>
      </c>
      <c r="AD5361" s="6">
        <f t="shared" si="840"/>
        <v>531589.36</v>
      </c>
      <c r="AE5361" s="2">
        <v>0.06</v>
      </c>
      <c r="AF5361" s="6">
        <f t="shared" si="841"/>
        <v>31895.361599999997</v>
      </c>
      <c r="AG5361" s="14">
        <v>0</v>
      </c>
      <c r="AH5361" s="64">
        <f t="shared" si="842"/>
        <v>531589.36</v>
      </c>
      <c r="AI5361" s="47"/>
      <c r="AJ5361" s="126" t="e">
        <v>#N/A</v>
      </c>
      <c r="AK5361" s="80">
        <f t="shared" si="819"/>
        <v>0</v>
      </c>
      <c r="AM5361" s="85"/>
    </row>
    <row r="5362" spans="1:39" hidden="1" x14ac:dyDescent="0.3">
      <c r="A5362" s="89" t="s">
        <v>3391</v>
      </c>
      <c r="B5362" s="86" t="s">
        <v>35</v>
      </c>
      <c r="C5362" s="86" t="s">
        <v>59</v>
      </c>
      <c r="D5362" s="86" t="s">
        <v>60</v>
      </c>
      <c r="E5362" s="86" t="s">
        <v>95</v>
      </c>
      <c r="F5362" s="86" t="s">
        <v>95</v>
      </c>
      <c r="G5362" s="86" t="s">
        <v>95</v>
      </c>
      <c r="H5362" s="144">
        <v>229</v>
      </c>
      <c r="I5362" s="86" t="s">
        <v>3356</v>
      </c>
      <c r="J5362" s="1" t="s">
        <v>3326</v>
      </c>
      <c r="K5362" s="1" t="s">
        <v>3718</v>
      </c>
      <c r="L5362" s="1" t="s">
        <v>35</v>
      </c>
      <c r="M5362" s="86"/>
      <c r="N5362" s="86" t="s">
        <v>3739</v>
      </c>
      <c r="O5362" s="47" t="s">
        <v>45</v>
      </c>
      <c r="P5362" s="47" t="s">
        <v>46</v>
      </c>
      <c r="Q5362" s="14">
        <v>0.05</v>
      </c>
      <c r="R5362" s="143"/>
      <c r="S5362" s="47"/>
      <c r="T5362" s="6">
        <v>0</v>
      </c>
      <c r="U5362" s="6"/>
      <c r="V5362" s="6">
        <v>9222.7099999999991</v>
      </c>
      <c r="W5362" s="6">
        <f t="shared" si="843"/>
        <v>-9222.7099999999991</v>
      </c>
      <c r="X5362" s="6">
        <f t="shared" si="838"/>
        <v>8783.5333333333328</v>
      </c>
      <c r="Y5362" s="13">
        <f t="shared" si="817"/>
        <v>0</v>
      </c>
      <c r="Z5362" s="14">
        <v>0</v>
      </c>
      <c r="AA5362" s="6">
        <v>0</v>
      </c>
      <c r="AB5362" s="4">
        <f t="shared" si="818"/>
        <v>8783.5333333333328</v>
      </c>
      <c r="AC5362" s="4">
        <f t="shared" si="839"/>
        <v>439.17666666666628</v>
      </c>
      <c r="AD5362" s="6">
        <f t="shared" si="840"/>
        <v>9222.7099999999991</v>
      </c>
      <c r="AE5362" s="2">
        <v>0.06</v>
      </c>
      <c r="AF5362" s="6">
        <f t="shared" si="841"/>
        <v>553.36259999999993</v>
      </c>
      <c r="AG5362" s="14">
        <v>0</v>
      </c>
      <c r="AH5362" s="64">
        <f t="shared" si="842"/>
        <v>9222.7099999999991</v>
      </c>
      <c r="AI5362" s="47"/>
      <c r="AJ5362" s="126" t="e">
        <v>#N/A</v>
      </c>
      <c r="AK5362" s="80">
        <f t="shared" si="819"/>
        <v>0</v>
      </c>
      <c r="AM5362" s="85"/>
    </row>
    <row r="5363" spans="1:39" hidden="1" x14ac:dyDescent="0.3">
      <c r="A5363" s="89" t="s">
        <v>3391</v>
      </c>
      <c r="B5363" s="86" t="s">
        <v>35</v>
      </c>
      <c r="C5363" s="86" t="s">
        <v>59</v>
      </c>
      <c r="D5363" s="86" t="s">
        <v>60</v>
      </c>
      <c r="E5363" s="86" t="s">
        <v>95</v>
      </c>
      <c r="F5363" s="86" t="s">
        <v>95</v>
      </c>
      <c r="G5363" s="86" t="s">
        <v>95</v>
      </c>
      <c r="H5363" s="144">
        <v>229</v>
      </c>
      <c r="I5363" s="86" t="s">
        <v>3356</v>
      </c>
      <c r="J5363" s="1" t="s">
        <v>3326</v>
      </c>
      <c r="K5363" s="1" t="s">
        <v>3707</v>
      </c>
      <c r="L5363" s="1" t="s">
        <v>35</v>
      </c>
      <c r="M5363" s="86"/>
      <c r="N5363" s="86" t="s">
        <v>3737</v>
      </c>
      <c r="O5363" s="47" t="s">
        <v>105</v>
      </c>
      <c r="P5363" s="47" t="s">
        <v>46</v>
      </c>
      <c r="Q5363" s="14">
        <v>0.05</v>
      </c>
      <c r="R5363" s="143"/>
      <c r="S5363" s="47"/>
      <c r="T5363" s="6">
        <v>0</v>
      </c>
      <c r="U5363" s="6"/>
      <c r="V5363" s="6">
        <v>22099.919999999998</v>
      </c>
      <c r="W5363" s="6">
        <f t="shared" si="843"/>
        <v>-22099.919999999998</v>
      </c>
      <c r="X5363" s="6">
        <f t="shared" si="838"/>
        <v>21047.542857142853</v>
      </c>
      <c r="Y5363" s="13">
        <f t="shared" si="817"/>
        <v>0</v>
      </c>
      <c r="Z5363" s="14">
        <v>0</v>
      </c>
      <c r="AA5363" s="6">
        <v>0</v>
      </c>
      <c r="AB5363" s="4">
        <f t="shared" si="818"/>
        <v>21047.542857142853</v>
      </c>
      <c r="AC5363" s="4">
        <f t="shared" si="839"/>
        <v>1052.3771428571454</v>
      </c>
      <c r="AD5363" s="6">
        <f t="shared" si="840"/>
        <v>22099.919999999998</v>
      </c>
      <c r="AE5363" s="2">
        <v>0.06</v>
      </c>
      <c r="AF5363" s="6">
        <f t="shared" si="841"/>
        <v>1325.9951999999998</v>
      </c>
      <c r="AG5363" s="14">
        <v>0</v>
      </c>
      <c r="AH5363" s="64">
        <f t="shared" si="842"/>
        <v>22099.919999999998</v>
      </c>
      <c r="AI5363" s="47"/>
      <c r="AJ5363" s="126" t="e">
        <v>#N/A</v>
      </c>
      <c r="AK5363" s="80">
        <f t="shared" si="819"/>
        <v>0</v>
      </c>
      <c r="AM5363" s="85"/>
    </row>
    <row r="5364" spans="1:39" hidden="1" x14ac:dyDescent="0.3">
      <c r="A5364" s="89" t="s">
        <v>3391</v>
      </c>
      <c r="B5364" s="86" t="s">
        <v>35</v>
      </c>
      <c r="C5364" s="86" t="s">
        <v>59</v>
      </c>
      <c r="D5364" s="86" t="s">
        <v>60</v>
      </c>
      <c r="E5364" s="86" t="s">
        <v>95</v>
      </c>
      <c r="F5364" s="86" t="s">
        <v>95</v>
      </c>
      <c r="G5364" s="86" t="s">
        <v>95</v>
      </c>
      <c r="H5364" s="144">
        <v>229</v>
      </c>
      <c r="I5364" s="86" t="s">
        <v>3356</v>
      </c>
      <c r="J5364" s="1" t="s">
        <v>3326</v>
      </c>
      <c r="K5364" s="1" t="s">
        <v>3718</v>
      </c>
      <c r="L5364" s="1" t="s">
        <v>35</v>
      </c>
      <c r="M5364" s="86"/>
      <c r="N5364" s="86" t="s">
        <v>3719</v>
      </c>
      <c r="O5364" s="47" t="s">
        <v>105</v>
      </c>
      <c r="P5364" s="47" t="s">
        <v>46</v>
      </c>
      <c r="Q5364" s="14">
        <v>0.05</v>
      </c>
      <c r="R5364" s="143"/>
      <c r="S5364" s="47"/>
      <c r="T5364" s="6">
        <v>0</v>
      </c>
      <c r="U5364" s="6"/>
      <c r="V5364" s="6">
        <v>813.14</v>
      </c>
      <c r="W5364" s="6">
        <f t="shared" si="843"/>
        <v>-813.14</v>
      </c>
      <c r="X5364" s="6">
        <f t="shared" si="838"/>
        <v>774.41904761904755</v>
      </c>
      <c r="Y5364" s="13">
        <f t="shared" si="817"/>
        <v>0</v>
      </c>
      <c r="Z5364" s="14">
        <v>0</v>
      </c>
      <c r="AA5364" s="6">
        <v>0</v>
      </c>
      <c r="AB5364" s="4">
        <f t="shared" si="818"/>
        <v>774.41904761904755</v>
      </c>
      <c r="AC5364" s="4">
        <f t="shared" si="839"/>
        <v>38.72095238095244</v>
      </c>
      <c r="AD5364" s="6">
        <f t="shared" si="840"/>
        <v>813.14</v>
      </c>
      <c r="AE5364" s="2">
        <v>0.06</v>
      </c>
      <c r="AF5364" s="6">
        <f t="shared" si="841"/>
        <v>48.788399999999996</v>
      </c>
      <c r="AG5364" s="14">
        <v>0</v>
      </c>
      <c r="AH5364" s="64">
        <f t="shared" si="842"/>
        <v>813.14</v>
      </c>
      <c r="AI5364" s="47"/>
      <c r="AJ5364" s="126" t="e">
        <v>#N/A</v>
      </c>
      <c r="AK5364" s="80">
        <f t="shared" si="819"/>
        <v>0</v>
      </c>
      <c r="AM5364" s="85"/>
    </row>
    <row r="5365" spans="1:39" hidden="1" x14ac:dyDescent="0.3">
      <c r="A5365" s="85" t="s">
        <v>3747</v>
      </c>
      <c r="B5365" s="3" t="s">
        <v>35</v>
      </c>
      <c r="C5365" s="3" t="s">
        <v>47</v>
      </c>
      <c r="D5365" s="3" t="s">
        <v>63</v>
      </c>
      <c r="E5365" s="3" t="s">
        <v>2409</v>
      </c>
      <c r="F5365" s="3" t="s">
        <v>2415</v>
      </c>
      <c r="G5365" s="3" t="s">
        <v>2409</v>
      </c>
      <c r="H5365" s="143">
        <v>237</v>
      </c>
      <c r="I5365" s="3" t="s">
        <v>2374</v>
      </c>
      <c r="J5365" s="1" t="s">
        <v>3322</v>
      </c>
      <c r="K5365" s="1" t="s">
        <v>3269</v>
      </c>
      <c r="L5365" s="1" t="s">
        <v>35</v>
      </c>
      <c r="M5365" s="3" t="s">
        <v>2411</v>
      </c>
      <c r="O5365" s="1" t="s">
        <v>45</v>
      </c>
      <c r="P5365" s="1" t="s">
        <v>46</v>
      </c>
      <c r="Q5365" s="2">
        <v>5.5E-2</v>
      </c>
      <c r="R5365" s="138"/>
      <c r="T5365" s="4">
        <v>1727538.0879999995</v>
      </c>
      <c r="U5365" s="4">
        <v>0</v>
      </c>
      <c r="V5365" s="4">
        <v>0</v>
      </c>
      <c r="W5365" s="13">
        <f t="shared" si="843"/>
        <v>1727538.0879999995</v>
      </c>
      <c r="X5365" s="13">
        <f t="shared" ref="X5365:X5372" si="844">IF(P5365="折扣",V5365*Q5365,IF(P5365="返现",V5365,V5365/(1+Q5365+AG5365)))</f>
        <v>0</v>
      </c>
      <c r="Y5365" s="13">
        <f t="shared" si="817"/>
        <v>0</v>
      </c>
      <c r="Z5365" s="2">
        <v>0</v>
      </c>
      <c r="AA5365" s="4">
        <v>0</v>
      </c>
      <c r="AB5365" s="4">
        <f t="shared" si="818"/>
        <v>0</v>
      </c>
      <c r="AC5365" s="6">
        <f t="shared" si="839"/>
        <v>0</v>
      </c>
      <c r="AD5365" s="4">
        <v>0</v>
      </c>
      <c r="AE5365" s="2">
        <v>0.06</v>
      </c>
      <c r="AF5365" s="5">
        <f t="shared" si="841"/>
        <v>0</v>
      </c>
      <c r="AG5365" s="2">
        <v>0.06</v>
      </c>
      <c r="AH5365" s="4">
        <f t="shared" ref="AH5365:AH5372" si="845">V5365/(1+AG5365)</f>
        <v>0</v>
      </c>
      <c r="AJ5365" s="126" t="e">
        <v>#N/A</v>
      </c>
      <c r="AK5365" s="80">
        <f t="shared" si="819"/>
        <v>0</v>
      </c>
      <c r="AM5365" s="85"/>
    </row>
    <row r="5366" spans="1:39" hidden="1" x14ac:dyDescent="0.3">
      <c r="A5366" s="85" t="s">
        <v>34</v>
      </c>
      <c r="B5366" s="3" t="s">
        <v>35</v>
      </c>
      <c r="C5366" s="3" t="s">
        <v>47</v>
      </c>
      <c r="D5366" s="3" t="s">
        <v>63</v>
      </c>
      <c r="E5366" s="3" t="s">
        <v>2409</v>
      </c>
      <c r="F5366" s="3" t="s">
        <v>2412</v>
      </c>
      <c r="G5366" s="3" t="s">
        <v>2409</v>
      </c>
      <c r="I5366" s="3" t="s">
        <v>2374</v>
      </c>
      <c r="J5366" s="1" t="s">
        <v>3322</v>
      </c>
      <c r="K5366" s="1" t="s">
        <v>3269</v>
      </c>
      <c r="L5366" s="1" t="s">
        <v>35</v>
      </c>
      <c r="M5366" s="3" t="s">
        <v>2414</v>
      </c>
      <c r="O5366" s="1" t="s">
        <v>45</v>
      </c>
      <c r="P5366" s="1" t="s">
        <v>46</v>
      </c>
      <c r="Q5366" s="2">
        <v>5.5E-2</v>
      </c>
      <c r="R5366" s="138"/>
      <c r="T5366" s="4">
        <v>0</v>
      </c>
      <c r="U5366" s="4">
        <v>20045</v>
      </c>
      <c r="V5366" s="4">
        <v>15645.320000000005</v>
      </c>
      <c r="W5366" s="13">
        <f t="shared" si="843"/>
        <v>4399.6799999999948</v>
      </c>
      <c r="X5366" s="13">
        <f t="shared" si="844"/>
        <v>14829.687203791475</v>
      </c>
      <c r="Y5366" s="13">
        <f t="shared" si="817"/>
        <v>14829.687203791475</v>
      </c>
      <c r="Z5366" s="2">
        <v>0</v>
      </c>
      <c r="AA5366" s="4">
        <v>0</v>
      </c>
      <c r="AB5366" s="4">
        <f t="shared" si="818"/>
        <v>14829.687203791475</v>
      </c>
      <c r="AC5366" s="6">
        <f t="shared" si="839"/>
        <v>815.63279620853064</v>
      </c>
      <c r="AD5366" s="4">
        <v>0</v>
      </c>
      <c r="AE5366" s="2">
        <v>0.06</v>
      </c>
      <c r="AF5366" s="5">
        <f t="shared" si="841"/>
        <v>0</v>
      </c>
      <c r="AG5366" s="2">
        <v>0</v>
      </c>
      <c r="AH5366" s="4">
        <f t="shared" si="845"/>
        <v>15645.320000000005</v>
      </c>
      <c r="AJ5366" s="126" t="e">
        <v>#N/A</v>
      </c>
      <c r="AK5366" s="80">
        <f t="shared" si="819"/>
        <v>0</v>
      </c>
      <c r="AM5366" s="85"/>
    </row>
    <row r="5367" spans="1:39" hidden="1" x14ac:dyDescent="0.3">
      <c r="A5367" s="85" t="s">
        <v>34</v>
      </c>
      <c r="B5367" s="3" t="s">
        <v>35</v>
      </c>
      <c r="C5367" s="3" t="s">
        <v>47</v>
      </c>
      <c r="D5367" s="3" t="s">
        <v>63</v>
      </c>
      <c r="E5367" s="3" t="s">
        <v>2418</v>
      </c>
      <c r="F5367" s="3" t="s">
        <v>2422</v>
      </c>
      <c r="G5367" s="3" t="s">
        <v>2418</v>
      </c>
      <c r="I5367" s="3" t="s">
        <v>2374</v>
      </c>
      <c r="J5367" s="1" t="s">
        <v>3322</v>
      </c>
      <c r="K5367" s="1" t="s">
        <v>3269</v>
      </c>
      <c r="L5367" s="1" t="s">
        <v>35</v>
      </c>
      <c r="M5367" s="3" t="s">
        <v>2423</v>
      </c>
      <c r="O5367" s="1" t="s">
        <v>45</v>
      </c>
      <c r="P5367" s="1" t="s">
        <v>46</v>
      </c>
      <c r="Q5367" s="2">
        <v>5.5E-2</v>
      </c>
      <c r="R5367" s="138"/>
      <c r="T5367" s="4">
        <v>105500</v>
      </c>
      <c r="U5367" s="4">
        <v>242650</v>
      </c>
      <c r="V5367" s="4">
        <v>125933.95999999996</v>
      </c>
      <c r="W5367" s="13">
        <f t="shared" si="843"/>
        <v>222216.04000000004</v>
      </c>
      <c r="X5367" s="13">
        <f t="shared" si="844"/>
        <v>119368.68246445495</v>
      </c>
      <c r="Y5367" s="13">
        <f t="shared" si="817"/>
        <v>119368.68246445495</v>
      </c>
      <c r="Z5367" s="2">
        <v>0</v>
      </c>
      <c r="AA5367" s="4">
        <v>0</v>
      </c>
      <c r="AB5367" s="4">
        <f t="shared" si="818"/>
        <v>119368.68246445495</v>
      </c>
      <c r="AC5367" s="6">
        <f t="shared" si="839"/>
        <v>6565.277535545014</v>
      </c>
      <c r="AD5367" s="4">
        <v>0</v>
      </c>
      <c r="AE5367" s="2">
        <v>0.06</v>
      </c>
      <c r="AF5367" s="5">
        <f t="shared" si="841"/>
        <v>0</v>
      </c>
      <c r="AG5367" s="2">
        <v>0</v>
      </c>
      <c r="AH5367" s="4">
        <f t="shared" si="845"/>
        <v>125933.95999999996</v>
      </c>
      <c r="AJ5367" s="126" t="e">
        <v>#N/A</v>
      </c>
      <c r="AK5367" s="80">
        <f t="shared" si="819"/>
        <v>0</v>
      </c>
      <c r="AM5367" s="85"/>
    </row>
    <row r="5368" spans="1:39" hidden="1" x14ac:dyDescent="0.3">
      <c r="A5368" s="85" t="s">
        <v>34</v>
      </c>
      <c r="B5368" s="3" t="s">
        <v>35</v>
      </c>
      <c r="C5368" s="3" t="s">
        <v>47</v>
      </c>
      <c r="D5368" s="3" t="s">
        <v>63</v>
      </c>
      <c r="E5368" s="3" t="s">
        <v>2409</v>
      </c>
      <c r="F5368" s="3" t="s">
        <v>2424</v>
      </c>
      <c r="G5368" s="3" t="s">
        <v>2418</v>
      </c>
      <c r="I5368" s="3" t="s">
        <v>2374</v>
      </c>
      <c r="J5368" s="1" t="s">
        <v>3322</v>
      </c>
      <c r="K5368" s="1" t="s">
        <v>3269</v>
      </c>
      <c r="L5368" s="1" t="s">
        <v>35</v>
      </c>
      <c r="M5368" s="3" t="s">
        <v>2413</v>
      </c>
      <c r="O5368" s="1" t="s">
        <v>45</v>
      </c>
      <c r="P5368" s="1" t="s">
        <v>46</v>
      </c>
      <c r="Q5368" s="2">
        <v>5.5E-2</v>
      </c>
      <c r="R5368" s="138"/>
      <c r="T5368" s="4">
        <v>80926.95999999973</v>
      </c>
      <c r="U5368" s="4">
        <v>0</v>
      </c>
      <c r="V5368" s="4">
        <v>80926.95999999973</v>
      </c>
      <c r="W5368" s="13">
        <f t="shared" si="843"/>
        <v>0</v>
      </c>
      <c r="X5368" s="13">
        <f t="shared" si="844"/>
        <v>76708.018957345717</v>
      </c>
      <c r="Y5368" s="13">
        <f t="shared" si="817"/>
        <v>76708.018957345717</v>
      </c>
      <c r="Z5368" s="2">
        <v>0</v>
      </c>
      <c r="AA5368" s="4">
        <v>0</v>
      </c>
      <c r="AB5368" s="4">
        <f t="shared" si="818"/>
        <v>76708.018957345717</v>
      </c>
      <c r="AC5368" s="6">
        <f t="shared" si="839"/>
        <v>4218.9410426540126</v>
      </c>
      <c r="AD5368" s="4">
        <v>0</v>
      </c>
      <c r="AE5368" s="2">
        <v>0.06</v>
      </c>
      <c r="AF5368" s="5">
        <f t="shared" si="841"/>
        <v>0</v>
      </c>
      <c r="AG5368" s="2">
        <v>0</v>
      </c>
      <c r="AH5368" s="4">
        <f t="shared" si="845"/>
        <v>80926.95999999973</v>
      </c>
      <c r="AJ5368" s="126" t="e">
        <v>#N/A</v>
      </c>
      <c r="AK5368" s="80">
        <f t="shared" si="819"/>
        <v>0</v>
      </c>
      <c r="AM5368" s="85"/>
    </row>
    <row r="5369" spans="1:39" hidden="1" x14ac:dyDescent="0.3">
      <c r="A5369" s="85" t="s">
        <v>3750</v>
      </c>
      <c r="B5369" s="3" t="s">
        <v>35</v>
      </c>
      <c r="C5369" s="3" t="s">
        <v>47</v>
      </c>
      <c r="D5369" s="3" t="s">
        <v>63</v>
      </c>
      <c r="E5369" s="3" t="s">
        <v>2393</v>
      </c>
      <c r="F5369" s="3" t="s">
        <v>2394</v>
      </c>
      <c r="G5369" s="3" t="s">
        <v>2393</v>
      </c>
      <c r="H5369" s="143">
        <v>237</v>
      </c>
      <c r="I5369" s="3" t="s">
        <v>2374</v>
      </c>
      <c r="J5369" s="1" t="s">
        <v>3322</v>
      </c>
      <c r="K5369" s="1" t="s">
        <v>3269</v>
      </c>
      <c r="L5369" s="1" t="s">
        <v>35</v>
      </c>
      <c r="M5369" s="3" t="s">
        <v>2395</v>
      </c>
      <c r="O5369" s="1" t="s">
        <v>40</v>
      </c>
      <c r="P5369" s="1" t="s">
        <v>46</v>
      </c>
      <c r="Q5369" s="2">
        <v>5.5E-2</v>
      </c>
      <c r="R5369" s="138"/>
      <c r="T5369" s="4">
        <v>48697.410000000011</v>
      </c>
      <c r="U5369" s="4">
        <v>0</v>
      </c>
      <c r="V5369" s="4">
        <v>0</v>
      </c>
      <c r="W5369" s="13">
        <f t="shared" si="843"/>
        <v>48697.410000000011</v>
      </c>
      <c r="X5369" s="13">
        <f t="shared" si="844"/>
        <v>0</v>
      </c>
      <c r="Y5369" s="13">
        <f t="shared" si="817"/>
        <v>0</v>
      </c>
      <c r="Z5369" s="2">
        <v>0</v>
      </c>
      <c r="AA5369" s="4">
        <v>0</v>
      </c>
      <c r="AB5369" s="4">
        <f t="shared" si="818"/>
        <v>0</v>
      </c>
      <c r="AC5369" s="6">
        <f t="shared" si="839"/>
        <v>0</v>
      </c>
      <c r="AD5369" s="4">
        <v>0</v>
      </c>
      <c r="AE5369" s="2">
        <v>7.0000000000000007E-2</v>
      </c>
      <c r="AF5369" s="5">
        <f t="shared" si="841"/>
        <v>0</v>
      </c>
      <c r="AG5369" s="2">
        <v>0</v>
      </c>
      <c r="AH5369" s="4">
        <f t="shared" si="845"/>
        <v>0</v>
      </c>
      <c r="AJ5369" s="126" t="e">
        <v>#N/A</v>
      </c>
      <c r="AK5369" s="80">
        <f t="shared" si="819"/>
        <v>0</v>
      </c>
      <c r="AM5369" s="85"/>
    </row>
    <row r="5370" spans="1:39" hidden="1" x14ac:dyDescent="0.3">
      <c r="A5370" s="85" t="s">
        <v>3750</v>
      </c>
      <c r="B5370" s="3" t="s">
        <v>35</v>
      </c>
      <c r="C5370" s="3" t="s">
        <v>47</v>
      </c>
      <c r="D5370" s="3" t="s">
        <v>63</v>
      </c>
      <c r="E5370" s="3" t="s">
        <v>2393</v>
      </c>
      <c r="F5370" s="3" t="s">
        <v>2398</v>
      </c>
      <c r="G5370" s="3" t="s">
        <v>2393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2395</v>
      </c>
      <c r="O5370" s="1" t="s">
        <v>45</v>
      </c>
      <c r="P5370" s="1" t="s">
        <v>46</v>
      </c>
      <c r="Q5370" s="2">
        <v>5.5E-2</v>
      </c>
      <c r="R5370" s="138"/>
      <c r="T5370" s="4">
        <v>5438693.4020000007</v>
      </c>
      <c r="U5370" s="4">
        <v>0</v>
      </c>
      <c r="V5370" s="4">
        <v>0</v>
      </c>
      <c r="W5370" s="13">
        <f t="shared" si="843"/>
        <v>5438693.4020000007</v>
      </c>
      <c r="X5370" s="13">
        <f t="shared" si="844"/>
        <v>0</v>
      </c>
      <c r="Y5370" s="13">
        <f t="shared" si="817"/>
        <v>0</v>
      </c>
      <c r="Z5370" s="2">
        <v>0</v>
      </c>
      <c r="AA5370" s="4">
        <v>0</v>
      </c>
      <c r="AB5370" s="4">
        <f t="shared" si="818"/>
        <v>0</v>
      </c>
      <c r="AC5370" s="6">
        <f t="shared" si="839"/>
        <v>0</v>
      </c>
      <c r="AD5370" s="4">
        <v>0</v>
      </c>
      <c r="AE5370" s="2">
        <v>0.06</v>
      </c>
      <c r="AF5370" s="5">
        <f t="shared" si="841"/>
        <v>0</v>
      </c>
      <c r="AG5370" s="2">
        <v>0.06</v>
      </c>
      <c r="AH5370" s="4">
        <f t="shared" si="845"/>
        <v>0</v>
      </c>
      <c r="AJ5370" s="126" t="e">
        <v>#N/A</v>
      </c>
      <c r="AK5370" s="80">
        <f t="shared" si="819"/>
        <v>0</v>
      </c>
      <c r="AM5370" s="85"/>
    </row>
    <row r="5371" spans="1:39" hidden="1" x14ac:dyDescent="0.3">
      <c r="A5371" s="89" t="s">
        <v>34</v>
      </c>
      <c r="B5371" s="86" t="s">
        <v>35</v>
      </c>
      <c r="C5371" s="86" t="s">
        <v>164</v>
      </c>
      <c r="D5371" s="86" t="s">
        <v>165</v>
      </c>
      <c r="E5371" s="86" t="s">
        <v>2436</v>
      </c>
      <c r="F5371" s="3" t="s">
        <v>3756</v>
      </c>
      <c r="G5371" s="86" t="s">
        <v>2436</v>
      </c>
      <c r="H5371" s="144">
        <v>123</v>
      </c>
      <c r="I5371" s="86" t="s">
        <v>3757</v>
      </c>
      <c r="J5371" s="1" t="s">
        <v>3322</v>
      </c>
      <c r="K5371" s="1" t="s">
        <v>3269</v>
      </c>
      <c r="L5371" s="1" t="s">
        <v>35</v>
      </c>
      <c r="M5371" s="86" t="s">
        <v>2436</v>
      </c>
      <c r="N5371" s="86"/>
      <c r="O5371" s="47" t="s">
        <v>40</v>
      </c>
      <c r="P5371" s="47" t="s">
        <v>46</v>
      </c>
      <c r="Q5371" s="14">
        <v>0</v>
      </c>
      <c r="V5371" s="98">
        <v>48676.310679611699</v>
      </c>
      <c r="W5371" s="6"/>
      <c r="X5371" s="6">
        <f t="shared" si="844"/>
        <v>48676.310679611699</v>
      </c>
      <c r="Y5371" s="13">
        <f t="shared" si="817"/>
        <v>3.637978807091713E-11</v>
      </c>
      <c r="Z5371" s="14">
        <v>0</v>
      </c>
      <c r="AA5371" s="6">
        <v>0</v>
      </c>
      <c r="AB5371" s="4">
        <f t="shared" si="818"/>
        <v>48676.310679611699</v>
      </c>
      <c r="AC5371" s="4">
        <f t="shared" si="839"/>
        <v>0</v>
      </c>
      <c r="AD5371" s="98">
        <v>48676.310679611663</v>
      </c>
      <c r="AE5371" s="2">
        <v>7.0000000000000007E-2</v>
      </c>
      <c r="AF5371" s="6">
        <f t="shared" si="841"/>
        <v>3407.3417475728165</v>
      </c>
      <c r="AG5371" s="14">
        <v>0</v>
      </c>
      <c r="AH5371" s="6">
        <f t="shared" si="845"/>
        <v>48676.310679611699</v>
      </c>
      <c r="AI5371" s="47"/>
      <c r="AJ5371" s="126" t="e">
        <v>#N/A</v>
      </c>
      <c r="AK5371" s="80">
        <f t="shared" si="819"/>
        <v>0</v>
      </c>
      <c r="AM5371" s="85"/>
    </row>
    <row r="5372" spans="1:39" hidden="1" x14ac:dyDescent="0.3">
      <c r="A5372" s="89" t="s">
        <v>3408</v>
      </c>
      <c r="B5372" s="86" t="s">
        <v>35</v>
      </c>
      <c r="C5372" s="86" t="s">
        <v>164</v>
      </c>
      <c r="D5372" s="86" t="s">
        <v>165</v>
      </c>
      <c r="E5372" s="86" t="s">
        <v>2436</v>
      </c>
      <c r="F5372" s="3" t="s">
        <v>3756</v>
      </c>
      <c r="G5372" s="86" t="s">
        <v>2436</v>
      </c>
      <c r="H5372" s="144">
        <v>123</v>
      </c>
      <c r="I5372" s="86" t="s">
        <v>3758</v>
      </c>
      <c r="J5372" s="1" t="s">
        <v>3322</v>
      </c>
      <c r="K5372" s="1" t="s">
        <v>3269</v>
      </c>
      <c r="L5372" s="1" t="s">
        <v>35</v>
      </c>
      <c r="M5372" s="86" t="s">
        <v>2436</v>
      </c>
      <c r="N5372" s="86"/>
      <c r="O5372" s="47" t="s">
        <v>40</v>
      </c>
      <c r="P5372" s="47" t="s">
        <v>46</v>
      </c>
      <c r="Q5372" s="14">
        <v>0</v>
      </c>
      <c r="V5372" s="4">
        <v>22.0291262135922</v>
      </c>
      <c r="W5372" s="6"/>
      <c r="X5372" s="6">
        <f t="shared" si="844"/>
        <v>22.0291262135922</v>
      </c>
      <c r="Y5372" s="13">
        <f t="shared" si="817"/>
        <v>2.4868995751603507E-14</v>
      </c>
      <c r="Z5372" s="14">
        <v>0</v>
      </c>
      <c r="AA5372" s="6">
        <v>0</v>
      </c>
      <c r="AB5372" s="4">
        <f t="shared" si="818"/>
        <v>22.0291262135922</v>
      </c>
      <c r="AC5372" s="4">
        <f t="shared" si="839"/>
        <v>0</v>
      </c>
      <c r="AD5372" s="4">
        <v>22.029126213592175</v>
      </c>
      <c r="AE5372" s="2">
        <v>7.0000000000000007E-2</v>
      </c>
      <c r="AF5372" s="6">
        <f t="shared" si="841"/>
        <v>1.5420388349514524</v>
      </c>
      <c r="AG5372" s="14">
        <v>0</v>
      </c>
      <c r="AH5372" s="6">
        <f t="shared" si="845"/>
        <v>22.0291262135922</v>
      </c>
      <c r="AI5372" s="47"/>
      <c r="AJ5372" s="126" t="e">
        <v>#N/A</v>
      </c>
      <c r="AK5372" s="80">
        <f t="shared" si="819"/>
        <v>0</v>
      </c>
      <c r="AM5372" s="85"/>
    </row>
    <row r="5373" spans="1:39" s="86" customFormat="1" ht="13.25" hidden="1" customHeight="1" x14ac:dyDescent="0.3">
      <c r="A5373" s="89" t="s">
        <v>3792</v>
      </c>
      <c r="B5373" s="86" t="s">
        <v>35</v>
      </c>
      <c r="C5373" s="86" t="s">
        <v>59</v>
      </c>
      <c r="D5373" s="86" t="s">
        <v>60</v>
      </c>
      <c r="E5373" s="86" t="s">
        <v>74</v>
      </c>
      <c r="F5373" s="86" t="s">
        <v>74</v>
      </c>
      <c r="G5373" s="86" t="s">
        <v>74</v>
      </c>
      <c r="H5373" s="144">
        <v>62</v>
      </c>
      <c r="I5373" s="86" t="s">
        <v>408</v>
      </c>
      <c r="J5373" s="1" t="s">
        <v>3324</v>
      </c>
      <c r="K5373" s="1" t="s">
        <v>3278</v>
      </c>
      <c r="L5373" s="1" t="s">
        <v>35</v>
      </c>
      <c r="M5373" s="86" t="s">
        <v>411</v>
      </c>
      <c r="O5373" s="47" t="s">
        <v>410</v>
      </c>
      <c r="P5373" s="47" t="s">
        <v>75</v>
      </c>
      <c r="Q5373" s="14">
        <v>0.06</v>
      </c>
      <c r="R5373" s="143">
        <v>1000076496</v>
      </c>
      <c r="S5373" s="47"/>
      <c r="T5373" s="6">
        <v>58198.920000000006</v>
      </c>
      <c r="U5373" s="6">
        <v>30000</v>
      </c>
      <c r="V5373" s="6">
        <v>50212.88</v>
      </c>
      <c r="W5373" s="6">
        <f t="shared" ref="W5373:W5436" si="846">T5373+U5373-V5373</f>
        <v>37986.040000000015</v>
      </c>
      <c r="X5373" s="6">
        <f t="shared" ref="X5373:X5436" si="847">IF(P5373="折扣",V5373*Q5373,IF(P5373="返现",V5373,V5373/(1+Q5373)))</f>
        <v>50212.88</v>
      </c>
      <c r="Y5373" s="13">
        <f t="shared" si="817"/>
        <v>0</v>
      </c>
      <c r="Z5373" s="66">
        <v>0</v>
      </c>
      <c r="AA5373" s="6">
        <v>0</v>
      </c>
      <c r="AB5373" s="4">
        <f t="shared" si="818"/>
        <v>50212.88</v>
      </c>
      <c r="AC5373" s="6">
        <f>IF(P5373="返现",X5373*Q5373,V5373-X5373)</f>
        <v>3012.7727999999997</v>
      </c>
      <c r="AD5373" s="6">
        <f>V5373</f>
        <v>50212.88</v>
      </c>
      <c r="AE5373" s="14">
        <f>VLOOKUP(I5373,[2]媒体政策预估表!A:N,MATCH(O5373,[2]媒体政策预估表!$A$2:$M$2,0),0)</f>
        <v>7.0000000000000007E-2</v>
      </c>
      <c r="AF5373" s="6">
        <f t="shared" si="841"/>
        <v>3514.9016000000001</v>
      </c>
      <c r="AG5373" s="14">
        <v>0</v>
      </c>
      <c r="AH5373" s="64">
        <f>V5373</f>
        <v>50212.88</v>
      </c>
      <c r="AI5373" s="47"/>
      <c r="AJ5373" s="126" t="e">
        <v>#N/A</v>
      </c>
      <c r="AK5373" s="80">
        <f t="shared" si="819"/>
        <v>0</v>
      </c>
      <c r="AL5373" s="85"/>
      <c r="AM5373" s="85"/>
    </row>
    <row r="5374" spans="1:39" s="86" customFormat="1" ht="13.25" hidden="1" customHeight="1" x14ac:dyDescent="0.3">
      <c r="A5374" s="89" t="s">
        <v>3792</v>
      </c>
      <c r="B5374" s="86" t="s">
        <v>35</v>
      </c>
      <c r="C5374" s="86" t="s">
        <v>59</v>
      </c>
      <c r="D5374" s="86" t="s">
        <v>60</v>
      </c>
      <c r="E5374" s="86" t="s">
        <v>412</v>
      </c>
      <c r="F5374" s="86" t="s">
        <v>412</v>
      </c>
      <c r="G5374" s="86" t="s">
        <v>412</v>
      </c>
      <c r="H5374" s="144">
        <v>62</v>
      </c>
      <c r="I5374" s="86" t="s">
        <v>408</v>
      </c>
      <c r="J5374" s="1" t="s">
        <v>3324</v>
      </c>
      <c r="K5374" s="1" t="s">
        <v>3278</v>
      </c>
      <c r="L5374" s="1" t="s">
        <v>35</v>
      </c>
      <c r="M5374" s="86" t="s">
        <v>413</v>
      </c>
      <c r="O5374" s="47" t="s">
        <v>410</v>
      </c>
      <c r="P5374" s="47" t="s">
        <v>46</v>
      </c>
      <c r="Q5374" s="14">
        <v>0.02</v>
      </c>
      <c r="R5374" s="143">
        <v>1000098965</v>
      </c>
      <c r="S5374" s="47"/>
      <c r="T5374" s="6">
        <v>8709.1000000000095</v>
      </c>
      <c r="U5374" s="6">
        <v>10000</v>
      </c>
      <c r="V5374" s="6">
        <v>16865.5</v>
      </c>
      <c r="W5374" s="6">
        <f t="shared" si="846"/>
        <v>1843.6000000000095</v>
      </c>
      <c r="X5374" s="6">
        <f t="shared" si="847"/>
        <v>16534.803921568626</v>
      </c>
      <c r="Y5374" s="13">
        <f t="shared" si="817"/>
        <v>0</v>
      </c>
      <c r="Z5374" s="66">
        <v>0</v>
      </c>
      <c r="AA5374" s="6">
        <v>0</v>
      </c>
      <c r="AB5374" s="4">
        <f t="shared" si="818"/>
        <v>16534.803921568626</v>
      </c>
      <c r="AC5374" s="6">
        <f t="shared" ref="AC5374:AC5437" si="848">IF(P5374="返现",X5374*Q5374,V5374-X5374)</f>
        <v>330.69607843137419</v>
      </c>
      <c r="AD5374" s="6">
        <f t="shared" ref="AD5374:AD5437" si="849">V5374</f>
        <v>16865.5</v>
      </c>
      <c r="AE5374" s="14">
        <f>VLOOKUP(I5374,[2]媒体政策预估表!A:N,MATCH(O5374,[2]媒体政策预估表!$A$2:$M$2,0),0)</f>
        <v>7.0000000000000007E-2</v>
      </c>
      <c r="AF5374" s="6">
        <f t="shared" si="841"/>
        <v>1180.585</v>
      </c>
      <c r="AG5374" s="14">
        <v>0</v>
      </c>
      <c r="AH5374" s="64">
        <f t="shared" ref="AH5374:AH5437" si="850">V5374</f>
        <v>16865.5</v>
      </c>
      <c r="AI5374" s="47"/>
      <c r="AJ5374" s="126" t="e">
        <v>#N/A</v>
      </c>
      <c r="AK5374" s="80">
        <f t="shared" si="819"/>
        <v>0</v>
      </c>
      <c r="AL5374" s="85"/>
      <c r="AM5374" s="85"/>
    </row>
    <row r="5375" spans="1:39" s="86" customFormat="1" ht="13.25" hidden="1" customHeight="1" x14ac:dyDescent="0.3">
      <c r="A5375" s="89" t="s">
        <v>3792</v>
      </c>
      <c r="B5375" s="86" t="s">
        <v>35</v>
      </c>
      <c r="C5375" s="86" t="s">
        <v>59</v>
      </c>
      <c r="D5375" s="86" t="s">
        <v>60</v>
      </c>
      <c r="E5375" s="86" t="s">
        <v>1069</v>
      </c>
      <c r="F5375" s="86" t="s">
        <v>1069</v>
      </c>
      <c r="G5375" s="86" t="s">
        <v>1069</v>
      </c>
      <c r="H5375" s="144">
        <v>62</v>
      </c>
      <c r="I5375" s="86" t="s">
        <v>408</v>
      </c>
      <c r="J5375" s="1" t="s">
        <v>3324</v>
      </c>
      <c r="K5375" s="1" t="s">
        <v>3278</v>
      </c>
      <c r="L5375" s="1" t="s">
        <v>35</v>
      </c>
      <c r="M5375" s="86" t="s">
        <v>3450</v>
      </c>
      <c r="O5375" s="47" t="s">
        <v>410</v>
      </c>
      <c r="P5375" s="47" t="s">
        <v>46</v>
      </c>
      <c r="Q5375" s="14">
        <v>0.02</v>
      </c>
      <c r="R5375" s="143">
        <v>1000069913</v>
      </c>
      <c r="S5375" s="47"/>
      <c r="T5375" s="6">
        <v>0</v>
      </c>
      <c r="U5375" s="6">
        <v>42500</v>
      </c>
      <c r="V5375" s="6">
        <v>28159.219999999994</v>
      </c>
      <c r="W5375" s="6">
        <f t="shared" si="846"/>
        <v>14340.780000000006</v>
      </c>
      <c r="X5375" s="6">
        <f t="shared" si="847"/>
        <v>27607.078431372542</v>
      </c>
      <c r="Y5375" s="13">
        <f t="shared" si="817"/>
        <v>0</v>
      </c>
      <c r="Z5375" s="66">
        <v>0</v>
      </c>
      <c r="AA5375" s="6">
        <v>0</v>
      </c>
      <c r="AB5375" s="4">
        <f t="shared" si="818"/>
        <v>27607.078431372542</v>
      </c>
      <c r="AC5375" s="6">
        <f t="shared" si="848"/>
        <v>552.14156862745222</v>
      </c>
      <c r="AD5375" s="6">
        <f t="shared" si="849"/>
        <v>28159.219999999994</v>
      </c>
      <c r="AE5375" s="14">
        <f>VLOOKUP(I5375,[2]媒体政策预估表!A:N,MATCH(O5375,[2]媒体政策预估表!$A$2:$M$2,0),0)</f>
        <v>7.0000000000000007E-2</v>
      </c>
      <c r="AF5375" s="6">
        <f t="shared" si="841"/>
        <v>1971.1453999999997</v>
      </c>
      <c r="AG5375" s="14">
        <v>0</v>
      </c>
      <c r="AH5375" s="64">
        <f t="shared" si="850"/>
        <v>28159.219999999994</v>
      </c>
      <c r="AI5375" s="47"/>
      <c r="AJ5375" s="126" t="e">
        <v>#N/A</v>
      </c>
      <c r="AK5375" s="80">
        <f t="shared" si="819"/>
        <v>0</v>
      </c>
      <c r="AL5375" s="85"/>
      <c r="AM5375" s="85"/>
    </row>
    <row r="5376" spans="1:39" s="86" customFormat="1" ht="13.25" hidden="1" customHeight="1" x14ac:dyDescent="0.3">
      <c r="A5376" s="89" t="s">
        <v>3792</v>
      </c>
      <c r="B5376" s="86" t="s">
        <v>35</v>
      </c>
      <c r="C5376" s="86" t="s">
        <v>59</v>
      </c>
      <c r="D5376" s="86" t="s">
        <v>60</v>
      </c>
      <c r="E5376" s="86" t="s">
        <v>414</v>
      </c>
      <c r="F5376" s="86" t="s">
        <v>414</v>
      </c>
      <c r="G5376" s="86" t="s">
        <v>414</v>
      </c>
      <c r="H5376" s="144">
        <v>62</v>
      </c>
      <c r="I5376" s="86" t="s">
        <v>408</v>
      </c>
      <c r="J5376" s="1" t="s">
        <v>3324</v>
      </c>
      <c r="K5376" s="1" t="s">
        <v>3278</v>
      </c>
      <c r="L5376" s="1" t="s">
        <v>35</v>
      </c>
      <c r="M5376" s="86" t="s">
        <v>3793</v>
      </c>
      <c r="O5376" s="47" t="s">
        <v>410</v>
      </c>
      <c r="P5376" s="47" t="s">
        <v>92</v>
      </c>
      <c r="Q5376" s="14">
        <v>0.98</v>
      </c>
      <c r="R5376" s="143">
        <v>1000043663</v>
      </c>
      <c r="S5376" s="47"/>
      <c r="T5376" s="6">
        <v>19660.699999999983</v>
      </c>
      <c r="U5376" s="6">
        <v>20000</v>
      </c>
      <c r="V5376" s="6">
        <v>23051.600000000002</v>
      </c>
      <c r="W5376" s="6">
        <f t="shared" si="846"/>
        <v>16609.09999999998</v>
      </c>
      <c r="X5376" s="6">
        <f t="shared" si="847"/>
        <v>22590.568000000003</v>
      </c>
      <c r="Y5376" s="13">
        <f t="shared" si="817"/>
        <v>0</v>
      </c>
      <c r="Z5376" s="66">
        <v>0</v>
      </c>
      <c r="AA5376" s="6">
        <v>0</v>
      </c>
      <c r="AB5376" s="4">
        <f t="shared" si="818"/>
        <v>22590.568000000003</v>
      </c>
      <c r="AC5376" s="6">
        <f t="shared" si="848"/>
        <v>461.03199999999924</v>
      </c>
      <c r="AD5376" s="6">
        <f t="shared" si="849"/>
        <v>23051.600000000002</v>
      </c>
      <c r="AE5376" s="14">
        <f>VLOOKUP(I5376,[2]媒体政策预估表!A:N,MATCH(O5376,[2]媒体政策预估表!$A$2:$M$2,0),0)</f>
        <v>7.0000000000000007E-2</v>
      </c>
      <c r="AF5376" s="6">
        <f t="shared" si="841"/>
        <v>1613.6120000000003</v>
      </c>
      <c r="AG5376" s="14">
        <v>0</v>
      </c>
      <c r="AH5376" s="64">
        <f t="shared" si="850"/>
        <v>23051.600000000002</v>
      </c>
      <c r="AI5376" s="47"/>
      <c r="AJ5376" s="126" t="e">
        <v>#N/A</v>
      </c>
      <c r="AK5376" s="80">
        <f t="shared" si="819"/>
        <v>0</v>
      </c>
      <c r="AL5376" s="85"/>
      <c r="AM5376" s="85"/>
    </row>
    <row r="5377" spans="1:39" s="86" customFormat="1" ht="13.25" hidden="1" customHeight="1" x14ac:dyDescent="0.3">
      <c r="A5377" s="89" t="s">
        <v>3794</v>
      </c>
      <c r="B5377" s="86" t="s">
        <v>35</v>
      </c>
      <c r="C5377" s="86" t="s">
        <v>59</v>
      </c>
      <c r="D5377" s="86" t="s">
        <v>60</v>
      </c>
      <c r="E5377" s="86" t="s">
        <v>417</v>
      </c>
      <c r="F5377" s="86" t="s">
        <v>418</v>
      </c>
      <c r="G5377" s="86" t="s">
        <v>417</v>
      </c>
      <c r="H5377" s="144">
        <v>62</v>
      </c>
      <c r="I5377" s="86" t="s">
        <v>408</v>
      </c>
      <c r="J5377" s="1" t="s">
        <v>3324</v>
      </c>
      <c r="K5377" s="1" t="s">
        <v>3278</v>
      </c>
      <c r="L5377" s="1" t="s">
        <v>35</v>
      </c>
      <c r="M5377" s="86" t="s">
        <v>3795</v>
      </c>
      <c r="O5377" s="47" t="s">
        <v>410</v>
      </c>
      <c r="P5377" s="47" t="s">
        <v>41</v>
      </c>
      <c r="Q5377" s="14">
        <v>0</v>
      </c>
      <c r="R5377" s="143">
        <v>1000048631</v>
      </c>
      <c r="S5377" s="47"/>
      <c r="T5377" s="6">
        <v>52690.329999999973</v>
      </c>
      <c r="U5377" s="6">
        <v>100000</v>
      </c>
      <c r="V5377" s="6">
        <v>100325.48000000003</v>
      </c>
      <c r="W5377" s="6">
        <f t="shared" si="846"/>
        <v>52364.849999999933</v>
      </c>
      <c r="X5377" s="6">
        <f t="shared" si="847"/>
        <v>100325.48000000003</v>
      </c>
      <c r="Y5377" s="13">
        <f t="shared" si="817"/>
        <v>0</v>
      </c>
      <c r="Z5377" s="66">
        <v>0</v>
      </c>
      <c r="AA5377" s="6">
        <v>0</v>
      </c>
      <c r="AB5377" s="4">
        <f t="shared" si="818"/>
        <v>100325.48000000003</v>
      </c>
      <c r="AC5377" s="6">
        <f t="shared" si="848"/>
        <v>0</v>
      </c>
      <c r="AD5377" s="6">
        <f t="shared" si="849"/>
        <v>100325.48000000003</v>
      </c>
      <c r="AE5377" s="14">
        <f>VLOOKUP(I5377,[2]媒体政策预估表!A:N,MATCH(O5377,[2]媒体政策预估表!$A$2:$M$2,0),0)</f>
        <v>7.0000000000000007E-2</v>
      </c>
      <c r="AF5377" s="6">
        <f t="shared" si="841"/>
        <v>7022.7836000000025</v>
      </c>
      <c r="AG5377" s="14">
        <v>0</v>
      </c>
      <c r="AH5377" s="64">
        <f t="shared" si="850"/>
        <v>100325.48000000003</v>
      </c>
      <c r="AI5377" s="47"/>
      <c r="AJ5377" s="126" t="e">
        <v>#N/A</v>
      </c>
      <c r="AK5377" s="80">
        <f t="shared" si="819"/>
        <v>0</v>
      </c>
      <c r="AL5377" s="85"/>
      <c r="AM5377" s="85"/>
    </row>
    <row r="5378" spans="1:39" s="86" customFormat="1" ht="13.25" hidden="1" customHeight="1" x14ac:dyDescent="0.3">
      <c r="A5378" s="89" t="s">
        <v>3796</v>
      </c>
      <c r="B5378" s="86" t="s">
        <v>35</v>
      </c>
      <c r="C5378" s="86" t="s">
        <v>59</v>
      </c>
      <c r="D5378" s="86" t="s">
        <v>60</v>
      </c>
      <c r="E5378" s="86" t="s">
        <v>419</v>
      </c>
      <c r="F5378" s="86" t="s">
        <v>419</v>
      </c>
      <c r="G5378" s="86" t="s">
        <v>419</v>
      </c>
      <c r="H5378" s="144">
        <v>62</v>
      </c>
      <c r="I5378" s="86" t="s">
        <v>408</v>
      </c>
      <c r="J5378" s="1" t="s">
        <v>3324</v>
      </c>
      <c r="K5378" s="1" t="s">
        <v>3278</v>
      </c>
      <c r="L5378" s="1" t="s">
        <v>35</v>
      </c>
      <c r="M5378" s="86" t="s">
        <v>420</v>
      </c>
      <c r="O5378" s="47" t="s">
        <v>410</v>
      </c>
      <c r="P5378" s="47" t="s">
        <v>46</v>
      </c>
      <c r="Q5378" s="14">
        <v>0.02</v>
      </c>
      <c r="R5378" s="143">
        <v>1000101282</v>
      </c>
      <c r="S5378" s="47"/>
      <c r="T5378" s="6">
        <v>13167.41</v>
      </c>
      <c r="U5378" s="6">
        <v>30000</v>
      </c>
      <c r="V5378" s="6">
        <v>30109.460000000003</v>
      </c>
      <c r="W5378" s="6">
        <f t="shared" si="846"/>
        <v>13057.95</v>
      </c>
      <c r="X5378" s="6">
        <f t="shared" si="847"/>
        <v>29519.078431372553</v>
      </c>
      <c r="Y5378" s="13">
        <f t="shared" si="817"/>
        <v>0</v>
      </c>
      <c r="Z5378" s="66">
        <v>0</v>
      </c>
      <c r="AA5378" s="6">
        <v>0</v>
      </c>
      <c r="AB5378" s="4">
        <f t="shared" si="818"/>
        <v>29519.078431372553</v>
      </c>
      <c r="AC5378" s="6">
        <f t="shared" si="848"/>
        <v>590.38156862745018</v>
      </c>
      <c r="AD5378" s="6">
        <f t="shared" si="849"/>
        <v>30109.460000000003</v>
      </c>
      <c r="AE5378" s="14">
        <f>VLOOKUP(I5378,[2]媒体政策预估表!A:N,MATCH(O5378,[2]媒体政策预估表!$A$2:$M$2,0),0)</f>
        <v>7.0000000000000007E-2</v>
      </c>
      <c r="AF5378" s="6">
        <f t="shared" si="841"/>
        <v>2107.6622000000002</v>
      </c>
      <c r="AG5378" s="14">
        <v>0</v>
      </c>
      <c r="AH5378" s="64">
        <f t="shared" si="850"/>
        <v>30109.460000000003</v>
      </c>
      <c r="AI5378" s="47"/>
      <c r="AJ5378" s="126" t="e">
        <v>#N/A</v>
      </c>
      <c r="AK5378" s="80">
        <f t="shared" si="819"/>
        <v>0</v>
      </c>
      <c r="AL5378" s="85"/>
      <c r="AM5378" s="85"/>
    </row>
    <row r="5379" spans="1:39" s="86" customFormat="1" ht="13.25" hidden="1" customHeight="1" x14ac:dyDescent="0.3">
      <c r="A5379" s="89" t="s">
        <v>3792</v>
      </c>
      <c r="B5379" s="86" t="s">
        <v>35</v>
      </c>
      <c r="C5379" s="86" t="s">
        <v>59</v>
      </c>
      <c r="D5379" s="86" t="s">
        <v>60</v>
      </c>
      <c r="E5379" s="86" t="s">
        <v>421</v>
      </c>
      <c r="F5379" s="86" t="s">
        <v>422</v>
      </c>
      <c r="G5379" s="86" t="s">
        <v>421</v>
      </c>
      <c r="H5379" s="144">
        <v>62</v>
      </c>
      <c r="I5379" s="86" t="s">
        <v>408</v>
      </c>
      <c r="J5379" s="1" t="s">
        <v>3324</v>
      </c>
      <c r="K5379" s="1" t="s">
        <v>3278</v>
      </c>
      <c r="L5379" s="1" t="s">
        <v>35</v>
      </c>
      <c r="M5379" s="86" t="s">
        <v>423</v>
      </c>
      <c r="O5379" s="47" t="s">
        <v>410</v>
      </c>
      <c r="P5379" s="47" t="s">
        <v>46</v>
      </c>
      <c r="Q5379" s="14">
        <v>0.02</v>
      </c>
      <c r="R5379" s="143">
        <v>1000098894</v>
      </c>
      <c r="S5379" s="47"/>
      <c r="T5379" s="6">
        <v>34810.119999999995</v>
      </c>
      <c r="U5379" s="6">
        <v>100000</v>
      </c>
      <c r="V5379" s="6">
        <v>120468.65000000001</v>
      </c>
      <c r="W5379" s="6">
        <f t="shared" si="846"/>
        <v>14341.469999999987</v>
      </c>
      <c r="X5379" s="6">
        <f t="shared" si="847"/>
        <v>118106.51960784315</v>
      </c>
      <c r="Y5379" s="13">
        <f t="shared" ref="Y5379:Y5442" si="851">IF(X5379-AD5379&lt;=0,0,IF(P5379="返现",MAX(X5379-AC5379-AD5379,0),MAX(X5379-AD5379)))</f>
        <v>0</v>
      </c>
      <c r="Z5379" s="66">
        <v>0</v>
      </c>
      <c r="AA5379" s="6">
        <v>0</v>
      </c>
      <c r="AB5379" s="4">
        <f t="shared" ref="AB5379:AB5442" si="852">X5379+AA5379</f>
        <v>118106.51960784315</v>
      </c>
      <c r="AC5379" s="6">
        <f t="shared" si="848"/>
        <v>2362.1303921568615</v>
      </c>
      <c r="AD5379" s="6">
        <f t="shared" si="849"/>
        <v>120468.65000000001</v>
      </c>
      <c r="AE5379" s="14">
        <f>VLOOKUP(I5379,[2]媒体政策预估表!A:N,MATCH(O5379,[2]媒体政策预估表!$A$2:$M$2,0),0)</f>
        <v>7.0000000000000007E-2</v>
      </c>
      <c r="AF5379" s="6">
        <f t="shared" si="841"/>
        <v>8432.8055000000022</v>
      </c>
      <c r="AG5379" s="14">
        <v>0</v>
      </c>
      <c r="AH5379" s="64">
        <f t="shared" si="850"/>
        <v>120468.65000000001</v>
      </c>
      <c r="AI5379" s="47"/>
      <c r="AJ5379" s="126" t="e">
        <v>#N/A</v>
      </c>
      <c r="AK5379" s="80">
        <f t="shared" ref="AK5379:AK5442" si="853">X5379+AA5379-AB5379</f>
        <v>0</v>
      </c>
      <c r="AL5379" s="85"/>
      <c r="AM5379" s="85"/>
    </row>
    <row r="5380" spans="1:39" s="86" customFormat="1" ht="13.25" hidden="1" customHeight="1" x14ac:dyDescent="0.3">
      <c r="A5380" s="89" t="s">
        <v>3796</v>
      </c>
      <c r="B5380" s="86" t="s">
        <v>35</v>
      </c>
      <c r="C5380" s="86" t="s">
        <v>36</v>
      </c>
      <c r="D5380" s="86" t="s">
        <v>185</v>
      </c>
      <c r="E5380" s="86" t="s">
        <v>528</v>
      </c>
      <c r="F5380" s="86" t="s">
        <v>528</v>
      </c>
      <c r="G5380" s="86" t="s">
        <v>528</v>
      </c>
      <c r="H5380" s="143">
        <v>62</v>
      </c>
      <c r="I5380" s="86" t="s">
        <v>408</v>
      </c>
      <c r="J5380" s="1" t="s">
        <v>3324</v>
      </c>
      <c r="K5380" s="1" t="s">
        <v>3278</v>
      </c>
      <c r="L5380" s="1" t="s">
        <v>35</v>
      </c>
      <c r="M5380" s="86" t="s">
        <v>530</v>
      </c>
      <c r="O5380" s="47" t="s">
        <v>410</v>
      </c>
      <c r="P5380" s="47" t="s">
        <v>46</v>
      </c>
      <c r="Q5380" s="14">
        <v>5.0000000000000001E-3</v>
      </c>
      <c r="R5380" s="143">
        <v>1000080693</v>
      </c>
      <c r="S5380" s="47"/>
      <c r="T5380" s="6">
        <v>502500</v>
      </c>
      <c r="U5380" s="6">
        <v>-128019.68</v>
      </c>
      <c r="V5380" s="6">
        <v>0</v>
      </c>
      <c r="W5380" s="6">
        <f t="shared" si="846"/>
        <v>374480.32</v>
      </c>
      <c r="X5380" s="6">
        <f t="shared" si="847"/>
        <v>0</v>
      </c>
      <c r="Y5380" s="13">
        <f t="shared" si="851"/>
        <v>0</v>
      </c>
      <c r="Z5380" s="66">
        <v>0</v>
      </c>
      <c r="AA5380" s="6">
        <v>0</v>
      </c>
      <c r="AB5380" s="4">
        <f t="shared" si="852"/>
        <v>0</v>
      </c>
      <c r="AC5380" s="6">
        <f t="shared" si="848"/>
        <v>0</v>
      </c>
      <c r="AD5380" s="6">
        <f t="shared" si="849"/>
        <v>0</v>
      </c>
      <c r="AE5380" s="14">
        <f>VLOOKUP(I5380,[2]媒体政策预估表!A:N,MATCH(O5380,[2]媒体政策预估表!$A$2:$M$2,0),0)</f>
        <v>7.0000000000000007E-2</v>
      </c>
      <c r="AF5380" s="6">
        <f t="shared" si="841"/>
        <v>0</v>
      </c>
      <c r="AG5380" s="14">
        <v>0</v>
      </c>
      <c r="AH5380" s="64">
        <f t="shared" si="850"/>
        <v>0</v>
      </c>
      <c r="AI5380" s="47"/>
      <c r="AJ5380" s="126" t="e">
        <v>#N/A</v>
      </c>
      <c r="AK5380" s="80">
        <f t="shared" si="853"/>
        <v>0</v>
      </c>
      <c r="AL5380" s="85"/>
      <c r="AM5380" s="85"/>
    </row>
    <row r="5381" spans="1:39" s="86" customFormat="1" ht="13.25" hidden="1" customHeight="1" x14ac:dyDescent="0.3">
      <c r="A5381" s="89" t="s">
        <v>3794</v>
      </c>
      <c r="B5381" s="86" t="s">
        <v>35</v>
      </c>
      <c r="C5381" s="86" t="s">
        <v>36</v>
      </c>
      <c r="D5381" s="86" t="s">
        <v>185</v>
      </c>
      <c r="E5381" s="86" t="s">
        <v>528</v>
      </c>
      <c r="F5381" s="86" t="s">
        <v>528</v>
      </c>
      <c r="G5381" s="86" t="s">
        <v>528</v>
      </c>
      <c r="H5381" s="144">
        <v>62</v>
      </c>
      <c r="I5381" s="86" t="s">
        <v>408</v>
      </c>
      <c r="J5381" s="1" t="s">
        <v>3324</v>
      </c>
      <c r="K5381" s="1" t="s">
        <v>3278</v>
      </c>
      <c r="L5381" s="1" t="s">
        <v>35</v>
      </c>
      <c r="M5381" s="86" t="s">
        <v>531</v>
      </c>
      <c r="O5381" s="47" t="s">
        <v>410</v>
      </c>
      <c r="P5381" s="47" t="s">
        <v>46</v>
      </c>
      <c r="Q5381" s="14">
        <v>5.0000000000000001E-3</v>
      </c>
      <c r="R5381" s="143">
        <v>1000043071</v>
      </c>
      <c r="S5381" s="47" t="s">
        <v>3797</v>
      </c>
      <c r="T5381" s="6">
        <v>1015323.5300000003</v>
      </c>
      <c r="U5381" s="6">
        <v>128019.68</v>
      </c>
      <c r="V5381" s="6">
        <v>995429.09</v>
      </c>
      <c r="W5381" s="6">
        <f t="shared" si="846"/>
        <v>147914.12000000023</v>
      </c>
      <c r="X5381" s="6">
        <f>(V5381-335.5)/(1+Q5381)</f>
        <v>990142.87562189065</v>
      </c>
      <c r="Y5381" s="13">
        <f t="shared" si="851"/>
        <v>0</v>
      </c>
      <c r="Z5381" s="66">
        <v>0</v>
      </c>
      <c r="AA5381" s="6">
        <v>0</v>
      </c>
      <c r="AB5381" s="4">
        <f t="shared" si="852"/>
        <v>990142.87562189065</v>
      </c>
      <c r="AC5381" s="6">
        <f t="shared" si="848"/>
        <v>5286.2143781093182</v>
      </c>
      <c r="AD5381" s="6">
        <f t="shared" si="849"/>
        <v>995429.09</v>
      </c>
      <c r="AE5381" s="14">
        <f>VLOOKUP(I5381,[2]媒体政策预估表!A:N,MATCH(O5381,[2]媒体政策预估表!$A$2:$M$2,0),0)</f>
        <v>7.0000000000000007E-2</v>
      </c>
      <c r="AF5381" s="6">
        <f t="shared" si="841"/>
        <v>69680.036300000007</v>
      </c>
      <c r="AG5381" s="14">
        <v>0</v>
      </c>
      <c r="AH5381" s="64">
        <f t="shared" si="850"/>
        <v>995429.09</v>
      </c>
      <c r="AI5381" s="47"/>
      <c r="AJ5381" s="126" t="e">
        <v>#N/A</v>
      </c>
      <c r="AK5381" s="80">
        <f t="shared" si="853"/>
        <v>0</v>
      </c>
      <c r="AL5381" s="85"/>
      <c r="AM5381" s="85"/>
    </row>
    <row r="5382" spans="1:39" s="86" customFormat="1" ht="13.25" hidden="1" customHeight="1" x14ac:dyDescent="0.3">
      <c r="A5382" s="89" t="s">
        <v>3792</v>
      </c>
      <c r="B5382" s="86" t="s">
        <v>35</v>
      </c>
      <c r="C5382" s="86" t="s">
        <v>36</v>
      </c>
      <c r="D5382" s="86" t="s">
        <v>185</v>
      </c>
      <c r="E5382" s="86" t="s">
        <v>3798</v>
      </c>
      <c r="F5382" s="86" t="s">
        <v>3799</v>
      </c>
      <c r="G5382" s="86" t="s">
        <v>3798</v>
      </c>
      <c r="H5382" s="144">
        <v>62</v>
      </c>
      <c r="I5382" s="86" t="s">
        <v>408</v>
      </c>
      <c r="J5382" s="1" t="s">
        <v>3324</v>
      </c>
      <c r="K5382" s="1" t="s">
        <v>3278</v>
      </c>
      <c r="L5382" s="1" t="s">
        <v>35</v>
      </c>
      <c r="M5382" s="86" t="s">
        <v>3800</v>
      </c>
      <c r="O5382" s="47" t="s">
        <v>410</v>
      </c>
      <c r="P5382" s="47" t="s">
        <v>41</v>
      </c>
      <c r="Q5382" s="14">
        <v>0</v>
      </c>
      <c r="R5382" s="143">
        <v>1000104859</v>
      </c>
      <c r="S5382" s="47"/>
      <c r="T5382" s="6">
        <v>0</v>
      </c>
      <c r="U5382" s="6">
        <v>10000</v>
      </c>
      <c r="V5382" s="6">
        <v>728.5</v>
      </c>
      <c r="W5382" s="6">
        <f t="shared" si="846"/>
        <v>9271.5</v>
      </c>
      <c r="X5382" s="6">
        <f t="shared" si="847"/>
        <v>728.5</v>
      </c>
      <c r="Y5382" s="13">
        <f t="shared" si="851"/>
        <v>0</v>
      </c>
      <c r="Z5382" s="66">
        <v>0</v>
      </c>
      <c r="AA5382" s="6">
        <v>0</v>
      </c>
      <c r="AB5382" s="4">
        <f t="shared" si="852"/>
        <v>728.5</v>
      </c>
      <c r="AC5382" s="6">
        <f t="shared" si="848"/>
        <v>0</v>
      </c>
      <c r="AD5382" s="6">
        <f t="shared" si="849"/>
        <v>728.5</v>
      </c>
      <c r="AE5382" s="14">
        <f>VLOOKUP(I5382,[2]媒体政策预估表!A:N,MATCH(O5382,[2]媒体政策预估表!$A$2:$M$2,0),0)</f>
        <v>7.0000000000000007E-2</v>
      </c>
      <c r="AF5382" s="6">
        <f t="shared" si="841"/>
        <v>50.995000000000005</v>
      </c>
      <c r="AG5382" s="14">
        <v>0</v>
      </c>
      <c r="AH5382" s="64">
        <f t="shared" si="850"/>
        <v>728.5</v>
      </c>
      <c r="AI5382" s="47"/>
      <c r="AJ5382" s="126" t="e">
        <v>#N/A</v>
      </c>
      <c r="AK5382" s="80">
        <f t="shared" si="853"/>
        <v>0</v>
      </c>
      <c r="AL5382" s="85"/>
      <c r="AM5382" s="85"/>
    </row>
    <row r="5383" spans="1:39" s="86" customFormat="1" ht="13.25" hidden="1" customHeight="1" x14ac:dyDescent="0.3">
      <c r="A5383" s="89" t="s">
        <v>3792</v>
      </c>
      <c r="B5383" s="86" t="s">
        <v>35</v>
      </c>
      <c r="C5383" s="86" t="s">
        <v>65</v>
      </c>
      <c r="D5383" s="86" t="s">
        <v>66</v>
      </c>
      <c r="E5383" s="86" t="s">
        <v>1907</v>
      </c>
      <c r="F5383" s="86" t="s">
        <v>1908</v>
      </c>
      <c r="G5383" s="86" t="s">
        <v>1907</v>
      </c>
      <c r="H5383" s="144">
        <v>62</v>
      </c>
      <c r="I5383" s="86" t="s">
        <v>408</v>
      </c>
      <c r="J5383" s="1" t="s">
        <v>3324</v>
      </c>
      <c r="K5383" s="1" t="s">
        <v>3278</v>
      </c>
      <c r="L5383" s="1" t="s">
        <v>35</v>
      </c>
      <c r="M5383" s="86" t="s">
        <v>474</v>
      </c>
      <c r="O5383" s="47" t="s">
        <v>410</v>
      </c>
      <c r="P5383" s="47" t="s">
        <v>41</v>
      </c>
      <c r="Q5383" s="14">
        <v>0</v>
      </c>
      <c r="R5383" s="143">
        <v>1000057798</v>
      </c>
      <c r="S5383" s="47"/>
      <c r="T5383" s="6">
        <v>168044.16000000006</v>
      </c>
      <c r="U5383" s="6">
        <v>100000</v>
      </c>
      <c r="V5383" s="6">
        <v>160133.24</v>
      </c>
      <c r="W5383" s="6">
        <f t="shared" si="846"/>
        <v>107910.92000000004</v>
      </c>
      <c r="X5383" s="6">
        <f t="shared" si="847"/>
        <v>160133.24</v>
      </c>
      <c r="Y5383" s="13">
        <f t="shared" si="851"/>
        <v>0</v>
      </c>
      <c r="Z5383" s="66">
        <v>0</v>
      </c>
      <c r="AA5383" s="6">
        <v>0</v>
      </c>
      <c r="AB5383" s="4">
        <f t="shared" si="852"/>
        <v>160133.24</v>
      </c>
      <c r="AC5383" s="6">
        <f t="shared" si="848"/>
        <v>0</v>
      </c>
      <c r="AD5383" s="6">
        <f t="shared" si="849"/>
        <v>160133.24</v>
      </c>
      <c r="AE5383" s="14">
        <f>VLOOKUP(I5383,[2]媒体政策预估表!A:N,MATCH(O5383,[2]媒体政策预估表!$A$2:$M$2,0),0)</f>
        <v>7.0000000000000007E-2</v>
      </c>
      <c r="AF5383" s="6">
        <f t="shared" si="841"/>
        <v>11209.326800000001</v>
      </c>
      <c r="AG5383" s="14">
        <v>0</v>
      </c>
      <c r="AH5383" s="64">
        <f t="shared" si="850"/>
        <v>160133.24</v>
      </c>
      <c r="AI5383" s="47"/>
      <c r="AJ5383" s="126" t="e">
        <v>#N/A</v>
      </c>
      <c r="AK5383" s="80">
        <f t="shared" si="853"/>
        <v>0</v>
      </c>
      <c r="AL5383" s="85"/>
      <c r="AM5383" s="85"/>
    </row>
    <row r="5384" spans="1:39" s="86" customFormat="1" ht="13.25" hidden="1" customHeight="1" x14ac:dyDescent="0.3">
      <c r="A5384" s="89" t="s">
        <v>3794</v>
      </c>
      <c r="B5384" s="86" t="s">
        <v>35</v>
      </c>
      <c r="C5384" s="86" t="s">
        <v>65</v>
      </c>
      <c r="D5384" s="86" t="s">
        <v>66</v>
      </c>
      <c r="E5384" s="86" t="s">
        <v>1907</v>
      </c>
      <c r="F5384" s="86" t="s">
        <v>1908</v>
      </c>
      <c r="G5384" s="86" t="s">
        <v>1907</v>
      </c>
      <c r="H5384" s="144">
        <v>62</v>
      </c>
      <c r="I5384" s="86" t="s">
        <v>408</v>
      </c>
      <c r="J5384" s="1" t="s">
        <v>3324</v>
      </c>
      <c r="K5384" s="1" t="s">
        <v>3278</v>
      </c>
      <c r="L5384" s="1" t="s">
        <v>35</v>
      </c>
      <c r="M5384" s="86" t="s">
        <v>475</v>
      </c>
      <c r="O5384" s="47" t="s">
        <v>410</v>
      </c>
      <c r="P5384" s="47" t="s">
        <v>41</v>
      </c>
      <c r="Q5384" s="14">
        <v>0</v>
      </c>
      <c r="R5384" s="143">
        <v>1000054594</v>
      </c>
      <c r="S5384" s="47"/>
      <c r="T5384" s="6">
        <v>222568.13</v>
      </c>
      <c r="U5384" s="6">
        <v>400000</v>
      </c>
      <c r="V5384" s="6">
        <v>442130.0500000001</v>
      </c>
      <c r="W5384" s="6">
        <f t="shared" si="846"/>
        <v>180438.0799999999</v>
      </c>
      <c r="X5384" s="6">
        <f t="shared" si="847"/>
        <v>442130.0500000001</v>
      </c>
      <c r="Y5384" s="13">
        <f t="shared" si="851"/>
        <v>0</v>
      </c>
      <c r="Z5384" s="66">
        <v>0</v>
      </c>
      <c r="AA5384" s="6">
        <v>0</v>
      </c>
      <c r="AB5384" s="4">
        <f t="shared" si="852"/>
        <v>442130.0500000001</v>
      </c>
      <c r="AC5384" s="6">
        <f t="shared" si="848"/>
        <v>0</v>
      </c>
      <c r="AD5384" s="6">
        <f t="shared" si="849"/>
        <v>442130.0500000001</v>
      </c>
      <c r="AE5384" s="14">
        <f>VLOOKUP(I5384,[2]媒体政策预估表!A:N,MATCH(O5384,[2]媒体政策预估表!$A$2:$M$2,0),0)</f>
        <v>7.0000000000000007E-2</v>
      </c>
      <c r="AF5384" s="6">
        <f t="shared" si="841"/>
        <v>30949.103500000012</v>
      </c>
      <c r="AG5384" s="14">
        <v>0</v>
      </c>
      <c r="AH5384" s="64">
        <f t="shared" si="850"/>
        <v>442130.0500000001</v>
      </c>
      <c r="AI5384" s="47"/>
      <c r="AJ5384" s="126" t="e">
        <v>#N/A</v>
      </c>
      <c r="AK5384" s="80">
        <f t="shared" si="853"/>
        <v>0</v>
      </c>
      <c r="AL5384" s="85"/>
      <c r="AM5384" s="85"/>
    </row>
    <row r="5385" spans="1:39" s="86" customFormat="1" ht="13.25" hidden="1" customHeight="1" x14ac:dyDescent="0.3">
      <c r="A5385" s="89" t="s">
        <v>3794</v>
      </c>
      <c r="B5385" s="86" t="s">
        <v>35</v>
      </c>
      <c r="C5385" s="86" t="s">
        <v>65</v>
      </c>
      <c r="D5385" s="86" t="s">
        <v>66</v>
      </c>
      <c r="E5385" s="86" t="s">
        <v>1907</v>
      </c>
      <c r="F5385" s="86" t="s">
        <v>1908</v>
      </c>
      <c r="G5385" s="86" t="s">
        <v>1907</v>
      </c>
      <c r="H5385" s="144">
        <v>62</v>
      </c>
      <c r="I5385" s="86" t="s">
        <v>408</v>
      </c>
      <c r="J5385" s="1" t="s">
        <v>3324</v>
      </c>
      <c r="K5385" s="1" t="s">
        <v>3278</v>
      </c>
      <c r="L5385" s="1" t="s">
        <v>35</v>
      </c>
      <c r="M5385" s="86" t="s">
        <v>3443</v>
      </c>
      <c r="O5385" s="47" t="s">
        <v>45</v>
      </c>
      <c r="P5385" s="47" t="s">
        <v>46</v>
      </c>
      <c r="Q5385" s="14">
        <v>0.03</v>
      </c>
      <c r="R5385" s="143">
        <v>1000054589</v>
      </c>
      <c r="S5385" s="47"/>
      <c r="T5385" s="6">
        <v>7525.82</v>
      </c>
      <c r="U5385" s="6">
        <v>50000</v>
      </c>
      <c r="V5385" s="6">
        <v>29780.35</v>
      </c>
      <c r="W5385" s="6">
        <f t="shared" si="846"/>
        <v>27745.47</v>
      </c>
      <c r="X5385" s="6">
        <f t="shared" si="847"/>
        <v>28912.961165048542</v>
      </c>
      <c r="Y5385" s="13">
        <f t="shared" si="851"/>
        <v>0</v>
      </c>
      <c r="Z5385" s="66">
        <v>0</v>
      </c>
      <c r="AA5385" s="6">
        <v>0</v>
      </c>
      <c r="AB5385" s="4">
        <f t="shared" si="852"/>
        <v>28912.961165048542</v>
      </c>
      <c r="AC5385" s="6">
        <f t="shared" si="848"/>
        <v>867.38883495145637</v>
      </c>
      <c r="AD5385" s="6">
        <f t="shared" si="849"/>
        <v>29780.35</v>
      </c>
      <c r="AE5385" s="14">
        <f>VLOOKUP(I5385,[2]媒体政策预估表!A:N,MATCH(O5385,[2]媒体政策预估表!$A$2:$M$2,0),0)</f>
        <v>0.11</v>
      </c>
      <c r="AF5385" s="6">
        <f t="shared" si="841"/>
        <v>3275.8384999999998</v>
      </c>
      <c r="AG5385" s="14">
        <v>0</v>
      </c>
      <c r="AH5385" s="64">
        <f t="shared" si="850"/>
        <v>29780.35</v>
      </c>
      <c r="AI5385" s="47"/>
      <c r="AJ5385" s="126" t="e">
        <v>#N/A</v>
      </c>
      <c r="AK5385" s="80">
        <f t="shared" si="853"/>
        <v>0</v>
      </c>
      <c r="AL5385" s="85"/>
      <c r="AM5385" s="85"/>
    </row>
    <row r="5386" spans="1:39" s="86" customFormat="1" ht="13.25" hidden="1" customHeight="1" x14ac:dyDescent="0.3">
      <c r="A5386" s="89" t="s">
        <v>3792</v>
      </c>
      <c r="B5386" s="86" t="s">
        <v>35</v>
      </c>
      <c r="C5386" s="86" t="s">
        <v>65</v>
      </c>
      <c r="D5386" s="86" t="s">
        <v>66</v>
      </c>
      <c r="E5386" s="86" t="s">
        <v>1907</v>
      </c>
      <c r="F5386" s="86" t="s">
        <v>1908</v>
      </c>
      <c r="G5386" s="86" t="s">
        <v>1907</v>
      </c>
      <c r="H5386" s="144">
        <v>62</v>
      </c>
      <c r="I5386" s="86" t="s">
        <v>408</v>
      </c>
      <c r="J5386" s="1" t="s">
        <v>3324</v>
      </c>
      <c r="K5386" s="1" t="s">
        <v>3278</v>
      </c>
      <c r="L5386" s="1" t="s">
        <v>35</v>
      </c>
      <c r="M5386" s="86" t="s">
        <v>477</v>
      </c>
      <c r="O5386" s="47" t="s">
        <v>45</v>
      </c>
      <c r="P5386" s="47" t="s">
        <v>46</v>
      </c>
      <c r="Q5386" s="14">
        <v>0.03</v>
      </c>
      <c r="R5386" s="143">
        <v>1000100635</v>
      </c>
      <c r="S5386" s="47"/>
      <c r="T5386" s="6">
        <v>10000</v>
      </c>
      <c r="U5386" s="6">
        <v>40000</v>
      </c>
      <c r="V5386" s="6">
        <v>8426.6300000000047</v>
      </c>
      <c r="W5386" s="6">
        <f t="shared" si="846"/>
        <v>41573.369999999995</v>
      </c>
      <c r="X5386" s="6">
        <f t="shared" si="847"/>
        <v>8181.1941747572855</v>
      </c>
      <c r="Y5386" s="13">
        <f t="shared" si="851"/>
        <v>0</v>
      </c>
      <c r="Z5386" s="66">
        <v>0</v>
      </c>
      <c r="AA5386" s="6">
        <v>0</v>
      </c>
      <c r="AB5386" s="4">
        <f t="shared" si="852"/>
        <v>8181.1941747572855</v>
      </c>
      <c r="AC5386" s="6">
        <f t="shared" si="848"/>
        <v>245.43582524271915</v>
      </c>
      <c r="AD5386" s="6">
        <f t="shared" si="849"/>
        <v>8426.6300000000047</v>
      </c>
      <c r="AE5386" s="14">
        <f>VLOOKUP(I5386,[2]媒体政策预估表!A:N,MATCH(O5386,[2]媒体政策预估表!$A$2:$M$2,0),0)</f>
        <v>0.11</v>
      </c>
      <c r="AF5386" s="6">
        <f t="shared" si="841"/>
        <v>926.92930000000047</v>
      </c>
      <c r="AG5386" s="14">
        <v>0</v>
      </c>
      <c r="AH5386" s="64">
        <f t="shared" si="850"/>
        <v>8426.6300000000047</v>
      </c>
      <c r="AI5386" s="47"/>
      <c r="AJ5386" s="126" t="e">
        <v>#N/A</v>
      </c>
      <c r="AK5386" s="80">
        <f t="shared" si="853"/>
        <v>0</v>
      </c>
      <c r="AL5386" s="85"/>
      <c r="AM5386" s="85"/>
    </row>
    <row r="5387" spans="1:39" s="86" customFormat="1" ht="13.25" hidden="1" customHeight="1" x14ac:dyDescent="0.3">
      <c r="A5387" s="89" t="s">
        <v>3792</v>
      </c>
      <c r="B5387" s="86" t="s">
        <v>35</v>
      </c>
      <c r="C5387" s="86" t="s">
        <v>65</v>
      </c>
      <c r="D5387" s="86" t="s">
        <v>66</v>
      </c>
      <c r="E5387" s="86" t="s">
        <v>1907</v>
      </c>
      <c r="F5387" s="86" t="s">
        <v>1908</v>
      </c>
      <c r="G5387" s="86" t="s">
        <v>1907</v>
      </c>
      <c r="H5387" s="144">
        <v>62</v>
      </c>
      <c r="I5387" s="86" t="s">
        <v>408</v>
      </c>
      <c r="J5387" s="1" t="s">
        <v>3324</v>
      </c>
      <c r="K5387" s="1" t="s">
        <v>3278</v>
      </c>
      <c r="L5387" s="1" t="s">
        <v>35</v>
      </c>
      <c r="M5387" s="86" t="s">
        <v>482</v>
      </c>
      <c r="O5387" s="47" t="s">
        <v>410</v>
      </c>
      <c r="P5387" s="47" t="s">
        <v>41</v>
      </c>
      <c r="Q5387" s="14">
        <v>0</v>
      </c>
      <c r="R5387" s="143">
        <v>1000043032</v>
      </c>
      <c r="S5387" s="47"/>
      <c r="T5387" s="6">
        <v>279298.66000000015</v>
      </c>
      <c r="U5387" s="6">
        <v>1300000</v>
      </c>
      <c r="V5387" s="6">
        <v>1146856.3299999998</v>
      </c>
      <c r="W5387" s="6">
        <f t="shared" si="846"/>
        <v>432442.33000000031</v>
      </c>
      <c r="X5387" s="6">
        <f t="shared" si="847"/>
        <v>1146856.3299999998</v>
      </c>
      <c r="Y5387" s="13">
        <f t="shared" si="851"/>
        <v>0</v>
      </c>
      <c r="Z5387" s="66">
        <v>0</v>
      </c>
      <c r="AA5387" s="6">
        <v>0</v>
      </c>
      <c r="AB5387" s="4">
        <f t="shared" si="852"/>
        <v>1146856.3299999998</v>
      </c>
      <c r="AC5387" s="6">
        <f t="shared" si="848"/>
        <v>0</v>
      </c>
      <c r="AD5387" s="6">
        <f t="shared" si="849"/>
        <v>1146856.3299999998</v>
      </c>
      <c r="AE5387" s="14">
        <f>VLOOKUP(I5387,[2]媒体政策预估表!A:N,MATCH(O5387,[2]媒体政策预估表!$A$2:$M$2,0),0)</f>
        <v>7.0000000000000007E-2</v>
      </c>
      <c r="AF5387" s="6">
        <f t="shared" si="841"/>
        <v>80279.943099999989</v>
      </c>
      <c r="AG5387" s="14">
        <v>0</v>
      </c>
      <c r="AH5387" s="64">
        <f t="shared" si="850"/>
        <v>1146856.3299999998</v>
      </c>
      <c r="AI5387" s="47"/>
      <c r="AJ5387" s="126" t="e">
        <v>#N/A</v>
      </c>
      <c r="AK5387" s="80">
        <f t="shared" si="853"/>
        <v>0</v>
      </c>
      <c r="AL5387" s="85"/>
      <c r="AM5387" s="85"/>
    </row>
    <row r="5388" spans="1:39" s="86" customFormat="1" ht="13.25" hidden="1" customHeight="1" x14ac:dyDescent="0.3">
      <c r="A5388" s="89" t="s">
        <v>3792</v>
      </c>
      <c r="B5388" s="86" t="s">
        <v>35</v>
      </c>
      <c r="C5388" s="86" t="s">
        <v>65</v>
      </c>
      <c r="D5388" s="86" t="s">
        <v>66</v>
      </c>
      <c r="E5388" s="86" t="s">
        <v>1907</v>
      </c>
      <c r="F5388" s="86" t="s">
        <v>1908</v>
      </c>
      <c r="G5388" s="86" t="s">
        <v>1907</v>
      </c>
      <c r="H5388" s="144">
        <v>62</v>
      </c>
      <c r="I5388" s="86" t="s">
        <v>408</v>
      </c>
      <c r="J5388" s="1" t="s">
        <v>3324</v>
      </c>
      <c r="K5388" s="1" t="s">
        <v>3278</v>
      </c>
      <c r="L5388" s="1" t="s">
        <v>35</v>
      </c>
      <c r="M5388" s="86" t="s">
        <v>3445</v>
      </c>
      <c r="O5388" s="47" t="s">
        <v>410</v>
      </c>
      <c r="P5388" s="47" t="s">
        <v>41</v>
      </c>
      <c r="Q5388" s="14">
        <v>0</v>
      </c>
      <c r="R5388" s="143">
        <v>1000043029</v>
      </c>
      <c r="S5388" s="47"/>
      <c r="T5388" s="6">
        <v>60528.710000000079</v>
      </c>
      <c r="U5388" s="6">
        <v>800000</v>
      </c>
      <c r="V5388" s="6">
        <v>785594.93000000017</v>
      </c>
      <c r="W5388" s="6">
        <f t="shared" si="846"/>
        <v>74933.779999999912</v>
      </c>
      <c r="X5388" s="6">
        <f t="shared" si="847"/>
        <v>785594.93000000017</v>
      </c>
      <c r="Y5388" s="13">
        <f t="shared" si="851"/>
        <v>0</v>
      </c>
      <c r="Z5388" s="66">
        <v>0</v>
      </c>
      <c r="AA5388" s="6">
        <v>0</v>
      </c>
      <c r="AB5388" s="4">
        <f t="shared" si="852"/>
        <v>785594.93000000017</v>
      </c>
      <c r="AC5388" s="6">
        <f t="shared" si="848"/>
        <v>0</v>
      </c>
      <c r="AD5388" s="6">
        <f t="shared" si="849"/>
        <v>785594.93000000017</v>
      </c>
      <c r="AE5388" s="14">
        <f>VLOOKUP(I5388,[2]媒体政策预估表!A:N,MATCH(O5388,[2]媒体政策预估表!$A$2:$M$2,0),0)</f>
        <v>7.0000000000000007E-2</v>
      </c>
      <c r="AF5388" s="6">
        <f t="shared" si="841"/>
        <v>54991.645100000016</v>
      </c>
      <c r="AG5388" s="14">
        <v>0</v>
      </c>
      <c r="AH5388" s="64">
        <f t="shared" si="850"/>
        <v>785594.93000000017</v>
      </c>
      <c r="AI5388" s="47"/>
      <c r="AJ5388" s="126" t="e">
        <v>#N/A</v>
      </c>
      <c r="AK5388" s="80">
        <f t="shared" si="853"/>
        <v>0</v>
      </c>
      <c r="AL5388" s="85"/>
      <c r="AM5388" s="85"/>
    </row>
    <row r="5389" spans="1:39" s="86" customFormat="1" ht="13.25" hidden="1" customHeight="1" x14ac:dyDescent="0.3">
      <c r="A5389" s="89" t="s">
        <v>3792</v>
      </c>
      <c r="B5389" s="86" t="s">
        <v>35</v>
      </c>
      <c r="C5389" s="86" t="s">
        <v>65</v>
      </c>
      <c r="D5389" s="86" t="s">
        <v>66</v>
      </c>
      <c r="E5389" s="86" t="s">
        <v>469</v>
      </c>
      <c r="F5389" s="86" t="s">
        <v>469</v>
      </c>
      <c r="G5389" s="86" t="s">
        <v>469</v>
      </c>
      <c r="H5389" s="144">
        <v>62</v>
      </c>
      <c r="I5389" s="86" t="s">
        <v>408</v>
      </c>
      <c r="J5389" s="1" t="s">
        <v>3324</v>
      </c>
      <c r="K5389" s="1" t="s">
        <v>3278</v>
      </c>
      <c r="L5389" s="1" t="s">
        <v>35</v>
      </c>
      <c r="M5389" s="86" t="s">
        <v>1059</v>
      </c>
      <c r="O5389" s="47" t="s">
        <v>410</v>
      </c>
      <c r="P5389" s="47" t="s">
        <v>41</v>
      </c>
      <c r="Q5389" s="14">
        <v>0</v>
      </c>
      <c r="R5389" s="143">
        <v>1000048227</v>
      </c>
      <c r="S5389" s="47"/>
      <c r="T5389" s="6">
        <v>73162.119999999937</v>
      </c>
      <c r="U5389" s="6">
        <v>300000</v>
      </c>
      <c r="V5389" s="6">
        <v>239707.34999999998</v>
      </c>
      <c r="W5389" s="6">
        <f t="shared" si="846"/>
        <v>133454.76999999996</v>
      </c>
      <c r="X5389" s="6">
        <f t="shared" si="847"/>
        <v>239707.34999999998</v>
      </c>
      <c r="Y5389" s="13">
        <f t="shared" si="851"/>
        <v>0</v>
      </c>
      <c r="Z5389" s="66">
        <v>0</v>
      </c>
      <c r="AA5389" s="6">
        <v>0</v>
      </c>
      <c r="AB5389" s="4">
        <f t="shared" si="852"/>
        <v>239707.34999999998</v>
      </c>
      <c r="AC5389" s="6">
        <f t="shared" si="848"/>
        <v>0</v>
      </c>
      <c r="AD5389" s="6">
        <f t="shared" si="849"/>
        <v>239707.34999999998</v>
      </c>
      <c r="AE5389" s="14">
        <f>VLOOKUP(I5389,[2]媒体政策预估表!A:N,MATCH(O5389,[2]媒体政策预估表!$A$2:$M$2,0),0)</f>
        <v>7.0000000000000007E-2</v>
      </c>
      <c r="AF5389" s="6">
        <f t="shared" si="841"/>
        <v>16779.514500000001</v>
      </c>
      <c r="AG5389" s="14">
        <v>0</v>
      </c>
      <c r="AH5389" s="64">
        <f t="shared" si="850"/>
        <v>239707.34999999998</v>
      </c>
      <c r="AI5389" s="47"/>
      <c r="AJ5389" s="126" t="e">
        <v>#N/A</v>
      </c>
      <c r="AK5389" s="80">
        <f t="shared" si="853"/>
        <v>0</v>
      </c>
      <c r="AL5389" s="85"/>
      <c r="AM5389" s="85"/>
    </row>
    <row r="5390" spans="1:39" s="86" customFormat="1" ht="13.25" hidden="1" customHeight="1" x14ac:dyDescent="0.3">
      <c r="A5390" s="89" t="s">
        <v>3796</v>
      </c>
      <c r="B5390" s="86" t="s">
        <v>35</v>
      </c>
      <c r="C5390" s="86" t="s">
        <v>65</v>
      </c>
      <c r="D5390" s="86" t="s">
        <v>66</v>
      </c>
      <c r="E5390" s="86" t="s">
        <v>470</v>
      </c>
      <c r="F5390" s="86" t="s">
        <v>470</v>
      </c>
      <c r="G5390" s="86" t="s">
        <v>470</v>
      </c>
      <c r="H5390" s="144">
        <v>62</v>
      </c>
      <c r="I5390" s="86" t="s">
        <v>408</v>
      </c>
      <c r="J5390" s="1" t="s">
        <v>3324</v>
      </c>
      <c r="K5390" s="1" t="s">
        <v>3278</v>
      </c>
      <c r="L5390" s="1" t="s">
        <v>35</v>
      </c>
      <c r="M5390" s="86" t="s">
        <v>471</v>
      </c>
      <c r="O5390" s="47" t="s">
        <v>45</v>
      </c>
      <c r="P5390" s="47" t="s">
        <v>46</v>
      </c>
      <c r="Q5390" s="14">
        <v>0.04</v>
      </c>
      <c r="R5390" s="143">
        <v>1000094032</v>
      </c>
      <c r="S5390" s="47"/>
      <c r="T5390" s="6">
        <v>42152.55</v>
      </c>
      <c r="U5390" s="6">
        <v>-45545.919999999998</v>
      </c>
      <c r="V5390" s="6">
        <v>1606.63</v>
      </c>
      <c r="W5390" s="6">
        <f t="shared" si="846"/>
        <v>-4999.9999999999955</v>
      </c>
      <c r="X5390" s="6">
        <f t="shared" si="847"/>
        <v>1544.8365384615386</v>
      </c>
      <c r="Y5390" s="13">
        <f t="shared" si="851"/>
        <v>0</v>
      </c>
      <c r="Z5390" s="66">
        <v>0</v>
      </c>
      <c r="AA5390" s="6">
        <v>0</v>
      </c>
      <c r="AB5390" s="4">
        <f t="shared" si="852"/>
        <v>1544.8365384615386</v>
      </c>
      <c r="AC5390" s="6">
        <f t="shared" si="848"/>
        <v>61.793461538461543</v>
      </c>
      <c r="AD5390" s="6">
        <f t="shared" si="849"/>
        <v>1606.63</v>
      </c>
      <c r="AE5390" s="14">
        <f>VLOOKUP(I5390,[2]媒体政策预估表!A:N,MATCH(O5390,[2]媒体政策预估表!$A$2:$M$2,0),0)</f>
        <v>0.11</v>
      </c>
      <c r="AF5390" s="6">
        <f t="shared" si="841"/>
        <v>176.72930000000002</v>
      </c>
      <c r="AG5390" s="14">
        <v>0</v>
      </c>
      <c r="AH5390" s="64">
        <f t="shared" si="850"/>
        <v>1606.63</v>
      </c>
      <c r="AI5390" s="47"/>
      <c r="AJ5390" s="126" t="e">
        <v>#N/A</v>
      </c>
      <c r="AK5390" s="80">
        <f t="shared" si="853"/>
        <v>0</v>
      </c>
      <c r="AL5390" s="85"/>
      <c r="AM5390" s="85"/>
    </row>
    <row r="5391" spans="1:39" s="86" customFormat="1" ht="13.25" hidden="1" customHeight="1" x14ac:dyDescent="0.3">
      <c r="A5391" s="89" t="s">
        <v>3792</v>
      </c>
      <c r="B5391" s="86" t="s">
        <v>35</v>
      </c>
      <c r="C5391" s="86" t="s">
        <v>65</v>
      </c>
      <c r="D5391" s="86" t="s">
        <v>66</v>
      </c>
      <c r="E5391" s="86" t="s">
        <v>470</v>
      </c>
      <c r="F5391" s="86" t="s">
        <v>470</v>
      </c>
      <c r="G5391" s="86" t="s">
        <v>470</v>
      </c>
      <c r="H5391" s="144">
        <v>62</v>
      </c>
      <c r="I5391" s="86" t="s">
        <v>408</v>
      </c>
      <c r="J5391" s="1" t="s">
        <v>3324</v>
      </c>
      <c r="K5391" s="1" t="s">
        <v>3278</v>
      </c>
      <c r="L5391" s="1" t="s">
        <v>35</v>
      </c>
      <c r="M5391" s="86" t="s">
        <v>472</v>
      </c>
      <c r="O5391" s="47" t="s">
        <v>410</v>
      </c>
      <c r="P5391" s="47" t="s">
        <v>46</v>
      </c>
      <c r="Q5391" s="14">
        <v>0.02</v>
      </c>
      <c r="R5391" s="143">
        <v>1000094031</v>
      </c>
      <c r="S5391" s="47"/>
      <c r="T5391" s="6">
        <v>89495.6700000001</v>
      </c>
      <c r="U5391" s="6">
        <v>144670.03</v>
      </c>
      <c r="V5391" s="6">
        <v>180576.93</v>
      </c>
      <c r="W5391" s="6">
        <f t="shared" si="846"/>
        <v>53588.770000000106</v>
      </c>
      <c r="X5391" s="6">
        <f t="shared" si="847"/>
        <v>177036.20588235292</v>
      </c>
      <c r="Y5391" s="13">
        <f t="shared" si="851"/>
        <v>0</v>
      </c>
      <c r="Z5391" s="66">
        <v>0</v>
      </c>
      <c r="AA5391" s="6">
        <v>0</v>
      </c>
      <c r="AB5391" s="4">
        <f t="shared" si="852"/>
        <v>177036.20588235292</v>
      </c>
      <c r="AC5391" s="6">
        <f t="shared" si="848"/>
        <v>3540.7241176470707</v>
      </c>
      <c r="AD5391" s="6">
        <f t="shared" si="849"/>
        <v>180576.93</v>
      </c>
      <c r="AE5391" s="14">
        <f>VLOOKUP(I5391,[2]媒体政策预估表!A:N,MATCH(O5391,[2]媒体政策预估表!$A$2:$M$2,0),0)</f>
        <v>7.0000000000000007E-2</v>
      </c>
      <c r="AF5391" s="6">
        <f t="shared" si="841"/>
        <v>12640.385100000001</v>
      </c>
      <c r="AG5391" s="14">
        <v>0</v>
      </c>
      <c r="AH5391" s="64">
        <f t="shared" si="850"/>
        <v>180576.93</v>
      </c>
      <c r="AI5391" s="47"/>
      <c r="AJ5391" s="126" t="e">
        <v>#N/A</v>
      </c>
      <c r="AK5391" s="80">
        <f t="shared" si="853"/>
        <v>0</v>
      </c>
      <c r="AL5391" s="85"/>
      <c r="AM5391" s="85"/>
    </row>
    <row r="5392" spans="1:39" s="86" customFormat="1" ht="13.25" hidden="1" customHeight="1" x14ac:dyDescent="0.3">
      <c r="A5392" s="89" t="s">
        <v>3792</v>
      </c>
      <c r="B5392" s="86" t="s">
        <v>35</v>
      </c>
      <c r="C5392" s="86" t="s">
        <v>65</v>
      </c>
      <c r="D5392" s="86" t="s">
        <v>66</v>
      </c>
      <c r="E5392" s="86" t="s">
        <v>473</v>
      </c>
      <c r="F5392" s="86" t="s">
        <v>473</v>
      </c>
      <c r="G5392" s="86" t="s">
        <v>473</v>
      </c>
      <c r="H5392" s="144">
        <v>62</v>
      </c>
      <c r="I5392" s="86" t="s">
        <v>408</v>
      </c>
      <c r="J5392" s="1" t="s">
        <v>3324</v>
      </c>
      <c r="K5392" s="1" t="s">
        <v>3278</v>
      </c>
      <c r="L5392" s="1" t="s">
        <v>35</v>
      </c>
      <c r="M5392" s="86" t="s">
        <v>476</v>
      </c>
      <c r="O5392" s="47" t="s">
        <v>45</v>
      </c>
      <c r="P5392" s="47" t="s">
        <v>41</v>
      </c>
      <c r="Q5392" s="14">
        <v>0</v>
      </c>
      <c r="R5392" s="143">
        <v>1000059941</v>
      </c>
      <c r="S5392" s="47"/>
      <c r="T5392" s="6">
        <v>-39984.99</v>
      </c>
      <c r="U5392" s="6">
        <v>58239.45</v>
      </c>
      <c r="V5392" s="6">
        <v>10356.58</v>
      </c>
      <c r="W5392" s="6">
        <f t="shared" si="846"/>
        <v>7897.8799999999992</v>
      </c>
      <c r="X5392" s="6">
        <f t="shared" si="847"/>
        <v>10356.58</v>
      </c>
      <c r="Y5392" s="13">
        <f t="shared" si="851"/>
        <v>0</v>
      </c>
      <c r="Z5392" s="66">
        <v>0</v>
      </c>
      <c r="AA5392" s="6">
        <v>0</v>
      </c>
      <c r="AB5392" s="4">
        <f t="shared" si="852"/>
        <v>10356.58</v>
      </c>
      <c r="AC5392" s="6">
        <f t="shared" si="848"/>
        <v>0</v>
      </c>
      <c r="AD5392" s="6">
        <f t="shared" si="849"/>
        <v>10356.58</v>
      </c>
      <c r="AE5392" s="14">
        <f>VLOOKUP(I5392,[2]媒体政策预估表!A:N,MATCH(O5392,[2]媒体政策预估表!$A$2:$M$2,0),0)</f>
        <v>0.11</v>
      </c>
      <c r="AF5392" s="6">
        <f t="shared" si="841"/>
        <v>1139.2238</v>
      </c>
      <c r="AG5392" s="14">
        <v>0</v>
      </c>
      <c r="AH5392" s="64">
        <f t="shared" si="850"/>
        <v>10356.58</v>
      </c>
      <c r="AI5392" s="47"/>
      <c r="AJ5392" s="126" t="e">
        <v>#N/A</v>
      </c>
      <c r="AK5392" s="80">
        <f t="shared" si="853"/>
        <v>0</v>
      </c>
      <c r="AL5392" s="85"/>
      <c r="AM5392" s="85"/>
    </row>
    <row r="5393" spans="1:39" s="86" customFormat="1" ht="13.25" hidden="1" customHeight="1" x14ac:dyDescent="0.3">
      <c r="A5393" s="89" t="s">
        <v>3794</v>
      </c>
      <c r="B5393" s="86" t="s">
        <v>35</v>
      </c>
      <c r="C5393" s="86" t="s">
        <v>65</v>
      </c>
      <c r="D5393" s="86" t="s">
        <v>66</v>
      </c>
      <c r="E5393" s="86" t="s">
        <v>473</v>
      </c>
      <c r="F5393" s="86" t="s">
        <v>473</v>
      </c>
      <c r="G5393" s="86" t="s">
        <v>473</v>
      </c>
      <c r="H5393" s="144">
        <v>62</v>
      </c>
      <c r="I5393" s="86" t="s">
        <v>408</v>
      </c>
      <c r="J5393" s="1" t="s">
        <v>3324</v>
      </c>
      <c r="K5393" s="1" t="s">
        <v>3278</v>
      </c>
      <c r="L5393" s="1" t="s">
        <v>35</v>
      </c>
      <c r="M5393" s="86" t="s">
        <v>3801</v>
      </c>
      <c r="O5393" s="47" t="s">
        <v>45</v>
      </c>
      <c r="P5393" s="47" t="s">
        <v>41</v>
      </c>
      <c r="Q5393" s="14">
        <v>0</v>
      </c>
      <c r="R5393" s="143">
        <v>1000097017</v>
      </c>
      <c r="S5393" s="47"/>
      <c r="T5393" s="6">
        <v>0</v>
      </c>
      <c r="U5393" s="6">
        <v>20000</v>
      </c>
      <c r="V5393" s="6">
        <v>1910.7</v>
      </c>
      <c r="W5393" s="6">
        <f t="shared" si="846"/>
        <v>18089.3</v>
      </c>
      <c r="X5393" s="6">
        <f t="shared" si="847"/>
        <v>1910.7</v>
      </c>
      <c r="Y5393" s="13">
        <f t="shared" si="851"/>
        <v>0</v>
      </c>
      <c r="Z5393" s="66">
        <v>0</v>
      </c>
      <c r="AA5393" s="6">
        <v>0</v>
      </c>
      <c r="AB5393" s="4">
        <f t="shared" si="852"/>
        <v>1910.7</v>
      </c>
      <c r="AC5393" s="6">
        <f t="shared" si="848"/>
        <v>0</v>
      </c>
      <c r="AD5393" s="6">
        <f t="shared" si="849"/>
        <v>1910.7</v>
      </c>
      <c r="AE5393" s="14">
        <f>VLOOKUP(I5393,[2]媒体政策预估表!A:N,MATCH(O5393,[2]媒体政策预估表!$A$2:$M$2,0),0)</f>
        <v>0.11</v>
      </c>
      <c r="AF5393" s="6">
        <f t="shared" si="841"/>
        <v>210.17699999999999</v>
      </c>
      <c r="AG5393" s="14">
        <v>0</v>
      </c>
      <c r="AH5393" s="64">
        <f t="shared" si="850"/>
        <v>1910.7</v>
      </c>
      <c r="AI5393" s="47"/>
      <c r="AJ5393" s="126" t="e">
        <v>#N/A</v>
      </c>
      <c r="AK5393" s="80">
        <f t="shared" si="853"/>
        <v>0</v>
      </c>
      <c r="AL5393" s="85"/>
      <c r="AM5393" s="85"/>
    </row>
    <row r="5394" spans="1:39" s="86" customFormat="1" ht="13.25" hidden="1" customHeight="1" x14ac:dyDescent="0.3">
      <c r="A5394" s="89" t="s">
        <v>3794</v>
      </c>
      <c r="B5394" s="86" t="s">
        <v>35</v>
      </c>
      <c r="C5394" s="86" t="s">
        <v>65</v>
      </c>
      <c r="D5394" s="86" t="s">
        <v>66</v>
      </c>
      <c r="E5394" s="86" t="s">
        <v>473</v>
      </c>
      <c r="F5394" s="86" t="s">
        <v>473</v>
      </c>
      <c r="G5394" s="86" t="s">
        <v>473</v>
      </c>
      <c r="H5394" s="143">
        <v>62</v>
      </c>
      <c r="I5394" s="86" t="s">
        <v>408</v>
      </c>
      <c r="J5394" s="1" t="s">
        <v>3324</v>
      </c>
      <c r="K5394" s="1" t="s">
        <v>3278</v>
      </c>
      <c r="L5394" s="1" t="s">
        <v>35</v>
      </c>
      <c r="M5394" s="86" t="s">
        <v>3802</v>
      </c>
      <c r="O5394" s="47" t="s">
        <v>45</v>
      </c>
      <c r="P5394" s="47" t="s">
        <v>41</v>
      </c>
      <c r="Q5394" s="14">
        <v>0</v>
      </c>
      <c r="R5394" s="143">
        <v>1000097018</v>
      </c>
      <c r="S5394" s="47"/>
      <c r="T5394" s="6">
        <v>0</v>
      </c>
      <c r="U5394" s="6">
        <v>20000</v>
      </c>
      <c r="V5394" s="6">
        <v>0</v>
      </c>
      <c r="W5394" s="6">
        <f t="shared" si="846"/>
        <v>20000</v>
      </c>
      <c r="X5394" s="6">
        <f t="shared" si="847"/>
        <v>0</v>
      </c>
      <c r="Y5394" s="13">
        <f t="shared" si="851"/>
        <v>0</v>
      </c>
      <c r="Z5394" s="66">
        <v>0</v>
      </c>
      <c r="AA5394" s="6">
        <v>0</v>
      </c>
      <c r="AB5394" s="4">
        <f t="shared" si="852"/>
        <v>0</v>
      </c>
      <c r="AC5394" s="6">
        <f t="shared" si="848"/>
        <v>0</v>
      </c>
      <c r="AD5394" s="6">
        <f t="shared" si="849"/>
        <v>0</v>
      </c>
      <c r="AE5394" s="14">
        <f>VLOOKUP(I5394,[2]媒体政策预估表!A:N,MATCH(O5394,[2]媒体政策预估表!$A$2:$M$2,0),0)</f>
        <v>0.11</v>
      </c>
      <c r="AF5394" s="6">
        <f t="shared" si="841"/>
        <v>0</v>
      </c>
      <c r="AG5394" s="14">
        <v>0</v>
      </c>
      <c r="AH5394" s="64">
        <f t="shared" si="850"/>
        <v>0</v>
      </c>
      <c r="AI5394" s="47"/>
      <c r="AJ5394" s="126" t="e">
        <v>#N/A</v>
      </c>
      <c r="AK5394" s="80">
        <f t="shared" si="853"/>
        <v>0</v>
      </c>
      <c r="AL5394" s="85"/>
      <c r="AM5394" s="85"/>
    </row>
    <row r="5395" spans="1:39" s="86" customFormat="1" ht="13.25" hidden="1" customHeight="1" x14ac:dyDescent="0.3">
      <c r="A5395" s="89" t="s">
        <v>3794</v>
      </c>
      <c r="B5395" s="86" t="s">
        <v>35</v>
      </c>
      <c r="C5395" s="86" t="s">
        <v>65</v>
      </c>
      <c r="D5395" s="86" t="s">
        <v>66</v>
      </c>
      <c r="E5395" s="86" t="s">
        <v>473</v>
      </c>
      <c r="F5395" s="86" t="s">
        <v>473</v>
      </c>
      <c r="G5395" s="86" t="s">
        <v>473</v>
      </c>
      <c r="H5395" s="144">
        <v>62</v>
      </c>
      <c r="I5395" s="86" t="s">
        <v>408</v>
      </c>
      <c r="J5395" s="1" t="s">
        <v>3324</v>
      </c>
      <c r="K5395" s="1" t="s">
        <v>3278</v>
      </c>
      <c r="L5395" s="1" t="s">
        <v>35</v>
      </c>
      <c r="M5395" s="86" t="s">
        <v>3803</v>
      </c>
      <c r="O5395" s="47" t="s">
        <v>45</v>
      </c>
      <c r="P5395" s="47" t="s">
        <v>41</v>
      </c>
      <c r="Q5395" s="14">
        <v>0</v>
      </c>
      <c r="R5395" s="143">
        <v>1000097019</v>
      </c>
      <c r="S5395" s="47"/>
      <c r="T5395" s="6">
        <v>0</v>
      </c>
      <c r="U5395" s="6">
        <v>20000</v>
      </c>
      <c r="V5395" s="6">
        <v>1993.1999999999998</v>
      </c>
      <c r="W5395" s="6">
        <f t="shared" si="846"/>
        <v>18006.8</v>
      </c>
      <c r="X5395" s="6">
        <f t="shared" si="847"/>
        <v>1993.1999999999998</v>
      </c>
      <c r="Y5395" s="13">
        <f t="shared" si="851"/>
        <v>0</v>
      </c>
      <c r="Z5395" s="66">
        <v>0</v>
      </c>
      <c r="AA5395" s="6">
        <v>0</v>
      </c>
      <c r="AB5395" s="4">
        <f t="shared" si="852"/>
        <v>1993.1999999999998</v>
      </c>
      <c r="AC5395" s="6">
        <f t="shared" si="848"/>
        <v>0</v>
      </c>
      <c r="AD5395" s="6">
        <f t="shared" si="849"/>
        <v>1993.1999999999998</v>
      </c>
      <c r="AE5395" s="14">
        <f>VLOOKUP(I5395,[2]媒体政策预估表!A:N,MATCH(O5395,[2]媒体政策预估表!$A$2:$M$2,0),0)</f>
        <v>0.11</v>
      </c>
      <c r="AF5395" s="6">
        <f t="shared" si="841"/>
        <v>219.25199999999998</v>
      </c>
      <c r="AG5395" s="14">
        <v>0</v>
      </c>
      <c r="AH5395" s="64">
        <f t="shared" si="850"/>
        <v>1993.1999999999998</v>
      </c>
      <c r="AI5395" s="47"/>
      <c r="AJ5395" s="126" t="e">
        <v>#N/A</v>
      </c>
      <c r="AK5395" s="80">
        <f t="shared" si="853"/>
        <v>0</v>
      </c>
      <c r="AL5395" s="85"/>
      <c r="AM5395" s="85"/>
    </row>
    <row r="5396" spans="1:39" s="86" customFormat="1" ht="13.25" hidden="1" customHeight="1" x14ac:dyDescent="0.3">
      <c r="A5396" s="89" t="s">
        <v>3792</v>
      </c>
      <c r="B5396" s="86" t="s">
        <v>35</v>
      </c>
      <c r="C5396" s="86" t="s">
        <v>65</v>
      </c>
      <c r="D5396" s="86" t="s">
        <v>66</v>
      </c>
      <c r="E5396" s="86" t="s">
        <v>473</v>
      </c>
      <c r="F5396" s="86" t="s">
        <v>473</v>
      </c>
      <c r="G5396" s="86" t="s">
        <v>473</v>
      </c>
      <c r="H5396" s="143">
        <v>62</v>
      </c>
      <c r="I5396" s="86" t="s">
        <v>408</v>
      </c>
      <c r="J5396" s="1" t="s">
        <v>3324</v>
      </c>
      <c r="K5396" s="1" t="s">
        <v>3278</v>
      </c>
      <c r="L5396" s="1" t="s">
        <v>35</v>
      </c>
      <c r="M5396" s="86" t="s">
        <v>3804</v>
      </c>
      <c r="O5396" s="47" t="s">
        <v>45</v>
      </c>
      <c r="P5396" s="47" t="s">
        <v>41</v>
      </c>
      <c r="Q5396" s="14">
        <v>0</v>
      </c>
      <c r="R5396" s="143">
        <v>1000097016</v>
      </c>
      <c r="S5396" s="47"/>
      <c r="T5396" s="6">
        <v>0</v>
      </c>
      <c r="U5396" s="6">
        <v>0</v>
      </c>
      <c r="V5396" s="6">
        <v>0</v>
      </c>
      <c r="W5396" s="6">
        <f t="shared" si="846"/>
        <v>0</v>
      </c>
      <c r="X5396" s="6">
        <f t="shared" si="847"/>
        <v>0</v>
      </c>
      <c r="Y5396" s="13">
        <f t="shared" si="851"/>
        <v>0</v>
      </c>
      <c r="Z5396" s="66">
        <v>0</v>
      </c>
      <c r="AA5396" s="6">
        <v>0</v>
      </c>
      <c r="AB5396" s="4">
        <f t="shared" si="852"/>
        <v>0</v>
      </c>
      <c r="AC5396" s="6">
        <f t="shared" si="848"/>
        <v>0</v>
      </c>
      <c r="AD5396" s="6">
        <f t="shared" si="849"/>
        <v>0</v>
      </c>
      <c r="AE5396" s="14">
        <f>VLOOKUP(I5396,[2]媒体政策预估表!A:N,MATCH(O5396,[2]媒体政策预估表!$A$2:$M$2,0),0)</f>
        <v>0.11</v>
      </c>
      <c r="AF5396" s="6">
        <f t="shared" si="841"/>
        <v>0</v>
      </c>
      <c r="AG5396" s="14">
        <v>0</v>
      </c>
      <c r="AH5396" s="64">
        <f t="shared" si="850"/>
        <v>0</v>
      </c>
      <c r="AI5396" s="47"/>
      <c r="AJ5396" s="126" t="e">
        <v>#N/A</v>
      </c>
      <c r="AK5396" s="80">
        <f t="shared" si="853"/>
        <v>0</v>
      </c>
      <c r="AL5396" s="85"/>
      <c r="AM5396" s="85"/>
    </row>
    <row r="5397" spans="1:39" s="86" customFormat="1" ht="13.25" hidden="1" customHeight="1" x14ac:dyDescent="0.3">
      <c r="A5397" s="89" t="s">
        <v>3792</v>
      </c>
      <c r="B5397" s="86" t="s">
        <v>35</v>
      </c>
      <c r="C5397" s="86" t="s">
        <v>65</v>
      </c>
      <c r="D5397" s="86" t="s">
        <v>66</v>
      </c>
      <c r="E5397" s="86" t="s">
        <v>473</v>
      </c>
      <c r="F5397" s="86" t="s">
        <v>473</v>
      </c>
      <c r="G5397" s="86" t="s">
        <v>473</v>
      </c>
      <c r="H5397" s="143">
        <v>62</v>
      </c>
      <c r="I5397" s="86" t="s">
        <v>408</v>
      </c>
      <c r="J5397" s="1" t="s">
        <v>3324</v>
      </c>
      <c r="K5397" s="1" t="s">
        <v>3278</v>
      </c>
      <c r="L5397" s="1" t="s">
        <v>35</v>
      </c>
      <c r="M5397" s="86" t="s">
        <v>479</v>
      </c>
      <c r="O5397" s="47" t="s">
        <v>45</v>
      </c>
      <c r="P5397" s="47" t="s">
        <v>41</v>
      </c>
      <c r="Q5397" s="14">
        <v>0</v>
      </c>
      <c r="R5397" s="143">
        <v>1000100637</v>
      </c>
      <c r="S5397" s="47"/>
      <c r="T5397" s="6">
        <v>10000</v>
      </c>
      <c r="U5397" s="6">
        <v>-10000</v>
      </c>
      <c r="V5397" s="6">
        <v>0</v>
      </c>
      <c r="W5397" s="6">
        <f t="shared" si="846"/>
        <v>0</v>
      </c>
      <c r="X5397" s="6">
        <f t="shared" si="847"/>
        <v>0</v>
      </c>
      <c r="Y5397" s="13">
        <f t="shared" si="851"/>
        <v>0</v>
      </c>
      <c r="Z5397" s="66">
        <v>0</v>
      </c>
      <c r="AA5397" s="6">
        <v>0</v>
      </c>
      <c r="AB5397" s="4">
        <f t="shared" si="852"/>
        <v>0</v>
      </c>
      <c r="AC5397" s="6">
        <f t="shared" si="848"/>
        <v>0</v>
      </c>
      <c r="AD5397" s="6">
        <f t="shared" si="849"/>
        <v>0</v>
      </c>
      <c r="AE5397" s="14">
        <f>VLOOKUP(I5397,[2]媒体政策预估表!A:N,MATCH(O5397,[2]媒体政策预估表!$A$2:$M$2,0),0)</f>
        <v>0.11</v>
      </c>
      <c r="AF5397" s="6">
        <f t="shared" si="841"/>
        <v>0</v>
      </c>
      <c r="AG5397" s="14">
        <v>0</v>
      </c>
      <c r="AH5397" s="64">
        <f t="shared" si="850"/>
        <v>0</v>
      </c>
      <c r="AI5397" s="47"/>
      <c r="AJ5397" s="126" t="e">
        <v>#N/A</v>
      </c>
      <c r="AK5397" s="80">
        <f t="shared" si="853"/>
        <v>0</v>
      </c>
      <c r="AL5397" s="85"/>
      <c r="AM5397" s="85"/>
    </row>
    <row r="5398" spans="1:39" s="86" customFormat="1" ht="13.25" hidden="1" customHeight="1" x14ac:dyDescent="0.3">
      <c r="A5398" s="89" t="s">
        <v>3794</v>
      </c>
      <c r="B5398" s="86" t="s">
        <v>35</v>
      </c>
      <c r="C5398" s="86" t="s">
        <v>65</v>
      </c>
      <c r="D5398" s="86" t="s">
        <v>66</v>
      </c>
      <c r="E5398" s="86" t="s">
        <v>473</v>
      </c>
      <c r="F5398" s="86" t="s">
        <v>473</v>
      </c>
      <c r="G5398" s="86" t="s">
        <v>473</v>
      </c>
      <c r="H5398" s="143">
        <v>62</v>
      </c>
      <c r="I5398" s="86" t="s">
        <v>408</v>
      </c>
      <c r="J5398" s="1" t="s">
        <v>3324</v>
      </c>
      <c r="K5398" s="1" t="s">
        <v>3278</v>
      </c>
      <c r="L5398" s="1" t="s">
        <v>35</v>
      </c>
      <c r="M5398" s="86" t="s">
        <v>480</v>
      </c>
      <c r="O5398" s="47" t="s">
        <v>45</v>
      </c>
      <c r="P5398" s="47" t="s">
        <v>41</v>
      </c>
      <c r="Q5398" s="14">
        <v>0</v>
      </c>
      <c r="R5398" s="143">
        <v>1000100636</v>
      </c>
      <c r="S5398" s="47"/>
      <c r="T5398" s="6">
        <v>10000</v>
      </c>
      <c r="U5398" s="6">
        <v>-10000</v>
      </c>
      <c r="V5398" s="6">
        <v>0</v>
      </c>
      <c r="W5398" s="6">
        <f t="shared" si="846"/>
        <v>0</v>
      </c>
      <c r="X5398" s="6">
        <f t="shared" si="847"/>
        <v>0</v>
      </c>
      <c r="Y5398" s="13">
        <f t="shared" si="851"/>
        <v>0</v>
      </c>
      <c r="Z5398" s="66">
        <v>0</v>
      </c>
      <c r="AA5398" s="6">
        <v>0</v>
      </c>
      <c r="AB5398" s="4">
        <f t="shared" si="852"/>
        <v>0</v>
      </c>
      <c r="AC5398" s="6">
        <f t="shared" si="848"/>
        <v>0</v>
      </c>
      <c r="AD5398" s="6">
        <f t="shared" si="849"/>
        <v>0</v>
      </c>
      <c r="AE5398" s="14">
        <f>VLOOKUP(I5398,[2]媒体政策预估表!A:N,MATCH(O5398,[2]媒体政策预估表!$A$2:$M$2,0),0)</f>
        <v>0.11</v>
      </c>
      <c r="AF5398" s="6">
        <f t="shared" si="841"/>
        <v>0</v>
      </c>
      <c r="AG5398" s="14">
        <v>0</v>
      </c>
      <c r="AH5398" s="64">
        <f t="shared" si="850"/>
        <v>0</v>
      </c>
      <c r="AI5398" s="47"/>
      <c r="AJ5398" s="126" t="e">
        <v>#N/A</v>
      </c>
      <c r="AK5398" s="80">
        <f t="shared" si="853"/>
        <v>0</v>
      </c>
      <c r="AL5398" s="85"/>
      <c r="AM5398" s="85"/>
    </row>
    <row r="5399" spans="1:39" s="86" customFormat="1" ht="13.25" hidden="1" customHeight="1" x14ac:dyDescent="0.3">
      <c r="A5399" s="89" t="s">
        <v>3805</v>
      </c>
      <c r="B5399" s="86" t="s">
        <v>35</v>
      </c>
      <c r="C5399" s="86" t="s">
        <v>65</v>
      </c>
      <c r="D5399" s="86" t="s">
        <v>66</v>
      </c>
      <c r="E5399" s="86" t="s">
        <v>473</v>
      </c>
      <c r="F5399" s="86" t="s">
        <v>473</v>
      </c>
      <c r="G5399" s="86" t="s">
        <v>473</v>
      </c>
      <c r="H5399" s="143">
        <v>62</v>
      </c>
      <c r="I5399" s="86" t="s">
        <v>408</v>
      </c>
      <c r="J5399" s="1" t="s">
        <v>3324</v>
      </c>
      <c r="K5399" s="1" t="s">
        <v>3278</v>
      </c>
      <c r="L5399" s="1" t="s">
        <v>35</v>
      </c>
      <c r="M5399" s="86" t="s">
        <v>708</v>
      </c>
      <c r="O5399" s="47" t="s">
        <v>45</v>
      </c>
      <c r="P5399" s="47" t="s">
        <v>41</v>
      </c>
      <c r="Q5399" s="14">
        <v>0</v>
      </c>
      <c r="R5399" s="143">
        <v>1000096893</v>
      </c>
      <c r="S5399" s="47"/>
      <c r="T5399" s="6">
        <v>58239.450000000012</v>
      </c>
      <c r="U5399" s="6">
        <v>-58239.45</v>
      </c>
      <c r="V5399" s="6">
        <v>0</v>
      </c>
      <c r="W5399" s="6">
        <f t="shared" si="846"/>
        <v>1.4551915228366852E-11</v>
      </c>
      <c r="X5399" s="6">
        <f t="shared" si="847"/>
        <v>0</v>
      </c>
      <c r="Y5399" s="13">
        <f t="shared" si="851"/>
        <v>0</v>
      </c>
      <c r="Z5399" s="66">
        <v>0</v>
      </c>
      <c r="AA5399" s="6">
        <v>0</v>
      </c>
      <c r="AB5399" s="4">
        <f t="shared" si="852"/>
        <v>0</v>
      </c>
      <c r="AC5399" s="6">
        <f t="shared" si="848"/>
        <v>0</v>
      </c>
      <c r="AD5399" s="6">
        <f t="shared" si="849"/>
        <v>0</v>
      </c>
      <c r="AE5399" s="14">
        <f>VLOOKUP(I5399,[2]媒体政策预估表!A:N,MATCH(O5399,[2]媒体政策预估表!$A$2:$M$2,0),0)</f>
        <v>0.11</v>
      </c>
      <c r="AF5399" s="6">
        <f t="shared" si="841"/>
        <v>0</v>
      </c>
      <c r="AG5399" s="14">
        <v>0</v>
      </c>
      <c r="AH5399" s="64">
        <f t="shared" si="850"/>
        <v>0</v>
      </c>
      <c r="AI5399" s="47"/>
      <c r="AJ5399" s="126" t="e">
        <v>#N/A</v>
      </c>
      <c r="AK5399" s="80">
        <f t="shared" si="853"/>
        <v>0</v>
      </c>
      <c r="AL5399" s="85"/>
      <c r="AM5399" s="85"/>
    </row>
    <row r="5400" spans="1:39" s="86" customFormat="1" ht="13.25" hidden="1" customHeight="1" x14ac:dyDescent="0.3">
      <c r="A5400" s="89" t="s">
        <v>3792</v>
      </c>
      <c r="B5400" s="86" t="s">
        <v>35</v>
      </c>
      <c r="C5400" s="86" t="s">
        <v>65</v>
      </c>
      <c r="D5400" s="86" t="s">
        <v>66</v>
      </c>
      <c r="E5400" s="86" t="s">
        <v>473</v>
      </c>
      <c r="F5400" s="86" t="s">
        <v>473</v>
      </c>
      <c r="G5400" s="86" t="s">
        <v>473</v>
      </c>
      <c r="H5400" s="143">
        <v>62</v>
      </c>
      <c r="I5400" s="86" t="s">
        <v>408</v>
      </c>
      <c r="J5400" s="1" t="s">
        <v>3324</v>
      </c>
      <c r="K5400" s="1" t="s">
        <v>3278</v>
      </c>
      <c r="L5400" s="1" t="s">
        <v>35</v>
      </c>
      <c r="M5400" s="86" t="s">
        <v>481</v>
      </c>
      <c r="O5400" s="47" t="s">
        <v>45</v>
      </c>
      <c r="P5400" s="47" t="s">
        <v>41</v>
      </c>
      <c r="Q5400" s="14">
        <v>0</v>
      </c>
      <c r="R5400" s="143">
        <v>1000100978</v>
      </c>
      <c r="S5400" s="47"/>
      <c r="T5400" s="6">
        <v>20000</v>
      </c>
      <c r="U5400" s="6">
        <v>-20000</v>
      </c>
      <c r="V5400" s="6">
        <v>0</v>
      </c>
      <c r="W5400" s="6">
        <f t="shared" si="846"/>
        <v>0</v>
      </c>
      <c r="X5400" s="6">
        <f t="shared" si="847"/>
        <v>0</v>
      </c>
      <c r="Y5400" s="13">
        <f t="shared" si="851"/>
        <v>0</v>
      </c>
      <c r="Z5400" s="66">
        <v>0</v>
      </c>
      <c r="AA5400" s="6">
        <v>0</v>
      </c>
      <c r="AB5400" s="4">
        <f t="shared" si="852"/>
        <v>0</v>
      </c>
      <c r="AC5400" s="6">
        <f t="shared" si="848"/>
        <v>0</v>
      </c>
      <c r="AD5400" s="6">
        <f t="shared" si="849"/>
        <v>0</v>
      </c>
      <c r="AE5400" s="14">
        <f>VLOOKUP(I5400,[2]媒体政策预估表!A:N,MATCH(O5400,[2]媒体政策预估表!$A$2:$M$2,0),0)</f>
        <v>0.11</v>
      </c>
      <c r="AF5400" s="6">
        <f t="shared" si="841"/>
        <v>0</v>
      </c>
      <c r="AG5400" s="14">
        <v>0</v>
      </c>
      <c r="AH5400" s="64">
        <f t="shared" si="850"/>
        <v>0</v>
      </c>
      <c r="AI5400" s="47"/>
      <c r="AJ5400" s="126" t="e">
        <v>#N/A</v>
      </c>
      <c r="AK5400" s="80">
        <f t="shared" si="853"/>
        <v>0</v>
      </c>
      <c r="AL5400" s="85"/>
      <c r="AM5400" s="85"/>
    </row>
    <row r="5401" spans="1:39" s="86" customFormat="1" ht="13.25" hidden="1" customHeight="1" x14ac:dyDescent="0.3">
      <c r="A5401" s="89" t="s">
        <v>3796</v>
      </c>
      <c r="B5401" s="86" t="s">
        <v>35</v>
      </c>
      <c r="C5401" s="86" t="s">
        <v>65</v>
      </c>
      <c r="D5401" s="86" t="s">
        <v>66</v>
      </c>
      <c r="E5401" s="86" t="s">
        <v>487</v>
      </c>
      <c r="F5401" s="86" t="s">
        <v>487</v>
      </c>
      <c r="G5401" s="86" t="s">
        <v>487</v>
      </c>
      <c r="H5401" s="144">
        <v>62</v>
      </c>
      <c r="I5401" s="86" t="s">
        <v>408</v>
      </c>
      <c r="J5401" s="1" t="s">
        <v>3324</v>
      </c>
      <c r="K5401" s="1" t="s">
        <v>3278</v>
      </c>
      <c r="L5401" s="1" t="s">
        <v>35</v>
      </c>
      <c r="M5401" s="86" t="s">
        <v>488</v>
      </c>
      <c r="O5401" s="47" t="s">
        <v>410</v>
      </c>
      <c r="P5401" s="47" t="s">
        <v>41</v>
      </c>
      <c r="Q5401" s="14">
        <v>0</v>
      </c>
      <c r="R5401" s="143">
        <v>1000099505</v>
      </c>
      <c r="S5401" s="47"/>
      <c r="T5401" s="6">
        <v>37479.999999999985</v>
      </c>
      <c r="U5401" s="6">
        <v>40000</v>
      </c>
      <c r="V5401" s="6">
        <v>41095.55999999999</v>
      </c>
      <c r="W5401" s="6">
        <f t="shared" si="846"/>
        <v>36384.439999999995</v>
      </c>
      <c r="X5401" s="6">
        <f t="shared" si="847"/>
        <v>41095.55999999999</v>
      </c>
      <c r="Y5401" s="13">
        <f t="shared" si="851"/>
        <v>0</v>
      </c>
      <c r="Z5401" s="66">
        <v>0</v>
      </c>
      <c r="AA5401" s="6">
        <v>0</v>
      </c>
      <c r="AB5401" s="4">
        <f t="shared" si="852"/>
        <v>41095.55999999999</v>
      </c>
      <c r="AC5401" s="6">
        <f t="shared" si="848"/>
        <v>0</v>
      </c>
      <c r="AD5401" s="6">
        <f t="shared" si="849"/>
        <v>41095.55999999999</v>
      </c>
      <c r="AE5401" s="14">
        <f>VLOOKUP(I5401,[2]媒体政策预估表!A:N,MATCH(O5401,[2]媒体政策预估表!$A$2:$M$2,0),0)</f>
        <v>7.0000000000000007E-2</v>
      </c>
      <c r="AF5401" s="6">
        <f t="shared" si="841"/>
        <v>2876.6891999999998</v>
      </c>
      <c r="AG5401" s="14">
        <v>0</v>
      </c>
      <c r="AH5401" s="64">
        <f t="shared" si="850"/>
        <v>41095.55999999999</v>
      </c>
      <c r="AI5401" s="47"/>
      <c r="AJ5401" s="126" t="e">
        <v>#N/A</v>
      </c>
      <c r="AK5401" s="80">
        <f t="shared" si="853"/>
        <v>0</v>
      </c>
      <c r="AL5401" s="85"/>
      <c r="AM5401" s="85"/>
    </row>
    <row r="5402" spans="1:39" s="86" customFormat="1" ht="13.25" hidden="1" customHeight="1" x14ac:dyDescent="0.3">
      <c r="A5402" s="89" t="s">
        <v>3806</v>
      </c>
      <c r="B5402" s="86" t="s">
        <v>35</v>
      </c>
      <c r="C5402" s="86" t="s">
        <v>65</v>
      </c>
      <c r="D5402" s="86" t="s">
        <v>66</v>
      </c>
      <c r="E5402" s="86" t="s">
        <v>493</v>
      </c>
      <c r="F5402" s="86" t="s">
        <v>493</v>
      </c>
      <c r="G5402" s="86" t="s">
        <v>493</v>
      </c>
      <c r="H5402" s="144">
        <v>62</v>
      </c>
      <c r="I5402" s="86" t="s">
        <v>408</v>
      </c>
      <c r="J5402" s="1" t="s">
        <v>3324</v>
      </c>
      <c r="K5402" s="1" t="s">
        <v>3278</v>
      </c>
      <c r="L5402" s="1" t="s">
        <v>35</v>
      </c>
      <c r="M5402" s="86" t="s">
        <v>493</v>
      </c>
      <c r="O5402" s="47" t="s">
        <v>410</v>
      </c>
      <c r="P5402" s="47" t="s">
        <v>46</v>
      </c>
      <c r="Q5402" s="14">
        <v>0.01</v>
      </c>
      <c r="R5402" s="143">
        <v>1000055864</v>
      </c>
      <c r="S5402" s="47"/>
      <c r="T5402" s="6">
        <v>15369.999999999942</v>
      </c>
      <c r="U5402" s="6">
        <v>200000</v>
      </c>
      <c r="V5402" s="6">
        <v>167444.38999999998</v>
      </c>
      <c r="W5402" s="6">
        <f t="shared" si="846"/>
        <v>47925.609999999957</v>
      </c>
      <c r="X5402" s="6">
        <f t="shared" si="847"/>
        <v>165786.52475247523</v>
      </c>
      <c r="Y5402" s="13">
        <f t="shared" si="851"/>
        <v>0</v>
      </c>
      <c r="Z5402" s="66">
        <v>0</v>
      </c>
      <c r="AA5402" s="6">
        <v>0</v>
      </c>
      <c r="AB5402" s="4">
        <f t="shared" si="852"/>
        <v>165786.52475247523</v>
      </c>
      <c r="AC5402" s="6">
        <f t="shared" si="848"/>
        <v>1657.8652475247509</v>
      </c>
      <c r="AD5402" s="6">
        <f t="shared" si="849"/>
        <v>167444.38999999998</v>
      </c>
      <c r="AE5402" s="14">
        <f>VLOOKUP(I5402,[2]媒体政策预估表!A:N,MATCH(O5402,[2]媒体政策预估表!$A$2:$M$2,0),0)</f>
        <v>7.0000000000000007E-2</v>
      </c>
      <c r="AF5402" s="6">
        <f t="shared" si="841"/>
        <v>11721.1073</v>
      </c>
      <c r="AG5402" s="14">
        <v>0</v>
      </c>
      <c r="AH5402" s="64">
        <f t="shared" si="850"/>
        <v>167444.38999999998</v>
      </c>
      <c r="AI5402" s="47"/>
      <c r="AJ5402" s="126" t="e">
        <v>#N/A</v>
      </c>
      <c r="AK5402" s="80">
        <f t="shared" si="853"/>
        <v>0</v>
      </c>
      <c r="AL5402" s="85"/>
      <c r="AM5402" s="85"/>
    </row>
    <row r="5403" spans="1:39" s="86" customFormat="1" ht="13.25" hidden="1" customHeight="1" x14ac:dyDescent="0.3">
      <c r="A5403" s="89" t="s">
        <v>3792</v>
      </c>
      <c r="B5403" s="86" t="s">
        <v>35</v>
      </c>
      <c r="C5403" s="86" t="s">
        <v>65</v>
      </c>
      <c r="D5403" s="86" t="s">
        <v>66</v>
      </c>
      <c r="E5403" s="86" t="s">
        <v>494</v>
      </c>
      <c r="F5403" s="86" t="s">
        <v>494</v>
      </c>
      <c r="G5403" s="86" t="s">
        <v>494</v>
      </c>
      <c r="H5403" s="144">
        <v>62</v>
      </c>
      <c r="I5403" s="86" t="s">
        <v>408</v>
      </c>
      <c r="J5403" s="1" t="s">
        <v>3324</v>
      </c>
      <c r="K5403" s="1" t="s">
        <v>3278</v>
      </c>
      <c r="L5403" s="1" t="s">
        <v>35</v>
      </c>
      <c r="M5403" s="86" t="s">
        <v>495</v>
      </c>
      <c r="O5403" s="47" t="s">
        <v>410</v>
      </c>
      <c r="P5403" s="47" t="s">
        <v>41</v>
      </c>
      <c r="Q5403" s="14">
        <v>0</v>
      </c>
      <c r="R5403" s="143">
        <v>1000018044</v>
      </c>
      <c r="S5403" s="47"/>
      <c r="T5403" s="6">
        <v>143190.6999999996</v>
      </c>
      <c r="U5403" s="6">
        <v>200000</v>
      </c>
      <c r="V5403" s="6">
        <v>343190.6999999996</v>
      </c>
      <c r="W5403" s="6">
        <f t="shared" si="846"/>
        <v>0</v>
      </c>
      <c r="X5403" s="6">
        <f t="shared" si="847"/>
        <v>343190.6999999996</v>
      </c>
      <c r="Y5403" s="13">
        <f t="shared" si="851"/>
        <v>0</v>
      </c>
      <c r="Z5403" s="66">
        <v>0</v>
      </c>
      <c r="AA5403" s="6">
        <v>0</v>
      </c>
      <c r="AB5403" s="4">
        <f t="shared" si="852"/>
        <v>343190.6999999996</v>
      </c>
      <c r="AC5403" s="6">
        <f t="shared" si="848"/>
        <v>0</v>
      </c>
      <c r="AD5403" s="6">
        <f t="shared" si="849"/>
        <v>343190.6999999996</v>
      </c>
      <c r="AE5403" s="14">
        <f>VLOOKUP(I5403,[2]媒体政策预估表!A:N,MATCH(O5403,[2]媒体政策预估表!$A$2:$M$2,0),0)</f>
        <v>7.0000000000000007E-2</v>
      </c>
      <c r="AF5403" s="6">
        <f t="shared" si="841"/>
        <v>24023.348999999973</v>
      </c>
      <c r="AG5403" s="14">
        <v>0</v>
      </c>
      <c r="AH5403" s="64">
        <f t="shared" si="850"/>
        <v>343190.6999999996</v>
      </c>
      <c r="AI5403" s="47"/>
      <c r="AJ5403" s="126" t="e">
        <v>#N/A</v>
      </c>
      <c r="AK5403" s="80">
        <f t="shared" si="853"/>
        <v>0</v>
      </c>
      <c r="AL5403" s="85"/>
      <c r="AM5403" s="85"/>
    </row>
    <row r="5404" spans="1:39" s="86" customFormat="1" ht="13.25" hidden="1" customHeight="1" x14ac:dyDescent="0.3">
      <c r="A5404" s="89" t="s">
        <v>3794</v>
      </c>
      <c r="B5404" s="86" t="s">
        <v>35</v>
      </c>
      <c r="C5404" s="86" t="s">
        <v>65</v>
      </c>
      <c r="D5404" s="86" t="s">
        <v>66</v>
      </c>
      <c r="E5404" s="86" t="s">
        <v>494</v>
      </c>
      <c r="F5404" s="86" t="s">
        <v>494</v>
      </c>
      <c r="G5404" s="86" t="s">
        <v>494</v>
      </c>
      <c r="H5404" s="144">
        <v>62</v>
      </c>
      <c r="I5404" s="86" t="s">
        <v>408</v>
      </c>
      <c r="J5404" s="1" t="s">
        <v>3324</v>
      </c>
      <c r="K5404" s="1" t="s">
        <v>3278</v>
      </c>
      <c r="L5404" s="1" t="s">
        <v>35</v>
      </c>
      <c r="M5404" s="86" t="s">
        <v>3807</v>
      </c>
      <c r="O5404" s="47" t="s">
        <v>410</v>
      </c>
      <c r="P5404" s="47" t="s">
        <v>41</v>
      </c>
      <c r="Q5404" s="14">
        <v>0</v>
      </c>
      <c r="R5404" s="143">
        <v>1000018044</v>
      </c>
      <c r="S5404" s="47"/>
      <c r="T5404" s="6">
        <v>0</v>
      </c>
      <c r="U5404" s="6">
        <v>1100000</v>
      </c>
      <c r="V5404" s="6">
        <v>884651.42000000051</v>
      </c>
      <c r="W5404" s="6">
        <f t="shared" si="846"/>
        <v>215348.57999999949</v>
      </c>
      <c r="X5404" s="6">
        <f t="shared" si="847"/>
        <v>884651.42000000051</v>
      </c>
      <c r="Y5404" s="13">
        <f t="shared" si="851"/>
        <v>0</v>
      </c>
      <c r="Z5404" s="66">
        <v>0</v>
      </c>
      <c r="AA5404" s="6">
        <v>0</v>
      </c>
      <c r="AB5404" s="4">
        <f t="shared" si="852"/>
        <v>884651.42000000051</v>
      </c>
      <c r="AC5404" s="6">
        <f t="shared" si="848"/>
        <v>0</v>
      </c>
      <c r="AD5404" s="6">
        <f t="shared" si="849"/>
        <v>884651.42000000051</v>
      </c>
      <c r="AE5404" s="14">
        <f>VLOOKUP(I5404,[2]媒体政策预估表!A:N,MATCH(O5404,[2]媒体政策预估表!$A$2:$M$2,0),0)</f>
        <v>7.0000000000000007E-2</v>
      </c>
      <c r="AF5404" s="6">
        <f t="shared" si="841"/>
        <v>61925.599400000043</v>
      </c>
      <c r="AG5404" s="14">
        <v>0</v>
      </c>
      <c r="AH5404" s="64">
        <f t="shared" si="850"/>
        <v>884651.42000000051</v>
      </c>
      <c r="AI5404" s="47"/>
      <c r="AJ5404" s="126" t="e">
        <v>#N/A</v>
      </c>
      <c r="AK5404" s="80">
        <f t="shared" si="853"/>
        <v>0</v>
      </c>
      <c r="AL5404" s="85"/>
      <c r="AM5404" s="85"/>
    </row>
    <row r="5405" spans="1:39" s="86" customFormat="1" ht="13.25" hidden="1" customHeight="1" x14ac:dyDescent="0.3">
      <c r="A5405" s="89" t="s">
        <v>3792</v>
      </c>
      <c r="B5405" s="86" t="s">
        <v>35</v>
      </c>
      <c r="C5405" s="86" t="s">
        <v>65</v>
      </c>
      <c r="D5405" s="86" t="s">
        <v>66</v>
      </c>
      <c r="E5405" s="86" t="s">
        <v>496</v>
      </c>
      <c r="F5405" s="86" t="s">
        <v>497</v>
      </c>
      <c r="G5405" s="86" t="s">
        <v>496</v>
      </c>
      <c r="H5405" s="144">
        <v>62</v>
      </c>
      <c r="I5405" s="86" t="s">
        <v>408</v>
      </c>
      <c r="J5405" s="1" t="s">
        <v>3324</v>
      </c>
      <c r="K5405" s="1" t="s">
        <v>3278</v>
      </c>
      <c r="L5405" s="1" t="s">
        <v>35</v>
      </c>
      <c r="M5405" s="86" t="s">
        <v>3808</v>
      </c>
      <c r="O5405" s="47" t="s">
        <v>410</v>
      </c>
      <c r="P5405" s="47" t="s">
        <v>46</v>
      </c>
      <c r="Q5405" s="14">
        <v>0.01</v>
      </c>
      <c r="R5405" s="143">
        <v>1000050427</v>
      </c>
      <c r="S5405" s="47"/>
      <c r="T5405" s="6">
        <v>193606.82</v>
      </c>
      <c r="U5405" s="6">
        <v>160000</v>
      </c>
      <c r="V5405" s="6">
        <v>164062.67000000001</v>
      </c>
      <c r="W5405" s="6">
        <f t="shared" si="846"/>
        <v>189544.15</v>
      </c>
      <c r="X5405" s="6">
        <f t="shared" si="847"/>
        <v>162438.28712871289</v>
      </c>
      <c r="Y5405" s="13">
        <f t="shared" si="851"/>
        <v>0</v>
      </c>
      <c r="Z5405" s="66">
        <v>0</v>
      </c>
      <c r="AA5405" s="6">
        <v>0</v>
      </c>
      <c r="AB5405" s="4">
        <f t="shared" si="852"/>
        <v>162438.28712871289</v>
      </c>
      <c r="AC5405" s="6">
        <f t="shared" si="848"/>
        <v>1624.3828712871182</v>
      </c>
      <c r="AD5405" s="6">
        <f t="shared" si="849"/>
        <v>164062.67000000001</v>
      </c>
      <c r="AE5405" s="14">
        <f>VLOOKUP(I5405,[2]媒体政策预估表!A:N,MATCH(O5405,[2]媒体政策预估表!$A$2:$M$2,0),0)</f>
        <v>7.0000000000000007E-2</v>
      </c>
      <c r="AF5405" s="6">
        <f t="shared" si="841"/>
        <v>11484.386900000001</v>
      </c>
      <c r="AG5405" s="14">
        <v>0</v>
      </c>
      <c r="AH5405" s="64">
        <f t="shared" si="850"/>
        <v>164062.67000000001</v>
      </c>
      <c r="AI5405" s="47"/>
      <c r="AJ5405" s="126" t="e">
        <v>#N/A</v>
      </c>
      <c r="AK5405" s="80">
        <f t="shared" si="853"/>
        <v>0</v>
      </c>
      <c r="AL5405" s="85"/>
      <c r="AM5405" s="85"/>
    </row>
    <row r="5406" spans="1:39" s="86" customFormat="1" ht="13.25" hidden="1" customHeight="1" x14ac:dyDescent="0.3">
      <c r="A5406" s="89" t="s">
        <v>3794</v>
      </c>
      <c r="B5406" s="86" t="s">
        <v>35</v>
      </c>
      <c r="C5406" s="86" t="s">
        <v>65</v>
      </c>
      <c r="D5406" s="86" t="s">
        <v>66</v>
      </c>
      <c r="E5406" s="86" t="s">
        <v>499</v>
      </c>
      <c r="F5406" s="86" t="s">
        <v>499</v>
      </c>
      <c r="G5406" s="86" t="s">
        <v>499</v>
      </c>
      <c r="H5406" s="144">
        <v>62</v>
      </c>
      <c r="I5406" s="86" t="s">
        <v>408</v>
      </c>
      <c r="J5406" s="1" t="s">
        <v>3324</v>
      </c>
      <c r="K5406" s="1" t="s">
        <v>3278</v>
      </c>
      <c r="L5406" s="1" t="s">
        <v>35</v>
      </c>
      <c r="M5406" s="86" t="s">
        <v>500</v>
      </c>
      <c r="O5406" s="47" t="s">
        <v>410</v>
      </c>
      <c r="P5406" s="47" t="s">
        <v>41</v>
      </c>
      <c r="Q5406" s="14">
        <v>0</v>
      </c>
      <c r="R5406" s="143">
        <v>1000098940</v>
      </c>
      <c r="S5406" s="47"/>
      <c r="T5406" s="6">
        <v>24892.720000000005</v>
      </c>
      <c r="U5406" s="6">
        <v>10000</v>
      </c>
      <c r="V5406" s="6">
        <v>29530.960000000003</v>
      </c>
      <c r="W5406" s="6">
        <f t="shared" si="846"/>
        <v>5361.7599999999984</v>
      </c>
      <c r="X5406" s="6">
        <f t="shared" si="847"/>
        <v>29530.960000000003</v>
      </c>
      <c r="Y5406" s="13">
        <f t="shared" si="851"/>
        <v>0</v>
      </c>
      <c r="Z5406" s="66">
        <v>0</v>
      </c>
      <c r="AA5406" s="6">
        <v>0</v>
      </c>
      <c r="AB5406" s="4">
        <f t="shared" si="852"/>
        <v>29530.960000000003</v>
      </c>
      <c r="AC5406" s="6">
        <f t="shared" si="848"/>
        <v>0</v>
      </c>
      <c r="AD5406" s="6">
        <f t="shared" si="849"/>
        <v>29530.960000000003</v>
      </c>
      <c r="AE5406" s="14">
        <f>VLOOKUP(I5406,[2]媒体政策预估表!A:N,MATCH(O5406,[2]媒体政策预估表!$A$2:$M$2,0),0)</f>
        <v>7.0000000000000007E-2</v>
      </c>
      <c r="AF5406" s="6">
        <f t="shared" si="841"/>
        <v>2067.1672000000003</v>
      </c>
      <c r="AG5406" s="14">
        <v>0</v>
      </c>
      <c r="AH5406" s="64">
        <f t="shared" si="850"/>
        <v>29530.960000000003</v>
      </c>
      <c r="AI5406" s="47"/>
      <c r="AJ5406" s="126" t="e">
        <v>#N/A</v>
      </c>
      <c r="AK5406" s="80">
        <f t="shared" si="853"/>
        <v>0</v>
      </c>
      <c r="AL5406" s="85"/>
      <c r="AM5406" s="85"/>
    </row>
    <row r="5407" spans="1:39" s="86" customFormat="1" ht="13.25" hidden="1" customHeight="1" x14ac:dyDescent="0.3">
      <c r="A5407" s="89" t="s">
        <v>3792</v>
      </c>
      <c r="B5407" s="86" t="s">
        <v>35</v>
      </c>
      <c r="C5407" s="86" t="s">
        <v>65</v>
      </c>
      <c r="D5407" s="86" t="s">
        <v>66</v>
      </c>
      <c r="E5407" s="86" t="s">
        <v>501</v>
      </c>
      <c r="F5407" s="86" t="s">
        <v>501</v>
      </c>
      <c r="G5407" s="86" t="s">
        <v>501</v>
      </c>
      <c r="H5407" s="144">
        <v>62</v>
      </c>
      <c r="I5407" s="86" t="s">
        <v>408</v>
      </c>
      <c r="J5407" s="1" t="s">
        <v>3324</v>
      </c>
      <c r="K5407" s="1" t="s">
        <v>3278</v>
      </c>
      <c r="L5407" s="1" t="s">
        <v>35</v>
      </c>
      <c r="M5407" s="86" t="s">
        <v>3809</v>
      </c>
      <c r="O5407" s="47" t="s">
        <v>410</v>
      </c>
      <c r="P5407" s="47" t="s">
        <v>41</v>
      </c>
      <c r="Q5407" s="14">
        <v>0</v>
      </c>
      <c r="R5407" s="143">
        <v>1000048434</v>
      </c>
      <c r="S5407" s="47"/>
      <c r="T5407" s="6">
        <v>89039.309999999969</v>
      </c>
      <c r="U5407" s="6">
        <v>300000</v>
      </c>
      <c r="V5407" s="6">
        <v>253572.29</v>
      </c>
      <c r="W5407" s="6">
        <f t="shared" si="846"/>
        <v>135467.01999999993</v>
      </c>
      <c r="X5407" s="6">
        <f t="shared" si="847"/>
        <v>253572.29</v>
      </c>
      <c r="Y5407" s="13">
        <f t="shared" si="851"/>
        <v>0</v>
      </c>
      <c r="Z5407" s="66">
        <v>0</v>
      </c>
      <c r="AA5407" s="6">
        <v>0</v>
      </c>
      <c r="AB5407" s="4">
        <f t="shared" si="852"/>
        <v>253572.29</v>
      </c>
      <c r="AC5407" s="6">
        <f t="shared" si="848"/>
        <v>0</v>
      </c>
      <c r="AD5407" s="6">
        <f t="shared" si="849"/>
        <v>253572.29</v>
      </c>
      <c r="AE5407" s="14">
        <f>VLOOKUP(I5407,[2]媒体政策预估表!A:N,MATCH(O5407,[2]媒体政策预估表!$A$2:$M$2,0),0)</f>
        <v>7.0000000000000007E-2</v>
      </c>
      <c r="AF5407" s="6">
        <f t="shared" si="841"/>
        <v>17750.060300000001</v>
      </c>
      <c r="AG5407" s="14">
        <v>0</v>
      </c>
      <c r="AH5407" s="64">
        <f t="shared" si="850"/>
        <v>253572.29</v>
      </c>
      <c r="AI5407" s="47"/>
      <c r="AJ5407" s="126" t="e">
        <v>#N/A</v>
      </c>
      <c r="AK5407" s="80">
        <f t="shared" si="853"/>
        <v>0</v>
      </c>
      <c r="AL5407" s="85"/>
      <c r="AM5407" s="85"/>
    </row>
    <row r="5408" spans="1:39" s="86" customFormat="1" ht="13.25" hidden="1" customHeight="1" x14ac:dyDescent="0.3">
      <c r="A5408" s="89" t="s">
        <v>3805</v>
      </c>
      <c r="B5408" s="86" t="s">
        <v>35</v>
      </c>
      <c r="C5408" s="86" t="s">
        <v>65</v>
      </c>
      <c r="D5408" s="86" t="s">
        <v>122</v>
      </c>
      <c r="E5408" s="86" t="s">
        <v>505</v>
      </c>
      <c r="F5408" s="86" t="s">
        <v>505</v>
      </c>
      <c r="G5408" s="86" t="s">
        <v>505</v>
      </c>
      <c r="H5408" s="144">
        <v>62</v>
      </c>
      <c r="I5408" s="86" t="s">
        <v>408</v>
      </c>
      <c r="J5408" s="1" t="s">
        <v>3324</v>
      </c>
      <c r="K5408" s="1" t="s">
        <v>3278</v>
      </c>
      <c r="L5408" s="1" t="s">
        <v>35</v>
      </c>
      <c r="M5408" s="86" t="s">
        <v>506</v>
      </c>
      <c r="O5408" s="47" t="s">
        <v>410</v>
      </c>
      <c r="P5408" s="47" t="s">
        <v>41</v>
      </c>
      <c r="Q5408" s="14">
        <v>0</v>
      </c>
      <c r="R5408" s="143">
        <v>1000098805</v>
      </c>
      <c r="S5408" s="47"/>
      <c r="T5408" s="6">
        <v>48928.3</v>
      </c>
      <c r="U5408" s="6">
        <v>100000</v>
      </c>
      <c r="V5408" s="6">
        <v>92081.14999999998</v>
      </c>
      <c r="W5408" s="6">
        <f t="shared" si="846"/>
        <v>56847.150000000009</v>
      </c>
      <c r="X5408" s="6">
        <f t="shared" si="847"/>
        <v>92081.14999999998</v>
      </c>
      <c r="Y5408" s="13">
        <f t="shared" si="851"/>
        <v>0</v>
      </c>
      <c r="Z5408" s="66">
        <v>0</v>
      </c>
      <c r="AA5408" s="6">
        <v>0</v>
      </c>
      <c r="AB5408" s="4">
        <f t="shared" si="852"/>
        <v>92081.14999999998</v>
      </c>
      <c r="AC5408" s="6">
        <f t="shared" si="848"/>
        <v>0</v>
      </c>
      <c r="AD5408" s="6">
        <f t="shared" si="849"/>
        <v>92081.14999999998</v>
      </c>
      <c r="AE5408" s="14">
        <f>VLOOKUP(I5408,[2]媒体政策预估表!A:N,MATCH(O5408,[2]媒体政策预估表!$A$2:$M$2,0),0)</f>
        <v>7.0000000000000007E-2</v>
      </c>
      <c r="AF5408" s="6">
        <f t="shared" si="841"/>
        <v>6445.6804999999995</v>
      </c>
      <c r="AG5408" s="14">
        <v>0</v>
      </c>
      <c r="AH5408" s="64">
        <f t="shared" si="850"/>
        <v>92081.14999999998</v>
      </c>
      <c r="AI5408" s="47"/>
      <c r="AJ5408" s="126" t="e">
        <v>#N/A</v>
      </c>
      <c r="AK5408" s="80">
        <f t="shared" si="853"/>
        <v>0</v>
      </c>
      <c r="AL5408" s="85"/>
      <c r="AM5408" s="85"/>
    </row>
    <row r="5409" spans="1:39" s="86" customFormat="1" ht="13.25" hidden="1" customHeight="1" x14ac:dyDescent="0.3">
      <c r="A5409" s="89" t="s">
        <v>3792</v>
      </c>
      <c r="B5409" s="86" t="s">
        <v>35</v>
      </c>
      <c r="C5409" s="86" t="s">
        <v>65</v>
      </c>
      <c r="D5409" s="86" t="s">
        <v>122</v>
      </c>
      <c r="E5409" s="86" t="s">
        <v>507</v>
      </c>
      <c r="F5409" s="86" t="s">
        <v>507</v>
      </c>
      <c r="G5409" s="86" t="s">
        <v>507</v>
      </c>
      <c r="H5409" s="144">
        <v>62</v>
      </c>
      <c r="I5409" s="86" t="s">
        <v>408</v>
      </c>
      <c r="J5409" s="1" t="s">
        <v>3324</v>
      </c>
      <c r="K5409" s="1" t="s">
        <v>3278</v>
      </c>
      <c r="L5409" s="1" t="s">
        <v>35</v>
      </c>
      <c r="M5409" s="86" t="s">
        <v>510</v>
      </c>
      <c r="O5409" s="47" t="s">
        <v>410</v>
      </c>
      <c r="P5409" s="47" t="s">
        <v>41</v>
      </c>
      <c r="Q5409" s="14">
        <v>0</v>
      </c>
      <c r="R5409" s="143">
        <v>1000043878</v>
      </c>
      <c r="S5409" s="47"/>
      <c r="T5409" s="6">
        <v>99510.010000000009</v>
      </c>
      <c r="U5409" s="6">
        <v>180000</v>
      </c>
      <c r="V5409" s="6">
        <v>231760.43</v>
      </c>
      <c r="W5409" s="6">
        <f t="shared" si="846"/>
        <v>47749.580000000016</v>
      </c>
      <c r="X5409" s="6">
        <f t="shared" si="847"/>
        <v>231760.43</v>
      </c>
      <c r="Y5409" s="13">
        <f t="shared" si="851"/>
        <v>0</v>
      </c>
      <c r="Z5409" s="66">
        <v>0</v>
      </c>
      <c r="AA5409" s="6">
        <v>0</v>
      </c>
      <c r="AB5409" s="4">
        <f t="shared" si="852"/>
        <v>231760.43</v>
      </c>
      <c r="AC5409" s="6">
        <f t="shared" si="848"/>
        <v>0</v>
      </c>
      <c r="AD5409" s="6">
        <f t="shared" si="849"/>
        <v>231760.43</v>
      </c>
      <c r="AE5409" s="14">
        <f>VLOOKUP(I5409,[2]媒体政策预估表!A:N,MATCH(O5409,[2]媒体政策预估表!$A$2:$M$2,0),0)</f>
        <v>7.0000000000000007E-2</v>
      </c>
      <c r="AF5409" s="6">
        <f t="shared" si="841"/>
        <v>16223.230100000001</v>
      </c>
      <c r="AG5409" s="14">
        <v>0</v>
      </c>
      <c r="AH5409" s="64">
        <f t="shared" si="850"/>
        <v>231760.43</v>
      </c>
      <c r="AI5409" s="47"/>
      <c r="AJ5409" s="126" t="e">
        <v>#N/A</v>
      </c>
      <c r="AK5409" s="80">
        <f t="shared" si="853"/>
        <v>0</v>
      </c>
      <c r="AL5409" s="85"/>
      <c r="AM5409" s="85"/>
    </row>
    <row r="5410" spans="1:39" s="86" customFormat="1" ht="13.25" hidden="1" customHeight="1" x14ac:dyDescent="0.3">
      <c r="A5410" s="89" t="s">
        <v>3796</v>
      </c>
      <c r="B5410" s="86" t="s">
        <v>35</v>
      </c>
      <c r="C5410" s="86" t="s">
        <v>65</v>
      </c>
      <c r="D5410" s="86" t="s">
        <v>122</v>
      </c>
      <c r="E5410" s="86" t="s">
        <v>3810</v>
      </c>
      <c r="F5410" s="86" t="s">
        <v>3810</v>
      </c>
      <c r="G5410" s="86" t="s">
        <v>3810</v>
      </c>
      <c r="H5410" s="144">
        <v>62</v>
      </c>
      <c r="I5410" s="86" t="s">
        <v>408</v>
      </c>
      <c r="J5410" s="1" t="s">
        <v>3324</v>
      </c>
      <c r="K5410" s="1" t="s">
        <v>3278</v>
      </c>
      <c r="L5410" s="1" t="s">
        <v>35</v>
      </c>
      <c r="M5410" s="86" t="s">
        <v>3811</v>
      </c>
      <c r="O5410" s="47" t="s">
        <v>410</v>
      </c>
      <c r="P5410" s="47" t="s">
        <v>46</v>
      </c>
      <c r="Q5410" s="14">
        <v>0.02</v>
      </c>
      <c r="R5410" s="143">
        <v>1000105106</v>
      </c>
      <c r="S5410" s="47"/>
      <c r="T5410" s="6">
        <v>0</v>
      </c>
      <c r="U5410" s="6">
        <v>5000</v>
      </c>
      <c r="V5410" s="6">
        <v>2010</v>
      </c>
      <c r="W5410" s="6">
        <f t="shared" si="846"/>
        <v>2990</v>
      </c>
      <c r="X5410" s="6">
        <f t="shared" si="847"/>
        <v>1970.5882352941176</v>
      </c>
      <c r="Y5410" s="13">
        <f t="shared" si="851"/>
        <v>0</v>
      </c>
      <c r="Z5410" s="66">
        <v>0</v>
      </c>
      <c r="AA5410" s="6">
        <v>0</v>
      </c>
      <c r="AB5410" s="4">
        <f t="shared" si="852"/>
        <v>1970.5882352941176</v>
      </c>
      <c r="AC5410" s="6">
        <f t="shared" si="848"/>
        <v>39.411764705882433</v>
      </c>
      <c r="AD5410" s="6">
        <f t="shared" si="849"/>
        <v>2010</v>
      </c>
      <c r="AE5410" s="14">
        <f>VLOOKUP(I5410,[2]媒体政策预估表!A:N,MATCH(O5410,[2]媒体政策预估表!$A$2:$M$2,0),0)</f>
        <v>7.0000000000000007E-2</v>
      </c>
      <c r="AF5410" s="6">
        <f t="shared" si="841"/>
        <v>140.70000000000002</v>
      </c>
      <c r="AG5410" s="14">
        <v>0</v>
      </c>
      <c r="AH5410" s="64">
        <f t="shared" si="850"/>
        <v>2010</v>
      </c>
      <c r="AI5410" s="47"/>
      <c r="AJ5410" s="126" t="e">
        <v>#N/A</v>
      </c>
      <c r="AK5410" s="80">
        <f t="shared" si="853"/>
        <v>0</v>
      </c>
      <c r="AL5410" s="85"/>
      <c r="AM5410" s="85"/>
    </row>
    <row r="5411" spans="1:39" s="86" customFormat="1" ht="13.25" hidden="1" customHeight="1" x14ac:dyDescent="0.3">
      <c r="A5411" s="89" t="s">
        <v>3792</v>
      </c>
      <c r="B5411" s="86" t="s">
        <v>35</v>
      </c>
      <c r="C5411" s="86" t="s">
        <v>65</v>
      </c>
      <c r="D5411" s="86" t="s">
        <v>122</v>
      </c>
      <c r="E5411" s="86" t="s">
        <v>3812</v>
      </c>
      <c r="F5411" s="86" t="s">
        <v>3812</v>
      </c>
      <c r="G5411" s="86" t="s">
        <v>3812</v>
      </c>
      <c r="H5411" s="144">
        <v>62</v>
      </c>
      <c r="I5411" s="86" t="s">
        <v>408</v>
      </c>
      <c r="J5411" s="1" t="s">
        <v>3324</v>
      </c>
      <c r="K5411" s="1" t="s">
        <v>3278</v>
      </c>
      <c r="L5411" s="1" t="s">
        <v>35</v>
      </c>
      <c r="M5411" s="86" t="s">
        <v>3813</v>
      </c>
      <c r="O5411" s="47" t="s">
        <v>410</v>
      </c>
      <c r="P5411" s="47" t="s">
        <v>46</v>
      </c>
      <c r="Q5411" s="14">
        <v>0.02</v>
      </c>
      <c r="R5411" s="143">
        <v>1000104630</v>
      </c>
      <c r="S5411" s="47"/>
      <c r="T5411" s="6">
        <v>0</v>
      </c>
      <c r="U5411" s="6">
        <v>10000</v>
      </c>
      <c r="V5411" s="6">
        <v>7453.54</v>
      </c>
      <c r="W5411" s="6">
        <f t="shared" si="846"/>
        <v>2546.46</v>
      </c>
      <c r="X5411" s="6">
        <f t="shared" si="847"/>
        <v>7307.3921568627447</v>
      </c>
      <c r="Y5411" s="13">
        <f t="shared" si="851"/>
        <v>0</v>
      </c>
      <c r="Z5411" s="66">
        <v>0</v>
      </c>
      <c r="AA5411" s="6">
        <v>0</v>
      </c>
      <c r="AB5411" s="4">
        <f t="shared" si="852"/>
        <v>7307.3921568627447</v>
      </c>
      <c r="AC5411" s="6">
        <f t="shared" si="848"/>
        <v>146.14784313725522</v>
      </c>
      <c r="AD5411" s="6">
        <f t="shared" si="849"/>
        <v>7453.54</v>
      </c>
      <c r="AE5411" s="14">
        <f>VLOOKUP(I5411,[2]媒体政策预估表!A:N,MATCH(O5411,[2]媒体政策预估表!$A$2:$M$2,0),0)</f>
        <v>7.0000000000000007E-2</v>
      </c>
      <c r="AF5411" s="6">
        <f t="shared" si="841"/>
        <v>521.7478000000001</v>
      </c>
      <c r="AG5411" s="14">
        <v>0</v>
      </c>
      <c r="AH5411" s="64">
        <f t="shared" si="850"/>
        <v>7453.54</v>
      </c>
      <c r="AI5411" s="47"/>
      <c r="AJ5411" s="126" t="e">
        <v>#N/A</v>
      </c>
      <c r="AK5411" s="80">
        <f t="shared" si="853"/>
        <v>0</v>
      </c>
      <c r="AL5411" s="85"/>
      <c r="AM5411" s="85"/>
    </row>
    <row r="5412" spans="1:39" s="86" customFormat="1" ht="13.25" hidden="1" customHeight="1" x14ac:dyDescent="0.3">
      <c r="A5412" s="89" t="s">
        <v>3794</v>
      </c>
      <c r="B5412" s="86" t="s">
        <v>35</v>
      </c>
      <c r="C5412" s="86" t="s">
        <v>65</v>
      </c>
      <c r="D5412" s="86" t="s">
        <v>125</v>
      </c>
      <c r="E5412" s="86" t="s">
        <v>876</v>
      </c>
      <c r="F5412" s="86" t="s">
        <v>876</v>
      </c>
      <c r="G5412" s="86" t="s">
        <v>876</v>
      </c>
      <c r="H5412" s="143">
        <v>62</v>
      </c>
      <c r="I5412" s="86" t="s">
        <v>408</v>
      </c>
      <c r="J5412" s="1" t="s">
        <v>3324</v>
      </c>
      <c r="K5412" s="1" t="s">
        <v>3278</v>
      </c>
      <c r="L5412" s="1" t="s">
        <v>35</v>
      </c>
      <c r="M5412" s="86" t="s">
        <v>877</v>
      </c>
      <c r="O5412" s="47" t="s">
        <v>410</v>
      </c>
      <c r="P5412" s="47" t="s">
        <v>41</v>
      </c>
      <c r="Q5412" s="14">
        <v>0</v>
      </c>
      <c r="R5412" s="143">
        <v>1000051898</v>
      </c>
      <c r="S5412" s="47"/>
      <c r="T5412" s="6">
        <v>499146.39</v>
      </c>
      <c r="U5412" s="6">
        <v>-499146.39</v>
      </c>
      <c r="V5412" s="6">
        <v>0</v>
      </c>
      <c r="W5412" s="6">
        <f t="shared" si="846"/>
        <v>0</v>
      </c>
      <c r="X5412" s="6">
        <f t="shared" si="847"/>
        <v>0</v>
      </c>
      <c r="Y5412" s="13">
        <f t="shared" si="851"/>
        <v>0</v>
      </c>
      <c r="Z5412" s="66">
        <v>0</v>
      </c>
      <c r="AA5412" s="6">
        <v>0</v>
      </c>
      <c r="AB5412" s="4">
        <f t="shared" si="852"/>
        <v>0</v>
      </c>
      <c r="AC5412" s="6">
        <f t="shared" si="848"/>
        <v>0</v>
      </c>
      <c r="AD5412" s="6">
        <f t="shared" si="849"/>
        <v>0</v>
      </c>
      <c r="AE5412" s="14">
        <f>VLOOKUP(I5412,[2]媒体政策预估表!A:N,MATCH(O5412,[2]媒体政策预估表!$A$2:$M$2,0),0)</f>
        <v>7.0000000000000007E-2</v>
      </c>
      <c r="AF5412" s="6">
        <f t="shared" ref="AF5412:AF5475" si="854">AD5412*AE5412</f>
        <v>0</v>
      </c>
      <c r="AG5412" s="14">
        <v>0</v>
      </c>
      <c r="AH5412" s="64">
        <f t="shared" si="850"/>
        <v>0</v>
      </c>
      <c r="AI5412" s="47"/>
      <c r="AJ5412" s="126" t="e">
        <v>#N/A</v>
      </c>
      <c r="AK5412" s="80">
        <f t="shared" si="853"/>
        <v>0</v>
      </c>
      <c r="AL5412" s="85"/>
      <c r="AM5412" s="85"/>
    </row>
    <row r="5413" spans="1:39" s="86" customFormat="1" ht="13.25" hidden="1" customHeight="1" x14ac:dyDescent="0.3">
      <c r="A5413" s="89" t="s">
        <v>3794</v>
      </c>
      <c r="B5413" s="86" t="s">
        <v>35</v>
      </c>
      <c r="C5413" s="86" t="s">
        <v>65</v>
      </c>
      <c r="D5413" s="86" t="s">
        <v>125</v>
      </c>
      <c r="E5413" s="86" t="s">
        <v>515</v>
      </c>
      <c r="F5413" s="86" t="s">
        <v>515</v>
      </c>
      <c r="G5413" s="86" t="s">
        <v>515</v>
      </c>
      <c r="H5413" s="144">
        <v>62</v>
      </c>
      <c r="I5413" s="86" t="s">
        <v>408</v>
      </c>
      <c r="J5413" s="1" t="s">
        <v>3324</v>
      </c>
      <c r="K5413" s="1" t="s">
        <v>3278</v>
      </c>
      <c r="L5413" s="1" t="s">
        <v>35</v>
      </c>
      <c r="M5413" s="86" t="s">
        <v>516</v>
      </c>
      <c r="O5413" s="47" t="s">
        <v>410</v>
      </c>
      <c r="P5413" s="47" t="s">
        <v>46</v>
      </c>
      <c r="Q5413" s="14">
        <v>0.01</v>
      </c>
      <c r="R5413" s="143">
        <v>1000055366</v>
      </c>
      <c r="S5413" s="47"/>
      <c r="T5413" s="6">
        <v>14995.419999999991</v>
      </c>
      <c r="U5413" s="6">
        <v>40000</v>
      </c>
      <c r="V5413" s="6">
        <v>31423.000000000007</v>
      </c>
      <c r="W5413" s="6">
        <f t="shared" si="846"/>
        <v>23572.419999999984</v>
      </c>
      <c r="X5413" s="6">
        <f t="shared" si="847"/>
        <v>31111.881188118819</v>
      </c>
      <c r="Y5413" s="13">
        <f t="shared" si="851"/>
        <v>0</v>
      </c>
      <c r="Z5413" s="66">
        <v>0</v>
      </c>
      <c r="AA5413" s="6">
        <v>0</v>
      </c>
      <c r="AB5413" s="4">
        <v>31111.881188118819</v>
      </c>
      <c r="AC5413" s="6">
        <f t="shared" si="848"/>
        <v>311.11881188118787</v>
      </c>
      <c r="AD5413" s="6">
        <f t="shared" si="849"/>
        <v>31423.000000000007</v>
      </c>
      <c r="AE5413" s="14">
        <f>VLOOKUP(I5413,[2]媒体政策预估表!A:N,MATCH(O5413,[2]媒体政策预估表!$A$2:$M$2,0),0)</f>
        <v>7.0000000000000007E-2</v>
      </c>
      <c r="AF5413" s="6">
        <f t="shared" si="854"/>
        <v>2199.6100000000006</v>
      </c>
      <c r="AG5413" s="14">
        <v>0</v>
      </c>
      <c r="AH5413" s="64">
        <f t="shared" si="850"/>
        <v>31423.000000000007</v>
      </c>
      <c r="AI5413" s="47"/>
      <c r="AJ5413" s="126" t="s">
        <v>4216</v>
      </c>
      <c r="AK5413" s="80">
        <f t="shared" si="853"/>
        <v>0</v>
      </c>
      <c r="AL5413" s="85"/>
      <c r="AM5413" s="85"/>
    </row>
    <row r="5414" spans="1:39" s="86" customFormat="1" ht="13.25" hidden="1" customHeight="1" x14ac:dyDescent="0.3">
      <c r="A5414" s="89" t="s">
        <v>3794</v>
      </c>
      <c r="B5414" s="86" t="s">
        <v>35</v>
      </c>
      <c r="C5414" s="86" t="s">
        <v>65</v>
      </c>
      <c r="D5414" s="86" t="s">
        <v>1291</v>
      </c>
      <c r="E5414" s="86" t="s">
        <v>3433</v>
      </c>
      <c r="F5414" s="86" t="s">
        <v>3433</v>
      </c>
      <c r="G5414" s="86" t="s">
        <v>3433</v>
      </c>
      <c r="H5414" s="144">
        <v>62</v>
      </c>
      <c r="I5414" s="86" t="s">
        <v>408</v>
      </c>
      <c r="J5414" s="1" t="s">
        <v>3324</v>
      </c>
      <c r="K5414" s="1" t="s">
        <v>3278</v>
      </c>
      <c r="L5414" s="1" t="s">
        <v>35</v>
      </c>
      <c r="M5414" s="86" t="s">
        <v>3451</v>
      </c>
      <c r="O5414" s="47" t="s">
        <v>410</v>
      </c>
      <c r="P5414" s="47" t="s">
        <v>46</v>
      </c>
      <c r="Q5414" s="14">
        <v>0.02</v>
      </c>
      <c r="R5414" s="143">
        <v>1000100980</v>
      </c>
      <c r="S5414" s="47"/>
      <c r="T5414" s="6">
        <v>16968.7</v>
      </c>
      <c r="U5414" s="6">
        <v>45000</v>
      </c>
      <c r="V5414" s="6">
        <v>44878.680000000008</v>
      </c>
      <c r="W5414" s="6">
        <f t="shared" si="846"/>
        <v>17090.01999999999</v>
      </c>
      <c r="X5414" s="6">
        <f t="shared" si="847"/>
        <v>43998.705882352951</v>
      </c>
      <c r="Y5414" s="13">
        <f t="shared" si="851"/>
        <v>0</v>
      </c>
      <c r="Z5414" s="66">
        <v>0</v>
      </c>
      <c r="AA5414" s="6">
        <v>0</v>
      </c>
      <c r="AB5414" s="4">
        <f t="shared" si="852"/>
        <v>43998.705882352951</v>
      </c>
      <c r="AC5414" s="6">
        <f t="shared" si="848"/>
        <v>879.97411764705612</v>
      </c>
      <c r="AD5414" s="6">
        <f t="shared" si="849"/>
        <v>44878.680000000008</v>
      </c>
      <c r="AE5414" s="14">
        <f>VLOOKUP(I5414,[2]媒体政策预估表!A:N,MATCH(O5414,[2]媒体政策预估表!$A$2:$M$2,0),0)</f>
        <v>7.0000000000000007E-2</v>
      </c>
      <c r="AF5414" s="6">
        <f t="shared" si="854"/>
        <v>3141.5076000000008</v>
      </c>
      <c r="AG5414" s="14">
        <v>0</v>
      </c>
      <c r="AH5414" s="64">
        <f t="shared" si="850"/>
        <v>44878.680000000008</v>
      </c>
      <c r="AI5414" s="47"/>
      <c r="AJ5414" s="126" t="e">
        <v>#N/A</v>
      </c>
      <c r="AK5414" s="80">
        <f t="shared" si="853"/>
        <v>0</v>
      </c>
      <c r="AL5414" s="85"/>
      <c r="AM5414" s="85"/>
    </row>
    <row r="5415" spans="1:39" s="86" customFormat="1" ht="13.25" hidden="1" customHeight="1" x14ac:dyDescent="0.3">
      <c r="A5415" s="89" t="s">
        <v>3794</v>
      </c>
      <c r="B5415" s="86" t="s">
        <v>35</v>
      </c>
      <c r="C5415" s="86" t="s">
        <v>65</v>
      </c>
      <c r="D5415" s="86" t="s">
        <v>1291</v>
      </c>
      <c r="E5415" s="86" t="s">
        <v>2792</v>
      </c>
      <c r="F5415" s="86" t="s">
        <v>3452</v>
      </c>
      <c r="G5415" s="86" t="s">
        <v>2792</v>
      </c>
      <c r="H5415" s="144">
        <v>62</v>
      </c>
      <c r="I5415" s="86" t="s">
        <v>408</v>
      </c>
      <c r="J5415" s="1" t="s">
        <v>3324</v>
      </c>
      <c r="K5415" s="1" t="s">
        <v>3278</v>
      </c>
      <c r="L5415" s="1" t="s">
        <v>35</v>
      </c>
      <c r="M5415" s="86" t="s">
        <v>3453</v>
      </c>
      <c r="O5415" s="47" t="s">
        <v>410</v>
      </c>
      <c r="P5415" s="47" t="s">
        <v>46</v>
      </c>
      <c r="Q5415" s="14">
        <v>0.04</v>
      </c>
      <c r="R5415" s="143">
        <v>1000092329</v>
      </c>
      <c r="S5415" s="47"/>
      <c r="T5415" s="6">
        <v>4997.5</v>
      </c>
      <c r="U5415" s="6">
        <v>70000</v>
      </c>
      <c r="V5415" s="6">
        <v>60221.5</v>
      </c>
      <c r="W5415" s="6">
        <f t="shared" si="846"/>
        <v>14776</v>
      </c>
      <c r="X5415" s="6">
        <f t="shared" si="847"/>
        <v>57905.288461538461</v>
      </c>
      <c r="Y5415" s="13">
        <f t="shared" si="851"/>
        <v>0</v>
      </c>
      <c r="Z5415" s="66">
        <v>0</v>
      </c>
      <c r="AA5415" s="6">
        <v>0</v>
      </c>
      <c r="AB5415" s="4">
        <f t="shared" si="852"/>
        <v>57905.288461538461</v>
      </c>
      <c r="AC5415" s="6">
        <f t="shared" si="848"/>
        <v>2316.211538461539</v>
      </c>
      <c r="AD5415" s="6">
        <f t="shared" si="849"/>
        <v>60221.5</v>
      </c>
      <c r="AE5415" s="14">
        <f>VLOOKUP(I5415,[2]媒体政策预估表!A:N,MATCH(O5415,[2]媒体政策预估表!$A$2:$M$2,0),0)</f>
        <v>7.0000000000000007E-2</v>
      </c>
      <c r="AF5415" s="6">
        <f t="shared" si="854"/>
        <v>4215.5050000000001</v>
      </c>
      <c r="AG5415" s="14">
        <v>0</v>
      </c>
      <c r="AH5415" s="64">
        <f t="shared" si="850"/>
        <v>60221.5</v>
      </c>
      <c r="AI5415" s="47"/>
      <c r="AJ5415" s="126" t="e">
        <v>#N/A</v>
      </c>
      <c r="AK5415" s="80">
        <f t="shared" si="853"/>
        <v>0</v>
      </c>
      <c r="AL5415" s="85"/>
      <c r="AM5415" s="85"/>
    </row>
    <row r="5416" spans="1:39" s="86" customFormat="1" ht="13.25" hidden="1" customHeight="1" x14ac:dyDescent="0.3">
      <c r="A5416" s="89" t="s">
        <v>3794</v>
      </c>
      <c r="B5416" s="86" t="s">
        <v>35</v>
      </c>
      <c r="C5416" s="86" t="s">
        <v>144</v>
      </c>
      <c r="D5416" s="86" t="s">
        <v>145</v>
      </c>
      <c r="E5416" s="86" t="s">
        <v>558</v>
      </c>
      <c r="F5416" s="86" t="s">
        <v>559</v>
      </c>
      <c r="G5416" s="86" t="s">
        <v>558</v>
      </c>
      <c r="H5416" s="144">
        <v>62</v>
      </c>
      <c r="I5416" s="86" t="s">
        <v>408</v>
      </c>
      <c r="J5416" s="1" t="s">
        <v>3324</v>
      </c>
      <c r="K5416" s="1" t="s">
        <v>3278</v>
      </c>
      <c r="L5416" s="1" t="s">
        <v>35</v>
      </c>
      <c r="M5416" s="86" t="s">
        <v>560</v>
      </c>
      <c r="O5416" s="47" t="s">
        <v>410</v>
      </c>
      <c r="P5416" s="47" t="s">
        <v>41</v>
      </c>
      <c r="Q5416" s="14">
        <v>0</v>
      </c>
      <c r="R5416" s="143">
        <v>1000053973</v>
      </c>
      <c r="S5416" s="47"/>
      <c r="T5416" s="6">
        <v>13053.919999999998</v>
      </c>
      <c r="U5416" s="6">
        <v>30000</v>
      </c>
      <c r="V5416" s="6">
        <v>21150.05</v>
      </c>
      <c r="W5416" s="6">
        <f t="shared" si="846"/>
        <v>21903.87</v>
      </c>
      <c r="X5416" s="6">
        <f t="shared" si="847"/>
        <v>21150.05</v>
      </c>
      <c r="Y5416" s="13">
        <f t="shared" si="851"/>
        <v>0</v>
      </c>
      <c r="Z5416" s="66">
        <v>0</v>
      </c>
      <c r="AA5416" s="6">
        <v>0</v>
      </c>
      <c r="AB5416" s="4">
        <f t="shared" si="852"/>
        <v>21150.05</v>
      </c>
      <c r="AC5416" s="6">
        <f t="shared" si="848"/>
        <v>0</v>
      </c>
      <c r="AD5416" s="6">
        <f t="shared" si="849"/>
        <v>21150.05</v>
      </c>
      <c r="AE5416" s="14">
        <f>VLOOKUP(I5416,[2]媒体政策预估表!A:N,MATCH(O5416,[2]媒体政策预估表!$A$2:$M$2,0),0)</f>
        <v>7.0000000000000007E-2</v>
      </c>
      <c r="AF5416" s="6">
        <f t="shared" si="854"/>
        <v>1480.5035</v>
      </c>
      <c r="AG5416" s="14">
        <v>0</v>
      </c>
      <c r="AH5416" s="64">
        <f t="shared" si="850"/>
        <v>21150.05</v>
      </c>
      <c r="AI5416" s="47"/>
      <c r="AJ5416" s="126" t="e">
        <v>#N/A</v>
      </c>
      <c r="AK5416" s="80">
        <f t="shared" si="853"/>
        <v>0</v>
      </c>
      <c r="AL5416" s="85"/>
      <c r="AM5416" s="85"/>
    </row>
    <row r="5417" spans="1:39" s="86" customFormat="1" ht="13.25" hidden="1" customHeight="1" x14ac:dyDescent="0.3">
      <c r="A5417" s="89" t="s">
        <v>3805</v>
      </c>
      <c r="B5417" s="86" t="s">
        <v>35</v>
      </c>
      <c r="C5417" s="86" t="s">
        <v>144</v>
      </c>
      <c r="D5417" s="86" t="s">
        <v>145</v>
      </c>
      <c r="E5417" s="86" t="s">
        <v>561</v>
      </c>
      <c r="F5417" s="86" t="s">
        <v>561</v>
      </c>
      <c r="G5417" s="86" t="s">
        <v>561</v>
      </c>
      <c r="H5417" s="144">
        <v>62</v>
      </c>
      <c r="I5417" s="86" t="s">
        <v>408</v>
      </c>
      <c r="J5417" s="1" t="s">
        <v>3324</v>
      </c>
      <c r="K5417" s="1" t="s">
        <v>3278</v>
      </c>
      <c r="L5417" s="1" t="s">
        <v>35</v>
      </c>
      <c r="M5417" s="86" t="s">
        <v>562</v>
      </c>
      <c r="O5417" s="47" t="s">
        <v>410</v>
      </c>
      <c r="P5417" s="47" t="s">
        <v>46</v>
      </c>
      <c r="Q5417" s="14">
        <v>0.02</v>
      </c>
      <c r="R5417" s="143">
        <v>1000100251</v>
      </c>
      <c r="S5417" s="47"/>
      <c r="T5417" s="6">
        <v>4248.5</v>
      </c>
      <c r="U5417" s="6">
        <v>20000</v>
      </c>
      <c r="V5417" s="6">
        <v>13427</v>
      </c>
      <c r="W5417" s="6">
        <f t="shared" si="846"/>
        <v>10821.5</v>
      </c>
      <c r="X5417" s="6">
        <f t="shared" si="847"/>
        <v>13163.725490196079</v>
      </c>
      <c r="Y5417" s="13">
        <f t="shared" si="851"/>
        <v>0</v>
      </c>
      <c r="Z5417" s="66">
        <v>0</v>
      </c>
      <c r="AA5417" s="6">
        <v>0</v>
      </c>
      <c r="AB5417" s="4">
        <f t="shared" si="852"/>
        <v>13163.725490196079</v>
      </c>
      <c r="AC5417" s="6">
        <f t="shared" si="848"/>
        <v>263.27450980392132</v>
      </c>
      <c r="AD5417" s="6">
        <f t="shared" si="849"/>
        <v>13427</v>
      </c>
      <c r="AE5417" s="14">
        <f>VLOOKUP(I5417,[2]媒体政策预估表!A:N,MATCH(O5417,[2]媒体政策预估表!$A$2:$M$2,0),0)</f>
        <v>7.0000000000000007E-2</v>
      </c>
      <c r="AF5417" s="6">
        <f t="shared" si="854"/>
        <v>939.8900000000001</v>
      </c>
      <c r="AG5417" s="14">
        <v>0</v>
      </c>
      <c r="AH5417" s="64">
        <f t="shared" si="850"/>
        <v>13427</v>
      </c>
      <c r="AI5417" s="47"/>
      <c r="AJ5417" s="126" t="e">
        <v>#N/A</v>
      </c>
      <c r="AK5417" s="80">
        <f t="shared" si="853"/>
        <v>0</v>
      </c>
      <c r="AL5417" s="85"/>
      <c r="AM5417" s="85"/>
    </row>
    <row r="5418" spans="1:39" s="86" customFormat="1" ht="13.25" hidden="1" customHeight="1" x14ac:dyDescent="0.3">
      <c r="A5418" s="89" t="s">
        <v>3805</v>
      </c>
      <c r="B5418" s="86" t="s">
        <v>35</v>
      </c>
      <c r="C5418" s="86" t="s">
        <v>144</v>
      </c>
      <c r="D5418" s="86" t="s">
        <v>145</v>
      </c>
      <c r="E5418" s="86" t="s">
        <v>593</v>
      </c>
      <c r="F5418" s="86" t="s">
        <v>594</v>
      </c>
      <c r="G5418" s="86" t="s">
        <v>593</v>
      </c>
      <c r="H5418" s="144">
        <v>62</v>
      </c>
      <c r="I5418" s="86" t="s">
        <v>408</v>
      </c>
      <c r="J5418" s="1" t="s">
        <v>3324</v>
      </c>
      <c r="K5418" s="1" t="s">
        <v>3278</v>
      </c>
      <c r="L5418" s="1" t="s">
        <v>35</v>
      </c>
      <c r="M5418" s="86" t="s">
        <v>595</v>
      </c>
      <c r="O5418" s="47" t="s">
        <v>410</v>
      </c>
      <c r="P5418" s="47" t="s">
        <v>46</v>
      </c>
      <c r="Q5418" s="14">
        <v>0.02</v>
      </c>
      <c r="R5418" s="143">
        <v>1000098769</v>
      </c>
      <c r="S5418" s="47"/>
      <c r="T5418" s="6">
        <v>280025.90999999997</v>
      </c>
      <c r="U5418" s="6">
        <v>300000</v>
      </c>
      <c r="V5418" s="6">
        <v>413283.43999999994</v>
      </c>
      <c r="W5418" s="6">
        <f t="shared" si="846"/>
        <v>166742.46999999997</v>
      </c>
      <c r="X5418" s="6">
        <f t="shared" si="847"/>
        <v>405179.84313725482</v>
      </c>
      <c r="Y5418" s="13">
        <f t="shared" si="851"/>
        <v>0</v>
      </c>
      <c r="Z5418" s="66">
        <v>0</v>
      </c>
      <c r="AA5418" s="6">
        <v>0</v>
      </c>
      <c r="AB5418" s="4">
        <f t="shared" si="852"/>
        <v>405179.84313725482</v>
      </c>
      <c r="AC5418" s="6">
        <f t="shared" si="848"/>
        <v>8103.5968627451221</v>
      </c>
      <c r="AD5418" s="6">
        <f t="shared" si="849"/>
        <v>413283.43999999994</v>
      </c>
      <c r="AE5418" s="14">
        <f>VLOOKUP(I5418,[2]媒体政策预估表!A:N,MATCH(O5418,[2]媒体政策预估表!$A$2:$M$2,0),0)</f>
        <v>7.0000000000000007E-2</v>
      </c>
      <c r="AF5418" s="6">
        <f t="shared" si="854"/>
        <v>28929.840799999998</v>
      </c>
      <c r="AG5418" s="14">
        <v>0</v>
      </c>
      <c r="AH5418" s="64">
        <f t="shared" si="850"/>
        <v>413283.43999999994</v>
      </c>
      <c r="AI5418" s="47"/>
      <c r="AJ5418" s="126" t="e">
        <v>#N/A</v>
      </c>
      <c r="AK5418" s="80">
        <f t="shared" si="853"/>
        <v>0</v>
      </c>
      <c r="AL5418" s="85"/>
      <c r="AM5418" s="85"/>
    </row>
    <row r="5419" spans="1:39" s="86" customFormat="1" ht="13.25" hidden="1" customHeight="1" x14ac:dyDescent="0.3">
      <c r="A5419" s="89" t="s">
        <v>3794</v>
      </c>
      <c r="B5419" s="86" t="s">
        <v>35</v>
      </c>
      <c r="C5419" s="86" t="s">
        <v>144</v>
      </c>
      <c r="D5419" s="86" t="s">
        <v>145</v>
      </c>
      <c r="E5419" s="86" t="s">
        <v>565</v>
      </c>
      <c r="F5419" s="86" t="s">
        <v>566</v>
      </c>
      <c r="G5419" s="86" t="s">
        <v>565</v>
      </c>
      <c r="H5419" s="144">
        <v>62</v>
      </c>
      <c r="I5419" s="86" t="s">
        <v>408</v>
      </c>
      <c r="J5419" s="1" t="s">
        <v>3324</v>
      </c>
      <c r="K5419" s="1" t="s">
        <v>3278</v>
      </c>
      <c r="L5419" s="1" t="s">
        <v>35</v>
      </c>
      <c r="M5419" s="86" t="s">
        <v>567</v>
      </c>
      <c r="O5419" s="47" t="s">
        <v>410</v>
      </c>
      <c r="P5419" s="47" t="s">
        <v>41</v>
      </c>
      <c r="Q5419" s="14">
        <v>0</v>
      </c>
      <c r="R5419" s="143">
        <v>1000098895</v>
      </c>
      <c r="S5419" s="47"/>
      <c r="T5419" s="6">
        <v>4240.2599999999948</v>
      </c>
      <c r="U5419" s="6">
        <v>60000</v>
      </c>
      <c r="V5419" s="6">
        <v>58529.979999999996</v>
      </c>
      <c r="W5419" s="6">
        <f t="shared" si="846"/>
        <v>5710.2799999999988</v>
      </c>
      <c r="X5419" s="6">
        <f t="shared" si="847"/>
        <v>58529.979999999996</v>
      </c>
      <c r="Y5419" s="13">
        <f t="shared" si="851"/>
        <v>0</v>
      </c>
      <c r="Z5419" s="66">
        <v>0</v>
      </c>
      <c r="AA5419" s="6">
        <v>0</v>
      </c>
      <c r="AB5419" s="4">
        <f t="shared" si="852"/>
        <v>58529.979999999996</v>
      </c>
      <c r="AC5419" s="6">
        <f t="shared" si="848"/>
        <v>0</v>
      </c>
      <c r="AD5419" s="6">
        <f t="shared" si="849"/>
        <v>58529.979999999996</v>
      </c>
      <c r="AE5419" s="14">
        <f>VLOOKUP(I5419,[2]媒体政策预估表!A:N,MATCH(O5419,[2]媒体政策预估表!$A$2:$M$2,0),0)</f>
        <v>7.0000000000000007E-2</v>
      </c>
      <c r="AF5419" s="6">
        <f t="shared" si="854"/>
        <v>4097.0986000000003</v>
      </c>
      <c r="AG5419" s="14">
        <v>0</v>
      </c>
      <c r="AH5419" s="64">
        <f t="shared" si="850"/>
        <v>58529.979999999996</v>
      </c>
      <c r="AI5419" s="47"/>
      <c r="AJ5419" s="126" t="e">
        <v>#N/A</v>
      </c>
      <c r="AK5419" s="80">
        <f t="shared" si="853"/>
        <v>0</v>
      </c>
      <c r="AL5419" s="85"/>
      <c r="AM5419" s="85"/>
    </row>
    <row r="5420" spans="1:39" s="86" customFormat="1" ht="13.25" hidden="1" customHeight="1" x14ac:dyDescent="0.3">
      <c r="A5420" s="89" t="s">
        <v>3794</v>
      </c>
      <c r="B5420" s="86" t="s">
        <v>35</v>
      </c>
      <c r="C5420" s="86" t="s">
        <v>144</v>
      </c>
      <c r="D5420" s="86" t="s">
        <v>145</v>
      </c>
      <c r="E5420" s="86" t="s">
        <v>568</v>
      </c>
      <c r="F5420" s="86" t="s">
        <v>568</v>
      </c>
      <c r="G5420" s="86" t="s">
        <v>568</v>
      </c>
      <c r="H5420" s="144">
        <v>62</v>
      </c>
      <c r="I5420" s="86" t="s">
        <v>408</v>
      </c>
      <c r="J5420" s="1" t="s">
        <v>3324</v>
      </c>
      <c r="K5420" s="1" t="s">
        <v>3278</v>
      </c>
      <c r="L5420" s="1" t="s">
        <v>35</v>
      </c>
      <c r="M5420" s="86" t="s">
        <v>569</v>
      </c>
      <c r="O5420" s="47" t="s">
        <v>410</v>
      </c>
      <c r="P5420" s="47" t="s">
        <v>41</v>
      </c>
      <c r="Q5420" s="14">
        <v>0</v>
      </c>
      <c r="R5420" s="143">
        <v>1000044682</v>
      </c>
      <c r="S5420" s="47"/>
      <c r="T5420" s="6">
        <v>8061.5099999999984</v>
      </c>
      <c r="U5420" s="6">
        <v>20000</v>
      </c>
      <c r="V5420" s="6">
        <v>22069.07</v>
      </c>
      <c r="W5420" s="6">
        <f t="shared" si="846"/>
        <v>5992.4399999999987</v>
      </c>
      <c r="X5420" s="6">
        <f t="shared" si="847"/>
        <v>22069.07</v>
      </c>
      <c r="Y5420" s="13">
        <f t="shared" si="851"/>
        <v>0</v>
      </c>
      <c r="Z5420" s="66">
        <v>0</v>
      </c>
      <c r="AA5420" s="6">
        <v>0</v>
      </c>
      <c r="AB5420" s="4">
        <f t="shared" si="852"/>
        <v>22069.07</v>
      </c>
      <c r="AC5420" s="6">
        <f t="shared" si="848"/>
        <v>0</v>
      </c>
      <c r="AD5420" s="6">
        <f t="shared" si="849"/>
        <v>22069.07</v>
      </c>
      <c r="AE5420" s="14">
        <f>VLOOKUP(I5420,[2]媒体政策预估表!A:N,MATCH(O5420,[2]媒体政策预估表!$A$2:$M$2,0),0)</f>
        <v>7.0000000000000007E-2</v>
      </c>
      <c r="AF5420" s="6">
        <f t="shared" si="854"/>
        <v>1544.8349000000001</v>
      </c>
      <c r="AG5420" s="14">
        <v>0</v>
      </c>
      <c r="AH5420" s="64">
        <f t="shared" si="850"/>
        <v>22069.07</v>
      </c>
      <c r="AI5420" s="47"/>
      <c r="AJ5420" s="126" t="e">
        <v>#N/A</v>
      </c>
      <c r="AK5420" s="80">
        <f t="shared" si="853"/>
        <v>0</v>
      </c>
      <c r="AL5420" s="85"/>
      <c r="AM5420" s="85"/>
    </row>
    <row r="5421" spans="1:39" s="86" customFormat="1" ht="13.25" hidden="1" customHeight="1" x14ac:dyDescent="0.3">
      <c r="A5421" s="89" t="s">
        <v>3792</v>
      </c>
      <c r="B5421" s="86" t="s">
        <v>35</v>
      </c>
      <c r="C5421" s="86" t="s">
        <v>144</v>
      </c>
      <c r="D5421" s="86" t="s">
        <v>145</v>
      </c>
      <c r="E5421" s="86" t="s">
        <v>574</v>
      </c>
      <c r="F5421" s="86" t="s">
        <v>574</v>
      </c>
      <c r="G5421" s="86" t="s">
        <v>574</v>
      </c>
      <c r="H5421" s="144">
        <v>62</v>
      </c>
      <c r="I5421" s="86" t="s">
        <v>408</v>
      </c>
      <c r="J5421" s="1" t="s">
        <v>3324</v>
      </c>
      <c r="K5421" s="1" t="s">
        <v>3278</v>
      </c>
      <c r="L5421" s="1" t="s">
        <v>35</v>
      </c>
      <c r="M5421" s="86" t="s">
        <v>575</v>
      </c>
      <c r="O5421" s="47" t="s">
        <v>410</v>
      </c>
      <c r="P5421" s="47" t="s">
        <v>46</v>
      </c>
      <c r="Q5421" s="14">
        <v>0.02</v>
      </c>
      <c r="R5421" s="143">
        <v>1000098771</v>
      </c>
      <c r="S5421" s="47"/>
      <c r="T5421" s="6">
        <v>86695.319999999949</v>
      </c>
      <c r="U5421" s="6">
        <v>700000</v>
      </c>
      <c r="V5421" s="6">
        <v>569526.34000000008</v>
      </c>
      <c r="W5421" s="6">
        <f t="shared" si="846"/>
        <v>217168.97999999986</v>
      </c>
      <c r="X5421" s="6">
        <f t="shared" si="847"/>
        <v>558359.15686274518</v>
      </c>
      <c r="Y5421" s="13">
        <f t="shared" si="851"/>
        <v>0</v>
      </c>
      <c r="Z5421" s="66">
        <v>0</v>
      </c>
      <c r="AA5421" s="6">
        <v>0</v>
      </c>
      <c r="AB5421" s="4">
        <f t="shared" si="852"/>
        <v>558359.15686274518</v>
      </c>
      <c r="AC5421" s="6">
        <f t="shared" si="848"/>
        <v>11167.183137254906</v>
      </c>
      <c r="AD5421" s="6">
        <f t="shared" si="849"/>
        <v>569526.34000000008</v>
      </c>
      <c r="AE5421" s="14">
        <f>VLOOKUP(I5421,[2]媒体政策预估表!A:N,MATCH(O5421,[2]媒体政策预估表!$A$2:$M$2,0),0)</f>
        <v>7.0000000000000007E-2</v>
      </c>
      <c r="AF5421" s="6">
        <f t="shared" si="854"/>
        <v>39866.84380000001</v>
      </c>
      <c r="AG5421" s="14">
        <v>0</v>
      </c>
      <c r="AH5421" s="64">
        <f t="shared" si="850"/>
        <v>569526.34000000008</v>
      </c>
      <c r="AI5421" s="47"/>
      <c r="AJ5421" s="126" t="e">
        <v>#N/A</v>
      </c>
      <c r="AK5421" s="80">
        <f t="shared" si="853"/>
        <v>0</v>
      </c>
      <c r="AL5421" s="85"/>
      <c r="AM5421" s="85"/>
    </row>
    <row r="5422" spans="1:39" s="86" customFormat="1" ht="13.25" hidden="1" customHeight="1" x14ac:dyDescent="0.3">
      <c r="A5422" s="89" t="s">
        <v>3794</v>
      </c>
      <c r="B5422" s="86" t="s">
        <v>35</v>
      </c>
      <c r="C5422" s="86" t="s">
        <v>144</v>
      </c>
      <c r="D5422" s="86" t="s">
        <v>145</v>
      </c>
      <c r="E5422" s="86" t="s">
        <v>576</v>
      </c>
      <c r="F5422" s="86" t="s">
        <v>577</v>
      </c>
      <c r="G5422" s="86" t="s">
        <v>577</v>
      </c>
      <c r="H5422" s="144">
        <v>62</v>
      </c>
      <c r="I5422" s="86" t="s">
        <v>408</v>
      </c>
      <c r="J5422" s="1" t="s">
        <v>3324</v>
      </c>
      <c r="K5422" s="1" t="s">
        <v>3278</v>
      </c>
      <c r="L5422" s="1" t="s">
        <v>35</v>
      </c>
      <c r="M5422" s="86" t="s">
        <v>578</v>
      </c>
      <c r="O5422" s="47" t="s">
        <v>410</v>
      </c>
      <c r="P5422" s="47" t="s">
        <v>41</v>
      </c>
      <c r="Q5422" s="14">
        <v>0</v>
      </c>
      <c r="R5422" s="143">
        <v>1000099148</v>
      </c>
      <c r="S5422" s="47"/>
      <c r="T5422" s="6">
        <v>4886.8899999999885</v>
      </c>
      <c r="U5422" s="6">
        <v>20000</v>
      </c>
      <c r="V5422" s="6">
        <v>16519.540000000005</v>
      </c>
      <c r="W5422" s="6">
        <f t="shared" si="846"/>
        <v>8367.349999999984</v>
      </c>
      <c r="X5422" s="6">
        <f t="shared" si="847"/>
        <v>16519.540000000005</v>
      </c>
      <c r="Y5422" s="13">
        <f t="shared" si="851"/>
        <v>0</v>
      </c>
      <c r="Z5422" s="66">
        <v>0</v>
      </c>
      <c r="AA5422" s="6">
        <v>0</v>
      </c>
      <c r="AB5422" s="4">
        <f t="shared" si="852"/>
        <v>16519.540000000005</v>
      </c>
      <c r="AC5422" s="6">
        <f t="shared" si="848"/>
        <v>0</v>
      </c>
      <c r="AD5422" s="6">
        <f t="shared" si="849"/>
        <v>16519.540000000005</v>
      </c>
      <c r="AE5422" s="14">
        <f>VLOOKUP(I5422,[2]媒体政策预估表!A:N,MATCH(O5422,[2]媒体政策预估表!$A$2:$M$2,0),0)</f>
        <v>7.0000000000000007E-2</v>
      </c>
      <c r="AF5422" s="6">
        <f t="shared" si="854"/>
        <v>1156.3678000000004</v>
      </c>
      <c r="AG5422" s="14">
        <v>0</v>
      </c>
      <c r="AH5422" s="64">
        <f t="shared" si="850"/>
        <v>16519.540000000005</v>
      </c>
      <c r="AI5422" s="47"/>
      <c r="AJ5422" s="126" t="e">
        <v>#N/A</v>
      </c>
      <c r="AK5422" s="80">
        <f t="shared" si="853"/>
        <v>0</v>
      </c>
      <c r="AL5422" s="85"/>
      <c r="AM5422" s="85"/>
    </row>
    <row r="5423" spans="1:39" s="86" customFormat="1" ht="13.25" hidden="1" customHeight="1" x14ac:dyDescent="0.3">
      <c r="A5423" s="89" t="s">
        <v>3796</v>
      </c>
      <c r="B5423" s="86" t="s">
        <v>35</v>
      </c>
      <c r="C5423" s="86" t="s">
        <v>144</v>
      </c>
      <c r="D5423" s="86" t="s">
        <v>145</v>
      </c>
      <c r="E5423" s="86" t="s">
        <v>579</v>
      </c>
      <c r="F5423" s="86" t="s">
        <v>579</v>
      </c>
      <c r="G5423" s="86" t="s">
        <v>579</v>
      </c>
      <c r="H5423" s="144">
        <v>62</v>
      </c>
      <c r="I5423" s="86" t="s">
        <v>408</v>
      </c>
      <c r="J5423" s="1" t="s">
        <v>3324</v>
      </c>
      <c r="K5423" s="1" t="s">
        <v>3278</v>
      </c>
      <c r="L5423" s="1" t="s">
        <v>35</v>
      </c>
      <c r="M5423" s="86" t="s">
        <v>580</v>
      </c>
      <c r="O5423" s="47" t="s">
        <v>410</v>
      </c>
      <c r="P5423" s="47" t="s">
        <v>41</v>
      </c>
      <c r="Q5423" s="14">
        <v>0</v>
      </c>
      <c r="R5423" s="143">
        <v>1000098345</v>
      </c>
      <c r="S5423" s="47"/>
      <c r="T5423" s="6">
        <v>17927.300000000003</v>
      </c>
      <c r="U5423" s="6">
        <v>20000</v>
      </c>
      <c r="V5423" s="6">
        <v>25612.5</v>
      </c>
      <c r="W5423" s="6">
        <f t="shared" si="846"/>
        <v>12314.800000000003</v>
      </c>
      <c r="X5423" s="6">
        <f t="shared" si="847"/>
        <v>25612.5</v>
      </c>
      <c r="Y5423" s="13">
        <f t="shared" si="851"/>
        <v>0</v>
      </c>
      <c r="Z5423" s="66">
        <v>0</v>
      </c>
      <c r="AA5423" s="6">
        <v>0</v>
      </c>
      <c r="AB5423" s="4">
        <f t="shared" si="852"/>
        <v>25612.5</v>
      </c>
      <c r="AC5423" s="6">
        <f t="shared" si="848"/>
        <v>0</v>
      </c>
      <c r="AD5423" s="6">
        <f t="shared" si="849"/>
        <v>25612.5</v>
      </c>
      <c r="AE5423" s="14">
        <f>VLOOKUP(I5423,[2]媒体政策预估表!A:N,MATCH(O5423,[2]媒体政策预估表!$A$2:$M$2,0),0)</f>
        <v>7.0000000000000007E-2</v>
      </c>
      <c r="AF5423" s="6">
        <f t="shared" si="854"/>
        <v>1792.8750000000002</v>
      </c>
      <c r="AG5423" s="14">
        <v>0</v>
      </c>
      <c r="AH5423" s="64">
        <f t="shared" si="850"/>
        <v>25612.5</v>
      </c>
      <c r="AI5423" s="47"/>
      <c r="AJ5423" s="126" t="e">
        <v>#N/A</v>
      </c>
      <c r="AK5423" s="80">
        <f t="shared" si="853"/>
        <v>0</v>
      </c>
      <c r="AL5423" s="85"/>
      <c r="AM5423" s="85"/>
    </row>
    <row r="5424" spans="1:39" s="86" customFormat="1" ht="13.25" hidden="1" customHeight="1" x14ac:dyDescent="0.3">
      <c r="A5424" s="89" t="s">
        <v>3805</v>
      </c>
      <c r="B5424" s="86" t="s">
        <v>35</v>
      </c>
      <c r="C5424" s="86" t="s">
        <v>144</v>
      </c>
      <c r="D5424" s="86" t="s">
        <v>145</v>
      </c>
      <c r="E5424" s="86" t="s">
        <v>1421</v>
      </c>
      <c r="F5424" s="86" t="s">
        <v>3814</v>
      </c>
      <c r="G5424" s="86" t="s">
        <v>1421</v>
      </c>
      <c r="H5424" s="144">
        <v>62</v>
      </c>
      <c r="I5424" s="86" t="s">
        <v>408</v>
      </c>
      <c r="J5424" s="1" t="s">
        <v>3324</v>
      </c>
      <c r="K5424" s="1" t="s">
        <v>3278</v>
      </c>
      <c r="L5424" s="1" t="s">
        <v>35</v>
      </c>
      <c r="M5424" s="86" t="s">
        <v>3815</v>
      </c>
      <c r="O5424" s="47" t="s">
        <v>410</v>
      </c>
      <c r="P5424" s="47" t="s">
        <v>41</v>
      </c>
      <c r="Q5424" s="14">
        <v>0</v>
      </c>
      <c r="R5424" s="143">
        <v>1000105632</v>
      </c>
      <c r="S5424" s="47"/>
      <c r="T5424" s="6">
        <v>0</v>
      </c>
      <c r="U5424" s="6">
        <v>10000</v>
      </c>
      <c r="V5424" s="6">
        <v>1876.4</v>
      </c>
      <c r="W5424" s="6">
        <f t="shared" si="846"/>
        <v>8123.6</v>
      </c>
      <c r="X5424" s="6">
        <f t="shared" si="847"/>
        <v>1876.4</v>
      </c>
      <c r="Y5424" s="13">
        <f t="shared" si="851"/>
        <v>0</v>
      </c>
      <c r="Z5424" s="66">
        <v>0</v>
      </c>
      <c r="AA5424" s="6">
        <v>0</v>
      </c>
      <c r="AB5424" s="4">
        <f t="shared" si="852"/>
        <v>1876.4</v>
      </c>
      <c r="AC5424" s="6">
        <f t="shared" si="848"/>
        <v>0</v>
      </c>
      <c r="AD5424" s="6">
        <f t="shared" si="849"/>
        <v>1876.4</v>
      </c>
      <c r="AE5424" s="14">
        <f>VLOOKUP(I5424,[2]媒体政策预估表!A:N,MATCH(O5424,[2]媒体政策预估表!$A$2:$M$2,0),0)</f>
        <v>7.0000000000000007E-2</v>
      </c>
      <c r="AF5424" s="6">
        <f t="shared" si="854"/>
        <v>131.34800000000001</v>
      </c>
      <c r="AG5424" s="14">
        <v>0</v>
      </c>
      <c r="AH5424" s="64">
        <f t="shared" si="850"/>
        <v>1876.4</v>
      </c>
      <c r="AI5424" s="47"/>
      <c r="AJ5424" s="126" t="e">
        <v>#N/A</v>
      </c>
      <c r="AK5424" s="80">
        <f t="shared" si="853"/>
        <v>0</v>
      </c>
      <c r="AL5424" s="85"/>
      <c r="AM5424" s="85"/>
    </row>
    <row r="5425" spans="1:39" s="86" customFormat="1" ht="13.25" hidden="1" customHeight="1" x14ac:dyDescent="0.3">
      <c r="A5425" s="89" t="s">
        <v>3806</v>
      </c>
      <c r="B5425" s="86" t="s">
        <v>35</v>
      </c>
      <c r="C5425" s="86" t="s">
        <v>144</v>
      </c>
      <c r="D5425" s="86" t="s">
        <v>145</v>
      </c>
      <c r="E5425" s="86" t="s">
        <v>585</v>
      </c>
      <c r="F5425" s="86" t="s">
        <v>586</v>
      </c>
      <c r="G5425" s="86" t="s">
        <v>585</v>
      </c>
      <c r="H5425" s="144">
        <v>62</v>
      </c>
      <c r="I5425" s="86" t="s">
        <v>408</v>
      </c>
      <c r="J5425" s="1" t="s">
        <v>3324</v>
      </c>
      <c r="K5425" s="1" t="s">
        <v>3278</v>
      </c>
      <c r="L5425" s="1" t="s">
        <v>35</v>
      </c>
      <c r="M5425" s="86" t="s">
        <v>587</v>
      </c>
      <c r="O5425" s="47" t="s">
        <v>410</v>
      </c>
      <c r="P5425" s="47" t="s">
        <v>46</v>
      </c>
      <c r="Q5425" s="14">
        <v>0.02</v>
      </c>
      <c r="R5425" s="143">
        <v>1000098004</v>
      </c>
      <c r="S5425" s="47"/>
      <c r="T5425" s="6">
        <v>12213.649999999994</v>
      </c>
      <c r="U5425" s="6">
        <v>110000</v>
      </c>
      <c r="V5425" s="6">
        <v>84556.150000000009</v>
      </c>
      <c r="W5425" s="6">
        <f t="shared" si="846"/>
        <v>37657.499999999985</v>
      </c>
      <c r="X5425" s="6">
        <f t="shared" si="847"/>
        <v>82898.186274509804</v>
      </c>
      <c r="Y5425" s="13">
        <f t="shared" si="851"/>
        <v>0</v>
      </c>
      <c r="Z5425" s="66">
        <v>0</v>
      </c>
      <c r="AA5425" s="6">
        <v>0</v>
      </c>
      <c r="AB5425" s="4">
        <f t="shared" si="852"/>
        <v>82898.186274509804</v>
      </c>
      <c r="AC5425" s="6">
        <f t="shared" si="848"/>
        <v>1657.9637254902045</v>
      </c>
      <c r="AD5425" s="6">
        <f t="shared" si="849"/>
        <v>84556.150000000009</v>
      </c>
      <c r="AE5425" s="14">
        <f>VLOOKUP(I5425,[2]媒体政策预估表!A:N,MATCH(O5425,[2]媒体政策预估表!$A$2:$M$2,0),0)</f>
        <v>7.0000000000000007E-2</v>
      </c>
      <c r="AF5425" s="6">
        <f t="shared" si="854"/>
        <v>5918.9305000000013</v>
      </c>
      <c r="AG5425" s="14">
        <v>0</v>
      </c>
      <c r="AH5425" s="64">
        <f t="shared" si="850"/>
        <v>84556.150000000009</v>
      </c>
      <c r="AI5425" s="47"/>
      <c r="AJ5425" s="126" t="e">
        <v>#N/A</v>
      </c>
      <c r="AK5425" s="80">
        <f t="shared" si="853"/>
        <v>0</v>
      </c>
      <c r="AL5425" s="85"/>
      <c r="AM5425" s="85"/>
    </row>
    <row r="5426" spans="1:39" s="86" customFormat="1" ht="13.25" hidden="1" customHeight="1" x14ac:dyDescent="0.3">
      <c r="A5426" s="89" t="s">
        <v>3806</v>
      </c>
      <c r="B5426" s="86" t="s">
        <v>35</v>
      </c>
      <c r="C5426" s="86" t="s">
        <v>144</v>
      </c>
      <c r="D5426" s="86" t="s">
        <v>145</v>
      </c>
      <c r="E5426" s="86" t="s">
        <v>590</v>
      </c>
      <c r="F5426" s="86" t="s">
        <v>591</v>
      </c>
      <c r="G5426" s="86" t="s">
        <v>590</v>
      </c>
      <c r="H5426" s="144">
        <v>62</v>
      </c>
      <c r="I5426" s="86" t="s">
        <v>408</v>
      </c>
      <c r="J5426" s="1" t="s">
        <v>3324</v>
      </c>
      <c r="K5426" s="1" t="s">
        <v>3278</v>
      </c>
      <c r="L5426" s="1" t="s">
        <v>35</v>
      </c>
      <c r="M5426" s="86" t="s">
        <v>592</v>
      </c>
      <c r="O5426" s="47" t="s">
        <v>410</v>
      </c>
      <c r="P5426" s="47" t="s">
        <v>46</v>
      </c>
      <c r="Q5426" s="14">
        <v>0.02</v>
      </c>
      <c r="R5426" s="143">
        <v>1000099234</v>
      </c>
      <c r="S5426" s="47"/>
      <c r="T5426" s="6">
        <v>1958.5999999999985</v>
      </c>
      <c r="U5426" s="6">
        <v>20000</v>
      </c>
      <c r="V5426" s="6">
        <v>21958.6</v>
      </c>
      <c r="W5426" s="6">
        <f t="shared" si="846"/>
        <v>0</v>
      </c>
      <c r="X5426" s="6">
        <f t="shared" si="847"/>
        <v>21528.039215686273</v>
      </c>
      <c r="Y5426" s="13">
        <f t="shared" si="851"/>
        <v>0</v>
      </c>
      <c r="Z5426" s="66">
        <v>0</v>
      </c>
      <c r="AA5426" s="6">
        <v>0</v>
      </c>
      <c r="AB5426" s="4">
        <f t="shared" si="852"/>
        <v>21528.039215686273</v>
      </c>
      <c r="AC5426" s="6">
        <f t="shared" si="848"/>
        <v>430.56078431372589</v>
      </c>
      <c r="AD5426" s="6">
        <f t="shared" si="849"/>
        <v>21958.6</v>
      </c>
      <c r="AE5426" s="14">
        <f>VLOOKUP(I5426,[2]媒体政策预估表!A:N,MATCH(O5426,[2]媒体政策预估表!$A$2:$M$2,0),0)</f>
        <v>7.0000000000000007E-2</v>
      </c>
      <c r="AF5426" s="6">
        <f t="shared" si="854"/>
        <v>1537.1020000000001</v>
      </c>
      <c r="AG5426" s="14">
        <v>0</v>
      </c>
      <c r="AH5426" s="64">
        <f t="shared" si="850"/>
        <v>21958.6</v>
      </c>
      <c r="AI5426" s="47"/>
      <c r="AJ5426" s="126" t="s">
        <v>4219</v>
      </c>
      <c r="AK5426" s="80">
        <f t="shared" si="853"/>
        <v>0</v>
      </c>
      <c r="AL5426" s="150"/>
      <c r="AM5426" s="85"/>
    </row>
    <row r="5427" spans="1:39" s="86" customFormat="1" ht="13.25" hidden="1" customHeight="1" x14ac:dyDescent="0.3">
      <c r="A5427" s="89" t="s">
        <v>3792</v>
      </c>
      <c r="B5427" s="86" t="s">
        <v>35</v>
      </c>
      <c r="C5427" s="86" t="s">
        <v>144</v>
      </c>
      <c r="D5427" s="86" t="s">
        <v>145</v>
      </c>
      <c r="E5427" s="86" t="s">
        <v>590</v>
      </c>
      <c r="F5427" s="86" t="s">
        <v>591</v>
      </c>
      <c r="G5427" s="86" t="s">
        <v>590</v>
      </c>
      <c r="H5427" s="144">
        <v>62</v>
      </c>
      <c r="I5427" s="86" t="s">
        <v>408</v>
      </c>
      <c r="J5427" s="1" t="s">
        <v>3324</v>
      </c>
      <c r="K5427" s="1" t="s">
        <v>3278</v>
      </c>
      <c r="L5427" s="1" t="s">
        <v>35</v>
      </c>
      <c r="M5427" s="86" t="s">
        <v>592</v>
      </c>
      <c r="O5427" s="47" t="s">
        <v>410</v>
      </c>
      <c r="P5427" s="47" t="s">
        <v>41</v>
      </c>
      <c r="Q5427" s="14">
        <v>0</v>
      </c>
      <c r="R5427" s="143">
        <v>1000099234</v>
      </c>
      <c r="S5427" s="47"/>
      <c r="T5427" s="6">
        <v>0</v>
      </c>
      <c r="U5427" s="6">
        <v>10000</v>
      </c>
      <c r="V5427" s="6">
        <v>606.37000000000262</v>
      </c>
      <c r="W5427" s="6">
        <f t="shared" si="846"/>
        <v>9393.6299999999974</v>
      </c>
      <c r="X5427" s="6">
        <f t="shared" si="847"/>
        <v>606.37000000000262</v>
      </c>
      <c r="Y5427" s="13">
        <f t="shared" si="851"/>
        <v>0</v>
      </c>
      <c r="Z5427" s="66">
        <v>0</v>
      </c>
      <c r="AA5427" s="6">
        <v>0</v>
      </c>
      <c r="AB5427" s="4">
        <f t="shared" si="852"/>
        <v>606.37000000000262</v>
      </c>
      <c r="AC5427" s="6">
        <f t="shared" si="848"/>
        <v>0</v>
      </c>
      <c r="AD5427" s="6">
        <f t="shared" si="849"/>
        <v>606.37000000000262</v>
      </c>
      <c r="AE5427" s="14">
        <f>VLOOKUP(I5427,[2]媒体政策预估表!A:N,MATCH(O5427,[2]媒体政策预估表!$A$2:$M$2,0),0)</f>
        <v>7.0000000000000007E-2</v>
      </c>
      <c r="AF5427" s="6">
        <f t="shared" si="854"/>
        <v>42.445900000000186</v>
      </c>
      <c r="AG5427" s="14">
        <v>0</v>
      </c>
      <c r="AH5427" s="64">
        <f t="shared" si="850"/>
        <v>606.37000000000262</v>
      </c>
      <c r="AI5427" s="47"/>
      <c r="AJ5427" s="126" t="s">
        <v>4219</v>
      </c>
      <c r="AK5427" s="80">
        <f t="shared" si="853"/>
        <v>0</v>
      </c>
      <c r="AL5427" s="150"/>
      <c r="AM5427" s="85"/>
    </row>
    <row r="5428" spans="1:39" s="86" customFormat="1" ht="13.25" hidden="1" customHeight="1" x14ac:dyDescent="0.3">
      <c r="A5428" s="89" t="s">
        <v>3794</v>
      </c>
      <c r="B5428" s="86" t="s">
        <v>35</v>
      </c>
      <c r="C5428" s="86" t="s">
        <v>144</v>
      </c>
      <c r="D5428" s="86" t="s">
        <v>152</v>
      </c>
      <c r="E5428" s="86" t="s">
        <v>2998</v>
      </c>
      <c r="F5428" s="86" t="s">
        <v>2998</v>
      </c>
      <c r="G5428" s="86" t="s">
        <v>2998</v>
      </c>
      <c r="H5428" s="144">
        <v>62</v>
      </c>
      <c r="I5428" s="86" t="s">
        <v>408</v>
      </c>
      <c r="J5428" s="1" t="s">
        <v>3324</v>
      </c>
      <c r="K5428" s="1" t="s">
        <v>3278</v>
      </c>
      <c r="L5428" s="1" t="s">
        <v>35</v>
      </c>
      <c r="M5428" s="86" t="s">
        <v>3816</v>
      </c>
      <c r="O5428" s="47" t="s">
        <v>410</v>
      </c>
      <c r="P5428" s="47" t="s">
        <v>46</v>
      </c>
      <c r="Q5428" s="14">
        <v>0.04</v>
      </c>
      <c r="R5428" s="143">
        <v>1000105542</v>
      </c>
      <c r="S5428" s="47"/>
      <c r="T5428" s="6">
        <v>0</v>
      </c>
      <c r="U5428" s="6">
        <v>500</v>
      </c>
      <c r="V5428" s="6">
        <v>500</v>
      </c>
      <c r="W5428" s="6">
        <f t="shared" si="846"/>
        <v>0</v>
      </c>
      <c r="X5428" s="6">
        <f t="shared" si="847"/>
        <v>480.76923076923077</v>
      </c>
      <c r="Y5428" s="13">
        <f t="shared" si="851"/>
        <v>0</v>
      </c>
      <c r="Z5428" s="66">
        <v>0</v>
      </c>
      <c r="AA5428" s="6">
        <v>0</v>
      </c>
      <c r="AB5428" s="4">
        <f t="shared" si="852"/>
        <v>480.76923076923077</v>
      </c>
      <c r="AC5428" s="6">
        <f t="shared" si="848"/>
        <v>19.230769230769226</v>
      </c>
      <c r="AD5428" s="6">
        <f t="shared" si="849"/>
        <v>500</v>
      </c>
      <c r="AE5428" s="14">
        <f>VLOOKUP(I5428,[2]媒体政策预估表!A:N,MATCH(O5428,[2]媒体政策预估表!$A$2:$M$2,0),0)</f>
        <v>7.0000000000000007E-2</v>
      </c>
      <c r="AF5428" s="6">
        <f t="shared" si="854"/>
        <v>35</v>
      </c>
      <c r="AG5428" s="14">
        <v>0</v>
      </c>
      <c r="AH5428" s="64">
        <f t="shared" si="850"/>
        <v>500</v>
      </c>
      <c r="AI5428" s="47"/>
      <c r="AJ5428" s="126" t="e">
        <v>#N/A</v>
      </c>
      <c r="AK5428" s="80">
        <f t="shared" si="853"/>
        <v>0</v>
      </c>
      <c r="AL5428" s="85"/>
      <c r="AM5428" s="85"/>
    </row>
    <row r="5429" spans="1:39" s="86" customFormat="1" ht="13.25" hidden="1" customHeight="1" x14ac:dyDescent="0.3">
      <c r="A5429" s="89" t="s">
        <v>3792</v>
      </c>
      <c r="B5429" s="86" t="s">
        <v>35</v>
      </c>
      <c r="C5429" s="86" t="s">
        <v>144</v>
      </c>
      <c r="D5429" s="86" t="s">
        <v>152</v>
      </c>
      <c r="E5429" s="86" t="s">
        <v>598</v>
      </c>
      <c r="F5429" s="86" t="s">
        <v>598</v>
      </c>
      <c r="G5429" s="86" t="s">
        <v>598</v>
      </c>
      <c r="H5429" s="144">
        <v>62</v>
      </c>
      <c r="I5429" s="86" t="s">
        <v>408</v>
      </c>
      <c r="J5429" s="1" t="s">
        <v>3324</v>
      </c>
      <c r="K5429" s="1" t="s">
        <v>3278</v>
      </c>
      <c r="L5429" s="1" t="s">
        <v>35</v>
      </c>
      <c r="M5429" s="86" t="s">
        <v>599</v>
      </c>
      <c r="O5429" s="47" t="s">
        <v>410</v>
      </c>
      <c r="P5429" s="47" t="s">
        <v>41</v>
      </c>
      <c r="Q5429" s="14">
        <v>0</v>
      </c>
      <c r="R5429" s="143">
        <v>1000046612</v>
      </c>
      <c r="S5429" s="47"/>
      <c r="T5429" s="6">
        <v>25524.500000000004</v>
      </c>
      <c r="U5429" s="6">
        <v>60000</v>
      </c>
      <c r="V5429" s="6">
        <v>30252.000000000004</v>
      </c>
      <c r="W5429" s="6">
        <f t="shared" si="846"/>
        <v>55272.5</v>
      </c>
      <c r="X5429" s="6">
        <f t="shared" si="847"/>
        <v>30252.000000000004</v>
      </c>
      <c r="Y5429" s="13">
        <f t="shared" si="851"/>
        <v>0</v>
      </c>
      <c r="Z5429" s="66">
        <v>0</v>
      </c>
      <c r="AA5429" s="6">
        <v>0</v>
      </c>
      <c r="AB5429" s="4">
        <f t="shared" si="852"/>
        <v>30252.000000000004</v>
      </c>
      <c r="AC5429" s="6">
        <f t="shared" si="848"/>
        <v>0</v>
      </c>
      <c r="AD5429" s="6">
        <f t="shared" si="849"/>
        <v>30252.000000000004</v>
      </c>
      <c r="AE5429" s="14">
        <f>VLOOKUP(I5429,[2]媒体政策预估表!A:N,MATCH(O5429,[2]媒体政策预估表!$A$2:$M$2,0),0)</f>
        <v>7.0000000000000007E-2</v>
      </c>
      <c r="AF5429" s="6">
        <f t="shared" si="854"/>
        <v>2117.6400000000003</v>
      </c>
      <c r="AG5429" s="14">
        <v>0</v>
      </c>
      <c r="AH5429" s="64">
        <f t="shared" si="850"/>
        <v>30252.000000000004</v>
      </c>
      <c r="AI5429" s="47"/>
      <c r="AJ5429" s="126" t="e">
        <v>#N/A</v>
      </c>
      <c r="AK5429" s="80">
        <f t="shared" si="853"/>
        <v>0</v>
      </c>
      <c r="AL5429" s="85"/>
      <c r="AM5429" s="85"/>
    </row>
    <row r="5430" spans="1:39" s="86" customFormat="1" ht="13.25" hidden="1" customHeight="1" x14ac:dyDescent="0.3">
      <c r="A5430" s="89" t="s">
        <v>3805</v>
      </c>
      <c r="B5430" s="86" t="s">
        <v>35</v>
      </c>
      <c r="C5430" s="86" t="s">
        <v>144</v>
      </c>
      <c r="D5430" s="86" t="s">
        <v>152</v>
      </c>
      <c r="E5430" s="86" t="s">
        <v>600</v>
      </c>
      <c r="F5430" s="86" t="s">
        <v>601</v>
      </c>
      <c r="G5430" s="86" t="s">
        <v>600</v>
      </c>
      <c r="H5430" s="144">
        <v>62</v>
      </c>
      <c r="I5430" s="86" t="s">
        <v>408</v>
      </c>
      <c r="J5430" s="1" t="s">
        <v>3324</v>
      </c>
      <c r="K5430" s="1" t="s">
        <v>3278</v>
      </c>
      <c r="L5430" s="1" t="s">
        <v>35</v>
      </c>
      <c r="M5430" s="86" t="s">
        <v>602</v>
      </c>
      <c r="O5430" s="47" t="s">
        <v>410</v>
      </c>
      <c r="P5430" s="47" t="s">
        <v>41</v>
      </c>
      <c r="Q5430" s="14">
        <v>0</v>
      </c>
      <c r="R5430" s="143">
        <v>1000098809</v>
      </c>
      <c r="S5430" s="47"/>
      <c r="T5430" s="6">
        <v>45407.789999999994</v>
      </c>
      <c r="U5430" s="6">
        <v>100000</v>
      </c>
      <c r="V5430" s="6">
        <v>113171.03999999996</v>
      </c>
      <c r="W5430" s="6">
        <f t="shared" si="846"/>
        <v>32236.750000000015</v>
      </c>
      <c r="X5430" s="6">
        <f t="shared" si="847"/>
        <v>113171.03999999996</v>
      </c>
      <c r="Y5430" s="13">
        <f t="shared" si="851"/>
        <v>0</v>
      </c>
      <c r="Z5430" s="66">
        <v>0</v>
      </c>
      <c r="AA5430" s="6">
        <v>0</v>
      </c>
      <c r="AB5430" s="4">
        <f t="shared" si="852"/>
        <v>113171.03999999996</v>
      </c>
      <c r="AC5430" s="6">
        <f t="shared" si="848"/>
        <v>0</v>
      </c>
      <c r="AD5430" s="6">
        <f t="shared" si="849"/>
        <v>113171.03999999996</v>
      </c>
      <c r="AE5430" s="14">
        <f>VLOOKUP(I5430,[2]媒体政策预估表!A:N,MATCH(O5430,[2]媒体政策预估表!$A$2:$M$2,0),0)</f>
        <v>7.0000000000000007E-2</v>
      </c>
      <c r="AF5430" s="6">
        <f t="shared" si="854"/>
        <v>7921.9727999999986</v>
      </c>
      <c r="AG5430" s="14">
        <v>0</v>
      </c>
      <c r="AH5430" s="64">
        <f t="shared" si="850"/>
        <v>113171.03999999996</v>
      </c>
      <c r="AI5430" s="47"/>
      <c r="AJ5430" s="126" t="e">
        <v>#N/A</v>
      </c>
      <c r="AK5430" s="80">
        <f t="shared" si="853"/>
        <v>0</v>
      </c>
      <c r="AL5430" s="85"/>
      <c r="AM5430" s="85"/>
    </row>
    <row r="5431" spans="1:39" s="86" customFormat="1" ht="13.25" hidden="1" customHeight="1" x14ac:dyDescent="0.3">
      <c r="A5431" s="89" t="s">
        <v>3796</v>
      </c>
      <c r="B5431" s="86" t="s">
        <v>35</v>
      </c>
      <c r="C5431" s="86" t="s">
        <v>144</v>
      </c>
      <c r="D5431" s="86" t="s">
        <v>152</v>
      </c>
      <c r="E5431" s="86" t="s">
        <v>722</v>
      </c>
      <c r="F5431" s="86" t="s">
        <v>722</v>
      </c>
      <c r="G5431" s="86" t="s">
        <v>722</v>
      </c>
      <c r="H5431" s="143">
        <v>62</v>
      </c>
      <c r="I5431" s="86" t="s">
        <v>408</v>
      </c>
      <c r="J5431" s="1" t="s">
        <v>3324</v>
      </c>
      <c r="K5431" s="1" t="s">
        <v>3278</v>
      </c>
      <c r="L5431" s="1" t="s">
        <v>35</v>
      </c>
      <c r="M5431" s="86" t="s">
        <v>723</v>
      </c>
      <c r="O5431" s="47" t="s">
        <v>410</v>
      </c>
      <c r="P5431" s="47" t="s">
        <v>41</v>
      </c>
      <c r="Q5431" s="14">
        <v>0</v>
      </c>
      <c r="R5431" s="143">
        <v>1000095880</v>
      </c>
      <c r="S5431" s="47"/>
      <c r="T5431" s="6">
        <v>0</v>
      </c>
      <c r="U5431" s="6">
        <v>9689.56</v>
      </c>
      <c r="V5431" s="6">
        <v>9689.56</v>
      </c>
      <c r="W5431" s="6">
        <f t="shared" si="846"/>
        <v>0</v>
      </c>
      <c r="X5431" s="6">
        <f t="shared" si="847"/>
        <v>9689.56</v>
      </c>
      <c r="Y5431" s="13">
        <f t="shared" si="851"/>
        <v>0</v>
      </c>
      <c r="Z5431" s="66">
        <v>0</v>
      </c>
      <c r="AA5431" s="6">
        <v>0</v>
      </c>
      <c r="AB5431" s="4"/>
      <c r="AC5431" s="6">
        <f t="shared" si="848"/>
        <v>0</v>
      </c>
      <c r="AD5431" s="6">
        <f t="shared" si="849"/>
        <v>9689.56</v>
      </c>
      <c r="AE5431" s="14">
        <f>VLOOKUP(I5431,[2]媒体政策预估表!A:N,MATCH(O5431,[2]媒体政策预估表!$A$2:$M$2,0),0)</f>
        <v>7.0000000000000007E-2</v>
      </c>
      <c r="AF5431" s="6">
        <f t="shared" si="854"/>
        <v>678.26920000000007</v>
      </c>
      <c r="AG5431" s="14">
        <v>0</v>
      </c>
      <c r="AH5431" s="64">
        <f t="shared" si="850"/>
        <v>9689.56</v>
      </c>
      <c r="AI5431" s="47"/>
      <c r="AJ5431" s="126">
        <v>112</v>
      </c>
      <c r="AK5431" s="80">
        <f t="shared" si="853"/>
        <v>9689.56</v>
      </c>
      <c r="AL5431" s="85"/>
      <c r="AM5431" s="85"/>
    </row>
    <row r="5432" spans="1:39" s="86" customFormat="1" ht="13.25" hidden="1" customHeight="1" x14ac:dyDescent="0.3">
      <c r="A5432" s="89" t="s">
        <v>3805</v>
      </c>
      <c r="B5432" s="86" t="s">
        <v>35</v>
      </c>
      <c r="C5432" s="86" t="s">
        <v>144</v>
      </c>
      <c r="D5432" s="86" t="s">
        <v>152</v>
      </c>
      <c r="E5432" s="86" t="s">
        <v>722</v>
      </c>
      <c r="F5432" s="86" t="s">
        <v>3817</v>
      </c>
      <c r="G5432" s="86" t="s">
        <v>722</v>
      </c>
      <c r="H5432" s="143">
        <v>62</v>
      </c>
      <c r="I5432" s="86" t="s">
        <v>408</v>
      </c>
      <c r="J5432" s="1" t="s">
        <v>3324</v>
      </c>
      <c r="K5432" s="1" t="s">
        <v>3278</v>
      </c>
      <c r="L5432" s="1" t="s">
        <v>35</v>
      </c>
      <c r="M5432" s="86" t="s">
        <v>723</v>
      </c>
      <c r="O5432" s="47" t="s">
        <v>410</v>
      </c>
      <c r="P5432" s="47" t="s">
        <v>41</v>
      </c>
      <c r="Q5432" s="14">
        <v>0</v>
      </c>
      <c r="R5432" s="143">
        <v>1000095880</v>
      </c>
      <c r="S5432" s="47"/>
      <c r="T5432" s="6">
        <v>0</v>
      </c>
      <c r="U5432" s="6">
        <v>5000</v>
      </c>
      <c r="V5432" s="6">
        <v>3221.9300000000003</v>
      </c>
      <c r="W5432" s="6">
        <f t="shared" si="846"/>
        <v>1778.0699999999997</v>
      </c>
      <c r="X5432" s="6">
        <f t="shared" si="847"/>
        <v>3221.9300000000003</v>
      </c>
      <c r="Y5432" s="13">
        <f t="shared" si="851"/>
        <v>0</v>
      </c>
      <c r="Z5432" s="66">
        <v>0</v>
      </c>
      <c r="AA5432" s="6">
        <v>0</v>
      </c>
      <c r="AB5432" s="4"/>
      <c r="AC5432" s="6">
        <f t="shared" si="848"/>
        <v>0</v>
      </c>
      <c r="AD5432" s="6">
        <f t="shared" si="849"/>
        <v>3221.9300000000003</v>
      </c>
      <c r="AE5432" s="14">
        <f>VLOOKUP(I5432,[2]媒体政策预估表!A:N,MATCH(O5432,[2]媒体政策预估表!$A$2:$M$2,0),0)</f>
        <v>7.0000000000000007E-2</v>
      </c>
      <c r="AF5432" s="6">
        <f t="shared" si="854"/>
        <v>225.53510000000003</v>
      </c>
      <c r="AG5432" s="14">
        <v>0</v>
      </c>
      <c r="AH5432" s="64">
        <f t="shared" si="850"/>
        <v>3221.9300000000003</v>
      </c>
      <c r="AI5432" s="47"/>
      <c r="AJ5432" s="126">
        <v>112</v>
      </c>
      <c r="AK5432" s="80">
        <f t="shared" si="853"/>
        <v>3221.9300000000003</v>
      </c>
      <c r="AL5432" s="85"/>
      <c r="AM5432" s="85"/>
    </row>
    <row r="5433" spans="1:39" s="86" customFormat="1" ht="13.25" hidden="1" customHeight="1" x14ac:dyDescent="0.3">
      <c r="A5433" s="89" t="s">
        <v>3794</v>
      </c>
      <c r="B5433" s="86" t="s">
        <v>35</v>
      </c>
      <c r="C5433" s="86" t="s">
        <v>144</v>
      </c>
      <c r="D5433" s="86" t="s">
        <v>161</v>
      </c>
      <c r="E5433" s="86" t="s">
        <v>3759</v>
      </c>
      <c r="F5433" s="86" t="s">
        <v>3759</v>
      </c>
      <c r="G5433" s="86" t="s">
        <v>3759</v>
      </c>
      <c r="H5433" s="143">
        <v>62</v>
      </c>
      <c r="I5433" s="86" t="s">
        <v>408</v>
      </c>
      <c r="J5433" s="1" t="s">
        <v>3324</v>
      </c>
      <c r="K5433" s="1" t="s">
        <v>3278</v>
      </c>
      <c r="L5433" s="1" t="s">
        <v>35</v>
      </c>
      <c r="M5433" s="86" t="s">
        <v>606</v>
      </c>
      <c r="O5433" s="47" t="s">
        <v>410</v>
      </c>
      <c r="P5433" s="47" t="s">
        <v>46</v>
      </c>
      <c r="Q5433" s="14">
        <v>0.02</v>
      </c>
      <c r="R5433" s="143">
        <v>1000099906</v>
      </c>
      <c r="S5433" s="47"/>
      <c r="T5433" s="6">
        <v>0</v>
      </c>
      <c r="U5433" s="6">
        <v>-5979.72</v>
      </c>
      <c r="V5433" s="6">
        <v>0</v>
      </c>
      <c r="W5433" s="6">
        <f t="shared" si="846"/>
        <v>-5979.72</v>
      </c>
      <c r="X5433" s="6">
        <f t="shared" si="847"/>
        <v>0</v>
      </c>
      <c r="Y5433" s="13">
        <f t="shared" si="851"/>
        <v>0</v>
      </c>
      <c r="Z5433" s="66">
        <v>0</v>
      </c>
      <c r="AA5433" s="6">
        <v>0</v>
      </c>
      <c r="AB5433" s="4">
        <f t="shared" si="852"/>
        <v>0</v>
      </c>
      <c r="AC5433" s="6">
        <f t="shared" si="848"/>
        <v>0</v>
      </c>
      <c r="AD5433" s="6">
        <f t="shared" si="849"/>
        <v>0</v>
      </c>
      <c r="AE5433" s="14">
        <f>VLOOKUP(I5433,[2]媒体政策预估表!A:N,MATCH(O5433,[2]媒体政策预估表!$A$2:$M$2,0),0)</f>
        <v>7.0000000000000007E-2</v>
      </c>
      <c r="AF5433" s="6">
        <f t="shared" si="854"/>
        <v>0</v>
      </c>
      <c r="AG5433" s="14">
        <v>0</v>
      </c>
      <c r="AH5433" s="64">
        <f t="shared" si="850"/>
        <v>0</v>
      </c>
      <c r="AI5433" s="47"/>
      <c r="AJ5433" s="126" t="e">
        <v>#N/A</v>
      </c>
      <c r="AK5433" s="80">
        <f t="shared" si="853"/>
        <v>0</v>
      </c>
      <c r="AL5433" s="85"/>
      <c r="AM5433" s="85"/>
    </row>
    <row r="5434" spans="1:39" s="86" customFormat="1" ht="13.25" hidden="1" customHeight="1" x14ac:dyDescent="0.3">
      <c r="A5434" s="89" t="s">
        <v>3796</v>
      </c>
      <c r="B5434" s="86" t="s">
        <v>35</v>
      </c>
      <c r="C5434" s="86" t="s">
        <v>144</v>
      </c>
      <c r="D5434" s="86" t="s">
        <v>161</v>
      </c>
      <c r="E5434" s="86" t="s">
        <v>55</v>
      </c>
      <c r="F5434" s="86" t="s">
        <v>607</v>
      </c>
      <c r="G5434" s="86" t="s">
        <v>55</v>
      </c>
      <c r="H5434" s="144">
        <v>62</v>
      </c>
      <c r="I5434" s="86" t="s">
        <v>408</v>
      </c>
      <c r="J5434" s="1" t="s">
        <v>3324</v>
      </c>
      <c r="K5434" s="1" t="s">
        <v>3278</v>
      </c>
      <c r="L5434" s="1" t="s">
        <v>35</v>
      </c>
      <c r="M5434" s="86" t="s">
        <v>608</v>
      </c>
      <c r="O5434" s="47" t="s">
        <v>45</v>
      </c>
      <c r="P5434" s="47" t="s">
        <v>41</v>
      </c>
      <c r="Q5434" s="14">
        <v>0</v>
      </c>
      <c r="R5434" s="143">
        <v>1000083696</v>
      </c>
      <c r="S5434" s="47"/>
      <c r="T5434" s="6">
        <v>513139.04999999993</v>
      </c>
      <c r="U5434" s="6">
        <v>450000</v>
      </c>
      <c r="V5434" s="6">
        <v>199130.11</v>
      </c>
      <c r="W5434" s="6">
        <f t="shared" si="846"/>
        <v>764008.94</v>
      </c>
      <c r="X5434" s="6">
        <f t="shared" si="847"/>
        <v>199130.11</v>
      </c>
      <c r="Y5434" s="13">
        <f t="shared" si="851"/>
        <v>0</v>
      </c>
      <c r="Z5434" s="66">
        <v>0</v>
      </c>
      <c r="AA5434" s="6">
        <v>0</v>
      </c>
      <c r="AB5434" s="4">
        <f t="shared" si="852"/>
        <v>199130.11</v>
      </c>
      <c r="AC5434" s="6">
        <f t="shared" si="848"/>
        <v>0</v>
      </c>
      <c r="AD5434" s="6">
        <f t="shared" si="849"/>
        <v>199130.11</v>
      </c>
      <c r="AE5434" s="14">
        <f>VLOOKUP(I5434,[2]媒体政策预估表!A:N,MATCH(O5434,[2]媒体政策预估表!$A$2:$M$2,0),0)</f>
        <v>0.11</v>
      </c>
      <c r="AF5434" s="6">
        <f t="shared" si="854"/>
        <v>21904.312099999999</v>
      </c>
      <c r="AG5434" s="14">
        <v>0</v>
      </c>
      <c r="AH5434" s="64">
        <f t="shared" si="850"/>
        <v>199130.11</v>
      </c>
      <c r="AI5434" s="47"/>
      <c r="AJ5434" s="126" t="e">
        <v>#N/A</v>
      </c>
      <c r="AK5434" s="80">
        <f t="shared" si="853"/>
        <v>0</v>
      </c>
      <c r="AL5434" s="85"/>
      <c r="AM5434" s="85"/>
    </row>
    <row r="5435" spans="1:39" s="86" customFormat="1" ht="13.25" hidden="1" customHeight="1" x14ac:dyDescent="0.3">
      <c r="A5435" s="89" t="s">
        <v>3805</v>
      </c>
      <c r="B5435" s="86" t="s">
        <v>35</v>
      </c>
      <c r="C5435" s="86" t="s">
        <v>144</v>
      </c>
      <c r="D5435" s="86" t="s">
        <v>161</v>
      </c>
      <c r="E5435" s="86" t="s">
        <v>55</v>
      </c>
      <c r="F5435" s="86" t="s">
        <v>607</v>
      </c>
      <c r="G5435" s="86" t="s">
        <v>55</v>
      </c>
      <c r="H5435" s="144">
        <v>62</v>
      </c>
      <c r="I5435" s="86" t="s">
        <v>408</v>
      </c>
      <c r="J5435" s="1" t="s">
        <v>3324</v>
      </c>
      <c r="K5435" s="1" t="s">
        <v>3278</v>
      </c>
      <c r="L5435" s="1" t="s">
        <v>35</v>
      </c>
      <c r="M5435" s="86" t="s">
        <v>609</v>
      </c>
      <c r="O5435" s="47" t="s">
        <v>45</v>
      </c>
      <c r="P5435" s="47" t="s">
        <v>41</v>
      </c>
      <c r="Q5435" s="14">
        <v>0</v>
      </c>
      <c r="R5435" s="143">
        <v>1000016218</v>
      </c>
      <c r="S5435" s="47"/>
      <c r="T5435" s="6">
        <v>-2297825.4299999997</v>
      </c>
      <c r="U5435" s="6">
        <v>0</v>
      </c>
      <c r="V5435" s="6">
        <v>1249508.2300000004</v>
      </c>
      <c r="W5435" s="6">
        <f t="shared" si="846"/>
        <v>-3547333.66</v>
      </c>
      <c r="X5435" s="6">
        <f t="shared" si="847"/>
        <v>1249508.2300000004</v>
      </c>
      <c r="Y5435" s="13">
        <f t="shared" si="851"/>
        <v>0</v>
      </c>
      <c r="Z5435" s="66">
        <v>0</v>
      </c>
      <c r="AA5435" s="6">
        <v>0</v>
      </c>
      <c r="AB5435" s="4">
        <f t="shared" si="852"/>
        <v>1249508.2300000004</v>
      </c>
      <c r="AC5435" s="6">
        <f t="shared" si="848"/>
        <v>0</v>
      </c>
      <c r="AD5435" s="6">
        <f t="shared" si="849"/>
        <v>1249508.2300000004</v>
      </c>
      <c r="AE5435" s="14">
        <f>VLOOKUP(I5435,[2]媒体政策预估表!A:N,MATCH(O5435,[2]媒体政策预估表!$A$2:$M$2,0),0)</f>
        <v>0.11</v>
      </c>
      <c r="AF5435" s="6">
        <f t="shared" si="854"/>
        <v>137445.90530000004</v>
      </c>
      <c r="AG5435" s="14">
        <v>0</v>
      </c>
      <c r="AH5435" s="64">
        <f t="shared" si="850"/>
        <v>1249508.2300000004</v>
      </c>
      <c r="AI5435" s="47"/>
      <c r="AJ5435" s="126" t="e">
        <v>#N/A</v>
      </c>
      <c r="AK5435" s="80">
        <f t="shared" si="853"/>
        <v>0</v>
      </c>
      <c r="AL5435" s="85"/>
      <c r="AM5435" s="85"/>
    </row>
    <row r="5436" spans="1:39" s="86" customFormat="1" ht="13.25" hidden="1" customHeight="1" x14ac:dyDescent="0.3">
      <c r="A5436" s="89" t="s">
        <v>3794</v>
      </c>
      <c r="B5436" s="86" t="s">
        <v>35</v>
      </c>
      <c r="C5436" s="86" t="s">
        <v>144</v>
      </c>
      <c r="D5436" s="86" t="s">
        <v>161</v>
      </c>
      <c r="E5436" s="86" t="s">
        <v>55</v>
      </c>
      <c r="F5436" s="86" t="s">
        <v>607</v>
      </c>
      <c r="G5436" s="86" t="s">
        <v>55</v>
      </c>
      <c r="H5436" s="144">
        <v>62</v>
      </c>
      <c r="I5436" s="86" t="s">
        <v>408</v>
      </c>
      <c r="J5436" s="1" t="s">
        <v>3324</v>
      </c>
      <c r="K5436" s="1" t="s">
        <v>3278</v>
      </c>
      <c r="L5436" s="1" t="s">
        <v>35</v>
      </c>
      <c r="M5436" s="86" t="s">
        <v>609</v>
      </c>
      <c r="O5436" s="47" t="s">
        <v>410</v>
      </c>
      <c r="P5436" s="47" t="s">
        <v>41</v>
      </c>
      <c r="Q5436" s="14">
        <v>0</v>
      </c>
      <c r="R5436" s="143">
        <v>1000016218</v>
      </c>
      <c r="S5436" s="47"/>
      <c r="T5436" s="6">
        <v>3426914.4699999997</v>
      </c>
      <c r="U5436" s="6">
        <v>1900000</v>
      </c>
      <c r="V5436" s="6">
        <v>761965.21000000008</v>
      </c>
      <c r="W5436" s="6">
        <f t="shared" si="846"/>
        <v>4564949.26</v>
      </c>
      <c r="X5436" s="6">
        <f t="shared" si="847"/>
        <v>761965.21000000008</v>
      </c>
      <c r="Y5436" s="13">
        <f t="shared" si="851"/>
        <v>0</v>
      </c>
      <c r="Z5436" s="66">
        <v>0</v>
      </c>
      <c r="AA5436" s="6">
        <v>0</v>
      </c>
      <c r="AB5436" s="4">
        <f t="shared" si="852"/>
        <v>761965.21000000008</v>
      </c>
      <c r="AC5436" s="6">
        <f t="shared" si="848"/>
        <v>0</v>
      </c>
      <c r="AD5436" s="6">
        <f t="shared" si="849"/>
        <v>761965.21000000008</v>
      </c>
      <c r="AE5436" s="14">
        <f>VLOOKUP(I5436,[2]媒体政策预估表!A:N,MATCH(O5436,[2]媒体政策预估表!$A$2:$M$2,0),0)</f>
        <v>7.0000000000000007E-2</v>
      </c>
      <c r="AF5436" s="6">
        <f t="shared" si="854"/>
        <v>53337.56470000001</v>
      </c>
      <c r="AG5436" s="14">
        <v>0</v>
      </c>
      <c r="AH5436" s="64">
        <f t="shared" si="850"/>
        <v>761965.21000000008</v>
      </c>
      <c r="AI5436" s="47"/>
      <c r="AJ5436" s="126" t="e">
        <v>#N/A</v>
      </c>
      <c r="AK5436" s="80">
        <f t="shared" si="853"/>
        <v>0</v>
      </c>
      <c r="AL5436" s="85"/>
      <c r="AM5436" s="85"/>
    </row>
    <row r="5437" spans="1:39" s="86" customFormat="1" ht="13.25" hidden="1" customHeight="1" x14ac:dyDescent="0.3">
      <c r="A5437" s="89" t="s">
        <v>3796</v>
      </c>
      <c r="B5437" s="86" t="s">
        <v>35</v>
      </c>
      <c r="C5437" s="86" t="s">
        <v>164</v>
      </c>
      <c r="D5437" s="86" t="s">
        <v>305</v>
      </c>
      <c r="E5437" s="86" t="s">
        <v>610</v>
      </c>
      <c r="F5437" s="86" t="s">
        <v>611</v>
      </c>
      <c r="G5437" s="86" t="s">
        <v>610</v>
      </c>
      <c r="H5437" s="144">
        <v>62</v>
      </c>
      <c r="I5437" s="86" t="s">
        <v>408</v>
      </c>
      <c r="J5437" s="1" t="s">
        <v>3324</v>
      </c>
      <c r="K5437" s="1" t="s">
        <v>3278</v>
      </c>
      <c r="L5437" s="1" t="s">
        <v>35</v>
      </c>
      <c r="M5437" s="86" t="s">
        <v>613</v>
      </c>
      <c r="O5437" s="47" t="s">
        <v>410</v>
      </c>
      <c r="P5437" s="47" t="s">
        <v>46</v>
      </c>
      <c r="Q5437" s="14">
        <v>0.02</v>
      </c>
      <c r="R5437" s="143">
        <v>1000045024</v>
      </c>
      <c r="S5437" s="47"/>
      <c r="T5437" s="6">
        <v>174977.62000000011</v>
      </c>
      <c r="U5437" s="6">
        <v>1500000</v>
      </c>
      <c r="V5437" s="6">
        <v>1420720.7000000002</v>
      </c>
      <c r="W5437" s="6">
        <v>0</v>
      </c>
      <c r="X5437" s="6">
        <f t="shared" ref="X5437:X5500" si="855">IF(P5437="折扣",V5437*Q5437,IF(P5437="返现",V5437,V5437/(1+Q5437)))</f>
        <v>1392863.4313725492</v>
      </c>
      <c r="Y5437" s="13">
        <f t="shared" si="851"/>
        <v>0</v>
      </c>
      <c r="Z5437" s="66">
        <v>0</v>
      </c>
      <c r="AA5437" s="6">
        <v>0</v>
      </c>
      <c r="AB5437" s="4">
        <f t="shared" si="852"/>
        <v>1392863.4313725492</v>
      </c>
      <c r="AC5437" s="6">
        <f t="shared" si="848"/>
        <v>27857.268627451034</v>
      </c>
      <c r="AD5437" s="6">
        <f t="shared" si="849"/>
        <v>1420720.7000000002</v>
      </c>
      <c r="AE5437" s="14">
        <f>VLOOKUP(I5437,[2]媒体政策预估表!A:N,MATCH(O5437,[2]媒体政策预估表!$A$2:$M$2,0),0)</f>
        <v>7.0000000000000007E-2</v>
      </c>
      <c r="AF5437" s="6">
        <f t="shared" si="854"/>
        <v>99450.449000000022</v>
      </c>
      <c r="AG5437" s="14">
        <v>0</v>
      </c>
      <c r="AH5437" s="64">
        <f t="shared" si="850"/>
        <v>1420720.7000000002</v>
      </c>
      <c r="AI5437" s="47"/>
      <c r="AJ5437" s="126" t="e">
        <v>#N/A</v>
      </c>
      <c r="AK5437" s="80">
        <f t="shared" si="853"/>
        <v>0</v>
      </c>
      <c r="AL5437" s="85"/>
      <c r="AM5437" s="85"/>
    </row>
    <row r="5438" spans="1:39" s="86" customFormat="1" ht="13.25" hidden="1" customHeight="1" x14ac:dyDescent="0.3">
      <c r="A5438" s="89" t="s">
        <v>3805</v>
      </c>
      <c r="B5438" s="86" t="s">
        <v>35</v>
      </c>
      <c r="C5438" s="86" t="s">
        <v>164</v>
      </c>
      <c r="D5438" s="86" t="s">
        <v>305</v>
      </c>
      <c r="E5438" s="86" t="s">
        <v>615</v>
      </c>
      <c r="F5438" s="86" t="s">
        <v>615</v>
      </c>
      <c r="G5438" s="86" t="s">
        <v>615</v>
      </c>
      <c r="H5438" s="144">
        <v>62</v>
      </c>
      <c r="I5438" s="86" t="s">
        <v>408</v>
      </c>
      <c r="J5438" s="1" t="s">
        <v>3324</v>
      </c>
      <c r="K5438" s="1" t="s">
        <v>3278</v>
      </c>
      <c r="L5438" s="1" t="s">
        <v>35</v>
      </c>
      <c r="M5438" s="86" t="s">
        <v>3818</v>
      </c>
      <c r="O5438" s="47" t="s">
        <v>410</v>
      </c>
      <c r="P5438" s="47" t="s">
        <v>46</v>
      </c>
      <c r="Q5438" s="14">
        <v>0.02</v>
      </c>
      <c r="R5438" s="143">
        <v>1000068455</v>
      </c>
      <c r="S5438" s="47"/>
      <c r="T5438" s="6">
        <v>303942.01999999862</v>
      </c>
      <c r="U5438" s="6">
        <v>2020000</v>
      </c>
      <c r="V5438" s="6">
        <v>804966.20000000007</v>
      </c>
      <c r="W5438" s="6">
        <f t="shared" ref="W5438:W5501" si="856">T5438+U5438-V5438</f>
        <v>1518975.8199999984</v>
      </c>
      <c r="X5438" s="6">
        <f t="shared" si="855"/>
        <v>789182.54901960795</v>
      </c>
      <c r="Y5438" s="13">
        <f t="shared" si="851"/>
        <v>0</v>
      </c>
      <c r="Z5438" s="66">
        <v>0</v>
      </c>
      <c r="AA5438" s="6">
        <v>0</v>
      </c>
      <c r="AB5438" s="4">
        <f t="shared" si="852"/>
        <v>789182.54901960795</v>
      </c>
      <c r="AC5438" s="6">
        <f t="shared" ref="AC5438:AC5501" si="857">IF(P5438="返现",X5438*Q5438,V5438-X5438)</f>
        <v>15783.650980392122</v>
      </c>
      <c r="AD5438" s="6">
        <f t="shared" ref="AD5438:AD5501" si="858">V5438</f>
        <v>804966.20000000007</v>
      </c>
      <c r="AE5438" s="14">
        <f>VLOOKUP(I5438,[2]媒体政策预估表!A:N,MATCH(O5438,[2]媒体政策预估表!$A$2:$M$2,0),0)</f>
        <v>7.0000000000000007E-2</v>
      </c>
      <c r="AF5438" s="6">
        <f t="shared" si="854"/>
        <v>56347.634000000013</v>
      </c>
      <c r="AG5438" s="14">
        <v>0</v>
      </c>
      <c r="AH5438" s="64">
        <f t="shared" ref="AH5438:AH5501" si="859">V5438</f>
        <v>804966.20000000007</v>
      </c>
      <c r="AI5438" s="47"/>
      <c r="AJ5438" s="126" t="e">
        <v>#N/A</v>
      </c>
      <c r="AK5438" s="80">
        <f t="shared" si="853"/>
        <v>0</v>
      </c>
      <c r="AL5438" s="85"/>
      <c r="AM5438" s="85"/>
    </row>
    <row r="5439" spans="1:39" s="86" customFormat="1" ht="13.25" hidden="1" customHeight="1" x14ac:dyDescent="0.3">
      <c r="A5439" s="89" t="s">
        <v>3792</v>
      </c>
      <c r="B5439" s="86" t="s">
        <v>35</v>
      </c>
      <c r="C5439" s="86" t="s">
        <v>164</v>
      </c>
      <c r="D5439" s="86" t="s">
        <v>305</v>
      </c>
      <c r="E5439" s="86" t="s">
        <v>617</v>
      </c>
      <c r="F5439" s="86" t="s">
        <v>617</v>
      </c>
      <c r="G5439" s="86" t="s">
        <v>617</v>
      </c>
      <c r="H5439" s="144">
        <v>62</v>
      </c>
      <c r="I5439" s="86" t="s">
        <v>408</v>
      </c>
      <c r="J5439" s="1" t="s">
        <v>3324</v>
      </c>
      <c r="K5439" s="1" t="s">
        <v>3278</v>
      </c>
      <c r="L5439" s="1" t="s">
        <v>35</v>
      </c>
      <c r="M5439" s="86" t="s">
        <v>618</v>
      </c>
      <c r="O5439" s="47" t="s">
        <v>410</v>
      </c>
      <c r="P5439" s="47" t="s">
        <v>41</v>
      </c>
      <c r="Q5439" s="14">
        <v>0</v>
      </c>
      <c r="R5439" s="143">
        <v>1000099339</v>
      </c>
      <c r="S5439" s="47"/>
      <c r="T5439" s="6">
        <v>4307.570000000007</v>
      </c>
      <c r="U5439" s="6">
        <v>135800</v>
      </c>
      <c r="V5439" s="6">
        <v>90067.37000000001</v>
      </c>
      <c r="W5439" s="6">
        <f t="shared" si="856"/>
        <v>50040.2</v>
      </c>
      <c r="X5439" s="6">
        <f t="shared" si="855"/>
        <v>90067.37000000001</v>
      </c>
      <c r="Y5439" s="13">
        <f t="shared" si="851"/>
        <v>0</v>
      </c>
      <c r="Z5439" s="66">
        <v>0</v>
      </c>
      <c r="AA5439" s="6">
        <v>0</v>
      </c>
      <c r="AB5439" s="4">
        <f t="shared" si="852"/>
        <v>90067.37000000001</v>
      </c>
      <c r="AC5439" s="6">
        <f t="shared" si="857"/>
        <v>0</v>
      </c>
      <c r="AD5439" s="6">
        <f t="shared" si="858"/>
        <v>90067.37000000001</v>
      </c>
      <c r="AE5439" s="14">
        <f>VLOOKUP(I5439,[2]媒体政策预估表!A:N,MATCH(O5439,[2]媒体政策预估表!$A$2:$M$2,0),0)</f>
        <v>7.0000000000000007E-2</v>
      </c>
      <c r="AF5439" s="6">
        <f t="shared" si="854"/>
        <v>6304.7159000000011</v>
      </c>
      <c r="AG5439" s="14">
        <v>0</v>
      </c>
      <c r="AH5439" s="64">
        <f t="shared" si="859"/>
        <v>90067.37000000001</v>
      </c>
      <c r="AI5439" s="47"/>
      <c r="AJ5439" s="126" t="e">
        <v>#N/A</v>
      </c>
      <c r="AK5439" s="80">
        <f t="shared" si="853"/>
        <v>0</v>
      </c>
      <c r="AL5439" s="85"/>
      <c r="AM5439" s="85"/>
    </row>
    <row r="5440" spans="1:39" s="86" customFormat="1" ht="13.25" hidden="1" customHeight="1" x14ac:dyDescent="0.3">
      <c r="A5440" s="89" t="s">
        <v>3794</v>
      </c>
      <c r="B5440" s="86" t="s">
        <v>35</v>
      </c>
      <c r="C5440" s="86" t="s">
        <v>164</v>
      </c>
      <c r="D5440" s="86" t="s">
        <v>305</v>
      </c>
      <c r="E5440" s="86" t="s">
        <v>2129</v>
      </c>
      <c r="F5440" s="86" t="s">
        <v>2129</v>
      </c>
      <c r="G5440" s="86" t="s">
        <v>2129</v>
      </c>
      <c r="H5440" s="144">
        <v>62</v>
      </c>
      <c r="I5440" s="86" t="s">
        <v>408</v>
      </c>
      <c r="J5440" s="1" t="s">
        <v>3324</v>
      </c>
      <c r="K5440" s="1" t="s">
        <v>3278</v>
      </c>
      <c r="L5440" s="1" t="s">
        <v>35</v>
      </c>
      <c r="M5440" s="86" t="s">
        <v>613</v>
      </c>
      <c r="O5440" s="47" t="s">
        <v>410</v>
      </c>
      <c r="P5440" s="47" t="s">
        <v>41</v>
      </c>
      <c r="Q5440" s="14">
        <v>0</v>
      </c>
      <c r="R5440" s="143">
        <v>1000045024</v>
      </c>
      <c r="S5440" s="47"/>
      <c r="T5440" s="6">
        <v>0</v>
      </c>
      <c r="U5440" s="6">
        <v>700000</v>
      </c>
      <c r="V5440" s="6">
        <v>515995.84999999986</v>
      </c>
      <c r="W5440" s="6">
        <f t="shared" si="856"/>
        <v>184004.15000000014</v>
      </c>
      <c r="X5440" s="6">
        <f t="shared" si="855"/>
        <v>515995.84999999986</v>
      </c>
      <c r="Y5440" s="13">
        <f t="shared" si="851"/>
        <v>0</v>
      </c>
      <c r="Z5440" s="66">
        <v>0</v>
      </c>
      <c r="AA5440" s="6">
        <v>0</v>
      </c>
      <c r="AB5440" s="4">
        <f t="shared" si="852"/>
        <v>515995.84999999986</v>
      </c>
      <c r="AC5440" s="6">
        <f t="shared" si="857"/>
        <v>0</v>
      </c>
      <c r="AD5440" s="6">
        <f t="shared" si="858"/>
        <v>515995.84999999986</v>
      </c>
      <c r="AE5440" s="14">
        <f>VLOOKUP(I5440,[2]媒体政策预估表!A:N,MATCH(O5440,[2]媒体政策预估表!$A$2:$M$2,0),0)</f>
        <v>7.0000000000000007E-2</v>
      </c>
      <c r="AF5440" s="6">
        <f t="shared" si="854"/>
        <v>36119.709499999997</v>
      </c>
      <c r="AG5440" s="14">
        <v>0</v>
      </c>
      <c r="AH5440" s="64">
        <f t="shared" si="859"/>
        <v>515995.84999999986</v>
      </c>
      <c r="AI5440" s="47"/>
      <c r="AJ5440" s="126" t="e">
        <v>#N/A</v>
      </c>
      <c r="AK5440" s="80">
        <f t="shared" si="853"/>
        <v>0</v>
      </c>
      <c r="AL5440" s="85"/>
      <c r="AM5440" s="85"/>
    </row>
    <row r="5441" spans="1:39" s="86" customFormat="1" ht="13.25" hidden="1" customHeight="1" x14ac:dyDescent="0.3">
      <c r="A5441" s="89" t="s">
        <v>3792</v>
      </c>
      <c r="B5441" s="86" t="s">
        <v>35</v>
      </c>
      <c r="C5441" s="86" t="s">
        <v>164</v>
      </c>
      <c r="D5441" s="86" t="s">
        <v>305</v>
      </c>
      <c r="E5441" s="86" t="s">
        <v>3819</v>
      </c>
      <c r="F5441" s="86" t="s">
        <v>3005</v>
      </c>
      <c r="G5441" s="86" t="s">
        <v>3006</v>
      </c>
      <c r="H5441" s="144">
        <v>62</v>
      </c>
      <c r="I5441" s="86" t="s">
        <v>408</v>
      </c>
      <c r="J5441" s="1" t="s">
        <v>3324</v>
      </c>
      <c r="K5441" s="1" t="s">
        <v>3278</v>
      </c>
      <c r="L5441" s="1" t="s">
        <v>35</v>
      </c>
      <c r="M5441" s="86" t="s">
        <v>3820</v>
      </c>
      <c r="O5441" s="47" t="s">
        <v>410</v>
      </c>
      <c r="P5441" s="47" t="s">
        <v>41</v>
      </c>
      <c r="Q5441" s="14">
        <v>0</v>
      </c>
      <c r="R5441" s="143">
        <v>1000085209</v>
      </c>
      <c r="S5441" s="47"/>
      <c r="T5441" s="6">
        <v>0</v>
      </c>
      <c r="U5441" s="6">
        <v>500000</v>
      </c>
      <c r="V5441" s="6">
        <v>235807.24</v>
      </c>
      <c r="W5441" s="6">
        <f t="shared" si="856"/>
        <v>264192.76</v>
      </c>
      <c r="X5441" s="6">
        <f t="shared" si="855"/>
        <v>235807.24</v>
      </c>
      <c r="Y5441" s="13">
        <f t="shared" si="851"/>
        <v>0</v>
      </c>
      <c r="Z5441" s="66">
        <v>0</v>
      </c>
      <c r="AA5441" s="6">
        <v>0</v>
      </c>
      <c r="AB5441" s="4">
        <f t="shared" si="852"/>
        <v>235807.24</v>
      </c>
      <c r="AC5441" s="6">
        <f t="shared" si="857"/>
        <v>0</v>
      </c>
      <c r="AD5441" s="6">
        <f t="shared" si="858"/>
        <v>235807.24</v>
      </c>
      <c r="AE5441" s="14">
        <f>VLOOKUP(I5441,[2]媒体政策预估表!A:N,MATCH(O5441,[2]媒体政策预估表!$A$2:$M$2,0),0)</f>
        <v>7.0000000000000007E-2</v>
      </c>
      <c r="AF5441" s="6">
        <f t="shared" si="854"/>
        <v>16506.506799999999</v>
      </c>
      <c r="AG5441" s="14">
        <v>0</v>
      </c>
      <c r="AH5441" s="64">
        <f t="shared" si="859"/>
        <v>235807.24</v>
      </c>
      <c r="AI5441" s="47"/>
      <c r="AJ5441" s="126" t="e">
        <v>#N/A</v>
      </c>
      <c r="AK5441" s="80">
        <f t="shared" si="853"/>
        <v>0</v>
      </c>
      <c r="AL5441" s="85"/>
      <c r="AM5441" s="85"/>
    </row>
    <row r="5442" spans="1:39" s="86" customFormat="1" ht="13.25" hidden="1" customHeight="1" x14ac:dyDescent="0.3">
      <c r="A5442" s="89" t="s">
        <v>3792</v>
      </c>
      <c r="B5442" s="86" t="s">
        <v>35</v>
      </c>
      <c r="C5442" s="86" t="s">
        <v>164</v>
      </c>
      <c r="D5442" s="86" t="s">
        <v>305</v>
      </c>
      <c r="E5442" s="86" t="s">
        <v>623</v>
      </c>
      <c r="F5442" s="86" t="s">
        <v>623</v>
      </c>
      <c r="G5442" s="86" t="s">
        <v>623</v>
      </c>
      <c r="H5442" s="144">
        <v>62</v>
      </c>
      <c r="I5442" s="86" t="s">
        <v>408</v>
      </c>
      <c r="J5442" s="1" t="s">
        <v>3324</v>
      </c>
      <c r="K5442" s="1" t="s">
        <v>3278</v>
      </c>
      <c r="L5442" s="1" t="s">
        <v>35</v>
      </c>
      <c r="M5442" s="86" t="s">
        <v>624</v>
      </c>
      <c r="O5442" s="47" t="s">
        <v>410</v>
      </c>
      <c r="P5442" s="47" t="s">
        <v>41</v>
      </c>
      <c r="Q5442" s="14">
        <v>0</v>
      </c>
      <c r="R5442" s="143">
        <v>1000003199</v>
      </c>
      <c r="S5442" s="47"/>
      <c r="T5442" s="6">
        <v>40165.920000000042</v>
      </c>
      <c r="U5442" s="6">
        <v>250000</v>
      </c>
      <c r="V5442" s="6">
        <v>273464.23</v>
      </c>
      <c r="W5442" s="6">
        <f t="shared" si="856"/>
        <v>16701.690000000061</v>
      </c>
      <c r="X5442" s="6">
        <f t="shared" si="855"/>
        <v>273464.23</v>
      </c>
      <c r="Y5442" s="13">
        <f t="shared" si="851"/>
        <v>0</v>
      </c>
      <c r="Z5442" s="66">
        <v>0</v>
      </c>
      <c r="AA5442" s="6">
        <v>0</v>
      </c>
      <c r="AB5442" s="4">
        <f t="shared" si="852"/>
        <v>273464.23</v>
      </c>
      <c r="AC5442" s="6">
        <f t="shared" si="857"/>
        <v>0</v>
      </c>
      <c r="AD5442" s="6">
        <f t="shared" si="858"/>
        <v>273464.23</v>
      </c>
      <c r="AE5442" s="14">
        <f>VLOOKUP(I5442,[2]媒体政策预估表!A:N,MATCH(O5442,[2]媒体政策预估表!$A$2:$M$2,0),0)</f>
        <v>7.0000000000000007E-2</v>
      </c>
      <c r="AF5442" s="6">
        <f t="shared" si="854"/>
        <v>19142.4961</v>
      </c>
      <c r="AG5442" s="14">
        <v>0</v>
      </c>
      <c r="AH5442" s="64">
        <f t="shared" si="859"/>
        <v>273464.23</v>
      </c>
      <c r="AI5442" s="47"/>
      <c r="AJ5442" s="126" t="e">
        <v>#N/A</v>
      </c>
      <c r="AK5442" s="80">
        <f t="shared" si="853"/>
        <v>0</v>
      </c>
      <c r="AL5442" s="85"/>
      <c r="AM5442" s="85"/>
    </row>
    <row r="5443" spans="1:39" s="86" customFormat="1" ht="13.25" hidden="1" customHeight="1" x14ac:dyDescent="0.3">
      <c r="A5443" s="89" t="s">
        <v>3796</v>
      </c>
      <c r="B5443" s="86" t="s">
        <v>35</v>
      </c>
      <c r="C5443" s="86" t="s">
        <v>164</v>
      </c>
      <c r="D5443" s="86" t="s">
        <v>305</v>
      </c>
      <c r="E5443" s="86" t="s">
        <v>3459</v>
      </c>
      <c r="F5443" s="86" t="s">
        <v>3459</v>
      </c>
      <c r="G5443" s="86" t="s">
        <v>3459</v>
      </c>
      <c r="H5443" s="144">
        <v>62</v>
      </c>
      <c r="I5443" s="86" t="s">
        <v>408</v>
      </c>
      <c r="J5443" s="1" t="s">
        <v>3324</v>
      </c>
      <c r="K5443" s="1" t="s">
        <v>3278</v>
      </c>
      <c r="L5443" s="1" t="s">
        <v>35</v>
      </c>
      <c r="M5443" s="86" t="s">
        <v>3821</v>
      </c>
      <c r="O5443" s="47" t="s">
        <v>410</v>
      </c>
      <c r="P5443" s="47" t="s">
        <v>46</v>
      </c>
      <c r="Q5443" s="14">
        <v>0.02</v>
      </c>
      <c r="R5443" s="143">
        <v>1000104690</v>
      </c>
      <c r="S5443" s="47"/>
      <c r="T5443" s="6">
        <v>0</v>
      </c>
      <c r="U5443" s="6">
        <v>32516.05</v>
      </c>
      <c r="V5443" s="6">
        <v>23857.569999999996</v>
      </c>
      <c r="W5443" s="6">
        <f t="shared" si="856"/>
        <v>8658.4800000000032</v>
      </c>
      <c r="X5443" s="6">
        <f t="shared" si="855"/>
        <v>23389.774509803916</v>
      </c>
      <c r="Y5443" s="13">
        <f t="shared" ref="Y5443:Y5506" si="860">IF(X5443-AD5443&lt;=0,0,IF(P5443="返现",MAX(X5443-AC5443-AD5443,0),MAX(X5443-AD5443)))</f>
        <v>0</v>
      </c>
      <c r="Z5443" s="66">
        <v>0</v>
      </c>
      <c r="AA5443" s="6">
        <v>0</v>
      </c>
      <c r="AB5443" s="4">
        <f t="shared" ref="AB5443:AB5506" si="861">X5443+AA5443</f>
        <v>23389.774509803916</v>
      </c>
      <c r="AC5443" s="6">
        <f t="shared" si="857"/>
        <v>467.79549019608021</v>
      </c>
      <c r="AD5443" s="6">
        <f t="shared" si="858"/>
        <v>23857.569999999996</v>
      </c>
      <c r="AE5443" s="14">
        <f>VLOOKUP(I5443,[2]媒体政策预估表!A:N,MATCH(O5443,[2]媒体政策预估表!$A$2:$M$2,0),0)</f>
        <v>7.0000000000000007E-2</v>
      </c>
      <c r="AF5443" s="6">
        <f t="shared" si="854"/>
        <v>1670.0298999999998</v>
      </c>
      <c r="AG5443" s="14">
        <v>0</v>
      </c>
      <c r="AH5443" s="64">
        <f t="shared" si="859"/>
        <v>23857.569999999996</v>
      </c>
      <c r="AI5443" s="47"/>
      <c r="AJ5443" s="126" t="e">
        <v>#N/A</v>
      </c>
      <c r="AK5443" s="80">
        <f t="shared" ref="AK5443:AK5506" si="862">X5443+AA5443-AB5443</f>
        <v>0</v>
      </c>
      <c r="AL5443" s="85"/>
      <c r="AM5443" s="85"/>
    </row>
    <row r="5444" spans="1:39" s="86" customFormat="1" ht="13.25" hidden="1" customHeight="1" x14ac:dyDescent="0.3">
      <c r="A5444" s="89" t="s">
        <v>3792</v>
      </c>
      <c r="B5444" s="86" t="s">
        <v>35</v>
      </c>
      <c r="C5444" s="86" t="s">
        <v>164</v>
      </c>
      <c r="D5444" s="86" t="s">
        <v>305</v>
      </c>
      <c r="E5444" s="86" t="s">
        <v>3459</v>
      </c>
      <c r="F5444" s="86" t="s">
        <v>3459</v>
      </c>
      <c r="G5444" s="86" t="s">
        <v>3459</v>
      </c>
      <c r="H5444" s="143">
        <v>62</v>
      </c>
      <c r="I5444" s="86" t="s">
        <v>408</v>
      </c>
      <c r="J5444" s="1" t="s">
        <v>3324</v>
      </c>
      <c r="K5444" s="1" t="s">
        <v>3278</v>
      </c>
      <c r="L5444" s="1" t="s">
        <v>35</v>
      </c>
      <c r="M5444" s="86" t="s">
        <v>626</v>
      </c>
      <c r="O5444" s="47" t="s">
        <v>410</v>
      </c>
      <c r="P5444" s="47" t="s">
        <v>46</v>
      </c>
      <c r="Q5444" s="14">
        <v>0.02</v>
      </c>
      <c r="R5444" s="143">
        <v>1000099999</v>
      </c>
      <c r="S5444" s="47"/>
      <c r="T5444" s="6">
        <v>32516.050000000007</v>
      </c>
      <c r="U5444" s="6">
        <v>-32516.05</v>
      </c>
      <c r="V5444" s="6">
        <v>0</v>
      </c>
      <c r="W5444" s="6">
        <f t="shared" si="856"/>
        <v>7.2759576141834259E-12</v>
      </c>
      <c r="X5444" s="6">
        <f t="shared" si="855"/>
        <v>0</v>
      </c>
      <c r="Y5444" s="13">
        <f t="shared" si="860"/>
        <v>0</v>
      </c>
      <c r="Z5444" s="66">
        <v>0</v>
      </c>
      <c r="AA5444" s="6">
        <v>0</v>
      </c>
      <c r="AB5444" s="4">
        <f t="shared" si="861"/>
        <v>0</v>
      </c>
      <c r="AC5444" s="6">
        <f t="shared" si="857"/>
        <v>0</v>
      </c>
      <c r="AD5444" s="6">
        <f t="shared" si="858"/>
        <v>0</v>
      </c>
      <c r="AE5444" s="14">
        <f>VLOOKUP(I5444,[2]媒体政策预估表!A:N,MATCH(O5444,[2]媒体政策预估表!$A$2:$M$2,0),0)</f>
        <v>7.0000000000000007E-2</v>
      </c>
      <c r="AF5444" s="6">
        <f t="shared" si="854"/>
        <v>0</v>
      </c>
      <c r="AG5444" s="14">
        <v>0</v>
      </c>
      <c r="AH5444" s="64">
        <f t="shared" si="859"/>
        <v>0</v>
      </c>
      <c r="AI5444" s="47"/>
      <c r="AJ5444" s="126" t="e">
        <v>#N/A</v>
      </c>
      <c r="AK5444" s="80">
        <f t="shared" si="862"/>
        <v>0</v>
      </c>
      <c r="AL5444" s="85"/>
      <c r="AM5444" s="85"/>
    </row>
    <row r="5445" spans="1:39" s="86" customFormat="1" ht="13.25" hidden="1" customHeight="1" x14ac:dyDescent="0.3">
      <c r="A5445" s="89" t="s">
        <v>3794</v>
      </c>
      <c r="B5445" s="86" t="s">
        <v>35</v>
      </c>
      <c r="C5445" s="86" t="s">
        <v>164</v>
      </c>
      <c r="D5445" s="86" t="s">
        <v>305</v>
      </c>
      <c r="E5445" s="86" t="s">
        <v>1570</v>
      </c>
      <c r="F5445" s="86" t="s">
        <v>1570</v>
      </c>
      <c r="G5445" s="86" t="s">
        <v>1570</v>
      </c>
      <c r="H5445" s="144">
        <v>62</v>
      </c>
      <c r="I5445" s="86" t="s">
        <v>408</v>
      </c>
      <c r="J5445" s="1" t="s">
        <v>3324</v>
      </c>
      <c r="K5445" s="1" t="s">
        <v>3278</v>
      </c>
      <c r="L5445" s="1" t="s">
        <v>35</v>
      </c>
      <c r="M5445" s="86" t="s">
        <v>3458</v>
      </c>
      <c r="O5445" s="47" t="s">
        <v>410</v>
      </c>
      <c r="P5445" s="47" t="s">
        <v>41</v>
      </c>
      <c r="Q5445" s="14">
        <v>0</v>
      </c>
      <c r="R5445" s="143">
        <v>1000102418</v>
      </c>
      <c r="S5445" s="47"/>
      <c r="T5445" s="6">
        <v>7222.4199999999983</v>
      </c>
      <c r="U5445" s="6">
        <v>45000</v>
      </c>
      <c r="V5445" s="6">
        <v>42551.509999999987</v>
      </c>
      <c r="W5445" s="6">
        <f t="shared" si="856"/>
        <v>9670.9100000000108</v>
      </c>
      <c r="X5445" s="6">
        <f t="shared" si="855"/>
        <v>42551.509999999987</v>
      </c>
      <c r="Y5445" s="13">
        <f t="shared" si="860"/>
        <v>0</v>
      </c>
      <c r="Z5445" s="66">
        <v>0</v>
      </c>
      <c r="AA5445" s="6">
        <v>0</v>
      </c>
      <c r="AB5445" s="4">
        <f t="shared" si="861"/>
        <v>42551.509999999987</v>
      </c>
      <c r="AC5445" s="6">
        <f t="shared" si="857"/>
        <v>0</v>
      </c>
      <c r="AD5445" s="6">
        <f t="shared" si="858"/>
        <v>42551.509999999987</v>
      </c>
      <c r="AE5445" s="14">
        <f>VLOOKUP(I5445,[2]媒体政策预估表!A:N,MATCH(O5445,[2]媒体政策预估表!$A$2:$M$2,0),0)</f>
        <v>7.0000000000000007E-2</v>
      </c>
      <c r="AF5445" s="6">
        <f t="shared" si="854"/>
        <v>2978.6056999999996</v>
      </c>
      <c r="AG5445" s="14">
        <v>0</v>
      </c>
      <c r="AH5445" s="64">
        <f t="shared" si="859"/>
        <v>42551.509999999987</v>
      </c>
      <c r="AI5445" s="47"/>
      <c r="AJ5445" s="126" t="e">
        <v>#N/A</v>
      </c>
      <c r="AK5445" s="80">
        <f t="shared" si="862"/>
        <v>0</v>
      </c>
      <c r="AL5445" s="85"/>
      <c r="AM5445" s="85"/>
    </row>
    <row r="5446" spans="1:39" s="86" customFormat="1" ht="13.25" hidden="1" customHeight="1" x14ac:dyDescent="0.3">
      <c r="A5446" s="89" t="s">
        <v>3794</v>
      </c>
      <c r="B5446" s="86" t="s">
        <v>35</v>
      </c>
      <c r="C5446" s="86" t="s">
        <v>164</v>
      </c>
      <c r="D5446" s="86" t="s">
        <v>305</v>
      </c>
      <c r="E5446" s="86" t="s">
        <v>1570</v>
      </c>
      <c r="F5446" s="86" t="s">
        <v>1570</v>
      </c>
      <c r="G5446" s="86" t="s">
        <v>1570</v>
      </c>
      <c r="H5446" s="144">
        <v>62</v>
      </c>
      <c r="I5446" s="86" t="s">
        <v>408</v>
      </c>
      <c r="J5446" s="1" t="s">
        <v>3324</v>
      </c>
      <c r="K5446" s="1" t="s">
        <v>3278</v>
      </c>
      <c r="L5446" s="1" t="s">
        <v>35</v>
      </c>
      <c r="M5446" s="86" t="s">
        <v>3822</v>
      </c>
      <c r="O5446" s="47" t="s">
        <v>410</v>
      </c>
      <c r="P5446" s="47" t="s">
        <v>41</v>
      </c>
      <c r="Q5446" s="14">
        <v>0</v>
      </c>
      <c r="R5446" s="143">
        <v>1000105020</v>
      </c>
      <c r="S5446" s="47"/>
      <c r="T5446" s="6">
        <v>0</v>
      </c>
      <c r="U5446" s="6">
        <v>10000</v>
      </c>
      <c r="V5446" s="6">
        <v>5200.2</v>
      </c>
      <c r="W5446" s="6">
        <f t="shared" si="856"/>
        <v>4799.8</v>
      </c>
      <c r="X5446" s="6">
        <f t="shared" si="855"/>
        <v>5200.2</v>
      </c>
      <c r="Y5446" s="13">
        <f t="shared" si="860"/>
        <v>0</v>
      </c>
      <c r="Z5446" s="66">
        <v>0</v>
      </c>
      <c r="AA5446" s="6">
        <v>0</v>
      </c>
      <c r="AB5446" s="4">
        <f t="shared" si="861"/>
        <v>5200.2</v>
      </c>
      <c r="AC5446" s="6">
        <f t="shared" si="857"/>
        <v>0</v>
      </c>
      <c r="AD5446" s="6">
        <f t="shared" si="858"/>
        <v>5200.2</v>
      </c>
      <c r="AE5446" s="14">
        <f>VLOOKUP(I5446,[2]媒体政策预估表!A:N,MATCH(O5446,[2]媒体政策预估表!$A$2:$M$2,0),0)</f>
        <v>7.0000000000000007E-2</v>
      </c>
      <c r="AF5446" s="6">
        <f t="shared" si="854"/>
        <v>364.01400000000001</v>
      </c>
      <c r="AG5446" s="14">
        <v>0</v>
      </c>
      <c r="AH5446" s="64">
        <f t="shared" si="859"/>
        <v>5200.2</v>
      </c>
      <c r="AI5446" s="47"/>
      <c r="AJ5446" s="126" t="e">
        <v>#N/A</v>
      </c>
      <c r="AK5446" s="80">
        <f t="shared" si="862"/>
        <v>0</v>
      </c>
      <c r="AL5446" s="85"/>
      <c r="AM5446" s="85"/>
    </row>
    <row r="5447" spans="1:39" s="86" customFormat="1" ht="13.25" hidden="1" customHeight="1" x14ac:dyDescent="0.3">
      <c r="A5447" s="89" t="s">
        <v>3792</v>
      </c>
      <c r="B5447" s="86" t="s">
        <v>35</v>
      </c>
      <c r="C5447" s="86" t="s">
        <v>164</v>
      </c>
      <c r="D5447" s="86" t="s">
        <v>169</v>
      </c>
      <c r="E5447" s="86" t="s">
        <v>628</v>
      </c>
      <c r="F5447" s="86" t="s">
        <v>628</v>
      </c>
      <c r="G5447" s="86" t="s">
        <v>628</v>
      </c>
      <c r="H5447" s="144">
        <v>62</v>
      </c>
      <c r="I5447" s="86" t="s">
        <v>408</v>
      </c>
      <c r="J5447" s="1" t="s">
        <v>3324</v>
      </c>
      <c r="K5447" s="1" t="s">
        <v>3278</v>
      </c>
      <c r="L5447" s="1" t="s">
        <v>35</v>
      </c>
      <c r="M5447" s="86" t="s">
        <v>629</v>
      </c>
      <c r="O5447" s="47" t="s">
        <v>410</v>
      </c>
      <c r="P5447" s="47" t="s">
        <v>46</v>
      </c>
      <c r="Q5447" s="14">
        <v>0.04</v>
      </c>
      <c r="R5447" s="143">
        <v>1000048305</v>
      </c>
      <c r="S5447" s="47"/>
      <c r="T5447" s="6">
        <v>889856.20000000298</v>
      </c>
      <c r="U5447" s="6">
        <v>7320000</v>
      </c>
      <c r="V5447" s="6">
        <v>7669906.0599999996</v>
      </c>
      <c r="W5447" s="6">
        <f t="shared" si="856"/>
        <v>539950.14000000339</v>
      </c>
      <c r="X5447" s="6">
        <f t="shared" si="855"/>
        <v>7374909.6730769221</v>
      </c>
      <c r="Y5447" s="13">
        <f t="shared" si="860"/>
        <v>0</v>
      </c>
      <c r="Z5447" s="66">
        <v>0</v>
      </c>
      <c r="AA5447" s="6">
        <v>0</v>
      </c>
      <c r="AB5447" s="4">
        <f t="shared" si="861"/>
        <v>7374909.6730769221</v>
      </c>
      <c r="AC5447" s="6">
        <f t="shared" si="857"/>
        <v>294996.38692307752</v>
      </c>
      <c r="AD5447" s="6">
        <f t="shared" si="858"/>
        <v>7669906.0599999996</v>
      </c>
      <c r="AE5447" s="14">
        <f>VLOOKUP(I5447,[2]媒体政策预估表!A:N,MATCH(O5447,[2]媒体政策预估表!$A$2:$M$2,0),0)</f>
        <v>7.0000000000000007E-2</v>
      </c>
      <c r="AF5447" s="6">
        <f t="shared" si="854"/>
        <v>536893.42420000001</v>
      </c>
      <c r="AG5447" s="14">
        <v>0</v>
      </c>
      <c r="AH5447" s="64">
        <f t="shared" si="859"/>
        <v>7669906.0599999996</v>
      </c>
      <c r="AI5447" s="47"/>
      <c r="AJ5447" s="126" t="e">
        <v>#N/A</v>
      </c>
      <c r="AK5447" s="80">
        <f t="shared" si="862"/>
        <v>0</v>
      </c>
      <c r="AL5447" s="85"/>
      <c r="AM5447" s="85"/>
    </row>
    <row r="5448" spans="1:39" s="86" customFormat="1" ht="13.25" hidden="1" customHeight="1" x14ac:dyDescent="0.3">
      <c r="A5448" s="89" t="s">
        <v>3794</v>
      </c>
      <c r="B5448" s="86" t="s">
        <v>35</v>
      </c>
      <c r="C5448" s="86" t="s">
        <v>164</v>
      </c>
      <c r="D5448" s="86" t="s">
        <v>169</v>
      </c>
      <c r="E5448" s="86" t="s">
        <v>632</v>
      </c>
      <c r="F5448" s="86" t="s">
        <v>632</v>
      </c>
      <c r="G5448" s="86" t="s">
        <v>632</v>
      </c>
      <c r="H5448" s="144">
        <v>62</v>
      </c>
      <c r="I5448" s="86" t="s">
        <v>408</v>
      </c>
      <c r="J5448" s="1" t="s">
        <v>3324</v>
      </c>
      <c r="K5448" s="1" t="s">
        <v>3278</v>
      </c>
      <c r="L5448" s="1" t="s">
        <v>35</v>
      </c>
      <c r="M5448" s="86" t="s">
        <v>633</v>
      </c>
      <c r="O5448" s="47" t="s">
        <v>410</v>
      </c>
      <c r="P5448" s="47" t="s">
        <v>41</v>
      </c>
      <c r="Q5448" s="14">
        <v>0</v>
      </c>
      <c r="R5448" s="143">
        <v>1000004605</v>
      </c>
      <c r="S5448" s="47"/>
      <c r="T5448" s="6">
        <v>3437.3099999999977</v>
      </c>
      <c r="U5448" s="6">
        <v>110000</v>
      </c>
      <c r="V5448" s="6">
        <v>73346.369999999981</v>
      </c>
      <c r="W5448" s="6">
        <f t="shared" si="856"/>
        <v>40090.940000000017</v>
      </c>
      <c r="X5448" s="6">
        <f t="shared" si="855"/>
        <v>73346.369999999981</v>
      </c>
      <c r="Y5448" s="13">
        <f t="shared" si="860"/>
        <v>0</v>
      </c>
      <c r="Z5448" s="66">
        <v>0</v>
      </c>
      <c r="AA5448" s="6">
        <v>0</v>
      </c>
      <c r="AB5448" s="4">
        <f t="shared" si="861"/>
        <v>73346.369999999981</v>
      </c>
      <c r="AC5448" s="6">
        <f t="shared" si="857"/>
        <v>0</v>
      </c>
      <c r="AD5448" s="6">
        <f t="shared" si="858"/>
        <v>73346.369999999981</v>
      </c>
      <c r="AE5448" s="14">
        <f>VLOOKUP(I5448,[2]媒体政策预估表!A:N,MATCH(O5448,[2]媒体政策预估表!$A$2:$M$2,0),0)</f>
        <v>7.0000000000000007E-2</v>
      </c>
      <c r="AF5448" s="6">
        <f t="shared" si="854"/>
        <v>5134.245899999999</v>
      </c>
      <c r="AG5448" s="14">
        <v>0</v>
      </c>
      <c r="AH5448" s="64">
        <f t="shared" si="859"/>
        <v>73346.369999999981</v>
      </c>
      <c r="AI5448" s="47"/>
      <c r="AJ5448" s="126" t="e">
        <v>#N/A</v>
      </c>
      <c r="AK5448" s="80">
        <f t="shared" si="862"/>
        <v>0</v>
      </c>
      <c r="AL5448" s="85"/>
      <c r="AM5448" s="85"/>
    </row>
    <row r="5449" spans="1:39" s="86" customFormat="1" ht="13.25" hidden="1" customHeight="1" x14ac:dyDescent="0.3">
      <c r="A5449" s="89" t="s">
        <v>3792</v>
      </c>
      <c r="B5449" s="86" t="s">
        <v>35</v>
      </c>
      <c r="C5449" s="86" t="s">
        <v>164</v>
      </c>
      <c r="D5449" s="86" t="s">
        <v>169</v>
      </c>
      <c r="E5449" s="86" t="s">
        <v>634</v>
      </c>
      <c r="F5449" s="86" t="s">
        <v>634</v>
      </c>
      <c r="G5449" s="86" t="s">
        <v>634</v>
      </c>
      <c r="H5449" s="144">
        <v>62</v>
      </c>
      <c r="I5449" s="86" t="s">
        <v>408</v>
      </c>
      <c r="J5449" s="1" t="s">
        <v>3324</v>
      </c>
      <c r="K5449" s="1" t="s">
        <v>3278</v>
      </c>
      <c r="L5449" s="1" t="s">
        <v>35</v>
      </c>
      <c r="M5449" s="86" t="s">
        <v>635</v>
      </c>
      <c r="O5449" s="47" t="s">
        <v>410</v>
      </c>
      <c r="P5449" s="47" t="s">
        <v>41</v>
      </c>
      <c r="Q5449" s="14">
        <v>0</v>
      </c>
      <c r="R5449" s="143">
        <v>1000069049</v>
      </c>
      <c r="S5449" s="47"/>
      <c r="T5449" s="6">
        <v>22694.01999999996</v>
      </c>
      <c r="U5449" s="6">
        <v>170000</v>
      </c>
      <c r="V5449" s="6">
        <v>153256.35999999996</v>
      </c>
      <c r="W5449" s="6">
        <f t="shared" si="856"/>
        <v>39437.660000000003</v>
      </c>
      <c r="X5449" s="6">
        <f t="shared" si="855"/>
        <v>153256.35999999996</v>
      </c>
      <c r="Y5449" s="13">
        <f t="shared" si="860"/>
        <v>0</v>
      </c>
      <c r="Z5449" s="66">
        <v>0</v>
      </c>
      <c r="AA5449" s="6">
        <v>0</v>
      </c>
      <c r="AB5449" s="4">
        <f t="shared" si="861"/>
        <v>153256.35999999996</v>
      </c>
      <c r="AC5449" s="6">
        <f t="shared" si="857"/>
        <v>0</v>
      </c>
      <c r="AD5449" s="6">
        <f t="shared" si="858"/>
        <v>153256.35999999996</v>
      </c>
      <c r="AE5449" s="14">
        <f>VLOOKUP(I5449,[2]媒体政策预估表!A:N,MATCH(O5449,[2]媒体政策预估表!$A$2:$M$2,0),0)</f>
        <v>7.0000000000000007E-2</v>
      </c>
      <c r="AF5449" s="6">
        <f t="shared" si="854"/>
        <v>10727.945199999998</v>
      </c>
      <c r="AG5449" s="14">
        <v>0</v>
      </c>
      <c r="AH5449" s="64">
        <f t="shared" si="859"/>
        <v>153256.35999999996</v>
      </c>
      <c r="AI5449" s="47"/>
      <c r="AJ5449" s="126" t="e">
        <v>#N/A</v>
      </c>
      <c r="AK5449" s="80">
        <f t="shared" si="862"/>
        <v>0</v>
      </c>
      <c r="AL5449" s="85"/>
      <c r="AM5449" s="85"/>
    </row>
    <row r="5450" spans="1:39" s="86" customFormat="1" ht="13.25" hidden="1" customHeight="1" x14ac:dyDescent="0.3">
      <c r="A5450" s="89" t="s">
        <v>3806</v>
      </c>
      <c r="B5450" s="86" t="s">
        <v>35</v>
      </c>
      <c r="C5450" s="86" t="s">
        <v>164</v>
      </c>
      <c r="D5450" s="86" t="s">
        <v>169</v>
      </c>
      <c r="E5450" s="86" t="s">
        <v>634</v>
      </c>
      <c r="F5450" s="86" t="s">
        <v>634</v>
      </c>
      <c r="G5450" s="86" t="s">
        <v>634</v>
      </c>
      <c r="H5450" s="144">
        <v>62</v>
      </c>
      <c r="I5450" s="86" t="s">
        <v>408</v>
      </c>
      <c r="J5450" s="1" t="s">
        <v>3324</v>
      </c>
      <c r="K5450" s="1" t="s">
        <v>3278</v>
      </c>
      <c r="L5450" s="1" t="s">
        <v>35</v>
      </c>
      <c r="M5450" s="86" t="s">
        <v>636</v>
      </c>
      <c r="O5450" s="47" t="s">
        <v>410</v>
      </c>
      <c r="P5450" s="47" t="s">
        <v>41</v>
      </c>
      <c r="Q5450" s="14">
        <v>0</v>
      </c>
      <c r="R5450" s="143">
        <v>1000068394</v>
      </c>
      <c r="S5450" s="47"/>
      <c r="T5450" s="6">
        <v>22200.75</v>
      </c>
      <c r="U5450" s="6">
        <v>90000</v>
      </c>
      <c r="V5450" s="6">
        <v>92356.290000000008</v>
      </c>
      <c r="W5450" s="6">
        <f t="shared" si="856"/>
        <v>19844.459999999992</v>
      </c>
      <c r="X5450" s="6">
        <f t="shared" si="855"/>
        <v>92356.290000000008</v>
      </c>
      <c r="Y5450" s="13">
        <f t="shared" si="860"/>
        <v>0</v>
      </c>
      <c r="Z5450" s="66">
        <v>0</v>
      </c>
      <c r="AA5450" s="6">
        <v>0</v>
      </c>
      <c r="AB5450" s="4">
        <f t="shared" si="861"/>
        <v>92356.290000000008</v>
      </c>
      <c r="AC5450" s="6">
        <f t="shared" si="857"/>
        <v>0</v>
      </c>
      <c r="AD5450" s="6">
        <f t="shared" si="858"/>
        <v>92356.290000000008</v>
      </c>
      <c r="AE5450" s="14">
        <f>VLOOKUP(I5450,[2]媒体政策预估表!A:N,MATCH(O5450,[2]媒体政策预估表!$A$2:$M$2,0),0)</f>
        <v>7.0000000000000007E-2</v>
      </c>
      <c r="AF5450" s="6">
        <f t="shared" si="854"/>
        <v>6464.9403000000011</v>
      </c>
      <c r="AG5450" s="14">
        <v>0</v>
      </c>
      <c r="AH5450" s="64">
        <f t="shared" si="859"/>
        <v>92356.290000000008</v>
      </c>
      <c r="AI5450" s="47"/>
      <c r="AJ5450" s="126" t="e">
        <v>#N/A</v>
      </c>
      <c r="AK5450" s="80">
        <f t="shared" si="862"/>
        <v>0</v>
      </c>
      <c r="AL5450" s="85"/>
      <c r="AM5450" s="85"/>
    </row>
    <row r="5451" spans="1:39" s="86" customFormat="1" ht="13.25" hidden="1" customHeight="1" x14ac:dyDescent="0.3">
      <c r="A5451" s="89" t="s">
        <v>3792</v>
      </c>
      <c r="B5451" s="86" t="s">
        <v>35</v>
      </c>
      <c r="C5451" s="86" t="s">
        <v>164</v>
      </c>
      <c r="D5451" s="86" t="s">
        <v>174</v>
      </c>
      <c r="E5451" s="86" t="s">
        <v>639</v>
      </c>
      <c r="F5451" s="86" t="s">
        <v>639</v>
      </c>
      <c r="G5451" s="86" t="s">
        <v>639</v>
      </c>
      <c r="H5451" s="144">
        <v>62</v>
      </c>
      <c r="I5451" s="86" t="s">
        <v>408</v>
      </c>
      <c r="J5451" s="1" t="s">
        <v>3324</v>
      </c>
      <c r="K5451" s="1" t="s">
        <v>3278</v>
      </c>
      <c r="L5451" s="1" t="s">
        <v>35</v>
      </c>
      <c r="M5451" s="86" t="s">
        <v>640</v>
      </c>
      <c r="O5451" s="47" t="s">
        <v>410</v>
      </c>
      <c r="P5451" s="47" t="s">
        <v>46</v>
      </c>
      <c r="Q5451" s="14">
        <v>0.01</v>
      </c>
      <c r="R5451" s="143">
        <v>1000099998</v>
      </c>
      <c r="S5451" s="47"/>
      <c r="T5451" s="6">
        <v>6745.25</v>
      </c>
      <c r="U5451" s="6">
        <v>10000</v>
      </c>
      <c r="V5451" s="6">
        <v>8594.93</v>
      </c>
      <c r="W5451" s="6">
        <f t="shared" si="856"/>
        <v>8150.32</v>
      </c>
      <c r="X5451" s="6">
        <f t="shared" si="855"/>
        <v>8509.8316831683169</v>
      </c>
      <c r="Y5451" s="13">
        <f t="shared" si="860"/>
        <v>0</v>
      </c>
      <c r="Z5451" s="66">
        <v>0</v>
      </c>
      <c r="AA5451" s="6">
        <v>0</v>
      </c>
      <c r="AB5451" s="4">
        <f t="shared" si="861"/>
        <v>8509.8316831683169</v>
      </c>
      <c r="AC5451" s="6">
        <f t="shared" si="857"/>
        <v>85.098316831683405</v>
      </c>
      <c r="AD5451" s="6">
        <f t="shared" si="858"/>
        <v>8594.93</v>
      </c>
      <c r="AE5451" s="14">
        <f>VLOOKUP(I5451,[2]媒体政策预估表!A:N,MATCH(O5451,[2]媒体政策预估表!$A$2:$M$2,0),0)</f>
        <v>7.0000000000000007E-2</v>
      </c>
      <c r="AF5451" s="6">
        <f t="shared" si="854"/>
        <v>601.64510000000007</v>
      </c>
      <c r="AG5451" s="14">
        <v>0</v>
      </c>
      <c r="AH5451" s="64">
        <f t="shared" si="859"/>
        <v>8594.93</v>
      </c>
      <c r="AI5451" s="47"/>
      <c r="AJ5451" s="126" t="e">
        <v>#N/A</v>
      </c>
      <c r="AK5451" s="80">
        <f t="shared" si="862"/>
        <v>0</v>
      </c>
      <c r="AL5451" s="85"/>
      <c r="AM5451" s="85"/>
    </row>
    <row r="5452" spans="1:39" s="86" customFormat="1" ht="13.25" hidden="1" customHeight="1" x14ac:dyDescent="0.3">
      <c r="A5452" s="89" t="s">
        <v>3805</v>
      </c>
      <c r="B5452" s="86" t="s">
        <v>35</v>
      </c>
      <c r="C5452" s="86" t="s">
        <v>164</v>
      </c>
      <c r="D5452" s="86" t="s">
        <v>174</v>
      </c>
      <c r="E5452" s="86" t="s">
        <v>639</v>
      </c>
      <c r="F5452" s="86" t="s">
        <v>639</v>
      </c>
      <c r="G5452" s="86" t="s">
        <v>639</v>
      </c>
      <c r="H5452" s="144">
        <v>62</v>
      </c>
      <c r="I5452" s="86" t="s">
        <v>408</v>
      </c>
      <c r="J5452" s="1" t="s">
        <v>3324</v>
      </c>
      <c r="K5452" s="1" t="s">
        <v>3278</v>
      </c>
      <c r="L5452" s="1" t="s">
        <v>35</v>
      </c>
      <c r="M5452" s="86" t="s">
        <v>642</v>
      </c>
      <c r="O5452" s="47" t="s">
        <v>410</v>
      </c>
      <c r="P5452" s="47" t="s">
        <v>46</v>
      </c>
      <c r="Q5452" s="14">
        <v>0.01</v>
      </c>
      <c r="R5452" s="143">
        <v>1000092988</v>
      </c>
      <c r="S5452" s="47"/>
      <c r="T5452" s="6">
        <v>43467.600000000035</v>
      </c>
      <c r="U5452" s="6">
        <v>100000</v>
      </c>
      <c r="V5452" s="6">
        <v>130518.15000000002</v>
      </c>
      <c r="W5452" s="6">
        <f t="shared" si="856"/>
        <v>12949.450000000012</v>
      </c>
      <c r="X5452" s="6">
        <f t="shared" si="855"/>
        <v>129225.89108910893</v>
      </c>
      <c r="Y5452" s="13">
        <f t="shared" si="860"/>
        <v>0</v>
      </c>
      <c r="Z5452" s="66">
        <v>0</v>
      </c>
      <c r="AA5452" s="6">
        <v>0</v>
      </c>
      <c r="AB5452" s="4">
        <f t="shared" si="861"/>
        <v>129225.89108910893</v>
      </c>
      <c r="AC5452" s="6">
        <f t="shared" si="857"/>
        <v>1292.2589108910906</v>
      </c>
      <c r="AD5452" s="6">
        <f t="shared" si="858"/>
        <v>130518.15000000002</v>
      </c>
      <c r="AE5452" s="14">
        <f>VLOOKUP(I5452,[2]媒体政策预估表!A:N,MATCH(O5452,[2]媒体政策预估表!$A$2:$M$2,0),0)</f>
        <v>7.0000000000000007E-2</v>
      </c>
      <c r="AF5452" s="6">
        <f t="shared" si="854"/>
        <v>9136.2705000000024</v>
      </c>
      <c r="AG5452" s="14">
        <v>0</v>
      </c>
      <c r="AH5452" s="64">
        <f t="shared" si="859"/>
        <v>130518.15000000002</v>
      </c>
      <c r="AI5452" s="47"/>
      <c r="AJ5452" s="126" t="e">
        <v>#N/A</v>
      </c>
      <c r="AK5452" s="80">
        <f t="shared" si="862"/>
        <v>0</v>
      </c>
      <c r="AL5452" s="85"/>
      <c r="AM5452" s="85"/>
    </row>
    <row r="5453" spans="1:39" s="86" customFormat="1" ht="13.25" hidden="1" customHeight="1" x14ac:dyDescent="0.3">
      <c r="A5453" s="89" t="s">
        <v>3792</v>
      </c>
      <c r="B5453" s="86" t="s">
        <v>35</v>
      </c>
      <c r="C5453" s="86" t="s">
        <v>164</v>
      </c>
      <c r="D5453" s="86" t="s">
        <v>174</v>
      </c>
      <c r="E5453" s="86" t="s">
        <v>639</v>
      </c>
      <c r="F5453" s="86" t="s">
        <v>639</v>
      </c>
      <c r="G5453" s="86" t="s">
        <v>639</v>
      </c>
      <c r="H5453" s="144">
        <v>62</v>
      </c>
      <c r="I5453" s="86" t="s">
        <v>408</v>
      </c>
      <c r="J5453" s="1" t="s">
        <v>3324</v>
      </c>
      <c r="K5453" s="1" t="s">
        <v>3278</v>
      </c>
      <c r="L5453" s="1" t="s">
        <v>35</v>
      </c>
      <c r="M5453" s="86" t="s">
        <v>643</v>
      </c>
      <c r="O5453" s="47" t="s">
        <v>410</v>
      </c>
      <c r="P5453" s="47" t="s">
        <v>46</v>
      </c>
      <c r="Q5453" s="14">
        <v>0.01</v>
      </c>
      <c r="R5453" s="143">
        <v>1000069241</v>
      </c>
      <c r="S5453" s="47"/>
      <c r="T5453" s="6">
        <v>11517.169999999984</v>
      </c>
      <c r="U5453" s="6">
        <v>150000</v>
      </c>
      <c r="V5453" s="6">
        <v>121904.86</v>
      </c>
      <c r="W5453" s="6">
        <f t="shared" si="856"/>
        <v>39612.309999999983</v>
      </c>
      <c r="X5453" s="6">
        <f t="shared" si="855"/>
        <v>120697.88118811882</v>
      </c>
      <c r="Y5453" s="13">
        <f t="shared" si="860"/>
        <v>0</v>
      </c>
      <c r="Z5453" s="66">
        <v>0</v>
      </c>
      <c r="AA5453" s="6">
        <v>0</v>
      </c>
      <c r="AB5453" s="4">
        <f t="shared" si="861"/>
        <v>120697.88118811882</v>
      </c>
      <c r="AC5453" s="6">
        <f t="shared" si="857"/>
        <v>1206.9788118811848</v>
      </c>
      <c r="AD5453" s="6">
        <f t="shared" si="858"/>
        <v>121904.86</v>
      </c>
      <c r="AE5453" s="14">
        <f>VLOOKUP(I5453,[2]媒体政策预估表!A:N,MATCH(O5453,[2]媒体政策预估表!$A$2:$M$2,0),0)</f>
        <v>7.0000000000000007E-2</v>
      </c>
      <c r="AF5453" s="6">
        <f t="shared" si="854"/>
        <v>8533.3402000000006</v>
      </c>
      <c r="AG5453" s="14">
        <v>0</v>
      </c>
      <c r="AH5453" s="64">
        <f t="shared" si="859"/>
        <v>121904.86</v>
      </c>
      <c r="AI5453" s="47"/>
      <c r="AJ5453" s="126" t="e">
        <v>#N/A</v>
      </c>
      <c r="AK5453" s="80">
        <f t="shared" si="862"/>
        <v>0</v>
      </c>
      <c r="AL5453" s="85"/>
      <c r="AM5453" s="85"/>
    </row>
    <row r="5454" spans="1:39" s="86" customFormat="1" ht="13.25" hidden="1" customHeight="1" x14ac:dyDescent="0.3">
      <c r="A5454" s="89" t="s">
        <v>3792</v>
      </c>
      <c r="B5454" s="86" t="s">
        <v>35</v>
      </c>
      <c r="C5454" s="86" t="s">
        <v>164</v>
      </c>
      <c r="D5454" s="86" t="s">
        <v>174</v>
      </c>
      <c r="E5454" s="86" t="s">
        <v>644</v>
      </c>
      <c r="F5454" s="86" t="s">
        <v>644</v>
      </c>
      <c r="G5454" s="86" t="s">
        <v>644</v>
      </c>
      <c r="H5454" s="144">
        <v>62</v>
      </c>
      <c r="I5454" s="86" t="s">
        <v>408</v>
      </c>
      <c r="J5454" s="1" t="s">
        <v>3324</v>
      </c>
      <c r="K5454" s="1" t="s">
        <v>3278</v>
      </c>
      <c r="L5454" s="1" t="s">
        <v>35</v>
      </c>
      <c r="M5454" s="86" t="s">
        <v>645</v>
      </c>
      <c r="O5454" s="47" t="s">
        <v>45</v>
      </c>
      <c r="P5454" s="47" t="s">
        <v>46</v>
      </c>
      <c r="Q5454" s="14">
        <v>0.04</v>
      </c>
      <c r="R5454" s="143">
        <v>1000100699</v>
      </c>
      <c r="S5454" s="47"/>
      <c r="T5454" s="6">
        <v>24396.6</v>
      </c>
      <c r="U5454" s="6">
        <v>-24386.13</v>
      </c>
      <c r="V5454" s="6">
        <v>10.47</v>
      </c>
      <c r="W5454" s="6">
        <f t="shared" si="856"/>
        <v>-2.4744650772845489E-12</v>
      </c>
      <c r="X5454" s="6">
        <f t="shared" si="855"/>
        <v>10.067307692307693</v>
      </c>
      <c r="Y5454" s="13">
        <f t="shared" si="860"/>
        <v>0</v>
      </c>
      <c r="Z5454" s="66">
        <v>0</v>
      </c>
      <c r="AA5454" s="6">
        <v>0</v>
      </c>
      <c r="AB5454" s="4">
        <f t="shared" si="861"/>
        <v>10.067307692307693</v>
      </c>
      <c r="AC5454" s="6">
        <f t="shared" si="857"/>
        <v>0.40269230769230724</v>
      </c>
      <c r="AD5454" s="6">
        <f t="shared" si="858"/>
        <v>10.47</v>
      </c>
      <c r="AE5454" s="14">
        <f>VLOOKUP(I5454,[2]媒体政策预估表!A:N,MATCH(O5454,[2]媒体政策预估表!$A$2:$M$2,0),0)</f>
        <v>0.11</v>
      </c>
      <c r="AF5454" s="6">
        <f t="shared" si="854"/>
        <v>1.1517000000000002</v>
      </c>
      <c r="AG5454" s="14">
        <v>0</v>
      </c>
      <c r="AH5454" s="64">
        <f t="shared" si="859"/>
        <v>10.47</v>
      </c>
      <c r="AI5454" s="47"/>
      <c r="AJ5454" s="126" t="e">
        <v>#N/A</v>
      </c>
      <c r="AK5454" s="80">
        <f t="shared" si="862"/>
        <v>0</v>
      </c>
      <c r="AL5454" s="85"/>
      <c r="AM5454" s="85"/>
    </row>
    <row r="5455" spans="1:39" s="86" customFormat="1" ht="13.25" hidden="1" customHeight="1" x14ac:dyDescent="0.3">
      <c r="A5455" s="89" t="s">
        <v>3792</v>
      </c>
      <c r="B5455" s="86" t="s">
        <v>35</v>
      </c>
      <c r="C5455" s="86" t="s">
        <v>164</v>
      </c>
      <c r="D5455" s="86" t="s">
        <v>174</v>
      </c>
      <c r="E5455" s="86" t="s">
        <v>644</v>
      </c>
      <c r="F5455" s="86" t="s">
        <v>644</v>
      </c>
      <c r="G5455" s="86" t="s">
        <v>644</v>
      </c>
      <c r="H5455" s="144">
        <v>62</v>
      </c>
      <c r="I5455" s="86" t="s">
        <v>408</v>
      </c>
      <c r="J5455" s="1" t="s">
        <v>3324</v>
      </c>
      <c r="K5455" s="1" t="s">
        <v>3278</v>
      </c>
      <c r="L5455" s="1" t="s">
        <v>35</v>
      </c>
      <c r="M5455" s="86" t="s">
        <v>3466</v>
      </c>
      <c r="O5455" s="47" t="s">
        <v>45</v>
      </c>
      <c r="P5455" s="47" t="s">
        <v>46</v>
      </c>
      <c r="Q5455" s="14">
        <v>0.04</v>
      </c>
      <c r="R5455" s="143">
        <v>1000100899</v>
      </c>
      <c r="S5455" s="47"/>
      <c r="T5455" s="6">
        <v>27564.04</v>
      </c>
      <c r="U5455" s="6">
        <v>-27545.39</v>
      </c>
      <c r="V5455" s="6">
        <v>18.649999999999999</v>
      </c>
      <c r="W5455" s="6">
        <f t="shared" si="856"/>
        <v>1.4566126083082054E-12</v>
      </c>
      <c r="X5455" s="6">
        <f t="shared" si="855"/>
        <v>17.932692307692307</v>
      </c>
      <c r="Y5455" s="13">
        <f t="shared" si="860"/>
        <v>0</v>
      </c>
      <c r="Z5455" s="66">
        <v>0</v>
      </c>
      <c r="AA5455" s="6">
        <v>0</v>
      </c>
      <c r="AB5455" s="4">
        <f t="shared" si="861"/>
        <v>17.932692307692307</v>
      </c>
      <c r="AC5455" s="6">
        <f t="shared" si="857"/>
        <v>0.71730769230769198</v>
      </c>
      <c r="AD5455" s="6">
        <f t="shared" si="858"/>
        <v>18.649999999999999</v>
      </c>
      <c r="AE5455" s="14">
        <f>VLOOKUP(I5455,[2]媒体政策预估表!A:N,MATCH(O5455,[2]媒体政策预估表!$A$2:$M$2,0),0)</f>
        <v>0.11</v>
      </c>
      <c r="AF5455" s="6">
        <f t="shared" si="854"/>
        <v>2.0514999999999999</v>
      </c>
      <c r="AG5455" s="14">
        <v>0</v>
      </c>
      <c r="AH5455" s="64">
        <f t="shared" si="859"/>
        <v>18.649999999999999</v>
      </c>
      <c r="AI5455" s="47"/>
      <c r="AJ5455" s="126" t="e">
        <v>#N/A</v>
      </c>
      <c r="AK5455" s="80">
        <f t="shared" si="862"/>
        <v>0</v>
      </c>
      <c r="AL5455" s="85"/>
      <c r="AM5455" s="85"/>
    </row>
    <row r="5456" spans="1:39" s="86" customFormat="1" ht="13.25" hidden="1" customHeight="1" x14ac:dyDescent="0.3">
      <c r="A5456" s="89" t="s">
        <v>3792</v>
      </c>
      <c r="B5456" s="86" t="s">
        <v>35</v>
      </c>
      <c r="C5456" s="86" t="s">
        <v>164</v>
      </c>
      <c r="D5456" s="86" t="s">
        <v>174</v>
      </c>
      <c r="E5456" s="86" t="s">
        <v>644</v>
      </c>
      <c r="F5456" s="86" t="s">
        <v>644</v>
      </c>
      <c r="G5456" s="86" t="s">
        <v>644</v>
      </c>
      <c r="H5456" s="143">
        <v>62</v>
      </c>
      <c r="I5456" s="86" t="s">
        <v>408</v>
      </c>
      <c r="J5456" s="1" t="s">
        <v>3324</v>
      </c>
      <c r="K5456" s="1" t="s">
        <v>3278</v>
      </c>
      <c r="L5456" s="1" t="s">
        <v>35</v>
      </c>
      <c r="M5456" s="86" t="s">
        <v>3469</v>
      </c>
      <c r="O5456" s="47" t="s">
        <v>45</v>
      </c>
      <c r="P5456" s="47" t="s">
        <v>46</v>
      </c>
      <c r="Q5456" s="14">
        <v>0.04</v>
      </c>
      <c r="R5456" s="143">
        <v>1000101285</v>
      </c>
      <c r="S5456" s="47"/>
      <c r="T5456" s="6">
        <v>26049.1</v>
      </c>
      <c r="U5456" s="6">
        <v>-26049.1</v>
      </c>
      <c r="V5456" s="6">
        <v>0</v>
      </c>
      <c r="W5456" s="6">
        <f t="shared" si="856"/>
        <v>0</v>
      </c>
      <c r="X5456" s="6">
        <f t="shared" si="855"/>
        <v>0</v>
      </c>
      <c r="Y5456" s="13">
        <f t="shared" si="860"/>
        <v>0</v>
      </c>
      <c r="Z5456" s="66">
        <v>0</v>
      </c>
      <c r="AA5456" s="6">
        <v>0</v>
      </c>
      <c r="AB5456" s="4">
        <f t="shared" si="861"/>
        <v>0</v>
      </c>
      <c r="AC5456" s="6">
        <f t="shared" si="857"/>
        <v>0</v>
      </c>
      <c r="AD5456" s="6">
        <f t="shared" si="858"/>
        <v>0</v>
      </c>
      <c r="AE5456" s="14">
        <f>VLOOKUP(I5456,[2]媒体政策预估表!A:N,MATCH(O5456,[2]媒体政策预估表!$A$2:$M$2,0),0)</f>
        <v>0.11</v>
      </c>
      <c r="AF5456" s="6">
        <f t="shared" si="854"/>
        <v>0</v>
      </c>
      <c r="AG5456" s="14">
        <v>0</v>
      </c>
      <c r="AH5456" s="64">
        <f t="shared" si="859"/>
        <v>0</v>
      </c>
      <c r="AI5456" s="47"/>
      <c r="AJ5456" s="126" t="e">
        <v>#N/A</v>
      </c>
      <c r="AK5456" s="80">
        <f t="shared" si="862"/>
        <v>0</v>
      </c>
      <c r="AL5456" s="85"/>
      <c r="AM5456" s="85"/>
    </row>
    <row r="5457" spans="1:39" s="86" customFormat="1" ht="13.25" hidden="1" customHeight="1" x14ac:dyDescent="0.3">
      <c r="A5457" s="89" t="s">
        <v>3792</v>
      </c>
      <c r="B5457" s="86" t="s">
        <v>35</v>
      </c>
      <c r="C5457" s="86" t="s">
        <v>164</v>
      </c>
      <c r="D5457" s="86" t="s">
        <v>174</v>
      </c>
      <c r="E5457" s="86" t="s">
        <v>646</v>
      </c>
      <c r="F5457" s="86" t="s">
        <v>646</v>
      </c>
      <c r="G5457" s="86" t="s">
        <v>646</v>
      </c>
      <c r="H5457" s="144">
        <v>62</v>
      </c>
      <c r="I5457" s="86" t="s">
        <v>408</v>
      </c>
      <c r="J5457" s="1" t="s">
        <v>3324</v>
      </c>
      <c r="K5457" s="1" t="s">
        <v>3278</v>
      </c>
      <c r="L5457" s="1" t="s">
        <v>35</v>
      </c>
      <c r="M5457" s="86" t="s">
        <v>648</v>
      </c>
      <c r="O5457" s="47" t="s">
        <v>410</v>
      </c>
      <c r="P5457" s="47" t="s">
        <v>41</v>
      </c>
      <c r="Q5457" s="14">
        <v>0</v>
      </c>
      <c r="R5457" s="143">
        <v>1000072286</v>
      </c>
      <c r="S5457" s="47"/>
      <c r="T5457" s="6">
        <v>29955.9</v>
      </c>
      <c r="U5457" s="6">
        <v>50000</v>
      </c>
      <c r="V5457" s="6">
        <v>30648.1</v>
      </c>
      <c r="W5457" s="6">
        <f t="shared" si="856"/>
        <v>49307.799999999996</v>
      </c>
      <c r="X5457" s="6">
        <f t="shared" si="855"/>
        <v>30648.1</v>
      </c>
      <c r="Y5457" s="13">
        <f t="shared" si="860"/>
        <v>0</v>
      </c>
      <c r="Z5457" s="66">
        <v>0</v>
      </c>
      <c r="AA5457" s="6">
        <v>0</v>
      </c>
      <c r="AB5457" s="4">
        <f t="shared" si="861"/>
        <v>30648.1</v>
      </c>
      <c r="AC5457" s="6">
        <f t="shared" si="857"/>
        <v>0</v>
      </c>
      <c r="AD5457" s="6">
        <f t="shared" si="858"/>
        <v>30648.1</v>
      </c>
      <c r="AE5457" s="14">
        <f>VLOOKUP(I5457,[2]媒体政策预估表!A:N,MATCH(O5457,[2]媒体政策预估表!$A$2:$M$2,0),0)</f>
        <v>7.0000000000000007E-2</v>
      </c>
      <c r="AF5457" s="6">
        <f t="shared" si="854"/>
        <v>2145.3670000000002</v>
      </c>
      <c r="AG5457" s="14">
        <v>0</v>
      </c>
      <c r="AH5457" s="64">
        <f t="shared" si="859"/>
        <v>30648.1</v>
      </c>
      <c r="AI5457" s="47"/>
      <c r="AJ5457" s="126" t="e">
        <v>#N/A</v>
      </c>
      <c r="AK5457" s="80">
        <f t="shared" si="862"/>
        <v>0</v>
      </c>
      <c r="AL5457" s="85"/>
      <c r="AM5457" s="85"/>
    </row>
    <row r="5458" spans="1:39" s="86" customFormat="1" ht="13.25" hidden="1" customHeight="1" x14ac:dyDescent="0.3">
      <c r="A5458" s="89" t="s">
        <v>3792</v>
      </c>
      <c r="B5458" s="86" t="s">
        <v>35</v>
      </c>
      <c r="C5458" s="86" t="s">
        <v>164</v>
      </c>
      <c r="D5458" s="86" t="s">
        <v>174</v>
      </c>
      <c r="E5458" s="86" t="s">
        <v>651</v>
      </c>
      <c r="F5458" s="86" t="s">
        <v>651</v>
      </c>
      <c r="G5458" s="86" t="s">
        <v>651</v>
      </c>
      <c r="H5458" s="144">
        <v>62</v>
      </c>
      <c r="I5458" s="86" t="s">
        <v>408</v>
      </c>
      <c r="J5458" s="1" t="s">
        <v>3324</v>
      </c>
      <c r="K5458" s="1" t="s">
        <v>3278</v>
      </c>
      <c r="L5458" s="1" t="s">
        <v>35</v>
      </c>
      <c r="M5458" s="86" t="s">
        <v>652</v>
      </c>
      <c r="O5458" s="47" t="s">
        <v>45</v>
      </c>
      <c r="P5458" s="47" t="s">
        <v>46</v>
      </c>
      <c r="Q5458" s="14">
        <v>0.04</v>
      </c>
      <c r="R5458" s="143">
        <v>1000085487</v>
      </c>
      <c r="S5458" s="47"/>
      <c r="T5458" s="6">
        <v>142001.24000000002</v>
      </c>
      <c r="U5458" s="6">
        <v>60000</v>
      </c>
      <c r="V5458" s="6">
        <v>169.79999999999998</v>
      </c>
      <c r="W5458" s="6">
        <f t="shared" si="856"/>
        <v>201831.44000000003</v>
      </c>
      <c r="X5458" s="6">
        <f t="shared" si="855"/>
        <v>163.26923076923075</v>
      </c>
      <c r="Y5458" s="13">
        <f t="shared" si="860"/>
        <v>0</v>
      </c>
      <c r="Z5458" s="66">
        <v>0</v>
      </c>
      <c r="AA5458" s="6">
        <v>0</v>
      </c>
      <c r="AB5458" s="4">
        <f t="shared" si="861"/>
        <v>163.26923076923075</v>
      </c>
      <c r="AC5458" s="6">
        <f t="shared" si="857"/>
        <v>6.5307692307692378</v>
      </c>
      <c r="AD5458" s="6">
        <f t="shared" si="858"/>
        <v>169.79999999999998</v>
      </c>
      <c r="AE5458" s="14">
        <f>VLOOKUP(I5458,[2]媒体政策预估表!A:N,MATCH(O5458,[2]媒体政策预估表!$A$2:$M$2,0),0)</f>
        <v>0.11</v>
      </c>
      <c r="AF5458" s="6">
        <f t="shared" si="854"/>
        <v>18.677999999999997</v>
      </c>
      <c r="AG5458" s="14">
        <v>0</v>
      </c>
      <c r="AH5458" s="64">
        <f t="shared" si="859"/>
        <v>169.79999999999998</v>
      </c>
      <c r="AI5458" s="47"/>
      <c r="AJ5458" s="126" t="e">
        <v>#N/A</v>
      </c>
      <c r="AK5458" s="80">
        <f t="shared" si="862"/>
        <v>0</v>
      </c>
      <c r="AL5458" s="85"/>
      <c r="AM5458" s="85"/>
    </row>
    <row r="5459" spans="1:39" s="86" customFormat="1" ht="13.25" hidden="1" customHeight="1" x14ac:dyDescent="0.3">
      <c r="A5459" s="89" t="s">
        <v>3796</v>
      </c>
      <c r="B5459" s="86" t="s">
        <v>35</v>
      </c>
      <c r="C5459" s="86" t="s">
        <v>164</v>
      </c>
      <c r="D5459" s="86" t="s">
        <v>174</v>
      </c>
      <c r="E5459" s="86" t="s">
        <v>651</v>
      </c>
      <c r="F5459" s="86" t="s">
        <v>651</v>
      </c>
      <c r="G5459" s="86" t="s">
        <v>651</v>
      </c>
      <c r="H5459" s="143">
        <v>62</v>
      </c>
      <c r="I5459" s="86" t="s">
        <v>408</v>
      </c>
      <c r="J5459" s="1" t="s">
        <v>3324</v>
      </c>
      <c r="K5459" s="1" t="s">
        <v>3278</v>
      </c>
      <c r="L5459" s="1" t="s">
        <v>35</v>
      </c>
      <c r="M5459" s="86" t="s">
        <v>653</v>
      </c>
      <c r="O5459" s="47" t="s">
        <v>45</v>
      </c>
      <c r="P5459" s="47" t="s">
        <v>46</v>
      </c>
      <c r="Q5459" s="14">
        <v>0.04</v>
      </c>
      <c r="R5459" s="143">
        <v>1000088200</v>
      </c>
      <c r="S5459" s="47"/>
      <c r="T5459" s="6">
        <v>413233.26</v>
      </c>
      <c r="U5459" s="6">
        <v>90000</v>
      </c>
      <c r="V5459" s="6">
        <v>0</v>
      </c>
      <c r="W5459" s="6">
        <f t="shared" si="856"/>
        <v>503233.26</v>
      </c>
      <c r="X5459" s="6">
        <f t="shared" si="855"/>
        <v>0</v>
      </c>
      <c r="Y5459" s="13">
        <f t="shared" si="860"/>
        <v>0</v>
      </c>
      <c r="Z5459" s="66">
        <v>0</v>
      </c>
      <c r="AA5459" s="6">
        <v>0</v>
      </c>
      <c r="AB5459" s="4">
        <f t="shared" si="861"/>
        <v>0</v>
      </c>
      <c r="AC5459" s="6">
        <f t="shared" si="857"/>
        <v>0</v>
      </c>
      <c r="AD5459" s="6">
        <f t="shared" si="858"/>
        <v>0</v>
      </c>
      <c r="AE5459" s="14">
        <f>VLOOKUP(I5459,[2]媒体政策预估表!A:N,MATCH(O5459,[2]媒体政策预估表!$A$2:$M$2,0),0)</f>
        <v>0.11</v>
      </c>
      <c r="AF5459" s="6">
        <f t="shared" si="854"/>
        <v>0</v>
      </c>
      <c r="AG5459" s="14">
        <v>0</v>
      </c>
      <c r="AH5459" s="64">
        <f t="shared" si="859"/>
        <v>0</v>
      </c>
      <c r="AI5459" s="47"/>
      <c r="AJ5459" s="126" t="e">
        <v>#N/A</v>
      </c>
      <c r="AK5459" s="80">
        <f t="shared" si="862"/>
        <v>0</v>
      </c>
      <c r="AL5459" s="85"/>
      <c r="AM5459" s="85"/>
    </row>
    <row r="5460" spans="1:39" s="86" customFormat="1" ht="13.25" hidden="1" customHeight="1" x14ac:dyDescent="0.3">
      <c r="A5460" s="89" t="s">
        <v>3792</v>
      </c>
      <c r="B5460" s="86" t="s">
        <v>35</v>
      </c>
      <c r="C5460" s="86" t="s">
        <v>164</v>
      </c>
      <c r="D5460" s="86" t="s">
        <v>174</v>
      </c>
      <c r="E5460" s="86" t="s">
        <v>651</v>
      </c>
      <c r="F5460" s="86" t="s">
        <v>651</v>
      </c>
      <c r="G5460" s="86" t="s">
        <v>651</v>
      </c>
      <c r="H5460" s="144">
        <v>62</v>
      </c>
      <c r="I5460" s="86" t="s">
        <v>408</v>
      </c>
      <c r="J5460" s="1" t="s">
        <v>3324</v>
      </c>
      <c r="K5460" s="1" t="s">
        <v>3278</v>
      </c>
      <c r="L5460" s="1" t="s">
        <v>35</v>
      </c>
      <c r="M5460" s="86" t="s">
        <v>654</v>
      </c>
      <c r="O5460" s="47" t="s">
        <v>45</v>
      </c>
      <c r="P5460" s="47" t="s">
        <v>46</v>
      </c>
      <c r="Q5460" s="14">
        <v>0.04</v>
      </c>
      <c r="R5460" s="143">
        <v>1000072406</v>
      </c>
      <c r="S5460" s="47"/>
      <c r="T5460" s="6">
        <v>820383.9800000001</v>
      </c>
      <c r="U5460" s="6">
        <v>158000</v>
      </c>
      <c r="V5460" s="6">
        <v>727.21</v>
      </c>
      <c r="W5460" s="6">
        <f t="shared" si="856"/>
        <v>977656.77000000014</v>
      </c>
      <c r="X5460" s="6">
        <f t="shared" si="855"/>
        <v>699.24038461538464</v>
      </c>
      <c r="Y5460" s="13">
        <f t="shared" si="860"/>
        <v>0</v>
      </c>
      <c r="Z5460" s="66">
        <v>0</v>
      </c>
      <c r="AA5460" s="6">
        <v>0</v>
      </c>
      <c r="AB5460" s="4">
        <f t="shared" si="861"/>
        <v>699.24038461538464</v>
      </c>
      <c r="AC5460" s="6">
        <f t="shared" si="857"/>
        <v>27.969615384615395</v>
      </c>
      <c r="AD5460" s="6">
        <f t="shared" si="858"/>
        <v>727.21</v>
      </c>
      <c r="AE5460" s="14">
        <f>VLOOKUP(I5460,[2]媒体政策预估表!A:N,MATCH(O5460,[2]媒体政策预估表!$A$2:$M$2,0),0)</f>
        <v>0.11</v>
      </c>
      <c r="AF5460" s="6">
        <f t="shared" si="854"/>
        <v>79.993099999999998</v>
      </c>
      <c r="AG5460" s="14">
        <v>0</v>
      </c>
      <c r="AH5460" s="64">
        <f t="shared" si="859"/>
        <v>727.21</v>
      </c>
      <c r="AI5460" s="47"/>
      <c r="AJ5460" s="126" t="e">
        <v>#N/A</v>
      </c>
      <c r="AK5460" s="80">
        <f t="shared" si="862"/>
        <v>0</v>
      </c>
      <c r="AL5460" s="85"/>
      <c r="AM5460" s="85"/>
    </row>
    <row r="5461" spans="1:39" s="86" customFormat="1" ht="13.25" hidden="1" customHeight="1" x14ac:dyDescent="0.3">
      <c r="A5461" s="89" t="s">
        <v>3792</v>
      </c>
      <c r="B5461" s="86" t="s">
        <v>35</v>
      </c>
      <c r="C5461" s="86" t="s">
        <v>164</v>
      </c>
      <c r="D5461" s="86" t="s">
        <v>174</v>
      </c>
      <c r="E5461" s="86" t="s">
        <v>651</v>
      </c>
      <c r="F5461" s="86" t="s">
        <v>651</v>
      </c>
      <c r="G5461" s="86" t="s">
        <v>651</v>
      </c>
      <c r="H5461" s="144">
        <v>62</v>
      </c>
      <c r="I5461" s="86" t="s">
        <v>408</v>
      </c>
      <c r="J5461" s="1" t="s">
        <v>3324</v>
      </c>
      <c r="K5461" s="1" t="s">
        <v>3278</v>
      </c>
      <c r="L5461" s="1" t="s">
        <v>35</v>
      </c>
      <c r="M5461" s="86" t="s">
        <v>655</v>
      </c>
      <c r="O5461" s="47" t="s">
        <v>45</v>
      </c>
      <c r="P5461" s="47" t="s">
        <v>46</v>
      </c>
      <c r="Q5461" s="14">
        <v>0.04</v>
      </c>
      <c r="R5461" s="143">
        <v>1000080359</v>
      </c>
      <c r="S5461" s="47"/>
      <c r="T5461" s="6">
        <v>119147.54000000001</v>
      </c>
      <c r="U5461" s="6">
        <v>22000</v>
      </c>
      <c r="V5461" s="6">
        <v>80.510000000000005</v>
      </c>
      <c r="W5461" s="6">
        <f t="shared" si="856"/>
        <v>141067.03</v>
      </c>
      <c r="X5461" s="6">
        <f t="shared" si="855"/>
        <v>77.413461538461547</v>
      </c>
      <c r="Y5461" s="13">
        <f t="shared" si="860"/>
        <v>0</v>
      </c>
      <c r="Z5461" s="66">
        <v>0</v>
      </c>
      <c r="AA5461" s="6">
        <v>0</v>
      </c>
      <c r="AB5461" s="4">
        <f t="shared" si="861"/>
        <v>77.413461538461547</v>
      </c>
      <c r="AC5461" s="6">
        <f t="shared" si="857"/>
        <v>3.0965384615384579</v>
      </c>
      <c r="AD5461" s="6">
        <f t="shared" si="858"/>
        <v>80.510000000000005</v>
      </c>
      <c r="AE5461" s="14">
        <f>VLOOKUP(I5461,[2]媒体政策预估表!A:N,MATCH(O5461,[2]媒体政策预估表!$A$2:$M$2,0),0)</f>
        <v>0.11</v>
      </c>
      <c r="AF5461" s="6">
        <f t="shared" si="854"/>
        <v>8.8561000000000014</v>
      </c>
      <c r="AG5461" s="14">
        <v>0</v>
      </c>
      <c r="AH5461" s="64">
        <f t="shared" si="859"/>
        <v>80.510000000000005</v>
      </c>
      <c r="AI5461" s="47"/>
      <c r="AJ5461" s="126" t="e">
        <v>#N/A</v>
      </c>
      <c r="AK5461" s="80">
        <f t="shared" si="862"/>
        <v>0</v>
      </c>
      <c r="AL5461" s="85"/>
      <c r="AM5461" s="85"/>
    </row>
    <row r="5462" spans="1:39" s="86" customFormat="1" ht="13.25" hidden="1" customHeight="1" x14ac:dyDescent="0.3">
      <c r="A5462" s="89" t="s">
        <v>3794</v>
      </c>
      <c r="B5462" s="86" t="s">
        <v>35</v>
      </c>
      <c r="C5462" s="86" t="s">
        <v>164</v>
      </c>
      <c r="D5462" s="86" t="s">
        <v>174</v>
      </c>
      <c r="E5462" s="86" t="s">
        <v>651</v>
      </c>
      <c r="F5462" s="86" t="s">
        <v>651</v>
      </c>
      <c r="G5462" s="86" t="s">
        <v>651</v>
      </c>
      <c r="H5462" s="144">
        <v>62</v>
      </c>
      <c r="I5462" s="86" t="s">
        <v>408</v>
      </c>
      <c r="J5462" s="1" t="s">
        <v>3324</v>
      </c>
      <c r="K5462" s="1" t="s">
        <v>3278</v>
      </c>
      <c r="L5462" s="1" t="s">
        <v>35</v>
      </c>
      <c r="M5462" s="86" t="s">
        <v>656</v>
      </c>
      <c r="O5462" s="47" t="s">
        <v>45</v>
      </c>
      <c r="P5462" s="47" t="s">
        <v>46</v>
      </c>
      <c r="Q5462" s="14">
        <v>0.04</v>
      </c>
      <c r="R5462" s="143">
        <v>1000084508</v>
      </c>
      <c r="S5462" s="47"/>
      <c r="T5462" s="6">
        <v>110000</v>
      </c>
      <c r="U5462" s="6">
        <v>50000</v>
      </c>
      <c r="V5462" s="6">
        <v>94.1</v>
      </c>
      <c r="W5462" s="6">
        <f t="shared" si="856"/>
        <v>159905.9</v>
      </c>
      <c r="X5462" s="6">
        <f t="shared" si="855"/>
        <v>90.480769230769226</v>
      </c>
      <c r="Y5462" s="13">
        <f t="shared" si="860"/>
        <v>0</v>
      </c>
      <c r="Z5462" s="66">
        <v>0</v>
      </c>
      <c r="AA5462" s="6">
        <v>0</v>
      </c>
      <c r="AB5462" s="4">
        <f t="shared" si="861"/>
        <v>90.480769230769226</v>
      </c>
      <c r="AC5462" s="6">
        <f t="shared" si="857"/>
        <v>3.6192307692307679</v>
      </c>
      <c r="AD5462" s="6">
        <f t="shared" si="858"/>
        <v>94.1</v>
      </c>
      <c r="AE5462" s="14">
        <f>VLOOKUP(I5462,[2]媒体政策预估表!A:N,MATCH(O5462,[2]媒体政策预估表!$A$2:$M$2,0),0)</f>
        <v>0.11</v>
      </c>
      <c r="AF5462" s="6">
        <f t="shared" si="854"/>
        <v>10.350999999999999</v>
      </c>
      <c r="AG5462" s="14">
        <v>0</v>
      </c>
      <c r="AH5462" s="64">
        <f t="shared" si="859"/>
        <v>94.1</v>
      </c>
      <c r="AI5462" s="47"/>
      <c r="AJ5462" s="126" t="e">
        <v>#N/A</v>
      </c>
      <c r="AK5462" s="80">
        <f t="shared" si="862"/>
        <v>0</v>
      </c>
      <c r="AL5462" s="85"/>
      <c r="AM5462" s="85"/>
    </row>
    <row r="5463" spans="1:39" s="86" customFormat="1" ht="13.25" hidden="1" customHeight="1" x14ac:dyDescent="0.3">
      <c r="A5463" s="89" t="s">
        <v>3794</v>
      </c>
      <c r="B5463" s="86" t="s">
        <v>35</v>
      </c>
      <c r="C5463" s="86" t="s">
        <v>164</v>
      </c>
      <c r="D5463" s="86" t="s">
        <v>174</v>
      </c>
      <c r="E5463" s="86" t="s">
        <v>651</v>
      </c>
      <c r="F5463" s="86" t="s">
        <v>651</v>
      </c>
      <c r="G5463" s="86" t="s">
        <v>651</v>
      </c>
      <c r="H5463" s="143">
        <v>62</v>
      </c>
      <c r="I5463" s="86" t="s">
        <v>408</v>
      </c>
      <c r="J5463" s="1" t="s">
        <v>3324</v>
      </c>
      <c r="K5463" s="1" t="s">
        <v>3278</v>
      </c>
      <c r="L5463" s="1" t="s">
        <v>35</v>
      </c>
      <c r="M5463" s="86" t="s">
        <v>657</v>
      </c>
      <c r="O5463" s="47" t="s">
        <v>45</v>
      </c>
      <c r="P5463" s="47" t="s">
        <v>46</v>
      </c>
      <c r="Q5463" s="14">
        <v>0.04</v>
      </c>
      <c r="R5463" s="143">
        <v>1000073750</v>
      </c>
      <c r="S5463" s="47"/>
      <c r="T5463" s="6">
        <v>343100.67</v>
      </c>
      <c r="U5463" s="6">
        <v>80000</v>
      </c>
      <c r="V5463" s="6">
        <v>0</v>
      </c>
      <c r="W5463" s="6">
        <f t="shared" si="856"/>
        <v>423100.67</v>
      </c>
      <c r="X5463" s="6">
        <f t="shared" si="855"/>
        <v>0</v>
      </c>
      <c r="Y5463" s="13">
        <f t="shared" si="860"/>
        <v>0</v>
      </c>
      <c r="Z5463" s="66">
        <v>0</v>
      </c>
      <c r="AA5463" s="6">
        <v>0</v>
      </c>
      <c r="AB5463" s="4">
        <f t="shared" si="861"/>
        <v>0</v>
      </c>
      <c r="AC5463" s="6">
        <f t="shared" si="857"/>
        <v>0</v>
      </c>
      <c r="AD5463" s="6">
        <f t="shared" si="858"/>
        <v>0</v>
      </c>
      <c r="AE5463" s="14">
        <f>VLOOKUP(I5463,[2]媒体政策预估表!A:N,MATCH(O5463,[2]媒体政策预估表!$A$2:$M$2,0),0)</f>
        <v>0.11</v>
      </c>
      <c r="AF5463" s="6">
        <f t="shared" si="854"/>
        <v>0</v>
      </c>
      <c r="AG5463" s="14">
        <v>0</v>
      </c>
      <c r="AH5463" s="64">
        <f t="shared" si="859"/>
        <v>0</v>
      </c>
      <c r="AI5463" s="47"/>
      <c r="AJ5463" s="126" t="e">
        <v>#N/A</v>
      </c>
      <c r="AK5463" s="80">
        <f t="shared" si="862"/>
        <v>0</v>
      </c>
      <c r="AL5463" s="85"/>
      <c r="AM5463" s="85"/>
    </row>
    <row r="5464" spans="1:39" s="86" customFormat="1" ht="13.25" hidden="1" customHeight="1" x14ac:dyDescent="0.3">
      <c r="A5464" s="89" t="s">
        <v>3794</v>
      </c>
      <c r="B5464" s="86" t="s">
        <v>35</v>
      </c>
      <c r="C5464" s="86" t="s">
        <v>164</v>
      </c>
      <c r="D5464" s="86" t="s">
        <v>174</v>
      </c>
      <c r="E5464" s="86" t="s">
        <v>651</v>
      </c>
      <c r="F5464" s="86" t="s">
        <v>651</v>
      </c>
      <c r="G5464" s="86" t="s">
        <v>651</v>
      </c>
      <c r="H5464" s="143">
        <v>62</v>
      </c>
      <c r="I5464" s="86" t="s">
        <v>408</v>
      </c>
      <c r="J5464" s="1" t="s">
        <v>3324</v>
      </c>
      <c r="K5464" s="1" t="s">
        <v>3278</v>
      </c>
      <c r="L5464" s="1" t="s">
        <v>35</v>
      </c>
      <c r="M5464" s="86" t="s">
        <v>658</v>
      </c>
      <c r="O5464" s="47" t="s">
        <v>45</v>
      </c>
      <c r="P5464" s="47" t="s">
        <v>46</v>
      </c>
      <c r="Q5464" s="14">
        <v>0.04</v>
      </c>
      <c r="R5464" s="143">
        <v>1000085275</v>
      </c>
      <c r="S5464" s="47"/>
      <c r="T5464" s="6">
        <v>379224.2</v>
      </c>
      <c r="U5464" s="6">
        <v>100000</v>
      </c>
      <c r="V5464" s="6">
        <v>0</v>
      </c>
      <c r="W5464" s="6">
        <f t="shared" si="856"/>
        <v>479224.2</v>
      </c>
      <c r="X5464" s="6">
        <f t="shared" si="855"/>
        <v>0</v>
      </c>
      <c r="Y5464" s="13">
        <f t="shared" si="860"/>
        <v>0</v>
      </c>
      <c r="Z5464" s="66">
        <v>0</v>
      </c>
      <c r="AA5464" s="6">
        <v>0</v>
      </c>
      <c r="AB5464" s="4">
        <f t="shared" si="861"/>
        <v>0</v>
      </c>
      <c r="AC5464" s="6">
        <f t="shared" si="857"/>
        <v>0</v>
      </c>
      <c r="AD5464" s="6">
        <f t="shared" si="858"/>
        <v>0</v>
      </c>
      <c r="AE5464" s="14">
        <f>VLOOKUP(I5464,[2]媒体政策预估表!A:N,MATCH(O5464,[2]媒体政策预估表!$A$2:$M$2,0),0)</f>
        <v>0.11</v>
      </c>
      <c r="AF5464" s="6">
        <f t="shared" si="854"/>
        <v>0</v>
      </c>
      <c r="AG5464" s="14">
        <v>0</v>
      </c>
      <c r="AH5464" s="64">
        <f t="shared" si="859"/>
        <v>0</v>
      </c>
      <c r="AI5464" s="47"/>
      <c r="AJ5464" s="126" t="e">
        <v>#N/A</v>
      </c>
      <c r="AK5464" s="80">
        <f t="shared" si="862"/>
        <v>0</v>
      </c>
      <c r="AL5464" s="85"/>
      <c r="AM5464" s="85"/>
    </row>
    <row r="5465" spans="1:39" s="86" customFormat="1" ht="13.25" hidden="1" customHeight="1" x14ac:dyDescent="0.3">
      <c r="A5465" s="89" t="s">
        <v>3792</v>
      </c>
      <c r="B5465" s="86" t="s">
        <v>35</v>
      </c>
      <c r="C5465" s="86" t="s">
        <v>164</v>
      </c>
      <c r="D5465" s="86" t="s">
        <v>174</v>
      </c>
      <c r="E5465" s="86" t="s">
        <v>3470</v>
      </c>
      <c r="F5465" s="86" t="s">
        <v>3470</v>
      </c>
      <c r="G5465" s="86" t="s">
        <v>3470</v>
      </c>
      <c r="H5465" s="144">
        <v>62</v>
      </c>
      <c r="I5465" s="86" t="s">
        <v>408</v>
      </c>
      <c r="J5465" s="1" t="s">
        <v>3324</v>
      </c>
      <c r="K5465" s="1" t="s">
        <v>3278</v>
      </c>
      <c r="L5465" s="1" t="s">
        <v>35</v>
      </c>
      <c r="M5465" s="86" t="s">
        <v>674</v>
      </c>
      <c r="O5465" s="47" t="s">
        <v>410</v>
      </c>
      <c r="P5465" s="47" t="s">
        <v>46</v>
      </c>
      <c r="Q5465" s="14">
        <v>0.02</v>
      </c>
      <c r="R5465" s="143">
        <v>1000099492</v>
      </c>
      <c r="S5465" s="47"/>
      <c r="T5465" s="6">
        <v>5106.3300000000017</v>
      </c>
      <c r="U5465" s="6">
        <v>10000</v>
      </c>
      <c r="V5465" s="6">
        <v>1652.63</v>
      </c>
      <c r="W5465" s="6">
        <f t="shared" si="856"/>
        <v>13453.7</v>
      </c>
      <c r="X5465" s="6">
        <f t="shared" si="855"/>
        <v>1620.2254901960785</v>
      </c>
      <c r="Y5465" s="13">
        <f t="shared" si="860"/>
        <v>0</v>
      </c>
      <c r="Z5465" s="66">
        <v>0</v>
      </c>
      <c r="AA5465" s="6">
        <v>0</v>
      </c>
      <c r="AB5465" s="4">
        <f t="shared" si="861"/>
        <v>1620.2254901960785</v>
      </c>
      <c r="AC5465" s="6">
        <f t="shared" si="857"/>
        <v>32.404509803921655</v>
      </c>
      <c r="AD5465" s="6">
        <f t="shared" si="858"/>
        <v>1652.63</v>
      </c>
      <c r="AE5465" s="14">
        <f>VLOOKUP(I5465,[2]媒体政策预估表!A:N,MATCH(O5465,[2]媒体政策预估表!$A$2:$M$2,0),0)</f>
        <v>7.0000000000000007E-2</v>
      </c>
      <c r="AF5465" s="6">
        <f t="shared" si="854"/>
        <v>115.68410000000002</v>
      </c>
      <c r="AG5465" s="14">
        <v>0</v>
      </c>
      <c r="AH5465" s="64">
        <f t="shared" si="859"/>
        <v>1652.63</v>
      </c>
      <c r="AI5465" s="47"/>
      <c r="AJ5465" s="126" t="e">
        <v>#N/A</v>
      </c>
      <c r="AK5465" s="80">
        <f t="shared" si="862"/>
        <v>0</v>
      </c>
      <c r="AL5465" s="85"/>
      <c r="AM5465" s="85"/>
    </row>
    <row r="5466" spans="1:39" s="86" customFormat="1" ht="13.25" hidden="1" customHeight="1" x14ac:dyDescent="0.3">
      <c r="A5466" s="89" t="s">
        <v>3794</v>
      </c>
      <c r="B5466" s="86" t="s">
        <v>35</v>
      </c>
      <c r="C5466" s="86" t="s">
        <v>164</v>
      </c>
      <c r="D5466" s="86" t="s">
        <v>174</v>
      </c>
      <c r="E5466" s="86" t="s">
        <v>659</v>
      </c>
      <c r="F5466" s="86" t="s">
        <v>660</v>
      </c>
      <c r="G5466" s="86" t="s">
        <v>659</v>
      </c>
      <c r="H5466" s="144">
        <v>62</v>
      </c>
      <c r="I5466" s="86" t="s">
        <v>408</v>
      </c>
      <c r="J5466" s="1" t="s">
        <v>3324</v>
      </c>
      <c r="K5466" s="1" t="s">
        <v>3278</v>
      </c>
      <c r="L5466" s="1" t="s">
        <v>35</v>
      </c>
      <c r="M5466" s="86" t="s">
        <v>661</v>
      </c>
      <c r="O5466" s="47" t="s">
        <v>410</v>
      </c>
      <c r="P5466" s="47" t="s">
        <v>46</v>
      </c>
      <c r="Q5466" s="14">
        <v>0.03</v>
      </c>
      <c r="R5466" s="143">
        <v>1000068287</v>
      </c>
      <c r="S5466" s="47"/>
      <c r="T5466" s="6">
        <v>120501.72999999952</v>
      </c>
      <c r="U5466" s="6">
        <v>500000</v>
      </c>
      <c r="V5466" s="6">
        <v>408676.35000000003</v>
      </c>
      <c r="W5466" s="6">
        <f t="shared" si="856"/>
        <v>211825.37999999948</v>
      </c>
      <c r="X5466" s="6">
        <f t="shared" si="855"/>
        <v>396773.15533980587</v>
      </c>
      <c r="Y5466" s="13">
        <f t="shared" si="860"/>
        <v>0</v>
      </c>
      <c r="Z5466" s="66">
        <v>0</v>
      </c>
      <c r="AA5466" s="6">
        <v>0</v>
      </c>
      <c r="AB5466" s="4">
        <f t="shared" si="861"/>
        <v>396773.15533980587</v>
      </c>
      <c r="AC5466" s="6">
        <f t="shared" si="857"/>
        <v>11903.19466019416</v>
      </c>
      <c r="AD5466" s="6">
        <f t="shared" si="858"/>
        <v>408676.35000000003</v>
      </c>
      <c r="AE5466" s="14">
        <f>VLOOKUP(I5466,[2]媒体政策预估表!A:N,MATCH(O5466,[2]媒体政策预估表!$A$2:$M$2,0),0)</f>
        <v>7.0000000000000007E-2</v>
      </c>
      <c r="AF5466" s="6">
        <f t="shared" si="854"/>
        <v>28607.344500000007</v>
      </c>
      <c r="AG5466" s="14">
        <v>0</v>
      </c>
      <c r="AH5466" s="64">
        <f t="shared" si="859"/>
        <v>408676.35000000003</v>
      </c>
      <c r="AI5466" s="47"/>
      <c r="AJ5466" s="126" t="e">
        <v>#N/A</v>
      </c>
      <c r="AK5466" s="80">
        <f t="shared" si="862"/>
        <v>0</v>
      </c>
      <c r="AL5466" s="85"/>
      <c r="AM5466" s="85"/>
    </row>
    <row r="5467" spans="1:39" s="86" customFormat="1" ht="13.25" hidden="1" customHeight="1" x14ac:dyDescent="0.3">
      <c r="A5467" s="89" t="s">
        <v>3796</v>
      </c>
      <c r="B5467" s="86" t="s">
        <v>35</v>
      </c>
      <c r="C5467" s="86" t="s">
        <v>164</v>
      </c>
      <c r="D5467" s="86" t="s">
        <v>174</v>
      </c>
      <c r="E5467" s="86" t="s">
        <v>659</v>
      </c>
      <c r="F5467" s="86" t="s">
        <v>660</v>
      </c>
      <c r="G5467" s="86" t="s">
        <v>659</v>
      </c>
      <c r="H5467" s="144">
        <v>62</v>
      </c>
      <c r="I5467" s="86" t="s">
        <v>408</v>
      </c>
      <c r="J5467" s="1" t="s">
        <v>3324</v>
      </c>
      <c r="K5467" s="1" t="s">
        <v>3278</v>
      </c>
      <c r="L5467" s="1" t="s">
        <v>35</v>
      </c>
      <c r="M5467" s="86" t="s">
        <v>662</v>
      </c>
      <c r="O5467" s="47" t="s">
        <v>410</v>
      </c>
      <c r="P5467" s="47" t="s">
        <v>46</v>
      </c>
      <c r="Q5467" s="14">
        <v>0.03</v>
      </c>
      <c r="R5467" s="143">
        <v>1000068286</v>
      </c>
      <c r="S5467" s="47"/>
      <c r="T5467" s="6">
        <v>125616.29999999981</v>
      </c>
      <c r="U5467" s="6">
        <v>1100000</v>
      </c>
      <c r="V5467" s="6">
        <v>1124019.2299999997</v>
      </c>
      <c r="W5467" s="6">
        <f t="shared" si="856"/>
        <v>101597.07000000007</v>
      </c>
      <c r="X5467" s="6">
        <f t="shared" si="855"/>
        <v>1091280.8058252425</v>
      </c>
      <c r="Y5467" s="13">
        <f t="shared" si="860"/>
        <v>0</v>
      </c>
      <c r="Z5467" s="66">
        <v>0</v>
      </c>
      <c r="AA5467" s="6">
        <v>0</v>
      </c>
      <c r="AB5467" s="4">
        <f t="shared" si="861"/>
        <v>1091280.8058252425</v>
      </c>
      <c r="AC5467" s="6">
        <f t="shared" si="857"/>
        <v>32738.424174757209</v>
      </c>
      <c r="AD5467" s="6">
        <f t="shared" si="858"/>
        <v>1124019.2299999997</v>
      </c>
      <c r="AE5467" s="14">
        <f>VLOOKUP(I5467,[2]媒体政策预估表!A:N,MATCH(O5467,[2]媒体政策预估表!$A$2:$M$2,0),0)</f>
        <v>7.0000000000000007E-2</v>
      </c>
      <c r="AF5467" s="6">
        <f t="shared" si="854"/>
        <v>78681.346099999995</v>
      </c>
      <c r="AG5467" s="14">
        <v>0</v>
      </c>
      <c r="AH5467" s="64">
        <f t="shared" si="859"/>
        <v>1124019.2299999997</v>
      </c>
      <c r="AI5467" s="47"/>
      <c r="AJ5467" s="126" t="e">
        <v>#N/A</v>
      </c>
      <c r="AK5467" s="80">
        <f t="shared" si="862"/>
        <v>0</v>
      </c>
      <c r="AL5467" s="85"/>
      <c r="AM5467" s="85"/>
    </row>
    <row r="5468" spans="1:39" s="86" customFormat="1" ht="13.25" hidden="1" customHeight="1" x14ac:dyDescent="0.3">
      <c r="A5468" s="89" t="s">
        <v>3805</v>
      </c>
      <c r="B5468" s="86" t="s">
        <v>35</v>
      </c>
      <c r="C5468" s="86" t="s">
        <v>164</v>
      </c>
      <c r="D5468" s="86" t="s">
        <v>174</v>
      </c>
      <c r="E5468" s="86" t="s">
        <v>1634</v>
      </c>
      <c r="F5468" s="86" t="s">
        <v>1635</v>
      </c>
      <c r="G5468" s="86" t="s">
        <v>1634</v>
      </c>
      <c r="H5468" s="143">
        <v>62</v>
      </c>
      <c r="I5468" s="86" t="s">
        <v>408</v>
      </c>
      <c r="J5468" s="1" t="s">
        <v>3324</v>
      </c>
      <c r="K5468" s="1" t="s">
        <v>3278</v>
      </c>
      <c r="L5468" s="1" t="s">
        <v>35</v>
      </c>
      <c r="M5468" s="86" t="s">
        <v>3823</v>
      </c>
      <c r="O5468" s="47" t="s">
        <v>45</v>
      </c>
      <c r="P5468" s="47" t="s">
        <v>46</v>
      </c>
      <c r="Q5468" s="14">
        <v>0.05</v>
      </c>
      <c r="R5468" s="143">
        <v>1000104376</v>
      </c>
      <c r="S5468" s="47"/>
      <c r="T5468" s="6">
        <v>0</v>
      </c>
      <c r="U5468" s="6">
        <v>375000</v>
      </c>
      <c r="V5468" s="6">
        <v>0</v>
      </c>
      <c r="W5468" s="6">
        <f t="shared" si="856"/>
        <v>375000</v>
      </c>
      <c r="X5468" s="6">
        <f t="shared" si="855"/>
        <v>0</v>
      </c>
      <c r="Y5468" s="13">
        <f t="shared" si="860"/>
        <v>0</v>
      </c>
      <c r="Z5468" s="66">
        <v>0</v>
      </c>
      <c r="AA5468" s="6">
        <v>0</v>
      </c>
      <c r="AB5468" s="4">
        <f t="shared" si="861"/>
        <v>0</v>
      </c>
      <c r="AC5468" s="6">
        <f t="shared" si="857"/>
        <v>0</v>
      </c>
      <c r="AD5468" s="6">
        <f t="shared" si="858"/>
        <v>0</v>
      </c>
      <c r="AE5468" s="14">
        <f>VLOOKUP(I5468,[2]媒体政策预估表!A:N,MATCH(O5468,[2]媒体政策预估表!$A$2:$M$2,0),0)</f>
        <v>0.11</v>
      </c>
      <c r="AF5468" s="6">
        <f t="shared" si="854"/>
        <v>0</v>
      </c>
      <c r="AG5468" s="14">
        <v>0</v>
      </c>
      <c r="AH5468" s="64">
        <f t="shared" si="859"/>
        <v>0</v>
      </c>
      <c r="AI5468" s="47"/>
      <c r="AJ5468" s="126" t="e">
        <v>#N/A</v>
      </c>
      <c r="AK5468" s="80">
        <f t="shared" si="862"/>
        <v>0</v>
      </c>
      <c r="AL5468" s="85"/>
      <c r="AM5468" s="85"/>
    </row>
    <row r="5469" spans="1:39" s="86" customFormat="1" ht="13.25" hidden="1" customHeight="1" x14ac:dyDescent="0.3">
      <c r="A5469" s="89" t="s">
        <v>3794</v>
      </c>
      <c r="B5469" s="86" t="s">
        <v>35</v>
      </c>
      <c r="C5469" s="86" t="s">
        <v>164</v>
      </c>
      <c r="D5469" s="86" t="s">
        <v>174</v>
      </c>
      <c r="E5469" s="86" t="s">
        <v>1634</v>
      </c>
      <c r="F5469" s="86" t="s">
        <v>1635</v>
      </c>
      <c r="G5469" s="86" t="s">
        <v>1634</v>
      </c>
      <c r="H5469" s="143">
        <v>62</v>
      </c>
      <c r="I5469" s="86" t="s">
        <v>408</v>
      </c>
      <c r="J5469" s="1" t="s">
        <v>3324</v>
      </c>
      <c r="K5469" s="1" t="s">
        <v>3278</v>
      </c>
      <c r="L5469" s="1" t="s">
        <v>35</v>
      </c>
      <c r="M5469" s="86" t="s">
        <v>665</v>
      </c>
      <c r="O5469" s="47" t="s">
        <v>410</v>
      </c>
      <c r="P5469" s="47" t="s">
        <v>46</v>
      </c>
      <c r="Q5469" s="14">
        <v>0.02</v>
      </c>
      <c r="R5469" s="143">
        <v>1000057295</v>
      </c>
      <c r="S5469" s="47"/>
      <c r="T5469" s="6">
        <v>0</v>
      </c>
      <c r="U5469" s="6">
        <v>256000</v>
      </c>
      <c r="V5469" s="6">
        <v>0</v>
      </c>
      <c r="W5469" s="6">
        <f t="shared" si="856"/>
        <v>256000</v>
      </c>
      <c r="X5469" s="6">
        <f t="shared" si="855"/>
        <v>0</v>
      </c>
      <c r="Y5469" s="13">
        <f t="shared" si="860"/>
        <v>0</v>
      </c>
      <c r="Z5469" s="66">
        <v>0</v>
      </c>
      <c r="AA5469" s="6">
        <v>0</v>
      </c>
      <c r="AB5469" s="4">
        <f t="shared" si="861"/>
        <v>0</v>
      </c>
      <c r="AC5469" s="6">
        <f t="shared" si="857"/>
        <v>0</v>
      </c>
      <c r="AD5469" s="6">
        <f t="shared" si="858"/>
        <v>0</v>
      </c>
      <c r="AE5469" s="14">
        <f>VLOOKUP(I5469,[2]媒体政策预估表!A:N,MATCH(O5469,[2]媒体政策预估表!$A$2:$M$2,0),0)</f>
        <v>7.0000000000000007E-2</v>
      </c>
      <c r="AF5469" s="6">
        <f t="shared" si="854"/>
        <v>0</v>
      </c>
      <c r="AG5469" s="14">
        <v>0</v>
      </c>
      <c r="AH5469" s="64">
        <f t="shared" si="859"/>
        <v>0</v>
      </c>
      <c r="AI5469" s="47"/>
      <c r="AJ5469" s="126" t="e">
        <v>#N/A</v>
      </c>
      <c r="AK5469" s="80">
        <f t="shared" si="862"/>
        <v>0</v>
      </c>
      <c r="AL5469" s="85"/>
      <c r="AM5469" s="85"/>
    </row>
    <row r="5470" spans="1:39" s="86" customFormat="1" ht="13.25" hidden="1" customHeight="1" x14ac:dyDescent="0.3">
      <c r="A5470" s="89" t="s">
        <v>3806</v>
      </c>
      <c r="B5470" s="86" t="s">
        <v>35</v>
      </c>
      <c r="C5470" s="86" t="s">
        <v>164</v>
      </c>
      <c r="D5470" s="86" t="s">
        <v>174</v>
      </c>
      <c r="E5470" s="86" t="s">
        <v>1634</v>
      </c>
      <c r="F5470" s="86" t="s">
        <v>1635</v>
      </c>
      <c r="G5470" s="86" t="s">
        <v>1634</v>
      </c>
      <c r="H5470" s="144">
        <v>62</v>
      </c>
      <c r="I5470" s="86" t="s">
        <v>408</v>
      </c>
      <c r="J5470" s="1" t="s">
        <v>3324</v>
      </c>
      <c r="K5470" s="1" t="s">
        <v>3278</v>
      </c>
      <c r="L5470" s="1" t="s">
        <v>35</v>
      </c>
      <c r="M5470" s="86" t="s">
        <v>3471</v>
      </c>
      <c r="O5470" s="47" t="s">
        <v>45</v>
      </c>
      <c r="P5470" s="47" t="s">
        <v>46</v>
      </c>
      <c r="Q5470" s="14">
        <v>0.05</v>
      </c>
      <c r="R5470" s="143">
        <v>1000072150</v>
      </c>
      <c r="S5470" s="47"/>
      <c r="T5470" s="6">
        <v>0</v>
      </c>
      <c r="U5470" s="6">
        <v>310000</v>
      </c>
      <c r="V5470" s="6">
        <v>161039.90999999997</v>
      </c>
      <c r="W5470" s="6">
        <f t="shared" si="856"/>
        <v>148960.09000000003</v>
      </c>
      <c r="X5470" s="6">
        <f t="shared" si="855"/>
        <v>153371.34285714282</v>
      </c>
      <c r="Y5470" s="13">
        <f t="shared" si="860"/>
        <v>0</v>
      </c>
      <c r="Z5470" s="66">
        <v>0</v>
      </c>
      <c r="AA5470" s="6">
        <v>0</v>
      </c>
      <c r="AB5470" s="4">
        <f t="shared" si="861"/>
        <v>153371.34285714282</v>
      </c>
      <c r="AC5470" s="6">
        <f t="shared" si="857"/>
        <v>7668.5671428571513</v>
      </c>
      <c r="AD5470" s="6">
        <f t="shared" si="858"/>
        <v>161039.90999999997</v>
      </c>
      <c r="AE5470" s="14">
        <f>VLOOKUP(I5470,[2]媒体政策预估表!A:N,MATCH(O5470,[2]媒体政策预估表!$A$2:$M$2,0),0)</f>
        <v>0.11</v>
      </c>
      <c r="AF5470" s="6">
        <f t="shared" si="854"/>
        <v>17714.390099999997</v>
      </c>
      <c r="AG5470" s="14">
        <v>0</v>
      </c>
      <c r="AH5470" s="64">
        <f t="shared" si="859"/>
        <v>161039.90999999997</v>
      </c>
      <c r="AI5470" s="47"/>
      <c r="AJ5470" s="126" t="e">
        <v>#N/A</v>
      </c>
      <c r="AK5470" s="80">
        <f t="shared" si="862"/>
        <v>0</v>
      </c>
      <c r="AL5470" s="85"/>
      <c r="AM5470" s="85"/>
    </row>
    <row r="5471" spans="1:39" s="86" customFormat="1" ht="13.25" hidden="1" customHeight="1" x14ac:dyDescent="0.3">
      <c r="A5471" s="89" t="s">
        <v>3792</v>
      </c>
      <c r="B5471" s="86" t="s">
        <v>35</v>
      </c>
      <c r="C5471" s="86" t="s">
        <v>164</v>
      </c>
      <c r="D5471" s="86" t="s">
        <v>174</v>
      </c>
      <c r="E5471" s="86" t="s">
        <v>1634</v>
      </c>
      <c r="F5471" s="86" t="s">
        <v>1635</v>
      </c>
      <c r="G5471" s="86" t="s">
        <v>1634</v>
      </c>
      <c r="H5471" s="143">
        <v>62</v>
      </c>
      <c r="I5471" s="86" t="s">
        <v>408</v>
      </c>
      <c r="J5471" s="1" t="s">
        <v>3324</v>
      </c>
      <c r="K5471" s="1" t="s">
        <v>3278</v>
      </c>
      <c r="L5471" s="1" t="s">
        <v>35</v>
      </c>
      <c r="M5471" s="86" t="s">
        <v>3824</v>
      </c>
      <c r="O5471" s="47" t="s">
        <v>45</v>
      </c>
      <c r="P5471" s="47" t="s">
        <v>46</v>
      </c>
      <c r="Q5471" s="14">
        <v>0.05</v>
      </c>
      <c r="R5471" s="143">
        <v>1000081029</v>
      </c>
      <c r="S5471" s="47"/>
      <c r="T5471" s="6">
        <v>0</v>
      </c>
      <c r="U5471" s="6">
        <v>50000</v>
      </c>
      <c r="V5471" s="6">
        <v>0</v>
      </c>
      <c r="W5471" s="6">
        <f t="shared" si="856"/>
        <v>50000</v>
      </c>
      <c r="X5471" s="6">
        <f t="shared" si="855"/>
        <v>0</v>
      </c>
      <c r="Y5471" s="13">
        <f t="shared" si="860"/>
        <v>0</v>
      </c>
      <c r="Z5471" s="66">
        <v>0</v>
      </c>
      <c r="AA5471" s="6">
        <v>0</v>
      </c>
      <c r="AB5471" s="4">
        <f t="shared" si="861"/>
        <v>0</v>
      </c>
      <c r="AC5471" s="6">
        <f t="shared" si="857"/>
        <v>0</v>
      </c>
      <c r="AD5471" s="6">
        <f t="shared" si="858"/>
        <v>0</v>
      </c>
      <c r="AE5471" s="14">
        <f>VLOOKUP(I5471,[2]媒体政策预估表!A:N,MATCH(O5471,[2]媒体政策预估表!$A$2:$M$2,0),0)</f>
        <v>0.11</v>
      </c>
      <c r="AF5471" s="6">
        <f t="shared" si="854"/>
        <v>0</v>
      </c>
      <c r="AG5471" s="14">
        <v>0</v>
      </c>
      <c r="AH5471" s="64">
        <f t="shared" si="859"/>
        <v>0</v>
      </c>
      <c r="AI5471" s="47"/>
      <c r="AJ5471" s="126" t="e">
        <v>#N/A</v>
      </c>
      <c r="AK5471" s="80">
        <f t="shared" si="862"/>
        <v>0</v>
      </c>
      <c r="AL5471" s="85"/>
      <c r="AM5471" s="85"/>
    </row>
    <row r="5472" spans="1:39" s="86" customFormat="1" ht="13.25" hidden="1" customHeight="1" x14ac:dyDescent="0.3">
      <c r="A5472" s="89" t="s">
        <v>3806</v>
      </c>
      <c r="B5472" s="86" t="s">
        <v>35</v>
      </c>
      <c r="C5472" s="86" t="s">
        <v>164</v>
      </c>
      <c r="D5472" s="86" t="s">
        <v>174</v>
      </c>
      <c r="E5472" s="86" t="s">
        <v>1634</v>
      </c>
      <c r="F5472" s="86" t="s">
        <v>1635</v>
      </c>
      <c r="G5472" s="86" t="s">
        <v>1634</v>
      </c>
      <c r="H5472" s="143">
        <v>62</v>
      </c>
      <c r="I5472" s="86" t="s">
        <v>408</v>
      </c>
      <c r="J5472" s="1" t="s">
        <v>3324</v>
      </c>
      <c r="K5472" s="1" t="s">
        <v>3278</v>
      </c>
      <c r="L5472" s="1" t="s">
        <v>35</v>
      </c>
      <c r="M5472" s="86" t="s">
        <v>3824</v>
      </c>
      <c r="O5472" s="47" t="s">
        <v>410</v>
      </c>
      <c r="P5472" s="47" t="s">
        <v>46</v>
      </c>
      <c r="Q5472" s="14">
        <v>0.02</v>
      </c>
      <c r="R5472" s="143">
        <v>1000081029</v>
      </c>
      <c r="S5472" s="47"/>
      <c r="T5472" s="6">
        <v>0</v>
      </c>
      <c r="U5472" s="6">
        <v>50000</v>
      </c>
      <c r="V5472" s="6">
        <v>0</v>
      </c>
      <c r="W5472" s="6">
        <f t="shared" si="856"/>
        <v>50000</v>
      </c>
      <c r="X5472" s="6">
        <f t="shared" si="855"/>
        <v>0</v>
      </c>
      <c r="Y5472" s="13">
        <f t="shared" si="860"/>
        <v>0</v>
      </c>
      <c r="Z5472" s="66">
        <v>0</v>
      </c>
      <c r="AA5472" s="6">
        <v>0</v>
      </c>
      <c r="AB5472" s="4">
        <f t="shared" si="861"/>
        <v>0</v>
      </c>
      <c r="AC5472" s="6">
        <f t="shared" si="857"/>
        <v>0</v>
      </c>
      <c r="AD5472" s="6">
        <f t="shared" si="858"/>
        <v>0</v>
      </c>
      <c r="AE5472" s="14">
        <f>VLOOKUP(I5472,[2]媒体政策预估表!A:N,MATCH(O5472,[2]媒体政策预估表!$A$2:$M$2,0),0)</f>
        <v>7.0000000000000007E-2</v>
      </c>
      <c r="AF5472" s="6">
        <f t="shared" si="854"/>
        <v>0</v>
      </c>
      <c r="AG5472" s="14">
        <v>0</v>
      </c>
      <c r="AH5472" s="64">
        <f t="shared" si="859"/>
        <v>0</v>
      </c>
      <c r="AI5472" s="47"/>
      <c r="AJ5472" s="126" t="e">
        <v>#N/A</v>
      </c>
      <c r="AK5472" s="80">
        <f t="shared" si="862"/>
        <v>0</v>
      </c>
      <c r="AL5472" s="85"/>
      <c r="AM5472" s="85"/>
    </row>
    <row r="5473" spans="1:39" s="86" customFormat="1" ht="13.25" hidden="1" customHeight="1" x14ac:dyDescent="0.3">
      <c r="A5473" s="89" t="s">
        <v>3792</v>
      </c>
      <c r="B5473" s="86" t="s">
        <v>35</v>
      </c>
      <c r="C5473" s="86" t="s">
        <v>164</v>
      </c>
      <c r="D5473" s="86" t="s">
        <v>174</v>
      </c>
      <c r="E5473" s="86" t="s">
        <v>3825</v>
      </c>
      <c r="F5473" s="86" t="s">
        <v>3825</v>
      </c>
      <c r="G5473" s="86" t="s">
        <v>3825</v>
      </c>
      <c r="H5473" s="144">
        <v>62</v>
      </c>
      <c r="I5473" s="86" t="s">
        <v>408</v>
      </c>
      <c r="J5473" s="1" t="s">
        <v>3324</v>
      </c>
      <c r="K5473" s="1" t="s">
        <v>3278</v>
      </c>
      <c r="L5473" s="1" t="s">
        <v>35</v>
      </c>
      <c r="M5473" s="86" t="s">
        <v>3826</v>
      </c>
      <c r="O5473" s="47" t="s">
        <v>410</v>
      </c>
      <c r="P5473" s="47" t="s">
        <v>46</v>
      </c>
      <c r="Q5473" s="14">
        <v>0.02</v>
      </c>
      <c r="R5473" s="143">
        <v>1000102609</v>
      </c>
      <c r="S5473" s="47"/>
      <c r="T5473" s="6">
        <v>0</v>
      </c>
      <c r="U5473" s="6">
        <v>15000</v>
      </c>
      <c r="V5473" s="6">
        <v>13454.33</v>
      </c>
      <c r="W5473" s="6">
        <f t="shared" si="856"/>
        <v>1545.67</v>
      </c>
      <c r="X5473" s="6">
        <f t="shared" si="855"/>
        <v>13190.519607843136</v>
      </c>
      <c r="Y5473" s="13">
        <f t="shared" si="860"/>
        <v>0</v>
      </c>
      <c r="Z5473" s="66">
        <v>0</v>
      </c>
      <c r="AA5473" s="6">
        <v>0</v>
      </c>
      <c r="AB5473" s="4">
        <f t="shared" si="861"/>
        <v>13190.519607843136</v>
      </c>
      <c r="AC5473" s="6">
        <f t="shared" si="857"/>
        <v>263.8103921568636</v>
      </c>
      <c r="AD5473" s="6">
        <f t="shared" si="858"/>
        <v>13454.33</v>
      </c>
      <c r="AE5473" s="14">
        <f>VLOOKUP(I5473,[2]媒体政策预估表!A:N,MATCH(O5473,[2]媒体政策预估表!$A$2:$M$2,0),0)</f>
        <v>7.0000000000000007E-2</v>
      </c>
      <c r="AF5473" s="6">
        <f t="shared" si="854"/>
        <v>941.80310000000009</v>
      </c>
      <c r="AG5473" s="14">
        <v>0</v>
      </c>
      <c r="AH5473" s="64">
        <f t="shared" si="859"/>
        <v>13454.33</v>
      </c>
      <c r="AI5473" s="47"/>
      <c r="AJ5473" s="126" t="e">
        <v>#N/A</v>
      </c>
      <c r="AK5473" s="80">
        <f t="shared" si="862"/>
        <v>0</v>
      </c>
      <c r="AL5473" s="85"/>
      <c r="AM5473" s="85"/>
    </row>
    <row r="5474" spans="1:39" s="86" customFormat="1" ht="13.25" hidden="1" customHeight="1" x14ac:dyDescent="0.3">
      <c r="A5474" s="89" t="s">
        <v>3796</v>
      </c>
      <c r="B5474" s="86" t="s">
        <v>35</v>
      </c>
      <c r="C5474" s="86" t="s">
        <v>164</v>
      </c>
      <c r="D5474" s="86" t="s">
        <v>174</v>
      </c>
      <c r="E5474" s="86" t="s">
        <v>3827</v>
      </c>
      <c r="F5474" s="86" t="s">
        <v>3827</v>
      </c>
      <c r="G5474" s="86" t="s">
        <v>3827</v>
      </c>
      <c r="H5474" s="144">
        <v>62</v>
      </c>
      <c r="I5474" s="86" t="s">
        <v>408</v>
      </c>
      <c r="J5474" s="1" t="s">
        <v>3324</v>
      </c>
      <c r="K5474" s="1" t="s">
        <v>3278</v>
      </c>
      <c r="L5474" s="1" t="s">
        <v>35</v>
      </c>
      <c r="M5474" s="86" t="s">
        <v>3828</v>
      </c>
      <c r="O5474" s="47" t="s">
        <v>410</v>
      </c>
      <c r="P5474" s="47" t="s">
        <v>46</v>
      </c>
      <c r="Q5474" s="14">
        <v>0.04</v>
      </c>
      <c r="R5474" s="143">
        <v>1000105051</v>
      </c>
      <c r="S5474" s="47"/>
      <c r="T5474" s="6">
        <v>0</v>
      </c>
      <c r="U5474" s="6">
        <v>5000</v>
      </c>
      <c r="V5474" s="6">
        <v>540.20000000000005</v>
      </c>
      <c r="W5474" s="6">
        <f t="shared" si="856"/>
        <v>4459.8</v>
      </c>
      <c r="X5474" s="6">
        <f t="shared" si="855"/>
        <v>519.42307692307691</v>
      </c>
      <c r="Y5474" s="13">
        <f t="shared" si="860"/>
        <v>0</v>
      </c>
      <c r="Z5474" s="66">
        <v>0</v>
      </c>
      <c r="AA5474" s="6">
        <v>0</v>
      </c>
      <c r="AB5474" s="4">
        <f t="shared" si="861"/>
        <v>519.42307692307691</v>
      </c>
      <c r="AC5474" s="6">
        <f t="shared" si="857"/>
        <v>20.77692307692314</v>
      </c>
      <c r="AD5474" s="6">
        <f t="shared" si="858"/>
        <v>540.20000000000005</v>
      </c>
      <c r="AE5474" s="14">
        <f>VLOOKUP(I5474,[2]媒体政策预估表!A:N,MATCH(O5474,[2]媒体政策预估表!$A$2:$M$2,0),0)</f>
        <v>7.0000000000000007E-2</v>
      </c>
      <c r="AF5474" s="6">
        <f t="shared" si="854"/>
        <v>37.814000000000007</v>
      </c>
      <c r="AG5474" s="14">
        <v>0</v>
      </c>
      <c r="AH5474" s="64">
        <f t="shared" si="859"/>
        <v>540.20000000000005</v>
      </c>
      <c r="AI5474" s="47"/>
      <c r="AJ5474" s="126" t="e">
        <v>#N/A</v>
      </c>
      <c r="AK5474" s="80">
        <f t="shared" si="862"/>
        <v>0</v>
      </c>
      <c r="AL5474" s="85"/>
      <c r="AM5474" s="85"/>
    </row>
    <row r="5475" spans="1:39" s="86" customFormat="1" ht="13.25" hidden="1" customHeight="1" x14ac:dyDescent="0.3">
      <c r="A5475" s="89" t="s">
        <v>3794</v>
      </c>
      <c r="B5475" s="86" t="s">
        <v>35</v>
      </c>
      <c r="C5475" s="86" t="s">
        <v>164</v>
      </c>
      <c r="D5475" s="86" t="s">
        <v>174</v>
      </c>
      <c r="E5475" s="86" t="s">
        <v>1687</v>
      </c>
      <c r="F5475" s="86" t="s">
        <v>1687</v>
      </c>
      <c r="G5475" s="86" t="s">
        <v>1687</v>
      </c>
      <c r="H5475" s="144">
        <v>62</v>
      </c>
      <c r="I5475" s="86" t="s">
        <v>408</v>
      </c>
      <c r="J5475" s="1" t="s">
        <v>3324</v>
      </c>
      <c r="K5475" s="1" t="s">
        <v>3278</v>
      </c>
      <c r="L5475" s="1" t="s">
        <v>35</v>
      </c>
      <c r="M5475" s="86" t="s">
        <v>3829</v>
      </c>
      <c r="O5475" s="47" t="s">
        <v>410</v>
      </c>
      <c r="P5475" s="47" t="s">
        <v>46</v>
      </c>
      <c r="Q5475" s="14">
        <v>0.02</v>
      </c>
      <c r="R5475" s="143">
        <v>1000103432</v>
      </c>
      <c r="S5475" s="47"/>
      <c r="T5475" s="6">
        <v>0</v>
      </c>
      <c r="U5475" s="6">
        <v>50000</v>
      </c>
      <c r="V5475" s="6">
        <v>15208.710000000001</v>
      </c>
      <c r="W5475" s="6">
        <f t="shared" si="856"/>
        <v>34791.29</v>
      </c>
      <c r="X5475" s="6">
        <f t="shared" si="855"/>
        <v>14910.5</v>
      </c>
      <c r="Y5475" s="13">
        <f t="shared" si="860"/>
        <v>0</v>
      </c>
      <c r="Z5475" s="66">
        <v>0</v>
      </c>
      <c r="AA5475" s="6">
        <v>0</v>
      </c>
      <c r="AB5475" s="4">
        <f t="shared" si="861"/>
        <v>14910.5</v>
      </c>
      <c r="AC5475" s="6">
        <f t="shared" si="857"/>
        <v>298.21000000000095</v>
      </c>
      <c r="AD5475" s="6">
        <f t="shared" si="858"/>
        <v>15208.710000000001</v>
      </c>
      <c r="AE5475" s="14">
        <f>VLOOKUP(I5475,[2]媒体政策预估表!A:N,MATCH(O5475,[2]媒体政策预估表!$A$2:$M$2,0),0)</f>
        <v>7.0000000000000007E-2</v>
      </c>
      <c r="AF5475" s="6">
        <f t="shared" si="854"/>
        <v>1064.6097000000002</v>
      </c>
      <c r="AG5475" s="14">
        <v>0</v>
      </c>
      <c r="AH5475" s="64">
        <f t="shared" si="859"/>
        <v>15208.710000000001</v>
      </c>
      <c r="AI5475" s="47"/>
      <c r="AJ5475" s="126" t="e">
        <v>#N/A</v>
      </c>
      <c r="AK5475" s="80">
        <f t="shared" si="862"/>
        <v>0</v>
      </c>
      <c r="AL5475" s="85"/>
      <c r="AM5475" s="85"/>
    </row>
    <row r="5476" spans="1:39" s="86" customFormat="1" ht="13.25" hidden="1" customHeight="1" x14ac:dyDescent="0.3">
      <c r="A5476" s="89" t="s">
        <v>3805</v>
      </c>
      <c r="B5476" s="86" t="s">
        <v>35</v>
      </c>
      <c r="C5476" s="86" t="s">
        <v>164</v>
      </c>
      <c r="D5476" s="86" t="s">
        <v>174</v>
      </c>
      <c r="E5476" s="86" t="s">
        <v>671</v>
      </c>
      <c r="F5476" s="86" t="s">
        <v>3032</v>
      </c>
      <c r="G5476" s="86" t="s">
        <v>671</v>
      </c>
      <c r="H5476" s="143">
        <v>62</v>
      </c>
      <c r="I5476" s="86" t="s">
        <v>408</v>
      </c>
      <c r="J5476" s="1" t="s">
        <v>3324</v>
      </c>
      <c r="K5476" s="1" t="s">
        <v>3278</v>
      </c>
      <c r="L5476" s="1" t="s">
        <v>35</v>
      </c>
      <c r="M5476" s="86" t="s">
        <v>728</v>
      </c>
      <c r="O5476" s="47" t="s">
        <v>410</v>
      </c>
      <c r="P5476" s="47" t="s">
        <v>41</v>
      </c>
      <c r="Q5476" s="14">
        <v>0</v>
      </c>
      <c r="R5476" s="143">
        <v>1000095476</v>
      </c>
      <c r="S5476" s="47"/>
      <c r="T5476" s="6">
        <v>0</v>
      </c>
      <c r="U5476" s="6">
        <v>120000</v>
      </c>
      <c r="V5476" s="6">
        <v>101737.20000000001</v>
      </c>
      <c r="W5476" s="6">
        <f t="shared" si="856"/>
        <v>18262.799999999988</v>
      </c>
      <c r="X5476" s="6">
        <f t="shared" si="855"/>
        <v>101737.20000000001</v>
      </c>
      <c r="Y5476" s="13">
        <f t="shared" si="860"/>
        <v>0</v>
      </c>
      <c r="Z5476" s="66">
        <v>0</v>
      </c>
      <c r="AA5476" s="6">
        <v>0</v>
      </c>
      <c r="AB5476" s="4"/>
      <c r="AC5476" s="6">
        <f t="shared" si="857"/>
        <v>0</v>
      </c>
      <c r="AD5476" s="6">
        <f t="shared" si="858"/>
        <v>101737.20000000001</v>
      </c>
      <c r="AE5476" s="14">
        <f>VLOOKUP(I5476,[2]媒体政策预估表!A:N,MATCH(O5476,[2]媒体政策预估表!$A$2:$M$2,0),0)</f>
        <v>7.0000000000000007E-2</v>
      </c>
      <c r="AF5476" s="6">
        <f t="shared" ref="AF5476:AF5539" si="863">AD5476*AE5476</f>
        <v>7121.6040000000012</v>
      </c>
      <c r="AG5476" s="14">
        <v>0</v>
      </c>
      <c r="AH5476" s="64">
        <f t="shared" si="859"/>
        <v>101737.20000000001</v>
      </c>
      <c r="AI5476" s="47"/>
      <c r="AJ5476" s="126">
        <v>109</v>
      </c>
      <c r="AK5476" s="80">
        <f t="shared" si="862"/>
        <v>101737.20000000001</v>
      </c>
      <c r="AL5476" s="85"/>
      <c r="AM5476" s="85"/>
    </row>
    <row r="5477" spans="1:39" s="86" customFormat="1" ht="13.25" hidden="1" customHeight="1" x14ac:dyDescent="0.3">
      <c r="A5477" s="89" t="s">
        <v>3794</v>
      </c>
      <c r="B5477" s="86" t="s">
        <v>35</v>
      </c>
      <c r="C5477" s="86" t="s">
        <v>164</v>
      </c>
      <c r="D5477" s="86" t="s">
        <v>174</v>
      </c>
      <c r="E5477" s="86" t="s">
        <v>671</v>
      </c>
      <c r="F5477" s="86" t="s">
        <v>3032</v>
      </c>
      <c r="G5477" s="86" t="s">
        <v>671</v>
      </c>
      <c r="H5477" s="143">
        <v>62</v>
      </c>
      <c r="I5477" s="86" t="s">
        <v>408</v>
      </c>
      <c r="J5477" s="1" t="s">
        <v>3324</v>
      </c>
      <c r="K5477" s="1" t="s">
        <v>3278</v>
      </c>
      <c r="L5477" s="1" t="s">
        <v>35</v>
      </c>
      <c r="M5477" s="86" t="s">
        <v>672</v>
      </c>
      <c r="O5477" s="47" t="s">
        <v>410</v>
      </c>
      <c r="P5477" s="47" t="s">
        <v>41</v>
      </c>
      <c r="Q5477" s="14">
        <v>0</v>
      </c>
      <c r="R5477" s="143">
        <v>1000097764</v>
      </c>
      <c r="S5477" s="47"/>
      <c r="T5477" s="6">
        <v>0</v>
      </c>
      <c r="U5477" s="6">
        <v>180000</v>
      </c>
      <c r="V5477" s="6">
        <v>140443.47999999998</v>
      </c>
      <c r="W5477" s="6">
        <f t="shared" si="856"/>
        <v>39556.520000000019</v>
      </c>
      <c r="X5477" s="6">
        <f t="shared" si="855"/>
        <v>140443.47999999998</v>
      </c>
      <c r="Y5477" s="13">
        <f t="shared" si="860"/>
        <v>0</v>
      </c>
      <c r="Z5477" s="66">
        <v>0</v>
      </c>
      <c r="AA5477" s="6">
        <v>0</v>
      </c>
      <c r="AB5477" s="4"/>
      <c r="AC5477" s="6">
        <f t="shared" si="857"/>
        <v>0</v>
      </c>
      <c r="AD5477" s="6">
        <f t="shared" si="858"/>
        <v>140443.47999999998</v>
      </c>
      <c r="AE5477" s="14">
        <f>VLOOKUP(I5477,[2]媒体政策预估表!A:N,MATCH(O5477,[2]媒体政策预估表!$A$2:$M$2,0),0)</f>
        <v>7.0000000000000007E-2</v>
      </c>
      <c r="AF5477" s="6">
        <f t="shared" si="863"/>
        <v>9831.0435999999991</v>
      </c>
      <c r="AG5477" s="14">
        <v>0</v>
      </c>
      <c r="AH5477" s="64">
        <f t="shared" si="859"/>
        <v>140443.47999999998</v>
      </c>
      <c r="AI5477" s="47"/>
      <c r="AJ5477" s="126">
        <v>109</v>
      </c>
      <c r="AK5477" s="80">
        <f t="shared" si="862"/>
        <v>140443.47999999998</v>
      </c>
      <c r="AL5477" s="85"/>
      <c r="AM5477" s="85"/>
    </row>
    <row r="5478" spans="1:39" s="86" customFormat="1" ht="13.25" hidden="1" customHeight="1" x14ac:dyDescent="0.3">
      <c r="A5478" s="89" t="s">
        <v>3792</v>
      </c>
      <c r="B5478" s="86" t="s">
        <v>35</v>
      </c>
      <c r="C5478" s="86" t="s">
        <v>164</v>
      </c>
      <c r="D5478" s="86" t="s">
        <v>174</v>
      </c>
      <c r="E5478" s="86" t="s">
        <v>3474</v>
      </c>
      <c r="F5478" s="86" t="s">
        <v>3474</v>
      </c>
      <c r="G5478" s="86" t="s">
        <v>3474</v>
      </c>
      <c r="H5478" s="144">
        <v>62</v>
      </c>
      <c r="I5478" s="86" t="s">
        <v>408</v>
      </c>
      <c r="J5478" s="1" t="s">
        <v>3324</v>
      </c>
      <c r="K5478" s="1" t="s">
        <v>3278</v>
      </c>
      <c r="L5478" s="1" t="s">
        <v>35</v>
      </c>
      <c r="M5478" s="86" t="s">
        <v>3475</v>
      </c>
      <c r="O5478" s="47" t="s">
        <v>410</v>
      </c>
      <c r="P5478" s="47" t="s">
        <v>41</v>
      </c>
      <c r="Q5478" s="14">
        <v>0</v>
      </c>
      <c r="R5478" s="143">
        <v>1000073654</v>
      </c>
      <c r="S5478" s="47"/>
      <c r="T5478" s="6">
        <v>12170.349999999999</v>
      </c>
      <c r="U5478" s="6">
        <v>20000</v>
      </c>
      <c r="V5478" s="6">
        <v>32170.349999999995</v>
      </c>
      <c r="W5478" s="6">
        <f t="shared" si="856"/>
        <v>0</v>
      </c>
      <c r="X5478" s="6">
        <f t="shared" si="855"/>
        <v>32170.349999999995</v>
      </c>
      <c r="Y5478" s="13">
        <f t="shared" si="860"/>
        <v>0</v>
      </c>
      <c r="Z5478" s="66">
        <v>0</v>
      </c>
      <c r="AA5478" s="6">
        <v>0</v>
      </c>
      <c r="AB5478" s="4">
        <f t="shared" si="861"/>
        <v>32170.349999999995</v>
      </c>
      <c r="AC5478" s="6">
        <f t="shared" si="857"/>
        <v>0</v>
      </c>
      <c r="AD5478" s="6">
        <f t="shared" si="858"/>
        <v>32170.349999999995</v>
      </c>
      <c r="AE5478" s="14">
        <f>VLOOKUP(I5478,[2]媒体政策预估表!A:N,MATCH(O5478,[2]媒体政策预估表!$A$2:$M$2,0),0)</f>
        <v>7.0000000000000007E-2</v>
      </c>
      <c r="AF5478" s="6">
        <f t="shared" si="863"/>
        <v>2251.9245000000001</v>
      </c>
      <c r="AG5478" s="14">
        <v>0</v>
      </c>
      <c r="AH5478" s="64">
        <f t="shared" si="859"/>
        <v>32170.349999999995</v>
      </c>
      <c r="AI5478" s="47"/>
      <c r="AJ5478" s="126" t="e">
        <v>#N/A</v>
      </c>
      <c r="AK5478" s="80">
        <f t="shared" si="862"/>
        <v>0</v>
      </c>
      <c r="AL5478" s="85"/>
      <c r="AM5478" s="85"/>
    </row>
    <row r="5479" spans="1:39" s="86" customFormat="1" ht="13.25" hidden="1" customHeight="1" x14ac:dyDescent="0.3">
      <c r="A5479" s="89" t="s">
        <v>3792</v>
      </c>
      <c r="B5479" s="86" t="s">
        <v>35</v>
      </c>
      <c r="C5479" s="86" t="s">
        <v>164</v>
      </c>
      <c r="D5479" s="86" t="s">
        <v>174</v>
      </c>
      <c r="E5479" s="86" t="s">
        <v>683</v>
      </c>
      <c r="F5479" s="86" t="s">
        <v>683</v>
      </c>
      <c r="G5479" s="86" t="s">
        <v>683</v>
      </c>
      <c r="H5479" s="144">
        <v>62</v>
      </c>
      <c r="I5479" s="86" t="s">
        <v>408</v>
      </c>
      <c r="J5479" s="1" t="s">
        <v>3324</v>
      </c>
      <c r="K5479" s="1" t="s">
        <v>3278</v>
      </c>
      <c r="L5479" s="1" t="s">
        <v>35</v>
      </c>
      <c r="M5479" s="86" t="s">
        <v>684</v>
      </c>
      <c r="O5479" s="47" t="s">
        <v>410</v>
      </c>
      <c r="P5479" s="47" t="s">
        <v>41</v>
      </c>
      <c r="Q5479" s="14">
        <v>0</v>
      </c>
      <c r="R5479" s="143">
        <v>1000040485</v>
      </c>
      <c r="S5479" s="47"/>
      <c r="T5479" s="6">
        <v>8329.7500000000018</v>
      </c>
      <c r="U5479" s="6">
        <v>30000</v>
      </c>
      <c r="V5479" s="6">
        <v>12880.820000000002</v>
      </c>
      <c r="W5479" s="6">
        <f t="shared" si="856"/>
        <v>25448.93</v>
      </c>
      <c r="X5479" s="6">
        <f t="shared" si="855"/>
        <v>12880.820000000002</v>
      </c>
      <c r="Y5479" s="13">
        <f t="shared" si="860"/>
        <v>0</v>
      </c>
      <c r="Z5479" s="66">
        <v>0</v>
      </c>
      <c r="AA5479" s="6">
        <v>0</v>
      </c>
      <c r="AB5479" s="4">
        <f t="shared" si="861"/>
        <v>12880.820000000002</v>
      </c>
      <c r="AC5479" s="6">
        <f t="shared" si="857"/>
        <v>0</v>
      </c>
      <c r="AD5479" s="6">
        <f t="shared" si="858"/>
        <v>12880.820000000002</v>
      </c>
      <c r="AE5479" s="14">
        <f>VLOOKUP(I5479,[2]媒体政策预估表!A:N,MATCH(O5479,[2]媒体政策预估表!$A$2:$M$2,0),0)</f>
        <v>7.0000000000000007E-2</v>
      </c>
      <c r="AF5479" s="6">
        <f t="shared" si="863"/>
        <v>901.65740000000017</v>
      </c>
      <c r="AG5479" s="14">
        <v>0</v>
      </c>
      <c r="AH5479" s="64">
        <f t="shared" si="859"/>
        <v>12880.820000000002</v>
      </c>
      <c r="AI5479" s="47"/>
      <c r="AJ5479" s="126" t="e">
        <v>#N/A</v>
      </c>
      <c r="AK5479" s="80">
        <f t="shared" si="862"/>
        <v>0</v>
      </c>
      <c r="AL5479" s="85"/>
      <c r="AM5479" s="85"/>
    </row>
    <row r="5480" spans="1:39" s="86" customFormat="1" ht="13.25" hidden="1" customHeight="1" x14ac:dyDescent="0.3">
      <c r="A5480" s="89" t="s">
        <v>3794</v>
      </c>
      <c r="B5480" s="86" t="s">
        <v>35</v>
      </c>
      <c r="C5480" s="86" t="s">
        <v>164</v>
      </c>
      <c r="D5480" s="86" t="s">
        <v>174</v>
      </c>
      <c r="E5480" s="86" t="s">
        <v>685</v>
      </c>
      <c r="F5480" s="86" t="s">
        <v>686</v>
      </c>
      <c r="G5480" s="86" t="s">
        <v>685</v>
      </c>
      <c r="H5480" s="144">
        <v>62</v>
      </c>
      <c r="I5480" s="86" t="s">
        <v>408</v>
      </c>
      <c r="J5480" s="1" t="s">
        <v>3324</v>
      </c>
      <c r="K5480" s="1" t="s">
        <v>3278</v>
      </c>
      <c r="L5480" s="1" t="s">
        <v>35</v>
      </c>
      <c r="M5480" s="86" t="s">
        <v>687</v>
      </c>
      <c r="O5480" s="47" t="s">
        <v>410</v>
      </c>
      <c r="P5480" s="47" t="s">
        <v>41</v>
      </c>
      <c r="Q5480" s="14">
        <v>0</v>
      </c>
      <c r="R5480" s="143">
        <v>1000098945</v>
      </c>
      <c r="S5480" s="47"/>
      <c r="T5480" s="6">
        <v>5949</v>
      </c>
      <c r="U5480" s="6">
        <v>62000</v>
      </c>
      <c r="V5480" s="6">
        <v>57021</v>
      </c>
      <c r="W5480" s="6">
        <f t="shared" si="856"/>
        <v>10928</v>
      </c>
      <c r="X5480" s="6">
        <f t="shared" si="855"/>
        <v>57021</v>
      </c>
      <c r="Y5480" s="13">
        <f t="shared" si="860"/>
        <v>0</v>
      </c>
      <c r="Z5480" s="66">
        <v>0</v>
      </c>
      <c r="AA5480" s="6">
        <v>0</v>
      </c>
      <c r="AB5480" s="4">
        <f t="shared" si="861"/>
        <v>57021</v>
      </c>
      <c r="AC5480" s="6">
        <f t="shared" si="857"/>
        <v>0</v>
      </c>
      <c r="AD5480" s="6">
        <f t="shared" si="858"/>
        <v>57021</v>
      </c>
      <c r="AE5480" s="14">
        <f>VLOOKUP(I5480,[2]媒体政策预估表!A:N,MATCH(O5480,[2]媒体政策预估表!$A$2:$M$2,0),0)</f>
        <v>7.0000000000000007E-2</v>
      </c>
      <c r="AF5480" s="6">
        <f t="shared" si="863"/>
        <v>3991.4700000000003</v>
      </c>
      <c r="AG5480" s="14">
        <v>0</v>
      </c>
      <c r="AH5480" s="64">
        <f t="shared" si="859"/>
        <v>57021</v>
      </c>
      <c r="AI5480" s="47"/>
      <c r="AJ5480" s="126" t="e">
        <v>#N/A</v>
      </c>
      <c r="AK5480" s="80">
        <f t="shared" si="862"/>
        <v>0</v>
      </c>
      <c r="AL5480" s="85"/>
      <c r="AM5480" s="85"/>
    </row>
    <row r="5481" spans="1:39" s="86" customFormat="1" ht="13.25" hidden="1" customHeight="1" x14ac:dyDescent="0.3">
      <c r="A5481" s="89" t="s">
        <v>3805</v>
      </c>
      <c r="B5481" s="86" t="s">
        <v>35</v>
      </c>
      <c r="C5481" s="86" t="s">
        <v>164</v>
      </c>
      <c r="D5481" s="86" t="s">
        <v>174</v>
      </c>
      <c r="E5481" s="86" t="s">
        <v>688</v>
      </c>
      <c r="F5481" s="86" t="s">
        <v>688</v>
      </c>
      <c r="G5481" s="86" t="s">
        <v>688</v>
      </c>
      <c r="H5481" s="144">
        <v>62</v>
      </c>
      <c r="I5481" s="86" t="s">
        <v>408</v>
      </c>
      <c r="J5481" s="1" t="s">
        <v>3324</v>
      </c>
      <c r="K5481" s="1" t="s">
        <v>3278</v>
      </c>
      <c r="L5481" s="1" t="s">
        <v>35</v>
      </c>
      <c r="M5481" s="86" t="s">
        <v>689</v>
      </c>
      <c r="O5481" s="47" t="s">
        <v>410</v>
      </c>
      <c r="P5481" s="47" t="s">
        <v>41</v>
      </c>
      <c r="Q5481" s="14">
        <v>0</v>
      </c>
      <c r="R5481" s="143">
        <v>1000083486</v>
      </c>
      <c r="S5481" s="47"/>
      <c r="T5481" s="6">
        <v>37774.649999999987</v>
      </c>
      <c r="U5481" s="6">
        <v>20000</v>
      </c>
      <c r="V5481" s="6">
        <v>34180.86</v>
      </c>
      <c r="W5481" s="6">
        <f t="shared" si="856"/>
        <v>23593.789999999986</v>
      </c>
      <c r="X5481" s="6">
        <f t="shared" si="855"/>
        <v>34180.86</v>
      </c>
      <c r="Y5481" s="13">
        <f t="shared" si="860"/>
        <v>0</v>
      </c>
      <c r="Z5481" s="66">
        <v>0</v>
      </c>
      <c r="AA5481" s="6">
        <v>0</v>
      </c>
      <c r="AB5481" s="4">
        <f t="shared" si="861"/>
        <v>34180.86</v>
      </c>
      <c r="AC5481" s="6">
        <f t="shared" si="857"/>
        <v>0</v>
      </c>
      <c r="AD5481" s="6">
        <f t="shared" si="858"/>
        <v>34180.86</v>
      </c>
      <c r="AE5481" s="14">
        <f>VLOOKUP(I5481,[2]媒体政策预估表!A:N,MATCH(O5481,[2]媒体政策预估表!$A$2:$M$2,0),0)</f>
        <v>7.0000000000000007E-2</v>
      </c>
      <c r="AF5481" s="6">
        <f t="shared" si="863"/>
        <v>2392.6602000000003</v>
      </c>
      <c r="AG5481" s="14">
        <v>0</v>
      </c>
      <c r="AH5481" s="64">
        <f t="shared" si="859"/>
        <v>34180.86</v>
      </c>
      <c r="AI5481" s="47"/>
      <c r="AJ5481" s="126" t="e">
        <v>#N/A</v>
      </c>
      <c r="AK5481" s="80">
        <f t="shared" si="862"/>
        <v>0</v>
      </c>
      <c r="AL5481" s="85"/>
      <c r="AM5481" s="85"/>
    </row>
    <row r="5482" spans="1:39" s="86" customFormat="1" ht="13.25" hidden="1" customHeight="1" x14ac:dyDescent="0.3">
      <c r="A5482" s="89" t="s">
        <v>3794</v>
      </c>
      <c r="B5482" s="86" t="s">
        <v>35</v>
      </c>
      <c r="C5482" s="86" t="s">
        <v>164</v>
      </c>
      <c r="D5482" s="86" t="s">
        <v>174</v>
      </c>
      <c r="E5482" s="86" t="s">
        <v>690</v>
      </c>
      <c r="F5482" s="86" t="s">
        <v>690</v>
      </c>
      <c r="G5482" s="86" t="s">
        <v>690</v>
      </c>
      <c r="H5482" s="144">
        <v>62</v>
      </c>
      <c r="I5482" s="86" t="s">
        <v>408</v>
      </c>
      <c r="J5482" s="1" t="s">
        <v>3324</v>
      </c>
      <c r="K5482" s="1" t="s">
        <v>3278</v>
      </c>
      <c r="L5482" s="1" t="s">
        <v>35</v>
      </c>
      <c r="M5482" s="86" t="s">
        <v>691</v>
      </c>
      <c r="O5482" s="47" t="s">
        <v>410</v>
      </c>
      <c r="P5482" s="47" t="s">
        <v>41</v>
      </c>
      <c r="Q5482" s="14">
        <v>0</v>
      </c>
      <c r="R5482" s="143">
        <v>1000081686</v>
      </c>
      <c r="S5482" s="47"/>
      <c r="T5482" s="6">
        <v>41291.299999999988</v>
      </c>
      <c r="U5482" s="6">
        <v>100000</v>
      </c>
      <c r="V5482" s="6">
        <v>116108.29000000004</v>
      </c>
      <c r="W5482" s="6">
        <f t="shared" si="856"/>
        <v>25183.009999999951</v>
      </c>
      <c r="X5482" s="6">
        <f t="shared" si="855"/>
        <v>116108.29000000004</v>
      </c>
      <c r="Y5482" s="13">
        <f t="shared" si="860"/>
        <v>0</v>
      </c>
      <c r="Z5482" s="66">
        <v>0</v>
      </c>
      <c r="AA5482" s="6">
        <v>0</v>
      </c>
      <c r="AB5482" s="4">
        <f t="shared" si="861"/>
        <v>116108.29000000004</v>
      </c>
      <c r="AC5482" s="6">
        <f t="shared" si="857"/>
        <v>0</v>
      </c>
      <c r="AD5482" s="6">
        <f t="shared" si="858"/>
        <v>116108.29000000004</v>
      </c>
      <c r="AE5482" s="14">
        <f>VLOOKUP(I5482,[2]媒体政策预估表!A:N,MATCH(O5482,[2]媒体政策预估表!$A$2:$M$2,0),0)</f>
        <v>7.0000000000000007E-2</v>
      </c>
      <c r="AF5482" s="6">
        <f t="shared" si="863"/>
        <v>8127.5803000000033</v>
      </c>
      <c r="AG5482" s="14">
        <v>0</v>
      </c>
      <c r="AH5482" s="64">
        <f t="shared" si="859"/>
        <v>116108.29000000004</v>
      </c>
      <c r="AI5482" s="47"/>
      <c r="AJ5482" s="126" t="e">
        <v>#N/A</v>
      </c>
      <c r="AK5482" s="80">
        <f t="shared" si="862"/>
        <v>0</v>
      </c>
      <c r="AL5482" s="85"/>
      <c r="AM5482" s="85"/>
    </row>
    <row r="5483" spans="1:39" s="86" customFormat="1" ht="13.25" hidden="1" customHeight="1" x14ac:dyDescent="0.3">
      <c r="A5483" s="89" t="s">
        <v>3794</v>
      </c>
      <c r="B5483" s="86" t="s">
        <v>35</v>
      </c>
      <c r="C5483" s="86" t="s">
        <v>164</v>
      </c>
      <c r="D5483" s="86" t="s">
        <v>174</v>
      </c>
      <c r="E5483" s="86" t="s">
        <v>692</v>
      </c>
      <c r="F5483" s="86" t="s">
        <v>692</v>
      </c>
      <c r="G5483" s="86" t="s">
        <v>692</v>
      </c>
      <c r="H5483" s="144">
        <v>62</v>
      </c>
      <c r="I5483" s="86" t="s">
        <v>408</v>
      </c>
      <c r="J5483" s="1" t="s">
        <v>3324</v>
      </c>
      <c r="K5483" s="1" t="s">
        <v>3278</v>
      </c>
      <c r="L5483" s="1" t="s">
        <v>35</v>
      </c>
      <c r="M5483" s="86" t="s">
        <v>693</v>
      </c>
      <c r="O5483" s="47" t="s">
        <v>410</v>
      </c>
      <c r="P5483" s="47" t="s">
        <v>41</v>
      </c>
      <c r="Q5483" s="14">
        <v>0</v>
      </c>
      <c r="R5483" s="143">
        <v>1000092533</v>
      </c>
      <c r="S5483" s="47"/>
      <c r="T5483" s="6">
        <v>44018.229999999981</v>
      </c>
      <c r="U5483" s="6">
        <v>150000</v>
      </c>
      <c r="V5483" s="6">
        <v>72722.63</v>
      </c>
      <c r="W5483" s="6">
        <f t="shared" si="856"/>
        <v>121295.59999999998</v>
      </c>
      <c r="X5483" s="6">
        <f t="shared" si="855"/>
        <v>72722.63</v>
      </c>
      <c r="Y5483" s="13">
        <f t="shared" si="860"/>
        <v>0</v>
      </c>
      <c r="Z5483" s="66">
        <v>0</v>
      </c>
      <c r="AA5483" s="6">
        <v>0</v>
      </c>
      <c r="AB5483" s="4">
        <f t="shared" si="861"/>
        <v>72722.63</v>
      </c>
      <c r="AC5483" s="6">
        <f t="shared" si="857"/>
        <v>0</v>
      </c>
      <c r="AD5483" s="6">
        <f t="shared" si="858"/>
        <v>72722.63</v>
      </c>
      <c r="AE5483" s="14">
        <f>VLOOKUP(I5483,[2]媒体政策预估表!A:N,MATCH(O5483,[2]媒体政策预估表!$A$2:$M$2,0),0)</f>
        <v>7.0000000000000007E-2</v>
      </c>
      <c r="AF5483" s="6">
        <f t="shared" si="863"/>
        <v>5090.5841000000009</v>
      </c>
      <c r="AG5483" s="14">
        <v>0</v>
      </c>
      <c r="AH5483" s="64">
        <f t="shared" si="859"/>
        <v>72722.63</v>
      </c>
      <c r="AI5483" s="47"/>
      <c r="AJ5483" s="126" t="e">
        <v>#N/A</v>
      </c>
      <c r="AK5483" s="80">
        <f t="shared" si="862"/>
        <v>0</v>
      </c>
      <c r="AL5483" s="85"/>
      <c r="AM5483" s="85"/>
    </row>
    <row r="5484" spans="1:39" s="86" customFormat="1" ht="13.25" hidden="1" customHeight="1" x14ac:dyDescent="0.3">
      <c r="A5484" s="89" t="s">
        <v>3794</v>
      </c>
      <c r="B5484" s="86" t="s">
        <v>35</v>
      </c>
      <c r="C5484" s="86" t="s">
        <v>164</v>
      </c>
      <c r="D5484" s="86" t="s">
        <v>174</v>
      </c>
      <c r="E5484" s="86" t="s">
        <v>696</v>
      </c>
      <c r="F5484" s="86" t="s">
        <v>696</v>
      </c>
      <c r="G5484" s="86" t="s">
        <v>696</v>
      </c>
      <c r="H5484" s="144">
        <v>62</v>
      </c>
      <c r="I5484" s="86" t="s">
        <v>408</v>
      </c>
      <c r="J5484" s="1" t="s">
        <v>3324</v>
      </c>
      <c r="K5484" s="1" t="s">
        <v>3278</v>
      </c>
      <c r="L5484" s="1" t="s">
        <v>35</v>
      </c>
      <c r="M5484" s="86" t="s">
        <v>697</v>
      </c>
      <c r="O5484" s="47" t="s">
        <v>410</v>
      </c>
      <c r="P5484" s="47" t="s">
        <v>41</v>
      </c>
      <c r="Q5484" s="14">
        <v>0</v>
      </c>
      <c r="R5484" s="143">
        <v>1000099710</v>
      </c>
      <c r="S5484" s="47"/>
      <c r="T5484" s="6">
        <v>8425.8000000000011</v>
      </c>
      <c r="U5484" s="6">
        <v>10000</v>
      </c>
      <c r="V5484" s="6">
        <v>14638.599999999999</v>
      </c>
      <c r="W5484" s="6">
        <f t="shared" si="856"/>
        <v>3787.2000000000044</v>
      </c>
      <c r="X5484" s="6">
        <f t="shared" si="855"/>
        <v>14638.599999999999</v>
      </c>
      <c r="Y5484" s="13">
        <f t="shared" si="860"/>
        <v>0</v>
      </c>
      <c r="Z5484" s="66">
        <v>0</v>
      </c>
      <c r="AA5484" s="6">
        <v>0</v>
      </c>
      <c r="AB5484" s="4">
        <f t="shared" si="861"/>
        <v>14638.599999999999</v>
      </c>
      <c r="AC5484" s="6">
        <f t="shared" si="857"/>
        <v>0</v>
      </c>
      <c r="AD5484" s="6">
        <f t="shared" si="858"/>
        <v>14638.599999999999</v>
      </c>
      <c r="AE5484" s="14">
        <f>VLOOKUP(I5484,[2]媒体政策预估表!A:N,MATCH(O5484,[2]媒体政策预估表!$A$2:$M$2,0),0)</f>
        <v>7.0000000000000007E-2</v>
      </c>
      <c r="AF5484" s="6">
        <f t="shared" si="863"/>
        <v>1024.702</v>
      </c>
      <c r="AG5484" s="14">
        <v>0</v>
      </c>
      <c r="AH5484" s="64">
        <f t="shared" si="859"/>
        <v>14638.599999999999</v>
      </c>
      <c r="AI5484" s="47"/>
      <c r="AJ5484" s="126" t="e">
        <v>#N/A</v>
      </c>
      <c r="AK5484" s="80">
        <f t="shared" si="862"/>
        <v>0</v>
      </c>
      <c r="AL5484" s="85"/>
      <c r="AM5484" s="85"/>
    </row>
    <row r="5485" spans="1:39" s="86" customFormat="1" ht="13.25" hidden="1" customHeight="1" x14ac:dyDescent="0.3">
      <c r="A5485" s="89" t="s">
        <v>3794</v>
      </c>
      <c r="B5485" s="86" t="s">
        <v>35</v>
      </c>
      <c r="C5485" s="86" t="s">
        <v>184</v>
      </c>
      <c r="D5485" s="86" t="s">
        <v>224</v>
      </c>
      <c r="E5485" s="86" t="s">
        <v>3830</v>
      </c>
      <c r="F5485" s="86" t="s">
        <v>3831</v>
      </c>
      <c r="G5485" s="86" t="s">
        <v>3830</v>
      </c>
      <c r="H5485" s="144">
        <v>62</v>
      </c>
      <c r="I5485" s="86" t="s">
        <v>408</v>
      </c>
      <c r="J5485" s="1" t="s">
        <v>3324</v>
      </c>
      <c r="K5485" s="1" t="s">
        <v>3278</v>
      </c>
      <c r="L5485" s="1" t="s">
        <v>35</v>
      </c>
      <c r="M5485" s="86" t="s">
        <v>3832</v>
      </c>
      <c r="O5485" s="47" t="s">
        <v>410</v>
      </c>
      <c r="P5485" s="47" t="s">
        <v>41</v>
      </c>
      <c r="Q5485" s="14">
        <v>0</v>
      </c>
      <c r="R5485" s="143">
        <v>1000100424</v>
      </c>
      <c r="S5485" s="47"/>
      <c r="T5485" s="6">
        <v>0</v>
      </c>
      <c r="U5485" s="6">
        <v>10000</v>
      </c>
      <c r="V5485" s="6">
        <v>8244</v>
      </c>
      <c r="W5485" s="6">
        <f t="shared" si="856"/>
        <v>1756</v>
      </c>
      <c r="X5485" s="6">
        <f t="shared" si="855"/>
        <v>8244</v>
      </c>
      <c r="Y5485" s="13">
        <f t="shared" si="860"/>
        <v>0</v>
      </c>
      <c r="Z5485" s="66">
        <v>0</v>
      </c>
      <c r="AA5485" s="6">
        <v>0</v>
      </c>
      <c r="AB5485" s="4">
        <v>8244</v>
      </c>
      <c r="AC5485" s="6">
        <f t="shared" si="857"/>
        <v>0</v>
      </c>
      <c r="AD5485" s="6">
        <f t="shared" si="858"/>
        <v>8244</v>
      </c>
      <c r="AE5485" s="14">
        <f>VLOOKUP(I5485,[2]媒体政策预估表!A:N,MATCH(O5485,[2]媒体政策预估表!$A$2:$M$2,0),0)</f>
        <v>7.0000000000000007E-2</v>
      </c>
      <c r="AF5485" s="6">
        <f t="shared" si="863"/>
        <v>577.08000000000004</v>
      </c>
      <c r="AG5485" s="14">
        <v>0</v>
      </c>
      <c r="AH5485" s="64">
        <f t="shared" si="859"/>
        <v>8244</v>
      </c>
      <c r="AI5485" s="47"/>
      <c r="AJ5485" s="126">
        <v>5</v>
      </c>
      <c r="AK5485" s="80">
        <f t="shared" si="862"/>
        <v>0</v>
      </c>
      <c r="AL5485" s="85"/>
      <c r="AM5485" s="85"/>
    </row>
    <row r="5486" spans="1:39" s="86" customFormat="1" ht="13.25" hidden="1" customHeight="1" x14ac:dyDescent="0.3">
      <c r="A5486" s="89" t="s">
        <v>3792</v>
      </c>
      <c r="B5486" s="86" t="s">
        <v>35</v>
      </c>
      <c r="C5486" s="86" t="s">
        <v>184</v>
      </c>
      <c r="D5486" s="86" t="s">
        <v>224</v>
      </c>
      <c r="E5486" s="86" t="s">
        <v>1095</v>
      </c>
      <c r="F5486" s="86" t="s">
        <v>1095</v>
      </c>
      <c r="G5486" s="86" t="s">
        <v>1095</v>
      </c>
      <c r="H5486" s="143">
        <v>62</v>
      </c>
      <c r="I5486" s="86" t="s">
        <v>408</v>
      </c>
      <c r="J5486" s="1" t="s">
        <v>3324</v>
      </c>
      <c r="K5486" s="1" t="s">
        <v>3278</v>
      </c>
      <c r="L5486" s="1" t="s">
        <v>35</v>
      </c>
      <c r="M5486" s="86" t="s">
        <v>3833</v>
      </c>
      <c r="O5486" s="47" t="s">
        <v>45</v>
      </c>
      <c r="P5486" s="47" t="s">
        <v>46</v>
      </c>
      <c r="Q5486" s="14">
        <v>0.04</v>
      </c>
      <c r="R5486" s="143">
        <v>1000104138</v>
      </c>
      <c r="S5486" s="47"/>
      <c r="T5486" s="6">
        <v>0</v>
      </c>
      <c r="U5486" s="6">
        <v>5000</v>
      </c>
      <c r="V5486" s="6">
        <v>0</v>
      </c>
      <c r="W5486" s="6">
        <f t="shared" si="856"/>
        <v>5000</v>
      </c>
      <c r="X5486" s="6">
        <f t="shared" si="855"/>
        <v>0</v>
      </c>
      <c r="Y5486" s="13">
        <f t="shared" si="860"/>
        <v>0</v>
      </c>
      <c r="Z5486" s="66">
        <v>0</v>
      </c>
      <c r="AA5486" s="6">
        <v>0</v>
      </c>
      <c r="AB5486" s="4">
        <f t="shared" si="861"/>
        <v>0</v>
      </c>
      <c r="AC5486" s="6">
        <f t="shared" si="857"/>
        <v>0</v>
      </c>
      <c r="AD5486" s="6">
        <f t="shared" si="858"/>
        <v>0</v>
      </c>
      <c r="AE5486" s="14">
        <f>VLOOKUP(I5486,[2]媒体政策预估表!A:N,MATCH(O5486,[2]媒体政策预估表!$A$2:$M$2,0),0)</f>
        <v>0.11</v>
      </c>
      <c r="AF5486" s="6">
        <f t="shared" si="863"/>
        <v>0</v>
      </c>
      <c r="AG5486" s="14">
        <v>0</v>
      </c>
      <c r="AH5486" s="64">
        <f t="shared" si="859"/>
        <v>0</v>
      </c>
      <c r="AI5486" s="47"/>
      <c r="AJ5486" s="126" t="e">
        <v>#N/A</v>
      </c>
      <c r="AK5486" s="80">
        <f t="shared" si="862"/>
        <v>0</v>
      </c>
      <c r="AL5486" s="85"/>
      <c r="AM5486" s="85"/>
    </row>
    <row r="5487" spans="1:39" s="86" customFormat="1" ht="13.25" hidden="1" customHeight="1" x14ac:dyDescent="0.3">
      <c r="A5487" s="89" t="s">
        <v>3794</v>
      </c>
      <c r="B5487" s="86" t="s">
        <v>35</v>
      </c>
      <c r="C5487" s="86" t="s">
        <v>184</v>
      </c>
      <c r="D5487" s="86" t="s">
        <v>224</v>
      </c>
      <c r="E5487" s="86" t="s">
        <v>964</v>
      </c>
      <c r="F5487" s="86" t="s">
        <v>964</v>
      </c>
      <c r="G5487" s="86" t="s">
        <v>964</v>
      </c>
      <c r="H5487" s="143">
        <v>62</v>
      </c>
      <c r="I5487" s="86" t="s">
        <v>408</v>
      </c>
      <c r="J5487" s="1" t="s">
        <v>3324</v>
      </c>
      <c r="K5487" s="1" t="s">
        <v>3278</v>
      </c>
      <c r="L5487" s="1" t="s">
        <v>35</v>
      </c>
      <c r="M5487" s="86" t="s">
        <v>964</v>
      </c>
      <c r="O5487" s="47" t="s">
        <v>410</v>
      </c>
      <c r="P5487" s="47" t="s">
        <v>46</v>
      </c>
      <c r="Q5487" s="14">
        <v>0.05</v>
      </c>
      <c r="R5487" s="143">
        <v>1000032486</v>
      </c>
      <c r="S5487" s="47"/>
      <c r="T5487" s="6">
        <v>21000</v>
      </c>
      <c r="U5487" s="6">
        <v>-21000</v>
      </c>
      <c r="V5487" s="6">
        <v>0</v>
      </c>
      <c r="W5487" s="6">
        <f t="shared" si="856"/>
        <v>0</v>
      </c>
      <c r="X5487" s="6">
        <f t="shared" si="855"/>
        <v>0</v>
      </c>
      <c r="Y5487" s="13">
        <f t="shared" si="860"/>
        <v>0</v>
      </c>
      <c r="Z5487" s="66">
        <v>0</v>
      </c>
      <c r="AA5487" s="6">
        <v>0</v>
      </c>
      <c r="AB5487" s="4">
        <f t="shared" si="861"/>
        <v>0</v>
      </c>
      <c r="AC5487" s="6">
        <f t="shared" si="857"/>
        <v>0</v>
      </c>
      <c r="AD5487" s="6">
        <f t="shared" si="858"/>
        <v>0</v>
      </c>
      <c r="AE5487" s="14">
        <f>VLOOKUP(I5487,[2]媒体政策预估表!A:N,MATCH(O5487,[2]媒体政策预估表!$A$2:$M$2,0),0)</f>
        <v>7.0000000000000007E-2</v>
      </c>
      <c r="AF5487" s="6">
        <f t="shared" si="863"/>
        <v>0</v>
      </c>
      <c r="AG5487" s="14">
        <v>0</v>
      </c>
      <c r="AH5487" s="64">
        <f t="shared" si="859"/>
        <v>0</v>
      </c>
      <c r="AI5487" s="47"/>
      <c r="AJ5487" s="126" t="e">
        <v>#N/A</v>
      </c>
      <c r="AK5487" s="80">
        <f t="shared" si="862"/>
        <v>0</v>
      </c>
      <c r="AL5487" s="85"/>
      <c r="AM5487" s="85"/>
    </row>
    <row r="5488" spans="1:39" s="86" customFormat="1" ht="13.25" hidden="1" customHeight="1" x14ac:dyDescent="0.3">
      <c r="A5488" s="89" t="s">
        <v>3806</v>
      </c>
      <c r="B5488" s="86" t="s">
        <v>35</v>
      </c>
      <c r="C5488" s="86" t="s">
        <v>184</v>
      </c>
      <c r="D5488" s="86" t="s">
        <v>224</v>
      </c>
      <c r="E5488" s="86" t="s">
        <v>431</v>
      </c>
      <c r="F5488" s="86" t="s">
        <v>431</v>
      </c>
      <c r="G5488" s="86" t="s">
        <v>431</v>
      </c>
      <c r="H5488" s="144">
        <v>62</v>
      </c>
      <c r="I5488" s="86" t="s">
        <v>408</v>
      </c>
      <c r="J5488" s="1" t="s">
        <v>3324</v>
      </c>
      <c r="K5488" s="1" t="s">
        <v>3278</v>
      </c>
      <c r="L5488" s="1" t="s">
        <v>35</v>
      </c>
      <c r="M5488" s="86" t="s">
        <v>432</v>
      </c>
      <c r="O5488" s="47" t="s">
        <v>410</v>
      </c>
      <c r="P5488" s="47" t="s">
        <v>41</v>
      </c>
      <c r="Q5488" s="14">
        <v>0</v>
      </c>
      <c r="R5488" s="143">
        <v>1000098625</v>
      </c>
      <c r="S5488" s="47"/>
      <c r="T5488" s="6">
        <v>21768.83</v>
      </c>
      <c r="U5488" s="6">
        <v>280000</v>
      </c>
      <c r="V5488" s="6">
        <v>264970.5</v>
      </c>
      <c r="W5488" s="6">
        <f t="shared" si="856"/>
        <v>36798.330000000016</v>
      </c>
      <c r="X5488" s="6">
        <f t="shared" si="855"/>
        <v>264970.5</v>
      </c>
      <c r="Y5488" s="13">
        <f t="shared" si="860"/>
        <v>0</v>
      </c>
      <c r="Z5488" s="66">
        <v>0</v>
      </c>
      <c r="AA5488" s="6">
        <v>0</v>
      </c>
      <c r="AB5488" s="4">
        <f t="shared" si="861"/>
        <v>264970.5</v>
      </c>
      <c r="AC5488" s="6">
        <f t="shared" si="857"/>
        <v>0</v>
      </c>
      <c r="AD5488" s="6">
        <f t="shared" si="858"/>
        <v>264970.5</v>
      </c>
      <c r="AE5488" s="14">
        <f>VLOOKUP(I5488,[2]媒体政策预估表!A:N,MATCH(O5488,[2]媒体政策预估表!$A$2:$M$2,0),0)</f>
        <v>7.0000000000000007E-2</v>
      </c>
      <c r="AF5488" s="6">
        <f t="shared" si="863"/>
        <v>18547.935000000001</v>
      </c>
      <c r="AG5488" s="14">
        <v>0</v>
      </c>
      <c r="AH5488" s="64">
        <f t="shared" si="859"/>
        <v>264970.5</v>
      </c>
      <c r="AI5488" s="47"/>
      <c r="AJ5488" s="126" t="e">
        <v>#N/A</v>
      </c>
      <c r="AK5488" s="80">
        <f t="shared" si="862"/>
        <v>0</v>
      </c>
      <c r="AL5488" s="85"/>
      <c r="AM5488" s="85"/>
    </row>
    <row r="5489" spans="1:39" s="86" customFormat="1" ht="13.25" hidden="1" customHeight="1" x14ac:dyDescent="0.3">
      <c r="A5489" s="89" t="s">
        <v>3792</v>
      </c>
      <c r="B5489" s="86" t="s">
        <v>35</v>
      </c>
      <c r="C5489" s="86" t="s">
        <v>184</v>
      </c>
      <c r="D5489" s="86" t="s">
        <v>224</v>
      </c>
      <c r="E5489" s="86" t="s">
        <v>3834</v>
      </c>
      <c r="F5489" s="86" t="s">
        <v>3835</v>
      </c>
      <c r="G5489" s="86" t="s">
        <v>3834</v>
      </c>
      <c r="H5489" s="144">
        <v>62</v>
      </c>
      <c r="I5489" s="86" t="s">
        <v>408</v>
      </c>
      <c r="J5489" s="1" t="s">
        <v>3324</v>
      </c>
      <c r="K5489" s="1" t="s">
        <v>3278</v>
      </c>
      <c r="L5489" s="1" t="s">
        <v>35</v>
      </c>
      <c r="M5489" s="86" t="s">
        <v>3836</v>
      </c>
      <c r="O5489" s="47" t="s">
        <v>410</v>
      </c>
      <c r="P5489" s="47" t="s">
        <v>41</v>
      </c>
      <c r="Q5489" s="14">
        <v>0</v>
      </c>
      <c r="R5489" s="143">
        <v>1000105394</v>
      </c>
      <c r="S5489" s="47"/>
      <c r="T5489" s="6">
        <v>0</v>
      </c>
      <c r="U5489" s="6">
        <v>10000</v>
      </c>
      <c r="V5489" s="6">
        <v>4176.9400000000005</v>
      </c>
      <c r="W5489" s="6">
        <f t="shared" si="856"/>
        <v>5823.0599999999995</v>
      </c>
      <c r="X5489" s="6">
        <f t="shared" si="855"/>
        <v>4176.9400000000005</v>
      </c>
      <c r="Y5489" s="13">
        <f t="shared" si="860"/>
        <v>0</v>
      </c>
      <c r="Z5489" s="66">
        <v>0</v>
      </c>
      <c r="AA5489" s="6">
        <v>0</v>
      </c>
      <c r="AB5489" s="4">
        <f t="shared" si="861"/>
        <v>4176.9400000000005</v>
      </c>
      <c r="AC5489" s="6">
        <f t="shared" si="857"/>
        <v>0</v>
      </c>
      <c r="AD5489" s="6">
        <f t="shared" si="858"/>
        <v>4176.9400000000005</v>
      </c>
      <c r="AE5489" s="14">
        <f>VLOOKUP(I5489,[2]媒体政策预估表!A:N,MATCH(O5489,[2]媒体政策预估表!$A$2:$M$2,0),0)</f>
        <v>7.0000000000000007E-2</v>
      </c>
      <c r="AF5489" s="6">
        <f t="shared" si="863"/>
        <v>292.38580000000007</v>
      </c>
      <c r="AG5489" s="14">
        <v>0</v>
      </c>
      <c r="AH5489" s="64">
        <f t="shared" si="859"/>
        <v>4176.9400000000005</v>
      </c>
      <c r="AI5489" s="47"/>
      <c r="AJ5489" s="126" t="e">
        <v>#N/A</v>
      </c>
      <c r="AK5489" s="80">
        <f t="shared" si="862"/>
        <v>0</v>
      </c>
      <c r="AL5489" s="85"/>
      <c r="AM5489" s="85"/>
    </row>
    <row r="5490" spans="1:39" s="86" customFormat="1" ht="13.25" hidden="1" customHeight="1" x14ac:dyDescent="0.3">
      <c r="A5490" s="89" t="s">
        <v>3806</v>
      </c>
      <c r="B5490" s="86" t="s">
        <v>35</v>
      </c>
      <c r="C5490" s="86" t="s">
        <v>184</v>
      </c>
      <c r="D5490" s="86" t="s">
        <v>224</v>
      </c>
      <c r="E5490" s="86" t="s">
        <v>3438</v>
      </c>
      <c r="F5490" s="86" t="s">
        <v>3438</v>
      </c>
      <c r="G5490" s="86" t="s">
        <v>3438</v>
      </c>
      <c r="H5490" s="144">
        <v>62</v>
      </c>
      <c r="I5490" s="86" t="s">
        <v>408</v>
      </c>
      <c r="J5490" s="1" t="s">
        <v>3324</v>
      </c>
      <c r="K5490" s="1" t="s">
        <v>3278</v>
      </c>
      <c r="L5490" s="1" t="s">
        <v>35</v>
      </c>
      <c r="M5490" s="86" t="s">
        <v>3439</v>
      </c>
      <c r="O5490" s="47" t="s">
        <v>410</v>
      </c>
      <c r="P5490" s="47" t="s">
        <v>92</v>
      </c>
      <c r="Q5490" s="14">
        <v>0.96</v>
      </c>
      <c r="R5490" s="143">
        <v>1000009658</v>
      </c>
      <c r="S5490" s="47"/>
      <c r="T5490" s="6">
        <v>477589.50000000012</v>
      </c>
      <c r="U5490" s="6">
        <v>1850000</v>
      </c>
      <c r="V5490" s="6">
        <v>2013870.9800000002</v>
      </c>
      <c r="W5490" s="6">
        <f t="shared" si="856"/>
        <v>313718.51999999979</v>
      </c>
      <c r="X5490" s="6">
        <f t="shared" si="855"/>
        <v>1933316.1408000002</v>
      </c>
      <c r="Y5490" s="13">
        <f t="shared" si="860"/>
        <v>0</v>
      </c>
      <c r="Z5490" s="66">
        <v>0</v>
      </c>
      <c r="AA5490" s="6">
        <v>0</v>
      </c>
      <c r="AB5490" s="4">
        <f t="shared" si="861"/>
        <v>1933316.1408000002</v>
      </c>
      <c r="AC5490" s="6">
        <f t="shared" si="857"/>
        <v>80554.839200000046</v>
      </c>
      <c r="AD5490" s="6">
        <f t="shared" si="858"/>
        <v>2013870.9800000002</v>
      </c>
      <c r="AE5490" s="14">
        <f>VLOOKUP(I5490,[2]媒体政策预估表!A:N,MATCH(O5490,[2]媒体政策预估表!$A$2:$M$2,0),0)</f>
        <v>7.0000000000000007E-2</v>
      </c>
      <c r="AF5490" s="6">
        <f t="shared" si="863"/>
        <v>140970.96860000002</v>
      </c>
      <c r="AG5490" s="14">
        <v>0</v>
      </c>
      <c r="AH5490" s="64">
        <f t="shared" si="859"/>
        <v>2013870.9800000002</v>
      </c>
      <c r="AI5490" s="47"/>
      <c r="AJ5490" s="126" t="e">
        <v>#N/A</v>
      </c>
      <c r="AK5490" s="80">
        <f t="shared" si="862"/>
        <v>0</v>
      </c>
      <c r="AL5490" s="85"/>
      <c r="AM5490" s="85"/>
    </row>
    <row r="5491" spans="1:39" s="86" customFormat="1" ht="13.25" hidden="1" customHeight="1" x14ac:dyDescent="0.3">
      <c r="A5491" s="89" t="s">
        <v>3794</v>
      </c>
      <c r="B5491" s="86" t="s">
        <v>35</v>
      </c>
      <c r="C5491" s="86" t="s">
        <v>184</v>
      </c>
      <c r="D5491" s="86" t="s">
        <v>224</v>
      </c>
      <c r="E5491" s="86" t="s">
        <v>3837</v>
      </c>
      <c r="F5491" s="86" t="s">
        <v>3837</v>
      </c>
      <c r="G5491" s="86" t="s">
        <v>3837</v>
      </c>
      <c r="H5491" s="144">
        <v>62</v>
      </c>
      <c r="I5491" s="86" t="s">
        <v>408</v>
      </c>
      <c r="J5491" s="1" t="s">
        <v>3324</v>
      </c>
      <c r="K5491" s="1" t="s">
        <v>3278</v>
      </c>
      <c r="L5491" s="1" t="s">
        <v>35</v>
      </c>
      <c r="M5491" s="86" t="s">
        <v>3838</v>
      </c>
      <c r="O5491" s="47" t="s">
        <v>410</v>
      </c>
      <c r="P5491" s="47" t="s">
        <v>41</v>
      </c>
      <c r="Q5491" s="14">
        <v>0</v>
      </c>
      <c r="R5491" s="143">
        <v>1000104469</v>
      </c>
      <c r="S5491" s="47"/>
      <c r="T5491" s="6">
        <v>0</v>
      </c>
      <c r="U5491" s="6">
        <v>5000</v>
      </c>
      <c r="V5491" s="6">
        <v>209.5</v>
      </c>
      <c r="W5491" s="6">
        <f t="shared" si="856"/>
        <v>4790.5</v>
      </c>
      <c r="X5491" s="6">
        <f t="shared" si="855"/>
        <v>209.5</v>
      </c>
      <c r="Y5491" s="13">
        <f t="shared" si="860"/>
        <v>0</v>
      </c>
      <c r="Z5491" s="66">
        <v>0</v>
      </c>
      <c r="AA5491" s="6">
        <v>0</v>
      </c>
      <c r="AB5491" s="4">
        <f t="shared" si="861"/>
        <v>209.5</v>
      </c>
      <c r="AC5491" s="6">
        <f t="shared" si="857"/>
        <v>0</v>
      </c>
      <c r="AD5491" s="6">
        <f t="shared" si="858"/>
        <v>209.5</v>
      </c>
      <c r="AE5491" s="14">
        <f>VLOOKUP(I5491,[2]媒体政策预估表!A:N,MATCH(O5491,[2]媒体政策预估表!$A$2:$M$2,0),0)</f>
        <v>7.0000000000000007E-2</v>
      </c>
      <c r="AF5491" s="6">
        <f t="shared" si="863"/>
        <v>14.665000000000001</v>
      </c>
      <c r="AG5491" s="14">
        <v>0</v>
      </c>
      <c r="AH5491" s="64">
        <f t="shared" si="859"/>
        <v>209.5</v>
      </c>
      <c r="AI5491" s="47"/>
      <c r="AJ5491" s="126" t="e">
        <v>#N/A</v>
      </c>
      <c r="AK5491" s="80">
        <f t="shared" si="862"/>
        <v>0</v>
      </c>
      <c r="AL5491" s="85"/>
      <c r="AM5491" s="85"/>
    </row>
    <row r="5492" spans="1:39" s="86" customFormat="1" ht="13.25" hidden="1" customHeight="1" x14ac:dyDescent="0.3">
      <c r="A5492" s="89" t="s">
        <v>3794</v>
      </c>
      <c r="B5492" s="86" t="s">
        <v>35</v>
      </c>
      <c r="C5492" s="86" t="s">
        <v>184</v>
      </c>
      <c r="D5492" s="86" t="s">
        <v>224</v>
      </c>
      <c r="E5492" s="86" t="s">
        <v>3839</v>
      </c>
      <c r="F5492" s="86" t="s">
        <v>4197</v>
      </c>
      <c r="G5492" s="86" t="s">
        <v>4198</v>
      </c>
      <c r="H5492" s="144">
        <v>62</v>
      </c>
      <c r="I5492" s="86" t="s">
        <v>408</v>
      </c>
      <c r="J5492" s="1" t="s">
        <v>3324</v>
      </c>
      <c r="K5492" s="1" t="s">
        <v>3278</v>
      </c>
      <c r="L5492" s="1" t="s">
        <v>35</v>
      </c>
      <c r="M5492" s="86" t="s">
        <v>3840</v>
      </c>
      <c r="O5492" s="47" t="s">
        <v>410</v>
      </c>
      <c r="P5492" s="47" t="s">
        <v>46</v>
      </c>
      <c r="Q5492" s="14">
        <v>0.02</v>
      </c>
      <c r="R5492" s="143">
        <v>1000105641</v>
      </c>
      <c r="S5492" s="47"/>
      <c r="T5492" s="6">
        <v>0</v>
      </c>
      <c r="U5492" s="6">
        <v>5000</v>
      </c>
      <c r="V5492" s="6">
        <v>1000.8</v>
      </c>
      <c r="W5492" s="6">
        <f t="shared" si="856"/>
        <v>3999.2</v>
      </c>
      <c r="X5492" s="6">
        <f t="shared" si="855"/>
        <v>981.17647058823525</v>
      </c>
      <c r="Y5492" s="13">
        <f t="shared" si="860"/>
        <v>0</v>
      </c>
      <c r="Z5492" s="66">
        <v>0</v>
      </c>
      <c r="AA5492" s="6">
        <v>0</v>
      </c>
      <c r="AB5492" s="4">
        <f t="shared" si="861"/>
        <v>981.17647058823525</v>
      </c>
      <c r="AC5492" s="6">
        <f t="shared" si="857"/>
        <v>19.623529411764707</v>
      </c>
      <c r="AD5492" s="6">
        <f t="shared" si="858"/>
        <v>1000.8</v>
      </c>
      <c r="AE5492" s="14">
        <f>VLOOKUP(I5492,[2]媒体政策预估表!A:N,MATCH(O5492,[2]媒体政策预估表!$A$2:$M$2,0),0)</f>
        <v>7.0000000000000007E-2</v>
      </c>
      <c r="AF5492" s="6">
        <f t="shared" si="863"/>
        <v>70.055999999999997</v>
      </c>
      <c r="AG5492" s="14">
        <v>0</v>
      </c>
      <c r="AH5492" s="64">
        <f t="shared" si="859"/>
        <v>1000.8</v>
      </c>
      <c r="AI5492" s="47"/>
      <c r="AJ5492" s="126" t="e">
        <v>#N/A</v>
      </c>
      <c r="AK5492" s="80">
        <f t="shared" si="862"/>
        <v>0</v>
      </c>
      <c r="AL5492" s="85"/>
      <c r="AM5492" s="85"/>
    </row>
    <row r="5493" spans="1:39" s="86" customFormat="1" ht="13.25" hidden="1" customHeight="1" x14ac:dyDescent="0.3">
      <c r="A5493" s="89" t="s">
        <v>3794</v>
      </c>
      <c r="B5493" s="86" t="s">
        <v>35</v>
      </c>
      <c r="C5493" s="86" t="s">
        <v>184</v>
      </c>
      <c r="D5493" s="86" t="s">
        <v>224</v>
      </c>
      <c r="E5493" s="86" t="s">
        <v>3841</v>
      </c>
      <c r="F5493" s="86" t="s">
        <v>3841</v>
      </c>
      <c r="G5493" s="86" t="s">
        <v>3841</v>
      </c>
      <c r="H5493" s="144">
        <v>62</v>
      </c>
      <c r="I5493" s="86" t="s">
        <v>408</v>
      </c>
      <c r="J5493" s="1" t="s">
        <v>3324</v>
      </c>
      <c r="K5493" s="1" t="s">
        <v>3278</v>
      </c>
      <c r="L5493" s="1" t="s">
        <v>35</v>
      </c>
      <c r="M5493" s="86" t="s">
        <v>3842</v>
      </c>
      <c r="O5493" s="47" t="s">
        <v>410</v>
      </c>
      <c r="P5493" s="47" t="s">
        <v>41</v>
      </c>
      <c r="Q5493" s="14">
        <v>0</v>
      </c>
      <c r="R5493" s="143">
        <v>1000103763</v>
      </c>
      <c r="S5493" s="47"/>
      <c r="T5493" s="6">
        <v>0</v>
      </c>
      <c r="U5493" s="6">
        <v>7337</v>
      </c>
      <c r="V5493" s="6">
        <v>4069.3599999999992</v>
      </c>
      <c r="W5493" s="6">
        <f t="shared" si="856"/>
        <v>3267.6400000000008</v>
      </c>
      <c r="X5493" s="6">
        <f t="shared" si="855"/>
        <v>4069.3599999999992</v>
      </c>
      <c r="Y5493" s="13">
        <f t="shared" si="860"/>
        <v>0</v>
      </c>
      <c r="Z5493" s="66">
        <v>0</v>
      </c>
      <c r="AA5493" s="6">
        <v>0</v>
      </c>
      <c r="AB5493" s="4">
        <f t="shared" si="861"/>
        <v>4069.3599999999992</v>
      </c>
      <c r="AC5493" s="6">
        <f t="shared" si="857"/>
        <v>0</v>
      </c>
      <c r="AD5493" s="6">
        <f t="shared" si="858"/>
        <v>4069.3599999999992</v>
      </c>
      <c r="AE5493" s="14">
        <f>VLOOKUP(I5493,[2]媒体政策预估表!A:N,MATCH(O5493,[2]媒体政策预估表!$A$2:$M$2,0),0)</f>
        <v>7.0000000000000007E-2</v>
      </c>
      <c r="AF5493" s="6">
        <f t="shared" si="863"/>
        <v>284.85519999999997</v>
      </c>
      <c r="AG5493" s="14">
        <v>0</v>
      </c>
      <c r="AH5493" s="64">
        <f t="shared" si="859"/>
        <v>4069.3599999999992</v>
      </c>
      <c r="AI5493" s="47"/>
      <c r="AJ5493" s="126" t="e">
        <v>#N/A</v>
      </c>
      <c r="AK5493" s="80">
        <f t="shared" si="862"/>
        <v>0</v>
      </c>
      <c r="AL5493" s="85"/>
      <c r="AM5493" s="85"/>
    </row>
    <row r="5494" spans="1:39" s="86" customFormat="1" ht="13.25" hidden="1" customHeight="1" x14ac:dyDescent="0.3">
      <c r="A5494" s="89" t="s">
        <v>3796</v>
      </c>
      <c r="B5494" s="86" t="s">
        <v>35</v>
      </c>
      <c r="C5494" s="86" t="s">
        <v>184</v>
      </c>
      <c r="D5494" s="86" t="s">
        <v>224</v>
      </c>
      <c r="E5494" s="86" t="s">
        <v>977</v>
      </c>
      <c r="F5494" s="86" t="s">
        <v>977</v>
      </c>
      <c r="G5494" s="86" t="s">
        <v>977</v>
      </c>
      <c r="H5494" s="143">
        <v>62</v>
      </c>
      <c r="I5494" s="86" t="s">
        <v>408</v>
      </c>
      <c r="J5494" s="1" t="s">
        <v>3324</v>
      </c>
      <c r="K5494" s="1" t="s">
        <v>3278</v>
      </c>
      <c r="L5494" s="1" t="s">
        <v>35</v>
      </c>
      <c r="M5494" s="86" t="s">
        <v>978</v>
      </c>
      <c r="O5494" s="47" t="s">
        <v>410</v>
      </c>
      <c r="P5494" s="47" t="s">
        <v>46</v>
      </c>
      <c r="Q5494" s="14">
        <v>0.02</v>
      </c>
      <c r="R5494" s="143">
        <v>1000041227</v>
      </c>
      <c r="S5494" s="47"/>
      <c r="T5494" s="6">
        <v>55301.7</v>
      </c>
      <c r="U5494" s="6">
        <v>-51000</v>
      </c>
      <c r="V5494" s="6">
        <v>0</v>
      </c>
      <c r="W5494" s="6">
        <f t="shared" si="856"/>
        <v>4301.6999999999971</v>
      </c>
      <c r="X5494" s="6">
        <f t="shared" si="855"/>
        <v>0</v>
      </c>
      <c r="Y5494" s="13">
        <f t="shared" si="860"/>
        <v>0</v>
      </c>
      <c r="Z5494" s="66">
        <v>0</v>
      </c>
      <c r="AA5494" s="6">
        <v>0</v>
      </c>
      <c r="AB5494" s="4">
        <f t="shared" si="861"/>
        <v>0</v>
      </c>
      <c r="AC5494" s="6">
        <f t="shared" si="857"/>
        <v>0</v>
      </c>
      <c r="AD5494" s="6">
        <f t="shared" si="858"/>
        <v>0</v>
      </c>
      <c r="AE5494" s="14">
        <f>VLOOKUP(I5494,[2]媒体政策预估表!A:N,MATCH(O5494,[2]媒体政策预估表!$A$2:$M$2,0),0)</f>
        <v>7.0000000000000007E-2</v>
      </c>
      <c r="AF5494" s="6">
        <f t="shared" si="863"/>
        <v>0</v>
      </c>
      <c r="AG5494" s="14">
        <v>0</v>
      </c>
      <c r="AH5494" s="64">
        <f t="shared" si="859"/>
        <v>0</v>
      </c>
      <c r="AI5494" s="47"/>
      <c r="AJ5494" s="126" t="e">
        <v>#N/A</v>
      </c>
      <c r="AK5494" s="80">
        <f t="shared" si="862"/>
        <v>0</v>
      </c>
      <c r="AL5494" s="85"/>
      <c r="AM5494" s="85"/>
    </row>
    <row r="5495" spans="1:39" s="86" customFormat="1" ht="13.25" hidden="1" customHeight="1" x14ac:dyDescent="0.3">
      <c r="A5495" s="89" t="s">
        <v>3794</v>
      </c>
      <c r="B5495" s="86" t="s">
        <v>35</v>
      </c>
      <c r="C5495" s="86" t="s">
        <v>184</v>
      </c>
      <c r="D5495" s="86" t="s">
        <v>224</v>
      </c>
      <c r="E5495" s="86" t="s">
        <v>441</v>
      </c>
      <c r="F5495" s="86" t="s">
        <v>441</v>
      </c>
      <c r="G5495" s="86" t="s">
        <v>441</v>
      </c>
      <c r="H5495" s="144">
        <v>62</v>
      </c>
      <c r="I5495" s="86" t="s">
        <v>408</v>
      </c>
      <c r="J5495" s="1" t="s">
        <v>3324</v>
      </c>
      <c r="K5495" s="1" t="s">
        <v>3278</v>
      </c>
      <c r="L5495" s="1" t="s">
        <v>35</v>
      </c>
      <c r="M5495" s="86" t="s">
        <v>442</v>
      </c>
      <c r="O5495" s="47" t="s">
        <v>410</v>
      </c>
      <c r="P5495" s="47" t="s">
        <v>41</v>
      </c>
      <c r="Q5495" s="14">
        <v>0</v>
      </c>
      <c r="R5495" s="143">
        <v>1000043129</v>
      </c>
      <c r="S5495" s="47"/>
      <c r="T5495" s="6">
        <v>37911.479999999981</v>
      </c>
      <c r="U5495" s="6">
        <v>150000</v>
      </c>
      <c r="V5495" s="6">
        <v>162111.37999999998</v>
      </c>
      <c r="W5495" s="6">
        <f t="shared" si="856"/>
        <v>25800.100000000006</v>
      </c>
      <c r="X5495" s="6">
        <f t="shared" si="855"/>
        <v>162111.37999999998</v>
      </c>
      <c r="Y5495" s="13">
        <f t="shared" si="860"/>
        <v>0</v>
      </c>
      <c r="Z5495" s="66">
        <v>0</v>
      </c>
      <c r="AA5495" s="6">
        <v>0</v>
      </c>
      <c r="AB5495" s="4">
        <f t="shared" si="861"/>
        <v>162111.37999999998</v>
      </c>
      <c r="AC5495" s="6">
        <f t="shared" si="857"/>
        <v>0</v>
      </c>
      <c r="AD5495" s="6">
        <f t="shared" si="858"/>
        <v>162111.37999999998</v>
      </c>
      <c r="AE5495" s="14">
        <f>VLOOKUP(I5495,[2]媒体政策预估表!A:N,MATCH(O5495,[2]媒体政策预估表!$A$2:$M$2,0),0)</f>
        <v>7.0000000000000007E-2</v>
      </c>
      <c r="AF5495" s="6">
        <f t="shared" si="863"/>
        <v>11347.7966</v>
      </c>
      <c r="AG5495" s="14">
        <v>0</v>
      </c>
      <c r="AH5495" s="64">
        <f t="shared" si="859"/>
        <v>162111.37999999998</v>
      </c>
      <c r="AI5495" s="47"/>
      <c r="AJ5495" s="126" t="e">
        <v>#N/A</v>
      </c>
      <c r="AK5495" s="80">
        <f t="shared" si="862"/>
        <v>0</v>
      </c>
      <c r="AL5495" s="85"/>
      <c r="AM5495" s="85"/>
    </row>
    <row r="5496" spans="1:39" s="86" customFormat="1" ht="13.25" hidden="1" customHeight="1" x14ac:dyDescent="0.3">
      <c r="A5496" s="89" t="s">
        <v>3792</v>
      </c>
      <c r="B5496" s="86" t="s">
        <v>35</v>
      </c>
      <c r="C5496" s="86" t="s">
        <v>184</v>
      </c>
      <c r="D5496" s="86" t="s">
        <v>224</v>
      </c>
      <c r="E5496" s="86" t="s">
        <v>3843</v>
      </c>
      <c r="F5496" s="86" t="s">
        <v>3843</v>
      </c>
      <c r="G5496" s="86" t="s">
        <v>3843</v>
      </c>
      <c r="H5496" s="144">
        <v>62</v>
      </c>
      <c r="I5496" s="86" t="s">
        <v>408</v>
      </c>
      <c r="J5496" s="1" t="s">
        <v>3324</v>
      </c>
      <c r="K5496" s="1" t="s">
        <v>3278</v>
      </c>
      <c r="L5496" s="1" t="s">
        <v>35</v>
      </c>
      <c r="M5496" s="86" t="s">
        <v>3844</v>
      </c>
      <c r="O5496" s="47" t="s">
        <v>410</v>
      </c>
      <c r="P5496" s="47" t="s">
        <v>41</v>
      </c>
      <c r="Q5496" s="14">
        <v>0</v>
      </c>
      <c r="R5496" s="143">
        <v>1000105560</v>
      </c>
      <c r="S5496" s="47"/>
      <c r="T5496" s="6">
        <v>0</v>
      </c>
      <c r="U5496" s="6">
        <v>5000</v>
      </c>
      <c r="V5496" s="6">
        <v>2003.5</v>
      </c>
      <c r="W5496" s="6">
        <f t="shared" si="856"/>
        <v>2996.5</v>
      </c>
      <c r="X5496" s="6">
        <f t="shared" si="855"/>
        <v>2003.5</v>
      </c>
      <c r="Y5496" s="13">
        <f t="shared" si="860"/>
        <v>0</v>
      </c>
      <c r="Z5496" s="66">
        <v>0</v>
      </c>
      <c r="AA5496" s="6">
        <v>0</v>
      </c>
      <c r="AB5496" s="4">
        <f t="shared" si="861"/>
        <v>2003.5</v>
      </c>
      <c r="AC5496" s="6">
        <f t="shared" si="857"/>
        <v>0</v>
      </c>
      <c r="AD5496" s="6">
        <f t="shared" si="858"/>
        <v>2003.5</v>
      </c>
      <c r="AE5496" s="14">
        <f>VLOOKUP(I5496,[2]媒体政策预估表!A:N,MATCH(O5496,[2]媒体政策预估表!$A$2:$M$2,0),0)</f>
        <v>7.0000000000000007E-2</v>
      </c>
      <c r="AF5496" s="6">
        <f t="shared" si="863"/>
        <v>140.245</v>
      </c>
      <c r="AG5496" s="14">
        <v>0</v>
      </c>
      <c r="AH5496" s="64">
        <f t="shared" si="859"/>
        <v>2003.5</v>
      </c>
      <c r="AI5496" s="47"/>
      <c r="AJ5496" s="126" t="e">
        <v>#N/A</v>
      </c>
      <c r="AK5496" s="80">
        <f t="shared" si="862"/>
        <v>0</v>
      </c>
      <c r="AL5496" s="85"/>
      <c r="AM5496" s="85"/>
    </row>
    <row r="5497" spans="1:39" s="86" customFormat="1" ht="13.25" hidden="1" customHeight="1" x14ac:dyDescent="0.3">
      <c r="A5497" s="89" t="s">
        <v>3792</v>
      </c>
      <c r="B5497" s="86" t="s">
        <v>35</v>
      </c>
      <c r="C5497" s="86" t="s">
        <v>184</v>
      </c>
      <c r="D5497" s="86" t="s">
        <v>54</v>
      </c>
      <c r="E5497" s="86" t="s">
        <v>517</v>
      </c>
      <c r="F5497" s="86" t="s">
        <v>518</v>
      </c>
      <c r="G5497" s="86" t="s">
        <v>517</v>
      </c>
      <c r="H5497" s="144">
        <v>62</v>
      </c>
      <c r="I5497" s="86" t="s">
        <v>408</v>
      </c>
      <c r="J5497" s="1" t="s">
        <v>3324</v>
      </c>
      <c r="K5497" s="1" t="s">
        <v>3278</v>
      </c>
      <c r="L5497" s="1" t="s">
        <v>35</v>
      </c>
      <c r="M5497" s="86" t="s">
        <v>519</v>
      </c>
      <c r="O5497" s="47" t="s">
        <v>410</v>
      </c>
      <c r="P5497" s="47" t="s">
        <v>41</v>
      </c>
      <c r="Q5497" s="14">
        <v>0</v>
      </c>
      <c r="R5497" s="143">
        <v>1000101133</v>
      </c>
      <c r="S5497" s="47"/>
      <c r="T5497" s="6">
        <v>127154.20000000001</v>
      </c>
      <c r="U5497" s="6">
        <v>100000</v>
      </c>
      <c r="V5497" s="6">
        <v>169814.53999999998</v>
      </c>
      <c r="W5497" s="6">
        <f t="shared" si="856"/>
        <v>57339.660000000033</v>
      </c>
      <c r="X5497" s="6">
        <f t="shared" si="855"/>
        <v>169814.53999999998</v>
      </c>
      <c r="Y5497" s="13">
        <f t="shared" si="860"/>
        <v>0</v>
      </c>
      <c r="Z5497" s="66">
        <v>0</v>
      </c>
      <c r="AA5497" s="6">
        <v>0</v>
      </c>
      <c r="AB5497" s="4">
        <f t="shared" si="861"/>
        <v>169814.53999999998</v>
      </c>
      <c r="AC5497" s="6">
        <f t="shared" si="857"/>
        <v>0</v>
      </c>
      <c r="AD5497" s="6">
        <f t="shared" si="858"/>
        <v>169814.53999999998</v>
      </c>
      <c r="AE5497" s="14">
        <f>VLOOKUP(I5497,[2]媒体政策预估表!A:N,MATCH(O5497,[2]媒体政策预估表!$A$2:$M$2,0),0)</f>
        <v>7.0000000000000007E-2</v>
      </c>
      <c r="AF5497" s="6">
        <f t="shared" si="863"/>
        <v>11887.0178</v>
      </c>
      <c r="AG5497" s="14">
        <v>0</v>
      </c>
      <c r="AH5497" s="64">
        <f t="shared" si="859"/>
        <v>169814.53999999998</v>
      </c>
      <c r="AI5497" s="47"/>
      <c r="AJ5497" s="126" t="e">
        <v>#N/A</v>
      </c>
      <c r="AK5497" s="80">
        <f t="shared" si="862"/>
        <v>0</v>
      </c>
      <c r="AL5497" s="85"/>
      <c r="AM5497" s="85"/>
    </row>
    <row r="5498" spans="1:39" s="86" customFormat="1" ht="13.25" hidden="1" customHeight="1" x14ac:dyDescent="0.3">
      <c r="A5498" s="89" t="s">
        <v>3792</v>
      </c>
      <c r="B5498" s="86" t="s">
        <v>35</v>
      </c>
      <c r="C5498" s="86" t="s">
        <v>184</v>
      </c>
      <c r="D5498" s="86" t="s">
        <v>54</v>
      </c>
      <c r="E5498" s="86" t="s">
        <v>1069</v>
      </c>
      <c r="F5498" s="86" t="s">
        <v>3845</v>
      </c>
      <c r="G5498" s="86" t="s">
        <v>1069</v>
      </c>
      <c r="H5498" s="143">
        <v>62</v>
      </c>
      <c r="I5498" s="86" t="s">
        <v>408</v>
      </c>
      <c r="J5498" s="1" t="s">
        <v>3324</v>
      </c>
      <c r="K5498" s="1" t="s">
        <v>3278</v>
      </c>
      <c r="L5498" s="1" t="s">
        <v>35</v>
      </c>
      <c r="M5498" s="86" t="s">
        <v>3846</v>
      </c>
      <c r="O5498" s="47" t="s">
        <v>45</v>
      </c>
      <c r="P5498" s="47" t="s">
        <v>46</v>
      </c>
      <c r="Q5498" s="14">
        <v>0.04</v>
      </c>
      <c r="R5498" s="143">
        <v>1000105219</v>
      </c>
      <c r="S5498" s="47"/>
      <c r="T5498" s="6">
        <v>0</v>
      </c>
      <c r="U5498" s="6">
        <v>50000</v>
      </c>
      <c r="V5498" s="6">
        <v>0</v>
      </c>
      <c r="W5498" s="6">
        <f t="shared" si="856"/>
        <v>50000</v>
      </c>
      <c r="X5498" s="6">
        <f t="shared" si="855"/>
        <v>0</v>
      </c>
      <c r="Y5498" s="13">
        <f t="shared" si="860"/>
        <v>0</v>
      </c>
      <c r="Z5498" s="66">
        <v>0</v>
      </c>
      <c r="AA5498" s="6">
        <v>0</v>
      </c>
      <c r="AB5498" s="4">
        <f t="shared" si="861"/>
        <v>0</v>
      </c>
      <c r="AC5498" s="6">
        <f t="shared" si="857"/>
        <v>0</v>
      </c>
      <c r="AD5498" s="6">
        <f t="shared" si="858"/>
        <v>0</v>
      </c>
      <c r="AE5498" s="14">
        <f>VLOOKUP(I5498,[2]媒体政策预估表!A:N,MATCH(O5498,[2]媒体政策预估表!$A$2:$M$2,0),0)</f>
        <v>0.11</v>
      </c>
      <c r="AF5498" s="6">
        <f t="shared" si="863"/>
        <v>0</v>
      </c>
      <c r="AG5498" s="14">
        <v>0</v>
      </c>
      <c r="AH5498" s="64">
        <f t="shared" si="859"/>
        <v>0</v>
      </c>
      <c r="AI5498" s="47"/>
      <c r="AJ5498" s="126" t="e">
        <v>#N/A</v>
      </c>
      <c r="AK5498" s="80">
        <f t="shared" si="862"/>
        <v>0</v>
      </c>
      <c r="AL5498" s="85"/>
      <c r="AM5498" s="85"/>
    </row>
    <row r="5499" spans="1:39" s="86" customFormat="1" ht="13.25" hidden="1" customHeight="1" x14ac:dyDescent="0.3">
      <c r="A5499" s="89" t="s">
        <v>3792</v>
      </c>
      <c r="B5499" s="86" t="s">
        <v>35</v>
      </c>
      <c r="C5499" s="86" t="s">
        <v>184</v>
      </c>
      <c r="D5499" s="86" t="s">
        <v>54</v>
      </c>
      <c r="E5499" s="86" t="s">
        <v>1069</v>
      </c>
      <c r="F5499" s="86" t="s">
        <v>3845</v>
      </c>
      <c r="G5499" s="86" t="s">
        <v>1069</v>
      </c>
      <c r="H5499" s="143">
        <v>62</v>
      </c>
      <c r="I5499" s="86" t="s">
        <v>408</v>
      </c>
      <c r="J5499" s="1" t="s">
        <v>3324</v>
      </c>
      <c r="K5499" s="1" t="s">
        <v>3278</v>
      </c>
      <c r="L5499" s="1" t="s">
        <v>35</v>
      </c>
      <c r="M5499" s="86" t="s">
        <v>3440</v>
      </c>
      <c r="O5499" s="47" t="s">
        <v>45</v>
      </c>
      <c r="P5499" s="47" t="s">
        <v>46</v>
      </c>
      <c r="Q5499" s="14">
        <v>0.04</v>
      </c>
      <c r="R5499" s="143">
        <v>1000101654</v>
      </c>
      <c r="S5499" s="47"/>
      <c r="T5499" s="6">
        <v>0</v>
      </c>
      <c r="U5499" s="6">
        <v>-50000</v>
      </c>
      <c r="V5499" s="6">
        <v>0</v>
      </c>
      <c r="W5499" s="6">
        <f t="shared" si="856"/>
        <v>-50000</v>
      </c>
      <c r="X5499" s="6">
        <f t="shared" si="855"/>
        <v>0</v>
      </c>
      <c r="Y5499" s="13">
        <f t="shared" si="860"/>
        <v>0</v>
      </c>
      <c r="Z5499" s="66">
        <v>0</v>
      </c>
      <c r="AA5499" s="6">
        <v>0</v>
      </c>
      <c r="AB5499" s="4">
        <f t="shared" si="861"/>
        <v>0</v>
      </c>
      <c r="AC5499" s="6">
        <f t="shared" si="857"/>
        <v>0</v>
      </c>
      <c r="AD5499" s="6">
        <f t="shared" si="858"/>
        <v>0</v>
      </c>
      <c r="AE5499" s="14">
        <f>VLOOKUP(I5499,[2]媒体政策预估表!A:N,MATCH(O5499,[2]媒体政策预估表!$A$2:$M$2,0),0)</f>
        <v>0.11</v>
      </c>
      <c r="AF5499" s="6">
        <f t="shared" si="863"/>
        <v>0</v>
      </c>
      <c r="AG5499" s="14">
        <v>0</v>
      </c>
      <c r="AH5499" s="64">
        <f t="shared" si="859"/>
        <v>0</v>
      </c>
      <c r="AI5499" s="47"/>
      <c r="AJ5499" s="126" t="e">
        <v>#N/A</v>
      </c>
      <c r="AK5499" s="80">
        <f t="shared" si="862"/>
        <v>0</v>
      </c>
      <c r="AL5499" s="85"/>
      <c r="AM5499" s="85"/>
    </row>
    <row r="5500" spans="1:39" s="86" customFormat="1" ht="13.25" hidden="1" customHeight="1" x14ac:dyDescent="0.3">
      <c r="A5500" s="89" t="s">
        <v>3794</v>
      </c>
      <c r="B5500" s="86" t="s">
        <v>35</v>
      </c>
      <c r="C5500" s="86" t="s">
        <v>184</v>
      </c>
      <c r="D5500" s="86" t="s">
        <v>54</v>
      </c>
      <c r="E5500" s="86" t="s">
        <v>453</v>
      </c>
      <c r="F5500" s="86" t="s">
        <v>453</v>
      </c>
      <c r="G5500" s="86" t="s">
        <v>453</v>
      </c>
      <c r="H5500" s="144">
        <v>62</v>
      </c>
      <c r="I5500" s="86" t="s">
        <v>408</v>
      </c>
      <c r="J5500" s="1" t="s">
        <v>3324</v>
      </c>
      <c r="K5500" s="1" t="s">
        <v>3278</v>
      </c>
      <c r="L5500" s="1" t="s">
        <v>35</v>
      </c>
      <c r="M5500" s="86" t="s">
        <v>454</v>
      </c>
      <c r="O5500" s="47" t="s">
        <v>410</v>
      </c>
      <c r="P5500" s="47" t="s">
        <v>41</v>
      </c>
      <c r="Q5500" s="14">
        <v>0</v>
      </c>
      <c r="R5500" s="143">
        <v>1000081223</v>
      </c>
      <c r="S5500" s="47"/>
      <c r="T5500" s="6">
        <v>3269</v>
      </c>
      <c r="U5500" s="6">
        <v>50000</v>
      </c>
      <c r="V5500" s="6">
        <v>44214</v>
      </c>
      <c r="W5500" s="6">
        <f t="shared" si="856"/>
        <v>9055</v>
      </c>
      <c r="X5500" s="6">
        <f t="shared" si="855"/>
        <v>44214</v>
      </c>
      <c r="Y5500" s="13">
        <f t="shared" si="860"/>
        <v>0</v>
      </c>
      <c r="Z5500" s="66">
        <v>0</v>
      </c>
      <c r="AA5500" s="6">
        <v>0</v>
      </c>
      <c r="AB5500" s="4">
        <f t="shared" si="861"/>
        <v>44214</v>
      </c>
      <c r="AC5500" s="6">
        <f t="shared" si="857"/>
        <v>0</v>
      </c>
      <c r="AD5500" s="6">
        <f t="shared" si="858"/>
        <v>44214</v>
      </c>
      <c r="AE5500" s="14">
        <f>VLOOKUP(I5500,[2]媒体政策预估表!A:N,MATCH(O5500,[2]媒体政策预估表!$A$2:$M$2,0),0)</f>
        <v>7.0000000000000007E-2</v>
      </c>
      <c r="AF5500" s="6">
        <f t="shared" si="863"/>
        <v>3094.9800000000005</v>
      </c>
      <c r="AG5500" s="14">
        <v>0</v>
      </c>
      <c r="AH5500" s="64">
        <f t="shared" si="859"/>
        <v>44214</v>
      </c>
      <c r="AI5500" s="47"/>
      <c r="AJ5500" s="126" t="e">
        <v>#N/A</v>
      </c>
      <c r="AK5500" s="80">
        <f t="shared" si="862"/>
        <v>0</v>
      </c>
      <c r="AL5500" s="85"/>
      <c r="AM5500" s="85"/>
    </row>
    <row r="5501" spans="1:39" s="86" customFormat="1" ht="13.25" hidden="1" customHeight="1" x14ac:dyDescent="0.3">
      <c r="A5501" s="89" t="s">
        <v>3794</v>
      </c>
      <c r="B5501" s="86" t="s">
        <v>35</v>
      </c>
      <c r="C5501" s="86" t="s">
        <v>184</v>
      </c>
      <c r="D5501" s="86" t="s">
        <v>54</v>
      </c>
      <c r="E5501" s="86" t="s">
        <v>453</v>
      </c>
      <c r="F5501" s="86" t="s">
        <v>453</v>
      </c>
      <c r="G5501" s="86" t="s">
        <v>453</v>
      </c>
      <c r="H5501" s="144">
        <v>62</v>
      </c>
      <c r="I5501" s="86" t="s">
        <v>408</v>
      </c>
      <c r="J5501" s="1" t="s">
        <v>3324</v>
      </c>
      <c r="K5501" s="1" t="s">
        <v>3278</v>
      </c>
      <c r="L5501" s="1" t="s">
        <v>35</v>
      </c>
      <c r="M5501" s="86" t="s">
        <v>455</v>
      </c>
      <c r="O5501" s="47" t="s">
        <v>410</v>
      </c>
      <c r="P5501" s="47" t="s">
        <v>41</v>
      </c>
      <c r="Q5501" s="14">
        <v>0</v>
      </c>
      <c r="R5501" s="143">
        <v>1000090665</v>
      </c>
      <c r="S5501" s="47"/>
      <c r="T5501" s="6">
        <v>3368</v>
      </c>
      <c r="U5501" s="6">
        <v>50000</v>
      </c>
      <c r="V5501" s="6">
        <v>43408.28</v>
      </c>
      <c r="W5501" s="6">
        <f t="shared" si="856"/>
        <v>9959.7200000000012</v>
      </c>
      <c r="X5501" s="6">
        <f t="shared" ref="X5501:X5564" si="864">IF(P5501="折扣",V5501*Q5501,IF(P5501="返现",V5501,V5501/(1+Q5501)))</f>
        <v>43408.28</v>
      </c>
      <c r="Y5501" s="13">
        <f t="shared" si="860"/>
        <v>0</v>
      </c>
      <c r="Z5501" s="66">
        <v>0</v>
      </c>
      <c r="AA5501" s="6">
        <v>0</v>
      </c>
      <c r="AB5501" s="4">
        <f t="shared" si="861"/>
        <v>43408.28</v>
      </c>
      <c r="AC5501" s="6">
        <f t="shared" si="857"/>
        <v>0</v>
      </c>
      <c r="AD5501" s="6">
        <f t="shared" si="858"/>
        <v>43408.28</v>
      </c>
      <c r="AE5501" s="14">
        <f>VLOOKUP(I5501,[2]媒体政策预估表!A:N,MATCH(O5501,[2]媒体政策预估表!$A$2:$M$2,0),0)</f>
        <v>7.0000000000000007E-2</v>
      </c>
      <c r="AF5501" s="6">
        <f t="shared" si="863"/>
        <v>3038.5796</v>
      </c>
      <c r="AG5501" s="14">
        <v>0</v>
      </c>
      <c r="AH5501" s="64">
        <f t="shared" si="859"/>
        <v>43408.28</v>
      </c>
      <c r="AI5501" s="47"/>
      <c r="AJ5501" s="126" t="e">
        <v>#N/A</v>
      </c>
      <c r="AK5501" s="80">
        <f t="shared" si="862"/>
        <v>0</v>
      </c>
      <c r="AL5501" s="85"/>
      <c r="AM5501" s="85"/>
    </row>
    <row r="5502" spans="1:39" s="86" customFormat="1" ht="13.25" hidden="1" customHeight="1" x14ac:dyDescent="0.3">
      <c r="A5502" s="89" t="s">
        <v>3792</v>
      </c>
      <c r="B5502" s="86" t="s">
        <v>35</v>
      </c>
      <c r="C5502" s="86" t="s">
        <v>184</v>
      </c>
      <c r="D5502" s="86" t="s">
        <v>54</v>
      </c>
      <c r="E5502" s="86" t="s">
        <v>3847</v>
      </c>
      <c r="F5502" s="86" t="s">
        <v>3847</v>
      </c>
      <c r="G5502" s="86" t="s">
        <v>3847</v>
      </c>
      <c r="H5502" s="144">
        <v>62</v>
      </c>
      <c r="I5502" s="86" t="s">
        <v>408</v>
      </c>
      <c r="J5502" s="1" t="s">
        <v>3324</v>
      </c>
      <c r="K5502" s="1" t="s">
        <v>3278</v>
      </c>
      <c r="L5502" s="1" t="s">
        <v>35</v>
      </c>
      <c r="M5502" s="86" t="s">
        <v>3848</v>
      </c>
      <c r="O5502" s="47" t="s">
        <v>45</v>
      </c>
      <c r="P5502" s="47" t="s">
        <v>41</v>
      </c>
      <c r="Q5502" s="14">
        <v>0</v>
      </c>
      <c r="R5502" s="143">
        <v>1000103838</v>
      </c>
      <c r="S5502" s="47"/>
      <c r="T5502" s="6">
        <v>0</v>
      </c>
      <c r="U5502" s="6">
        <v>19218</v>
      </c>
      <c r="V5502" s="6">
        <v>12659.239999999998</v>
      </c>
      <c r="W5502" s="6">
        <f t="shared" ref="W5502:W5565" si="865">T5502+U5502-V5502</f>
        <v>6558.760000000002</v>
      </c>
      <c r="X5502" s="6">
        <f t="shared" si="864"/>
        <v>12659.239999999998</v>
      </c>
      <c r="Y5502" s="13">
        <f t="shared" si="860"/>
        <v>0</v>
      </c>
      <c r="Z5502" s="66">
        <v>0</v>
      </c>
      <c r="AA5502" s="6">
        <v>0</v>
      </c>
      <c r="AB5502" s="4">
        <f t="shared" si="861"/>
        <v>12659.239999999998</v>
      </c>
      <c r="AC5502" s="6">
        <f t="shared" ref="AC5502:AC5565" si="866">IF(P5502="返现",X5502*Q5502,V5502-X5502)</f>
        <v>0</v>
      </c>
      <c r="AD5502" s="6">
        <f t="shared" ref="AD5502:AD5565" si="867">V5502</f>
        <v>12659.239999999998</v>
      </c>
      <c r="AE5502" s="14">
        <f>VLOOKUP(I5502,[2]媒体政策预估表!A:N,MATCH(O5502,[2]媒体政策预估表!$A$2:$M$2,0),0)</f>
        <v>0.11</v>
      </c>
      <c r="AF5502" s="6">
        <f t="shared" si="863"/>
        <v>1392.5163999999997</v>
      </c>
      <c r="AG5502" s="14">
        <v>0</v>
      </c>
      <c r="AH5502" s="64">
        <f t="shared" ref="AH5502:AH5565" si="868">V5502</f>
        <v>12659.239999999998</v>
      </c>
      <c r="AI5502" s="47"/>
      <c r="AJ5502" s="126" t="e">
        <v>#N/A</v>
      </c>
      <c r="AK5502" s="80">
        <f t="shared" si="862"/>
        <v>0</v>
      </c>
      <c r="AL5502" s="85"/>
      <c r="AM5502" s="85"/>
    </row>
    <row r="5503" spans="1:39" s="86" customFormat="1" ht="13.25" hidden="1" customHeight="1" x14ac:dyDescent="0.3">
      <c r="A5503" s="89" t="s">
        <v>3792</v>
      </c>
      <c r="B5503" s="86" t="s">
        <v>35</v>
      </c>
      <c r="C5503" s="86" t="s">
        <v>184</v>
      </c>
      <c r="D5503" s="86" t="s">
        <v>54</v>
      </c>
      <c r="E5503" s="86" t="s">
        <v>458</v>
      </c>
      <c r="F5503" s="86" t="s">
        <v>458</v>
      </c>
      <c r="G5503" s="86" t="s">
        <v>458</v>
      </c>
      <c r="H5503" s="144">
        <v>62</v>
      </c>
      <c r="I5503" s="86" t="s">
        <v>408</v>
      </c>
      <c r="J5503" s="1" t="s">
        <v>3324</v>
      </c>
      <c r="K5503" s="1" t="s">
        <v>3278</v>
      </c>
      <c r="L5503" s="1" t="s">
        <v>35</v>
      </c>
      <c r="M5503" s="86" t="s">
        <v>459</v>
      </c>
      <c r="O5503" s="47" t="s">
        <v>410</v>
      </c>
      <c r="P5503" s="47" t="s">
        <v>41</v>
      </c>
      <c r="Q5503" s="14">
        <v>0</v>
      </c>
      <c r="R5503" s="143">
        <v>1000043239</v>
      </c>
      <c r="S5503" s="47"/>
      <c r="T5503" s="6">
        <v>164046.3499999998</v>
      </c>
      <c r="U5503" s="6">
        <v>300000</v>
      </c>
      <c r="V5503" s="6">
        <v>221157.58</v>
      </c>
      <c r="W5503" s="6">
        <f t="shared" si="865"/>
        <v>242888.76999999981</v>
      </c>
      <c r="X5503" s="6">
        <f t="shared" si="864"/>
        <v>221157.58</v>
      </c>
      <c r="Y5503" s="13">
        <f t="shared" si="860"/>
        <v>0</v>
      </c>
      <c r="Z5503" s="66">
        <v>0</v>
      </c>
      <c r="AA5503" s="6">
        <v>0</v>
      </c>
      <c r="AB5503" s="4">
        <f t="shared" si="861"/>
        <v>221157.58</v>
      </c>
      <c r="AC5503" s="6">
        <f t="shared" si="866"/>
        <v>0</v>
      </c>
      <c r="AD5503" s="6">
        <f t="shared" si="867"/>
        <v>221157.58</v>
      </c>
      <c r="AE5503" s="14">
        <f>VLOOKUP(I5503,[2]媒体政策预估表!A:N,MATCH(O5503,[2]媒体政策预估表!$A$2:$M$2,0),0)</f>
        <v>7.0000000000000007E-2</v>
      </c>
      <c r="AF5503" s="6">
        <f t="shared" si="863"/>
        <v>15481.0306</v>
      </c>
      <c r="AG5503" s="14">
        <v>0</v>
      </c>
      <c r="AH5503" s="64">
        <f t="shared" si="868"/>
        <v>221157.58</v>
      </c>
      <c r="AI5503" s="47"/>
      <c r="AJ5503" s="126" t="e">
        <v>#N/A</v>
      </c>
      <c r="AK5503" s="80">
        <f t="shared" si="862"/>
        <v>0</v>
      </c>
      <c r="AL5503" s="85"/>
      <c r="AM5503" s="85"/>
    </row>
    <row r="5504" spans="1:39" s="86" customFormat="1" ht="13.25" hidden="1" customHeight="1" x14ac:dyDescent="0.3">
      <c r="A5504" s="89" t="s">
        <v>3792</v>
      </c>
      <c r="B5504" s="86" t="s">
        <v>35</v>
      </c>
      <c r="C5504" s="86" t="s">
        <v>184</v>
      </c>
      <c r="D5504" s="86" t="s">
        <v>37</v>
      </c>
      <c r="E5504" s="86" t="s">
        <v>222</v>
      </c>
      <c r="F5504" s="86" t="s">
        <v>222</v>
      </c>
      <c r="G5504" s="86" t="s">
        <v>222</v>
      </c>
      <c r="H5504" s="144">
        <v>62</v>
      </c>
      <c r="I5504" s="86" t="s">
        <v>408</v>
      </c>
      <c r="J5504" s="1" t="s">
        <v>3324</v>
      </c>
      <c r="K5504" s="1" t="s">
        <v>3278</v>
      </c>
      <c r="L5504" s="1" t="s">
        <v>35</v>
      </c>
      <c r="M5504" s="86" t="s">
        <v>461</v>
      </c>
      <c r="O5504" s="47" t="s">
        <v>410</v>
      </c>
      <c r="P5504" s="47" t="s">
        <v>41</v>
      </c>
      <c r="Q5504" s="14">
        <v>0</v>
      </c>
      <c r="R5504" s="143">
        <v>1000093110</v>
      </c>
      <c r="S5504" s="47"/>
      <c r="T5504" s="6">
        <v>63566.319999999949</v>
      </c>
      <c r="U5504" s="6">
        <v>120000</v>
      </c>
      <c r="V5504" s="6">
        <v>148945.78999999995</v>
      </c>
      <c r="W5504" s="6">
        <f t="shared" si="865"/>
        <v>34620.53</v>
      </c>
      <c r="X5504" s="6">
        <f t="shared" si="864"/>
        <v>148945.78999999995</v>
      </c>
      <c r="Y5504" s="13">
        <f t="shared" si="860"/>
        <v>0</v>
      </c>
      <c r="Z5504" s="66">
        <v>0</v>
      </c>
      <c r="AA5504" s="6">
        <v>0</v>
      </c>
      <c r="AB5504" s="4">
        <f t="shared" si="861"/>
        <v>148945.78999999995</v>
      </c>
      <c r="AC5504" s="6">
        <f t="shared" si="866"/>
        <v>0</v>
      </c>
      <c r="AD5504" s="6">
        <f t="shared" si="867"/>
        <v>148945.78999999995</v>
      </c>
      <c r="AE5504" s="14">
        <f>VLOOKUP(I5504,[2]媒体政策预估表!A:N,MATCH(O5504,[2]媒体政策预估表!$A$2:$M$2,0),0)</f>
        <v>7.0000000000000007E-2</v>
      </c>
      <c r="AF5504" s="6">
        <f t="shared" si="863"/>
        <v>10426.205299999998</v>
      </c>
      <c r="AG5504" s="14">
        <v>0</v>
      </c>
      <c r="AH5504" s="64">
        <f t="shared" si="868"/>
        <v>148945.78999999995</v>
      </c>
      <c r="AI5504" s="47"/>
      <c r="AJ5504" s="126" t="e">
        <v>#N/A</v>
      </c>
      <c r="AK5504" s="80">
        <f t="shared" si="862"/>
        <v>0</v>
      </c>
      <c r="AL5504" s="85"/>
      <c r="AM5504" s="85"/>
    </row>
    <row r="5505" spans="1:39" s="86" customFormat="1" ht="13.25" hidden="1" customHeight="1" x14ac:dyDescent="0.3">
      <c r="A5505" s="89" t="s">
        <v>3792</v>
      </c>
      <c r="B5505" s="86" t="s">
        <v>35</v>
      </c>
      <c r="C5505" s="86" t="s">
        <v>184</v>
      </c>
      <c r="D5505" s="86" t="s">
        <v>37</v>
      </c>
      <c r="E5505" s="86" t="s">
        <v>222</v>
      </c>
      <c r="F5505" s="86" t="s">
        <v>462</v>
      </c>
      <c r="G5505" s="86" t="s">
        <v>222</v>
      </c>
      <c r="H5505" s="144">
        <v>62</v>
      </c>
      <c r="I5505" s="86" t="s">
        <v>408</v>
      </c>
      <c r="J5505" s="1" t="s">
        <v>3324</v>
      </c>
      <c r="K5505" s="1" t="s">
        <v>3278</v>
      </c>
      <c r="L5505" s="1" t="s">
        <v>35</v>
      </c>
      <c r="M5505" s="86" t="s">
        <v>463</v>
      </c>
      <c r="O5505" s="47" t="s">
        <v>410</v>
      </c>
      <c r="P5505" s="47" t="s">
        <v>46</v>
      </c>
      <c r="Q5505" s="14">
        <v>0.02</v>
      </c>
      <c r="R5505" s="143">
        <v>1000099143</v>
      </c>
      <c r="S5505" s="47"/>
      <c r="T5505" s="6">
        <v>35735.27999999997</v>
      </c>
      <c r="U5505" s="6">
        <v>100000</v>
      </c>
      <c r="V5505" s="6">
        <v>114946.36000000002</v>
      </c>
      <c r="W5505" s="6">
        <f t="shared" si="865"/>
        <v>20788.919999999955</v>
      </c>
      <c r="X5505" s="6">
        <f t="shared" si="864"/>
        <v>112692.50980392158</v>
      </c>
      <c r="Y5505" s="13">
        <f t="shared" si="860"/>
        <v>0</v>
      </c>
      <c r="Z5505" s="66">
        <v>0</v>
      </c>
      <c r="AA5505" s="6">
        <v>0</v>
      </c>
      <c r="AB5505" s="4">
        <f t="shared" si="861"/>
        <v>112692.50980392158</v>
      </c>
      <c r="AC5505" s="6">
        <f t="shared" si="866"/>
        <v>2253.8501960784342</v>
      </c>
      <c r="AD5505" s="6">
        <f t="shared" si="867"/>
        <v>114946.36000000002</v>
      </c>
      <c r="AE5505" s="14">
        <f>VLOOKUP(I5505,[2]媒体政策预估表!A:N,MATCH(O5505,[2]媒体政策预估表!$A$2:$M$2,0),0)</f>
        <v>7.0000000000000007E-2</v>
      </c>
      <c r="AF5505" s="6">
        <f t="shared" si="863"/>
        <v>8046.2452000000021</v>
      </c>
      <c r="AG5505" s="14">
        <v>0</v>
      </c>
      <c r="AH5505" s="64">
        <f t="shared" si="868"/>
        <v>114946.36000000002</v>
      </c>
      <c r="AI5505" s="47"/>
      <c r="AJ5505" s="126" t="e">
        <v>#N/A</v>
      </c>
      <c r="AK5505" s="80">
        <f t="shared" si="862"/>
        <v>0</v>
      </c>
      <c r="AL5505" s="85"/>
      <c r="AM5505" s="85"/>
    </row>
    <row r="5506" spans="1:39" s="86" customFormat="1" ht="13.25" hidden="1" customHeight="1" x14ac:dyDescent="0.3">
      <c r="A5506" s="89" t="s">
        <v>3794</v>
      </c>
      <c r="B5506" s="86" t="s">
        <v>35</v>
      </c>
      <c r="C5506" s="86" t="s">
        <v>184</v>
      </c>
      <c r="D5506" s="86" t="s">
        <v>37</v>
      </c>
      <c r="E5506" s="86" t="s">
        <v>464</v>
      </c>
      <c r="F5506" s="86" t="s">
        <v>464</v>
      </c>
      <c r="G5506" s="86" t="s">
        <v>464</v>
      </c>
      <c r="H5506" s="144">
        <v>62</v>
      </c>
      <c r="I5506" s="86" t="s">
        <v>408</v>
      </c>
      <c r="J5506" s="1" t="s">
        <v>3324</v>
      </c>
      <c r="K5506" s="1" t="s">
        <v>3278</v>
      </c>
      <c r="L5506" s="1" t="s">
        <v>35</v>
      </c>
      <c r="M5506" s="86" t="s">
        <v>465</v>
      </c>
      <c r="O5506" s="47" t="s">
        <v>410</v>
      </c>
      <c r="P5506" s="47" t="s">
        <v>41</v>
      </c>
      <c r="Q5506" s="14">
        <v>0</v>
      </c>
      <c r="R5506" s="143">
        <v>1000100117</v>
      </c>
      <c r="S5506" s="47"/>
      <c r="T5506" s="6">
        <v>15749.059999999998</v>
      </c>
      <c r="U5506" s="6">
        <v>20000</v>
      </c>
      <c r="V5506" s="6">
        <v>18736.5</v>
      </c>
      <c r="W5506" s="6">
        <f t="shared" si="865"/>
        <v>17012.559999999998</v>
      </c>
      <c r="X5506" s="6">
        <f t="shared" si="864"/>
        <v>18736.5</v>
      </c>
      <c r="Y5506" s="13">
        <f t="shared" si="860"/>
        <v>0</v>
      </c>
      <c r="Z5506" s="66">
        <v>0</v>
      </c>
      <c r="AA5506" s="6">
        <v>0</v>
      </c>
      <c r="AB5506" s="4">
        <f t="shared" si="861"/>
        <v>18736.5</v>
      </c>
      <c r="AC5506" s="6">
        <f t="shared" si="866"/>
        <v>0</v>
      </c>
      <c r="AD5506" s="6">
        <f t="shared" si="867"/>
        <v>18736.5</v>
      </c>
      <c r="AE5506" s="14">
        <f>VLOOKUP(I5506,[2]媒体政策预估表!A:N,MATCH(O5506,[2]媒体政策预估表!$A$2:$M$2,0),0)</f>
        <v>7.0000000000000007E-2</v>
      </c>
      <c r="AF5506" s="6">
        <f t="shared" si="863"/>
        <v>1311.5550000000001</v>
      </c>
      <c r="AG5506" s="14">
        <v>0</v>
      </c>
      <c r="AH5506" s="64">
        <f t="shared" si="868"/>
        <v>18736.5</v>
      </c>
      <c r="AI5506" s="47"/>
      <c r="AJ5506" s="126" t="e">
        <v>#N/A</v>
      </c>
      <c r="AK5506" s="80">
        <f t="shared" si="862"/>
        <v>0</v>
      </c>
      <c r="AL5506" s="85"/>
      <c r="AM5506" s="85"/>
    </row>
    <row r="5507" spans="1:39" s="86" customFormat="1" ht="13.25" hidden="1" customHeight="1" x14ac:dyDescent="0.3">
      <c r="A5507" s="89" t="s">
        <v>3792</v>
      </c>
      <c r="B5507" s="86" t="s">
        <v>35</v>
      </c>
      <c r="C5507" s="86" t="s">
        <v>184</v>
      </c>
      <c r="D5507" s="86" t="s">
        <v>3849</v>
      </c>
      <c r="E5507" s="86" t="s">
        <v>521</v>
      </c>
      <c r="F5507" s="86" t="s">
        <v>522</v>
      </c>
      <c r="G5507" s="86" t="s">
        <v>521</v>
      </c>
      <c r="H5507" s="144">
        <v>62</v>
      </c>
      <c r="I5507" s="86" t="s">
        <v>408</v>
      </c>
      <c r="J5507" s="1" t="s">
        <v>3324</v>
      </c>
      <c r="K5507" s="1" t="s">
        <v>3278</v>
      </c>
      <c r="L5507" s="1" t="s">
        <v>35</v>
      </c>
      <c r="M5507" s="86" t="s">
        <v>523</v>
      </c>
      <c r="O5507" s="47" t="s">
        <v>410</v>
      </c>
      <c r="P5507" s="47" t="s">
        <v>46</v>
      </c>
      <c r="Q5507" s="14">
        <v>0.02</v>
      </c>
      <c r="R5507" s="143">
        <v>1000043414</v>
      </c>
      <c r="S5507" s="47"/>
      <c r="T5507" s="6">
        <v>53991.729999999952</v>
      </c>
      <c r="U5507" s="6">
        <v>372300</v>
      </c>
      <c r="V5507" s="6">
        <v>308599.76</v>
      </c>
      <c r="W5507" s="6">
        <f t="shared" si="865"/>
        <v>117691.96999999997</v>
      </c>
      <c r="X5507" s="6">
        <f t="shared" si="864"/>
        <v>302548.78431372548</v>
      </c>
      <c r="Y5507" s="13">
        <f t="shared" ref="Y5507:Y5570" si="869">IF(X5507-AD5507&lt;=0,0,IF(P5507="返现",MAX(X5507-AC5507-AD5507,0),MAX(X5507-AD5507)))</f>
        <v>0</v>
      </c>
      <c r="Z5507" s="66">
        <v>0</v>
      </c>
      <c r="AA5507" s="6">
        <v>0</v>
      </c>
      <c r="AB5507" s="4">
        <f t="shared" ref="AB5507:AB5570" si="870">X5507+AA5507</f>
        <v>302548.78431372548</v>
      </c>
      <c r="AC5507" s="6">
        <f t="shared" si="866"/>
        <v>6050.9756862745271</v>
      </c>
      <c r="AD5507" s="6">
        <f t="shared" si="867"/>
        <v>308599.76</v>
      </c>
      <c r="AE5507" s="14">
        <f>VLOOKUP(I5507,[2]媒体政策预估表!A:N,MATCH(O5507,[2]媒体政策预估表!$A$2:$M$2,0),0)</f>
        <v>7.0000000000000007E-2</v>
      </c>
      <c r="AF5507" s="6">
        <f t="shared" si="863"/>
        <v>21601.983200000002</v>
      </c>
      <c r="AG5507" s="14">
        <v>0</v>
      </c>
      <c r="AH5507" s="64">
        <f t="shared" si="868"/>
        <v>308599.76</v>
      </c>
      <c r="AI5507" s="47"/>
      <c r="AJ5507" s="126" t="e">
        <v>#N/A</v>
      </c>
      <c r="AK5507" s="80">
        <f t="shared" ref="AK5507:AK5570" si="871">X5507+AA5507-AB5507</f>
        <v>0</v>
      </c>
      <c r="AL5507" s="85"/>
      <c r="AM5507" s="85"/>
    </row>
    <row r="5508" spans="1:39" s="86" customFormat="1" ht="13.25" hidden="1" customHeight="1" x14ac:dyDescent="0.3">
      <c r="A5508" s="89" t="s">
        <v>3792</v>
      </c>
      <c r="B5508" s="86" t="s">
        <v>35</v>
      </c>
      <c r="C5508" s="86" t="s">
        <v>184</v>
      </c>
      <c r="D5508" s="86" t="s">
        <v>3849</v>
      </c>
      <c r="E5508" s="86" t="s">
        <v>521</v>
      </c>
      <c r="F5508" s="86" t="s">
        <v>522</v>
      </c>
      <c r="G5508" s="86" t="s">
        <v>521</v>
      </c>
      <c r="H5508" s="144">
        <v>62</v>
      </c>
      <c r="I5508" s="86" t="s">
        <v>408</v>
      </c>
      <c r="J5508" s="1" t="s">
        <v>3324</v>
      </c>
      <c r="K5508" s="1" t="s">
        <v>3278</v>
      </c>
      <c r="L5508" s="1" t="s">
        <v>35</v>
      </c>
      <c r="M5508" s="86" t="s">
        <v>524</v>
      </c>
      <c r="O5508" s="47" t="s">
        <v>45</v>
      </c>
      <c r="P5508" s="47" t="s">
        <v>46</v>
      </c>
      <c r="Q5508" s="14">
        <v>0.02</v>
      </c>
      <c r="R5508" s="143">
        <v>1000081855</v>
      </c>
      <c r="S5508" s="47"/>
      <c r="T5508" s="6">
        <v>5612.6399999999994</v>
      </c>
      <c r="U5508" s="6">
        <v>18360</v>
      </c>
      <c r="V5508" s="6">
        <v>16824.72</v>
      </c>
      <c r="W5508" s="6">
        <f t="shared" si="865"/>
        <v>7147.9199999999983</v>
      </c>
      <c r="X5508" s="6">
        <f t="shared" si="864"/>
        <v>16494.823529411766</v>
      </c>
      <c r="Y5508" s="13">
        <f t="shared" si="869"/>
        <v>0</v>
      </c>
      <c r="Z5508" s="66">
        <v>0</v>
      </c>
      <c r="AA5508" s="6">
        <v>0</v>
      </c>
      <c r="AB5508" s="4">
        <f t="shared" si="870"/>
        <v>16494.823529411766</v>
      </c>
      <c r="AC5508" s="6">
        <f t="shared" si="866"/>
        <v>329.89647058823539</v>
      </c>
      <c r="AD5508" s="6">
        <f t="shared" si="867"/>
        <v>16824.72</v>
      </c>
      <c r="AE5508" s="14">
        <f>VLOOKUP(I5508,[2]媒体政策预估表!A:N,MATCH(O5508,[2]媒体政策预估表!$A$2:$M$2,0),0)</f>
        <v>0.11</v>
      </c>
      <c r="AF5508" s="6">
        <f t="shared" si="863"/>
        <v>1850.7192000000002</v>
      </c>
      <c r="AG5508" s="14">
        <v>0</v>
      </c>
      <c r="AH5508" s="64">
        <f t="shared" si="868"/>
        <v>16824.72</v>
      </c>
      <c r="AI5508" s="47"/>
      <c r="AJ5508" s="126" t="e">
        <v>#N/A</v>
      </c>
      <c r="AK5508" s="80">
        <f t="shared" si="871"/>
        <v>0</v>
      </c>
      <c r="AL5508" s="85"/>
      <c r="AM5508" s="85"/>
    </row>
    <row r="5509" spans="1:39" s="86" customFormat="1" ht="13.25" hidden="1" customHeight="1" x14ac:dyDescent="0.3">
      <c r="A5509" s="89" t="s">
        <v>3792</v>
      </c>
      <c r="B5509" s="86" t="s">
        <v>35</v>
      </c>
      <c r="C5509" s="86" t="s">
        <v>184</v>
      </c>
      <c r="D5509" s="86" t="s">
        <v>3849</v>
      </c>
      <c r="E5509" s="86" t="s">
        <v>525</v>
      </c>
      <c r="F5509" s="86" t="s">
        <v>525</v>
      </c>
      <c r="G5509" s="86" t="s">
        <v>525</v>
      </c>
      <c r="H5509" s="144">
        <v>62</v>
      </c>
      <c r="I5509" s="86" t="s">
        <v>408</v>
      </c>
      <c r="J5509" s="1" t="s">
        <v>3324</v>
      </c>
      <c r="K5509" s="1" t="s">
        <v>3278</v>
      </c>
      <c r="L5509" s="1" t="s">
        <v>35</v>
      </c>
      <c r="M5509" s="86" t="s">
        <v>526</v>
      </c>
      <c r="O5509" s="47" t="s">
        <v>410</v>
      </c>
      <c r="P5509" s="47" t="s">
        <v>41</v>
      </c>
      <c r="Q5509" s="14">
        <v>0</v>
      </c>
      <c r="R5509" s="143">
        <v>1000094151</v>
      </c>
      <c r="S5509" s="47"/>
      <c r="T5509" s="6">
        <v>13924.520000000004</v>
      </c>
      <c r="U5509" s="6">
        <v>-11444.23</v>
      </c>
      <c r="V5509" s="6">
        <v>2480.29</v>
      </c>
      <c r="W5509" s="6">
        <f t="shared" si="865"/>
        <v>4.5474735088646412E-12</v>
      </c>
      <c r="X5509" s="6">
        <f t="shared" si="864"/>
        <v>2480.29</v>
      </c>
      <c r="Y5509" s="13">
        <f t="shared" si="869"/>
        <v>0</v>
      </c>
      <c r="Z5509" s="66">
        <v>0</v>
      </c>
      <c r="AA5509" s="6">
        <v>0</v>
      </c>
      <c r="AB5509" s="4">
        <f t="shared" si="870"/>
        <v>2480.29</v>
      </c>
      <c r="AC5509" s="6">
        <f t="shared" si="866"/>
        <v>0</v>
      </c>
      <c r="AD5509" s="6">
        <f t="shared" si="867"/>
        <v>2480.29</v>
      </c>
      <c r="AE5509" s="14">
        <f>VLOOKUP(I5509,[2]媒体政策预估表!A:N,MATCH(O5509,[2]媒体政策预估表!$A$2:$M$2,0),0)</f>
        <v>7.0000000000000007E-2</v>
      </c>
      <c r="AF5509" s="6">
        <f t="shared" si="863"/>
        <v>173.62030000000001</v>
      </c>
      <c r="AG5509" s="14">
        <v>0</v>
      </c>
      <c r="AH5509" s="64">
        <f t="shared" si="868"/>
        <v>2480.29</v>
      </c>
      <c r="AI5509" s="47"/>
      <c r="AJ5509" s="126" t="e">
        <v>#N/A</v>
      </c>
      <c r="AK5509" s="80">
        <f t="shared" si="871"/>
        <v>0</v>
      </c>
      <c r="AL5509" s="85"/>
      <c r="AM5509" s="85"/>
    </row>
    <row r="5510" spans="1:39" s="86" customFormat="1" ht="13.25" hidden="1" customHeight="1" x14ac:dyDescent="0.3">
      <c r="A5510" s="89" t="s">
        <v>3794</v>
      </c>
      <c r="B5510" s="86" t="s">
        <v>35</v>
      </c>
      <c r="C5510" s="86" t="s">
        <v>184</v>
      </c>
      <c r="D5510" s="86" t="s">
        <v>3849</v>
      </c>
      <c r="E5510" s="86" t="s">
        <v>525</v>
      </c>
      <c r="F5510" s="86" t="s">
        <v>525</v>
      </c>
      <c r="G5510" s="86" t="s">
        <v>525</v>
      </c>
      <c r="H5510" s="144">
        <v>62</v>
      </c>
      <c r="I5510" s="86" t="s">
        <v>408</v>
      </c>
      <c r="J5510" s="1" t="s">
        <v>3324</v>
      </c>
      <c r="K5510" s="1" t="s">
        <v>3278</v>
      </c>
      <c r="L5510" s="1" t="s">
        <v>35</v>
      </c>
      <c r="M5510" s="86" t="s">
        <v>527</v>
      </c>
      <c r="O5510" s="47" t="s">
        <v>410</v>
      </c>
      <c r="P5510" s="47" t="s">
        <v>41</v>
      </c>
      <c r="Q5510" s="14">
        <v>0</v>
      </c>
      <c r="R5510" s="143">
        <v>1000094152</v>
      </c>
      <c r="S5510" s="47"/>
      <c r="T5510" s="6">
        <v>42491.529999999868</v>
      </c>
      <c r="U5510" s="6">
        <v>41444.229999999996</v>
      </c>
      <c r="V5510" s="6">
        <v>38008.36</v>
      </c>
      <c r="W5510" s="6">
        <f t="shared" si="865"/>
        <v>45927.399999999863</v>
      </c>
      <c r="X5510" s="6">
        <f t="shared" si="864"/>
        <v>38008.36</v>
      </c>
      <c r="Y5510" s="13">
        <f t="shared" si="869"/>
        <v>0</v>
      </c>
      <c r="Z5510" s="66">
        <v>0</v>
      </c>
      <c r="AA5510" s="6">
        <v>0</v>
      </c>
      <c r="AB5510" s="4">
        <f t="shared" si="870"/>
        <v>38008.36</v>
      </c>
      <c r="AC5510" s="6">
        <f t="shared" si="866"/>
        <v>0</v>
      </c>
      <c r="AD5510" s="6">
        <f t="shared" si="867"/>
        <v>38008.36</v>
      </c>
      <c r="AE5510" s="14">
        <f>VLOOKUP(I5510,[2]媒体政策预估表!A:N,MATCH(O5510,[2]媒体政策预估表!$A$2:$M$2,0),0)</f>
        <v>7.0000000000000007E-2</v>
      </c>
      <c r="AF5510" s="6">
        <f t="shared" si="863"/>
        <v>2660.5852000000004</v>
      </c>
      <c r="AG5510" s="14">
        <v>0</v>
      </c>
      <c r="AH5510" s="64">
        <f t="shared" si="868"/>
        <v>38008.36</v>
      </c>
      <c r="AI5510" s="47"/>
      <c r="AJ5510" s="126" t="e">
        <v>#N/A</v>
      </c>
      <c r="AK5510" s="80">
        <f t="shared" si="871"/>
        <v>0</v>
      </c>
      <c r="AL5510" s="85"/>
      <c r="AM5510" s="85"/>
    </row>
    <row r="5511" spans="1:39" s="86" customFormat="1" ht="13.25" hidden="1" customHeight="1" x14ac:dyDescent="0.3">
      <c r="A5511" s="89" t="s">
        <v>3792</v>
      </c>
      <c r="B5511" s="86" t="s">
        <v>35</v>
      </c>
      <c r="C5511" s="86" t="s">
        <v>184</v>
      </c>
      <c r="D5511" s="86" t="s">
        <v>3849</v>
      </c>
      <c r="E5511" s="86" t="s">
        <v>542</v>
      </c>
      <c r="F5511" s="86" t="s">
        <v>543</v>
      </c>
      <c r="G5511" s="86" t="s">
        <v>542</v>
      </c>
      <c r="H5511" s="144">
        <v>62</v>
      </c>
      <c r="I5511" s="86" t="s">
        <v>408</v>
      </c>
      <c r="J5511" s="1" t="s">
        <v>3324</v>
      </c>
      <c r="K5511" s="1" t="s">
        <v>3278</v>
      </c>
      <c r="L5511" s="1" t="s">
        <v>35</v>
      </c>
      <c r="M5511" s="86" t="s">
        <v>544</v>
      </c>
      <c r="O5511" s="47" t="s">
        <v>410</v>
      </c>
      <c r="P5511" s="47" t="s">
        <v>41</v>
      </c>
      <c r="Q5511" s="14">
        <v>0</v>
      </c>
      <c r="R5511" s="143">
        <v>1000046342</v>
      </c>
      <c r="S5511" s="47"/>
      <c r="T5511" s="6">
        <v>295627.49000000011</v>
      </c>
      <c r="U5511" s="6">
        <v>700000</v>
      </c>
      <c r="V5511" s="6">
        <v>801842.82000000007</v>
      </c>
      <c r="W5511" s="6">
        <f t="shared" si="865"/>
        <v>193784.67000000004</v>
      </c>
      <c r="X5511" s="6">
        <f t="shared" si="864"/>
        <v>801842.82000000007</v>
      </c>
      <c r="Y5511" s="13">
        <f t="shared" si="869"/>
        <v>0</v>
      </c>
      <c r="Z5511" s="66">
        <v>0</v>
      </c>
      <c r="AA5511" s="6">
        <v>0</v>
      </c>
      <c r="AB5511" s="4">
        <f t="shared" si="870"/>
        <v>801842.82000000007</v>
      </c>
      <c r="AC5511" s="6">
        <f t="shared" si="866"/>
        <v>0</v>
      </c>
      <c r="AD5511" s="6">
        <f t="shared" si="867"/>
        <v>801842.82000000007</v>
      </c>
      <c r="AE5511" s="14">
        <f>VLOOKUP(I5511,[2]媒体政策预估表!A:N,MATCH(O5511,[2]媒体政策预估表!$A$2:$M$2,0),0)</f>
        <v>7.0000000000000007E-2</v>
      </c>
      <c r="AF5511" s="6">
        <f t="shared" si="863"/>
        <v>56128.997400000007</v>
      </c>
      <c r="AG5511" s="14">
        <v>0</v>
      </c>
      <c r="AH5511" s="64">
        <f t="shared" si="868"/>
        <v>801842.82000000007</v>
      </c>
      <c r="AI5511" s="47"/>
      <c r="AJ5511" s="126" t="e">
        <v>#N/A</v>
      </c>
      <c r="AK5511" s="80">
        <f t="shared" si="871"/>
        <v>0</v>
      </c>
      <c r="AL5511" s="85"/>
      <c r="AM5511" s="85"/>
    </row>
    <row r="5512" spans="1:39" s="86" customFormat="1" ht="13.25" hidden="1" customHeight="1" x14ac:dyDescent="0.3">
      <c r="A5512" s="89" t="s">
        <v>3794</v>
      </c>
      <c r="B5512" s="86" t="s">
        <v>35</v>
      </c>
      <c r="C5512" s="86" t="s">
        <v>184</v>
      </c>
      <c r="D5512" s="86" t="s">
        <v>3849</v>
      </c>
      <c r="E5512" s="86" t="s">
        <v>542</v>
      </c>
      <c r="F5512" s="86" t="s">
        <v>543</v>
      </c>
      <c r="G5512" s="86" t="s">
        <v>542</v>
      </c>
      <c r="H5512" s="143">
        <v>62</v>
      </c>
      <c r="I5512" s="86" t="s">
        <v>408</v>
      </c>
      <c r="J5512" s="1" t="s">
        <v>3324</v>
      </c>
      <c r="K5512" s="1" t="s">
        <v>3278</v>
      </c>
      <c r="L5512" s="1" t="s">
        <v>35</v>
      </c>
      <c r="M5512" s="86" t="s">
        <v>545</v>
      </c>
      <c r="O5512" s="47" t="s">
        <v>410</v>
      </c>
      <c r="P5512" s="47" t="s">
        <v>41</v>
      </c>
      <c r="Q5512" s="14">
        <v>0</v>
      </c>
      <c r="R5512" s="143">
        <v>1000046341</v>
      </c>
      <c r="S5512" s="47"/>
      <c r="T5512" s="6">
        <v>20000</v>
      </c>
      <c r="U5512" s="6">
        <v>-20000</v>
      </c>
      <c r="V5512" s="6">
        <v>0</v>
      </c>
      <c r="W5512" s="6">
        <f t="shared" si="865"/>
        <v>0</v>
      </c>
      <c r="X5512" s="6">
        <f t="shared" si="864"/>
        <v>0</v>
      </c>
      <c r="Y5512" s="13">
        <f t="shared" si="869"/>
        <v>0</v>
      </c>
      <c r="Z5512" s="66">
        <v>0</v>
      </c>
      <c r="AA5512" s="6">
        <v>0</v>
      </c>
      <c r="AB5512" s="4">
        <f t="shared" si="870"/>
        <v>0</v>
      </c>
      <c r="AC5512" s="6">
        <f t="shared" si="866"/>
        <v>0</v>
      </c>
      <c r="AD5512" s="6">
        <f t="shared" si="867"/>
        <v>0</v>
      </c>
      <c r="AE5512" s="14">
        <f>VLOOKUP(I5512,[2]媒体政策预估表!A:N,MATCH(O5512,[2]媒体政策预估表!$A$2:$M$2,0),0)</f>
        <v>7.0000000000000007E-2</v>
      </c>
      <c r="AF5512" s="6">
        <f t="shared" si="863"/>
        <v>0</v>
      </c>
      <c r="AG5512" s="14">
        <v>0</v>
      </c>
      <c r="AH5512" s="64">
        <f t="shared" si="868"/>
        <v>0</v>
      </c>
      <c r="AI5512" s="47"/>
      <c r="AJ5512" s="126" t="e">
        <v>#N/A</v>
      </c>
      <c r="AK5512" s="80">
        <f t="shared" si="871"/>
        <v>0</v>
      </c>
      <c r="AL5512" s="85"/>
      <c r="AM5512" s="85"/>
    </row>
    <row r="5513" spans="1:39" s="86" customFormat="1" ht="13.25" hidden="1" customHeight="1" x14ac:dyDescent="0.3">
      <c r="A5513" s="89" t="s">
        <v>3794</v>
      </c>
      <c r="B5513" s="86" t="s">
        <v>35</v>
      </c>
      <c r="C5513" s="86" t="s">
        <v>184</v>
      </c>
      <c r="D5513" s="86" t="s">
        <v>3849</v>
      </c>
      <c r="E5513" s="86" t="s">
        <v>533</v>
      </c>
      <c r="F5513" s="86" t="s">
        <v>533</v>
      </c>
      <c r="G5513" s="86" t="s">
        <v>533</v>
      </c>
      <c r="H5513" s="144">
        <v>62</v>
      </c>
      <c r="I5513" s="86" t="s">
        <v>408</v>
      </c>
      <c r="J5513" s="1" t="s">
        <v>3324</v>
      </c>
      <c r="K5513" s="1" t="s">
        <v>3278</v>
      </c>
      <c r="L5513" s="1" t="s">
        <v>35</v>
      </c>
      <c r="M5513" s="86" t="s">
        <v>534</v>
      </c>
      <c r="O5513" s="47" t="s">
        <v>410</v>
      </c>
      <c r="P5513" s="47" t="s">
        <v>46</v>
      </c>
      <c r="Q5513" s="14">
        <v>0.02</v>
      </c>
      <c r="R5513" s="143">
        <v>1000099349</v>
      </c>
      <c r="S5513" s="47"/>
      <c r="T5513" s="6">
        <v>27114.780000000002</v>
      </c>
      <c r="U5513" s="6">
        <v>50000</v>
      </c>
      <c r="V5513" s="6">
        <v>42998.35</v>
      </c>
      <c r="W5513" s="6">
        <f t="shared" si="865"/>
        <v>34116.43</v>
      </c>
      <c r="X5513" s="6">
        <f t="shared" si="864"/>
        <v>42155.245098039217</v>
      </c>
      <c r="Y5513" s="13">
        <f t="shared" si="869"/>
        <v>0</v>
      </c>
      <c r="Z5513" s="66">
        <v>0</v>
      </c>
      <c r="AA5513" s="6">
        <v>0</v>
      </c>
      <c r="AB5513" s="4">
        <f t="shared" si="870"/>
        <v>42155.245098039217</v>
      </c>
      <c r="AC5513" s="6">
        <f t="shared" si="866"/>
        <v>843.10490196078172</v>
      </c>
      <c r="AD5513" s="6">
        <f t="shared" si="867"/>
        <v>42998.35</v>
      </c>
      <c r="AE5513" s="14">
        <f>VLOOKUP(I5513,[2]媒体政策预估表!A:N,MATCH(O5513,[2]媒体政策预估表!$A$2:$M$2,0),0)</f>
        <v>7.0000000000000007E-2</v>
      </c>
      <c r="AF5513" s="6">
        <f t="shared" si="863"/>
        <v>3009.8845000000001</v>
      </c>
      <c r="AG5513" s="14">
        <v>0</v>
      </c>
      <c r="AH5513" s="64">
        <f t="shared" si="868"/>
        <v>42998.35</v>
      </c>
      <c r="AI5513" s="47"/>
      <c r="AJ5513" s="126" t="e">
        <v>#N/A</v>
      </c>
      <c r="AK5513" s="80">
        <f t="shared" si="871"/>
        <v>0</v>
      </c>
      <c r="AL5513" s="85"/>
      <c r="AM5513" s="85"/>
    </row>
    <row r="5514" spans="1:39" s="86" customFormat="1" ht="13.25" hidden="1" customHeight="1" x14ac:dyDescent="0.3">
      <c r="A5514" s="89" t="s">
        <v>3792</v>
      </c>
      <c r="B5514" s="86" t="s">
        <v>35</v>
      </c>
      <c r="C5514" s="86" t="s">
        <v>184</v>
      </c>
      <c r="D5514" s="86" t="s">
        <v>3849</v>
      </c>
      <c r="E5514" s="86" t="s">
        <v>3850</v>
      </c>
      <c r="F5514" s="86" t="s">
        <v>3850</v>
      </c>
      <c r="G5514" s="86" t="s">
        <v>3850</v>
      </c>
      <c r="H5514" s="144">
        <v>62</v>
      </c>
      <c r="I5514" s="86" t="s">
        <v>408</v>
      </c>
      <c r="J5514" s="1" t="s">
        <v>3324</v>
      </c>
      <c r="K5514" s="1" t="s">
        <v>3278</v>
      </c>
      <c r="L5514" s="1" t="s">
        <v>35</v>
      </c>
      <c r="M5514" s="86" t="s">
        <v>3851</v>
      </c>
      <c r="O5514" s="47" t="s">
        <v>410</v>
      </c>
      <c r="P5514" s="47" t="s">
        <v>46</v>
      </c>
      <c r="Q5514" s="14">
        <v>0.03</v>
      </c>
      <c r="R5514" s="143">
        <v>1000105158</v>
      </c>
      <c r="S5514" s="47"/>
      <c r="T5514" s="6">
        <v>0</v>
      </c>
      <c r="U5514" s="6">
        <v>20600</v>
      </c>
      <c r="V5514" s="6">
        <v>4503.5</v>
      </c>
      <c r="W5514" s="6">
        <f t="shared" si="865"/>
        <v>16096.5</v>
      </c>
      <c r="X5514" s="6">
        <f t="shared" si="864"/>
        <v>4372.3300970873788</v>
      </c>
      <c r="Y5514" s="13">
        <f t="shared" si="869"/>
        <v>0</v>
      </c>
      <c r="Z5514" s="66">
        <v>0</v>
      </c>
      <c r="AA5514" s="6">
        <v>0</v>
      </c>
      <c r="AB5514" s="4">
        <f t="shared" si="870"/>
        <v>4372.3300970873788</v>
      </c>
      <c r="AC5514" s="6">
        <f t="shared" si="866"/>
        <v>131.16990291262118</v>
      </c>
      <c r="AD5514" s="6">
        <f t="shared" si="867"/>
        <v>4503.5</v>
      </c>
      <c r="AE5514" s="14">
        <f>VLOOKUP(I5514,[2]媒体政策预估表!A:N,MATCH(O5514,[2]媒体政策预估表!$A$2:$M$2,0),0)</f>
        <v>7.0000000000000007E-2</v>
      </c>
      <c r="AF5514" s="6">
        <f t="shared" si="863"/>
        <v>315.245</v>
      </c>
      <c r="AG5514" s="14">
        <v>0</v>
      </c>
      <c r="AH5514" s="64">
        <f t="shared" si="868"/>
        <v>4503.5</v>
      </c>
      <c r="AI5514" s="47"/>
      <c r="AJ5514" s="126" t="e">
        <v>#N/A</v>
      </c>
      <c r="AK5514" s="80">
        <f t="shared" si="871"/>
        <v>0</v>
      </c>
      <c r="AL5514" s="85"/>
      <c r="AM5514" s="85"/>
    </row>
    <row r="5515" spans="1:39" s="86" customFormat="1" ht="13.25" hidden="1" customHeight="1" x14ac:dyDescent="0.3">
      <c r="A5515" s="89" t="s">
        <v>3852</v>
      </c>
      <c r="B5515" s="86" t="s">
        <v>35</v>
      </c>
      <c r="C5515" s="86" t="s">
        <v>184</v>
      </c>
      <c r="D5515" s="86" t="s">
        <v>3849</v>
      </c>
      <c r="E5515" s="86" t="s">
        <v>3853</v>
      </c>
      <c r="F5515" s="86" t="s">
        <v>3853</v>
      </c>
      <c r="G5515" s="86" t="s">
        <v>3853</v>
      </c>
      <c r="H5515" s="143">
        <v>62</v>
      </c>
      <c r="I5515" s="86" t="s">
        <v>408</v>
      </c>
      <c r="J5515" s="1" t="s">
        <v>3324</v>
      </c>
      <c r="K5515" s="1" t="s">
        <v>3278</v>
      </c>
      <c r="L5515" s="1" t="s">
        <v>35</v>
      </c>
      <c r="M5515" s="86" t="s">
        <v>3854</v>
      </c>
      <c r="O5515" s="47" t="s">
        <v>410</v>
      </c>
      <c r="P5515" s="47" t="s">
        <v>46</v>
      </c>
      <c r="Q5515" s="14">
        <v>0.03</v>
      </c>
      <c r="R5515" s="143">
        <v>1000105034</v>
      </c>
      <c r="S5515" s="47"/>
      <c r="T5515" s="6">
        <v>0</v>
      </c>
      <c r="U5515" s="6">
        <v>5000</v>
      </c>
      <c r="V5515" s="6">
        <v>0</v>
      </c>
      <c r="W5515" s="6">
        <f t="shared" si="865"/>
        <v>5000</v>
      </c>
      <c r="X5515" s="6">
        <f t="shared" si="864"/>
        <v>0</v>
      </c>
      <c r="Y5515" s="13">
        <f t="shared" si="869"/>
        <v>0</v>
      </c>
      <c r="Z5515" s="66">
        <v>0</v>
      </c>
      <c r="AA5515" s="6">
        <v>0</v>
      </c>
      <c r="AB5515" s="4">
        <f t="shared" si="870"/>
        <v>0</v>
      </c>
      <c r="AC5515" s="6">
        <f t="shared" si="866"/>
        <v>0</v>
      </c>
      <c r="AD5515" s="6">
        <f t="shared" si="867"/>
        <v>0</v>
      </c>
      <c r="AE5515" s="14">
        <f>VLOOKUP(I5515,[2]媒体政策预估表!A:N,MATCH(O5515,[2]媒体政策预估表!$A$2:$M$2,0),0)</f>
        <v>7.0000000000000007E-2</v>
      </c>
      <c r="AF5515" s="6">
        <f t="shared" si="863"/>
        <v>0</v>
      </c>
      <c r="AG5515" s="14">
        <v>0</v>
      </c>
      <c r="AH5515" s="64">
        <f t="shared" si="868"/>
        <v>0</v>
      </c>
      <c r="AI5515" s="47"/>
      <c r="AJ5515" s="126" t="e">
        <v>#N/A</v>
      </c>
      <c r="AK5515" s="80">
        <f t="shared" si="871"/>
        <v>0</v>
      </c>
      <c r="AL5515" s="85"/>
      <c r="AM5515" s="85"/>
    </row>
    <row r="5516" spans="1:39" s="86" customFormat="1" ht="13.25" hidden="1" customHeight="1" x14ac:dyDescent="0.3">
      <c r="A5516" s="89" t="s">
        <v>3794</v>
      </c>
      <c r="B5516" s="86" t="s">
        <v>35</v>
      </c>
      <c r="C5516" s="86" t="s">
        <v>184</v>
      </c>
      <c r="D5516" s="86" t="s">
        <v>3849</v>
      </c>
      <c r="E5516" s="86" t="s">
        <v>550</v>
      </c>
      <c r="F5516" s="86" t="s">
        <v>551</v>
      </c>
      <c r="G5516" s="86" t="s">
        <v>550</v>
      </c>
      <c r="H5516" s="143">
        <v>62</v>
      </c>
      <c r="I5516" s="86" t="s">
        <v>408</v>
      </c>
      <c r="J5516" s="1" t="s">
        <v>3324</v>
      </c>
      <c r="K5516" s="1" t="s">
        <v>3278</v>
      </c>
      <c r="L5516" s="1" t="s">
        <v>35</v>
      </c>
      <c r="M5516" s="86" t="s">
        <v>552</v>
      </c>
      <c r="O5516" s="47" t="s">
        <v>45</v>
      </c>
      <c r="P5516" s="47" t="s">
        <v>46</v>
      </c>
      <c r="Q5516" s="14">
        <v>0.02</v>
      </c>
      <c r="R5516" s="143">
        <v>1000100619</v>
      </c>
      <c r="S5516" s="47"/>
      <c r="T5516" s="6">
        <v>450000</v>
      </c>
      <c r="U5516" s="6">
        <v>200000</v>
      </c>
      <c r="V5516" s="6">
        <v>0</v>
      </c>
      <c r="W5516" s="6">
        <f t="shared" si="865"/>
        <v>650000</v>
      </c>
      <c r="X5516" s="6">
        <f t="shared" si="864"/>
        <v>0</v>
      </c>
      <c r="Y5516" s="13">
        <f t="shared" si="869"/>
        <v>0</v>
      </c>
      <c r="Z5516" s="66">
        <v>0</v>
      </c>
      <c r="AA5516" s="6">
        <v>0</v>
      </c>
      <c r="AB5516" s="4">
        <f t="shared" si="870"/>
        <v>0</v>
      </c>
      <c r="AC5516" s="6">
        <f t="shared" si="866"/>
        <v>0</v>
      </c>
      <c r="AD5516" s="6">
        <f t="shared" si="867"/>
        <v>0</v>
      </c>
      <c r="AE5516" s="14">
        <f>VLOOKUP(I5516,[2]媒体政策预估表!A:N,MATCH(O5516,[2]媒体政策预估表!$A$2:$M$2,0),0)</f>
        <v>0.11</v>
      </c>
      <c r="AF5516" s="6">
        <f t="shared" si="863"/>
        <v>0</v>
      </c>
      <c r="AG5516" s="14">
        <v>0</v>
      </c>
      <c r="AH5516" s="64">
        <f t="shared" si="868"/>
        <v>0</v>
      </c>
      <c r="AI5516" s="47"/>
      <c r="AJ5516" s="126" t="e">
        <v>#N/A</v>
      </c>
      <c r="AK5516" s="80">
        <f t="shared" si="871"/>
        <v>0</v>
      </c>
      <c r="AL5516" s="85"/>
      <c r="AM5516" s="85"/>
    </row>
    <row r="5517" spans="1:39" s="86" customFormat="1" ht="13.25" hidden="1" customHeight="1" x14ac:dyDescent="0.3">
      <c r="A5517" s="89" t="s">
        <v>3792</v>
      </c>
      <c r="B5517" s="86" t="s">
        <v>35</v>
      </c>
      <c r="C5517" s="86" t="s">
        <v>184</v>
      </c>
      <c r="D5517" s="86" t="s">
        <v>3849</v>
      </c>
      <c r="E5517" s="86" t="s">
        <v>550</v>
      </c>
      <c r="F5517" s="86" t="s">
        <v>551</v>
      </c>
      <c r="G5517" s="86" t="s">
        <v>550</v>
      </c>
      <c r="H5517" s="144">
        <v>62</v>
      </c>
      <c r="I5517" s="86" t="s">
        <v>408</v>
      </c>
      <c r="J5517" s="1" t="s">
        <v>3324</v>
      </c>
      <c r="K5517" s="1" t="s">
        <v>3278</v>
      </c>
      <c r="L5517" s="1" t="s">
        <v>35</v>
      </c>
      <c r="M5517" s="86" t="s">
        <v>553</v>
      </c>
      <c r="O5517" s="47" t="s">
        <v>410</v>
      </c>
      <c r="P5517" s="47" t="s">
        <v>41</v>
      </c>
      <c r="Q5517" s="14">
        <v>0</v>
      </c>
      <c r="R5517" s="143">
        <v>1000068748</v>
      </c>
      <c r="S5517" s="47"/>
      <c r="T5517" s="6">
        <v>280355.32999999984</v>
      </c>
      <c r="U5517" s="6">
        <v>600000</v>
      </c>
      <c r="V5517" s="6">
        <v>661577.7300000001</v>
      </c>
      <c r="W5517" s="6">
        <f t="shared" si="865"/>
        <v>218777.59999999974</v>
      </c>
      <c r="X5517" s="6">
        <f t="shared" si="864"/>
        <v>661577.7300000001</v>
      </c>
      <c r="Y5517" s="13">
        <f t="shared" si="869"/>
        <v>0</v>
      </c>
      <c r="Z5517" s="66">
        <v>0</v>
      </c>
      <c r="AA5517" s="6">
        <v>0</v>
      </c>
      <c r="AB5517" s="4">
        <f t="shared" si="870"/>
        <v>661577.7300000001</v>
      </c>
      <c r="AC5517" s="6">
        <f t="shared" si="866"/>
        <v>0</v>
      </c>
      <c r="AD5517" s="6">
        <f t="shared" si="867"/>
        <v>661577.7300000001</v>
      </c>
      <c r="AE5517" s="14">
        <f>VLOOKUP(I5517,[2]媒体政策预估表!A:N,MATCH(O5517,[2]媒体政策预估表!$A$2:$M$2,0),0)</f>
        <v>7.0000000000000007E-2</v>
      </c>
      <c r="AF5517" s="6">
        <f t="shared" si="863"/>
        <v>46310.441100000011</v>
      </c>
      <c r="AG5517" s="14">
        <v>0</v>
      </c>
      <c r="AH5517" s="64">
        <f t="shared" si="868"/>
        <v>661577.7300000001</v>
      </c>
      <c r="AI5517" s="47"/>
      <c r="AJ5517" s="126" t="e">
        <v>#N/A</v>
      </c>
      <c r="AK5517" s="80">
        <f t="shared" si="871"/>
        <v>0</v>
      </c>
      <c r="AL5517" s="85"/>
      <c r="AM5517" s="85"/>
    </row>
    <row r="5518" spans="1:39" s="86" customFormat="1" ht="13.25" hidden="1" customHeight="1" x14ac:dyDescent="0.3">
      <c r="A5518" s="89" t="s">
        <v>3792</v>
      </c>
      <c r="B5518" s="86" t="s">
        <v>35</v>
      </c>
      <c r="C5518" s="86" t="s">
        <v>184</v>
      </c>
      <c r="D5518" s="86" t="s">
        <v>3849</v>
      </c>
      <c r="E5518" s="86" t="s">
        <v>554</v>
      </c>
      <c r="F5518" s="86" t="s">
        <v>554</v>
      </c>
      <c r="G5518" s="86" t="s">
        <v>554</v>
      </c>
      <c r="H5518" s="144">
        <v>62</v>
      </c>
      <c r="I5518" s="86" t="s">
        <v>408</v>
      </c>
      <c r="J5518" s="1" t="s">
        <v>3324</v>
      </c>
      <c r="K5518" s="1" t="s">
        <v>3278</v>
      </c>
      <c r="L5518" s="1" t="s">
        <v>35</v>
      </c>
      <c r="M5518" s="86" t="s">
        <v>555</v>
      </c>
      <c r="O5518" s="47" t="s">
        <v>410</v>
      </c>
      <c r="P5518" s="47" t="s">
        <v>41</v>
      </c>
      <c r="Q5518" s="14">
        <v>0</v>
      </c>
      <c r="R5518" s="143">
        <v>1000099386</v>
      </c>
      <c r="S5518" s="47"/>
      <c r="T5518" s="6">
        <v>3479.0400000000009</v>
      </c>
      <c r="U5518" s="6">
        <v>20000</v>
      </c>
      <c r="V5518" s="6">
        <v>18441.810000000001</v>
      </c>
      <c r="W5518" s="6">
        <f t="shared" si="865"/>
        <v>5037.2299999999996</v>
      </c>
      <c r="X5518" s="6">
        <f t="shared" si="864"/>
        <v>18441.810000000001</v>
      </c>
      <c r="Y5518" s="13">
        <f t="shared" si="869"/>
        <v>0</v>
      </c>
      <c r="Z5518" s="66">
        <v>0</v>
      </c>
      <c r="AA5518" s="6">
        <v>0</v>
      </c>
      <c r="AB5518" s="4">
        <f t="shared" si="870"/>
        <v>18441.810000000001</v>
      </c>
      <c r="AC5518" s="6">
        <f t="shared" si="866"/>
        <v>0</v>
      </c>
      <c r="AD5518" s="6">
        <f t="shared" si="867"/>
        <v>18441.810000000001</v>
      </c>
      <c r="AE5518" s="14">
        <f>VLOOKUP(I5518,[2]媒体政策预估表!A:N,MATCH(O5518,[2]媒体政策预估表!$A$2:$M$2,0),0)</f>
        <v>7.0000000000000007E-2</v>
      </c>
      <c r="AF5518" s="6">
        <f t="shared" si="863"/>
        <v>1290.9267000000002</v>
      </c>
      <c r="AG5518" s="14">
        <v>0</v>
      </c>
      <c r="AH5518" s="64">
        <f t="shared" si="868"/>
        <v>18441.810000000001</v>
      </c>
      <c r="AI5518" s="47"/>
      <c r="AJ5518" s="126" t="e">
        <v>#N/A</v>
      </c>
      <c r="AK5518" s="80">
        <f t="shared" si="871"/>
        <v>0</v>
      </c>
      <c r="AL5518" s="85"/>
      <c r="AM5518" s="85"/>
    </row>
    <row r="5519" spans="1:39" s="86" customFormat="1" ht="13.25" hidden="1" customHeight="1" x14ac:dyDescent="0.3">
      <c r="A5519" s="89" t="s">
        <v>3792</v>
      </c>
      <c r="B5519" s="86" t="s">
        <v>35</v>
      </c>
      <c r="C5519" s="86" t="s">
        <v>184</v>
      </c>
      <c r="D5519" s="86" t="s">
        <v>3849</v>
      </c>
      <c r="E5519" s="86" t="s">
        <v>556</v>
      </c>
      <c r="F5519" s="86" t="s">
        <v>556</v>
      </c>
      <c r="G5519" s="86" t="s">
        <v>556</v>
      </c>
      <c r="H5519" s="143">
        <v>62</v>
      </c>
      <c r="I5519" s="86" t="s">
        <v>408</v>
      </c>
      <c r="J5519" s="1" t="s">
        <v>3324</v>
      </c>
      <c r="K5519" s="1" t="s">
        <v>3278</v>
      </c>
      <c r="L5519" s="1" t="s">
        <v>35</v>
      </c>
      <c r="M5519" s="86" t="s">
        <v>557</v>
      </c>
      <c r="O5519" s="47" t="s">
        <v>45</v>
      </c>
      <c r="P5519" s="47" t="s">
        <v>46</v>
      </c>
      <c r="Q5519" s="14">
        <v>0.04</v>
      </c>
      <c r="R5519" s="143">
        <v>1000100700</v>
      </c>
      <c r="S5519" s="47"/>
      <c r="T5519" s="6">
        <v>2776.5000000000009</v>
      </c>
      <c r="U5519" s="6">
        <v>-2776.5</v>
      </c>
      <c r="V5519" s="6">
        <v>0</v>
      </c>
      <c r="W5519" s="6">
        <f t="shared" si="865"/>
        <v>9.0949470177292824E-13</v>
      </c>
      <c r="X5519" s="6">
        <f t="shared" si="864"/>
        <v>0</v>
      </c>
      <c r="Y5519" s="13">
        <f t="shared" si="869"/>
        <v>0</v>
      </c>
      <c r="Z5519" s="66">
        <v>0</v>
      </c>
      <c r="AA5519" s="6">
        <v>0</v>
      </c>
      <c r="AB5519" s="4">
        <f t="shared" si="870"/>
        <v>0</v>
      </c>
      <c r="AC5519" s="6">
        <f t="shared" si="866"/>
        <v>0</v>
      </c>
      <c r="AD5519" s="6">
        <f t="shared" si="867"/>
        <v>0</v>
      </c>
      <c r="AE5519" s="14">
        <f>VLOOKUP(I5519,[2]媒体政策预估表!A:N,MATCH(O5519,[2]媒体政策预估表!$A$2:$M$2,0),0)</f>
        <v>0.11</v>
      </c>
      <c r="AF5519" s="6">
        <f t="shared" si="863"/>
        <v>0</v>
      </c>
      <c r="AG5519" s="14">
        <v>0</v>
      </c>
      <c r="AH5519" s="64">
        <f t="shared" si="868"/>
        <v>0</v>
      </c>
      <c r="AI5519" s="47"/>
      <c r="AJ5519" s="126" t="e">
        <v>#N/A</v>
      </c>
      <c r="AK5519" s="80">
        <f t="shared" si="871"/>
        <v>0</v>
      </c>
      <c r="AL5519" s="85"/>
      <c r="AM5519" s="85"/>
    </row>
    <row r="5520" spans="1:39" s="86" customFormat="1" ht="13.25" hidden="1" customHeight="1" x14ac:dyDescent="0.3">
      <c r="A5520" s="89" t="s">
        <v>3806</v>
      </c>
      <c r="B5520" s="86" t="s">
        <v>35</v>
      </c>
      <c r="C5520" s="86" t="s">
        <v>184</v>
      </c>
      <c r="D5520" s="86" t="s">
        <v>3849</v>
      </c>
      <c r="E5520" s="86" t="s">
        <v>538</v>
      </c>
      <c r="F5520" s="86" t="s">
        <v>538</v>
      </c>
      <c r="G5520" s="86" t="s">
        <v>538</v>
      </c>
      <c r="H5520" s="144">
        <v>62</v>
      </c>
      <c r="I5520" s="86" t="s">
        <v>408</v>
      </c>
      <c r="J5520" s="1" t="s">
        <v>3324</v>
      </c>
      <c r="K5520" s="1" t="s">
        <v>3278</v>
      </c>
      <c r="L5520" s="1" t="s">
        <v>35</v>
      </c>
      <c r="M5520" s="86" t="s">
        <v>3855</v>
      </c>
      <c r="O5520" s="47" t="s">
        <v>410</v>
      </c>
      <c r="P5520" s="47" t="s">
        <v>41</v>
      </c>
      <c r="Q5520" s="14">
        <v>0</v>
      </c>
      <c r="R5520" s="143">
        <v>1000002997</v>
      </c>
      <c r="S5520" s="47"/>
      <c r="T5520" s="6">
        <v>0</v>
      </c>
      <c r="U5520" s="6">
        <v>150000</v>
      </c>
      <c r="V5520" s="6">
        <v>115730.85</v>
      </c>
      <c r="W5520" s="6">
        <f t="shared" si="865"/>
        <v>34269.149999999994</v>
      </c>
      <c r="X5520" s="6">
        <f t="shared" si="864"/>
        <v>115730.85</v>
      </c>
      <c r="Y5520" s="13">
        <f t="shared" si="869"/>
        <v>0</v>
      </c>
      <c r="Z5520" s="66">
        <v>0</v>
      </c>
      <c r="AA5520" s="6">
        <v>0</v>
      </c>
      <c r="AB5520" s="4">
        <f t="shared" si="870"/>
        <v>115730.85</v>
      </c>
      <c r="AC5520" s="6">
        <f t="shared" si="866"/>
        <v>0</v>
      </c>
      <c r="AD5520" s="6">
        <f t="shared" si="867"/>
        <v>115730.85</v>
      </c>
      <c r="AE5520" s="14">
        <f>VLOOKUP(I5520,[2]媒体政策预估表!A:N,MATCH(O5520,[2]媒体政策预估表!$A$2:$M$2,0),0)</f>
        <v>7.0000000000000007E-2</v>
      </c>
      <c r="AF5520" s="6">
        <f t="shared" si="863"/>
        <v>8101.1595000000016</v>
      </c>
      <c r="AG5520" s="14">
        <v>0</v>
      </c>
      <c r="AH5520" s="64">
        <f t="shared" si="868"/>
        <v>115730.85</v>
      </c>
      <c r="AI5520" s="47"/>
      <c r="AJ5520" s="126" t="e">
        <v>#N/A</v>
      </c>
      <c r="AK5520" s="80">
        <f t="shared" si="871"/>
        <v>0</v>
      </c>
      <c r="AL5520" s="85"/>
      <c r="AM5520" s="85"/>
    </row>
    <row r="5521" spans="1:39" s="86" customFormat="1" ht="13.25" hidden="1" customHeight="1" x14ac:dyDescent="0.3">
      <c r="A5521" s="89" t="s">
        <v>3792</v>
      </c>
      <c r="B5521" s="86" t="s">
        <v>35</v>
      </c>
      <c r="C5521" s="86" t="s">
        <v>59</v>
      </c>
      <c r="D5521" s="86" t="s">
        <v>60</v>
      </c>
      <c r="E5521" s="86" t="s">
        <v>74</v>
      </c>
      <c r="F5521" s="86" t="s">
        <v>74</v>
      </c>
      <c r="G5521" s="86" t="s">
        <v>74</v>
      </c>
      <c r="H5521" s="144">
        <v>62</v>
      </c>
      <c r="I5521" s="86" t="s">
        <v>408</v>
      </c>
      <c r="J5521" s="1" t="s">
        <v>3324</v>
      </c>
      <c r="K5521" s="1" t="s">
        <v>3278</v>
      </c>
      <c r="L5521" s="1" t="s">
        <v>35</v>
      </c>
      <c r="M5521" s="86" t="s">
        <v>409</v>
      </c>
      <c r="O5521" s="47" t="s">
        <v>410</v>
      </c>
      <c r="P5521" s="14" t="s">
        <v>75</v>
      </c>
      <c r="Q5521" s="14">
        <v>0.06</v>
      </c>
      <c r="R5521" s="143">
        <v>1000083622</v>
      </c>
      <c r="S5521" s="47"/>
      <c r="T5521" s="6">
        <v>59550.84</v>
      </c>
      <c r="U5521" s="6"/>
      <c r="V5521" s="6">
        <v>18159.060000000001</v>
      </c>
      <c r="W5521" s="6">
        <f t="shared" si="865"/>
        <v>41391.78</v>
      </c>
      <c r="X5521" s="6">
        <f t="shared" si="864"/>
        <v>18159.060000000001</v>
      </c>
      <c r="Y5521" s="13">
        <f t="shared" si="869"/>
        <v>0</v>
      </c>
      <c r="Z5521" s="14">
        <v>0</v>
      </c>
      <c r="AA5521" s="6">
        <v>0</v>
      </c>
      <c r="AB5521" s="4">
        <f t="shared" si="870"/>
        <v>18159.060000000001</v>
      </c>
      <c r="AC5521" s="6">
        <f t="shared" si="866"/>
        <v>1089.5436</v>
      </c>
      <c r="AD5521" s="6">
        <f t="shared" si="867"/>
        <v>18159.060000000001</v>
      </c>
      <c r="AE5521" s="14">
        <f>VLOOKUP(I5521,[2]媒体政策预估表!A:N,MATCH(O5521,[2]媒体政策预估表!$A$2:$M$2,0),0)</f>
        <v>7.0000000000000007E-2</v>
      </c>
      <c r="AF5521" s="6">
        <f t="shared" si="863"/>
        <v>1271.1342000000002</v>
      </c>
      <c r="AG5521" s="14">
        <v>0</v>
      </c>
      <c r="AH5521" s="64">
        <f t="shared" si="868"/>
        <v>18159.060000000001</v>
      </c>
      <c r="AI5521" s="47"/>
      <c r="AJ5521" s="126" t="e">
        <v>#N/A</v>
      </c>
      <c r="AK5521" s="80">
        <f t="shared" si="871"/>
        <v>0</v>
      </c>
      <c r="AL5521" s="85"/>
      <c r="AM5521" s="85"/>
    </row>
    <row r="5522" spans="1:39" s="86" customFormat="1" ht="13.25" hidden="1" customHeight="1" x14ac:dyDescent="0.3">
      <c r="A5522" s="89" t="s">
        <v>3792</v>
      </c>
      <c r="B5522" s="86" t="s">
        <v>35</v>
      </c>
      <c r="C5522" s="86" t="s">
        <v>59</v>
      </c>
      <c r="D5522" s="86" t="s">
        <v>60</v>
      </c>
      <c r="E5522" s="86" t="s">
        <v>425</v>
      </c>
      <c r="F5522" s="86" t="s">
        <v>425</v>
      </c>
      <c r="G5522" s="86" t="s">
        <v>425</v>
      </c>
      <c r="H5522" s="143">
        <v>62</v>
      </c>
      <c r="I5522" s="86" t="s">
        <v>408</v>
      </c>
      <c r="J5522" s="1" t="s">
        <v>3324</v>
      </c>
      <c r="K5522" s="1" t="s">
        <v>3278</v>
      </c>
      <c r="L5522" s="1" t="s">
        <v>35</v>
      </c>
      <c r="M5522" s="86" t="s">
        <v>426</v>
      </c>
      <c r="O5522" s="47" t="s">
        <v>410</v>
      </c>
      <c r="P5522" s="14" t="s">
        <v>46</v>
      </c>
      <c r="Q5522" s="14">
        <v>0.02</v>
      </c>
      <c r="R5522" s="143">
        <v>1000069099</v>
      </c>
      <c r="S5522" s="47"/>
      <c r="T5522" s="6">
        <v>59923.180000000008</v>
      </c>
      <c r="U5522" s="6"/>
      <c r="V5522" s="6">
        <v>0</v>
      </c>
      <c r="W5522" s="6">
        <f t="shared" si="865"/>
        <v>59923.180000000008</v>
      </c>
      <c r="X5522" s="6">
        <f t="shared" si="864"/>
        <v>0</v>
      </c>
      <c r="Y5522" s="13">
        <f t="shared" si="869"/>
        <v>0</v>
      </c>
      <c r="Z5522" s="14">
        <v>0</v>
      </c>
      <c r="AA5522" s="6">
        <v>0</v>
      </c>
      <c r="AB5522" s="4">
        <f t="shared" si="870"/>
        <v>0</v>
      </c>
      <c r="AC5522" s="6">
        <f t="shared" si="866"/>
        <v>0</v>
      </c>
      <c r="AD5522" s="6">
        <f t="shared" si="867"/>
        <v>0</v>
      </c>
      <c r="AE5522" s="14">
        <f>VLOOKUP(I5522,[2]媒体政策预估表!A:N,MATCH(O5522,[2]媒体政策预估表!$A$2:$M$2,0),0)</f>
        <v>7.0000000000000007E-2</v>
      </c>
      <c r="AF5522" s="6">
        <f t="shared" si="863"/>
        <v>0</v>
      </c>
      <c r="AG5522" s="14">
        <v>0</v>
      </c>
      <c r="AH5522" s="64">
        <f t="shared" si="868"/>
        <v>0</v>
      </c>
      <c r="AI5522" s="47"/>
      <c r="AJ5522" s="126" t="e">
        <v>#N/A</v>
      </c>
      <c r="AK5522" s="80">
        <f t="shared" si="871"/>
        <v>0</v>
      </c>
      <c r="AL5522" s="85"/>
      <c r="AM5522" s="85"/>
    </row>
    <row r="5523" spans="1:39" s="86" customFormat="1" ht="13.25" hidden="1" customHeight="1" x14ac:dyDescent="0.3">
      <c r="A5523" s="89" t="s">
        <v>3792</v>
      </c>
      <c r="B5523" s="86" t="s">
        <v>35</v>
      </c>
      <c r="C5523" s="86" t="s">
        <v>59</v>
      </c>
      <c r="D5523" s="86" t="s">
        <v>60</v>
      </c>
      <c r="E5523" s="86" t="s">
        <v>425</v>
      </c>
      <c r="F5523" s="86" t="s">
        <v>425</v>
      </c>
      <c r="G5523" s="86" t="s">
        <v>425</v>
      </c>
      <c r="H5523" s="143">
        <v>62</v>
      </c>
      <c r="I5523" s="86" t="s">
        <v>408</v>
      </c>
      <c r="J5523" s="1" t="s">
        <v>3324</v>
      </c>
      <c r="K5523" s="1" t="s">
        <v>3278</v>
      </c>
      <c r="L5523" s="1" t="s">
        <v>35</v>
      </c>
      <c r="M5523" s="86" t="s">
        <v>427</v>
      </c>
      <c r="O5523" s="47" t="s">
        <v>45</v>
      </c>
      <c r="P5523" s="14" t="s">
        <v>46</v>
      </c>
      <c r="Q5523" s="14">
        <v>0.04</v>
      </c>
      <c r="R5523" s="143">
        <v>1000069101</v>
      </c>
      <c r="S5523" s="47"/>
      <c r="T5523" s="6">
        <v>45809.75</v>
      </c>
      <c r="U5523" s="6"/>
      <c r="V5523" s="6">
        <v>0</v>
      </c>
      <c r="W5523" s="6">
        <f t="shared" si="865"/>
        <v>45809.75</v>
      </c>
      <c r="X5523" s="6">
        <f t="shared" si="864"/>
        <v>0</v>
      </c>
      <c r="Y5523" s="13">
        <f t="shared" si="869"/>
        <v>0</v>
      </c>
      <c r="Z5523" s="14">
        <v>0</v>
      </c>
      <c r="AA5523" s="6">
        <v>0</v>
      </c>
      <c r="AB5523" s="4">
        <f t="shared" si="870"/>
        <v>0</v>
      </c>
      <c r="AC5523" s="6">
        <f t="shared" si="866"/>
        <v>0</v>
      </c>
      <c r="AD5523" s="6">
        <f t="shared" si="867"/>
        <v>0</v>
      </c>
      <c r="AE5523" s="14">
        <f>VLOOKUP(I5523,[2]媒体政策预估表!A:N,MATCH(O5523,[2]媒体政策预估表!$A$2:$M$2,0),0)</f>
        <v>0.11</v>
      </c>
      <c r="AF5523" s="6">
        <f t="shared" si="863"/>
        <v>0</v>
      </c>
      <c r="AG5523" s="14">
        <v>0</v>
      </c>
      <c r="AH5523" s="64">
        <f t="shared" si="868"/>
        <v>0</v>
      </c>
      <c r="AI5523" s="47"/>
      <c r="AJ5523" s="126" t="e">
        <v>#N/A</v>
      </c>
      <c r="AK5523" s="80">
        <f t="shared" si="871"/>
        <v>0</v>
      </c>
      <c r="AL5523" s="85"/>
      <c r="AM5523" s="85"/>
    </row>
    <row r="5524" spans="1:39" s="86" customFormat="1" ht="13.25" hidden="1" customHeight="1" x14ac:dyDescent="0.3">
      <c r="A5524" s="89" t="s">
        <v>3805</v>
      </c>
      <c r="B5524" s="86" t="s">
        <v>35</v>
      </c>
      <c r="C5524" s="86" t="s">
        <v>184</v>
      </c>
      <c r="D5524" s="86" t="s">
        <v>224</v>
      </c>
      <c r="E5524" s="86" t="s">
        <v>3436</v>
      </c>
      <c r="F5524" s="86" t="s">
        <v>3436</v>
      </c>
      <c r="G5524" s="86" t="s">
        <v>3436</v>
      </c>
      <c r="H5524" s="144">
        <v>62</v>
      </c>
      <c r="I5524" s="86" t="s">
        <v>408</v>
      </c>
      <c r="J5524" s="1" t="s">
        <v>3324</v>
      </c>
      <c r="K5524" s="1" t="s">
        <v>3278</v>
      </c>
      <c r="L5524" s="1" t="s">
        <v>35</v>
      </c>
      <c r="M5524" s="86" t="s">
        <v>3437</v>
      </c>
      <c r="O5524" s="47" t="s">
        <v>410</v>
      </c>
      <c r="P5524" s="14" t="s">
        <v>41</v>
      </c>
      <c r="Q5524" s="14">
        <v>0</v>
      </c>
      <c r="R5524" s="143">
        <v>1000101476</v>
      </c>
      <c r="S5524" s="47"/>
      <c r="T5524" s="6">
        <v>4340.6499999999987</v>
      </c>
      <c r="U5524" s="6"/>
      <c r="V5524" s="6">
        <v>2323.4</v>
      </c>
      <c r="W5524" s="6">
        <f t="shared" si="865"/>
        <v>2017.2499999999986</v>
      </c>
      <c r="X5524" s="6">
        <f t="shared" si="864"/>
        <v>2323.4</v>
      </c>
      <c r="Y5524" s="13">
        <f t="shared" si="869"/>
        <v>0</v>
      </c>
      <c r="Z5524" s="14">
        <v>0</v>
      </c>
      <c r="AA5524" s="6">
        <v>0</v>
      </c>
      <c r="AB5524" s="4">
        <f t="shared" si="870"/>
        <v>2323.4</v>
      </c>
      <c r="AC5524" s="6">
        <f t="shared" si="866"/>
        <v>0</v>
      </c>
      <c r="AD5524" s="6">
        <f t="shared" si="867"/>
        <v>2323.4</v>
      </c>
      <c r="AE5524" s="14">
        <f>VLOOKUP(I5524,[2]媒体政策预估表!A:N,MATCH(O5524,[2]媒体政策预估表!$A$2:$M$2,0),0)</f>
        <v>7.0000000000000007E-2</v>
      </c>
      <c r="AF5524" s="6">
        <f t="shared" si="863"/>
        <v>162.63800000000003</v>
      </c>
      <c r="AG5524" s="14">
        <v>0</v>
      </c>
      <c r="AH5524" s="64">
        <f t="shared" si="868"/>
        <v>2323.4</v>
      </c>
      <c r="AI5524" s="47"/>
      <c r="AJ5524" s="126" t="e">
        <v>#N/A</v>
      </c>
      <c r="AK5524" s="80">
        <f t="shared" si="871"/>
        <v>0</v>
      </c>
      <c r="AL5524" s="85"/>
      <c r="AM5524" s="85"/>
    </row>
    <row r="5525" spans="1:39" s="86" customFormat="1" ht="13.25" hidden="1" customHeight="1" x14ac:dyDescent="0.3">
      <c r="A5525" s="89" t="s">
        <v>3792</v>
      </c>
      <c r="B5525" s="86" t="s">
        <v>35</v>
      </c>
      <c r="C5525" s="86" t="s">
        <v>184</v>
      </c>
      <c r="D5525" s="86" t="s">
        <v>224</v>
      </c>
      <c r="E5525" s="86" t="s">
        <v>428</v>
      </c>
      <c r="F5525" s="86" t="s">
        <v>428</v>
      </c>
      <c r="G5525" s="86" t="s">
        <v>428</v>
      </c>
      <c r="H5525" s="143">
        <v>62</v>
      </c>
      <c r="I5525" s="86" t="s">
        <v>408</v>
      </c>
      <c r="J5525" s="1" t="s">
        <v>3324</v>
      </c>
      <c r="K5525" s="1" t="s">
        <v>3278</v>
      </c>
      <c r="L5525" s="1" t="s">
        <v>35</v>
      </c>
      <c r="M5525" s="86" t="s">
        <v>429</v>
      </c>
      <c r="O5525" s="47" t="s">
        <v>410</v>
      </c>
      <c r="P5525" s="14" t="s">
        <v>41</v>
      </c>
      <c r="Q5525" s="14">
        <v>0</v>
      </c>
      <c r="R5525" s="143">
        <v>1000094551</v>
      </c>
      <c r="S5525" s="47"/>
      <c r="T5525" s="6">
        <v>22257.57</v>
      </c>
      <c r="U5525" s="6"/>
      <c r="V5525" s="6">
        <v>0</v>
      </c>
      <c r="W5525" s="6">
        <f t="shared" si="865"/>
        <v>22257.57</v>
      </c>
      <c r="X5525" s="6">
        <f t="shared" si="864"/>
        <v>0</v>
      </c>
      <c r="Y5525" s="13">
        <f t="shared" si="869"/>
        <v>0</v>
      </c>
      <c r="Z5525" s="14">
        <v>0</v>
      </c>
      <c r="AA5525" s="6">
        <v>0</v>
      </c>
      <c r="AB5525" s="4">
        <f t="shared" si="870"/>
        <v>0</v>
      </c>
      <c r="AC5525" s="6">
        <f t="shared" si="866"/>
        <v>0</v>
      </c>
      <c r="AD5525" s="6">
        <f t="shared" si="867"/>
        <v>0</v>
      </c>
      <c r="AE5525" s="14">
        <f>VLOOKUP(I5525,[2]媒体政策预估表!A:N,MATCH(O5525,[2]媒体政策预估表!$A$2:$M$2,0),0)</f>
        <v>7.0000000000000007E-2</v>
      </c>
      <c r="AF5525" s="6">
        <f t="shared" si="863"/>
        <v>0</v>
      </c>
      <c r="AG5525" s="14">
        <v>0</v>
      </c>
      <c r="AH5525" s="64">
        <f t="shared" si="868"/>
        <v>0</v>
      </c>
      <c r="AI5525" s="47"/>
      <c r="AJ5525" s="126" t="e">
        <v>#N/A</v>
      </c>
      <c r="AK5525" s="80">
        <f t="shared" si="871"/>
        <v>0</v>
      </c>
      <c r="AL5525" s="85"/>
      <c r="AM5525" s="85"/>
    </row>
    <row r="5526" spans="1:39" s="86" customFormat="1" ht="13.25" hidden="1" customHeight="1" x14ac:dyDescent="0.3">
      <c r="A5526" s="89" t="s">
        <v>3796</v>
      </c>
      <c r="B5526" s="86" t="s">
        <v>35</v>
      </c>
      <c r="C5526" s="86" t="s">
        <v>184</v>
      </c>
      <c r="D5526" s="86" t="s">
        <v>224</v>
      </c>
      <c r="E5526" s="86" t="s">
        <v>428</v>
      </c>
      <c r="F5526" s="86" t="s">
        <v>428</v>
      </c>
      <c r="G5526" s="86" t="s">
        <v>428</v>
      </c>
      <c r="H5526" s="143">
        <v>62</v>
      </c>
      <c r="I5526" s="86" t="s">
        <v>408</v>
      </c>
      <c r="J5526" s="1" t="s">
        <v>3324</v>
      </c>
      <c r="K5526" s="1" t="s">
        <v>3278</v>
      </c>
      <c r="L5526" s="1" t="s">
        <v>35</v>
      </c>
      <c r="M5526" s="86" t="s">
        <v>430</v>
      </c>
      <c r="O5526" s="47" t="s">
        <v>410</v>
      </c>
      <c r="P5526" s="14" t="s">
        <v>41</v>
      </c>
      <c r="Q5526" s="14">
        <v>0</v>
      </c>
      <c r="R5526" s="143">
        <v>1000094564</v>
      </c>
      <c r="S5526" s="47"/>
      <c r="T5526" s="6">
        <v>40366.769999999997</v>
      </c>
      <c r="U5526" s="6"/>
      <c r="V5526" s="6">
        <v>0</v>
      </c>
      <c r="W5526" s="6">
        <f t="shared" si="865"/>
        <v>40366.769999999997</v>
      </c>
      <c r="X5526" s="6">
        <f t="shared" si="864"/>
        <v>0</v>
      </c>
      <c r="Y5526" s="13">
        <f t="shared" si="869"/>
        <v>0</v>
      </c>
      <c r="Z5526" s="14">
        <v>0</v>
      </c>
      <c r="AA5526" s="6">
        <v>0</v>
      </c>
      <c r="AB5526" s="4">
        <f t="shared" si="870"/>
        <v>0</v>
      </c>
      <c r="AC5526" s="6">
        <f t="shared" si="866"/>
        <v>0</v>
      </c>
      <c r="AD5526" s="6">
        <f t="shared" si="867"/>
        <v>0</v>
      </c>
      <c r="AE5526" s="14">
        <f>VLOOKUP(I5526,[2]媒体政策预估表!A:N,MATCH(O5526,[2]媒体政策预估表!$A$2:$M$2,0),0)</f>
        <v>7.0000000000000007E-2</v>
      </c>
      <c r="AF5526" s="6">
        <f t="shared" si="863"/>
        <v>0</v>
      </c>
      <c r="AG5526" s="14">
        <v>0</v>
      </c>
      <c r="AH5526" s="64">
        <f t="shared" si="868"/>
        <v>0</v>
      </c>
      <c r="AI5526" s="47"/>
      <c r="AJ5526" s="126" t="e">
        <v>#N/A</v>
      </c>
      <c r="AK5526" s="80">
        <f t="shared" si="871"/>
        <v>0</v>
      </c>
      <c r="AL5526" s="85"/>
      <c r="AM5526" s="85"/>
    </row>
    <row r="5527" spans="1:39" s="86" customFormat="1" ht="13.25" hidden="1" customHeight="1" x14ac:dyDescent="0.3">
      <c r="A5527" s="89" t="s">
        <v>3792</v>
      </c>
      <c r="B5527" s="86" t="s">
        <v>35</v>
      </c>
      <c r="C5527" s="86" t="s">
        <v>184</v>
      </c>
      <c r="D5527" s="86" t="s">
        <v>224</v>
      </c>
      <c r="E5527" s="86" t="s">
        <v>435</v>
      </c>
      <c r="F5527" s="86" t="s">
        <v>436</v>
      </c>
      <c r="G5527" s="86" t="s">
        <v>435</v>
      </c>
      <c r="H5527" s="144">
        <v>62</v>
      </c>
      <c r="I5527" s="86" t="s">
        <v>408</v>
      </c>
      <c r="J5527" s="1" t="s">
        <v>3324</v>
      </c>
      <c r="K5527" s="1" t="s">
        <v>3278</v>
      </c>
      <c r="L5527" s="1" t="s">
        <v>35</v>
      </c>
      <c r="M5527" s="86" t="s">
        <v>437</v>
      </c>
      <c r="O5527" s="47" t="s">
        <v>410</v>
      </c>
      <c r="P5527" s="14" t="s">
        <v>41</v>
      </c>
      <c r="Q5527" s="14">
        <v>0</v>
      </c>
      <c r="R5527" s="143">
        <v>1000094457</v>
      </c>
      <c r="S5527" s="47"/>
      <c r="T5527" s="6">
        <v>4795.5</v>
      </c>
      <c r="U5527" s="6"/>
      <c r="V5527" s="6">
        <v>4268</v>
      </c>
      <c r="W5527" s="6">
        <f t="shared" si="865"/>
        <v>527.5</v>
      </c>
      <c r="X5527" s="6">
        <f t="shared" si="864"/>
        <v>4268</v>
      </c>
      <c r="Y5527" s="13">
        <f t="shared" si="869"/>
        <v>0</v>
      </c>
      <c r="Z5527" s="14">
        <v>0</v>
      </c>
      <c r="AA5527" s="6">
        <v>0</v>
      </c>
      <c r="AB5527" s="4">
        <f t="shared" si="870"/>
        <v>4268</v>
      </c>
      <c r="AC5527" s="6">
        <f t="shared" si="866"/>
        <v>0</v>
      </c>
      <c r="AD5527" s="6">
        <f t="shared" si="867"/>
        <v>4268</v>
      </c>
      <c r="AE5527" s="14">
        <f>VLOOKUP(I5527,[2]媒体政策预估表!A:N,MATCH(O5527,[2]媒体政策预估表!$A$2:$M$2,0),0)</f>
        <v>7.0000000000000007E-2</v>
      </c>
      <c r="AF5527" s="6">
        <f t="shared" si="863"/>
        <v>298.76000000000005</v>
      </c>
      <c r="AG5527" s="14">
        <v>0</v>
      </c>
      <c r="AH5527" s="64">
        <f t="shared" si="868"/>
        <v>4268</v>
      </c>
      <c r="AI5527" s="47"/>
      <c r="AJ5527" s="126" t="e">
        <v>#N/A</v>
      </c>
      <c r="AK5527" s="80">
        <f t="shared" si="871"/>
        <v>0</v>
      </c>
      <c r="AL5527" s="85"/>
      <c r="AM5527" s="85"/>
    </row>
    <row r="5528" spans="1:39" s="86" customFormat="1" ht="13.25" hidden="1" customHeight="1" x14ac:dyDescent="0.3">
      <c r="A5528" s="89" t="s">
        <v>3794</v>
      </c>
      <c r="B5528" s="86" t="s">
        <v>35</v>
      </c>
      <c r="C5528" s="86" t="s">
        <v>184</v>
      </c>
      <c r="D5528" s="86" t="s">
        <v>224</v>
      </c>
      <c r="E5528" s="86" t="s">
        <v>435</v>
      </c>
      <c r="F5528" s="86" t="s">
        <v>436</v>
      </c>
      <c r="G5528" s="86" t="s">
        <v>435</v>
      </c>
      <c r="H5528" s="143">
        <v>62</v>
      </c>
      <c r="I5528" s="86" t="s">
        <v>408</v>
      </c>
      <c r="J5528" s="1" t="s">
        <v>3324</v>
      </c>
      <c r="K5528" s="1" t="s">
        <v>3278</v>
      </c>
      <c r="L5528" s="1" t="s">
        <v>35</v>
      </c>
      <c r="M5528" s="86" t="s">
        <v>438</v>
      </c>
      <c r="O5528" s="47" t="s">
        <v>410</v>
      </c>
      <c r="P5528" s="14" t="s">
        <v>41</v>
      </c>
      <c r="Q5528" s="14">
        <v>0</v>
      </c>
      <c r="R5528" s="143">
        <v>1000070542</v>
      </c>
      <c r="S5528" s="47"/>
      <c r="T5528" s="6">
        <v>18384.61</v>
      </c>
      <c r="U5528" s="6"/>
      <c r="V5528" s="6">
        <v>0</v>
      </c>
      <c r="W5528" s="6">
        <f t="shared" si="865"/>
        <v>18384.61</v>
      </c>
      <c r="X5528" s="6">
        <f t="shared" si="864"/>
        <v>0</v>
      </c>
      <c r="Y5528" s="13">
        <f t="shared" si="869"/>
        <v>0</v>
      </c>
      <c r="Z5528" s="14">
        <v>0</v>
      </c>
      <c r="AA5528" s="6">
        <v>0</v>
      </c>
      <c r="AB5528" s="4">
        <f t="shared" si="870"/>
        <v>0</v>
      </c>
      <c r="AC5528" s="6">
        <f t="shared" si="866"/>
        <v>0</v>
      </c>
      <c r="AD5528" s="6">
        <f t="shared" si="867"/>
        <v>0</v>
      </c>
      <c r="AE5528" s="14">
        <f>VLOOKUP(I5528,[2]媒体政策预估表!A:N,MATCH(O5528,[2]媒体政策预估表!$A$2:$M$2,0),0)</f>
        <v>7.0000000000000007E-2</v>
      </c>
      <c r="AF5528" s="6">
        <f t="shared" si="863"/>
        <v>0</v>
      </c>
      <c r="AG5528" s="14">
        <v>0</v>
      </c>
      <c r="AH5528" s="64">
        <f t="shared" si="868"/>
        <v>0</v>
      </c>
      <c r="AI5528" s="47"/>
      <c r="AJ5528" s="126" t="e">
        <v>#N/A</v>
      </c>
      <c r="AK5528" s="80">
        <f t="shared" si="871"/>
        <v>0</v>
      </c>
      <c r="AL5528" s="85"/>
      <c r="AM5528" s="85"/>
    </row>
    <row r="5529" spans="1:39" s="86" customFormat="1" ht="13.25" hidden="1" customHeight="1" x14ac:dyDescent="0.3">
      <c r="A5529" s="89" t="s">
        <v>3794</v>
      </c>
      <c r="B5529" s="86" t="s">
        <v>35</v>
      </c>
      <c r="C5529" s="86" t="s">
        <v>184</v>
      </c>
      <c r="D5529" s="86" t="s">
        <v>54</v>
      </c>
      <c r="E5529" s="86" t="s">
        <v>447</v>
      </c>
      <c r="F5529" s="86" t="s">
        <v>447</v>
      </c>
      <c r="G5529" s="86" t="s">
        <v>447</v>
      </c>
      <c r="H5529" s="143">
        <v>62</v>
      </c>
      <c r="I5529" s="86" t="s">
        <v>408</v>
      </c>
      <c r="J5529" s="1" t="s">
        <v>3324</v>
      </c>
      <c r="K5529" s="1" t="s">
        <v>3278</v>
      </c>
      <c r="L5529" s="1" t="s">
        <v>35</v>
      </c>
      <c r="M5529" s="86" t="s">
        <v>449</v>
      </c>
      <c r="O5529" s="47" t="s">
        <v>410</v>
      </c>
      <c r="P5529" s="14" t="s">
        <v>41</v>
      </c>
      <c r="Q5529" s="14">
        <v>0</v>
      </c>
      <c r="R5529" s="143">
        <v>1000054738</v>
      </c>
      <c r="S5529" s="47"/>
      <c r="T5529" s="6">
        <v>8574.5299999999988</v>
      </c>
      <c r="U5529" s="6"/>
      <c r="V5529" s="6">
        <v>0</v>
      </c>
      <c r="W5529" s="6">
        <f t="shared" si="865"/>
        <v>8574.5299999999988</v>
      </c>
      <c r="X5529" s="6">
        <f t="shared" si="864"/>
        <v>0</v>
      </c>
      <c r="Y5529" s="13">
        <f t="shared" si="869"/>
        <v>0</v>
      </c>
      <c r="Z5529" s="14">
        <v>0</v>
      </c>
      <c r="AA5529" s="6">
        <v>0</v>
      </c>
      <c r="AB5529" s="4"/>
      <c r="AC5529" s="6">
        <f t="shared" si="866"/>
        <v>0</v>
      </c>
      <c r="AD5529" s="6">
        <f t="shared" si="867"/>
        <v>0</v>
      </c>
      <c r="AE5529" s="14">
        <f>VLOOKUP(I5529,[2]媒体政策预估表!A:N,MATCH(O5529,[2]媒体政策预估表!$A$2:$M$2,0),0)</f>
        <v>7.0000000000000007E-2</v>
      </c>
      <c r="AF5529" s="6">
        <f t="shared" si="863"/>
        <v>0</v>
      </c>
      <c r="AG5529" s="14">
        <v>0</v>
      </c>
      <c r="AH5529" s="64">
        <f t="shared" si="868"/>
        <v>0</v>
      </c>
      <c r="AI5529" s="47"/>
      <c r="AJ5529" s="126">
        <v>21</v>
      </c>
      <c r="AK5529" s="80">
        <f t="shared" si="871"/>
        <v>0</v>
      </c>
      <c r="AL5529" s="85"/>
      <c r="AM5529" s="85"/>
    </row>
    <row r="5530" spans="1:39" s="86" customFormat="1" ht="13.25" hidden="1" customHeight="1" x14ac:dyDescent="0.3">
      <c r="A5530" s="89" t="s">
        <v>3796</v>
      </c>
      <c r="B5530" s="86" t="s">
        <v>35</v>
      </c>
      <c r="C5530" s="86" t="s">
        <v>184</v>
      </c>
      <c r="D5530" s="86" t="s">
        <v>54</v>
      </c>
      <c r="E5530" s="86" t="s">
        <v>1069</v>
      </c>
      <c r="F5530" s="86" t="s">
        <v>3845</v>
      </c>
      <c r="G5530" s="86" t="s">
        <v>1069</v>
      </c>
      <c r="H5530" s="143">
        <v>62</v>
      </c>
      <c r="I5530" s="86" t="s">
        <v>408</v>
      </c>
      <c r="J5530" s="1" t="s">
        <v>3324</v>
      </c>
      <c r="K5530" s="1" t="s">
        <v>3278</v>
      </c>
      <c r="L5530" s="1" t="s">
        <v>35</v>
      </c>
      <c r="M5530" s="86" t="s">
        <v>3440</v>
      </c>
      <c r="O5530" s="47" t="s">
        <v>45</v>
      </c>
      <c r="P5530" s="14" t="s">
        <v>46</v>
      </c>
      <c r="Q5530" s="14">
        <v>0.04</v>
      </c>
      <c r="R5530" s="143">
        <v>1000101654</v>
      </c>
      <c r="S5530" s="47"/>
      <c r="T5530" s="6">
        <v>198089.60000000001</v>
      </c>
      <c r="U5530" s="6"/>
      <c r="V5530" s="6">
        <v>0</v>
      </c>
      <c r="W5530" s="6">
        <f t="shared" si="865"/>
        <v>198089.60000000001</v>
      </c>
      <c r="X5530" s="6">
        <f t="shared" si="864"/>
        <v>0</v>
      </c>
      <c r="Y5530" s="13">
        <f t="shared" si="869"/>
        <v>0</v>
      </c>
      <c r="Z5530" s="14">
        <v>0</v>
      </c>
      <c r="AA5530" s="6">
        <v>0</v>
      </c>
      <c r="AB5530" s="4">
        <f t="shared" si="870"/>
        <v>0</v>
      </c>
      <c r="AC5530" s="6">
        <f t="shared" si="866"/>
        <v>0</v>
      </c>
      <c r="AD5530" s="6">
        <f t="shared" si="867"/>
        <v>0</v>
      </c>
      <c r="AE5530" s="14">
        <f>VLOOKUP(I5530,[2]媒体政策预估表!A:N,MATCH(O5530,[2]媒体政策预估表!$A$2:$M$2,0),0)</f>
        <v>0.11</v>
      </c>
      <c r="AF5530" s="6">
        <f t="shared" si="863"/>
        <v>0</v>
      </c>
      <c r="AG5530" s="14">
        <v>0</v>
      </c>
      <c r="AH5530" s="64">
        <f t="shared" si="868"/>
        <v>0</v>
      </c>
      <c r="AI5530" s="47"/>
      <c r="AJ5530" s="126" t="e">
        <v>#N/A</v>
      </c>
      <c r="AK5530" s="80">
        <f t="shared" si="871"/>
        <v>0</v>
      </c>
      <c r="AL5530" s="85"/>
      <c r="AM5530" s="85"/>
    </row>
    <row r="5531" spans="1:39" s="86" customFormat="1" ht="13.25" hidden="1" customHeight="1" x14ac:dyDescent="0.3">
      <c r="A5531" s="89" t="s">
        <v>3792</v>
      </c>
      <c r="B5531" s="86" t="s">
        <v>35</v>
      </c>
      <c r="C5531" s="86" t="s">
        <v>184</v>
      </c>
      <c r="D5531" s="86" t="s">
        <v>37</v>
      </c>
      <c r="E5531" s="86" t="s">
        <v>285</v>
      </c>
      <c r="F5531" s="86" t="s">
        <v>460</v>
      </c>
      <c r="G5531" s="86" t="s">
        <v>285</v>
      </c>
      <c r="H5531" s="143">
        <v>62</v>
      </c>
      <c r="I5531" s="86" t="s">
        <v>408</v>
      </c>
      <c r="J5531" s="1" t="s">
        <v>3324</v>
      </c>
      <c r="K5531" s="1" t="s">
        <v>3278</v>
      </c>
      <c r="L5531" s="1" t="s">
        <v>35</v>
      </c>
      <c r="M5531" s="86" t="s">
        <v>3442</v>
      </c>
      <c r="O5531" s="47" t="s">
        <v>410</v>
      </c>
      <c r="P5531" s="14" t="s">
        <v>41</v>
      </c>
      <c r="Q5531" s="14">
        <v>0</v>
      </c>
      <c r="R5531" s="143">
        <v>1000068980</v>
      </c>
      <c r="S5531" s="47"/>
      <c r="T5531" s="6">
        <v>4078.7800000000016</v>
      </c>
      <c r="U5531" s="6"/>
      <c r="V5531" s="6">
        <v>0</v>
      </c>
      <c r="W5531" s="6">
        <f t="shared" si="865"/>
        <v>4078.7800000000016</v>
      </c>
      <c r="X5531" s="6">
        <f t="shared" si="864"/>
        <v>0</v>
      </c>
      <c r="Y5531" s="13">
        <f t="shared" si="869"/>
        <v>0</v>
      </c>
      <c r="Z5531" s="14">
        <v>0</v>
      </c>
      <c r="AA5531" s="6">
        <v>0</v>
      </c>
      <c r="AB5531" s="4">
        <f t="shared" si="870"/>
        <v>0</v>
      </c>
      <c r="AC5531" s="6">
        <f t="shared" si="866"/>
        <v>0</v>
      </c>
      <c r="AD5531" s="6">
        <f t="shared" si="867"/>
        <v>0</v>
      </c>
      <c r="AE5531" s="14">
        <f>VLOOKUP(I5531,[2]媒体政策预估表!A:N,MATCH(O5531,[2]媒体政策预估表!$A$2:$M$2,0),0)</f>
        <v>7.0000000000000007E-2</v>
      </c>
      <c r="AF5531" s="6">
        <f t="shared" si="863"/>
        <v>0</v>
      </c>
      <c r="AG5531" s="14">
        <v>0</v>
      </c>
      <c r="AH5531" s="64">
        <f t="shared" si="868"/>
        <v>0</v>
      </c>
      <c r="AI5531" s="47"/>
      <c r="AJ5531" s="126" t="e">
        <v>#N/A</v>
      </c>
      <c r="AK5531" s="80">
        <f t="shared" si="871"/>
        <v>0</v>
      </c>
      <c r="AL5531" s="85"/>
      <c r="AM5531" s="85"/>
    </row>
    <row r="5532" spans="1:39" s="86" customFormat="1" ht="13.25" hidden="1" customHeight="1" x14ac:dyDescent="0.3">
      <c r="A5532" s="89" t="s">
        <v>3794</v>
      </c>
      <c r="B5532" s="86" t="s">
        <v>35</v>
      </c>
      <c r="C5532" s="86" t="s">
        <v>65</v>
      </c>
      <c r="D5532" s="86" t="s">
        <v>66</v>
      </c>
      <c r="E5532" s="86" t="s">
        <v>1907</v>
      </c>
      <c r="F5532" s="86" t="s">
        <v>1908</v>
      </c>
      <c r="G5532" s="86" t="s">
        <v>1907</v>
      </c>
      <c r="H5532" s="143">
        <v>62</v>
      </c>
      <c r="I5532" s="86" t="s">
        <v>408</v>
      </c>
      <c r="J5532" s="1" t="s">
        <v>3324</v>
      </c>
      <c r="K5532" s="1" t="s">
        <v>3278</v>
      </c>
      <c r="L5532" s="1" t="s">
        <v>35</v>
      </c>
      <c r="M5532" s="86" t="s">
        <v>3444</v>
      </c>
      <c r="O5532" s="47" t="s">
        <v>410</v>
      </c>
      <c r="P5532" s="14" t="s">
        <v>41</v>
      </c>
      <c r="Q5532" s="14">
        <v>0</v>
      </c>
      <c r="R5532" s="143">
        <v>1000103150</v>
      </c>
      <c r="S5532" s="47"/>
      <c r="T5532" s="6">
        <v>20000</v>
      </c>
      <c r="U5532" s="6"/>
      <c r="V5532" s="6">
        <v>0</v>
      </c>
      <c r="W5532" s="6">
        <f t="shared" si="865"/>
        <v>20000</v>
      </c>
      <c r="X5532" s="6">
        <f t="shared" si="864"/>
        <v>0</v>
      </c>
      <c r="Y5532" s="13">
        <f t="shared" si="869"/>
        <v>0</v>
      </c>
      <c r="Z5532" s="14">
        <v>0</v>
      </c>
      <c r="AA5532" s="6">
        <v>0</v>
      </c>
      <c r="AB5532" s="4">
        <f t="shared" si="870"/>
        <v>0</v>
      </c>
      <c r="AC5532" s="6">
        <f t="shared" si="866"/>
        <v>0</v>
      </c>
      <c r="AD5532" s="6">
        <f t="shared" si="867"/>
        <v>0</v>
      </c>
      <c r="AE5532" s="14">
        <f>VLOOKUP(I5532,[2]媒体政策预估表!A:N,MATCH(O5532,[2]媒体政策预估表!$A$2:$M$2,0),0)</f>
        <v>7.0000000000000007E-2</v>
      </c>
      <c r="AF5532" s="6">
        <f t="shared" si="863"/>
        <v>0</v>
      </c>
      <c r="AG5532" s="14">
        <v>0</v>
      </c>
      <c r="AH5532" s="64">
        <f t="shared" si="868"/>
        <v>0</v>
      </c>
      <c r="AI5532" s="47"/>
      <c r="AJ5532" s="126" t="e">
        <v>#N/A</v>
      </c>
      <c r="AK5532" s="80">
        <f t="shared" si="871"/>
        <v>0</v>
      </c>
      <c r="AL5532" s="85"/>
      <c r="AM5532" s="85"/>
    </row>
    <row r="5533" spans="1:39" s="86" customFormat="1" ht="13.25" hidden="1" customHeight="1" x14ac:dyDescent="0.3">
      <c r="A5533" s="89" t="s">
        <v>3794</v>
      </c>
      <c r="B5533" s="86" t="s">
        <v>35</v>
      </c>
      <c r="C5533" s="86" t="s">
        <v>65</v>
      </c>
      <c r="D5533" s="86" t="s">
        <v>66</v>
      </c>
      <c r="E5533" s="86" t="s">
        <v>487</v>
      </c>
      <c r="F5533" s="86" t="s">
        <v>487</v>
      </c>
      <c r="G5533" s="86" t="s">
        <v>487</v>
      </c>
      <c r="H5533" s="143">
        <v>62</v>
      </c>
      <c r="I5533" s="86" t="s">
        <v>408</v>
      </c>
      <c r="J5533" s="1" t="s">
        <v>3324</v>
      </c>
      <c r="K5533" s="1" t="s">
        <v>3278</v>
      </c>
      <c r="L5533" s="1" t="s">
        <v>35</v>
      </c>
      <c r="M5533" s="86" t="s">
        <v>3446</v>
      </c>
      <c r="O5533" s="47" t="s">
        <v>410</v>
      </c>
      <c r="P5533" s="14" t="s">
        <v>41</v>
      </c>
      <c r="Q5533" s="14">
        <v>0</v>
      </c>
      <c r="R5533" s="143">
        <v>1000101946</v>
      </c>
      <c r="S5533" s="47"/>
      <c r="T5533" s="6">
        <v>20000</v>
      </c>
      <c r="U5533" s="6"/>
      <c r="V5533" s="6">
        <v>0</v>
      </c>
      <c r="W5533" s="6">
        <f t="shared" si="865"/>
        <v>20000</v>
      </c>
      <c r="X5533" s="6">
        <f t="shared" si="864"/>
        <v>0</v>
      </c>
      <c r="Y5533" s="13">
        <f t="shared" si="869"/>
        <v>0</v>
      </c>
      <c r="Z5533" s="14">
        <v>0</v>
      </c>
      <c r="AA5533" s="6">
        <v>0</v>
      </c>
      <c r="AB5533" s="4">
        <f t="shared" si="870"/>
        <v>0</v>
      </c>
      <c r="AC5533" s="6">
        <f t="shared" si="866"/>
        <v>0</v>
      </c>
      <c r="AD5533" s="6">
        <f t="shared" si="867"/>
        <v>0</v>
      </c>
      <c r="AE5533" s="14">
        <f>VLOOKUP(I5533,[2]媒体政策预估表!A:N,MATCH(O5533,[2]媒体政策预估表!$A$2:$M$2,0),0)</f>
        <v>7.0000000000000007E-2</v>
      </c>
      <c r="AF5533" s="6">
        <f t="shared" si="863"/>
        <v>0</v>
      </c>
      <c r="AG5533" s="14">
        <v>0</v>
      </c>
      <c r="AH5533" s="64">
        <f t="shared" si="868"/>
        <v>0</v>
      </c>
      <c r="AI5533" s="47"/>
      <c r="AJ5533" s="126" t="e">
        <v>#N/A</v>
      </c>
      <c r="AK5533" s="80">
        <f t="shared" si="871"/>
        <v>0</v>
      </c>
      <c r="AL5533" s="85"/>
      <c r="AM5533" s="85"/>
    </row>
    <row r="5534" spans="1:39" s="86" customFormat="1" ht="13.25" hidden="1" customHeight="1" x14ac:dyDescent="0.3">
      <c r="A5534" s="89" t="s">
        <v>3806</v>
      </c>
      <c r="B5534" s="86" t="s">
        <v>35</v>
      </c>
      <c r="C5534" s="86" t="s">
        <v>65</v>
      </c>
      <c r="D5534" s="86" t="s">
        <v>66</v>
      </c>
      <c r="E5534" s="86" t="s">
        <v>487</v>
      </c>
      <c r="F5534" s="86" t="s">
        <v>487</v>
      </c>
      <c r="G5534" s="86" t="s">
        <v>487</v>
      </c>
      <c r="H5534" s="144">
        <v>62</v>
      </c>
      <c r="I5534" s="86" t="s">
        <v>408</v>
      </c>
      <c r="J5534" s="1" t="s">
        <v>3324</v>
      </c>
      <c r="K5534" s="1" t="s">
        <v>3278</v>
      </c>
      <c r="L5534" s="1" t="s">
        <v>35</v>
      </c>
      <c r="M5534" s="86" t="s">
        <v>3447</v>
      </c>
      <c r="O5534" s="47" t="s">
        <v>410</v>
      </c>
      <c r="P5534" s="14" t="s">
        <v>41</v>
      </c>
      <c r="Q5534" s="14">
        <v>0</v>
      </c>
      <c r="R5534" s="143">
        <v>1000101346</v>
      </c>
      <c r="S5534" s="47"/>
      <c r="T5534" s="6">
        <v>10289.099999999999</v>
      </c>
      <c r="U5534" s="6"/>
      <c r="V5534" s="6">
        <v>1565.8000000000002</v>
      </c>
      <c r="W5534" s="6">
        <f t="shared" si="865"/>
        <v>8723.2999999999993</v>
      </c>
      <c r="X5534" s="6">
        <f t="shared" si="864"/>
        <v>1565.8000000000002</v>
      </c>
      <c r="Y5534" s="13">
        <f t="shared" si="869"/>
        <v>0</v>
      </c>
      <c r="Z5534" s="14">
        <v>0</v>
      </c>
      <c r="AA5534" s="6">
        <v>0</v>
      </c>
      <c r="AB5534" s="4">
        <f t="shared" si="870"/>
        <v>1565.8000000000002</v>
      </c>
      <c r="AC5534" s="6">
        <f t="shared" si="866"/>
        <v>0</v>
      </c>
      <c r="AD5534" s="6">
        <f t="shared" si="867"/>
        <v>1565.8000000000002</v>
      </c>
      <c r="AE5534" s="14">
        <f>VLOOKUP(I5534,[2]媒体政策预估表!A:N,MATCH(O5534,[2]媒体政策预估表!$A$2:$M$2,0),0)</f>
        <v>7.0000000000000007E-2</v>
      </c>
      <c r="AF5534" s="6">
        <f t="shared" si="863"/>
        <v>109.60600000000002</v>
      </c>
      <c r="AG5534" s="14">
        <v>0</v>
      </c>
      <c r="AH5534" s="64">
        <f t="shared" si="868"/>
        <v>1565.8000000000002</v>
      </c>
      <c r="AI5534" s="47"/>
      <c r="AJ5534" s="126" t="e">
        <v>#N/A</v>
      </c>
      <c r="AK5534" s="80">
        <f t="shared" si="871"/>
        <v>0</v>
      </c>
      <c r="AL5534" s="85"/>
      <c r="AM5534" s="85"/>
    </row>
    <row r="5535" spans="1:39" s="86" customFormat="1" ht="13.25" hidden="1" customHeight="1" x14ac:dyDescent="0.3">
      <c r="A5535" s="89" t="s">
        <v>3792</v>
      </c>
      <c r="B5535" s="86" t="s">
        <v>35</v>
      </c>
      <c r="C5535" s="86" t="s">
        <v>65</v>
      </c>
      <c r="D5535" s="86" t="s">
        <v>66</v>
      </c>
      <c r="E5535" s="86" t="s">
        <v>496</v>
      </c>
      <c r="F5535" s="86" t="s">
        <v>497</v>
      </c>
      <c r="G5535" s="86" t="s">
        <v>496</v>
      </c>
      <c r="H5535" s="144">
        <v>62</v>
      </c>
      <c r="I5535" s="86" t="s">
        <v>408</v>
      </c>
      <c r="J5535" s="1" t="s">
        <v>3324</v>
      </c>
      <c r="K5535" s="1" t="s">
        <v>3278</v>
      </c>
      <c r="L5535" s="1" t="s">
        <v>35</v>
      </c>
      <c r="M5535" s="86" t="s">
        <v>3448</v>
      </c>
      <c r="O5535" s="47" t="s">
        <v>410</v>
      </c>
      <c r="P5535" s="14" t="s">
        <v>46</v>
      </c>
      <c r="Q5535" s="14">
        <v>0.01</v>
      </c>
      <c r="R5535" s="143">
        <v>1000102599</v>
      </c>
      <c r="S5535" s="47"/>
      <c r="T5535" s="6">
        <v>113997</v>
      </c>
      <c r="U5535" s="6"/>
      <c r="V5535" s="6">
        <v>26833.099999999995</v>
      </c>
      <c r="W5535" s="6">
        <f t="shared" si="865"/>
        <v>87163.900000000009</v>
      </c>
      <c r="X5535" s="6">
        <f t="shared" si="864"/>
        <v>26567.425742574251</v>
      </c>
      <c r="Y5535" s="13">
        <f t="shared" si="869"/>
        <v>0</v>
      </c>
      <c r="Z5535" s="14">
        <v>0</v>
      </c>
      <c r="AA5535" s="6">
        <v>0</v>
      </c>
      <c r="AB5535" s="4">
        <f t="shared" si="870"/>
        <v>26567.425742574251</v>
      </c>
      <c r="AC5535" s="6">
        <f t="shared" si="866"/>
        <v>265.67425742574414</v>
      </c>
      <c r="AD5535" s="6">
        <f t="shared" si="867"/>
        <v>26833.099999999995</v>
      </c>
      <c r="AE5535" s="14">
        <f>VLOOKUP(I5535,[2]媒体政策预估表!A:N,MATCH(O5535,[2]媒体政策预估表!$A$2:$M$2,0),0)</f>
        <v>7.0000000000000007E-2</v>
      </c>
      <c r="AF5535" s="6">
        <f t="shared" si="863"/>
        <v>1878.3169999999998</v>
      </c>
      <c r="AG5535" s="14">
        <v>0</v>
      </c>
      <c r="AH5535" s="64">
        <f t="shared" si="868"/>
        <v>26833.099999999995</v>
      </c>
      <c r="AI5535" s="47"/>
      <c r="AJ5535" s="126" t="e">
        <v>#N/A</v>
      </c>
      <c r="AK5535" s="80">
        <f t="shared" si="871"/>
        <v>0</v>
      </c>
      <c r="AL5535" s="85"/>
      <c r="AM5535" s="85"/>
    </row>
    <row r="5536" spans="1:39" s="86" customFormat="1" ht="13.25" hidden="1" customHeight="1" x14ac:dyDescent="0.3">
      <c r="A5536" s="89" t="s">
        <v>3792</v>
      </c>
      <c r="B5536" s="86" t="s">
        <v>35</v>
      </c>
      <c r="C5536" s="86" t="s">
        <v>65</v>
      </c>
      <c r="D5536" s="86" t="s">
        <v>122</v>
      </c>
      <c r="E5536" s="86" t="s">
        <v>502</v>
      </c>
      <c r="F5536" s="86" t="s">
        <v>502</v>
      </c>
      <c r="G5536" s="86" t="s">
        <v>502</v>
      </c>
      <c r="H5536" s="143">
        <v>62</v>
      </c>
      <c r="I5536" s="86" t="s">
        <v>408</v>
      </c>
      <c r="J5536" s="1" t="s">
        <v>3324</v>
      </c>
      <c r="K5536" s="1" t="s">
        <v>3278</v>
      </c>
      <c r="L5536" s="1" t="s">
        <v>35</v>
      </c>
      <c r="M5536" s="86" t="s">
        <v>503</v>
      </c>
      <c r="O5536" s="47" t="s">
        <v>410</v>
      </c>
      <c r="P5536" s="14" t="s">
        <v>41</v>
      </c>
      <c r="Q5536" s="14">
        <v>0</v>
      </c>
      <c r="R5536" s="143">
        <v>1000083193</v>
      </c>
      <c r="S5536" s="47"/>
      <c r="T5536" s="6">
        <v>162845.65000000005</v>
      </c>
      <c r="U5536" s="6"/>
      <c r="V5536" s="6">
        <v>0</v>
      </c>
      <c r="W5536" s="6">
        <f t="shared" si="865"/>
        <v>162845.65000000005</v>
      </c>
      <c r="X5536" s="6">
        <f t="shared" si="864"/>
        <v>0</v>
      </c>
      <c r="Y5536" s="13">
        <f t="shared" si="869"/>
        <v>0</v>
      </c>
      <c r="Z5536" s="14">
        <v>0</v>
      </c>
      <c r="AA5536" s="6">
        <v>0</v>
      </c>
      <c r="AB5536" s="4">
        <f t="shared" si="870"/>
        <v>0</v>
      </c>
      <c r="AC5536" s="6">
        <f t="shared" si="866"/>
        <v>0</v>
      </c>
      <c r="AD5536" s="6">
        <f t="shared" si="867"/>
        <v>0</v>
      </c>
      <c r="AE5536" s="14">
        <f>VLOOKUP(I5536,[2]媒体政策预估表!A:N,MATCH(O5536,[2]媒体政策预估表!$A$2:$M$2,0),0)</f>
        <v>7.0000000000000007E-2</v>
      </c>
      <c r="AF5536" s="6">
        <f t="shared" si="863"/>
        <v>0</v>
      </c>
      <c r="AG5536" s="14">
        <v>0</v>
      </c>
      <c r="AH5536" s="64">
        <f t="shared" si="868"/>
        <v>0</v>
      </c>
      <c r="AI5536" s="47"/>
      <c r="AJ5536" s="126" t="e">
        <v>#N/A</v>
      </c>
      <c r="AK5536" s="80">
        <f t="shared" si="871"/>
        <v>0</v>
      </c>
      <c r="AL5536" s="85"/>
      <c r="AM5536" s="85"/>
    </row>
    <row r="5537" spans="1:39" s="86" customFormat="1" ht="13.25" hidden="1" customHeight="1" x14ac:dyDescent="0.3">
      <c r="A5537" s="89" t="s">
        <v>3794</v>
      </c>
      <c r="B5537" s="86" t="s">
        <v>35</v>
      </c>
      <c r="C5537" s="86" t="s">
        <v>65</v>
      </c>
      <c r="D5537" s="86" t="s">
        <v>122</v>
      </c>
      <c r="E5537" s="86" t="s">
        <v>502</v>
      </c>
      <c r="F5537" s="86" t="s">
        <v>502</v>
      </c>
      <c r="G5537" s="86" t="s">
        <v>502</v>
      </c>
      <c r="H5537" s="143">
        <v>62</v>
      </c>
      <c r="I5537" s="86" t="s">
        <v>408</v>
      </c>
      <c r="J5537" s="1" t="s">
        <v>3324</v>
      </c>
      <c r="K5537" s="1" t="s">
        <v>3278</v>
      </c>
      <c r="L5537" s="1" t="s">
        <v>35</v>
      </c>
      <c r="M5537" s="86" t="s">
        <v>504</v>
      </c>
      <c r="O5537" s="47" t="s">
        <v>45</v>
      </c>
      <c r="P5537" s="14" t="s">
        <v>41</v>
      </c>
      <c r="Q5537" s="14">
        <v>0</v>
      </c>
      <c r="R5537" s="143">
        <v>1000099546</v>
      </c>
      <c r="S5537" s="47"/>
      <c r="T5537" s="6">
        <v>20000</v>
      </c>
      <c r="U5537" s="6"/>
      <c r="V5537" s="6">
        <v>0</v>
      </c>
      <c r="W5537" s="6">
        <f t="shared" si="865"/>
        <v>20000</v>
      </c>
      <c r="X5537" s="6">
        <f t="shared" si="864"/>
        <v>0</v>
      </c>
      <c r="Y5537" s="13">
        <f t="shared" si="869"/>
        <v>0</v>
      </c>
      <c r="Z5537" s="14">
        <v>0</v>
      </c>
      <c r="AA5537" s="6">
        <v>0</v>
      </c>
      <c r="AB5537" s="4">
        <f t="shared" si="870"/>
        <v>0</v>
      </c>
      <c r="AC5537" s="6">
        <f t="shared" si="866"/>
        <v>0</v>
      </c>
      <c r="AD5537" s="6">
        <f t="shared" si="867"/>
        <v>0</v>
      </c>
      <c r="AE5537" s="14">
        <f>VLOOKUP(I5537,[2]媒体政策预估表!A:N,MATCH(O5537,[2]媒体政策预估表!$A$2:$M$2,0),0)</f>
        <v>0.11</v>
      </c>
      <c r="AF5537" s="6">
        <f t="shared" si="863"/>
        <v>0</v>
      </c>
      <c r="AG5537" s="14">
        <v>0</v>
      </c>
      <c r="AH5537" s="64">
        <f t="shared" si="868"/>
        <v>0</v>
      </c>
      <c r="AI5537" s="47"/>
      <c r="AJ5537" s="126" t="e">
        <v>#N/A</v>
      </c>
      <c r="AK5537" s="80">
        <f t="shared" si="871"/>
        <v>0</v>
      </c>
      <c r="AL5537" s="85"/>
      <c r="AM5537" s="85"/>
    </row>
    <row r="5538" spans="1:39" s="86" customFormat="1" ht="13.25" hidden="1" customHeight="1" x14ac:dyDescent="0.3">
      <c r="A5538" s="89" t="s">
        <v>3794</v>
      </c>
      <c r="B5538" s="86" t="s">
        <v>35</v>
      </c>
      <c r="C5538" s="86" t="s">
        <v>65</v>
      </c>
      <c r="D5538" s="86" t="s">
        <v>122</v>
      </c>
      <c r="E5538" s="86" t="s">
        <v>3449</v>
      </c>
      <c r="F5538" s="86" t="s">
        <v>3449</v>
      </c>
      <c r="G5538" s="86" t="s">
        <v>3449</v>
      </c>
      <c r="H5538" s="144">
        <v>62</v>
      </c>
      <c r="I5538" s="86" t="s">
        <v>408</v>
      </c>
      <c r="J5538" s="1" t="s">
        <v>3324</v>
      </c>
      <c r="K5538" s="1" t="s">
        <v>3278</v>
      </c>
      <c r="L5538" s="1" t="s">
        <v>35</v>
      </c>
      <c r="M5538" s="86" t="s">
        <v>3450</v>
      </c>
      <c r="O5538" s="47" t="s">
        <v>410</v>
      </c>
      <c r="P5538" s="14" t="s">
        <v>46</v>
      </c>
      <c r="Q5538" s="14">
        <v>0.02</v>
      </c>
      <c r="R5538" s="143">
        <v>1000069913</v>
      </c>
      <c r="S5538" s="47"/>
      <c r="T5538" s="6">
        <v>596.4600000000064</v>
      </c>
      <c r="U5538" s="6"/>
      <c r="V5538" s="6">
        <v>596.4600000000064</v>
      </c>
      <c r="W5538" s="6">
        <f t="shared" si="865"/>
        <v>0</v>
      </c>
      <c r="X5538" s="6">
        <f t="shared" si="864"/>
        <v>584.76470588235918</v>
      </c>
      <c r="Y5538" s="13">
        <f t="shared" si="869"/>
        <v>0</v>
      </c>
      <c r="Z5538" s="14">
        <v>0</v>
      </c>
      <c r="AA5538" s="6">
        <v>0</v>
      </c>
      <c r="AB5538" s="4">
        <f t="shared" si="870"/>
        <v>584.76470588235918</v>
      </c>
      <c r="AC5538" s="6">
        <f t="shared" si="866"/>
        <v>11.695294117647222</v>
      </c>
      <c r="AD5538" s="6">
        <f t="shared" si="867"/>
        <v>596.4600000000064</v>
      </c>
      <c r="AE5538" s="14">
        <f>VLOOKUP(I5538,[2]媒体政策预估表!A:N,MATCH(O5538,[2]媒体政策预估表!$A$2:$M$2,0),0)</f>
        <v>7.0000000000000007E-2</v>
      </c>
      <c r="AF5538" s="6">
        <f t="shared" si="863"/>
        <v>41.75220000000045</v>
      </c>
      <c r="AG5538" s="14">
        <v>0</v>
      </c>
      <c r="AH5538" s="64">
        <f t="shared" si="868"/>
        <v>596.4600000000064</v>
      </c>
      <c r="AI5538" s="47"/>
      <c r="AJ5538" s="126" t="e">
        <v>#N/A</v>
      </c>
      <c r="AK5538" s="80">
        <f t="shared" si="871"/>
        <v>0</v>
      </c>
      <c r="AL5538" s="85"/>
      <c r="AM5538" s="85"/>
    </row>
    <row r="5539" spans="1:39" s="86" customFormat="1" ht="13.25" hidden="1" customHeight="1" x14ac:dyDescent="0.3">
      <c r="A5539" s="89" t="s">
        <v>3792</v>
      </c>
      <c r="B5539" s="86" t="s">
        <v>35</v>
      </c>
      <c r="C5539" s="86" t="s">
        <v>36</v>
      </c>
      <c r="D5539" s="86" t="s">
        <v>185</v>
      </c>
      <c r="E5539" s="86" t="s">
        <v>528</v>
      </c>
      <c r="F5539" s="86" t="s">
        <v>528</v>
      </c>
      <c r="G5539" s="86" t="s">
        <v>528</v>
      </c>
      <c r="H5539" s="144">
        <v>62</v>
      </c>
      <c r="I5539" s="86" t="s">
        <v>408</v>
      </c>
      <c r="J5539" s="1" t="s">
        <v>3324</v>
      </c>
      <c r="K5539" s="1" t="s">
        <v>3278</v>
      </c>
      <c r="L5539" s="1" t="s">
        <v>35</v>
      </c>
      <c r="M5539" s="86" t="s">
        <v>532</v>
      </c>
      <c r="O5539" s="47" t="s">
        <v>410</v>
      </c>
      <c r="P5539" s="14" t="s">
        <v>46</v>
      </c>
      <c r="Q5539" s="14">
        <v>5.0000000000000001E-3</v>
      </c>
      <c r="R5539" s="143">
        <v>1000043070</v>
      </c>
      <c r="S5539" s="47"/>
      <c r="T5539" s="6">
        <v>1137990.4499999997</v>
      </c>
      <c r="U5539" s="6"/>
      <c r="V5539" s="6">
        <v>880625.21</v>
      </c>
      <c r="W5539" s="6">
        <f t="shared" si="865"/>
        <v>257365.23999999976</v>
      </c>
      <c r="X5539" s="6">
        <f t="shared" si="864"/>
        <v>876243.99004975124</v>
      </c>
      <c r="Y5539" s="13">
        <f t="shared" si="869"/>
        <v>0</v>
      </c>
      <c r="Z5539" s="14">
        <v>0</v>
      </c>
      <c r="AA5539" s="6">
        <v>0</v>
      </c>
      <c r="AB5539" s="4">
        <f t="shared" si="870"/>
        <v>876243.99004975124</v>
      </c>
      <c r="AC5539" s="6">
        <f t="shared" si="866"/>
        <v>4381.2199502487201</v>
      </c>
      <c r="AD5539" s="6">
        <f t="shared" si="867"/>
        <v>880625.21</v>
      </c>
      <c r="AE5539" s="14">
        <f>VLOOKUP(I5539,[2]媒体政策预估表!A:N,MATCH(O5539,[2]媒体政策预估表!$A$2:$M$2,0),0)</f>
        <v>7.0000000000000007E-2</v>
      </c>
      <c r="AF5539" s="6">
        <f t="shared" si="863"/>
        <v>61643.7647</v>
      </c>
      <c r="AG5539" s="14">
        <v>0</v>
      </c>
      <c r="AH5539" s="64">
        <f t="shared" si="868"/>
        <v>880625.21</v>
      </c>
      <c r="AI5539" s="47"/>
      <c r="AJ5539" s="126" t="e">
        <v>#N/A</v>
      </c>
      <c r="AK5539" s="80">
        <f t="shared" si="871"/>
        <v>0</v>
      </c>
      <c r="AL5539" s="85"/>
      <c r="AM5539" s="85"/>
    </row>
    <row r="5540" spans="1:39" s="86" customFormat="1" ht="13.25" hidden="1" customHeight="1" x14ac:dyDescent="0.3">
      <c r="A5540" s="89" t="s">
        <v>3792</v>
      </c>
      <c r="B5540" s="86" t="s">
        <v>35</v>
      </c>
      <c r="C5540" s="86" t="s">
        <v>184</v>
      </c>
      <c r="D5540" s="86" t="s">
        <v>3849</v>
      </c>
      <c r="E5540" s="86" t="s">
        <v>540</v>
      </c>
      <c r="F5540" s="86" t="s">
        <v>541</v>
      </c>
      <c r="G5540" s="86" t="s">
        <v>540</v>
      </c>
      <c r="H5540" s="143">
        <v>62</v>
      </c>
      <c r="I5540" s="86" t="s">
        <v>408</v>
      </c>
      <c r="J5540" s="1" t="s">
        <v>3324</v>
      </c>
      <c r="K5540" s="1" t="s">
        <v>3278</v>
      </c>
      <c r="L5540" s="1" t="s">
        <v>35</v>
      </c>
      <c r="M5540" s="86" t="s">
        <v>540</v>
      </c>
      <c r="O5540" s="47" t="s">
        <v>410</v>
      </c>
      <c r="P5540" s="14" t="s">
        <v>41</v>
      </c>
      <c r="Q5540" s="14">
        <v>0</v>
      </c>
      <c r="R5540" s="143">
        <v>1000070582</v>
      </c>
      <c r="S5540" s="47"/>
      <c r="T5540" s="6">
        <v>42405.41</v>
      </c>
      <c r="U5540" s="6"/>
      <c r="V5540" s="6">
        <v>0</v>
      </c>
      <c r="W5540" s="6">
        <f t="shared" si="865"/>
        <v>42405.41</v>
      </c>
      <c r="X5540" s="6">
        <f t="shared" si="864"/>
        <v>0</v>
      </c>
      <c r="Y5540" s="13">
        <f t="shared" si="869"/>
        <v>0</v>
      </c>
      <c r="Z5540" s="14">
        <v>0</v>
      </c>
      <c r="AA5540" s="6">
        <v>0</v>
      </c>
      <c r="AB5540" s="4">
        <f t="shared" si="870"/>
        <v>0</v>
      </c>
      <c r="AC5540" s="6">
        <f t="shared" si="866"/>
        <v>0</v>
      </c>
      <c r="AD5540" s="6">
        <f t="shared" si="867"/>
        <v>0</v>
      </c>
      <c r="AE5540" s="14">
        <f>VLOOKUP(I5540,[2]媒体政策预估表!A:N,MATCH(O5540,[2]媒体政策预估表!$A$2:$M$2,0),0)</f>
        <v>7.0000000000000007E-2</v>
      </c>
      <c r="AF5540" s="6">
        <f t="shared" ref="AF5540:AF5603" si="872">AD5540*AE5540</f>
        <v>0</v>
      </c>
      <c r="AG5540" s="14">
        <v>0</v>
      </c>
      <c r="AH5540" s="64">
        <f t="shared" si="868"/>
        <v>0</v>
      </c>
      <c r="AI5540" s="47"/>
      <c r="AJ5540" s="126" t="e">
        <v>#N/A</v>
      </c>
      <c r="AK5540" s="80">
        <f t="shared" si="871"/>
        <v>0</v>
      </c>
      <c r="AL5540" s="85"/>
      <c r="AM5540" s="85"/>
    </row>
    <row r="5541" spans="1:39" s="86" customFormat="1" ht="13.25" hidden="1" customHeight="1" x14ac:dyDescent="0.3">
      <c r="A5541" s="89" t="s">
        <v>3792</v>
      </c>
      <c r="B5541" s="86" t="s">
        <v>35</v>
      </c>
      <c r="C5541" s="86" t="s">
        <v>184</v>
      </c>
      <c r="D5541" s="86" t="s">
        <v>3849</v>
      </c>
      <c r="E5541" s="86" t="s">
        <v>542</v>
      </c>
      <c r="F5541" s="86" t="s">
        <v>543</v>
      </c>
      <c r="G5541" s="86" t="s">
        <v>542</v>
      </c>
      <c r="H5541" s="144">
        <v>62</v>
      </c>
      <c r="I5541" s="86" t="s">
        <v>408</v>
      </c>
      <c r="J5541" s="1" t="s">
        <v>3324</v>
      </c>
      <c r="K5541" s="1" t="s">
        <v>3278</v>
      </c>
      <c r="L5541" s="1" t="s">
        <v>35</v>
      </c>
      <c r="M5541" s="86" t="s">
        <v>546</v>
      </c>
      <c r="O5541" s="47" t="s">
        <v>410</v>
      </c>
      <c r="P5541" s="14" t="s">
        <v>41</v>
      </c>
      <c r="Q5541" s="14">
        <v>0</v>
      </c>
      <c r="R5541" s="143">
        <v>1000043834</v>
      </c>
      <c r="S5541" s="47"/>
      <c r="T5541" s="6">
        <v>3132.4500000000007</v>
      </c>
      <c r="U5541" s="6"/>
      <c r="V5541" s="6">
        <v>3132.4500000000003</v>
      </c>
      <c r="W5541" s="6">
        <f t="shared" si="865"/>
        <v>0</v>
      </c>
      <c r="X5541" s="6">
        <f t="shared" si="864"/>
        <v>3132.4500000000003</v>
      </c>
      <c r="Y5541" s="13">
        <f t="shared" si="869"/>
        <v>0</v>
      </c>
      <c r="Z5541" s="14">
        <v>0</v>
      </c>
      <c r="AA5541" s="6">
        <v>0</v>
      </c>
      <c r="AB5541" s="4">
        <f t="shared" si="870"/>
        <v>3132.4500000000003</v>
      </c>
      <c r="AC5541" s="6">
        <f t="shared" si="866"/>
        <v>0</v>
      </c>
      <c r="AD5541" s="6">
        <f t="shared" si="867"/>
        <v>3132.4500000000003</v>
      </c>
      <c r="AE5541" s="14">
        <f>VLOOKUP(I5541,[2]媒体政策预估表!A:N,MATCH(O5541,[2]媒体政策预估表!$A$2:$M$2,0),0)</f>
        <v>7.0000000000000007E-2</v>
      </c>
      <c r="AF5541" s="6">
        <f t="shared" si="872"/>
        <v>219.27150000000003</v>
      </c>
      <c r="AG5541" s="14">
        <v>0</v>
      </c>
      <c r="AH5541" s="64">
        <f t="shared" si="868"/>
        <v>3132.4500000000003</v>
      </c>
      <c r="AI5541" s="47"/>
      <c r="AJ5541" s="126" t="e">
        <v>#N/A</v>
      </c>
      <c r="AK5541" s="80">
        <f t="shared" si="871"/>
        <v>0</v>
      </c>
      <c r="AL5541" s="85"/>
      <c r="AM5541" s="85"/>
    </row>
    <row r="5542" spans="1:39" s="86" customFormat="1" ht="13.25" hidden="1" customHeight="1" x14ac:dyDescent="0.3">
      <c r="A5542" s="89" t="s">
        <v>3792</v>
      </c>
      <c r="B5542" s="86" t="s">
        <v>35</v>
      </c>
      <c r="C5542" s="86" t="s">
        <v>144</v>
      </c>
      <c r="D5542" s="86" t="s">
        <v>145</v>
      </c>
      <c r="E5542" s="86" t="s">
        <v>3454</v>
      </c>
      <c r="F5542" s="86" t="s">
        <v>3454</v>
      </c>
      <c r="G5542" s="86" t="s">
        <v>3454</v>
      </c>
      <c r="H5542" s="144">
        <v>62</v>
      </c>
      <c r="I5542" s="86" t="s">
        <v>408</v>
      </c>
      <c r="J5542" s="1" t="s">
        <v>3324</v>
      </c>
      <c r="K5542" s="1" t="s">
        <v>3278</v>
      </c>
      <c r="L5542" s="1" t="s">
        <v>35</v>
      </c>
      <c r="M5542" s="86" t="s">
        <v>3455</v>
      </c>
      <c r="O5542" s="47" t="s">
        <v>410</v>
      </c>
      <c r="P5542" s="14" t="s">
        <v>41</v>
      </c>
      <c r="Q5542" s="14">
        <v>0</v>
      </c>
      <c r="R5542" s="143">
        <v>1000087594</v>
      </c>
      <c r="S5542" s="47"/>
      <c r="T5542" s="6">
        <v>6957.3899999999994</v>
      </c>
      <c r="U5542" s="6"/>
      <c r="V5542" s="6">
        <v>6957.3900000000012</v>
      </c>
      <c r="W5542" s="6">
        <f t="shared" si="865"/>
        <v>0</v>
      </c>
      <c r="X5542" s="6">
        <f t="shared" si="864"/>
        <v>6957.3900000000012</v>
      </c>
      <c r="Y5542" s="13">
        <f t="shared" si="869"/>
        <v>0</v>
      </c>
      <c r="Z5542" s="14">
        <v>0</v>
      </c>
      <c r="AA5542" s="6">
        <v>0</v>
      </c>
      <c r="AB5542" s="4">
        <f t="shared" si="870"/>
        <v>6957.3900000000012</v>
      </c>
      <c r="AC5542" s="6">
        <f t="shared" si="866"/>
        <v>0</v>
      </c>
      <c r="AD5542" s="6">
        <f t="shared" si="867"/>
        <v>6957.3900000000012</v>
      </c>
      <c r="AE5542" s="14">
        <f>VLOOKUP(I5542,[2]媒体政策预估表!A:N,MATCH(O5542,[2]媒体政策预估表!$A$2:$M$2,0),0)</f>
        <v>7.0000000000000007E-2</v>
      </c>
      <c r="AF5542" s="6">
        <f t="shared" si="872"/>
        <v>487.01730000000015</v>
      </c>
      <c r="AG5542" s="14">
        <v>0</v>
      </c>
      <c r="AH5542" s="64">
        <f t="shared" si="868"/>
        <v>6957.3900000000012</v>
      </c>
      <c r="AI5542" s="47"/>
      <c r="AJ5542" s="126" t="e">
        <v>#N/A</v>
      </c>
      <c r="AK5542" s="80">
        <f t="shared" si="871"/>
        <v>0</v>
      </c>
      <c r="AL5542" s="85"/>
      <c r="AM5542" s="85"/>
    </row>
    <row r="5543" spans="1:39" s="86" customFormat="1" ht="13.25" hidden="1" customHeight="1" x14ac:dyDescent="0.3">
      <c r="A5543" s="89" t="s">
        <v>3792</v>
      </c>
      <c r="B5543" s="86" t="s">
        <v>35</v>
      </c>
      <c r="C5543" s="86" t="s">
        <v>144</v>
      </c>
      <c r="D5543" s="86" t="s">
        <v>145</v>
      </c>
      <c r="E5543" s="86" t="s">
        <v>570</v>
      </c>
      <c r="F5543" s="86" t="s">
        <v>570</v>
      </c>
      <c r="G5543" s="86" t="s">
        <v>570</v>
      </c>
      <c r="H5543" s="144">
        <v>62</v>
      </c>
      <c r="I5543" s="86" t="s">
        <v>408</v>
      </c>
      <c r="J5543" s="1" t="s">
        <v>3324</v>
      </c>
      <c r="K5543" s="1" t="s">
        <v>3278</v>
      </c>
      <c r="L5543" s="1" t="s">
        <v>35</v>
      </c>
      <c r="M5543" s="86" t="s">
        <v>571</v>
      </c>
      <c r="O5543" s="47" t="s">
        <v>410</v>
      </c>
      <c r="P5543" s="14" t="s">
        <v>46</v>
      </c>
      <c r="Q5543" s="14">
        <v>0.01</v>
      </c>
      <c r="R5543" s="143">
        <v>1000100252</v>
      </c>
      <c r="S5543" s="47"/>
      <c r="T5543" s="6">
        <v>753.34000000000015</v>
      </c>
      <c r="U5543" s="6"/>
      <c r="V5543" s="6">
        <v>753.34</v>
      </c>
      <c r="W5543" s="6">
        <f t="shared" si="865"/>
        <v>0</v>
      </c>
      <c r="X5543" s="6">
        <f t="shared" si="864"/>
        <v>745.88118811881191</v>
      </c>
      <c r="Y5543" s="13">
        <f t="shared" si="869"/>
        <v>0</v>
      </c>
      <c r="Z5543" s="14">
        <v>0</v>
      </c>
      <c r="AA5543" s="6">
        <v>0</v>
      </c>
      <c r="AB5543" s="4">
        <f t="shared" si="870"/>
        <v>745.88118811881191</v>
      </c>
      <c r="AC5543" s="6">
        <f t="shared" si="866"/>
        <v>7.4588118811881259</v>
      </c>
      <c r="AD5543" s="6">
        <f t="shared" si="867"/>
        <v>753.34</v>
      </c>
      <c r="AE5543" s="14">
        <f>VLOOKUP(I5543,[2]媒体政策预估表!A:N,MATCH(O5543,[2]媒体政策预估表!$A$2:$M$2,0),0)</f>
        <v>7.0000000000000007E-2</v>
      </c>
      <c r="AF5543" s="6">
        <f t="shared" si="872"/>
        <v>52.733800000000009</v>
      </c>
      <c r="AG5543" s="14">
        <v>0</v>
      </c>
      <c r="AH5543" s="64">
        <f t="shared" si="868"/>
        <v>753.34</v>
      </c>
      <c r="AI5543" s="47"/>
      <c r="AJ5543" s="126" t="e">
        <v>#N/A</v>
      </c>
      <c r="AK5543" s="80">
        <f t="shared" si="871"/>
        <v>0</v>
      </c>
      <c r="AL5543" s="85"/>
      <c r="AM5543" s="85"/>
    </row>
    <row r="5544" spans="1:39" s="86" customFormat="1" ht="13.25" hidden="1" customHeight="1" x14ac:dyDescent="0.3">
      <c r="A5544" s="89" t="s">
        <v>3792</v>
      </c>
      <c r="B5544" s="86" t="s">
        <v>35</v>
      </c>
      <c r="C5544" s="86" t="s">
        <v>144</v>
      </c>
      <c r="D5544" s="86" t="s">
        <v>145</v>
      </c>
      <c r="E5544" s="86" t="s">
        <v>925</v>
      </c>
      <c r="F5544" s="86" t="s">
        <v>925</v>
      </c>
      <c r="G5544" s="86" t="s">
        <v>925</v>
      </c>
      <c r="H5544" s="143">
        <v>62</v>
      </c>
      <c r="I5544" s="86" t="s">
        <v>408</v>
      </c>
      <c r="J5544" s="1" t="s">
        <v>3324</v>
      </c>
      <c r="K5544" s="1" t="s">
        <v>3278</v>
      </c>
      <c r="L5544" s="1" t="s">
        <v>35</v>
      </c>
      <c r="M5544" s="86" t="s">
        <v>3457</v>
      </c>
      <c r="O5544" s="47" t="s">
        <v>410</v>
      </c>
      <c r="P5544" s="14" t="s">
        <v>41</v>
      </c>
      <c r="Q5544" s="14">
        <v>0</v>
      </c>
      <c r="R5544" s="143">
        <v>1000102619</v>
      </c>
      <c r="S5544" s="47"/>
      <c r="T5544" s="6">
        <v>9733.17</v>
      </c>
      <c r="U5544" s="6"/>
      <c r="V5544" s="6">
        <v>0</v>
      </c>
      <c r="W5544" s="6">
        <f t="shared" si="865"/>
        <v>9733.17</v>
      </c>
      <c r="X5544" s="6">
        <f t="shared" si="864"/>
        <v>0</v>
      </c>
      <c r="Y5544" s="13">
        <f t="shared" si="869"/>
        <v>0</v>
      </c>
      <c r="Z5544" s="14">
        <v>0</v>
      </c>
      <c r="AA5544" s="6">
        <v>0</v>
      </c>
      <c r="AB5544" s="4">
        <f t="shared" si="870"/>
        <v>0</v>
      </c>
      <c r="AC5544" s="6">
        <f t="shared" si="866"/>
        <v>0</v>
      </c>
      <c r="AD5544" s="6">
        <f t="shared" si="867"/>
        <v>0</v>
      </c>
      <c r="AE5544" s="14">
        <f>VLOOKUP(I5544,[2]媒体政策预估表!A:N,MATCH(O5544,[2]媒体政策预估表!$A$2:$M$2,0),0)</f>
        <v>7.0000000000000007E-2</v>
      </c>
      <c r="AF5544" s="6">
        <f t="shared" si="872"/>
        <v>0</v>
      </c>
      <c r="AG5544" s="14">
        <v>0</v>
      </c>
      <c r="AH5544" s="64">
        <f t="shared" si="868"/>
        <v>0</v>
      </c>
      <c r="AI5544" s="47"/>
      <c r="AJ5544" s="126" t="e">
        <v>#N/A</v>
      </c>
      <c r="AK5544" s="80">
        <f t="shared" si="871"/>
        <v>0</v>
      </c>
      <c r="AL5544" s="85"/>
      <c r="AM5544" s="85"/>
    </row>
    <row r="5545" spans="1:39" s="86" customFormat="1" ht="13.25" hidden="1" customHeight="1" x14ac:dyDescent="0.3">
      <c r="A5545" s="89" t="s">
        <v>3794</v>
      </c>
      <c r="B5545" s="86" t="s">
        <v>35</v>
      </c>
      <c r="C5545" s="86" t="s">
        <v>164</v>
      </c>
      <c r="D5545" s="86" t="s">
        <v>305</v>
      </c>
      <c r="E5545" s="86" t="s">
        <v>619</v>
      </c>
      <c r="F5545" s="86" t="s">
        <v>620</v>
      </c>
      <c r="G5545" s="86" t="s">
        <v>619</v>
      </c>
      <c r="H5545" s="143">
        <v>62</v>
      </c>
      <c r="I5545" s="86" t="s">
        <v>408</v>
      </c>
      <c r="J5545" s="1" t="s">
        <v>3324</v>
      </c>
      <c r="K5545" s="1" t="s">
        <v>3278</v>
      </c>
      <c r="L5545" s="1" t="s">
        <v>35</v>
      </c>
      <c r="M5545" s="86" t="s">
        <v>621</v>
      </c>
      <c r="O5545" s="47" t="s">
        <v>45</v>
      </c>
      <c r="P5545" s="14" t="s">
        <v>41</v>
      </c>
      <c r="Q5545" s="14">
        <v>0</v>
      </c>
      <c r="R5545" s="143">
        <v>1000061144</v>
      </c>
      <c r="S5545" s="47"/>
      <c r="T5545" s="6">
        <v>-12504.580000000002</v>
      </c>
      <c r="U5545" s="6"/>
      <c r="V5545" s="6">
        <v>0</v>
      </c>
      <c r="W5545" s="6">
        <f t="shared" si="865"/>
        <v>-12504.580000000002</v>
      </c>
      <c r="X5545" s="6">
        <f t="shared" si="864"/>
        <v>0</v>
      </c>
      <c r="Y5545" s="13">
        <f t="shared" si="869"/>
        <v>0</v>
      </c>
      <c r="Z5545" s="14">
        <v>0</v>
      </c>
      <c r="AA5545" s="6">
        <v>0</v>
      </c>
      <c r="AB5545" s="4">
        <f t="shared" si="870"/>
        <v>0</v>
      </c>
      <c r="AC5545" s="6">
        <f t="shared" si="866"/>
        <v>0</v>
      </c>
      <c r="AD5545" s="6">
        <f t="shared" si="867"/>
        <v>0</v>
      </c>
      <c r="AE5545" s="14">
        <f>VLOOKUP(I5545,[2]媒体政策预估表!A:N,MATCH(O5545,[2]媒体政策预估表!$A$2:$M$2,0),0)</f>
        <v>0.11</v>
      </c>
      <c r="AF5545" s="6">
        <f t="shared" si="872"/>
        <v>0</v>
      </c>
      <c r="AG5545" s="14">
        <v>0</v>
      </c>
      <c r="AH5545" s="64">
        <f t="shared" si="868"/>
        <v>0</v>
      </c>
      <c r="AI5545" s="47"/>
      <c r="AJ5545" s="126" t="e">
        <v>#N/A</v>
      </c>
      <c r="AK5545" s="80">
        <f t="shared" si="871"/>
        <v>0</v>
      </c>
      <c r="AL5545" s="85"/>
      <c r="AM5545" s="85"/>
    </row>
    <row r="5546" spans="1:39" s="86" customFormat="1" ht="13.25" hidden="1" customHeight="1" x14ac:dyDescent="0.3">
      <c r="A5546" s="89" t="s">
        <v>3792</v>
      </c>
      <c r="B5546" s="86" t="s">
        <v>35</v>
      </c>
      <c r="C5546" s="86" t="s">
        <v>164</v>
      </c>
      <c r="D5546" s="86" t="s">
        <v>305</v>
      </c>
      <c r="E5546" s="86" t="s">
        <v>619</v>
      </c>
      <c r="F5546" s="86" t="s">
        <v>620</v>
      </c>
      <c r="G5546" s="86" t="s">
        <v>619</v>
      </c>
      <c r="H5546" s="143">
        <v>62</v>
      </c>
      <c r="I5546" s="86" t="s">
        <v>408</v>
      </c>
      <c r="J5546" s="1" t="s">
        <v>3324</v>
      </c>
      <c r="K5546" s="1" t="s">
        <v>3278</v>
      </c>
      <c r="L5546" s="1" t="s">
        <v>35</v>
      </c>
      <c r="M5546" s="86" t="s">
        <v>621</v>
      </c>
      <c r="O5546" s="47" t="s">
        <v>410</v>
      </c>
      <c r="P5546" s="14" t="s">
        <v>41</v>
      </c>
      <c r="Q5546" s="14">
        <v>0</v>
      </c>
      <c r="R5546" s="143">
        <v>1000061144</v>
      </c>
      <c r="S5546" s="47"/>
      <c r="T5546" s="6">
        <v>23000</v>
      </c>
      <c r="U5546" s="6"/>
      <c r="V5546" s="6">
        <v>0</v>
      </c>
      <c r="W5546" s="6">
        <f t="shared" si="865"/>
        <v>23000</v>
      </c>
      <c r="X5546" s="6">
        <f t="shared" si="864"/>
        <v>0</v>
      </c>
      <c r="Y5546" s="13">
        <f t="shared" si="869"/>
        <v>0</v>
      </c>
      <c r="Z5546" s="14">
        <v>0</v>
      </c>
      <c r="AA5546" s="6">
        <v>0</v>
      </c>
      <c r="AB5546" s="4">
        <f t="shared" si="870"/>
        <v>0</v>
      </c>
      <c r="AC5546" s="6">
        <f t="shared" si="866"/>
        <v>0</v>
      </c>
      <c r="AD5546" s="6">
        <f t="shared" si="867"/>
        <v>0</v>
      </c>
      <c r="AE5546" s="14">
        <f>VLOOKUP(I5546,[2]媒体政策预估表!A:N,MATCH(O5546,[2]媒体政策预估表!$A$2:$M$2,0),0)</f>
        <v>7.0000000000000007E-2</v>
      </c>
      <c r="AF5546" s="6">
        <f t="shared" si="872"/>
        <v>0</v>
      </c>
      <c r="AG5546" s="14">
        <v>0</v>
      </c>
      <c r="AH5546" s="64">
        <f t="shared" si="868"/>
        <v>0</v>
      </c>
      <c r="AI5546" s="47"/>
      <c r="AJ5546" s="126" t="e">
        <v>#N/A</v>
      </c>
      <c r="AK5546" s="80">
        <f t="shared" si="871"/>
        <v>0</v>
      </c>
      <c r="AL5546" s="85"/>
      <c r="AM5546" s="85"/>
    </row>
    <row r="5547" spans="1:39" s="86" customFormat="1" ht="13.25" hidden="1" customHeight="1" x14ac:dyDescent="0.3">
      <c r="A5547" s="89" t="s">
        <v>3792</v>
      </c>
      <c r="B5547" s="86" t="s">
        <v>35</v>
      </c>
      <c r="C5547" s="86" t="s">
        <v>164</v>
      </c>
      <c r="D5547" s="86" t="s">
        <v>305</v>
      </c>
      <c r="E5547" s="86" t="s">
        <v>619</v>
      </c>
      <c r="F5547" s="86" t="s">
        <v>620</v>
      </c>
      <c r="G5547" s="86" t="s">
        <v>619</v>
      </c>
      <c r="H5547" s="143">
        <v>62</v>
      </c>
      <c r="I5547" s="86" t="s">
        <v>408</v>
      </c>
      <c r="J5547" s="1" t="s">
        <v>3324</v>
      </c>
      <c r="K5547" s="1" t="s">
        <v>3278</v>
      </c>
      <c r="L5547" s="1" t="s">
        <v>35</v>
      </c>
      <c r="M5547" s="86" t="s">
        <v>622</v>
      </c>
      <c r="O5547" s="47" t="s">
        <v>45</v>
      </c>
      <c r="P5547" s="14" t="s">
        <v>41</v>
      </c>
      <c r="Q5547" s="14">
        <v>0</v>
      </c>
      <c r="R5547" s="143">
        <v>1000067334</v>
      </c>
      <c r="S5547" s="47"/>
      <c r="T5547" s="6">
        <v>-28035.849999999595</v>
      </c>
      <c r="U5547" s="6"/>
      <c r="V5547" s="6">
        <v>0</v>
      </c>
      <c r="W5547" s="6">
        <f t="shared" si="865"/>
        <v>-28035.849999999595</v>
      </c>
      <c r="X5547" s="6">
        <f t="shared" si="864"/>
        <v>0</v>
      </c>
      <c r="Y5547" s="13">
        <f t="shared" si="869"/>
        <v>0</v>
      </c>
      <c r="Z5547" s="14">
        <v>0</v>
      </c>
      <c r="AA5547" s="6">
        <v>0</v>
      </c>
      <c r="AB5547" s="4">
        <f t="shared" si="870"/>
        <v>0</v>
      </c>
      <c r="AC5547" s="6">
        <f t="shared" si="866"/>
        <v>0</v>
      </c>
      <c r="AD5547" s="6">
        <f t="shared" si="867"/>
        <v>0</v>
      </c>
      <c r="AE5547" s="14">
        <f>VLOOKUP(I5547,[2]媒体政策预估表!A:N,MATCH(O5547,[2]媒体政策预估表!$A$2:$M$2,0),0)</f>
        <v>0.11</v>
      </c>
      <c r="AF5547" s="6">
        <f t="shared" si="872"/>
        <v>0</v>
      </c>
      <c r="AG5547" s="14">
        <v>0</v>
      </c>
      <c r="AH5547" s="64">
        <f t="shared" si="868"/>
        <v>0</v>
      </c>
      <c r="AI5547" s="47"/>
      <c r="AJ5547" s="126" t="e">
        <v>#N/A</v>
      </c>
      <c r="AK5547" s="80">
        <f t="shared" si="871"/>
        <v>0</v>
      </c>
      <c r="AL5547" s="85"/>
      <c r="AM5547" s="85"/>
    </row>
    <row r="5548" spans="1:39" s="86" customFormat="1" ht="13.25" hidden="1" customHeight="1" x14ac:dyDescent="0.3">
      <c r="A5548" s="89" t="s">
        <v>3794</v>
      </c>
      <c r="B5548" s="86" t="s">
        <v>35</v>
      </c>
      <c r="C5548" s="86" t="s">
        <v>164</v>
      </c>
      <c r="D5548" s="86" t="s">
        <v>305</v>
      </c>
      <c r="E5548" s="86" t="s">
        <v>619</v>
      </c>
      <c r="F5548" s="86" t="s">
        <v>620</v>
      </c>
      <c r="G5548" s="86" t="s">
        <v>619</v>
      </c>
      <c r="H5548" s="143">
        <v>62</v>
      </c>
      <c r="I5548" s="86" t="s">
        <v>408</v>
      </c>
      <c r="J5548" s="1" t="s">
        <v>3324</v>
      </c>
      <c r="K5548" s="1" t="s">
        <v>3278</v>
      </c>
      <c r="L5548" s="1" t="s">
        <v>35</v>
      </c>
      <c r="M5548" s="86" t="s">
        <v>622</v>
      </c>
      <c r="O5548" s="47" t="s">
        <v>410</v>
      </c>
      <c r="P5548" s="14" t="s">
        <v>41</v>
      </c>
      <c r="Q5548" s="14">
        <v>0</v>
      </c>
      <c r="R5548" s="143">
        <v>1000067334</v>
      </c>
      <c r="S5548" s="47"/>
      <c r="T5548" s="6">
        <v>38153.85</v>
      </c>
      <c r="U5548" s="6"/>
      <c r="V5548" s="6">
        <v>0</v>
      </c>
      <c r="W5548" s="6">
        <f t="shared" si="865"/>
        <v>38153.85</v>
      </c>
      <c r="X5548" s="6">
        <f t="shared" si="864"/>
        <v>0</v>
      </c>
      <c r="Y5548" s="13">
        <f t="shared" si="869"/>
        <v>0</v>
      </c>
      <c r="Z5548" s="14">
        <v>0</v>
      </c>
      <c r="AA5548" s="6">
        <v>0</v>
      </c>
      <c r="AB5548" s="4">
        <f t="shared" si="870"/>
        <v>0</v>
      </c>
      <c r="AC5548" s="6">
        <f t="shared" si="866"/>
        <v>0</v>
      </c>
      <c r="AD5548" s="6">
        <f t="shared" si="867"/>
        <v>0</v>
      </c>
      <c r="AE5548" s="14">
        <f>VLOOKUP(I5548,[2]媒体政策预估表!A:N,MATCH(O5548,[2]媒体政策预估表!$A$2:$M$2,0),0)</f>
        <v>7.0000000000000007E-2</v>
      </c>
      <c r="AF5548" s="6">
        <f t="shared" si="872"/>
        <v>0</v>
      </c>
      <c r="AG5548" s="14">
        <v>0</v>
      </c>
      <c r="AH5548" s="64">
        <f t="shared" si="868"/>
        <v>0</v>
      </c>
      <c r="AI5548" s="47"/>
      <c r="AJ5548" s="126" t="e">
        <v>#N/A</v>
      </c>
      <c r="AK5548" s="80">
        <f t="shared" si="871"/>
        <v>0</v>
      </c>
      <c r="AL5548" s="85"/>
      <c r="AM5548" s="85"/>
    </row>
    <row r="5549" spans="1:39" s="86" customFormat="1" ht="13.25" hidden="1" customHeight="1" x14ac:dyDescent="0.3">
      <c r="A5549" s="89" t="s">
        <v>3792</v>
      </c>
      <c r="B5549" s="86" t="s">
        <v>35</v>
      </c>
      <c r="C5549" s="86" t="s">
        <v>164</v>
      </c>
      <c r="D5549" s="86" t="s">
        <v>169</v>
      </c>
      <c r="E5549" s="86" t="s">
        <v>724</v>
      </c>
      <c r="F5549" s="86" t="s">
        <v>724</v>
      </c>
      <c r="G5549" s="86" t="s">
        <v>724</v>
      </c>
      <c r="H5549" s="144">
        <v>62</v>
      </c>
      <c r="I5549" s="86" t="s">
        <v>408</v>
      </c>
      <c r="J5549" s="1" t="s">
        <v>3324</v>
      </c>
      <c r="K5549" s="1" t="s">
        <v>3278</v>
      </c>
      <c r="L5549" s="1" t="s">
        <v>35</v>
      </c>
      <c r="M5549" s="86" t="s">
        <v>725</v>
      </c>
      <c r="O5549" s="47" t="s">
        <v>410</v>
      </c>
      <c r="P5549" s="14" t="s">
        <v>41</v>
      </c>
      <c r="Q5549" s="14">
        <v>0</v>
      </c>
      <c r="R5549" s="143">
        <v>1000099112</v>
      </c>
      <c r="S5549" s="47"/>
      <c r="T5549" s="6">
        <v>148469.36000000004</v>
      </c>
      <c r="U5549" s="6"/>
      <c r="V5549" s="6">
        <v>76541.609999999986</v>
      </c>
      <c r="W5549" s="6">
        <f t="shared" si="865"/>
        <v>71927.750000000058</v>
      </c>
      <c r="X5549" s="6">
        <f t="shared" si="864"/>
        <v>76541.609999999986</v>
      </c>
      <c r="Y5549" s="13">
        <f t="shared" si="869"/>
        <v>0</v>
      </c>
      <c r="Z5549" s="14">
        <v>0</v>
      </c>
      <c r="AA5549" s="6">
        <v>0</v>
      </c>
      <c r="AB5549" s="4">
        <f t="shared" si="870"/>
        <v>76541.609999999986</v>
      </c>
      <c r="AC5549" s="6">
        <f t="shared" si="866"/>
        <v>0</v>
      </c>
      <c r="AD5549" s="6">
        <f t="shared" si="867"/>
        <v>76541.609999999986</v>
      </c>
      <c r="AE5549" s="14">
        <f>VLOOKUP(I5549,[2]媒体政策预估表!A:N,MATCH(O5549,[2]媒体政策预估表!$A$2:$M$2,0),0)</f>
        <v>7.0000000000000007E-2</v>
      </c>
      <c r="AF5549" s="6">
        <f t="shared" si="872"/>
        <v>5357.9126999999999</v>
      </c>
      <c r="AG5549" s="14">
        <v>0</v>
      </c>
      <c r="AH5549" s="64">
        <f t="shared" si="868"/>
        <v>76541.609999999986</v>
      </c>
      <c r="AI5549" s="47"/>
      <c r="AJ5549" s="126" t="e">
        <v>#N/A</v>
      </c>
      <c r="AK5549" s="80">
        <f t="shared" si="871"/>
        <v>0</v>
      </c>
      <c r="AL5549" s="85"/>
      <c r="AM5549" s="85"/>
    </row>
    <row r="5550" spans="1:39" s="86" customFormat="1" ht="13.25" hidden="1" customHeight="1" x14ac:dyDescent="0.3">
      <c r="A5550" s="89" t="s">
        <v>3792</v>
      </c>
      <c r="B5550" s="86" t="s">
        <v>35</v>
      </c>
      <c r="C5550" s="86" t="s">
        <v>164</v>
      </c>
      <c r="D5550" s="86" t="s">
        <v>174</v>
      </c>
      <c r="E5550" s="86" t="s">
        <v>639</v>
      </c>
      <c r="F5550" s="86" t="s">
        <v>639</v>
      </c>
      <c r="G5550" s="86" t="s">
        <v>639</v>
      </c>
      <c r="H5550" s="143">
        <v>62</v>
      </c>
      <c r="I5550" s="86" t="s">
        <v>408</v>
      </c>
      <c r="J5550" s="1" t="s">
        <v>3324</v>
      </c>
      <c r="K5550" s="1" t="s">
        <v>3278</v>
      </c>
      <c r="L5550" s="1" t="s">
        <v>35</v>
      </c>
      <c r="M5550" s="86" t="s">
        <v>3461</v>
      </c>
      <c r="O5550" s="47" t="s">
        <v>45</v>
      </c>
      <c r="P5550" s="14" t="s">
        <v>46</v>
      </c>
      <c r="Q5550" s="14">
        <v>0.04</v>
      </c>
      <c r="R5550" s="143">
        <v>1000101954</v>
      </c>
      <c r="S5550" s="47"/>
      <c r="T5550" s="6">
        <v>4748.3600000000006</v>
      </c>
      <c r="U5550" s="6"/>
      <c r="V5550" s="6">
        <v>0</v>
      </c>
      <c r="W5550" s="6">
        <f t="shared" si="865"/>
        <v>4748.3600000000006</v>
      </c>
      <c r="X5550" s="6">
        <f t="shared" si="864"/>
        <v>0</v>
      </c>
      <c r="Y5550" s="13">
        <f t="shared" si="869"/>
        <v>0</v>
      </c>
      <c r="Z5550" s="14">
        <v>0</v>
      </c>
      <c r="AA5550" s="6">
        <v>0</v>
      </c>
      <c r="AB5550" s="4">
        <f t="shared" si="870"/>
        <v>0</v>
      </c>
      <c r="AC5550" s="6">
        <f t="shared" si="866"/>
        <v>0</v>
      </c>
      <c r="AD5550" s="6">
        <f t="shared" si="867"/>
        <v>0</v>
      </c>
      <c r="AE5550" s="14">
        <f>VLOOKUP(I5550,[2]媒体政策预估表!A:N,MATCH(O5550,[2]媒体政策预估表!$A$2:$M$2,0),0)</f>
        <v>0.11</v>
      </c>
      <c r="AF5550" s="6">
        <f t="shared" si="872"/>
        <v>0</v>
      </c>
      <c r="AG5550" s="14">
        <v>0</v>
      </c>
      <c r="AH5550" s="64">
        <f t="shared" si="868"/>
        <v>0</v>
      </c>
      <c r="AI5550" s="47"/>
      <c r="AJ5550" s="126" t="e">
        <v>#N/A</v>
      </c>
      <c r="AK5550" s="80">
        <f t="shared" si="871"/>
        <v>0</v>
      </c>
      <c r="AL5550" s="85"/>
      <c r="AM5550" s="85"/>
    </row>
    <row r="5551" spans="1:39" s="86" customFormat="1" ht="13.25" hidden="1" customHeight="1" x14ac:dyDescent="0.3">
      <c r="A5551" s="89" t="s">
        <v>3805</v>
      </c>
      <c r="B5551" s="86" t="s">
        <v>35</v>
      </c>
      <c r="C5551" s="86" t="s">
        <v>164</v>
      </c>
      <c r="D5551" s="86" t="s">
        <v>174</v>
      </c>
      <c r="E5551" s="86" t="s">
        <v>639</v>
      </c>
      <c r="F5551" s="86" t="s">
        <v>639</v>
      </c>
      <c r="G5551" s="86" t="s">
        <v>639</v>
      </c>
      <c r="H5551" s="143">
        <v>62</v>
      </c>
      <c r="I5551" s="86" t="s">
        <v>408</v>
      </c>
      <c r="J5551" s="1" t="s">
        <v>3324</v>
      </c>
      <c r="K5551" s="1" t="s">
        <v>3278</v>
      </c>
      <c r="L5551" s="1" t="s">
        <v>35</v>
      </c>
      <c r="M5551" s="86" t="s">
        <v>3462</v>
      </c>
      <c r="O5551" s="47" t="s">
        <v>45</v>
      </c>
      <c r="P5551" s="14" t="s">
        <v>46</v>
      </c>
      <c r="Q5551" s="14">
        <v>0.04</v>
      </c>
      <c r="R5551" s="143">
        <v>1000099353</v>
      </c>
      <c r="S5551" s="47"/>
      <c r="T5551" s="6">
        <v>5148.5200000000004</v>
      </c>
      <c r="U5551" s="6"/>
      <c r="V5551" s="6">
        <v>0</v>
      </c>
      <c r="W5551" s="6">
        <f t="shared" si="865"/>
        <v>5148.5200000000004</v>
      </c>
      <c r="X5551" s="6">
        <f t="shared" si="864"/>
        <v>0</v>
      </c>
      <c r="Y5551" s="13">
        <f t="shared" si="869"/>
        <v>0</v>
      </c>
      <c r="Z5551" s="14">
        <v>0</v>
      </c>
      <c r="AA5551" s="6">
        <v>0</v>
      </c>
      <c r="AB5551" s="4">
        <f t="shared" si="870"/>
        <v>0</v>
      </c>
      <c r="AC5551" s="6">
        <f t="shared" si="866"/>
        <v>0</v>
      </c>
      <c r="AD5551" s="6">
        <f t="shared" si="867"/>
        <v>0</v>
      </c>
      <c r="AE5551" s="14">
        <f>VLOOKUP(I5551,[2]媒体政策预估表!A:N,MATCH(O5551,[2]媒体政策预估表!$A$2:$M$2,0),0)</f>
        <v>0.11</v>
      </c>
      <c r="AF5551" s="6">
        <f t="shared" si="872"/>
        <v>0</v>
      </c>
      <c r="AG5551" s="14">
        <v>0</v>
      </c>
      <c r="AH5551" s="64">
        <f t="shared" si="868"/>
        <v>0</v>
      </c>
      <c r="AI5551" s="47"/>
      <c r="AJ5551" s="126" t="e">
        <v>#N/A</v>
      </c>
      <c r="AK5551" s="80">
        <f t="shared" si="871"/>
        <v>0</v>
      </c>
      <c r="AL5551" s="85"/>
      <c r="AM5551" s="85"/>
    </row>
    <row r="5552" spans="1:39" s="86" customFormat="1" ht="13.25" hidden="1" customHeight="1" x14ac:dyDescent="0.3">
      <c r="A5552" s="89" t="s">
        <v>3796</v>
      </c>
      <c r="B5552" s="86" t="s">
        <v>35</v>
      </c>
      <c r="C5552" s="86" t="s">
        <v>164</v>
      </c>
      <c r="D5552" s="86" t="s">
        <v>174</v>
      </c>
      <c r="E5552" s="86" t="s">
        <v>639</v>
      </c>
      <c r="F5552" s="86" t="s">
        <v>639</v>
      </c>
      <c r="G5552" s="86" t="s">
        <v>639</v>
      </c>
      <c r="H5552" s="143">
        <v>62</v>
      </c>
      <c r="I5552" s="86" t="s">
        <v>408</v>
      </c>
      <c r="J5552" s="1" t="s">
        <v>3324</v>
      </c>
      <c r="K5552" s="1" t="s">
        <v>3278</v>
      </c>
      <c r="L5552" s="1" t="s">
        <v>35</v>
      </c>
      <c r="M5552" s="86" t="s">
        <v>3463</v>
      </c>
      <c r="O5552" s="47" t="s">
        <v>45</v>
      </c>
      <c r="P5552" s="14" t="s">
        <v>46</v>
      </c>
      <c r="Q5552" s="14">
        <v>0.04</v>
      </c>
      <c r="R5552" s="143">
        <v>1000101951</v>
      </c>
      <c r="S5552" s="47"/>
      <c r="T5552" s="6">
        <v>4748.1100000000006</v>
      </c>
      <c r="U5552" s="6"/>
      <c r="V5552" s="6">
        <v>0</v>
      </c>
      <c r="W5552" s="6">
        <f t="shared" si="865"/>
        <v>4748.1100000000006</v>
      </c>
      <c r="X5552" s="6">
        <f t="shared" si="864"/>
        <v>0</v>
      </c>
      <c r="Y5552" s="13">
        <f t="shared" si="869"/>
        <v>0</v>
      </c>
      <c r="Z5552" s="14">
        <v>0</v>
      </c>
      <c r="AA5552" s="6">
        <v>0</v>
      </c>
      <c r="AB5552" s="4">
        <f t="shared" si="870"/>
        <v>0</v>
      </c>
      <c r="AC5552" s="6">
        <f t="shared" si="866"/>
        <v>0</v>
      </c>
      <c r="AD5552" s="6">
        <f t="shared" si="867"/>
        <v>0</v>
      </c>
      <c r="AE5552" s="14">
        <f>VLOOKUP(I5552,[2]媒体政策预估表!A:N,MATCH(O5552,[2]媒体政策预估表!$A$2:$M$2,0),0)</f>
        <v>0.11</v>
      </c>
      <c r="AF5552" s="6">
        <f t="shared" si="872"/>
        <v>0</v>
      </c>
      <c r="AG5552" s="14">
        <v>0</v>
      </c>
      <c r="AH5552" s="64">
        <f t="shared" si="868"/>
        <v>0</v>
      </c>
      <c r="AI5552" s="47"/>
      <c r="AJ5552" s="126" t="e">
        <v>#N/A</v>
      </c>
      <c r="AK5552" s="80">
        <f t="shared" si="871"/>
        <v>0</v>
      </c>
      <c r="AL5552" s="85"/>
      <c r="AM5552" s="85"/>
    </row>
    <row r="5553" spans="1:39" s="86" customFormat="1" ht="13.25" hidden="1" customHeight="1" x14ac:dyDescent="0.3">
      <c r="A5553" s="89" t="s">
        <v>3806</v>
      </c>
      <c r="B5553" s="86" t="s">
        <v>35</v>
      </c>
      <c r="C5553" s="86" t="s">
        <v>164</v>
      </c>
      <c r="D5553" s="86" t="s">
        <v>174</v>
      </c>
      <c r="E5553" s="86" t="s">
        <v>639</v>
      </c>
      <c r="F5553" s="86" t="s">
        <v>639</v>
      </c>
      <c r="G5553" s="86" t="s">
        <v>639</v>
      </c>
      <c r="H5553" s="143">
        <v>62</v>
      </c>
      <c r="I5553" s="86" t="s">
        <v>408</v>
      </c>
      <c r="J5553" s="1" t="s">
        <v>3324</v>
      </c>
      <c r="K5553" s="1" t="s">
        <v>3278</v>
      </c>
      <c r="L5553" s="1" t="s">
        <v>35</v>
      </c>
      <c r="M5553" s="86" t="s">
        <v>3464</v>
      </c>
      <c r="O5553" s="47" t="s">
        <v>45</v>
      </c>
      <c r="P5553" s="14" t="s">
        <v>46</v>
      </c>
      <c r="Q5553" s="14">
        <v>0.04</v>
      </c>
      <c r="R5553" s="143">
        <v>1000099351</v>
      </c>
      <c r="S5553" s="47"/>
      <c r="T5553" s="6">
        <v>5148.5200000000004</v>
      </c>
      <c r="U5553" s="6"/>
      <c r="V5553" s="6">
        <v>0</v>
      </c>
      <c r="W5553" s="6">
        <f t="shared" si="865"/>
        <v>5148.5200000000004</v>
      </c>
      <c r="X5553" s="6">
        <f t="shared" si="864"/>
        <v>0</v>
      </c>
      <c r="Y5553" s="13">
        <f t="shared" si="869"/>
        <v>0</v>
      </c>
      <c r="Z5553" s="14">
        <v>0</v>
      </c>
      <c r="AA5553" s="6">
        <v>0</v>
      </c>
      <c r="AB5553" s="4">
        <f t="shared" si="870"/>
        <v>0</v>
      </c>
      <c r="AC5553" s="6">
        <f t="shared" si="866"/>
        <v>0</v>
      </c>
      <c r="AD5553" s="6">
        <f t="shared" si="867"/>
        <v>0</v>
      </c>
      <c r="AE5553" s="14">
        <f>VLOOKUP(I5553,[2]媒体政策预估表!A:N,MATCH(O5553,[2]媒体政策预估表!$A$2:$M$2,0),0)</f>
        <v>0.11</v>
      </c>
      <c r="AF5553" s="6">
        <f t="shared" si="872"/>
        <v>0</v>
      </c>
      <c r="AG5553" s="14">
        <v>0</v>
      </c>
      <c r="AH5553" s="64">
        <f t="shared" si="868"/>
        <v>0</v>
      </c>
      <c r="AI5553" s="47"/>
      <c r="AJ5553" s="126" t="e">
        <v>#N/A</v>
      </c>
      <c r="AK5553" s="80">
        <f t="shared" si="871"/>
        <v>0</v>
      </c>
      <c r="AL5553" s="85"/>
      <c r="AM5553" s="85"/>
    </row>
    <row r="5554" spans="1:39" s="86" customFormat="1" ht="13.25" hidden="1" customHeight="1" x14ac:dyDescent="0.3">
      <c r="A5554" s="89" t="s">
        <v>3806</v>
      </c>
      <c r="B5554" s="86" t="s">
        <v>35</v>
      </c>
      <c r="C5554" s="86" t="s">
        <v>164</v>
      </c>
      <c r="D5554" s="86" t="s">
        <v>174</v>
      </c>
      <c r="E5554" s="86" t="s">
        <v>659</v>
      </c>
      <c r="F5554" s="86" t="s">
        <v>660</v>
      </c>
      <c r="G5554" s="86" t="s">
        <v>659</v>
      </c>
      <c r="H5554" s="143">
        <v>62</v>
      </c>
      <c r="I5554" s="86" t="s">
        <v>408</v>
      </c>
      <c r="J5554" s="1" t="s">
        <v>3324</v>
      </c>
      <c r="K5554" s="1" t="s">
        <v>3278</v>
      </c>
      <c r="L5554" s="1" t="s">
        <v>35</v>
      </c>
      <c r="M5554" s="86" t="s">
        <v>663</v>
      </c>
      <c r="O5554" s="47" t="s">
        <v>45</v>
      </c>
      <c r="P5554" s="14" t="s">
        <v>46</v>
      </c>
      <c r="Q5554" s="14">
        <v>0.05</v>
      </c>
      <c r="R5554" s="143">
        <v>1000084820</v>
      </c>
      <c r="S5554" s="47"/>
      <c r="T5554" s="6">
        <v>2536.8000000000002</v>
      </c>
      <c r="U5554" s="6"/>
      <c r="V5554" s="6">
        <v>0</v>
      </c>
      <c r="W5554" s="6">
        <f t="shared" si="865"/>
        <v>2536.8000000000002</v>
      </c>
      <c r="X5554" s="6">
        <f t="shared" si="864"/>
        <v>0</v>
      </c>
      <c r="Y5554" s="13">
        <f t="shared" si="869"/>
        <v>0</v>
      </c>
      <c r="Z5554" s="14">
        <v>0</v>
      </c>
      <c r="AA5554" s="6">
        <v>0</v>
      </c>
      <c r="AB5554" s="4">
        <f t="shared" si="870"/>
        <v>0</v>
      </c>
      <c r="AC5554" s="6">
        <f t="shared" si="866"/>
        <v>0</v>
      </c>
      <c r="AD5554" s="6">
        <f t="shared" si="867"/>
        <v>0</v>
      </c>
      <c r="AE5554" s="14">
        <f>VLOOKUP(I5554,[2]媒体政策预估表!A:N,MATCH(O5554,[2]媒体政策预估表!$A$2:$M$2,0),0)</f>
        <v>0.11</v>
      </c>
      <c r="AF5554" s="6">
        <f t="shared" si="872"/>
        <v>0</v>
      </c>
      <c r="AG5554" s="14">
        <v>0</v>
      </c>
      <c r="AH5554" s="64">
        <f t="shared" si="868"/>
        <v>0</v>
      </c>
      <c r="AI5554" s="47"/>
      <c r="AJ5554" s="126" t="e">
        <v>#N/A</v>
      </c>
      <c r="AK5554" s="80">
        <f t="shared" si="871"/>
        <v>0</v>
      </c>
      <c r="AL5554" s="85"/>
      <c r="AM5554" s="85"/>
    </row>
    <row r="5555" spans="1:39" s="86" customFormat="1" ht="13.25" hidden="1" customHeight="1" x14ac:dyDescent="0.3">
      <c r="A5555" s="89" t="s">
        <v>3805</v>
      </c>
      <c r="B5555" s="86" t="s">
        <v>35</v>
      </c>
      <c r="C5555" s="86" t="s">
        <v>164</v>
      </c>
      <c r="D5555" s="86" t="s">
        <v>174</v>
      </c>
      <c r="E5555" s="86" t="s">
        <v>664</v>
      </c>
      <c r="F5555" s="86" t="s">
        <v>664</v>
      </c>
      <c r="G5555" s="86" t="s">
        <v>664</v>
      </c>
      <c r="H5555" s="144">
        <v>62</v>
      </c>
      <c r="I5555" s="86" t="s">
        <v>408</v>
      </c>
      <c r="J5555" s="1" t="s">
        <v>3324</v>
      </c>
      <c r="K5555" s="1" t="s">
        <v>3278</v>
      </c>
      <c r="L5555" s="1" t="s">
        <v>35</v>
      </c>
      <c r="M5555" s="86" t="s">
        <v>665</v>
      </c>
      <c r="O5555" s="47" t="s">
        <v>410</v>
      </c>
      <c r="P5555" s="14" t="s">
        <v>46</v>
      </c>
      <c r="Q5555" s="14">
        <v>0.02</v>
      </c>
      <c r="R5555" s="143">
        <v>1000057295</v>
      </c>
      <c r="S5555" s="47"/>
      <c r="T5555" s="6">
        <v>501051.50000000012</v>
      </c>
      <c r="U5555" s="6"/>
      <c r="V5555" s="6">
        <v>355166.17</v>
      </c>
      <c r="W5555" s="6">
        <f t="shared" si="865"/>
        <v>145885.33000000013</v>
      </c>
      <c r="X5555" s="6">
        <f t="shared" si="864"/>
        <v>348202.12745098036</v>
      </c>
      <c r="Y5555" s="13">
        <f t="shared" si="869"/>
        <v>0</v>
      </c>
      <c r="Z5555" s="14">
        <v>0</v>
      </c>
      <c r="AA5555" s="6">
        <v>0</v>
      </c>
      <c r="AB5555" s="4">
        <f t="shared" si="870"/>
        <v>348202.12745098036</v>
      </c>
      <c r="AC5555" s="6">
        <f t="shared" si="866"/>
        <v>6964.0425490196212</v>
      </c>
      <c r="AD5555" s="6">
        <f t="shared" si="867"/>
        <v>355166.17</v>
      </c>
      <c r="AE5555" s="14">
        <f>VLOOKUP(I5555,[2]媒体政策预估表!A:N,MATCH(O5555,[2]媒体政策预估表!$A$2:$M$2,0),0)</f>
        <v>7.0000000000000007E-2</v>
      </c>
      <c r="AF5555" s="6">
        <f t="shared" si="872"/>
        <v>24861.6319</v>
      </c>
      <c r="AG5555" s="14">
        <v>0</v>
      </c>
      <c r="AH5555" s="64">
        <f t="shared" si="868"/>
        <v>355166.17</v>
      </c>
      <c r="AI5555" s="47"/>
      <c r="AJ5555" s="126" t="e">
        <v>#N/A</v>
      </c>
      <c r="AK5555" s="80">
        <f t="shared" si="871"/>
        <v>0</v>
      </c>
      <c r="AL5555" s="85"/>
      <c r="AM5555" s="85"/>
    </row>
    <row r="5556" spans="1:39" s="86" customFormat="1" ht="13.25" hidden="1" customHeight="1" x14ac:dyDescent="0.3">
      <c r="A5556" s="89" t="s">
        <v>3796</v>
      </c>
      <c r="B5556" s="86" t="s">
        <v>35</v>
      </c>
      <c r="C5556" s="86" t="s">
        <v>164</v>
      </c>
      <c r="D5556" s="86" t="s">
        <v>174</v>
      </c>
      <c r="E5556" s="86" t="s">
        <v>664</v>
      </c>
      <c r="F5556" s="86" t="s">
        <v>664</v>
      </c>
      <c r="G5556" s="86" t="s">
        <v>664</v>
      </c>
      <c r="H5556" s="144">
        <v>62</v>
      </c>
      <c r="I5556" s="86" t="s">
        <v>408</v>
      </c>
      <c r="J5556" s="1" t="s">
        <v>3324</v>
      </c>
      <c r="K5556" s="1" t="s">
        <v>3278</v>
      </c>
      <c r="L5556" s="1" t="s">
        <v>35</v>
      </c>
      <c r="M5556" s="86" t="s">
        <v>3471</v>
      </c>
      <c r="O5556" s="47" t="s">
        <v>45</v>
      </c>
      <c r="P5556" s="14" t="s">
        <v>46</v>
      </c>
      <c r="Q5556" s="14">
        <v>0.05</v>
      </c>
      <c r="R5556" s="143">
        <v>1000072150</v>
      </c>
      <c r="S5556" s="47"/>
      <c r="T5556" s="6">
        <v>148257.65000000002</v>
      </c>
      <c r="U5556" s="6"/>
      <c r="V5556" s="6">
        <v>148257.65000000002</v>
      </c>
      <c r="W5556" s="6">
        <f t="shared" si="865"/>
        <v>0</v>
      </c>
      <c r="X5556" s="6">
        <f t="shared" si="864"/>
        <v>141197.76190476192</v>
      </c>
      <c r="Y5556" s="13">
        <f t="shared" si="869"/>
        <v>0</v>
      </c>
      <c r="Z5556" s="14">
        <v>0</v>
      </c>
      <c r="AA5556" s="6">
        <v>0</v>
      </c>
      <c r="AB5556" s="4">
        <f t="shared" si="870"/>
        <v>141197.76190476192</v>
      </c>
      <c r="AC5556" s="6">
        <f t="shared" si="866"/>
        <v>7059.8880952381005</v>
      </c>
      <c r="AD5556" s="6">
        <f t="shared" si="867"/>
        <v>148257.65000000002</v>
      </c>
      <c r="AE5556" s="14">
        <f>VLOOKUP(I5556,[2]媒体政策预估表!A:N,MATCH(O5556,[2]媒体政策预估表!$A$2:$M$2,0),0)</f>
        <v>0.11</v>
      </c>
      <c r="AF5556" s="6">
        <f t="shared" si="872"/>
        <v>16308.341500000002</v>
      </c>
      <c r="AG5556" s="14">
        <v>0</v>
      </c>
      <c r="AH5556" s="64">
        <f t="shared" si="868"/>
        <v>148257.65000000002</v>
      </c>
      <c r="AI5556" s="47"/>
      <c r="AJ5556" s="126" t="e">
        <v>#N/A</v>
      </c>
      <c r="AK5556" s="80">
        <f t="shared" si="871"/>
        <v>0</v>
      </c>
      <c r="AL5556" s="85"/>
      <c r="AM5556" s="85"/>
    </row>
    <row r="5557" spans="1:39" s="86" customFormat="1" ht="13.25" hidden="1" customHeight="1" x14ac:dyDescent="0.3">
      <c r="A5557" s="89" t="s">
        <v>3792</v>
      </c>
      <c r="B5557" s="86" t="s">
        <v>35</v>
      </c>
      <c r="C5557" s="86" t="s">
        <v>164</v>
      </c>
      <c r="D5557" s="86" t="s">
        <v>174</v>
      </c>
      <c r="E5557" s="86" t="s">
        <v>3472</v>
      </c>
      <c r="F5557" s="86" t="s">
        <v>3473</v>
      </c>
      <c r="G5557" s="86" t="s">
        <v>3472</v>
      </c>
      <c r="H5557" s="144">
        <v>62</v>
      </c>
      <c r="I5557" s="86" t="s">
        <v>408</v>
      </c>
      <c r="J5557" s="1" t="s">
        <v>3324</v>
      </c>
      <c r="K5557" s="1" t="s">
        <v>3278</v>
      </c>
      <c r="L5557" s="1" t="s">
        <v>35</v>
      </c>
      <c r="M5557" s="86" t="s">
        <v>672</v>
      </c>
      <c r="O5557" s="47" t="s">
        <v>410</v>
      </c>
      <c r="P5557" s="14" t="s">
        <v>41</v>
      </c>
      <c r="Q5557" s="14">
        <v>0</v>
      </c>
      <c r="R5557" s="143">
        <v>1000097764</v>
      </c>
      <c r="S5557" s="47"/>
      <c r="T5557" s="6">
        <v>24658.599999999991</v>
      </c>
      <c r="U5557" s="6"/>
      <c r="V5557" s="6">
        <v>24658.599999999991</v>
      </c>
      <c r="W5557" s="6">
        <f t="shared" si="865"/>
        <v>0</v>
      </c>
      <c r="X5557" s="6">
        <f t="shared" si="864"/>
        <v>24658.599999999991</v>
      </c>
      <c r="Y5557" s="13">
        <f t="shared" si="869"/>
        <v>0</v>
      </c>
      <c r="Z5557" s="14">
        <v>0</v>
      </c>
      <c r="AA5557" s="6">
        <v>0</v>
      </c>
      <c r="AB5557" s="4">
        <f t="shared" si="870"/>
        <v>24658.599999999991</v>
      </c>
      <c r="AC5557" s="6">
        <f t="shared" si="866"/>
        <v>0</v>
      </c>
      <c r="AD5557" s="6">
        <f t="shared" si="867"/>
        <v>24658.599999999991</v>
      </c>
      <c r="AE5557" s="14">
        <f>VLOOKUP(I5557,[2]媒体政策预估表!A:N,MATCH(O5557,[2]媒体政策预估表!$A$2:$M$2,0),0)</f>
        <v>7.0000000000000007E-2</v>
      </c>
      <c r="AF5557" s="6">
        <f t="shared" si="872"/>
        <v>1726.1019999999996</v>
      </c>
      <c r="AG5557" s="14">
        <v>0</v>
      </c>
      <c r="AH5557" s="64">
        <f t="shared" si="868"/>
        <v>24658.599999999991</v>
      </c>
      <c r="AI5557" s="47"/>
      <c r="AJ5557" s="126" t="e">
        <v>#N/A</v>
      </c>
      <c r="AK5557" s="80">
        <f t="shared" si="871"/>
        <v>0</v>
      </c>
      <c r="AL5557" s="85"/>
      <c r="AM5557" s="85"/>
    </row>
    <row r="5558" spans="1:39" s="86" customFormat="1" ht="13.25" hidden="1" customHeight="1" x14ac:dyDescent="0.3">
      <c r="A5558" s="89" t="s">
        <v>3852</v>
      </c>
      <c r="B5558" s="86" t="s">
        <v>35</v>
      </c>
      <c r="C5558" s="86" t="s">
        <v>164</v>
      </c>
      <c r="D5558" s="86" t="s">
        <v>174</v>
      </c>
      <c r="E5558" s="86" t="s">
        <v>668</v>
      </c>
      <c r="F5558" s="86" t="s">
        <v>668</v>
      </c>
      <c r="G5558" s="86" t="s">
        <v>668</v>
      </c>
      <c r="H5558" s="144">
        <v>62</v>
      </c>
      <c r="I5558" s="86" t="s">
        <v>408</v>
      </c>
      <c r="J5558" s="1" t="s">
        <v>3324</v>
      </c>
      <c r="K5558" s="1" t="s">
        <v>3278</v>
      </c>
      <c r="L5558" s="1" t="s">
        <v>35</v>
      </c>
      <c r="M5558" s="86" t="s">
        <v>670</v>
      </c>
      <c r="O5558" s="47" t="s">
        <v>410</v>
      </c>
      <c r="P5558" s="14" t="s">
        <v>46</v>
      </c>
      <c r="Q5558" s="14">
        <v>0.02</v>
      </c>
      <c r="R5558" s="143">
        <v>1000098963</v>
      </c>
      <c r="S5558" s="47"/>
      <c r="T5558" s="6">
        <v>1865.6000000000004</v>
      </c>
      <c r="U5558" s="6"/>
      <c r="V5558" s="6">
        <v>1506.6999999999996</v>
      </c>
      <c r="W5558" s="6">
        <f t="shared" si="865"/>
        <v>358.90000000000077</v>
      </c>
      <c r="X5558" s="6">
        <f t="shared" si="864"/>
        <v>1477.1568627450977</v>
      </c>
      <c r="Y5558" s="13">
        <f t="shared" si="869"/>
        <v>0</v>
      </c>
      <c r="Z5558" s="14">
        <v>0</v>
      </c>
      <c r="AA5558" s="6">
        <v>0</v>
      </c>
      <c r="AB5558" s="4">
        <f t="shared" si="870"/>
        <v>1477.1568627450977</v>
      </c>
      <c r="AC5558" s="6">
        <f t="shared" si="866"/>
        <v>29.543137254901922</v>
      </c>
      <c r="AD5558" s="6">
        <f t="shared" si="867"/>
        <v>1506.6999999999996</v>
      </c>
      <c r="AE5558" s="14">
        <f>VLOOKUP(I5558,[2]媒体政策预估表!A:N,MATCH(O5558,[2]媒体政策预估表!$A$2:$M$2,0),0)</f>
        <v>7.0000000000000007E-2</v>
      </c>
      <c r="AF5558" s="6">
        <f t="shared" si="872"/>
        <v>105.46899999999998</v>
      </c>
      <c r="AG5558" s="14">
        <v>0</v>
      </c>
      <c r="AH5558" s="64">
        <f t="shared" si="868"/>
        <v>1506.6999999999996</v>
      </c>
      <c r="AI5558" s="47"/>
      <c r="AJ5558" s="126" t="e">
        <v>#N/A</v>
      </c>
      <c r="AK5558" s="80">
        <f t="shared" si="871"/>
        <v>0</v>
      </c>
      <c r="AL5558" s="85"/>
      <c r="AM5558" s="85"/>
    </row>
    <row r="5559" spans="1:39" s="86" customFormat="1" ht="13.25" hidden="1" customHeight="1" x14ac:dyDescent="0.3">
      <c r="A5559" s="89" t="s">
        <v>3794</v>
      </c>
      <c r="B5559" s="86" t="s">
        <v>35</v>
      </c>
      <c r="C5559" s="86" t="s">
        <v>164</v>
      </c>
      <c r="D5559" s="86" t="s">
        <v>174</v>
      </c>
      <c r="E5559" s="86" t="s">
        <v>671</v>
      </c>
      <c r="F5559" s="86" t="s">
        <v>671</v>
      </c>
      <c r="G5559" s="86" t="s">
        <v>671</v>
      </c>
      <c r="H5559" s="143">
        <v>62</v>
      </c>
      <c r="I5559" s="86" t="s">
        <v>408</v>
      </c>
      <c r="J5559" s="1" t="s">
        <v>3324</v>
      </c>
      <c r="K5559" s="1" t="s">
        <v>3278</v>
      </c>
      <c r="L5559" s="1" t="s">
        <v>35</v>
      </c>
      <c r="M5559" s="86" t="s">
        <v>728</v>
      </c>
      <c r="O5559" s="47" t="s">
        <v>410</v>
      </c>
      <c r="P5559" s="14" t="s">
        <v>41</v>
      </c>
      <c r="Q5559" s="14">
        <v>0</v>
      </c>
      <c r="R5559" s="143">
        <v>1000095476</v>
      </c>
      <c r="S5559" s="47"/>
      <c r="T5559" s="6">
        <v>35689.5</v>
      </c>
      <c r="U5559" s="6"/>
      <c r="V5559" s="6">
        <v>35689.5</v>
      </c>
      <c r="W5559" s="6">
        <f t="shared" si="865"/>
        <v>0</v>
      </c>
      <c r="X5559" s="6">
        <f t="shared" si="864"/>
        <v>35689.5</v>
      </c>
      <c r="Y5559" s="13">
        <f t="shared" si="869"/>
        <v>0</v>
      </c>
      <c r="Z5559" s="14">
        <v>0</v>
      </c>
      <c r="AA5559" s="6">
        <v>0</v>
      </c>
      <c r="AB5559" s="4"/>
      <c r="AC5559" s="6">
        <f t="shared" si="866"/>
        <v>0</v>
      </c>
      <c r="AD5559" s="6">
        <f t="shared" si="867"/>
        <v>35689.5</v>
      </c>
      <c r="AE5559" s="14">
        <f>VLOOKUP(I5559,[2]媒体政策预估表!A:N,MATCH(O5559,[2]媒体政策预估表!$A$2:$M$2,0),0)</f>
        <v>7.0000000000000007E-2</v>
      </c>
      <c r="AF5559" s="6">
        <f t="shared" si="872"/>
        <v>2498.2650000000003</v>
      </c>
      <c r="AG5559" s="14">
        <v>0</v>
      </c>
      <c r="AH5559" s="64">
        <f t="shared" si="868"/>
        <v>35689.5</v>
      </c>
      <c r="AI5559" s="47"/>
      <c r="AJ5559" s="126">
        <v>109</v>
      </c>
      <c r="AK5559" s="80">
        <f t="shared" si="871"/>
        <v>35689.5</v>
      </c>
      <c r="AL5559" s="85"/>
      <c r="AM5559" s="85"/>
    </row>
    <row r="5560" spans="1:39" s="86" customFormat="1" ht="13.25" hidden="1" customHeight="1" x14ac:dyDescent="0.3">
      <c r="A5560" s="89" t="s">
        <v>3794</v>
      </c>
      <c r="B5560" s="86" t="s">
        <v>35</v>
      </c>
      <c r="C5560" s="86" t="s">
        <v>164</v>
      </c>
      <c r="D5560" s="86" t="s">
        <v>174</v>
      </c>
      <c r="E5560" s="86" t="s">
        <v>676</v>
      </c>
      <c r="F5560" s="86" t="s">
        <v>676</v>
      </c>
      <c r="G5560" s="86" t="s">
        <v>676</v>
      </c>
      <c r="H5560" s="143">
        <v>62</v>
      </c>
      <c r="I5560" s="86" t="s">
        <v>408</v>
      </c>
      <c r="J5560" s="1" t="s">
        <v>3324</v>
      </c>
      <c r="K5560" s="1" t="s">
        <v>3278</v>
      </c>
      <c r="L5560" s="1" t="s">
        <v>35</v>
      </c>
      <c r="M5560" s="86" t="s">
        <v>3476</v>
      </c>
      <c r="O5560" s="47" t="s">
        <v>45</v>
      </c>
      <c r="P5560" s="14" t="s">
        <v>41</v>
      </c>
      <c r="Q5560" s="14">
        <v>0</v>
      </c>
      <c r="R5560" s="143">
        <v>1000102532</v>
      </c>
      <c r="S5560" s="47"/>
      <c r="T5560" s="6">
        <v>4499.8999999999996</v>
      </c>
      <c r="U5560" s="6"/>
      <c r="V5560" s="6">
        <v>0</v>
      </c>
      <c r="W5560" s="6">
        <f t="shared" si="865"/>
        <v>4499.8999999999996</v>
      </c>
      <c r="X5560" s="6">
        <f t="shared" si="864"/>
        <v>0</v>
      </c>
      <c r="Y5560" s="13">
        <f t="shared" si="869"/>
        <v>0</v>
      </c>
      <c r="Z5560" s="14">
        <v>0</v>
      </c>
      <c r="AA5560" s="6">
        <v>0</v>
      </c>
      <c r="AB5560" s="4">
        <f t="shared" si="870"/>
        <v>0</v>
      </c>
      <c r="AC5560" s="6">
        <f t="shared" si="866"/>
        <v>0</v>
      </c>
      <c r="AD5560" s="6">
        <f t="shared" si="867"/>
        <v>0</v>
      </c>
      <c r="AE5560" s="14">
        <f>VLOOKUP(I5560,[2]媒体政策预估表!A:N,MATCH(O5560,[2]媒体政策预估表!$A$2:$M$2,0),0)</f>
        <v>0.11</v>
      </c>
      <c r="AF5560" s="6">
        <f t="shared" si="872"/>
        <v>0</v>
      </c>
      <c r="AG5560" s="14">
        <v>0</v>
      </c>
      <c r="AH5560" s="64">
        <f t="shared" si="868"/>
        <v>0</v>
      </c>
      <c r="AI5560" s="47"/>
      <c r="AJ5560" s="126" t="e">
        <v>#N/A</v>
      </c>
      <c r="AK5560" s="80">
        <f t="shared" si="871"/>
        <v>0</v>
      </c>
      <c r="AL5560" s="85"/>
      <c r="AM5560" s="85"/>
    </row>
    <row r="5561" spans="1:39" s="86" customFormat="1" ht="13.25" hidden="1" customHeight="1" x14ac:dyDescent="0.3">
      <c r="A5561" s="89" t="s">
        <v>3794</v>
      </c>
      <c r="B5561" s="86" t="s">
        <v>35</v>
      </c>
      <c r="C5561" s="86" t="s">
        <v>164</v>
      </c>
      <c r="D5561" s="86" t="s">
        <v>174</v>
      </c>
      <c r="E5561" s="86" t="s">
        <v>681</v>
      </c>
      <c r="F5561" s="86" t="s">
        <v>681</v>
      </c>
      <c r="G5561" s="86" t="s">
        <v>681</v>
      </c>
      <c r="H5561" s="144">
        <v>62</v>
      </c>
      <c r="I5561" s="86" t="s">
        <v>408</v>
      </c>
      <c r="J5561" s="1" t="s">
        <v>3324</v>
      </c>
      <c r="K5561" s="1" t="s">
        <v>3278</v>
      </c>
      <c r="L5561" s="1" t="s">
        <v>35</v>
      </c>
      <c r="M5561" s="86" t="s">
        <v>682</v>
      </c>
      <c r="O5561" s="47" t="s">
        <v>410</v>
      </c>
      <c r="P5561" s="14" t="s">
        <v>46</v>
      </c>
      <c r="Q5561" s="14">
        <v>0.02</v>
      </c>
      <c r="R5561" s="143">
        <v>1000099307</v>
      </c>
      <c r="S5561" s="47"/>
      <c r="T5561" s="6">
        <v>8093</v>
      </c>
      <c r="U5561" s="6"/>
      <c r="V5561" s="6">
        <v>7139.83</v>
      </c>
      <c r="W5561" s="6">
        <f t="shared" si="865"/>
        <v>953.17000000000007</v>
      </c>
      <c r="X5561" s="6">
        <f t="shared" si="864"/>
        <v>6999.833333333333</v>
      </c>
      <c r="Y5561" s="13">
        <f t="shared" si="869"/>
        <v>0</v>
      </c>
      <c r="Z5561" s="14">
        <v>0</v>
      </c>
      <c r="AA5561" s="6">
        <v>0</v>
      </c>
      <c r="AB5561" s="4">
        <f t="shared" si="870"/>
        <v>6999.833333333333</v>
      </c>
      <c r="AC5561" s="6">
        <f t="shared" si="866"/>
        <v>139.9966666666669</v>
      </c>
      <c r="AD5561" s="6">
        <f t="shared" si="867"/>
        <v>7139.83</v>
      </c>
      <c r="AE5561" s="14">
        <f>VLOOKUP(I5561,[2]媒体政策预估表!A:N,MATCH(O5561,[2]媒体政策预估表!$A$2:$M$2,0),0)</f>
        <v>7.0000000000000007E-2</v>
      </c>
      <c r="AF5561" s="6">
        <f t="shared" si="872"/>
        <v>499.78810000000004</v>
      </c>
      <c r="AG5561" s="14">
        <v>0</v>
      </c>
      <c r="AH5561" s="64">
        <f t="shared" si="868"/>
        <v>7139.83</v>
      </c>
      <c r="AI5561" s="47"/>
      <c r="AJ5561" s="126" t="e">
        <v>#N/A</v>
      </c>
      <c r="AK5561" s="80">
        <f t="shared" si="871"/>
        <v>0</v>
      </c>
      <c r="AL5561" s="85"/>
      <c r="AM5561" s="85"/>
    </row>
    <row r="5562" spans="1:39" s="86" customFormat="1" ht="13.25" hidden="1" customHeight="1" x14ac:dyDescent="0.3">
      <c r="A5562" s="89" t="s">
        <v>3792</v>
      </c>
      <c r="B5562" s="86" t="s">
        <v>35</v>
      </c>
      <c r="C5562" s="86" t="s">
        <v>184</v>
      </c>
      <c r="D5562" s="86" t="s">
        <v>54</v>
      </c>
      <c r="E5562" s="86" t="s">
        <v>447</v>
      </c>
      <c r="F5562" s="86" t="s">
        <v>447</v>
      </c>
      <c r="G5562" s="86" t="s">
        <v>447</v>
      </c>
      <c r="H5562" s="143">
        <v>62</v>
      </c>
      <c r="I5562" s="86" t="s">
        <v>408</v>
      </c>
      <c r="J5562" s="1" t="s">
        <v>3324</v>
      </c>
      <c r="K5562" s="1" t="s">
        <v>3278</v>
      </c>
      <c r="L5562" s="1" t="s">
        <v>35</v>
      </c>
      <c r="M5562" s="86" t="s">
        <v>448</v>
      </c>
      <c r="O5562" s="47" t="s">
        <v>45</v>
      </c>
      <c r="P5562" s="14" t="s">
        <v>41</v>
      </c>
      <c r="Q5562" s="14">
        <v>0</v>
      </c>
      <c r="R5562" s="143">
        <v>1000054739</v>
      </c>
      <c r="S5562" s="47"/>
      <c r="T5562" s="6">
        <v>7962.2000000000216</v>
      </c>
      <c r="U5562" s="6"/>
      <c r="V5562" s="6">
        <v>0</v>
      </c>
      <c r="W5562" s="6">
        <f t="shared" si="865"/>
        <v>7962.2000000000216</v>
      </c>
      <c r="X5562" s="6">
        <f t="shared" si="864"/>
        <v>0</v>
      </c>
      <c r="Y5562" s="13">
        <f t="shared" si="869"/>
        <v>0</v>
      </c>
      <c r="Z5562" s="14">
        <v>0</v>
      </c>
      <c r="AA5562" s="6">
        <v>0</v>
      </c>
      <c r="AB5562" s="4"/>
      <c r="AC5562" s="6">
        <f t="shared" si="866"/>
        <v>0</v>
      </c>
      <c r="AD5562" s="6">
        <f t="shared" si="867"/>
        <v>0</v>
      </c>
      <c r="AE5562" s="14">
        <f>VLOOKUP(I5562,[2]媒体政策预估表!A:N,MATCH(O5562,[2]媒体政策预估表!$A$2:$M$2,0),0)</f>
        <v>0.11</v>
      </c>
      <c r="AF5562" s="6">
        <f t="shared" si="872"/>
        <v>0</v>
      </c>
      <c r="AG5562" s="14">
        <v>0</v>
      </c>
      <c r="AH5562" s="64">
        <f t="shared" si="868"/>
        <v>0</v>
      </c>
      <c r="AI5562" s="47"/>
      <c r="AJ5562" s="126">
        <v>21</v>
      </c>
      <c r="AK5562" s="80">
        <f t="shared" si="871"/>
        <v>0</v>
      </c>
      <c r="AL5562" s="85"/>
      <c r="AM5562" s="85"/>
    </row>
    <row r="5563" spans="1:39" s="86" customFormat="1" ht="13.25" hidden="1" customHeight="1" x14ac:dyDescent="0.3">
      <c r="A5563" s="89" t="s">
        <v>3805</v>
      </c>
      <c r="B5563" s="86" t="s">
        <v>35</v>
      </c>
      <c r="C5563" s="86" t="s">
        <v>184</v>
      </c>
      <c r="D5563" s="86" t="s">
        <v>37</v>
      </c>
      <c r="E5563" s="86" t="s">
        <v>466</v>
      </c>
      <c r="F5563" s="86" t="s">
        <v>466</v>
      </c>
      <c r="G5563" s="86" t="s">
        <v>466</v>
      </c>
      <c r="H5563" s="143">
        <v>62</v>
      </c>
      <c r="I5563" s="86" t="s">
        <v>408</v>
      </c>
      <c r="J5563" s="1" t="s">
        <v>3324</v>
      </c>
      <c r="K5563" s="1" t="s">
        <v>3278</v>
      </c>
      <c r="L5563" s="1" t="s">
        <v>35</v>
      </c>
      <c r="M5563" s="86" t="s">
        <v>468</v>
      </c>
      <c r="O5563" s="47" t="s">
        <v>410</v>
      </c>
      <c r="P5563" s="14" t="s">
        <v>41</v>
      </c>
      <c r="Q5563" s="14">
        <v>0</v>
      </c>
      <c r="R5563" s="143">
        <v>1000073642</v>
      </c>
      <c r="S5563" s="47"/>
      <c r="T5563" s="6">
        <v>20000</v>
      </c>
      <c r="U5563" s="6"/>
      <c r="V5563" s="6">
        <v>0</v>
      </c>
      <c r="W5563" s="6">
        <f t="shared" si="865"/>
        <v>20000</v>
      </c>
      <c r="X5563" s="6">
        <f t="shared" si="864"/>
        <v>0</v>
      </c>
      <c r="Y5563" s="13">
        <f t="shared" si="869"/>
        <v>0</v>
      </c>
      <c r="Z5563" s="14">
        <v>0</v>
      </c>
      <c r="AA5563" s="6">
        <v>0</v>
      </c>
      <c r="AB5563" s="4"/>
      <c r="AC5563" s="6">
        <f t="shared" si="866"/>
        <v>0</v>
      </c>
      <c r="AD5563" s="6">
        <f t="shared" si="867"/>
        <v>0</v>
      </c>
      <c r="AE5563" s="14">
        <f>VLOOKUP(I5563,[2]媒体政策预估表!A:N,MATCH(O5563,[2]媒体政策预估表!$A$2:$M$2,0),0)</f>
        <v>7.0000000000000007E-2</v>
      </c>
      <c r="AF5563" s="6">
        <f t="shared" si="872"/>
        <v>0</v>
      </c>
      <c r="AG5563" s="14">
        <v>0</v>
      </c>
      <c r="AH5563" s="64">
        <f t="shared" si="868"/>
        <v>0</v>
      </c>
      <c r="AI5563" s="47"/>
      <c r="AJ5563" s="126">
        <v>96</v>
      </c>
      <c r="AK5563" s="80">
        <f t="shared" si="871"/>
        <v>0</v>
      </c>
      <c r="AL5563" s="85"/>
      <c r="AM5563" s="85"/>
    </row>
    <row r="5564" spans="1:39" s="86" customFormat="1" ht="13.25" hidden="1" customHeight="1" x14ac:dyDescent="0.3">
      <c r="A5564" s="89" t="s">
        <v>3805</v>
      </c>
      <c r="B5564" s="86" t="s">
        <v>35</v>
      </c>
      <c r="C5564" s="86" t="s">
        <v>65</v>
      </c>
      <c r="D5564" s="86" t="s">
        <v>66</v>
      </c>
      <c r="E5564" s="86" t="s">
        <v>473</v>
      </c>
      <c r="F5564" s="86" t="s">
        <v>473</v>
      </c>
      <c r="G5564" s="86" t="s">
        <v>473</v>
      </c>
      <c r="H5564" s="143">
        <v>62</v>
      </c>
      <c r="I5564" s="86" t="s">
        <v>408</v>
      </c>
      <c r="J5564" s="1" t="s">
        <v>3324</v>
      </c>
      <c r="K5564" s="1" t="s">
        <v>3278</v>
      </c>
      <c r="L5564" s="1" t="s">
        <v>35</v>
      </c>
      <c r="M5564" s="86" t="s">
        <v>476</v>
      </c>
      <c r="O5564" s="47" t="s">
        <v>410</v>
      </c>
      <c r="P5564" s="14" t="s">
        <v>41</v>
      </c>
      <c r="Q5564" s="14">
        <v>0</v>
      </c>
      <c r="R5564" s="143">
        <v>1000059941</v>
      </c>
      <c r="S5564" s="47"/>
      <c r="T5564" s="6">
        <v>50000</v>
      </c>
      <c r="U5564" s="6"/>
      <c r="V5564" s="6">
        <v>0</v>
      </c>
      <c r="W5564" s="6">
        <f t="shared" si="865"/>
        <v>50000</v>
      </c>
      <c r="X5564" s="6">
        <f t="shared" si="864"/>
        <v>0</v>
      </c>
      <c r="Y5564" s="13">
        <f t="shared" si="869"/>
        <v>0</v>
      </c>
      <c r="Z5564" s="14">
        <v>0</v>
      </c>
      <c r="AA5564" s="6">
        <v>0</v>
      </c>
      <c r="AB5564" s="4">
        <f t="shared" si="870"/>
        <v>0</v>
      </c>
      <c r="AC5564" s="6">
        <f t="shared" si="866"/>
        <v>0</v>
      </c>
      <c r="AD5564" s="6">
        <f t="shared" si="867"/>
        <v>0</v>
      </c>
      <c r="AE5564" s="14">
        <f>VLOOKUP(I5564,[2]媒体政策预估表!A:N,MATCH(O5564,[2]媒体政策预估表!$A$2:$M$2,0),0)</f>
        <v>7.0000000000000007E-2</v>
      </c>
      <c r="AF5564" s="6">
        <f t="shared" si="872"/>
        <v>0</v>
      </c>
      <c r="AG5564" s="14">
        <v>0</v>
      </c>
      <c r="AH5564" s="64">
        <f t="shared" si="868"/>
        <v>0</v>
      </c>
      <c r="AI5564" s="47"/>
      <c r="AJ5564" s="126" t="e">
        <v>#N/A</v>
      </c>
      <c r="AK5564" s="80">
        <f t="shared" si="871"/>
        <v>0</v>
      </c>
      <c r="AL5564" s="85"/>
      <c r="AM5564" s="85"/>
    </row>
    <row r="5565" spans="1:39" s="86" customFormat="1" ht="13.25" hidden="1" customHeight="1" x14ac:dyDescent="0.3">
      <c r="A5565" s="89" t="s">
        <v>3792</v>
      </c>
      <c r="B5565" s="86" t="s">
        <v>35</v>
      </c>
      <c r="C5565" s="86" t="s">
        <v>65</v>
      </c>
      <c r="D5565" s="86" t="s">
        <v>66</v>
      </c>
      <c r="E5565" s="86" t="s">
        <v>473</v>
      </c>
      <c r="F5565" s="86" t="s">
        <v>473</v>
      </c>
      <c r="G5565" s="86" t="s">
        <v>473</v>
      </c>
      <c r="H5565" s="144">
        <v>62</v>
      </c>
      <c r="I5565" s="86" t="s">
        <v>408</v>
      </c>
      <c r="J5565" s="1" t="s">
        <v>3324</v>
      </c>
      <c r="K5565" s="1" t="s">
        <v>3278</v>
      </c>
      <c r="L5565" s="1" t="s">
        <v>35</v>
      </c>
      <c r="M5565" s="86" t="s">
        <v>477</v>
      </c>
      <c r="O5565" s="47" t="s">
        <v>45</v>
      </c>
      <c r="P5565" s="14" t="s">
        <v>41</v>
      </c>
      <c r="Q5565" s="14">
        <v>0</v>
      </c>
      <c r="R5565" s="143">
        <v>1000100635</v>
      </c>
      <c r="S5565" s="47"/>
      <c r="T5565" s="6">
        <v>5903.7299999999959</v>
      </c>
      <c r="U5565" s="6"/>
      <c r="V5565" s="6">
        <v>5903.7299999999959</v>
      </c>
      <c r="W5565" s="6">
        <f t="shared" si="865"/>
        <v>0</v>
      </c>
      <c r="X5565" s="6">
        <f t="shared" ref="X5565:X5628" si="873">IF(P5565="折扣",V5565*Q5565,IF(P5565="返现",V5565,V5565/(1+Q5565)))</f>
        <v>5903.7299999999959</v>
      </c>
      <c r="Y5565" s="13">
        <f t="shared" si="869"/>
        <v>0</v>
      </c>
      <c r="Z5565" s="14">
        <v>0</v>
      </c>
      <c r="AA5565" s="6">
        <v>0</v>
      </c>
      <c r="AB5565" s="4">
        <f t="shared" si="870"/>
        <v>5903.7299999999959</v>
      </c>
      <c r="AC5565" s="6">
        <f t="shared" si="866"/>
        <v>0</v>
      </c>
      <c r="AD5565" s="6">
        <f t="shared" si="867"/>
        <v>5903.7299999999959</v>
      </c>
      <c r="AE5565" s="14">
        <f>VLOOKUP(I5565,[2]媒体政策预估表!A:N,MATCH(O5565,[2]媒体政策预估表!$A$2:$M$2,0),0)</f>
        <v>0.11</v>
      </c>
      <c r="AF5565" s="6">
        <f t="shared" si="872"/>
        <v>649.41029999999955</v>
      </c>
      <c r="AG5565" s="14">
        <v>0</v>
      </c>
      <c r="AH5565" s="64">
        <f t="shared" si="868"/>
        <v>5903.7299999999959</v>
      </c>
      <c r="AI5565" s="47"/>
      <c r="AJ5565" s="126" t="e">
        <v>#N/A</v>
      </c>
      <c r="AK5565" s="80">
        <f t="shared" si="871"/>
        <v>0</v>
      </c>
      <c r="AL5565" s="85"/>
      <c r="AM5565" s="85"/>
    </row>
    <row r="5566" spans="1:39" s="86" customFormat="1" ht="13.25" hidden="1" customHeight="1" x14ac:dyDescent="0.3">
      <c r="A5566" s="89" t="s">
        <v>3852</v>
      </c>
      <c r="B5566" s="86" t="s">
        <v>35</v>
      </c>
      <c r="C5566" s="86" t="s">
        <v>65</v>
      </c>
      <c r="D5566" s="86" t="s">
        <v>66</v>
      </c>
      <c r="E5566" s="86" t="s">
        <v>491</v>
      </c>
      <c r="F5566" s="86" t="s">
        <v>491</v>
      </c>
      <c r="G5566" s="86" t="s">
        <v>491</v>
      </c>
      <c r="H5566" s="144">
        <v>62</v>
      </c>
      <c r="I5566" s="86" t="s">
        <v>408</v>
      </c>
      <c r="J5566" s="1" t="s">
        <v>3324</v>
      </c>
      <c r="K5566" s="1" t="s">
        <v>3278</v>
      </c>
      <c r="L5566" s="1" t="s">
        <v>35</v>
      </c>
      <c r="M5566" s="86" t="s">
        <v>492</v>
      </c>
      <c r="O5566" s="47" t="s">
        <v>410</v>
      </c>
      <c r="P5566" s="14" t="s">
        <v>46</v>
      </c>
      <c r="Q5566" s="14">
        <v>0.02</v>
      </c>
      <c r="R5566" s="143">
        <v>1000023983</v>
      </c>
      <c r="S5566" s="47"/>
      <c r="T5566" s="6">
        <v>54960.28</v>
      </c>
      <c r="U5566" s="6"/>
      <c r="V5566" s="6">
        <v>31254</v>
      </c>
      <c r="W5566" s="6">
        <f t="shared" ref="W5566:W5629" si="874">T5566+U5566-V5566</f>
        <v>23706.28</v>
      </c>
      <c r="X5566" s="6">
        <f t="shared" si="873"/>
        <v>30641.176470588234</v>
      </c>
      <c r="Y5566" s="13">
        <f t="shared" si="869"/>
        <v>0</v>
      </c>
      <c r="Z5566" s="14">
        <v>0</v>
      </c>
      <c r="AA5566" s="6">
        <v>0</v>
      </c>
      <c r="AB5566" s="4">
        <f t="shared" si="870"/>
        <v>30641.176470588234</v>
      </c>
      <c r="AC5566" s="6">
        <f t="shared" ref="AC5566:AC5629" si="875">IF(P5566="返现",X5566*Q5566,V5566-X5566)</f>
        <v>612.82352941176578</v>
      </c>
      <c r="AD5566" s="6">
        <f t="shared" ref="AD5566:AD5629" si="876">V5566</f>
        <v>31254</v>
      </c>
      <c r="AE5566" s="14">
        <f>VLOOKUP(I5566,[2]媒体政策预估表!A:N,MATCH(O5566,[2]媒体政策预估表!$A$2:$M$2,0),0)</f>
        <v>7.0000000000000007E-2</v>
      </c>
      <c r="AF5566" s="6">
        <f t="shared" si="872"/>
        <v>2187.7800000000002</v>
      </c>
      <c r="AG5566" s="14">
        <v>0</v>
      </c>
      <c r="AH5566" s="64">
        <f t="shared" ref="AH5566:AH5629" si="877">V5566</f>
        <v>31254</v>
      </c>
      <c r="AI5566" s="47"/>
      <c r="AJ5566" s="126" t="e">
        <v>#N/A</v>
      </c>
      <c r="AK5566" s="80">
        <f t="shared" si="871"/>
        <v>0</v>
      </c>
      <c r="AL5566" s="85"/>
      <c r="AM5566" s="85"/>
    </row>
    <row r="5567" spans="1:39" s="86" customFormat="1" ht="13.25" hidden="1" customHeight="1" x14ac:dyDescent="0.3">
      <c r="A5567" s="89" t="s">
        <v>3794</v>
      </c>
      <c r="B5567" s="86" t="s">
        <v>35</v>
      </c>
      <c r="C5567" s="86" t="s">
        <v>65</v>
      </c>
      <c r="D5567" s="86" t="s">
        <v>122</v>
      </c>
      <c r="E5567" s="86" t="s">
        <v>507</v>
      </c>
      <c r="F5567" s="86" t="s">
        <v>507</v>
      </c>
      <c r="G5567" s="86" t="s">
        <v>507</v>
      </c>
      <c r="H5567" s="143">
        <v>62</v>
      </c>
      <c r="I5567" s="86" t="s">
        <v>408</v>
      </c>
      <c r="J5567" s="1" t="s">
        <v>3324</v>
      </c>
      <c r="K5567" s="1" t="s">
        <v>3278</v>
      </c>
      <c r="L5567" s="1" t="s">
        <v>35</v>
      </c>
      <c r="M5567" s="86" t="s">
        <v>508</v>
      </c>
      <c r="O5567" s="47" t="s">
        <v>410</v>
      </c>
      <c r="P5567" s="14" t="s">
        <v>41</v>
      </c>
      <c r="Q5567" s="14">
        <v>0</v>
      </c>
      <c r="R5567" s="143">
        <v>1000101280</v>
      </c>
      <c r="S5567" s="47"/>
      <c r="T5567" s="6">
        <v>5000</v>
      </c>
      <c r="U5567" s="6"/>
      <c r="V5567" s="6">
        <v>0</v>
      </c>
      <c r="W5567" s="6">
        <f t="shared" si="874"/>
        <v>5000</v>
      </c>
      <c r="X5567" s="6">
        <f t="shared" si="873"/>
        <v>0</v>
      </c>
      <c r="Y5567" s="13">
        <f t="shared" si="869"/>
        <v>0</v>
      </c>
      <c r="Z5567" s="14">
        <v>0</v>
      </c>
      <c r="AA5567" s="6">
        <v>0</v>
      </c>
      <c r="AB5567" s="4">
        <f t="shared" si="870"/>
        <v>0</v>
      </c>
      <c r="AC5567" s="6">
        <f t="shared" si="875"/>
        <v>0</v>
      </c>
      <c r="AD5567" s="6">
        <f t="shared" si="876"/>
        <v>0</v>
      </c>
      <c r="AE5567" s="14">
        <f>VLOOKUP(I5567,[2]媒体政策预估表!A:N,MATCH(O5567,[2]媒体政策预估表!$A$2:$M$2,0),0)</f>
        <v>7.0000000000000007E-2</v>
      </c>
      <c r="AF5567" s="6">
        <f t="shared" si="872"/>
        <v>0</v>
      </c>
      <c r="AG5567" s="14">
        <v>0</v>
      </c>
      <c r="AH5567" s="64">
        <f t="shared" si="877"/>
        <v>0</v>
      </c>
      <c r="AI5567" s="47"/>
      <c r="AJ5567" s="126" t="e">
        <v>#N/A</v>
      </c>
      <c r="AK5567" s="80">
        <f t="shared" si="871"/>
        <v>0</v>
      </c>
      <c r="AL5567" s="85"/>
      <c r="AM5567" s="85"/>
    </row>
    <row r="5568" spans="1:39" s="86" customFormat="1" ht="13.25" hidden="1" customHeight="1" x14ac:dyDescent="0.3">
      <c r="A5568" s="89" t="s">
        <v>3792</v>
      </c>
      <c r="B5568" s="86" t="s">
        <v>35</v>
      </c>
      <c r="C5568" s="86" t="s">
        <v>65</v>
      </c>
      <c r="D5568" s="86" t="s">
        <v>122</v>
      </c>
      <c r="E5568" s="86" t="s">
        <v>507</v>
      </c>
      <c r="F5568" s="86" t="s">
        <v>507</v>
      </c>
      <c r="G5568" s="86" t="s">
        <v>507</v>
      </c>
      <c r="H5568" s="143">
        <v>62</v>
      </c>
      <c r="I5568" s="86" t="s">
        <v>408</v>
      </c>
      <c r="J5568" s="1" t="s">
        <v>3324</v>
      </c>
      <c r="K5568" s="1" t="s">
        <v>3278</v>
      </c>
      <c r="L5568" s="1" t="s">
        <v>35</v>
      </c>
      <c r="M5568" s="86" t="s">
        <v>509</v>
      </c>
      <c r="O5568" s="47" t="s">
        <v>410</v>
      </c>
      <c r="P5568" s="14" t="s">
        <v>41</v>
      </c>
      <c r="Q5568" s="14">
        <v>0</v>
      </c>
      <c r="R5568" s="143">
        <v>1000101348</v>
      </c>
      <c r="S5568" s="47"/>
      <c r="T5568" s="6">
        <v>5000</v>
      </c>
      <c r="U5568" s="6"/>
      <c r="V5568" s="6">
        <v>0</v>
      </c>
      <c r="W5568" s="6">
        <f t="shared" si="874"/>
        <v>5000</v>
      </c>
      <c r="X5568" s="6">
        <f t="shared" si="873"/>
        <v>0</v>
      </c>
      <c r="Y5568" s="13">
        <f t="shared" si="869"/>
        <v>0</v>
      </c>
      <c r="Z5568" s="14">
        <v>0</v>
      </c>
      <c r="AA5568" s="6">
        <v>0</v>
      </c>
      <c r="AB5568" s="4">
        <f t="shared" si="870"/>
        <v>0</v>
      </c>
      <c r="AC5568" s="6">
        <f t="shared" si="875"/>
        <v>0</v>
      </c>
      <c r="AD5568" s="6">
        <f t="shared" si="876"/>
        <v>0</v>
      </c>
      <c r="AE5568" s="14">
        <f>VLOOKUP(I5568,[2]媒体政策预估表!A:N,MATCH(O5568,[2]媒体政策预估表!$A$2:$M$2,0),0)</f>
        <v>7.0000000000000007E-2</v>
      </c>
      <c r="AF5568" s="6">
        <f t="shared" si="872"/>
        <v>0</v>
      </c>
      <c r="AG5568" s="14">
        <v>0</v>
      </c>
      <c r="AH5568" s="64">
        <f t="shared" si="877"/>
        <v>0</v>
      </c>
      <c r="AI5568" s="47"/>
      <c r="AJ5568" s="126" t="e">
        <v>#N/A</v>
      </c>
      <c r="AK5568" s="80">
        <f t="shared" si="871"/>
        <v>0</v>
      </c>
      <c r="AL5568" s="85"/>
      <c r="AM5568" s="85"/>
    </row>
    <row r="5569" spans="1:39" s="86" customFormat="1" ht="13.25" hidden="1" customHeight="1" x14ac:dyDescent="0.3">
      <c r="A5569" s="89" t="s">
        <v>3805</v>
      </c>
      <c r="B5569" s="86" t="s">
        <v>35</v>
      </c>
      <c r="C5569" s="86" t="s">
        <v>184</v>
      </c>
      <c r="D5569" s="86" t="s">
        <v>3849</v>
      </c>
      <c r="E5569" s="86" t="s">
        <v>533</v>
      </c>
      <c r="F5569" s="86" t="s">
        <v>533</v>
      </c>
      <c r="G5569" s="86" t="s">
        <v>533</v>
      </c>
      <c r="H5569" s="143">
        <v>62</v>
      </c>
      <c r="I5569" s="86" t="s">
        <v>408</v>
      </c>
      <c r="J5569" s="1" t="s">
        <v>3324</v>
      </c>
      <c r="K5569" s="1" t="s">
        <v>3278</v>
      </c>
      <c r="L5569" s="1" t="s">
        <v>35</v>
      </c>
      <c r="M5569" s="86" t="s">
        <v>535</v>
      </c>
      <c r="O5569" s="47" t="s">
        <v>410</v>
      </c>
      <c r="P5569" s="14" t="s">
        <v>46</v>
      </c>
      <c r="Q5569" s="14">
        <v>0.02</v>
      </c>
      <c r="R5569" s="143">
        <v>1000073749</v>
      </c>
      <c r="S5569" s="47"/>
      <c r="T5569" s="6">
        <v>182208.97</v>
      </c>
      <c r="U5569" s="6"/>
      <c r="V5569" s="6">
        <v>0</v>
      </c>
      <c r="W5569" s="6">
        <f t="shared" si="874"/>
        <v>182208.97</v>
      </c>
      <c r="X5569" s="6">
        <f t="shared" si="873"/>
        <v>0</v>
      </c>
      <c r="Y5569" s="13">
        <f t="shared" si="869"/>
        <v>0</v>
      </c>
      <c r="Z5569" s="14">
        <v>0</v>
      </c>
      <c r="AA5569" s="6">
        <v>0</v>
      </c>
      <c r="AB5569" s="4">
        <f t="shared" si="870"/>
        <v>0</v>
      </c>
      <c r="AC5569" s="6">
        <f t="shared" si="875"/>
        <v>0</v>
      </c>
      <c r="AD5569" s="6">
        <f t="shared" si="876"/>
        <v>0</v>
      </c>
      <c r="AE5569" s="14">
        <f>VLOOKUP(I5569,[2]媒体政策预估表!A:N,MATCH(O5569,[2]媒体政策预估表!$A$2:$M$2,0),0)</f>
        <v>7.0000000000000007E-2</v>
      </c>
      <c r="AF5569" s="6">
        <f t="shared" si="872"/>
        <v>0</v>
      </c>
      <c r="AG5569" s="14">
        <v>0</v>
      </c>
      <c r="AH5569" s="64">
        <f t="shared" si="877"/>
        <v>0</v>
      </c>
      <c r="AI5569" s="47"/>
      <c r="AJ5569" s="126" t="e">
        <v>#N/A</v>
      </c>
      <c r="AK5569" s="80">
        <f t="shared" si="871"/>
        <v>0</v>
      </c>
      <c r="AL5569" s="85"/>
      <c r="AM5569" s="85"/>
    </row>
    <row r="5570" spans="1:39" s="86" customFormat="1" ht="13.25" hidden="1" customHeight="1" x14ac:dyDescent="0.3">
      <c r="A5570" s="89" t="s">
        <v>3792</v>
      </c>
      <c r="B5570" s="86" t="s">
        <v>35</v>
      </c>
      <c r="C5570" s="86" t="s">
        <v>184</v>
      </c>
      <c r="D5570" s="86" t="s">
        <v>3849</v>
      </c>
      <c r="E5570" s="86" t="s">
        <v>538</v>
      </c>
      <c r="F5570" s="86" t="s">
        <v>538</v>
      </c>
      <c r="G5570" s="86" t="s">
        <v>538</v>
      </c>
      <c r="H5570" s="143">
        <v>62</v>
      </c>
      <c r="I5570" s="86" t="s">
        <v>408</v>
      </c>
      <c r="J5570" s="1" t="s">
        <v>3324</v>
      </c>
      <c r="K5570" s="1" t="s">
        <v>3278</v>
      </c>
      <c r="L5570" s="1" t="s">
        <v>35</v>
      </c>
      <c r="M5570" s="86" t="s">
        <v>539</v>
      </c>
      <c r="O5570" s="47" t="s">
        <v>45</v>
      </c>
      <c r="P5570" s="14" t="s">
        <v>41</v>
      </c>
      <c r="Q5570" s="14">
        <v>0</v>
      </c>
      <c r="R5570" s="143">
        <v>1000100422</v>
      </c>
      <c r="S5570" s="47"/>
      <c r="T5570" s="6">
        <v>8692.9</v>
      </c>
      <c r="U5570" s="6"/>
      <c r="V5570" s="6">
        <v>0</v>
      </c>
      <c r="W5570" s="6">
        <f t="shared" si="874"/>
        <v>8692.9</v>
      </c>
      <c r="X5570" s="6">
        <f t="shared" si="873"/>
        <v>0</v>
      </c>
      <c r="Y5570" s="13">
        <f t="shared" si="869"/>
        <v>0</v>
      </c>
      <c r="Z5570" s="14">
        <v>0</v>
      </c>
      <c r="AA5570" s="6">
        <v>0</v>
      </c>
      <c r="AB5570" s="4">
        <f t="shared" si="870"/>
        <v>0</v>
      </c>
      <c r="AC5570" s="6">
        <f t="shared" si="875"/>
        <v>0</v>
      </c>
      <c r="AD5570" s="6">
        <f t="shared" si="876"/>
        <v>0</v>
      </c>
      <c r="AE5570" s="14">
        <f>VLOOKUP(I5570,[2]媒体政策预估表!A:N,MATCH(O5570,[2]媒体政策预估表!$A$2:$M$2,0),0)</f>
        <v>0.11</v>
      </c>
      <c r="AF5570" s="6">
        <f t="shared" si="872"/>
        <v>0</v>
      </c>
      <c r="AG5570" s="14">
        <v>0</v>
      </c>
      <c r="AH5570" s="64">
        <f t="shared" si="877"/>
        <v>0</v>
      </c>
      <c r="AI5570" s="47"/>
      <c r="AJ5570" s="126" t="e">
        <v>#N/A</v>
      </c>
      <c r="AK5570" s="80">
        <f t="shared" si="871"/>
        <v>0</v>
      </c>
      <c r="AL5570" s="85"/>
      <c r="AM5570" s="85"/>
    </row>
    <row r="5571" spans="1:39" s="86" customFormat="1" ht="13.25" hidden="1" customHeight="1" x14ac:dyDescent="0.3">
      <c r="A5571" s="89" t="s">
        <v>3794</v>
      </c>
      <c r="B5571" s="86" t="s">
        <v>35</v>
      </c>
      <c r="C5571" s="86" t="s">
        <v>144</v>
      </c>
      <c r="D5571" s="86" t="s">
        <v>145</v>
      </c>
      <c r="E5571" s="86" t="s">
        <v>563</v>
      </c>
      <c r="F5571" s="86" t="s">
        <v>563</v>
      </c>
      <c r="G5571" s="86" t="s">
        <v>563</v>
      </c>
      <c r="H5571" s="144">
        <v>62</v>
      </c>
      <c r="I5571" s="86" t="s">
        <v>408</v>
      </c>
      <c r="J5571" s="1" t="s">
        <v>3324</v>
      </c>
      <c r="K5571" s="1" t="s">
        <v>3278</v>
      </c>
      <c r="L5571" s="1" t="s">
        <v>35</v>
      </c>
      <c r="M5571" s="86" t="s">
        <v>564</v>
      </c>
      <c r="O5571" s="47" t="s">
        <v>410</v>
      </c>
      <c r="P5571" s="14" t="s">
        <v>46</v>
      </c>
      <c r="Q5571" s="14">
        <v>0.02</v>
      </c>
      <c r="R5571" s="143">
        <v>1000095719</v>
      </c>
      <c r="S5571" s="47"/>
      <c r="T5571" s="6">
        <v>3727.3700000000031</v>
      </c>
      <c r="U5571" s="6"/>
      <c r="V5571" s="6">
        <v>137.30000000000001</v>
      </c>
      <c r="W5571" s="6">
        <f t="shared" si="874"/>
        <v>3590.0700000000029</v>
      </c>
      <c r="X5571" s="6">
        <f t="shared" si="873"/>
        <v>134.60784313725492</v>
      </c>
      <c r="Y5571" s="13">
        <f t="shared" ref="Y5571:Y5634" si="878">IF(X5571-AD5571&lt;=0,0,IF(P5571="返现",MAX(X5571-AC5571-AD5571,0),MAX(X5571-AD5571)))</f>
        <v>0</v>
      </c>
      <c r="Z5571" s="14">
        <v>0</v>
      </c>
      <c r="AA5571" s="6">
        <v>0</v>
      </c>
      <c r="AB5571" s="4">
        <f t="shared" ref="AB5571:AB5634" si="879">X5571+AA5571</f>
        <v>134.60784313725492</v>
      </c>
      <c r="AC5571" s="6">
        <f t="shared" si="875"/>
        <v>2.6921568627450938</v>
      </c>
      <c r="AD5571" s="6">
        <f t="shared" si="876"/>
        <v>137.30000000000001</v>
      </c>
      <c r="AE5571" s="14">
        <f>VLOOKUP(I5571,[2]媒体政策预估表!A:N,MATCH(O5571,[2]媒体政策预估表!$A$2:$M$2,0),0)</f>
        <v>7.0000000000000007E-2</v>
      </c>
      <c r="AF5571" s="6">
        <f t="shared" si="872"/>
        <v>9.6110000000000024</v>
      </c>
      <c r="AG5571" s="14">
        <v>0</v>
      </c>
      <c r="AH5571" s="64">
        <f t="shared" si="877"/>
        <v>137.30000000000001</v>
      </c>
      <c r="AI5571" s="47"/>
      <c r="AJ5571" s="126" t="e">
        <v>#N/A</v>
      </c>
      <c r="AK5571" s="80">
        <f t="shared" ref="AK5571:AK5634" si="880">X5571+AA5571-AB5571</f>
        <v>0</v>
      </c>
      <c r="AL5571" s="85"/>
      <c r="AM5571" s="85"/>
    </row>
    <row r="5572" spans="1:39" s="86" customFormat="1" ht="13.25" hidden="1" customHeight="1" x14ac:dyDescent="0.3">
      <c r="A5572" s="89" t="s">
        <v>3794</v>
      </c>
      <c r="B5572" s="86" t="s">
        <v>35</v>
      </c>
      <c r="C5572" s="86" t="s">
        <v>144</v>
      </c>
      <c r="D5572" s="86" t="s">
        <v>145</v>
      </c>
      <c r="E5572" s="86" t="s">
        <v>572</v>
      </c>
      <c r="F5572" s="86" t="s">
        <v>572</v>
      </c>
      <c r="G5572" s="86" t="s">
        <v>572</v>
      </c>
      <c r="H5572" s="144">
        <v>62</v>
      </c>
      <c r="I5572" s="86" t="s">
        <v>408</v>
      </c>
      <c r="J5572" s="1" t="s">
        <v>3324</v>
      </c>
      <c r="K5572" s="1" t="s">
        <v>3278</v>
      </c>
      <c r="L5572" s="1" t="s">
        <v>35</v>
      </c>
      <c r="M5572" s="86" t="s">
        <v>573</v>
      </c>
      <c r="O5572" s="47" t="s">
        <v>410</v>
      </c>
      <c r="P5572" s="14" t="s">
        <v>41</v>
      </c>
      <c r="Q5572" s="14">
        <v>0</v>
      </c>
      <c r="R5572" s="143">
        <v>1000098682</v>
      </c>
      <c r="S5572" s="47"/>
      <c r="T5572" s="6">
        <v>1151.67</v>
      </c>
      <c r="U5572" s="6"/>
      <c r="V5572" s="6">
        <v>1151.67</v>
      </c>
      <c r="W5572" s="6">
        <f t="shared" si="874"/>
        <v>0</v>
      </c>
      <c r="X5572" s="6">
        <f t="shared" si="873"/>
        <v>1151.67</v>
      </c>
      <c r="Y5572" s="13">
        <f t="shared" si="878"/>
        <v>0</v>
      </c>
      <c r="Z5572" s="14">
        <v>0</v>
      </c>
      <c r="AA5572" s="6">
        <v>0</v>
      </c>
      <c r="AB5572" s="4">
        <f t="shared" si="879"/>
        <v>1151.67</v>
      </c>
      <c r="AC5572" s="6">
        <f t="shared" si="875"/>
        <v>0</v>
      </c>
      <c r="AD5572" s="6">
        <f t="shared" si="876"/>
        <v>1151.67</v>
      </c>
      <c r="AE5572" s="14">
        <f>VLOOKUP(I5572,[2]媒体政策预估表!A:N,MATCH(O5572,[2]媒体政策预估表!$A$2:$M$2,0),0)</f>
        <v>7.0000000000000007E-2</v>
      </c>
      <c r="AF5572" s="6">
        <f t="shared" si="872"/>
        <v>80.616900000000015</v>
      </c>
      <c r="AG5572" s="14">
        <v>0</v>
      </c>
      <c r="AH5572" s="64">
        <f t="shared" si="877"/>
        <v>1151.67</v>
      </c>
      <c r="AI5572" s="47"/>
      <c r="AJ5572" s="126" t="e">
        <v>#N/A</v>
      </c>
      <c r="AK5572" s="80">
        <f t="shared" si="880"/>
        <v>0</v>
      </c>
      <c r="AL5572" s="85"/>
      <c r="AM5572" s="85"/>
    </row>
    <row r="5573" spans="1:39" s="86" customFormat="1" ht="13.25" hidden="1" customHeight="1" x14ac:dyDescent="0.3">
      <c r="A5573" s="89" t="s">
        <v>3792</v>
      </c>
      <c r="B5573" s="86" t="s">
        <v>35</v>
      </c>
      <c r="C5573" s="86" t="s">
        <v>144</v>
      </c>
      <c r="D5573" s="86" t="s">
        <v>145</v>
      </c>
      <c r="E5573" s="86" t="s">
        <v>581</v>
      </c>
      <c r="F5573" s="86" t="s">
        <v>581</v>
      </c>
      <c r="G5573" s="86" t="s">
        <v>581</v>
      </c>
      <c r="H5573" s="143">
        <v>62</v>
      </c>
      <c r="I5573" s="86" t="s">
        <v>408</v>
      </c>
      <c r="J5573" s="1" t="s">
        <v>3324</v>
      </c>
      <c r="K5573" s="1" t="s">
        <v>3278</v>
      </c>
      <c r="L5573" s="1" t="s">
        <v>35</v>
      </c>
      <c r="M5573" s="86" t="s">
        <v>582</v>
      </c>
      <c r="O5573" s="47" t="s">
        <v>410</v>
      </c>
      <c r="P5573" s="14" t="s">
        <v>41</v>
      </c>
      <c r="Q5573" s="14">
        <v>0</v>
      </c>
      <c r="R5573" s="143">
        <v>1000098988</v>
      </c>
      <c r="S5573" s="47"/>
      <c r="T5573" s="6">
        <v>14489</v>
      </c>
      <c r="U5573" s="6"/>
      <c r="V5573" s="6">
        <v>0</v>
      </c>
      <c r="W5573" s="6">
        <f t="shared" si="874"/>
        <v>14489</v>
      </c>
      <c r="X5573" s="6">
        <f t="shared" si="873"/>
        <v>0</v>
      </c>
      <c r="Y5573" s="13">
        <f t="shared" si="878"/>
        <v>0</v>
      </c>
      <c r="Z5573" s="14">
        <v>0</v>
      </c>
      <c r="AA5573" s="6">
        <v>0</v>
      </c>
      <c r="AB5573" s="4">
        <f t="shared" si="879"/>
        <v>0</v>
      </c>
      <c r="AC5573" s="6">
        <f t="shared" si="875"/>
        <v>0</v>
      </c>
      <c r="AD5573" s="6">
        <f t="shared" si="876"/>
        <v>0</v>
      </c>
      <c r="AE5573" s="14">
        <f>VLOOKUP(I5573,[2]媒体政策预估表!A:N,MATCH(O5573,[2]媒体政策预估表!$A$2:$M$2,0),0)</f>
        <v>7.0000000000000007E-2</v>
      </c>
      <c r="AF5573" s="6">
        <f t="shared" si="872"/>
        <v>0</v>
      </c>
      <c r="AG5573" s="14">
        <v>0</v>
      </c>
      <c r="AH5573" s="64">
        <f t="shared" si="877"/>
        <v>0</v>
      </c>
      <c r="AI5573" s="47"/>
      <c r="AJ5573" s="126" t="e">
        <v>#N/A</v>
      </c>
      <c r="AK5573" s="80">
        <f t="shared" si="880"/>
        <v>0</v>
      </c>
      <c r="AL5573" s="85"/>
      <c r="AM5573" s="85"/>
    </row>
    <row r="5574" spans="1:39" s="86" customFormat="1" ht="13.25" hidden="1" customHeight="1" x14ac:dyDescent="0.3">
      <c r="A5574" s="89" t="s">
        <v>3794</v>
      </c>
      <c r="B5574" s="86" t="s">
        <v>35</v>
      </c>
      <c r="C5574" s="86" t="s">
        <v>144</v>
      </c>
      <c r="D5574" s="86" t="s">
        <v>161</v>
      </c>
      <c r="E5574" s="86" t="s">
        <v>3759</v>
      </c>
      <c r="F5574" s="86" t="s">
        <v>3759</v>
      </c>
      <c r="G5574" s="86" t="s">
        <v>3759</v>
      </c>
      <c r="H5574" s="143">
        <v>62</v>
      </c>
      <c r="I5574" s="86" t="s">
        <v>408</v>
      </c>
      <c r="J5574" s="1" t="s">
        <v>3324</v>
      </c>
      <c r="K5574" s="1" t="s">
        <v>3278</v>
      </c>
      <c r="L5574" s="1" t="s">
        <v>35</v>
      </c>
      <c r="M5574" s="86" t="s">
        <v>606</v>
      </c>
      <c r="O5574" s="47" t="s">
        <v>410</v>
      </c>
      <c r="P5574" s="14" t="s">
        <v>46</v>
      </c>
      <c r="Q5574" s="14">
        <v>0.02</v>
      </c>
      <c r="R5574" s="143">
        <v>1000099906</v>
      </c>
      <c r="S5574" s="47"/>
      <c r="T5574" s="6">
        <v>5979.7199999999993</v>
      </c>
      <c r="U5574" s="6"/>
      <c r="V5574" s="6">
        <v>0</v>
      </c>
      <c r="W5574" s="6">
        <f t="shared" si="874"/>
        <v>5979.7199999999993</v>
      </c>
      <c r="X5574" s="6">
        <f t="shared" si="873"/>
        <v>0</v>
      </c>
      <c r="Y5574" s="13">
        <f t="shared" si="878"/>
        <v>0</v>
      </c>
      <c r="Z5574" s="14">
        <v>0</v>
      </c>
      <c r="AA5574" s="6">
        <v>0</v>
      </c>
      <c r="AB5574" s="4">
        <f t="shared" si="879"/>
        <v>0</v>
      </c>
      <c r="AC5574" s="6">
        <f t="shared" si="875"/>
        <v>0</v>
      </c>
      <c r="AD5574" s="6">
        <f t="shared" si="876"/>
        <v>0</v>
      </c>
      <c r="AE5574" s="14">
        <f>VLOOKUP(I5574,[2]媒体政策预估表!A:N,MATCH(O5574,[2]媒体政策预估表!$A$2:$M$2,0),0)</f>
        <v>7.0000000000000007E-2</v>
      </c>
      <c r="AF5574" s="6">
        <f t="shared" si="872"/>
        <v>0</v>
      </c>
      <c r="AG5574" s="14">
        <v>0</v>
      </c>
      <c r="AH5574" s="64">
        <f t="shared" si="877"/>
        <v>0</v>
      </c>
      <c r="AI5574" s="47"/>
      <c r="AJ5574" s="126" t="e">
        <v>#N/A</v>
      </c>
      <c r="AK5574" s="80">
        <f t="shared" si="880"/>
        <v>0</v>
      </c>
      <c r="AL5574" s="85"/>
      <c r="AM5574" s="85"/>
    </row>
    <row r="5575" spans="1:39" s="86" customFormat="1" ht="13.25" hidden="1" customHeight="1" x14ac:dyDescent="0.3">
      <c r="A5575" s="89" t="s">
        <v>3794</v>
      </c>
      <c r="B5575" s="86" t="s">
        <v>35</v>
      </c>
      <c r="C5575" s="86" t="s">
        <v>164</v>
      </c>
      <c r="D5575" s="86" t="s">
        <v>169</v>
      </c>
      <c r="E5575" s="86" t="s">
        <v>628</v>
      </c>
      <c r="F5575" s="86" t="s">
        <v>628</v>
      </c>
      <c r="G5575" s="86" t="s">
        <v>628</v>
      </c>
      <c r="H5575" s="144">
        <v>62</v>
      </c>
      <c r="I5575" s="86" t="s">
        <v>408</v>
      </c>
      <c r="J5575" s="1" t="s">
        <v>3324</v>
      </c>
      <c r="K5575" s="1" t="s">
        <v>3278</v>
      </c>
      <c r="L5575" s="1" t="s">
        <v>35</v>
      </c>
      <c r="M5575" s="86" t="s">
        <v>630</v>
      </c>
      <c r="O5575" s="47" t="s">
        <v>45</v>
      </c>
      <c r="P5575" s="14" t="s">
        <v>41</v>
      </c>
      <c r="Q5575" s="14">
        <v>0</v>
      </c>
      <c r="R5575" s="143">
        <v>1000048304</v>
      </c>
      <c r="S5575" s="47"/>
      <c r="T5575" s="6">
        <v>57180.73000000001</v>
      </c>
      <c r="U5575" s="6"/>
      <c r="V5575" s="6">
        <v>5621.9500000000016</v>
      </c>
      <c r="W5575" s="6">
        <f t="shared" si="874"/>
        <v>51558.780000000006</v>
      </c>
      <c r="X5575" s="6">
        <f t="shared" si="873"/>
        <v>5621.9500000000016</v>
      </c>
      <c r="Y5575" s="13">
        <f t="shared" si="878"/>
        <v>0</v>
      </c>
      <c r="Z5575" s="14">
        <v>0</v>
      </c>
      <c r="AA5575" s="6">
        <v>0</v>
      </c>
      <c r="AB5575" s="4">
        <f t="shared" si="879"/>
        <v>5621.9500000000016</v>
      </c>
      <c r="AC5575" s="6">
        <f t="shared" si="875"/>
        <v>0</v>
      </c>
      <c r="AD5575" s="6">
        <f t="shared" si="876"/>
        <v>5621.9500000000016</v>
      </c>
      <c r="AE5575" s="14">
        <f>VLOOKUP(I5575,[2]媒体政策预估表!A:N,MATCH(O5575,[2]媒体政策预估表!$A$2:$M$2,0),0)</f>
        <v>0.11</v>
      </c>
      <c r="AF5575" s="6">
        <f t="shared" si="872"/>
        <v>618.4145000000002</v>
      </c>
      <c r="AG5575" s="14">
        <v>0</v>
      </c>
      <c r="AH5575" s="64">
        <f t="shared" si="877"/>
        <v>5621.9500000000016</v>
      </c>
      <c r="AI5575" s="47"/>
      <c r="AJ5575" s="126" t="e">
        <v>#N/A</v>
      </c>
      <c r="AK5575" s="80">
        <f t="shared" si="880"/>
        <v>0</v>
      </c>
      <c r="AL5575" s="85"/>
      <c r="AM5575" s="85"/>
    </row>
    <row r="5576" spans="1:39" s="86" customFormat="1" ht="13.25" hidden="1" customHeight="1" x14ac:dyDescent="0.3">
      <c r="A5576" s="89" t="s">
        <v>3794</v>
      </c>
      <c r="B5576" s="86" t="s">
        <v>35</v>
      </c>
      <c r="C5576" s="86" t="s">
        <v>164</v>
      </c>
      <c r="D5576" s="86" t="s">
        <v>169</v>
      </c>
      <c r="E5576" s="86" t="s">
        <v>628</v>
      </c>
      <c r="F5576" s="86" t="s">
        <v>628</v>
      </c>
      <c r="G5576" s="86" t="s">
        <v>628</v>
      </c>
      <c r="H5576" s="144">
        <v>62</v>
      </c>
      <c r="I5576" s="86" t="s">
        <v>408</v>
      </c>
      <c r="J5576" s="1" t="s">
        <v>3324</v>
      </c>
      <c r="K5576" s="1" t="s">
        <v>3278</v>
      </c>
      <c r="L5576" s="1" t="s">
        <v>35</v>
      </c>
      <c r="M5576" s="86" t="s">
        <v>631</v>
      </c>
      <c r="O5576" s="47" t="s">
        <v>45</v>
      </c>
      <c r="P5576" s="14" t="s">
        <v>41</v>
      </c>
      <c r="Q5576" s="14">
        <v>0</v>
      </c>
      <c r="R5576" s="143">
        <v>1000052084</v>
      </c>
      <c r="S5576" s="47"/>
      <c r="T5576" s="6">
        <v>70760.37</v>
      </c>
      <c r="U5576" s="6"/>
      <c r="V5576" s="6">
        <v>25952.080000000002</v>
      </c>
      <c r="W5576" s="6">
        <f t="shared" si="874"/>
        <v>44808.289999999994</v>
      </c>
      <c r="X5576" s="6">
        <f t="shared" si="873"/>
        <v>25952.080000000002</v>
      </c>
      <c r="Y5576" s="13">
        <f t="shared" si="878"/>
        <v>0</v>
      </c>
      <c r="Z5576" s="14">
        <v>0</v>
      </c>
      <c r="AA5576" s="6">
        <v>0</v>
      </c>
      <c r="AB5576" s="4">
        <f t="shared" si="879"/>
        <v>25952.080000000002</v>
      </c>
      <c r="AC5576" s="6">
        <f t="shared" si="875"/>
        <v>0</v>
      </c>
      <c r="AD5576" s="6">
        <f t="shared" si="876"/>
        <v>25952.080000000002</v>
      </c>
      <c r="AE5576" s="14">
        <f>VLOOKUP(I5576,[2]媒体政策预估表!A:N,MATCH(O5576,[2]媒体政策预估表!$A$2:$M$2,0),0)</f>
        <v>0.11</v>
      </c>
      <c r="AF5576" s="6">
        <f t="shared" si="872"/>
        <v>2854.7288000000003</v>
      </c>
      <c r="AG5576" s="14">
        <v>0</v>
      </c>
      <c r="AH5576" s="64">
        <f t="shared" si="877"/>
        <v>25952.080000000002</v>
      </c>
      <c r="AI5576" s="47"/>
      <c r="AJ5576" s="126" t="e">
        <v>#N/A</v>
      </c>
      <c r="AK5576" s="80">
        <f t="shared" si="880"/>
        <v>0</v>
      </c>
      <c r="AL5576" s="85"/>
      <c r="AM5576" s="85"/>
    </row>
    <row r="5577" spans="1:39" s="86" customFormat="1" ht="13.25" hidden="1" customHeight="1" x14ac:dyDescent="0.3">
      <c r="A5577" s="89" t="s">
        <v>3794</v>
      </c>
      <c r="B5577" s="86" t="s">
        <v>35</v>
      </c>
      <c r="C5577" s="86" t="s">
        <v>164</v>
      </c>
      <c r="D5577" s="86" t="s">
        <v>174</v>
      </c>
      <c r="E5577" s="86" t="s">
        <v>639</v>
      </c>
      <c r="F5577" s="86" t="s">
        <v>639</v>
      </c>
      <c r="G5577" s="86" t="s">
        <v>639</v>
      </c>
      <c r="H5577" s="143">
        <v>62</v>
      </c>
      <c r="I5577" s="86" t="s">
        <v>408</v>
      </c>
      <c r="J5577" s="1" t="s">
        <v>3324</v>
      </c>
      <c r="K5577" s="1" t="s">
        <v>3278</v>
      </c>
      <c r="L5577" s="1" t="s">
        <v>35</v>
      </c>
      <c r="M5577" s="86" t="s">
        <v>641</v>
      </c>
      <c r="O5577" s="47" t="s">
        <v>410</v>
      </c>
      <c r="P5577" s="14" t="s">
        <v>46</v>
      </c>
      <c r="Q5577" s="14">
        <v>0.01</v>
      </c>
      <c r="R5577" s="143">
        <v>1000099885</v>
      </c>
      <c r="S5577" s="47"/>
      <c r="T5577" s="6">
        <v>7072.96</v>
      </c>
      <c r="U5577" s="6"/>
      <c r="V5577" s="6">
        <v>0</v>
      </c>
      <c r="W5577" s="6">
        <f t="shared" si="874"/>
        <v>7072.96</v>
      </c>
      <c r="X5577" s="6">
        <f t="shared" si="873"/>
        <v>0</v>
      </c>
      <c r="Y5577" s="13">
        <f t="shared" si="878"/>
        <v>0</v>
      </c>
      <c r="Z5577" s="14">
        <v>0</v>
      </c>
      <c r="AA5577" s="6">
        <v>0</v>
      </c>
      <c r="AB5577" s="4">
        <f t="shared" si="879"/>
        <v>0</v>
      </c>
      <c r="AC5577" s="6">
        <f t="shared" si="875"/>
        <v>0</v>
      </c>
      <c r="AD5577" s="6">
        <f t="shared" si="876"/>
        <v>0</v>
      </c>
      <c r="AE5577" s="14">
        <f>VLOOKUP(I5577,[2]媒体政策预估表!A:N,MATCH(O5577,[2]媒体政策预估表!$A$2:$M$2,0),0)</f>
        <v>7.0000000000000007E-2</v>
      </c>
      <c r="AF5577" s="6">
        <f t="shared" si="872"/>
        <v>0</v>
      </c>
      <c r="AG5577" s="14">
        <v>0</v>
      </c>
      <c r="AH5577" s="64">
        <f t="shared" si="877"/>
        <v>0</v>
      </c>
      <c r="AI5577" s="47"/>
      <c r="AJ5577" s="126" t="e">
        <v>#N/A</v>
      </c>
      <c r="AK5577" s="80">
        <f t="shared" si="880"/>
        <v>0</v>
      </c>
      <c r="AL5577" s="85"/>
      <c r="AM5577" s="85"/>
    </row>
    <row r="5578" spans="1:39" s="86" customFormat="1" ht="13.25" hidden="1" customHeight="1" x14ac:dyDescent="0.3">
      <c r="A5578" s="89" t="s">
        <v>3796</v>
      </c>
      <c r="B5578" s="86" t="s">
        <v>35</v>
      </c>
      <c r="C5578" s="86" t="s">
        <v>164</v>
      </c>
      <c r="D5578" s="86" t="s">
        <v>174</v>
      </c>
      <c r="E5578" s="86" t="s">
        <v>649</v>
      </c>
      <c r="F5578" s="86" t="s">
        <v>649</v>
      </c>
      <c r="G5578" s="86" t="s">
        <v>649</v>
      </c>
      <c r="H5578" s="143">
        <v>62</v>
      </c>
      <c r="I5578" s="86" t="s">
        <v>408</v>
      </c>
      <c r="J5578" s="1" t="s">
        <v>3324</v>
      </c>
      <c r="K5578" s="1" t="s">
        <v>3278</v>
      </c>
      <c r="L5578" s="1" t="s">
        <v>35</v>
      </c>
      <c r="M5578" s="86" t="s">
        <v>650</v>
      </c>
      <c r="O5578" s="47" t="s">
        <v>45</v>
      </c>
      <c r="P5578" s="14" t="s">
        <v>41</v>
      </c>
      <c r="Q5578" s="14">
        <v>0</v>
      </c>
      <c r="R5578" s="143">
        <v>1000100815</v>
      </c>
      <c r="S5578" s="47"/>
      <c r="T5578" s="6">
        <v>9587.7999999999993</v>
      </c>
      <c r="U5578" s="6"/>
      <c r="V5578" s="6">
        <v>0</v>
      </c>
      <c r="W5578" s="6">
        <f t="shared" si="874"/>
        <v>9587.7999999999993</v>
      </c>
      <c r="X5578" s="6">
        <f t="shared" si="873"/>
        <v>0</v>
      </c>
      <c r="Y5578" s="13">
        <f t="shared" si="878"/>
        <v>0</v>
      </c>
      <c r="Z5578" s="14">
        <v>0</v>
      </c>
      <c r="AA5578" s="6">
        <v>0</v>
      </c>
      <c r="AB5578" s="4">
        <f t="shared" si="879"/>
        <v>0</v>
      </c>
      <c r="AC5578" s="6">
        <f t="shared" si="875"/>
        <v>0</v>
      </c>
      <c r="AD5578" s="6">
        <f t="shared" si="876"/>
        <v>0</v>
      </c>
      <c r="AE5578" s="14">
        <f>VLOOKUP(I5578,[2]媒体政策预估表!A:N,MATCH(O5578,[2]媒体政策预估表!$A$2:$M$2,0),0)</f>
        <v>0.11</v>
      </c>
      <c r="AF5578" s="6">
        <f t="shared" si="872"/>
        <v>0</v>
      </c>
      <c r="AG5578" s="14">
        <v>0</v>
      </c>
      <c r="AH5578" s="64">
        <f t="shared" si="877"/>
        <v>0</v>
      </c>
      <c r="AI5578" s="47"/>
      <c r="AJ5578" s="126" t="e">
        <v>#N/A</v>
      </c>
      <c r="AK5578" s="80">
        <f t="shared" si="880"/>
        <v>0</v>
      </c>
      <c r="AL5578" s="85"/>
      <c r="AM5578" s="85"/>
    </row>
    <row r="5579" spans="1:39" s="86" customFormat="1" ht="13.25" hidden="1" customHeight="1" x14ac:dyDescent="0.3">
      <c r="A5579" s="89" t="s">
        <v>3792</v>
      </c>
      <c r="B5579" s="86" t="s">
        <v>35</v>
      </c>
      <c r="C5579" s="86" t="s">
        <v>164</v>
      </c>
      <c r="D5579" s="86" t="s">
        <v>174</v>
      </c>
      <c r="E5579" s="86" t="s">
        <v>676</v>
      </c>
      <c r="F5579" s="86" t="s">
        <v>676</v>
      </c>
      <c r="G5579" s="86" t="s">
        <v>676</v>
      </c>
      <c r="H5579" s="143">
        <v>62</v>
      </c>
      <c r="I5579" s="86" t="s">
        <v>408</v>
      </c>
      <c r="J5579" s="1" t="s">
        <v>3324</v>
      </c>
      <c r="K5579" s="1" t="s">
        <v>3278</v>
      </c>
      <c r="L5579" s="1" t="s">
        <v>35</v>
      </c>
      <c r="M5579" s="86" t="s">
        <v>677</v>
      </c>
      <c r="O5579" s="47" t="s">
        <v>45</v>
      </c>
      <c r="P5579" s="14" t="s">
        <v>41</v>
      </c>
      <c r="Q5579" s="14">
        <v>0</v>
      </c>
      <c r="R5579" s="143">
        <v>1000100039</v>
      </c>
      <c r="S5579" s="47"/>
      <c r="T5579" s="6">
        <v>13155.789999999999</v>
      </c>
      <c r="U5579" s="6"/>
      <c r="V5579" s="6">
        <v>0</v>
      </c>
      <c r="W5579" s="6">
        <f t="shared" si="874"/>
        <v>13155.789999999999</v>
      </c>
      <c r="X5579" s="6">
        <f t="shared" si="873"/>
        <v>0</v>
      </c>
      <c r="Y5579" s="13">
        <f t="shared" si="878"/>
        <v>0</v>
      </c>
      <c r="Z5579" s="14">
        <v>0</v>
      </c>
      <c r="AA5579" s="6">
        <v>0</v>
      </c>
      <c r="AB5579" s="4">
        <f t="shared" si="879"/>
        <v>0</v>
      </c>
      <c r="AC5579" s="6">
        <f t="shared" si="875"/>
        <v>0</v>
      </c>
      <c r="AD5579" s="6">
        <f t="shared" si="876"/>
        <v>0</v>
      </c>
      <c r="AE5579" s="14">
        <f>VLOOKUP(I5579,[2]媒体政策预估表!A:N,MATCH(O5579,[2]媒体政策预估表!$A$2:$M$2,0),0)</f>
        <v>0.11</v>
      </c>
      <c r="AF5579" s="6">
        <f t="shared" si="872"/>
        <v>0</v>
      </c>
      <c r="AG5579" s="14">
        <v>0</v>
      </c>
      <c r="AH5579" s="64">
        <f t="shared" si="877"/>
        <v>0</v>
      </c>
      <c r="AI5579" s="47"/>
      <c r="AJ5579" s="126" t="e">
        <v>#N/A</v>
      </c>
      <c r="AK5579" s="80">
        <f t="shared" si="880"/>
        <v>0</v>
      </c>
      <c r="AL5579" s="85"/>
      <c r="AM5579" s="85"/>
    </row>
    <row r="5580" spans="1:39" s="86" customFormat="1" ht="13.25" hidden="1" customHeight="1" x14ac:dyDescent="0.3">
      <c r="A5580" s="89" t="s">
        <v>3796</v>
      </c>
      <c r="B5580" s="86" t="s">
        <v>35</v>
      </c>
      <c r="C5580" s="86" t="s">
        <v>164</v>
      </c>
      <c r="D5580" s="86" t="s">
        <v>174</v>
      </c>
      <c r="E5580" s="86" t="s">
        <v>678</v>
      </c>
      <c r="F5580" s="86" t="s">
        <v>678</v>
      </c>
      <c r="G5580" s="86" t="s">
        <v>678</v>
      </c>
      <c r="H5580" s="143">
        <v>62</v>
      </c>
      <c r="I5580" s="86" t="s">
        <v>408</v>
      </c>
      <c r="J5580" s="1" t="s">
        <v>3324</v>
      </c>
      <c r="K5580" s="1" t="s">
        <v>3278</v>
      </c>
      <c r="L5580" s="1" t="s">
        <v>35</v>
      </c>
      <c r="M5580" s="86" t="s">
        <v>679</v>
      </c>
      <c r="O5580" s="47" t="s">
        <v>410</v>
      </c>
      <c r="P5580" s="14" t="s">
        <v>41</v>
      </c>
      <c r="Q5580" s="14">
        <v>0</v>
      </c>
      <c r="R5580" s="143">
        <v>1000090915</v>
      </c>
      <c r="S5580" s="47"/>
      <c r="T5580" s="6">
        <v>6979.41</v>
      </c>
      <c r="U5580" s="6"/>
      <c r="V5580" s="6">
        <v>0</v>
      </c>
      <c r="W5580" s="6">
        <f t="shared" si="874"/>
        <v>6979.41</v>
      </c>
      <c r="X5580" s="6">
        <f t="shared" si="873"/>
        <v>0</v>
      </c>
      <c r="Y5580" s="13">
        <f t="shared" si="878"/>
        <v>0</v>
      </c>
      <c r="Z5580" s="14">
        <v>0</v>
      </c>
      <c r="AA5580" s="6">
        <v>0</v>
      </c>
      <c r="AB5580" s="4">
        <f t="shared" si="879"/>
        <v>0</v>
      </c>
      <c r="AC5580" s="6">
        <f t="shared" si="875"/>
        <v>0</v>
      </c>
      <c r="AD5580" s="6">
        <f t="shared" si="876"/>
        <v>0</v>
      </c>
      <c r="AE5580" s="14">
        <f>VLOOKUP(I5580,[2]媒体政策预估表!A:N,MATCH(O5580,[2]媒体政策预估表!$A$2:$M$2,0),0)</f>
        <v>7.0000000000000007E-2</v>
      </c>
      <c r="AF5580" s="6">
        <f t="shared" si="872"/>
        <v>0</v>
      </c>
      <c r="AG5580" s="14">
        <v>0</v>
      </c>
      <c r="AH5580" s="64">
        <f t="shared" si="877"/>
        <v>0</v>
      </c>
      <c r="AI5580" s="47"/>
      <c r="AJ5580" s="126" t="e">
        <v>#N/A</v>
      </c>
      <c r="AK5580" s="80">
        <f t="shared" si="880"/>
        <v>0</v>
      </c>
      <c r="AL5580" s="85"/>
      <c r="AM5580" s="85"/>
    </row>
    <row r="5581" spans="1:39" s="86" customFormat="1" ht="13.25" hidden="1" customHeight="1" x14ac:dyDescent="0.3">
      <c r="A5581" s="89" t="s">
        <v>3792</v>
      </c>
      <c r="B5581" s="86" t="s">
        <v>35</v>
      </c>
      <c r="C5581" s="86" t="s">
        <v>164</v>
      </c>
      <c r="D5581" s="86" t="s">
        <v>3407</v>
      </c>
      <c r="E5581" s="86" t="s">
        <v>698</v>
      </c>
      <c r="F5581" s="86" t="s">
        <v>699</v>
      </c>
      <c r="G5581" s="86" t="s">
        <v>698</v>
      </c>
      <c r="H5581" s="144">
        <v>62</v>
      </c>
      <c r="I5581" s="86" t="s">
        <v>408</v>
      </c>
      <c r="J5581" s="1" t="s">
        <v>3324</v>
      </c>
      <c r="K5581" s="1" t="s">
        <v>3278</v>
      </c>
      <c r="L5581" s="1" t="s">
        <v>35</v>
      </c>
      <c r="M5581" s="86" t="s">
        <v>700</v>
      </c>
      <c r="O5581" s="47" t="s">
        <v>410</v>
      </c>
      <c r="P5581" s="14" t="s">
        <v>46</v>
      </c>
      <c r="Q5581" s="14">
        <v>0.02</v>
      </c>
      <c r="R5581" s="143">
        <v>1000016173</v>
      </c>
      <c r="S5581" s="47"/>
      <c r="T5581" s="6">
        <v>331904.61000000004</v>
      </c>
      <c r="U5581" s="6"/>
      <c r="V5581" s="6">
        <v>274443.55</v>
      </c>
      <c r="W5581" s="6">
        <f t="shared" si="874"/>
        <v>57461.060000000056</v>
      </c>
      <c r="X5581" s="6">
        <f t="shared" si="873"/>
        <v>269062.30392156861</v>
      </c>
      <c r="Y5581" s="13">
        <f t="shared" si="878"/>
        <v>0</v>
      </c>
      <c r="Z5581" s="14">
        <v>0</v>
      </c>
      <c r="AA5581" s="6">
        <v>0</v>
      </c>
      <c r="AB5581" s="4">
        <f t="shared" si="879"/>
        <v>269062.30392156861</v>
      </c>
      <c r="AC5581" s="6">
        <f t="shared" si="875"/>
        <v>5381.2460784313735</v>
      </c>
      <c r="AD5581" s="6">
        <f t="shared" si="876"/>
        <v>274443.55</v>
      </c>
      <c r="AE5581" s="14">
        <f>VLOOKUP(I5581,[2]媒体政策预估表!A:N,MATCH(O5581,[2]媒体政策预估表!$A$2:$M$2,0),0)</f>
        <v>7.0000000000000007E-2</v>
      </c>
      <c r="AF5581" s="6">
        <f t="shared" si="872"/>
        <v>19211.048500000001</v>
      </c>
      <c r="AG5581" s="14">
        <v>0</v>
      </c>
      <c r="AH5581" s="64">
        <f t="shared" si="877"/>
        <v>274443.55</v>
      </c>
      <c r="AI5581" s="47"/>
      <c r="AJ5581" s="126" t="e">
        <v>#N/A</v>
      </c>
      <c r="AK5581" s="80">
        <f t="shared" si="880"/>
        <v>0</v>
      </c>
      <c r="AL5581" s="85"/>
      <c r="AM5581" s="85"/>
    </row>
    <row r="5582" spans="1:39" s="86" customFormat="1" ht="13.25" hidden="1" customHeight="1" x14ac:dyDescent="0.3">
      <c r="A5582" s="89" t="s">
        <v>3794</v>
      </c>
      <c r="B5582" s="86" t="s">
        <v>35</v>
      </c>
      <c r="C5582" s="86" t="s">
        <v>184</v>
      </c>
      <c r="D5582" s="86" t="s">
        <v>224</v>
      </c>
      <c r="E5582" s="86" t="s">
        <v>706</v>
      </c>
      <c r="F5582" s="86" t="s">
        <v>706</v>
      </c>
      <c r="G5582" s="86" t="s">
        <v>706</v>
      </c>
      <c r="H5582" s="143">
        <v>62</v>
      </c>
      <c r="I5582" s="86" t="s">
        <v>408</v>
      </c>
      <c r="J5582" s="1" t="s">
        <v>3324</v>
      </c>
      <c r="K5582" s="1" t="s">
        <v>3278</v>
      </c>
      <c r="L5582" s="1" t="s">
        <v>35</v>
      </c>
      <c r="M5582" s="86" t="s">
        <v>707</v>
      </c>
      <c r="O5582" s="47" t="s">
        <v>410</v>
      </c>
      <c r="P5582" s="14" t="s">
        <v>41</v>
      </c>
      <c r="Q5582" s="14">
        <v>0</v>
      </c>
      <c r="R5582" s="143">
        <v>1000096438</v>
      </c>
      <c r="S5582" s="47"/>
      <c r="T5582" s="6">
        <v>1441</v>
      </c>
      <c r="U5582" s="6"/>
      <c r="V5582" s="6">
        <v>0</v>
      </c>
      <c r="W5582" s="6">
        <f t="shared" si="874"/>
        <v>1441</v>
      </c>
      <c r="X5582" s="6">
        <f t="shared" si="873"/>
        <v>0</v>
      </c>
      <c r="Y5582" s="13">
        <f t="shared" si="878"/>
        <v>0</v>
      </c>
      <c r="Z5582" s="14">
        <v>0</v>
      </c>
      <c r="AA5582" s="6">
        <v>0</v>
      </c>
      <c r="AB5582" s="4">
        <f t="shared" si="879"/>
        <v>0</v>
      </c>
      <c r="AC5582" s="6">
        <f t="shared" si="875"/>
        <v>0</v>
      </c>
      <c r="AD5582" s="6">
        <f t="shared" si="876"/>
        <v>0</v>
      </c>
      <c r="AE5582" s="14">
        <f>VLOOKUP(I5582,[2]媒体政策预估表!A:N,MATCH(O5582,[2]媒体政策预估表!$A$2:$M$2,0),0)</f>
        <v>7.0000000000000007E-2</v>
      </c>
      <c r="AF5582" s="6">
        <f t="shared" si="872"/>
        <v>0</v>
      </c>
      <c r="AG5582" s="14">
        <v>0</v>
      </c>
      <c r="AH5582" s="64">
        <f t="shared" si="877"/>
        <v>0</v>
      </c>
      <c r="AI5582" s="47"/>
      <c r="AJ5582" s="126" t="e">
        <v>#N/A</v>
      </c>
      <c r="AK5582" s="80">
        <f t="shared" si="880"/>
        <v>0</v>
      </c>
      <c r="AL5582" s="85"/>
      <c r="AM5582" s="85"/>
    </row>
    <row r="5583" spans="1:39" s="86" customFormat="1" ht="13.25" hidden="1" customHeight="1" x14ac:dyDescent="0.3">
      <c r="A5583" s="89" t="s">
        <v>3792</v>
      </c>
      <c r="B5583" s="86" t="s">
        <v>35</v>
      </c>
      <c r="C5583" s="86" t="s">
        <v>65</v>
      </c>
      <c r="D5583" s="86" t="s">
        <v>66</v>
      </c>
      <c r="E5583" s="86" t="s">
        <v>713</v>
      </c>
      <c r="F5583" s="86" t="s">
        <v>713</v>
      </c>
      <c r="G5583" s="86" t="s">
        <v>713</v>
      </c>
      <c r="H5583" s="143">
        <v>62</v>
      </c>
      <c r="I5583" s="86" t="s">
        <v>408</v>
      </c>
      <c r="J5583" s="1" t="s">
        <v>3324</v>
      </c>
      <c r="K5583" s="1" t="s">
        <v>3278</v>
      </c>
      <c r="L5583" s="1" t="s">
        <v>35</v>
      </c>
      <c r="M5583" s="86" t="s">
        <v>714</v>
      </c>
      <c r="O5583" s="47" t="s">
        <v>410</v>
      </c>
      <c r="P5583" s="14" t="s">
        <v>46</v>
      </c>
      <c r="Q5583" s="14">
        <v>0.02</v>
      </c>
      <c r="R5583" s="143">
        <v>1000094337</v>
      </c>
      <c r="S5583" s="47"/>
      <c r="T5583" s="6">
        <v>10000</v>
      </c>
      <c r="U5583" s="6"/>
      <c r="V5583" s="6">
        <v>0</v>
      </c>
      <c r="W5583" s="6">
        <f t="shared" si="874"/>
        <v>10000</v>
      </c>
      <c r="X5583" s="6">
        <f t="shared" si="873"/>
        <v>0</v>
      </c>
      <c r="Y5583" s="13">
        <f t="shared" si="878"/>
        <v>0</v>
      </c>
      <c r="Z5583" s="14">
        <v>0</v>
      </c>
      <c r="AA5583" s="6">
        <v>0</v>
      </c>
      <c r="AB5583" s="4">
        <f t="shared" si="879"/>
        <v>0</v>
      </c>
      <c r="AC5583" s="6">
        <f t="shared" si="875"/>
        <v>0</v>
      </c>
      <c r="AD5583" s="6">
        <f t="shared" si="876"/>
        <v>0</v>
      </c>
      <c r="AE5583" s="14">
        <f>VLOOKUP(I5583,[2]媒体政策预估表!A:N,MATCH(O5583,[2]媒体政策预估表!$A$2:$M$2,0),0)</f>
        <v>7.0000000000000007E-2</v>
      </c>
      <c r="AF5583" s="6">
        <f t="shared" si="872"/>
        <v>0</v>
      </c>
      <c r="AG5583" s="14">
        <v>0</v>
      </c>
      <c r="AH5583" s="64">
        <f t="shared" si="877"/>
        <v>0</v>
      </c>
      <c r="AI5583" s="47"/>
      <c r="AJ5583" s="126" t="e">
        <v>#N/A</v>
      </c>
      <c r="AK5583" s="80">
        <f t="shared" si="880"/>
        <v>0</v>
      </c>
      <c r="AL5583" s="85"/>
      <c r="AM5583" s="85"/>
    </row>
    <row r="5584" spans="1:39" s="86" customFormat="1" ht="13.25" hidden="1" customHeight="1" x14ac:dyDescent="0.3">
      <c r="A5584" s="89" t="s">
        <v>3794</v>
      </c>
      <c r="B5584" s="86" t="s">
        <v>35</v>
      </c>
      <c r="C5584" s="86" t="s">
        <v>36</v>
      </c>
      <c r="D5584" s="86" t="s">
        <v>185</v>
      </c>
      <c r="E5584" s="86" t="s">
        <v>715</v>
      </c>
      <c r="F5584" s="86" t="s">
        <v>715</v>
      </c>
      <c r="G5584" s="86" t="s">
        <v>715</v>
      </c>
      <c r="H5584" s="144">
        <v>62</v>
      </c>
      <c r="I5584" s="86" t="s">
        <v>408</v>
      </c>
      <c r="J5584" s="1" t="s">
        <v>3324</v>
      </c>
      <c r="K5584" s="1" t="s">
        <v>3278</v>
      </c>
      <c r="L5584" s="1" t="s">
        <v>35</v>
      </c>
      <c r="M5584" s="86" t="s">
        <v>716</v>
      </c>
      <c r="O5584" s="47" t="s">
        <v>410</v>
      </c>
      <c r="P5584" s="14" t="s">
        <v>41</v>
      </c>
      <c r="Q5584" s="14">
        <v>0</v>
      </c>
      <c r="R5584" s="143">
        <v>1000016985</v>
      </c>
      <c r="S5584" s="47" t="s">
        <v>3856</v>
      </c>
      <c r="T5584" s="6">
        <v>-73667.62</v>
      </c>
      <c r="U5584" s="6"/>
      <c r="V5584" s="6">
        <v>0</v>
      </c>
      <c r="W5584" s="6">
        <f t="shared" si="874"/>
        <v>-73667.62</v>
      </c>
      <c r="X5584" s="6">
        <v>108913.31</v>
      </c>
      <c r="Y5584" s="13">
        <f t="shared" si="878"/>
        <v>108913.31</v>
      </c>
      <c r="Z5584" s="14">
        <v>0</v>
      </c>
      <c r="AA5584" s="6">
        <v>0</v>
      </c>
      <c r="AB5584" s="4">
        <f t="shared" si="879"/>
        <v>108913.31</v>
      </c>
      <c r="AC5584" s="6">
        <f t="shared" si="875"/>
        <v>-108913.31</v>
      </c>
      <c r="AD5584" s="6">
        <f t="shared" si="876"/>
        <v>0</v>
      </c>
      <c r="AE5584" s="14">
        <f>VLOOKUP(I5584,[2]媒体政策预估表!A:N,MATCH(O5584,[2]媒体政策预估表!$A$2:$M$2,0),0)</f>
        <v>7.0000000000000007E-2</v>
      </c>
      <c r="AF5584" s="6">
        <f t="shared" si="872"/>
        <v>0</v>
      </c>
      <c r="AG5584" s="14">
        <v>0</v>
      </c>
      <c r="AH5584" s="64">
        <f t="shared" si="877"/>
        <v>0</v>
      </c>
      <c r="AI5584" s="47"/>
      <c r="AJ5584" s="126" t="e">
        <v>#N/A</v>
      </c>
      <c r="AK5584" s="80">
        <f t="shared" si="880"/>
        <v>0</v>
      </c>
      <c r="AL5584" s="85"/>
      <c r="AM5584" s="85"/>
    </row>
    <row r="5585" spans="1:39" s="86" customFormat="1" ht="13.25" hidden="1" customHeight="1" x14ac:dyDescent="0.3">
      <c r="A5585" s="89" t="s">
        <v>3794</v>
      </c>
      <c r="B5585" s="86" t="s">
        <v>35</v>
      </c>
      <c r="C5585" s="86" t="s">
        <v>184</v>
      </c>
      <c r="D5585" s="86" t="s">
        <v>3849</v>
      </c>
      <c r="E5585" s="86" t="s">
        <v>718</v>
      </c>
      <c r="F5585" s="86" t="s">
        <v>718</v>
      </c>
      <c r="G5585" s="86" t="s">
        <v>718</v>
      </c>
      <c r="H5585" s="143">
        <v>62</v>
      </c>
      <c r="I5585" s="86" t="s">
        <v>408</v>
      </c>
      <c r="J5585" s="1" t="s">
        <v>3324</v>
      </c>
      <c r="K5585" s="1" t="s">
        <v>3278</v>
      </c>
      <c r="L5585" s="1" t="s">
        <v>35</v>
      </c>
      <c r="M5585" s="86" t="s">
        <v>719</v>
      </c>
      <c r="O5585" s="47" t="s">
        <v>410</v>
      </c>
      <c r="P5585" s="14" t="s">
        <v>41</v>
      </c>
      <c r="Q5585" s="14">
        <v>0</v>
      </c>
      <c r="R5585" s="143">
        <v>1000095332</v>
      </c>
      <c r="S5585" s="47"/>
      <c r="T5585" s="6">
        <v>2257.9300000000017</v>
      </c>
      <c r="U5585" s="6"/>
      <c r="V5585" s="6">
        <v>0</v>
      </c>
      <c r="W5585" s="6">
        <f t="shared" si="874"/>
        <v>2257.9300000000017</v>
      </c>
      <c r="X5585" s="6">
        <f t="shared" si="873"/>
        <v>0</v>
      </c>
      <c r="Y5585" s="13">
        <f t="shared" si="878"/>
        <v>0</v>
      </c>
      <c r="Z5585" s="14">
        <v>0</v>
      </c>
      <c r="AA5585" s="6">
        <v>0</v>
      </c>
      <c r="AB5585" s="4">
        <f t="shared" si="879"/>
        <v>0</v>
      </c>
      <c r="AC5585" s="6">
        <f t="shared" si="875"/>
        <v>0</v>
      </c>
      <c r="AD5585" s="6">
        <f t="shared" si="876"/>
        <v>0</v>
      </c>
      <c r="AE5585" s="14">
        <f>VLOOKUP(I5585,[2]媒体政策预估表!A:N,MATCH(O5585,[2]媒体政策预估表!$A$2:$M$2,0),0)</f>
        <v>7.0000000000000007E-2</v>
      </c>
      <c r="AF5585" s="6">
        <f t="shared" si="872"/>
        <v>0</v>
      </c>
      <c r="AG5585" s="14">
        <v>0</v>
      </c>
      <c r="AH5585" s="64">
        <f t="shared" si="877"/>
        <v>0</v>
      </c>
      <c r="AI5585" s="47"/>
      <c r="AJ5585" s="126" t="e">
        <v>#N/A</v>
      </c>
      <c r="AK5585" s="80">
        <f t="shared" si="880"/>
        <v>0</v>
      </c>
      <c r="AL5585" s="85"/>
      <c r="AM5585" s="85"/>
    </row>
    <row r="5586" spans="1:39" s="86" customFormat="1" ht="13.25" hidden="1" customHeight="1" x14ac:dyDescent="0.3">
      <c r="A5586" s="89" t="s">
        <v>3794</v>
      </c>
      <c r="B5586" s="86" t="s">
        <v>35</v>
      </c>
      <c r="C5586" s="86" t="s">
        <v>144</v>
      </c>
      <c r="D5586" s="86" t="s">
        <v>152</v>
      </c>
      <c r="E5586" s="86" t="s">
        <v>720</v>
      </c>
      <c r="F5586" s="86" t="s">
        <v>720</v>
      </c>
      <c r="G5586" s="86" t="s">
        <v>720</v>
      </c>
      <c r="H5586" s="143">
        <v>62</v>
      </c>
      <c r="I5586" s="86" t="s">
        <v>408</v>
      </c>
      <c r="J5586" s="1" t="s">
        <v>3324</v>
      </c>
      <c r="K5586" s="1" t="s">
        <v>3278</v>
      </c>
      <c r="L5586" s="1" t="s">
        <v>35</v>
      </c>
      <c r="M5586" s="86" t="s">
        <v>721</v>
      </c>
      <c r="O5586" s="47" t="s">
        <v>410</v>
      </c>
      <c r="P5586" s="14" t="s">
        <v>41</v>
      </c>
      <c r="Q5586" s="14">
        <v>0</v>
      </c>
      <c r="R5586" s="143">
        <v>1000095034</v>
      </c>
      <c r="S5586" s="47"/>
      <c r="T5586" s="6">
        <v>30000</v>
      </c>
      <c r="U5586" s="6"/>
      <c r="V5586" s="6">
        <v>0</v>
      </c>
      <c r="W5586" s="6">
        <f t="shared" si="874"/>
        <v>30000</v>
      </c>
      <c r="X5586" s="6">
        <f t="shared" si="873"/>
        <v>0</v>
      </c>
      <c r="Y5586" s="13">
        <f t="shared" si="878"/>
        <v>0</v>
      </c>
      <c r="Z5586" s="14">
        <v>0</v>
      </c>
      <c r="AA5586" s="6">
        <v>0</v>
      </c>
      <c r="AB5586" s="4">
        <f t="shared" si="879"/>
        <v>0</v>
      </c>
      <c r="AC5586" s="6">
        <f t="shared" si="875"/>
        <v>0</v>
      </c>
      <c r="AD5586" s="6">
        <f t="shared" si="876"/>
        <v>0</v>
      </c>
      <c r="AE5586" s="14">
        <f>VLOOKUP(I5586,[2]媒体政策预估表!A:N,MATCH(O5586,[2]媒体政策预估表!$A$2:$M$2,0),0)</f>
        <v>7.0000000000000007E-2</v>
      </c>
      <c r="AF5586" s="6">
        <f t="shared" si="872"/>
        <v>0</v>
      </c>
      <c r="AG5586" s="14">
        <v>0</v>
      </c>
      <c r="AH5586" s="64">
        <f t="shared" si="877"/>
        <v>0</v>
      </c>
      <c r="AI5586" s="47"/>
      <c r="AJ5586" s="126" t="e">
        <v>#N/A</v>
      </c>
      <c r="AK5586" s="80">
        <f t="shared" si="880"/>
        <v>0</v>
      </c>
      <c r="AL5586" s="85"/>
      <c r="AM5586" s="85"/>
    </row>
    <row r="5587" spans="1:39" s="86" customFormat="1" ht="13.25" hidden="1" customHeight="1" x14ac:dyDescent="0.3">
      <c r="A5587" s="89" t="s">
        <v>3796</v>
      </c>
      <c r="B5587" s="86" t="s">
        <v>35</v>
      </c>
      <c r="C5587" s="86" t="s">
        <v>144</v>
      </c>
      <c r="D5587" s="86" t="s">
        <v>152</v>
      </c>
      <c r="E5587" s="86" t="s">
        <v>722</v>
      </c>
      <c r="F5587" s="86" t="s">
        <v>722</v>
      </c>
      <c r="G5587" s="86" t="s">
        <v>722</v>
      </c>
      <c r="H5587" s="143">
        <v>62</v>
      </c>
      <c r="I5587" s="86" t="s">
        <v>408</v>
      </c>
      <c r="J5587" s="1" t="s">
        <v>3324</v>
      </c>
      <c r="K5587" s="1" t="s">
        <v>3278</v>
      </c>
      <c r="L5587" s="1" t="s">
        <v>35</v>
      </c>
      <c r="M5587" s="86" t="s">
        <v>723</v>
      </c>
      <c r="O5587" s="47" t="s">
        <v>410</v>
      </c>
      <c r="P5587" s="14" t="s">
        <v>46</v>
      </c>
      <c r="Q5587" s="14">
        <v>0.04</v>
      </c>
      <c r="R5587" s="143">
        <v>1000095880</v>
      </c>
      <c r="S5587" s="47"/>
      <c r="T5587" s="6">
        <v>981.01000000000022</v>
      </c>
      <c r="U5587" s="6"/>
      <c r="V5587" s="6">
        <v>0</v>
      </c>
      <c r="W5587" s="6">
        <v>0</v>
      </c>
      <c r="X5587" s="6">
        <f t="shared" si="873"/>
        <v>0</v>
      </c>
      <c r="Y5587" s="13">
        <f t="shared" si="878"/>
        <v>0</v>
      </c>
      <c r="Z5587" s="14">
        <v>0</v>
      </c>
      <c r="AA5587" s="6">
        <v>0</v>
      </c>
      <c r="AB5587" s="4"/>
      <c r="AC5587" s="6">
        <f t="shared" si="875"/>
        <v>0</v>
      </c>
      <c r="AD5587" s="6">
        <f t="shared" si="876"/>
        <v>0</v>
      </c>
      <c r="AE5587" s="14">
        <f>VLOOKUP(I5587,[2]媒体政策预估表!A:N,MATCH(O5587,[2]媒体政策预估表!$A$2:$M$2,0),0)</f>
        <v>7.0000000000000007E-2</v>
      </c>
      <c r="AF5587" s="6">
        <f t="shared" si="872"/>
        <v>0</v>
      </c>
      <c r="AG5587" s="14">
        <v>0</v>
      </c>
      <c r="AH5587" s="64">
        <f t="shared" si="877"/>
        <v>0</v>
      </c>
      <c r="AI5587" s="47"/>
      <c r="AJ5587" s="126">
        <v>112</v>
      </c>
      <c r="AK5587" s="80">
        <f t="shared" si="880"/>
        <v>0</v>
      </c>
      <c r="AL5587" s="85"/>
      <c r="AM5587" s="85"/>
    </row>
    <row r="5588" spans="1:39" s="86" customFormat="1" ht="13.25" hidden="1" customHeight="1" x14ac:dyDescent="0.3">
      <c r="A5588" s="89" t="s">
        <v>3852</v>
      </c>
      <c r="B5588" s="86" t="s">
        <v>35</v>
      </c>
      <c r="C5588" s="86" t="s">
        <v>65</v>
      </c>
      <c r="D5588" s="86" t="s">
        <v>66</v>
      </c>
      <c r="E5588" s="86" t="s">
        <v>470</v>
      </c>
      <c r="F5588" s="86" t="s">
        <v>470</v>
      </c>
      <c r="G5588" s="86" t="s">
        <v>470</v>
      </c>
      <c r="H5588" s="143">
        <v>62</v>
      </c>
      <c r="I5588" s="86" t="s">
        <v>408</v>
      </c>
      <c r="J5588" s="1" t="s">
        <v>3324</v>
      </c>
      <c r="K5588" s="1" t="s">
        <v>3278</v>
      </c>
      <c r="L5588" s="1" t="s">
        <v>35</v>
      </c>
      <c r="M5588" s="86" t="s">
        <v>471</v>
      </c>
      <c r="O5588" s="47" t="s">
        <v>410</v>
      </c>
      <c r="P5588" s="14" t="s">
        <v>46</v>
      </c>
      <c r="Q5588" s="14">
        <v>0.02</v>
      </c>
      <c r="R5588" s="143">
        <v>1000094032</v>
      </c>
      <c r="S5588" s="47"/>
      <c r="T5588" s="6">
        <v>5000</v>
      </c>
      <c r="U5588" s="6"/>
      <c r="V5588" s="6">
        <v>0</v>
      </c>
      <c r="W5588" s="6">
        <f t="shared" si="874"/>
        <v>5000</v>
      </c>
      <c r="X5588" s="6">
        <f t="shared" si="873"/>
        <v>0</v>
      </c>
      <c r="Y5588" s="13">
        <f t="shared" si="878"/>
        <v>0</v>
      </c>
      <c r="Z5588" s="14">
        <v>0</v>
      </c>
      <c r="AA5588" s="6">
        <v>0</v>
      </c>
      <c r="AB5588" s="4">
        <f t="shared" si="879"/>
        <v>0</v>
      </c>
      <c r="AC5588" s="6">
        <f t="shared" si="875"/>
        <v>0</v>
      </c>
      <c r="AD5588" s="6">
        <f t="shared" si="876"/>
        <v>0</v>
      </c>
      <c r="AE5588" s="14">
        <f>VLOOKUP(I5588,[2]媒体政策预估表!A:N,MATCH(O5588,[2]媒体政策预估表!$A$2:$M$2,0),0)</f>
        <v>7.0000000000000007E-2</v>
      </c>
      <c r="AF5588" s="6">
        <f t="shared" si="872"/>
        <v>0</v>
      </c>
      <c r="AG5588" s="14">
        <v>0</v>
      </c>
      <c r="AH5588" s="64">
        <f t="shared" si="877"/>
        <v>0</v>
      </c>
      <c r="AI5588" s="47"/>
      <c r="AJ5588" s="126" t="e">
        <v>#N/A</v>
      </c>
      <c r="AK5588" s="80">
        <f t="shared" si="880"/>
        <v>0</v>
      </c>
      <c r="AL5588" s="85"/>
      <c r="AM5588" s="85"/>
    </row>
    <row r="5589" spans="1:39" s="86" customFormat="1" ht="13.25" hidden="1" customHeight="1" x14ac:dyDescent="0.3">
      <c r="A5589" s="89" t="s">
        <v>3794</v>
      </c>
      <c r="B5589" s="86" t="s">
        <v>35</v>
      </c>
      <c r="C5589" s="86" t="s">
        <v>65</v>
      </c>
      <c r="D5589" s="86" t="s">
        <v>66</v>
      </c>
      <c r="E5589" s="86" t="s">
        <v>470</v>
      </c>
      <c r="F5589" s="86" t="s">
        <v>470</v>
      </c>
      <c r="G5589" s="86" t="s">
        <v>470</v>
      </c>
      <c r="H5589" s="143">
        <v>62</v>
      </c>
      <c r="I5589" s="86" t="s">
        <v>408</v>
      </c>
      <c r="J5589" s="1" t="s">
        <v>3324</v>
      </c>
      <c r="K5589" s="1" t="s">
        <v>3278</v>
      </c>
      <c r="L5589" s="1" t="s">
        <v>35</v>
      </c>
      <c r="M5589" s="86" t="s">
        <v>472</v>
      </c>
      <c r="O5589" s="47" t="s">
        <v>45</v>
      </c>
      <c r="P5589" s="14" t="s">
        <v>46</v>
      </c>
      <c r="Q5589" s="14">
        <v>0.04</v>
      </c>
      <c r="R5589" s="143">
        <v>1000094031</v>
      </c>
      <c r="S5589" s="47"/>
      <c r="T5589" s="6">
        <v>5000</v>
      </c>
      <c r="U5589" s="6"/>
      <c r="V5589" s="6">
        <v>0</v>
      </c>
      <c r="W5589" s="6">
        <f t="shared" si="874"/>
        <v>5000</v>
      </c>
      <c r="X5589" s="6">
        <f t="shared" si="873"/>
        <v>0</v>
      </c>
      <c r="Y5589" s="13">
        <f t="shared" si="878"/>
        <v>0</v>
      </c>
      <c r="Z5589" s="14">
        <v>0</v>
      </c>
      <c r="AA5589" s="6">
        <v>0</v>
      </c>
      <c r="AB5589" s="4">
        <f t="shared" si="879"/>
        <v>0</v>
      </c>
      <c r="AC5589" s="6">
        <f t="shared" si="875"/>
        <v>0</v>
      </c>
      <c r="AD5589" s="6">
        <f t="shared" si="876"/>
        <v>0</v>
      </c>
      <c r="AE5589" s="14">
        <f>VLOOKUP(I5589,[2]媒体政策预估表!A:N,MATCH(O5589,[2]媒体政策预估表!$A$2:$M$2,0),0)</f>
        <v>0.11</v>
      </c>
      <c r="AF5589" s="6">
        <f t="shared" si="872"/>
        <v>0</v>
      </c>
      <c r="AG5589" s="14">
        <v>0</v>
      </c>
      <c r="AH5589" s="64">
        <f t="shared" si="877"/>
        <v>0</v>
      </c>
      <c r="AI5589" s="47"/>
      <c r="AJ5589" s="126" t="e">
        <v>#N/A</v>
      </c>
      <c r="AK5589" s="80">
        <f t="shared" si="880"/>
        <v>0</v>
      </c>
      <c r="AL5589" s="85"/>
      <c r="AM5589" s="85"/>
    </row>
    <row r="5590" spans="1:39" s="86" customFormat="1" ht="13.25" hidden="1" customHeight="1" x14ac:dyDescent="0.3">
      <c r="A5590" s="89" t="s">
        <v>3794</v>
      </c>
      <c r="B5590" s="86" t="s">
        <v>35</v>
      </c>
      <c r="C5590" s="86" t="s">
        <v>184</v>
      </c>
      <c r="D5590" s="86" t="s">
        <v>224</v>
      </c>
      <c r="E5590" s="86" t="s">
        <v>733</v>
      </c>
      <c r="F5590" s="86" t="s">
        <v>733</v>
      </c>
      <c r="G5590" s="86" t="s">
        <v>733</v>
      </c>
      <c r="H5590" s="143">
        <v>62</v>
      </c>
      <c r="I5590" s="86" t="s">
        <v>408</v>
      </c>
      <c r="J5590" s="1" t="s">
        <v>3324</v>
      </c>
      <c r="K5590" s="1" t="s">
        <v>3278</v>
      </c>
      <c r="L5590" s="1" t="s">
        <v>35</v>
      </c>
      <c r="M5590" s="86" t="s">
        <v>734</v>
      </c>
      <c r="O5590" s="47" t="s">
        <v>45</v>
      </c>
      <c r="P5590" s="14" t="s">
        <v>41</v>
      </c>
      <c r="Q5590" s="14">
        <v>0</v>
      </c>
      <c r="R5590" s="143">
        <v>1000092487</v>
      </c>
      <c r="S5590" s="47"/>
      <c r="T5590" s="6">
        <v>98000</v>
      </c>
      <c r="U5590" s="6"/>
      <c r="V5590" s="6">
        <v>0</v>
      </c>
      <c r="W5590" s="6">
        <f t="shared" si="874"/>
        <v>98000</v>
      </c>
      <c r="X5590" s="6">
        <f t="shared" si="873"/>
        <v>0</v>
      </c>
      <c r="Y5590" s="13">
        <f t="shared" si="878"/>
        <v>0</v>
      </c>
      <c r="Z5590" s="14">
        <v>0</v>
      </c>
      <c r="AA5590" s="6">
        <v>0</v>
      </c>
      <c r="AB5590" s="4">
        <f t="shared" si="879"/>
        <v>0</v>
      </c>
      <c r="AC5590" s="6">
        <f t="shared" si="875"/>
        <v>0</v>
      </c>
      <c r="AD5590" s="6">
        <f t="shared" si="876"/>
        <v>0</v>
      </c>
      <c r="AE5590" s="14">
        <f>VLOOKUP(I5590,[2]媒体政策预估表!A:N,MATCH(O5590,[2]媒体政策预估表!$A$2:$M$2,0),0)</f>
        <v>0.11</v>
      </c>
      <c r="AF5590" s="6">
        <f t="shared" si="872"/>
        <v>0</v>
      </c>
      <c r="AG5590" s="14">
        <v>0</v>
      </c>
      <c r="AH5590" s="64">
        <f t="shared" si="877"/>
        <v>0</v>
      </c>
      <c r="AI5590" s="47"/>
      <c r="AJ5590" s="126" t="e">
        <v>#N/A</v>
      </c>
      <c r="AK5590" s="80">
        <f t="shared" si="880"/>
        <v>0</v>
      </c>
      <c r="AL5590" s="85"/>
      <c r="AM5590" s="85"/>
    </row>
    <row r="5591" spans="1:39" s="86" customFormat="1" ht="13.25" hidden="1" customHeight="1" x14ac:dyDescent="0.3">
      <c r="A5591" s="89" t="s">
        <v>3794</v>
      </c>
      <c r="B5591" s="86" t="s">
        <v>35</v>
      </c>
      <c r="C5591" s="86" t="s">
        <v>59</v>
      </c>
      <c r="D5591" s="86" t="s">
        <v>60</v>
      </c>
      <c r="E5591" s="86" t="s">
        <v>735</v>
      </c>
      <c r="F5591" s="86" t="s">
        <v>735</v>
      </c>
      <c r="G5591" s="86" t="s">
        <v>735</v>
      </c>
      <c r="H5591" s="143">
        <v>62</v>
      </c>
      <c r="I5591" s="86" t="s">
        <v>408</v>
      </c>
      <c r="J5591" s="1" t="s">
        <v>3324</v>
      </c>
      <c r="K5591" s="1" t="s">
        <v>3278</v>
      </c>
      <c r="L5591" s="1" t="s">
        <v>35</v>
      </c>
      <c r="M5591" s="86" t="s">
        <v>736</v>
      </c>
      <c r="O5591" s="47" t="s">
        <v>45</v>
      </c>
      <c r="P5591" s="14" t="s">
        <v>75</v>
      </c>
      <c r="Q5591" s="14">
        <v>0.02</v>
      </c>
      <c r="R5591" s="143">
        <v>1000090963</v>
      </c>
      <c r="S5591" s="47"/>
      <c r="T5591" s="6">
        <v>5000</v>
      </c>
      <c r="U5591" s="6"/>
      <c r="V5591" s="6">
        <v>0</v>
      </c>
      <c r="W5591" s="6">
        <f t="shared" si="874"/>
        <v>5000</v>
      </c>
      <c r="X5591" s="6">
        <f t="shared" si="873"/>
        <v>0</v>
      </c>
      <c r="Y5591" s="13">
        <f t="shared" si="878"/>
        <v>0</v>
      </c>
      <c r="Z5591" s="14">
        <v>0</v>
      </c>
      <c r="AA5591" s="6">
        <v>0</v>
      </c>
      <c r="AB5591" s="4">
        <f t="shared" si="879"/>
        <v>0</v>
      </c>
      <c r="AC5591" s="6">
        <f t="shared" si="875"/>
        <v>0</v>
      </c>
      <c r="AD5591" s="6">
        <f t="shared" si="876"/>
        <v>0</v>
      </c>
      <c r="AE5591" s="14">
        <f>VLOOKUP(I5591,[2]媒体政策预估表!A:N,MATCH(O5591,[2]媒体政策预估表!$A$2:$M$2,0),0)</f>
        <v>0.11</v>
      </c>
      <c r="AF5591" s="6">
        <f t="shared" si="872"/>
        <v>0</v>
      </c>
      <c r="AG5591" s="14">
        <v>0</v>
      </c>
      <c r="AH5591" s="64">
        <f t="shared" si="877"/>
        <v>0</v>
      </c>
      <c r="AI5591" s="47"/>
      <c r="AJ5591" s="126" t="e">
        <v>#N/A</v>
      </c>
      <c r="AK5591" s="80">
        <f t="shared" si="880"/>
        <v>0</v>
      </c>
      <c r="AL5591" s="85"/>
      <c r="AM5591" s="85"/>
    </row>
    <row r="5592" spans="1:39" s="86" customFormat="1" ht="13.25" hidden="1" customHeight="1" x14ac:dyDescent="0.3">
      <c r="A5592" s="89" t="s">
        <v>3792</v>
      </c>
      <c r="B5592" s="86" t="s">
        <v>35</v>
      </c>
      <c r="C5592" s="86" t="s">
        <v>144</v>
      </c>
      <c r="D5592" s="86" t="s">
        <v>152</v>
      </c>
      <c r="E5592" s="86" t="s">
        <v>740</v>
      </c>
      <c r="F5592" s="86" t="s">
        <v>740</v>
      </c>
      <c r="G5592" s="86" t="s">
        <v>740</v>
      </c>
      <c r="H5592" s="143">
        <v>62</v>
      </c>
      <c r="I5592" s="86" t="s">
        <v>408</v>
      </c>
      <c r="J5592" s="1" t="s">
        <v>3324</v>
      </c>
      <c r="K5592" s="1" t="s">
        <v>3278</v>
      </c>
      <c r="L5592" s="1" t="s">
        <v>35</v>
      </c>
      <c r="M5592" s="86" t="s">
        <v>741</v>
      </c>
      <c r="O5592" s="47" t="s">
        <v>45</v>
      </c>
      <c r="P5592" s="14" t="s">
        <v>46</v>
      </c>
      <c r="Q5592" s="14">
        <v>0.04</v>
      </c>
      <c r="R5592" s="143">
        <v>1000087202</v>
      </c>
      <c r="S5592" s="47"/>
      <c r="T5592" s="6">
        <v>9834.090000000002</v>
      </c>
      <c r="U5592" s="6"/>
      <c r="V5592" s="6">
        <v>0</v>
      </c>
      <c r="W5592" s="6">
        <f t="shared" si="874"/>
        <v>9834.090000000002</v>
      </c>
      <c r="X5592" s="6">
        <f t="shared" si="873"/>
        <v>0</v>
      </c>
      <c r="Y5592" s="13">
        <f t="shared" si="878"/>
        <v>0</v>
      </c>
      <c r="Z5592" s="14">
        <v>0</v>
      </c>
      <c r="AA5592" s="6">
        <v>0</v>
      </c>
      <c r="AB5592" s="4">
        <f t="shared" si="879"/>
        <v>0</v>
      </c>
      <c r="AC5592" s="6">
        <f t="shared" si="875"/>
        <v>0</v>
      </c>
      <c r="AD5592" s="6">
        <f t="shared" si="876"/>
        <v>0</v>
      </c>
      <c r="AE5592" s="14">
        <f>VLOOKUP(I5592,[2]媒体政策预估表!A:N,MATCH(O5592,[2]媒体政策预估表!$A$2:$M$2,0),0)</f>
        <v>0.11</v>
      </c>
      <c r="AF5592" s="6">
        <f t="shared" si="872"/>
        <v>0</v>
      </c>
      <c r="AG5592" s="14">
        <v>0</v>
      </c>
      <c r="AH5592" s="64">
        <f t="shared" si="877"/>
        <v>0</v>
      </c>
      <c r="AI5592" s="47"/>
      <c r="AJ5592" s="126" t="e">
        <v>#N/A</v>
      </c>
      <c r="AK5592" s="80">
        <f t="shared" si="880"/>
        <v>0</v>
      </c>
      <c r="AL5592" s="85"/>
      <c r="AM5592" s="85"/>
    </row>
    <row r="5593" spans="1:39" s="86" customFormat="1" ht="13.25" hidden="1" customHeight="1" x14ac:dyDescent="0.3">
      <c r="A5593" s="89" t="s">
        <v>3805</v>
      </c>
      <c r="B5593" s="86" t="s">
        <v>35</v>
      </c>
      <c r="C5593" s="86" t="s">
        <v>3857</v>
      </c>
      <c r="D5593" s="86" t="s">
        <v>3858</v>
      </c>
      <c r="E5593" s="86" t="s">
        <v>742</v>
      </c>
      <c r="F5593" s="86" t="s">
        <v>742</v>
      </c>
      <c r="G5593" s="86" t="s">
        <v>742</v>
      </c>
      <c r="H5593" s="143">
        <v>62</v>
      </c>
      <c r="I5593" s="86" t="s">
        <v>408</v>
      </c>
      <c r="J5593" s="1" t="s">
        <v>3324</v>
      </c>
      <c r="K5593" s="1" t="s">
        <v>3278</v>
      </c>
      <c r="L5593" s="1" t="s">
        <v>35</v>
      </c>
      <c r="M5593" s="86" t="s">
        <v>743</v>
      </c>
      <c r="O5593" s="47" t="s">
        <v>45</v>
      </c>
      <c r="P5593" s="14" t="s">
        <v>41</v>
      </c>
      <c r="Q5593" s="14">
        <v>0</v>
      </c>
      <c r="R5593" s="143">
        <v>1000084758</v>
      </c>
      <c r="S5593" s="47"/>
      <c r="T5593" s="6">
        <v>512</v>
      </c>
      <c r="U5593" s="6"/>
      <c r="V5593" s="6">
        <v>0</v>
      </c>
      <c r="W5593" s="6">
        <f t="shared" si="874"/>
        <v>512</v>
      </c>
      <c r="X5593" s="6">
        <f t="shared" si="873"/>
        <v>0</v>
      </c>
      <c r="Y5593" s="13">
        <f t="shared" si="878"/>
        <v>0</v>
      </c>
      <c r="Z5593" s="14">
        <v>0</v>
      </c>
      <c r="AA5593" s="6">
        <v>0</v>
      </c>
      <c r="AB5593" s="4">
        <f t="shared" si="879"/>
        <v>0</v>
      </c>
      <c r="AC5593" s="6">
        <f t="shared" si="875"/>
        <v>0</v>
      </c>
      <c r="AD5593" s="6">
        <f t="shared" si="876"/>
        <v>0</v>
      </c>
      <c r="AE5593" s="14">
        <f>VLOOKUP(I5593,[2]媒体政策预估表!A:N,MATCH(O5593,[2]媒体政策预估表!$A$2:$M$2,0),0)</f>
        <v>0.11</v>
      </c>
      <c r="AF5593" s="6">
        <f t="shared" si="872"/>
        <v>0</v>
      </c>
      <c r="AG5593" s="14">
        <v>0</v>
      </c>
      <c r="AH5593" s="64">
        <f t="shared" si="877"/>
        <v>0</v>
      </c>
      <c r="AI5593" s="47"/>
      <c r="AJ5593" s="126" t="e">
        <v>#N/A</v>
      </c>
      <c r="AK5593" s="80">
        <f t="shared" si="880"/>
        <v>0</v>
      </c>
      <c r="AL5593" s="85"/>
      <c r="AM5593" s="85"/>
    </row>
    <row r="5594" spans="1:39" s="86" customFormat="1" ht="13.25" hidden="1" customHeight="1" x14ac:dyDescent="0.3">
      <c r="A5594" s="89" t="s">
        <v>3792</v>
      </c>
      <c r="B5594" s="86" t="s">
        <v>35</v>
      </c>
      <c r="C5594" s="86" t="s">
        <v>36</v>
      </c>
      <c r="D5594" s="86" t="s">
        <v>744</v>
      </c>
      <c r="E5594" s="86" t="s">
        <v>745</v>
      </c>
      <c r="F5594" s="86" t="s">
        <v>745</v>
      </c>
      <c r="G5594" s="86" t="s">
        <v>745</v>
      </c>
      <c r="H5594" s="143">
        <v>62</v>
      </c>
      <c r="I5594" s="86" t="s">
        <v>408</v>
      </c>
      <c r="J5594" s="1" t="s">
        <v>3324</v>
      </c>
      <c r="K5594" s="1" t="s">
        <v>3278</v>
      </c>
      <c r="L5594" s="1" t="s">
        <v>35</v>
      </c>
      <c r="M5594" s="86" t="s">
        <v>746</v>
      </c>
      <c r="O5594" s="47" t="s">
        <v>45</v>
      </c>
      <c r="P5594" s="14" t="s">
        <v>75</v>
      </c>
      <c r="Q5594" s="14">
        <v>0.1666</v>
      </c>
      <c r="R5594" s="143">
        <v>1000022097</v>
      </c>
      <c r="S5594" s="47"/>
      <c r="T5594" s="6">
        <v>0.22</v>
      </c>
      <c r="U5594" s="6"/>
      <c r="V5594" s="6">
        <v>0</v>
      </c>
      <c r="W5594" s="6">
        <f t="shared" si="874"/>
        <v>0.22</v>
      </c>
      <c r="X5594" s="6">
        <f t="shared" si="873"/>
        <v>0</v>
      </c>
      <c r="Y5594" s="13">
        <f t="shared" si="878"/>
        <v>0</v>
      </c>
      <c r="Z5594" s="14">
        <v>0</v>
      </c>
      <c r="AA5594" s="6">
        <v>0</v>
      </c>
      <c r="AB5594" s="4"/>
      <c r="AC5594" s="6">
        <f t="shared" si="875"/>
        <v>0</v>
      </c>
      <c r="AD5594" s="6">
        <f t="shared" si="876"/>
        <v>0</v>
      </c>
      <c r="AE5594" s="14">
        <f>VLOOKUP(I5594,[2]媒体政策预估表!A:N,MATCH(O5594,[2]媒体政策预估表!$A$2:$M$2,0),0)</f>
        <v>0.11</v>
      </c>
      <c r="AF5594" s="6">
        <f t="shared" si="872"/>
        <v>0</v>
      </c>
      <c r="AG5594" s="14">
        <v>0</v>
      </c>
      <c r="AH5594" s="64">
        <f t="shared" si="877"/>
        <v>0</v>
      </c>
      <c r="AI5594" s="47"/>
      <c r="AJ5594" s="126">
        <v>71</v>
      </c>
      <c r="AK5594" s="80">
        <f t="shared" si="880"/>
        <v>0</v>
      </c>
      <c r="AL5594" s="85"/>
      <c r="AM5594" s="85"/>
    </row>
    <row r="5595" spans="1:39" s="86" customFormat="1" ht="13.25" hidden="1" customHeight="1" x14ac:dyDescent="0.3">
      <c r="A5595" s="89" t="s">
        <v>3805</v>
      </c>
      <c r="B5595" s="86" t="s">
        <v>35</v>
      </c>
      <c r="C5595" s="86" t="s">
        <v>36</v>
      </c>
      <c r="D5595" s="86" t="s">
        <v>744</v>
      </c>
      <c r="E5595" s="86" t="s">
        <v>745</v>
      </c>
      <c r="F5595" s="86" t="s">
        <v>745</v>
      </c>
      <c r="G5595" s="86" t="s">
        <v>745</v>
      </c>
      <c r="H5595" s="143">
        <v>62</v>
      </c>
      <c r="I5595" s="86" t="s">
        <v>408</v>
      </c>
      <c r="J5595" s="1" t="s">
        <v>3324</v>
      </c>
      <c r="K5595" s="1" t="s">
        <v>3278</v>
      </c>
      <c r="L5595" s="1" t="s">
        <v>35</v>
      </c>
      <c r="M5595" s="86" t="s">
        <v>747</v>
      </c>
      <c r="O5595" s="47" t="s">
        <v>45</v>
      </c>
      <c r="P5595" s="14" t="s">
        <v>75</v>
      </c>
      <c r="Q5595" s="14">
        <v>0.1666</v>
      </c>
      <c r="R5595" s="143">
        <v>1000022096</v>
      </c>
      <c r="S5595" s="47"/>
      <c r="T5595" s="6">
        <v>0.94</v>
      </c>
      <c r="U5595" s="6"/>
      <c r="V5595" s="6">
        <v>0</v>
      </c>
      <c r="W5595" s="6">
        <f t="shared" si="874"/>
        <v>0.94</v>
      </c>
      <c r="X5595" s="6">
        <f t="shared" si="873"/>
        <v>0</v>
      </c>
      <c r="Y5595" s="13">
        <f t="shared" si="878"/>
        <v>0</v>
      </c>
      <c r="Z5595" s="14">
        <v>0</v>
      </c>
      <c r="AA5595" s="6">
        <v>0</v>
      </c>
      <c r="AB5595" s="4"/>
      <c r="AC5595" s="6">
        <f t="shared" si="875"/>
        <v>0</v>
      </c>
      <c r="AD5595" s="6">
        <f t="shared" si="876"/>
        <v>0</v>
      </c>
      <c r="AE5595" s="14">
        <f>VLOOKUP(I5595,[2]媒体政策预估表!A:N,MATCH(O5595,[2]媒体政策预估表!$A$2:$M$2,0),0)</f>
        <v>0.11</v>
      </c>
      <c r="AF5595" s="6">
        <f t="shared" si="872"/>
        <v>0</v>
      </c>
      <c r="AG5595" s="14">
        <v>0</v>
      </c>
      <c r="AH5595" s="64">
        <f t="shared" si="877"/>
        <v>0</v>
      </c>
      <c r="AI5595" s="47"/>
      <c r="AJ5595" s="126">
        <v>71</v>
      </c>
      <c r="AK5595" s="80">
        <f t="shared" si="880"/>
        <v>0</v>
      </c>
      <c r="AL5595" s="85"/>
      <c r="AM5595" s="85"/>
    </row>
    <row r="5596" spans="1:39" s="86" customFormat="1" ht="13.25" hidden="1" customHeight="1" x14ac:dyDescent="0.3">
      <c r="A5596" s="89" t="s">
        <v>3806</v>
      </c>
      <c r="B5596" s="86" t="s">
        <v>35</v>
      </c>
      <c r="C5596" s="86" t="s">
        <v>36</v>
      </c>
      <c r="D5596" s="86" t="s">
        <v>744</v>
      </c>
      <c r="E5596" s="86" t="s">
        <v>745</v>
      </c>
      <c r="F5596" s="86" t="s">
        <v>745</v>
      </c>
      <c r="G5596" s="86" t="s">
        <v>745</v>
      </c>
      <c r="H5596" s="143">
        <v>62</v>
      </c>
      <c r="I5596" s="86" t="s">
        <v>408</v>
      </c>
      <c r="J5596" s="1" t="s">
        <v>3324</v>
      </c>
      <c r="K5596" s="1" t="s">
        <v>3278</v>
      </c>
      <c r="L5596" s="1" t="s">
        <v>35</v>
      </c>
      <c r="M5596" s="86" t="s">
        <v>748</v>
      </c>
      <c r="O5596" s="47" t="s">
        <v>45</v>
      </c>
      <c r="P5596" s="14" t="s">
        <v>75</v>
      </c>
      <c r="Q5596" s="14">
        <v>0.1666</v>
      </c>
      <c r="R5596" s="143">
        <v>1000021199</v>
      </c>
      <c r="S5596" s="47"/>
      <c r="T5596" s="6">
        <v>0.43</v>
      </c>
      <c r="U5596" s="6"/>
      <c r="V5596" s="6">
        <v>0</v>
      </c>
      <c r="W5596" s="6">
        <f t="shared" si="874"/>
        <v>0.43</v>
      </c>
      <c r="X5596" s="6">
        <f t="shared" si="873"/>
        <v>0</v>
      </c>
      <c r="Y5596" s="13">
        <f t="shared" si="878"/>
        <v>0</v>
      </c>
      <c r="Z5596" s="14">
        <v>0</v>
      </c>
      <c r="AA5596" s="6">
        <v>0</v>
      </c>
      <c r="AB5596" s="4"/>
      <c r="AC5596" s="6">
        <f t="shared" si="875"/>
        <v>0</v>
      </c>
      <c r="AD5596" s="6">
        <f t="shared" si="876"/>
        <v>0</v>
      </c>
      <c r="AE5596" s="14">
        <f>VLOOKUP(I5596,[2]媒体政策预估表!A:N,MATCH(O5596,[2]媒体政策预估表!$A$2:$M$2,0),0)</f>
        <v>0.11</v>
      </c>
      <c r="AF5596" s="6">
        <f t="shared" si="872"/>
        <v>0</v>
      </c>
      <c r="AG5596" s="14">
        <v>0</v>
      </c>
      <c r="AH5596" s="64">
        <f t="shared" si="877"/>
        <v>0</v>
      </c>
      <c r="AI5596" s="47"/>
      <c r="AJ5596" s="126">
        <v>71</v>
      </c>
      <c r="AK5596" s="80">
        <f t="shared" si="880"/>
        <v>0</v>
      </c>
      <c r="AL5596" s="85"/>
      <c r="AM5596" s="85"/>
    </row>
    <row r="5597" spans="1:39" s="86" customFormat="1" ht="13.25" hidden="1" customHeight="1" x14ac:dyDescent="0.3">
      <c r="A5597" s="89" t="s">
        <v>3852</v>
      </c>
      <c r="B5597" s="86" t="s">
        <v>35</v>
      </c>
      <c r="C5597" s="86" t="s">
        <v>36</v>
      </c>
      <c r="D5597" s="86" t="s">
        <v>744</v>
      </c>
      <c r="E5597" s="86" t="s">
        <v>745</v>
      </c>
      <c r="F5597" s="86" t="s">
        <v>745</v>
      </c>
      <c r="G5597" s="86" t="s">
        <v>745</v>
      </c>
      <c r="H5597" s="143">
        <v>62</v>
      </c>
      <c r="I5597" s="86" t="s">
        <v>408</v>
      </c>
      <c r="J5597" s="1" t="s">
        <v>3324</v>
      </c>
      <c r="K5597" s="1" t="s">
        <v>3278</v>
      </c>
      <c r="L5597" s="1" t="s">
        <v>35</v>
      </c>
      <c r="M5597" s="86" t="s">
        <v>749</v>
      </c>
      <c r="O5597" s="47" t="s">
        <v>45</v>
      </c>
      <c r="P5597" s="14" t="s">
        <v>75</v>
      </c>
      <c r="Q5597" s="14">
        <v>0.1666</v>
      </c>
      <c r="R5597" s="143">
        <v>1000021181</v>
      </c>
      <c r="S5597" s="47"/>
      <c r="T5597" s="6">
        <v>0.24</v>
      </c>
      <c r="U5597" s="6"/>
      <c r="V5597" s="6">
        <v>0</v>
      </c>
      <c r="W5597" s="6">
        <f t="shared" si="874"/>
        <v>0.24</v>
      </c>
      <c r="X5597" s="6">
        <f t="shared" si="873"/>
        <v>0</v>
      </c>
      <c r="Y5597" s="13">
        <f t="shared" si="878"/>
        <v>0</v>
      </c>
      <c r="Z5597" s="14">
        <v>0</v>
      </c>
      <c r="AA5597" s="6">
        <v>0</v>
      </c>
      <c r="AB5597" s="4"/>
      <c r="AC5597" s="6">
        <f t="shared" si="875"/>
        <v>0</v>
      </c>
      <c r="AD5597" s="6">
        <f t="shared" si="876"/>
        <v>0</v>
      </c>
      <c r="AE5597" s="14">
        <f>VLOOKUP(I5597,[2]媒体政策预估表!A:N,MATCH(O5597,[2]媒体政策预估表!$A$2:$M$2,0),0)</f>
        <v>0.11</v>
      </c>
      <c r="AF5597" s="6">
        <f t="shared" si="872"/>
        <v>0</v>
      </c>
      <c r="AG5597" s="14">
        <v>0</v>
      </c>
      <c r="AH5597" s="64">
        <f t="shared" si="877"/>
        <v>0</v>
      </c>
      <c r="AI5597" s="47"/>
      <c r="AJ5597" s="126">
        <v>71</v>
      </c>
      <c r="AK5597" s="80">
        <f t="shared" si="880"/>
        <v>0</v>
      </c>
      <c r="AL5597" s="85"/>
      <c r="AM5597" s="85"/>
    </row>
    <row r="5598" spans="1:39" s="86" customFormat="1" ht="13.25" hidden="1" customHeight="1" x14ac:dyDescent="0.3">
      <c r="A5598" s="89" t="s">
        <v>3805</v>
      </c>
      <c r="B5598" s="86" t="s">
        <v>35</v>
      </c>
      <c r="C5598" s="86" t="s">
        <v>36</v>
      </c>
      <c r="D5598" s="86" t="s">
        <v>744</v>
      </c>
      <c r="E5598" s="86" t="s">
        <v>745</v>
      </c>
      <c r="F5598" s="86" t="s">
        <v>745</v>
      </c>
      <c r="G5598" s="86" t="s">
        <v>745</v>
      </c>
      <c r="H5598" s="143">
        <v>62</v>
      </c>
      <c r="I5598" s="86" t="s">
        <v>408</v>
      </c>
      <c r="J5598" s="1" t="s">
        <v>3324</v>
      </c>
      <c r="K5598" s="1" t="s">
        <v>3278</v>
      </c>
      <c r="L5598" s="1" t="s">
        <v>35</v>
      </c>
      <c r="M5598" s="86" t="s">
        <v>750</v>
      </c>
      <c r="O5598" s="47" t="s">
        <v>45</v>
      </c>
      <c r="P5598" s="14" t="s">
        <v>75</v>
      </c>
      <c r="Q5598" s="14">
        <v>0.1666</v>
      </c>
      <c r="R5598" s="143">
        <v>1000021210</v>
      </c>
      <c r="S5598" s="47"/>
      <c r="T5598" s="6">
        <v>28964.959999999999</v>
      </c>
      <c r="U5598" s="6"/>
      <c r="V5598" s="6">
        <v>0</v>
      </c>
      <c r="W5598" s="6">
        <f t="shared" si="874"/>
        <v>28964.959999999999</v>
      </c>
      <c r="X5598" s="6">
        <f t="shared" si="873"/>
        <v>0</v>
      </c>
      <c r="Y5598" s="13">
        <f t="shared" si="878"/>
        <v>0</v>
      </c>
      <c r="Z5598" s="14">
        <v>0</v>
      </c>
      <c r="AA5598" s="6">
        <v>0</v>
      </c>
      <c r="AB5598" s="4"/>
      <c r="AC5598" s="6">
        <f t="shared" si="875"/>
        <v>0</v>
      </c>
      <c r="AD5598" s="6">
        <f t="shared" si="876"/>
        <v>0</v>
      </c>
      <c r="AE5598" s="14">
        <f>VLOOKUP(I5598,[2]媒体政策预估表!A:N,MATCH(O5598,[2]媒体政策预估表!$A$2:$M$2,0),0)</f>
        <v>0.11</v>
      </c>
      <c r="AF5598" s="6">
        <f t="shared" si="872"/>
        <v>0</v>
      </c>
      <c r="AG5598" s="14">
        <v>0</v>
      </c>
      <c r="AH5598" s="64">
        <f t="shared" si="877"/>
        <v>0</v>
      </c>
      <c r="AI5598" s="47"/>
      <c r="AJ5598" s="126">
        <v>71</v>
      </c>
      <c r="AK5598" s="80">
        <f t="shared" si="880"/>
        <v>0</v>
      </c>
      <c r="AL5598" s="85"/>
      <c r="AM5598" s="85"/>
    </row>
    <row r="5599" spans="1:39" s="86" customFormat="1" ht="13.25" hidden="1" customHeight="1" x14ac:dyDescent="0.3">
      <c r="A5599" s="89" t="s">
        <v>3794</v>
      </c>
      <c r="B5599" s="86" t="s">
        <v>35</v>
      </c>
      <c r="C5599" s="86" t="s">
        <v>36</v>
      </c>
      <c r="D5599" s="86" t="s">
        <v>744</v>
      </c>
      <c r="E5599" s="86" t="s">
        <v>745</v>
      </c>
      <c r="F5599" s="86" t="s">
        <v>745</v>
      </c>
      <c r="G5599" s="86" t="s">
        <v>745</v>
      </c>
      <c r="H5599" s="143">
        <v>62</v>
      </c>
      <c r="I5599" s="86" t="s">
        <v>408</v>
      </c>
      <c r="J5599" s="1" t="s">
        <v>3324</v>
      </c>
      <c r="K5599" s="1" t="s">
        <v>3278</v>
      </c>
      <c r="L5599" s="1" t="s">
        <v>35</v>
      </c>
      <c r="M5599" s="86" t="s">
        <v>751</v>
      </c>
      <c r="O5599" s="47" t="s">
        <v>45</v>
      </c>
      <c r="P5599" s="14" t="s">
        <v>75</v>
      </c>
      <c r="Q5599" s="14">
        <v>0.1666</v>
      </c>
      <c r="R5599" s="143">
        <v>1000021207</v>
      </c>
      <c r="S5599" s="47"/>
      <c r="T5599" s="6">
        <v>14781</v>
      </c>
      <c r="U5599" s="6"/>
      <c r="V5599" s="6">
        <v>0</v>
      </c>
      <c r="W5599" s="6">
        <f t="shared" si="874"/>
        <v>14781</v>
      </c>
      <c r="X5599" s="6">
        <f t="shared" si="873"/>
        <v>0</v>
      </c>
      <c r="Y5599" s="13">
        <f t="shared" si="878"/>
        <v>0</v>
      </c>
      <c r="Z5599" s="14">
        <v>0</v>
      </c>
      <c r="AA5599" s="6">
        <v>0</v>
      </c>
      <c r="AB5599" s="4"/>
      <c r="AC5599" s="6">
        <f t="shared" si="875"/>
        <v>0</v>
      </c>
      <c r="AD5599" s="6">
        <f t="shared" si="876"/>
        <v>0</v>
      </c>
      <c r="AE5599" s="14">
        <f>VLOOKUP(I5599,[2]媒体政策预估表!A:N,MATCH(O5599,[2]媒体政策预估表!$A$2:$M$2,0),0)</f>
        <v>0.11</v>
      </c>
      <c r="AF5599" s="6">
        <f t="shared" si="872"/>
        <v>0</v>
      </c>
      <c r="AG5599" s="14">
        <v>0</v>
      </c>
      <c r="AH5599" s="64">
        <f t="shared" si="877"/>
        <v>0</v>
      </c>
      <c r="AI5599" s="47"/>
      <c r="AJ5599" s="126">
        <v>71</v>
      </c>
      <c r="AK5599" s="80">
        <f t="shared" si="880"/>
        <v>0</v>
      </c>
      <c r="AL5599" s="85"/>
      <c r="AM5599" s="85"/>
    </row>
    <row r="5600" spans="1:39" s="86" customFormat="1" ht="13.25" hidden="1" customHeight="1" x14ac:dyDescent="0.3">
      <c r="A5600" s="89" t="s">
        <v>3806</v>
      </c>
      <c r="B5600" s="86" t="s">
        <v>35</v>
      </c>
      <c r="C5600" s="86" t="s">
        <v>184</v>
      </c>
      <c r="D5600" s="86" t="s">
        <v>37</v>
      </c>
      <c r="E5600" s="86" t="s">
        <v>466</v>
      </c>
      <c r="F5600" s="86" t="s">
        <v>466</v>
      </c>
      <c r="G5600" s="86" t="s">
        <v>466</v>
      </c>
      <c r="H5600" s="143">
        <v>62</v>
      </c>
      <c r="I5600" s="86" t="s">
        <v>408</v>
      </c>
      <c r="J5600" s="1" t="s">
        <v>3324</v>
      </c>
      <c r="K5600" s="1" t="s">
        <v>3278</v>
      </c>
      <c r="L5600" s="1" t="s">
        <v>35</v>
      </c>
      <c r="M5600" s="86" t="s">
        <v>468</v>
      </c>
      <c r="O5600" s="47" t="s">
        <v>45</v>
      </c>
      <c r="P5600" s="14" t="s">
        <v>41</v>
      </c>
      <c r="Q5600" s="14">
        <v>0</v>
      </c>
      <c r="R5600" s="143">
        <v>1000073642</v>
      </c>
      <c r="S5600" s="47"/>
      <c r="T5600" s="6">
        <v>-20000</v>
      </c>
      <c r="U5600" s="6"/>
      <c r="V5600" s="6">
        <v>0</v>
      </c>
      <c r="W5600" s="6">
        <f t="shared" si="874"/>
        <v>-20000</v>
      </c>
      <c r="X5600" s="6">
        <f t="shared" si="873"/>
        <v>0</v>
      </c>
      <c r="Y5600" s="13">
        <f t="shared" si="878"/>
        <v>0</v>
      </c>
      <c r="Z5600" s="14">
        <v>0</v>
      </c>
      <c r="AA5600" s="6">
        <v>0</v>
      </c>
      <c r="AB5600" s="4"/>
      <c r="AC5600" s="6">
        <f t="shared" si="875"/>
        <v>0</v>
      </c>
      <c r="AD5600" s="6">
        <f t="shared" si="876"/>
        <v>0</v>
      </c>
      <c r="AE5600" s="14">
        <f>VLOOKUP(I5600,[2]媒体政策预估表!A:N,MATCH(O5600,[2]媒体政策预估表!$A$2:$M$2,0),0)</f>
        <v>0.11</v>
      </c>
      <c r="AF5600" s="6">
        <f t="shared" si="872"/>
        <v>0</v>
      </c>
      <c r="AG5600" s="14">
        <v>0</v>
      </c>
      <c r="AH5600" s="64">
        <f t="shared" si="877"/>
        <v>0</v>
      </c>
      <c r="AI5600" s="47"/>
      <c r="AJ5600" s="126">
        <v>96</v>
      </c>
      <c r="AK5600" s="80">
        <f t="shared" si="880"/>
        <v>0</v>
      </c>
      <c r="AL5600" s="85"/>
      <c r="AM5600" s="85"/>
    </row>
    <row r="5601" spans="1:39" s="86" customFormat="1" ht="13.25" hidden="1" customHeight="1" x14ac:dyDescent="0.3">
      <c r="A5601" s="89" t="s">
        <v>3794</v>
      </c>
      <c r="B5601" s="86" t="s">
        <v>35</v>
      </c>
      <c r="C5601" s="86" t="s">
        <v>752</v>
      </c>
      <c r="D5601" s="86" t="s">
        <v>753</v>
      </c>
      <c r="E5601" s="86" t="s">
        <v>754</v>
      </c>
      <c r="F5601" s="86" t="s">
        <v>754</v>
      </c>
      <c r="G5601" s="86" t="s">
        <v>754</v>
      </c>
      <c r="H5601" s="143">
        <v>62</v>
      </c>
      <c r="I5601" s="86" t="s">
        <v>408</v>
      </c>
      <c r="J5601" s="1" t="s">
        <v>3324</v>
      </c>
      <c r="K5601" s="1" t="s">
        <v>3278</v>
      </c>
      <c r="L5601" s="1" t="s">
        <v>35</v>
      </c>
      <c r="M5601" s="86" t="s">
        <v>755</v>
      </c>
      <c r="O5601" s="47" t="s">
        <v>410</v>
      </c>
      <c r="P5601" s="14" t="s">
        <v>46</v>
      </c>
      <c r="Q5601" s="14">
        <v>0.13</v>
      </c>
      <c r="R5601" s="143">
        <v>1000007261</v>
      </c>
      <c r="S5601" s="47"/>
      <c r="T5601" s="6">
        <v>14240.56</v>
      </c>
      <c r="U5601" s="6"/>
      <c r="V5601" s="6">
        <v>0</v>
      </c>
      <c r="W5601" s="6">
        <f t="shared" si="874"/>
        <v>14240.56</v>
      </c>
      <c r="X5601" s="6">
        <f t="shared" si="873"/>
        <v>0</v>
      </c>
      <c r="Y5601" s="13">
        <f t="shared" si="878"/>
        <v>0</v>
      </c>
      <c r="Z5601" s="14">
        <v>0</v>
      </c>
      <c r="AA5601" s="6">
        <v>0</v>
      </c>
      <c r="AB5601" s="4">
        <f t="shared" si="879"/>
        <v>0</v>
      </c>
      <c r="AC5601" s="6">
        <f t="shared" si="875"/>
        <v>0</v>
      </c>
      <c r="AD5601" s="6">
        <f t="shared" si="876"/>
        <v>0</v>
      </c>
      <c r="AE5601" s="14">
        <f>VLOOKUP(I5601,[2]媒体政策预估表!A:N,MATCH(O5601,[2]媒体政策预估表!$A$2:$M$2,0),0)</f>
        <v>7.0000000000000007E-2</v>
      </c>
      <c r="AF5601" s="6">
        <f t="shared" si="872"/>
        <v>0</v>
      </c>
      <c r="AG5601" s="14">
        <v>0</v>
      </c>
      <c r="AH5601" s="64">
        <f t="shared" si="877"/>
        <v>0</v>
      </c>
      <c r="AI5601" s="47"/>
      <c r="AJ5601" s="126" t="e">
        <v>#N/A</v>
      </c>
      <c r="AK5601" s="80">
        <f t="shared" si="880"/>
        <v>0</v>
      </c>
      <c r="AL5601" s="85"/>
      <c r="AM5601" s="85"/>
    </row>
    <row r="5602" spans="1:39" s="86" customFormat="1" ht="13.25" hidden="1" customHeight="1" x14ac:dyDescent="0.3">
      <c r="A5602" s="89" t="s">
        <v>3792</v>
      </c>
      <c r="B5602" s="86" t="s">
        <v>35</v>
      </c>
      <c r="C5602" s="86" t="s">
        <v>59</v>
      </c>
      <c r="D5602" s="86" t="s">
        <v>60</v>
      </c>
      <c r="E5602" s="86" t="s">
        <v>756</v>
      </c>
      <c r="F5602" s="86" t="s">
        <v>757</v>
      </c>
      <c r="G5602" s="86" t="s">
        <v>758</v>
      </c>
      <c r="H5602" s="143">
        <v>62</v>
      </c>
      <c r="I5602" s="86" t="s">
        <v>408</v>
      </c>
      <c r="J5602" s="1" t="s">
        <v>3324</v>
      </c>
      <c r="K5602" s="1" t="s">
        <v>3278</v>
      </c>
      <c r="L5602" s="1" t="s">
        <v>35</v>
      </c>
      <c r="M5602" s="86" t="s">
        <v>759</v>
      </c>
      <c r="O5602" s="47" t="s">
        <v>410</v>
      </c>
      <c r="P5602" s="14" t="s">
        <v>92</v>
      </c>
      <c r="Q5602" s="14">
        <v>0.94</v>
      </c>
      <c r="R5602" s="143">
        <v>1000013008</v>
      </c>
      <c r="S5602" s="47"/>
      <c r="T5602" s="6">
        <v>11576.1</v>
      </c>
      <c r="U5602" s="6"/>
      <c r="V5602" s="6">
        <v>0</v>
      </c>
      <c r="W5602" s="6">
        <f t="shared" si="874"/>
        <v>11576.1</v>
      </c>
      <c r="X5602" s="6">
        <f t="shared" si="873"/>
        <v>0</v>
      </c>
      <c r="Y5602" s="13">
        <f t="shared" si="878"/>
        <v>0</v>
      </c>
      <c r="Z5602" s="14">
        <v>0</v>
      </c>
      <c r="AA5602" s="6">
        <v>0</v>
      </c>
      <c r="AB5602" s="4">
        <f t="shared" si="879"/>
        <v>0</v>
      </c>
      <c r="AC5602" s="6">
        <f t="shared" si="875"/>
        <v>0</v>
      </c>
      <c r="AD5602" s="6">
        <f t="shared" si="876"/>
        <v>0</v>
      </c>
      <c r="AE5602" s="14">
        <f>VLOOKUP(I5602,[2]媒体政策预估表!A:N,MATCH(O5602,[2]媒体政策预估表!$A$2:$M$2,0),0)</f>
        <v>7.0000000000000007E-2</v>
      </c>
      <c r="AF5602" s="6">
        <f t="shared" si="872"/>
        <v>0</v>
      </c>
      <c r="AG5602" s="14">
        <v>0</v>
      </c>
      <c r="AH5602" s="64">
        <f t="shared" si="877"/>
        <v>0</v>
      </c>
      <c r="AI5602" s="47"/>
      <c r="AJ5602" s="126" t="e">
        <v>#N/A</v>
      </c>
      <c r="AK5602" s="80">
        <f t="shared" si="880"/>
        <v>0</v>
      </c>
      <c r="AL5602" s="85"/>
      <c r="AM5602" s="85"/>
    </row>
    <row r="5603" spans="1:39" s="86" customFormat="1" ht="13.25" hidden="1" customHeight="1" x14ac:dyDescent="0.3">
      <c r="A5603" s="89" t="s">
        <v>3792</v>
      </c>
      <c r="B5603" s="86" t="s">
        <v>35</v>
      </c>
      <c r="C5603" s="86" t="s">
        <v>59</v>
      </c>
      <c r="D5603" s="86" t="s">
        <v>60</v>
      </c>
      <c r="E5603" s="86" t="s">
        <v>760</v>
      </c>
      <c r="F5603" s="86" t="s">
        <v>760</v>
      </c>
      <c r="G5603" s="86" t="s">
        <v>760</v>
      </c>
      <c r="H5603" s="143">
        <v>62</v>
      </c>
      <c r="I5603" s="86" t="s">
        <v>408</v>
      </c>
      <c r="J5603" s="1" t="s">
        <v>3324</v>
      </c>
      <c r="K5603" s="1" t="s">
        <v>3278</v>
      </c>
      <c r="L5603" s="1" t="s">
        <v>35</v>
      </c>
      <c r="M5603" s="86" t="s">
        <v>761</v>
      </c>
      <c r="O5603" s="47" t="s">
        <v>45</v>
      </c>
      <c r="P5603" s="14" t="s">
        <v>46</v>
      </c>
      <c r="Q5603" s="14">
        <v>0.1</v>
      </c>
      <c r="R5603" s="143">
        <v>1000051027</v>
      </c>
      <c r="S5603" s="47"/>
      <c r="T5603" s="6">
        <v>3153.85</v>
      </c>
      <c r="U5603" s="6"/>
      <c r="V5603" s="6">
        <v>0</v>
      </c>
      <c r="W5603" s="6">
        <f t="shared" si="874"/>
        <v>3153.85</v>
      </c>
      <c r="X5603" s="6">
        <f t="shared" si="873"/>
        <v>0</v>
      </c>
      <c r="Y5603" s="13">
        <f t="shared" si="878"/>
        <v>0</v>
      </c>
      <c r="Z5603" s="14">
        <v>0</v>
      </c>
      <c r="AA5603" s="6">
        <v>0</v>
      </c>
      <c r="AB5603" s="4">
        <f t="shared" si="879"/>
        <v>0</v>
      </c>
      <c r="AC5603" s="6">
        <f t="shared" si="875"/>
        <v>0</v>
      </c>
      <c r="AD5603" s="6">
        <f t="shared" si="876"/>
        <v>0</v>
      </c>
      <c r="AE5603" s="14">
        <f>VLOOKUP(I5603,[2]媒体政策预估表!A:N,MATCH(O5603,[2]媒体政策预估表!$A$2:$M$2,0),0)</f>
        <v>0.11</v>
      </c>
      <c r="AF5603" s="6">
        <f t="shared" si="872"/>
        <v>0</v>
      </c>
      <c r="AG5603" s="14">
        <v>0</v>
      </c>
      <c r="AH5603" s="64">
        <f t="shared" si="877"/>
        <v>0</v>
      </c>
      <c r="AI5603" s="47"/>
      <c r="AJ5603" s="126" t="e">
        <v>#N/A</v>
      </c>
      <c r="AK5603" s="80">
        <f t="shared" si="880"/>
        <v>0</v>
      </c>
      <c r="AL5603" s="85"/>
      <c r="AM5603" s="85"/>
    </row>
    <row r="5604" spans="1:39" s="86" customFormat="1" ht="13.25" hidden="1" customHeight="1" x14ac:dyDescent="0.3">
      <c r="A5604" s="89" t="s">
        <v>3792</v>
      </c>
      <c r="B5604" s="86" t="s">
        <v>35</v>
      </c>
      <c r="C5604" s="86" t="s">
        <v>59</v>
      </c>
      <c r="D5604" s="86" t="s">
        <v>60</v>
      </c>
      <c r="E5604" s="86" t="s">
        <v>762</v>
      </c>
      <c r="F5604" s="86" t="s">
        <v>762</v>
      </c>
      <c r="G5604" s="86" t="s">
        <v>762</v>
      </c>
      <c r="H5604" s="143">
        <v>62</v>
      </c>
      <c r="I5604" s="86" t="s">
        <v>408</v>
      </c>
      <c r="J5604" s="1" t="s">
        <v>3324</v>
      </c>
      <c r="K5604" s="1" t="s">
        <v>3278</v>
      </c>
      <c r="L5604" s="1" t="s">
        <v>35</v>
      </c>
      <c r="M5604" s="86" t="s">
        <v>763</v>
      </c>
      <c r="O5604" s="47" t="s">
        <v>45</v>
      </c>
      <c r="P5604" s="14" t="s">
        <v>46</v>
      </c>
      <c r="Q5604" s="14">
        <v>0.1</v>
      </c>
      <c r="R5604" s="143">
        <v>1000030862</v>
      </c>
      <c r="S5604" s="47"/>
      <c r="T5604" s="6">
        <v>0.17</v>
      </c>
      <c r="U5604" s="6"/>
      <c r="V5604" s="6">
        <v>0</v>
      </c>
      <c r="W5604" s="6">
        <f t="shared" si="874"/>
        <v>0.17</v>
      </c>
      <c r="X5604" s="6">
        <f t="shared" si="873"/>
        <v>0</v>
      </c>
      <c r="Y5604" s="13">
        <f t="shared" si="878"/>
        <v>0</v>
      </c>
      <c r="Z5604" s="14">
        <v>0</v>
      </c>
      <c r="AA5604" s="6">
        <v>0</v>
      </c>
      <c r="AB5604" s="4">
        <f t="shared" si="879"/>
        <v>0</v>
      </c>
      <c r="AC5604" s="6">
        <f t="shared" si="875"/>
        <v>0</v>
      </c>
      <c r="AD5604" s="6">
        <f t="shared" si="876"/>
        <v>0</v>
      </c>
      <c r="AE5604" s="14">
        <f>VLOOKUP(I5604,[2]媒体政策预估表!A:N,MATCH(O5604,[2]媒体政策预估表!$A$2:$M$2,0),0)</f>
        <v>0.11</v>
      </c>
      <c r="AF5604" s="6">
        <f t="shared" ref="AF5604:AF5667" si="881">AD5604*AE5604</f>
        <v>0</v>
      </c>
      <c r="AG5604" s="14">
        <v>0</v>
      </c>
      <c r="AH5604" s="64">
        <f t="shared" si="877"/>
        <v>0</v>
      </c>
      <c r="AI5604" s="47"/>
      <c r="AJ5604" s="126" t="e">
        <v>#N/A</v>
      </c>
      <c r="AK5604" s="80">
        <f t="shared" si="880"/>
        <v>0</v>
      </c>
      <c r="AL5604" s="85"/>
      <c r="AM5604" s="85"/>
    </row>
    <row r="5605" spans="1:39" s="86" customFormat="1" ht="13.25" hidden="1" customHeight="1" x14ac:dyDescent="0.3">
      <c r="A5605" s="89" t="s">
        <v>3794</v>
      </c>
      <c r="B5605" s="86" t="s">
        <v>35</v>
      </c>
      <c r="C5605" s="86" t="s">
        <v>59</v>
      </c>
      <c r="D5605" s="86" t="s">
        <v>60</v>
      </c>
      <c r="E5605" s="86" t="s">
        <v>762</v>
      </c>
      <c r="F5605" s="86" t="s">
        <v>762</v>
      </c>
      <c r="G5605" s="86" t="s">
        <v>762</v>
      </c>
      <c r="H5605" s="143">
        <v>62</v>
      </c>
      <c r="I5605" s="86" t="s">
        <v>408</v>
      </c>
      <c r="J5605" s="1" t="s">
        <v>3324</v>
      </c>
      <c r="K5605" s="1" t="s">
        <v>3278</v>
      </c>
      <c r="L5605" s="1" t="s">
        <v>35</v>
      </c>
      <c r="M5605" s="86" t="s">
        <v>764</v>
      </c>
      <c r="O5605" s="47" t="s">
        <v>45</v>
      </c>
      <c r="P5605" s="14" t="s">
        <v>46</v>
      </c>
      <c r="Q5605" s="14">
        <v>0.1</v>
      </c>
      <c r="R5605" s="143">
        <v>1000029572</v>
      </c>
      <c r="S5605" s="47"/>
      <c r="T5605" s="6">
        <v>0.97</v>
      </c>
      <c r="U5605" s="6"/>
      <c r="V5605" s="6">
        <v>0</v>
      </c>
      <c r="W5605" s="6">
        <f t="shared" si="874"/>
        <v>0.97</v>
      </c>
      <c r="X5605" s="6">
        <f t="shared" si="873"/>
        <v>0</v>
      </c>
      <c r="Y5605" s="13">
        <f t="shared" si="878"/>
        <v>0</v>
      </c>
      <c r="Z5605" s="14">
        <v>0</v>
      </c>
      <c r="AA5605" s="6">
        <v>0</v>
      </c>
      <c r="AB5605" s="4">
        <f t="shared" si="879"/>
        <v>0</v>
      </c>
      <c r="AC5605" s="6">
        <f t="shared" si="875"/>
        <v>0</v>
      </c>
      <c r="AD5605" s="6">
        <f t="shared" si="876"/>
        <v>0</v>
      </c>
      <c r="AE5605" s="14">
        <f>VLOOKUP(I5605,[2]媒体政策预估表!A:N,MATCH(O5605,[2]媒体政策预估表!$A$2:$M$2,0),0)</f>
        <v>0.11</v>
      </c>
      <c r="AF5605" s="6">
        <f t="shared" si="881"/>
        <v>0</v>
      </c>
      <c r="AG5605" s="14">
        <v>0</v>
      </c>
      <c r="AH5605" s="64">
        <f t="shared" si="877"/>
        <v>0</v>
      </c>
      <c r="AI5605" s="47"/>
      <c r="AJ5605" s="126" t="e">
        <v>#N/A</v>
      </c>
      <c r="AK5605" s="80">
        <f t="shared" si="880"/>
        <v>0</v>
      </c>
      <c r="AL5605" s="85"/>
      <c r="AM5605" s="85"/>
    </row>
    <row r="5606" spans="1:39" s="86" customFormat="1" ht="13.25" hidden="1" customHeight="1" x14ac:dyDescent="0.3">
      <c r="A5606" s="89" t="s">
        <v>3794</v>
      </c>
      <c r="B5606" s="86" t="s">
        <v>35</v>
      </c>
      <c r="C5606" s="86" t="s">
        <v>59</v>
      </c>
      <c r="D5606" s="86" t="s">
        <v>60</v>
      </c>
      <c r="E5606" s="86" t="s">
        <v>765</v>
      </c>
      <c r="F5606" s="86" t="s">
        <v>766</v>
      </c>
      <c r="G5606" s="86" t="s">
        <v>765</v>
      </c>
      <c r="H5606" s="143">
        <v>62</v>
      </c>
      <c r="I5606" s="86" t="s">
        <v>408</v>
      </c>
      <c r="J5606" s="1" t="s">
        <v>3324</v>
      </c>
      <c r="K5606" s="1" t="s">
        <v>3278</v>
      </c>
      <c r="L5606" s="1" t="s">
        <v>35</v>
      </c>
      <c r="M5606" s="86" t="s">
        <v>767</v>
      </c>
      <c r="O5606" s="47" t="s">
        <v>410</v>
      </c>
      <c r="P5606" s="14" t="s">
        <v>46</v>
      </c>
      <c r="Q5606" s="14">
        <v>0.02</v>
      </c>
      <c r="R5606" s="143">
        <v>1000012584</v>
      </c>
      <c r="S5606" s="47"/>
      <c r="T5606" s="6">
        <v>18046</v>
      </c>
      <c r="U5606" s="6"/>
      <c r="V5606" s="6">
        <v>0</v>
      </c>
      <c r="W5606" s="6">
        <f t="shared" si="874"/>
        <v>18046</v>
      </c>
      <c r="X5606" s="6">
        <f t="shared" si="873"/>
        <v>0</v>
      </c>
      <c r="Y5606" s="13">
        <f t="shared" si="878"/>
        <v>0</v>
      </c>
      <c r="Z5606" s="14">
        <v>0</v>
      </c>
      <c r="AA5606" s="6">
        <v>0</v>
      </c>
      <c r="AB5606" s="4">
        <f t="shared" si="879"/>
        <v>0</v>
      </c>
      <c r="AC5606" s="6">
        <f t="shared" si="875"/>
        <v>0</v>
      </c>
      <c r="AD5606" s="6">
        <f t="shared" si="876"/>
        <v>0</v>
      </c>
      <c r="AE5606" s="14">
        <f>VLOOKUP(I5606,[2]媒体政策预估表!A:N,MATCH(O5606,[2]媒体政策预估表!$A$2:$M$2,0),0)</f>
        <v>7.0000000000000007E-2</v>
      </c>
      <c r="AF5606" s="6">
        <f t="shared" si="881"/>
        <v>0</v>
      </c>
      <c r="AG5606" s="14">
        <v>0</v>
      </c>
      <c r="AH5606" s="64">
        <f t="shared" si="877"/>
        <v>0</v>
      </c>
      <c r="AI5606" s="47"/>
      <c r="AJ5606" s="126" t="e">
        <v>#N/A</v>
      </c>
      <c r="AK5606" s="80">
        <f t="shared" si="880"/>
        <v>0</v>
      </c>
      <c r="AL5606" s="85"/>
      <c r="AM5606" s="85"/>
    </row>
    <row r="5607" spans="1:39" s="86" customFormat="1" ht="13.25" hidden="1" customHeight="1" x14ac:dyDescent="0.3">
      <c r="A5607" s="89" t="s">
        <v>3792</v>
      </c>
      <c r="B5607" s="86" t="s">
        <v>35</v>
      </c>
      <c r="C5607" s="86" t="s">
        <v>59</v>
      </c>
      <c r="D5607" s="86" t="s">
        <v>60</v>
      </c>
      <c r="E5607" s="86" t="s">
        <v>765</v>
      </c>
      <c r="F5607" s="86" t="s">
        <v>766</v>
      </c>
      <c r="G5607" s="86" t="s">
        <v>765</v>
      </c>
      <c r="H5607" s="143">
        <v>62</v>
      </c>
      <c r="I5607" s="86" t="s">
        <v>408</v>
      </c>
      <c r="J5607" s="1" t="s">
        <v>3324</v>
      </c>
      <c r="K5607" s="1" t="s">
        <v>3278</v>
      </c>
      <c r="L5607" s="1" t="s">
        <v>35</v>
      </c>
      <c r="M5607" s="86" t="s">
        <v>768</v>
      </c>
      <c r="O5607" s="47" t="s">
        <v>45</v>
      </c>
      <c r="P5607" s="14" t="s">
        <v>46</v>
      </c>
      <c r="Q5607" s="14">
        <v>0.04</v>
      </c>
      <c r="R5607" s="143">
        <v>1000012815</v>
      </c>
      <c r="S5607" s="47"/>
      <c r="T5607" s="6">
        <v>19672.349999999999</v>
      </c>
      <c r="U5607" s="6"/>
      <c r="V5607" s="6">
        <v>0</v>
      </c>
      <c r="W5607" s="6">
        <f t="shared" si="874"/>
        <v>19672.349999999999</v>
      </c>
      <c r="X5607" s="6">
        <f t="shared" si="873"/>
        <v>0</v>
      </c>
      <c r="Y5607" s="13">
        <f t="shared" si="878"/>
        <v>0</v>
      </c>
      <c r="Z5607" s="14">
        <v>0</v>
      </c>
      <c r="AA5607" s="6">
        <v>0</v>
      </c>
      <c r="AB5607" s="4">
        <f t="shared" si="879"/>
        <v>0</v>
      </c>
      <c r="AC5607" s="6">
        <f t="shared" si="875"/>
        <v>0</v>
      </c>
      <c r="AD5607" s="6">
        <f t="shared" si="876"/>
        <v>0</v>
      </c>
      <c r="AE5607" s="14">
        <f>VLOOKUP(I5607,[2]媒体政策预估表!A:N,MATCH(O5607,[2]媒体政策预估表!$A$2:$M$2,0),0)</f>
        <v>0.11</v>
      </c>
      <c r="AF5607" s="6">
        <f t="shared" si="881"/>
        <v>0</v>
      </c>
      <c r="AG5607" s="14">
        <v>0</v>
      </c>
      <c r="AH5607" s="64">
        <f t="shared" si="877"/>
        <v>0</v>
      </c>
      <c r="AI5607" s="47"/>
      <c r="AJ5607" s="126" t="e">
        <v>#N/A</v>
      </c>
      <c r="AK5607" s="80">
        <f t="shared" si="880"/>
        <v>0</v>
      </c>
      <c r="AL5607" s="85"/>
      <c r="AM5607" s="85"/>
    </row>
    <row r="5608" spans="1:39" s="86" customFormat="1" ht="13.25" hidden="1" customHeight="1" x14ac:dyDescent="0.3">
      <c r="A5608" s="89" t="s">
        <v>3792</v>
      </c>
      <c r="B5608" s="86" t="s">
        <v>35</v>
      </c>
      <c r="C5608" s="86" t="s">
        <v>59</v>
      </c>
      <c r="D5608" s="86" t="s">
        <v>60</v>
      </c>
      <c r="E5608" s="86" t="s">
        <v>765</v>
      </c>
      <c r="F5608" s="86" t="s">
        <v>766</v>
      </c>
      <c r="G5608" s="86" t="s">
        <v>765</v>
      </c>
      <c r="H5608" s="143">
        <v>62</v>
      </c>
      <c r="I5608" s="86" t="s">
        <v>408</v>
      </c>
      <c r="J5608" s="1" t="s">
        <v>3324</v>
      </c>
      <c r="K5608" s="1" t="s">
        <v>3278</v>
      </c>
      <c r="L5608" s="1" t="s">
        <v>35</v>
      </c>
      <c r="M5608" s="86" t="s">
        <v>769</v>
      </c>
      <c r="O5608" s="47" t="s">
        <v>410</v>
      </c>
      <c r="P5608" s="14" t="s">
        <v>46</v>
      </c>
      <c r="Q5608" s="14">
        <v>0.06</v>
      </c>
      <c r="R5608" s="143">
        <v>1000022327</v>
      </c>
      <c r="S5608" s="47"/>
      <c r="T5608" s="6">
        <v>6422</v>
      </c>
      <c r="U5608" s="6"/>
      <c r="V5608" s="6">
        <v>0</v>
      </c>
      <c r="W5608" s="6">
        <f t="shared" si="874"/>
        <v>6422</v>
      </c>
      <c r="X5608" s="6">
        <f t="shared" si="873"/>
        <v>0</v>
      </c>
      <c r="Y5608" s="13">
        <f t="shared" si="878"/>
        <v>0</v>
      </c>
      <c r="Z5608" s="14">
        <v>0</v>
      </c>
      <c r="AA5608" s="6">
        <v>0</v>
      </c>
      <c r="AB5608" s="4">
        <f t="shared" si="879"/>
        <v>0</v>
      </c>
      <c r="AC5608" s="6">
        <f t="shared" si="875"/>
        <v>0</v>
      </c>
      <c r="AD5608" s="6">
        <f t="shared" si="876"/>
        <v>0</v>
      </c>
      <c r="AE5608" s="14">
        <f>VLOOKUP(I5608,[2]媒体政策预估表!A:N,MATCH(O5608,[2]媒体政策预估表!$A$2:$M$2,0),0)</f>
        <v>7.0000000000000007E-2</v>
      </c>
      <c r="AF5608" s="6">
        <f t="shared" si="881"/>
        <v>0</v>
      </c>
      <c r="AG5608" s="14">
        <v>0</v>
      </c>
      <c r="AH5608" s="64">
        <f t="shared" si="877"/>
        <v>0</v>
      </c>
      <c r="AI5608" s="47"/>
      <c r="AJ5608" s="126" t="e">
        <v>#N/A</v>
      </c>
      <c r="AK5608" s="80">
        <f t="shared" si="880"/>
        <v>0</v>
      </c>
      <c r="AL5608" s="85"/>
      <c r="AM5608" s="85"/>
    </row>
    <row r="5609" spans="1:39" s="86" customFormat="1" ht="13.25" hidden="1" customHeight="1" x14ac:dyDescent="0.3">
      <c r="A5609" s="89" t="s">
        <v>3805</v>
      </c>
      <c r="B5609" s="86" t="s">
        <v>35</v>
      </c>
      <c r="C5609" s="86" t="s">
        <v>59</v>
      </c>
      <c r="D5609" s="86" t="s">
        <v>60</v>
      </c>
      <c r="E5609" s="86" t="s">
        <v>765</v>
      </c>
      <c r="F5609" s="86" t="s">
        <v>766</v>
      </c>
      <c r="G5609" s="86" t="s">
        <v>765</v>
      </c>
      <c r="H5609" s="143">
        <v>62</v>
      </c>
      <c r="I5609" s="86" t="s">
        <v>408</v>
      </c>
      <c r="J5609" s="1" t="s">
        <v>3324</v>
      </c>
      <c r="K5609" s="1" t="s">
        <v>3278</v>
      </c>
      <c r="L5609" s="1" t="s">
        <v>35</v>
      </c>
      <c r="M5609" s="86" t="s">
        <v>770</v>
      </c>
      <c r="O5609" s="47" t="s">
        <v>410</v>
      </c>
      <c r="P5609" s="14" t="s">
        <v>46</v>
      </c>
      <c r="Q5609" s="14">
        <v>0.06</v>
      </c>
      <c r="R5609" s="143">
        <v>1000020386</v>
      </c>
      <c r="S5609" s="47"/>
      <c r="T5609" s="6">
        <v>971.2</v>
      </c>
      <c r="U5609" s="6"/>
      <c r="V5609" s="6">
        <v>0</v>
      </c>
      <c r="W5609" s="6">
        <f t="shared" si="874"/>
        <v>971.2</v>
      </c>
      <c r="X5609" s="6">
        <f t="shared" si="873"/>
        <v>0</v>
      </c>
      <c r="Y5609" s="13">
        <f t="shared" si="878"/>
        <v>0</v>
      </c>
      <c r="Z5609" s="14">
        <v>0</v>
      </c>
      <c r="AA5609" s="6">
        <v>0</v>
      </c>
      <c r="AB5609" s="4">
        <f t="shared" si="879"/>
        <v>0</v>
      </c>
      <c r="AC5609" s="6">
        <f t="shared" si="875"/>
        <v>0</v>
      </c>
      <c r="AD5609" s="6">
        <f t="shared" si="876"/>
        <v>0</v>
      </c>
      <c r="AE5609" s="14">
        <f>VLOOKUP(I5609,[2]媒体政策预估表!A:N,MATCH(O5609,[2]媒体政策预估表!$A$2:$M$2,0),0)</f>
        <v>7.0000000000000007E-2</v>
      </c>
      <c r="AF5609" s="6">
        <f t="shared" si="881"/>
        <v>0</v>
      </c>
      <c r="AG5609" s="14">
        <v>0</v>
      </c>
      <c r="AH5609" s="64">
        <f t="shared" si="877"/>
        <v>0</v>
      </c>
      <c r="AI5609" s="47"/>
      <c r="AJ5609" s="126" t="e">
        <v>#N/A</v>
      </c>
      <c r="AK5609" s="80">
        <f t="shared" si="880"/>
        <v>0</v>
      </c>
      <c r="AL5609" s="85"/>
      <c r="AM5609" s="85"/>
    </row>
    <row r="5610" spans="1:39" s="86" customFormat="1" ht="13.25" hidden="1" customHeight="1" x14ac:dyDescent="0.3">
      <c r="A5610" s="89" t="s">
        <v>3794</v>
      </c>
      <c r="B5610" s="86" t="s">
        <v>35</v>
      </c>
      <c r="C5610" s="86" t="s">
        <v>59</v>
      </c>
      <c r="D5610" s="86" t="s">
        <v>60</v>
      </c>
      <c r="E5610" s="86" t="s">
        <v>765</v>
      </c>
      <c r="F5610" s="86" t="s">
        <v>766</v>
      </c>
      <c r="G5610" s="86" t="s">
        <v>765</v>
      </c>
      <c r="H5610" s="143">
        <v>62</v>
      </c>
      <c r="I5610" s="86" t="s">
        <v>408</v>
      </c>
      <c r="J5610" s="1" t="s">
        <v>3324</v>
      </c>
      <c r="K5610" s="1" t="s">
        <v>3278</v>
      </c>
      <c r="L5610" s="1" t="s">
        <v>35</v>
      </c>
      <c r="M5610" s="86" t="s">
        <v>771</v>
      </c>
      <c r="O5610" s="47" t="s">
        <v>410</v>
      </c>
      <c r="P5610" s="14" t="s">
        <v>46</v>
      </c>
      <c r="Q5610" s="14">
        <v>0.02</v>
      </c>
      <c r="R5610" s="143">
        <v>1000020963</v>
      </c>
      <c r="S5610" s="47"/>
      <c r="T5610" s="6">
        <v>15309.18</v>
      </c>
      <c r="U5610" s="6"/>
      <c r="V5610" s="6">
        <v>0</v>
      </c>
      <c r="W5610" s="6">
        <f t="shared" si="874"/>
        <v>15309.18</v>
      </c>
      <c r="X5610" s="6">
        <f t="shared" si="873"/>
        <v>0</v>
      </c>
      <c r="Y5610" s="13">
        <f t="shared" si="878"/>
        <v>0</v>
      </c>
      <c r="Z5610" s="14">
        <v>0</v>
      </c>
      <c r="AA5610" s="6">
        <v>0</v>
      </c>
      <c r="AB5610" s="4">
        <f t="shared" si="879"/>
        <v>0</v>
      </c>
      <c r="AC5610" s="6">
        <f t="shared" si="875"/>
        <v>0</v>
      </c>
      <c r="AD5610" s="6">
        <f t="shared" si="876"/>
        <v>0</v>
      </c>
      <c r="AE5610" s="14">
        <f>VLOOKUP(I5610,[2]媒体政策预估表!A:N,MATCH(O5610,[2]媒体政策预估表!$A$2:$M$2,0),0)</f>
        <v>7.0000000000000007E-2</v>
      </c>
      <c r="AF5610" s="6">
        <f t="shared" si="881"/>
        <v>0</v>
      </c>
      <c r="AG5610" s="14">
        <v>0</v>
      </c>
      <c r="AH5610" s="64">
        <f t="shared" si="877"/>
        <v>0</v>
      </c>
      <c r="AI5610" s="47"/>
      <c r="AJ5610" s="126" t="e">
        <v>#N/A</v>
      </c>
      <c r="AK5610" s="80">
        <f t="shared" si="880"/>
        <v>0</v>
      </c>
      <c r="AL5610" s="85"/>
      <c r="AM5610" s="85"/>
    </row>
    <row r="5611" spans="1:39" s="86" customFormat="1" ht="13.25" hidden="1" customHeight="1" x14ac:dyDescent="0.3">
      <c r="A5611" s="89" t="s">
        <v>3792</v>
      </c>
      <c r="B5611" s="86" t="s">
        <v>35</v>
      </c>
      <c r="C5611" s="86" t="s">
        <v>59</v>
      </c>
      <c r="D5611" s="86" t="s">
        <v>60</v>
      </c>
      <c r="E5611" s="86" t="s">
        <v>765</v>
      </c>
      <c r="F5611" s="86" t="s">
        <v>766</v>
      </c>
      <c r="G5611" s="86" t="s">
        <v>765</v>
      </c>
      <c r="H5611" s="143">
        <v>62</v>
      </c>
      <c r="I5611" s="86" t="s">
        <v>408</v>
      </c>
      <c r="J5611" s="1" t="s">
        <v>3324</v>
      </c>
      <c r="K5611" s="1" t="s">
        <v>3278</v>
      </c>
      <c r="L5611" s="1" t="s">
        <v>35</v>
      </c>
      <c r="M5611" s="86" t="s">
        <v>772</v>
      </c>
      <c r="O5611" s="47" t="s">
        <v>410</v>
      </c>
      <c r="P5611" s="14" t="s">
        <v>46</v>
      </c>
      <c r="Q5611" s="14">
        <v>0.06</v>
      </c>
      <c r="R5611" s="143">
        <v>1000019854</v>
      </c>
      <c r="S5611" s="47"/>
      <c r="T5611" s="6">
        <v>9705.75</v>
      </c>
      <c r="U5611" s="6"/>
      <c r="V5611" s="6">
        <v>0</v>
      </c>
      <c r="W5611" s="6">
        <f t="shared" si="874"/>
        <v>9705.75</v>
      </c>
      <c r="X5611" s="6">
        <f t="shared" si="873"/>
        <v>0</v>
      </c>
      <c r="Y5611" s="13">
        <f t="shared" si="878"/>
        <v>0</v>
      </c>
      <c r="Z5611" s="14">
        <v>0</v>
      </c>
      <c r="AA5611" s="6">
        <v>0</v>
      </c>
      <c r="AB5611" s="4">
        <f t="shared" si="879"/>
        <v>0</v>
      </c>
      <c r="AC5611" s="6">
        <f t="shared" si="875"/>
        <v>0</v>
      </c>
      <c r="AD5611" s="6">
        <f t="shared" si="876"/>
        <v>0</v>
      </c>
      <c r="AE5611" s="14">
        <f>VLOOKUP(I5611,[2]媒体政策预估表!A:N,MATCH(O5611,[2]媒体政策预估表!$A$2:$M$2,0),0)</f>
        <v>7.0000000000000007E-2</v>
      </c>
      <c r="AF5611" s="6">
        <f t="shared" si="881"/>
        <v>0</v>
      </c>
      <c r="AG5611" s="14">
        <v>0</v>
      </c>
      <c r="AH5611" s="64">
        <f t="shared" si="877"/>
        <v>0</v>
      </c>
      <c r="AI5611" s="47"/>
      <c r="AJ5611" s="126" t="e">
        <v>#N/A</v>
      </c>
      <c r="AK5611" s="80">
        <f t="shared" si="880"/>
        <v>0</v>
      </c>
      <c r="AL5611" s="85"/>
      <c r="AM5611" s="85"/>
    </row>
    <row r="5612" spans="1:39" s="86" customFormat="1" ht="13.25" hidden="1" customHeight="1" x14ac:dyDescent="0.3">
      <c r="A5612" s="89" t="s">
        <v>3796</v>
      </c>
      <c r="B5612" s="86" t="s">
        <v>35</v>
      </c>
      <c r="C5612" s="86" t="s">
        <v>59</v>
      </c>
      <c r="D5612" s="86" t="s">
        <v>60</v>
      </c>
      <c r="E5612" s="86" t="s">
        <v>765</v>
      </c>
      <c r="F5612" s="86" t="s">
        <v>766</v>
      </c>
      <c r="G5612" s="86" t="s">
        <v>765</v>
      </c>
      <c r="H5612" s="143">
        <v>62</v>
      </c>
      <c r="I5612" s="86" t="s">
        <v>408</v>
      </c>
      <c r="J5612" s="1" t="s">
        <v>3324</v>
      </c>
      <c r="K5612" s="1" t="s">
        <v>3278</v>
      </c>
      <c r="L5612" s="1" t="s">
        <v>35</v>
      </c>
      <c r="M5612" s="86" t="s">
        <v>773</v>
      </c>
      <c r="O5612" s="47" t="s">
        <v>410</v>
      </c>
      <c r="P5612" s="14" t="s">
        <v>46</v>
      </c>
      <c r="Q5612" s="14">
        <v>0.06</v>
      </c>
      <c r="R5612" s="143">
        <v>1000025834</v>
      </c>
      <c r="S5612" s="47"/>
      <c r="T5612" s="6">
        <v>36787.019999999997</v>
      </c>
      <c r="U5612" s="6"/>
      <c r="V5612" s="6">
        <v>0</v>
      </c>
      <c r="W5612" s="6">
        <f t="shared" si="874"/>
        <v>36787.019999999997</v>
      </c>
      <c r="X5612" s="6">
        <f t="shared" si="873"/>
        <v>0</v>
      </c>
      <c r="Y5612" s="13">
        <f t="shared" si="878"/>
        <v>0</v>
      </c>
      <c r="Z5612" s="14">
        <v>0</v>
      </c>
      <c r="AA5612" s="6">
        <v>0</v>
      </c>
      <c r="AB5612" s="4">
        <f t="shared" si="879"/>
        <v>0</v>
      </c>
      <c r="AC5612" s="6">
        <f t="shared" si="875"/>
        <v>0</v>
      </c>
      <c r="AD5612" s="6">
        <f t="shared" si="876"/>
        <v>0</v>
      </c>
      <c r="AE5612" s="14">
        <f>VLOOKUP(I5612,[2]媒体政策预估表!A:N,MATCH(O5612,[2]媒体政策预估表!$A$2:$M$2,0),0)</f>
        <v>7.0000000000000007E-2</v>
      </c>
      <c r="AF5612" s="6">
        <f t="shared" si="881"/>
        <v>0</v>
      </c>
      <c r="AG5612" s="14">
        <v>0</v>
      </c>
      <c r="AH5612" s="64">
        <f t="shared" si="877"/>
        <v>0</v>
      </c>
      <c r="AI5612" s="47"/>
      <c r="AJ5612" s="126" t="e">
        <v>#N/A</v>
      </c>
      <c r="AK5612" s="80">
        <f t="shared" si="880"/>
        <v>0</v>
      </c>
      <c r="AL5612" s="85"/>
      <c r="AM5612" s="85"/>
    </row>
    <row r="5613" spans="1:39" s="86" customFormat="1" ht="13.25" hidden="1" customHeight="1" x14ac:dyDescent="0.3">
      <c r="A5613" s="89" t="s">
        <v>3794</v>
      </c>
      <c r="B5613" s="86" t="s">
        <v>35</v>
      </c>
      <c r="C5613" s="86" t="s">
        <v>59</v>
      </c>
      <c r="D5613" s="86" t="s">
        <v>60</v>
      </c>
      <c r="E5613" s="86" t="s">
        <v>774</v>
      </c>
      <c r="F5613" s="86" t="s">
        <v>774</v>
      </c>
      <c r="G5613" s="86" t="s">
        <v>774</v>
      </c>
      <c r="H5613" s="143">
        <v>62</v>
      </c>
      <c r="I5613" s="86" t="s">
        <v>408</v>
      </c>
      <c r="J5613" s="1" t="s">
        <v>3324</v>
      </c>
      <c r="K5613" s="1" t="s">
        <v>3278</v>
      </c>
      <c r="L5613" s="1" t="s">
        <v>35</v>
      </c>
      <c r="M5613" s="86" t="s">
        <v>775</v>
      </c>
      <c r="O5613" s="47" t="s">
        <v>410</v>
      </c>
      <c r="P5613" s="14" t="s">
        <v>46</v>
      </c>
      <c r="Q5613" s="14">
        <v>7.0000000000000007E-2</v>
      </c>
      <c r="R5613" s="143">
        <v>1000024542</v>
      </c>
      <c r="S5613" s="47"/>
      <c r="T5613" s="6">
        <v>2099.6</v>
      </c>
      <c r="U5613" s="6"/>
      <c r="V5613" s="6">
        <v>0</v>
      </c>
      <c r="W5613" s="6">
        <f t="shared" si="874"/>
        <v>2099.6</v>
      </c>
      <c r="X5613" s="6">
        <f t="shared" si="873"/>
        <v>0</v>
      </c>
      <c r="Y5613" s="13">
        <f t="shared" si="878"/>
        <v>0</v>
      </c>
      <c r="Z5613" s="14">
        <v>0</v>
      </c>
      <c r="AA5613" s="6">
        <v>0</v>
      </c>
      <c r="AB5613" s="4">
        <f t="shared" si="879"/>
        <v>0</v>
      </c>
      <c r="AC5613" s="6">
        <f t="shared" si="875"/>
        <v>0</v>
      </c>
      <c r="AD5613" s="6">
        <f t="shared" si="876"/>
        <v>0</v>
      </c>
      <c r="AE5613" s="14">
        <f>VLOOKUP(I5613,[2]媒体政策预估表!A:N,MATCH(O5613,[2]媒体政策预估表!$A$2:$M$2,0),0)</f>
        <v>7.0000000000000007E-2</v>
      </c>
      <c r="AF5613" s="6">
        <f t="shared" si="881"/>
        <v>0</v>
      </c>
      <c r="AG5613" s="14">
        <v>0</v>
      </c>
      <c r="AH5613" s="64">
        <f t="shared" si="877"/>
        <v>0</v>
      </c>
      <c r="AI5613" s="47"/>
      <c r="AJ5613" s="126" t="e">
        <v>#N/A</v>
      </c>
      <c r="AK5613" s="80">
        <f t="shared" si="880"/>
        <v>0</v>
      </c>
      <c r="AL5613" s="85"/>
      <c r="AM5613" s="85"/>
    </row>
    <row r="5614" spans="1:39" s="86" customFormat="1" ht="13.25" hidden="1" customHeight="1" x14ac:dyDescent="0.3">
      <c r="A5614" s="89" t="s">
        <v>3794</v>
      </c>
      <c r="B5614" s="86" t="s">
        <v>35</v>
      </c>
      <c r="C5614" s="86" t="s">
        <v>59</v>
      </c>
      <c r="D5614" s="86" t="s">
        <v>60</v>
      </c>
      <c r="E5614" s="86" t="s">
        <v>774</v>
      </c>
      <c r="F5614" s="86" t="s">
        <v>774</v>
      </c>
      <c r="G5614" s="86" t="s">
        <v>774</v>
      </c>
      <c r="H5614" s="143">
        <v>62</v>
      </c>
      <c r="I5614" s="86" t="s">
        <v>408</v>
      </c>
      <c r="J5614" s="1" t="s">
        <v>3324</v>
      </c>
      <c r="K5614" s="1" t="s">
        <v>3278</v>
      </c>
      <c r="L5614" s="1" t="s">
        <v>35</v>
      </c>
      <c r="M5614" s="86" t="s">
        <v>776</v>
      </c>
      <c r="O5614" s="47" t="s">
        <v>410</v>
      </c>
      <c r="P5614" s="14" t="s">
        <v>46</v>
      </c>
      <c r="Q5614" s="14">
        <v>7.0000000000000007E-2</v>
      </c>
      <c r="R5614" s="143">
        <v>1000004394</v>
      </c>
      <c r="S5614" s="47"/>
      <c r="T5614" s="6">
        <v>193.16</v>
      </c>
      <c r="U5614" s="6"/>
      <c r="V5614" s="6">
        <v>0</v>
      </c>
      <c r="W5614" s="6">
        <f t="shared" si="874"/>
        <v>193.16</v>
      </c>
      <c r="X5614" s="6">
        <f t="shared" si="873"/>
        <v>0</v>
      </c>
      <c r="Y5614" s="13">
        <f t="shared" si="878"/>
        <v>0</v>
      </c>
      <c r="Z5614" s="14">
        <v>0</v>
      </c>
      <c r="AA5614" s="6">
        <v>0</v>
      </c>
      <c r="AB5614" s="4">
        <f t="shared" si="879"/>
        <v>0</v>
      </c>
      <c r="AC5614" s="6">
        <f t="shared" si="875"/>
        <v>0</v>
      </c>
      <c r="AD5614" s="6">
        <f t="shared" si="876"/>
        <v>0</v>
      </c>
      <c r="AE5614" s="14">
        <f>VLOOKUP(I5614,[2]媒体政策预估表!A:N,MATCH(O5614,[2]媒体政策预估表!$A$2:$M$2,0),0)</f>
        <v>7.0000000000000007E-2</v>
      </c>
      <c r="AF5614" s="6">
        <f t="shared" si="881"/>
        <v>0</v>
      </c>
      <c r="AG5614" s="14">
        <v>0</v>
      </c>
      <c r="AH5614" s="64">
        <f t="shared" si="877"/>
        <v>0</v>
      </c>
      <c r="AI5614" s="47"/>
      <c r="AJ5614" s="126" t="e">
        <v>#N/A</v>
      </c>
      <c r="AK5614" s="80">
        <f t="shared" si="880"/>
        <v>0</v>
      </c>
      <c r="AL5614" s="85"/>
      <c r="AM5614" s="85"/>
    </row>
    <row r="5615" spans="1:39" s="86" customFormat="1" ht="13.25" hidden="1" customHeight="1" x14ac:dyDescent="0.3">
      <c r="A5615" s="89" t="s">
        <v>3796</v>
      </c>
      <c r="B5615" s="86" t="s">
        <v>35</v>
      </c>
      <c r="C5615" s="86" t="s">
        <v>59</v>
      </c>
      <c r="D5615" s="86" t="s">
        <v>60</v>
      </c>
      <c r="E5615" s="86" t="s">
        <v>774</v>
      </c>
      <c r="F5615" s="86" t="s">
        <v>774</v>
      </c>
      <c r="G5615" s="86" t="s">
        <v>774</v>
      </c>
      <c r="H5615" s="143">
        <v>62</v>
      </c>
      <c r="I5615" s="86" t="s">
        <v>408</v>
      </c>
      <c r="J5615" s="1" t="s">
        <v>3324</v>
      </c>
      <c r="K5615" s="1" t="s">
        <v>3278</v>
      </c>
      <c r="L5615" s="1" t="s">
        <v>35</v>
      </c>
      <c r="M5615" s="86" t="s">
        <v>777</v>
      </c>
      <c r="O5615" s="47" t="s">
        <v>410</v>
      </c>
      <c r="P5615" s="14" t="s">
        <v>46</v>
      </c>
      <c r="Q5615" s="14">
        <v>7.0000000000000007E-2</v>
      </c>
      <c r="R5615" s="143">
        <v>1000022527</v>
      </c>
      <c r="S5615" s="47"/>
      <c r="T5615" s="6">
        <v>4000.15</v>
      </c>
      <c r="U5615" s="6"/>
      <c r="V5615" s="6">
        <v>0</v>
      </c>
      <c r="W5615" s="6">
        <f t="shared" si="874"/>
        <v>4000.15</v>
      </c>
      <c r="X5615" s="6">
        <f t="shared" si="873"/>
        <v>0</v>
      </c>
      <c r="Y5615" s="13">
        <f t="shared" si="878"/>
        <v>0</v>
      </c>
      <c r="Z5615" s="14">
        <v>0</v>
      </c>
      <c r="AA5615" s="6">
        <v>0</v>
      </c>
      <c r="AB5615" s="4">
        <f t="shared" si="879"/>
        <v>0</v>
      </c>
      <c r="AC5615" s="6">
        <f t="shared" si="875"/>
        <v>0</v>
      </c>
      <c r="AD5615" s="6">
        <f t="shared" si="876"/>
        <v>0</v>
      </c>
      <c r="AE5615" s="14">
        <f>VLOOKUP(I5615,[2]媒体政策预估表!A:N,MATCH(O5615,[2]媒体政策预估表!$A$2:$M$2,0),0)</f>
        <v>7.0000000000000007E-2</v>
      </c>
      <c r="AF5615" s="6">
        <f t="shared" si="881"/>
        <v>0</v>
      </c>
      <c r="AG5615" s="14">
        <v>0</v>
      </c>
      <c r="AH5615" s="64">
        <f t="shared" si="877"/>
        <v>0</v>
      </c>
      <c r="AI5615" s="47"/>
      <c r="AJ5615" s="126" t="e">
        <v>#N/A</v>
      </c>
      <c r="AK5615" s="80">
        <f t="shared" si="880"/>
        <v>0</v>
      </c>
      <c r="AL5615" s="85"/>
      <c r="AM5615" s="85"/>
    </row>
    <row r="5616" spans="1:39" s="86" customFormat="1" ht="13.25" hidden="1" customHeight="1" x14ac:dyDescent="0.3">
      <c r="A5616" s="89" t="s">
        <v>3794</v>
      </c>
      <c r="B5616" s="86" t="s">
        <v>35</v>
      </c>
      <c r="C5616" s="86" t="s">
        <v>59</v>
      </c>
      <c r="D5616" s="86" t="s">
        <v>60</v>
      </c>
      <c r="E5616" s="86" t="s">
        <v>778</v>
      </c>
      <c r="F5616" s="86" t="s">
        <v>779</v>
      </c>
      <c r="G5616" s="86" t="s">
        <v>778</v>
      </c>
      <c r="H5616" s="143">
        <v>62</v>
      </c>
      <c r="I5616" s="86" t="s">
        <v>408</v>
      </c>
      <c r="J5616" s="1" t="s">
        <v>3324</v>
      </c>
      <c r="K5616" s="1" t="s">
        <v>3278</v>
      </c>
      <c r="L5616" s="1" t="s">
        <v>35</v>
      </c>
      <c r="M5616" s="86" t="s">
        <v>780</v>
      </c>
      <c r="O5616" s="47" t="s">
        <v>410</v>
      </c>
      <c r="P5616" s="14" t="s">
        <v>46</v>
      </c>
      <c r="Q5616" s="14">
        <v>0.05</v>
      </c>
      <c r="R5616" s="143">
        <v>1000025627</v>
      </c>
      <c r="S5616" s="47"/>
      <c r="T5616" s="6">
        <v>15691</v>
      </c>
      <c r="U5616" s="6"/>
      <c r="V5616" s="6">
        <v>0</v>
      </c>
      <c r="W5616" s="6">
        <f t="shared" si="874"/>
        <v>15691</v>
      </c>
      <c r="X5616" s="6">
        <f t="shared" si="873"/>
        <v>0</v>
      </c>
      <c r="Y5616" s="13">
        <f t="shared" si="878"/>
        <v>0</v>
      </c>
      <c r="Z5616" s="14">
        <v>0</v>
      </c>
      <c r="AA5616" s="6">
        <v>0</v>
      </c>
      <c r="AB5616" s="4">
        <f t="shared" si="879"/>
        <v>0</v>
      </c>
      <c r="AC5616" s="6">
        <f t="shared" si="875"/>
        <v>0</v>
      </c>
      <c r="AD5616" s="6">
        <f t="shared" si="876"/>
        <v>0</v>
      </c>
      <c r="AE5616" s="14">
        <f>VLOOKUP(I5616,[2]媒体政策预估表!A:N,MATCH(O5616,[2]媒体政策预估表!$A$2:$M$2,0),0)</f>
        <v>7.0000000000000007E-2</v>
      </c>
      <c r="AF5616" s="6">
        <f t="shared" si="881"/>
        <v>0</v>
      </c>
      <c r="AG5616" s="14">
        <v>0</v>
      </c>
      <c r="AH5616" s="64">
        <f t="shared" si="877"/>
        <v>0</v>
      </c>
      <c r="AI5616" s="47"/>
      <c r="AJ5616" s="126" t="e">
        <v>#N/A</v>
      </c>
      <c r="AK5616" s="80">
        <f t="shared" si="880"/>
        <v>0</v>
      </c>
      <c r="AL5616" s="85"/>
      <c r="AM5616" s="85"/>
    </row>
    <row r="5617" spans="1:39" s="86" customFormat="1" ht="13.25" hidden="1" customHeight="1" x14ac:dyDescent="0.3">
      <c r="A5617" s="89" t="s">
        <v>3794</v>
      </c>
      <c r="B5617" s="86" t="s">
        <v>35</v>
      </c>
      <c r="C5617" s="86" t="s">
        <v>59</v>
      </c>
      <c r="D5617" s="86" t="s">
        <v>60</v>
      </c>
      <c r="E5617" s="86" t="s">
        <v>781</v>
      </c>
      <c r="F5617" s="86" t="s">
        <v>782</v>
      </c>
      <c r="G5617" s="86" t="s">
        <v>781</v>
      </c>
      <c r="H5617" s="143">
        <v>62</v>
      </c>
      <c r="I5617" s="86" t="s">
        <v>408</v>
      </c>
      <c r="J5617" s="1" t="s">
        <v>3324</v>
      </c>
      <c r="K5617" s="1" t="s">
        <v>3278</v>
      </c>
      <c r="L5617" s="1" t="s">
        <v>35</v>
      </c>
      <c r="M5617" s="86" t="s">
        <v>783</v>
      </c>
      <c r="O5617" s="47" t="s">
        <v>410</v>
      </c>
      <c r="P5617" s="14" t="s">
        <v>46</v>
      </c>
      <c r="Q5617" s="14">
        <v>0.06</v>
      </c>
      <c r="R5617" s="143">
        <v>1000000983</v>
      </c>
      <c r="S5617" s="47"/>
      <c r="T5617" s="6">
        <v>4469.6000000000004</v>
      </c>
      <c r="U5617" s="6"/>
      <c r="V5617" s="6">
        <v>0</v>
      </c>
      <c r="W5617" s="6">
        <f t="shared" si="874"/>
        <v>4469.6000000000004</v>
      </c>
      <c r="X5617" s="6">
        <f t="shared" si="873"/>
        <v>0</v>
      </c>
      <c r="Y5617" s="13">
        <f t="shared" si="878"/>
        <v>0</v>
      </c>
      <c r="Z5617" s="14">
        <v>0</v>
      </c>
      <c r="AA5617" s="6">
        <v>0</v>
      </c>
      <c r="AB5617" s="4">
        <f t="shared" si="879"/>
        <v>0</v>
      </c>
      <c r="AC5617" s="6">
        <f t="shared" si="875"/>
        <v>0</v>
      </c>
      <c r="AD5617" s="6">
        <f t="shared" si="876"/>
        <v>0</v>
      </c>
      <c r="AE5617" s="14">
        <f>VLOOKUP(I5617,[2]媒体政策预估表!A:N,MATCH(O5617,[2]媒体政策预估表!$A$2:$M$2,0),0)</f>
        <v>7.0000000000000007E-2</v>
      </c>
      <c r="AF5617" s="6">
        <f t="shared" si="881"/>
        <v>0</v>
      </c>
      <c r="AG5617" s="14">
        <v>0</v>
      </c>
      <c r="AH5617" s="64">
        <f t="shared" si="877"/>
        <v>0</v>
      </c>
      <c r="AI5617" s="47"/>
      <c r="AJ5617" s="126" t="e">
        <v>#N/A</v>
      </c>
      <c r="AK5617" s="80">
        <f t="shared" si="880"/>
        <v>0</v>
      </c>
      <c r="AL5617" s="85"/>
      <c r="AM5617" s="85"/>
    </row>
    <row r="5618" spans="1:39" s="86" customFormat="1" ht="13.25" hidden="1" customHeight="1" x14ac:dyDescent="0.3">
      <c r="A5618" s="89" t="s">
        <v>3796</v>
      </c>
      <c r="B5618" s="86" t="s">
        <v>35</v>
      </c>
      <c r="C5618" s="86" t="s">
        <v>59</v>
      </c>
      <c r="D5618" s="86" t="s">
        <v>60</v>
      </c>
      <c r="E5618" s="86" t="s">
        <v>784</v>
      </c>
      <c r="F5618" s="86" t="s">
        <v>784</v>
      </c>
      <c r="G5618" s="86" t="s">
        <v>784</v>
      </c>
      <c r="H5618" s="143">
        <v>62</v>
      </c>
      <c r="I5618" s="86" t="s">
        <v>408</v>
      </c>
      <c r="J5618" s="1" t="s">
        <v>3324</v>
      </c>
      <c r="K5618" s="1" t="s">
        <v>3278</v>
      </c>
      <c r="L5618" s="1" t="s">
        <v>35</v>
      </c>
      <c r="M5618" s="86" t="s">
        <v>785</v>
      </c>
      <c r="O5618" s="47" t="s">
        <v>410</v>
      </c>
      <c r="P5618" s="14" t="s">
        <v>46</v>
      </c>
      <c r="Q5618" s="14">
        <v>0.02</v>
      </c>
      <c r="R5618" s="143">
        <v>1000015801</v>
      </c>
      <c r="S5618" s="47"/>
      <c r="T5618" s="6">
        <v>6886.9</v>
      </c>
      <c r="U5618" s="6"/>
      <c r="V5618" s="6">
        <v>0</v>
      </c>
      <c r="W5618" s="6">
        <f t="shared" si="874"/>
        <v>6886.9</v>
      </c>
      <c r="X5618" s="6">
        <f t="shared" si="873"/>
        <v>0</v>
      </c>
      <c r="Y5618" s="13">
        <f t="shared" si="878"/>
        <v>0</v>
      </c>
      <c r="Z5618" s="14">
        <v>0</v>
      </c>
      <c r="AA5618" s="6">
        <v>0</v>
      </c>
      <c r="AB5618" s="4">
        <f t="shared" si="879"/>
        <v>0</v>
      </c>
      <c r="AC5618" s="6">
        <f t="shared" si="875"/>
        <v>0</v>
      </c>
      <c r="AD5618" s="6">
        <f t="shared" si="876"/>
        <v>0</v>
      </c>
      <c r="AE5618" s="14">
        <f>VLOOKUP(I5618,[2]媒体政策预估表!A:N,MATCH(O5618,[2]媒体政策预估表!$A$2:$M$2,0),0)</f>
        <v>7.0000000000000007E-2</v>
      </c>
      <c r="AF5618" s="6">
        <f t="shared" si="881"/>
        <v>0</v>
      </c>
      <c r="AG5618" s="14">
        <v>0</v>
      </c>
      <c r="AH5618" s="64">
        <f t="shared" si="877"/>
        <v>0</v>
      </c>
      <c r="AI5618" s="47"/>
      <c r="AJ5618" s="126" t="e">
        <v>#N/A</v>
      </c>
      <c r="AK5618" s="80">
        <f t="shared" si="880"/>
        <v>0</v>
      </c>
      <c r="AL5618" s="85"/>
      <c r="AM5618" s="85"/>
    </row>
    <row r="5619" spans="1:39" s="86" customFormat="1" ht="13.25" hidden="1" customHeight="1" x14ac:dyDescent="0.3">
      <c r="A5619" s="89" t="s">
        <v>3806</v>
      </c>
      <c r="B5619" s="86" t="s">
        <v>35</v>
      </c>
      <c r="C5619" s="86" t="s">
        <v>59</v>
      </c>
      <c r="D5619" s="86" t="s">
        <v>60</v>
      </c>
      <c r="E5619" s="86" t="s">
        <v>786</v>
      </c>
      <c r="F5619" s="86" t="s">
        <v>786</v>
      </c>
      <c r="G5619" s="86" t="s">
        <v>786</v>
      </c>
      <c r="H5619" s="143">
        <v>62</v>
      </c>
      <c r="I5619" s="86" t="s">
        <v>408</v>
      </c>
      <c r="J5619" s="1" t="s">
        <v>3324</v>
      </c>
      <c r="K5619" s="1" t="s">
        <v>3278</v>
      </c>
      <c r="L5619" s="1" t="s">
        <v>35</v>
      </c>
      <c r="M5619" s="86" t="s">
        <v>787</v>
      </c>
      <c r="O5619" s="47" t="s">
        <v>410</v>
      </c>
      <c r="P5619" s="14" t="s">
        <v>46</v>
      </c>
      <c r="Q5619" s="14">
        <v>0.02</v>
      </c>
      <c r="R5619" s="143">
        <v>1000042444</v>
      </c>
      <c r="S5619" s="47"/>
      <c r="T5619" s="6">
        <v>2384.46</v>
      </c>
      <c r="U5619" s="6"/>
      <c r="V5619" s="6">
        <v>0</v>
      </c>
      <c r="W5619" s="6">
        <f t="shared" si="874"/>
        <v>2384.46</v>
      </c>
      <c r="X5619" s="6">
        <f t="shared" si="873"/>
        <v>0</v>
      </c>
      <c r="Y5619" s="13">
        <f t="shared" si="878"/>
        <v>0</v>
      </c>
      <c r="Z5619" s="14">
        <v>0</v>
      </c>
      <c r="AA5619" s="6">
        <v>0</v>
      </c>
      <c r="AB5619" s="4">
        <f t="shared" si="879"/>
        <v>0</v>
      </c>
      <c r="AC5619" s="6">
        <f t="shared" si="875"/>
        <v>0</v>
      </c>
      <c r="AD5619" s="6">
        <f t="shared" si="876"/>
        <v>0</v>
      </c>
      <c r="AE5619" s="14">
        <f>VLOOKUP(I5619,[2]媒体政策预估表!A:N,MATCH(O5619,[2]媒体政策预估表!$A$2:$M$2,0),0)</f>
        <v>7.0000000000000007E-2</v>
      </c>
      <c r="AF5619" s="6">
        <f t="shared" si="881"/>
        <v>0</v>
      </c>
      <c r="AG5619" s="14">
        <v>0</v>
      </c>
      <c r="AH5619" s="64">
        <f t="shared" si="877"/>
        <v>0</v>
      </c>
      <c r="AI5619" s="47"/>
      <c r="AJ5619" s="126" t="e">
        <v>#N/A</v>
      </c>
      <c r="AK5619" s="80">
        <f t="shared" si="880"/>
        <v>0</v>
      </c>
      <c r="AL5619" s="85"/>
      <c r="AM5619" s="85"/>
    </row>
    <row r="5620" spans="1:39" s="86" customFormat="1" ht="13.25" hidden="1" customHeight="1" x14ac:dyDescent="0.3">
      <c r="A5620" s="89" t="s">
        <v>3792</v>
      </c>
      <c r="B5620" s="86" t="s">
        <v>35</v>
      </c>
      <c r="C5620" s="86" t="s">
        <v>59</v>
      </c>
      <c r="D5620" s="86" t="s">
        <v>60</v>
      </c>
      <c r="E5620" s="86" t="s">
        <v>786</v>
      </c>
      <c r="F5620" s="86" t="s">
        <v>786</v>
      </c>
      <c r="G5620" s="86" t="s">
        <v>786</v>
      </c>
      <c r="H5620" s="143">
        <v>62</v>
      </c>
      <c r="I5620" s="86" t="s">
        <v>408</v>
      </c>
      <c r="J5620" s="1" t="s">
        <v>3324</v>
      </c>
      <c r="K5620" s="1" t="s">
        <v>3278</v>
      </c>
      <c r="L5620" s="1" t="s">
        <v>35</v>
      </c>
      <c r="M5620" s="86" t="s">
        <v>788</v>
      </c>
      <c r="O5620" s="47" t="s">
        <v>410</v>
      </c>
      <c r="P5620" s="14" t="s">
        <v>46</v>
      </c>
      <c r="Q5620" s="14">
        <v>0.02</v>
      </c>
      <c r="R5620" s="143">
        <v>1000038510</v>
      </c>
      <c r="S5620" s="47"/>
      <c r="T5620" s="6">
        <v>27993.81</v>
      </c>
      <c r="U5620" s="6"/>
      <c r="V5620" s="6">
        <v>0</v>
      </c>
      <c r="W5620" s="6">
        <f t="shared" si="874"/>
        <v>27993.81</v>
      </c>
      <c r="X5620" s="6">
        <f t="shared" si="873"/>
        <v>0</v>
      </c>
      <c r="Y5620" s="13">
        <f t="shared" si="878"/>
        <v>0</v>
      </c>
      <c r="Z5620" s="14">
        <v>0</v>
      </c>
      <c r="AA5620" s="6">
        <v>0</v>
      </c>
      <c r="AB5620" s="4">
        <f t="shared" si="879"/>
        <v>0</v>
      </c>
      <c r="AC5620" s="6">
        <f t="shared" si="875"/>
        <v>0</v>
      </c>
      <c r="AD5620" s="6">
        <f t="shared" si="876"/>
        <v>0</v>
      </c>
      <c r="AE5620" s="14">
        <f>VLOOKUP(I5620,[2]媒体政策预估表!A:N,MATCH(O5620,[2]媒体政策预估表!$A$2:$M$2,0),0)</f>
        <v>7.0000000000000007E-2</v>
      </c>
      <c r="AF5620" s="6">
        <f t="shared" si="881"/>
        <v>0</v>
      </c>
      <c r="AG5620" s="14">
        <v>0</v>
      </c>
      <c r="AH5620" s="64">
        <f t="shared" si="877"/>
        <v>0</v>
      </c>
      <c r="AI5620" s="47"/>
      <c r="AJ5620" s="126" t="e">
        <v>#N/A</v>
      </c>
      <c r="AK5620" s="80">
        <f t="shared" si="880"/>
        <v>0</v>
      </c>
      <c r="AL5620" s="85"/>
      <c r="AM5620" s="85"/>
    </row>
    <row r="5621" spans="1:39" s="86" customFormat="1" ht="13.25" hidden="1" customHeight="1" x14ac:dyDescent="0.3">
      <c r="A5621" s="89" t="s">
        <v>3794</v>
      </c>
      <c r="B5621" s="86" t="s">
        <v>35</v>
      </c>
      <c r="C5621" s="86" t="s">
        <v>59</v>
      </c>
      <c r="D5621" s="86" t="s">
        <v>60</v>
      </c>
      <c r="E5621" s="86" t="s">
        <v>786</v>
      </c>
      <c r="F5621" s="86" t="s">
        <v>786</v>
      </c>
      <c r="G5621" s="86" t="s">
        <v>786</v>
      </c>
      <c r="H5621" s="143">
        <v>62</v>
      </c>
      <c r="I5621" s="86" t="s">
        <v>408</v>
      </c>
      <c r="J5621" s="1" t="s">
        <v>3324</v>
      </c>
      <c r="K5621" s="1" t="s">
        <v>3278</v>
      </c>
      <c r="L5621" s="1" t="s">
        <v>35</v>
      </c>
      <c r="M5621" s="86" t="s">
        <v>789</v>
      </c>
      <c r="O5621" s="47" t="s">
        <v>410</v>
      </c>
      <c r="P5621" s="14" t="s">
        <v>46</v>
      </c>
      <c r="Q5621" s="14">
        <v>0.02</v>
      </c>
      <c r="R5621" s="143">
        <v>1000025380</v>
      </c>
      <c r="S5621" s="47"/>
      <c r="T5621" s="6">
        <v>768.6</v>
      </c>
      <c r="U5621" s="6"/>
      <c r="V5621" s="6">
        <v>0</v>
      </c>
      <c r="W5621" s="6">
        <f t="shared" si="874"/>
        <v>768.6</v>
      </c>
      <c r="X5621" s="6">
        <f t="shared" si="873"/>
        <v>0</v>
      </c>
      <c r="Y5621" s="13">
        <f t="shared" si="878"/>
        <v>0</v>
      </c>
      <c r="Z5621" s="14">
        <v>0</v>
      </c>
      <c r="AA5621" s="6">
        <v>0</v>
      </c>
      <c r="AB5621" s="4">
        <f t="shared" si="879"/>
        <v>0</v>
      </c>
      <c r="AC5621" s="6">
        <f t="shared" si="875"/>
        <v>0</v>
      </c>
      <c r="AD5621" s="6">
        <f t="shared" si="876"/>
        <v>0</v>
      </c>
      <c r="AE5621" s="14">
        <f>VLOOKUP(I5621,[2]媒体政策预估表!A:N,MATCH(O5621,[2]媒体政策预估表!$A$2:$M$2,0),0)</f>
        <v>7.0000000000000007E-2</v>
      </c>
      <c r="AF5621" s="6">
        <f t="shared" si="881"/>
        <v>0</v>
      </c>
      <c r="AG5621" s="14">
        <v>0</v>
      </c>
      <c r="AH5621" s="64">
        <f t="shared" si="877"/>
        <v>0</v>
      </c>
      <c r="AI5621" s="47"/>
      <c r="AJ5621" s="126" t="e">
        <v>#N/A</v>
      </c>
      <c r="AK5621" s="80">
        <f t="shared" si="880"/>
        <v>0</v>
      </c>
      <c r="AL5621" s="85"/>
      <c r="AM5621" s="85"/>
    </row>
    <row r="5622" spans="1:39" s="86" customFormat="1" ht="13.25" hidden="1" customHeight="1" x14ac:dyDescent="0.3">
      <c r="A5622" s="89" t="s">
        <v>3794</v>
      </c>
      <c r="B5622" s="86" t="s">
        <v>35</v>
      </c>
      <c r="C5622" s="86" t="s">
        <v>59</v>
      </c>
      <c r="D5622" s="86" t="s">
        <v>60</v>
      </c>
      <c r="E5622" s="86" t="s">
        <v>786</v>
      </c>
      <c r="F5622" s="86" t="s">
        <v>786</v>
      </c>
      <c r="G5622" s="86" t="s">
        <v>786</v>
      </c>
      <c r="H5622" s="143">
        <v>62</v>
      </c>
      <c r="I5622" s="86" t="s">
        <v>408</v>
      </c>
      <c r="J5622" s="1" t="s">
        <v>3324</v>
      </c>
      <c r="K5622" s="1" t="s">
        <v>3278</v>
      </c>
      <c r="L5622" s="1" t="s">
        <v>35</v>
      </c>
      <c r="M5622" s="86" t="s">
        <v>790</v>
      </c>
      <c r="O5622" s="47" t="s">
        <v>410</v>
      </c>
      <c r="P5622" s="14" t="s">
        <v>46</v>
      </c>
      <c r="Q5622" s="14">
        <v>0.02</v>
      </c>
      <c r="R5622" s="143">
        <v>1000026616</v>
      </c>
      <c r="S5622" s="47"/>
      <c r="T5622" s="6">
        <v>6557.88</v>
      </c>
      <c r="U5622" s="6"/>
      <c r="V5622" s="6">
        <v>0</v>
      </c>
      <c r="W5622" s="6">
        <f t="shared" si="874"/>
        <v>6557.88</v>
      </c>
      <c r="X5622" s="6">
        <f t="shared" si="873"/>
        <v>0</v>
      </c>
      <c r="Y5622" s="13">
        <f t="shared" si="878"/>
        <v>0</v>
      </c>
      <c r="Z5622" s="14">
        <v>0</v>
      </c>
      <c r="AA5622" s="6">
        <v>0</v>
      </c>
      <c r="AB5622" s="4">
        <f t="shared" si="879"/>
        <v>0</v>
      </c>
      <c r="AC5622" s="6">
        <f t="shared" si="875"/>
        <v>0</v>
      </c>
      <c r="AD5622" s="6">
        <f t="shared" si="876"/>
        <v>0</v>
      </c>
      <c r="AE5622" s="14">
        <f>VLOOKUP(I5622,[2]媒体政策预估表!A:N,MATCH(O5622,[2]媒体政策预估表!$A$2:$M$2,0),0)</f>
        <v>7.0000000000000007E-2</v>
      </c>
      <c r="AF5622" s="6">
        <f t="shared" si="881"/>
        <v>0</v>
      </c>
      <c r="AG5622" s="14">
        <v>0</v>
      </c>
      <c r="AH5622" s="64">
        <f t="shared" si="877"/>
        <v>0</v>
      </c>
      <c r="AI5622" s="47"/>
      <c r="AJ5622" s="126" t="e">
        <v>#N/A</v>
      </c>
      <c r="AK5622" s="80">
        <f t="shared" si="880"/>
        <v>0</v>
      </c>
      <c r="AL5622" s="85"/>
      <c r="AM5622" s="85"/>
    </row>
    <row r="5623" spans="1:39" s="86" customFormat="1" ht="13.25" hidden="1" customHeight="1" x14ac:dyDescent="0.3">
      <c r="A5623" s="89" t="s">
        <v>3796</v>
      </c>
      <c r="B5623" s="86" t="s">
        <v>35</v>
      </c>
      <c r="C5623" s="86" t="s">
        <v>59</v>
      </c>
      <c r="D5623" s="86" t="s">
        <v>60</v>
      </c>
      <c r="E5623" s="86" t="s">
        <v>786</v>
      </c>
      <c r="F5623" s="86" t="s">
        <v>786</v>
      </c>
      <c r="G5623" s="86" t="s">
        <v>786</v>
      </c>
      <c r="H5623" s="143">
        <v>62</v>
      </c>
      <c r="I5623" s="86" t="s">
        <v>408</v>
      </c>
      <c r="J5623" s="1" t="s">
        <v>3324</v>
      </c>
      <c r="K5623" s="1" t="s">
        <v>3278</v>
      </c>
      <c r="L5623" s="1" t="s">
        <v>35</v>
      </c>
      <c r="M5623" s="86" t="s">
        <v>791</v>
      </c>
      <c r="O5623" s="47" t="s">
        <v>410</v>
      </c>
      <c r="P5623" s="14" t="s">
        <v>46</v>
      </c>
      <c r="Q5623" s="14">
        <v>0.02</v>
      </c>
      <c r="R5623" s="143">
        <v>1000020281</v>
      </c>
      <c r="S5623" s="47"/>
      <c r="T5623" s="6">
        <v>150.1</v>
      </c>
      <c r="U5623" s="6"/>
      <c r="V5623" s="6">
        <v>0</v>
      </c>
      <c r="W5623" s="6">
        <f t="shared" si="874"/>
        <v>150.1</v>
      </c>
      <c r="X5623" s="6">
        <f t="shared" si="873"/>
        <v>0</v>
      </c>
      <c r="Y5623" s="13">
        <f t="shared" si="878"/>
        <v>0</v>
      </c>
      <c r="Z5623" s="14">
        <v>0</v>
      </c>
      <c r="AA5623" s="6">
        <v>0</v>
      </c>
      <c r="AB5623" s="4">
        <f t="shared" si="879"/>
        <v>0</v>
      </c>
      <c r="AC5623" s="6">
        <f t="shared" si="875"/>
        <v>0</v>
      </c>
      <c r="AD5623" s="6">
        <f t="shared" si="876"/>
        <v>0</v>
      </c>
      <c r="AE5623" s="14">
        <f>VLOOKUP(I5623,[2]媒体政策预估表!A:N,MATCH(O5623,[2]媒体政策预估表!$A$2:$M$2,0),0)</f>
        <v>7.0000000000000007E-2</v>
      </c>
      <c r="AF5623" s="6">
        <f t="shared" si="881"/>
        <v>0</v>
      </c>
      <c r="AG5623" s="14">
        <v>0</v>
      </c>
      <c r="AH5623" s="64">
        <f t="shared" si="877"/>
        <v>0</v>
      </c>
      <c r="AI5623" s="47"/>
      <c r="AJ5623" s="126" t="e">
        <v>#N/A</v>
      </c>
      <c r="AK5623" s="80">
        <f t="shared" si="880"/>
        <v>0</v>
      </c>
      <c r="AL5623" s="85"/>
      <c r="AM5623" s="85"/>
    </row>
    <row r="5624" spans="1:39" s="86" customFormat="1" ht="13.25" hidden="1" customHeight="1" x14ac:dyDescent="0.3">
      <c r="A5624" s="89" t="s">
        <v>3792</v>
      </c>
      <c r="B5624" s="86" t="s">
        <v>35</v>
      </c>
      <c r="C5624" s="86" t="s">
        <v>59</v>
      </c>
      <c r="D5624" s="86" t="s">
        <v>60</v>
      </c>
      <c r="E5624" s="86" t="s">
        <v>786</v>
      </c>
      <c r="F5624" s="86" t="s">
        <v>786</v>
      </c>
      <c r="G5624" s="86" t="s">
        <v>786</v>
      </c>
      <c r="H5624" s="143">
        <v>62</v>
      </c>
      <c r="I5624" s="86" t="s">
        <v>408</v>
      </c>
      <c r="J5624" s="1" t="s">
        <v>3324</v>
      </c>
      <c r="K5624" s="1" t="s">
        <v>3278</v>
      </c>
      <c r="L5624" s="1" t="s">
        <v>35</v>
      </c>
      <c r="M5624" s="86" t="s">
        <v>792</v>
      </c>
      <c r="O5624" s="47" t="s">
        <v>410</v>
      </c>
      <c r="P5624" s="14" t="s">
        <v>46</v>
      </c>
      <c r="Q5624" s="14">
        <v>0.02</v>
      </c>
      <c r="R5624" s="143">
        <v>1000027351</v>
      </c>
      <c r="S5624" s="47"/>
      <c r="T5624" s="6">
        <v>1336.7</v>
      </c>
      <c r="U5624" s="6"/>
      <c r="V5624" s="6">
        <v>0</v>
      </c>
      <c r="W5624" s="6">
        <f t="shared" si="874"/>
        <v>1336.7</v>
      </c>
      <c r="X5624" s="6">
        <f t="shared" si="873"/>
        <v>0</v>
      </c>
      <c r="Y5624" s="13">
        <f t="shared" si="878"/>
        <v>0</v>
      </c>
      <c r="Z5624" s="14">
        <v>0</v>
      </c>
      <c r="AA5624" s="6">
        <v>0</v>
      </c>
      <c r="AB5624" s="4">
        <f t="shared" si="879"/>
        <v>0</v>
      </c>
      <c r="AC5624" s="6">
        <f t="shared" si="875"/>
        <v>0</v>
      </c>
      <c r="AD5624" s="6">
        <f t="shared" si="876"/>
        <v>0</v>
      </c>
      <c r="AE5624" s="14">
        <f>VLOOKUP(I5624,[2]媒体政策预估表!A:N,MATCH(O5624,[2]媒体政策预估表!$A$2:$M$2,0),0)</f>
        <v>7.0000000000000007E-2</v>
      </c>
      <c r="AF5624" s="6">
        <f t="shared" si="881"/>
        <v>0</v>
      </c>
      <c r="AG5624" s="14">
        <v>0</v>
      </c>
      <c r="AH5624" s="64">
        <f t="shared" si="877"/>
        <v>0</v>
      </c>
      <c r="AI5624" s="47"/>
      <c r="AJ5624" s="126" t="e">
        <v>#N/A</v>
      </c>
      <c r="AK5624" s="80">
        <f t="shared" si="880"/>
        <v>0</v>
      </c>
      <c r="AL5624" s="85"/>
      <c r="AM5624" s="85"/>
    </row>
    <row r="5625" spans="1:39" s="86" customFormat="1" ht="13.25" hidden="1" customHeight="1" x14ac:dyDescent="0.3">
      <c r="A5625" s="89" t="s">
        <v>3794</v>
      </c>
      <c r="B5625" s="86" t="s">
        <v>35</v>
      </c>
      <c r="C5625" s="86" t="s">
        <v>59</v>
      </c>
      <c r="D5625" s="86" t="s">
        <v>60</v>
      </c>
      <c r="E5625" s="86" t="s">
        <v>786</v>
      </c>
      <c r="F5625" s="86" t="s">
        <v>786</v>
      </c>
      <c r="G5625" s="86" t="s">
        <v>786</v>
      </c>
      <c r="H5625" s="143">
        <v>62</v>
      </c>
      <c r="I5625" s="86" t="s">
        <v>408</v>
      </c>
      <c r="J5625" s="1" t="s">
        <v>3324</v>
      </c>
      <c r="K5625" s="1" t="s">
        <v>3278</v>
      </c>
      <c r="L5625" s="1" t="s">
        <v>35</v>
      </c>
      <c r="M5625" s="86" t="s">
        <v>793</v>
      </c>
      <c r="O5625" s="47" t="s">
        <v>410</v>
      </c>
      <c r="P5625" s="14" t="s">
        <v>46</v>
      </c>
      <c r="Q5625" s="14">
        <v>0.02</v>
      </c>
      <c r="R5625" s="143">
        <v>1000020877</v>
      </c>
      <c r="S5625" s="47"/>
      <c r="T5625" s="6">
        <v>356.31</v>
      </c>
      <c r="U5625" s="6"/>
      <c r="V5625" s="6">
        <v>0</v>
      </c>
      <c r="W5625" s="6">
        <f t="shared" si="874"/>
        <v>356.31</v>
      </c>
      <c r="X5625" s="6">
        <f t="shared" si="873"/>
        <v>0</v>
      </c>
      <c r="Y5625" s="13">
        <f t="shared" si="878"/>
        <v>0</v>
      </c>
      <c r="Z5625" s="14">
        <v>0</v>
      </c>
      <c r="AA5625" s="6">
        <v>0</v>
      </c>
      <c r="AB5625" s="4">
        <f t="shared" si="879"/>
        <v>0</v>
      </c>
      <c r="AC5625" s="6">
        <f t="shared" si="875"/>
        <v>0</v>
      </c>
      <c r="AD5625" s="6">
        <f t="shared" si="876"/>
        <v>0</v>
      </c>
      <c r="AE5625" s="14">
        <f>VLOOKUP(I5625,[2]媒体政策预估表!A:N,MATCH(O5625,[2]媒体政策预估表!$A$2:$M$2,0),0)</f>
        <v>7.0000000000000007E-2</v>
      </c>
      <c r="AF5625" s="6">
        <f t="shared" si="881"/>
        <v>0</v>
      </c>
      <c r="AG5625" s="14">
        <v>0</v>
      </c>
      <c r="AH5625" s="64">
        <f t="shared" si="877"/>
        <v>0</v>
      </c>
      <c r="AI5625" s="47"/>
      <c r="AJ5625" s="126" t="e">
        <v>#N/A</v>
      </c>
      <c r="AK5625" s="80">
        <f t="shared" si="880"/>
        <v>0</v>
      </c>
      <c r="AL5625" s="85"/>
      <c r="AM5625" s="85"/>
    </row>
    <row r="5626" spans="1:39" s="86" customFormat="1" ht="13.25" hidden="1" customHeight="1" x14ac:dyDescent="0.3">
      <c r="A5626" s="89" t="s">
        <v>3852</v>
      </c>
      <c r="B5626" s="86" t="s">
        <v>35</v>
      </c>
      <c r="C5626" s="86" t="s">
        <v>59</v>
      </c>
      <c r="D5626" s="86" t="s">
        <v>60</v>
      </c>
      <c r="E5626" s="86" t="s">
        <v>786</v>
      </c>
      <c r="F5626" s="86" t="s">
        <v>786</v>
      </c>
      <c r="G5626" s="86" t="s">
        <v>786</v>
      </c>
      <c r="H5626" s="143">
        <v>62</v>
      </c>
      <c r="I5626" s="86" t="s">
        <v>408</v>
      </c>
      <c r="J5626" s="1" t="s">
        <v>3324</v>
      </c>
      <c r="K5626" s="1" t="s">
        <v>3278</v>
      </c>
      <c r="L5626" s="1" t="s">
        <v>35</v>
      </c>
      <c r="M5626" s="86" t="s">
        <v>794</v>
      </c>
      <c r="O5626" s="47" t="s">
        <v>410</v>
      </c>
      <c r="P5626" s="14" t="s">
        <v>46</v>
      </c>
      <c r="Q5626" s="14">
        <v>0.02</v>
      </c>
      <c r="R5626" s="143">
        <v>1000026896</v>
      </c>
      <c r="S5626" s="47"/>
      <c r="T5626" s="6">
        <v>10166.4</v>
      </c>
      <c r="U5626" s="6"/>
      <c r="V5626" s="6">
        <v>0</v>
      </c>
      <c r="W5626" s="6">
        <f t="shared" si="874"/>
        <v>10166.4</v>
      </c>
      <c r="X5626" s="6">
        <f t="shared" si="873"/>
        <v>0</v>
      </c>
      <c r="Y5626" s="13">
        <f t="shared" si="878"/>
        <v>0</v>
      </c>
      <c r="Z5626" s="14">
        <v>0</v>
      </c>
      <c r="AA5626" s="6">
        <v>0</v>
      </c>
      <c r="AB5626" s="4">
        <f t="shared" si="879"/>
        <v>0</v>
      </c>
      <c r="AC5626" s="6">
        <f t="shared" si="875"/>
        <v>0</v>
      </c>
      <c r="AD5626" s="6">
        <f t="shared" si="876"/>
        <v>0</v>
      </c>
      <c r="AE5626" s="14">
        <f>VLOOKUP(I5626,[2]媒体政策预估表!A:N,MATCH(O5626,[2]媒体政策预估表!$A$2:$M$2,0),0)</f>
        <v>7.0000000000000007E-2</v>
      </c>
      <c r="AF5626" s="6">
        <f t="shared" si="881"/>
        <v>0</v>
      </c>
      <c r="AG5626" s="14">
        <v>0</v>
      </c>
      <c r="AH5626" s="64">
        <f t="shared" si="877"/>
        <v>0</v>
      </c>
      <c r="AI5626" s="47"/>
      <c r="AJ5626" s="126" t="e">
        <v>#N/A</v>
      </c>
      <c r="AK5626" s="80">
        <f t="shared" si="880"/>
        <v>0</v>
      </c>
      <c r="AL5626" s="85"/>
      <c r="AM5626" s="85"/>
    </row>
    <row r="5627" spans="1:39" s="86" customFormat="1" ht="13.25" hidden="1" customHeight="1" x14ac:dyDescent="0.3">
      <c r="A5627" s="89" t="s">
        <v>3796</v>
      </c>
      <c r="B5627" s="86" t="s">
        <v>35</v>
      </c>
      <c r="C5627" s="86" t="s">
        <v>36</v>
      </c>
      <c r="D5627" s="86" t="s">
        <v>185</v>
      </c>
      <c r="E5627" s="86" t="s">
        <v>795</v>
      </c>
      <c r="F5627" s="86" t="s">
        <v>795</v>
      </c>
      <c r="G5627" s="86" t="s">
        <v>795</v>
      </c>
      <c r="H5627" s="143">
        <v>62</v>
      </c>
      <c r="I5627" s="86" t="s">
        <v>408</v>
      </c>
      <c r="J5627" s="1" t="s">
        <v>3324</v>
      </c>
      <c r="K5627" s="1" t="s">
        <v>3278</v>
      </c>
      <c r="L5627" s="1" t="s">
        <v>35</v>
      </c>
      <c r="M5627" s="86" t="s">
        <v>796</v>
      </c>
      <c r="O5627" s="47" t="s">
        <v>410</v>
      </c>
      <c r="P5627" s="14" t="s">
        <v>46</v>
      </c>
      <c r="Q5627" s="14">
        <v>0.02</v>
      </c>
      <c r="R5627" s="143">
        <v>1000015195</v>
      </c>
      <c r="S5627" s="47"/>
      <c r="T5627" s="6">
        <v>145.04</v>
      </c>
      <c r="U5627" s="6"/>
      <c r="V5627" s="6">
        <v>0</v>
      </c>
      <c r="W5627" s="6">
        <f t="shared" si="874"/>
        <v>145.04</v>
      </c>
      <c r="X5627" s="6">
        <f t="shared" si="873"/>
        <v>0</v>
      </c>
      <c r="Y5627" s="13">
        <f t="shared" si="878"/>
        <v>0</v>
      </c>
      <c r="Z5627" s="14">
        <v>0</v>
      </c>
      <c r="AA5627" s="6">
        <v>0</v>
      </c>
      <c r="AB5627" s="4">
        <f t="shared" si="879"/>
        <v>0</v>
      </c>
      <c r="AC5627" s="6">
        <f t="shared" si="875"/>
        <v>0</v>
      </c>
      <c r="AD5627" s="6">
        <f t="shared" si="876"/>
        <v>0</v>
      </c>
      <c r="AE5627" s="14">
        <f>VLOOKUP(I5627,[2]媒体政策预估表!A:N,MATCH(O5627,[2]媒体政策预估表!$A$2:$M$2,0),0)</f>
        <v>7.0000000000000007E-2</v>
      </c>
      <c r="AF5627" s="6">
        <f t="shared" si="881"/>
        <v>0</v>
      </c>
      <c r="AG5627" s="14">
        <v>0</v>
      </c>
      <c r="AH5627" s="64">
        <f t="shared" si="877"/>
        <v>0</v>
      </c>
      <c r="AI5627" s="47"/>
      <c r="AJ5627" s="126" t="e">
        <v>#N/A</v>
      </c>
      <c r="AK5627" s="80">
        <f t="shared" si="880"/>
        <v>0</v>
      </c>
      <c r="AL5627" s="85"/>
      <c r="AM5627" s="85"/>
    </row>
    <row r="5628" spans="1:39" s="86" customFormat="1" ht="13.25" hidden="1" customHeight="1" x14ac:dyDescent="0.3">
      <c r="A5628" s="89" t="s">
        <v>3792</v>
      </c>
      <c r="B5628" s="86" t="s">
        <v>35</v>
      </c>
      <c r="C5628" s="86" t="s">
        <v>36</v>
      </c>
      <c r="D5628" s="86" t="s">
        <v>185</v>
      </c>
      <c r="E5628" s="86" t="s">
        <v>797</v>
      </c>
      <c r="F5628" s="86" t="s">
        <v>797</v>
      </c>
      <c r="G5628" s="86" t="s">
        <v>797</v>
      </c>
      <c r="H5628" s="143">
        <v>62</v>
      </c>
      <c r="I5628" s="86" t="s">
        <v>408</v>
      </c>
      <c r="J5628" s="1" t="s">
        <v>3324</v>
      </c>
      <c r="K5628" s="1" t="s">
        <v>3278</v>
      </c>
      <c r="L5628" s="1" t="s">
        <v>35</v>
      </c>
      <c r="M5628" s="86" t="s">
        <v>798</v>
      </c>
      <c r="O5628" s="47" t="s">
        <v>410</v>
      </c>
      <c r="P5628" s="14" t="s">
        <v>46</v>
      </c>
      <c r="Q5628" s="14">
        <v>0.02</v>
      </c>
      <c r="R5628" s="143">
        <v>1000026636</v>
      </c>
      <c r="S5628" s="47"/>
      <c r="T5628" s="6">
        <v>4027.61</v>
      </c>
      <c r="U5628" s="6"/>
      <c r="V5628" s="6">
        <v>0</v>
      </c>
      <c r="W5628" s="6">
        <f t="shared" si="874"/>
        <v>4027.61</v>
      </c>
      <c r="X5628" s="6">
        <f t="shared" si="873"/>
        <v>0</v>
      </c>
      <c r="Y5628" s="13">
        <f t="shared" si="878"/>
        <v>0</v>
      </c>
      <c r="Z5628" s="14">
        <v>0</v>
      </c>
      <c r="AA5628" s="6">
        <v>0</v>
      </c>
      <c r="AB5628" s="4">
        <f t="shared" si="879"/>
        <v>0</v>
      </c>
      <c r="AC5628" s="6">
        <f t="shared" si="875"/>
        <v>0</v>
      </c>
      <c r="AD5628" s="6">
        <f t="shared" si="876"/>
        <v>0</v>
      </c>
      <c r="AE5628" s="14">
        <f>VLOOKUP(I5628,[2]媒体政策预估表!A:N,MATCH(O5628,[2]媒体政策预估表!$A$2:$M$2,0),0)</f>
        <v>7.0000000000000007E-2</v>
      </c>
      <c r="AF5628" s="6">
        <f t="shared" si="881"/>
        <v>0</v>
      </c>
      <c r="AG5628" s="14">
        <v>0</v>
      </c>
      <c r="AH5628" s="64">
        <f t="shared" si="877"/>
        <v>0</v>
      </c>
      <c r="AI5628" s="47"/>
      <c r="AJ5628" s="126" t="e">
        <v>#N/A</v>
      </c>
      <c r="AK5628" s="80">
        <f t="shared" si="880"/>
        <v>0</v>
      </c>
      <c r="AL5628" s="85"/>
      <c r="AM5628" s="85"/>
    </row>
    <row r="5629" spans="1:39" s="86" customFormat="1" ht="13.25" hidden="1" customHeight="1" x14ac:dyDescent="0.3">
      <c r="A5629" s="89" t="s">
        <v>3794</v>
      </c>
      <c r="B5629" s="86" t="s">
        <v>35</v>
      </c>
      <c r="C5629" s="86" t="s">
        <v>36</v>
      </c>
      <c r="D5629" s="86" t="s">
        <v>185</v>
      </c>
      <c r="E5629" s="86" t="s">
        <v>799</v>
      </c>
      <c r="F5629" s="86" t="s">
        <v>799</v>
      </c>
      <c r="G5629" s="86" t="s">
        <v>799</v>
      </c>
      <c r="H5629" s="143">
        <v>62</v>
      </c>
      <c r="I5629" s="86" t="s">
        <v>408</v>
      </c>
      <c r="J5629" s="1" t="s">
        <v>3324</v>
      </c>
      <c r="K5629" s="1" t="s">
        <v>3278</v>
      </c>
      <c r="L5629" s="1" t="s">
        <v>35</v>
      </c>
      <c r="M5629" s="86" t="s">
        <v>800</v>
      </c>
      <c r="O5629" s="47" t="s">
        <v>410</v>
      </c>
      <c r="P5629" s="14" t="s">
        <v>46</v>
      </c>
      <c r="Q5629" s="14">
        <v>0.02</v>
      </c>
      <c r="R5629" s="143">
        <v>1000041723</v>
      </c>
      <c r="S5629" s="47"/>
      <c r="T5629" s="6">
        <v>5617.1800000000012</v>
      </c>
      <c r="U5629" s="6"/>
      <c r="V5629" s="6">
        <v>0</v>
      </c>
      <c r="W5629" s="6">
        <f t="shared" si="874"/>
        <v>5617.1800000000012</v>
      </c>
      <c r="X5629" s="6">
        <f t="shared" ref="X5629:X5692" si="882">IF(P5629="折扣",V5629*Q5629,IF(P5629="返现",V5629,V5629/(1+Q5629)))</f>
        <v>0</v>
      </c>
      <c r="Y5629" s="13">
        <f t="shared" si="878"/>
        <v>0</v>
      </c>
      <c r="Z5629" s="14">
        <v>0</v>
      </c>
      <c r="AA5629" s="6">
        <v>0</v>
      </c>
      <c r="AB5629" s="4">
        <f t="shared" si="879"/>
        <v>0</v>
      </c>
      <c r="AC5629" s="6">
        <f t="shared" si="875"/>
        <v>0</v>
      </c>
      <c r="AD5629" s="6">
        <f t="shared" si="876"/>
        <v>0</v>
      </c>
      <c r="AE5629" s="14">
        <f>VLOOKUP(I5629,[2]媒体政策预估表!A:N,MATCH(O5629,[2]媒体政策预估表!$A$2:$M$2,0),0)</f>
        <v>7.0000000000000007E-2</v>
      </c>
      <c r="AF5629" s="6">
        <f t="shared" si="881"/>
        <v>0</v>
      </c>
      <c r="AG5629" s="14">
        <v>0</v>
      </c>
      <c r="AH5629" s="64">
        <f t="shared" si="877"/>
        <v>0</v>
      </c>
      <c r="AI5629" s="47"/>
      <c r="AJ5629" s="126" t="e">
        <v>#N/A</v>
      </c>
      <c r="AK5629" s="80">
        <f t="shared" si="880"/>
        <v>0</v>
      </c>
      <c r="AL5629" s="85"/>
      <c r="AM5629" s="85"/>
    </row>
    <row r="5630" spans="1:39" s="86" customFormat="1" ht="13.25" hidden="1" customHeight="1" x14ac:dyDescent="0.3">
      <c r="A5630" s="89" t="s">
        <v>3792</v>
      </c>
      <c r="B5630" s="86" t="s">
        <v>35</v>
      </c>
      <c r="C5630" s="86" t="s">
        <v>36</v>
      </c>
      <c r="D5630" s="86" t="s">
        <v>185</v>
      </c>
      <c r="E5630" s="86" t="s">
        <v>801</v>
      </c>
      <c r="F5630" s="86" t="s">
        <v>801</v>
      </c>
      <c r="G5630" s="86" t="s">
        <v>801</v>
      </c>
      <c r="H5630" s="143">
        <v>62</v>
      </c>
      <c r="I5630" s="86" t="s">
        <v>408</v>
      </c>
      <c r="J5630" s="1" t="s">
        <v>3324</v>
      </c>
      <c r="K5630" s="1" t="s">
        <v>3278</v>
      </c>
      <c r="L5630" s="1" t="s">
        <v>35</v>
      </c>
      <c r="M5630" s="86" t="s">
        <v>802</v>
      </c>
      <c r="O5630" s="47" t="s">
        <v>410</v>
      </c>
      <c r="P5630" s="14" t="s">
        <v>46</v>
      </c>
      <c r="Q5630" s="14">
        <v>0.06</v>
      </c>
      <c r="R5630" s="143">
        <v>1000030978</v>
      </c>
      <c r="S5630" s="47"/>
      <c r="T5630" s="6">
        <v>8.6</v>
      </c>
      <c r="U5630" s="6"/>
      <c r="V5630" s="6">
        <v>0</v>
      </c>
      <c r="W5630" s="6">
        <f t="shared" ref="W5630:W5693" si="883">T5630+U5630-V5630</f>
        <v>8.6</v>
      </c>
      <c r="X5630" s="6">
        <f t="shared" si="882"/>
        <v>0</v>
      </c>
      <c r="Y5630" s="13">
        <f t="shared" si="878"/>
        <v>0</v>
      </c>
      <c r="Z5630" s="14">
        <v>0</v>
      </c>
      <c r="AA5630" s="6">
        <v>0</v>
      </c>
      <c r="AB5630" s="4">
        <f t="shared" si="879"/>
        <v>0</v>
      </c>
      <c r="AC5630" s="6">
        <f t="shared" ref="AC5630:AC5693" si="884">IF(P5630="返现",X5630*Q5630,V5630-X5630)</f>
        <v>0</v>
      </c>
      <c r="AD5630" s="6">
        <f t="shared" ref="AD5630:AD5693" si="885">V5630</f>
        <v>0</v>
      </c>
      <c r="AE5630" s="14">
        <f>VLOOKUP(I5630,[2]媒体政策预估表!A:N,MATCH(O5630,[2]媒体政策预估表!$A$2:$M$2,0),0)</f>
        <v>7.0000000000000007E-2</v>
      </c>
      <c r="AF5630" s="6">
        <f t="shared" si="881"/>
        <v>0</v>
      </c>
      <c r="AG5630" s="14">
        <v>0</v>
      </c>
      <c r="AH5630" s="64">
        <f t="shared" ref="AH5630:AH5693" si="886">V5630</f>
        <v>0</v>
      </c>
      <c r="AI5630" s="47"/>
      <c r="AJ5630" s="126" t="e">
        <v>#N/A</v>
      </c>
      <c r="AK5630" s="80">
        <f t="shared" si="880"/>
        <v>0</v>
      </c>
      <c r="AL5630" s="85"/>
      <c r="AM5630" s="85"/>
    </row>
    <row r="5631" spans="1:39" s="86" customFormat="1" ht="13.25" hidden="1" customHeight="1" x14ac:dyDescent="0.3">
      <c r="A5631" s="89" t="s">
        <v>3794</v>
      </c>
      <c r="B5631" s="86" t="s">
        <v>35</v>
      </c>
      <c r="C5631" s="86" t="s">
        <v>36</v>
      </c>
      <c r="D5631" s="86" t="s">
        <v>185</v>
      </c>
      <c r="E5631" s="86" t="s">
        <v>803</v>
      </c>
      <c r="F5631" s="86" t="s">
        <v>803</v>
      </c>
      <c r="G5631" s="86" t="s">
        <v>803</v>
      </c>
      <c r="H5631" s="143">
        <v>62</v>
      </c>
      <c r="I5631" s="86" t="s">
        <v>408</v>
      </c>
      <c r="J5631" s="1" t="s">
        <v>3324</v>
      </c>
      <c r="K5631" s="1" t="s">
        <v>3278</v>
      </c>
      <c r="L5631" s="1" t="s">
        <v>35</v>
      </c>
      <c r="M5631" s="86" t="s">
        <v>804</v>
      </c>
      <c r="O5631" s="47" t="s">
        <v>410</v>
      </c>
      <c r="P5631" s="14" t="s">
        <v>46</v>
      </c>
      <c r="Q5631" s="14">
        <v>0.06</v>
      </c>
      <c r="R5631" s="143">
        <v>1000017569</v>
      </c>
      <c r="S5631" s="47"/>
      <c r="T5631" s="6">
        <v>117244.06</v>
      </c>
      <c r="U5631" s="6"/>
      <c r="V5631" s="6">
        <v>0</v>
      </c>
      <c r="W5631" s="6">
        <f t="shared" si="883"/>
        <v>117244.06</v>
      </c>
      <c r="X5631" s="6">
        <f t="shared" si="882"/>
        <v>0</v>
      </c>
      <c r="Y5631" s="13">
        <f t="shared" si="878"/>
        <v>0</v>
      </c>
      <c r="Z5631" s="14">
        <v>0</v>
      </c>
      <c r="AA5631" s="6">
        <v>0</v>
      </c>
      <c r="AB5631" s="4">
        <f t="shared" si="879"/>
        <v>0</v>
      </c>
      <c r="AC5631" s="6">
        <f t="shared" si="884"/>
        <v>0</v>
      </c>
      <c r="AD5631" s="6">
        <f t="shared" si="885"/>
        <v>0</v>
      </c>
      <c r="AE5631" s="14">
        <f>VLOOKUP(I5631,[2]媒体政策预估表!A:N,MATCH(O5631,[2]媒体政策预估表!$A$2:$M$2,0),0)</f>
        <v>7.0000000000000007E-2</v>
      </c>
      <c r="AF5631" s="6">
        <f t="shared" si="881"/>
        <v>0</v>
      </c>
      <c r="AG5631" s="14">
        <v>0</v>
      </c>
      <c r="AH5631" s="64">
        <f t="shared" si="886"/>
        <v>0</v>
      </c>
      <c r="AI5631" s="47"/>
      <c r="AJ5631" s="126" t="e">
        <v>#N/A</v>
      </c>
      <c r="AK5631" s="80">
        <f t="shared" si="880"/>
        <v>0</v>
      </c>
      <c r="AL5631" s="85"/>
      <c r="AM5631" s="85"/>
    </row>
    <row r="5632" spans="1:39" s="86" customFormat="1" ht="13.25" hidden="1" customHeight="1" x14ac:dyDescent="0.3">
      <c r="A5632" s="89" t="s">
        <v>3792</v>
      </c>
      <c r="B5632" s="86" t="s">
        <v>35</v>
      </c>
      <c r="C5632" s="86" t="s">
        <v>144</v>
      </c>
      <c r="D5632" s="86" t="s">
        <v>145</v>
      </c>
      <c r="E5632" s="86" t="s">
        <v>805</v>
      </c>
      <c r="F5632" s="86" t="s">
        <v>805</v>
      </c>
      <c r="G5632" s="86" t="s">
        <v>805</v>
      </c>
      <c r="H5632" s="143">
        <v>62</v>
      </c>
      <c r="I5632" s="86" t="s">
        <v>408</v>
      </c>
      <c r="J5632" s="1" t="s">
        <v>3324</v>
      </c>
      <c r="K5632" s="1" t="s">
        <v>3278</v>
      </c>
      <c r="L5632" s="1" t="s">
        <v>35</v>
      </c>
      <c r="M5632" s="86" t="s">
        <v>806</v>
      </c>
      <c r="O5632" s="47" t="s">
        <v>410</v>
      </c>
      <c r="P5632" s="14" t="s">
        <v>41</v>
      </c>
      <c r="Q5632" s="14">
        <v>0</v>
      </c>
      <c r="R5632" s="143">
        <v>1000042360</v>
      </c>
      <c r="S5632" s="47"/>
      <c r="T5632" s="6">
        <v>484</v>
      </c>
      <c r="U5632" s="6"/>
      <c r="V5632" s="6">
        <v>0</v>
      </c>
      <c r="W5632" s="6">
        <f t="shared" si="883"/>
        <v>484</v>
      </c>
      <c r="X5632" s="6">
        <f t="shared" si="882"/>
        <v>0</v>
      </c>
      <c r="Y5632" s="13">
        <f t="shared" si="878"/>
        <v>0</v>
      </c>
      <c r="Z5632" s="14">
        <v>0</v>
      </c>
      <c r="AA5632" s="6">
        <v>0</v>
      </c>
      <c r="AB5632" s="4">
        <f t="shared" si="879"/>
        <v>0</v>
      </c>
      <c r="AC5632" s="6">
        <f t="shared" si="884"/>
        <v>0</v>
      </c>
      <c r="AD5632" s="6">
        <f t="shared" si="885"/>
        <v>0</v>
      </c>
      <c r="AE5632" s="14">
        <f>VLOOKUP(I5632,[2]媒体政策预估表!A:N,MATCH(O5632,[2]媒体政策预估表!$A$2:$M$2,0),0)</f>
        <v>7.0000000000000007E-2</v>
      </c>
      <c r="AF5632" s="6">
        <f t="shared" si="881"/>
        <v>0</v>
      </c>
      <c r="AG5632" s="14">
        <v>0</v>
      </c>
      <c r="AH5632" s="64">
        <f t="shared" si="886"/>
        <v>0</v>
      </c>
      <c r="AI5632" s="47"/>
      <c r="AJ5632" s="126" t="e">
        <v>#N/A</v>
      </c>
      <c r="AK5632" s="80">
        <f t="shared" si="880"/>
        <v>0</v>
      </c>
      <c r="AL5632" s="85"/>
      <c r="AM5632" s="85"/>
    </row>
    <row r="5633" spans="1:39" s="86" customFormat="1" ht="13.25" hidden="1" customHeight="1" x14ac:dyDescent="0.3">
      <c r="A5633" s="89" t="s">
        <v>3792</v>
      </c>
      <c r="B5633" s="86" t="s">
        <v>35</v>
      </c>
      <c r="C5633" s="86" t="s">
        <v>144</v>
      </c>
      <c r="D5633" s="86" t="s">
        <v>145</v>
      </c>
      <c r="E5633" s="86" t="s">
        <v>805</v>
      </c>
      <c r="F5633" s="86" t="s">
        <v>805</v>
      </c>
      <c r="G5633" s="86" t="s">
        <v>805</v>
      </c>
      <c r="H5633" s="143">
        <v>62</v>
      </c>
      <c r="I5633" s="86" t="s">
        <v>408</v>
      </c>
      <c r="J5633" s="1" t="s">
        <v>3324</v>
      </c>
      <c r="K5633" s="1" t="s">
        <v>3278</v>
      </c>
      <c r="L5633" s="1" t="s">
        <v>35</v>
      </c>
      <c r="M5633" s="86" t="s">
        <v>807</v>
      </c>
      <c r="O5633" s="47" t="s">
        <v>410</v>
      </c>
      <c r="P5633" s="14" t="s">
        <v>41</v>
      </c>
      <c r="Q5633" s="14">
        <v>0</v>
      </c>
      <c r="R5633" s="143">
        <v>1000006287</v>
      </c>
      <c r="S5633" s="47"/>
      <c r="T5633" s="6">
        <v>778.26</v>
      </c>
      <c r="U5633" s="6"/>
      <c r="V5633" s="6">
        <v>0</v>
      </c>
      <c r="W5633" s="6">
        <f t="shared" si="883"/>
        <v>778.26</v>
      </c>
      <c r="X5633" s="6">
        <f t="shared" si="882"/>
        <v>0</v>
      </c>
      <c r="Y5633" s="13">
        <f t="shared" si="878"/>
        <v>0</v>
      </c>
      <c r="Z5633" s="14">
        <v>0</v>
      </c>
      <c r="AA5633" s="6">
        <v>0</v>
      </c>
      <c r="AB5633" s="4">
        <f t="shared" si="879"/>
        <v>0</v>
      </c>
      <c r="AC5633" s="6">
        <f t="shared" si="884"/>
        <v>0</v>
      </c>
      <c r="AD5633" s="6">
        <f t="shared" si="885"/>
        <v>0</v>
      </c>
      <c r="AE5633" s="14">
        <f>VLOOKUP(I5633,[2]媒体政策预估表!A:N,MATCH(O5633,[2]媒体政策预估表!$A$2:$M$2,0),0)</f>
        <v>7.0000000000000007E-2</v>
      </c>
      <c r="AF5633" s="6">
        <f t="shared" si="881"/>
        <v>0</v>
      </c>
      <c r="AG5633" s="14">
        <v>0</v>
      </c>
      <c r="AH5633" s="64">
        <f t="shared" si="886"/>
        <v>0</v>
      </c>
      <c r="AI5633" s="47"/>
      <c r="AJ5633" s="126" t="e">
        <v>#N/A</v>
      </c>
      <c r="AK5633" s="80">
        <f t="shared" si="880"/>
        <v>0</v>
      </c>
      <c r="AL5633" s="85"/>
      <c r="AM5633" s="85"/>
    </row>
    <row r="5634" spans="1:39" s="86" customFormat="1" ht="13.25" hidden="1" customHeight="1" x14ac:dyDescent="0.3">
      <c r="A5634" s="89" t="s">
        <v>3792</v>
      </c>
      <c r="B5634" s="86" t="s">
        <v>35</v>
      </c>
      <c r="C5634" s="86" t="s">
        <v>144</v>
      </c>
      <c r="D5634" s="86" t="s">
        <v>145</v>
      </c>
      <c r="E5634" s="86" t="s">
        <v>805</v>
      </c>
      <c r="F5634" s="86" t="s">
        <v>805</v>
      </c>
      <c r="G5634" s="86" t="s">
        <v>805</v>
      </c>
      <c r="H5634" s="143">
        <v>62</v>
      </c>
      <c r="I5634" s="86" t="s">
        <v>408</v>
      </c>
      <c r="J5634" s="1" t="s">
        <v>3324</v>
      </c>
      <c r="K5634" s="1" t="s">
        <v>3278</v>
      </c>
      <c r="L5634" s="1" t="s">
        <v>35</v>
      </c>
      <c r="M5634" s="86" t="s">
        <v>808</v>
      </c>
      <c r="O5634" s="47" t="s">
        <v>45</v>
      </c>
      <c r="P5634" s="14" t="s">
        <v>46</v>
      </c>
      <c r="Q5634" s="14">
        <v>0.04</v>
      </c>
      <c r="R5634" s="143">
        <v>1000008342</v>
      </c>
      <c r="S5634" s="47"/>
      <c r="T5634" s="6">
        <v>10200</v>
      </c>
      <c r="U5634" s="6"/>
      <c r="V5634" s="6">
        <v>0</v>
      </c>
      <c r="W5634" s="6">
        <f t="shared" si="883"/>
        <v>10200</v>
      </c>
      <c r="X5634" s="6">
        <f t="shared" si="882"/>
        <v>0</v>
      </c>
      <c r="Y5634" s="13">
        <f t="shared" si="878"/>
        <v>0</v>
      </c>
      <c r="Z5634" s="14">
        <v>0</v>
      </c>
      <c r="AA5634" s="6">
        <v>0</v>
      </c>
      <c r="AB5634" s="4">
        <f t="shared" si="879"/>
        <v>0</v>
      </c>
      <c r="AC5634" s="6">
        <f t="shared" si="884"/>
        <v>0</v>
      </c>
      <c r="AD5634" s="6">
        <f t="shared" si="885"/>
        <v>0</v>
      </c>
      <c r="AE5634" s="14">
        <f>VLOOKUP(I5634,[2]媒体政策预估表!A:N,MATCH(O5634,[2]媒体政策预估表!$A$2:$M$2,0),0)</f>
        <v>0.11</v>
      </c>
      <c r="AF5634" s="6">
        <f t="shared" si="881"/>
        <v>0</v>
      </c>
      <c r="AG5634" s="14">
        <v>0</v>
      </c>
      <c r="AH5634" s="64">
        <f t="shared" si="886"/>
        <v>0</v>
      </c>
      <c r="AI5634" s="47"/>
      <c r="AJ5634" s="126" t="e">
        <v>#N/A</v>
      </c>
      <c r="AK5634" s="80">
        <f t="shared" si="880"/>
        <v>0</v>
      </c>
      <c r="AL5634" s="85"/>
      <c r="AM5634" s="85"/>
    </row>
    <row r="5635" spans="1:39" s="86" customFormat="1" ht="13.25" hidden="1" customHeight="1" x14ac:dyDescent="0.3">
      <c r="A5635" s="89" t="s">
        <v>3792</v>
      </c>
      <c r="B5635" s="86" t="s">
        <v>35</v>
      </c>
      <c r="C5635" s="86" t="s">
        <v>144</v>
      </c>
      <c r="D5635" s="86" t="s">
        <v>145</v>
      </c>
      <c r="E5635" s="86" t="s">
        <v>805</v>
      </c>
      <c r="F5635" s="86" t="s">
        <v>805</v>
      </c>
      <c r="G5635" s="86" t="s">
        <v>805</v>
      </c>
      <c r="H5635" s="143">
        <v>62</v>
      </c>
      <c r="I5635" s="86" t="s">
        <v>408</v>
      </c>
      <c r="J5635" s="1" t="s">
        <v>3324</v>
      </c>
      <c r="K5635" s="1" t="s">
        <v>3278</v>
      </c>
      <c r="L5635" s="1" t="s">
        <v>35</v>
      </c>
      <c r="M5635" s="86" t="s">
        <v>809</v>
      </c>
      <c r="O5635" s="47" t="s">
        <v>410</v>
      </c>
      <c r="P5635" s="14" t="s">
        <v>41</v>
      </c>
      <c r="Q5635" s="14">
        <v>0</v>
      </c>
      <c r="R5635" s="143">
        <v>1000013880</v>
      </c>
      <c r="S5635" s="47"/>
      <c r="T5635" s="6">
        <v>49.5</v>
      </c>
      <c r="U5635" s="6"/>
      <c r="V5635" s="6">
        <v>0</v>
      </c>
      <c r="W5635" s="6">
        <f t="shared" si="883"/>
        <v>49.5</v>
      </c>
      <c r="X5635" s="6">
        <f t="shared" si="882"/>
        <v>0</v>
      </c>
      <c r="Y5635" s="13">
        <f t="shared" ref="Y5635:Y5698" si="887">IF(X5635-AD5635&lt;=0,0,IF(P5635="返现",MAX(X5635-AC5635-AD5635,0),MAX(X5635-AD5635)))</f>
        <v>0</v>
      </c>
      <c r="Z5635" s="14">
        <v>0</v>
      </c>
      <c r="AA5635" s="6">
        <v>0</v>
      </c>
      <c r="AB5635" s="4">
        <f t="shared" ref="AB5635:AB5698" si="888">X5635+AA5635</f>
        <v>0</v>
      </c>
      <c r="AC5635" s="6">
        <f t="shared" si="884"/>
        <v>0</v>
      </c>
      <c r="AD5635" s="6">
        <f t="shared" si="885"/>
        <v>0</v>
      </c>
      <c r="AE5635" s="14">
        <f>VLOOKUP(I5635,[2]媒体政策预估表!A:N,MATCH(O5635,[2]媒体政策预估表!$A$2:$M$2,0),0)</f>
        <v>7.0000000000000007E-2</v>
      </c>
      <c r="AF5635" s="6">
        <f t="shared" si="881"/>
        <v>0</v>
      </c>
      <c r="AG5635" s="14">
        <v>0</v>
      </c>
      <c r="AH5635" s="64">
        <f t="shared" si="886"/>
        <v>0</v>
      </c>
      <c r="AI5635" s="47"/>
      <c r="AJ5635" s="126" t="e">
        <v>#N/A</v>
      </c>
      <c r="AK5635" s="80">
        <f t="shared" ref="AK5635:AK5698" si="889">X5635+AA5635-AB5635</f>
        <v>0</v>
      </c>
      <c r="AL5635" s="85"/>
      <c r="AM5635" s="85"/>
    </row>
    <row r="5636" spans="1:39" s="86" customFormat="1" ht="13.25" hidden="1" customHeight="1" x14ac:dyDescent="0.3">
      <c r="A5636" s="89" t="s">
        <v>3792</v>
      </c>
      <c r="B5636" s="86" t="s">
        <v>35</v>
      </c>
      <c r="C5636" s="86" t="s">
        <v>144</v>
      </c>
      <c r="D5636" s="86" t="s">
        <v>145</v>
      </c>
      <c r="E5636" s="86" t="s">
        <v>805</v>
      </c>
      <c r="F5636" s="86" t="s">
        <v>805</v>
      </c>
      <c r="G5636" s="86" t="s">
        <v>805</v>
      </c>
      <c r="H5636" s="143">
        <v>62</v>
      </c>
      <c r="I5636" s="86" t="s">
        <v>408</v>
      </c>
      <c r="J5636" s="1" t="s">
        <v>3324</v>
      </c>
      <c r="K5636" s="1" t="s">
        <v>3278</v>
      </c>
      <c r="L5636" s="1" t="s">
        <v>35</v>
      </c>
      <c r="M5636" s="86" t="s">
        <v>810</v>
      </c>
      <c r="O5636" s="47" t="s">
        <v>410</v>
      </c>
      <c r="P5636" s="14" t="s">
        <v>41</v>
      </c>
      <c r="Q5636" s="14">
        <v>0</v>
      </c>
      <c r="R5636" s="143">
        <v>1000012766</v>
      </c>
      <c r="S5636" s="47"/>
      <c r="T5636" s="6">
        <v>3542.3</v>
      </c>
      <c r="U5636" s="6"/>
      <c r="V5636" s="6">
        <v>0</v>
      </c>
      <c r="W5636" s="6">
        <f t="shared" si="883"/>
        <v>3542.3</v>
      </c>
      <c r="X5636" s="6">
        <f t="shared" si="882"/>
        <v>0</v>
      </c>
      <c r="Y5636" s="13">
        <f t="shared" si="887"/>
        <v>0</v>
      </c>
      <c r="Z5636" s="14">
        <v>0</v>
      </c>
      <c r="AA5636" s="6">
        <v>0</v>
      </c>
      <c r="AB5636" s="4">
        <f t="shared" si="888"/>
        <v>0</v>
      </c>
      <c r="AC5636" s="6">
        <f t="shared" si="884"/>
        <v>0</v>
      </c>
      <c r="AD5636" s="6">
        <f t="shared" si="885"/>
        <v>0</v>
      </c>
      <c r="AE5636" s="14">
        <f>VLOOKUP(I5636,[2]媒体政策预估表!A:N,MATCH(O5636,[2]媒体政策预估表!$A$2:$M$2,0),0)</f>
        <v>7.0000000000000007E-2</v>
      </c>
      <c r="AF5636" s="6">
        <f t="shared" si="881"/>
        <v>0</v>
      </c>
      <c r="AG5636" s="14">
        <v>0</v>
      </c>
      <c r="AH5636" s="64">
        <f t="shared" si="886"/>
        <v>0</v>
      </c>
      <c r="AI5636" s="47"/>
      <c r="AJ5636" s="126" t="e">
        <v>#N/A</v>
      </c>
      <c r="AK5636" s="80">
        <f t="shared" si="889"/>
        <v>0</v>
      </c>
      <c r="AL5636" s="85"/>
      <c r="AM5636" s="85"/>
    </row>
    <row r="5637" spans="1:39" s="86" customFormat="1" ht="13.25" hidden="1" customHeight="1" x14ac:dyDescent="0.3">
      <c r="A5637" s="89" t="s">
        <v>3806</v>
      </c>
      <c r="B5637" s="86" t="s">
        <v>35</v>
      </c>
      <c r="C5637" s="86" t="s">
        <v>36</v>
      </c>
      <c r="D5637" s="86" t="s">
        <v>185</v>
      </c>
      <c r="E5637" s="86" t="s">
        <v>811</v>
      </c>
      <c r="F5637" s="86" t="s">
        <v>811</v>
      </c>
      <c r="G5637" s="86" t="s">
        <v>811</v>
      </c>
      <c r="H5637" s="143">
        <v>62</v>
      </c>
      <c r="I5637" s="86" t="s">
        <v>408</v>
      </c>
      <c r="J5637" s="1" t="s">
        <v>3324</v>
      </c>
      <c r="K5637" s="1" t="s">
        <v>3278</v>
      </c>
      <c r="L5637" s="1" t="s">
        <v>35</v>
      </c>
      <c r="M5637" s="86" t="s">
        <v>812</v>
      </c>
      <c r="O5637" s="47" t="s">
        <v>410</v>
      </c>
      <c r="P5637" s="14" t="s">
        <v>41</v>
      </c>
      <c r="Q5637" s="14">
        <v>0</v>
      </c>
      <c r="R5637" s="143">
        <v>1000017685</v>
      </c>
      <c r="S5637" s="47"/>
      <c r="T5637" s="6">
        <v>4203.45</v>
      </c>
      <c r="U5637" s="6"/>
      <c r="V5637" s="6">
        <v>0</v>
      </c>
      <c r="W5637" s="6">
        <f t="shared" si="883"/>
        <v>4203.45</v>
      </c>
      <c r="X5637" s="6">
        <f t="shared" si="882"/>
        <v>0</v>
      </c>
      <c r="Y5637" s="13">
        <f t="shared" si="887"/>
        <v>0</v>
      </c>
      <c r="Z5637" s="14">
        <v>0</v>
      </c>
      <c r="AA5637" s="6">
        <v>0</v>
      </c>
      <c r="AB5637" s="4">
        <f t="shared" si="888"/>
        <v>0</v>
      </c>
      <c r="AC5637" s="6">
        <f t="shared" si="884"/>
        <v>0</v>
      </c>
      <c r="AD5637" s="6">
        <f t="shared" si="885"/>
        <v>0</v>
      </c>
      <c r="AE5637" s="14">
        <f>VLOOKUP(I5637,[2]媒体政策预估表!A:N,MATCH(O5637,[2]媒体政策预估表!$A$2:$M$2,0),0)</f>
        <v>7.0000000000000007E-2</v>
      </c>
      <c r="AF5637" s="6">
        <f t="shared" si="881"/>
        <v>0</v>
      </c>
      <c r="AG5637" s="14">
        <v>0</v>
      </c>
      <c r="AH5637" s="64">
        <f t="shared" si="886"/>
        <v>0</v>
      </c>
      <c r="AI5637" s="47"/>
      <c r="AJ5637" s="126" t="e">
        <v>#N/A</v>
      </c>
      <c r="AK5637" s="80">
        <f t="shared" si="889"/>
        <v>0</v>
      </c>
      <c r="AL5637" s="85"/>
      <c r="AM5637" s="85"/>
    </row>
    <row r="5638" spans="1:39" s="86" customFormat="1" ht="13.25" hidden="1" customHeight="1" x14ac:dyDescent="0.3">
      <c r="A5638" s="89" t="s">
        <v>3794</v>
      </c>
      <c r="B5638" s="86" t="s">
        <v>35</v>
      </c>
      <c r="C5638" s="86" t="s">
        <v>36</v>
      </c>
      <c r="D5638" s="86" t="s">
        <v>185</v>
      </c>
      <c r="E5638" s="86" t="s">
        <v>813</v>
      </c>
      <c r="F5638" s="86" t="s">
        <v>813</v>
      </c>
      <c r="G5638" s="86" t="s">
        <v>813</v>
      </c>
      <c r="H5638" s="143">
        <v>62</v>
      </c>
      <c r="I5638" s="86" t="s">
        <v>408</v>
      </c>
      <c r="J5638" s="1" t="s">
        <v>3324</v>
      </c>
      <c r="K5638" s="1" t="s">
        <v>3278</v>
      </c>
      <c r="L5638" s="1" t="s">
        <v>35</v>
      </c>
      <c r="M5638" s="86" t="s">
        <v>814</v>
      </c>
      <c r="O5638" s="47" t="s">
        <v>410</v>
      </c>
      <c r="P5638" s="14" t="s">
        <v>46</v>
      </c>
      <c r="Q5638" s="14">
        <v>0.05</v>
      </c>
      <c r="R5638" s="143">
        <v>1000018310</v>
      </c>
      <c r="S5638" s="47"/>
      <c r="T5638" s="6">
        <v>33599.269999999997</v>
      </c>
      <c r="U5638" s="6"/>
      <c r="V5638" s="6">
        <v>0</v>
      </c>
      <c r="W5638" s="6">
        <f t="shared" si="883"/>
        <v>33599.269999999997</v>
      </c>
      <c r="X5638" s="6">
        <f t="shared" si="882"/>
        <v>0</v>
      </c>
      <c r="Y5638" s="13">
        <f t="shared" si="887"/>
        <v>0</v>
      </c>
      <c r="Z5638" s="14">
        <v>0</v>
      </c>
      <c r="AA5638" s="6">
        <v>0</v>
      </c>
      <c r="AB5638" s="4">
        <f t="shared" si="888"/>
        <v>0</v>
      </c>
      <c r="AC5638" s="6">
        <f t="shared" si="884"/>
        <v>0</v>
      </c>
      <c r="AD5638" s="6">
        <f t="shared" si="885"/>
        <v>0</v>
      </c>
      <c r="AE5638" s="14">
        <f>VLOOKUP(I5638,[2]媒体政策预估表!A:N,MATCH(O5638,[2]媒体政策预估表!$A$2:$M$2,0),0)</f>
        <v>7.0000000000000007E-2</v>
      </c>
      <c r="AF5638" s="6">
        <f t="shared" si="881"/>
        <v>0</v>
      </c>
      <c r="AG5638" s="14">
        <v>0</v>
      </c>
      <c r="AH5638" s="64">
        <f t="shared" si="886"/>
        <v>0</v>
      </c>
      <c r="AI5638" s="47"/>
      <c r="AJ5638" s="126" t="e">
        <v>#N/A</v>
      </c>
      <c r="AK5638" s="80">
        <f t="shared" si="889"/>
        <v>0</v>
      </c>
      <c r="AL5638" s="85"/>
      <c r="AM5638" s="85"/>
    </row>
    <row r="5639" spans="1:39" s="86" customFormat="1" ht="13.25" hidden="1" customHeight="1" x14ac:dyDescent="0.3">
      <c r="A5639" s="89" t="s">
        <v>3794</v>
      </c>
      <c r="B5639" s="86" t="s">
        <v>35</v>
      </c>
      <c r="C5639" s="86" t="s">
        <v>36</v>
      </c>
      <c r="D5639" s="86" t="s">
        <v>185</v>
      </c>
      <c r="E5639" s="86" t="s">
        <v>815</v>
      </c>
      <c r="F5639" s="86" t="s">
        <v>815</v>
      </c>
      <c r="G5639" s="86" t="s">
        <v>815</v>
      </c>
      <c r="H5639" s="143">
        <v>62</v>
      </c>
      <c r="I5639" s="86" t="s">
        <v>408</v>
      </c>
      <c r="J5639" s="1" t="s">
        <v>3324</v>
      </c>
      <c r="K5639" s="1" t="s">
        <v>3278</v>
      </c>
      <c r="L5639" s="1" t="s">
        <v>35</v>
      </c>
      <c r="M5639" s="86" t="s">
        <v>816</v>
      </c>
      <c r="O5639" s="47" t="s">
        <v>410</v>
      </c>
      <c r="P5639" s="14" t="s">
        <v>46</v>
      </c>
      <c r="Q5639" s="14">
        <v>0.02</v>
      </c>
      <c r="R5639" s="143">
        <v>1000020394</v>
      </c>
      <c r="S5639" s="47"/>
      <c r="T5639" s="6">
        <v>5730.1</v>
      </c>
      <c r="U5639" s="6"/>
      <c r="V5639" s="6">
        <v>0</v>
      </c>
      <c r="W5639" s="6">
        <f t="shared" si="883"/>
        <v>5730.1</v>
      </c>
      <c r="X5639" s="6">
        <f t="shared" si="882"/>
        <v>0</v>
      </c>
      <c r="Y5639" s="13">
        <f t="shared" si="887"/>
        <v>0</v>
      </c>
      <c r="Z5639" s="14">
        <v>0</v>
      </c>
      <c r="AA5639" s="6">
        <v>0</v>
      </c>
      <c r="AB5639" s="4">
        <f t="shared" si="888"/>
        <v>0</v>
      </c>
      <c r="AC5639" s="6">
        <f t="shared" si="884"/>
        <v>0</v>
      </c>
      <c r="AD5639" s="6">
        <f t="shared" si="885"/>
        <v>0</v>
      </c>
      <c r="AE5639" s="14">
        <f>VLOOKUP(I5639,[2]媒体政策预估表!A:N,MATCH(O5639,[2]媒体政策预估表!$A$2:$M$2,0),0)</f>
        <v>7.0000000000000007E-2</v>
      </c>
      <c r="AF5639" s="6">
        <f t="shared" si="881"/>
        <v>0</v>
      </c>
      <c r="AG5639" s="14">
        <v>0</v>
      </c>
      <c r="AH5639" s="64">
        <f t="shared" si="886"/>
        <v>0</v>
      </c>
      <c r="AI5639" s="47"/>
      <c r="AJ5639" s="126" t="e">
        <v>#N/A</v>
      </c>
      <c r="AK5639" s="80">
        <f t="shared" si="889"/>
        <v>0</v>
      </c>
      <c r="AL5639" s="85"/>
      <c r="AM5639" s="85"/>
    </row>
    <row r="5640" spans="1:39" s="86" customFormat="1" ht="13.25" hidden="1" customHeight="1" x14ac:dyDescent="0.3">
      <c r="A5640" s="89" t="s">
        <v>3792</v>
      </c>
      <c r="B5640" s="86" t="s">
        <v>35</v>
      </c>
      <c r="C5640" s="86" t="s">
        <v>36</v>
      </c>
      <c r="D5640" s="86" t="s">
        <v>185</v>
      </c>
      <c r="E5640" s="86" t="s">
        <v>817</v>
      </c>
      <c r="F5640" s="86" t="s">
        <v>817</v>
      </c>
      <c r="G5640" s="86" t="s">
        <v>817</v>
      </c>
      <c r="H5640" s="143">
        <v>62</v>
      </c>
      <c r="I5640" s="86" t="s">
        <v>408</v>
      </c>
      <c r="J5640" s="1" t="s">
        <v>3324</v>
      </c>
      <c r="K5640" s="1" t="s">
        <v>3278</v>
      </c>
      <c r="L5640" s="1" t="s">
        <v>35</v>
      </c>
      <c r="M5640" s="86" t="s">
        <v>818</v>
      </c>
      <c r="O5640" s="47" t="s">
        <v>45</v>
      </c>
      <c r="P5640" s="14" t="s">
        <v>41</v>
      </c>
      <c r="Q5640" s="14">
        <v>0</v>
      </c>
      <c r="R5640" s="143">
        <v>1000009833</v>
      </c>
      <c r="S5640" s="47"/>
      <c r="T5640" s="6">
        <v>4648.87</v>
      </c>
      <c r="U5640" s="6"/>
      <c r="V5640" s="6">
        <v>0</v>
      </c>
      <c r="W5640" s="6">
        <f t="shared" si="883"/>
        <v>4648.87</v>
      </c>
      <c r="X5640" s="6">
        <f t="shared" si="882"/>
        <v>0</v>
      </c>
      <c r="Y5640" s="13">
        <f t="shared" si="887"/>
        <v>0</v>
      </c>
      <c r="Z5640" s="14">
        <v>0</v>
      </c>
      <c r="AA5640" s="6">
        <v>0</v>
      </c>
      <c r="AB5640" s="4">
        <f t="shared" si="888"/>
        <v>0</v>
      </c>
      <c r="AC5640" s="6">
        <f t="shared" si="884"/>
        <v>0</v>
      </c>
      <c r="AD5640" s="6">
        <f t="shared" si="885"/>
        <v>0</v>
      </c>
      <c r="AE5640" s="14">
        <f>VLOOKUP(I5640,[2]媒体政策预估表!A:N,MATCH(O5640,[2]媒体政策预估表!$A$2:$M$2,0),0)</f>
        <v>0.11</v>
      </c>
      <c r="AF5640" s="6">
        <f t="shared" si="881"/>
        <v>0</v>
      </c>
      <c r="AG5640" s="14">
        <v>0</v>
      </c>
      <c r="AH5640" s="64">
        <f t="shared" si="886"/>
        <v>0</v>
      </c>
      <c r="AI5640" s="47"/>
      <c r="AJ5640" s="126" t="e">
        <v>#N/A</v>
      </c>
      <c r="AK5640" s="80">
        <f t="shared" si="889"/>
        <v>0</v>
      </c>
      <c r="AL5640" s="85"/>
      <c r="AM5640" s="85"/>
    </row>
    <row r="5641" spans="1:39" s="86" customFormat="1" ht="13.25" hidden="1" customHeight="1" x14ac:dyDescent="0.3">
      <c r="A5641" s="89" t="s">
        <v>3792</v>
      </c>
      <c r="B5641" s="86" t="s">
        <v>35</v>
      </c>
      <c r="C5641" s="86" t="s">
        <v>36</v>
      </c>
      <c r="D5641" s="86" t="s">
        <v>185</v>
      </c>
      <c r="E5641" s="86" t="s">
        <v>819</v>
      </c>
      <c r="F5641" s="86" t="s">
        <v>819</v>
      </c>
      <c r="G5641" s="86" t="s">
        <v>819</v>
      </c>
      <c r="H5641" s="143">
        <v>62</v>
      </c>
      <c r="I5641" s="86" t="s">
        <v>408</v>
      </c>
      <c r="J5641" s="1" t="s">
        <v>3324</v>
      </c>
      <c r="K5641" s="1" t="s">
        <v>3278</v>
      </c>
      <c r="L5641" s="1" t="s">
        <v>35</v>
      </c>
      <c r="M5641" s="86" t="s">
        <v>820</v>
      </c>
      <c r="O5641" s="47" t="s">
        <v>410</v>
      </c>
      <c r="P5641" s="14" t="s">
        <v>46</v>
      </c>
      <c r="Q5641" s="14">
        <v>0.02</v>
      </c>
      <c r="R5641" s="143">
        <v>1000025032</v>
      </c>
      <c r="S5641" s="47"/>
      <c r="T5641" s="6">
        <v>110</v>
      </c>
      <c r="U5641" s="6"/>
      <c r="V5641" s="6">
        <v>0</v>
      </c>
      <c r="W5641" s="6">
        <f t="shared" si="883"/>
        <v>110</v>
      </c>
      <c r="X5641" s="6">
        <f t="shared" si="882"/>
        <v>0</v>
      </c>
      <c r="Y5641" s="13">
        <f t="shared" si="887"/>
        <v>0</v>
      </c>
      <c r="Z5641" s="14">
        <v>0</v>
      </c>
      <c r="AA5641" s="6">
        <v>0</v>
      </c>
      <c r="AB5641" s="4">
        <f t="shared" si="888"/>
        <v>0</v>
      </c>
      <c r="AC5641" s="6">
        <f t="shared" si="884"/>
        <v>0</v>
      </c>
      <c r="AD5641" s="6">
        <f t="shared" si="885"/>
        <v>0</v>
      </c>
      <c r="AE5641" s="14">
        <f>VLOOKUP(I5641,[2]媒体政策预估表!A:N,MATCH(O5641,[2]媒体政策预估表!$A$2:$M$2,0),0)</f>
        <v>7.0000000000000007E-2</v>
      </c>
      <c r="AF5641" s="6">
        <f t="shared" si="881"/>
        <v>0</v>
      </c>
      <c r="AG5641" s="14">
        <v>0</v>
      </c>
      <c r="AH5641" s="64">
        <f t="shared" si="886"/>
        <v>0</v>
      </c>
      <c r="AI5641" s="47"/>
      <c r="AJ5641" s="126" t="e">
        <v>#N/A</v>
      </c>
      <c r="AK5641" s="80">
        <f t="shared" si="889"/>
        <v>0</v>
      </c>
      <c r="AL5641" s="85"/>
      <c r="AM5641" s="85"/>
    </row>
    <row r="5642" spans="1:39" s="86" customFormat="1" ht="13.25" hidden="1" customHeight="1" x14ac:dyDescent="0.3">
      <c r="A5642" s="89" t="s">
        <v>3792</v>
      </c>
      <c r="B5642" s="86" t="s">
        <v>35</v>
      </c>
      <c r="C5642" s="86" t="s">
        <v>36</v>
      </c>
      <c r="D5642" s="86" t="s">
        <v>185</v>
      </c>
      <c r="E5642" s="86" t="s">
        <v>821</v>
      </c>
      <c r="F5642" s="86" t="s">
        <v>821</v>
      </c>
      <c r="G5642" s="86" t="s">
        <v>821</v>
      </c>
      <c r="H5642" s="143">
        <v>62</v>
      </c>
      <c r="I5642" s="86" t="s">
        <v>408</v>
      </c>
      <c r="J5642" s="1" t="s">
        <v>3324</v>
      </c>
      <c r="K5642" s="1" t="s">
        <v>3278</v>
      </c>
      <c r="L5642" s="1" t="s">
        <v>35</v>
      </c>
      <c r="M5642" s="86" t="s">
        <v>822</v>
      </c>
      <c r="O5642" s="47" t="s">
        <v>410</v>
      </c>
      <c r="P5642" s="14" t="s">
        <v>41</v>
      </c>
      <c r="Q5642" s="14">
        <v>0</v>
      </c>
      <c r="R5642" s="143">
        <v>1000030803</v>
      </c>
      <c r="S5642" s="47"/>
      <c r="T5642" s="6">
        <v>9231.0499999999993</v>
      </c>
      <c r="U5642" s="6"/>
      <c r="V5642" s="6">
        <v>0</v>
      </c>
      <c r="W5642" s="6">
        <f t="shared" si="883"/>
        <v>9231.0499999999993</v>
      </c>
      <c r="X5642" s="6">
        <f t="shared" si="882"/>
        <v>0</v>
      </c>
      <c r="Y5642" s="13">
        <f t="shared" si="887"/>
        <v>0</v>
      </c>
      <c r="Z5642" s="14">
        <v>0</v>
      </c>
      <c r="AA5642" s="6">
        <v>0</v>
      </c>
      <c r="AB5642" s="4">
        <f t="shared" si="888"/>
        <v>0</v>
      </c>
      <c r="AC5642" s="6">
        <f t="shared" si="884"/>
        <v>0</v>
      </c>
      <c r="AD5642" s="6">
        <f t="shared" si="885"/>
        <v>0</v>
      </c>
      <c r="AE5642" s="14">
        <f>VLOOKUP(I5642,[2]媒体政策预估表!A:N,MATCH(O5642,[2]媒体政策预估表!$A$2:$M$2,0),0)</f>
        <v>7.0000000000000007E-2</v>
      </c>
      <c r="AF5642" s="6">
        <f t="shared" si="881"/>
        <v>0</v>
      </c>
      <c r="AG5642" s="14">
        <v>0</v>
      </c>
      <c r="AH5642" s="64">
        <f t="shared" si="886"/>
        <v>0</v>
      </c>
      <c r="AI5642" s="47"/>
      <c r="AJ5642" s="126" t="e">
        <v>#N/A</v>
      </c>
      <c r="AK5642" s="80">
        <f t="shared" si="889"/>
        <v>0</v>
      </c>
      <c r="AL5642" s="85"/>
      <c r="AM5642" s="85"/>
    </row>
    <row r="5643" spans="1:39" s="86" customFormat="1" ht="13.25" hidden="1" customHeight="1" x14ac:dyDescent="0.3">
      <c r="A5643" s="89" t="s">
        <v>3792</v>
      </c>
      <c r="B5643" s="86" t="s">
        <v>35</v>
      </c>
      <c r="C5643" s="86" t="s">
        <v>36</v>
      </c>
      <c r="D5643" s="86" t="s">
        <v>823</v>
      </c>
      <c r="E5643" s="86" t="s">
        <v>824</v>
      </c>
      <c r="F5643" s="86" t="s">
        <v>824</v>
      </c>
      <c r="G5643" s="86" t="s">
        <v>824</v>
      </c>
      <c r="H5643" s="143">
        <v>62</v>
      </c>
      <c r="I5643" s="86" t="s">
        <v>408</v>
      </c>
      <c r="J5643" s="1" t="s">
        <v>3324</v>
      </c>
      <c r="K5643" s="1" t="s">
        <v>3278</v>
      </c>
      <c r="L5643" s="1" t="s">
        <v>35</v>
      </c>
      <c r="M5643" s="86" t="s">
        <v>825</v>
      </c>
      <c r="O5643" s="47" t="s">
        <v>410</v>
      </c>
      <c r="P5643" s="14" t="s">
        <v>46</v>
      </c>
      <c r="Q5643" s="14">
        <v>0.14000000000000001</v>
      </c>
      <c r="R5643" s="143">
        <v>1000026795</v>
      </c>
      <c r="S5643" s="47"/>
      <c r="T5643" s="6">
        <v>11400</v>
      </c>
      <c r="U5643" s="6"/>
      <c r="V5643" s="6">
        <v>0</v>
      </c>
      <c r="W5643" s="6">
        <f t="shared" si="883"/>
        <v>11400</v>
      </c>
      <c r="X5643" s="6">
        <f t="shared" si="882"/>
        <v>0</v>
      </c>
      <c r="Y5643" s="13">
        <f t="shared" si="887"/>
        <v>0</v>
      </c>
      <c r="Z5643" s="14">
        <v>0</v>
      </c>
      <c r="AA5643" s="6">
        <v>0</v>
      </c>
      <c r="AB5643" s="4">
        <f t="shared" si="888"/>
        <v>0</v>
      </c>
      <c r="AC5643" s="6">
        <f t="shared" si="884"/>
        <v>0</v>
      </c>
      <c r="AD5643" s="6">
        <f t="shared" si="885"/>
        <v>0</v>
      </c>
      <c r="AE5643" s="14">
        <f>VLOOKUP(I5643,[2]媒体政策预估表!A:N,MATCH(O5643,[2]媒体政策预估表!$A$2:$M$2,0),0)</f>
        <v>7.0000000000000007E-2</v>
      </c>
      <c r="AF5643" s="6">
        <f t="shared" si="881"/>
        <v>0</v>
      </c>
      <c r="AG5643" s="14">
        <v>0</v>
      </c>
      <c r="AH5643" s="64">
        <f t="shared" si="886"/>
        <v>0</v>
      </c>
      <c r="AI5643" s="47"/>
      <c r="AJ5643" s="126" t="e">
        <v>#N/A</v>
      </c>
      <c r="AK5643" s="80">
        <f t="shared" si="889"/>
        <v>0</v>
      </c>
      <c r="AL5643" s="85"/>
      <c r="AM5643" s="85"/>
    </row>
    <row r="5644" spans="1:39" s="86" customFormat="1" ht="13.25" hidden="1" customHeight="1" x14ac:dyDescent="0.3">
      <c r="A5644" s="89" t="s">
        <v>3794</v>
      </c>
      <c r="B5644" s="86" t="s">
        <v>35</v>
      </c>
      <c r="C5644" s="86" t="s">
        <v>36</v>
      </c>
      <c r="D5644" s="86" t="s">
        <v>298</v>
      </c>
      <c r="E5644" s="86" t="s">
        <v>826</v>
      </c>
      <c r="F5644" s="86" t="s">
        <v>826</v>
      </c>
      <c r="G5644" s="86" t="s">
        <v>826</v>
      </c>
      <c r="H5644" s="143">
        <v>62</v>
      </c>
      <c r="I5644" s="86" t="s">
        <v>408</v>
      </c>
      <c r="J5644" s="1" t="s">
        <v>3324</v>
      </c>
      <c r="K5644" s="1" t="s">
        <v>3278</v>
      </c>
      <c r="L5644" s="1" t="s">
        <v>35</v>
      </c>
      <c r="M5644" s="86" t="s">
        <v>827</v>
      </c>
      <c r="O5644" s="47" t="s">
        <v>45</v>
      </c>
      <c r="P5644" s="14" t="s">
        <v>46</v>
      </c>
      <c r="Q5644" s="14">
        <v>0.12</v>
      </c>
      <c r="R5644" s="143">
        <v>1000034280</v>
      </c>
      <c r="S5644" s="47"/>
      <c r="T5644" s="6">
        <v>5000</v>
      </c>
      <c r="U5644" s="6"/>
      <c r="V5644" s="6">
        <v>0</v>
      </c>
      <c r="W5644" s="6">
        <f t="shared" si="883"/>
        <v>5000</v>
      </c>
      <c r="X5644" s="6">
        <f t="shared" si="882"/>
        <v>0</v>
      </c>
      <c r="Y5644" s="13">
        <f t="shared" si="887"/>
        <v>0</v>
      </c>
      <c r="Z5644" s="14">
        <v>0</v>
      </c>
      <c r="AA5644" s="6">
        <v>0</v>
      </c>
      <c r="AB5644" s="4"/>
      <c r="AC5644" s="6">
        <f t="shared" si="884"/>
        <v>0</v>
      </c>
      <c r="AD5644" s="6">
        <f t="shared" si="885"/>
        <v>0</v>
      </c>
      <c r="AE5644" s="14">
        <f>VLOOKUP(I5644,[2]媒体政策预估表!A:N,MATCH(O5644,[2]媒体政策预估表!$A$2:$M$2,0),0)</f>
        <v>0.11</v>
      </c>
      <c r="AF5644" s="6">
        <f t="shared" si="881"/>
        <v>0</v>
      </c>
      <c r="AG5644" s="14">
        <v>0</v>
      </c>
      <c r="AH5644" s="64">
        <f t="shared" si="886"/>
        <v>0</v>
      </c>
      <c r="AI5644" s="47"/>
      <c r="AJ5644" s="126">
        <v>28</v>
      </c>
      <c r="AK5644" s="80">
        <f t="shared" si="889"/>
        <v>0</v>
      </c>
      <c r="AL5644" s="85"/>
      <c r="AM5644" s="85"/>
    </row>
    <row r="5645" spans="1:39" s="86" customFormat="1" ht="13.25" hidden="1" customHeight="1" x14ac:dyDescent="0.3">
      <c r="A5645" s="89" t="s">
        <v>3794</v>
      </c>
      <c r="B5645" s="86" t="s">
        <v>35</v>
      </c>
      <c r="C5645" s="86" t="s">
        <v>36</v>
      </c>
      <c r="D5645" s="86" t="s">
        <v>298</v>
      </c>
      <c r="E5645" s="86" t="s">
        <v>826</v>
      </c>
      <c r="F5645" s="86" t="s">
        <v>826</v>
      </c>
      <c r="G5645" s="86" t="s">
        <v>826</v>
      </c>
      <c r="H5645" s="143">
        <v>62</v>
      </c>
      <c r="I5645" s="86" t="s">
        <v>408</v>
      </c>
      <c r="J5645" s="1" t="s">
        <v>3324</v>
      </c>
      <c r="K5645" s="1" t="s">
        <v>3278</v>
      </c>
      <c r="L5645" s="1" t="s">
        <v>35</v>
      </c>
      <c r="M5645" s="86" t="s">
        <v>828</v>
      </c>
      <c r="O5645" s="47" t="s">
        <v>45</v>
      </c>
      <c r="P5645" s="14" t="s">
        <v>46</v>
      </c>
      <c r="Q5645" s="14">
        <v>0.12</v>
      </c>
      <c r="R5645" s="143">
        <v>1000033907</v>
      </c>
      <c r="S5645" s="47"/>
      <c r="T5645" s="6">
        <v>4566.68</v>
      </c>
      <c r="U5645" s="6"/>
      <c r="V5645" s="6">
        <v>0</v>
      </c>
      <c r="W5645" s="6">
        <f t="shared" si="883"/>
        <v>4566.68</v>
      </c>
      <c r="X5645" s="6">
        <f t="shared" si="882"/>
        <v>0</v>
      </c>
      <c r="Y5645" s="13">
        <f t="shared" si="887"/>
        <v>0</v>
      </c>
      <c r="Z5645" s="14">
        <v>0</v>
      </c>
      <c r="AA5645" s="6">
        <v>0</v>
      </c>
      <c r="AB5645" s="4"/>
      <c r="AC5645" s="6">
        <f t="shared" si="884"/>
        <v>0</v>
      </c>
      <c r="AD5645" s="6">
        <f t="shared" si="885"/>
        <v>0</v>
      </c>
      <c r="AE5645" s="14">
        <f>VLOOKUP(I5645,[2]媒体政策预估表!A:N,MATCH(O5645,[2]媒体政策预估表!$A$2:$M$2,0),0)</f>
        <v>0.11</v>
      </c>
      <c r="AF5645" s="6">
        <f t="shared" si="881"/>
        <v>0</v>
      </c>
      <c r="AG5645" s="14">
        <v>0</v>
      </c>
      <c r="AH5645" s="64">
        <f t="shared" si="886"/>
        <v>0</v>
      </c>
      <c r="AI5645" s="47"/>
      <c r="AJ5645" s="126">
        <v>28</v>
      </c>
      <c r="AK5645" s="80">
        <f t="shared" si="889"/>
        <v>0</v>
      </c>
      <c r="AL5645" s="85"/>
      <c r="AM5645" s="85"/>
    </row>
    <row r="5646" spans="1:39" s="86" customFormat="1" ht="13.25" hidden="1" customHeight="1" x14ac:dyDescent="0.3">
      <c r="A5646" s="89" t="s">
        <v>3792</v>
      </c>
      <c r="B5646" s="86" t="s">
        <v>35</v>
      </c>
      <c r="C5646" s="86" t="s">
        <v>36</v>
      </c>
      <c r="D5646" s="86" t="s">
        <v>298</v>
      </c>
      <c r="E5646" s="86" t="s">
        <v>829</v>
      </c>
      <c r="F5646" s="86" t="s">
        <v>829</v>
      </c>
      <c r="G5646" s="86" t="s">
        <v>829</v>
      </c>
      <c r="H5646" s="143">
        <v>62</v>
      </c>
      <c r="I5646" s="86" t="s">
        <v>408</v>
      </c>
      <c r="J5646" s="1" t="s">
        <v>3324</v>
      </c>
      <c r="K5646" s="1" t="s">
        <v>3278</v>
      </c>
      <c r="L5646" s="1" t="s">
        <v>35</v>
      </c>
      <c r="M5646" s="86" t="s">
        <v>830</v>
      </c>
      <c r="O5646" s="47" t="s">
        <v>410</v>
      </c>
      <c r="P5646" s="14" t="s">
        <v>46</v>
      </c>
      <c r="Q5646" s="14">
        <v>0.02</v>
      </c>
      <c r="R5646" s="143">
        <v>1000022171</v>
      </c>
      <c r="S5646" s="47"/>
      <c r="T5646" s="6">
        <v>4893.2</v>
      </c>
      <c r="U5646" s="6"/>
      <c r="V5646" s="6">
        <v>0</v>
      </c>
      <c r="W5646" s="6">
        <f t="shared" si="883"/>
        <v>4893.2</v>
      </c>
      <c r="X5646" s="6">
        <f t="shared" si="882"/>
        <v>0</v>
      </c>
      <c r="Y5646" s="13">
        <f t="shared" si="887"/>
        <v>0</v>
      </c>
      <c r="Z5646" s="14">
        <v>0</v>
      </c>
      <c r="AA5646" s="6">
        <v>0</v>
      </c>
      <c r="AB5646" s="4">
        <f t="shared" si="888"/>
        <v>0</v>
      </c>
      <c r="AC5646" s="6">
        <f t="shared" si="884"/>
        <v>0</v>
      </c>
      <c r="AD5646" s="6">
        <f t="shared" si="885"/>
        <v>0</v>
      </c>
      <c r="AE5646" s="14">
        <f>VLOOKUP(I5646,[2]媒体政策预估表!A:N,MATCH(O5646,[2]媒体政策预估表!$A$2:$M$2,0),0)</f>
        <v>7.0000000000000007E-2</v>
      </c>
      <c r="AF5646" s="6">
        <f t="shared" si="881"/>
        <v>0</v>
      </c>
      <c r="AG5646" s="14">
        <v>0</v>
      </c>
      <c r="AH5646" s="64">
        <f t="shared" si="886"/>
        <v>0</v>
      </c>
      <c r="AI5646" s="47"/>
      <c r="AJ5646" s="126" t="e">
        <v>#N/A</v>
      </c>
      <c r="AK5646" s="80">
        <f t="shared" si="889"/>
        <v>0</v>
      </c>
      <c r="AL5646" s="85"/>
      <c r="AM5646" s="85"/>
    </row>
    <row r="5647" spans="1:39" s="86" customFormat="1" ht="13.25" hidden="1" customHeight="1" x14ac:dyDescent="0.3">
      <c r="A5647" s="89" t="s">
        <v>3792</v>
      </c>
      <c r="B5647" s="86" t="s">
        <v>35</v>
      </c>
      <c r="C5647" s="86" t="s">
        <v>36</v>
      </c>
      <c r="D5647" s="86" t="s">
        <v>298</v>
      </c>
      <c r="E5647" s="86" t="s">
        <v>831</v>
      </c>
      <c r="F5647" s="86" t="s">
        <v>831</v>
      </c>
      <c r="G5647" s="86" t="s">
        <v>831</v>
      </c>
      <c r="H5647" s="143">
        <v>62</v>
      </c>
      <c r="I5647" s="86" t="s">
        <v>408</v>
      </c>
      <c r="J5647" s="1" t="s">
        <v>3324</v>
      </c>
      <c r="K5647" s="1" t="s">
        <v>3278</v>
      </c>
      <c r="L5647" s="1" t="s">
        <v>35</v>
      </c>
      <c r="M5647" s="86" t="s">
        <v>832</v>
      </c>
      <c r="O5647" s="47" t="s">
        <v>45</v>
      </c>
      <c r="P5647" s="14" t="s">
        <v>46</v>
      </c>
      <c r="Q5647" s="14">
        <v>0.08</v>
      </c>
      <c r="R5647" s="143">
        <v>1000027257</v>
      </c>
      <c r="S5647" s="47"/>
      <c r="T5647" s="6">
        <v>188113.3</v>
      </c>
      <c r="U5647" s="6"/>
      <c r="V5647" s="6">
        <v>0</v>
      </c>
      <c r="W5647" s="6">
        <f t="shared" si="883"/>
        <v>188113.3</v>
      </c>
      <c r="X5647" s="6">
        <f t="shared" si="882"/>
        <v>0</v>
      </c>
      <c r="Y5647" s="13">
        <f t="shared" si="887"/>
        <v>0</v>
      </c>
      <c r="Z5647" s="14">
        <v>0</v>
      </c>
      <c r="AA5647" s="6">
        <v>0</v>
      </c>
      <c r="AB5647" s="4"/>
      <c r="AC5647" s="6">
        <f t="shared" si="884"/>
        <v>0</v>
      </c>
      <c r="AD5647" s="6">
        <f t="shared" si="885"/>
        <v>0</v>
      </c>
      <c r="AE5647" s="14">
        <f>VLOOKUP(I5647,[2]媒体政策预估表!A:N,MATCH(O5647,[2]媒体政策预估表!$A$2:$M$2,0),0)</f>
        <v>0.11</v>
      </c>
      <c r="AF5647" s="6">
        <f t="shared" si="881"/>
        <v>0</v>
      </c>
      <c r="AG5647" s="14">
        <v>0</v>
      </c>
      <c r="AH5647" s="64">
        <f t="shared" si="886"/>
        <v>0</v>
      </c>
      <c r="AI5647" s="47"/>
      <c r="AJ5647" s="126">
        <v>25</v>
      </c>
      <c r="AK5647" s="80">
        <f t="shared" si="889"/>
        <v>0</v>
      </c>
      <c r="AL5647" s="85"/>
      <c r="AM5647" s="85"/>
    </row>
    <row r="5648" spans="1:39" s="86" customFormat="1" ht="13.25" hidden="1" customHeight="1" x14ac:dyDescent="0.3">
      <c r="A5648" s="89" t="s">
        <v>3794</v>
      </c>
      <c r="B5648" s="86" t="s">
        <v>35</v>
      </c>
      <c r="C5648" s="86" t="s">
        <v>144</v>
      </c>
      <c r="D5648" s="86" t="s">
        <v>152</v>
      </c>
      <c r="E5648" s="86" t="s">
        <v>833</v>
      </c>
      <c r="F5648" s="86" t="s">
        <v>833</v>
      </c>
      <c r="G5648" s="86" t="s">
        <v>833</v>
      </c>
      <c r="H5648" s="143">
        <v>62</v>
      </c>
      <c r="I5648" s="86" t="s">
        <v>408</v>
      </c>
      <c r="J5648" s="1" t="s">
        <v>3324</v>
      </c>
      <c r="K5648" s="1" t="s">
        <v>3278</v>
      </c>
      <c r="L5648" s="1" t="s">
        <v>35</v>
      </c>
      <c r="M5648" s="86" t="s">
        <v>834</v>
      </c>
      <c r="O5648" s="47" t="s">
        <v>410</v>
      </c>
      <c r="P5648" s="14" t="s">
        <v>46</v>
      </c>
      <c r="Q5648" s="14">
        <v>0.06</v>
      </c>
      <c r="R5648" s="143">
        <v>1000010261</v>
      </c>
      <c r="S5648" s="47"/>
      <c r="T5648" s="6">
        <v>9056.2000000000007</v>
      </c>
      <c r="U5648" s="6"/>
      <c r="V5648" s="6">
        <v>0</v>
      </c>
      <c r="W5648" s="6">
        <f t="shared" si="883"/>
        <v>9056.2000000000007</v>
      </c>
      <c r="X5648" s="6">
        <f t="shared" si="882"/>
        <v>0</v>
      </c>
      <c r="Y5648" s="13">
        <f t="shared" si="887"/>
        <v>0</v>
      </c>
      <c r="Z5648" s="14">
        <v>0</v>
      </c>
      <c r="AA5648" s="6">
        <v>0</v>
      </c>
      <c r="AB5648" s="4">
        <f t="shared" si="888"/>
        <v>0</v>
      </c>
      <c r="AC5648" s="6">
        <f t="shared" si="884"/>
        <v>0</v>
      </c>
      <c r="AD5648" s="6">
        <f t="shared" si="885"/>
        <v>0</v>
      </c>
      <c r="AE5648" s="14">
        <f>VLOOKUP(I5648,[2]媒体政策预估表!A:N,MATCH(O5648,[2]媒体政策预估表!$A$2:$M$2,0),0)</f>
        <v>7.0000000000000007E-2</v>
      </c>
      <c r="AF5648" s="6">
        <f t="shared" si="881"/>
        <v>0</v>
      </c>
      <c r="AG5648" s="14">
        <v>0</v>
      </c>
      <c r="AH5648" s="64">
        <f t="shared" si="886"/>
        <v>0</v>
      </c>
      <c r="AI5648" s="47"/>
      <c r="AJ5648" s="126" t="e">
        <v>#N/A</v>
      </c>
      <c r="AK5648" s="80">
        <f t="shared" si="889"/>
        <v>0</v>
      </c>
      <c r="AL5648" s="85"/>
      <c r="AM5648" s="85"/>
    </row>
    <row r="5649" spans="1:39" s="86" customFormat="1" ht="13.25" hidden="1" customHeight="1" x14ac:dyDescent="0.3">
      <c r="A5649" s="89" t="s">
        <v>3806</v>
      </c>
      <c r="B5649" s="86" t="s">
        <v>35</v>
      </c>
      <c r="C5649" s="86" t="s">
        <v>36</v>
      </c>
      <c r="D5649" s="86" t="s">
        <v>298</v>
      </c>
      <c r="E5649" s="86" t="s">
        <v>835</v>
      </c>
      <c r="F5649" s="86" t="s">
        <v>835</v>
      </c>
      <c r="G5649" s="86" t="s">
        <v>835</v>
      </c>
      <c r="H5649" s="143">
        <v>62</v>
      </c>
      <c r="I5649" s="86" t="s">
        <v>408</v>
      </c>
      <c r="J5649" s="1" t="s">
        <v>3324</v>
      </c>
      <c r="K5649" s="1" t="s">
        <v>3278</v>
      </c>
      <c r="L5649" s="1" t="s">
        <v>35</v>
      </c>
      <c r="M5649" s="86" t="s">
        <v>836</v>
      </c>
      <c r="O5649" s="47" t="s">
        <v>410</v>
      </c>
      <c r="P5649" s="14" t="s">
        <v>46</v>
      </c>
      <c r="Q5649" s="14">
        <v>0.06</v>
      </c>
      <c r="R5649" s="143">
        <v>1000040479</v>
      </c>
      <c r="S5649" s="47"/>
      <c r="T5649" s="6">
        <v>3920.2</v>
      </c>
      <c r="U5649" s="6"/>
      <c r="V5649" s="6">
        <v>0</v>
      </c>
      <c r="W5649" s="6">
        <f t="shared" si="883"/>
        <v>3920.2</v>
      </c>
      <c r="X5649" s="6">
        <f t="shared" si="882"/>
        <v>0</v>
      </c>
      <c r="Y5649" s="13">
        <f t="shared" si="887"/>
        <v>0</v>
      </c>
      <c r="Z5649" s="14">
        <v>0</v>
      </c>
      <c r="AA5649" s="6">
        <v>0</v>
      </c>
      <c r="AB5649" s="4"/>
      <c r="AC5649" s="6">
        <f t="shared" si="884"/>
        <v>0</v>
      </c>
      <c r="AD5649" s="6">
        <f t="shared" si="885"/>
        <v>0</v>
      </c>
      <c r="AE5649" s="14">
        <f>VLOOKUP(I5649,[2]媒体政策预估表!A:N,MATCH(O5649,[2]媒体政策预估表!$A$2:$M$2,0),0)</f>
        <v>7.0000000000000007E-2</v>
      </c>
      <c r="AF5649" s="6">
        <f t="shared" si="881"/>
        <v>0</v>
      </c>
      <c r="AG5649" s="14">
        <v>0</v>
      </c>
      <c r="AH5649" s="64">
        <f t="shared" si="886"/>
        <v>0</v>
      </c>
      <c r="AI5649" s="47"/>
      <c r="AJ5649" s="126">
        <v>14</v>
      </c>
      <c r="AK5649" s="80">
        <f t="shared" si="889"/>
        <v>0</v>
      </c>
      <c r="AL5649" s="85"/>
      <c r="AM5649" s="85"/>
    </row>
    <row r="5650" spans="1:39" s="86" customFormat="1" ht="13.25" hidden="1" customHeight="1" x14ac:dyDescent="0.3">
      <c r="A5650" s="89" t="s">
        <v>3806</v>
      </c>
      <c r="B5650" s="86" t="s">
        <v>35</v>
      </c>
      <c r="C5650" s="86" t="s">
        <v>36</v>
      </c>
      <c r="D5650" s="86" t="s">
        <v>298</v>
      </c>
      <c r="E5650" s="86" t="s">
        <v>837</v>
      </c>
      <c r="F5650" s="86" t="s">
        <v>837</v>
      </c>
      <c r="G5650" s="86" t="s">
        <v>837</v>
      </c>
      <c r="H5650" s="143">
        <v>62</v>
      </c>
      <c r="I5650" s="86" t="s">
        <v>408</v>
      </c>
      <c r="J5650" s="1" t="s">
        <v>3324</v>
      </c>
      <c r="K5650" s="1" t="s">
        <v>3278</v>
      </c>
      <c r="L5650" s="1" t="s">
        <v>35</v>
      </c>
      <c r="M5650" s="86" t="s">
        <v>838</v>
      </c>
      <c r="O5650" s="47" t="s">
        <v>410</v>
      </c>
      <c r="P5650" s="14" t="s">
        <v>46</v>
      </c>
      <c r="Q5650" s="14">
        <v>0.04</v>
      </c>
      <c r="R5650" s="143">
        <v>1000027594</v>
      </c>
      <c r="S5650" s="47"/>
      <c r="T5650" s="6">
        <v>3210.89</v>
      </c>
      <c r="U5650" s="6"/>
      <c r="V5650" s="6">
        <v>0</v>
      </c>
      <c r="W5650" s="6">
        <f t="shared" si="883"/>
        <v>3210.89</v>
      </c>
      <c r="X5650" s="6">
        <f t="shared" si="882"/>
        <v>0</v>
      </c>
      <c r="Y5650" s="13">
        <f t="shared" si="887"/>
        <v>0</v>
      </c>
      <c r="Z5650" s="14">
        <v>0</v>
      </c>
      <c r="AA5650" s="6">
        <v>0</v>
      </c>
      <c r="AB5650" s="4">
        <f t="shared" si="888"/>
        <v>0</v>
      </c>
      <c r="AC5650" s="6">
        <f t="shared" si="884"/>
        <v>0</v>
      </c>
      <c r="AD5650" s="6">
        <f t="shared" si="885"/>
        <v>0</v>
      </c>
      <c r="AE5650" s="14">
        <f>VLOOKUP(I5650,[2]媒体政策预估表!A:N,MATCH(O5650,[2]媒体政策预估表!$A$2:$M$2,0),0)</f>
        <v>7.0000000000000007E-2</v>
      </c>
      <c r="AF5650" s="6">
        <f t="shared" si="881"/>
        <v>0</v>
      </c>
      <c r="AG5650" s="14">
        <v>0</v>
      </c>
      <c r="AH5650" s="64">
        <f t="shared" si="886"/>
        <v>0</v>
      </c>
      <c r="AI5650" s="47"/>
      <c r="AJ5650" s="126" t="e">
        <v>#N/A</v>
      </c>
      <c r="AK5650" s="80">
        <f t="shared" si="889"/>
        <v>0</v>
      </c>
      <c r="AL5650" s="85"/>
      <c r="AM5650" s="85"/>
    </row>
    <row r="5651" spans="1:39" s="86" customFormat="1" ht="13.25" hidden="1" customHeight="1" x14ac:dyDescent="0.3">
      <c r="A5651" s="89" t="s">
        <v>3794</v>
      </c>
      <c r="B5651" s="86" t="s">
        <v>35</v>
      </c>
      <c r="C5651" s="86" t="s">
        <v>36</v>
      </c>
      <c r="D5651" s="86" t="s">
        <v>298</v>
      </c>
      <c r="E5651" s="86" t="s">
        <v>839</v>
      </c>
      <c r="F5651" s="86" t="s">
        <v>839</v>
      </c>
      <c r="G5651" s="86" t="s">
        <v>839</v>
      </c>
      <c r="H5651" s="143">
        <v>62</v>
      </c>
      <c r="I5651" s="86" t="s">
        <v>408</v>
      </c>
      <c r="J5651" s="1" t="s">
        <v>3324</v>
      </c>
      <c r="K5651" s="1" t="s">
        <v>3278</v>
      </c>
      <c r="L5651" s="1" t="s">
        <v>35</v>
      </c>
      <c r="M5651" s="86" t="s">
        <v>840</v>
      </c>
      <c r="O5651" s="47" t="s">
        <v>410</v>
      </c>
      <c r="P5651" s="14" t="s">
        <v>92</v>
      </c>
      <c r="Q5651" s="14">
        <v>0.94</v>
      </c>
      <c r="R5651" s="143">
        <v>1000026064</v>
      </c>
      <c r="S5651" s="47"/>
      <c r="T5651" s="6">
        <v>32786.82</v>
      </c>
      <c r="U5651" s="6"/>
      <c r="V5651" s="6">
        <v>0</v>
      </c>
      <c r="W5651" s="6">
        <f t="shared" si="883"/>
        <v>32786.82</v>
      </c>
      <c r="X5651" s="6">
        <f t="shared" si="882"/>
        <v>0</v>
      </c>
      <c r="Y5651" s="13">
        <f t="shared" si="887"/>
        <v>0</v>
      </c>
      <c r="Z5651" s="14">
        <v>0</v>
      </c>
      <c r="AA5651" s="6">
        <v>0</v>
      </c>
      <c r="AB5651" s="4">
        <f t="shared" si="888"/>
        <v>0</v>
      </c>
      <c r="AC5651" s="6">
        <f t="shared" si="884"/>
        <v>0</v>
      </c>
      <c r="AD5651" s="6">
        <f t="shared" si="885"/>
        <v>0</v>
      </c>
      <c r="AE5651" s="14">
        <f>VLOOKUP(I5651,[2]媒体政策预估表!A:N,MATCH(O5651,[2]媒体政策预估表!$A$2:$M$2,0),0)</f>
        <v>7.0000000000000007E-2</v>
      </c>
      <c r="AF5651" s="6">
        <f t="shared" si="881"/>
        <v>0</v>
      </c>
      <c r="AG5651" s="14">
        <v>0</v>
      </c>
      <c r="AH5651" s="64">
        <f t="shared" si="886"/>
        <v>0</v>
      </c>
      <c r="AI5651" s="47"/>
      <c r="AJ5651" s="126" t="e">
        <v>#N/A</v>
      </c>
      <c r="AK5651" s="80">
        <f t="shared" si="889"/>
        <v>0</v>
      </c>
      <c r="AL5651" s="85"/>
      <c r="AM5651" s="85"/>
    </row>
    <row r="5652" spans="1:39" s="86" customFormat="1" ht="13.25" hidden="1" customHeight="1" x14ac:dyDescent="0.3">
      <c r="A5652" s="89" t="s">
        <v>3792</v>
      </c>
      <c r="B5652" s="86" t="s">
        <v>35</v>
      </c>
      <c r="C5652" s="86" t="s">
        <v>36</v>
      </c>
      <c r="D5652" s="86" t="s">
        <v>298</v>
      </c>
      <c r="E5652" s="86" t="s">
        <v>841</v>
      </c>
      <c r="F5652" s="86" t="s">
        <v>841</v>
      </c>
      <c r="G5652" s="86" t="s">
        <v>841</v>
      </c>
      <c r="H5652" s="143">
        <v>62</v>
      </c>
      <c r="I5652" s="86" t="s">
        <v>408</v>
      </c>
      <c r="J5652" s="1" t="s">
        <v>3324</v>
      </c>
      <c r="K5652" s="1" t="s">
        <v>3278</v>
      </c>
      <c r="L5652" s="1" t="s">
        <v>35</v>
      </c>
      <c r="M5652" s="86" t="s">
        <v>842</v>
      </c>
      <c r="O5652" s="47" t="s">
        <v>410</v>
      </c>
      <c r="P5652" s="14" t="s">
        <v>41</v>
      </c>
      <c r="Q5652" s="14">
        <v>0</v>
      </c>
      <c r="R5652" s="143">
        <v>1000015519</v>
      </c>
      <c r="S5652" s="47"/>
      <c r="T5652" s="6">
        <v>494</v>
      </c>
      <c r="U5652" s="6"/>
      <c r="V5652" s="6">
        <v>0</v>
      </c>
      <c r="W5652" s="6">
        <f t="shared" si="883"/>
        <v>494</v>
      </c>
      <c r="X5652" s="6">
        <f t="shared" si="882"/>
        <v>0</v>
      </c>
      <c r="Y5652" s="13">
        <f t="shared" si="887"/>
        <v>0</v>
      </c>
      <c r="Z5652" s="14">
        <v>0</v>
      </c>
      <c r="AA5652" s="6">
        <v>0</v>
      </c>
      <c r="AB5652" s="4">
        <f t="shared" si="888"/>
        <v>0</v>
      </c>
      <c r="AC5652" s="6">
        <f t="shared" si="884"/>
        <v>0</v>
      </c>
      <c r="AD5652" s="6">
        <f t="shared" si="885"/>
        <v>0</v>
      </c>
      <c r="AE5652" s="14">
        <f>VLOOKUP(I5652,[2]媒体政策预估表!A:N,MATCH(O5652,[2]媒体政策预估表!$A$2:$M$2,0),0)</f>
        <v>7.0000000000000007E-2</v>
      </c>
      <c r="AF5652" s="6">
        <f t="shared" si="881"/>
        <v>0</v>
      </c>
      <c r="AG5652" s="14">
        <v>0</v>
      </c>
      <c r="AH5652" s="64">
        <f t="shared" si="886"/>
        <v>0</v>
      </c>
      <c r="AI5652" s="47"/>
      <c r="AJ5652" s="126" t="e">
        <v>#N/A</v>
      </c>
      <c r="AK5652" s="80">
        <f t="shared" si="889"/>
        <v>0</v>
      </c>
      <c r="AL5652" s="85"/>
      <c r="AM5652" s="85"/>
    </row>
    <row r="5653" spans="1:39" s="86" customFormat="1" ht="13.25" hidden="1" customHeight="1" x14ac:dyDescent="0.3">
      <c r="A5653" s="89" t="s">
        <v>3794</v>
      </c>
      <c r="B5653" s="86" t="s">
        <v>35</v>
      </c>
      <c r="C5653" s="86" t="s">
        <v>36</v>
      </c>
      <c r="D5653" s="86" t="s">
        <v>298</v>
      </c>
      <c r="E5653" s="86" t="s">
        <v>843</v>
      </c>
      <c r="F5653" s="86" t="s">
        <v>843</v>
      </c>
      <c r="G5653" s="86" t="s">
        <v>843</v>
      </c>
      <c r="H5653" s="143">
        <v>62</v>
      </c>
      <c r="I5653" s="86" t="s">
        <v>408</v>
      </c>
      <c r="J5653" s="1" t="s">
        <v>3324</v>
      </c>
      <c r="K5653" s="1" t="s">
        <v>3278</v>
      </c>
      <c r="L5653" s="1" t="s">
        <v>35</v>
      </c>
      <c r="M5653" s="86" t="s">
        <v>844</v>
      </c>
      <c r="O5653" s="47" t="s">
        <v>410</v>
      </c>
      <c r="P5653" s="14" t="s">
        <v>46</v>
      </c>
      <c r="Q5653" s="14">
        <v>0.06</v>
      </c>
      <c r="R5653" s="143">
        <v>1000020836</v>
      </c>
      <c r="S5653" s="47"/>
      <c r="T5653" s="6">
        <v>27822.3</v>
      </c>
      <c r="U5653" s="6"/>
      <c r="V5653" s="6">
        <v>0</v>
      </c>
      <c r="W5653" s="6">
        <f t="shared" si="883"/>
        <v>27822.3</v>
      </c>
      <c r="X5653" s="6">
        <f t="shared" si="882"/>
        <v>0</v>
      </c>
      <c r="Y5653" s="13">
        <f t="shared" si="887"/>
        <v>0</v>
      </c>
      <c r="Z5653" s="14">
        <v>0</v>
      </c>
      <c r="AA5653" s="6">
        <v>0</v>
      </c>
      <c r="AB5653" s="4">
        <f t="shared" si="888"/>
        <v>0</v>
      </c>
      <c r="AC5653" s="6">
        <f t="shared" si="884"/>
        <v>0</v>
      </c>
      <c r="AD5653" s="6">
        <f t="shared" si="885"/>
        <v>0</v>
      </c>
      <c r="AE5653" s="14">
        <f>VLOOKUP(I5653,[2]媒体政策预估表!A:N,MATCH(O5653,[2]媒体政策预估表!$A$2:$M$2,0),0)</f>
        <v>7.0000000000000007E-2</v>
      </c>
      <c r="AF5653" s="6">
        <f t="shared" si="881"/>
        <v>0</v>
      </c>
      <c r="AG5653" s="14">
        <v>0</v>
      </c>
      <c r="AH5653" s="64">
        <f t="shared" si="886"/>
        <v>0</v>
      </c>
      <c r="AI5653" s="47"/>
      <c r="AJ5653" s="126" t="e">
        <v>#N/A</v>
      </c>
      <c r="AK5653" s="80">
        <f t="shared" si="889"/>
        <v>0</v>
      </c>
      <c r="AL5653" s="85"/>
      <c r="AM5653" s="85"/>
    </row>
    <row r="5654" spans="1:39" s="86" customFormat="1" ht="13.25" hidden="1" customHeight="1" x14ac:dyDescent="0.3">
      <c r="A5654" s="89" t="s">
        <v>3792</v>
      </c>
      <c r="B5654" s="86" t="s">
        <v>35</v>
      </c>
      <c r="C5654" s="86" t="s">
        <v>36</v>
      </c>
      <c r="D5654" s="86" t="s">
        <v>744</v>
      </c>
      <c r="E5654" s="86" t="s">
        <v>745</v>
      </c>
      <c r="F5654" s="86" t="s">
        <v>745</v>
      </c>
      <c r="G5654" s="86" t="s">
        <v>745</v>
      </c>
      <c r="H5654" s="143">
        <v>62</v>
      </c>
      <c r="I5654" s="86" t="s">
        <v>408</v>
      </c>
      <c r="J5654" s="1" t="s">
        <v>3324</v>
      </c>
      <c r="K5654" s="1" t="s">
        <v>3278</v>
      </c>
      <c r="L5654" s="1" t="s">
        <v>35</v>
      </c>
      <c r="M5654" s="86" t="s">
        <v>845</v>
      </c>
      <c r="O5654" s="47" t="s">
        <v>45</v>
      </c>
      <c r="P5654" s="14" t="s">
        <v>46</v>
      </c>
      <c r="Q5654" s="14">
        <v>0.08</v>
      </c>
      <c r="R5654" s="143">
        <v>1000051114</v>
      </c>
      <c r="S5654" s="47"/>
      <c r="T5654" s="6">
        <v>0.33</v>
      </c>
      <c r="U5654" s="6"/>
      <c r="V5654" s="6">
        <v>0</v>
      </c>
      <c r="W5654" s="6">
        <f t="shared" si="883"/>
        <v>0.33</v>
      </c>
      <c r="X5654" s="6">
        <f t="shared" si="882"/>
        <v>0</v>
      </c>
      <c r="Y5654" s="13">
        <f t="shared" si="887"/>
        <v>0</v>
      </c>
      <c r="Z5654" s="14">
        <v>0</v>
      </c>
      <c r="AA5654" s="6">
        <v>0</v>
      </c>
      <c r="AB5654" s="4"/>
      <c r="AC5654" s="6">
        <f t="shared" si="884"/>
        <v>0</v>
      </c>
      <c r="AD5654" s="6">
        <f t="shared" si="885"/>
        <v>0</v>
      </c>
      <c r="AE5654" s="14">
        <f>VLOOKUP(I5654,[2]媒体政策预估表!A:N,MATCH(O5654,[2]媒体政策预估表!$A$2:$M$2,0),0)</f>
        <v>0.11</v>
      </c>
      <c r="AF5654" s="6">
        <f t="shared" si="881"/>
        <v>0</v>
      </c>
      <c r="AG5654" s="14">
        <v>0</v>
      </c>
      <c r="AH5654" s="64">
        <f t="shared" si="886"/>
        <v>0</v>
      </c>
      <c r="AI5654" s="47"/>
      <c r="AJ5654" s="126">
        <v>71</v>
      </c>
      <c r="AK5654" s="80">
        <f t="shared" si="889"/>
        <v>0</v>
      </c>
      <c r="AL5654" s="85"/>
      <c r="AM5654" s="85"/>
    </row>
    <row r="5655" spans="1:39" s="86" customFormat="1" ht="13.25" hidden="1" customHeight="1" x14ac:dyDescent="0.3">
      <c r="A5655" s="89" t="s">
        <v>3794</v>
      </c>
      <c r="B5655" s="86" t="s">
        <v>35</v>
      </c>
      <c r="C5655" s="86" t="s">
        <v>36</v>
      </c>
      <c r="D5655" s="86" t="s">
        <v>744</v>
      </c>
      <c r="E5655" s="86" t="s">
        <v>745</v>
      </c>
      <c r="F5655" s="86" t="s">
        <v>745</v>
      </c>
      <c r="G5655" s="86" t="s">
        <v>745</v>
      </c>
      <c r="H5655" s="143">
        <v>62</v>
      </c>
      <c r="I5655" s="86" t="s">
        <v>408</v>
      </c>
      <c r="J5655" s="1" t="s">
        <v>3324</v>
      </c>
      <c r="K5655" s="1" t="s">
        <v>3278</v>
      </c>
      <c r="L5655" s="1" t="s">
        <v>35</v>
      </c>
      <c r="M5655" s="86" t="s">
        <v>846</v>
      </c>
      <c r="O5655" s="47" t="s">
        <v>45</v>
      </c>
      <c r="P5655" s="14" t="s">
        <v>46</v>
      </c>
      <c r="Q5655" s="14">
        <v>0.08</v>
      </c>
      <c r="R5655" s="143">
        <v>1000052597</v>
      </c>
      <c r="S5655" s="47"/>
      <c r="T5655" s="6">
        <v>0.08</v>
      </c>
      <c r="U5655" s="6"/>
      <c r="V5655" s="6">
        <v>0</v>
      </c>
      <c r="W5655" s="6">
        <f t="shared" si="883"/>
        <v>0.08</v>
      </c>
      <c r="X5655" s="6">
        <f t="shared" si="882"/>
        <v>0</v>
      </c>
      <c r="Y5655" s="13">
        <f t="shared" si="887"/>
        <v>0</v>
      </c>
      <c r="Z5655" s="14">
        <v>0</v>
      </c>
      <c r="AA5655" s="6">
        <v>0</v>
      </c>
      <c r="AB5655" s="4"/>
      <c r="AC5655" s="6">
        <f t="shared" si="884"/>
        <v>0</v>
      </c>
      <c r="AD5655" s="6">
        <f t="shared" si="885"/>
        <v>0</v>
      </c>
      <c r="AE5655" s="14">
        <f>VLOOKUP(I5655,[2]媒体政策预估表!A:N,MATCH(O5655,[2]媒体政策预估表!$A$2:$M$2,0),0)</f>
        <v>0.11</v>
      </c>
      <c r="AF5655" s="6">
        <f t="shared" si="881"/>
        <v>0</v>
      </c>
      <c r="AG5655" s="14">
        <v>0</v>
      </c>
      <c r="AH5655" s="64">
        <f t="shared" si="886"/>
        <v>0</v>
      </c>
      <c r="AI5655" s="47"/>
      <c r="AJ5655" s="126">
        <v>71</v>
      </c>
      <c r="AK5655" s="80">
        <f t="shared" si="889"/>
        <v>0</v>
      </c>
      <c r="AL5655" s="85"/>
      <c r="AM5655" s="85"/>
    </row>
    <row r="5656" spans="1:39" s="86" customFormat="1" ht="13.25" hidden="1" customHeight="1" x14ac:dyDescent="0.3">
      <c r="A5656" s="89" t="s">
        <v>3792</v>
      </c>
      <c r="B5656" s="86" t="s">
        <v>35</v>
      </c>
      <c r="C5656" s="86" t="s">
        <v>36</v>
      </c>
      <c r="D5656" s="86" t="s">
        <v>744</v>
      </c>
      <c r="E5656" s="86" t="s">
        <v>745</v>
      </c>
      <c r="F5656" s="86" t="s">
        <v>745</v>
      </c>
      <c r="G5656" s="86" t="s">
        <v>745</v>
      </c>
      <c r="H5656" s="143">
        <v>62</v>
      </c>
      <c r="I5656" s="86" t="s">
        <v>408</v>
      </c>
      <c r="J5656" s="1" t="s">
        <v>3324</v>
      </c>
      <c r="K5656" s="1" t="s">
        <v>3278</v>
      </c>
      <c r="L5656" s="1" t="s">
        <v>35</v>
      </c>
      <c r="M5656" s="86" t="s">
        <v>847</v>
      </c>
      <c r="O5656" s="47" t="s">
        <v>45</v>
      </c>
      <c r="P5656" s="14" t="s">
        <v>46</v>
      </c>
      <c r="Q5656" s="14">
        <v>0.08</v>
      </c>
      <c r="R5656" s="143">
        <v>1000050386</v>
      </c>
      <c r="S5656" s="47"/>
      <c r="T5656" s="6">
        <v>0.19</v>
      </c>
      <c r="U5656" s="6"/>
      <c r="V5656" s="6">
        <v>0</v>
      </c>
      <c r="W5656" s="6">
        <f t="shared" si="883"/>
        <v>0.19</v>
      </c>
      <c r="X5656" s="6">
        <f t="shared" si="882"/>
        <v>0</v>
      </c>
      <c r="Y5656" s="13">
        <f t="shared" si="887"/>
        <v>0</v>
      </c>
      <c r="Z5656" s="14">
        <v>0</v>
      </c>
      <c r="AA5656" s="6">
        <v>0</v>
      </c>
      <c r="AB5656" s="4"/>
      <c r="AC5656" s="6">
        <f t="shared" si="884"/>
        <v>0</v>
      </c>
      <c r="AD5656" s="6">
        <f t="shared" si="885"/>
        <v>0</v>
      </c>
      <c r="AE5656" s="14">
        <f>VLOOKUP(I5656,[2]媒体政策预估表!A:N,MATCH(O5656,[2]媒体政策预估表!$A$2:$M$2,0),0)</f>
        <v>0.11</v>
      </c>
      <c r="AF5656" s="6">
        <f t="shared" si="881"/>
        <v>0</v>
      </c>
      <c r="AG5656" s="14">
        <v>0</v>
      </c>
      <c r="AH5656" s="64">
        <f t="shared" si="886"/>
        <v>0</v>
      </c>
      <c r="AI5656" s="47"/>
      <c r="AJ5656" s="126">
        <v>71</v>
      </c>
      <c r="AK5656" s="80">
        <f t="shared" si="889"/>
        <v>0</v>
      </c>
      <c r="AL5656" s="85"/>
      <c r="AM5656" s="85"/>
    </row>
    <row r="5657" spans="1:39" s="86" customFormat="1" ht="13.25" hidden="1" customHeight="1" x14ac:dyDescent="0.3">
      <c r="A5657" s="89" t="s">
        <v>3792</v>
      </c>
      <c r="B5657" s="86" t="s">
        <v>35</v>
      </c>
      <c r="C5657" s="86" t="s">
        <v>36</v>
      </c>
      <c r="D5657" s="86" t="s">
        <v>744</v>
      </c>
      <c r="E5657" s="86" t="s">
        <v>745</v>
      </c>
      <c r="F5657" s="86" t="s">
        <v>745</v>
      </c>
      <c r="G5657" s="86" t="s">
        <v>745</v>
      </c>
      <c r="H5657" s="143">
        <v>62</v>
      </c>
      <c r="I5657" s="86" t="s">
        <v>408</v>
      </c>
      <c r="J5657" s="1" t="s">
        <v>3324</v>
      </c>
      <c r="K5657" s="1" t="s">
        <v>3278</v>
      </c>
      <c r="L5657" s="1" t="s">
        <v>35</v>
      </c>
      <c r="M5657" s="86" t="s">
        <v>848</v>
      </c>
      <c r="O5657" s="47" t="s">
        <v>45</v>
      </c>
      <c r="P5657" s="14" t="s">
        <v>46</v>
      </c>
      <c r="Q5657" s="14">
        <v>0.08</v>
      </c>
      <c r="R5657" s="143">
        <v>1000055543</v>
      </c>
      <c r="S5657" s="47"/>
      <c r="T5657" s="6">
        <v>0.55000000000000004</v>
      </c>
      <c r="U5657" s="6"/>
      <c r="V5657" s="6">
        <v>0</v>
      </c>
      <c r="W5657" s="6">
        <f t="shared" si="883"/>
        <v>0.55000000000000004</v>
      </c>
      <c r="X5657" s="6">
        <f t="shared" si="882"/>
        <v>0</v>
      </c>
      <c r="Y5657" s="13">
        <f t="shared" si="887"/>
        <v>0</v>
      </c>
      <c r="Z5657" s="14">
        <v>0</v>
      </c>
      <c r="AA5657" s="6">
        <v>0</v>
      </c>
      <c r="AB5657" s="4"/>
      <c r="AC5657" s="6">
        <f t="shared" si="884"/>
        <v>0</v>
      </c>
      <c r="AD5657" s="6">
        <f t="shared" si="885"/>
        <v>0</v>
      </c>
      <c r="AE5657" s="14">
        <f>VLOOKUP(I5657,[2]媒体政策预估表!A:N,MATCH(O5657,[2]媒体政策预估表!$A$2:$M$2,0),0)</f>
        <v>0.11</v>
      </c>
      <c r="AF5657" s="6">
        <f t="shared" si="881"/>
        <v>0</v>
      </c>
      <c r="AG5657" s="14">
        <v>0</v>
      </c>
      <c r="AH5657" s="64">
        <f t="shared" si="886"/>
        <v>0</v>
      </c>
      <c r="AI5657" s="47"/>
      <c r="AJ5657" s="126">
        <v>71</v>
      </c>
      <c r="AK5657" s="80">
        <f t="shared" si="889"/>
        <v>0</v>
      </c>
      <c r="AL5657" s="85"/>
      <c r="AM5657" s="85"/>
    </row>
    <row r="5658" spans="1:39" s="86" customFormat="1" ht="13.25" hidden="1" customHeight="1" x14ac:dyDescent="0.3">
      <c r="A5658" s="89" t="s">
        <v>3792</v>
      </c>
      <c r="B5658" s="86" t="s">
        <v>35</v>
      </c>
      <c r="C5658" s="86" t="s">
        <v>36</v>
      </c>
      <c r="D5658" s="86" t="s">
        <v>744</v>
      </c>
      <c r="E5658" s="86" t="s">
        <v>745</v>
      </c>
      <c r="F5658" s="86" t="s">
        <v>745</v>
      </c>
      <c r="G5658" s="86" t="s">
        <v>745</v>
      </c>
      <c r="H5658" s="143">
        <v>62</v>
      </c>
      <c r="I5658" s="86" t="s">
        <v>408</v>
      </c>
      <c r="J5658" s="1" t="s">
        <v>3324</v>
      </c>
      <c r="K5658" s="1" t="s">
        <v>3278</v>
      </c>
      <c r="L5658" s="1" t="s">
        <v>35</v>
      </c>
      <c r="M5658" s="86" t="s">
        <v>849</v>
      </c>
      <c r="O5658" s="47" t="s">
        <v>45</v>
      </c>
      <c r="P5658" s="14" t="s">
        <v>46</v>
      </c>
      <c r="Q5658" s="14">
        <v>0.08</v>
      </c>
      <c r="R5658" s="143">
        <v>1000051113</v>
      </c>
      <c r="S5658" s="47"/>
      <c r="T5658" s="6">
        <v>0.53</v>
      </c>
      <c r="U5658" s="6"/>
      <c r="V5658" s="6">
        <v>0</v>
      </c>
      <c r="W5658" s="6">
        <f t="shared" si="883"/>
        <v>0.53</v>
      </c>
      <c r="X5658" s="6">
        <f t="shared" si="882"/>
        <v>0</v>
      </c>
      <c r="Y5658" s="13">
        <f t="shared" si="887"/>
        <v>0</v>
      </c>
      <c r="Z5658" s="14">
        <v>0</v>
      </c>
      <c r="AA5658" s="6">
        <v>0</v>
      </c>
      <c r="AB5658" s="4"/>
      <c r="AC5658" s="6">
        <f t="shared" si="884"/>
        <v>0</v>
      </c>
      <c r="AD5658" s="6">
        <f t="shared" si="885"/>
        <v>0</v>
      </c>
      <c r="AE5658" s="14">
        <f>VLOOKUP(I5658,[2]媒体政策预估表!A:N,MATCH(O5658,[2]媒体政策预估表!$A$2:$M$2,0),0)</f>
        <v>0.11</v>
      </c>
      <c r="AF5658" s="6">
        <f t="shared" si="881"/>
        <v>0</v>
      </c>
      <c r="AG5658" s="14">
        <v>0</v>
      </c>
      <c r="AH5658" s="64">
        <f t="shared" si="886"/>
        <v>0</v>
      </c>
      <c r="AI5658" s="47"/>
      <c r="AJ5658" s="126">
        <v>71</v>
      </c>
      <c r="AK5658" s="80">
        <f t="shared" si="889"/>
        <v>0</v>
      </c>
      <c r="AL5658" s="85"/>
      <c r="AM5658" s="85"/>
    </row>
    <row r="5659" spans="1:39" s="86" customFormat="1" ht="13.25" hidden="1" customHeight="1" x14ac:dyDescent="0.3">
      <c r="A5659" s="89" t="s">
        <v>3794</v>
      </c>
      <c r="B5659" s="86" t="s">
        <v>35</v>
      </c>
      <c r="C5659" s="86" t="s">
        <v>36</v>
      </c>
      <c r="D5659" s="86" t="s">
        <v>744</v>
      </c>
      <c r="E5659" s="86" t="s">
        <v>745</v>
      </c>
      <c r="F5659" s="86" t="s">
        <v>745</v>
      </c>
      <c r="G5659" s="86" t="s">
        <v>745</v>
      </c>
      <c r="H5659" s="143">
        <v>62</v>
      </c>
      <c r="I5659" s="86" t="s">
        <v>408</v>
      </c>
      <c r="J5659" s="1" t="s">
        <v>3324</v>
      </c>
      <c r="K5659" s="1" t="s">
        <v>3278</v>
      </c>
      <c r="L5659" s="1" t="s">
        <v>35</v>
      </c>
      <c r="M5659" s="86" t="s">
        <v>850</v>
      </c>
      <c r="O5659" s="47" t="s">
        <v>45</v>
      </c>
      <c r="P5659" s="14" t="s">
        <v>46</v>
      </c>
      <c r="Q5659" s="14">
        <v>0.08</v>
      </c>
      <c r="R5659" s="143">
        <v>1000021727</v>
      </c>
      <c r="S5659" s="47"/>
      <c r="T5659" s="6">
        <v>7.0000000000000007E-2</v>
      </c>
      <c r="U5659" s="6"/>
      <c r="V5659" s="6">
        <v>0</v>
      </c>
      <c r="W5659" s="6">
        <f t="shared" si="883"/>
        <v>7.0000000000000007E-2</v>
      </c>
      <c r="X5659" s="6">
        <f t="shared" si="882"/>
        <v>0</v>
      </c>
      <c r="Y5659" s="13">
        <f t="shared" si="887"/>
        <v>0</v>
      </c>
      <c r="Z5659" s="14">
        <v>0</v>
      </c>
      <c r="AA5659" s="6">
        <v>0</v>
      </c>
      <c r="AB5659" s="4"/>
      <c r="AC5659" s="6">
        <f t="shared" si="884"/>
        <v>0</v>
      </c>
      <c r="AD5659" s="6">
        <f t="shared" si="885"/>
        <v>0</v>
      </c>
      <c r="AE5659" s="14">
        <f>VLOOKUP(I5659,[2]媒体政策预估表!A:N,MATCH(O5659,[2]媒体政策预估表!$A$2:$M$2,0),0)</f>
        <v>0.11</v>
      </c>
      <c r="AF5659" s="6">
        <f t="shared" si="881"/>
        <v>0</v>
      </c>
      <c r="AG5659" s="14">
        <v>0</v>
      </c>
      <c r="AH5659" s="64">
        <f t="shared" si="886"/>
        <v>0</v>
      </c>
      <c r="AI5659" s="47"/>
      <c r="AJ5659" s="126">
        <v>71</v>
      </c>
      <c r="AK5659" s="80">
        <f t="shared" si="889"/>
        <v>0</v>
      </c>
      <c r="AL5659" s="85"/>
      <c r="AM5659" s="85"/>
    </row>
    <row r="5660" spans="1:39" s="86" customFormat="1" ht="13.25" hidden="1" customHeight="1" x14ac:dyDescent="0.3">
      <c r="A5660" s="89" t="s">
        <v>3794</v>
      </c>
      <c r="B5660" s="86" t="s">
        <v>35</v>
      </c>
      <c r="C5660" s="86" t="s">
        <v>36</v>
      </c>
      <c r="D5660" s="86" t="s">
        <v>744</v>
      </c>
      <c r="E5660" s="86" t="s">
        <v>745</v>
      </c>
      <c r="F5660" s="86" t="s">
        <v>745</v>
      </c>
      <c r="G5660" s="86" t="s">
        <v>745</v>
      </c>
      <c r="H5660" s="143">
        <v>62</v>
      </c>
      <c r="I5660" s="86" t="s">
        <v>408</v>
      </c>
      <c r="J5660" s="1" t="s">
        <v>3324</v>
      </c>
      <c r="K5660" s="1" t="s">
        <v>3278</v>
      </c>
      <c r="L5660" s="1" t="s">
        <v>35</v>
      </c>
      <c r="M5660" s="86" t="s">
        <v>851</v>
      </c>
      <c r="O5660" s="47" t="s">
        <v>45</v>
      </c>
      <c r="P5660" s="14" t="s">
        <v>46</v>
      </c>
      <c r="Q5660" s="14">
        <v>0.08</v>
      </c>
      <c r="R5660" s="143">
        <v>1000021711</v>
      </c>
      <c r="S5660" s="47"/>
      <c r="T5660" s="6">
        <v>0.57999999999999996</v>
      </c>
      <c r="U5660" s="6"/>
      <c r="V5660" s="6">
        <v>0</v>
      </c>
      <c r="W5660" s="6">
        <f t="shared" si="883"/>
        <v>0.57999999999999996</v>
      </c>
      <c r="X5660" s="6">
        <f t="shared" si="882"/>
        <v>0</v>
      </c>
      <c r="Y5660" s="13">
        <f t="shared" si="887"/>
        <v>0</v>
      </c>
      <c r="Z5660" s="14">
        <v>0</v>
      </c>
      <c r="AA5660" s="6">
        <v>0</v>
      </c>
      <c r="AB5660" s="4"/>
      <c r="AC5660" s="6">
        <f t="shared" si="884"/>
        <v>0</v>
      </c>
      <c r="AD5660" s="6">
        <f t="shared" si="885"/>
        <v>0</v>
      </c>
      <c r="AE5660" s="14">
        <f>VLOOKUP(I5660,[2]媒体政策预估表!A:N,MATCH(O5660,[2]媒体政策预估表!$A$2:$M$2,0),0)</f>
        <v>0.11</v>
      </c>
      <c r="AF5660" s="6">
        <f t="shared" si="881"/>
        <v>0</v>
      </c>
      <c r="AG5660" s="14">
        <v>0</v>
      </c>
      <c r="AH5660" s="64">
        <f t="shared" si="886"/>
        <v>0</v>
      </c>
      <c r="AI5660" s="47"/>
      <c r="AJ5660" s="126">
        <v>71</v>
      </c>
      <c r="AK5660" s="80">
        <f t="shared" si="889"/>
        <v>0</v>
      </c>
      <c r="AL5660" s="85"/>
      <c r="AM5660" s="85"/>
    </row>
    <row r="5661" spans="1:39" s="86" customFormat="1" ht="13.25" hidden="1" customHeight="1" x14ac:dyDescent="0.3">
      <c r="A5661" s="89" t="s">
        <v>3794</v>
      </c>
      <c r="B5661" s="86" t="s">
        <v>35</v>
      </c>
      <c r="C5661" s="86" t="s">
        <v>36</v>
      </c>
      <c r="D5661" s="86" t="s">
        <v>744</v>
      </c>
      <c r="E5661" s="86" t="s">
        <v>745</v>
      </c>
      <c r="F5661" s="86" t="s">
        <v>745</v>
      </c>
      <c r="G5661" s="86" t="s">
        <v>745</v>
      </c>
      <c r="H5661" s="143">
        <v>62</v>
      </c>
      <c r="I5661" s="86" t="s">
        <v>408</v>
      </c>
      <c r="J5661" s="1" t="s">
        <v>3324</v>
      </c>
      <c r="K5661" s="1" t="s">
        <v>3278</v>
      </c>
      <c r="L5661" s="1" t="s">
        <v>35</v>
      </c>
      <c r="M5661" s="86" t="s">
        <v>852</v>
      </c>
      <c r="O5661" s="47" t="s">
        <v>45</v>
      </c>
      <c r="P5661" s="14" t="s">
        <v>46</v>
      </c>
      <c r="Q5661" s="14">
        <v>0.08</v>
      </c>
      <c r="R5661" s="143">
        <v>1000023594</v>
      </c>
      <c r="S5661" s="47"/>
      <c r="T5661" s="6">
        <v>0.82</v>
      </c>
      <c r="U5661" s="6"/>
      <c r="V5661" s="6">
        <v>0</v>
      </c>
      <c r="W5661" s="6">
        <f t="shared" si="883"/>
        <v>0.82</v>
      </c>
      <c r="X5661" s="6">
        <f t="shared" si="882"/>
        <v>0</v>
      </c>
      <c r="Y5661" s="13">
        <f t="shared" si="887"/>
        <v>0</v>
      </c>
      <c r="Z5661" s="14">
        <v>0</v>
      </c>
      <c r="AA5661" s="6">
        <v>0</v>
      </c>
      <c r="AB5661" s="4"/>
      <c r="AC5661" s="6">
        <f t="shared" si="884"/>
        <v>0</v>
      </c>
      <c r="AD5661" s="6">
        <f t="shared" si="885"/>
        <v>0</v>
      </c>
      <c r="AE5661" s="14">
        <f>VLOOKUP(I5661,[2]媒体政策预估表!A:N,MATCH(O5661,[2]媒体政策预估表!$A$2:$M$2,0),0)</f>
        <v>0.11</v>
      </c>
      <c r="AF5661" s="6">
        <f t="shared" si="881"/>
        <v>0</v>
      </c>
      <c r="AG5661" s="14">
        <v>0</v>
      </c>
      <c r="AH5661" s="64">
        <f t="shared" si="886"/>
        <v>0</v>
      </c>
      <c r="AI5661" s="47"/>
      <c r="AJ5661" s="126">
        <v>71</v>
      </c>
      <c r="AK5661" s="80">
        <f t="shared" si="889"/>
        <v>0</v>
      </c>
      <c r="AL5661" s="85"/>
      <c r="AM5661" s="85"/>
    </row>
    <row r="5662" spans="1:39" s="86" customFormat="1" ht="13.25" hidden="1" customHeight="1" x14ac:dyDescent="0.3">
      <c r="A5662" s="89" t="s">
        <v>3794</v>
      </c>
      <c r="B5662" s="86" t="s">
        <v>35</v>
      </c>
      <c r="C5662" s="86" t="s">
        <v>36</v>
      </c>
      <c r="D5662" s="86" t="s">
        <v>744</v>
      </c>
      <c r="E5662" s="86" t="s">
        <v>745</v>
      </c>
      <c r="F5662" s="86" t="s">
        <v>745</v>
      </c>
      <c r="G5662" s="86" t="s">
        <v>745</v>
      </c>
      <c r="H5662" s="143">
        <v>62</v>
      </c>
      <c r="I5662" s="86" t="s">
        <v>408</v>
      </c>
      <c r="J5662" s="1" t="s">
        <v>3324</v>
      </c>
      <c r="K5662" s="1" t="s">
        <v>3278</v>
      </c>
      <c r="L5662" s="1" t="s">
        <v>35</v>
      </c>
      <c r="M5662" s="86" t="s">
        <v>853</v>
      </c>
      <c r="O5662" s="47" t="s">
        <v>45</v>
      </c>
      <c r="P5662" s="14" t="s">
        <v>46</v>
      </c>
      <c r="Q5662" s="14">
        <v>0.08</v>
      </c>
      <c r="R5662" s="143">
        <v>1000022894</v>
      </c>
      <c r="S5662" s="47"/>
      <c r="T5662" s="6">
        <v>0.05</v>
      </c>
      <c r="U5662" s="6"/>
      <c r="V5662" s="6">
        <v>0</v>
      </c>
      <c r="W5662" s="6">
        <f t="shared" si="883"/>
        <v>0.05</v>
      </c>
      <c r="X5662" s="6">
        <f t="shared" si="882"/>
        <v>0</v>
      </c>
      <c r="Y5662" s="13">
        <f t="shared" si="887"/>
        <v>0</v>
      </c>
      <c r="Z5662" s="14">
        <v>0</v>
      </c>
      <c r="AA5662" s="6">
        <v>0</v>
      </c>
      <c r="AB5662" s="4"/>
      <c r="AC5662" s="6">
        <f t="shared" si="884"/>
        <v>0</v>
      </c>
      <c r="AD5662" s="6">
        <f t="shared" si="885"/>
        <v>0</v>
      </c>
      <c r="AE5662" s="14">
        <f>VLOOKUP(I5662,[2]媒体政策预估表!A:N,MATCH(O5662,[2]媒体政策预估表!$A$2:$M$2,0),0)</f>
        <v>0.11</v>
      </c>
      <c r="AF5662" s="6">
        <f t="shared" si="881"/>
        <v>0</v>
      </c>
      <c r="AG5662" s="14">
        <v>0</v>
      </c>
      <c r="AH5662" s="64">
        <f t="shared" si="886"/>
        <v>0</v>
      </c>
      <c r="AI5662" s="47"/>
      <c r="AJ5662" s="126">
        <v>71</v>
      </c>
      <c r="AK5662" s="80">
        <f t="shared" si="889"/>
        <v>0</v>
      </c>
      <c r="AL5662" s="85"/>
      <c r="AM5662" s="85"/>
    </row>
    <row r="5663" spans="1:39" s="86" customFormat="1" ht="13.25" hidden="1" customHeight="1" x14ac:dyDescent="0.3">
      <c r="A5663" s="89" t="s">
        <v>3792</v>
      </c>
      <c r="B5663" s="86" t="s">
        <v>35</v>
      </c>
      <c r="C5663" s="86" t="s">
        <v>36</v>
      </c>
      <c r="D5663" s="86" t="s">
        <v>744</v>
      </c>
      <c r="E5663" s="86" t="s">
        <v>854</v>
      </c>
      <c r="F5663" s="86" t="s">
        <v>854</v>
      </c>
      <c r="G5663" s="86" t="s">
        <v>854</v>
      </c>
      <c r="H5663" s="143">
        <v>62</v>
      </c>
      <c r="I5663" s="86" t="s">
        <v>408</v>
      </c>
      <c r="J5663" s="1" t="s">
        <v>3324</v>
      </c>
      <c r="K5663" s="1" t="s">
        <v>3278</v>
      </c>
      <c r="L5663" s="1" t="s">
        <v>35</v>
      </c>
      <c r="M5663" s="86" t="s">
        <v>855</v>
      </c>
      <c r="O5663" s="47" t="s">
        <v>45</v>
      </c>
      <c r="P5663" s="14" t="s">
        <v>46</v>
      </c>
      <c r="Q5663" s="14">
        <v>0.08</v>
      </c>
      <c r="R5663" s="143">
        <v>1000051670</v>
      </c>
      <c r="S5663" s="47"/>
      <c r="T5663" s="6">
        <v>6673.14</v>
      </c>
      <c r="U5663" s="6"/>
      <c r="V5663" s="6">
        <v>0</v>
      </c>
      <c r="W5663" s="6">
        <f t="shared" si="883"/>
        <v>6673.14</v>
      </c>
      <c r="X5663" s="6">
        <f t="shared" si="882"/>
        <v>0</v>
      </c>
      <c r="Y5663" s="13">
        <f t="shared" si="887"/>
        <v>0</v>
      </c>
      <c r="Z5663" s="14">
        <v>0</v>
      </c>
      <c r="AA5663" s="6">
        <v>0</v>
      </c>
      <c r="AB5663" s="4"/>
      <c r="AC5663" s="6">
        <f t="shared" si="884"/>
        <v>0</v>
      </c>
      <c r="AD5663" s="6">
        <f t="shared" si="885"/>
        <v>0</v>
      </c>
      <c r="AE5663" s="14">
        <f>VLOOKUP(I5663,[2]媒体政策预估表!A:N,MATCH(O5663,[2]媒体政策预估表!$A$2:$M$2,0),0)</f>
        <v>0.11</v>
      </c>
      <c r="AF5663" s="6">
        <f t="shared" si="881"/>
        <v>0</v>
      </c>
      <c r="AG5663" s="14">
        <v>0</v>
      </c>
      <c r="AH5663" s="64">
        <f t="shared" si="886"/>
        <v>0</v>
      </c>
      <c r="AI5663" s="47"/>
      <c r="AJ5663" s="126">
        <v>31</v>
      </c>
      <c r="AK5663" s="80">
        <f t="shared" si="889"/>
        <v>0</v>
      </c>
      <c r="AL5663" s="85"/>
      <c r="AM5663" s="85"/>
    </row>
    <row r="5664" spans="1:39" s="86" customFormat="1" ht="13.25" hidden="1" customHeight="1" x14ac:dyDescent="0.3">
      <c r="A5664" s="89" t="s">
        <v>3792</v>
      </c>
      <c r="B5664" s="86" t="s">
        <v>35</v>
      </c>
      <c r="C5664" s="86" t="s">
        <v>36</v>
      </c>
      <c r="D5664" s="86" t="s">
        <v>744</v>
      </c>
      <c r="E5664" s="86" t="s">
        <v>854</v>
      </c>
      <c r="F5664" s="86" t="s">
        <v>854</v>
      </c>
      <c r="G5664" s="86" t="s">
        <v>854</v>
      </c>
      <c r="H5664" s="143">
        <v>62</v>
      </c>
      <c r="I5664" s="86" t="s">
        <v>408</v>
      </c>
      <c r="J5664" s="1" t="s">
        <v>3324</v>
      </c>
      <c r="K5664" s="1" t="s">
        <v>3278</v>
      </c>
      <c r="L5664" s="1" t="s">
        <v>35</v>
      </c>
      <c r="M5664" s="86" t="s">
        <v>856</v>
      </c>
      <c r="O5664" s="47" t="s">
        <v>410</v>
      </c>
      <c r="P5664" s="14" t="s">
        <v>46</v>
      </c>
      <c r="Q5664" s="14">
        <v>0.02</v>
      </c>
      <c r="R5664" s="143">
        <v>1000045688</v>
      </c>
      <c r="S5664" s="47"/>
      <c r="T5664" s="6">
        <v>5730.63</v>
      </c>
      <c r="U5664" s="6"/>
      <c r="V5664" s="6">
        <v>0</v>
      </c>
      <c r="W5664" s="6">
        <f t="shared" si="883"/>
        <v>5730.63</v>
      </c>
      <c r="X5664" s="6">
        <f t="shared" si="882"/>
        <v>0</v>
      </c>
      <c r="Y5664" s="13">
        <f t="shared" si="887"/>
        <v>0</v>
      </c>
      <c r="Z5664" s="14">
        <v>0</v>
      </c>
      <c r="AA5664" s="6">
        <v>0</v>
      </c>
      <c r="AB5664" s="4"/>
      <c r="AC5664" s="6">
        <f t="shared" si="884"/>
        <v>0</v>
      </c>
      <c r="AD5664" s="6">
        <f t="shared" si="885"/>
        <v>0</v>
      </c>
      <c r="AE5664" s="14">
        <f>VLOOKUP(I5664,[2]媒体政策预估表!A:N,MATCH(O5664,[2]媒体政策预估表!$A$2:$M$2,0),0)</f>
        <v>7.0000000000000007E-2</v>
      </c>
      <c r="AF5664" s="6">
        <f t="shared" si="881"/>
        <v>0</v>
      </c>
      <c r="AG5664" s="14">
        <v>0</v>
      </c>
      <c r="AH5664" s="64">
        <f t="shared" si="886"/>
        <v>0</v>
      </c>
      <c r="AI5664" s="47"/>
      <c r="AJ5664" s="126">
        <v>31</v>
      </c>
      <c r="AK5664" s="80">
        <f t="shared" si="889"/>
        <v>0</v>
      </c>
      <c r="AL5664" s="85"/>
      <c r="AM5664" s="85"/>
    </row>
    <row r="5665" spans="1:39" s="86" customFormat="1" ht="13.25" hidden="1" customHeight="1" x14ac:dyDescent="0.3">
      <c r="A5665" s="89" t="s">
        <v>3794</v>
      </c>
      <c r="B5665" s="86" t="s">
        <v>35</v>
      </c>
      <c r="C5665" s="86" t="s">
        <v>36</v>
      </c>
      <c r="D5665" s="86" t="s">
        <v>744</v>
      </c>
      <c r="E5665" s="86" t="s">
        <v>857</v>
      </c>
      <c r="F5665" s="86" t="s">
        <v>857</v>
      </c>
      <c r="G5665" s="86" t="s">
        <v>857</v>
      </c>
      <c r="H5665" s="143">
        <v>62</v>
      </c>
      <c r="I5665" s="86" t="s">
        <v>408</v>
      </c>
      <c r="J5665" s="1" t="s">
        <v>3324</v>
      </c>
      <c r="K5665" s="1" t="s">
        <v>3278</v>
      </c>
      <c r="L5665" s="1" t="s">
        <v>35</v>
      </c>
      <c r="M5665" s="86" t="s">
        <v>858</v>
      </c>
      <c r="O5665" s="47" t="s">
        <v>45</v>
      </c>
      <c r="P5665" s="14" t="s">
        <v>46</v>
      </c>
      <c r="Q5665" s="14">
        <v>0.17</v>
      </c>
      <c r="R5665" s="143">
        <v>1000022881</v>
      </c>
      <c r="S5665" s="47"/>
      <c r="T5665" s="6">
        <v>7525.93</v>
      </c>
      <c r="U5665" s="6"/>
      <c r="V5665" s="6">
        <v>0</v>
      </c>
      <c r="W5665" s="6">
        <f t="shared" si="883"/>
        <v>7525.93</v>
      </c>
      <c r="X5665" s="6">
        <f t="shared" si="882"/>
        <v>0</v>
      </c>
      <c r="Y5665" s="13">
        <f t="shared" si="887"/>
        <v>0</v>
      </c>
      <c r="Z5665" s="14">
        <v>0</v>
      </c>
      <c r="AA5665" s="6">
        <v>0</v>
      </c>
      <c r="AB5665" s="4">
        <f t="shared" si="888"/>
        <v>0</v>
      </c>
      <c r="AC5665" s="6">
        <f t="shared" si="884"/>
        <v>0</v>
      </c>
      <c r="AD5665" s="6">
        <f t="shared" si="885"/>
        <v>0</v>
      </c>
      <c r="AE5665" s="14">
        <f>VLOOKUP(I5665,[2]媒体政策预估表!A:N,MATCH(O5665,[2]媒体政策预估表!$A$2:$M$2,0),0)</f>
        <v>0.11</v>
      </c>
      <c r="AF5665" s="6">
        <f t="shared" si="881"/>
        <v>0</v>
      </c>
      <c r="AG5665" s="14">
        <v>0</v>
      </c>
      <c r="AH5665" s="64">
        <f t="shared" si="886"/>
        <v>0</v>
      </c>
      <c r="AI5665" s="47"/>
      <c r="AJ5665" s="126" t="e">
        <v>#N/A</v>
      </c>
      <c r="AK5665" s="80">
        <f t="shared" si="889"/>
        <v>0</v>
      </c>
      <c r="AL5665" s="85"/>
      <c r="AM5665" s="85"/>
    </row>
    <row r="5666" spans="1:39" s="86" customFormat="1" ht="13.25" hidden="1" customHeight="1" x14ac:dyDescent="0.3">
      <c r="A5666" s="89" t="s">
        <v>3806</v>
      </c>
      <c r="B5666" s="86" t="s">
        <v>35</v>
      </c>
      <c r="C5666" s="86" t="s">
        <v>36</v>
      </c>
      <c r="D5666" s="86" t="s">
        <v>744</v>
      </c>
      <c r="E5666" s="86" t="s">
        <v>859</v>
      </c>
      <c r="F5666" s="86" t="s">
        <v>859</v>
      </c>
      <c r="G5666" s="86" t="s">
        <v>859</v>
      </c>
      <c r="H5666" s="143">
        <v>62</v>
      </c>
      <c r="I5666" s="86" t="s">
        <v>408</v>
      </c>
      <c r="J5666" s="1" t="s">
        <v>3324</v>
      </c>
      <c r="K5666" s="1" t="s">
        <v>3278</v>
      </c>
      <c r="L5666" s="1" t="s">
        <v>35</v>
      </c>
      <c r="M5666" s="86" t="s">
        <v>860</v>
      </c>
      <c r="O5666" s="47" t="s">
        <v>410</v>
      </c>
      <c r="P5666" s="14" t="s">
        <v>46</v>
      </c>
      <c r="Q5666" s="14">
        <v>0.08</v>
      </c>
      <c r="R5666" s="143">
        <v>1000027727</v>
      </c>
      <c r="S5666" s="47"/>
      <c r="T5666" s="6">
        <v>7172</v>
      </c>
      <c r="U5666" s="6"/>
      <c r="V5666" s="6">
        <v>0</v>
      </c>
      <c r="W5666" s="6">
        <f t="shared" si="883"/>
        <v>7172</v>
      </c>
      <c r="X5666" s="6">
        <f t="shared" si="882"/>
        <v>0</v>
      </c>
      <c r="Y5666" s="13">
        <f t="shared" si="887"/>
        <v>0</v>
      </c>
      <c r="Z5666" s="14">
        <v>0</v>
      </c>
      <c r="AA5666" s="6">
        <v>0</v>
      </c>
      <c r="AB5666" s="4">
        <f t="shared" si="888"/>
        <v>0</v>
      </c>
      <c r="AC5666" s="6">
        <f t="shared" si="884"/>
        <v>0</v>
      </c>
      <c r="AD5666" s="6">
        <f t="shared" si="885"/>
        <v>0</v>
      </c>
      <c r="AE5666" s="14">
        <f>VLOOKUP(I5666,[2]媒体政策预估表!A:N,MATCH(O5666,[2]媒体政策预估表!$A$2:$M$2,0),0)</f>
        <v>7.0000000000000007E-2</v>
      </c>
      <c r="AF5666" s="6">
        <f t="shared" si="881"/>
        <v>0</v>
      </c>
      <c r="AG5666" s="14">
        <v>0</v>
      </c>
      <c r="AH5666" s="64">
        <f t="shared" si="886"/>
        <v>0</v>
      </c>
      <c r="AI5666" s="47"/>
      <c r="AJ5666" s="126" t="e">
        <v>#N/A</v>
      </c>
      <c r="AK5666" s="80">
        <f t="shared" si="889"/>
        <v>0</v>
      </c>
      <c r="AL5666" s="85"/>
      <c r="AM5666" s="85"/>
    </row>
    <row r="5667" spans="1:39" s="86" customFormat="1" ht="13.25" hidden="1" customHeight="1" x14ac:dyDescent="0.3">
      <c r="A5667" s="89" t="s">
        <v>3852</v>
      </c>
      <c r="B5667" s="86" t="s">
        <v>35</v>
      </c>
      <c r="C5667" s="86" t="s">
        <v>65</v>
      </c>
      <c r="D5667" s="86" t="s">
        <v>66</v>
      </c>
      <c r="E5667" s="86" t="s">
        <v>861</v>
      </c>
      <c r="F5667" s="86" t="s">
        <v>861</v>
      </c>
      <c r="G5667" s="86" t="s">
        <v>861</v>
      </c>
      <c r="H5667" s="143">
        <v>62</v>
      </c>
      <c r="I5667" s="86" t="s">
        <v>408</v>
      </c>
      <c r="J5667" s="1" t="s">
        <v>3324</v>
      </c>
      <c r="K5667" s="1" t="s">
        <v>3278</v>
      </c>
      <c r="L5667" s="1" t="s">
        <v>35</v>
      </c>
      <c r="M5667" s="86" t="s">
        <v>862</v>
      </c>
      <c r="O5667" s="47" t="s">
        <v>410</v>
      </c>
      <c r="P5667" s="14" t="s">
        <v>46</v>
      </c>
      <c r="Q5667" s="14">
        <v>0.04</v>
      </c>
      <c r="R5667" s="143">
        <v>1000013455</v>
      </c>
      <c r="S5667" s="47"/>
      <c r="T5667" s="6">
        <v>28027.7</v>
      </c>
      <c r="U5667" s="6"/>
      <c r="V5667" s="6">
        <v>0</v>
      </c>
      <c r="W5667" s="6">
        <f t="shared" si="883"/>
        <v>28027.7</v>
      </c>
      <c r="X5667" s="6">
        <f t="shared" si="882"/>
        <v>0</v>
      </c>
      <c r="Y5667" s="13">
        <f t="shared" si="887"/>
        <v>0</v>
      </c>
      <c r="Z5667" s="14">
        <v>0</v>
      </c>
      <c r="AA5667" s="6">
        <v>0</v>
      </c>
      <c r="AB5667" s="4">
        <f t="shared" si="888"/>
        <v>0</v>
      </c>
      <c r="AC5667" s="6">
        <f t="shared" si="884"/>
        <v>0</v>
      </c>
      <c r="AD5667" s="6">
        <f t="shared" si="885"/>
        <v>0</v>
      </c>
      <c r="AE5667" s="14">
        <f>VLOOKUP(I5667,[2]媒体政策预估表!A:N,MATCH(O5667,[2]媒体政策预估表!$A$2:$M$2,0),0)</f>
        <v>7.0000000000000007E-2</v>
      </c>
      <c r="AF5667" s="6">
        <f t="shared" si="881"/>
        <v>0</v>
      </c>
      <c r="AG5667" s="14">
        <v>0</v>
      </c>
      <c r="AH5667" s="64">
        <f t="shared" si="886"/>
        <v>0</v>
      </c>
      <c r="AI5667" s="47"/>
      <c r="AJ5667" s="126" t="e">
        <v>#N/A</v>
      </c>
      <c r="AK5667" s="80">
        <f t="shared" si="889"/>
        <v>0</v>
      </c>
      <c r="AL5667" s="85"/>
      <c r="AM5667" s="85"/>
    </row>
    <row r="5668" spans="1:39" s="86" customFormat="1" ht="13.25" hidden="1" customHeight="1" x14ac:dyDescent="0.3">
      <c r="A5668" s="89" t="s">
        <v>3794</v>
      </c>
      <c r="B5668" s="86" t="s">
        <v>35</v>
      </c>
      <c r="C5668" s="86" t="s">
        <v>65</v>
      </c>
      <c r="D5668" s="86" t="s">
        <v>66</v>
      </c>
      <c r="E5668" s="86" t="s">
        <v>861</v>
      </c>
      <c r="F5668" s="86" t="s">
        <v>861</v>
      </c>
      <c r="G5668" s="86" t="s">
        <v>861</v>
      </c>
      <c r="H5668" s="143">
        <v>62</v>
      </c>
      <c r="I5668" s="86" t="s">
        <v>408</v>
      </c>
      <c r="J5668" s="1" t="s">
        <v>3324</v>
      </c>
      <c r="K5668" s="1" t="s">
        <v>3278</v>
      </c>
      <c r="L5668" s="1" t="s">
        <v>35</v>
      </c>
      <c r="M5668" s="86" t="s">
        <v>863</v>
      </c>
      <c r="O5668" s="47" t="s">
        <v>410</v>
      </c>
      <c r="P5668" s="14" t="s">
        <v>46</v>
      </c>
      <c r="Q5668" s="14">
        <v>0.04</v>
      </c>
      <c r="R5668" s="143">
        <v>1000001190</v>
      </c>
      <c r="S5668" s="47"/>
      <c r="T5668" s="6">
        <v>35733.800000000003</v>
      </c>
      <c r="U5668" s="6"/>
      <c r="V5668" s="6">
        <v>0</v>
      </c>
      <c r="W5668" s="6">
        <f t="shared" si="883"/>
        <v>35733.800000000003</v>
      </c>
      <c r="X5668" s="6">
        <f t="shared" si="882"/>
        <v>0</v>
      </c>
      <c r="Y5668" s="13">
        <f t="shared" si="887"/>
        <v>0</v>
      </c>
      <c r="Z5668" s="14">
        <v>0</v>
      </c>
      <c r="AA5668" s="6">
        <v>0</v>
      </c>
      <c r="AB5668" s="4">
        <f t="shared" si="888"/>
        <v>0</v>
      </c>
      <c r="AC5668" s="6">
        <f t="shared" si="884"/>
        <v>0</v>
      </c>
      <c r="AD5668" s="6">
        <f t="shared" si="885"/>
        <v>0</v>
      </c>
      <c r="AE5668" s="14">
        <f>VLOOKUP(I5668,[2]媒体政策预估表!A:N,MATCH(O5668,[2]媒体政策预估表!$A$2:$M$2,0),0)</f>
        <v>7.0000000000000007E-2</v>
      </c>
      <c r="AF5668" s="6">
        <f t="shared" ref="AF5668:AF5731" si="890">AD5668*AE5668</f>
        <v>0</v>
      </c>
      <c r="AG5668" s="14">
        <v>0</v>
      </c>
      <c r="AH5668" s="64">
        <f t="shared" si="886"/>
        <v>0</v>
      </c>
      <c r="AI5668" s="47"/>
      <c r="AJ5668" s="126" t="e">
        <v>#N/A</v>
      </c>
      <c r="AK5668" s="80">
        <f t="shared" si="889"/>
        <v>0</v>
      </c>
      <c r="AL5668" s="85"/>
      <c r="AM5668" s="85"/>
    </row>
    <row r="5669" spans="1:39" s="86" customFormat="1" ht="13.25" hidden="1" customHeight="1" x14ac:dyDescent="0.3">
      <c r="A5669" s="89" t="s">
        <v>3792</v>
      </c>
      <c r="B5669" s="86" t="s">
        <v>35</v>
      </c>
      <c r="C5669" s="86" t="s">
        <v>65</v>
      </c>
      <c r="D5669" s="86" t="s">
        <v>66</v>
      </c>
      <c r="E5669" s="86" t="s">
        <v>864</v>
      </c>
      <c r="F5669" s="86" t="s">
        <v>864</v>
      </c>
      <c r="G5669" s="86" t="s">
        <v>864</v>
      </c>
      <c r="H5669" s="143">
        <v>62</v>
      </c>
      <c r="I5669" s="86" t="s">
        <v>408</v>
      </c>
      <c r="J5669" s="1" t="s">
        <v>3324</v>
      </c>
      <c r="K5669" s="1" t="s">
        <v>3278</v>
      </c>
      <c r="L5669" s="1" t="s">
        <v>35</v>
      </c>
      <c r="M5669" s="86" t="s">
        <v>865</v>
      </c>
      <c r="O5669" s="47" t="s">
        <v>410</v>
      </c>
      <c r="P5669" s="14" t="s">
        <v>46</v>
      </c>
      <c r="Q5669" s="14">
        <v>7.0000000000000007E-2</v>
      </c>
      <c r="R5669" s="143">
        <v>1000001255</v>
      </c>
      <c r="S5669" s="47"/>
      <c r="T5669" s="6">
        <v>351</v>
      </c>
      <c r="U5669" s="6"/>
      <c r="V5669" s="6">
        <v>0</v>
      </c>
      <c r="W5669" s="6">
        <f t="shared" si="883"/>
        <v>351</v>
      </c>
      <c r="X5669" s="6">
        <f t="shared" si="882"/>
        <v>0</v>
      </c>
      <c r="Y5669" s="13">
        <f t="shared" si="887"/>
        <v>0</v>
      </c>
      <c r="Z5669" s="14">
        <v>0</v>
      </c>
      <c r="AA5669" s="6">
        <v>0</v>
      </c>
      <c r="AB5669" s="4">
        <f t="shared" si="888"/>
        <v>0</v>
      </c>
      <c r="AC5669" s="6">
        <f t="shared" si="884"/>
        <v>0</v>
      </c>
      <c r="AD5669" s="6">
        <f t="shared" si="885"/>
        <v>0</v>
      </c>
      <c r="AE5669" s="14">
        <f>VLOOKUP(I5669,[2]媒体政策预估表!A:N,MATCH(O5669,[2]媒体政策预估表!$A$2:$M$2,0),0)</f>
        <v>7.0000000000000007E-2</v>
      </c>
      <c r="AF5669" s="6">
        <f t="shared" si="890"/>
        <v>0</v>
      </c>
      <c r="AG5669" s="14">
        <v>0</v>
      </c>
      <c r="AH5669" s="64">
        <f t="shared" si="886"/>
        <v>0</v>
      </c>
      <c r="AI5669" s="47"/>
      <c r="AJ5669" s="126" t="e">
        <v>#N/A</v>
      </c>
      <c r="AK5669" s="80">
        <f t="shared" si="889"/>
        <v>0</v>
      </c>
      <c r="AL5669" s="85"/>
      <c r="AM5669" s="85"/>
    </row>
    <row r="5670" spans="1:39" s="86" customFormat="1" ht="13.25" hidden="1" customHeight="1" x14ac:dyDescent="0.3">
      <c r="A5670" s="89" t="s">
        <v>3794</v>
      </c>
      <c r="B5670" s="86" t="s">
        <v>35</v>
      </c>
      <c r="C5670" s="86" t="s">
        <v>65</v>
      </c>
      <c r="D5670" s="86" t="s">
        <v>66</v>
      </c>
      <c r="E5670" s="86" t="s">
        <v>866</v>
      </c>
      <c r="F5670" s="86" t="s">
        <v>867</v>
      </c>
      <c r="G5670" s="86" t="s">
        <v>866</v>
      </c>
      <c r="H5670" s="143">
        <v>62</v>
      </c>
      <c r="I5670" s="86" t="s">
        <v>408</v>
      </c>
      <c r="J5670" s="1" t="s">
        <v>3324</v>
      </c>
      <c r="K5670" s="1" t="s">
        <v>3278</v>
      </c>
      <c r="L5670" s="1" t="s">
        <v>35</v>
      </c>
      <c r="M5670" s="86" t="s">
        <v>868</v>
      </c>
      <c r="O5670" s="47" t="s">
        <v>410</v>
      </c>
      <c r="P5670" s="14" t="s">
        <v>46</v>
      </c>
      <c r="Q5670" s="14">
        <v>0.02</v>
      </c>
      <c r="R5670" s="143">
        <v>1000049631</v>
      </c>
      <c r="S5670" s="47"/>
      <c r="T5670" s="6">
        <v>32887.910000000003</v>
      </c>
      <c r="U5670" s="6"/>
      <c r="V5670" s="6">
        <v>0</v>
      </c>
      <c r="W5670" s="6">
        <f t="shared" si="883"/>
        <v>32887.910000000003</v>
      </c>
      <c r="X5670" s="6">
        <f t="shared" si="882"/>
        <v>0</v>
      </c>
      <c r="Y5670" s="13">
        <f t="shared" si="887"/>
        <v>0</v>
      </c>
      <c r="Z5670" s="14">
        <v>0</v>
      </c>
      <c r="AA5670" s="6">
        <v>0</v>
      </c>
      <c r="AB5670" s="4">
        <f t="shared" si="888"/>
        <v>0</v>
      </c>
      <c r="AC5670" s="6">
        <f t="shared" si="884"/>
        <v>0</v>
      </c>
      <c r="AD5670" s="6">
        <f t="shared" si="885"/>
        <v>0</v>
      </c>
      <c r="AE5670" s="14">
        <f>VLOOKUP(I5670,[2]媒体政策预估表!A:N,MATCH(O5670,[2]媒体政策预估表!$A$2:$M$2,0),0)</f>
        <v>7.0000000000000007E-2</v>
      </c>
      <c r="AF5670" s="6">
        <f t="shared" si="890"/>
        <v>0</v>
      </c>
      <c r="AG5670" s="14">
        <v>0</v>
      </c>
      <c r="AH5670" s="64">
        <f t="shared" si="886"/>
        <v>0</v>
      </c>
      <c r="AI5670" s="47"/>
      <c r="AJ5670" s="126" t="e">
        <v>#N/A</v>
      </c>
      <c r="AK5670" s="80">
        <f t="shared" si="889"/>
        <v>0</v>
      </c>
      <c r="AL5670" s="85"/>
      <c r="AM5670" s="85"/>
    </row>
    <row r="5671" spans="1:39" s="86" customFormat="1" ht="13.25" hidden="1" customHeight="1" x14ac:dyDescent="0.3">
      <c r="A5671" s="89" t="s">
        <v>3794</v>
      </c>
      <c r="B5671" s="86" t="s">
        <v>35</v>
      </c>
      <c r="C5671" s="86" t="s">
        <v>65</v>
      </c>
      <c r="D5671" s="86" t="s">
        <v>66</v>
      </c>
      <c r="E5671" s="86" t="s">
        <v>869</v>
      </c>
      <c r="F5671" s="86" t="s">
        <v>869</v>
      </c>
      <c r="G5671" s="86" t="s">
        <v>869</v>
      </c>
      <c r="H5671" s="143">
        <v>62</v>
      </c>
      <c r="I5671" s="86" t="s">
        <v>408</v>
      </c>
      <c r="J5671" s="1" t="s">
        <v>3324</v>
      </c>
      <c r="K5671" s="1" t="s">
        <v>3278</v>
      </c>
      <c r="L5671" s="1" t="s">
        <v>35</v>
      </c>
      <c r="M5671" s="86" t="s">
        <v>870</v>
      </c>
      <c r="O5671" s="47" t="s">
        <v>410</v>
      </c>
      <c r="P5671" s="14" t="s">
        <v>41</v>
      </c>
      <c r="Q5671" s="14">
        <v>0</v>
      </c>
      <c r="R5671" s="143">
        <v>1000002672</v>
      </c>
      <c r="S5671" s="47"/>
      <c r="T5671" s="6">
        <v>16499.900000000001</v>
      </c>
      <c r="U5671" s="6"/>
      <c r="V5671" s="6">
        <v>0</v>
      </c>
      <c r="W5671" s="6">
        <f t="shared" si="883"/>
        <v>16499.900000000001</v>
      </c>
      <c r="X5671" s="6">
        <f t="shared" si="882"/>
        <v>0</v>
      </c>
      <c r="Y5671" s="13">
        <f t="shared" si="887"/>
        <v>0</v>
      </c>
      <c r="Z5671" s="14">
        <v>0</v>
      </c>
      <c r="AA5671" s="6">
        <v>0</v>
      </c>
      <c r="AB5671" s="4">
        <f t="shared" si="888"/>
        <v>0</v>
      </c>
      <c r="AC5671" s="6">
        <f t="shared" si="884"/>
        <v>0</v>
      </c>
      <c r="AD5671" s="6">
        <f t="shared" si="885"/>
        <v>0</v>
      </c>
      <c r="AE5671" s="14">
        <f>VLOOKUP(I5671,[2]媒体政策预估表!A:N,MATCH(O5671,[2]媒体政策预估表!$A$2:$M$2,0),0)</f>
        <v>7.0000000000000007E-2</v>
      </c>
      <c r="AF5671" s="6">
        <f t="shared" si="890"/>
        <v>0</v>
      </c>
      <c r="AG5671" s="14">
        <v>0</v>
      </c>
      <c r="AH5671" s="64">
        <f t="shared" si="886"/>
        <v>0</v>
      </c>
      <c r="AI5671" s="47"/>
      <c r="AJ5671" s="126" t="e">
        <v>#N/A</v>
      </c>
      <c r="AK5671" s="80">
        <f t="shared" si="889"/>
        <v>0</v>
      </c>
      <c r="AL5671" s="85"/>
      <c r="AM5671" s="85"/>
    </row>
    <row r="5672" spans="1:39" s="86" customFormat="1" ht="13.25" hidden="1" customHeight="1" x14ac:dyDescent="0.3">
      <c r="A5672" s="89" t="s">
        <v>3794</v>
      </c>
      <c r="B5672" s="86" t="s">
        <v>35</v>
      </c>
      <c r="C5672" s="86" t="s">
        <v>65</v>
      </c>
      <c r="D5672" s="86" t="s">
        <v>122</v>
      </c>
      <c r="E5672" s="86" t="s">
        <v>871</v>
      </c>
      <c r="F5672" s="86" t="s">
        <v>872</v>
      </c>
      <c r="G5672" s="86" t="s">
        <v>871</v>
      </c>
      <c r="H5672" s="143">
        <v>62</v>
      </c>
      <c r="I5672" s="86" t="s">
        <v>408</v>
      </c>
      <c r="J5672" s="1" t="s">
        <v>3324</v>
      </c>
      <c r="K5672" s="1" t="s">
        <v>3278</v>
      </c>
      <c r="L5672" s="1" t="s">
        <v>35</v>
      </c>
      <c r="M5672" s="86" t="s">
        <v>873</v>
      </c>
      <c r="O5672" s="47" t="s">
        <v>410</v>
      </c>
      <c r="P5672" s="14" t="s">
        <v>46</v>
      </c>
      <c r="Q5672" s="14">
        <v>0.04</v>
      </c>
      <c r="R5672" s="143">
        <v>1000008084</v>
      </c>
      <c r="S5672" s="47"/>
      <c r="T5672" s="6">
        <v>15897.1</v>
      </c>
      <c r="U5672" s="6"/>
      <c r="V5672" s="6">
        <v>0</v>
      </c>
      <c r="W5672" s="6">
        <f t="shared" si="883"/>
        <v>15897.1</v>
      </c>
      <c r="X5672" s="6">
        <f t="shared" si="882"/>
        <v>0</v>
      </c>
      <c r="Y5672" s="13">
        <f t="shared" si="887"/>
        <v>0</v>
      </c>
      <c r="Z5672" s="14">
        <v>0</v>
      </c>
      <c r="AA5672" s="6">
        <v>0</v>
      </c>
      <c r="AB5672" s="4">
        <f t="shared" si="888"/>
        <v>0</v>
      </c>
      <c r="AC5672" s="6">
        <f t="shared" si="884"/>
        <v>0</v>
      </c>
      <c r="AD5672" s="6">
        <f t="shared" si="885"/>
        <v>0</v>
      </c>
      <c r="AE5672" s="14">
        <f>VLOOKUP(I5672,[2]媒体政策预估表!A:N,MATCH(O5672,[2]媒体政策预估表!$A$2:$M$2,0),0)</f>
        <v>7.0000000000000007E-2</v>
      </c>
      <c r="AF5672" s="6">
        <f t="shared" si="890"/>
        <v>0</v>
      </c>
      <c r="AG5672" s="14">
        <v>0</v>
      </c>
      <c r="AH5672" s="64">
        <f t="shared" si="886"/>
        <v>0</v>
      </c>
      <c r="AI5672" s="47"/>
      <c r="AJ5672" s="126" t="e">
        <v>#N/A</v>
      </c>
      <c r="AK5672" s="80">
        <f t="shared" si="889"/>
        <v>0</v>
      </c>
      <c r="AL5672" s="85"/>
      <c r="AM5672" s="85"/>
    </row>
    <row r="5673" spans="1:39" s="86" customFormat="1" ht="13.25" hidden="1" customHeight="1" x14ac:dyDescent="0.3">
      <c r="A5673" s="89" t="s">
        <v>3806</v>
      </c>
      <c r="B5673" s="86" t="s">
        <v>35</v>
      </c>
      <c r="C5673" s="86" t="s">
        <v>65</v>
      </c>
      <c r="D5673" s="86" t="s">
        <v>122</v>
      </c>
      <c r="E5673" s="86" t="s">
        <v>874</v>
      </c>
      <c r="F5673" s="86" t="s">
        <v>874</v>
      </c>
      <c r="G5673" s="86" t="s">
        <v>874</v>
      </c>
      <c r="H5673" s="143">
        <v>62</v>
      </c>
      <c r="I5673" s="86" t="s">
        <v>408</v>
      </c>
      <c r="J5673" s="1" t="s">
        <v>3324</v>
      </c>
      <c r="K5673" s="1" t="s">
        <v>3278</v>
      </c>
      <c r="L5673" s="1" t="s">
        <v>35</v>
      </c>
      <c r="M5673" s="86" t="s">
        <v>875</v>
      </c>
      <c r="O5673" s="47" t="s">
        <v>45</v>
      </c>
      <c r="P5673" s="14" t="s">
        <v>46</v>
      </c>
      <c r="Q5673" s="14">
        <v>0.08</v>
      </c>
      <c r="R5673" s="143">
        <v>1000022027</v>
      </c>
      <c r="S5673" s="47"/>
      <c r="T5673" s="6">
        <v>2400</v>
      </c>
      <c r="U5673" s="6"/>
      <c r="V5673" s="6">
        <v>0</v>
      </c>
      <c r="W5673" s="6">
        <f t="shared" si="883"/>
        <v>2400</v>
      </c>
      <c r="X5673" s="6">
        <f t="shared" si="882"/>
        <v>0</v>
      </c>
      <c r="Y5673" s="13">
        <f t="shared" si="887"/>
        <v>0</v>
      </c>
      <c r="Z5673" s="14">
        <v>0</v>
      </c>
      <c r="AA5673" s="6">
        <v>0</v>
      </c>
      <c r="AB5673" s="4">
        <f t="shared" si="888"/>
        <v>0</v>
      </c>
      <c r="AC5673" s="6">
        <f t="shared" si="884"/>
        <v>0</v>
      </c>
      <c r="AD5673" s="6">
        <f t="shared" si="885"/>
        <v>0</v>
      </c>
      <c r="AE5673" s="14">
        <f>VLOOKUP(I5673,[2]媒体政策预估表!A:N,MATCH(O5673,[2]媒体政策预估表!$A$2:$M$2,0),0)</f>
        <v>0.11</v>
      </c>
      <c r="AF5673" s="6">
        <f t="shared" si="890"/>
        <v>0</v>
      </c>
      <c r="AG5673" s="14">
        <v>0</v>
      </c>
      <c r="AH5673" s="64">
        <f t="shared" si="886"/>
        <v>0</v>
      </c>
      <c r="AI5673" s="47"/>
      <c r="AJ5673" s="126" t="e">
        <v>#N/A</v>
      </c>
      <c r="AK5673" s="80">
        <f t="shared" si="889"/>
        <v>0</v>
      </c>
      <c r="AL5673" s="85"/>
      <c r="AM5673" s="85"/>
    </row>
    <row r="5674" spans="1:39" s="86" customFormat="1" ht="13.25" hidden="1" customHeight="1" x14ac:dyDescent="0.3">
      <c r="A5674" s="89" t="s">
        <v>3794</v>
      </c>
      <c r="B5674" s="86" t="s">
        <v>35</v>
      </c>
      <c r="C5674" s="86" t="s">
        <v>47</v>
      </c>
      <c r="D5674" s="86" t="s">
        <v>878</v>
      </c>
      <c r="E5674" s="86" t="s">
        <v>879</v>
      </c>
      <c r="F5674" s="86" t="s">
        <v>879</v>
      </c>
      <c r="G5674" s="86" t="s">
        <v>879</v>
      </c>
      <c r="H5674" s="143">
        <v>62</v>
      </c>
      <c r="I5674" s="86" t="s">
        <v>408</v>
      </c>
      <c r="J5674" s="1" t="s">
        <v>3324</v>
      </c>
      <c r="K5674" s="1" t="s">
        <v>3278</v>
      </c>
      <c r="L5674" s="1" t="s">
        <v>35</v>
      </c>
      <c r="M5674" s="86" t="s">
        <v>880</v>
      </c>
      <c r="O5674" s="47" t="s">
        <v>410</v>
      </c>
      <c r="P5674" s="14" t="s">
        <v>46</v>
      </c>
      <c r="Q5674" s="14">
        <v>0.04</v>
      </c>
      <c r="R5674" s="143">
        <v>1000026251</v>
      </c>
      <c r="S5674" s="47"/>
      <c r="T5674" s="6">
        <v>9727.1</v>
      </c>
      <c r="U5674" s="6"/>
      <c r="V5674" s="6">
        <v>0</v>
      </c>
      <c r="W5674" s="6">
        <f t="shared" si="883"/>
        <v>9727.1</v>
      </c>
      <c r="X5674" s="6">
        <f t="shared" si="882"/>
        <v>0</v>
      </c>
      <c r="Y5674" s="13">
        <f t="shared" si="887"/>
        <v>0</v>
      </c>
      <c r="Z5674" s="14">
        <v>0</v>
      </c>
      <c r="AA5674" s="6">
        <v>0</v>
      </c>
      <c r="AB5674" s="4">
        <f t="shared" si="888"/>
        <v>0</v>
      </c>
      <c r="AC5674" s="6">
        <f t="shared" si="884"/>
        <v>0</v>
      </c>
      <c r="AD5674" s="6">
        <f t="shared" si="885"/>
        <v>0</v>
      </c>
      <c r="AE5674" s="14">
        <f>VLOOKUP(I5674,[2]媒体政策预估表!A:N,MATCH(O5674,[2]媒体政策预估表!$A$2:$M$2,0),0)</f>
        <v>7.0000000000000007E-2</v>
      </c>
      <c r="AF5674" s="6">
        <f t="shared" si="890"/>
        <v>0</v>
      </c>
      <c r="AG5674" s="14">
        <v>0</v>
      </c>
      <c r="AH5674" s="64">
        <f t="shared" si="886"/>
        <v>0</v>
      </c>
      <c r="AI5674" s="47"/>
      <c r="AJ5674" s="126" t="e">
        <v>#N/A</v>
      </c>
      <c r="AK5674" s="80">
        <f t="shared" si="889"/>
        <v>0</v>
      </c>
      <c r="AL5674" s="85"/>
      <c r="AM5674" s="85"/>
    </row>
    <row r="5675" spans="1:39" s="86" customFormat="1" ht="13.25" hidden="1" customHeight="1" x14ac:dyDescent="0.3">
      <c r="A5675" s="89" t="s">
        <v>3794</v>
      </c>
      <c r="B5675" s="86" t="s">
        <v>35</v>
      </c>
      <c r="C5675" s="86" t="s">
        <v>47</v>
      </c>
      <c r="D5675" s="86" t="s">
        <v>63</v>
      </c>
      <c r="E5675" s="86" t="s">
        <v>881</v>
      </c>
      <c r="F5675" s="86" t="s">
        <v>881</v>
      </c>
      <c r="G5675" s="86" t="s">
        <v>881</v>
      </c>
      <c r="H5675" s="143">
        <v>62</v>
      </c>
      <c r="I5675" s="86" t="s">
        <v>408</v>
      </c>
      <c r="J5675" s="1" t="s">
        <v>3324</v>
      </c>
      <c r="K5675" s="1" t="s">
        <v>3278</v>
      </c>
      <c r="L5675" s="1" t="s">
        <v>35</v>
      </c>
      <c r="M5675" s="86" t="s">
        <v>882</v>
      </c>
      <c r="O5675" s="47" t="s">
        <v>410</v>
      </c>
      <c r="P5675" s="14" t="s">
        <v>41</v>
      </c>
      <c r="Q5675" s="14">
        <v>0</v>
      </c>
      <c r="R5675" s="143">
        <v>1000004884</v>
      </c>
      <c r="S5675" s="47"/>
      <c r="T5675" s="6">
        <v>85408.59</v>
      </c>
      <c r="U5675" s="6"/>
      <c r="V5675" s="6">
        <v>0</v>
      </c>
      <c r="W5675" s="6">
        <f t="shared" si="883"/>
        <v>85408.59</v>
      </c>
      <c r="X5675" s="6">
        <f t="shared" si="882"/>
        <v>0</v>
      </c>
      <c r="Y5675" s="13">
        <f t="shared" si="887"/>
        <v>0</v>
      </c>
      <c r="Z5675" s="14">
        <v>0</v>
      </c>
      <c r="AA5675" s="6">
        <v>0</v>
      </c>
      <c r="AB5675" s="4">
        <f t="shared" si="888"/>
        <v>0</v>
      </c>
      <c r="AC5675" s="6">
        <f t="shared" si="884"/>
        <v>0</v>
      </c>
      <c r="AD5675" s="6">
        <f t="shared" si="885"/>
        <v>0</v>
      </c>
      <c r="AE5675" s="14">
        <f>VLOOKUP(I5675,[2]媒体政策预估表!A:N,MATCH(O5675,[2]媒体政策预估表!$A$2:$M$2,0),0)</f>
        <v>7.0000000000000007E-2</v>
      </c>
      <c r="AF5675" s="6">
        <f t="shared" si="890"/>
        <v>0</v>
      </c>
      <c r="AG5675" s="14">
        <v>0</v>
      </c>
      <c r="AH5675" s="64">
        <f t="shared" si="886"/>
        <v>0</v>
      </c>
      <c r="AI5675" s="47"/>
      <c r="AJ5675" s="126" t="e">
        <v>#N/A</v>
      </c>
      <c r="AK5675" s="80">
        <f t="shared" si="889"/>
        <v>0</v>
      </c>
      <c r="AL5675" s="85"/>
      <c r="AM5675" s="85"/>
    </row>
    <row r="5676" spans="1:39" s="86" customFormat="1" ht="13.25" hidden="1" customHeight="1" x14ac:dyDescent="0.3">
      <c r="A5676" s="89" t="s">
        <v>3794</v>
      </c>
      <c r="B5676" s="86" t="s">
        <v>35</v>
      </c>
      <c r="C5676" s="86" t="s">
        <v>47</v>
      </c>
      <c r="D5676" s="86" t="s">
        <v>63</v>
      </c>
      <c r="E5676" s="86" t="s">
        <v>883</v>
      </c>
      <c r="F5676" s="86" t="s">
        <v>883</v>
      </c>
      <c r="G5676" s="86" t="s">
        <v>883</v>
      </c>
      <c r="H5676" s="143">
        <v>62</v>
      </c>
      <c r="I5676" s="86" t="s">
        <v>408</v>
      </c>
      <c r="J5676" s="1" t="s">
        <v>3324</v>
      </c>
      <c r="K5676" s="1" t="s">
        <v>3278</v>
      </c>
      <c r="L5676" s="1" t="s">
        <v>35</v>
      </c>
      <c r="M5676" s="86" t="s">
        <v>884</v>
      </c>
      <c r="O5676" s="47" t="s">
        <v>410</v>
      </c>
      <c r="P5676" s="14" t="s">
        <v>41</v>
      </c>
      <c r="Q5676" s="14">
        <v>0</v>
      </c>
      <c r="R5676" s="143">
        <v>1000054033</v>
      </c>
      <c r="S5676" s="47"/>
      <c r="T5676" s="6">
        <v>655.38</v>
      </c>
      <c r="U5676" s="6"/>
      <c r="V5676" s="6">
        <v>0</v>
      </c>
      <c r="W5676" s="6">
        <f t="shared" si="883"/>
        <v>655.38</v>
      </c>
      <c r="X5676" s="6">
        <f t="shared" si="882"/>
        <v>0</v>
      </c>
      <c r="Y5676" s="13">
        <f t="shared" si="887"/>
        <v>0</v>
      </c>
      <c r="Z5676" s="14">
        <v>0</v>
      </c>
      <c r="AA5676" s="6">
        <v>0</v>
      </c>
      <c r="AB5676" s="4">
        <f t="shared" si="888"/>
        <v>0</v>
      </c>
      <c r="AC5676" s="6">
        <f t="shared" si="884"/>
        <v>0</v>
      </c>
      <c r="AD5676" s="6">
        <f t="shared" si="885"/>
        <v>0</v>
      </c>
      <c r="AE5676" s="14">
        <f>VLOOKUP(I5676,[2]媒体政策预估表!A:N,MATCH(O5676,[2]媒体政策预估表!$A$2:$M$2,0),0)</f>
        <v>7.0000000000000007E-2</v>
      </c>
      <c r="AF5676" s="6">
        <f t="shared" si="890"/>
        <v>0</v>
      </c>
      <c r="AG5676" s="14">
        <v>0</v>
      </c>
      <c r="AH5676" s="64">
        <f t="shared" si="886"/>
        <v>0</v>
      </c>
      <c r="AI5676" s="47"/>
      <c r="AJ5676" s="126" t="e">
        <v>#N/A</v>
      </c>
      <c r="AK5676" s="80">
        <f t="shared" si="889"/>
        <v>0</v>
      </c>
      <c r="AL5676" s="85"/>
      <c r="AM5676" s="85"/>
    </row>
    <row r="5677" spans="1:39" s="86" customFormat="1" ht="13.25" hidden="1" customHeight="1" x14ac:dyDescent="0.3">
      <c r="A5677" s="89" t="s">
        <v>3792</v>
      </c>
      <c r="B5677" s="86" t="s">
        <v>35</v>
      </c>
      <c r="C5677" s="86" t="s">
        <v>47</v>
      </c>
      <c r="D5677" s="86" t="s">
        <v>63</v>
      </c>
      <c r="E5677" s="86" t="s">
        <v>885</v>
      </c>
      <c r="F5677" s="86" t="s">
        <v>885</v>
      </c>
      <c r="G5677" s="86" t="s">
        <v>885</v>
      </c>
      <c r="H5677" s="143">
        <v>62</v>
      </c>
      <c r="I5677" s="86" t="s">
        <v>408</v>
      </c>
      <c r="J5677" s="1" t="s">
        <v>3324</v>
      </c>
      <c r="K5677" s="1" t="s">
        <v>3278</v>
      </c>
      <c r="L5677" s="1" t="s">
        <v>35</v>
      </c>
      <c r="M5677" s="86" t="s">
        <v>886</v>
      </c>
      <c r="O5677" s="47" t="s">
        <v>410</v>
      </c>
      <c r="P5677" s="14" t="s">
        <v>41</v>
      </c>
      <c r="Q5677" s="14">
        <v>0</v>
      </c>
      <c r="R5677" s="143">
        <v>1000002377</v>
      </c>
      <c r="S5677" s="47"/>
      <c r="T5677" s="6">
        <v>1</v>
      </c>
      <c r="U5677" s="6"/>
      <c r="V5677" s="6">
        <v>0</v>
      </c>
      <c r="W5677" s="6">
        <f t="shared" si="883"/>
        <v>1</v>
      </c>
      <c r="X5677" s="6">
        <f t="shared" si="882"/>
        <v>0</v>
      </c>
      <c r="Y5677" s="13">
        <f t="shared" si="887"/>
        <v>0</v>
      </c>
      <c r="Z5677" s="14">
        <v>0</v>
      </c>
      <c r="AA5677" s="6">
        <v>0</v>
      </c>
      <c r="AB5677" s="4">
        <f t="shared" si="888"/>
        <v>0</v>
      </c>
      <c r="AC5677" s="6">
        <f t="shared" si="884"/>
        <v>0</v>
      </c>
      <c r="AD5677" s="6">
        <f t="shared" si="885"/>
        <v>0</v>
      </c>
      <c r="AE5677" s="14">
        <f>VLOOKUP(I5677,[2]媒体政策预估表!A:N,MATCH(O5677,[2]媒体政策预估表!$A$2:$M$2,0),0)</f>
        <v>7.0000000000000007E-2</v>
      </c>
      <c r="AF5677" s="6">
        <f t="shared" si="890"/>
        <v>0</v>
      </c>
      <c r="AG5677" s="14">
        <v>0</v>
      </c>
      <c r="AH5677" s="64">
        <f t="shared" si="886"/>
        <v>0</v>
      </c>
      <c r="AI5677" s="47"/>
      <c r="AJ5677" s="126" t="e">
        <v>#N/A</v>
      </c>
      <c r="AK5677" s="80">
        <f t="shared" si="889"/>
        <v>0</v>
      </c>
      <c r="AL5677" s="85"/>
      <c r="AM5677" s="85"/>
    </row>
    <row r="5678" spans="1:39" s="86" customFormat="1" ht="13.25" hidden="1" customHeight="1" x14ac:dyDescent="0.3">
      <c r="A5678" s="89" t="s">
        <v>3794</v>
      </c>
      <c r="B5678" s="86" t="s">
        <v>35</v>
      </c>
      <c r="C5678" s="86" t="s">
        <v>47</v>
      </c>
      <c r="D5678" s="86" t="s">
        <v>63</v>
      </c>
      <c r="E5678" s="86" t="s">
        <v>887</v>
      </c>
      <c r="F5678" s="86" t="s">
        <v>888</v>
      </c>
      <c r="G5678" s="86" t="s">
        <v>887</v>
      </c>
      <c r="H5678" s="143">
        <v>62</v>
      </c>
      <c r="I5678" s="86" t="s">
        <v>408</v>
      </c>
      <c r="J5678" s="1" t="s">
        <v>3324</v>
      </c>
      <c r="K5678" s="1" t="s">
        <v>3278</v>
      </c>
      <c r="L5678" s="1" t="s">
        <v>35</v>
      </c>
      <c r="M5678" s="86" t="s">
        <v>889</v>
      </c>
      <c r="O5678" s="47" t="s">
        <v>410</v>
      </c>
      <c r="P5678" s="14" t="s">
        <v>92</v>
      </c>
      <c r="Q5678" s="14">
        <v>0.93</v>
      </c>
      <c r="R5678" s="143">
        <v>1000010556</v>
      </c>
      <c r="S5678" s="47"/>
      <c r="T5678" s="6">
        <v>15112.89</v>
      </c>
      <c r="U5678" s="6"/>
      <c r="V5678" s="6">
        <v>0</v>
      </c>
      <c r="W5678" s="6">
        <f t="shared" si="883"/>
        <v>15112.89</v>
      </c>
      <c r="X5678" s="6">
        <f t="shared" si="882"/>
        <v>0</v>
      </c>
      <c r="Y5678" s="13">
        <f t="shared" si="887"/>
        <v>0</v>
      </c>
      <c r="Z5678" s="14">
        <v>0</v>
      </c>
      <c r="AA5678" s="6">
        <v>0</v>
      </c>
      <c r="AB5678" s="4">
        <f t="shared" si="888"/>
        <v>0</v>
      </c>
      <c r="AC5678" s="6">
        <f t="shared" si="884"/>
        <v>0</v>
      </c>
      <c r="AD5678" s="6">
        <f t="shared" si="885"/>
        <v>0</v>
      </c>
      <c r="AE5678" s="14">
        <f>VLOOKUP(I5678,[2]媒体政策预估表!A:N,MATCH(O5678,[2]媒体政策预估表!$A$2:$M$2,0),0)</f>
        <v>7.0000000000000007E-2</v>
      </c>
      <c r="AF5678" s="6">
        <f t="shared" si="890"/>
        <v>0</v>
      </c>
      <c r="AG5678" s="14">
        <v>0</v>
      </c>
      <c r="AH5678" s="64">
        <f t="shared" si="886"/>
        <v>0</v>
      </c>
      <c r="AI5678" s="47"/>
      <c r="AJ5678" s="126" t="e">
        <v>#N/A</v>
      </c>
      <c r="AK5678" s="80">
        <f t="shared" si="889"/>
        <v>0</v>
      </c>
      <c r="AL5678" s="85"/>
      <c r="AM5678" s="85"/>
    </row>
    <row r="5679" spans="1:39" s="86" customFormat="1" ht="13.25" hidden="1" customHeight="1" x14ac:dyDescent="0.3">
      <c r="A5679" s="89" t="s">
        <v>3792</v>
      </c>
      <c r="B5679" s="86" t="s">
        <v>35</v>
      </c>
      <c r="C5679" s="86" t="s">
        <v>47</v>
      </c>
      <c r="D5679" s="86" t="s">
        <v>63</v>
      </c>
      <c r="E5679" s="86" t="s">
        <v>887</v>
      </c>
      <c r="F5679" s="86" t="s">
        <v>888</v>
      </c>
      <c r="G5679" s="86" t="s">
        <v>887</v>
      </c>
      <c r="H5679" s="143">
        <v>62</v>
      </c>
      <c r="I5679" s="86" t="s">
        <v>408</v>
      </c>
      <c r="J5679" s="1" t="s">
        <v>3324</v>
      </c>
      <c r="K5679" s="1" t="s">
        <v>3278</v>
      </c>
      <c r="L5679" s="1" t="s">
        <v>35</v>
      </c>
      <c r="M5679" s="86" t="s">
        <v>890</v>
      </c>
      <c r="O5679" s="47" t="s">
        <v>410</v>
      </c>
      <c r="P5679" s="14" t="s">
        <v>92</v>
      </c>
      <c r="Q5679" s="14">
        <v>0.93</v>
      </c>
      <c r="R5679" s="143">
        <v>1000005076</v>
      </c>
      <c r="S5679" s="47"/>
      <c r="T5679" s="6">
        <v>971.7</v>
      </c>
      <c r="U5679" s="6"/>
      <c r="V5679" s="6">
        <v>0</v>
      </c>
      <c r="W5679" s="6">
        <f t="shared" si="883"/>
        <v>971.7</v>
      </c>
      <c r="X5679" s="6">
        <f t="shared" si="882"/>
        <v>0</v>
      </c>
      <c r="Y5679" s="13">
        <f t="shared" si="887"/>
        <v>0</v>
      </c>
      <c r="Z5679" s="14">
        <v>0</v>
      </c>
      <c r="AA5679" s="6">
        <v>0</v>
      </c>
      <c r="AB5679" s="4">
        <f t="shared" si="888"/>
        <v>0</v>
      </c>
      <c r="AC5679" s="6">
        <f t="shared" si="884"/>
        <v>0</v>
      </c>
      <c r="AD5679" s="6">
        <f t="shared" si="885"/>
        <v>0</v>
      </c>
      <c r="AE5679" s="14">
        <f>VLOOKUP(I5679,[2]媒体政策预估表!A:N,MATCH(O5679,[2]媒体政策预估表!$A$2:$M$2,0),0)</f>
        <v>7.0000000000000007E-2</v>
      </c>
      <c r="AF5679" s="6">
        <f t="shared" si="890"/>
        <v>0</v>
      </c>
      <c r="AG5679" s="14">
        <v>0</v>
      </c>
      <c r="AH5679" s="64">
        <f t="shared" si="886"/>
        <v>0</v>
      </c>
      <c r="AI5679" s="47"/>
      <c r="AJ5679" s="126" t="e">
        <v>#N/A</v>
      </c>
      <c r="AK5679" s="80">
        <f t="shared" si="889"/>
        <v>0</v>
      </c>
      <c r="AL5679" s="85"/>
      <c r="AM5679" s="85"/>
    </row>
    <row r="5680" spans="1:39" s="86" customFormat="1" ht="13.25" hidden="1" customHeight="1" x14ac:dyDescent="0.3">
      <c r="A5680" s="89" t="s">
        <v>3794</v>
      </c>
      <c r="B5680" s="86" t="s">
        <v>35</v>
      </c>
      <c r="C5680" s="86" t="s">
        <v>47</v>
      </c>
      <c r="D5680" s="86" t="s">
        <v>63</v>
      </c>
      <c r="E5680" s="86" t="s">
        <v>891</v>
      </c>
      <c r="F5680" s="86" t="s">
        <v>891</v>
      </c>
      <c r="G5680" s="86" t="s">
        <v>891</v>
      </c>
      <c r="H5680" s="143">
        <v>62</v>
      </c>
      <c r="I5680" s="86" t="s">
        <v>408</v>
      </c>
      <c r="J5680" s="1" t="s">
        <v>3324</v>
      </c>
      <c r="K5680" s="1" t="s">
        <v>3278</v>
      </c>
      <c r="L5680" s="1" t="s">
        <v>35</v>
      </c>
      <c r="M5680" s="86" t="s">
        <v>892</v>
      </c>
      <c r="O5680" s="47" t="s">
        <v>410</v>
      </c>
      <c r="P5680" s="14" t="s">
        <v>92</v>
      </c>
      <c r="Q5680" s="14">
        <v>0.96</v>
      </c>
      <c r="R5680" s="143">
        <v>1000017211</v>
      </c>
      <c r="S5680" s="47"/>
      <c r="T5680" s="6">
        <v>2298.75</v>
      </c>
      <c r="U5680" s="6"/>
      <c r="V5680" s="6">
        <v>0</v>
      </c>
      <c r="W5680" s="6">
        <f t="shared" si="883"/>
        <v>2298.75</v>
      </c>
      <c r="X5680" s="6">
        <f t="shared" si="882"/>
        <v>0</v>
      </c>
      <c r="Y5680" s="13">
        <f t="shared" si="887"/>
        <v>0</v>
      </c>
      <c r="Z5680" s="14">
        <v>0</v>
      </c>
      <c r="AA5680" s="6">
        <v>0</v>
      </c>
      <c r="AB5680" s="4">
        <f t="shared" si="888"/>
        <v>0</v>
      </c>
      <c r="AC5680" s="6">
        <f t="shared" si="884"/>
        <v>0</v>
      </c>
      <c r="AD5680" s="6">
        <f t="shared" si="885"/>
        <v>0</v>
      </c>
      <c r="AE5680" s="14">
        <f>VLOOKUP(I5680,[2]媒体政策预估表!A:N,MATCH(O5680,[2]媒体政策预估表!$A$2:$M$2,0),0)</f>
        <v>7.0000000000000007E-2</v>
      </c>
      <c r="AF5680" s="6">
        <f t="shared" si="890"/>
        <v>0</v>
      </c>
      <c r="AG5680" s="14">
        <v>0</v>
      </c>
      <c r="AH5680" s="64">
        <f t="shared" si="886"/>
        <v>0</v>
      </c>
      <c r="AI5680" s="47"/>
      <c r="AJ5680" s="126" t="e">
        <v>#N/A</v>
      </c>
      <c r="AK5680" s="80">
        <f t="shared" si="889"/>
        <v>0</v>
      </c>
      <c r="AL5680" s="85"/>
      <c r="AM5680" s="85"/>
    </row>
    <row r="5681" spans="1:39" s="86" customFormat="1" ht="13.25" hidden="1" customHeight="1" x14ac:dyDescent="0.3">
      <c r="A5681" s="89" t="s">
        <v>3794</v>
      </c>
      <c r="B5681" s="86" t="s">
        <v>35</v>
      </c>
      <c r="C5681" s="86" t="s">
        <v>47</v>
      </c>
      <c r="D5681" s="86" t="s">
        <v>63</v>
      </c>
      <c r="E5681" s="86" t="s">
        <v>891</v>
      </c>
      <c r="F5681" s="86" t="s">
        <v>891</v>
      </c>
      <c r="G5681" s="86" t="s">
        <v>891</v>
      </c>
      <c r="H5681" s="143">
        <v>62</v>
      </c>
      <c r="I5681" s="86" t="s">
        <v>408</v>
      </c>
      <c r="J5681" s="1" t="s">
        <v>3324</v>
      </c>
      <c r="K5681" s="1" t="s">
        <v>3278</v>
      </c>
      <c r="L5681" s="1" t="s">
        <v>35</v>
      </c>
      <c r="M5681" s="86" t="s">
        <v>893</v>
      </c>
      <c r="O5681" s="47" t="s">
        <v>410</v>
      </c>
      <c r="P5681" s="14" t="s">
        <v>92</v>
      </c>
      <c r="Q5681" s="14">
        <v>0.96</v>
      </c>
      <c r="R5681" s="143">
        <v>1000003726</v>
      </c>
      <c r="S5681" s="47"/>
      <c r="T5681" s="6">
        <v>11.4</v>
      </c>
      <c r="U5681" s="6"/>
      <c r="V5681" s="6">
        <v>0</v>
      </c>
      <c r="W5681" s="6">
        <f t="shared" si="883"/>
        <v>11.4</v>
      </c>
      <c r="X5681" s="6">
        <f t="shared" si="882"/>
        <v>0</v>
      </c>
      <c r="Y5681" s="13">
        <f t="shared" si="887"/>
        <v>0</v>
      </c>
      <c r="Z5681" s="14">
        <v>0</v>
      </c>
      <c r="AA5681" s="6">
        <v>0</v>
      </c>
      <c r="AB5681" s="4">
        <f t="shared" si="888"/>
        <v>0</v>
      </c>
      <c r="AC5681" s="6">
        <f t="shared" si="884"/>
        <v>0</v>
      </c>
      <c r="AD5681" s="6">
        <f t="shared" si="885"/>
        <v>0</v>
      </c>
      <c r="AE5681" s="14">
        <f>VLOOKUP(I5681,[2]媒体政策预估表!A:N,MATCH(O5681,[2]媒体政策预估表!$A$2:$M$2,0),0)</f>
        <v>7.0000000000000007E-2</v>
      </c>
      <c r="AF5681" s="6">
        <f t="shared" si="890"/>
        <v>0</v>
      </c>
      <c r="AG5681" s="14">
        <v>0</v>
      </c>
      <c r="AH5681" s="64">
        <f t="shared" si="886"/>
        <v>0</v>
      </c>
      <c r="AI5681" s="47"/>
      <c r="AJ5681" s="126" t="e">
        <v>#N/A</v>
      </c>
      <c r="AK5681" s="80">
        <f t="shared" si="889"/>
        <v>0</v>
      </c>
      <c r="AL5681" s="85"/>
      <c r="AM5681" s="85"/>
    </row>
    <row r="5682" spans="1:39" s="86" customFormat="1" ht="13.25" hidden="1" customHeight="1" x14ac:dyDescent="0.3">
      <c r="A5682" s="89" t="s">
        <v>3806</v>
      </c>
      <c r="B5682" s="86" t="s">
        <v>35</v>
      </c>
      <c r="C5682" s="86" t="s">
        <v>36</v>
      </c>
      <c r="D5682" s="86" t="s">
        <v>185</v>
      </c>
      <c r="E5682" s="86" t="s">
        <v>894</v>
      </c>
      <c r="F5682" s="86" t="s">
        <v>895</v>
      </c>
      <c r="G5682" s="86" t="s">
        <v>894</v>
      </c>
      <c r="H5682" s="143">
        <v>62</v>
      </c>
      <c r="I5682" s="86" t="s">
        <v>408</v>
      </c>
      <c r="J5682" s="1" t="s">
        <v>3324</v>
      </c>
      <c r="K5682" s="1" t="s">
        <v>3278</v>
      </c>
      <c r="L5682" s="1" t="s">
        <v>35</v>
      </c>
      <c r="M5682" s="86" t="s">
        <v>716</v>
      </c>
      <c r="O5682" s="47" t="s">
        <v>45</v>
      </c>
      <c r="P5682" s="14" t="s">
        <v>46</v>
      </c>
      <c r="Q5682" s="14">
        <v>0.06</v>
      </c>
      <c r="R5682" s="143">
        <v>1000016985</v>
      </c>
      <c r="S5682" s="47"/>
      <c r="T5682" s="6">
        <v>73667.62</v>
      </c>
      <c r="U5682" s="6"/>
      <c r="V5682" s="6">
        <v>0</v>
      </c>
      <c r="W5682" s="6">
        <f t="shared" si="883"/>
        <v>73667.62</v>
      </c>
      <c r="X5682" s="6">
        <f t="shared" si="882"/>
        <v>0</v>
      </c>
      <c r="Y5682" s="13">
        <f t="shared" si="887"/>
        <v>0</v>
      </c>
      <c r="Z5682" s="14">
        <v>0</v>
      </c>
      <c r="AA5682" s="6">
        <v>0</v>
      </c>
      <c r="AB5682" s="4">
        <f t="shared" si="888"/>
        <v>0</v>
      </c>
      <c r="AC5682" s="6">
        <f t="shared" si="884"/>
        <v>0</v>
      </c>
      <c r="AD5682" s="6">
        <f t="shared" si="885"/>
        <v>0</v>
      </c>
      <c r="AE5682" s="14">
        <f>VLOOKUP(I5682,[2]媒体政策预估表!A:N,MATCH(O5682,[2]媒体政策预估表!$A$2:$M$2,0),0)</f>
        <v>0.11</v>
      </c>
      <c r="AF5682" s="6">
        <f t="shared" si="890"/>
        <v>0</v>
      </c>
      <c r="AG5682" s="14">
        <v>0</v>
      </c>
      <c r="AH5682" s="64">
        <f t="shared" si="886"/>
        <v>0</v>
      </c>
      <c r="AI5682" s="47"/>
      <c r="AJ5682" s="126" t="e">
        <v>#N/A</v>
      </c>
      <c r="AK5682" s="80">
        <f t="shared" si="889"/>
        <v>0</v>
      </c>
      <c r="AL5682" s="85"/>
      <c r="AM5682" s="85"/>
    </row>
    <row r="5683" spans="1:39" s="86" customFormat="1" ht="13.25" hidden="1" customHeight="1" x14ac:dyDescent="0.3">
      <c r="A5683" s="89" t="s">
        <v>3792</v>
      </c>
      <c r="B5683" s="86" t="s">
        <v>35</v>
      </c>
      <c r="C5683" s="86" t="s">
        <v>47</v>
      </c>
      <c r="D5683" s="86" t="s">
        <v>63</v>
      </c>
      <c r="E5683" s="86" t="s">
        <v>896</v>
      </c>
      <c r="F5683" s="86" t="s">
        <v>896</v>
      </c>
      <c r="G5683" s="86" t="s">
        <v>896</v>
      </c>
      <c r="H5683" s="143">
        <v>62</v>
      </c>
      <c r="I5683" s="86" t="s">
        <v>408</v>
      </c>
      <c r="J5683" s="1" t="s">
        <v>3324</v>
      </c>
      <c r="K5683" s="1" t="s">
        <v>3278</v>
      </c>
      <c r="L5683" s="1" t="s">
        <v>35</v>
      </c>
      <c r="M5683" s="86" t="s">
        <v>897</v>
      </c>
      <c r="O5683" s="47" t="s">
        <v>45</v>
      </c>
      <c r="P5683" s="14" t="s">
        <v>92</v>
      </c>
      <c r="Q5683" s="14">
        <v>0.92</v>
      </c>
      <c r="R5683" s="143">
        <v>1000003554</v>
      </c>
      <c r="S5683" s="47"/>
      <c r="T5683" s="6">
        <v>3171.92</v>
      </c>
      <c r="U5683" s="6"/>
      <c r="V5683" s="6">
        <v>0</v>
      </c>
      <c r="W5683" s="6">
        <f t="shared" si="883"/>
        <v>3171.92</v>
      </c>
      <c r="X5683" s="6">
        <f t="shared" si="882"/>
        <v>0</v>
      </c>
      <c r="Y5683" s="13">
        <f t="shared" si="887"/>
        <v>0</v>
      </c>
      <c r="Z5683" s="14">
        <v>0</v>
      </c>
      <c r="AA5683" s="6">
        <v>0</v>
      </c>
      <c r="AB5683" s="4">
        <f t="shared" si="888"/>
        <v>0</v>
      </c>
      <c r="AC5683" s="6">
        <f t="shared" si="884"/>
        <v>0</v>
      </c>
      <c r="AD5683" s="6">
        <f t="shared" si="885"/>
        <v>0</v>
      </c>
      <c r="AE5683" s="14">
        <f>VLOOKUP(I5683,[2]媒体政策预估表!A:N,MATCH(O5683,[2]媒体政策预估表!$A$2:$M$2,0),0)</f>
        <v>0.11</v>
      </c>
      <c r="AF5683" s="6">
        <f t="shared" si="890"/>
        <v>0</v>
      </c>
      <c r="AG5683" s="14">
        <v>0</v>
      </c>
      <c r="AH5683" s="64">
        <f t="shared" si="886"/>
        <v>0</v>
      </c>
      <c r="AI5683" s="47"/>
      <c r="AJ5683" s="126" t="e">
        <v>#N/A</v>
      </c>
      <c r="AK5683" s="80">
        <f t="shared" si="889"/>
        <v>0</v>
      </c>
      <c r="AL5683" s="85"/>
      <c r="AM5683" s="85"/>
    </row>
    <row r="5684" spans="1:39" s="86" customFormat="1" ht="13.25" hidden="1" customHeight="1" x14ac:dyDescent="0.3">
      <c r="A5684" s="89" t="s">
        <v>3792</v>
      </c>
      <c r="B5684" s="86" t="s">
        <v>35</v>
      </c>
      <c r="C5684" s="86" t="s">
        <v>47</v>
      </c>
      <c r="D5684" s="86" t="s">
        <v>63</v>
      </c>
      <c r="E5684" s="86" t="s">
        <v>896</v>
      </c>
      <c r="F5684" s="86" t="s">
        <v>896</v>
      </c>
      <c r="G5684" s="86" t="s">
        <v>896</v>
      </c>
      <c r="H5684" s="143">
        <v>62</v>
      </c>
      <c r="I5684" s="86" t="s">
        <v>408</v>
      </c>
      <c r="J5684" s="1" t="s">
        <v>3324</v>
      </c>
      <c r="K5684" s="1" t="s">
        <v>3278</v>
      </c>
      <c r="L5684" s="1" t="s">
        <v>35</v>
      </c>
      <c r="M5684" s="86" t="s">
        <v>898</v>
      </c>
      <c r="O5684" s="47" t="s">
        <v>410</v>
      </c>
      <c r="P5684" s="14" t="s">
        <v>92</v>
      </c>
      <c r="Q5684" s="14">
        <v>0.96</v>
      </c>
      <c r="R5684" s="143">
        <v>1000003494</v>
      </c>
      <c r="S5684" s="47"/>
      <c r="T5684" s="6">
        <v>28952.38</v>
      </c>
      <c r="U5684" s="6"/>
      <c r="V5684" s="6">
        <v>0</v>
      </c>
      <c r="W5684" s="6">
        <f t="shared" si="883"/>
        <v>28952.38</v>
      </c>
      <c r="X5684" s="6">
        <f t="shared" si="882"/>
        <v>0</v>
      </c>
      <c r="Y5684" s="13">
        <f t="shared" si="887"/>
        <v>0</v>
      </c>
      <c r="Z5684" s="14">
        <v>0</v>
      </c>
      <c r="AA5684" s="6">
        <v>0</v>
      </c>
      <c r="AB5684" s="4">
        <f t="shared" si="888"/>
        <v>0</v>
      </c>
      <c r="AC5684" s="6">
        <f t="shared" si="884"/>
        <v>0</v>
      </c>
      <c r="AD5684" s="6">
        <f t="shared" si="885"/>
        <v>0</v>
      </c>
      <c r="AE5684" s="14">
        <f>VLOOKUP(I5684,[2]媒体政策预估表!A:N,MATCH(O5684,[2]媒体政策预估表!$A$2:$M$2,0),0)</f>
        <v>7.0000000000000007E-2</v>
      </c>
      <c r="AF5684" s="6">
        <f t="shared" si="890"/>
        <v>0</v>
      </c>
      <c r="AG5684" s="14">
        <v>0</v>
      </c>
      <c r="AH5684" s="64">
        <f t="shared" si="886"/>
        <v>0</v>
      </c>
      <c r="AI5684" s="47"/>
      <c r="AJ5684" s="126" t="e">
        <v>#N/A</v>
      </c>
      <c r="AK5684" s="80">
        <f t="shared" si="889"/>
        <v>0</v>
      </c>
      <c r="AL5684" s="85"/>
      <c r="AM5684" s="85"/>
    </row>
    <row r="5685" spans="1:39" s="86" customFormat="1" ht="13.25" hidden="1" customHeight="1" x14ac:dyDescent="0.3">
      <c r="A5685" s="89" t="s">
        <v>3792</v>
      </c>
      <c r="B5685" s="86" t="s">
        <v>35</v>
      </c>
      <c r="C5685" s="86" t="s">
        <v>47</v>
      </c>
      <c r="D5685" s="86" t="s">
        <v>63</v>
      </c>
      <c r="E5685" s="86" t="s">
        <v>900</v>
      </c>
      <c r="F5685" s="86" t="s">
        <v>900</v>
      </c>
      <c r="G5685" s="86" t="s">
        <v>900</v>
      </c>
      <c r="H5685" s="143">
        <v>62</v>
      </c>
      <c r="I5685" s="86" t="s">
        <v>408</v>
      </c>
      <c r="J5685" s="1" t="s">
        <v>3324</v>
      </c>
      <c r="K5685" s="1" t="s">
        <v>3278</v>
      </c>
      <c r="L5685" s="1" t="s">
        <v>35</v>
      </c>
      <c r="M5685" s="86" t="s">
        <v>901</v>
      </c>
      <c r="O5685" s="47" t="s">
        <v>45</v>
      </c>
      <c r="P5685" s="14" t="s">
        <v>46</v>
      </c>
      <c r="Q5685" s="14">
        <v>0.12</v>
      </c>
      <c r="R5685" s="143">
        <v>1000008917</v>
      </c>
      <c r="S5685" s="47"/>
      <c r="T5685" s="6">
        <v>16751.8</v>
      </c>
      <c r="U5685" s="6"/>
      <c r="V5685" s="6">
        <v>0</v>
      </c>
      <c r="W5685" s="6">
        <f t="shared" si="883"/>
        <v>16751.8</v>
      </c>
      <c r="X5685" s="6">
        <f t="shared" si="882"/>
        <v>0</v>
      </c>
      <c r="Y5685" s="13">
        <f t="shared" si="887"/>
        <v>0</v>
      </c>
      <c r="Z5685" s="14">
        <v>0</v>
      </c>
      <c r="AA5685" s="6">
        <v>0</v>
      </c>
      <c r="AB5685" s="4">
        <f t="shared" si="888"/>
        <v>0</v>
      </c>
      <c r="AC5685" s="6">
        <f t="shared" si="884"/>
        <v>0</v>
      </c>
      <c r="AD5685" s="6">
        <f t="shared" si="885"/>
        <v>0</v>
      </c>
      <c r="AE5685" s="14">
        <f>VLOOKUP(I5685,[2]媒体政策预估表!A:N,MATCH(O5685,[2]媒体政策预估表!$A$2:$M$2,0),0)</f>
        <v>0.11</v>
      </c>
      <c r="AF5685" s="6">
        <f t="shared" si="890"/>
        <v>0</v>
      </c>
      <c r="AG5685" s="14">
        <v>0</v>
      </c>
      <c r="AH5685" s="64">
        <f t="shared" si="886"/>
        <v>0</v>
      </c>
      <c r="AI5685" s="47"/>
      <c r="AJ5685" s="126" t="e">
        <v>#N/A</v>
      </c>
      <c r="AK5685" s="80">
        <f t="shared" si="889"/>
        <v>0</v>
      </c>
      <c r="AL5685" s="85"/>
      <c r="AM5685" s="85"/>
    </row>
    <row r="5686" spans="1:39" s="86" customFormat="1" ht="13.25" hidden="1" customHeight="1" x14ac:dyDescent="0.3">
      <c r="A5686" s="89" t="s">
        <v>3792</v>
      </c>
      <c r="B5686" s="86" t="s">
        <v>35</v>
      </c>
      <c r="C5686" s="86" t="s">
        <v>47</v>
      </c>
      <c r="D5686" s="86" t="s">
        <v>63</v>
      </c>
      <c r="E5686" s="86" t="s">
        <v>902</v>
      </c>
      <c r="F5686" s="86" t="s">
        <v>902</v>
      </c>
      <c r="G5686" s="86" t="s">
        <v>902</v>
      </c>
      <c r="H5686" s="143">
        <v>62</v>
      </c>
      <c r="I5686" s="86" t="s">
        <v>408</v>
      </c>
      <c r="J5686" s="1" t="s">
        <v>3324</v>
      </c>
      <c r="K5686" s="1" t="s">
        <v>3278</v>
      </c>
      <c r="L5686" s="1" t="s">
        <v>35</v>
      </c>
      <c r="M5686" s="86" t="s">
        <v>903</v>
      </c>
      <c r="O5686" s="47" t="s">
        <v>410</v>
      </c>
      <c r="P5686" s="14" t="s">
        <v>92</v>
      </c>
      <c r="Q5686" s="14">
        <v>0.92</v>
      </c>
      <c r="R5686" s="143">
        <v>1000025023</v>
      </c>
      <c r="S5686" s="47"/>
      <c r="T5686" s="6">
        <v>4204.8999999999996</v>
      </c>
      <c r="U5686" s="6"/>
      <c r="V5686" s="6">
        <v>0</v>
      </c>
      <c r="W5686" s="6">
        <f t="shared" si="883"/>
        <v>4204.8999999999996</v>
      </c>
      <c r="X5686" s="6">
        <f t="shared" si="882"/>
        <v>0</v>
      </c>
      <c r="Y5686" s="13">
        <f t="shared" si="887"/>
        <v>0</v>
      </c>
      <c r="Z5686" s="14">
        <v>0</v>
      </c>
      <c r="AA5686" s="6">
        <v>0</v>
      </c>
      <c r="AB5686" s="4">
        <f t="shared" si="888"/>
        <v>0</v>
      </c>
      <c r="AC5686" s="6">
        <f t="shared" si="884"/>
        <v>0</v>
      </c>
      <c r="AD5686" s="6">
        <f t="shared" si="885"/>
        <v>0</v>
      </c>
      <c r="AE5686" s="14">
        <f>VLOOKUP(I5686,[2]媒体政策预估表!A:N,MATCH(O5686,[2]媒体政策预估表!$A$2:$M$2,0),0)</f>
        <v>7.0000000000000007E-2</v>
      </c>
      <c r="AF5686" s="6">
        <f t="shared" si="890"/>
        <v>0</v>
      </c>
      <c r="AG5686" s="14">
        <v>0</v>
      </c>
      <c r="AH5686" s="64">
        <f t="shared" si="886"/>
        <v>0</v>
      </c>
      <c r="AI5686" s="47"/>
      <c r="AJ5686" s="126" t="e">
        <v>#N/A</v>
      </c>
      <c r="AK5686" s="80">
        <f t="shared" si="889"/>
        <v>0</v>
      </c>
      <c r="AL5686" s="85"/>
      <c r="AM5686" s="85"/>
    </row>
    <row r="5687" spans="1:39" s="86" customFormat="1" ht="13.25" hidden="1" customHeight="1" x14ac:dyDescent="0.3">
      <c r="A5687" s="89" t="s">
        <v>3792</v>
      </c>
      <c r="B5687" s="86" t="s">
        <v>35</v>
      </c>
      <c r="C5687" s="86" t="s">
        <v>47</v>
      </c>
      <c r="D5687" s="86" t="s">
        <v>63</v>
      </c>
      <c r="E5687" s="86" t="s">
        <v>904</v>
      </c>
      <c r="F5687" s="86" t="s">
        <v>904</v>
      </c>
      <c r="G5687" s="86" t="s">
        <v>904</v>
      </c>
      <c r="H5687" s="143">
        <v>62</v>
      </c>
      <c r="I5687" s="86" t="s">
        <v>408</v>
      </c>
      <c r="J5687" s="1" t="s">
        <v>3324</v>
      </c>
      <c r="K5687" s="1" t="s">
        <v>3278</v>
      </c>
      <c r="L5687" s="1" t="s">
        <v>35</v>
      </c>
      <c r="M5687" s="86" t="s">
        <v>905</v>
      </c>
      <c r="O5687" s="47" t="s">
        <v>410</v>
      </c>
      <c r="P5687" s="14" t="s">
        <v>92</v>
      </c>
      <c r="Q5687" s="14">
        <v>0.98</v>
      </c>
      <c r="R5687" s="143">
        <v>1000024567</v>
      </c>
      <c r="S5687" s="47"/>
      <c r="T5687" s="6">
        <v>4252.8</v>
      </c>
      <c r="U5687" s="6"/>
      <c r="V5687" s="6">
        <v>0</v>
      </c>
      <c r="W5687" s="6">
        <f t="shared" si="883"/>
        <v>4252.8</v>
      </c>
      <c r="X5687" s="6">
        <f t="shared" si="882"/>
        <v>0</v>
      </c>
      <c r="Y5687" s="13">
        <f t="shared" si="887"/>
        <v>0</v>
      </c>
      <c r="Z5687" s="14">
        <v>0</v>
      </c>
      <c r="AA5687" s="6">
        <v>0</v>
      </c>
      <c r="AB5687" s="4">
        <f t="shared" si="888"/>
        <v>0</v>
      </c>
      <c r="AC5687" s="6">
        <f t="shared" si="884"/>
        <v>0</v>
      </c>
      <c r="AD5687" s="6">
        <f t="shared" si="885"/>
        <v>0</v>
      </c>
      <c r="AE5687" s="14">
        <f>VLOOKUP(I5687,[2]媒体政策预估表!A:N,MATCH(O5687,[2]媒体政策预估表!$A$2:$M$2,0),0)</f>
        <v>7.0000000000000007E-2</v>
      </c>
      <c r="AF5687" s="6">
        <f t="shared" si="890"/>
        <v>0</v>
      </c>
      <c r="AG5687" s="14">
        <v>0</v>
      </c>
      <c r="AH5687" s="64">
        <f t="shared" si="886"/>
        <v>0</v>
      </c>
      <c r="AI5687" s="47"/>
      <c r="AJ5687" s="126" t="e">
        <v>#N/A</v>
      </c>
      <c r="AK5687" s="80">
        <f t="shared" si="889"/>
        <v>0</v>
      </c>
      <c r="AL5687" s="85"/>
      <c r="AM5687" s="85"/>
    </row>
    <row r="5688" spans="1:39" s="86" customFormat="1" ht="13.25" hidden="1" customHeight="1" x14ac:dyDescent="0.3">
      <c r="A5688" s="89" t="s">
        <v>3794</v>
      </c>
      <c r="B5688" s="86" t="s">
        <v>35</v>
      </c>
      <c r="C5688" s="86" t="s">
        <v>47</v>
      </c>
      <c r="D5688" s="86" t="s">
        <v>63</v>
      </c>
      <c r="E5688" s="86" t="s">
        <v>906</v>
      </c>
      <c r="F5688" s="86" t="s">
        <v>906</v>
      </c>
      <c r="G5688" s="86" t="s">
        <v>906</v>
      </c>
      <c r="H5688" s="143">
        <v>62</v>
      </c>
      <c r="I5688" s="86" t="s">
        <v>408</v>
      </c>
      <c r="J5688" s="1" t="s">
        <v>3324</v>
      </c>
      <c r="K5688" s="1" t="s">
        <v>3278</v>
      </c>
      <c r="L5688" s="1" t="s">
        <v>35</v>
      </c>
      <c r="M5688" s="86" t="s">
        <v>907</v>
      </c>
      <c r="O5688" s="47" t="s">
        <v>410</v>
      </c>
      <c r="P5688" s="14" t="s">
        <v>46</v>
      </c>
      <c r="Q5688" s="14">
        <v>7.0000000000000007E-2</v>
      </c>
      <c r="R5688" s="143">
        <v>1000025858</v>
      </c>
      <c r="S5688" s="47"/>
      <c r="T5688" s="6">
        <v>8256.9</v>
      </c>
      <c r="U5688" s="6"/>
      <c r="V5688" s="6">
        <v>0</v>
      </c>
      <c r="W5688" s="6">
        <f t="shared" si="883"/>
        <v>8256.9</v>
      </c>
      <c r="X5688" s="6">
        <f t="shared" si="882"/>
        <v>0</v>
      </c>
      <c r="Y5688" s="13">
        <f t="shared" si="887"/>
        <v>0</v>
      </c>
      <c r="Z5688" s="14">
        <v>0</v>
      </c>
      <c r="AA5688" s="6">
        <v>0</v>
      </c>
      <c r="AB5688" s="4">
        <f t="shared" si="888"/>
        <v>0</v>
      </c>
      <c r="AC5688" s="6">
        <f t="shared" si="884"/>
        <v>0</v>
      </c>
      <c r="AD5688" s="6">
        <f t="shared" si="885"/>
        <v>0</v>
      </c>
      <c r="AE5688" s="14">
        <f>VLOOKUP(I5688,[2]媒体政策预估表!A:N,MATCH(O5688,[2]媒体政策预估表!$A$2:$M$2,0),0)</f>
        <v>7.0000000000000007E-2</v>
      </c>
      <c r="AF5688" s="6">
        <f t="shared" si="890"/>
        <v>0</v>
      </c>
      <c r="AG5688" s="14">
        <v>0</v>
      </c>
      <c r="AH5688" s="64">
        <f t="shared" si="886"/>
        <v>0</v>
      </c>
      <c r="AI5688" s="47"/>
      <c r="AJ5688" s="126" t="e">
        <v>#N/A</v>
      </c>
      <c r="AK5688" s="80">
        <f t="shared" si="889"/>
        <v>0</v>
      </c>
      <c r="AL5688" s="85"/>
      <c r="AM5688" s="85"/>
    </row>
    <row r="5689" spans="1:39" s="86" customFormat="1" ht="13.25" hidden="1" customHeight="1" x14ac:dyDescent="0.3">
      <c r="A5689" s="89" t="s">
        <v>3792</v>
      </c>
      <c r="B5689" s="86" t="s">
        <v>35</v>
      </c>
      <c r="C5689" s="86" t="s">
        <v>59</v>
      </c>
      <c r="D5689" s="86" t="s">
        <v>60</v>
      </c>
      <c r="E5689" s="86" t="s">
        <v>908</v>
      </c>
      <c r="F5689" s="86" t="s">
        <v>908</v>
      </c>
      <c r="G5689" s="86" t="s">
        <v>908</v>
      </c>
      <c r="H5689" s="143">
        <v>62</v>
      </c>
      <c r="I5689" s="86" t="s">
        <v>408</v>
      </c>
      <c r="J5689" s="1" t="s">
        <v>3324</v>
      </c>
      <c r="K5689" s="1" t="s">
        <v>3278</v>
      </c>
      <c r="L5689" s="1" t="s">
        <v>35</v>
      </c>
      <c r="M5689" s="86" t="s">
        <v>909</v>
      </c>
      <c r="O5689" s="47" t="s">
        <v>45</v>
      </c>
      <c r="P5689" s="14" t="s">
        <v>46</v>
      </c>
      <c r="Q5689" s="14">
        <v>0.14000000000000001</v>
      </c>
      <c r="R5689" s="143">
        <v>1000027510</v>
      </c>
      <c r="S5689" s="47"/>
      <c r="T5689" s="6">
        <v>5081.22</v>
      </c>
      <c r="U5689" s="6"/>
      <c r="V5689" s="6">
        <v>0</v>
      </c>
      <c r="W5689" s="6">
        <f t="shared" si="883"/>
        <v>5081.22</v>
      </c>
      <c r="X5689" s="6">
        <f t="shared" si="882"/>
        <v>0</v>
      </c>
      <c r="Y5689" s="13">
        <f t="shared" si="887"/>
        <v>0</v>
      </c>
      <c r="Z5689" s="14">
        <v>0</v>
      </c>
      <c r="AA5689" s="6">
        <v>0</v>
      </c>
      <c r="AB5689" s="4">
        <f t="shared" si="888"/>
        <v>0</v>
      </c>
      <c r="AC5689" s="6">
        <f t="shared" si="884"/>
        <v>0</v>
      </c>
      <c r="AD5689" s="6">
        <f t="shared" si="885"/>
        <v>0</v>
      </c>
      <c r="AE5689" s="14">
        <f>VLOOKUP(I5689,[2]媒体政策预估表!A:N,MATCH(O5689,[2]媒体政策预估表!$A$2:$M$2,0),0)</f>
        <v>0.11</v>
      </c>
      <c r="AF5689" s="6">
        <f t="shared" si="890"/>
        <v>0</v>
      </c>
      <c r="AG5689" s="14">
        <v>0</v>
      </c>
      <c r="AH5689" s="64">
        <f t="shared" si="886"/>
        <v>0</v>
      </c>
      <c r="AI5689" s="47"/>
      <c r="AJ5689" s="126" t="e">
        <v>#N/A</v>
      </c>
      <c r="AK5689" s="80">
        <f t="shared" si="889"/>
        <v>0</v>
      </c>
      <c r="AL5689" s="85"/>
      <c r="AM5689" s="85"/>
    </row>
    <row r="5690" spans="1:39" s="86" customFormat="1" ht="13.25" hidden="1" customHeight="1" x14ac:dyDescent="0.3">
      <c r="A5690" s="89" t="s">
        <v>3794</v>
      </c>
      <c r="B5690" s="86" t="s">
        <v>35</v>
      </c>
      <c r="C5690" s="86" t="s">
        <v>47</v>
      </c>
      <c r="D5690" s="86" t="s">
        <v>48</v>
      </c>
      <c r="E5690" s="86" t="s">
        <v>910</v>
      </c>
      <c r="F5690" s="86" t="s">
        <v>910</v>
      </c>
      <c r="G5690" s="86" t="s">
        <v>910</v>
      </c>
      <c r="H5690" s="143">
        <v>62</v>
      </c>
      <c r="I5690" s="86" t="s">
        <v>408</v>
      </c>
      <c r="J5690" s="1" t="s">
        <v>3324</v>
      </c>
      <c r="K5690" s="1" t="s">
        <v>3278</v>
      </c>
      <c r="L5690" s="1" t="s">
        <v>35</v>
      </c>
      <c r="M5690" s="86" t="s">
        <v>911</v>
      </c>
      <c r="O5690" s="47" t="s">
        <v>45</v>
      </c>
      <c r="P5690" s="14" t="s">
        <v>46</v>
      </c>
      <c r="Q5690" s="14">
        <v>0.09</v>
      </c>
      <c r="R5690" s="143">
        <v>1000024621</v>
      </c>
      <c r="S5690" s="47"/>
      <c r="T5690" s="6">
        <v>12602.69</v>
      </c>
      <c r="U5690" s="6"/>
      <c r="V5690" s="6">
        <v>0</v>
      </c>
      <c r="W5690" s="6">
        <f t="shared" si="883"/>
        <v>12602.69</v>
      </c>
      <c r="X5690" s="6">
        <f t="shared" si="882"/>
        <v>0</v>
      </c>
      <c r="Y5690" s="13">
        <f t="shared" si="887"/>
        <v>0</v>
      </c>
      <c r="Z5690" s="14">
        <v>0</v>
      </c>
      <c r="AA5690" s="6">
        <v>0</v>
      </c>
      <c r="AB5690" s="4">
        <f t="shared" si="888"/>
        <v>0</v>
      </c>
      <c r="AC5690" s="6">
        <f t="shared" si="884"/>
        <v>0</v>
      </c>
      <c r="AD5690" s="6">
        <f t="shared" si="885"/>
        <v>0</v>
      </c>
      <c r="AE5690" s="14">
        <f>VLOOKUP(I5690,[2]媒体政策预估表!A:N,MATCH(O5690,[2]媒体政策预估表!$A$2:$M$2,0),0)</f>
        <v>0.11</v>
      </c>
      <c r="AF5690" s="6">
        <f t="shared" si="890"/>
        <v>0</v>
      </c>
      <c r="AG5690" s="14">
        <v>0</v>
      </c>
      <c r="AH5690" s="64">
        <f t="shared" si="886"/>
        <v>0</v>
      </c>
      <c r="AI5690" s="47"/>
      <c r="AJ5690" s="126" t="e">
        <v>#N/A</v>
      </c>
      <c r="AK5690" s="80">
        <f t="shared" si="889"/>
        <v>0</v>
      </c>
      <c r="AL5690" s="85"/>
      <c r="AM5690" s="85"/>
    </row>
    <row r="5691" spans="1:39" s="86" customFormat="1" ht="13.25" hidden="1" customHeight="1" x14ac:dyDescent="0.3">
      <c r="A5691" s="89" t="s">
        <v>3794</v>
      </c>
      <c r="B5691" s="86" t="s">
        <v>35</v>
      </c>
      <c r="C5691" s="86" t="s">
        <v>47</v>
      </c>
      <c r="D5691" s="86" t="s">
        <v>48</v>
      </c>
      <c r="E5691" s="86" t="s">
        <v>912</v>
      </c>
      <c r="F5691" s="86" t="s">
        <v>912</v>
      </c>
      <c r="G5691" s="86" t="s">
        <v>912</v>
      </c>
      <c r="H5691" s="143">
        <v>62</v>
      </c>
      <c r="I5691" s="86" t="s">
        <v>408</v>
      </c>
      <c r="J5691" s="1" t="s">
        <v>3324</v>
      </c>
      <c r="K5691" s="1" t="s">
        <v>3278</v>
      </c>
      <c r="L5691" s="1" t="s">
        <v>35</v>
      </c>
      <c r="M5691" s="86" t="s">
        <v>913</v>
      </c>
      <c r="O5691" s="47" t="s">
        <v>410</v>
      </c>
      <c r="P5691" s="14" t="s">
        <v>46</v>
      </c>
      <c r="Q5691" s="14">
        <v>0.08</v>
      </c>
      <c r="R5691" s="143">
        <v>1000006713</v>
      </c>
      <c r="S5691" s="47"/>
      <c r="T5691" s="6">
        <v>4718.3999999999996</v>
      </c>
      <c r="U5691" s="6"/>
      <c r="V5691" s="6">
        <v>0</v>
      </c>
      <c r="W5691" s="6">
        <f t="shared" si="883"/>
        <v>4718.3999999999996</v>
      </c>
      <c r="X5691" s="6">
        <f t="shared" si="882"/>
        <v>0</v>
      </c>
      <c r="Y5691" s="13">
        <f t="shared" si="887"/>
        <v>0</v>
      </c>
      <c r="Z5691" s="14">
        <v>0</v>
      </c>
      <c r="AA5691" s="6">
        <v>0</v>
      </c>
      <c r="AB5691" s="4">
        <f t="shared" si="888"/>
        <v>0</v>
      </c>
      <c r="AC5691" s="6">
        <f t="shared" si="884"/>
        <v>0</v>
      </c>
      <c r="AD5691" s="6">
        <f t="shared" si="885"/>
        <v>0</v>
      </c>
      <c r="AE5691" s="14">
        <f>VLOOKUP(I5691,[2]媒体政策预估表!A:N,MATCH(O5691,[2]媒体政策预估表!$A$2:$M$2,0),0)</f>
        <v>7.0000000000000007E-2</v>
      </c>
      <c r="AF5691" s="6">
        <f t="shared" si="890"/>
        <v>0</v>
      </c>
      <c r="AG5691" s="14">
        <v>0</v>
      </c>
      <c r="AH5691" s="64">
        <f t="shared" si="886"/>
        <v>0</v>
      </c>
      <c r="AI5691" s="47"/>
      <c r="AJ5691" s="126" t="e">
        <v>#N/A</v>
      </c>
      <c r="AK5691" s="80">
        <f t="shared" si="889"/>
        <v>0</v>
      </c>
      <c r="AL5691" s="85"/>
      <c r="AM5691" s="85"/>
    </row>
    <row r="5692" spans="1:39" s="86" customFormat="1" ht="13.25" hidden="1" customHeight="1" x14ac:dyDescent="0.3">
      <c r="A5692" s="89" t="s">
        <v>3792</v>
      </c>
      <c r="B5692" s="86" t="s">
        <v>35</v>
      </c>
      <c r="C5692" s="86" t="s">
        <v>47</v>
      </c>
      <c r="D5692" s="86" t="s">
        <v>48</v>
      </c>
      <c r="E5692" s="86" t="s">
        <v>912</v>
      </c>
      <c r="F5692" s="86" t="s">
        <v>912</v>
      </c>
      <c r="G5692" s="86" t="s">
        <v>912</v>
      </c>
      <c r="H5692" s="143">
        <v>62</v>
      </c>
      <c r="I5692" s="86" t="s">
        <v>408</v>
      </c>
      <c r="J5692" s="1" t="s">
        <v>3324</v>
      </c>
      <c r="K5692" s="1" t="s">
        <v>3278</v>
      </c>
      <c r="L5692" s="1" t="s">
        <v>35</v>
      </c>
      <c r="M5692" s="86" t="s">
        <v>914</v>
      </c>
      <c r="O5692" s="47" t="s">
        <v>410</v>
      </c>
      <c r="P5692" s="14" t="s">
        <v>46</v>
      </c>
      <c r="Q5692" s="14">
        <v>0.08</v>
      </c>
      <c r="R5692" s="143">
        <v>1000001513</v>
      </c>
      <c r="S5692" s="47"/>
      <c r="T5692" s="6">
        <v>253.9</v>
      </c>
      <c r="U5692" s="6"/>
      <c r="V5692" s="6">
        <v>0</v>
      </c>
      <c r="W5692" s="6">
        <f t="shared" si="883"/>
        <v>253.9</v>
      </c>
      <c r="X5692" s="6">
        <f t="shared" si="882"/>
        <v>0</v>
      </c>
      <c r="Y5692" s="13">
        <f t="shared" si="887"/>
        <v>0</v>
      </c>
      <c r="Z5692" s="14">
        <v>0</v>
      </c>
      <c r="AA5692" s="6">
        <v>0</v>
      </c>
      <c r="AB5692" s="4">
        <f t="shared" si="888"/>
        <v>0</v>
      </c>
      <c r="AC5692" s="6">
        <f t="shared" si="884"/>
        <v>0</v>
      </c>
      <c r="AD5692" s="6">
        <f t="shared" si="885"/>
        <v>0</v>
      </c>
      <c r="AE5692" s="14">
        <f>VLOOKUP(I5692,[2]媒体政策预估表!A:N,MATCH(O5692,[2]媒体政策预估表!$A$2:$M$2,0),0)</f>
        <v>7.0000000000000007E-2</v>
      </c>
      <c r="AF5692" s="6">
        <f t="shared" si="890"/>
        <v>0</v>
      </c>
      <c r="AG5692" s="14">
        <v>0</v>
      </c>
      <c r="AH5692" s="64">
        <f t="shared" si="886"/>
        <v>0</v>
      </c>
      <c r="AI5692" s="47"/>
      <c r="AJ5692" s="126" t="e">
        <v>#N/A</v>
      </c>
      <c r="AK5692" s="80">
        <f t="shared" si="889"/>
        <v>0</v>
      </c>
      <c r="AL5692" s="85"/>
      <c r="AM5692" s="85"/>
    </row>
    <row r="5693" spans="1:39" s="86" customFormat="1" ht="13.25" hidden="1" customHeight="1" x14ac:dyDescent="0.3">
      <c r="A5693" s="89" t="s">
        <v>3792</v>
      </c>
      <c r="B5693" s="86" t="s">
        <v>35</v>
      </c>
      <c r="C5693" s="86" t="s">
        <v>47</v>
      </c>
      <c r="D5693" s="86" t="s">
        <v>48</v>
      </c>
      <c r="E5693" s="86" t="s">
        <v>915</v>
      </c>
      <c r="F5693" s="86" t="s">
        <v>915</v>
      </c>
      <c r="G5693" s="86" t="s">
        <v>915</v>
      </c>
      <c r="H5693" s="143">
        <v>62</v>
      </c>
      <c r="I5693" s="86" t="s">
        <v>408</v>
      </c>
      <c r="J5693" s="1" t="s">
        <v>3324</v>
      </c>
      <c r="K5693" s="1" t="s">
        <v>3278</v>
      </c>
      <c r="L5693" s="1" t="s">
        <v>35</v>
      </c>
      <c r="M5693" s="86" t="s">
        <v>916</v>
      </c>
      <c r="O5693" s="47" t="s">
        <v>410</v>
      </c>
      <c r="P5693" s="14" t="s">
        <v>46</v>
      </c>
      <c r="Q5693" s="14">
        <v>0.04</v>
      </c>
      <c r="R5693" s="143">
        <v>1000030587</v>
      </c>
      <c r="S5693" s="47"/>
      <c r="T5693" s="6">
        <v>29251.9</v>
      </c>
      <c r="U5693" s="6"/>
      <c r="V5693" s="6">
        <v>0</v>
      </c>
      <c r="W5693" s="6">
        <f t="shared" si="883"/>
        <v>29251.9</v>
      </c>
      <c r="X5693" s="6">
        <f t="shared" ref="X5693:X5756" si="891">IF(P5693="折扣",V5693*Q5693,IF(P5693="返现",V5693,V5693/(1+Q5693)))</f>
        <v>0</v>
      </c>
      <c r="Y5693" s="13">
        <f t="shared" si="887"/>
        <v>0</v>
      </c>
      <c r="Z5693" s="14">
        <v>0</v>
      </c>
      <c r="AA5693" s="6">
        <v>0</v>
      </c>
      <c r="AB5693" s="4">
        <f t="shared" si="888"/>
        <v>0</v>
      </c>
      <c r="AC5693" s="6">
        <f t="shared" si="884"/>
        <v>0</v>
      </c>
      <c r="AD5693" s="6">
        <f t="shared" si="885"/>
        <v>0</v>
      </c>
      <c r="AE5693" s="14">
        <f>VLOOKUP(I5693,[2]媒体政策预估表!A:N,MATCH(O5693,[2]媒体政策预估表!$A$2:$M$2,0),0)</f>
        <v>7.0000000000000007E-2</v>
      </c>
      <c r="AF5693" s="6">
        <f t="shared" si="890"/>
        <v>0</v>
      </c>
      <c r="AG5693" s="14">
        <v>0</v>
      </c>
      <c r="AH5693" s="64">
        <f t="shared" si="886"/>
        <v>0</v>
      </c>
      <c r="AI5693" s="47"/>
      <c r="AJ5693" s="126" t="e">
        <v>#N/A</v>
      </c>
      <c r="AK5693" s="80">
        <f t="shared" si="889"/>
        <v>0</v>
      </c>
      <c r="AL5693" s="85"/>
      <c r="AM5693" s="85"/>
    </row>
    <row r="5694" spans="1:39" s="86" customFormat="1" ht="13.25" hidden="1" customHeight="1" x14ac:dyDescent="0.3">
      <c r="A5694" s="89" t="s">
        <v>3794</v>
      </c>
      <c r="B5694" s="86" t="s">
        <v>35</v>
      </c>
      <c r="C5694" s="86" t="s">
        <v>47</v>
      </c>
      <c r="D5694" s="86" t="s">
        <v>48</v>
      </c>
      <c r="E5694" s="86" t="s">
        <v>917</v>
      </c>
      <c r="F5694" s="86" t="s">
        <v>917</v>
      </c>
      <c r="G5694" s="86" t="s">
        <v>917</v>
      </c>
      <c r="H5694" s="143">
        <v>62</v>
      </c>
      <c r="I5694" s="86" t="s">
        <v>408</v>
      </c>
      <c r="J5694" s="1" t="s">
        <v>3324</v>
      </c>
      <c r="K5694" s="1" t="s">
        <v>3278</v>
      </c>
      <c r="L5694" s="1" t="s">
        <v>35</v>
      </c>
      <c r="M5694" s="86" t="s">
        <v>918</v>
      </c>
      <c r="O5694" s="47" t="s">
        <v>410</v>
      </c>
      <c r="P5694" s="14" t="s">
        <v>46</v>
      </c>
      <c r="Q5694" s="14">
        <v>0.02</v>
      </c>
      <c r="R5694" s="143">
        <v>1000028757</v>
      </c>
      <c r="S5694" s="47"/>
      <c r="T5694" s="6">
        <v>2000</v>
      </c>
      <c r="U5694" s="6"/>
      <c r="V5694" s="6">
        <v>0</v>
      </c>
      <c r="W5694" s="6">
        <f t="shared" ref="W5694:W5757" si="892">T5694+U5694-V5694</f>
        <v>2000</v>
      </c>
      <c r="X5694" s="6">
        <f t="shared" si="891"/>
        <v>0</v>
      </c>
      <c r="Y5694" s="13">
        <f t="shared" si="887"/>
        <v>0</v>
      </c>
      <c r="Z5694" s="14">
        <v>0</v>
      </c>
      <c r="AA5694" s="6">
        <v>0</v>
      </c>
      <c r="AB5694" s="4">
        <f t="shared" si="888"/>
        <v>0</v>
      </c>
      <c r="AC5694" s="6">
        <f t="shared" ref="AC5694:AC5757" si="893">IF(P5694="返现",X5694*Q5694,V5694-X5694)</f>
        <v>0</v>
      </c>
      <c r="AD5694" s="6">
        <f t="shared" ref="AD5694:AD5757" si="894">V5694</f>
        <v>0</v>
      </c>
      <c r="AE5694" s="14">
        <f>VLOOKUP(I5694,[2]媒体政策预估表!A:N,MATCH(O5694,[2]媒体政策预估表!$A$2:$M$2,0),0)</f>
        <v>7.0000000000000007E-2</v>
      </c>
      <c r="AF5694" s="6">
        <f t="shared" si="890"/>
        <v>0</v>
      </c>
      <c r="AG5694" s="14">
        <v>0</v>
      </c>
      <c r="AH5694" s="64">
        <f t="shared" ref="AH5694:AH5757" si="895">V5694</f>
        <v>0</v>
      </c>
      <c r="AI5694" s="47"/>
      <c r="AJ5694" s="126" t="e">
        <v>#N/A</v>
      </c>
      <c r="AK5694" s="80">
        <f t="shared" si="889"/>
        <v>0</v>
      </c>
      <c r="AL5694" s="85"/>
      <c r="AM5694" s="85"/>
    </row>
    <row r="5695" spans="1:39" s="86" customFormat="1" ht="13.25" hidden="1" customHeight="1" x14ac:dyDescent="0.3">
      <c r="A5695" s="89" t="s">
        <v>3806</v>
      </c>
      <c r="B5695" s="86" t="s">
        <v>35</v>
      </c>
      <c r="C5695" s="86" t="s">
        <v>47</v>
      </c>
      <c r="D5695" s="86" t="s">
        <v>48</v>
      </c>
      <c r="E5695" s="86" t="s">
        <v>919</v>
      </c>
      <c r="F5695" s="86" t="s">
        <v>919</v>
      </c>
      <c r="G5695" s="86" t="s">
        <v>919</v>
      </c>
      <c r="H5695" s="143">
        <v>62</v>
      </c>
      <c r="I5695" s="86" t="s">
        <v>408</v>
      </c>
      <c r="J5695" s="1" t="s">
        <v>3324</v>
      </c>
      <c r="K5695" s="1" t="s">
        <v>3278</v>
      </c>
      <c r="L5695" s="1" t="s">
        <v>35</v>
      </c>
      <c r="M5695" s="86" t="s">
        <v>920</v>
      </c>
      <c r="O5695" s="47" t="s">
        <v>410</v>
      </c>
      <c r="P5695" s="14" t="s">
        <v>46</v>
      </c>
      <c r="Q5695" s="14">
        <v>0.04</v>
      </c>
      <c r="R5695" s="143">
        <v>1000010405</v>
      </c>
      <c r="S5695" s="47"/>
      <c r="T5695" s="6">
        <v>43170.3</v>
      </c>
      <c r="U5695" s="6"/>
      <c r="V5695" s="6">
        <v>0</v>
      </c>
      <c r="W5695" s="6">
        <f t="shared" si="892"/>
        <v>43170.3</v>
      </c>
      <c r="X5695" s="6">
        <f t="shared" si="891"/>
        <v>0</v>
      </c>
      <c r="Y5695" s="13">
        <f t="shared" si="887"/>
        <v>0</v>
      </c>
      <c r="Z5695" s="14">
        <v>0</v>
      </c>
      <c r="AA5695" s="6">
        <v>0</v>
      </c>
      <c r="AB5695" s="4">
        <f t="shared" si="888"/>
        <v>0</v>
      </c>
      <c r="AC5695" s="6">
        <f t="shared" si="893"/>
        <v>0</v>
      </c>
      <c r="AD5695" s="6">
        <f t="shared" si="894"/>
        <v>0</v>
      </c>
      <c r="AE5695" s="14">
        <f>VLOOKUP(I5695,[2]媒体政策预估表!A:N,MATCH(O5695,[2]媒体政策预估表!$A$2:$M$2,0),0)</f>
        <v>7.0000000000000007E-2</v>
      </c>
      <c r="AF5695" s="6">
        <f t="shared" si="890"/>
        <v>0</v>
      </c>
      <c r="AG5695" s="14">
        <v>0</v>
      </c>
      <c r="AH5695" s="64">
        <f t="shared" si="895"/>
        <v>0</v>
      </c>
      <c r="AI5695" s="47"/>
      <c r="AJ5695" s="126" t="e">
        <v>#N/A</v>
      </c>
      <c r="AK5695" s="80">
        <f t="shared" si="889"/>
        <v>0</v>
      </c>
      <c r="AL5695" s="85"/>
      <c r="AM5695" s="85"/>
    </row>
    <row r="5696" spans="1:39" s="86" customFormat="1" ht="13.25" hidden="1" customHeight="1" x14ac:dyDescent="0.3">
      <c r="A5696" s="89" t="s">
        <v>3792</v>
      </c>
      <c r="B5696" s="86" t="s">
        <v>35</v>
      </c>
      <c r="C5696" s="86" t="s">
        <v>144</v>
      </c>
      <c r="D5696" s="86" t="s">
        <v>145</v>
      </c>
      <c r="E5696" s="86" t="s">
        <v>921</v>
      </c>
      <c r="F5696" s="86" t="s">
        <v>921</v>
      </c>
      <c r="G5696" s="86" t="s">
        <v>921</v>
      </c>
      <c r="H5696" s="143">
        <v>62</v>
      </c>
      <c r="I5696" s="86" t="s">
        <v>408</v>
      </c>
      <c r="J5696" s="1" t="s">
        <v>3324</v>
      </c>
      <c r="K5696" s="1" t="s">
        <v>3278</v>
      </c>
      <c r="L5696" s="1" t="s">
        <v>35</v>
      </c>
      <c r="M5696" s="86" t="s">
        <v>922</v>
      </c>
      <c r="O5696" s="47" t="s">
        <v>410</v>
      </c>
      <c r="P5696" s="14" t="s">
        <v>46</v>
      </c>
      <c r="Q5696" s="14">
        <v>7.0000000000000007E-2</v>
      </c>
      <c r="R5696" s="143">
        <v>1000031742</v>
      </c>
      <c r="S5696" s="47"/>
      <c r="T5696" s="6">
        <v>10000</v>
      </c>
      <c r="U5696" s="6"/>
      <c r="V5696" s="6">
        <v>0</v>
      </c>
      <c r="W5696" s="6">
        <f t="shared" si="892"/>
        <v>10000</v>
      </c>
      <c r="X5696" s="6">
        <f t="shared" si="891"/>
        <v>0</v>
      </c>
      <c r="Y5696" s="13">
        <f t="shared" si="887"/>
        <v>0</v>
      </c>
      <c r="Z5696" s="14">
        <v>0</v>
      </c>
      <c r="AA5696" s="6">
        <v>0</v>
      </c>
      <c r="AB5696" s="4">
        <f t="shared" si="888"/>
        <v>0</v>
      </c>
      <c r="AC5696" s="6">
        <f t="shared" si="893"/>
        <v>0</v>
      </c>
      <c r="AD5696" s="6">
        <f t="shared" si="894"/>
        <v>0</v>
      </c>
      <c r="AE5696" s="14">
        <f>VLOOKUP(I5696,[2]媒体政策预估表!A:N,MATCH(O5696,[2]媒体政策预估表!$A$2:$M$2,0),0)</f>
        <v>7.0000000000000007E-2</v>
      </c>
      <c r="AF5696" s="6">
        <f t="shared" si="890"/>
        <v>0</v>
      </c>
      <c r="AG5696" s="14">
        <v>0</v>
      </c>
      <c r="AH5696" s="64">
        <f t="shared" si="895"/>
        <v>0</v>
      </c>
      <c r="AI5696" s="47"/>
      <c r="AJ5696" s="126" t="e">
        <v>#N/A</v>
      </c>
      <c r="AK5696" s="80">
        <f t="shared" si="889"/>
        <v>0</v>
      </c>
      <c r="AL5696" s="85"/>
      <c r="AM5696" s="85"/>
    </row>
    <row r="5697" spans="1:39" s="86" customFormat="1" ht="13.25" hidden="1" customHeight="1" x14ac:dyDescent="0.3">
      <c r="A5697" s="89" t="s">
        <v>3794</v>
      </c>
      <c r="B5697" s="86" t="s">
        <v>35</v>
      </c>
      <c r="C5697" s="86" t="s">
        <v>144</v>
      </c>
      <c r="D5697" s="86" t="s">
        <v>145</v>
      </c>
      <c r="E5697" s="86" t="s">
        <v>923</v>
      </c>
      <c r="F5697" s="86" t="s">
        <v>923</v>
      </c>
      <c r="G5697" s="86" t="s">
        <v>923</v>
      </c>
      <c r="H5697" s="143">
        <v>62</v>
      </c>
      <c r="I5697" s="86" t="s">
        <v>408</v>
      </c>
      <c r="J5697" s="1" t="s">
        <v>3324</v>
      </c>
      <c r="K5697" s="1" t="s">
        <v>3278</v>
      </c>
      <c r="L5697" s="1" t="s">
        <v>35</v>
      </c>
      <c r="M5697" s="86" t="s">
        <v>924</v>
      </c>
      <c r="O5697" s="47" t="s">
        <v>45</v>
      </c>
      <c r="P5697" s="14" t="s">
        <v>46</v>
      </c>
      <c r="Q5697" s="14">
        <v>0.1</v>
      </c>
      <c r="R5697" s="143">
        <v>1000028859</v>
      </c>
      <c r="S5697" s="47"/>
      <c r="T5697" s="6">
        <v>10398.74</v>
      </c>
      <c r="U5697" s="6"/>
      <c r="V5697" s="6">
        <v>0</v>
      </c>
      <c r="W5697" s="6">
        <f t="shared" si="892"/>
        <v>10398.74</v>
      </c>
      <c r="X5697" s="6">
        <f t="shared" si="891"/>
        <v>0</v>
      </c>
      <c r="Y5697" s="13">
        <f t="shared" si="887"/>
        <v>0</v>
      </c>
      <c r="Z5697" s="14">
        <v>0</v>
      </c>
      <c r="AA5697" s="6">
        <v>0</v>
      </c>
      <c r="AB5697" s="4">
        <f t="shared" si="888"/>
        <v>0</v>
      </c>
      <c r="AC5697" s="6">
        <f t="shared" si="893"/>
        <v>0</v>
      </c>
      <c r="AD5697" s="6">
        <f t="shared" si="894"/>
        <v>0</v>
      </c>
      <c r="AE5697" s="14">
        <f>VLOOKUP(I5697,[2]媒体政策预估表!A:N,MATCH(O5697,[2]媒体政策预估表!$A$2:$M$2,0),0)</f>
        <v>0.11</v>
      </c>
      <c r="AF5697" s="6">
        <f t="shared" si="890"/>
        <v>0</v>
      </c>
      <c r="AG5697" s="14">
        <v>0</v>
      </c>
      <c r="AH5697" s="64">
        <f t="shared" si="895"/>
        <v>0</v>
      </c>
      <c r="AI5697" s="47"/>
      <c r="AJ5697" s="126" t="e">
        <v>#N/A</v>
      </c>
      <c r="AK5697" s="80">
        <f t="shared" si="889"/>
        <v>0</v>
      </c>
      <c r="AL5697" s="85"/>
      <c r="AM5697" s="85"/>
    </row>
    <row r="5698" spans="1:39" s="86" customFormat="1" ht="13.25" hidden="1" customHeight="1" x14ac:dyDescent="0.3">
      <c r="A5698" s="89" t="s">
        <v>3794</v>
      </c>
      <c r="B5698" s="86" t="s">
        <v>35</v>
      </c>
      <c r="C5698" s="86" t="s">
        <v>144</v>
      </c>
      <c r="D5698" s="86" t="s">
        <v>303</v>
      </c>
      <c r="E5698" s="86" t="s">
        <v>927</v>
      </c>
      <c r="F5698" s="86" t="s">
        <v>927</v>
      </c>
      <c r="G5698" s="86" t="s">
        <v>927</v>
      </c>
      <c r="H5698" s="143">
        <v>62</v>
      </c>
      <c r="I5698" s="86" t="s">
        <v>408</v>
      </c>
      <c r="J5698" s="1" t="s">
        <v>3324</v>
      </c>
      <c r="K5698" s="1" t="s">
        <v>3278</v>
      </c>
      <c r="L5698" s="1" t="s">
        <v>35</v>
      </c>
      <c r="M5698" s="86" t="s">
        <v>928</v>
      </c>
      <c r="O5698" s="47" t="s">
        <v>410</v>
      </c>
      <c r="P5698" s="14" t="s">
        <v>46</v>
      </c>
      <c r="Q5698" s="14">
        <v>0.02</v>
      </c>
      <c r="R5698" s="143">
        <v>1000044270</v>
      </c>
      <c r="S5698" s="47"/>
      <c r="T5698" s="6">
        <v>12179.5</v>
      </c>
      <c r="U5698" s="6"/>
      <c r="V5698" s="6">
        <v>0</v>
      </c>
      <c r="W5698" s="6">
        <f t="shared" si="892"/>
        <v>12179.5</v>
      </c>
      <c r="X5698" s="6">
        <f t="shared" si="891"/>
        <v>0</v>
      </c>
      <c r="Y5698" s="13">
        <f t="shared" si="887"/>
        <v>0</v>
      </c>
      <c r="Z5698" s="14">
        <v>0</v>
      </c>
      <c r="AA5698" s="6">
        <v>0</v>
      </c>
      <c r="AB5698" s="4">
        <f t="shared" si="888"/>
        <v>0</v>
      </c>
      <c r="AC5698" s="6">
        <f t="shared" si="893"/>
        <v>0</v>
      </c>
      <c r="AD5698" s="6">
        <f t="shared" si="894"/>
        <v>0</v>
      </c>
      <c r="AE5698" s="14">
        <f>VLOOKUP(I5698,[2]媒体政策预估表!A:N,MATCH(O5698,[2]媒体政策预估表!$A$2:$M$2,0),0)</f>
        <v>7.0000000000000007E-2</v>
      </c>
      <c r="AF5698" s="6">
        <f t="shared" si="890"/>
        <v>0</v>
      </c>
      <c r="AG5698" s="14">
        <v>0</v>
      </c>
      <c r="AH5698" s="64">
        <f t="shared" si="895"/>
        <v>0</v>
      </c>
      <c r="AI5698" s="47"/>
      <c r="AJ5698" s="126" t="e">
        <v>#N/A</v>
      </c>
      <c r="AK5698" s="80">
        <f t="shared" si="889"/>
        <v>0</v>
      </c>
      <c r="AL5698" s="85"/>
      <c r="AM5698" s="85"/>
    </row>
    <row r="5699" spans="1:39" s="86" customFormat="1" ht="13.25" hidden="1" customHeight="1" x14ac:dyDescent="0.3">
      <c r="A5699" s="89" t="s">
        <v>3806</v>
      </c>
      <c r="B5699" s="86" t="s">
        <v>35</v>
      </c>
      <c r="C5699" s="86" t="s">
        <v>144</v>
      </c>
      <c r="D5699" s="86" t="s">
        <v>161</v>
      </c>
      <c r="E5699" s="86" t="s">
        <v>929</v>
      </c>
      <c r="F5699" s="86" t="s">
        <v>929</v>
      </c>
      <c r="G5699" s="86" t="s">
        <v>929</v>
      </c>
      <c r="H5699" s="143">
        <v>62</v>
      </c>
      <c r="I5699" s="86" t="s">
        <v>408</v>
      </c>
      <c r="J5699" s="1" t="s">
        <v>3324</v>
      </c>
      <c r="K5699" s="1" t="s">
        <v>3278</v>
      </c>
      <c r="L5699" s="1" t="s">
        <v>35</v>
      </c>
      <c r="M5699" s="86" t="s">
        <v>930</v>
      </c>
      <c r="O5699" s="47" t="s">
        <v>45</v>
      </c>
      <c r="P5699" s="14" t="s">
        <v>46</v>
      </c>
      <c r="Q5699" s="14">
        <v>0.1</v>
      </c>
      <c r="R5699" s="143">
        <v>1000034042</v>
      </c>
      <c r="S5699" s="47"/>
      <c r="T5699" s="6">
        <v>4625.51</v>
      </c>
      <c r="U5699" s="6"/>
      <c r="V5699" s="6">
        <v>0</v>
      </c>
      <c r="W5699" s="6">
        <f t="shared" si="892"/>
        <v>4625.51</v>
      </c>
      <c r="X5699" s="6">
        <f t="shared" si="891"/>
        <v>0</v>
      </c>
      <c r="Y5699" s="13">
        <f t="shared" ref="Y5699:Y5762" si="896">IF(X5699-AD5699&lt;=0,0,IF(P5699="返现",MAX(X5699-AC5699-AD5699,0),MAX(X5699-AD5699)))</f>
        <v>0</v>
      </c>
      <c r="Z5699" s="14">
        <v>0</v>
      </c>
      <c r="AA5699" s="6">
        <v>0</v>
      </c>
      <c r="AB5699" s="4">
        <f t="shared" ref="AB5699:AB5762" si="897">X5699+AA5699</f>
        <v>0</v>
      </c>
      <c r="AC5699" s="6">
        <f t="shared" si="893"/>
        <v>0</v>
      </c>
      <c r="AD5699" s="6">
        <f t="shared" si="894"/>
        <v>0</v>
      </c>
      <c r="AE5699" s="14">
        <f>VLOOKUP(I5699,[2]媒体政策预估表!A:N,MATCH(O5699,[2]媒体政策预估表!$A$2:$M$2,0),0)</f>
        <v>0.11</v>
      </c>
      <c r="AF5699" s="6">
        <f t="shared" si="890"/>
        <v>0</v>
      </c>
      <c r="AG5699" s="14">
        <v>0</v>
      </c>
      <c r="AH5699" s="64">
        <f t="shared" si="895"/>
        <v>0</v>
      </c>
      <c r="AI5699" s="47"/>
      <c r="AJ5699" s="126" t="e">
        <v>#N/A</v>
      </c>
      <c r="AK5699" s="80">
        <f t="shared" ref="AK5699:AK5762" si="898">X5699+AA5699-AB5699</f>
        <v>0</v>
      </c>
      <c r="AL5699" s="85"/>
      <c r="AM5699" s="85"/>
    </row>
    <row r="5700" spans="1:39" s="86" customFormat="1" ht="13.25" hidden="1" customHeight="1" x14ac:dyDescent="0.3">
      <c r="A5700" s="89" t="s">
        <v>3852</v>
      </c>
      <c r="B5700" s="86" t="s">
        <v>35</v>
      </c>
      <c r="C5700" s="86" t="s">
        <v>144</v>
      </c>
      <c r="D5700" s="86" t="s">
        <v>161</v>
      </c>
      <c r="E5700" s="86" t="s">
        <v>929</v>
      </c>
      <c r="F5700" s="86" t="s">
        <v>929</v>
      </c>
      <c r="G5700" s="86" t="s">
        <v>929</v>
      </c>
      <c r="H5700" s="143">
        <v>62</v>
      </c>
      <c r="I5700" s="86" t="s">
        <v>408</v>
      </c>
      <c r="J5700" s="1" t="s">
        <v>3324</v>
      </c>
      <c r="K5700" s="1" t="s">
        <v>3278</v>
      </c>
      <c r="L5700" s="1" t="s">
        <v>35</v>
      </c>
      <c r="M5700" s="86" t="s">
        <v>931</v>
      </c>
      <c r="O5700" s="47" t="s">
        <v>410</v>
      </c>
      <c r="P5700" s="14" t="s">
        <v>46</v>
      </c>
      <c r="Q5700" s="14">
        <v>0.02</v>
      </c>
      <c r="R5700" s="143">
        <v>1000029728</v>
      </c>
      <c r="S5700" s="47"/>
      <c r="T5700" s="6">
        <v>8223.7000000000007</v>
      </c>
      <c r="U5700" s="6"/>
      <c r="V5700" s="6">
        <v>0</v>
      </c>
      <c r="W5700" s="6">
        <f t="shared" si="892"/>
        <v>8223.7000000000007</v>
      </c>
      <c r="X5700" s="6">
        <f t="shared" si="891"/>
        <v>0</v>
      </c>
      <c r="Y5700" s="13">
        <f t="shared" si="896"/>
        <v>0</v>
      </c>
      <c r="Z5700" s="14">
        <v>0</v>
      </c>
      <c r="AA5700" s="6">
        <v>0</v>
      </c>
      <c r="AB5700" s="4">
        <f t="shared" si="897"/>
        <v>0</v>
      </c>
      <c r="AC5700" s="6">
        <f t="shared" si="893"/>
        <v>0</v>
      </c>
      <c r="AD5700" s="6">
        <f t="shared" si="894"/>
        <v>0</v>
      </c>
      <c r="AE5700" s="14">
        <f>VLOOKUP(I5700,[2]媒体政策预估表!A:N,MATCH(O5700,[2]媒体政策预估表!$A$2:$M$2,0),0)</f>
        <v>7.0000000000000007E-2</v>
      </c>
      <c r="AF5700" s="6">
        <f t="shared" si="890"/>
        <v>0</v>
      </c>
      <c r="AG5700" s="14">
        <v>0</v>
      </c>
      <c r="AH5700" s="64">
        <f t="shared" si="895"/>
        <v>0</v>
      </c>
      <c r="AI5700" s="47"/>
      <c r="AJ5700" s="126" t="e">
        <v>#N/A</v>
      </c>
      <c r="AK5700" s="80">
        <f t="shared" si="898"/>
        <v>0</v>
      </c>
      <c r="AL5700" s="85"/>
      <c r="AM5700" s="85"/>
    </row>
    <row r="5701" spans="1:39" s="86" customFormat="1" ht="13.25" hidden="1" customHeight="1" x14ac:dyDescent="0.3">
      <c r="A5701" s="89" t="s">
        <v>3794</v>
      </c>
      <c r="B5701" s="86" t="s">
        <v>35</v>
      </c>
      <c r="C5701" s="86" t="s">
        <v>144</v>
      </c>
      <c r="D5701" s="86" t="s">
        <v>161</v>
      </c>
      <c r="E5701" s="86" t="s">
        <v>929</v>
      </c>
      <c r="F5701" s="86" t="s">
        <v>929</v>
      </c>
      <c r="G5701" s="86" t="s">
        <v>929</v>
      </c>
      <c r="H5701" s="143">
        <v>62</v>
      </c>
      <c r="I5701" s="86" t="s">
        <v>408</v>
      </c>
      <c r="J5701" s="1" t="s">
        <v>3324</v>
      </c>
      <c r="K5701" s="1" t="s">
        <v>3278</v>
      </c>
      <c r="L5701" s="1" t="s">
        <v>35</v>
      </c>
      <c r="M5701" s="86" t="s">
        <v>932</v>
      </c>
      <c r="O5701" s="47" t="s">
        <v>410</v>
      </c>
      <c r="P5701" s="14" t="s">
        <v>46</v>
      </c>
      <c r="Q5701" s="14">
        <v>0.02</v>
      </c>
      <c r="R5701" s="143">
        <v>1000015608</v>
      </c>
      <c r="S5701" s="47"/>
      <c r="T5701" s="6">
        <v>2453</v>
      </c>
      <c r="U5701" s="6"/>
      <c r="V5701" s="6">
        <v>0</v>
      </c>
      <c r="W5701" s="6">
        <f t="shared" si="892"/>
        <v>2453</v>
      </c>
      <c r="X5701" s="6">
        <f t="shared" si="891"/>
        <v>0</v>
      </c>
      <c r="Y5701" s="13">
        <f t="shared" si="896"/>
        <v>0</v>
      </c>
      <c r="Z5701" s="14">
        <v>0</v>
      </c>
      <c r="AA5701" s="6">
        <v>0</v>
      </c>
      <c r="AB5701" s="4">
        <f t="shared" si="897"/>
        <v>0</v>
      </c>
      <c r="AC5701" s="6">
        <f t="shared" si="893"/>
        <v>0</v>
      </c>
      <c r="AD5701" s="6">
        <f t="shared" si="894"/>
        <v>0</v>
      </c>
      <c r="AE5701" s="14">
        <f>VLOOKUP(I5701,[2]媒体政策预估表!A:N,MATCH(O5701,[2]媒体政策预估表!$A$2:$M$2,0),0)</f>
        <v>7.0000000000000007E-2</v>
      </c>
      <c r="AF5701" s="6">
        <f t="shared" si="890"/>
        <v>0</v>
      </c>
      <c r="AG5701" s="14">
        <v>0</v>
      </c>
      <c r="AH5701" s="64">
        <f t="shared" si="895"/>
        <v>0</v>
      </c>
      <c r="AI5701" s="47"/>
      <c r="AJ5701" s="126" t="e">
        <v>#N/A</v>
      </c>
      <c r="AK5701" s="80">
        <f t="shared" si="898"/>
        <v>0</v>
      </c>
      <c r="AL5701" s="85"/>
      <c r="AM5701" s="85"/>
    </row>
    <row r="5702" spans="1:39" s="86" customFormat="1" ht="13.25" hidden="1" customHeight="1" x14ac:dyDescent="0.3">
      <c r="A5702" s="89" t="s">
        <v>3792</v>
      </c>
      <c r="B5702" s="86" t="s">
        <v>35</v>
      </c>
      <c r="C5702" s="86" t="s">
        <v>144</v>
      </c>
      <c r="D5702" s="86" t="s">
        <v>161</v>
      </c>
      <c r="E5702" s="86" t="s">
        <v>929</v>
      </c>
      <c r="F5702" s="86" t="s">
        <v>929</v>
      </c>
      <c r="G5702" s="86" t="s">
        <v>929</v>
      </c>
      <c r="H5702" s="143">
        <v>62</v>
      </c>
      <c r="I5702" s="86" t="s">
        <v>408</v>
      </c>
      <c r="J5702" s="1" t="s">
        <v>3324</v>
      </c>
      <c r="K5702" s="1" t="s">
        <v>3278</v>
      </c>
      <c r="L5702" s="1" t="s">
        <v>35</v>
      </c>
      <c r="M5702" s="86" t="s">
        <v>933</v>
      </c>
      <c r="O5702" s="47" t="s">
        <v>410</v>
      </c>
      <c r="P5702" s="14" t="s">
        <v>46</v>
      </c>
      <c r="Q5702" s="14">
        <v>0.02</v>
      </c>
      <c r="R5702" s="143">
        <v>1000003404</v>
      </c>
      <c r="S5702" s="47"/>
      <c r="T5702" s="6">
        <v>9703.2000000000007</v>
      </c>
      <c r="U5702" s="6"/>
      <c r="V5702" s="6">
        <v>0</v>
      </c>
      <c r="W5702" s="6">
        <f t="shared" si="892"/>
        <v>9703.2000000000007</v>
      </c>
      <c r="X5702" s="6">
        <f t="shared" si="891"/>
        <v>0</v>
      </c>
      <c r="Y5702" s="13">
        <f t="shared" si="896"/>
        <v>0</v>
      </c>
      <c r="Z5702" s="14">
        <v>0</v>
      </c>
      <c r="AA5702" s="6">
        <v>0</v>
      </c>
      <c r="AB5702" s="4">
        <f t="shared" si="897"/>
        <v>0</v>
      </c>
      <c r="AC5702" s="6">
        <f t="shared" si="893"/>
        <v>0</v>
      </c>
      <c r="AD5702" s="6">
        <f t="shared" si="894"/>
        <v>0</v>
      </c>
      <c r="AE5702" s="14">
        <f>VLOOKUP(I5702,[2]媒体政策预估表!A:N,MATCH(O5702,[2]媒体政策预估表!$A$2:$M$2,0),0)</f>
        <v>7.0000000000000007E-2</v>
      </c>
      <c r="AF5702" s="6">
        <f t="shared" si="890"/>
        <v>0</v>
      </c>
      <c r="AG5702" s="14">
        <v>0</v>
      </c>
      <c r="AH5702" s="64">
        <f t="shared" si="895"/>
        <v>0</v>
      </c>
      <c r="AI5702" s="47"/>
      <c r="AJ5702" s="126" t="e">
        <v>#N/A</v>
      </c>
      <c r="AK5702" s="80">
        <f t="shared" si="898"/>
        <v>0</v>
      </c>
      <c r="AL5702" s="85"/>
      <c r="AM5702" s="85"/>
    </row>
    <row r="5703" spans="1:39" s="86" customFormat="1" ht="13.25" hidden="1" customHeight="1" x14ac:dyDescent="0.3">
      <c r="A5703" s="89" t="s">
        <v>3806</v>
      </c>
      <c r="B5703" s="86" t="s">
        <v>35</v>
      </c>
      <c r="C5703" s="86" t="s">
        <v>164</v>
      </c>
      <c r="D5703" s="86" t="s">
        <v>934</v>
      </c>
      <c r="E5703" s="86" t="s">
        <v>935</v>
      </c>
      <c r="F5703" s="86" t="s">
        <v>935</v>
      </c>
      <c r="G5703" s="86" t="s">
        <v>935</v>
      </c>
      <c r="H5703" s="143">
        <v>62</v>
      </c>
      <c r="I5703" s="86" t="s">
        <v>408</v>
      </c>
      <c r="J5703" s="1" t="s">
        <v>3324</v>
      </c>
      <c r="K5703" s="1" t="s">
        <v>3278</v>
      </c>
      <c r="L5703" s="1" t="s">
        <v>35</v>
      </c>
      <c r="M5703" s="86" t="s">
        <v>936</v>
      </c>
      <c r="O5703" s="47" t="s">
        <v>410</v>
      </c>
      <c r="P5703" s="14" t="s">
        <v>46</v>
      </c>
      <c r="Q5703" s="14">
        <v>0.02</v>
      </c>
      <c r="R5703" s="143">
        <v>1000011614</v>
      </c>
      <c r="S5703" s="47"/>
      <c r="T5703" s="6">
        <v>10200</v>
      </c>
      <c r="U5703" s="6"/>
      <c r="V5703" s="6">
        <v>0</v>
      </c>
      <c r="W5703" s="6">
        <f t="shared" si="892"/>
        <v>10200</v>
      </c>
      <c r="X5703" s="6">
        <f t="shared" si="891"/>
        <v>0</v>
      </c>
      <c r="Y5703" s="13">
        <f t="shared" si="896"/>
        <v>0</v>
      </c>
      <c r="Z5703" s="14">
        <v>0</v>
      </c>
      <c r="AA5703" s="6">
        <v>0</v>
      </c>
      <c r="AB5703" s="4">
        <f t="shared" si="897"/>
        <v>0</v>
      </c>
      <c r="AC5703" s="6">
        <f t="shared" si="893"/>
        <v>0</v>
      </c>
      <c r="AD5703" s="6">
        <f t="shared" si="894"/>
        <v>0</v>
      </c>
      <c r="AE5703" s="14">
        <f>VLOOKUP(I5703,[2]媒体政策预估表!A:N,MATCH(O5703,[2]媒体政策预估表!$A$2:$M$2,0),0)</f>
        <v>7.0000000000000007E-2</v>
      </c>
      <c r="AF5703" s="6">
        <f t="shared" si="890"/>
        <v>0</v>
      </c>
      <c r="AG5703" s="14">
        <v>0</v>
      </c>
      <c r="AH5703" s="64">
        <f t="shared" si="895"/>
        <v>0</v>
      </c>
      <c r="AI5703" s="47"/>
      <c r="AJ5703" s="126" t="e">
        <v>#N/A</v>
      </c>
      <c r="AK5703" s="80">
        <f t="shared" si="898"/>
        <v>0</v>
      </c>
      <c r="AL5703" s="85"/>
      <c r="AM5703" s="85"/>
    </row>
    <row r="5704" spans="1:39" s="86" customFormat="1" ht="13.25" hidden="1" customHeight="1" x14ac:dyDescent="0.3">
      <c r="A5704" s="89" t="s">
        <v>3794</v>
      </c>
      <c r="B5704" s="86" t="s">
        <v>35</v>
      </c>
      <c r="C5704" s="86" t="s">
        <v>164</v>
      </c>
      <c r="D5704" s="86" t="s">
        <v>174</v>
      </c>
      <c r="E5704" s="86" t="s">
        <v>937</v>
      </c>
      <c r="F5704" s="86" t="s">
        <v>937</v>
      </c>
      <c r="G5704" s="86" t="s">
        <v>937</v>
      </c>
      <c r="H5704" s="143">
        <v>62</v>
      </c>
      <c r="I5704" s="86" t="s">
        <v>408</v>
      </c>
      <c r="J5704" s="1" t="s">
        <v>3324</v>
      </c>
      <c r="K5704" s="1" t="s">
        <v>3278</v>
      </c>
      <c r="L5704" s="1" t="s">
        <v>35</v>
      </c>
      <c r="M5704" s="86" t="s">
        <v>938</v>
      </c>
      <c r="O5704" s="47" t="s">
        <v>45</v>
      </c>
      <c r="P5704" s="14" t="s">
        <v>46</v>
      </c>
      <c r="Q5704" s="14">
        <v>0.08</v>
      </c>
      <c r="R5704" s="143">
        <v>1000049542</v>
      </c>
      <c r="S5704" s="47"/>
      <c r="T5704" s="6">
        <v>272.2</v>
      </c>
      <c r="U5704" s="6"/>
      <c r="V5704" s="6">
        <v>0</v>
      </c>
      <c r="W5704" s="6">
        <f t="shared" si="892"/>
        <v>272.2</v>
      </c>
      <c r="X5704" s="6">
        <f t="shared" si="891"/>
        <v>0</v>
      </c>
      <c r="Y5704" s="13">
        <f t="shared" si="896"/>
        <v>0</v>
      </c>
      <c r="Z5704" s="14">
        <v>0</v>
      </c>
      <c r="AA5704" s="6">
        <v>0</v>
      </c>
      <c r="AB5704" s="4">
        <f t="shared" si="897"/>
        <v>0</v>
      </c>
      <c r="AC5704" s="6">
        <f t="shared" si="893"/>
        <v>0</v>
      </c>
      <c r="AD5704" s="6">
        <f t="shared" si="894"/>
        <v>0</v>
      </c>
      <c r="AE5704" s="14">
        <f>VLOOKUP(I5704,[2]媒体政策预估表!A:N,MATCH(O5704,[2]媒体政策预估表!$A$2:$M$2,0),0)</f>
        <v>0.11</v>
      </c>
      <c r="AF5704" s="6">
        <f t="shared" si="890"/>
        <v>0</v>
      </c>
      <c r="AG5704" s="14">
        <v>0</v>
      </c>
      <c r="AH5704" s="64">
        <f t="shared" si="895"/>
        <v>0</v>
      </c>
      <c r="AI5704" s="47"/>
      <c r="AJ5704" s="126" t="e">
        <v>#N/A</v>
      </c>
      <c r="AK5704" s="80">
        <f t="shared" si="898"/>
        <v>0</v>
      </c>
      <c r="AL5704" s="85"/>
      <c r="AM5704" s="85"/>
    </row>
    <row r="5705" spans="1:39" s="86" customFormat="1" ht="13.25" hidden="1" customHeight="1" x14ac:dyDescent="0.3">
      <c r="A5705" s="89" t="s">
        <v>3794</v>
      </c>
      <c r="B5705" s="86" t="s">
        <v>35</v>
      </c>
      <c r="C5705" s="86" t="s">
        <v>164</v>
      </c>
      <c r="D5705" s="86" t="s">
        <v>174</v>
      </c>
      <c r="E5705" s="86" t="s">
        <v>939</v>
      </c>
      <c r="F5705" s="86" t="s">
        <v>939</v>
      </c>
      <c r="G5705" s="86" t="s">
        <v>939</v>
      </c>
      <c r="H5705" s="143">
        <v>62</v>
      </c>
      <c r="I5705" s="86" t="s">
        <v>408</v>
      </c>
      <c r="J5705" s="1" t="s">
        <v>3324</v>
      </c>
      <c r="K5705" s="1" t="s">
        <v>3278</v>
      </c>
      <c r="L5705" s="1" t="s">
        <v>35</v>
      </c>
      <c r="M5705" s="86" t="s">
        <v>940</v>
      </c>
      <c r="O5705" s="47" t="s">
        <v>410</v>
      </c>
      <c r="P5705" s="14" t="s">
        <v>46</v>
      </c>
      <c r="Q5705" s="14">
        <v>0.04</v>
      </c>
      <c r="R5705" s="143">
        <v>1000010147</v>
      </c>
      <c r="S5705" s="47"/>
      <c r="T5705" s="6">
        <v>6212.97</v>
      </c>
      <c r="U5705" s="6"/>
      <c r="V5705" s="6">
        <v>0</v>
      </c>
      <c r="W5705" s="6">
        <f t="shared" si="892"/>
        <v>6212.97</v>
      </c>
      <c r="X5705" s="6">
        <f t="shared" si="891"/>
        <v>0</v>
      </c>
      <c r="Y5705" s="13">
        <f t="shared" si="896"/>
        <v>0</v>
      </c>
      <c r="Z5705" s="14">
        <v>0</v>
      </c>
      <c r="AA5705" s="6">
        <v>0</v>
      </c>
      <c r="AB5705" s="4">
        <f t="shared" si="897"/>
        <v>0</v>
      </c>
      <c r="AC5705" s="6">
        <f t="shared" si="893"/>
        <v>0</v>
      </c>
      <c r="AD5705" s="6">
        <f t="shared" si="894"/>
        <v>0</v>
      </c>
      <c r="AE5705" s="14">
        <f>VLOOKUP(I5705,[2]媒体政策预估表!A:N,MATCH(O5705,[2]媒体政策预估表!$A$2:$M$2,0),0)</f>
        <v>7.0000000000000007E-2</v>
      </c>
      <c r="AF5705" s="6">
        <f t="shared" si="890"/>
        <v>0</v>
      </c>
      <c r="AG5705" s="14">
        <v>0</v>
      </c>
      <c r="AH5705" s="64">
        <f t="shared" si="895"/>
        <v>0</v>
      </c>
      <c r="AI5705" s="47"/>
      <c r="AJ5705" s="126" t="e">
        <v>#N/A</v>
      </c>
      <c r="AK5705" s="80">
        <f t="shared" si="898"/>
        <v>0</v>
      </c>
      <c r="AL5705" s="85"/>
      <c r="AM5705" s="85"/>
    </row>
    <row r="5706" spans="1:39" s="86" customFormat="1" ht="13.25" hidden="1" customHeight="1" x14ac:dyDescent="0.3">
      <c r="A5706" s="89" t="s">
        <v>3806</v>
      </c>
      <c r="B5706" s="86" t="s">
        <v>35</v>
      </c>
      <c r="C5706" s="86" t="s">
        <v>164</v>
      </c>
      <c r="D5706" s="86" t="s">
        <v>174</v>
      </c>
      <c r="E5706" s="86" t="s">
        <v>942</v>
      </c>
      <c r="F5706" s="86" t="s">
        <v>942</v>
      </c>
      <c r="G5706" s="86" t="s">
        <v>942</v>
      </c>
      <c r="H5706" s="143">
        <v>62</v>
      </c>
      <c r="I5706" s="86" t="s">
        <v>408</v>
      </c>
      <c r="J5706" s="1" t="s">
        <v>3324</v>
      </c>
      <c r="K5706" s="1" t="s">
        <v>3278</v>
      </c>
      <c r="L5706" s="1" t="s">
        <v>35</v>
      </c>
      <c r="M5706" s="86" t="s">
        <v>943</v>
      </c>
      <c r="O5706" s="47" t="s">
        <v>45</v>
      </c>
      <c r="P5706" s="14" t="s">
        <v>46</v>
      </c>
      <c r="Q5706" s="14">
        <v>0.06</v>
      </c>
      <c r="R5706" s="143">
        <v>1000047703</v>
      </c>
      <c r="S5706" s="47"/>
      <c r="T5706" s="6">
        <v>4982</v>
      </c>
      <c r="U5706" s="6"/>
      <c r="V5706" s="6">
        <v>0</v>
      </c>
      <c r="W5706" s="6">
        <f t="shared" si="892"/>
        <v>4982</v>
      </c>
      <c r="X5706" s="6">
        <f t="shared" si="891"/>
        <v>0</v>
      </c>
      <c r="Y5706" s="13">
        <f t="shared" si="896"/>
        <v>0</v>
      </c>
      <c r="Z5706" s="14">
        <v>0</v>
      </c>
      <c r="AA5706" s="6">
        <v>0</v>
      </c>
      <c r="AB5706" s="4">
        <f t="shared" si="897"/>
        <v>0</v>
      </c>
      <c r="AC5706" s="6">
        <f t="shared" si="893"/>
        <v>0</v>
      </c>
      <c r="AD5706" s="6">
        <f t="shared" si="894"/>
        <v>0</v>
      </c>
      <c r="AE5706" s="14">
        <f>VLOOKUP(I5706,[2]媒体政策预估表!A:N,MATCH(O5706,[2]媒体政策预估表!$A$2:$M$2,0),0)</f>
        <v>0.11</v>
      </c>
      <c r="AF5706" s="6">
        <f t="shared" si="890"/>
        <v>0</v>
      </c>
      <c r="AG5706" s="14">
        <v>0</v>
      </c>
      <c r="AH5706" s="64">
        <f t="shared" si="895"/>
        <v>0</v>
      </c>
      <c r="AI5706" s="47"/>
      <c r="AJ5706" s="126" t="e">
        <v>#N/A</v>
      </c>
      <c r="AK5706" s="80">
        <f t="shared" si="898"/>
        <v>0</v>
      </c>
      <c r="AL5706" s="85"/>
      <c r="AM5706" s="85"/>
    </row>
    <row r="5707" spans="1:39" s="86" customFormat="1" ht="13.25" hidden="1" customHeight="1" x14ac:dyDescent="0.3">
      <c r="A5707" s="89" t="s">
        <v>3792</v>
      </c>
      <c r="B5707" s="86" t="s">
        <v>35</v>
      </c>
      <c r="C5707" s="86" t="s">
        <v>164</v>
      </c>
      <c r="D5707" s="86" t="s">
        <v>174</v>
      </c>
      <c r="E5707" s="86" t="s">
        <v>944</v>
      </c>
      <c r="F5707" s="86" t="s">
        <v>944</v>
      </c>
      <c r="G5707" s="86" t="s">
        <v>944</v>
      </c>
      <c r="H5707" s="143">
        <v>62</v>
      </c>
      <c r="I5707" s="86" t="s">
        <v>408</v>
      </c>
      <c r="J5707" s="1" t="s">
        <v>3324</v>
      </c>
      <c r="K5707" s="1" t="s">
        <v>3278</v>
      </c>
      <c r="L5707" s="1" t="s">
        <v>35</v>
      </c>
      <c r="M5707" s="86" t="s">
        <v>945</v>
      </c>
      <c r="O5707" s="47" t="s">
        <v>410</v>
      </c>
      <c r="P5707" s="14" t="s">
        <v>46</v>
      </c>
      <c r="Q5707" s="14">
        <v>0.02</v>
      </c>
      <c r="R5707" s="143">
        <v>1000017235</v>
      </c>
      <c r="S5707" s="47"/>
      <c r="T5707" s="6">
        <v>10184.5</v>
      </c>
      <c r="U5707" s="6"/>
      <c r="V5707" s="6">
        <v>0</v>
      </c>
      <c r="W5707" s="6">
        <f t="shared" si="892"/>
        <v>10184.5</v>
      </c>
      <c r="X5707" s="6">
        <f t="shared" si="891"/>
        <v>0</v>
      </c>
      <c r="Y5707" s="13">
        <f t="shared" si="896"/>
        <v>0</v>
      </c>
      <c r="Z5707" s="14">
        <v>0</v>
      </c>
      <c r="AA5707" s="6">
        <v>0</v>
      </c>
      <c r="AB5707" s="4">
        <f t="shared" si="897"/>
        <v>0</v>
      </c>
      <c r="AC5707" s="6">
        <f t="shared" si="893"/>
        <v>0</v>
      </c>
      <c r="AD5707" s="6">
        <f t="shared" si="894"/>
        <v>0</v>
      </c>
      <c r="AE5707" s="14">
        <f>VLOOKUP(I5707,[2]媒体政策预估表!A:N,MATCH(O5707,[2]媒体政策预估表!$A$2:$M$2,0),0)</f>
        <v>7.0000000000000007E-2</v>
      </c>
      <c r="AF5707" s="6">
        <f t="shared" si="890"/>
        <v>0</v>
      </c>
      <c r="AG5707" s="14">
        <v>0</v>
      </c>
      <c r="AH5707" s="64">
        <f t="shared" si="895"/>
        <v>0</v>
      </c>
      <c r="AI5707" s="47"/>
      <c r="AJ5707" s="126" t="e">
        <v>#N/A</v>
      </c>
      <c r="AK5707" s="80">
        <f t="shared" si="898"/>
        <v>0</v>
      </c>
      <c r="AL5707" s="85"/>
      <c r="AM5707" s="85"/>
    </row>
    <row r="5708" spans="1:39" s="86" customFormat="1" ht="13.25" hidden="1" customHeight="1" x14ac:dyDescent="0.3">
      <c r="A5708" s="89" t="s">
        <v>3794</v>
      </c>
      <c r="B5708" s="86" t="s">
        <v>35</v>
      </c>
      <c r="C5708" s="86" t="s">
        <v>164</v>
      </c>
      <c r="D5708" s="86" t="s">
        <v>174</v>
      </c>
      <c r="E5708" s="86" t="s">
        <v>946</v>
      </c>
      <c r="F5708" s="86" t="s">
        <v>946</v>
      </c>
      <c r="G5708" s="86" t="s">
        <v>946</v>
      </c>
      <c r="H5708" s="143">
        <v>62</v>
      </c>
      <c r="I5708" s="86" t="s">
        <v>408</v>
      </c>
      <c r="J5708" s="1" t="s">
        <v>3324</v>
      </c>
      <c r="K5708" s="1" t="s">
        <v>3278</v>
      </c>
      <c r="L5708" s="1" t="s">
        <v>35</v>
      </c>
      <c r="M5708" s="86" t="s">
        <v>947</v>
      </c>
      <c r="O5708" s="47" t="s">
        <v>410</v>
      </c>
      <c r="P5708" s="14" t="s">
        <v>46</v>
      </c>
      <c r="Q5708" s="14">
        <v>0.02</v>
      </c>
      <c r="R5708" s="143">
        <v>1000045521</v>
      </c>
      <c r="S5708" s="47"/>
      <c r="T5708" s="6">
        <v>1779.71</v>
      </c>
      <c r="U5708" s="6"/>
      <c r="V5708" s="6">
        <v>0</v>
      </c>
      <c r="W5708" s="6">
        <f t="shared" si="892"/>
        <v>1779.71</v>
      </c>
      <c r="X5708" s="6">
        <f t="shared" si="891"/>
        <v>0</v>
      </c>
      <c r="Y5708" s="13">
        <f t="shared" si="896"/>
        <v>0</v>
      </c>
      <c r="Z5708" s="14">
        <v>0</v>
      </c>
      <c r="AA5708" s="6">
        <v>0</v>
      </c>
      <c r="AB5708" s="4">
        <f t="shared" si="897"/>
        <v>0</v>
      </c>
      <c r="AC5708" s="6">
        <f t="shared" si="893"/>
        <v>0</v>
      </c>
      <c r="AD5708" s="6">
        <f t="shared" si="894"/>
        <v>0</v>
      </c>
      <c r="AE5708" s="14">
        <f>VLOOKUP(I5708,[2]媒体政策预估表!A:N,MATCH(O5708,[2]媒体政策预估表!$A$2:$M$2,0),0)</f>
        <v>7.0000000000000007E-2</v>
      </c>
      <c r="AF5708" s="6">
        <f t="shared" si="890"/>
        <v>0</v>
      </c>
      <c r="AG5708" s="14">
        <v>0</v>
      </c>
      <c r="AH5708" s="64">
        <f t="shared" si="895"/>
        <v>0</v>
      </c>
      <c r="AI5708" s="47"/>
      <c r="AJ5708" s="126" t="e">
        <v>#N/A</v>
      </c>
      <c r="AK5708" s="80">
        <f t="shared" si="898"/>
        <v>0</v>
      </c>
      <c r="AL5708" s="85"/>
      <c r="AM5708" s="85"/>
    </row>
    <row r="5709" spans="1:39" s="86" customFormat="1" ht="13.25" hidden="1" customHeight="1" x14ac:dyDescent="0.3">
      <c r="A5709" s="89" t="s">
        <v>3794</v>
      </c>
      <c r="B5709" s="86" t="s">
        <v>35</v>
      </c>
      <c r="C5709" s="86" t="s">
        <v>164</v>
      </c>
      <c r="D5709" s="86" t="s">
        <v>174</v>
      </c>
      <c r="E5709" s="86" t="s">
        <v>948</v>
      </c>
      <c r="F5709" s="86" t="s">
        <v>948</v>
      </c>
      <c r="G5709" s="86" t="s">
        <v>948</v>
      </c>
      <c r="H5709" s="143">
        <v>62</v>
      </c>
      <c r="I5709" s="86" t="s">
        <v>408</v>
      </c>
      <c r="J5709" s="1" t="s">
        <v>3324</v>
      </c>
      <c r="K5709" s="1" t="s">
        <v>3278</v>
      </c>
      <c r="L5709" s="1" t="s">
        <v>35</v>
      </c>
      <c r="M5709" s="86" t="s">
        <v>949</v>
      </c>
      <c r="O5709" s="47" t="s">
        <v>45</v>
      </c>
      <c r="P5709" s="14" t="s">
        <v>46</v>
      </c>
      <c r="Q5709" s="14">
        <v>0.1</v>
      </c>
      <c r="R5709" s="143">
        <v>1000053875</v>
      </c>
      <c r="S5709" s="47"/>
      <c r="T5709" s="6">
        <v>1651.5</v>
      </c>
      <c r="U5709" s="6"/>
      <c r="V5709" s="6">
        <v>0</v>
      </c>
      <c r="W5709" s="6">
        <f t="shared" si="892"/>
        <v>1651.5</v>
      </c>
      <c r="X5709" s="6">
        <f t="shared" si="891"/>
        <v>0</v>
      </c>
      <c r="Y5709" s="13">
        <f t="shared" si="896"/>
        <v>0</v>
      </c>
      <c r="Z5709" s="14">
        <v>0</v>
      </c>
      <c r="AA5709" s="6">
        <v>0</v>
      </c>
      <c r="AB5709" s="4"/>
      <c r="AC5709" s="6">
        <f t="shared" si="893"/>
        <v>0</v>
      </c>
      <c r="AD5709" s="6">
        <f t="shared" si="894"/>
        <v>0</v>
      </c>
      <c r="AE5709" s="14">
        <f>VLOOKUP(I5709,[2]媒体政策预估表!A:N,MATCH(O5709,[2]媒体政策预估表!$A$2:$M$2,0),0)</f>
        <v>0.11</v>
      </c>
      <c r="AF5709" s="6">
        <f t="shared" si="890"/>
        <v>0</v>
      </c>
      <c r="AG5709" s="14">
        <v>0</v>
      </c>
      <c r="AH5709" s="64">
        <f t="shared" si="895"/>
        <v>0</v>
      </c>
      <c r="AI5709" s="47"/>
      <c r="AJ5709" s="126">
        <v>16</v>
      </c>
      <c r="AK5709" s="80">
        <f t="shared" si="898"/>
        <v>0</v>
      </c>
      <c r="AL5709" s="85"/>
      <c r="AM5709" s="85"/>
    </row>
    <row r="5710" spans="1:39" s="86" customFormat="1" ht="13.25" hidden="1" customHeight="1" x14ac:dyDescent="0.3">
      <c r="A5710" s="89" t="s">
        <v>3794</v>
      </c>
      <c r="B5710" s="86" t="s">
        <v>35</v>
      </c>
      <c r="C5710" s="86" t="s">
        <v>164</v>
      </c>
      <c r="D5710" s="86" t="s">
        <v>3407</v>
      </c>
      <c r="E5710" s="86" t="s">
        <v>950</v>
      </c>
      <c r="F5710" s="86" t="s">
        <v>950</v>
      </c>
      <c r="G5710" s="86" t="s">
        <v>950</v>
      </c>
      <c r="H5710" s="143">
        <v>62</v>
      </c>
      <c r="I5710" s="86" t="s">
        <v>408</v>
      </c>
      <c r="J5710" s="1" t="s">
        <v>3324</v>
      </c>
      <c r="K5710" s="1" t="s">
        <v>3278</v>
      </c>
      <c r="L5710" s="1" t="s">
        <v>35</v>
      </c>
      <c r="M5710" s="86" t="s">
        <v>951</v>
      </c>
      <c r="O5710" s="47" t="s">
        <v>410</v>
      </c>
      <c r="P5710" s="14" t="s">
        <v>46</v>
      </c>
      <c r="Q5710" s="14">
        <v>0.02</v>
      </c>
      <c r="R5710" s="143">
        <v>1000044972</v>
      </c>
      <c r="S5710" s="47"/>
      <c r="T5710" s="6">
        <v>5296.7</v>
      </c>
      <c r="U5710" s="6"/>
      <c r="V5710" s="6">
        <v>0</v>
      </c>
      <c r="W5710" s="6">
        <f t="shared" si="892"/>
        <v>5296.7</v>
      </c>
      <c r="X5710" s="6">
        <f t="shared" si="891"/>
        <v>0</v>
      </c>
      <c r="Y5710" s="13">
        <f t="shared" si="896"/>
        <v>0</v>
      </c>
      <c r="Z5710" s="14">
        <v>0</v>
      </c>
      <c r="AA5710" s="6">
        <v>0</v>
      </c>
      <c r="AB5710" s="4">
        <f t="shared" si="897"/>
        <v>0</v>
      </c>
      <c r="AC5710" s="6">
        <f t="shared" si="893"/>
        <v>0</v>
      </c>
      <c r="AD5710" s="6">
        <f t="shared" si="894"/>
        <v>0</v>
      </c>
      <c r="AE5710" s="14">
        <f>VLOOKUP(I5710,[2]媒体政策预估表!A:N,MATCH(O5710,[2]媒体政策预估表!$A$2:$M$2,0),0)</f>
        <v>7.0000000000000007E-2</v>
      </c>
      <c r="AF5710" s="6">
        <f t="shared" si="890"/>
        <v>0</v>
      </c>
      <c r="AG5710" s="14">
        <v>0</v>
      </c>
      <c r="AH5710" s="64">
        <f t="shared" si="895"/>
        <v>0</v>
      </c>
      <c r="AI5710" s="47"/>
      <c r="AJ5710" s="126" t="e">
        <v>#N/A</v>
      </c>
      <c r="AK5710" s="80">
        <f t="shared" si="898"/>
        <v>0</v>
      </c>
      <c r="AL5710" s="85"/>
      <c r="AM5710" s="85"/>
    </row>
    <row r="5711" spans="1:39" s="86" customFormat="1" ht="13.25" hidden="1" customHeight="1" x14ac:dyDescent="0.3">
      <c r="A5711" s="89" t="s">
        <v>3852</v>
      </c>
      <c r="B5711" s="86" t="s">
        <v>35</v>
      </c>
      <c r="C5711" s="86" t="s">
        <v>164</v>
      </c>
      <c r="D5711" s="86" t="s">
        <v>3407</v>
      </c>
      <c r="E5711" s="86" t="s">
        <v>950</v>
      </c>
      <c r="F5711" s="86" t="s">
        <v>950</v>
      </c>
      <c r="G5711" s="86" t="s">
        <v>950</v>
      </c>
      <c r="H5711" s="143">
        <v>62</v>
      </c>
      <c r="I5711" s="86" t="s">
        <v>408</v>
      </c>
      <c r="J5711" s="1" t="s">
        <v>3324</v>
      </c>
      <c r="K5711" s="1" t="s">
        <v>3278</v>
      </c>
      <c r="L5711" s="1" t="s">
        <v>35</v>
      </c>
      <c r="M5711" s="86" t="s">
        <v>952</v>
      </c>
      <c r="O5711" s="47" t="s">
        <v>410</v>
      </c>
      <c r="P5711" s="14" t="s">
        <v>46</v>
      </c>
      <c r="Q5711" s="14">
        <v>0.02</v>
      </c>
      <c r="R5711" s="143">
        <v>1000041974</v>
      </c>
      <c r="S5711" s="47"/>
      <c r="T5711" s="6">
        <v>44382.7</v>
      </c>
      <c r="U5711" s="6"/>
      <c r="V5711" s="6">
        <v>0</v>
      </c>
      <c r="W5711" s="6">
        <f t="shared" si="892"/>
        <v>44382.7</v>
      </c>
      <c r="X5711" s="6">
        <f t="shared" si="891"/>
        <v>0</v>
      </c>
      <c r="Y5711" s="13">
        <f t="shared" si="896"/>
        <v>0</v>
      </c>
      <c r="Z5711" s="14">
        <v>0</v>
      </c>
      <c r="AA5711" s="6">
        <v>0</v>
      </c>
      <c r="AB5711" s="4">
        <f t="shared" si="897"/>
        <v>0</v>
      </c>
      <c r="AC5711" s="6">
        <f t="shared" si="893"/>
        <v>0</v>
      </c>
      <c r="AD5711" s="6">
        <f t="shared" si="894"/>
        <v>0</v>
      </c>
      <c r="AE5711" s="14">
        <f>VLOOKUP(I5711,[2]媒体政策预估表!A:N,MATCH(O5711,[2]媒体政策预估表!$A$2:$M$2,0),0)</f>
        <v>7.0000000000000007E-2</v>
      </c>
      <c r="AF5711" s="6">
        <f t="shared" si="890"/>
        <v>0</v>
      </c>
      <c r="AG5711" s="14">
        <v>0</v>
      </c>
      <c r="AH5711" s="64">
        <f t="shared" si="895"/>
        <v>0</v>
      </c>
      <c r="AI5711" s="47"/>
      <c r="AJ5711" s="126" t="e">
        <v>#N/A</v>
      </c>
      <c r="AK5711" s="80">
        <f t="shared" si="898"/>
        <v>0</v>
      </c>
      <c r="AL5711" s="85"/>
      <c r="AM5711" s="85"/>
    </row>
    <row r="5712" spans="1:39" s="86" customFormat="1" ht="13.25" hidden="1" customHeight="1" x14ac:dyDescent="0.3">
      <c r="A5712" s="89" t="s">
        <v>3794</v>
      </c>
      <c r="B5712" s="86" t="s">
        <v>35</v>
      </c>
      <c r="C5712" s="86" t="s">
        <v>164</v>
      </c>
      <c r="D5712" s="86" t="s">
        <v>3407</v>
      </c>
      <c r="E5712" s="86" t="s">
        <v>950</v>
      </c>
      <c r="F5712" s="86" t="s">
        <v>950</v>
      </c>
      <c r="G5712" s="86" t="s">
        <v>950</v>
      </c>
      <c r="H5712" s="143">
        <v>62</v>
      </c>
      <c r="I5712" s="86" t="s">
        <v>408</v>
      </c>
      <c r="J5712" s="1" t="s">
        <v>3324</v>
      </c>
      <c r="K5712" s="1" t="s">
        <v>3278</v>
      </c>
      <c r="L5712" s="1" t="s">
        <v>35</v>
      </c>
      <c r="M5712" s="86" t="s">
        <v>953</v>
      </c>
      <c r="O5712" s="47" t="s">
        <v>410</v>
      </c>
      <c r="P5712" s="14" t="s">
        <v>46</v>
      </c>
      <c r="Q5712" s="14">
        <v>0.02</v>
      </c>
      <c r="R5712" s="143">
        <v>1000011247</v>
      </c>
      <c r="S5712" s="47"/>
      <c r="T5712" s="6">
        <v>653.5</v>
      </c>
      <c r="U5712" s="6"/>
      <c r="V5712" s="6">
        <v>0</v>
      </c>
      <c r="W5712" s="6">
        <f t="shared" si="892"/>
        <v>653.5</v>
      </c>
      <c r="X5712" s="6">
        <f t="shared" si="891"/>
        <v>0</v>
      </c>
      <c r="Y5712" s="13">
        <f t="shared" si="896"/>
        <v>0</v>
      </c>
      <c r="Z5712" s="14">
        <v>0</v>
      </c>
      <c r="AA5712" s="6">
        <v>0</v>
      </c>
      <c r="AB5712" s="4">
        <f t="shared" si="897"/>
        <v>0</v>
      </c>
      <c r="AC5712" s="6">
        <f t="shared" si="893"/>
        <v>0</v>
      </c>
      <c r="AD5712" s="6">
        <f t="shared" si="894"/>
        <v>0</v>
      </c>
      <c r="AE5712" s="14">
        <f>VLOOKUP(I5712,[2]媒体政策预估表!A:N,MATCH(O5712,[2]媒体政策预估表!$A$2:$M$2,0),0)</f>
        <v>7.0000000000000007E-2</v>
      </c>
      <c r="AF5712" s="6">
        <f t="shared" si="890"/>
        <v>0</v>
      </c>
      <c r="AG5712" s="14">
        <v>0</v>
      </c>
      <c r="AH5712" s="64">
        <f t="shared" si="895"/>
        <v>0</v>
      </c>
      <c r="AI5712" s="47"/>
      <c r="AJ5712" s="126" t="e">
        <v>#N/A</v>
      </c>
      <c r="AK5712" s="80">
        <f t="shared" si="898"/>
        <v>0</v>
      </c>
      <c r="AL5712" s="85"/>
      <c r="AM5712" s="85"/>
    </row>
    <row r="5713" spans="1:39" s="86" customFormat="1" ht="13.25" hidden="1" customHeight="1" x14ac:dyDescent="0.3">
      <c r="A5713" s="89" t="s">
        <v>3794</v>
      </c>
      <c r="B5713" s="86" t="s">
        <v>35</v>
      </c>
      <c r="C5713" s="86" t="s">
        <v>164</v>
      </c>
      <c r="D5713" s="86" t="s">
        <v>3407</v>
      </c>
      <c r="E5713" s="86" t="s">
        <v>954</v>
      </c>
      <c r="F5713" s="86" t="s">
        <v>954</v>
      </c>
      <c r="G5713" s="86" t="s">
        <v>954</v>
      </c>
      <c r="H5713" s="143">
        <v>62</v>
      </c>
      <c r="I5713" s="86" t="s">
        <v>408</v>
      </c>
      <c r="J5713" s="1" t="s">
        <v>3324</v>
      </c>
      <c r="K5713" s="1" t="s">
        <v>3278</v>
      </c>
      <c r="L5713" s="1" t="s">
        <v>35</v>
      </c>
      <c r="M5713" s="86" t="s">
        <v>955</v>
      </c>
      <c r="O5713" s="47" t="s">
        <v>45</v>
      </c>
      <c r="P5713" s="14" t="s">
        <v>46</v>
      </c>
      <c r="Q5713" s="14">
        <v>0.2</v>
      </c>
      <c r="R5713" s="143">
        <v>1000020835</v>
      </c>
      <c r="S5713" s="47"/>
      <c r="T5713" s="6">
        <v>3515.75</v>
      </c>
      <c r="U5713" s="6"/>
      <c r="V5713" s="6">
        <v>0</v>
      </c>
      <c r="W5713" s="6">
        <f t="shared" si="892"/>
        <v>3515.75</v>
      </c>
      <c r="X5713" s="6">
        <f t="shared" si="891"/>
        <v>0</v>
      </c>
      <c r="Y5713" s="13">
        <f t="shared" si="896"/>
        <v>0</v>
      </c>
      <c r="Z5713" s="14">
        <v>0</v>
      </c>
      <c r="AA5713" s="6">
        <v>0</v>
      </c>
      <c r="AB5713" s="4"/>
      <c r="AC5713" s="6">
        <f t="shared" si="893"/>
        <v>0</v>
      </c>
      <c r="AD5713" s="6">
        <f t="shared" si="894"/>
        <v>0</v>
      </c>
      <c r="AE5713" s="14">
        <f>VLOOKUP(I5713,[2]媒体政策预估表!A:N,MATCH(O5713,[2]媒体政策预估表!$A$2:$M$2,0),0)</f>
        <v>0.11</v>
      </c>
      <c r="AF5713" s="6">
        <f t="shared" si="890"/>
        <v>0</v>
      </c>
      <c r="AG5713" s="14">
        <v>0</v>
      </c>
      <c r="AH5713" s="64">
        <f t="shared" si="895"/>
        <v>0</v>
      </c>
      <c r="AI5713" s="47"/>
      <c r="AJ5713" s="126">
        <v>1</v>
      </c>
      <c r="AK5713" s="80">
        <f t="shared" si="898"/>
        <v>0</v>
      </c>
      <c r="AL5713" s="85"/>
      <c r="AM5713" s="85"/>
    </row>
    <row r="5714" spans="1:39" s="86" customFormat="1" ht="13.25" hidden="1" customHeight="1" x14ac:dyDescent="0.3">
      <c r="A5714" s="89" t="s">
        <v>3792</v>
      </c>
      <c r="B5714" s="86" t="s">
        <v>35</v>
      </c>
      <c r="C5714" s="86" t="s">
        <v>164</v>
      </c>
      <c r="D5714" s="86" t="s">
        <v>3407</v>
      </c>
      <c r="E5714" s="86" t="s">
        <v>954</v>
      </c>
      <c r="F5714" s="86" t="s">
        <v>954</v>
      </c>
      <c r="G5714" s="86" t="s">
        <v>954</v>
      </c>
      <c r="H5714" s="143">
        <v>62</v>
      </c>
      <c r="I5714" s="86" t="s">
        <v>408</v>
      </c>
      <c r="J5714" s="1" t="s">
        <v>3324</v>
      </c>
      <c r="K5714" s="1" t="s">
        <v>3278</v>
      </c>
      <c r="L5714" s="1" t="s">
        <v>35</v>
      </c>
      <c r="M5714" s="86" t="s">
        <v>956</v>
      </c>
      <c r="O5714" s="47" t="s">
        <v>45</v>
      </c>
      <c r="P5714" s="14" t="s">
        <v>46</v>
      </c>
      <c r="Q5714" s="14">
        <v>0.2</v>
      </c>
      <c r="R5714" s="143">
        <v>1000021103</v>
      </c>
      <c r="S5714" s="47"/>
      <c r="T5714" s="6">
        <v>7.25</v>
      </c>
      <c r="U5714" s="6"/>
      <c r="V5714" s="6">
        <v>0</v>
      </c>
      <c r="W5714" s="6">
        <f t="shared" si="892"/>
        <v>7.25</v>
      </c>
      <c r="X5714" s="6">
        <f t="shared" si="891"/>
        <v>0</v>
      </c>
      <c r="Y5714" s="13">
        <f t="shared" si="896"/>
        <v>0</v>
      </c>
      <c r="Z5714" s="14">
        <v>0</v>
      </c>
      <c r="AA5714" s="6">
        <v>0</v>
      </c>
      <c r="AB5714" s="4"/>
      <c r="AC5714" s="6">
        <f t="shared" si="893"/>
        <v>0</v>
      </c>
      <c r="AD5714" s="6">
        <f t="shared" si="894"/>
        <v>0</v>
      </c>
      <c r="AE5714" s="14">
        <f>VLOOKUP(I5714,[2]媒体政策预估表!A:N,MATCH(O5714,[2]媒体政策预估表!$A$2:$M$2,0),0)</f>
        <v>0.11</v>
      </c>
      <c r="AF5714" s="6">
        <f t="shared" si="890"/>
        <v>0</v>
      </c>
      <c r="AG5714" s="14">
        <v>0</v>
      </c>
      <c r="AH5714" s="64">
        <f t="shared" si="895"/>
        <v>0</v>
      </c>
      <c r="AI5714" s="47"/>
      <c r="AJ5714" s="126">
        <v>1</v>
      </c>
      <c r="AK5714" s="80">
        <f t="shared" si="898"/>
        <v>0</v>
      </c>
      <c r="AL5714" s="85"/>
      <c r="AM5714" s="85"/>
    </row>
    <row r="5715" spans="1:39" s="86" customFormat="1" ht="13.25" hidden="1" customHeight="1" x14ac:dyDescent="0.3">
      <c r="A5715" s="89" t="s">
        <v>3792</v>
      </c>
      <c r="B5715" s="86" t="s">
        <v>35</v>
      </c>
      <c r="C5715" s="86" t="s">
        <v>164</v>
      </c>
      <c r="D5715" s="86" t="s">
        <v>3407</v>
      </c>
      <c r="E5715" s="86" t="s">
        <v>954</v>
      </c>
      <c r="F5715" s="86" t="s">
        <v>954</v>
      </c>
      <c r="G5715" s="86" t="s">
        <v>954</v>
      </c>
      <c r="H5715" s="143">
        <v>62</v>
      </c>
      <c r="I5715" s="86" t="s">
        <v>408</v>
      </c>
      <c r="J5715" s="1" t="s">
        <v>3324</v>
      </c>
      <c r="K5715" s="1" t="s">
        <v>3278</v>
      </c>
      <c r="L5715" s="1" t="s">
        <v>35</v>
      </c>
      <c r="M5715" s="86" t="s">
        <v>957</v>
      </c>
      <c r="O5715" s="47" t="s">
        <v>45</v>
      </c>
      <c r="P5715" s="14" t="s">
        <v>46</v>
      </c>
      <c r="Q5715" s="14">
        <v>0.2</v>
      </c>
      <c r="R5715" s="143">
        <v>1000019249</v>
      </c>
      <c r="S5715" s="47"/>
      <c r="T5715" s="6">
        <v>4515.43</v>
      </c>
      <c r="U5715" s="6"/>
      <c r="V5715" s="6">
        <v>0</v>
      </c>
      <c r="W5715" s="6">
        <f t="shared" si="892"/>
        <v>4515.43</v>
      </c>
      <c r="X5715" s="6">
        <f t="shared" si="891"/>
        <v>0</v>
      </c>
      <c r="Y5715" s="13">
        <f t="shared" si="896"/>
        <v>0</v>
      </c>
      <c r="Z5715" s="14">
        <v>0</v>
      </c>
      <c r="AA5715" s="6">
        <v>0</v>
      </c>
      <c r="AB5715" s="4"/>
      <c r="AC5715" s="6">
        <f t="shared" si="893"/>
        <v>0</v>
      </c>
      <c r="AD5715" s="6">
        <f t="shared" si="894"/>
        <v>0</v>
      </c>
      <c r="AE5715" s="14">
        <f>VLOOKUP(I5715,[2]媒体政策预估表!A:N,MATCH(O5715,[2]媒体政策预估表!$A$2:$M$2,0),0)</f>
        <v>0.11</v>
      </c>
      <c r="AF5715" s="6">
        <f t="shared" si="890"/>
        <v>0</v>
      </c>
      <c r="AG5715" s="14">
        <v>0</v>
      </c>
      <c r="AH5715" s="64">
        <f t="shared" si="895"/>
        <v>0</v>
      </c>
      <c r="AI5715" s="47"/>
      <c r="AJ5715" s="126">
        <v>1</v>
      </c>
      <c r="AK5715" s="80">
        <f t="shared" si="898"/>
        <v>0</v>
      </c>
      <c r="AL5715" s="85"/>
      <c r="AM5715" s="85"/>
    </row>
    <row r="5716" spans="1:39" s="86" customFormat="1" ht="13.25" hidden="1" customHeight="1" x14ac:dyDescent="0.3">
      <c r="A5716" s="89" t="s">
        <v>3794</v>
      </c>
      <c r="B5716" s="86" t="s">
        <v>35</v>
      </c>
      <c r="C5716" s="86" t="s">
        <v>164</v>
      </c>
      <c r="D5716" s="86" t="s">
        <v>3407</v>
      </c>
      <c r="E5716" s="86" t="s">
        <v>954</v>
      </c>
      <c r="F5716" s="86" t="s">
        <v>954</v>
      </c>
      <c r="G5716" s="86" t="s">
        <v>954</v>
      </c>
      <c r="H5716" s="143">
        <v>62</v>
      </c>
      <c r="I5716" s="86" t="s">
        <v>408</v>
      </c>
      <c r="J5716" s="1" t="s">
        <v>3324</v>
      </c>
      <c r="K5716" s="1" t="s">
        <v>3278</v>
      </c>
      <c r="L5716" s="1" t="s">
        <v>35</v>
      </c>
      <c r="M5716" s="86" t="s">
        <v>958</v>
      </c>
      <c r="O5716" s="47" t="s">
        <v>45</v>
      </c>
      <c r="P5716" s="14" t="s">
        <v>46</v>
      </c>
      <c r="Q5716" s="14">
        <v>0.2</v>
      </c>
      <c r="R5716" s="143">
        <v>1000021107</v>
      </c>
      <c r="S5716" s="47"/>
      <c r="T5716" s="6">
        <v>10100.4</v>
      </c>
      <c r="U5716" s="6"/>
      <c r="V5716" s="6">
        <v>0</v>
      </c>
      <c r="W5716" s="6">
        <f t="shared" si="892"/>
        <v>10100.4</v>
      </c>
      <c r="X5716" s="6">
        <f t="shared" si="891"/>
        <v>0</v>
      </c>
      <c r="Y5716" s="13">
        <f t="shared" si="896"/>
        <v>0</v>
      </c>
      <c r="Z5716" s="14">
        <v>0</v>
      </c>
      <c r="AA5716" s="6">
        <v>0</v>
      </c>
      <c r="AB5716" s="4"/>
      <c r="AC5716" s="6">
        <f t="shared" si="893"/>
        <v>0</v>
      </c>
      <c r="AD5716" s="6">
        <f t="shared" si="894"/>
        <v>0</v>
      </c>
      <c r="AE5716" s="14">
        <f>VLOOKUP(I5716,[2]媒体政策预估表!A:N,MATCH(O5716,[2]媒体政策预估表!$A$2:$M$2,0),0)</f>
        <v>0.11</v>
      </c>
      <c r="AF5716" s="6">
        <f t="shared" si="890"/>
        <v>0</v>
      </c>
      <c r="AG5716" s="14">
        <v>0</v>
      </c>
      <c r="AH5716" s="64">
        <f t="shared" si="895"/>
        <v>0</v>
      </c>
      <c r="AI5716" s="47"/>
      <c r="AJ5716" s="126">
        <v>1</v>
      </c>
      <c r="AK5716" s="80">
        <f t="shared" si="898"/>
        <v>0</v>
      </c>
      <c r="AL5716" s="85"/>
      <c r="AM5716" s="85"/>
    </row>
    <row r="5717" spans="1:39" s="86" customFormat="1" ht="13.25" hidden="1" customHeight="1" x14ac:dyDescent="0.3">
      <c r="A5717" s="89" t="s">
        <v>3794</v>
      </c>
      <c r="B5717" s="86" t="s">
        <v>35</v>
      </c>
      <c r="C5717" s="86" t="s">
        <v>164</v>
      </c>
      <c r="D5717" s="86" t="s">
        <v>3407</v>
      </c>
      <c r="E5717" s="86" t="s">
        <v>954</v>
      </c>
      <c r="F5717" s="86" t="s">
        <v>954</v>
      </c>
      <c r="G5717" s="86" t="s">
        <v>954</v>
      </c>
      <c r="H5717" s="143">
        <v>62</v>
      </c>
      <c r="I5717" s="86" t="s">
        <v>408</v>
      </c>
      <c r="J5717" s="1" t="s">
        <v>3324</v>
      </c>
      <c r="K5717" s="1" t="s">
        <v>3278</v>
      </c>
      <c r="L5717" s="1" t="s">
        <v>35</v>
      </c>
      <c r="M5717" s="86" t="s">
        <v>959</v>
      </c>
      <c r="O5717" s="47" t="s">
        <v>45</v>
      </c>
      <c r="P5717" s="14" t="s">
        <v>46</v>
      </c>
      <c r="Q5717" s="14">
        <v>0.2</v>
      </c>
      <c r="R5717" s="143">
        <v>1000021105</v>
      </c>
      <c r="S5717" s="47"/>
      <c r="T5717" s="6">
        <v>19075.55</v>
      </c>
      <c r="U5717" s="6"/>
      <c r="V5717" s="6">
        <v>0</v>
      </c>
      <c r="W5717" s="6">
        <f t="shared" si="892"/>
        <v>19075.55</v>
      </c>
      <c r="X5717" s="6">
        <f t="shared" si="891"/>
        <v>0</v>
      </c>
      <c r="Y5717" s="13">
        <f t="shared" si="896"/>
        <v>0</v>
      </c>
      <c r="Z5717" s="14">
        <v>0</v>
      </c>
      <c r="AA5717" s="6">
        <v>0</v>
      </c>
      <c r="AB5717" s="4"/>
      <c r="AC5717" s="6">
        <f t="shared" si="893"/>
        <v>0</v>
      </c>
      <c r="AD5717" s="6">
        <f t="shared" si="894"/>
        <v>0</v>
      </c>
      <c r="AE5717" s="14">
        <f>VLOOKUP(I5717,[2]媒体政策预估表!A:N,MATCH(O5717,[2]媒体政策预估表!$A$2:$M$2,0),0)</f>
        <v>0.11</v>
      </c>
      <c r="AF5717" s="6">
        <f t="shared" si="890"/>
        <v>0</v>
      </c>
      <c r="AG5717" s="14">
        <v>0</v>
      </c>
      <c r="AH5717" s="64">
        <f t="shared" si="895"/>
        <v>0</v>
      </c>
      <c r="AI5717" s="47"/>
      <c r="AJ5717" s="126">
        <v>1</v>
      </c>
      <c r="AK5717" s="80">
        <f t="shared" si="898"/>
        <v>0</v>
      </c>
      <c r="AL5717" s="85"/>
      <c r="AM5717" s="85"/>
    </row>
    <row r="5718" spans="1:39" s="86" customFormat="1" ht="13.25" hidden="1" customHeight="1" x14ac:dyDescent="0.3">
      <c r="A5718" s="89" t="s">
        <v>3794</v>
      </c>
      <c r="B5718" s="86" t="s">
        <v>35</v>
      </c>
      <c r="C5718" s="86" t="s">
        <v>164</v>
      </c>
      <c r="D5718" s="86" t="s">
        <v>3407</v>
      </c>
      <c r="E5718" s="86" t="s">
        <v>954</v>
      </c>
      <c r="F5718" s="86" t="s">
        <v>954</v>
      </c>
      <c r="G5718" s="86" t="s">
        <v>954</v>
      </c>
      <c r="H5718" s="143">
        <v>62</v>
      </c>
      <c r="I5718" s="86" t="s">
        <v>408</v>
      </c>
      <c r="J5718" s="1" t="s">
        <v>3324</v>
      </c>
      <c r="K5718" s="1" t="s">
        <v>3278</v>
      </c>
      <c r="L5718" s="1" t="s">
        <v>35</v>
      </c>
      <c r="M5718" s="86" t="s">
        <v>960</v>
      </c>
      <c r="O5718" s="47" t="s">
        <v>45</v>
      </c>
      <c r="P5718" s="14" t="s">
        <v>46</v>
      </c>
      <c r="Q5718" s="14">
        <v>0.2</v>
      </c>
      <c r="R5718" s="143">
        <v>1000020844</v>
      </c>
      <c r="S5718" s="47"/>
      <c r="T5718" s="6">
        <v>5207.93</v>
      </c>
      <c r="U5718" s="6"/>
      <c r="V5718" s="6">
        <v>0</v>
      </c>
      <c r="W5718" s="6">
        <f t="shared" si="892"/>
        <v>5207.93</v>
      </c>
      <c r="X5718" s="6">
        <f t="shared" si="891"/>
        <v>0</v>
      </c>
      <c r="Y5718" s="13">
        <f t="shared" si="896"/>
        <v>0</v>
      </c>
      <c r="Z5718" s="14">
        <v>0</v>
      </c>
      <c r="AA5718" s="6">
        <v>0</v>
      </c>
      <c r="AB5718" s="4"/>
      <c r="AC5718" s="6">
        <f t="shared" si="893"/>
        <v>0</v>
      </c>
      <c r="AD5718" s="6">
        <f t="shared" si="894"/>
        <v>0</v>
      </c>
      <c r="AE5718" s="14">
        <f>VLOOKUP(I5718,[2]媒体政策预估表!A:N,MATCH(O5718,[2]媒体政策预估表!$A$2:$M$2,0),0)</f>
        <v>0.11</v>
      </c>
      <c r="AF5718" s="6">
        <f t="shared" si="890"/>
        <v>0</v>
      </c>
      <c r="AG5718" s="14">
        <v>0</v>
      </c>
      <c r="AH5718" s="64">
        <f t="shared" si="895"/>
        <v>0</v>
      </c>
      <c r="AI5718" s="47"/>
      <c r="AJ5718" s="126">
        <v>1</v>
      </c>
      <c r="AK5718" s="80">
        <f t="shared" si="898"/>
        <v>0</v>
      </c>
      <c r="AL5718" s="85"/>
      <c r="AM5718" s="85"/>
    </row>
    <row r="5719" spans="1:39" s="86" customFormat="1" ht="13.25" hidden="1" customHeight="1" x14ac:dyDescent="0.3">
      <c r="A5719" s="89" t="s">
        <v>3806</v>
      </c>
      <c r="B5719" s="86" t="s">
        <v>35</v>
      </c>
      <c r="C5719" s="86" t="s">
        <v>184</v>
      </c>
      <c r="D5719" s="86" t="s">
        <v>224</v>
      </c>
      <c r="E5719" s="86" t="s">
        <v>962</v>
      </c>
      <c r="F5719" s="86" t="s">
        <v>962</v>
      </c>
      <c r="G5719" s="86" t="s">
        <v>962</v>
      </c>
      <c r="H5719" s="143">
        <v>62</v>
      </c>
      <c r="I5719" s="86" t="s">
        <v>408</v>
      </c>
      <c r="J5719" s="1" t="s">
        <v>3324</v>
      </c>
      <c r="K5719" s="1" t="s">
        <v>3278</v>
      </c>
      <c r="L5719" s="1" t="s">
        <v>35</v>
      </c>
      <c r="M5719" s="86" t="s">
        <v>963</v>
      </c>
      <c r="O5719" s="47" t="s">
        <v>45</v>
      </c>
      <c r="P5719" s="14" t="s">
        <v>41</v>
      </c>
      <c r="Q5719" s="14">
        <v>0</v>
      </c>
      <c r="R5719" s="143">
        <v>1000055726</v>
      </c>
      <c r="S5719" s="47"/>
      <c r="T5719" s="6">
        <v>30000</v>
      </c>
      <c r="U5719" s="6"/>
      <c r="V5719" s="6">
        <v>0</v>
      </c>
      <c r="W5719" s="6">
        <f t="shared" si="892"/>
        <v>30000</v>
      </c>
      <c r="X5719" s="6">
        <f t="shared" si="891"/>
        <v>0</v>
      </c>
      <c r="Y5719" s="13">
        <f t="shared" si="896"/>
        <v>0</v>
      </c>
      <c r="Z5719" s="14">
        <v>0</v>
      </c>
      <c r="AA5719" s="6">
        <v>0</v>
      </c>
      <c r="AB5719" s="4">
        <f t="shared" si="897"/>
        <v>0</v>
      </c>
      <c r="AC5719" s="6">
        <f t="shared" si="893"/>
        <v>0</v>
      </c>
      <c r="AD5719" s="6">
        <f t="shared" si="894"/>
        <v>0</v>
      </c>
      <c r="AE5719" s="14">
        <f>VLOOKUP(I5719,[2]媒体政策预估表!A:N,MATCH(O5719,[2]媒体政策预估表!$A$2:$M$2,0),0)</f>
        <v>0.11</v>
      </c>
      <c r="AF5719" s="6">
        <f t="shared" si="890"/>
        <v>0</v>
      </c>
      <c r="AG5719" s="14">
        <v>0</v>
      </c>
      <c r="AH5719" s="64">
        <f t="shared" si="895"/>
        <v>0</v>
      </c>
      <c r="AI5719" s="47"/>
      <c r="AJ5719" s="126" t="e">
        <v>#N/A</v>
      </c>
      <c r="AK5719" s="80">
        <f t="shared" si="898"/>
        <v>0</v>
      </c>
      <c r="AL5719" s="85"/>
      <c r="AM5719" s="85"/>
    </row>
    <row r="5720" spans="1:39" s="86" customFormat="1" ht="13.25" hidden="1" customHeight="1" x14ac:dyDescent="0.3">
      <c r="A5720" s="89" t="s">
        <v>3794</v>
      </c>
      <c r="B5720" s="86" t="s">
        <v>35</v>
      </c>
      <c r="C5720" s="86" t="s">
        <v>184</v>
      </c>
      <c r="D5720" s="86" t="s">
        <v>224</v>
      </c>
      <c r="E5720" s="86" t="s">
        <v>966</v>
      </c>
      <c r="F5720" s="86" t="s">
        <v>967</v>
      </c>
      <c r="G5720" s="86" t="s">
        <v>966</v>
      </c>
      <c r="H5720" s="143">
        <v>62</v>
      </c>
      <c r="I5720" s="86" t="s">
        <v>408</v>
      </c>
      <c r="J5720" s="1" t="s">
        <v>3324</v>
      </c>
      <c r="K5720" s="1" t="s">
        <v>3278</v>
      </c>
      <c r="L5720" s="1" t="s">
        <v>35</v>
      </c>
      <c r="M5720" s="86" t="s">
        <v>968</v>
      </c>
      <c r="O5720" s="47" t="s">
        <v>410</v>
      </c>
      <c r="P5720" s="14" t="s">
        <v>46</v>
      </c>
      <c r="Q5720" s="14">
        <v>0.05</v>
      </c>
      <c r="R5720" s="143">
        <v>1000025983</v>
      </c>
      <c r="S5720" s="47"/>
      <c r="T5720" s="6">
        <v>30</v>
      </c>
      <c r="U5720" s="6"/>
      <c r="V5720" s="6">
        <v>0</v>
      </c>
      <c r="W5720" s="6">
        <f t="shared" si="892"/>
        <v>30</v>
      </c>
      <c r="X5720" s="6">
        <f t="shared" si="891"/>
        <v>0</v>
      </c>
      <c r="Y5720" s="13">
        <f t="shared" si="896"/>
        <v>0</v>
      </c>
      <c r="Z5720" s="14">
        <v>0</v>
      </c>
      <c r="AA5720" s="6">
        <v>0</v>
      </c>
      <c r="AB5720" s="4">
        <f t="shared" si="897"/>
        <v>0</v>
      </c>
      <c r="AC5720" s="6">
        <f t="shared" si="893"/>
        <v>0</v>
      </c>
      <c r="AD5720" s="6">
        <f t="shared" si="894"/>
        <v>0</v>
      </c>
      <c r="AE5720" s="14">
        <f>VLOOKUP(I5720,[2]媒体政策预估表!A:N,MATCH(O5720,[2]媒体政策预估表!$A$2:$M$2,0),0)</f>
        <v>7.0000000000000007E-2</v>
      </c>
      <c r="AF5720" s="6">
        <f t="shared" si="890"/>
        <v>0</v>
      </c>
      <c r="AG5720" s="14">
        <v>0</v>
      </c>
      <c r="AH5720" s="64">
        <f t="shared" si="895"/>
        <v>0</v>
      </c>
      <c r="AI5720" s="47"/>
      <c r="AJ5720" s="126" t="e">
        <v>#N/A</v>
      </c>
      <c r="AK5720" s="80">
        <f t="shared" si="898"/>
        <v>0</v>
      </c>
      <c r="AL5720" s="85"/>
      <c r="AM5720" s="85"/>
    </row>
    <row r="5721" spans="1:39" s="86" customFormat="1" ht="13.25" hidden="1" customHeight="1" x14ac:dyDescent="0.3">
      <c r="A5721" s="89" t="s">
        <v>3806</v>
      </c>
      <c r="B5721" s="86" t="s">
        <v>35</v>
      </c>
      <c r="C5721" s="86" t="s">
        <v>184</v>
      </c>
      <c r="D5721" s="86" t="s">
        <v>224</v>
      </c>
      <c r="E5721" s="86" t="s">
        <v>969</v>
      </c>
      <c r="F5721" s="86" t="s">
        <v>969</v>
      </c>
      <c r="G5721" s="86" t="s">
        <v>969</v>
      </c>
      <c r="H5721" s="143">
        <v>62</v>
      </c>
      <c r="I5721" s="86" t="s">
        <v>408</v>
      </c>
      <c r="J5721" s="1" t="s">
        <v>3324</v>
      </c>
      <c r="K5721" s="1" t="s">
        <v>3278</v>
      </c>
      <c r="L5721" s="1" t="s">
        <v>35</v>
      </c>
      <c r="M5721" s="86" t="s">
        <v>970</v>
      </c>
      <c r="O5721" s="47" t="s">
        <v>410</v>
      </c>
      <c r="P5721" s="14" t="s">
        <v>46</v>
      </c>
      <c r="Q5721" s="14">
        <v>0.02</v>
      </c>
      <c r="R5721" s="143">
        <v>1000019372</v>
      </c>
      <c r="S5721" s="47"/>
      <c r="T5721" s="6">
        <v>6124.3</v>
      </c>
      <c r="U5721" s="6"/>
      <c r="V5721" s="6">
        <v>0</v>
      </c>
      <c r="W5721" s="6">
        <f t="shared" si="892"/>
        <v>6124.3</v>
      </c>
      <c r="X5721" s="6">
        <f t="shared" si="891"/>
        <v>0</v>
      </c>
      <c r="Y5721" s="13">
        <f t="shared" si="896"/>
        <v>0</v>
      </c>
      <c r="Z5721" s="14">
        <v>0</v>
      </c>
      <c r="AA5721" s="6">
        <v>0</v>
      </c>
      <c r="AB5721" s="4">
        <f t="shared" si="897"/>
        <v>0</v>
      </c>
      <c r="AC5721" s="6">
        <f t="shared" si="893"/>
        <v>0</v>
      </c>
      <c r="AD5721" s="6">
        <f t="shared" si="894"/>
        <v>0</v>
      </c>
      <c r="AE5721" s="14">
        <f>VLOOKUP(I5721,[2]媒体政策预估表!A:N,MATCH(O5721,[2]媒体政策预估表!$A$2:$M$2,0),0)</f>
        <v>7.0000000000000007E-2</v>
      </c>
      <c r="AF5721" s="6">
        <f t="shared" si="890"/>
        <v>0</v>
      </c>
      <c r="AG5721" s="14">
        <v>0</v>
      </c>
      <c r="AH5721" s="64">
        <f t="shared" si="895"/>
        <v>0</v>
      </c>
      <c r="AI5721" s="47"/>
      <c r="AJ5721" s="126" t="e">
        <v>#N/A</v>
      </c>
      <c r="AK5721" s="80">
        <f t="shared" si="898"/>
        <v>0</v>
      </c>
      <c r="AL5721" s="85"/>
      <c r="AM5721" s="85"/>
    </row>
    <row r="5722" spans="1:39" s="86" customFormat="1" ht="13.25" hidden="1" customHeight="1" x14ac:dyDescent="0.3">
      <c r="A5722" s="89" t="s">
        <v>3792</v>
      </c>
      <c r="B5722" s="86" t="s">
        <v>35</v>
      </c>
      <c r="C5722" s="86" t="s">
        <v>184</v>
      </c>
      <c r="D5722" s="86" t="s">
        <v>224</v>
      </c>
      <c r="E5722" s="86" t="s">
        <v>971</v>
      </c>
      <c r="F5722" s="86" t="s">
        <v>971</v>
      </c>
      <c r="G5722" s="86" t="s">
        <v>971</v>
      </c>
      <c r="H5722" s="143">
        <v>62</v>
      </c>
      <c r="I5722" s="86" t="s">
        <v>408</v>
      </c>
      <c r="J5722" s="1" t="s">
        <v>3324</v>
      </c>
      <c r="K5722" s="1" t="s">
        <v>3278</v>
      </c>
      <c r="L5722" s="1" t="s">
        <v>35</v>
      </c>
      <c r="M5722" s="86" t="s">
        <v>972</v>
      </c>
      <c r="O5722" s="47" t="s">
        <v>410</v>
      </c>
      <c r="P5722" s="14" t="s">
        <v>46</v>
      </c>
      <c r="Q5722" s="14">
        <v>0.02</v>
      </c>
      <c r="R5722" s="143">
        <v>1000025586</v>
      </c>
      <c r="S5722" s="47"/>
      <c r="T5722" s="6">
        <v>4243.2</v>
      </c>
      <c r="U5722" s="6"/>
      <c r="V5722" s="6">
        <v>0</v>
      </c>
      <c r="W5722" s="6">
        <f t="shared" si="892"/>
        <v>4243.2</v>
      </c>
      <c r="X5722" s="6">
        <f t="shared" si="891"/>
        <v>0</v>
      </c>
      <c r="Y5722" s="13">
        <f t="shared" si="896"/>
        <v>0</v>
      </c>
      <c r="Z5722" s="14">
        <v>0</v>
      </c>
      <c r="AA5722" s="6">
        <v>0</v>
      </c>
      <c r="AB5722" s="4">
        <f t="shared" si="897"/>
        <v>0</v>
      </c>
      <c r="AC5722" s="6">
        <f t="shared" si="893"/>
        <v>0</v>
      </c>
      <c r="AD5722" s="6">
        <f t="shared" si="894"/>
        <v>0</v>
      </c>
      <c r="AE5722" s="14">
        <f>VLOOKUP(I5722,[2]媒体政策预估表!A:N,MATCH(O5722,[2]媒体政策预估表!$A$2:$M$2,0),0)</f>
        <v>7.0000000000000007E-2</v>
      </c>
      <c r="AF5722" s="6">
        <f t="shared" si="890"/>
        <v>0</v>
      </c>
      <c r="AG5722" s="14">
        <v>0</v>
      </c>
      <c r="AH5722" s="64">
        <f t="shared" si="895"/>
        <v>0</v>
      </c>
      <c r="AI5722" s="47"/>
      <c r="AJ5722" s="126" t="e">
        <v>#N/A</v>
      </c>
      <c r="AK5722" s="80">
        <f t="shared" si="898"/>
        <v>0</v>
      </c>
      <c r="AL5722" s="85"/>
      <c r="AM5722" s="85"/>
    </row>
    <row r="5723" spans="1:39" s="86" customFormat="1" ht="13.25" hidden="1" customHeight="1" x14ac:dyDescent="0.3">
      <c r="A5723" s="89" t="s">
        <v>3794</v>
      </c>
      <c r="B5723" s="86" t="s">
        <v>35</v>
      </c>
      <c r="C5723" s="86" t="s">
        <v>184</v>
      </c>
      <c r="D5723" s="86" t="s">
        <v>224</v>
      </c>
      <c r="E5723" s="86" t="s">
        <v>973</v>
      </c>
      <c r="F5723" s="86" t="s">
        <v>973</v>
      </c>
      <c r="G5723" s="86" t="s">
        <v>973</v>
      </c>
      <c r="H5723" s="143">
        <v>62</v>
      </c>
      <c r="I5723" s="86" t="s">
        <v>408</v>
      </c>
      <c r="J5723" s="1" t="s">
        <v>3324</v>
      </c>
      <c r="K5723" s="1" t="s">
        <v>3278</v>
      </c>
      <c r="L5723" s="1" t="s">
        <v>35</v>
      </c>
      <c r="M5723" s="86" t="s">
        <v>974</v>
      </c>
      <c r="O5723" s="47" t="s">
        <v>410</v>
      </c>
      <c r="P5723" s="14" t="s">
        <v>46</v>
      </c>
      <c r="Q5723" s="14">
        <v>0.04</v>
      </c>
      <c r="R5723" s="143">
        <v>1000023362</v>
      </c>
      <c r="S5723" s="47"/>
      <c r="T5723" s="6">
        <v>11743.3</v>
      </c>
      <c r="U5723" s="6"/>
      <c r="V5723" s="6">
        <v>0</v>
      </c>
      <c r="W5723" s="6">
        <f t="shared" si="892"/>
        <v>11743.3</v>
      </c>
      <c r="X5723" s="6">
        <f t="shared" si="891"/>
        <v>0</v>
      </c>
      <c r="Y5723" s="13">
        <f t="shared" si="896"/>
        <v>0</v>
      </c>
      <c r="Z5723" s="14">
        <v>0</v>
      </c>
      <c r="AA5723" s="6">
        <v>0</v>
      </c>
      <c r="AB5723" s="4">
        <f t="shared" si="897"/>
        <v>0</v>
      </c>
      <c r="AC5723" s="6">
        <f t="shared" si="893"/>
        <v>0</v>
      </c>
      <c r="AD5723" s="6">
        <f t="shared" si="894"/>
        <v>0</v>
      </c>
      <c r="AE5723" s="14">
        <f>VLOOKUP(I5723,[2]媒体政策预估表!A:N,MATCH(O5723,[2]媒体政策预估表!$A$2:$M$2,0),0)</f>
        <v>7.0000000000000007E-2</v>
      </c>
      <c r="AF5723" s="6">
        <f t="shared" si="890"/>
        <v>0</v>
      </c>
      <c r="AG5723" s="14">
        <v>0</v>
      </c>
      <c r="AH5723" s="64">
        <f t="shared" si="895"/>
        <v>0</v>
      </c>
      <c r="AI5723" s="47"/>
      <c r="AJ5723" s="126" t="e">
        <v>#N/A</v>
      </c>
      <c r="AK5723" s="80">
        <f t="shared" si="898"/>
        <v>0</v>
      </c>
      <c r="AL5723" s="85"/>
      <c r="AM5723" s="85"/>
    </row>
    <row r="5724" spans="1:39" s="86" customFormat="1" ht="13.25" hidden="1" customHeight="1" x14ac:dyDescent="0.3">
      <c r="A5724" s="89" t="s">
        <v>3806</v>
      </c>
      <c r="B5724" s="86" t="s">
        <v>35</v>
      </c>
      <c r="C5724" s="86" t="s">
        <v>184</v>
      </c>
      <c r="D5724" s="86" t="s">
        <v>224</v>
      </c>
      <c r="E5724" s="86" t="s">
        <v>975</v>
      </c>
      <c r="F5724" s="86" t="s">
        <v>975</v>
      </c>
      <c r="G5724" s="86" t="s">
        <v>975</v>
      </c>
      <c r="H5724" s="143">
        <v>62</v>
      </c>
      <c r="I5724" s="86" t="s">
        <v>408</v>
      </c>
      <c r="J5724" s="1" t="s">
        <v>3324</v>
      </c>
      <c r="K5724" s="1" t="s">
        <v>3278</v>
      </c>
      <c r="L5724" s="1" t="s">
        <v>35</v>
      </c>
      <c r="M5724" s="86" t="s">
        <v>976</v>
      </c>
      <c r="O5724" s="47" t="s">
        <v>410</v>
      </c>
      <c r="P5724" s="14" t="s">
        <v>46</v>
      </c>
      <c r="Q5724" s="14">
        <v>0.06</v>
      </c>
      <c r="R5724" s="143">
        <v>1000026161</v>
      </c>
      <c r="S5724" s="47"/>
      <c r="T5724" s="6">
        <v>4677.2</v>
      </c>
      <c r="U5724" s="6"/>
      <c r="V5724" s="6">
        <v>0</v>
      </c>
      <c r="W5724" s="6">
        <f t="shared" si="892"/>
        <v>4677.2</v>
      </c>
      <c r="X5724" s="6">
        <f t="shared" si="891"/>
        <v>0</v>
      </c>
      <c r="Y5724" s="13">
        <f t="shared" si="896"/>
        <v>0</v>
      </c>
      <c r="Z5724" s="14">
        <v>0</v>
      </c>
      <c r="AA5724" s="6">
        <v>0</v>
      </c>
      <c r="AB5724" s="4">
        <f t="shared" si="897"/>
        <v>0</v>
      </c>
      <c r="AC5724" s="6">
        <f t="shared" si="893"/>
        <v>0</v>
      </c>
      <c r="AD5724" s="6">
        <f t="shared" si="894"/>
        <v>0</v>
      </c>
      <c r="AE5724" s="14">
        <f>VLOOKUP(I5724,[2]媒体政策预估表!A:N,MATCH(O5724,[2]媒体政策预估表!$A$2:$M$2,0),0)</f>
        <v>7.0000000000000007E-2</v>
      </c>
      <c r="AF5724" s="6">
        <f t="shared" si="890"/>
        <v>0</v>
      </c>
      <c r="AG5724" s="14">
        <v>0</v>
      </c>
      <c r="AH5724" s="64">
        <f t="shared" si="895"/>
        <v>0</v>
      </c>
      <c r="AI5724" s="47"/>
      <c r="AJ5724" s="126" t="e">
        <v>#N/A</v>
      </c>
      <c r="AK5724" s="80">
        <f t="shared" si="898"/>
        <v>0</v>
      </c>
      <c r="AL5724" s="85"/>
      <c r="AM5724" s="85"/>
    </row>
    <row r="5725" spans="1:39" s="86" customFormat="1" ht="13.25" hidden="1" customHeight="1" x14ac:dyDescent="0.3">
      <c r="A5725" s="89" t="s">
        <v>3794</v>
      </c>
      <c r="B5725" s="86" t="s">
        <v>35</v>
      </c>
      <c r="C5725" s="86" t="s">
        <v>184</v>
      </c>
      <c r="D5725" s="86" t="s">
        <v>320</v>
      </c>
      <c r="E5725" s="86" t="s">
        <v>979</v>
      </c>
      <c r="F5725" s="86" t="s">
        <v>979</v>
      </c>
      <c r="G5725" s="86" t="s">
        <v>979</v>
      </c>
      <c r="H5725" s="143">
        <v>62</v>
      </c>
      <c r="I5725" s="86" t="s">
        <v>408</v>
      </c>
      <c r="J5725" s="1" t="s">
        <v>3324</v>
      </c>
      <c r="K5725" s="1" t="s">
        <v>3278</v>
      </c>
      <c r="L5725" s="1" t="s">
        <v>35</v>
      </c>
      <c r="M5725" s="86" t="s">
        <v>980</v>
      </c>
      <c r="O5725" s="47" t="s">
        <v>45</v>
      </c>
      <c r="P5725" s="14" t="s">
        <v>46</v>
      </c>
      <c r="Q5725" s="14">
        <v>0.08</v>
      </c>
      <c r="R5725" s="143">
        <v>1000057639</v>
      </c>
      <c r="S5725" s="47"/>
      <c r="T5725" s="6">
        <v>2261.71</v>
      </c>
      <c r="U5725" s="6"/>
      <c r="V5725" s="6">
        <v>0</v>
      </c>
      <c r="W5725" s="6">
        <f t="shared" si="892"/>
        <v>2261.71</v>
      </c>
      <c r="X5725" s="6">
        <f t="shared" si="891"/>
        <v>0</v>
      </c>
      <c r="Y5725" s="13">
        <f t="shared" si="896"/>
        <v>0</v>
      </c>
      <c r="Z5725" s="14">
        <v>0</v>
      </c>
      <c r="AA5725" s="6">
        <v>0</v>
      </c>
      <c r="AB5725" s="4"/>
      <c r="AC5725" s="6">
        <f t="shared" si="893"/>
        <v>0</v>
      </c>
      <c r="AD5725" s="6">
        <f t="shared" si="894"/>
        <v>0</v>
      </c>
      <c r="AE5725" s="14">
        <f>VLOOKUP(I5725,[2]媒体政策预估表!A:N,MATCH(O5725,[2]媒体政策预估表!$A$2:$M$2,0),0)</f>
        <v>0.11</v>
      </c>
      <c r="AF5725" s="6">
        <f t="shared" si="890"/>
        <v>0</v>
      </c>
      <c r="AG5725" s="14">
        <v>0</v>
      </c>
      <c r="AH5725" s="64">
        <f t="shared" si="895"/>
        <v>0</v>
      </c>
      <c r="AI5725" s="47"/>
      <c r="AJ5725" s="126">
        <v>67</v>
      </c>
      <c r="AK5725" s="80">
        <f t="shared" si="898"/>
        <v>0</v>
      </c>
      <c r="AL5725" s="85"/>
      <c r="AM5725" s="85"/>
    </row>
    <row r="5726" spans="1:39" s="86" customFormat="1" ht="13.25" hidden="1" customHeight="1" x14ac:dyDescent="0.3">
      <c r="A5726" s="89" t="s">
        <v>3792</v>
      </c>
      <c r="B5726" s="86" t="s">
        <v>35</v>
      </c>
      <c r="C5726" s="86" t="s">
        <v>184</v>
      </c>
      <c r="D5726" s="86" t="s">
        <v>54</v>
      </c>
      <c r="E5726" s="86" t="s">
        <v>981</v>
      </c>
      <c r="F5726" s="86" t="s">
        <v>981</v>
      </c>
      <c r="G5726" s="86" t="s">
        <v>981</v>
      </c>
      <c r="H5726" s="143">
        <v>62</v>
      </c>
      <c r="I5726" s="86" t="s">
        <v>408</v>
      </c>
      <c r="J5726" s="1" t="s">
        <v>3324</v>
      </c>
      <c r="K5726" s="1" t="s">
        <v>3278</v>
      </c>
      <c r="L5726" s="1" t="s">
        <v>35</v>
      </c>
      <c r="M5726" s="86" t="s">
        <v>982</v>
      </c>
      <c r="O5726" s="47" t="s">
        <v>45</v>
      </c>
      <c r="P5726" s="14" t="s">
        <v>46</v>
      </c>
      <c r="Q5726" s="14">
        <v>0.15</v>
      </c>
      <c r="R5726" s="143">
        <v>1000041417</v>
      </c>
      <c r="S5726" s="47"/>
      <c r="T5726" s="6">
        <v>70.17</v>
      </c>
      <c r="U5726" s="6"/>
      <c r="V5726" s="6">
        <v>0</v>
      </c>
      <c r="W5726" s="6">
        <f t="shared" si="892"/>
        <v>70.17</v>
      </c>
      <c r="X5726" s="6">
        <f t="shared" si="891"/>
        <v>0</v>
      </c>
      <c r="Y5726" s="13">
        <f t="shared" si="896"/>
        <v>0</v>
      </c>
      <c r="Z5726" s="14">
        <v>0</v>
      </c>
      <c r="AA5726" s="6">
        <v>0</v>
      </c>
      <c r="AB5726" s="4"/>
      <c r="AC5726" s="6">
        <f t="shared" si="893"/>
        <v>0</v>
      </c>
      <c r="AD5726" s="6">
        <f t="shared" si="894"/>
        <v>0</v>
      </c>
      <c r="AE5726" s="14">
        <f>VLOOKUP(I5726,[2]媒体政策预估表!A:N,MATCH(O5726,[2]媒体政策预估表!$A$2:$M$2,0),0)</f>
        <v>0.11</v>
      </c>
      <c r="AF5726" s="6">
        <f t="shared" si="890"/>
        <v>0</v>
      </c>
      <c r="AG5726" s="14">
        <v>0</v>
      </c>
      <c r="AH5726" s="64">
        <f t="shared" si="895"/>
        <v>0</v>
      </c>
      <c r="AI5726" s="47"/>
      <c r="AJ5726" s="126">
        <v>6</v>
      </c>
      <c r="AK5726" s="80">
        <f t="shared" si="898"/>
        <v>0</v>
      </c>
      <c r="AL5726" s="85"/>
      <c r="AM5726" s="85"/>
    </row>
    <row r="5727" spans="1:39" s="86" customFormat="1" ht="13.25" hidden="1" customHeight="1" x14ac:dyDescent="0.3">
      <c r="A5727" s="89" t="s">
        <v>3792</v>
      </c>
      <c r="B5727" s="86" t="s">
        <v>35</v>
      </c>
      <c r="C5727" s="86" t="s">
        <v>184</v>
      </c>
      <c r="D5727" s="86" t="s">
        <v>320</v>
      </c>
      <c r="E5727" s="86" t="s">
        <v>983</v>
      </c>
      <c r="F5727" s="86" t="s">
        <v>983</v>
      </c>
      <c r="G5727" s="86" t="s">
        <v>983</v>
      </c>
      <c r="H5727" s="143">
        <v>62</v>
      </c>
      <c r="I5727" s="86" t="s">
        <v>408</v>
      </c>
      <c r="J5727" s="1" t="s">
        <v>3324</v>
      </c>
      <c r="K5727" s="1" t="s">
        <v>3278</v>
      </c>
      <c r="L5727" s="1" t="s">
        <v>35</v>
      </c>
      <c r="M5727" s="86" t="s">
        <v>984</v>
      </c>
      <c r="O5727" s="47" t="s">
        <v>410</v>
      </c>
      <c r="P5727" s="14" t="s">
        <v>46</v>
      </c>
      <c r="Q5727" s="14">
        <v>0.04</v>
      </c>
      <c r="R5727" s="143">
        <v>1000020485</v>
      </c>
      <c r="S5727" s="47"/>
      <c r="T5727" s="6">
        <v>22667.23</v>
      </c>
      <c r="U5727" s="6"/>
      <c r="V5727" s="6">
        <v>0</v>
      </c>
      <c r="W5727" s="6">
        <f t="shared" si="892"/>
        <v>22667.23</v>
      </c>
      <c r="X5727" s="6">
        <f t="shared" si="891"/>
        <v>0</v>
      </c>
      <c r="Y5727" s="13">
        <f t="shared" si="896"/>
        <v>0</v>
      </c>
      <c r="Z5727" s="14">
        <v>0</v>
      </c>
      <c r="AA5727" s="6">
        <v>0</v>
      </c>
      <c r="AB5727" s="4">
        <f t="shared" si="897"/>
        <v>0</v>
      </c>
      <c r="AC5727" s="6">
        <f t="shared" si="893"/>
        <v>0</v>
      </c>
      <c r="AD5727" s="6">
        <f t="shared" si="894"/>
        <v>0</v>
      </c>
      <c r="AE5727" s="14">
        <f>VLOOKUP(I5727,[2]媒体政策预估表!A:N,MATCH(O5727,[2]媒体政策预估表!$A$2:$M$2,0),0)</f>
        <v>7.0000000000000007E-2</v>
      </c>
      <c r="AF5727" s="6">
        <f t="shared" si="890"/>
        <v>0</v>
      </c>
      <c r="AG5727" s="14">
        <v>0</v>
      </c>
      <c r="AH5727" s="64">
        <f t="shared" si="895"/>
        <v>0</v>
      </c>
      <c r="AI5727" s="47"/>
      <c r="AJ5727" s="126" t="e">
        <v>#N/A</v>
      </c>
      <c r="AK5727" s="80">
        <f t="shared" si="898"/>
        <v>0</v>
      </c>
      <c r="AL5727" s="85"/>
      <c r="AM5727" s="85"/>
    </row>
    <row r="5728" spans="1:39" s="86" customFormat="1" ht="13.25" hidden="1" customHeight="1" x14ac:dyDescent="0.3">
      <c r="A5728" s="89" t="s">
        <v>3792</v>
      </c>
      <c r="B5728" s="86" t="s">
        <v>35</v>
      </c>
      <c r="C5728" s="86" t="s">
        <v>184</v>
      </c>
      <c r="D5728" s="86" t="s">
        <v>985</v>
      </c>
      <c r="E5728" s="86" t="s">
        <v>986</v>
      </c>
      <c r="F5728" s="86" t="s">
        <v>986</v>
      </c>
      <c r="G5728" s="86" t="s">
        <v>986</v>
      </c>
      <c r="H5728" s="143">
        <v>62</v>
      </c>
      <c r="I5728" s="86" t="s">
        <v>408</v>
      </c>
      <c r="J5728" s="1" t="s">
        <v>3324</v>
      </c>
      <c r="K5728" s="1" t="s">
        <v>3278</v>
      </c>
      <c r="L5728" s="1" t="s">
        <v>35</v>
      </c>
      <c r="M5728" s="86" t="s">
        <v>987</v>
      </c>
      <c r="O5728" s="47" t="s">
        <v>410</v>
      </c>
      <c r="P5728" s="14" t="s">
        <v>46</v>
      </c>
      <c r="Q5728" s="14">
        <v>0.04</v>
      </c>
      <c r="R5728" s="143">
        <v>1000026359</v>
      </c>
      <c r="S5728" s="47"/>
      <c r="T5728" s="6">
        <v>3016.8</v>
      </c>
      <c r="U5728" s="6"/>
      <c r="V5728" s="6">
        <v>0</v>
      </c>
      <c r="W5728" s="6">
        <f t="shared" si="892"/>
        <v>3016.8</v>
      </c>
      <c r="X5728" s="6">
        <f t="shared" si="891"/>
        <v>0</v>
      </c>
      <c r="Y5728" s="13">
        <f t="shared" si="896"/>
        <v>0</v>
      </c>
      <c r="Z5728" s="14">
        <v>0</v>
      </c>
      <c r="AA5728" s="6">
        <v>0</v>
      </c>
      <c r="AB5728" s="4">
        <f t="shared" si="897"/>
        <v>0</v>
      </c>
      <c r="AC5728" s="6">
        <f t="shared" si="893"/>
        <v>0</v>
      </c>
      <c r="AD5728" s="6">
        <f t="shared" si="894"/>
        <v>0</v>
      </c>
      <c r="AE5728" s="14">
        <f>VLOOKUP(I5728,[2]媒体政策预估表!A:N,MATCH(O5728,[2]媒体政策预估表!$A$2:$M$2,0),0)</f>
        <v>7.0000000000000007E-2</v>
      </c>
      <c r="AF5728" s="6">
        <f t="shared" si="890"/>
        <v>0</v>
      </c>
      <c r="AG5728" s="14">
        <v>0</v>
      </c>
      <c r="AH5728" s="64">
        <f t="shared" si="895"/>
        <v>0</v>
      </c>
      <c r="AI5728" s="47"/>
      <c r="AJ5728" s="126" t="e">
        <v>#N/A</v>
      </c>
      <c r="AK5728" s="80">
        <f t="shared" si="898"/>
        <v>0</v>
      </c>
      <c r="AL5728" s="85"/>
      <c r="AM5728" s="85"/>
    </row>
    <row r="5729" spans="1:39" s="86" customFormat="1" ht="13.25" hidden="1" customHeight="1" x14ac:dyDescent="0.3">
      <c r="A5729" s="89" t="s">
        <v>3794</v>
      </c>
      <c r="B5729" s="86" t="s">
        <v>35</v>
      </c>
      <c r="C5729" s="86" t="s">
        <v>184</v>
      </c>
      <c r="D5729" s="86" t="s">
        <v>985</v>
      </c>
      <c r="E5729" s="86" t="s">
        <v>988</v>
      </c>
      <c r="F5729" s="86" t="s">
        <v>988</v>
      </c>
      <c r="G5729" s="86" t="s">
        <v>988</v>
      </c>
      <c r="H5729" s="143">
        <v>62</v>
      </c>
      <c r="I5729" s="86" t="s">
        <v>408</v>
      </c>
      <c r="J5729" s="1" t="s">
        <v>3324</v>
      </c>
      <c r="K5729" s="1" t="s">
        <v>3278</v>
      </c>
      <c r="L5729" s="1" t="s">
        <v>35</v>
      </c>
      <c r="M5729" s="86" t="s">
        <v>989</v>
      </c>
      <c r="O5729" s="47" t="s">
        <v>45</v>
      </c>
      <c r="P5729" s="14" t="s">
        <v>46</v>
      </c>
      <c r="Q5729" s="14">
        <v>0.1</v>
      </c>
      <c r="R5729" s="143">
        <v>1000024233</v>
      </c>
      <c r="S5729" s="47"/>
      <c r="T5729" s="6">
        <v>396.2</v>
      </c>
      <c r="U5729" s="6"/>
      <c r="V5729" s="6">
        <v>0</v>
      </c>
      <c r="W5729" s="6">
        <f t="shared" si="892"/>
        <v>396.2</v>
      </c>
      <c r="X5729" s="6">
        <f t="shared" si="891"/>
        <v>0</v>
      </c>
      <c r="Y5729" s="13">
        <f t="shared" si="896"/>
        <v>0</v>
      </c>
      <c r="Z5729" s="14">
        <v>0</v>
      </c>
      <c r="AA5729" s="6">
        <v>0</v>
      </c>
      <c r="AB5729" s="4">
        <f t="shared" si="897"/>
        <v>0</v>
      </c>
      <c r="AC5729" s="6">
        <f t="shared" si="893"/>
        <v>0</v>
      </c>
      <c r="AD5729" s="6">
        <f t="shared" si="894"/>
        <v>0</v>
      </c>
      <c r="AE5729" s="14">
        <f>VLOOKUP(I5729,[2]媒体政策预估表!A:N,MATCH(O5729,[2]媒体政策预估表!$A$2:$M$2,0),0)</f>
        <v>0.11</v>
      </c>
      <c r="AF5729" s="6">
        <f t="shared" si="890"/>
        <v>0</v>
      </c>
      <c r="AG5729" s="14">
        <v>0</v>
      </c>
      <c r="AH5729" s="64">
        <f t="shared" si="895"/>
        <v>0</v>
      </c>
      <c r="AI5729" s="47"/>
      <c r="AJ5729" s="126" t="e">
        <v>#N/A</v>
      </c>
      <c r="AK5729" s="80">
        <f t="shared" si="898"/>
        <v>0</v>
      </c>
      <c r="AL5729" s="85"/>
      <c r="AM5729" s="85"/>
    </row>
    <row r="5730" spans="1:39" s="86" customFormat="1" ht="13.25" hidden="1" customHeight="1" x14ac:dyDescent="0.3">
      <c r="A5730" s="89" t="s">
        <v>3792</v>
      </c>
      <c r="B5730" s="86" t="s">
        <v>35</v>
      </c>
      <c r="C5730" s="86" t="s">
        <v>184</v>
      </c>
      <c r="D5730" s="86" t="s">
        <v>54</v>
      </c>
      <c r="E5730" s="86" t="s">
        <v>990</v>
      </c>
      <c r="F5730" s="86" t="s">
        <v>990</v>
      </c>
      <c r="G5730" s="86" t="s">
        <v>990</v>
      </c>
      <c r="H5730" s="143">
        <v>62</v>
      </c>
      <c r="I5730" s="86" t="s">
        <v>408</v>
      </c>
      <c r="J5730" s="1" t="s">
        <v>3324</v>
      </c>
      <c r="K5730" s="1" t="s">
        <v>3278</v>
      </c>
      <c r="L5730" s="1" t="s">
        <v>35</v>
      </c>
      <c r="M5730" s="86" t="s">
        <v>991</v>
      </c>
      <c r="O5730" s="47" t="s">
        <v>45</v>
      </c>
      <c r="P5730" s="14" t="s">
        <v>46</v>
      </c>
      <c r="Q5730" s="14">
        <v>0.08</v>
      </c>
      <c r="R5730" s="143">
        <v>1000057780</v>
      </c>
      <c r="S5730" s="47"/>
      <c r="T5730" s="6">
        <v>127.88</v>
      </c>
      <c r="U5730" s="6"/>
      <c r="V5730" s="6">
        <v>0</v>
      </c>
      <c r="W5730" s="6">
        <f t="shared" si="892"/>
        <v>127.88</v>
      </c>
      <c r="X5730" s="6">
        <f t="shared" si="891"/>
        <v>0</v>
      </c>
      <c r="Y5730" s="13">
        <f t="shared" si="896"/>
        <v>0</v>
      </c>
      <c r="Z5730" s="14">
        <v>0</v>
      </c>
      <c r="AA5730" s="6">
        <v>0</v>
      </c>
      <c r="AB5730" s="4"/>
      <c r="AC5730" s="6">
        <f t="shared" si="893"/>
        <v>0</v>
      </c>
      <c r="AD5730" s="6">
        <f t="shared" si="894"/>
        <v>0</v>
      </c>
      <c r="AE5730" s="14">
        <f>VLOOKUP(I5730,[2]媒体政策预估表!A:N,MATCH(O5730,[2]媒体政策预估表!$A$2:$M$2,0),0)</f>
        <v>0.11</v>
      </c>
      <c r="AF5730" s="6">
        <f t="shared" si="890"/>
        <v>0</v>
      </c>
      <c r="AG5730" s="14">
        <v>0</v>
      </c>
      <c r="AH5730" s="64">
        <f t="shared" si="895"/>
        <v>0</v>
      </c>
      <c r="AI5730" s="47"/>
      <c r="AJ5730" s="126">
        <v>59</v>
      </c>
      <c r="AK5730" s="80">
        <f t="shared" si="898"/>
        <v>0</v>
      </c>
      <c r="AL5730" s="85"/>
      <c r="AM5730" s="85"/>
    </row>
    <row r="5731" spans="1:39" s="86" customFormat="1" ht="13.25" hidden="1" customHeight="1" x14ac:dyDescent="0.3">
      <c r="A5731" s="89" t="s">
        <v>3792</v>
      </c>
      <c r="B5731" s="86" t="s">
        <v>35</v>
      </c>
      <c r="C5731" s="86" t="s">
        <v>184</v>
      </c>
      <c r="D5731" s="86" t="s">
        <v>54</v>
      </c>
      <c r="E5731" s="86" t="s">
        <v>992</v>
      </c>
      <c r="F5731" s="86" t="s">
        <v>992</v>
      </c>
      <c r="G5731" s="86" t="s">
        <v>992</v>
      </c>
      <c r="H5731" s="143">
        <v>62</v>
      </c>
      <c r="I5731" s="86" t="s">
        <v>408</v>
      </c>
      <c r="J5731" s="1" t="s">
        <v>3324</v>
      </c>
      <c r="K5731" s="1" t="s">
        <v>3278</v>
      </c>
      <c r="L5731" s="1" t="s">
        <v>35</v>
      </c>
      <c r="M5731" s="86" t="s">
        <v>993</v>
      </c>
      <c r="O5731" s="47" t="s">
        <v>45</v>
      </c>
      <c r="P5731" s="14" t="s">
        <v>46</v>
      </c>
      <c r="Q5731" s="14">
        <v>0.14000000000000001</v>
      </c>
      <c r="R5731" s="143">
        <v>1000020986</v>
      </c>
      <c r="S5731" s="47"/>
      <c r="T5731" s="6">
        <v>1615.52</v>
      </c>
      <c r="U5731" s="6"/>
      <c r="V5731" s="6">
        <v>0</v>
      </c>
      <c r="W5731" s="6">
        <f t="shared" si="892"/>
        <v>1615.52</v>
      </c>
      <c r="X5731" s="6">
        <f t="shared" si="891"/>
        <v>0</v>
      </c>
      <c r="Y5731" s="13">
        <f t="shared" si="896"/>
        <v>0</v>
      </c>
      <c r="Z5731" s="14">
        <v>0</v>
      </c>
      <c r="AA5731" s="6">
        <v>0</v>
      </c>
      <c r="AB5731" s="4">
        <f t="shared" si="897"/>
        <v>0</v>
      </c>
      <c r="AC5731" s="6">
        <f t="shared" si="893"/>
        <v>0</v>
      </c>
      <c r="AD5731" s="6">
        <f t="shared" si="894"/>
        <v>0</v>
      </c>
      <c r="AE5731" s="14">
        <f>VLOOKUP(I5731,[2]媒体政策预估表!A:N,MATCH(O5731,[2]媒体政策预估表!$A$2:$M$2,0),0)</f>
        <v>0.11</v>
      </c>
      <c r="AF5731" s="6">
        <f t="shared" si="890"/>
        <v>0</v>
      </c>
      <c r="AG5731" s="14">
        <v>0</v>
      </c>
      <c r="AH5731" s="64">
        <f t="shared" si="895"/>
        <v>0</v>
      </c>
      <c r="AI5731" s="47"/>
      <c r="AJ5731" s="126" t="e">
        <v>#N/A</v>
      </c>
      <c r="AK5731" s="80">
        <f t="shared" si="898"/>
        <v>0</v>
      </c>
      <c r="AL5731" s="85"/>
      <c r="AM5731" s="85"/>
    </row>
    <row r="5732" spans="1:39" s="86" customFormat="1" ht="13.25" hidden="1" customHeight="1" x14ac:dyDescent="0.3">
      <c r="A5732" s="89" t="s">
        <v>3794</v>
      </c>
      <c r="B5732" s="86" t="s">
        <v>35</v>
      </c>
      <c r="C5732" s="86" t="s">
        <v>184</v>
      </c>
      <c r="D5732" s="86" t="s">
        <v>54</v>
      </c>
      <c r="E5732" s="86" t="s">
        <v>992</v>
      </c>
      <c r="F5732" s="86" t="s">
        <v>992</v>
      </c>
      <c r="G5732" s="86" t="s">
        <v>992</v>
      </c>
      <c r="H5732" s="143">
        <v>62</v>
      </c>
      <c r="I5732" s="86" t="s">
        <v>408</v>
      </c>
      <c r="J5732" s="1" t="s">
        <v>3324</v>
      </c>
      <c r="K5732" s="1" t="s">
        <v>3278</v>
      </c>
      <c r="L5732" s="1" t="s">
        <v>35</v>
      </c>
      <c r="M5732" s="86" t="s">
        <v>994</v>
      </c>
      <c r="O5732" s="47" t="s">
        <v>45</v>
      </c>
      <c r="P5732" s="14" t="s">
        <v>46</v>
      </c>
      <c r="Q5732" s="14">
        <v>0.14000000000000001</v>
      </c>
      <c r="R5732" s="143">
        <v>1000019214</v>
      </c>
      <c r="S5732" s="47"/>
      <c r="T5732" s="6">
        <v>160.54</v>
      </c>
      <c r="U5732" s="6"/>
      <c r="V5732" s="6">
        <v>0</v>
      </c>
      <c r="W5732" s="6">
        <f t="shared" si="892"/>
        <v>160.54</v>
      </c>
      <c r="X5732" s="6">
        <f t="shared" si="891"/>
        <v>0</v>
      </c>
      <c r="Y5732" s="13">
        <f t="shared" si="896"/>
        <v>0</v>
      </c>
      <c r="Z5732" s="14">
        <v>0</v>
      </c>
      <c r="AA5732" s="6">
        <v>0</v>
      </c>
      <c r="AB5732" s="4">
        <f t="shared" si="897"/>
        <v>0</v>
      </c>
      <c r="AC5732" s="6">
        <f t="shared" si="893"/>
        <v>0</v>
      </c>
      <c r="AD5732" s="6">
        <f t="shared" si="894"/>
        <v>0</v>
      </c>
      <c r="AE5732" s="14">
        <f>VLOOKUP(I5732,[2]媒体政策预估表!A:N,MATCH(O5732,[2]媒体政策预估表!$A$2:$M$2,0),0)</f>
        <v>0.11</v>
      </c>
      <c r="AF5732" s="6">
        <f t="shared" ref="AF5732:AF5795" si="899">AD5732*AE5732</f>
        <v>0</v>
      </c>
      <c r="AG5732" s="14">
        <v>0</v>
      </c>
      <c r="AH5732" s="64">
        <f t="shared" si="895"/>
        <v>0</v>
      </c>
      <c r="AI5732" s="47"/>
      <c r="AJ5732" s="126" t="e">
        <v>#N/A</v>
      </c>
      <c r="AK5732" s="80">
        <f t="shared" si="898"/>
        <v>0</v>
      </c>
      <c r="AL5732" s="85"/>
      <c r="AM5732" s="85"/>
    </row>
    <row r="5733" spans="1:39" s="86" customFormat="1" ht="13.25" hidden="1" customHeight="1" x14ac:dyDescent="0.3">
      <c r="A5733" s="89" t="s">
        <v>3794</v>
      </c>
      <c r="B5733" s="86" t="s">
        <v>35</v>
      </c>
      <c r="C5733" s="86" t="s">
        <v>184</v>
      </c>
      <c r="D5733" s="86" t="s">
        <v>54</v>
      </c>
      <c r="E5733" s="86" t="s">
        <v>992</v>
      </c>
      <c r="F5733" s="86" t="s">
        <v>992</v>
      </c>
      <c r="G5733" s="86" t="s">
        <v>992</v>
      </c>
      <c r="H5733" s="143">
        <v>62</v>
      </c>
      <c r="I5733" s="86" t="s">
        <v>408</v>
      </c>
      <c r="J5733" s="1" t="s">
        <v>3324</v>
      </c>
      <c r="K5733" s="1" t="s">
        <v>3278</v>
      </c>
      <c r="L5733" s="1" t="s">
        <v>35</v>
      </c>
      <c r="M5733" s="86" t="s">
        <v>995</v>
      </c>
      <c r="O5733" s="47" t="s">
        <v>45</v>
      </c>
      <c r="P5733" s="14" t="s">
        <v>46</v>
      </c>
      <c r="Q5733" s="14">
        <v>0.14000000000000001</v>
      </c>
      <c r="R5733" s="143">
        <v>1000019213</v>
      </c>
      <c r="S5733" s="47"/>
      <c r="T5733" s="6">
        <v>5.08</v>
      </c>
      <c r="U5733" s="6"/>
      <c r="V5733" s="6">
        <v>0</v>
      </c>
      <c r="W5733" s="6">
        <f t="shared" si="892"/>
        <v>5.08</v>
      </c>
      <c r="X5733" s="6">
        <f t="shared" si="891"/>
        <v>0</v>
      </c>
      <c r="Y5733" s="13">
        <f t="shared" si="896"/>
        <v>0</v>
      </c>
      <c r="Z5733" s="14">
        <v>0</v>
      </c>
      <c r="AA5733" s="6">
        <v>0</v>
      </c>
      <c r="AB5733" s="4">
        <f t="shared" si="897"/>
        <v>0</v>
      </c>
      <c r="AC5733" s="6">
        <f t="shared" si="893"/>
        <v>0</v>
      </c>
      <c r="AD5733" s="6">
        <f t="shared" si="894"/>
        <v>0</v>
      </c>
      <c r="AE5733" s="14">
        <f>VLOOKUP(I5733,[2]媒体政策预估表!A:N,MATCH(O5733,[2]媒体政策预估表!$A$2:$M$2,0),0)</f>
        <v>0.11</v>
      </c>
      <c r="AF5733" s="6">
        <f t="shared" si="899"/>
        <v>0</v>
      </c>
      <c r="AG5733" s="14">
        <v>0</v>
      </c>
      <c r="AH5733" s="64">
        <f t="shared" si="895"/>
        <v>0</v>
      </c>
      <c r="AI5733" s="47"/>
      <c r="AJ5733" s="126" t="e">
        <v>#N/A</v>
      </c>
      <c r="AK5733" s="80">
        <f t="shared" si="898"/>
        <v>0</v>
      </c>
      <c r="AL5733" s="85"/>
      <c r="AM5733" s="85"/>
    </row>
    <row r="5734" spans="1:39" s="86" customFormat="1" ht="13.25" hidden="1" customHeight="1" x14ac:dyDescent="0.3">
      <c r="A5734" s="89" t="s">
        <v>3792</v>
      </c>
      <c r="B5734" s="86" t="s">
        <v>35</v>
      </c>
      <c r="C5734" s="86" t="s">
        <v>184</v>
      </c>
      <c r="D5734" s="86" t="s">
        <v>54</v>
      </c>
      <c r="E5734" s="86" t="s">
        <v>996</v>
      </c>
      <c r="F5734" s="86" t="s">
        <v>996</v>
      </c>
      <c r="G5734" s="86" t="s">
        <v>996</v>
      </c>
      <c r="H5734" s="143">
        <v>62</v>
      </c>
      <c r="I5734" s="86" t="s">
        <v>408</v>
      </c>
      <c r="J5734" s="1" t="s">
        <v>3324</v>
      </c>
      <c r="K5734" s="1" t="s">
        <v>3278</v>
      </c>
      <c r="L5734" s="1" t="s">
        <v>35</v>
      </c>
      <c r="M5734" s="86" t="s">
        <v>997</v>
      </c>
      <c r="O5734" s="47" t="s">
        <v>45</v>
      </c>
      <c r="P5734" s="14" t="s">
        <v>46</v>
      </c>
      <c r="Q5734" s="14">
        <v>0.14000000000000001</v>
      </c>
      <c r="R5734" s="143">
        <v>1000019732</v>
      </c>
      <c r="S5734" s="47"/>
      <c r="T5734" s="6">
        <v>580.39</v>
      </c>
      <c r="U5734" s="6"/>
      <c r="V5734" s="6">
        <v>0</v>
      </c>
      <c r="W5734" s="6">
        <f t="shared" si="892"/>
        <v>580.39</v>
      </c>
      <c r="X5734" s="6">
        <f t="shared" si="891"/>
        <v>0</v>
      </c>
      <c r="Y5734" s="13">
        <f t="shared" si="896"/>
        <v>0</v>
      </c>
      <c r="Z5734" s="14">
        <v>0</v>
      </c>
      <c r="AA5734" s="6">
        <v>0</v>
      </c>
      <c r="AB5734" s="4">
        <f t="shared" si="897"/>
        <v>0</v>
      </c>
      <c r="AC5734" s="6">
        <f t="shared" si="893"/>
        <v>0</v>
      </c>
      <c r="AD5734" s="6">
        <f t="shared" si="894"/>
        <v>0</v>
      </c>
      <c r="AE5734" s="14">
        <f>VLOOKUP(I5734,[2]媒体政策预估表!A:N,MATCH(O5734,[2]媒体政策预估表!$A$2:$M$2,0),0)</f>
        <v>0.11</v>
      </c>
      <c r="AF5734" s="6">
        <f t="shared" si="899"/>
        <v>0</v>
      </c>
      <c r="AG5734" s="14">
        <v>0</v>
      </c>
      <c r="AH5734" s="64">
        <f t="shared" si="895"/>
        <v>0</v>
      </c>
      <c r="AI5734" s="47"/>
      <c r="AJ5734" s="126" t="e">
        <v>#N/A</v>
      </c>
      <c r="AK5734" s="80">
        <f t="shared" si="898"/>
        <v>0</v>
      </c>
      <c r="AL5734" s="85"/>
      <c r="AM5734" s="85"/>
    </row>
    <row r="5735" spans="1:39" s="86" customFormat="1" ht="13.25" hidden="1" customHeight="1" x14ac:dyDescent="0.3">
      <c r="A5735" s="89" t="s">
        <v>3792</v>
      </c>
      <c r="B5735" s="86" t="s">
        <v>35</v>
      </c>
      <c r="C5735" s="86" t="s">
        <v>184</v>
      </c>
      <c r="D5735" s="86" t="s">
        <v>54</v>
      </c>
      <c r="E5735" s="86" t="s">
        <v>996</v>
      </c>
      <c r="F5735" s="86" t="s">
        <v>996</v>
      </c>
      <c r="G5735" s="86" t="s">
        <v>996</v>
      </c>
      <c r="H5735" s="143">
        <v>62</v>
      </c>
      <c r="I5735" s="86" t="s">
        <v>408</v>
      </c>
      <c r="J5735" s="1" t="s">
        <v>3324</v>
      </c>
      <c r="K5735" s="1" t="s">
        <v>3278</v>
      </c>
      <c r="L5735" s="1" t="s">
        <v>35</v>
      </c>
      <c r="M5735" s="86" t="s">
        <v>998</v>
      </c>
      <c r="O5735" s="47" t="s">
        <v>45</v>
      </c>
      <c r="P5735" s="14" t="s">
        <v>46</v>
      </c>
      <c r="Q5735" s="14">
        <v>0.14000000000000001</v>
      </c>
      <c r="R5735" s="143">
        <v>1000015674</v>
      </c>
      <c r="S5735" s="47"/>
      <c r="T5735" s="6">
        <v>172.33</v>
      </c>
      <c r="U5735" s="6"/>
      <c r="V5735" s="6">
        <v>0</v>
      </c>
      <c r="W5735" s="6">
        <f t="shared" si="892"/>
        <v>172.33</v>
      </c>
      <c r="X5735" s="6">
        <f t="shared" si="891"/>
        <v>0</v>
      </c>
      <c r="Y5735" s="13">
        <f t="shared" si="896"/>
        <v>0</v>
      </c>
      <c r="Z5735" s="14">
        <v>0</v>
      </c>
      <c r="AA5735" s="6">
        <v>0</v>
      </c>
      <c r="AB5735" s="4">
        <f t="shared" si="897"/>
        <v>0</v>
      </c>
      <c r="AC5735" s="6">
        <f t="shared" si="893"/>
        <v>0</v>
      </c>
      <c r="AD5735" s="6">
        <f t="shared" si="894"/>
        <v>0</v>
      </c>
      <c r="AE5735" s="14">
        <f>VLOOKUP(I5735,[2]媒体政策预估表!A:N,MATCH(O5735,[2]媒体政策预估表!$A$2:$M$2,0),0)</f>
        <v>0.11</v>
      </c>
      <c r="AF5735" s="6">
        <f t="shared" si="899"/>
        <v>0</v>
      </c>
      <c r="AG5735" s="14">
        <v>0</v>
      </c>
      <c r="AH5735" s="64">
        <f t="shared" si="895"/>
        <v>0</v>
      </c>
      <c r="AI5735" s="47"/>
      <c r="AJ5735" s="126" t="e">
        <v>#N/A</v>
      </c>
      <c r="AK5735" s="80">
        <f t="shared" si="898"/>
        <v>0</v>
      </c>
      <c r="AL5735" s="85"/>
      <c r="AM5735" s="85"/>
    </row>
    <row r="5736" spans="1:39" s="86" customFormat="1" ht="13.25" hidden="1" customHeight="1" x14ac:dyDescent="0.3">
      <c r="A5736" s="89" t="s">
        <v>3794</v>
      </c>
      <c r="B5736" s="86" t="s">
        <v>35</v>
      </c>
      <c r="C5736" s="86" t="s">
        <v>184</v>
      </c>
      <c r="D5736" s="86" t="s">
        <v>54</v>
      </c>
      <c r="E5736" s="86" t="s">
        <v>996</v>
      </c>
      <c r="F5736" s="86" t="s">
        <v>996</v>
      </c>
      <c r="G5736" s="86" t="s">
        <v>996</v>
      </c>
      <c r="H5736" s="143">
        <v>62</v>
      </c>
      <c r="I5736" s="86" t="s">
        <v>408</v>
      </c>
      <c r="J5736" s="1" t="s">
        <v>3324</v>
      </c>
      <c r="K5736" s="1" t="s">
        <v>3278</v>
      </c>
      <c r="L5736" s="1" t="s">
        <v>35</v>
      </c>
      <c r="M5736" s="86" t="s">
        <v>999</v>
      </c>
      <c r="O5736" s="47" t="s">
        <v>45</v>
      </c>
      <c r="P5736" s="14" t="s">
        <v>46</v>
      </c>
      <c r="Q5736" s="14">
        <v>0.14000000000000001</v>
      </c>
      <c r="R5736" s="143">
        <v>1000015721</v>
      </c>
      <c r="S5736" s="47"/>
      <c r="T5736" s="6">
        <v>68.290000000000006</v>
      </c>
      <c r="U5736" s="6"/>
      <c r="V5736" s="6">
        <v>0</v>
      </c>
      <c r="W5736" s="6">
        <f t="shared" si="892"/>
        <v>68.290000000000006</v>
      </c>
      <c r="X5736" s="6">
        <f t="shared" si="891"/>
        <v>0</v>
      </c>
      <c r="Y5736" s="13">
        <f t="shared" si="896"/>
        <v>0</v>
      </c>
      <c r="Z5736" s="14">
        <v>0</v>
      </c>
      <c r="AA5736" s="6">
        <v>0</v>
      </c>
      <c r="AB5736" s="4">
        <f t="shared" si="897"/>
        <v>0</v>
      </c>
      <c r="AC5736" s="6">
        <f t="shared" si="893"/>
        <v>0</v>
      </c>
      <c r="AD5736" s="6">
        <f t="shared" si="894"/>
        <v>0</v>
      </c>
      <c r="AE5736" s="14">
        <f>VLOOKUP(I5736,[2]媒体政策预估表!A:N,MATCH(O5736,[2]媒体政策预估表!$A$2:$M$2,0),0)</f>
        <v>0.11</v>
      </c>
      <c r="AF5736" s="6">
        <f t="shared" si="899"/>
        <v>0</v>
      </c>
      <c r="AG5736" s="14">
        <v>0</v>
      </c>
      <c r="AH5736" s="64">
        <f t="shared" si="895"/>
        <v>0</v>
      </c>
      <c r="AI5736" s="47"/>
      <c r="AJ5736" s="126" t="e">
        <v>#N/A</v>
      </c>
      <c r="AK5736" s="80">
        <f t="shared" si="898"/>
        <v>0</v>
      </c>
      <c r="AL5736" s="85"/>
      <c r="AM5736" s="85"/>
    </row>
    <row r="5737" spans="1:39" s="86" customFormat="1" ht="13.25" hidden="1" customHeight="1" x14ac:dyDescent="0.3">
      <c r="A5737" s="89" t="s">
        <v>3792</v>
      </c>
      <c r="B5737" s="86" t="s">
        <v>35</v>
      </c>
      <c r="C5737" s="86" t="s">
        <v>41</v>
      </c>
      <c r="D5737" s="86" t="s">
        <v>41</v>
      </c>
      <c r="E5737" s="86" t="s">
        <v>41</v>
      </c>
      <c r="F5737" s="86" t="s">
        <v>41</v>
      </c>
      <c r="G5737" s="86" t="s">
        <v>41</v>
      </c>
      <c r="H5737" s="143">
        <v>62</v>
      </c>
      <c r="I5737" s="86" t="s">
        <v>408</v>
      </c>
      <c r="J5737" s="1" t="s">
        <v>3324</v>
      </c>
      <c r="K5737" s="1" t="s">
        <v>3278</v>
      </c>
      <c r="L5737" s="1" t="s">
        <v>35</v>
      </c>
      <c r="M5737" s="86" t="s">
        <v>1000</v>
      </c>
      <c r="O5737" s="47" t="s">
        <v>410</v>
      </c>
      <c r="P5737" s="14" t="s">
        <v>41</v>
      </c>
      <c r="Q5737" s="14">
        <v>0</v>
      </c>
      <c r="R5737" s="143">
        <v>1000001035</v>
      </c>
      <c r="S5737" s="47"/>
      <c r="T5737" s="6">
        <v>20.149999999999999</v>
      </c>
      <c r="U5737" s="6"/>
      <c r="V5737" s="6">
        <v>0</v>
      </c>
      <c r="W5737" s="6">
        <f t="shared" si="892"/>
        <v>20.149999999999999</v>
      </c>
      <c r="X5737" s="6">
        <f t="shared" si="891"/>
        <v>0</v>
      </c>
      <c r="Y5737" s="13">
        <f t="shared" si="896"/>
        <v>0</v>
      </c>
      <c r="Z5737" s="14">
        <v>0</v>
      </c>
      <c r="AA5737" s="6">
        <v>0</v>
      </c>
      <c r="AB5737" s="4">
        <f t="shared" si="897"/>
        <v>0</v>
      </c>
      <c r="AC5737" s="6">
        <f t="shared" si="893"/>
        <v>0</v>
      </c>
      <c r="AD5737" s="6">
        <f t="shared" si="894"/>
        <v>0</v>
      </c>
      <c r="AE5737" s="14">
        <f>VLOOKUP(I5737,[2]媒体政策预估表!A:N,MATCH(O5737,[2]媒体政策预估表!$A$2:$M$2,0),0)</f>
        <v>7.0000000000000007E-2</v>
      </c>
      <c r="AF5737" s="6">
        <f t="shared" si="899"/>
        <v>0</v>
      </c>
      <c r="AG5737" s="14">
        <v>0</v>
      </c>
      <c r="AH5737" s="64">
        <f t="shared" si="895"/>
        <v>0</v>
      </c>
      <c r="AI5737" s="47"/>
      <c r="AJ5737" s="126" t="e">
        <v>#N/A</v>
      </c>
      <c r="AK5737" s="80">
        <f t="shared" si="898"/>
        <v>0</v>
      </c>
      <c r="AL5737" s="85"/>
      <c r="AM5737" s="85"/>
    </row>
    <row r="5738" spans="1:39" s="86" customFormat="1" ht="13.25" hidden="1" customHeight="1" x14ac:dyDescent="0.3">
      <c r="A5738" s="89" t="s">
        <v>3806</v>
      </c>
      <c r="B5738" s="86" t="s">
        <v>1001</v>
      </c>
      <c r="C5738" s="86" t="s">
        <v>47</v>
      </c>
      <c r="D5738" s="86" t="s">
        <v>48</v>
      </c>
      <c r="E5738" s="86" t="s">
        <v>1002</v>
      </c>
      <c r="F5738" s="86" t="s">
        <v>1003</v>
      </c>
      <c r="G5738" s="86" t="s">
        <v>1004</v>
      </c>
      <c r="H5738" s="143">
        <v>62</v>
      </c>
      <c r="I5738" s="86" t="s">
        <v>408</v>
      </c>
      <c r="J5738" s="1" t="s">
        <v>3324</v>
      </c>
      <c r="K5738" s="1" t="s">
        <v>3278</v>
      </c>
      <c r="L5738" s="1" t="s">
        <v>35</v>
      </c>
      <c r="M5738" s="86" t="s">
        <v>1005</v>
      </c>
      <c r="O5738" s="47" t="s">
        <v>45</v>
      </c>
      <c r="P5738" s="14" t="s">
        <v>46</v>
      </c>
      <c r="Q5738" s="14">
        <v>0.05</v>
      </c>
      <c r="R5738" s="143">
        <v>1000008905</v>
      </c>
      <c r="S5738" s="47"/>
      <c r="T5738" s="6">
        <v>12076.74</v>
      </c>
      <c r="U5738" s="6"/>
      <c r="V5738" s="6">
        <v>0</v>
      </c>
      <c r="W5738" s="6">
        <f t="shared" si="892"/>
        <v>12076.74</v>
      </c>
      <c r="X5738" s="6">
        <f t="shared" si="891"/>
        <v>0</v>
      </c>
      <c r="Y5738" s="13">
        <f t="shared" si="896"/>
        <v>0</v>
      </c>
      <c r="Z5738" s="14">
        <v>0</v>
      </c>
      <c r="AA5738" s="6">
        <v>0</v>
      </c>
      <c r="AB5738" s="4">
        <f t="shared" si="897"/>
        <v>0</v>
      </c>
      <c r="AC5738" s="6">
        <f t="shared" si="893"/>
        <v>0</v>
      </c>
      <c r="AD5738" s="6">
        <f t="shared" si="894"/>
        <v>0</v>
      </c>
      <c r="AE5738" s="14">
        <f>VLOOKUP(I5738,[2]媒体政策预估表!A:N,MATCH(O5738,[2]媒体政策预估表!$A$2:$M$2,0),0)</f>
        <v>0.11</v>
      </c>
      <c r="AF5738" s="6">
        <f t="shared" si="899"/>
        <v>0</v>
      </c>
      <c r="AG5738" s="14">
        <v>0</v>
      </c>
      <c r="AH5738" s="64">
        <f t="shared" si="895"/>
        <v>0</v>
      </c>
      <c r="AI5738" s="47"/>
      <c r="AJ5738" s="126" t="e">
        <v>#N/A</v>
      </c>
      <c r="AK5738" s="80">
        <f t="shared" si="898"/>
        <v>0</v>
      </c>
      <c r="AL5738" s="85"/>
      <c r="AM5738" s="85"/>
    </row>
    <row r="5739" spans="1:39" s="86" customFormat="1" ht="13.25" hidden="1" customHeight="1" x14ac:dyDescent="0.3">
      <c r="A5739" s="89" t="s">
        <v>3794</v>
      </c>
      <c r="B5739" s="86" t="s">
        <v>1001</v>
      </c>
      <c r="C5739" s="86" t="s">
        <v>47</v>
      </c>
      <c r="D5739" s="86" t="s">
        <v>48</v>
      </c>
      <c r="E5739" s="86" t="s">
        <v>1002</v>
      </c>
      <c r="F5739" s="86" t="s">
        <v>1003</v>
      </c>
      <c r="G5739" s="86" t="s">
        <v>1004</v>
      </c>
      <c r="H5739" s="143">
        <v>62</v>
      </c>
      <c r="I5739" s="86" t="s">
        <v>408</v>
      </c>
      <c r="J5739" s="1" t="s">
        <v>3324</v>
      </c>
      <c r="K5739" s="1" t="s">
        <v>3278</v>
      </c>
      <c r="L5739" s="1" t="s">
        <v>35</v>
      </c>
      <c r="M5739" s="86" t="s">
        <v>1006</v>
      </c>
      <c r="O5739" s="47" t="s">
        <v>45</v>
      </c>
      <c r="P5739" s="14" t="s">
        <v>46</v>
      </c>
      <c r="Q5739" s="14">
        <v>0.05</v>
      </c>
      <c r="R5739" s="143">
        <v>1000008904</v>
      </c>
      <c r="S5739" s="47"/>
      <c r="T5739" s="6">
        <v>9995.36</v>
      </c>
      <c r="U5739" s="6"/>
      <c r="V5739" s="6">
        <v>0</v>
      </c>
      <c r="W5739" s="6">
        <f t="shared" si="892"/>
        <v>9995.36</v>
      </c>
      <c r="X5739" s="6">
        <f t="shared" si="891"/>
        <v>0</v>
      </c>
      <c r="Y5739" s="13">
        <f t="shared" si="896"/>
        <v>0</v>
      </c>
      <c r="Z5739" s="14">
        <v>0</v>
      </c>
      <c r="AA5739" s="6">
        <v>0</v>
      </c>
      <c r="AB5739" s="4">
        <f t="shared" si="897"/>
        <v>0</v>
      </c>
      <c r="AC5739" s="6">
        <f t="shared" si="893"/>
        <v>0</v>
      </c>
      <c r="AD5739" s="6">
        <f t="shared" si="894"/>
        <v>0</v>
      </c>
      <c r="AE5739" s="14">
        <f>VLOOKUP(I5739,[2]媒体政策预估表!A:N,MATCH(O5739,[2]媒体政策预估表!$A$2:$M$2,0),0)</f>
        <v>0.11</v>
      </c>
      <c r="AF5739" s="6">
        <f t="shared" si="899"/>
        <v>0</v>
      </c>
      <c r="AG5739" s="14">
        <v>0</v>
      </c>
      <c r="AH5739" s="64">
        <f t="shared" si="895"/>
        <v>0</v>
      </c>
      <c r="AI5739" s="47"/>
      <c r="AJ5739" s="126" t="e">
        <v>#N/A</v>
      </c>
      <c r="AK5739" s="80">
        <f t="shared" si="898"/>
        <v>0</v>
      </c>
      <c r="AL5739" s="85"/>
      <c r="AM5739" s="85"/>
    </row>
    <row r="5740" spans="1:39" s="86" customFormat="1" ht="13.25" hidden="1" customHeight="1" x14ac:dyDescent="0.3">
      <c r="A5740" s="89" t="s">
        <v>3794</v>
      </c>
      <c r="B5740" s="86" t="s">
        <v>1007</v>
      </c>
      <c r="C5740" s="86" t="s">
        <v>752</v>
      </c>
      <c r="D5740" s="86" t="s">
        <v>753</v>
      </c>
      <c r="E5740" s="86" t="s">
        <v>1008</v>
      </c>
      <c r="F5740" s="86" t="s">
        <v>1009</v>
      </c>
      <c r="G5740" s="86" t="s">
        <v>1010</v>
      </c>
      <c r="H5740" s="143">
        <v>62</v>
      </c>
      <c r="I5740" s="86" t="s">
        <v>408</v>
      </c>
      <c r="J5740" s="1" t="s">
        <v>3324</v>
      </c>
      <c r="K5740" s="1" t="s">
        <v>3278</v>
      </c>
      <c r="L5740" s="1" t="s">
        <v>35</v>
      </c>
      <c r="M5740" s="86" t="s">
        <v>1011</v>
      </c>
      <c r="O5740" s="47" t="s">
        <v>410</v>
      </c>
      <c r="P5740" s="14" t="s">
        <v>46</v>
      </c>
      <c r="Q5740" s="14">
        <v>0.02</v>
      </c>
      <c r="R5740" s="143">
        <v>1000003486</v>
      </c>
      <c r="S5740" s="47"/>
      <c r="T5740" s="6">
        <v>5130.5</v>
      </c>
      <c r="U5740" s="6"/>
      <c r="V5740" s="6">
        <v>0</v>
      </c>
      <c r="W5740" s="6">
        <f t="shared" si="892"/>
        <v>5130.5</v>
      </c>
      <c r="X5740" s="6">
        <f t="shared" si="891"/>
        <v>0</v>
      </c>
      <c r="Y5740" s="13">
        <f t="shared" si="896"/>
        <v>0</v>
      </c>
      <c r="Z5740" s="14">
        <v>0</v>
      </c>
      <c r="AA5740" s="6">
        <v>0</v>
      </c>
      <c r="AB5740" s="4">
        <f t="shared" si="897"/>
        <v>0</v>
      </c>
      <c r="AC5740" s="6">
        <f t="shared" si="893"/>
        <v>0</v>
      </c>
      <c r="AD5740" s="6">
        <f t="shared" si="894"/>
        <v>0</v>
      </c>
      <c r="AE5740" s="14">
        <f>VLOOKUP(I5740,[2]媒体政策预估表!A:N,MATCH(O5740,[2]媒体政策预估表!$A$2:$M$2,0),0)</f>
        <v>7.0000000000000007E-2</v>
      </c>
      <c r="AF5740" s="6">
        <f t="shared" si="899"/>
        <v>0</v>
      </c>
      <c r="AG5740" s="14">
        <v>0</v>
      </c>
      <c r="AH5740" s="64">
        <f t="shared" si="895"/>
        <v>0</v>
      </c>
      <c r="AI5740" s="47"/>
      <c r="AJ5740" s="126" t="e">
        <v>#N/A</v>
      </c>
      <c r="AK5740" s="80">
        <f t="shared" si="898"/>
        <v>0</v>
      </c>
      <c r="AL5740" s="85"/>
      <c r="AM5740" s="85"/>
    </row>
    <row r="5741" spans="1:39" s="86" customFormat="1" ht="13.25" hidden="1" customHeight="1" x14ac:dyDescent="0.3">
      <c r="A5741" s="89" t="s">
        <v>3806</v>
      </c>
      <c r="B5741" s="86" t="s">
        <v>1007</v>
      </c>
      <c r="C5741" s="86" t="s">
        <v>47</v>
      </c>
      <c r="D5741" s="86" t="s">
        <v>63</v>
      </c>
      <c r="E5741" s="86" t="s">
        <v>1012</v>
      </c>
      <c r="F5741" s="86" t="s">
        <v>1013</v>
      </c>
      <c r="G5741" s="86" t="s">
        <v>1010</v>
      </c>
      <c r="H5741" s="143">
        <v>62</v>
      </c>
      <c r="I5741" s="86" t="s">
        <v>408</v>
      </c>
      <c r="J5741" s="1" t="s">
        <v>3324</v>
      </c>
      <c r="K5741" s="1" t="s">
        <v>3278</v>
      </c>
      <c r="L5741" s="1" t="s">
        <v>35</v>
      </c>
      <c r="M5741" s="86" t="s">
        <v>1014</v>
      </c>
      <c r="O5741" s="47" t="s">
        <v>45</v>
      </c>
      <c r="P5741" s="14" t="s">
        <v>46</v>
      </c>
      <c r="Q5741" s="14">
        <v>0.04</v>
      </c>
      <c r="R5741" s="143">
        <v>1000025585</v>
      </c>
      <c r="S5741" s="47"/>
      <c r="T5741" s="6">
        <v>646.35</v>
      </c>
      <c r="U5741" s="6"/>
      <c r="V5741" s="6">
        <v>0</v>
      </c>
      <c r="W5741" s="6">
        <f t="shared" si="892"/>
        <v>646.35</v>
      </c>
      <c r="X5741" s="6">
        <f t="shared" si="891"/>
        <v>0</v>
      </c>
      <c r="Y5741" s="13">
        <f t="shared" si="896"/>
        <v>0</v>
      </c>
      <c r="Z5741" s="14">
        <v>0</v>
      </c>
      <c r="AA5741" s="6">
        <v>0</v>
      </c>
      <c r="AB5741" s="4">
        <f t="shared" si="897"/>
        <v>0</v>
      </c>
      <c r="AC5741" s="6">
        <f t="shared" si="893"/>
        <v>0</v>
      </c>
      <c r="AD5741" s="6">
        <f t="shared" si="894"/>
        <v>0</v>
      </c>
      <c r="AE5741" s="14">
        <f>VLOOKUP(I5741,[2]媒体政策预估表!A:N,MATCH(O5741,[2]媒体政策预估表!$A$2:$M$2,0),0)</f>
        <v>0.11</v>
      </c>
      <c r="AF5741" s="6">
        <f t="shared" si="899"/>
        <v>0</v>
      </c>
      <c r="AG5741" s="14">
        <v>0</v>
      </c>
      <c r="AH5741" s="64">
        <f t="shared" si="895"/>
        <v>0</v>
      </c>
      <c r="AI5741" s="47"/>
      <c r="AJ5741" s="126" t="e">
        <v>#N/A</v>
      </c>
      <c r="AK5741" s="80">
        <f t="shared" si="898"/>
        <v>0</v>
      </c>
      <c r="AL5741" s="85"/>
      <c r="AM5741" s="85"/>
    </row>
    <row r="5742" spans="1:39" s="86" customFormat="1" ht="13.25" hidden="1" customHeight="1" x14ac:dyDescent="0.3">
      <c r="A5742" s="89" t="s">
        <v>3806</v>
      </c>
      <c r="B5742" s="86" t="s">
        <v>1007</v>
      </c>
      <c r="C5742" s="86" t="s">
        <v>144</v>
      </c>
      <c r="D5742" s="86" t="s">
        <v>145</v>
      </c>
      <c r="E5742" s="86" t="s">
        <v>1015</v>
      </c>
      <c r="F5742" s="86" t="s">
        <v>1016</v>
      </c>
      <c r="G5742" s="86" t="s">
        <v>1010</v>
      </c>
      <c r="H5742" s="143">
        <v>62</v>
      </c>
      <c r="I5742" s="86" t="s">
        <v>408</v>
      </c>
      <c r="J5742" s="1" t="s">
        <v>3324</v>
      </c>
      <c r="K5742" s="1" t="s">
        <v>3278</v>
      </c>
      <c r="L5742" s="1" t="s">
        <v>35</v>
      </c>
      <c r="M5742" s="86" t="s">
        <v>1017</v>
      </c>
      <c r="O5742" s="47" t="s">
        <v>410</v>
      </c>
      <c r="P5742" s="14" t="s">
        <v>46</v>
      </c>
      <c r="Q5742" s="14">
        <v>0.02</v>
      </c>
      <c r="R5742" s="143">
        <v>1000017563</v>
      </c>
      <c r="S5742" s="47"/>
      <c r="T5742" s="6">
        <v>1682.6</v>
      </c>
      <c r="U5742" s="6"/>
      <c r="V5742" s="6">
        <v>0</v>
      </c>
      <c r="W5742" s="6">
        <f t="shared" si="892"/>
        <v>1682.6</v>
      </c>
      <c r="X5742" s="6">
        <f t="shared" si="891"/>
        <v>0</v>
      </c>
      <c r="Y5742" s="13">
        <f t="shared" si="896"/>
        <v>0</v>
      </c>
      <c r="Z5742" s="14">
        <v>0</v>
      </c>
      <c r="AA5742" s="6">
        <v>0</v>
      </c>
      <c r="AB5742" s="4">
        <f t="shared" si="897"/>
        <v>0</v>
      </c>
      <c r="AC5742" s="6">
        <f t="shared" si="893"/>
        <v>0</v>
      </c>
      <c r="AD5742" s="6">
        <f t="shared" si="894"/>
        <v>0</v>
      </c>
      <c r="AE5742" s="14">
        <f>VLOOKUP(I5742,[2]媒体政策预估表!A:N,MATCH(O5742,[2]媒体政策预估表!$A$2:$M$2,0),0)</f>
        <v>7.0000000000000007E-2</v>
      </c>
      <c r="AF5742" s="6">
        <f t="shared" si="899"/>
        <v>0</v>
      </c>
      <c r="AG5742" s="14">
        <v>0</v>
      </c>
      <c r="AH5742" s="64">
        <f t="shared" si="895"/>
        <v>0</v>
      </c>
      <c r="AI5742" s="47"/>
      <c r="AJ5742" s="126" t="e">
        <v>#N/A</v>
      </c>
      <c r="AK5742" s="80">
        <f t="shared" si="898"/>
        <v>0</v>
      </c>
      <c r="AL5742" s="85"/>
      <c r="AM5742" s="85"/>
    </row>
    <row r="5743" spans="1:39" s="86" customFormat="1" ht="13.25" hidden="1" customHeight="1" x14ac:dyDescent="0.3">
      <c r="A5743" s="89" t="s">
        <v>3794</v>
      </c>
      <c r="B5743" s="86" t="s">
        <v>1007</v>
      </c>
      <c r="C5743" s="86" t="s">
        <v>144</v>
      </c>
      <c r="D5743" s="86" t="s">
        <v>303</v>
      </c>
      <c r="E5743" s="86" t="s">
        <v>1018</v>
      </c>
      <c r="F5743" s="86" t="s">
        <v>1019</v>
      </c>
      <c r="G5743" s="86" t="s">
        <v>1020</v>
      </c>
      <c r="H5743" s="143">
        <v>62</v>
      </c>
      <c r="I5743" s="86" t="s">
        <v>408</v>
      </c>
      <c r="J5743" s="1" t="s">
        <v>3324</v>
      </c>
      <c r="K5743" s="1" t="s">
        <v>3278</v>
      </c>
      <c r="L5743" s="1" t="s">
        <v>35</v>
      </c>
      <c r="M5743" s="86" t="s">
        <v>1021</v>
      </c>
      <c r="O5743" s="47" t="s">
        <v>410</v>
      </c>
      <c r="P5743" s="14" t="s">
        <v>46</v>
      </c>
      <c r="Q5743" s="14">
        <v>0.02</v>
      </c>
      <c r="R5743" s="143">
        <v>1000001122</v>
      </c>
      <c r="S5743" s="47"/>
      <c r="T5743" s="6">
        <v>24807.5</v>
      </c>
      <c r="U5743" s="6"/>
      <c r="V5743" s="6">
        <v>0</v>
      </c>
      <c r="W5743" s="6">
        <f t="shared" si="892"/>
        <v>24807.5</v>
      </c>
      <c r="X5743" s="6">
        <f t="shared" si="891"/>
        <v>0</v>
      </c>
      <c r="Y5743" s="13">
        <f t="shared" si="896"/>
        <v>0</v>
      </c>
      <c r="Z5743" s="14">
        <v>0</v>
      </c>
      <c r="AA5743" s="6">
        <v>0</v>
      </c>
      <c r="AB5743" s="4">
        <f t="shared" si="897"/>
        <v>0</v>
      </c>
      <c r="AC5743" s="6">
        <f t="shared" si="893"/>
        <v>0</v>
      </c>
      <c r="AD5743" s="6">
        <f t="shared" si="894"/>
        <v>0</v>
      </c>
      <c r="AE5743" s="14">
        <f>VLOOKUP(I5743,[2]媒体政策预估表!A:N,MATCH(O5743,[2]媒体政策预估表!$A$2:$M$2,0),0)</f>
        <v>7.0000000000000007E-2</v>
      </c>
      <c r="AF5743" s="6">
        <f t="shared" si="899"/>
        <v>0</v>
      </c>
      <c r="AG5743" s="14">
        <v>0</v>
      </c>
      <c r="AH5743" s="64">
        <f t="shared" si="895"/>
        <v>0</v>
      </c>
      <c r="AI5743" s="47"/>
      <c r="AJ5743" s="126" t="e">
        <v>#N/A</v>
      </c>
      <c r="AK5743" s="80">
        <f t="shared" si="898"/>
        <v>0</v>
      </c>
      <c r="AL5743" s="85"/>
      <c r="AM5743" s="85"/>
    </row>
    <row r="5744" spans="1:39" s="86" customFormat="1" ht="13.25" hidden="1" customHeight="1" x14ac:dyDescent="0.3">
      <c r="A5744" s="89" t="s">
        <v>3794</v>
      </c>
      <c r="B5744" s="86" t="s">
        <v>41</v>
      </c>
      <c r="C5744" s="86" t="s">
        <v>164</v>
      </c>
      <c r="D5744" s="86" t="s">
        <v>174</v>
      </c>
      <c r="E5744" s="86" t="s">
        <v>659</v>
      </c>
      <c r="F5744" s="86" t="s">
        <v>660</v>
      </c>
      <c r="G5744" s="86" t="s">
        <v>659</v>
      </c>
      <c r="H5744" s="143">
        <v>62</v>
      </c>
      <c r="I5744" s="86" t="s">
        <v>408</v>
      </c>
      <c r="J5744" s="1" t="s">
        <v>3324</v>
      </c>
      <c r="K5744" s="1" t="s">
        <v>3278</v>
      </c>
      <c r="L5744" s="1" t="s">
        <v>35</v>
      </c>
      <c r="M5744" s="86" t="s">
        <v>1022</v>
      </c>
      <c r="O5744" s="47" t="s">
        <v>410</v>
      </c>
      <c r="P5744" s="14" t="s">
        <v>41</v>
      </c>
      <c r="Q5744" s="14">
        <v>0</v>
      </c>
      <c r="R5744" s="143">
        <v>1000001944</v>
      </c>
      <c r="S5744" s="47"/>
      <c r="T5744" s="6">
        <v>18920.45</v>
      </c>
      <c r="U5744" s="6"/>
      <c r="V5744" s="6">
        <v>0</v>
      </c>
      <c r="W5744" s="6">
        <f t="shared" si="892"/>
        <v>18920.45</v>
      </c>
      <c r="X5744" s="6">
        <f t="shared" si="891"/>
        <v>0</v>
      </c>
      <c r="Y5744" s="13">
        <f t="shared" si="896"/>
        <v>0</v>
      </c>
      <c r="Z5744" s="14">
        <v>0</v>
      </c>
      <c r="AA5744" s="6">
        <v>0</v>
      </c>
      <c r="AB5744" s="4">
        <f t="shared" si="897"/>
        <v>0</v>
      </c>
      <c r="AC5744" s="6">
        <f t="shared" si="893"/>
        <v>0</v>
      </c>
      <c r="AD5744" s="6">
        <f t="shared" si="894"/>
        <v>0</v>
      </c>
      <c r="AE5744" s="14">
        <f>VLOOKUP(I5744,[2]媒体政策预估表!A:N,MATCH(O5744,[2]媒体政策预估表!$A$2:$M$2,0),0)</f>
        <v>7.0000000000000007E-2</v>
      </c>
      <c r="AF5744" s="6">
        <f t="shared" si="899"/>
        <v>0</v>
      </c>
      <c r="AG5744" s="14">
        <v>0</v>
      </c>
      <c r="AH5744" s="64">
        <f t="shared" si="895"/>
        <v>0</v>
      </c>
      <c r="AI5744" s="47"/>
      <c r="AJ5744" s="126" t="e">
        <v>#N/A</v>
      </c>
      <c r="AK5744" s="80">
        <f t="shared" si="898"/>
        <v>0</v>
      </c>
      <c r="AL5744" s="85"/>
      <c r="AM5744" s="85"/>
    </row>
    <row r="5745" spans="1:39" s="86" customFormat="1" ht="13.25" hidden="1" customHeight="1" x14ac:dyDescent="0.3">
      <c r="A5745" s="89" t="s">
        <v>3792</v>
      </c>
      <c r="B5745" s="86" t="s">
        <v>41</v>
      </c>
      <c r="C5745" s="86" t="s">
        <v>41</v>
      </c>
      <c r="D5745" s="86" t="s">
        <v>41</v>
      </c>
      <c r="E5745" s="86" t="s">
        <v>1023</v>
      </c>
      <c r="F5745" s="86" t="s">
        <v>1023</v>
      </c>
      <c r="G5745" s="86" t="s">
        <v>1023</v>
      </c>
      <c r="H5745" s="143">
        <v>62</v>
      </c>
      <c r="I5745" s="86" t="s">
        <v>408</v>
      </c>
      <c r="J5745" s="1" t="s">
        <v>3324</v>
      </c>
      <c r="K5745" s="1" t="s">
        <v>3278</v>
      </c>
      <c r="L5745" s="1" t="s">
        <v>35</v>
      </c>
      <c r="M5745" s="86" t="s">
        <v>1024</v>
      </c>
      <c r="O5745" s="47" t="s">
        <v>410</v>
      </c>
      <c r="P5745" s="14" t="s">
        <v>41</v>
      </c>
      <c r="Q5745" s="14">
        <v>0</v>
      </c>
      <c r="R5745" s="143">
        <v>1000008480</v>
      </c>
      <c r="S5745" s="47"/>
      <c r="T5745" s="6">
        <v>697.7</v>
      </c>
      <c r="U5745" s="6"/>
      <c r="V5745" s="6">
        <v>0</v>
      </c>
      <c r="W5745" s="6">
        <f t="shared" si="892"/>
        <v>697.7</v>
      </c>
      <c r="X5745" s="6">
        <f t="shared" si="891"/>
        <v>0</v>
      </c>
      <c r="Y5745" s="13">
        <f t="shared" si="896"/>
        <v>0</v>
      </c>
      <c r="Z5745" s="14">
        <v>0</v>
      </c>
      <c r="AA5745" s="6">
        <v>0</v>
      </c>
      <c r="AB5745" s="4">
        <f t="shared" si="897"/>
        <v>0</v>
      </c>
      <c r="AC5745" s="6">
        <f t="shared" si="893"/>
        <v>0</v>
      </c>
      <c r="AD5745" s="6">
        <f t="shared" si="894"/>
        <v>0</v>
      </c>
      <c r="AE5745" s="14">
        <f>VLOOKUP(I5745,[2]媒体政策预估表!A:N,MATCH(O5745,[2]媒体政策预估表!$A$2:$M$2,0),0)</f>
        <v>7.0000000000000007E-2</v>
      </c>
      <c r="AF5745" s="6">
        <f t="shared" si="899"/>
        <v>0</v>
      </c>
      <c r="AG5745" s="14">
        <v>0</v>
      </c>
      <c r="AH5745" s="64">
        <f t="shared" si="895"/>
        <v>0</v>
      </c>
      <c r="AI5745" s="47"/>
      <c r="AJ5745" s="126" t="e">
        <v>#N/A</v>
      </c>
      <c r="AK5745" s="80">
        <f t="shared" si="898"/>
        <v>0</v>
      </c>
      <c r="AL5745" s="85"/>
      <c r="AM5745" s="85"/>
    </row>
    <row r="5746" spans="1:39" s="86" customFormat="1" ht="13.25" hidden="1" customHeight="1" x14ac:dyDescent="0.3">
      <c r="A5746" s="89" t="s">
        <v>3792</v>
      </c>
      <c r="B5746" s="86" t="s">
        <v>41</v>
      </c>
      <c r="C5746" s="86" t="s">
        <v>41</v>
      </c>
      <c r="D5746" s="86" t="s">
        <v>41</v>
      </c>
      <c r="E5746" s="86" t="s">
        <v>1025</v>
      </c>
      <c r="F5746" s="86" t="s">
        <v>1025</v>
      </c>
      <c r="G5746" s="86" t="s">
        <v>1025</v>
      </c>
      <c r="H5746" s="143">
        <v>62</v>
      </c>
      <c r="I5746" s="86" t="s">
        <v>408</v>
      </c>
      <c r="J5746" s="1" t="s">
        <v>3324</v>
      </c>
      <c r="K5746" s="1" t="s">
        <v>3278</v>
      </c>
      <c r="L5746" s="1" t="s">
        <v>35</v>
      </c>
      <c r="M5746" s="86" t="s">
        <v>1026</v>
      </c>
      <c r="O5746" s="47" t="s">
        <v>410</v>
      </c>
      <c r="P5746" s="14" t="s">
        <v>41</v>
      </c>
      <c r="Q5746" s="14">
        <v>0</v>
      </c>
      <c r="R5746" s="143">
        <v>1000004760</v>
      </c>
      <c r="S5746" s="47"/>
      <c r="T5746" s="6">
        <v>2.4500000000000002</v>
      </c>
      <c r="U5746" s="6"/>
      <c r="V5746" s="6">
        <v>0</v>
      </c>
      <c r="W5746" s="6">
        <f t="shared" si="892"/>
        <v>2.4500000000000002</v>
      </c>
      <c r="X5746" s="6">
        <f t="shared" si="891"/>
        <v>0</v>
      </c>
      <c r="Y5746" s="13">
        <f t="shared" si="896"/>
        <v>0</v>
      </c>
      <c r="Z5746" s="14">
        <v>0</v>
      </c>
      <c r="AA5746" s="6">
        <v>0</v>
      </c>
      <c r="AB5746" s="4">
        <f t="shared" si="897"/>
        <v>0</v>
      </c>
      <c r="AC5746" s="6">
        <f t="shared" si="893"/>
        <v>0</v>
      </c>
      <c r="AD5746" s="6">
        <f t="shared" si="894"/>
        <v>0</v>
      </c>
      <c r="AE5746" s="14">
        <f>VLOOKUP(I5746,[2]媒体政策预估表!A:N,MATCH(O5746,[2]媒体政策预估表!$A$2:$M$2,0),0)</f>
        <v>7.0000000000000007E-2</v>
      </c>
      <c r="AF5746" s="6">
        <f t="shared" si="899"/>
        <v>0</v>
      </c>
      <c r="AG5746" s="14">
        <v>0</v>
      </c>
      <c r="AH5746" s="64">
        <f t="shared" si="895"/>
        <v>0</v>
      </c>
      <c r="AI5746" s="47"/>
      <c r="AJ5746" s="126" t="e">
        <v>#N/A</v>
      </c>
      <c r="AK5746" s="80">
        <f t="shared" si="898"/>
        <v>0</v>
      </c>
      <c r="AL5746" s="85"/>
      <c r="AM5746" s="85"/>
    </row>
    <row r="5747" spans="1:39" s="86" customFormat="1" ht="13.25" hidden="1" customHeight="1" x14ac:dyDescent="0.3">
      <c r="A5747" s="89" t="s">
        <v>3792</v>
      </c>
      <c r="B5747" s="86" t="s">
        <v>41</v>
      </c>
      <c r="C5747" s="86" t="s">
        <v>41</v>
      </c>
      <c r="D5747" s="86" t="s">
        <v>41</v>
      </c>
      <c r="E5747" s="86" t="s">
        <v>1027</v>
      </c>
      <c r="F5747" s="86" t="s">
        <v>1027</v>
      </c>
      <c r="G5747" s="86" t="s">
        <v>1027</v>
      </c>
      <c r="H5747" s="143">
        <v>62</v>
      </c>
      <c r="I5747" s="86" t="s">
        <v>408</v>
      </c>
      <c r="J5747" s="1" t="s">
        <v>3324</v>
      </c>
      <c r="K5747" s="1" t="s">
        <v>3278</v>
      </c>
      <c r="L5747" s="1" t="s">
        <v>35</v>
      </c>
      <c r="M5747" s="86" t="s">
        <v>1028</v>
      </c>
      <c r="O5747" s="47" t="s">
        <v>410</v>
      </c>
      <c r="P5747" s="14" t="s">
        <v>41</v>
      </c>
      <c r="Q5747" s="14">
        <v>0</v>
      </c>
      <c r="R5747" s="143">
        <v>1000003743</v>
      </c>
      <c r="S5747" s="47"/>
      <c r="T5747" s="6">
        <v>1667.34</v>
      </c>
      <c r="U5747" s="6"/>
      <c r="V5747" s="6">
        <v>0</v>
      </c>
      <c r="W5747" s="6">
        <f t="shared" si="892"/>
        <v>1667.34</v>
      </c>
      <c r="X5747" s="6">
        <f t="shared" si="891"/>
        <v>0</v>
      </c>
      <c r="Y5747" s="13">
        <f t="shared" si="896"/>
        <v>0</v>
      </c>
      <c r="Z5747" s="14">
        <v>0</v>
      </c>
      <c r="AA5747" s="6">
        <v>0</v>
      </c>
      <c r="AB5747" s="4">
        <f t="shared" si="897"/>
        <v>0</v>
      </c>
      <c r="AC5747" s="6">
        <f t="shared" si="893"/>
        <v>0</v>
      </c>
      <c r="AD5747" s="6">
        <f t="shared" si="894"/>
        <v>0</v>
      </c>
      <c r="AE5747" s="14">
        <f>VLOOKUP(I5747,[2]媒体政策预估表!A:N,MATCH(O5747,[2]媒体政策预估表!$A$2:$M$2,0),0)</f>
        <v>7.0000000000000007E-2</v>
      </c>
      <c r="AF5747" s="6">
        <f t="shared" si="899"/>
        <v>0</v>
      </c>
      <c r="AG5747" s="14">
        <v>0</v>
      </c>
      <c r="AH5747" s="64">
        <f t="shared" si="895"/>
        <v>0</v>
      </c>
      <c r="AI5747" s="47"/>
      <c r="AJ5747" s="126" t="e">
        <v>#N/A</v>
      </c>
      <c r="AK5747" s="80">
        <f t="shared" si="898"/>
        <v>0</v>
      </c>
      <c r="AL5747" s="85"/>
      <c r="AM5747" s="85"/>
    </row>
    <row r="5748" spans="1:39" s="86" customFormat="1" ht="13.25" hidden="1" customHeight="1" x14ac:dyDescent="0.3">
      <c r="A5748" s="89" t="s">
        <v>3792</v>
      </c>
      <c r="B5748" s="86" t="s">
        <v>41</v>
      </c>
      <c r="C5748" s="86" t="s">
        <v>41</v>
      </c>
      <c r="D5748" s="86" t="s">
        <v>41</v>
      </c>
      <c r="E5748" s="86" t="s">
        <v>1027</v>
      </c>
      <c r="F5748" s="86" t="s">
        <v>1027</v>
      </c>
      <c r="G5748" s="86" t="s">
        <v>1027</v>
      </c>
      <c r="H5748" s="143">
        <v>62</v>
      </c>
      <c r="I5748" s="86" t="s">
        <v>408</v>
      </c>
      <c r="J5748" s="1" t="s">
        <v>3324</v>
      </c>
      <c r="K5748" s="1" t="s">
        <v>3278</v>
      </c>
      <c r="L5748" s="1" t="s">
        <v>35</v>
      </c>
      <c r="M5748" s="86" t="s">
        <v>1029</v>
      </c>
      <c r="O5748" s="47" t="s">
        <v>410</v>
      </c>
      <c r="P5748" s="14" t="s">
        <v>41</v>
      </c>
      <c r="Q5748" s="14">
        <v>0</v>
      </c>
      <c r="R5748" s="143">
        <v>1000003744</v>
      </c>
      <c r="S5748" s="47"/>
      <c r="T5748" s="6">
        <v>2298.7800000000002</v>
      </c>
      <c r="U5748" s="6"/>
      <c r="V5748" s="6">
        <v>0</v>
      </c>
      <c r="W5748" s="6">
        <f t="shared" si="892"/>
        <v>2298.7800000000002</v>
      </c>
      <c r="X5748" s="6">
        <f t="shared" si="891"/>
        <v>0</v>
      </c>
      <c r="Y5748" s="13">
        <f t="shared" si="896"/>
        <v>0</v>
      </c>
      <c r="Z5748" s="14">
        <v>0</v>
      </c>
      <c r="AA5748" s="6">
        <v>0</v>
      </c>
      <c r="AB5748" s="4">
        <f t="shared" si="897"/>
        <v>0</v>
      </c>
      <c r="AC5748" s="6">
        <f t="shared" si="893"/>
        <v>0</v>
      </c>
      <c r="AD5748" s="6">
        <f t="shared" si="894"/>
        <v>0</v>
      </c>
      <c r="AE5748" s="14">
        <f>VLOOKUP(I5748,[2]媒体政策预估表!A:N,MATCH(O5748,[2]媒体政策预估表!$A$2:$M$2,0),0)</f>
        <v>7.0000000000000007E-2</v>
      </c>
      <c r="AF5748" s="6">
        <f t="shared" si="899"/>
        <v>0</v>
      </c>
      <c r="AG5748" s="14">
        <v>0</v>
      </c>
      <c r="AH5748" s="64">
        <f t="shared" si="895"/>
        <v>0</v>
      </c>
      <c r="AI5748" s="47"/>
      <c r="AJ5748" s="126" t="e">
        <v>#N/A</v>
      </c>
      <c r="AK5748" s="80">
        <f t="shared" si="898"/>
        <v>0</v>
      </c>
      <c r="AL5748" s="85"/>
      <c r="AM5748" s="85"/>
    </row>
    <row r="5749" spans="1:39" s="86" customFormat="1" ht="13.25" hidden="1" customHeight="1" x14ac:dyDescent="0.3">
      <c r="A5749" s="89" t="s">
        <v>3794</v>
      </c>
      <c r="B5749" s="86" t="s">
        <v>41</v>
      </c>
      <c r="C5749" s="86" t="s">
        <v>41</v>
      </c>
      <c r="D5749" s="86" t="s">
        <v>41</v>
      </c>
      <c r="E5749" s="86" t="s">
        <v>1030</v>
      </c>
      <c r="F5749" s="86" t="s">
        <v>1031</v>
      </c>
      <c r="G5749" s="86" t="s">
        <v>1031</v>
      </c>
      <c r="H5749" s="143">
        <v>62</v>
      </c>
      <c r="I5749" s="86" t="s">
        <v>408</v>
      </c>
      <c r="J5749" s="1" t="s">
        <v>3324</v>
      </c>
      <c r="K5749" s="1" t="s">
        <v>3278</v>
      </c>
      <c r="L5749" s="1" t="s">
        <v>35</v>
      </c>
      <c r="M5749" s="86" t="s">
        <v>1032</v>
      </c>
      <c r="O5749" s="47" t="s">
        <v>410</v>
      </c>
      <c r="P5749" s="14" t="s">
        <v>41</v>
      </c>
      <c r="Q5749" s="14">
        <v>0</v>
      </c>
      <c r="R5749" s="143">
        <v>1000012429</v>
      </c>
      <c r="S5749" s="47"/>
      <c r="T5749" s="6">
        <v>9444.5</v>
      </c>
      <c r="U5749" s="6"/>
      <c r="V5749" s="6">
        <v>0</v>
      </c>
      <c r="W5749" s="6">
        <f t="shared" si="892"/>
        <v>9444.5</v>
      </c>
      <c r="X5749" s="6">
        <f t="shared" si="891"/>
        <v>0</v>
      </c>
      <c r="Y5749" s="13">
        <f t="shared" si="896"/>
        <v>0</v>
      </c>
      <c r="Z5749" s="14">
        <v>0</v>
      </c>
      <c r="AA5749" s="6">
        <v>0</v>
      </c>
      <c r="AB5749" s="4">
        <f t="shared" si="897"/>
        <v>0</v>
      </c>
      <c r="AC5749" s="6">
        <f t="shared" si="893"/>
        <v>0</v>
      </c>
      <c r="AD5749" s="6">
        <f t="shared" si="894"/>
        <v>0</v>
      </c>
      <c r="AE5749" s="14">
        <f>VLOOKUP(I5749,[2]媒体政策预估表!A:N,MATCH(O5749,[2]媒体政策预估表!$A$2:$M$2,0),0)</f>
        <v>7.0000000000000007E-2</v>
      </c>
      <c r="AF5749" s="6">
        <f t="shared" si="899"/>
        <v>0</v>
      </c>
      <c r="AG5749" s="14">
        <v>0</v>
      </c>
      <c r="AH5749" s="64">
        <f t="shared" si="895"/>
        <v>0</v>
      </c>
      <c r="AI5749" s="47"/>
      <c r="AJ5749" s="126" t="e">
        <v>#N/A</v>
      </c>
      <c r="AK5749" s="80">
        <f t="shared" si="898"/>
        <v>0</v>
      </c>
      <c r="AL5749" s="85"/>
      <c r="AM5749" s="85"/>
    </row>
    <row r="5750" spans="1:39" s="86" customFormat="1" ht="13.25" hidden="1" customHeight="1" x14ac:dyDescent="0.3">
      <c r="A5750" s="89" t="s">
        <v>3792</v>
      </c>
      <c r="B5750" s="86" t="s">
        <v>41</v>
      </c>
      <c r="C5750" s="86" t="s">
        <v>41</v>
      </c>
      <c r="D5750" s="86" t="s">
        <v>41</v>
      </c>
      <c r="E5750" s="86" t="s">
        <v>1033</v>
      </c>
      <c r="F5750" s="86" t="s">
        <v>1033</v>
      </c>
      <c r="G5750" s="86" t="s">
        <v>1033</v>
      </c>
      <c r="H5750" s="143">
        <v>62</v>
      </c>
      <c r="I5750" s="86" t="s">
        <v>408</v>
      </c>
      <c r="J5750" s="1" t="s">
        <v>3324</v>
      </c>
      <c r="K5750" s="1" t="s">
        <v>3278</v>
      </c>
      <c r="L5750" s="1" t="s">
        <v>35</v>
      </c>
      <c r="M5750" s="86" t="s">
        <v>1034</v>
      </c>
      <c r="O5750" s="47" t="s">
        <v>410</v>
      </c>
      <c r="P5750" s="14" t="s">
        <v>41</v>
      </c>
      <c r="Q5750" s="14">
        <v>0</v>
      </c>
      <c r="R5750" s="143">
        <v>1000009194</v>
      </c>
      <c r="S5750" s="47"/>
      <c r="T5750" s="6">
        <v>2383.9499999999998</v>
      </c>
      <c r="U5750" s="6"/>
      <c r="V5750" s="6">
        <v>0</v>
      </c>
      <c r="W5750" s="6">
        <f t="shared" si="892"/>
        <v>2383.9499999999998</v>
      </c>
      <c r="X5750" s="6">
        <f t="shared" si="891"/>
        <v>0</v>
      </c>
      <c r="Y5750" s="13">
        <f t="shared" si="896"/>
        <v>0</v>
      </c>
      <c r="Z5750" s="14">
        <v>0</v>
      </c>
      <c r="AA5750" s="6">
        <v>0</v>
      </c>
      <c r="AB5750" s="4">
        <f t="shared" si="897"/>
        <v>0</v>
      </c>
      <c r="AC5750" s="6">
        <f t="shared" si="893"/>
        <v>0</v>
      </c>
      <c r="AD5750" s="6">
        <f t="shared" si="894"/>
        <v>0</v>
      </c>
      <c r="AE5750" s="14">
        <f>VLOOKUP(I5750,[2]媒体政策预估表!A:N,MATCH(O5750,[2]媒体政策预估表!$A$2:$M$2,0),0)</f>
        <v>7.0000000000000007E-2</v>
      </c>
      <c r="AF5750" s="6">
        <f t="shared" si="899"/>
        <v>0</v>
      </c>
      <c r="AG5750" s="14">
        <v>0</v>
      </c>
      <c r="AH5750" s="64">
        <f t="shared" si="895"/>
        <v>0</v>
      </c>
      <c r="AI5750" s="47"/>
      <c r="AJ5750" s="126" t="e">
        <v>#N/A</v>
      </c>
      <c r="AK5750" s="80">
        <f t="shared" si="898"/>
        <v>0</v>
      </c>
      <c r="AL5750" s="85"/>
      <c r="AM5750" s="85"/>
    </row>
    <row r="5751" spans="1:39" s="86" customFormat="1" ht="13.25" hidden="1" customHeight="1" x14ac:dyDescent="0.3">
      <c r="A5751" s="89" t="s">
        <v>3794</v>
      </c>
      <c r="B5751" s="86" t="s">
        <v>41</v>
      </c>
      <c r="C5751" s="86" t="s">
        <v>41</v>
      </c>
      <c r="D5751" s="86" t="s">
        <v>41</v>
      </c>
      <c r="E5751" s="86" t="s">
        <v>1035</v>
      </c>
      <c r="F5751" s="86" t="s">
        <v>1035</v>
      </c>
      <c r="G5751" s="86" t="s">
        <v>1036</v>
      </c>
      <c r="H5751" s="143">
        <v>62</v>
      </c>
      <c r="I5751" s="86" t="s">
        <v>408</v>
      </c>
      <c r="J5751" s="1" t="s">
        <v>3324</v>
      </c>
      <c r="K5751" s="1" t="s">
        <v>3278</v>
      </c>
      <c r="L5751" s="1" t="s">
        <v>35</v>
      </c>
      <c r="M5751" s="86" t="s">
        <v>1037</v>
      </c>
      <c r="O5751" s="47" t="s">
        <v>410</v>
      </c>
      <c r="P5751" s="14" t="s">
        <v>41</v>
      </c>
      <c r="Q5751" s="14">
        <v>0</v>
      </c>
      <c r="R5751" s="143">
        <v>1000001313</v>
      </c>
      <c r="S5751" s="47"/>
      <c r="T5751" s="6">
        <v>5768.6</v>
      </c>
      <c r="U5751" s="6"/>
      <c r="V5751" s="6">
        <v>0</v>
      </c>
      <c r="W5751" s="6">
        <f t="shared" si="892"/>
        <v>5768.6</v>
      </c>
      <c r="X5751" s="6">
        <f t="shared" si="891"/>
        <v>0</v>
      </c>
      <c r="Y5751" s="13">
        <f t="shared" si="896"/>
        <v>0</v>
      </c>
      <c r="Z5751" s="14">
        <v>0</v>
      </c>
      <c r="AA5751" s="6">
        <v>0</v>
      </c>
      <c r="AB5751" s="4">
        <f t="shared" si="897"/>
        <v>0</v>
      </c>
      <c r="AC5751" s="6">
        <f t="shared" si="893"/>
        <v>0</v>
      </c>
      <c r="AD5751" s="6">
        <f t="shared" si="894"/>
        <v>0</v>
      </c>
      <c r="AE5751" s="14">
        <f>VLOOKUP(I5751,[2]媒体政策预估表!A:N,MATCH(O5751,[2]媒体政策预估表!$A$2:$M$2,0),0)</f>
        <v>7.0000000000000007E-2</v>
      </c>
      <c r="AF5751" s="6">
        <f t="shared" si="899"/>
        <v>0</v>
      </c>
      <c r="AG5751" s="14">
        <v>0</v>
      </c>
      <c r="AH5751" s="64">
        <f t="shared" si="895"/>
        <v>0</v>
      </c>
      <c r="AI5751" s="47"/>
      <c r="AJ5751" s="126" t="e">
        <v>#N/A</v>
      </c>
      <c r="AK5751" s="80">
        <f t="shared" si="898"/>
        <v>0</v>
      </c>
      <c r="AL5751" s="85"/>
      <c r="AM5751" s="85"/>
    </row>
    <row r="5752" spans="1:39" s="86" customFormat="1" ht="13.25" hidden="1" customHeight="1" x14ac:dyDescent="0.3">
      <c r="A5752" s="89" t="s">
        <v>3806</v>
      </c>
      <c r="B5752" s="86" t="s">
        <v>41</v>
      </c>
      <c r="C5752" s="86" t="s">
        <v>41</v>
      </c>
      <c r="D5752" s="86" t="s">
        <v>41</v>
      </c>
      <c r="E5752" s="86" t="s">
        <v>1038</v>
      </c>
      <c r="F5752" s="86" t="s">
        <v>1038</v>
      </c>
      <c r="G5752" s="86" t="s">
        <v>1038</v>
      </c>
      <c r="H5752" s="143">
        <v>62</v>
      </c>
      <c r="I5752" s="86" t="s">
        <v>408</v>
      </c>
      <c r="J5752" s="1" t="s">
        <v>3324</v>
      </c>
      <c r="K5752" s="1" t="s">
        <v>3278</v>
      </c>
      <c r="L5752" s="1" t="s">
        <v>35</v>
      </c>
      <c r="M5752" s="86" t="s">
        <v>1039</v>
      </c>
      <c r="O5752" s="47" t="s">
        <v>410</v>
      </c>
      <c r="P5752" s="14" t="s">
        <v>41</v>
      </c>
      <c r="Q5752" s="14">
        <v>0</v>
      </c>
      <c r="R5752" s="143">
        <v>1000008364</v>
      </c>
      <c r="S5752" s="47"/>
      <c r="T5752" s="6">
        <v>6206</v>
      </c>
      <c r="U5752" s="6"/>
      <c r="V5752" s="6">
        <v>0</v>
      </c>
      <c r="W5752" s="6">
        <f t="shared" si="892"/>
        <v>6206</v>
      </c>
      <c r="X5752" s="6">
        <f t="shared" si="891"/>
        <v>0</v>
      </c>
      <c r="Y5752" s="13">
        <f t="shared" si="896"/>
        <v>0</v>
      </c>
      <c r="Z5752" s="14">
        <v>0</v>
      </c>
      <c r="AA5752" s="6">
        <v>0</v>
      </c>
      <c r="AB5752" s="4">
        <f t="shared" si="897"/>
        <v>0</v>
      </c>
      <c r="AC5752" s="6">
        <f t="shared" si="893"/>
        <v>0</v>
      </c>
      <c r="AD5752" s="6">
        <f t="shared" si="894"/>
        <v>0</v>
      </c>
      <c r="AE5752" s="14">
        <f>VLOOKUP(I5752,[2]媒体政策预估表!A:N,MATCH(O5752,[2]媒体政策预估表!$A$2:$M$2,0),0)</f>
        <v>7.0000000000000007E-2</v>
      </c>
      <c r="AF5752" s="6">
        <f t="shared" si="899"/>
        <v>0</v>
      </c>
      <c r="AG5752" s="14">
        <v>0</v>
      </c>
      <c r="AH5752" s="64">
        <f t="shared" si="895"/>
        <v>0</v>
      </c>
      <c r="AI5752" s="47"/>
      <c r="AJ5752" s="126" t="e">
        <v>#N/A</v>
      </c>
      <c r="AK5752" s="80">
        <f t="shared" si="898"/>
        <v>0</v>
      </c>
      <c r="AL5752" s="85"/>
      <c r="AM5752" s="85"/>
    </row>
    <row r="5753" spans="1:39" s="86" customFormat="1" ht="13.25" hidden="1" customHeight="1" x14ac:dyDescent="0.3">
      <c r="A5753" s="89" t="s">
        <v>3794</v>
      </c>
      <c r="B5753" s="86" t="s">
        <v>41</v>
      </c>
      <c r="C5753" s="86" t="s">
        <v>41</v>
      </c>
      <c r="D5753" s="86" t="s">
        <v>41</v>
      </c>
      <c r="E5753" s="86" t="s">
        <v>41</v>
      </c>
      <c r="F5753" s="86" t="s">
        <v>41</v>
      </c>
      <c r="G5753" s="86" t="s">
        <v>41</v>
      </c>
      <c r="H5753" s="143">
        <v>62</v>
      </c>
      <c r="I5753" s="86" t="s">
        <v>408</v>
      </c>
      <c r="J5753" s="1" t="s">
        <v>3324</v>
      </c>
      <c r="K5753" s="1" t="s">
        <v>3278</v>
      </c>
      <c r="L5753" s="1" t="s">
        <v>35</v>
      </c>
      <c r="M5753" s="86" t="s">
        <v>1040</v>
      </c>
      <c r="O5753" s="47" t="s">
        <v>410</v>
      </c>
      <c r="P5753" s="14" t="s">
        <v>41</v>
      </c>
      <c r="Q5753" s="14">
        <v>0</v>
      </c>
      <c r="R5753" s="143">
        <v>1000003181</v>
      </c>
      <c r="S5753" s="47"/>
      <c r="T5753" s="6">
        <v>46724.05</v>
      </c>
      <c r="U5753" s="6"/>
      <c r="V5753" s="6">
        <v>0</v>
      </c>
      <c r="W5753" s="6">
        <f t="shared" si="892"/>
        <v>46724.05</v>
      </c>
      <c r="X5753" s="6">
        <f t="shared" si="891"/>
        <v>0</v>
      </c>
      <c r="Y5753" s="13">
        <f t="shared" si="896"/>
        <v>0</v>
      </c>
      <c r="Z5753" s="14">
        <v>0</v>
      </c>
      <c r="AA5753" s="6">
        <v>0</v>
      </c>
      <c r="AB5753" s="4">
        <f t="shared" si="897"/>
        <v>0</v>
      </c>
      <c r="AC5753" s="6">
        <f t="shared" si="893"/>
        <v>0</v>
      </c>
      <c r="AD5753" s="6">
        <f t="shared" si="894"/>
        <v>0</v>
      </c>
      <c r="AE5753" s="14">
        <f>VLOOKUP(I5753,[2]媒体政策预估表!A:N,MATCH(O5753,[2]媒体政策预估表!$A$2:$M$2,0),0)</f>
        <v>7.0000000000000007E-2</v>
      </c>
      <c r="AF5753" s="6">
        <f t="shared" si="899"/>
        <v>0</v>
      </c>
      <c r="AG5753" s="14">
        <v>0</v>
      </c>
      <c r="AH5753" s="64">
        <f t="shared" si="895"/>
        <v>0</v>
      </c>
      <c r="AI5753" s="47"/>
      <c r="AJ5753" s="126" t="e">
        <v>#N/A</v>
      </c>
      <c r="AK5753" s="80">
        <f t="shared" si="898"/>
        <v>0</v>
      </c>
      <c r="AL5753" s="85"/>
      <c r="AM5753" s="85"/>
    </row>
    <row r="5754" spans="1:39" s="86" customFormat="1" ht="13.25" hidden="1" customHeight="1" x14ac:dyDescent="0.3">
      <c r="A5754" s="89" t="s">
        <v>3794</v>
      </c>
      <c r="B5754" s="86" t="s">
        <v>41</v>
      </c>
      <c r="C5754" s="86" t="s">
        <v>41</v>
      </c>
      <c r="D5754" s="86" t="s">
        <v>41</v>
      </c>
      <c r="E5754" s="86" t="s">
        <v>41</v>
      </c>
      <c r="F5754" s="86" t="s">
        <v>41</v>
      </c>
      <c r="G5754" s="86" t="s">
        <v>41</v>
      </c>
      <c r="H5754" s="143">
        <v>62</v>
      </c>
      <c r="I5754" s="86" t="s">
        <v>408</v>
      </c>
      <c r="J5754" s="1" t="s">
        <v>3324</v>
      </c>
      <c r="K5754" s="1" t="s">
        <v>3278</v>
      </c>
      <c r="L5754" s="1" t="s">
        <v>35</v>
      </c>
      <c r="M5754" s="86" t="s">
        <v>1041</v>
      </c>
      <c r="O5754" s="47" t="s">
        <v>410</v>
      </c>
      <c r="P5754" s="14" t="s">
        <v>41</v>
      </c>
      <c r="Q5754" s="14">
        <v>0</v>
      </c>
      <c r="R5754" s="143">
        <v>1000003841</v>
      </c>
      <c r="S5754" s="47"/>
      <c r="T5754" s="6">
        <v>59848.4</v>
      </c>
      <c r="U5754" s="6"/>
      <c r="V5754" s="6">
        <v>0</v>
      </c>
      <c r="W5754" s="6">
        <f t="shared" si="892"/>
        <v>59848.4</v>
      </c>
      <c r="X5754" s="6">
        <f t="shared" si="891"/>
        <v>0</v>
      </c>
      <c r="Y5754" s="13">
        <f t="shared" si="896"/>
        <v>0</v>
      </c>
      <c r="Z5754" s="14">
        <v>0</v>
      </c>
      <c r="AA5754" s="6">
        <v>0</v>
      </c>
      <c r="AB5754" s="4">
        <f t="shared" si="897"/>
        <v>0</v>
      </c>
      <c r="AC5754" s="6">
        <f t="shared" si="893"/>
        <v>0</v>
      </c>
      <c r="AD5754" s="6">
        <f t="shared" si="894"/>
        <v>0</v>
      </c>
      <c r="AE5754" s="14">
        <f>VLOOKUP(I5754,[2]媒体政策预估表!A:N,MATCH(O5754,[2]媒体政策预估表!$A$2:$M$2,0),0)</f>
        <v>7.0000000000000007E-2</v>
      </c>
      <c r="AF5754" s="6">
        <f t="shared" si="899"/>
        <v>0</v>
      </c>
      <c r="AG5754" s="14">
        <v>0</v>
      </c>
      <c r="AH5754" s="64">
        <f t="shared" si="895"/>
        <v>0</v>
      </c>
      <c r="AI5754" s="47"/>
      <c r="AJ5754" s="126" t="e">
        <v>#N/A</v>
      </c>
      <c r="AK5754" s="80">
        <f t="shared" si="898"/>
        <v>0</v>
      </c>
      <c r="AL5754" s="85"/>
      <c r="AM5754" s="85"/>
    </row>
    <row r="5755" spans="1:39" s="86" customFormat="1" ht="13.25" hidden="1" customHeight="1" x14ac:dyDescent="0.3">
      <c r="A5755" s="89" t="s">
        <v>3806</v>
      </c>
      <c r="B5755" s="86" t="s">
        <v>41</v>
      </c>
      <c r="C5755" s="86" t="s">
        <v>41</v>
      </c>
      <c r="D5755" s="86" t="s">
        <v>41</v>
      </c>
      <c r="E5755" s="86" t="s">
        <v>41</v>
      </c>
      <c r="F5755" s="86" t="s">
        <v>41</v>
      </c>
      <c r="G5755" s="86" t="s">
        <v>41</v>
      </c>
      <c r="H5755" s="143">
        <v>62</v>
      </c>
      <c r="I5755" s="86" t="s">
        <v>408</v>
      </c>
      <c r="J5755" s="1" t="s">
        <v>3324</v>
      </c>
      <c r="K5755" s="1" t="s">
        <v>3278</v>
      </c>
      <c r="L5755" s="1" t="s">
        <v>35</v>
      </c>
      <c r="M5755" s="86" t="s">
        <v>1042</v>
      </c>
      <c r="O5755" s="47" t="s">
        <v>410</v>
      </c>
      <c r="P5755" s="14" t="s">
        <v>41</v>
      </c>
      <c r="Q5755" s="14">
        <v>0</v>
      </c>
      <c r="R5755" s="143">
        <v>1000003166</v>
      </c>
      <c r="S5755" s="47"/>
      <c r="T5755" s="6">
        <v>200</v>
      </c>
      <c r="U5755" s="6"/>
      <c r="V5755" s="6">
        <v>0</v>
      </c>
      <c r="W5755" s="6">
        <f t="shared" si="892"/>
        <v>200</v>
      </c>
      <c r="X5755" s="6">
        <f t="shared" si="891"/>
        <v>0</v>
      </c>
      <c r="Y5755" s="13">
        <f t="shared" si="896"/>
        <v>0</v>
      </c>
      <c r="Z5755" s="14">
        <v>0</v>
      </c>
      <c r="AA5755" s="6">
        <v>0</v>
      </c>
      <c r="AB5755" s="4">
        <f t="shared" si="897"/>
        <v>0</v>
      </c>
      <c r="AC5755" s="6">
        <f t="shared" si="893"/>
        <v>0</v>
      </c>
      <c r="AD5755" s="6">
        <f t="shared" si="894"/>
        <v>0</v>
      </c>
      <c r="AE5755" s="14">
        <f>VLOOKUP(I5755,[2]媒体政策预估表!A:N,MATCH(O5755,[2]媒体政策预估表!$A$2:$M$2,0),0)</f>
        <v>7.0000000000000007E-2</v>
      </c>
      <c r="AF5755" s="6">
        <f t="shared" si="899"/>
        <v>0</v>
      </c>
      <c r="AG5755" s="14">
        <v>0</v>
      </c>
      <c r="AH5755" s="64">
        <f t="shared" si="895"/>
        <v>0</v>
      </c>
      <c r="AI5755" s="47"/>
      <c r="AJ5755" s="126" t="e">
        <v>#N/A</v>
      </c>
      <c r="AK5755" s="80">
        <f t="shared" si="898"/>
        <v>0</v>
      </c>
      <c r="AL5755" s="85"/>
      <c r="AM5755" s="85"/>
    </row>
    <row r="5756" spans="1:39" s="86" customFormat="1" ht="13.25" hidden="1" customHeight="1" x14ac:dyDescent="0.3">
      <c r="A5756" s="89" t="s">
        <v>3794</v>
      </c>
      <c r="B5756" s="86" t="s">
        <v>41</v>
      </c>
      <c r="C5756" s="86" t="s">
        <v>41</v>
      </c>
      <c r="D5756" s="86" t="s">
        <v>41</v>
      </c>
      <c r="E5756" s="86" t="s">
        <v>41</v>
      </c>
      <c r="F5756" s="86" t="s">
        <v>41</v>
      </c>
      <c r="G5756" s="86" t="s">
        <v>41</v>
      </c>
      <c r="H5756" s="143">
        <v>62</v>
      </c>
      <c r="I5756" s="86" t="s">
        <v>408</v>
      </c>
      <c r="J5756" s="1" t="s">
        <v>3324</v>
      </c>
      <c r="K5756" s="1" t="s">
        <v>3278</v>
      </c>
      <c r="L5756" s="1" t="s">
        <v>35</v>
      </c>
      <c r="M5756" s="86" t="s">
        <v>1043</v>
      </c>
      <c r="O5756" s="47" t="s">
        <v>410</v>
      </c>
      <c r="P5756" s="14" t="s">
        <v>41</v>
      </c>
      <c r="Q5756" s="14">
        <v>0</v>
      </c>
      <c r="R5756" s="143">
        <v>1000002454</v>
      </c>
      <c r="S5756" s="47"/>
      <c r="T5756" s="6">
        <v>9963.2999999999993</v>
      </c>
      <c r="U5756" s="6"/>
      <c r="V5756" s="6">
        <v>0</v>
      </c>
      <c r="W5756" s="6">
        <f t="shared" si="892"/>
        <v>9963.2999999999993</v>
      </c>
      <c r="X5756" s="6">
        <f t="shared" si="891"/>
        <v>0</v>
      </c>
      <c r="Y5756" s="13">
        <f t="shared" si="896"/>
        <v>0</v>
      </c>
      <c r="Z5756" s="14">
        <v>0</v>
      </c>
      <c r="AA5756" s="6">
        <v>0</v>
      </c>
      <c r="AB5756" s="4">
        <f t="shared" si="897"/>
        <v>0</v>
      </c>
      <c r="AC5756" s="6">
        <f t="shared" si="893"/>
        <v>0</v>
      </c>
      <c r="AD5756" s="6">
        <f t="shared" si="894"/>
        <v>0</v>
      </c>
      <c r="AE5756" s="14">
        <f>VLOOKUP(I5756,[2]媒体政策预估表!A:N,MATCH(O5756,[2]媒体政策预估表!$A$2:$M$2,0),0)</f>
        <v>7.0000000000000007E-2</v>
      </c>
      <c r="AF5756" s="6">
        <f t="shared" si="899"/>
        <v>0</v>
      </c>
      <c r="AG5756" s="14">
        <v>0</v>
      </c>
      <c r="AH5756" s="64">
        <f t="shared" si="895"/>
        <v>0</v>
      </c>
      <c r="AI5756" s="47"/>
      <c r="AJ5756" s="126" t="e">
        <v>#N/A</v>
      </c>
      <c r="AK5756" s="80">
        <f t="shared" si="898"/>
        <v>0</v>
      </c>
      <c r="AL5756" s="85"/>
      <c r="AM5756" s="85"/>
    </row>
    <row r="5757" spans="1:39" s="86" customFormat="1" ht="13.25" hidden="1" customHeight="1" x14ac:dyDescent="0.3">
      <c r="A5757" s="89" t="s">
        <v>3792</v>
      </c>
      <c r="B5757" s="86" t="s">
        <v>41</v>
      </c>
      <c r="C5757" s="86" t="s">
        <v>41</v>
      </c>
      <c r="D5757" s="86" t="s">
        <v>41</v>
      </c>
      <c r="E5757" s="86" t="s">
        <v>41</v>
      </c>
      <c r="F5757" s="86" t="s">
        <v>41</v>
      </c>
      <c r="G5757" s="86" t="s">
        <v>41</v>
      </c>
      <c r="H5757" s="143">
        <v>62</v>
      </c>
      <c r="I5757" s="86" t="s">
        <v>408</v>
      </c>
      <c r="J5757" s="1" t="s">
        <v>3324</v>
      </c>
      <c r="K5757" s="1" t="s">
        <v>3278</v>
      </c>
      <c r="L5757" s="1" t="s">
        <v>35</v>
      </c>
      <c r="M5757" s="86" t="s">
        <v>1044</v>
      </c>
      <c r="O5757" s="47" t="s">
        <v>410</v>
      </c>
      <c r="P5757" s="14" t="s">
        <v>41</v>
      </c>
      <c r="Q5757" s="14">
        <v>0</v>
      </c>
      <c r="R5757" s="143">
        <v>1000001368</v>
      </c>
      <c r="S5757" s="47"/>
      <c r="T5757" s="6">
        <v>606.33000000000004</v>
      </c>
      <c r="U5757" s="6"/>
      <c r="V5757" s="6">
        <v>0</v>
      </c>
      <c r="W5757" s="6">
        <f t="shared" si="892"/>
        <v>606.33000000000004</v>
      </c>
      <c r="X5757" s="6">
        <f t="shared" ref="X5757:X5799" si="900">IF(P5757="折扣",V5757*Q5757,IF(P5757="返现",V5757,V5757/(1+Q5757)))</f>
        <v>0</v>
      </c>
      <c r="Y5757" s="13">
        <f t="shared" si="896"/>
        <v>0</v>
      </c>
      <c r="Z5757" s="14">
        <v>0</v>
      </c>
      <c r="AA5757" s="6">
        <v>0</v>
      </c>
      <c r="AB5757" s="4">
        <f t="shared" si="897"/>
        <v>0</v>
      </c>
      <c r="AC5757" s="6">
        <f t="shared" si="893"/>
        <v>0</v>
      </c>
      <c r="AD5757" s="6">
        <f t="shared" si="894"/>
        <v>0</v>
      </c>
      <c r="AE5757" s="14">
        <f>VLOOKUP(I5757,[2]媒体政策预估表!A:N,MATCH(O5757,[2]媒体政策预估表!$A$2:$M$2,0),0)</f>
        <v>7.0000000000000007E-2</v>
      </c>
      <c r="AF5757" s="6">
        <f t="shared" si="899"/>
        <v>0</v>
      </c>
      <c r="AG5757" s="14">
        <v>0</v>
      </c>
      <c r="AH5757" s="64">
        <f t="shared" si="895"/>
        <v>0</v>
      </c>
      <c r="AI5757" s="47"/>
      <c r="AJ5757" s="126" t="e">
        <v>#N/A</v>
      </c>
      <c r="AK5757" s="80">
        <f t="shared" si="898"/>
        <v>0</v>
      </c>
      <c r="AL5757" s="85"/>
      <c r="AM5757" s="85"/>
    </row>
    <row r="5758" spans="1:39" s="86" customFormat="1" ht="13.25" hidden="1" customHeight="1" x14ac:dyDescent="0.3">
      <c r="A5758" s="89" t="s">
        <v>3792</v>
      </c>
      <c r="B5758" s="86" t="s">
        <v>41</v>
      </c>
      <c r="C5758" s="86" t="s">
        <v>41</v>
      </c>
      <c r="D5758" s="86" t="s">
        <v>41</v>
      </c>
      <c r="E5758" s="86" t="s">
        <v>41</v>
      </c>
      <c r="F5758" s="86" t="s">
        <v>41</v>
      </c>
      <c r="G5758" s="86" t="s">
        <v>41</v>
      </c>
      <c r="H5758" s="143">
        <v>62</v>
      </c>
      <c r="I5758" s="86" t="s">
        <v>408</v>
      </c>
      <c r="J5758" s="1" t="s">
        <v>3324</v>
      </c>
      <c r="K5758" s="1" t="s">
        <v>3278</v>
      </c>
      <c r="L5758" s="1" t="s">
        <v>35</v>
      </c>
      <c r="M5758" s="86" t="s">
        <v>1045</v>
      </c>
      <c r="O5758" s="47" t="s">
        <v>410</v>
      </c>
      <c r="P5758" s="14" t="s">
        <v>41</v>
      </c>
      <c r="Q5758" s="14">
        <v>0</v>
      </c>
      <c r="R5758" s="143">
        <v>1000003147</v>
      </c>
      <c r="S5758" s="47"/>
      <c r="T5758" s="6">
        <v>9884.1</v>
      </c>
      <c r="U5758" s="6"/>
      <c r="V5758" s="6">
        <v>0</v>
      </c>
      <c r="W5758" s="6">
        <f t="shared" ref="W5758:W5799" si="901">T5758+U5758-V5758</f>
        <v>9884.1</v>
      </c>
      <c r="X5758" s="6">
        <f t="shared" si="900"/>
        <v>0</v>
      </c>
      <c r="Y5758" s="13">
        <f t="shared" si="896"/>
        <v>0</v>
      </c>
      <c r="Z5758" s="14">
        <v>0</v>
      </c>
      <c r="AA5758" s="6">
        <v>0</v>
      </c>
      <c r="AB5758" s="4">
        <f t="shared" si="897"/>
        <v>0</v>
      </c>
      <c r="AC5758" s="6">
        <f t="shared" ref="AC5758:AC5821" si="902">IF(P5758="返现",X5758*Q5758,V5758-X5758)</f>
        <v>0</v>
      </c>
      <c r="AD5758" s="6">
        <f t="shared" ref="AD5758:AD5799" si="903">V5758</f>
        <v>0</v>
      </c>
      <c r="AE5758" s="14">
        <f>VLOOKUP(I5758,[2]媒体政策预估表!A:N,MATCH(O5758,[2]媒体政策预估表!$A$2:$M$2,0),0)</f>
        <v>7.0000000000000007E-2</v>
      </c>
      <c r="AF5758" s="6">
        <f t="shared" si="899"/>
        <v>0</v>
      </c>
      <c r="AG5758" s="14">
        <v>0</v>
      </c>
      <c r="AH5758" s="64">
        <f t="shared" ref="AH5758:AH5799" si="904">V5758</f>
        <v>0</v>
      </c>
      <c r="AI5758" s="47"/>
      <c r="AJ5758" s="126" t="e">
        <v>#N/A</v>
      </c>
      <c r="AK5758" s="80">
        <f t="shared" si="898"/>
        <v>0</v>
      </c>
      <c r="AL5758" s="85"/>
      <c r="AM5758" s="85"/>
    </row>
    <row r="5759" spans="1:39" s="86" customFormat="1" ht="13.25" hidden="1" customHeight="1" x14ac:dyDescent="0.3">
      <c r="A5759" s="89" t="s">
        <v>3806</v>
      </c>
      <c r="B5759" s="86" t="s">
        <v>41</v>
      </c>
      <c r="C5759" s="86" t="s">
        <v>41</v>
      </c>
      <c r="D5759" s="86" t="s">
        <v>41</v>
      </c>
      <c r="E5759" s="86" t="s">
        <v>41</v>
      </c>
      <c r="F5759" s="86" t="s">
        <v>41</v>
      </c>
      <c r="G5759" s="86" t="s">
        <v>41</v>
      </c>
      <c r="H5759" s="143">
        <v>62</v>
      </c>
      <c r="I5759" s="86" t="s">
        <v>408</v>
      </c>
      <c r="J5759" s="1" t="s">
        <v>3324</v>
      </c>
      <c r="K5759" s="1" t="s">
        <v>3278</v>
      </c>
      <c r="L5759" s="1" t="s">
        <v>35</v>
      </c>
      <c r="M5759" s="86" t="s">
        <v>1046</v>
      </c>
      <c r="O5759" s="47" t="s">
        <v>410</v>
      </c>
      <c r="P5759" s="14" t="s">
        <v>41</v>
      </c>
      <c r="Q5759" s="14">
        <v>0</v>
      </c>
      <c r="R5759" s="143">
        <v>1000002128</v>
      </c>
      <c r="S5759" s="47"/>
      <c r="T5759" s="6">
        <v>2791.4</v>
      </c>
      <c r="U5759" s="6"/>
      <c r="V5759" s="6">
        <v>0</v>
      </c>
      <c r="W5759" s="6">
        <f t="shared" si="901"/>
        <v>2791.4</v>
      </c>
      <c r="X5759" s="6">
        <f t="shared" si="900"/>
        <v>0</v>
      </c>
      <c r="Y5759" s="13">
        <f t="shared" si="896"/>
        <v>0</v>
      </c>
      <c r="Z5759" s="14">
        <v>0</v>
      </c>
      <c r="AA5759" s="6">
        <v>0</v>
      </c>
      <c r="AB5759" s="4">
        <f t="shared" si="897"/>
        <v>0</v>
      </c>
      <c r="AC5759" s="6">
        <f t="shared" si="902"/>
        <v>0</v>
      </c>
      <c r="AD5759" s="6">
        <f t="shared" si="903"/>
        <v>0</v>
      </c>
      <c r="AE5759" s="14">
        <f>VLOOKUP(I5759,[2]媒体政策预估表!A:N,MATCH(O5759,[2]媒体政策预估表!$A$2:$M$2,0),0)</f>
        <v>7.0000000000000007E-2</v>
      </c>
      <c r="AF5759" s="6">
        <f t="shared" si="899"/>
        <v>0</v>
      </c>
      <c r="AG5759" s="14">
        <v>0</v>
      </c>
      <c r="AH5759" s="64">
        <f t="shared" si="904"/>
        <v>0</v>
      </c>
      <c r="AI5759" s="47"/>
      <c r="AJ5759" s="126" t="e">
        <v>#N/A</v>
      </c>
      <c r="AK5759" s="80">
        <f t="shared" si="898"/>
        <v>0</v>
      </c>
      <c r="AL5759" s="85"/>
      <c r="AM5759" s="85"/>
    </row>
    <row r="5760" spans="1:39" s="86" customFormat="1" ht="13.25" hidden="1" customHeight="1" x14ac:dyDescent="0.3">
      <c r="A5760" s="89" t="s">
        <v>3806</v>
      </c>
      <c r="B5760" s="86" t="s">
        <v>41</v>
      </c>
      <c r="C5760" s="86" t="s">
        <v>41</v>
      </c>
      <c r="D5760" s="86" t="s">
        <v>41</v>
      </c>
      <c r="E5760" s="86" t="s">
        <v>41</v>
      </c>
      <c r="F5760" s="86" t="s">
        <v>41</v>
      </c>
      <c r="G5760" s="86" t="s">
        <v>41</v>
      </c>
      <c r="H5760" s="143">
        <v>62</v>
      </c>
      <c r="I5760" s="86" t="s">
        <v>408</v>
      </c>
      <c r="J5760" s="1" t="s">
        <v>3324</v>
      </c>
      <c r="K5760" s="1" t="s">
        <v>3278</v>
      </c>
      <c r="L5760" s="1" t="s">
        <v>35</v>
      </c>
      <c r="M5760" s="86" t="s">
        <v>1047</v>
      </c>
      <c r="O5760" s="47" t="s">
        <v>410</v>
      </c>
      <c r="P5760" s="14" t="s">
        <v>41</v>
      </c>
      <c r="Q5760" s="14">
        <v>0</v>
      </c>
      <c r="R5760" s="143">
        <v>1000011844</v>
      </c>
      <c r="S5760" s="47"/>
      <c r="T5760" s="6">
        <v>237.5</v>
      </c>
      <c r="U5760" s="6"/>
      <c r="V5760" s="6">
        <v>0</v>
      </c>
      <c r="W5760" s="6">
        <f t="shared" si="901"/>
        <v>237.5</v>
      </c>
      <c r="X5760" s="6">
        <f t="shared" si="900"/>
        <v>0</v>
      </c>
      <c r="Y5760" s="13">
        <f t="shared" si="896"/>
        <v>0</v>
      </c>
      <c r="Z5760" s="14">
        <v>0</v>
      </c>
      <c r="AA5760" s="6">
        <v>0</v>
      </c>
      <c r="AB5760" s="4">
        <f t="shared" si="897"/>
        <v>0</v>
      </c>
      <c r="AC5760" s="6">
        <f t="shared" si="902"/>
        <v>0</v>
      </c>
      <c r="AD5760" s="6">
        <f t="shared" si="903"/>
        <v>0</v>
      </c>
      <c r="AE5760" s="14">
        <f>VLOOKUP(I5760,[2]媒体政策预估表!A:N,MATCH(O5760,[2]媒体政策预估表!$A$2:$M$2,0),0)</f>
        <v>7.0000000000000007E-2</v>
      </c>
      <c r="AF5760" s="6">
        <f t="shared" si="899"/>
        <v>0</v>
      </c>
      <c r="AG5760" s="14">
        <v>0</v>
      </c>
      <c r="AH5760" s="64">
        <f t="shared" si="904"/>
        <v>0</v>
      </c>
      <c r="AI5760" s="47"/>
      <c r="AJ5760" s="126" t="e">
        <v>#N/A</v>
      </c>
      <c r="AK5760" s="80">
        <f t="shared" si="898"/>
        <v>0</v>
      </c>
      <c r="AL5760" s="85"/>
      <c r="AM5760" s="85"/>
    </row>
    <row r="5761" spans="1:39" s="86" customFormat="1" ht="13.25" hidden="1" customHeight="1" x14ac:dyDescent="0.3">
      <c r="A5761" s="89" t="s">
        <v>3794</v>
      </c>
      <c r="B5761" s="86" t="s">
        <v>41</v>
      </c>
      <c r="C5761" s="86" t="s">
        <v>41</v>
      </c>
      <c r="D5761" s="86" t="s">
        <v>41</v>
      </c>
      <c r="E5761" s="86" t="s">
        <v>41</v>
      </c>
      <c r="F5761" s="86" t="s">
        <v>41</v>
      </c>
      <c r="G5761" s="86" t="s">
        <v>41</v>
      </c>
      <c r="H5761" s="143">
        <v>62</v>
      </c>
      <c r="I5761" s="86" t="s">
        <v>408</v>
      </c>
      <c r="J5761" s="1" t="s">
        <v>3324</v>
      </c>
      <c r="K5761" s="1" t="s">
        <v>3278</v>
      </c>
      <c r="L5761" s="1" t="s">
        <v>35</v>
      </c>
      <c r="M5761" s="86" t="s">
        <v>1048</v>
      </c>
      <c r="O5761" s="47" t="s">
        <v>410</v>
      </c>
      <c r="P5761" s="14" t="s">
        <v>41</v>
      </c>
      <c r="Q5761" s="14">
        <v>0</v>
      </c>
      <c r="R5761" s="143">
        <v>1000004926</v>
      </c>
      <c r="S5761" s="47"/>
      <c r="T5761" s="6">
        <v>8891.23</v>
      </c>
      <c r="U5761" s="6"/>
      <c r="V5761" s="6">
        <v>0</v>
      </c>
      <c r="W5761" s="6">
        <f t="shared" si="901"/>
        <v>8891.23</v>
      </c>
      <c r="X5761" s="6">
        <f t="shared" si="900"/>
        <v>0</v>
      </c>
      <c r="Y5761" s="13">
        <f t="shared" si="896"/>
        <v>0</v>
      </c>
      <c r="Z5761" s="14">
        <v>0</v>
      </c>
      <c r="AA5761" s="6">
        <v>0</v>
      </c>
      <c r="AB5761" s="4">
        <f t="shared" si="897"/>
        <v>0</v>
      </c>
      <c r="AC5761" s="6">
        <f t="shared" si="902"/>
        <v>0</v>
      </c>
      <c r="AD5761" s="6">
        <f t="shared" si="903"/>
        <v>0</v>
      </c>
      <c r="AE5761" s="14">
        <f>VLOOKUP(I5761,[2]媒体政策预估表!A:N,MATCH(O5761,[2]媒体政策预估表!$A$2:$M$2,0),0)</f>
        <v>7.0000000000000007E-2</v>
      </c>
      <c r="AF5761" s="6">
        <f t="shared" si="899"/>
        <v>0</v>
      </c>
      <c r="AG5761" s="14">
        <v>0</v>
      </c>
      <c r="AH5761" s="64">
        <f t="shared" si="904"/>
        <v>0</v>
      </c>
      <c r="AI5761" s="47"/>
      <c r="AJ5761" s="126" t="e">
        <v>#N/A</v>
      </c>
      <c r="AK5761" s="80">
        <f t="shared" si="898"/>
        <v>0</v>
      </c>
      <c r="AL5761" s="85"/>
      <c r="AM5761" s="85"/>
    </row>
    <row r="5762" spans="1:39" s="86" customFormat="1" ht="13.25" hidden="1" customHeight="1" x14ac:dyDescent="0.3">
      <c r="A5762" s="89" t="s">
        <v>3806</v>
      </c>
      <c r="B5762" s="86" t="s">
        <v>41</v>
      </c>
      <c r="C5762" s="86" t="s">
        <v>41</v>
      </c>
      <c r="D5762" s="86" t="s">
        <v>41</v>
      </c>
      <c r="E5762" s="86" t="s">
        <v>41</v>
      </c>
      <c r="F5762" s="86" t="s">
        <v>41</v>
      </c>
      <c r="G5762" s="86" t="s">
        <v>41</v>
      </c>
      <c r="H5762" s="143">
        <v>62</v>
      </c>
      <c r="I5762" s="86" t="s">
        <v>408</v>
      </c>
      <c r="J5762" s="1" t="s">
        <v>3324</v>
      </c>
      <c r="K5762" s="1" t="s">
        <v>3278</v>
      </c>
      <c r="L5762" s="1" t="s">
        <v>35</v>
      </c>
      <c r="M5762" s="86" t="s">
        <v>1049</v>
      </c>
      <c r="O5762" s="47" t="s">
        <v>410</v>
      </c>
      <c r="P5762" s="14" t="s">
        <v>41</v>
      </c>
      <c r="Q5762" s="14">
        <v>0</v>
      </c>
      <c r="R5762" s="143">
        <v>1000002928</v>
      </c>
      <c r="S5762" s="47"/>
      <c r="T5762" s="6">
        <v>400</v>
      </c>
      <c r="U5762" s="6"/>
      <c r="V5762" s="6">
        <v>0</v>
      </c>
      <c r="W5762" s="6">
        <f t="shared" si="901"/>
        <v>400</v>
      </c>
      <c r="X5762" s="6">
        <f t="shared" si="900"/>
        <v>0</v>
      </c>
      <c r="Y5762" s="13">
        <f t="shared" si="896"/>
        <v>0</v>
      </c>
      <c r="Z5762" s="14">
        <v>0</v>
      </c>
      <c r="AA5762" s="6">
        <v>0</v>
      </c>
      <c r="AB5762" s="4">
        <f t="shared" si="897"/>
        <v>0</v>
      </c>
      <c r="AC5762" s="6">
        <f t="shared" si="902"/>
        <v>0</v>
      </c>
      <c r="AD5762" s="6">
        <f t="shared" si="903"/>
        <v>0</v>
      </c>
      <c r="AE5762" s="14">
        <f>VLOOKUP(I5762,[2]媒体政策预估表!A:N,MATCH(O5762,[2]媒体政策预估表!$A$2:$M$2,0),0)</f>
        <v>7.0000000000000007E-2</v>
      </c>
      <c r="AF5762" s="6">
        <f t="shared" si="899"/>
        <v>0</v>
      </c>
      <c r="AG5762" s="14">
        <v>0</v>
      </c>
      <c r="AH5762" s="64">
        <f t="shared" si="904"/>
        <v>0</v>
      </c>
      <c r="AI5762" s="47"/>
      <c r="AJ5762" s="126" t="e">
        <v>#N/A</v>
      </c>
      <c r="AK5762" s="80">
        <f t="shared" si="898"/>
        <v>0</v>
      </c>
      <c r="AL5762" s="85"/>
      <c r="AM5762" s="85"/>
    </row>
    <row r="5763" spans="1:39" s="86" customFormat="1" ht="13.25" hidden="1" customHeight="1" x14ac:dyDescent="0.3">
      <c r="A5763" s="89" t="s">
        <v>3806</v>
      </c>
      <c r="B5763" s="86" t="s">
        <v>41</v>
      </c>
      <c r="C5763" s="86" t="s">
        <v>41</v>
      </c>
      <c r="D5763" s="86" t="s">
        <v>41</v>
      </c>
      <c r="E5763" s="86" t="s">
        <v>41</v>
      </c>
      <c r="F5763" s="86" t="s">
        <v>41</v>
      </c>
      <c r="G5763" s="86" t="s">
        <v>41</v>
      </c>
      <c r="H5763" s="143">
        <v>62</v>
      </c>
      <c r="I5763" s="86" t="s">
        <v>408</v>
      </c>
      <c r="J5763" s="1" t="s">
        <v>3324</v>
      </c>
      <c r="K5763" s="1" t="s">
        <v>3278</v>
      </c>
      <c r="L5763" s="1" t="s">
        <v>35</v>
      </c>
      <c r="M5763" s="86" t="s">
        <v>1050</v>
      </c>
      <c r="O5763" s="47" t="s">
        <v>410</v>
      </c>
      <c r="P5763" s="14" t="s">
        <v>41</v>
      </c>
      <c r="Q5763" s="14">
        <v>0</v>
      </c>
      <c r="R5763" s="143">
        <v>1000001181</v>
      </c>
      <c r="S5763" s="47"/>
      <c r="T5763" s="6">
        <v>2455.6</v>
      </c>
      <c r="U5763" s="6"/>
      <c r="V5763" s="6">
        <v>0</v>
      </c>
      <c r="W5763" s="6">
        <f t="shared" si="901"/>
        <v>2455.6</v>
      </c>
      <c r="X5763" s="6">
        <f t="shared" si="900"/>
        <v>0</v>
      </c>
      <c r="Y5763" s="13">
        <f t="shared" ref="Y5763:Y5826" si="905">IF(X5763-AD5763&lt;=0,0,IF(P5763="返现",MAX(X5763-AC5763-AD5763,0),MAX(X5763-AD5763)))</f>
        <v>0</v>
      </c>
      <c r="Z5763" s="14">
        <v>0</v>
      </c>
      <c r="AA5763" s="6">
        <v>0</v>
      </c>
      <c r="AB5763" s="4">
        <f t="shared" ref="AB5763:AB5826" si="906">X5763+AA5763</f>
        <v>0</v>
      </c>
      <c r="AC5763" s="6">
        <f t="shared" si="902"/>
        <v>0</v>
      </c>
      <c r="AD5763" s="6">
        <f t="shared" si="903"/>
        <v>0</v>
      </c>
      <c r="AE5763" s="14">
        <f>VLOOKUP(I5763,[2]媒体政策预估表!A:N,MATCH(O5763,[2]媒体政策预估表!$A$2:$M$2,0),0)</f>
        <v>7.0000000000000007E-2</v>
      </c>
      <c r="AF5763" s="6">
        <f t="shared" si="899"/>
        <v>0</v>
      </c>
      <c r="AG5763" s="14">
        <v>0</v>
      </c>
      <c r="AH5763" s="64">
        <f t="shared" si="904"/>
        <v>0</v>
      </c>
      <c r="AI5763" s="47"/>
      <c r="AJ5763" s="126" t="e">
        <v>#N/A</v>
      </c>
      <c r="AK5763" s="80">
        <f t="shared" ref="AK5763:AK5826" si="907">X5763+AA5763-AB5763</f>
        <v>0</v>
      </c>
      <c r="AL5763" s="85"/>
      <c r="AM5763" s="85"/>
    </row>
    <row r="5764" spans="1:39" s="86" customFormat="1" ht="13.25" hidden="1" customHeight="1" x14ac:dyDescent="0.3">
      <c r="A5764" s="89" t="s">
        <v>3806</v>
      </c>
      <c r="B5764" s="86" t="s">
        <v>41</v>
      </c>
      <c r="C5764" s="86" t="s">
        <v>41</v>
      </c>
      <c r="D5764" s="86" t="s">
        <v>41</v>
      </c>
      <c r="E5764" s="86" t="s">
        <v>41</v>
      </c>
      <c r="F5764" s="86" t="s">
        <v>41</v>
      </c>
      <c r="G5764" s="86" t="s">
        <v>41</v>
      </c>
      <c r="H5764" s="143">
        <v>62</v>
      </c>
      <c r="I5764" s="86" t="s">
        <v>408</v>
      </c>
      <c r="J5764" s="1" t="s">
        <v>3324</v>
      </c>
      <c r="K5764" s="1" t="s">
        <v>3278</v>
      </c>
      <c r="L5764" s="1" t="s">
        <v>35</v>
      </c>
      <c r="M5764" s="86" t="s">
        <v>1051</v>
      </c>
      <c r="O5764" s="47" t="s">
        <v>410</v>
      </c>
      <c r="P5764" s="14" t="s">
        <v>41</v>
      </c>
      <c r="Q5764" s="14">
        <v>0</v>
      </c>
      <c r="R5764" s="143">
        <v>1000000998</v>
      </c>
      <c r="S5764" s="47"/>
      <c r="T5764" s="6">
        <v>3292</v>
      </c>
      <c r="U5764" s="6"/>
      <c r="V5764" s="6">
        <v>0</v>
      </c>
      <c r="W5764" s="6">
        <f t="shared" si="901"/>
        <v>3292</v>
      </c>
      <c r="X5764" s="6">
        <f t="shared" si="900"/>
        <v>0</v>
      </c>
      <c r="Y5764" s="13">
        <f t="shared" si="905"/>
        <v>0</v>
      </c>
      <c r="Z5764" s="14">
        <v>0</v>
      </c>
      <c r="AA5764" s="6">
        <v>0</v>
      </c>
      <c r="AB5764" s="4">
        <f t="shared" si="906"/>
        <v>0</v>
      </c>
      <c r="AC5764" s="6">
        <f t="shared" si="902"/>
        <v>0</v>
      </c>
      <c r="AD5764" s="6">
        <f t="shared" si="903"/>
        <v>0</v>
      </c>
      <c r="AE5764" s="14">
        <f>VLOOKUP(I5764,[2]媒体政策预估表!A:N,MATCH(O5764,[2]媒体政策预估表!$A$2:$M$2,0),0)</f>
        <v>7.0000000000000007E-2</v>
      </c>
      <c r="AF5764" s="6">
        <f t="shared" si="899"/>
        <v>0</v>
      </c>
      <c r="AG5764" s="14">
        <v>0</v>
      </c>
      <c r="AH5764" s="64">
        <f t="shared" si="904"/>
        <v>0</v>
      </c>
      <c r="AI5764" s="47"/>
      <c r="AJ5764" s="126" t="e">
        <v>#N/A</v>
      </c>
      <c r="AK5764" s="80">
        <f t="shared" si="907"/>
        <v>0</v>
      </c>
      <c r="AL5764" s="85"/>
      <c r="AM5764" s="85"/>
    </row>
    <row r="5765" spans="1:39" s="86" customFormat="1" ht="13.25" hidden="1" customHeight="1" x14ac:dyDescent="0.3">
      <c r="A5765" s="89" t="s">
        <v>3794</v>
      </c>
      <c r="B5765" s="86" t="s">
        <v>41</v>
      </c>
      <c r="C5765" s="86" t="s">
        <v>41</v>
      </c>
      <c r="D5765" s="86" t="s">
        <v>41</v>
      </c>
      <c r="E5765" s="86" t="s">
        <v>41</v>
      </c>
      <c r="F5765" s="86" t="s">
        <v>41</v>
      </c>
      <c r="G5765" s="86" t="s">
        <v>41</v>
      </c>
      <c r="H5765" s="143">
        <v>62</v>
      </c>
      <c r="I5765" s="86" t="s">
        <v>408</v>
      </c>
      <c r="J5765" s="1" t="s">
        <v>3324</v>
      </c>
      <c r="K5765" s="1" t="s">
        <v>3278</v>
      </c>
      <c r="L5765" s="1" t="s">
        <v>35</v>
      </c>
      <c r="M5765" s="86" t="s">
        <v>1052</v>
      </c>
      <c r="O5765" s="47" t="s">
        <v>410</v>
      </c>
      <c r="P5765" s="14" t="s">
        <v>41</v>
      </c>
      <c r="Q5765" s="14">
        <v>0</v>
      </c>
      <c r="R5765" s="143">
        <v>1000002426</v>
      </c>
      <c r="S5765" s="47"/>
      <c r="T5765" s="6">
        <v>10000</v>
      </c>
      <c r="U5765" s="6"/>
      <c r="V5765" s="6">
        <v>0</v>
      </c>
      <c r="W5765" s="6">
        <f t="shared" si="901"/>
        <v>10000</v>
      </c>
      <c r="X5765" s="6">
        <f t="shared" si="900"/>
        <v>0</v>
      </c>
      <c r="Y5765" s="13">
        <f t="shared" si="905"/>
        <v>0</v>
      </c>
      <c r="Z5765" s="14">
        <v>0</v>
      </c>
      <c r="AA5765" s="6">
        <v>0</v>
      </c>
      <c r="AB5765" s="4">
        <f t="shared" si="906"/>
        <v>0</v>
      </c>
      <c r="AC5765" s="6">
        <f t="shared" si="902"/>
        <v>0</v>
      </c>
      <c r="AD5765" s="6">
        <f t="shared" si="903"/>
        <v>0</v>
      </c>
      <c r="AE5765" s="14">
        <f>VLOOKUP(I5765,[2]媒体政策预估表!A:N,MATCH(O5765,[2]媒体政策预估表!$A$2:$M$2,0),0)</f>
        <v>7.0000000000000007E-2</v>
      </c>
      <c r="AF5765" s="6">
        <f t="shared" si="899"/>
        <v>0</v>
      </c>
      <c r="AG5765" s="14">
        <v>0</v>
      </c>
      <c r="AH5765" s="64">
        <f t="shared" si="904"/>
        <v>0</v>
      </c>
      <c r="AI5765" s="47"/>
      <c r="AJ5765" s="126" t="e">
        <v>#N/A</v>
      </c>
      <c r="AK5765" s="80">
        <f t="shared" si="907"/>
        <v>0</v>
      </c>
      <c r="AL5765" s="85"/>
      <c r="AM5765" s="85"/>
    </row>
    <row r="5766" spans="1:39" s="86" customFormat="1" ht="13.25" hidden="1" customHeight="1" x14ac:dyDescent="0.3">
      <c r="A5766" s="89" t="s">
        <v>3852</v>
      </c>
      <c r="B5766" s="86" t="s">
        <v>41</v>
      </c>
      <c r="C5766" s="86" t="s">
        <v>41</v>
      </c>
      <c r="D5766" s="86" t="s">
        <v>41</v>
      </c>
      <c r="E5766" s="86" t="s">
        <v>41</v>
      </c>
      <c r="F5766" s="86" t="s">
        <v>41</v>
      </c>
      <c r="G5766" s="86" t="s">
        <v>41</v>
      </c>
      <c r="H5766" s="143">
        <v>62</v>
      </c>
      <c r="I5766" s="86" t="s">
        <v>408</v>
      </c>
      <c r="J5766" s="1" t="s">
        <v>3324</v>
      </c>
      <c r="K5766" s="1" t="s">
        <v>3278</v>
      </c>
      <c r="L5766" s="1" t="s">
        <v>35</v>
      </c>
      <c r="M5766" s="86" t="s">
        <v>1053</v>
      </c>
      <c r="O5766" s="47" t="s">
        <v>410</v>
      </c>
      <c r="P5766" s="14" t="s">
        <v>41</v>
      </c>
      <c r="Q5766" s="14">
        <v>0</v>
      </c>
      <c r="R5766" s="143">
        <v>1000001633</v>
      </c>
      <c r="S5766" s="47"/>
      <c r="T5766" s="6">
        <v>272.5</v>
      </c>
      <c r="U5766" s="6"/>
      <c r="V5766" s="6">
        <v>0</v>
      </c>
      <c r="W5766" s="6">
        <f t="shared" si="901"/>
        <v>272.5</v>
      </c>
      <c r="X5766" s="6">
        <f t="shared" si="900"/>
        <v>0</v>
      </c>
      <c r="Y5766" s="13">
        <f t="shared" si="905"/>
        <v>0</v>
      </c>
      <c r="Z5766" s="14">
        <v>0</v>
      </c>
      <c r="AA5766" s="6">
        <v>0</v>
      </c>
      <c r="AB5766" s="4">
        <f t="shared" si="906"/>
        <v>0</v>
      </c>
      <c r="AC5766" s="6">
        <f t="shared" si="902"/>
        <v>0</v>
      </c>
      <c r="AD5766" s="6">
        <f t="shared" si="903"/>
        <v>0</v>
      </c>
      <c r="AE5766" s="14">
        <f>VLOOKUP(I5766,[2]媒体政策预估表!A:N,MATCH(O5766,[2]媒体政策预估表!$A$2:$M$2,0),0)</f>
        <v>7.0000000000000007E-2</v>
      </c>
      <c r="AF5766" s="6">
        <f t="shared" si="899"/>
        <v>0</v>
      </c>
      <c r="AG5766" s="14">
        <v>0</v>
      </c>
      <c r="AH5766" s="64">
        <f t="shared" si="904"/>
        <v>0</v>
      </c>
      <c r="AI5766" s="47"/>
      <c r="AJ5766" s="126" t="e">
        <v>#N/A</v>
      </c>
      <c r="AK5766" s="80">
        <f t="shared" si="907"/>
        <v>0</v>
      </c>
      <c r="AL5766" s="85"/>
      <c r="AM5766" s="85"/>
    </row>
    <row r="5767" spans="1:39" s="86" customFormat="1" ht="13.25" hidden="1" customHeight="1" x14ac:dyDescent="0.3">
      <c r="A5767" s="89" t="s">
        <v>3806</v>
      </c>
      <c r="B5767" s="86" t="s">
        <v>41</v>
      </c>
      <c r="C5767" s="86" t="s">
        <v>41</v>
      </c>
      <c r="D5767" s="86" t="s">
        <v>41</v>
      </c>
      <c r="E5767" s="86" t="s">
        <v>1054</v>
      </c>
      <c r="F5767" s="86" t="s">
        <v>1054</v>
      </c>
      <c r="G5767" s="86" t="s">
        <v>1054</v>
      </c>
      <c r="H5767" s="143">
        <v>62</v>
      </c>
      <c r="I5767" s="86" t="s">
        <v>408</v>
      </c>
      <c r="J5767" s="1" t="s">
        <v>3324</v>
      </c>
      <c r="K5767" s="1" t="s">
        <v>3278</v>
      </c>
      <c r="L5767" s="1" t="s">
        <v>35</v>
      </c>
      <c r="M5767" s="86" t="s">
        <v>1055</v>
      </c>
      <c r="O5767" s="47" t="s">
        <v>410</v>
      </c>
      <c r="P5767" s="14" t="s">
        <v>41</v>
      </c>
      <c r="Q5767" s="14">
        <v>0</v>
      </c>
      <c r="R5767" s="143">
        <v>1000007808</v>
      </c>
      <c r="S5767" s="47"/>
      <c r="T5767" s="6">
        <v>32.5</v>
      </c>
      <c r="U5767" s="6"/>
      <c r="V5767" s="6">
        <v>0</v>
      </c>
      <c r="W5767" s="6">
        <f t="shared" si="901"/>
        <v>32.5</v>
      </c>
      <c r="X5767" s="6">
        <f t="shared" si="900"/>
        <v>0</v>
      </c>
      <c r="Y5767" s="13">
        <f t="shared" si="905"/>
        <v>0</v>
      </c>
      <c r="Z5767" s="14">
        <v>0</v>
      </c>
      <c r="AA5767" s="6">
        <v>0</v>
      </c>
      <c r="AB5767" s="4">
        <f t="shared" si="906"/>
        <v>0</v>
      </c>
      <c r="AC5767" s="6">
        <f t="shared" si="902"/>
        <v>0</v>
      </c>
      <c r="AD5767" s="6">
        <f t="shared" si="903"/>
        <v>0</v>
      </c>
      <c r="AE5767" s="14">
        <f>VLOOKUP(I5767,[2]媒体政策预估表!A:N,MATCH(O5767,[2]媒体政策预估表!$A$2:$M$2,0),0)</f>
        <v>7.0000000000000007E-2</v>
      </c>
      <c r="AF5767" s="6">
        <f t="shared" si="899"/>
        <v>0</v>
      </c>
      <c r="AG5767" s="14">
        <v>0</v>
      </c>
      <c r="AH5767" s="64">
        <f t="shared" si="904"/>
        <v>0</v>
      </c>
      <c r="AI5767" s="47"/>
      <c r="AJ5767" s="126" t="e">
        <v>#N/A</v>
      </c>
      <c r="AK5767" s="80">
        <f t="shared" si="907"/>
        <v>0</v>
      </c>
      <c r="AL5767" s="85"/>
      <c r="AM5767" s="85"/>
    </row>
    <row r="5768" spans="1:39" s="86" customFormat="1" ht="13.25" hidden="1" customHeight="1" x14ac:dyDescent="0.3">
      <c r="A5768" s="89" t="s">
        <v>3806</v>
      </c>
      <c r="B5768" s="86" t="s">
        <v>41</v>
      </c>
      <c r="C5768" s="86" t="s">
        <v>41</v>
      </c>
      <c r="D5768" s="86" t="s">
        <v>41</v>
      </c>
      <c r="E5768" s="86" t="s">
        <v>1056</v>
      </c>
      <c r="F5768" s="86" t="s">
        <v>1056</v>
      </c>
      <c r="G5768" s="86" t="s">
        <v>1056</v>
      </c>
      <c r="H5768" s="143">
        <v>62</v>
      </c>
      <c r="I5768" s="86" t="s">
        <v>408</v>
      </c>
      <c r="J5768" s="1" t="s">
        <v>3324</v>
      </c>
      <c r="K5768" s="1" t="s">
        <v>3278</v>
      </c>
      <c r="L5768" s="1" t="s">
        <v>35</v>
      </c>
      <c r="M5768" s="86" t="s">
        <v>1057</v>
      </c>
      <c r="O5768" s="47" t="s">
        <v>410</v>
      </c>
      <c r="P5768" s="14" t="s">
        <v>41</v>
      </c>
      <c r="Q5768" s="14">
        <v>0</v>
      </c>
      <c r="R5768" s="143">
        <v>1000009337</v>
      </c>
      <c r="S5768" s="47"/>
      <c r="T5768" s="6">
        <v>14199.2</v>
      </c>
      <c r="U5768" s="6"/>
      <c r="V5768" s="6">
        <v>0</v>
      </c>
      <c r="W5768" s="6">
        <f t="shared" si="901"/>
        <v>14199.2</v>
      </c>
      <c r="X5768" s="6">
        <f t="shared" si="900"/>
        <v>0</v>
      </c>
      <c r="Y5768" s="13">
        <f t="shared" si="905"/>
        <v>0</v>
      </c>
      <c r="Z5768" s="14">
        <v>0</v>
      </c>
      <c r="AA5768" s="6">
        <v>0</v>
      </c>
      <c r="AB5768" s="4">
        <f t="shared" si="906"/>
        <v>0</v>
      </c>
      <c r="AC5768" s="6">
        <f t="shared" si="902"/>
        <v>0</v>
      </c>
      <c r="AD5768" s="6">
        <f t="shared" si="903"/>
        <v>0</v>
      </c>
      <c r="AE5768" s="14">
        <f>VLOOKUP(I5768,[2]媒体政策预估表!A:N,MATCH(O5768,[2]媒体政策预估表!$A$2:$M$2,0),0)</f>
        <v>7.0000000000000007E-2</v>
      </c>
      <c r="AF5768" s="6">
        <f t="shared" si="899"/>
        <v>0</v>
      </c>
      <c r="AG5768" s="14">
        <v>0</v>
      </c>
      <c r="AH5768" s="64">
        <f t="shared" si="904"/>
        <v>0</v>
      </c>
      <c r="AI5768" s="47"/>
      <c r="AJ5768" s="126" t="e">
        <v>#N/A</v>
      </c>
      <c r="AK5768" s="80">
        <f t="shared" si="907"/>
        <v>0</v>
      </c>
      <c r="AL5768" s="85"/>
      <c r="AM5768" s="85"/>
    </row>
    <row r="5769" spans="1:39" s="86" customFormat="1" ht="13.25" hidden="1" customHeight="1" x14ac:dyDescent="0.3">
      <c r="A5769" s="89" t="s">
        <v>3806</v>
      </c>
      <c r="B5769" s="86" t="s">
        <v>35</v>
      </c>
      <c r="C5769" s="86" t="s">
        <v>3857</v>
      </c>
      <c r="D5769" s="86" t="s">
        <v>3858</v>
      </c>
      <c r="E5769" s="86" t="s">
        <v>742</v>
      </c>
      <c r="F5769" s="86" t="s">
        <v>742</v>
      </c>
      <c r="G5769" s="86" t="s">
        <v>742</v>
      </c>
      <c r="H5769" s="143">
        <v>62</v>
      </c>
      <c r="I5769" s="86" t="s">
        <v>408</v>
      </c>
      <c r="J5769" s="1" t="s">
        <v>3324</v>
      </c>
      <c r="K5769" s="1" t="s">
        <v>3278</v>
      </c>
      <c r="L5769" s="1" t="s">
        <v>35</v>
      </c>
      <c r="M5769" s="86" t="s">
        <v>743</v>
      </c>
      <c r="O5769" s="47" t="s">
        <v>941</v>
      </c>
      <c r="P5769" s="14" t="s">
        <v>41</v>
      </c>
      <c r="Q5769" s="14">
        <v>0</v>
      </c>
      <c r="R5769" s="143">
        <v>1000084758</v>
      </c>
      <c r="S5769" s="47"/>
      <c r="T5769" s="6">
        <v>-176.98</v>
      </c>
      <c r="U5769" s="6"/>
      <c r="V5769" s="6">
        <v>0</v>
      </c>
      <c r="W5769" s="6">
        <f t="shared" si="901"/>
        <v>-176.98</v>
      </c>
      <c r="X5769" s="6">
        <f t="shared" si="900"/>
        <v>0</v>
      </c>
      <c r="Y5769" s="13">
        <f t="shared" si="905"/>
        <v>0</v>
      </c>
      <c r="Z5769" s="14">
        <v>0</v>
      </c>
      <c r="AA5769" s="6">
        <v>0</v>
      </c>
      <c r="AB5769" s="4">
        <f t="shared" si="906"/>
        <v>0</v>
      </c>
      <c r="AC5769" s="6">
        <f t="shared" si="902"/>
        <v>0</v>
      </c>
      <c r="AD5769" s="6">
        <f t="shared" si="903"/>
        <v>0</v>
      </c>
      <c r="AE5769" s="14">
        <f>VLOOKUP(I5769,[2]媒体政策预估表!A:N,MATCH(O5769,[2]媒体政策预估表!$A$2:$M$2,0),0)</f>
        <v>0.11</v>
      </c>
      <c r="AF5769" s="6">
        <f t="shared" si="899"/>
        <v>0</v>
      </c>
      <c r="AG5769" s="14">
        <v>0</v>
      </c>
      <c r="AH5769" s="64">
        <f t="shared" si="904"/>
        <v>0</v>
      </c>
      <c r="AI5769" s="47"/>
      <c r="AJ5769" s="126" t="e">
        <v>#N/A</v>
      </c>
      <c r="AK5769" s="80">
        <f t="shared" si="907"/>
        <v>0</v>
      </c>
      <c r="AL5769" s="85"/>
      <c r="AM5769" s="85"/>
    </row>
    <row r="5770" spans="1:39" s="86" customFormat="1" ht="13.25" hidden="1" customHeight="1" x14ac:dyDescent="0.3">
      <c r="A5770" s="89" t="s">
        <v>3806</v>
      </c>
      <c r="B5770" s="86" t="s">
        <v>35</v>
      </c>
      <c r="C5770" s="86" t="s">
        <v>59</v>
      </c>
      <c r="D5770" s="86" t="s">
        <v>60</v>
      </c>
      <c r="E5770" s="86" t="s">
        <v>735</v>
      </c>
      <c r="F5770" s="86" t="s">
        <v>735</v>
      </c>
      <c r="G5770" s="86" t="s">
        <v>735</v>
      </c>
      <c r="H5770" s="143">
        <v>62</v>
      </c>
      <c r="I5770" s="86" t="s">
        <v>408</v>
      </c>
      <c r="J5770" s="1" t="s">
        <v>3324</v>
      </c>
      <c r="K5770" s="1" t="s">
        <v>3278</v>
      </c>
      <c r="L5770" s="1" t="s">
        <v>35</v>
      </c>
      <c r="M5770" s="86" t="s">
        <v>736</v>
      </c>
      <c r="O5770" s="47" t="s">
        <v>941</v>
      </c>
      <c r="P5770" s="14" t="s">
        <v>75</v>
      </c>
      <c r="Q5770" s="14">
        <v>0.02</v>
      </c>
      <c r="R5770" s="143">
        <v>1000090963</v>
      </c>
      <c r="S5770" s="47"/>
      <c r="T5770" s="6">
        <v>-2771.54</v>
      </c>
      <c r="U5770" s="6"/>
      <c r="V5770" s="6">
        <v>0</v>
      </c>
      <c r="W5770" s="6">
        <f t="shared" si="901"/>
        <v>-2771.54</v>
      </c>
      <c r="X5770" s="6">
        <f t="shared" si="900"/>
        <v>0</v>
      </c>
      <c r="Y5770" s="13">
        <f t="shared" si="905"/>
        <v>0</v>
      </c>
      <c r="Z5770" s="14">
        <v>0</v>
      </c>
      <c r="AA5770" s="6">
        <v>0</v>
      </c>
      <c r="AB5770" s="4">
        <f t="shared" si="906"/>
        <v>0</v>
      </c>
      <c r="AC5770" s="6">
        <f t="shared" si="902"/>
        <v>0</v>
      </c>
      <c r="AD5770" s="6">
        <f t="shared" si="903"/>
        <v>0</v>
      </c>
      <c r="AE5770" s="14">
        <f>VLOOKUP(I5770,[2]媒体政策预估表!A:N,MATCH(O5770,[2]媒体政策预估表!$A$2:$M$2,0),0)</f>
        <v>0.11</v>
      </c>
      <c r="AF5770" s="6">
        <f t="shared" si="899"/>
        <v>0</v>
      </c>
      <c r="AG5770" s="14">
        <v>0</v>
      </c>
      <c r="AH5770" s="64">
        <f t="shared" si="904"/>
        <v>0</v>
      </c>
      <c r="AI5770" s="47"/>
      <c r="AJ5770" s="126" t="e">
        <v>#N/A</v>
      </c>
      <c r="AK5770" s="80">
        <f t="shared" si="907"/>
        <v>0</v>
      </c>
      <c r="AL5770" s="85"/>
      <c r="AM5770" s="85"/>
    </row>
    <row r="5771" spans="1:39" s="86" customFormat="1" ht="13.25" hidden="1" customHeight="1" x14ac:dyDescent="0.3">
      <c r="A5771" s="89" t="s">
        <v>3792</v>
      </c>
      <c r="B5771" s="86" t="s">
        <v>35</v>
      </c>
      <c r="C5771" s="86" t="s">
        <v>144</v>
      </c>
      <c r="D5771" s="86" t="s">
        <v>152</v>
      </c>
      <c r="E5771" s="86" t="s">
        <v>722</v>
      </c>
      <c r="F5771" s="86" t="s">
        <v>722</v>
      </c>
      <c r="G5771" s="86" t="s">
        <v>722</v>
      </c>
      <c r="H5771" s="143">
        <v>62</v>
      </c>
      <c r="I5771" s="86" t="s">
        <v>408</v>
      </c>
      <c r="J5771" s="1" t="s">
        <v>3324</v>
      </c>
      <c r="K5771" s="1" t="s">
        <v>3278</v>
      </c>
      <c r="L5771" s="1" t="s">
        <v>35</v>
      </c>
      <c r="M5771" s="86" t="s">
        <v>723</v>
      </c>
      <c r="O5771" s="47" t="s">
        <v>941</v>
      </c>
      <c r="P5771" s="14" t="s">
        <v>46</v>
      </c>
      <c r="Q5771" s="14">
        <v>0.04</v>
      </c>
      <c r="R5771" s="143">
        <v>1000095880</v>
      </c>
      <c r="S5771" s="47"/>
      <c r="T5771" s="6">
        <v>-444.86</v>
      </c>
      <c r="U5771" s="6"/>
      <c r="V5771" s="6">
        <v>0</v>
      </c>
      <c r="W5771" s="6">
        <v>0</v>
      </c>
      <c r="X5771" s="6">
        <f t="shared" si="900"/>
        <v>0</v>
      </c>
      <c r="Y5771" s="13">
        <f t="shared" si="905"/>
        <v>0</v>
      </c>
      <c r="Z5771" s="14">
        <v>0</v>
      </c>
      <c r="AA5771" s="6">
        <v>0</v>
      </c>
      <c r="AB5771" s="4"/>
      <c r="AC5771" s="6">
        <f t="shared" si="902"/>
        <v>0</v>
      </c>
      <c r="AD5771" s="6">
        <f t="shared" si="903"/>
        <v>0</v>
      </c>
      <c r="AE5771" s="14">
        <f>VLOOKUP(I5771,[2]媒体政策预估表!A:N,MATCH(O5771,[2]媒体政策预估表!$A$2:$M$2,0),0)</f>
        <v>0.11</v>
      </c>
      <c r="AF5771" s="6">
        <f t="shared" si="899"/>
        <v>0</v>
      </c>
      <c r="AG5771" s="14">
        <v>0</v>
      </c>
      <c r="AH5771" s="64">
        <f t="shared" si="904"/>
        <v>0</v>
      </c>
      <c r="AI5771" s="47"/>
      <c r="AJ5771" s="126">
        <v>112</v>
      </c>
      <c r="AK5771" s="80">
        <f t="shared" si="907"/>
        <v>0</v>
      </c>
      <c r="AL5771" s="85"/>
      <c r="AM5771" s="85"/>
    </row>
    <row r="5772" spans="1:39" s="86" customFormat="1" ht="13.25" hidden="1" customHeight="1" x14ac:dyDescent="0.3">
      <c r="A5772" s="89" t="s">
        <v>3792</v>
      </c>
      <c r="B5772" s="86" t="s">
        <v>35</v>
      </c>
      <c r="C5772" s="86" t="s">
        <v>144</v>
      </c>
      <c r="D5772" s="86" t="s">
        <v>152</v>
      </c>
      <c r="E5772" s="86" t="s">
        <v>722</v>
      </c>
      <c r="F5772" s="86" t="s">
        <v>722</v>
      </c>
      <c r="G5772" s="86" t="s">
        <v>722</v>
      </c>
      <c r="H5772" s="143">
        <v>62</v>
      </c>
      <c r="I5772" s="86" t="s">
        <v>408</v>
      </c>
      <c r="J5772" s="1" t="s">
        <v>3324</v>
      </c>
      <c r="K5772" s="1" t="s">
        <v>3278</v>
      </c>
      <c r="L5772" s="1" t="s">
        <v>35</v>
      </c>
      <c r="M5772" s="86" t="s">
        <v>723</v>
      </c>
      <c r="O5772" s="47" t="s">
        <v>45</v>
      </c>
      <c r="P5772" s="14" t="s">
        <v>46</v>
      </c>
      <c r="Q5772" s="14">
        <v>0.04</v>
      </c>
      <c r="R5772" s="143">
        <v>1000095880</v>
      </c>
      <c r="S5772" s="47"/>
      <c r="T5772" s="6">
        <v>-536.15</v>
      </c>
      <c r="U5772" s="6"/>
      <c r="V5772" s="6">
        <v>0</v>
      </c>
      <c r="W5772" s="6">
        <v>0</v>
      </c>
      <c r="X5772" s="6">
        <f t="shared" si="900"/>
        <v>0</v>
      </c>
      <c r="Y5772" s="13">
        <f t="shared" si="905"/>
        <v>0</v>
      </c>
      <c r="Z5772" s="14">
        <v>0</v>
      </c>
      <c r="AA5772" s="6">
        <v>0</v>
      </c>
      <c r="AB5772" s="4"/>
      <c r="AC5772" s="6">
        <f t="shared" si="902"/>
        <v>0</v>
      </c>
      <c r="AD5772" s="6">
        <f t="shared" si="903"/>
        <v>0</v>
      </c>
      <c r="AE5772" s="14">
        <f>VLOOKUP(I5772,[2]媒体政策预估表!A:N,MATCH(O5772,[2]媒体政策预估表!$A$2:$M$2,0),0)</f>
        <v>0.11</v>
      </c>
      <c r="AF5772" s="6">
        <f t="shared" si="899"/>
        <v>0</v>
      </c>
      <c r="AG5772" s="14">
        <v>0</v>
      </c>
      <c r="AH5772" s="64">
        <f t="shared" si="904"/>
        <v>0</v>
      </c>
      <c r="AI5772" s="47"/>
      <c r="AJ5772" s="126">
        <v>112</v>
      </c>
      <c r="AK5772" s="80">
        <f t="shared" si="907"/>
        <v>0</v>
      </c>
      <c r="AL5772" s="85"/>
      <c r="AM5772" s="85"/>
    </row>
    <row r="5773" spans="1:39" s="86" customFormat="1" ht="13.25" hidden="1" customHeight="1" x14ac:dyDescent="0.3">
      <c r="A5773" s="89" t="s">
        <v>3792</v>
      </c>
      <c r="B5773" s="86" t="s">
        <v>35</v>
      </c>
      <c r="C5773" s="86" t="s">
        <v>164</v>
      </c>
      <c r="D5773" s="86" t="s">
        <v>305</v>
      </c>
      <c r="E5773" s="86" t="s">
        <v>610</v>
      </c>
      <c r="F5773" s="86" t="s">
        <v>611</v>
      </c>
      <c r="G5773" s="86" t="s">
        <v>610</v>
      </c>
      <c r="H5773" s="144">
        <v>62</v>
      </c>
      <c r="I5773" s="86" t="s">
        <v>408</v>
      </c>
      <c r="J5773" s="1" t="s">
        <v>3324</v>
      </c>
      <c r="K5773" s="1" t="s">
        <v>3278</v>
      </c>
      <c r="L5773" s="1" t="s">
        <v>35</v>
      </c>
      <c r="M5773" s="86" t="s">
        <v>613</v>
      </c>
      <c r="O5773" s="47" t="s">
        <v>45</v>
      </c>
      <c r="P5773" s="14" t="s">
        <v>46</v>
      </c>
      <c r="Q5773" s="14">
        <v>0.02</v>
      </c>
      <c r="R5773" s="143">
        <v>1000045024</v>
      </c>
      <c r="S5773" s="47"/>
      <c r="T5773" s="6">
        <v>-154998.03999999998</v>
      </c>
      <c r="U5773" s="6"/>
      <c r="V5773" s="6">
        <v>99258.87999999999</v>
      </c>
      <c r="W5773" s="6">
        <v>0</v>
      </c>
      <c r="X5773" s="6">
        <f t="shared" si="900"/>
        <v>97312.627450980377</v>
      </c>
      <c r="Y5773" s="13">
        <f t="shared" si="905"/>
        <v>0</v>
      </c>
      <c r="Z5773" s="14">
        <v>0</v>
      </c>
      <c r="AA5773" s="6">
        <v>0</v>
      </c>
      <c r="AB5773" s="4">
        <f t="shared" si="906"/>
        <v>97312.627450980377</v>
      </c>
      <c r="AC5773" s="6">
        <f t="shared" si="902"/>
        <v>1946.2525490196131</v>
      </c>
      <c r="AD5773" s="6">
        <f t="shared" si="903"/>
        <v>99258.87999999999</v>
      </c>
      <c r="AE5773" s="14">
        <f>VLOOKUP(I5773,[2]媒体政策预估表!A:N,MATCH(O5773,[2]媒体政策预估表!$A$2:$M$2,0),0)</f>
        <v>0.11</v>
      </c>
      <c r="AF5773" s="6">
        <f t="shared" si="899"/>
        <v>10918.476799999999</v>
      </c>
      <c r="AG5773" s="14">
        <v>0</v>
      </c>
      <c r="AH5773" s="64">
        <f t="shared" si="904"/>
        <v>99258.87999999999</v>
      </c>
      <c r="AI5773" s="47"/>
      <c r="AJ5773" s="126" t="e">
        <v>#N/A</v>
      </c>
      <c r="AK5773" s="80">
        <f t="shared" si="907"/>
        <v>0</v>
      </c>
      <c r="AL5773" s="85"/>
      <c r="AM5773" s="85"/>
    </row>
    <row r="5774" spans="1:39" s="86" customFormat="1" ht="13.25" hidden="1" customHeight="1" x14ac:dyDescent="0.3">
      <c r="A5774" s="89" t="s">
        <v>3806</v>
      </c>
      <c r="B5774" s="86" t="s">
        <v>35</v>
      </c>
      <c r="C5774" s="86" t="s">
        <v>36</v>
      </c>
      <c r="D5774" s="86" t="s">
        <v>185</v>
      </c>
      <c r="E5774" s="86" t="s">
        <v>528</v>
      </c>
      <c r="F5774" s="86" t="s">
        <v>528</v>
      </c>
      <c r="G5774" s="86" t="s">
        <v>528</v>
      </c>
      <c r="H5774" s="143">
        <v>62</v>
      </c>
      <c r="I5774" s="86" t="s">
        <v>408</v>
      </c>
      <c r="J5774" s="1" t="s">
        <v>3324</v>
      </c>
      <c r="K5774" s="1" t="s">
        <v>3278</v>
      </c>
      <c r="L5774" s="1" t="s">
        <v>35</v>
      </c>
      <c r="M5774" s="86" t="s">
        <v>530</v>
      </c>
      <c r="O5774" s="47" t="s">
        <v>45</v>
      </c>
      <c r="P5774" s="14" t="s">
        <v>46</v>
      </c>
      <c r="Q5774" s="14">
        <v>5.0000000000000001E-3</v>
      </c>
      <c r="R5774" s="143">
        <v>1000080693</v>
      </c>
      <c r="S5774" s="47"/>
      <c r="T5774" s="6">
        <v>-374480.31999999989</v>
      </c>
      <c r="U5774" s="6"/>
      <c r="V5774" s="6">
        <v>0</v>
      </c>
      <c r="W5774" s="6">
        <f t="shared" si="901"/>
        <v>-374480.31999999989</v>
      </c>
      <c r="X5774" s="6">
        <f t="shared" si="900"/>
        <v>0</v>
      </c>
      <c r="Y5774" s="13">
        <f t="shared" si="905"/>
        <v>0</v>
      </c>
      <c r="Z5774" s="14">
        <v>0</v>
      </c>
      <c r="AA5774" s="6">
        <v>0</v>
      </c>
      <c r="AB5774" s="4">
        <f t="shared" si="906"/>
        <v>0</v>
      </c>
      <c r="AC5774" s="6">
        <f t="shared" si="902"/>
        <v>0</v>
      </c>
      <c r="AD5774" s="6">
        <f t="shared" si="903"/>
        <v>0</v>
      </c>
      <c r="AE5774" s="14">
        <f>VLOOKUP(I5774,[2]媒体政策预估表!A:N,MATCH(O5774,[2]媒体政策预估表!$A$2:$M$2,0),0)</f>
        <v>0.11</v>
      </c>
      <c r="AF5774" s="6">
        <f t="shared" si="899"/>
        <v>0</v>
      </c>
      <c r="AG5774" s="14">
        <v>0</v>
      </c>
      <c r="AH5774" s="64">
        <f t="shared" si="904"/>
        <v>0</v>
      </c>
      <c r="AI5774" s="47"/>
      <c r="AJ5774" s="126" t="e">
        <v>#N/A</v>
      </c>
      <c r="AK5774" s="80">
        <f t="shared" si="907"/>
        <v>0</v>
      </c>
      <c r="AL5774" s="85"/>
      <c r="AM5774" s="85"/>
    </row>
    <row r="5775" spans="1:39" s="86" customFormat="1" ht="13.25" hidden="1" customHeight="1" x14ac:dyDescent="0.3">
      <c r="A5775" s="89" t="s">
        <v>3792</v>
      </c>
      <c r="B5775" s="86" t="s">
        <v>35</v>
      </c>
      <c r="C5775" s="86" t="s">
        <v>184</v>
      </c>
      <c r="D5775" s="86" t="s">
        <v>3849</v>
      </c>
      <c r="E5775" s="86" t="s">
        <v>533</v>
      </c>
      <c r="F5775" s="86" t="s">
        <v>533</v>
      </c>
      <c r="G5775" s="86" t="s">
        <v>533</v>
      </c>
      <c r="H5775" s="143">
        <v>62</v>
      </c>
      <c r="I5775" s="86" t="s">
        <v>408</v>
      </c>
      <c r="J5775" s="1" t="s">
        <v>3324</v>
      </c>
      <c r="K5775" s="1" t="s">
        <v>3278</v>
      </c>
      <c r="L5775" s="1" t="s">
        <v>35</v>
      </c>
      <c r="M5775" s="86" t="s">
        <v>535</v>
      </c>
      <c r="O5775" s="47" t="s">
        <v>45</v>
      </c>
      <c r="P5775" s="14" t="s">
        <v>46</v>
      </c>
      <c r="Q5775" s="14">
        <v>0.02</v>
      </c>
      <c r="R5775" s="143">
        <v>1000073749</v>
      </c>
      <c r="S5775" s="47"/>
      <c r="T5775" s="6">
        <v>-52630.080000000002</v>
      </c>
      <c r="U5775" s="6"/>
      <c r="V5775" s="6">
        <v>0</v>
      </c>
      <c r="W5775" s="6">
        <f t="shared" si="901"/>
        <v>-52630.080000000002</v>
      </c>
      <c r="X5775" s="6">
        <f t="shared" si="900"/>
        <v>0</v>
      </c>
      <c r="Y5775" s="13">
        <f t="shared" si="905"/>
        <v>0</v>
      </c>
      <c r="Z5775" s="14">
        <v>0</v>
      </c>
      <c r="AA5775" s="6">
        <v>0</v>
      </c>
      <c r="AB5775" s="4">
        <f t="shared" si="906"/>
        <v>0</v>
      </c>
      <c r="AC5775" s="6">
        <f t="shared" si="902"/>
        <v>0</v>
      </c>
      <c r="AD5775" s="6">
        <f t="shared" si="903"/>
        <v>0</v>
      </c>
      <c r="AE5775" s="14">
        <f>VLOOKUP(I5775,[2]媒体政策预估表!A:N,MATCH(O5775,[2]媒体政策预估表!$A$2:$M$2,0),0)</f>
        <v>0.11</v>
      </c>
      <c r="AF5775" s="6">
        <f t="shared" si="899"/>
        <v>0</v>
      </c>
      <c r="AG5775" s="14">
        <v>0</v>
      </c>
      <c r="AH5775" s="64">
        <f t="shared" si="904"/>
        <v>0</v>
      </c>
      <c r="AI5775" s="47"/>
      <c r="AJ5775" s="126" t="e">
        <v>#N/A</v>
      </c>
      <c r="AK5775" s="80">
        <f t="shared" si="907"/>
        <v>0</v>
      </c>
      <c r="AL5775" s="85"/>
      <c r="AM5775" s="85"/>
    </row>
    <row r="5776" spans="1:39" s="86" customFormat="1" ht="13.25" hidden="1" customHeight="1" x14ac:dyDescent="0.3">
      <c r="A5776" s="89" t="s">
        <v>3794</v>
      </c>
      <c r="B5776" s="86" t="s">
        <v>35</v>
      </c>
      <c r="C5776" s="86" t="s">
        <v>144</v>
      </c>
      <c r="D5776" s="86" t="s">
        <v>161</v>
      </c>
      <c r="E5776" s="86" t="s">
        <v>55</v>
      </c>
      <c r="F5776" s="86" t="s">
        <v>607</v>
      </c>
      <c r="G5776" s="86" t="s">
        <v>55</v>
      </c>
      <c r="H5776" s="144">
        <v>62</v>
      </c>
      <c r="I5776" s="86" t="s">
        <v>408</v>
      </c>
      <c r="J5776" s="1" t="s">
        <v>3324</v>
      </c>
      <c r="K5776" s="1" t="s">
        <v>3278</v>
      </c>
      <c r="L5776" s="1" t="s">
        <v>35</v>
      </c>
      <c r="M5776" s="86" t="s">
        <v>609</v>
      </c>
      <c r="O5776" s="47" t="s">
        <v>941</v>
      </c>
      <c r="P5776" s="14" t="s">
        <v>41</v>
      </c>
      <c r="Q5776" s="14">
        <v>0</v>
      </c>
      <c r="R5776" s="143">
        <v>1000016218</v>
      </c>
      <c r="S5776" s="47"/>
      <c r="T5776" s="6">
        <v>-470416.24</v>
      </c>
      <c r="U5776" s="6"/>
      <c r="V5776" s="6">
        <v>273940.93999999994</v>
      </c>
      <c r="W5776" s="6">
        <f t="shared" si="901"/>
        <v>-744357.17999999993</v>
      </c>
      <c r="X5776" s="6">
        <f t="shared" si="900"/>
        <v>273940.93999999994</v>
      </c>
      <c r="Y5776" s="13">
        <f t="shared" si="905"/>
        <v>0</v>
      </c>
      <c r="Z5776" s="14">
        <v>0</v>
      </c>
      <c r="AA5776" s="6">
        <v>0</v>
      </c>
      <c r="AB5776" s="4">
        <f t="shared" si="906"/>
        <v>273940.93999999994</v>
      </c>
      <c r="AC5776" s="6">
        <f t="shared" si="902"/>
        <v>0</v>
      </c>
      <c r="AD5776" s="6">
        <f t="shared" si="903"/>
        <v>273940.93999999994</v>
      </c>
      <c r="AE5776" s="14">
        <f>VLOOKUP(I5776,[2]媒体政策预估表!A:N,MATCH(O5776,[2]媒体政策预估表!$A$2:$M$2,0),0)</f>
        <v>0.11</v>
      </c>
      <c r="AF5776" s="6">
        <f t="shared" si="899"/>
        <v>30133.503399999994</v>
      </c>
      <c r="AG5776" s="14">
        <v>0</v>
      </c>
      <c r="AH5776" s="64">
        <f t="shared" si="904"/>
        <v>273940.93999999994</v>
      </c>
      <c r="AI5776" s="47"/>
      <c r="AJ5776" s="126" t="e">
        <v>#N/A</v>
      </c>
      <c r="AK5776" s="80">
        <f t="shared" si="907"/>
        <v>0</v>
      </c>
      <c r="AL5776" s="85"/>
      <c r="AM5776" s="85"/>
    </row>
    <row r="5777" spans="1:39" s="86" customFormat="1" ht="13.25" hidden="1" customHeight="1" x14ac:dyDescent="0.3">
      <c r="A5777" s="89" t="s">
        <v>3792</v>
      </c>
      <c r="B5777" s="86" t="s">
        <v>35</v>
      </c>
      <c r="C5777" s="86" t="s">
        <v>65</v>
      </c>
      <c r="D5777" s="86" t="s">
        <v>66</v>
      </c>
      <c r="E5777" s="86" t="s">
        <v>469</v>
      </c>
      <c r="F5777" s="86" t="s">
        <v>469</v>
      </c>
      <c r="G5777" s="86" t="s">
        <v>469</v>
      </c>
      <c r="H5777" s="144">
        <v>62</v>
      </c>
      <c r="I5777" s="86" t="s">
        <v>408</v>
      </c>
      <c r="J5777" s="1" t="s">
        <v>3324</v>
      </c>
      <c r="K5777" s="1" t="s">
        <v>3278</v>
      </c>
      <c r="L5777" s="1" t="s">
        <v>35</v>
      </c>
      <c r="M5777" s="86" t="s">
        <v>1059</v>
      </c>
      <c r="O5777" s="47" t="s">
        <v>941</v>
      </c>
      <c r="P5777" s="14" t="s">
        <v>41</v>
      </c>
      <c r="Q5777" s="14">
        <v>0</v>
      </c>
      <c r="R5777" s="143">
        <v>1000048227</v>
      </c>
      <c r="S5777" s="47"/>
      <c r="T5777" s="6">
        <v>-4488.7500000000009</v>
      </c>
      <c r="U5777" s="6"/>
      <c r="V5777" s="6">
        <v>2107.89</v>
      </c>
      <c r="W5777" s="6">
        <f t="shared" si="901"/>
        <v>-6596.6400000000012</v>
      </c>
      <c r="X5777" s="6">
        <f t="shared" si="900"/>
        <v>2107.89</v>
      </c>
      <c r="Y5777" s="13">
        <f t="shared" si="905"/>
        <v>0</v>
      </c>
      <c r="Z5777" s="14">
        <v>0</v>
      </c>
      <c r="AA5777" s="6">
        <v>0</v>
      </c>
      <c r="AB5777" s="4">
        <f t="shared" si="906"/>
        <v>2107.89</v>
      </c>
      <c r="AC5777" s="6">
        <f t="shared" si="902"/>
        <v>0</v>
      </c>
      <c r="AD5777" s="6">
        <f t="shared" si="903"/>
        <v>2107.89</v>
      </c>
      <c r="AE5777" s="14">
        <f>VLOOKUP(I5777,[2]媒体政策预估表!A:N,MATCH(O5777,[2]媒体政策预估表!$A$2:$M$2,0),0)</f>
        <v>0.11</v>
      </c>
      <c r="AF5777" s="6">
        <f t="shared" si="899"/>
        <v>231.86789999999999</v>
      </c>
      <c r="AG5777" s="14">
        <v>0</v>
      </c>
      <c r="AH5777" s="64">
        <f t="shared" si="904"/>
        <v>2107.89</v>
      </c>
      <c r="AI5777" s="47"/>
      <c r="AJ5777" s="126" t="e">
        <v>#N/A</v>
      </c>
      <c r="AK5777" s="80">
        <f t="shared" si="907"/>
        <v>0</v>
      </c>
      <c r="AL5777" s="85"/>
      <c r="AM5777" s="85"/>
    </row>
    <row r="5778" spans="1:39" s="86" customFormat="1" ht="13.25" hidden="1" customHeight="1" x14ac:dyDescent="0.3">
      <c r="A5778" s="89" t="s">
        <v>3794</v>
      </c>
      <c r="B5778" s="86" t="s">
        <v>35</v>
      </c>
      <c r="C5778" s="86" t="s">
        <v>59</v>
      </c>
      <c r="D5778" s="86" t="s">
        <v>60</v>
      </c>
      <c r="E5778" s="86" t="s">
        <v>425</v>
      </c>
      <c r="F5778" s="86" t="s">
        <v>425</v>
      </c>
      <c r="G5778" s="86" t="s">
        <v>425</v>
      </c>
      <c r="H5778" s="143">
        <v>62</v>
      </c>
      <c r="I5778" s="86" t="s">
        <v>408</v>
      </c>
      <c r="J5778" s="1" t="s">
        <v>3324</v>
      </c>
      <c r="K5778" s="1" t="s">
        <v>3278</v>
      </c>
      <c r="L5778" s="1" t="s">
        <v>35</v>
      </c>
      <c r="M5778" s="86" t="s">
        <v>427</v>
      </c>
      <c r="O5778" s="47" t="s">
        <v>941</v>
      </c>
      <c r="P5778" s="14" t="s">
        <v>46</v>
      </c>
      <c r="Q5778" s="14">
        <v>0.04</v>
      </c>
      <c r="R5778" s="143">
        <v>1000069101</v>
      </c>
      <c r="S5778" s="47"/>
      <c r="T5778" s="6">
        <v>-30902.660000000003</v>
      </c>
      <c r="U5778" s="6"/>
      <c r="V5778" s="6">
        <v>0</v>
      </c>
      <c r="W5778" s="6">
        <f t="shared" si="901"/>
        <v>-30902.660000000003</v>
      </c>
      <c r="X5778" s="6">
        <f t="shared" si="900"/>
        <v>0</v>
      </c>
      <c r="Y5778" s="13">
        <f t="shared" si="905"/>
        <v>0</v>
      </c>
      <c r="Z5778" s="14">
        <v>0</v>
      </c>
      <c r="AA5778" s="6">
        <v>0</v>
      </c>
      <c r="AB5778" s="4">
        <f t="shared" si="906"/>
        <v>0</v>
      </c>
      <c r="AC5778" s="6">
        <f t="shared" si="902"/>
        <v>0</v>
      </c>
      <c r="AD5778" s="6">
        <f t="shared" si="903"/>
        <v>0</v>
      </c>
      <c r="AE5778" s="14">
        <f>VLOOKUP(I5778,[2]媒体政策预估表!A:N,MATCH(O5778,[2]媒体政策预估表!$A$2:$M$2,0),0)</f>
        <v>0.11</v>
      </c>
      <c r="AF5778" s="6">
        <f t="shared" si="899"/>
        <v>0</v>
      </c>
      <c r="AG5778" s="14">
        <v>0</v>
      </c>
      <c r="AH5778" s="64">
        <f t="shared" si="904"/>
        <v>0</v>
      </c>
      <c r="AI5778" s="47"/>
      <c r="AJ5778" s="126" t="e">
        <v>#N/A</v>
      </c>
      <c r="AK5778" s="80">
        <f t="shared" si="907"/>
        <v>0</v>
      </c>
      <c r="AL5778" s="85"/>
      <c r="AM5778" s="85"/>
    </row>
    <row r="5779" spans="1:39" s="86" customFormat="1" ht="13.25" hidden="1" customHeight="1" x14ac:dyDescent="0.3">
      <c r="A5779" s="89" t="s">
        <v>3792</v>
      </c>
      <c r="B5779" s="86" t="s">
        <v>35</v>
      </c>
      <c r="C5779" s="86" t="s">
        <v>164</v>
      </c>
      <c r="D5779" s="86" t="s">
        <v>174</v>
      </c>
      <c r="E5779" s="86" t="s">
        <v>651</v>
      </c>
      <c r="F5779" s="86" t="s">
        <v>651</v>
      </c>
      <c r="G5779" s="86" t="s">
        <v>651</v>
      </c>
      <c r="H5779" s="144">
        <v>62</v>
      </c>
      <c r="I5779" s="86" t="s">
        <v>408</v>
      </c>
      <c r="J5779" s="1" t="s">
        <v>3324</v>
      </c>
      <c r="K5779" s="1" t="s">
        <v>3278</v>
      </c>
      <c r="L5779" s="1" t="s">
        <v>35</v>
      </c>
      <c r="M5779" s="86" t="s">
        <v>654</v>
      </c>
      <c r="O5779" s="47" t="s">
        <v>941</v>
      </c>
      <c r="P5779" s="14" t="s">
        <v>46</v>
      </c>
      <c r="Q5779" s="14">
        <v>0.04</v>
      </c>
      <c r="R5779" s="143">
        <v>1000072406</v>
      </c>
      <c r="S5779" s="47"/>
      <c r="T5779" s="6">
        <v>-789863.09000000008</v>
      </c>
      <c r="U5779" s="6"/>
      <c r="V5779" s="6">
        <v>160819.59999999998</v>
      </c>
      <c r="W5779" s="6">
        <f t="shared" si="901"/>
        <v>-950682.69000000006</v>
      </c>
      <c r="X5779" s="6">
        <f t="shared" si="900"/>
        <v>154634.23076923075</v>
      </c>
      <c r="Y5779" s="13">
        <f t="shared" si="905"/>
        <v>0</v>
      </c>
      <c r="Z5779" s="14">
        <v>0</v>
      </c>
      <c r="AA5779" s="6">
        <v>0</v>
      </c>
      <c r="AB5779" s="4">
        <f t="shared" si="906"/>
        <v>154634.23076923075</v>
      </c>
      <c r="AC5779" s="6">
        <f t="shared" si="902"/>
        <v>6185.3692307692254</v>
      </c>
      <c r="AD5779" s="6">
        <f t="shared" si="903"/>
        <v>160819.59999999998</v>
      </c>
      <c r="AE5779" s="14">
        <f>VLOOKUP(I5779,[2]媒体政策预估表!A:N,MATCH(O5779,[2]媒体政策预估表!$A$2:$M$2,0),0)</f>
        <v>0.11</v>
      </c>
      <c r="AF5779" s="6">
        <f t="shared" si="899"/>
        <v>17690.155999999999</v>
      </c>
      <c r="AG5779" s="14">
        <v>0</v>
      </c>
      <c r="AH5779" s="64">
        <f t="shared" si="904"/>
        <v>160819.59999999998</v>
      </c>
      <c r="AI5779" s="47"/>
      <c r="AJ5779" s="126" t="e">
        <v>#N/A</v>
      </c>
      <c r="AK5779" s="80">
        <f t="shared" si="907"/>
        <v>0</v>
      </c>
      <c r="AL5779" s="85"/>
      <c r="AM5779" s="85"/>
    </row>
    <row r="5780" spans="1:39" s="86" customFormat="1" ht="13.25" hidden="1" customHeight="1" x14ac:dyDescent="0.3">
      <c r="A5780" s="89" t="s">
        <v>3792</v>
      </c>
      <c r="B5780" s="86" t="s">
        <v>35</v>
      </c>
      <c r="C5780" s="86" t="s">
        <v>164</v>
      </c>
      <c r="D5780" s="86" t="s">
        <v>174</v>
      </c>
      <c r="E5780" s="86" t="s">
        <v>651</v>
      </c>
      <c r="F5780" s="86" t="s">
        <v>651</v>
      </c>
      <c r="G5780" s="86" t="s">
        <v>651</v>
      </c>
      <c r="H5780" s="144">
        <v>62</v>
      </c>
      <c r="I5780" s="86" t="s">
        <v>408</v>
      </c>
      <c r="J5780" s="1" t="s">
        <v>3324</v>
      </c>
      <c r="K5780" s="1" t="s">
        <v>3278</v>
      </c>
      <c r="L5780" s="1" t="s">
        <v>35</v>
      </c>
      <c r="M5780" s="86" t="s">
        <v>657</v>
      </c>
      <c r="O5780" s="47" t="s">
        <v>941</v>
      </c>
      <c r="P5780" s="14" t="s">
        <v>46</v>
      </c>
      <c r="Q5780" s="14">
        <v>0.04</v>
      </c>
      <c r="R5780" s="143">
        <v>1000073750</v>
      </c>
      <c r="S5780" s="47"/>
      <c r="T5780" s="6">
        <v>-324384.75</v>
      </c>
      <c r="U5780" s="6"/>
      <c r="V5780" s="6">
        <v>73632.14</v>
      </c>
      <c r="W5780" s="6">
        <f t="shared" si="901"/>
        <v>-398016.89</v>
      </c>
      <c r="X5780" s="6">
        <f t="shared" si="900"/>
        <v>70800.13461538461</v>
      </c>
      <c r="Y5780" s="13">
        <f t="shared" si="905"/>
        <v>0</v>
      </c>
      <c r="Z5780" s="14">
        <v>0</v>
      </c>
      <c r="AA5780" s="6">
        <v>0</v>
      </c>
      <c r="AB5780" s="4">
        <f t="shared" si="906"/>
        <v>70800.13461538461</v>
      </c>
      <c r="AC5780" s="6">
        <f t="shared" si="902"/>
        <v>2832.0053846153896</v>
      </c>
      <c r="AD5780" s="6">
        <f t="shared" si="903"/>
        <v>73632.14</v>
      </c>
      <c r="AE5780" s="14">
        <f>VLOOKUP(I5780,[2]媒体政策预估表!A:N,MATCH(O5780,[2]媒体政策预估表!$A$2:$M$2,0),0)</f>
        <v>0.11</v>
      </c>
      <c r="AF5780" s="6">
        <f t="shared" si="899"/>
        <v>8099.5353999999998</v>
      </c>
      <c r="AG5780" s="14">
        <v>0</v>
      </c>
      <c r="AH5780" s="64">
        <f t="shared" si="904"/>
        <v>73632.14</v>
      </c>
      <c r="AI5780" s="47"/>
      <c r="AJ5780" s="126" t="e">
        <v>#N/A</v>
      </c>
      <c r="AK5780" s="80">
        <f t="shared" si="907"/>
        <v>0</v>
      </c>
      <c r="AL5780" s="85"/>
      <c r="AM5780" s="85"/>
    </row>
    <row r="5781" spans="1:39" s="86" customFormat="1" ht="13.25" hidden="1" customHeight="1" x14ac:dyDescent="0.3">
      <c r="A5781" s="89" t="s">
        <v>3792</v>
      </c>
      <c r="B5781" s="86" t="s">
        <v>35</v>
      </c>
      <c r="C5781" s="86" t="s">
        <v>164</v>
      </c>
      <c r="D5781" s="86" t="s">
        <v>174</v>
      </c>
      <c r="E5781" s="86" t="s">
        <v>651</v>
      </c>
      <c r="F5781" s="86" t="s">
        <v>651</v>
      </c>
      <c r="G5781" s="86" t="s">
        <v>651</v>
      </c>
      <c r="H5781" s="144">
        <v>62</v>
      </c>
      <c r="I5781" s="86" t="s">
        <v>408</v>
      </c>
      <c r="J5781" s="1" t="s">
        <v>3324</v>
      </c>
      <c r="K5781" s="1" t="s">
        <v>3278</v>
      </c>
      <c r="L5781" s="1" t="s">
        <v>35</v>
      </c>
      <c r="M5781" s="86" t="s">
        <v>655</v>
      </c>
      <c r="O5781" s="47" t="s">
        <v>941</v>
      </c>
      <c r="P5781" s="14" t="s">
        <v>46</v>
      </c>
      <c r="Q5781" s="14">
        <v>0.04</v>
      </c>
      <c r="R5781" s="143">
        <v>1000080359</v>
      </c>
      <c r="S5781" s="47"/>
      <c r="T5781" s="6">
        <v>-87122.12999999999</v>
      </c>
      <c r="U5781" s="6"/>
      <c r="V5781" s="6">
        <v>35242.410000000003</v>
      </c>
      <c r="W5781" s="6">
        <f t="shared" si="901"/>
        <v>-122364.54</v>
      </c>
      <c r="X5781" s="6">
        <f t="shared" si="900"/>
        <v>33886.932692307695</v>
      </c>
      <c r="Y5781" s="13">
        <f t="shared" si="905"/>
        <v>0</v>
      </c>
      <c r="Z5781" s="14">
        <v>0</v>
      </c>
      <c r="AA5781" s="6">
        <v>0</v>
      </c>
      <c r="AB5781" s="4">
        <f t="shared" si="906"/>
        <v>33886.932692307695</v>
      </c>
      <c r="AC5781" s="6">
        <f t="shared" si="902"/>
        <v>1355.4773076923084</v>
      </c>
      <c r="AD5781" s="6">
        <f t="shared" si="903"/>
        <v>35242.410000000003</v>
      </c>
      <c r="AE5781" s="14">
        <f>VLOOKUP(I5781,[2]媒体政策预估表!A:N,MATCH(O5781,[2]媒体政策预估表!$A$2:$M$2,0),0)</f>
        <v>0.11</v>
      </c>
      <c r="AF5781" s="6">
        <f t="shared" si="899"/>
        <v>3876.6651000000006</v>
      </c>
      <c r="AG5781" s="14">
        <v>0</v>
      </c>
      <c r="AH5781" s="64">
        <f t="shared" si="904"/>
        <v>35242.410000000003</v>
      </c>
      <c r="AI5781" s="47"/>
      <c r="AJ5781" s="126" t="e">
        <v>#N/A</v>
      </c>
      <c r="AK5781" s="80">
        <f t="shared" si="907"/>
        <v>0</v>
      </c>
      <c r="AL5781" s="85"/>
      <c r="AM5781" s="85"/>
    </row>
    <row r="5782" spans="1:39" s="86" customFormat="1" ht="13.25" hidden="1" customHeight="1" x14ac:dyDescent="0.3">
      <c r="A5782" s="89" t="s">
        <v>3806</v>
      </c>
      <c r="B5782" s="86" t="s">
        <v>35</v>
      </c>
      <c r="C5782" s="86" t="s">
        <v>144</v>
      </c>
      <c r="D5782" s="86" t="s">
        <v>161</v>
      </c>
      <c r="E5782" s="86" t="s">
        <v>55</v>
      </c>
      <c r="F5782" s="86" t="s">
        <v>607</v>
      </c>
      <c r="G5782" s="86" t="s">
        <v>55</v>
      </c>
      <c r="H5782" s="144">
        <v>62</v>
      </c>
      <c r="I5782" s="86" t="s">
        <v>408</v>
      </c>
      <c r="J5782" s="1" t="s">
        <v>3324</v>
      </c>
      <c r="K5782" s="1" t="s">
        <v>3278</v>
      </c>
      <c r="L5782" s="1" t="s">
        <v>35</v>
      </c>
      <c r="M5782" s="86" t="s">
        <v>608</v>
      </c>
      <c r="O5782" s="47" t="s">
        <v>941</v>
      </c>
      <c r="P5782" s="14" t="s">
        <v>41</v>
      </c>
      <c r="Q5782" s="14">
        <v>0</v>
      </c>
      <c r="R5782" s="143">
        <v>1000083696</v>
      </c>
      <c r="S5782" s="47"/>
      <c r="T5782" s="6">
        <v>-391626.81</v>
      </c>
      <c r="U5782" s="6"/>
      <c r="V5782" s="6">
        <v>302643.39</v>
      </c>
      <c r="W5782" s="6">
        <f t="shared" si="901"/>
        <v>-694270.2</v>
      </c>
      <c r="X5782" s="6">
        <f t="shared" si="900"/>
        <v>302643.39</v>
      </c>
      <c r="Y5782" s="13">
        <f t="shared" si="905"/>
        <v>0</v>
      </c>
      <c r="Z5782" s="14">
        <v>0</v>
      </c>
      <c r="AA5782" s="6">
        <v>0</v>
      </c>
      <c r="AB5782" s="4">
        <f t="shared" si="906"/>
        <v>302643.39</v>
      </c>
      <c r="AC5782" s="6">
        <f t="shared" si="902"/>
        <v>0</v>
      </c>
      <c r="AD5782" s="6">
        <f t="shared" si="903"/>
        <v>302643.39</v>
      </c>
      <c r="AE5782" s="14">
        <f>VLOOKUP(I5782,[2]媒体政策预估表!A:N,MATCH(O5782,[2]媒体政策预估表!$A$2:$M$2,0),0)</f>
        <v>0.11</v>
      </c>
      <c r="AF5782" s="6">
        <f t="shared" si="899"/>
        <v>33290.772900000004</v>
      </c>
      <c r="AG5782" s="14">
        <v>0</v>
      </c>
      <c r="AH5782" s="64">
        <f t="shared" si="904"/>
        <v>302643.39</v>
      </c>
      <c r="AI5782" s="47"/>
      <c r="AJ5782" s="126" t="e">
        <v>#N/A</v>
      </c>
      <c r="AK5782" s="80">
        <f t="shared" si="907"/>
        <v>0</v>
      </c>
      <c r="AL5782" s="85"/>
      <c r="AM5782" s="85"/>
    </row>
    <row r="5783" spans="1:39" s="86" customFormat="1" ht="13.25" hidden="1" customHeight="1" x14ac:dyDescent="0.3">
      <c r="A5783" s="89" t="s">
        <v>3792</v>
      </c>
      <c r="B5783" s="86" t="s">
        <v>35</v>
      </c>
      <c r="C5783" s="86" t="s">
        <v>164</v>
      </c>
      <c r="D5783" s="86" t="s">
        <v>174</v>
      </c>
      <c r="E5783" s="86" t="s">
        <v>651</v>
      </c>
      <c r="F5783" s="86" t="s">
        <v>651</v>
      </c>
      <c r="G5783" s="86" t="s">
        <v>651</v>
      </c>
      <c r="H5783" s="144">
        <v>62</v>
      </c>
      <c r="I5783" s="86" t="s">
        <v>408</v>
      </c>
      <c r="J5783" s="1" t="s">
        <v>3324</v>
      </c>
      <c r="K5783" s="1" t="s">
        <v>3278</v>
      </c>
      <c r="L5783" s="1" t="s">
        <v>35</v>
      </c>
      <c r="M5783" s="86" t="s">
        <v>656</v>
      </c>
      <c r="O5783" s="47" t="s">
        <v>941</v>
      </c>
      <c r="P5783" s="14" t="s">
        <v>46</v>
      </c>
      <c r="Q5783" s="14">
        <v>0.04</v>
      </c>
      <c r="R5783" s="143">
        <v>1000084508</v>
      </c>
      <c r="S5783" s="47"/>
      <c r="T5783" s="6">
        <v>-98491.510000000024</v>
      </c>
      <c r="U5783" s="6"/>
      <c r="V5783" s="6">
        <v>45494.7</v>
      </c>
      <c r="W5783" s="6">
        <f t="shared" si="901"/>
        <v>-143986.21000000002</v>
      </c>
      <c r="X5783" s="6">
        <f t="shared" si="900"/>
        <v>43744.903846153844</v>
      </c>
      <c r="Y5783" s="13">
        <f t="shared" si="905"/>
        <v>0</v>
      </c>
      <c r="Z5783" s="14">
        <v>0</v>
      </c>
      <c r="AA5783" s="6">
        <v>0</v>
      </c>
      <c r="AB5783" s="4">
        <f t="shared" si="906"/>
        <v>43744.903846153844</v>
      </c>
      <c r="AC5783" s="6">
        <f t="shared" si="902"/>
        <v>1749.7961538461532</v>
      </c>
      <c r="AD5783" s="6">
        <f t="shared" si="903"/>
        <v>45494.7</v>
      </c>
      <c r="AE5783" s="14">
        <f>VLOOKUP(I5783,[2]媒体政策预估表!A:N,MATCH(O5783,[2]媒体政策预估表!$A$2:$M$2,0),0)</f>
        <v>0.11</v>
      </c>
      <c r="AF5783" s="6">
        <f t="shared" si="899"/>
        <v>5004.4169999999995</v>
      </c>
      <c r="AG5783" s="14">
        <v>0</v>
      </c>
      <c r="AH5783" s="64">
        <f t="shared" si="904"/>
        <v>45494.7</v>
      </c>
      <c r="AI5783" s="47"/>
      <c r="AJ5783" s="126" t="e">
        <v>#N/A</v>
      </c>
      <c r="AK5783" s="80">
        <f t="shared" si="907"/>
        <v>0</v>
      </c>
      <c r="AL5783" s="85"/>
      <c r="AM5783" s="85"/>
    </row>
    <row r="5784" spans="1:39" s="86" customFormat="1" ht="13.25" hidden="1" customHeight="1" x14ac:dyDescent="0.3">
      <c r="A5784" s="89" t="s">
        <v>3806</v>
      </c>
      <c r="B5784" s="86" t="s">
        <v>35</v>
      </c>
      <c r="C5784" s="86" t="s">
        <v>164</v>
      </c>
      <c r="D5784" s="86" t="s">
        <v>174</v>
      </c>
      <c r="E5784" s="86" t="s">
        <v>651</v>
      </c>
      <c r="F5784" s="86" t="s">
        <v>651</v>
      </c>
      <c r="G5784" s="86" t="s">
        <v>651</v>
      </c>
      <c r="H5784" s="144">
        <v>62</v>
      </c>
      <c r="I5784" s="86" t="s">
        <v>408</v>
      </c>
      <c r="J5784" s="1" t="s">
        <v>3324</v>
      </c>
      <c r="K5784" s="1" t="s">
        <v>3278</v>
      </c>
      <c r="L5784" s="1" t="s">
        <v>35</v>
      </c>
      <c r="M5784" s="86" t="s">
        <v>658</v>
      </c>
      <c r="O5784" s="47" t="s">
        <v>941</v>
      </c>
      <c r="P5784" s="14" t="s">
        <v>46</v>
      </c>
      <c r="Q5784" s="14">
        <v>0.04</v>
      </c>
      <c r="R5784" s="143">
        <v>1000085275</v>
      </c>
      <c r="S5784" s="47"/>
      <c r="T5784" s="6">
        <v>-373270.02</v>
      </c>
      <c r="U5784" s="6"/>
      <c r="V5784" s="6">
        <v>80023.950000000012</v>
      </c>
      <c r="W5784" s="6">
        <f t="shared" si="901"/>
        <v>-453293.97000000003</v>
      </c>
      <c r="X5784" s="6">
        <f t="shared" si="900"/>
        <v>76946.10576923078</v>
      </c>
      <c r="Y5784" s="13">
        <f t="shared" si="905"/>
        <v>0</v>
      </c>
      <c r="Z5784" s="14">
        <v>0</v>
      </c>
      <c r="AA5784" s="6">
        <v>0</v>
      </c>
      <c r="AB5784" s="4">
        <f t="shared" si="906"/>
        <v>76946.10576923078</v>
      </c>
      <c r="AC5784" s="6">
        <f t="shared" si="902"/>
        <v>3077.8442307692312</v>
      </c>
      <c r="AD5784" s="6">
        <f t="shared" si="903"/>
        <v>80023.950000000012</v>
      </c>
      <c r="AE5784" s="14">
        <f>VLOOKUP(I5784,[2]媒体政策预估表!A:N,MATCH(O5784,[2]媒体政策预估表!$A$2:$M$2,0),0)</f>
        <v>0.11</v>
      </c>
      <c r="AF5784" s="6">
        <f t="shared" si="899"/>
        <v>8802.6345000000019</v>
      </c>
      <c r="AG5784" s="14">
        <v>0</v>
      </c>
      <c r="AH5784" s="64">
        <f t="shared" si="904"/>
        <v>80023.950000000012</v>
      </c>
      <c r="AI5784" s="47"/>
      <c r="AJ5784" s="126" t="e">
        <v>#N/A</v>
      </c>
      <c r="AK5784" s="80">
        <f t="shared" si="907"/>
        <v>0</v>
      </c>
      <c r="AL5784" s="85"/>
      <c r="AM5784" s="85"/>
    </row>
    <row r="5785" spans="1:39" s="86" customFormat="1" ht="13.25" hidden="1" customHeight="1" x14ac:dyDescent="0.3">
      <c r="A5785" s="89" t="s">
        <v>3806</v>
      </c>
      <c r="B5785" s="86" t="s">
        <v>35</v>
      </c>
      <c r="C5785" s="86" t="s">
        <v>164</v>
      </c>
      <c r="D5785" s="86" t="s">
        <v>174</v>
      </c>
      <c r="E5785" s="86" t="s">
        <v>651</v>
      </c>
      <c r="F5785" s="86" t="s">
        <v>651</v>
      </c>
      <c r="G5785" s="86" t="s">
        <v>651</v>
      </c>
      <c r="H5785" s="144">
        <v>62</v>
      </c>
      <c r="I5785" s="86" t="s">
        <v>408</v>
      </c>
      <c r="J5785" s="1" t="s">
        <v>3324</v>
      </c>
      <c r="K5785" s="1" t="s">
        <v>3278</v>
      </c>
      <c r="L5785" s="1" t="s">
        <v>35</v>
      </c>
      <c r="M5785" s="86" t="s">
        <v>652</v>
      </c>
      <c r="O5785" s="47" t="s">
        <v>941</v>
      </c>
      <c r="P5785" s="14" t="s">
        <v>46</v>
      </c>
      <c r="Q5785" s="14">
        <v>0.04</v>
      </c>
      <c r="R5785" s="143">
        <v>1000085487</v>
      </c>
      <c r="S5785" s="47"/>
      <c r="T5785" s="6">
        <v>-129422.83000000002</v>
      </c>
      <c r="U5785" s="6"/>
      <c r="V5785" s="6">
        <v>53540.930000000008</v>
      </c>
      <c r="W5785" s="6">
        <f t="shared" si="901"/>
        <v>-182963.76</v>
      </c>
      <c r="X5785" s="6">
        <f t="shared" si="900"/>
        <v>51481.663461538468</v>
      </c>
      <c r="Y5785" s="13">
        <f t="shared" si="905"/>
        <v>0</v>
      </c>
      <c r="Z5785" s="14">
        <v>0</v>
      </c>
      <c r="AA5785" s="6">
        <v>0</v>
      </c>
      <c r="AB5785" s="4">
        <f t="shared" si="906"/>
        <v>51481.663461538468</v>
      </c>
      <c r="AC5785" s="6">
        <f t="shared" si="902"/>
        <v>2059.2665384615393</v>
      </c>
      <c r="AD5785" s="6">
        <f t="shared" si="903"/>
        <v>53540.930000000008</v>
      </c>
      <c r="AE5785" s="14">
        <f>VLOOKUP(I5785,[2]媒体政策预估表!A:N,MATCH(O5785,[2]媒体政策预估表!$A$2:$M$2,0),0)</f>
        <v>0.11</v>
      </c>
      <c r="AF5785" s="6">
        <f t="shared" si="899"/>
        <v>5889.502300000001</v>
      </c>
      <c r="AG5785" s="14">
        <v>0</v>
      </c>
      <c r="AH5785" s="64">
        <f t="shared" si="904"/>
        <v>53540.930000000008</v>
      </c>
      <c r="AI5785" s="47"/>
      <c r="AJ5785" s="126" t="e">
        <v>#N/A</v>
      </c>
      <c r="AK5785" s="80">
        <f t="shared" si="907"/>
        <v>0</v>
      </c>
      <c r="AL5785" s="85"/>
      <c r="AM5785" s="85"/>
    </row>
    <row r="5786" spans="1:39" s="86" customFormat="1" ht="13.25" hidden="1" customHeight="1" x14ac:dyDescent="0.3">
      <c r="A5786" s="89" t="s">
        <v>3792</v>
      </c>
      <c r="B5786" s="86" t="s">
        <v>35</v>
      </c>
      <c r="C5786" s="86" t="s">
        <v>164</v>
      </c>
      <c r="D5786" s="86" t="s">
        <v>174</v>
      </c>
      <c r="E5786" s="86" t="s">
        <v>651</v>
      </c>
      <c r="F5786" s="86" t="s">
        <v>651</v>
      </c>
      <c r="G5786" s="86" t="s">
        <v>651</v>
      </c>
      <c r="H5786" s="144">
        <v>62</v>
      </c>
      <c r="I5786" s="86" t="s">
        <v>408</v>
      </c>
      <c r="J5786" s="1" t="s">
        <v>3324</v>
      </c>
      <c r="K5786" s="1" t="s">
        <v>3278</v>
      </c>
      <c r="L5786" s="1" t="s">
        <v>35</v>
      </c>
      <c r="M5786" s="86" t="s">
        <v>653</v>
      </c>
      <c r="O5786" s="47" t="s">
        <v>941</v>
      </c>
      <c r="P5786" s="14" t="s">
        <v>46</v>
      </c>
      <c r="Q5786" s="14">
        <v>0.04</v>
      </c>
      <c r="R5786" s="143">
        <v>1000088200</v>
      </c>
      <c r="S5786" s="47"/>
      <c r="T5786" s="6">
        <v>-387725.5</v>
      </c>
      <c r="U5786" s="6"/>
      <c r="V5786" s="6">
        <v>77881.76999999999</v>
      </c>
      <c r="W5786" s="6">
        <f t="shared" si="901"/>
        <v>-465607.27</v>
      </c>
      <c r="X5786" s="6">
        <f t="shared" si="900"/>
        <v>74886.317307692298</v>
      </c>
      <c r="Y5786" s="13">
        <f t="shared" si="905"/>
        <v>0</v>
      </c>
      <c r="Z5786" s="14">
        <v>0</v>
      </c>
      <c r="AA5786" s="6">
        <v>0</v>
      </c>
      <c r="AB5786" s="4">
        <f t="shared" si="906"/>
        <v>74886.317307692298</v>
      </c>
      <c r="AC5786" s="6">
        <f t="shared" si="902"/>
        <v>2995.4526923076919</v>
      </c>
      <c r="AD5786" s="6">
        <f t="shared" si="903"/>
        <v>77881.76999999999</v>
      </c>
      <c r="AE5786" s="14">
        <f>VLOOKUP(I5786,[2]媒体政策预估表!A:N,MATCH(O5786,[2]媒体政策预估表!$A$2:$M$2,0),0)</f>
        <v>0.11</v>
      </c>
      <c r="AF5786" s="6">
        <f t="shared" si="899"/>
        <v>8566.9946999999993</v>
      </c>
      <c r="AG5786" s="14">
        <v>0</v>
      </c>
      <c r="AH5786" s="64">
        <f t="shared" si="904"/>
        <v>77881.76999999999</v>
      </c>
      <c r="AI5786" s="47"/>
      <c r="AJ5786" s="126" t="e">
        <v>#N/A</v>
      </c>
      <c r="AK5786" s="80">
        <f t="shared" si="907"/>
        <v>0</v>
      </c>
      <c r="AL5786" s="85"/>
      <c r="AM5786" s="85"/>
    </row>
    <row r="5787" spans="1:39" s="86" customFormat="1" ht="13.25" hidden="1" customHeight="1" x14ac:dyDescent="0.3">
      <c r="A5787" s="89" t="s">
        <v>3806</v>
      </c>
      <c r="B5787" s="86" t="s">
        <v>35</v>
      </c>
      <c r="C5787" s="86" t="s">
        <v>184</v>
      </c>
      <c r="D5787" s="86" t="s">
        <v>3849</v>
      </c>
      <c r="E5787" s="86" t="s">
        <v>550</v>
      </c>
      <c r="F5787" s="86" t="s">
        <v>551</v>
      </c>
      <c r="G5787" s="86" t="s">
        <v>550</v>
      </c>
      <c r="H5787" s="144">
        <v>62</v>
      </c>
      <c r="I5787" s="86" t="s">
        <v>408</v>
      </c>
      <c r="J5787" s="1" t="s">
        <v>3324</v>
      </c>
      <c r="K5787" s="1" t="s">
        <v>3278</v>
      </c>
      <c r="L5787" s="1" t="s">
        <v>35</v>
      </c>
      <c r="M5787" s="86" t="s">
        <v>552</v>
      </c>
      <c r="O5787" s="47" t="s">
        <v>941</v>
      </c>
      <c r="P5787" s="14" t="s">
        <v>46</v>
      </c>
      <c r="Q5787" s="14">
        <v>0.02</v>
      </c>
      <c r="R5787" s="143">
        <v>1000100619</v>
      </c>
      <c r="S5787" s="47"/>
      <c r="T5787" s="6">
        <v>-314104.90999999992</v>
      </c>
      <c r="U5787" s="6"/>
      <c r="V5787" s="6">
        <v>254302.53000000003</v>
      </c>
      <c r="W5787" s="6">
        <f t="shared" si="901"/>
        <v>-568407.43999999994</v>
      </c>
      <c r="X5787" s="6">
        <f t="shared" si="900"/>
        <v>249316.20588235295</v>
      </c>
      <c r="Y5787" s="13">
        <f t="shared" si="905"/>
        <v>0</v>
      </c>
      <c r="Z5787" s="14">
        <v>0</v>
      </c>
      <c r="AA5787" s="6">
        <v>0</v>
      </c>
      <c r="AB5787" s="4">
        <f t="shared" si="906"/>
        <v>249316.20588235295</v>
      </c>
      <c r="AC5787" s="6">
        <f t="shared" si="902"/>
        <v>4986.3241176470765</v>
      </c>
      <c r="AD5787" s="6">
        <f t="shared" si="903"/>
        <v>254302.53000000003</v>
      </c>
      <c r="AE5787" s="14">
        <f>VLOOKUP(I5787,[2]媒体政策预估表!A:N,MATCH(O5787,[2]媒体政策预估表!$A$2:$M$2,0),0)</f>
        <v>0.11</v>
      </c>
      <c r="AF5787" s="6">
        <f t="shared" si="899"/>
        <v>27973.278300000002</v>
      </c>
      <c r="AG5787" s="14">
        <v>0</v>
      </c>
      <c r="AH5787" s="64">
        <f t="shared" si="904"/>
        <v>254302.53000000003</v>
      </c>
      <c r="AI5787" s="47"/>
      <c r="AJ5787" s="126" t="e">
        <v>#N/A</v>
      </c>
      <c r="AK5787" s="80">
        <f t="shared" si="907"/>
        <v>0</v>
      </c>
      <c r="AL5787" s="85"/>
      <c r="AM5787" s="85"/>
    </row>
    <row r="5788" spans="1:39" s="86" customFormat="1" ht="13.25" hidden="1" customHeight="1" x14ac:dyDescent="0.3">
      <c r="A5788" s="89" t="s">
        <v>3792</v>
      </c>
      <c r="B5788" s="86" t="s">
        <v>35</v>
      </c>
      <c r="C5788" s="86" t="s">
        <v>65</v>
      </c>
      <c r="D5788" s="86" t="s">
        <v>66</v>
      </c>
      <c r="E5788" s="86" t="s">
        <v>1907</v>
      </c>
      <c r="F5788" s="86" t="s">
        <v>1908</v>
      </c>
      <c r="G5788" s="86" t="s">
        <v>1907</v>
      </c>
      <c r="H5788" s="144">
        <v>62</v>
      </c>
      <c r="I5788" s="86" t="s">
        <v>408</v>
      </c>
      <c r="J5788" s="1" t="s">
        <v>3324</v>
      </c>
      <c r="K5788" s="1" t="s">
        <v>3278</v>
      </c>
      <c r="L5788" s="1" t="s">
        <v>35</v>
      </c>
      <c r="M5788" s="86" t="s">
        <v>477</v>
      </c>
      <c r="O5788" s="47" t="s">
        <v>941</v>
      </c>
      <c r="P5788" s="14" t="s">
        <v>46</v>
      </c>
      <c r="Q5788" s="14">
        <v>0.03</v>
      </c>
      <c r="R5788" s="143">
        <v>1000100635</v>
      </c>
      <c r="S5788" s="47"/>
      <c r="T5788" s="6">
        <v>-112.01</v>
      </c>
      <c r="U5788" s="6"/>
      <c r="V5788" s="6">
        <v>1.82</v>
      </c>
      <c r="W5788" s="6">
        <f t="shared" si="901"/>
        <v>-113.83</v>
      </c>
      <c r="X5788" s="6">
        <f t="shared" si="900"/>
        <v>1.766990291262136</v>
      </c>
      <c r="Y5788" s="13">
        <f t="shared" si="905"/>
        <v>0</v>
      </c>
      <c r="Z5788" s="14">
        <v>0</v>
      </c>
      <c r="AA5788" s="6">
        <v>0</v>
      </c>
      <c r="AB5788" s="4">
        <f t="shared" si="906"/>
        <v>1.766990291262136</v>
      </c>
      <c r="AC5788" s="6">
        <f t="shared" si="902"/>
        <v>5.3009708737864036E-2</v>
      </c>
      <c r="AD5788" s="6">
        <f t="shared" si="903"/>
        <v>1.82</v>
      </c>
      <c r="AE5788" s="14">
        <f>VLOOKUP(I5788,[2]媒体政策预估表!A:N,MATCH(O5788,[2]媒体政策预估表!$A$2:$M$2,0),0)</f>
        <v>0.11</v>
      </c>
      <c r="AF5788" s="6">
        <f t="shared" si="899"/>
        <v>0.20020000000000002</v>
      </c>
      <c r="AG5788" s="14">
        <v>0</v>
      </c>
      <c r="AH5788" s="64">
        <f t="shared" si="904"/>
        <v>1.82</v>
      </c>
      <c r="AI5788" s="47"/>
      <c r="AJ5788" s="126" t="e">
        <v>#N/A</v>
      </c>
      <c r="AK5788" s="80">
        <f t="shared" si="907"/>
        <v>0</v>
      </c>
      <c r="AL5788" s="85"/>
      <c r="AM5788" s="85"/>
    </row>
    <row r="5789" spans="1:39" s="86" customFormat="1" ht="13.25" hidden="1" customHeight="1" x14ac:dyDescent="0.3">
      <c r="A5789" s="89" t="s">
        <v>3792</v>
      </c>
      <c r="B5789" s="86" t="s">
        <v>35</v>
      </c>
      <c r="C5789" s="86" t="s">
        <v>184</v>
      </c>
      <c r="D5789" s="86" t="s">
        <v>3849</v>
      </c>
      <c r="E5789" s="86" t="s">
        <v>533</v>
      </c>
      <c r="F5789" s="86" t="s">
        <v>533</v>
      </c>
      <c r="G5789" s="86" t="s">
        <v>533</v>
      </c>
      <c r="H5789" s="143">
        <v>62</v>
      </c>
      <c r="I5789" s="86" t="s">
        <v>408</v>
      </c>
      <c r="J5789" s="1" t="s">
        <v>3324</v>
      </c>
      <c r="K5789" s="1" t="s">
        <v>3278</v>
      </c>
      <c r="L5789" s="1" t="s">
        <v>35</v>
      </c>
      <c r="M5789" s="86" t="s">
        <v>535</v>
      </c>
      <c r="O5789" s="47" t="s">
        <v>941</v>
      </c>
      <c r="P5789" s="14" t="s">
        <v>46</v>
      </c>
      <c r="Q5789" s="14">
        <v>0.02</v>
      </c>
      <c r="R5789" s="143">
        <v>1000073749</v>
      </c>
      <c r="S5789" s="47"/>
      <c r="T5789" s="6">
        <v>-94324.159999999989</v>
      </c>
      <c r="U5789" s="6"/>
      <c r="V5789" s="6">
        <v>0</v>
      </c>
      <c r="W5789" s="6">
        <f t="shared" si="901"/>
        <v>-94324.159999999989</v>
      </c>
      <c r="X5789" s="6">
        <f t="shared" si="900"/>
        <v>0</v>
      </c>
      <c r="Y5789" s="13">
        <f t="shared" si="905"/>
        <v>0</v>
      </c>
      <c r="Z5789" s="14">
        <v>0</v>
      </c>
      <c r="AA5789" s="6">
        <v>0</v>
      </c>
      <c r="AB5789" s="4">
        <f t="shared" si="906"/>
        <v>0</v>
      </c>
      <c r="AC5789" s="6">
        <f t="shared" si="902"/>
        <v>0</v>
      </c>
      <c r="AD5789" s="6">
        <f t="shared" si="903"/>
        <v>0</v>
      </c>
      <c r="AE5789" s="14">
        <f>VLOOKUP(I5789,[2]媒体政策预估表!A:N,MATCH(O5789,[2]媒体政策预估表!$A$2:$M$2,0),0)</f>
        <v>0.11</v>
      </c>
      <c r="AF5789" s="6">
        <f t="shared" si="899"/>
        <v>0</v>
      </c>
      <c r="AG5789" s="14">
        <v>0</v>
      </c>
      <c r="AH5789" s="64">
        <f t="shared" si="904"/>
        <v>0</v>
      </c>
      <c r="AI5789" s="47"/>
      <c r="AJ5789" s="126" t="e">
        <v>#N/A</v>
      </c>
      <c r="AK5789" s="80">
        <f t="shared" si="907"/>
        <v>0</v>
      </c>
      <c r="AL5789" s="85"/>
      <c r="AM5789" s="85"/>
    </row>
    <row r="5790" spans="1:39" s="86" customFormat="1" ht="13.25" hidden="1" customHeight="1" x14ac:dyDescent="0.3">
      <c r="A5790" s="89" t="s">
        <v>3792</v>
      </c>
      <c r="B5790" s="86" t="s">
        <v>35</v>
      </c>
      <c r="C5790" s="86" t="s">
        <v>184</v>
      </c>
      <c r="D5790" s="86" t="s">
        <v>54</v>
      </c>
      <c r="E5790" s="86" t="s">
        <v>1069</v>
      </c>
      <c r="F5790" s="86" t="s">
        <v>3845</v>
      </c>
      <c r="G5790" s="86" t="s">
        <v>1069</v>
      </c>
      <c r="H5790" s="143">
        <v>62</v>
      </c>
      <c r="I5790" s="86" t="s">
        <v>408</v>
      </c>
      <c r="J5790" s="1" t="s">
        <v>3324</v>
      </c>
      <c r="K5790" s="1" t="s">
        <v>3278</v>
      </c>
      <c r="L5790" s="1" t="s">
        <v>35</v>
      </c>
      <c r="M5790" s="86" t="s">
        <v>3440</v>
      </c>
      <c r="O5790" s="47" t="s">
        <v>941</v>
      </c>
      <c r="P5790" s="14" t="s">
        <v>46</v>
      </c>
      <c r="Q5790" s="14">
        <v>0.04</v>
      </c>
      <c r="R5790" s="143">
        <v>1000101654</v>
      </c>
      <c r="S5790" s="47"/>
      <c r="T5790" s="6">
        <v>-2290.64</v>
      </c>
      <c r="U5790" s="6"/>
      <c r="V5790" s="6">
        <v>0</v>
      </c>
      <c r="W5790" s="6">
        <f t="shared" si="901"/>
        <v>-2290.64</v>
      </c>
      <c r="X5790" s="6">
        <f t="shared" si="900"/>
        <v>0</v>
      </c>
      <c r="Y5790" s="13">
        <f t="shared" si="905"/>
        <v>0</v>
      </c>
      <c r="Z5790" s="14">
        <v>0</v>
      </c>
      <c r="AA5790" s="6">
        <v>0</v>
      </c>
      <c r="AB5790" s="4">
        <f t="shared" si="906"/>
        <v>0</v>
      </c>
      <c r="AC5790" s="6">
        <f t="shared" si="902"/>
        <v>0</v>
      </c>
      <c r="AD5790" s="6">
        <f t="shared" si="903"/>
        <v>0</v>
      </c>
      <c r="AE5790" s="14">
        <f>VLOOKUP(I5790,[2]媒体政策预估表!A:N,MATCH(O5790,[2]媒体政策预估表!$A$2:$M$2,0),0)</f>
        <v>0.11</v>
      </c>
      <c r="AF5790" s="6">
        <f t="shared" si="899"/>
        <v>0</v>
      </c>
      <c r="AG5790" s="14">
        <v>0</v>
      </c>
      <c r="AH5790" s="64">
        <f t="shared" si="904"/>
        <v>0</v>
      </c>
      <c r="AI5790" s="47"/>
      <c r="AJ5790" s="126" t="e">
        <v>#N/A</v>
      </c>
      <c r="AK5790" s="80">
        <f t="shared" si="907"/>
        <v>0</v>
      </c>
      <c r="AL5790" s="85"/>
      <c r="AM5790" s="85"/>
    </row>
    <row r="5791" spans="1:39" s="86" customFormat="1" ht="13.25" hidden="1" customHeight="1" x14ac:dyDescent="0.3">
      <c r="A5791" s="89" t="s">
        <v>3806</v>
      </c>
      <c r="B5791" s="86" t="s">
        <v>35</v>
      </c>
      <c r="C5791" s="86" t="s">
        <v>65</v>
      </c>
      <c r="D5791" s="86" t="s">
        <v>66</v>
      </c>
      <c r="E5791" s="86" t="s">
        <v>1907</v>
      </c>
      <c r="F5791" s="86" t="s">
        <v>1908</v>
      </c>
      <c r="G5791" s="86" t="s">
        <v>1907</v>
      </c>
      <c r="H5791" s="143">
        <v>62</v>
      </c>
      <c r="I5791" s="86" t="s">
        <v>408</v>
      </c>
      <c r="J5791" s="1" t="s">
        <v>3324</v>
      </c>
      <c r="K5791" s="1" t="s">
        <v>3278</v>
      </c>
      <c r="L5791" s="1" t="s">
        <v>35</v>
      </c>
      <c r="M5791" s="86" t="s">
        <v>482</v>
      </c>
      <c r="O5791" s="47" t="s">
        <v>3859</v>
      </c>
      <c r="P5791" s="14" t="s">
        <v>41</v>
      </c>
      <c r="Q5791" s="14">
        <v>0</v>
      </c>
      <c r="R5791" s="143">
        <v>1000043032</v>
      </c>
      <c r="S5791" s="47"/>
      <c r="T5791" s="6">
        <v>-9080</v>
      </c>
      <c r="U5791" s="6"/>
      <c r="V5791" s="6"/>
      <c r="W5791" s="6">
        <f t="shared" si="901"/>
        <v>-9080</v>
      </c>
      <c r="X5791" s="6">
        <f t="shared" si="900"/>
        <v>0</v>
      </c>
      <c r="Y5791" s="13">
        <f t="shared" si="905"/>
        <v>0</v>
      </c>
      <c r="Z5791" s="14">
        <v>0</v>
      </c>
      <c r="AA5791" s="6">
        <v>0</v>
      </c>
      <c r="AB5791" s="4">
        <f t="shared" si="906"/>
        <v>0</v>
      </c>
      <c r="AC5791" s="6">
        <f t="shared" si="902"/>
        <v>0</v>
      </c>
      <c r="AD5791" s="6">
        <f t="shared" si="903"/>
        <v>0</v>
      </c>
      <c r="AE5791" s="14">
        <v>7.0000000000000007E-2</v>
      </c>
      <c r="AF5791" s="6">
        <f t="shared" si="899"/>
        <v>0</v>
      </c>
      <c r="AG5791" s="14">
        <v>0</v>
      </c>
      <c r="AH5791" s="64">
        <f t="shared" si="904"/>
        <v>0</v>
      </c>
      <c r="AI5791" s="47"/>
      <c r="AJ5791" s="126" t="e">
        <v>#N/A</v>
      </c>
      <c r="AK5791" s="80">
        <f t="shared" si="907"/>
        <v>0</v>
      </c>
      <c r="AL5791" s="85"/>
      <c r="AM5791" s="85"/>
    </row>
    <row r="5792" spans="1:39" s="86" customFormat="1" ht="13.25" hidden="1" customHeight="1" x14ac:dyDescent="0.3">
      <c r="A5792" s="89" t="s">
        <v>3806</v>
      </c>
      <c r="B5792" s="86" t="s">
        <v>35</v>
      </c>
      <c r="C5792" s="86" t="s">
        <v>65</v>
      </c>
      <c r="D5792" s="86" t="s">
        <v>66</v>
      </c>
      <c r="E5792" s="86" t="s">
        <v>1907</v>
      </c>
      <c r="F5792" s="86" t="s">
        <v>1908</v>
      </c>
      <c r="G5792" s="86" t="s">
        <v>1907</v>
      </c>
      <c r="H5792" s="143">
        <v>62</v>
      </c>
      <c r="I5792" s="86" t="s">
        <v>408</v>
      </c>
      <c r="J5792" s="1" t="s">
        <v>3324</v>
      </c>
      <c r="K5792" s="1" t="s">
        <v>3278</v>
      </c>
      <c r="L5792" s="1" t="s">
        <v>35</v>
      </c>
      <c r="M5792" s="86" t="s">
        <v>475</v>
      </c>
      <c r="O5792" s="47" t="s">
        <v>3859</v>
      </c>
      <c r="P5792" s="14" t="s">
        <v>41</v>
      </c>
      <c r="Q5792" s="14">
        <v>0</v>
      </c>
      <c r="R5792" s="143">
        <v>1000054594</v>
      </c>
      <c r="S5792" s="47"/>
      <c r="T5792" s="6">
        <v>-7807.77</v>
      </c>
      <c r="U5792" s="6"/>
      <c r="V5792" s="6"/>
      <c r="W5792" s="6">
        <f t="shared" si="901"/>
        <v>-7807.77</v>
      </c>
      <c r="X5792" s="6">
        <f t="shared" si="900"/>
        <v>0</v>
      </c>
      <c r="Y5792" s="13">
        <f t="shared" si="905"/>
        <v>0</v>
      </c>
      <c r="Z5792" s="14">
        <v>0</v>
      </c>
      <c r="AA5792" s="6">
        <v>0</v>
      </c>
      <c r="AB5792" s="4">
        <f t="shared" si="906"/>
        <v>0</v>
      </c>
      <c r="AC5792" s="6">
        <f t="shared" si="902"/>
        <v>0</v>
      </c>
      <c r="AD5792" s="6">
        <f t="shared" si="903"/>
        <v>0</v>
      </c>
      <c r="AE5792" s="14">
        <v>7.0000000000000007E-2</v>
      </c>
      <c r="AF5792" s="6">
        <f t="shared" si="899"/>
        <v>0</v>
      </c>
      <c r="AG5792" s="14">
        <v>0</v>
      </c>
      <c r="AH5792" s="64">
        <f t="shared" si="904"/>
        <v>0</v>
      </c>
      <c r="AI5792" s="47"/>
      <c r="AJ5792" s="126" t="e">
        <v>#N/A</v>
      </c>
      <c r="AK5792" s="80">
        <f t="shared" si="907"/>
        <v>0</v>
      </c>
      <c r="AL5792" s="85"/>
      <c r="AM5792" s="85"/>
    </row>
    <row r="5793" spans="1:39" s="86" customFormat="1" ht="13.25" hidden="1" customHeight="1" x14ac:dyDescent="0.3">
      <c r="A5793" s="89" t="s">
        <v>3806</v>
      </c>
      <c r="B5793" s="86" t="s">
        <v>35</v>
      </c>
      <c r="C5793" s="86" t="s">
        <v>65</v>
      </c>
      <c r="D5793" s="86" t="s">
        <v>66</v>
      </c>
      <c r="E5793" s="86" t="s">
        <v>1907</v>
      </c>
      <c r="F5793" s="86" t="s">
        <v>1908</v>
      </c>
      <c r="G5793" s="86" t="s">
        <v>1907</v>
      </c>
      <c r="H5793" s="143">
        <v>62</v>
      </c>
      <c r="I5793" s="86" t="s">
        <v>408</v>
      </c>
      <c r="J5793" s="1" t="s">
        <v>3324</v>
      </c>
      <c r="K5793" s="1" t="s">
        <v>3278</v>
      </c>
      <c r="L5793" s="1" t="s">
        <v>35</v>
      </c>
      <c r="M5793" s="86" t="s">
        <v>474</v>
      </c>
      <c r="O5793" s="47" t="s">
        <v>3859</v>
      </c>
      <c r="P5793" s="14" t="s">
        <v>41</v>
      </c>
      <c r="Q5793" s="14">
        <v>0</v>
      </c>
      <c r="R5793" s="143">
        <v>1000057798</v>
      </c>
      <c r="S5793" s="47"/>
      <c r="T5793" s="6">
        <v>-1012</v>
      </c>
      <c r="U5793" s="6"/>
      <c r="V5793" s="6"/>
      <c r="W5793" s="6">
        <f t="shared" si="901"/>
        <v>-1012</v>
      </c>
      <c r="X5793" s="6">
        <f t="shared" si="900"/>
        <v>0</v>
      </c>
      <c r="Y5793" s="13">
        <f t="shared" si="905"/>
        <v>0</v>
      </c>
      <c r="Z5793" s="14">
        <v>0</v>
      </c>
      <c r="AA5793" s="6">
        <v>0</v>
      </c>
      <c r="AB5793" s="4">
        <f t="shared" si="906"/>
        <v>0</v>
      </c>
      <c r="AC5793" s="6">
        <f t="shared" si="902"/>
        <v>0</v>
      </c>
      <c r="AD5793" s="6">
        <f t="shared" si="903"/>
        <v>0</v>
      </c>
      <c r="AE5793" s="14">
        <v>7.0000000000000007E-2</v>
      </c>
      <c r="AF5793" s="6">
        <f t="shared" si="899"/>
        <v>0</v>
      </c>
      <c r="AG5793" s="14">
        <v>0</v>
      </c>
      <c r="AH5793" s="64">
        <f t="shared" si="904"/>
        <v>0</v>
      </c>
      <c r="AI5793" s="47"/>
      <c r="AJ5793" s="126" t="e">
        <v>#N/A</v>
      </c>
      <c r="AK5793" s="80">
        <f t="shared" si="907"/>
        <v>0</v>
      </c>
      <c r="AL5793" s="85"/>
      <c r="AM5793" s="85"/>
    </row>
    <row r="5794" spans="1:39" s="86" customFormat="1" ht="13.25" hidden="1" customHeight="1" x14ac:dyDescent="0.3">
      <c r="A5794" s="89" t="s">
        <v>3792</v>
      </c>
      <c r="B5794" s="86" t="s">
        <v>35</v>
      </c>
      <c r="C5794" s="86" t="s">
        <v>184</v>
      </c>
      <c r="D5794" s="86" t="s">
        <v>54</v>
      </c>
      <c r="E5794" s="86" t="s">
        <v>1069</v>
      </c>
      <c r="F5794" s="86" t="s">
        <v>3845</v>
      </c>
      <c r="G5794" s="86" t="s">
        <v>1069</v>
      </c>
      <c r="H5794" s="144">
        <v>62</v>
      </c>
      <c r="I5794" s="86" t="s">
        <v>408</v>
      </c>
      <c r="J5794" s="1" t="s">
        <v>3324</v>
      </c>
      <c r="K5794" s="1" t="s">
        <v>3278</v>
      </c>
      <c r="L5794" s="1" t="s">
        <v>35</v>
      </c>
      <c r="M5794" s="86" t="s">
        <v>3846</v>
      </c>
      <c r="O5794" s="47" t="s">
        <v>3860</v>
      </c>
      <c r="P5794" s="47" t="s">
        <v>46</v>
      </c>
      <c r="Q5794" s="14">
        <v>0.04</v>
      </c>
      <c r="R5794" s="143">
        <v>1000105219</v>
      </c>
      <c r="S5794" s="47"/>
      <c r="T5794" s="6">
        <v>0</v>
      </c>
      <c r="U5794" s="6">
        <v>0</v>
      </c>
      <c r="V5794" s="6">
        <v>6915</v>
      </c>
      <c r="W5794" s="6">
        <f t="shared" si="901"/>
        <v>-6915</v>
      </c>
      <c r="X5794" s="6">
        <f t="shared" si="900"/>
        <v>6649.038461538461</v>
      </c>
      <c r="Y5794" s="13">
        <f t="shared" si="905"/>
        <v>0</v>
      </c>
      <c r="Z5794" s="66">
        <v>0</v>
      </c>
      <c r="AA5794" s="6">
        <v>0</v>
      </c>
      <c r="AB5794" s="4">
        <f t="shared" si="906"/>
        <v>6649.038461538461</v>
      </c>
      <c r="AC5794" s="6">
        <f t="shared" si="902"/>
        <v>265.96153846153902</v>
      </c>
      <c r="AD5794" s="6">
        <f t="shared" si="903"/>
        <v>6915</v>
      </c>
      <c r="AE5794" s="14">
        <f>VLOOKUP(I5794,[2]媒体政策预估表!A:N,MATCH(O5794,[2]媒体政策预估表!$A$2:$M$2,0),0)</f>
        <v>7.0000000000000007E-2</v>
      </c>
      <c r="AF5794" s="6">
        <f t="shared" si="899"/>
        <v>484.05000000000007</v>
      </c>
      <c r="AG5794" s="14">
        <v>0</v>
      </c>
      <c r="AH5794" s="64">
        <f t="shared" si="904"/>
        <v>6915</v>
      </c>
      <c r="AI5794" s="47"/>
      <c r="AJ5794" s="126" t="e">
        <v>#N/A</v>
      </c>
      <c r="AK5794" s="80">
        <f t="shared" si="907"/>
        <v>0</v>
      </c>
      <c r="AL5794" s="85"/>
      <c r="AM5794" s="85"/>
    </row>
    <row r="5795" spans="1:39" s="86" customFormat="1" ht="13.25" hidden="1" customHeight="1" x14ac:dyDescent="0.3">
      <c r="A5795" s="89" t="s">
        <v>3794</v>
      </c>
      <c r="B5795" s="86" t="s">
        <v>35</v>
      </c>
      <c r="C5795" s="86" t="s">
        <v>65</v>
      </c>
      <c r="D5795" s="86" t="s">
        <v>66</v>
      </c>
      <c r="E5795" s="86" t="s">
        <v>501</v>
      </c>
      <c r="F5795" s="86" t="s">
        <v>501</v>
      </c>
      <c r="G5795" s="86" t="s">
        <v>501</v>
      </c>
      <c r="H5795" s="144">
        <v>62</v>
      </c>
      <c r="I5795" s="86" t="s">
        <v>408</v>
      </c>
      <c r="J5795" s="1" t="s">
        <v>3324</v>
      </c>
      <c r="K5795" s="1" t="s">
        <v>3278</v>
      </c>
      <c r="L5795" s="1" t="s">
        <v>35</v>
      </c>
      <c r="M5795" s="86" t="s">
        <v>3809</v>
      </c>
      <c r="O5795" s="47" t="s">
        <v>3861</v>
      </c>
      <c r="P5795" s="47" t="s">
        <v>41</v>
      </c>
      <c r="Q5795" s="14">
        <v>0</v>
      </c>
      <c r="R5795" s="143">
        <v>1000048434</v>
      </c>
      <c r="S5795" s="47"/>
      <c r="T5795" s="6">
        <v>0</v>
      </c>
      <c r="U5795" s="6">
        <v>0</v>
      </c>
      <c r="V5795" s="6">
        <v>21985.989999999998</v>
      </c>
      <c r="W5795" s="6">
        <f t="shared" si="901"/>
        <v>-21985.989999999998</v>
      </c>
      <c r="X5795" s="6">
        <f t="shared" si="900"/>
        <v>21985.989999999998</v>
      </c>
      <c r="Y5795" s="13">
        <f t="shared" si="905"/>
        <v>0</v>
      </c>
      <c r="Z5795" s="66">
        <v>0</v>
      </c>
      <c r="AA5795" s="6">
        <v>0</v>
      </c>
      <c r="AB5795" s="4">
        <f t="shared" si="906"/>
        <v>21985.989999999998</v>
      </c>
      <c r="AC5795" s="6">
        <f t="shared" si="902"/>
        <v>0</v>
      </c>
      <c r="AD5795" s="6">
        <f t="shared" si="903"/>
        <v>21985.989999999998</v>
      </c>
      <c r="AE5795" s="14">
        <f>VLOOKUP(I5795,[2]媒体政策预估表!A:N,MATCH(O5795,[2]媒体政策预估表!$A$2:$M$2,0),0)</f>
        <v>0.11</v>
      </c>
      <c r="AF5795" s="6">
        <f t="shared" si="899"/>
        <v>2418.4588999999996</v>
      </c>
      <c r="AG5795" s="14">
        <v>0</v>
      </c>
      <c r="AH5795" s="64">
        <f t="shared" si="904"/>
        <v>21985.989999999998</v>
      </c>
      <c r="AI5795" s="47"/>
      <c r="AJ5795" s="126" t="e">
        <v>#N/A</v>
      </c>
      <c r="AK5795" s="80">
        <f t="shared" si="907"/>
        <v>0</v>
      </c>
      <c r="AL5795" s="85"/>
      <c r="AM5795" s="85"/>
    </row>
    <row r="5796" spans="1:39" s="86" customFormat="1" ht="13.25" hidden="1" customHeight="1" x14ac:dyDescent="0.3">
      <c r="A5796" s="89" t="s">
        <v>3806</v>
      </c>
      <c r="B5796" s="86" t="s">
        <v>35</v>
      </c>
      <c r="C5796" s="86" t="s">
        <v>164</v>
      </c>
      <c r="D5796" s="86" t="s">
        <v>174</v>
      </c>
      <c r="E5796" s="86" t="s">
        <v>1634</v>
      </c>
      <c r="F5796" s="86" t="s">
        <v>1635</v>
      </c>
      <c r="G5796" s="86" t="s">
        <v>1634</v>
      </c>
      <c r="H5796" s="144">
        <v>62</v>
      </c>
      <c r="I5796" s="86" t="s">
        <v>408</v>
      </c>
      <c r="J5796" s="1" t="s">
        <v>3324</v>
      </c>
      <c r="K5796" s="1" t="s">
        <v>3278</v>
      </c>
      <c r="L5796" s="1" t="s">
        <v>35</v>
      </c>
      <c r="M5796" s="86" t="s">
        <v>3824</v>
      </c>
      <c r="O5796" s="47" t="s">
        <v>3862</v>
      </c>
      <c r="P5796" s="47" t="s">
        <v>46</v>
      </c>
      <c r="Q5796" s="14">
        <v>0.05</v>
      </c>
      <c r="R5796" s="143">
        <v>1000081029</v>
      </c>
      <c r="S5796" s="47"/>
      <c r="T5796" s="6">
        <v>0</v>
      </c>
      <c r="U5796" s="6">
        <v>0</v>
      </c>
      <c r="V5796" s="6">
        <v>28227.48</v>
      </c>
      <c r="W5796" s="6">
        <f t="shared" si="901"/>
        <v>-28227.48</v>
      </c>
      <c r="X5796" s="6">
        <f t="shared" si="900"/>
        <v>26883.314285714285</v>
      </c>
      <c r="Y5796" s="13">
        <f t="shared" si="905"/>
        <v>0</v>
      </c>
      <c r="Z5796" s="66">
        <v>0</v>
      </c>
      <c r="AA5796" s="6">
        <v>0</v>
      </c>
      <c r="AB5796" s="4">
        <f t="shared" si="906"/>
        <v>26883.314285714285</v>
      </c>
      <c r="AC5796" s="6">
        <f t="shared" si="902"/>
        <v>1344.1657142857148</v>
      </c>
      <c r="AD5796" s="6">
        <f t="shared" si="903"/>
        <v>28227.48</v>
      </c>
      <c r="AE5796" s="14">
        <f>VLOOKUP(I5796,[2]媒体政策预估表!A:N,MATCH(O5796,[2]媒体政策预估表!$A$2:$M$2,0),0)</f>
        <v>0.11</v>
      </c>
      <c r="AF5796" s="6">
        <f t="shared" ref="AF5796:AF5859" si="908">AD5796*AE5796</f>
        <v>3105.0228000000002</v>
      </c>
      <c r="AG5796" s="14">
        <v>0</v>
      </c>
      <c r="AH5796" s="64">
        <f t="shared" si="904"/>
        <v>28227.48</v>
      </c>
      <c r="AI5796" s="47"/>
      <c r="AJ5796" s="126" t="e">
        <v>#N/A</v>
      </c>
      <c r="AK5796" s="80">
        <f t="shared" si="907"/>
        <v>0</v>
      </c>
      <c r="AL5796" s="85"/>
      <c r="AM5796" s="85"/>
    </row>
    <row r="5797" spans="1:39" s="86" customFormat="1" ht="13.25" hidden="1" customHeight="1" x14ac:dyDescent="0.3">
      <c r="A5797" s="89" t="s">
        <v>3805</v>
      </c>
      <c r="B5797" s="86" t="s">
        <v>35</v>
      </c>
      <c r="C5797" s="86" t="s">
        <v>164</v>
      </c>
      <c r="D5797" s="86" t="s">
        <v>174</v>
      </c>
      <c r="E5797" s="86" t="s">
        <v>1634</v>
      </c>
      <c r="F5797" s="86" t="s">
        <v>1635</v>
      </c>
      <c r="G5797" s="86" t="s">
        <v>1634</v>
      </c>
      <c r="H5797" s="144">
        <v>62</v>
      </c>
      <c r="I5797" s="86" t="s">
        <v>408</v>
      </c>
      <c r="J5797" s="1" t="s">
        <v>3324</v>
      </c>
      <c r="K5797" s="1" t="s">
        <v>3278</v>
      </c>
      <c r="L5797" s="1" t="s">
        <v>35</v>
      </c>
      <c r="M5797" s="86" t="s">
        <v>3823</v>
      </c>
      <c r="O5797" s="47" t="s">
        <v>3863</v>
      </c>
      <c r="P5797" s="47" t="s">
        <v>46</v>
      </c>
      <c r="Q5797" s="14">
        <v>0.05</v>
      </c>
      <c r="R5797" s="143">
        <v>1000104376</v>
      </c>
      <c r="S5797" s="47"/>
      <c r="T5797" s="6">
        <v>0</v>
      </c>
      <c r="U5797" s="6">
        <v>0</v>
      </c>
      <c r="V5797" s="6">
        <v>128021.82999999999</v>
      </c>
      <c r="W5797" s="6">
        <f t="shared" si="901"/>
        <v>-128021.82999999999</v>
      </c>
      <c r="X5797" s="6">
        <f t="shared" si="900"/>
        <v>121925.55238095236</v>
      </c>
      <c r="Y5797" s="13">
        <f t="shared" si="905"/>
        <v>0</v>
      </c>
      <c r="Z5797" s="66">
        <v>0</v>
      </c>
      <c r="AA5797" s="6">
        <v>0</v>
      </c>
      <c r="AB5797" s="4">
        <f t="shared" si="906"/>
        <v>121925.55238095236</v>
      </c>
      <c r="AC5797" s="6">
        <f t="shared" si="902"/>
        <v>6096.2776190476288</v>
      </c>
      <c r="AD5797" s="6">
        <f t="shared" si="903"/>
        <v>128021.82999999999</v>
      </c>
      <c r="AE5797" s="14">
        <f>VLOOKUP(I5797,[2]媒体政策预估表!A:N,MATCH(O5797,[2]媒体政策预估表!$A$2:$M$2,0),0)</f>
        <v>0.11</v>
      </c>
      <c r="AF5797" s="6">
        <f t="shared" si="908"/>
        <v>14082.4013</v>
      </c>
      <c r="AG5797" s="14">
        <v>0</v>
      </c>
      <c r="AH5797" s="64">
        <f t="shared" si="904"/>
        <v>128021.82999999999</v>
      </c>
      <c r="AI5797" s="47"/>
      <c r="AJ5797" s="126" t="e">
        <v>#N/A</v>
      </c>
      <c r="AK5797" s="80">
        <f t="shared" si="907"/>
        <v>0</v>
      </c>
      <c r="AL5797" s="85"/>
      <c r="AM5797" s="85"/>
    </row>
    <row r="5798" spans="1:39" s="86" customFormat="1" ht="13.25" hidden="1" customHeight="1" x14ac:dyDescent="0.3">
      <c r="A5798" s="89" t="s">
        <v>3794</v>
      </c>
      <c r="B5798" s="86" t="s">
        <v>35</v>
      </c>
      <c r="C5798" s="86" t="s">
        <v>164</v>
      </c>
      <c r="D5798" s="86" t="s">
        <v>305</v>
      </c>
      <c r="E5798" s="86" t="s">
        <v>2129</v>
      </c>
      <c r="F5798" s="86" t="s">
        <v>2129</v>
      </c>
      <c r="G5798" s="86" t="s">
        <v>2129</v>
      </c>
      <c r="H5798" s="144">
        <v>62</v>
      </c>
      <c r="I5798" s="86" t="s">
        <v>408</v>
      </c>
      <c r="J5798" s="1" t="s">
        <v>3324</v>
      </c>
      <c r="K5798" s="1" t="s">
        <v>3278</v>
      </c>
      <c r="L5798" s="1" t="s">
        <v>35</v>
      </c>
      <c r="M5798" s="86" t="s">
        <v>613</v>
      </c>
      <c r="O5798" s="47" t="s">
        <v>3862</v>
      </c>
      <c r="P5798" s="47" t="s">
        <v>41</v>
      </c>
      <c r="Q5798" s="14">
        <v>0</v>
      </c>
      <c r="R5798" s="143">
        <v>1000045024</v>
      </c>
      <c r="S5798" s="47"/>
      <c r="T5798" s="6">
        <v>0</v>
      </c>
      <c r="U5798" s="6">
        <v>0</v>
      </c>
      <c r="V5798" s="6">
        <v>2517.92</v>
      </c>
      <c r="W5798" s="6">
        <f t="shared" si="901"/>
        <v>-2517.92</v>
      </c>
      <c r="X5798" s="6">
        <f t="shared" si="900"/>
        <v>2517.92</v>
      </c>
      <c r="Y5798" s="13">
        <f t="shared" si="905"/>
        <v>0</v>
      </c>
      <c r="Z5798" s="66">
        <v>0</v>
      </c>
      <c r="AA5798" s="6">
        <v>0</v>
      </c>
      <c r="AB5798" s="4">
        <f t="shared" si="906"/>
        <v>2517.92</v>
      </c>
      <c r="AC5798" s="6">
        <f t="shared" si="902"/>
        <v>0</v>
      </c>
      <c r="AD5798" s="6">
        <f t="shared" si="903"/>
        <v>2517.92</v>
      </c>
      <c r="AE5798" s="14">
        <f>VLOOKUP(I5798,[2]媒体政策预估表!A:N,MATCH(O5798,[2]媒体政策预估表!$A$2:$M$2,0),0)</f>
        <v>0.11</v>
      </c>
      <c r="AF5798" s="6">
        <f t="shared" si="908"/>
        <v>276.97120000000001</v>
      </c>
      <c r="AG5798" s="14">
        <v>0</v>
      </c>
      <c r="AH5798" s="64">
        <f t="shared" si="904"/>
        <v>2517.92</v>
      </c>
      <c r="AI5798" s="47"/>
      <c r="AJ5798" s="126" t="e">
        <v>#N/A</v>
      </c>
      <c r="AK5798" s="80">
        <f t="shared" si="907"/>
        <v>0</v>
      </c>
      <c r="AL5798" s="85"/>
      <c r="AM5798" s="85"/>
    </row>
    <row r="5799" spans="1:39" s="86" customFormat="1" ht="13.25" hidden="1" customHeight="1" x14ac:dyDescent="0.3">
      <c r="A5799" s="89" t="s">
        <v>3794</v>
      </c>
      <c r="B5799" s="86" t="s">
        <v>35</v>
      </c>
      <c r="C5799" s="86" t="s">
        <v>65</v>
      </c>
      <c r="D5799" s="86" t="s">
        <v>66</v>
      </c>
      <c r="E5799" s="86" t="s">
        <v>494</v>
      </c>
      <c r="F5799" s="86" t="s">
        <v>494</v>
      </c>
      <c r="G5799" s="86" t="s">
        <v>494</v>
      </c>
      <c r="H5799" s="144">
        <v>62</v>
      </c>
      <c r="I5799" s="86" t="s">
        <v>408</v>
      </c>
      <c r="J5799" s="1" t="s">
        <v>3324</v>
      </c>
      <c r="K5799" s="1" t="s">
        <v>3278</v>
      </c>
      <c r="L5799" s="1" t="s">
        <v>35</v>
      </c>
      <c r="M5799" s="86" t="s">
        <v>3807</v>
      </c>
      <c r="O5799" s="47" t="s">
        <v>3864</v>
      </c>
      <c r="P5799" s="47" t="s">
        <v>41</v>
      </c>
      <c r="Q5799" s="14">
        <v>0</v>
      </c>
      <c r="R5799" s="143">
        <v>1000018044</v>
      </c>
      <c r="S5799" s="47"/>
      <c r="T5799" s="6">
        <v>0</v>
      </c>
      <c r="U5799" s="6">
        <v>0</v>
      </c>
      <c r="V5799" s="6">
        <v>3002</v>
      </c>
      <c r="W5799" s="6">
        <f t="shared" si="901"/>
        <v>-3002</v>
      </c>
      <c r="X5799" s="6">
        <f t="shared" si="900"/>
        <v>3002</v>
      </c>
      <c r="Y5799" s="13">
        <f t="shared" si="905"/>
        <v>0</v>
      </c>
      <c r="Z5799" s="66">
        <v>0</v>
      </c>
      <c r="AA5799" s="6">
        <v>0</v>
      </c>
      <c r="AB5799" s="4">
        <f t="shared" si="906"/>
        <v>3002</v>
      </c>
      <c r="AC5799" s="6">
        <f t="shared" si="902"/>
        <v>0</v>
      </c>
      <c r="AD5799" s="6">
        <f t="shared" si="903"/>
        <v>3002</v>
      </c>
      <c r="AE5799" s="14">
        <v>7.0000000000000007E-2</v>
      </c>
      <c r="AF5799" s="6">
        <f t="shared" si="908"/>
        <v>210.14000000000001</v>
      </c>
      <c r="AG5799" s="14">
        <v>0</v>
      </c>
      <c r="AH5799" s="64">
        <f t="shared" si="904"/>
        <v>3002</v>
      </c>
      <c r="AI5799" s="47"/>
      <c r="AJ5799" s="126" t="e">
        <v>#N/A</v>
      </c>
      <c r="AK5799" s="80">
        <f t="shared" si="907"/>
        <v>0</v>
      </c>
      <c r="AL5799" s="85"/>
      <c r="AM5799" s="85"/>
    </row>
    <row r="5800" spans="1:39" s="86" customFormat="1" ht="13.25" hidden="1" customHeight="1" x14ac:dyDescent="0.3">
      <c r="A5800" s="89" t="s">
        <v>3792</v>
      </c>
      <c r="B5800" s="86" t="s">
        <v>35</v>
      </c>
      <c r="C5800" s="86" t="s">
        <v>59</v>
      </c>
      <c r="D5800" s="86" t="s">
        <v>60</v>
      </c>
      <c r="E5800" s="86" t="s">
        <v>416</v>
      </c>
      <c r="F5800" s="86" t="s">
        <v>2937</v>
      </c>
      <c r="G5800" s="86" t="s">
        <v>416</v>
      </c>
      <c r="H5800" s="144">
        <v>22</v>
      </c>
      <c r="I5800" s="86" t="s">
        <v>2935</v>
      </c>
      <c r="J5800" s="1" t="s">
        <v>3302</v>
      </c>
      <c r="K5800" s="1" t="s">
        <v>3371</v>
      </c>
      <c r="L5800" s="1" t="s">
        <v>35</v>
      </c>
      <c r="M5800" s="86" t="s">
        <v>2938</v>
      </c>
      <c r="O5800" s="47" t="s">
        <v>410</v>
      </c>
      <c r="P5800" s="47" t="s">
        <v>41</v>
      </c>
      <c r="Q5800" s="14">
        <v>0</v>
      </c>
      <c r="R5800" s="143">
        <v>143732</v>
      </c>
      <c r="S5800" s="47"/>
      <c r="T5800" s="6">
        <v>19474.679999999993</v>
      </c>
      <c r="U5800" s="6">
        <v>20000</v>
      </c>
      <c r="V5800" s="6">
        <v>22995</v>
      </c>
      <c r="W5800" s="6">
        <f>T5800+U5800-V5800</f>
        <v>16479.679999999993</v>
      </c>
      <c r="X5800" s="6">
        <f>IF(P5800="折扣",V5800*Q5800,IF(P5800="返现",V5800,V5800/(1+Q5800)))</f>
        <v>22995</v>
      </c>
      <c r="Y5800" s="13">
        <f t="shared" si="905"/>
        <v>0</v>
      </c>
      <c r="Z5800" s="66">
        <v>0</v>
      </c>
      <c r="AA5800" s="6">
        <v>0</v>
      </c>
      <c r="AB5800" s="4">
        <f t="shared" si="906"/>
        <v>22995</v>
      </c>
      <c r="AC5800" s="6">
        <f t="shared" si="902"/>
        <v>0</v>
      </c>
      <c r="AD5800" s="6">
        <f>V5800</f>
        <v>22995</v>
      </c>
      <c r="AE5800" s="14">
        <f>VLOOKUP(I5800,[2]媒体政策预估表!A:N,MATCH(O5800,[2]媒体政策预估表!$A$2:$M$2,0),0)</f>
        <v>0.10299999999999999</v>
      </c>
      <c r="AF5800" s="6">
        <f t="shared" si="908"/>
        <v>2368.4849999999997</v>
      </c>
      <c r="AG5800" s="14">
        <v>0</v>
      </c>
      <c r="AH5800" s="99">
        <f>V5800</f>
        <v>22995</v>
      </c>
      <c r="AI5800" s="47"/>
      <c r="AJ5800" s="126" t="e">
        <v>#N/A</v>
      </c>
      <c r="AK5800" s="80">
        <f t="shared" si="907"/>
        <v>0</v>
      </c>
      <c r="AL5800" s="85"/>
      <c r="AM5800" s="85"/>
    </row>
    <row r="5801" spans="1:39" s="86" customFormat="1" ht="13.25" hidden="1" customHeight="1" x14ac:dyDescent="0.3">
      <c r="A5801" s="89" t="s">
        <v>3794</v>
      </c>
      <c r="B5801" s="86" t="s">
        <v>35</v>
      </c>
      <c r="C5801" s="86" t="s">
        <v>59</v>
      </c>
      <c r="D5801" s="86" t="s">
        <v>60</v>
      </c>
      <c r="E5801" s="86" t="s">
        <v>2939</v>
      </c>
      <c r="F5801" s="86" t="s">
        <v>2939</v>
      </c>
      <c r="G5801" s="86" t="s">
        <v>2939</v>
      </c>
      <c r="H5801" s="143">
        <v>22</v>
      </c>
      <c r="I5801" s="86" t="s">
        <v>2935</v>
      </c>
      <c r="J5801" s="1" t="s">
        <v>3302</v>
      </c>
      <c r="K5801" s="1" t="s">
        <v>3371</v>
      </c>
      <c r="L5801" s="1" t="s">
        <v>35</v>
      </c>
      <c r="M5801" s="86" t="s">
        <v>2940</v>
      </c>
      <c r="O5801" s="47" t="s">
        <v>410</v>
      </c>
      <c r="P5801" s="47" t="s">
        <v>41</v>
      </c>
      <c r="Q5801" s="14">
        <v>0</v>
      </c>
      <c r="R5801" s="143">
        <v>244712</v>
      </c>
      <c r="S5801" s="47"/>
      <c r="T5801" s="6">
        <v>2422.38</v>
      </c>
      <c r="U5801" s="6">
        <v>-2422.38</v>
      </c>
      <c r="V5801" s="6">
        <v>0</v>
      </c>
      <c r="W5801" s="6">
        <f t="shared" ref="W5801:W5864" si="909">T5801+U5801-V5801</f>
        <v>0</v>
      </c>
      <c r="X5801" s="6">
        <f t="shared" ref="X5801:X5864" si="910">IF(P5801="折扣",V5801*Q5801,IF(P5801="返现",V5801,V5801/(1+Q5801)))</f>
        <v>0</v>
      </c>
      <c r="Y5801" s="13">
        <f t="shared" si="905"/>
        <v>0</v>
      </c>
      <c r="Z5801" s="66">
        <v>0</v>
      </c>
      <c r="AA5801" s="6">
        <v>0</v>
      </c>
      <c r="AB5801" s="4">
        <f t="shared" si="906"/>
        <v>0</v>
      </c>
      <c r="AC5801" s="6">
        <f t="shared" si="902"/>
        <v>0</v>
      </c>
      <c r="AD5801" s="6">
        <f t="shared" ref="AD5801:AD5864" si="911">V5801</f>
        <v>0</v>
      </c>
      <c r="AE5801" s="14">
        <f>VLOOKUP(I5801,[2]媒体政策预估表!A:N,MATCH(O5801,[2]媒体政策预估表!$A$2:$M$2,0),0)</f>
        <v>0.10299999999999999</v>
      </c>
      <c r="AF5801" s="6">
        <f t="shared" si="908"/>
        <v>0</v>
      </c>
      <c r="AG5801" s="14">
        <v>0</v>
      </c>
      <c r="AH5801" s="99">
        <f t="shared" ref="AH5801:AH5864" si="912">V5801</f>
        <v>0</v>
      </c>
      <c r="AI5801" s="47"/>
      <c r="AJ5801" s="126" t="e">
        <v>#N/A</v>
      </c>
      <c r="AK5801" s="80">
        <f t="shared" si="907"/>
        <v>0</v>
      </c>
      <c r="AL5801" s="85"/>
      <c r="AM5801" s="85"/>
    </row>
    <row r="5802" spans="1:39" s="86" customFormat="1" ht="13.25" hidden="1" customHeight="1" x14ac:dyDescent="0.3">
      <c r="A5802" s="89" t="s">
        <v>3806</v>
      </c>
      <c r="B5802" s="86" t="s">
        <v>35</v>
      </c>
      <c r="C5802" s="86" t="s">
        <v>59</v>
      </c>
      <c r="D5802" s="86" t="s">
        <v>60</v>
      </c>
      <c r="E5802" s="86" t="s">
        <v>3073</v>
      </c>
      <c r="F5802" s="86" t="s">
        <v>3074</v>
      </c>
      <c r="G5802" s="86" t="s">
        <v>3073</v>
      </c>
      <c r="H5802" s="143">
        <v>22</v>
      </c>
      <c r="I5802" s="86" t="s">
        <v>2935</v>
      </c>
      <c r="J5802" s="1" t="s">
        <v>3302</v>
      </c>
      <c r="K5802" s="1" t="s">
        <v>3371</v>
      </c>
      <c r="L5802" s="1" t="s">
        <v>35</v>
      </c>
      <c r="M5802" s="86" t="s">
        <v>3075</v>
      </c>
      <c r="O5802" s="47" t="s">
        <v>410</v>
      </c>
      <c r="P5802" s="47" t="s">
        <v>75</v>
      </c>
      <c r="Q5802" s="14">
        <v>0.02</v>
      </c>
      <c r="R5802" s="143">
        <v>8757</v>
      </c>
      <c r="S5802" s="47"/>
      <c r="T5802" s="6">
        <v>55769.140000000007</v>
      </c>
      <c r="U5802" s="6">
        <v>-55769.14</v>
      </c>
      <c r="V5802" s="6">
        <v>0</v>
      </c>
      <c r="W5802" s="6">
        <f t="shared" si="909"/>
        <v>7.2759576141834259E-12</v>
      </c>
      <c r="X5802" s="6">
        <f t="shared" si="910"/>
        <v>0</v>
      </c>
      <c r="Y5802" s="13">
        <f t="shared" si="905"/>
        <v>0</v>
      </c>
      <c r="Z5802" s="66">
        <v>0</v>
      </c>
      <c r="AA5802" s="6">
        <v>0</v>
      </c>
      <c r="AB5802" s="4">
        <f t="shared" si="906"/>
        <v>0</v>
      </c>
      <c r="AC5802" s="6">
        <f t="shared" si="902"/>
        <v>0</v>
      </c>
      <c r="AD5802" s="6">
        <f t="shared" si="911"/>
        <v>0</v>
      </c>
      <c r="AE5802" s="14">
        <f>VLOOKUP(I5802,[2]媒体政策预估表!A:N,MATCH(O5802,[2]媒体政策预估表!$A$2:$M$2,0),0)</f>
        <v>0.10299999999999999</v>
      </c>
      <c r="AF5802" s="6">
        <f t="shared" si="908"/>
        <v>0</v>
      </c>
      <c r="AG5802" s="14">
        <v>0</v>
      </c>
      <c r="AH5802" s="99">
        <f t="shared" si="912"/>
        <v>0</v>
      </c>
      <c r="AI5802" s="47"/>
      <c r="AJ5802" s="126" t="e">
        <v>#N/A</v>
      </c>
      <c r="AK5802" s="80">
        <f t="shared" si="907"/>
        <v>0</v>
      </c>
      <c r="AL5802" s="85"/>
      <c r="AM5802" s="85"/>
    </row>
    <row r="5803" spans="1:39" s="86" customFormat="1" ht="13.25" hidden="1" customHeight="1" x14ac:dyDescent="0.3">
      <c r="A5803" s="89" t="s">
        <v>3792</v>
      </c>
      <c r="B5803" s="86" t="s">
        <v>35</v>
      </c>
      <c r="C5803" s="86" t="s">
        <v>59</v>
      </c>
      <c r="D5803" s="86" t="s">
        <v>60</v>
      </c>
      <c r="E5803" s="86" t="s">
        <v>3040</v>
      </c>
      <c r="F5803" s="86" t="s">
        <v>3040</v>
      </c>
      <c r="G5803" s="86" t="s">
        <v>3040</v>
      </c>
      <c r="H5803" s="144">
        <v>22</v>
      </c>
      <c r="I5803" s="86" t="s">
        <v>2935</v>
      </c>
      <c r="J5803" s="1" t="s">
        <v>3302</v>
      </c>
      <c r="K5803" s="1" t="s">
        <v>3371</v>
      </c>
      <c r="L5803" s="1" t="s">
        <v>35</v>
      </c>
      <c r="M5803" s="86" t="s">
        <v>3040</v>
      </c>
      <c r="O5803" s="47" t="s">
        <v>410</v>
      </c>
      <c r="P5803" s="47" t="s">
        <v>41</v>
      </c>
      <c r="Q5803" s="14">
        <v>0</v>
      </c>
      <c r="R5803" s="143">
        <v>150932</v>
      </c>
      <c r="S5803" s="47"/>
      <c r="T5803" s="6">
        <v>64204.690000000017</v>
      </c>
      <c r="U5803" s="6">
        <v>30000</v>
      </c>
      <c r="V5803" s="6">
        <v>28906.93</v>
      </c>
      <c r="W5803" s="6">
        <f t="shared" si="909"/>
        <v>65297.760000000017</v>
      </c>
      <c r="X5803" s="6">
        <f t="shared" si="910"/>
        <v>28906.93</v>
      </c>
      <c r="Y5803" s="13">
        <f t="shared" si="905"/>
        <v>0</v>
      </c>
      <c r="Z5803" s="66">
        <v>0</v>
      </c>
      <c r="AA5803" s="6">
        <v>0</v>
      </c>
      <c r="AB5803" s="4">
        <f t="shared" si="906"/>
        <v>28906.93</v>
      </c>
      <c r="AC5803" s="6">
        <f t="shared" si="902"/>
        <v>0</v>
      </c>
      <c r="AD5803" s="6">
        <f t="shared" si="911"/>
        <v>28906.93</v>
      </c>
      <c r="AE5803" s="14">
        <f>VLOOKUP(I5803,[2]媒体政策预估表!A:N,MATCH(O5803,[2]媒体政策预估表!$A$2:$M$2,0),0)</f>
        <v>0.10299999999999999</v>
      </c>
      <c r="AF5803" s="6">
        <f t="shared" si="908"/>
        <v>2977.4137900000001</v>
      </c>
      <c r="AG5803" s="14">
        <v>0</v>
      </c>
      <c r="AH5803" s="99">
        <f t="shared" si="912"/>
        <v>28906.93</v>
      </c>
      <c r="AI5803" s="47"/>
      <c r="AJ5803" s="126" t="e">
        <v>#N/A</v>
      </c>
      <c r="AK5803" s="80">
        <f t="shared" si="907"/>
        <v>0</v>
      </c>
      <c r="AL5803" s="85"/>
      <c r="AM5803" s="85"/>
    </row>
    <row r="5804" spans="1:39" s="86" customFormat="1" ht="13.25" hidden="1" customHeight="1" x14ac:dyDescent="0.3">
      <c r="A5804" s="89" t="s">
        <v>3794</v>
      </c>
      <c r="B5804" s="86" t="s">
        <v>35</v>
      </c>
      <c r="C5804" s="86" t="s">
        <v>59</v>
      </c>
      <c r="D5804" s="86" t="s">
        <v>60</v>
      </c>
      <c r="E5804" s="86" t="s">
        <v>419</v>
      </c>
      <c r="F5804" s="86" t="s">
        <v>419</v>
      </c>
      <c r="G5804" s="86" t="s">
        <v>419</v>
      </c>
      <c r="H5804" s="144">
        <v>22</v>
      </c>
      <c r="I5804" s="86" t="s">
        <v>2935</v>
      </c>
      <c r="J5804" s="1" t="s">
        <v>3302</v>
      </c>
      <c r="K5804" s="1" t="s">
        <v>3371</v>
      </c>
      <c r="L5804" s="1" t="s">
        <v>35</v>
      </c>
      <c r="M5804" s="86" t="s">
        <v>419</v>
      </c>
      <c r="O5804" s="47" t="s">
        <v>410</v>
      </c>
      <c r="P5804" s="47" t="s">
        <v>46</v>
      </c>
      <c r="Q5804" s="14">
        <v>0.02</v>
      </c>
      <c r="R5804" s="143">
        <v>245882</v>
      </c>
      <c r="S5804" s="47"/>
      <c r="T5804" s="6">
        <v>13963.73</v>
      </c>
      <c r="U5804" s="6">
        <v>30000</v>
      </c>
      <c r="V5804" s="6">
        <v>30564.3</v>
      </c>
      <c r="W5804" s="6">
        <f t="shared" si="909"/>
        <v>13399.429999999997</v>
      </c>
      <c r="X5804" s="6">
        <f t="shared" si="910"/>
        <v>29965</v>
      </c>
      <c r="Y5804" s="13">
        <f t="shared" si="905"/>
        <v>0</v>
      </c>
      <c r="Z5804" s="66">
        <v>0</v>
      </c>
      <c r="AA5804" s="6">
        <v>0</v>
      </c>
      <c r="AB5804" s="4">
        <f t="shared" si="906"/>
        <v>29965</v>
      </c>
      <c r="AC5804" s="6">
        <f t="shared" si="902"/>
        <v>599.29999999999927</v>
      </c>
      <c r="AD5804" s="6">
        <f t="shared" si="911"/>
        <v>30564.3</v>
      </c>
      <c r="AE5804" s="14">
        <f>VLOOKUP(I5804,[2]媒体政策预估表!A:N,MATCH(O5804,[2]媒体政策预估表!$A$2:$M$2,0),0)</f>
        <v>0.10299999999999999</v>
      </c>
      <c r="AF5804" s="6">
        <f t="shared" si="908"/>
        <v>3148.1228999999998</v>
      </c>
      <c r="AG5804" s="14">
        <v>0</v>
      </c>
      <c r="AH5804" s="99">
        <f t="shared" si="912"/>
        <v>30564.3</v>
      </c>
      <c r="AI5804" s="47"/>
      <c r="AJ5804" s="126" t="e">
        <v>#N/A</v>
      </c>
      <c r="AK5804" s="80">
        <f t="shared" si="907"/>
        <v>0</v>
      </c>
      <c r="AL5804" s="85"/>
      <c r="AM5804" s="85"/>
    </row>
    <row r="5805" spans="1:39" s="86" customFormat="1" ht="13.25" hidden="1" customHeight="1" x14ac:dyDescent="0.3">
      <c r="A5805" s="89" t="s">
        <v>3792</v>
      </c>
      <c r="B5805" s="86" t="s">
        <v>35</v>
      </c>
      <c r="C5805" s="86" t="s">
        <v>36</v>
      </c>
      <c r="D5805" s="86" t="s">
        <v>185</v>
      </c>
      <c r="E5805" s="86" t="s">
        <v>2279</v>
      </c>
      <c r="F5805" s="86" t="s">
        <v>2980</v>
      </c>
      <c r="G5805" s="86" t="s">
        <v>2279</v>
      </c>
      <c r="H5805" s="144">
        <v>22</v>
      </c>
      <c r="I5805" s="86" t="s">
        <v>2935</v>
      </c>
      <c r="J5805" s="1" t="s">
        <v>3302</v>
      </c>
      <c r="K5805" s="1" t="s">
        <v>3371</v>
      </c>
      <c r="L5805" s="1" t="s">
        <v>35</v>
      </c>
      <c r="M5805" s="86" t="s">
        <v>2279</v>
      </c>
      <c r="O5805" s="47" t="s">
        <v>410</v>
      </c>
      <c r="P5805" s="47" t="s">
        <v>46</v>
      </c>
      <c r="Q5805" s="14">
        <v>0.02</v>
      </c>
      <c r="R5805" s="143">
        <v>208532</v>
      </c>
      <c r="S5805" s="47"/>
      <c r="T5805" s="6">
        <v>451595.28</v>
      </c>
      <c r="U5805" s="6">
        <v>500000</v>
      </c>
      <c r="V5805" s="6">
        <v>434000</v>
      </c>
      <c r="W5805" s="6">
        <f t="shared" si="909"/>
        <v>517595.28</v>
      </c>
      <c r="X5805" s="6">
        <f t="shared" si="910"/>
        <v>425490.19607843139</v>
      </c>
      <c r="Y5805" s="13">
        <f t="shared" si="905"/>
        <v>0</v>
      </c>
      <c r="Z5805" s="66">
        <v>0</v>
      </c>
      <c r="AA5805" s="6">
        <v>0</v>
      </c>
      <c r="AB5805" s="4">
        <f t="shared" si="906"/>
        <v>425490.19607843139</v>
      </c>
      <c r="AC5805" s="6">
        <f t="shared" si="902"/>
        <v>8509.8039215686149</v>
      </c>
      <c r="AD5805" s="6">
        <f t="shared" si="911"/>
        <v>434000</v>
      </c>
      <c r="AE5805" s="14">
        <f>VLOOKUP(I5805,[2]媒体政策预估表!A:N,MATCH(O5805,[2]媒体政策预估表!$A$2:$M$2,0),0)</f>
        <v>0.10299999999999999</v>
      </c>
      <c r="AF5805" s="6">
        <f t="shared" si="908"/>
        <v>44702</v>
      </c>
      <c r="AG5805" s="14">
        <v>0</v>
      </c>
      <c r="AH5805" s="99">
        <f t="shared" si="912"/>
        <v>434000</v>
      </c>
      <c r="AI5805" s="47"/>
      <c r="AJ5805" s="126" t="e">
        <v>#N/A</v>
      </c>
      <c r="AK5805" s="80">
        <f t="shared" si="907"/>
        <v>0</v>
      </c>
      <c r="AL5805" s="85"/>
      <c r="AM5805" s="85"/>
    </row>
    <row r="5806" spans="1:39" s="86" customFormat="1" ht="13.25" hidden="1" customHeight="1" x14ac:dyDescent="0.3">
      <c r="A5806" s="89" t="s">
        <v>3794</v>
      </c>
      <c r="B5806" s="86" t="s">
        <v>35</v>
      </c>
      <c r="C5806" s="86" t="s">
        <v>36</v>
      </c>
      <c r="D5806" s="86" t="s">
        <v>185</v>
      </c>
      <c r="E5806" s="86" t="s">
        <v>528</v>
      </c>
      <c r="F5806" s="86" t="s">
        <v>528</v>
      </c>
      <c r="G5806" s="86" t="s">
        <v>528</v>
      </c>
      <c r="H5806" s="144">
        <v>22</v>
      </c>
      <c r="I5806" s="86" t="s">
        <v>2935</v>
      </c>
      <c r="J5806" s="1" t="s">
        <v>3302</v>
      </c>
      <c r="K5806" s="1" t="s">
        <v>3371</v>
      </c>
      <c r="L5806" s="1" t="s">
        <v>35</v>
      </c>
      <c r="M5806" s="86" t="s">
        <v>2391</v>
      </c>
      <c r="O5806" s="47" t="s">
        <v>410</v>
      </c>
      <c r="P5806" s="47" t="s">
        <v>46</v>
      </c>
      <c r="Q5806" s="14">
        <v>1.4999999999999999E-2</v>
      </c>
      <c r="R5806" s="143">
        <v>2252</v>
      </c>
      <c r="S5806" s="47"/>
      <c r="T5806" s="6">
        <v>15611.509999999835</v>
      </c>
      <c r="U5806" s="6">
        <v>253750</v>
      </c>
      <c r="V5806" s="6">
        <v>233574.37</v>
      </c>
      <c r="W5806" s="6">
        <f t="shared" si="909"/>
        <v>35787.139999999839</v>
      </c>
      <c r="X5806" s="6">
        <f t="shared" si="910"/>
        <v>230122.53201970446</v>
      </c>
      <c r="Y5806" s="13">
        <f t="shared" si="905"/>
        <v>0</v>
      </c>
      <c r="Z5806" s="66">
        <v>0</v>
      </c>
      <c r="AA5806" s="6">
        <v>0</v>
      </c>
      <c r="AB5806" s="4">
        <f t="shared" si="906"/>
        <v>230122.53201970446</v>
      </c>
      <c r="AC5806" s="6">
        <f t="shared" si="902"/>
        <v>3451.8379802955315</v>
      </c>
      <c r="AD5806" s="6">
        <f t="shared" si="911"/>
        <v>233574.37</v>
      </c>
      <c r="AE5806" s="14">
        <f>VLOOKUP(I5806,[2]媒体政策预估表!A:N,MATCH(O5806,[2]媒体政策预估表!$A$2:$M$2,0),0)</f>
        <v>0.10299999999999999</v>
      </c>
      <c r="AF5806" s="6">
        <f t="shared" si="908"/>
        <v>24058.160109999997</v>
      </c>
      <c r="AG5806" s="14">
        <v>0</v>
      </c>
      <c r="AH5806" s="99">
        <f t="shared" si="912"/>
        <v>233574.37</v>
      </c>
      <c r="AI5806" s="47"/>
      <c r="AJ5806" s="126" t="e">
        <v>#N/A</v>
      </c>
      <c r="AK5806" s="80">
        <f t="shared" si="907"/>
        <v>0</v>
      </c>
      <c r="AL5806" s="85"/>
      <c r="AM5806" s="85"/>
    </row>
    <row r="5807" spans="1:39" s="86" customFormat="1" ht="13.25" hidden="1" customHeight="1" x14ac:dyDescent="0.3">
      <c r="A5807" s="89" t="s">
        <v>3794</v>
      </c>
      <c r="B5807" s="86" t="s">
        <v>35</v>
      </c>
      <c r="C5807" s="86" t="s">
        <v>36</v>
      </c>
      <c r="D5807" s="86" t="s">
        <v>185</v>
      </c>
      <c r="E5807" s="86" t="s">
        <v>528</v>
      </c>
      <c r="F5807" s="86" t="s">
        <v>528</v>
      </c>
      <c r="G5807" s="86" t="s">
        <v>528</v>
      </c>
      <c r="H5807" s="144">
        <v>22</v>
      </c>
      <c r="I5807" s="86" t="s">
        <v>2935</v>
      </c>
      <c r="J5807" s="1" t="s">
        <v>3302</v>
      </c>
      <c r="K5807" s="1" t="s">
        <v>3371</v>
      </c>
      <c r="L5807" s="1" t="s">
        <v>35</v>
      </c>
      <c r="M5807" s="86" t="s">
        <v>2975</v>
      </c>
      <c r="O5807" s="47" t="s">
        <v>410</v>
      </c>
      <c r="P5807" s="47" t="s">
        <v>46</v>
      </c>
      <c r="Q5807" s="14">
        <v>1.4999999999999999E-2</v>
      </c>
      <c r="R5807" s="143">
        <v>72892</v>
      </c>
      <c r="S5807" s="47"/>
      <c r="T5807" s="6">
        <v>386453.37999999995</v>
      </c>
      <c r="U5807" s="6">
        <v>107735.65</v>
      </c>
      <c r="V5807" s="6">
        <v>309769.93</v>
      </c>
      <c r="W5807" s="6">
        <f t="shared" si="909"/>
        <v>184419.09999999992</v>
      </c>
      <c r="X5807" s="6">
        <f t="shared" si="910"/>
        <v>305192.04926108377</v>
      </c>
      <c r="Y5807" s="13">
        <f t="shared" si="905"/>
        <v>0</v>
      </c>
      <c r="Z5807" s="66">
        <v>0</v>
      </c>
      <c r="AA5807" s="6">
        <v>0</v>
      </c>
      <c r="AB5807" s="4">
        <f t="shared" si="906"/>
        <v>305192.04926108377</v>
      </c>
      <c r="AC5807" s="6">
        <f t="shared" si="902"/>
        <v>4577.8807389162248</v>
      </c>
      <c r="AD5807" s="6">
        <f t="shared" si="911"/>
        <v>309769.93</v>
      </c>
      <c r="AE5807" s="14">
        <f>VLOOKUP(I5807,[2]媒体政策预估表!A:N,MATCH(O5807,[2]媒体政策预估表!$A$2:$M$2,0),0)</f>
        <v>0.10299999999999999</v>
      </c>
      <c r="AF5807" s="6">
        <f t="shared" si="908"/>
        <v>31906.302789999998</v>
      </c>
      <c r="AG5807" s="14">
        <v>0</v>
      </c>
      <c r="AH5807" s="99">
        <f t="shared" si="912"/>
        <v>309769.93</v>
      </c>
      <c r="AI5807" s="47"/>
      <c r="AJ5807" s="126" t="e">
        <v>#N/A</v>
      </c>
      <c r="AK5807" s="80">
        <f t="shared" si="907"/>
        <v>0</v>
      </c>
      <c r="AL5807" s="85"/>
      <c r="AM5807" s="85"/>
    </row>
    <row r="5808" spans="1:39" s="86" customFormat="1" ht="13.25" hidden="1" customHeight="1" x14ac:dyDescent="0.3">
      <c r="A5808" s="89" t="s">
        <v>3852</v>
      </c>
      <c r="B5808" s="86" t="s">
        <v>35</v>
      </c>
      <c r="C5808" s="86" t="s">
        <v>36</v>
      </c>
      <c r="D5808" s="86" t="s">
        <v>185</v>
      </c>
      <c r="E5808" s="86" t="s">
        <v>528</v>
      </c>
      <c r="F5808" s="86" t="s">
        <v>528</v>
      </c>
      <c r="G5808" s="86" t="s">
        <v>528</v>
      </c>
      <c r="H5808" s="143">
        <v>22</v>
      </c>
      <c r="I5808" s="86" t="s">
        <v>2935</v>
      </c>
      <c r="J5808" s="1" t="s">
        <v>3302</v>
      </c>
      <c r="K5808" s="1" t="s">
        <v>3371</v>
      </c>
      <c r="L5808" s="1" t="s">
        <v>35</v>
      </c>
      <c r="M5808" s="86" t="s">
        <v>2976</v>
      </c>
      <c r="O5808" s="47" t="s">
        <v>410</v>
      </c>
      <c r="P5808" s="47" t="s">
        <v>46</v>
      </c>
      <c r="Q5808" s="14">
        <v>1.4999999999999999E-2</v>
      </c>
      <c r="R5808" s="143">
        <v>182662</v>
      </c>
      <c r="S5808" s="47"/>
      <c r="T5808" s="6">
        <v>107735.63999999998</v>
      </c>
      <c r="U5808" s="6">
        <v>-107735.65</v>
      </c>
      <c r="V5808" s="6">
        <v>0</v>
      </c>
      <c r="W5808" s="6">
        <f t="shared" si="909"/>
        <v>-1.0000000009313226E-2</v>
      </c>
      <c r="X5808" s="6">
        <f t="shared" si="910"/>
        <v>0</v>
      </c>
      <c r="Y5808" s="13">
        <f t="shared" si="905"/>
        <v>0</v>
      </c>
      <c r="Z5808" s="66">
        <v>0</v>
      </c>
      <c r="AA5808" s="6">
        <v>0</v>
      </c>
      <c r="AB5808" s="4">
        <f t="shared" si="906"/>
        <v>0</v>
      </c>
      <c r="AC5808" s="6">
        <f t="shared" si="902"/>
        <v>0</v>
      </c>
      <c r="AD5808" s="6">
        <f t="shared" si="911"/>
        <v>0</v>
      </c>
      <c r="AE5808" s="14">
        <f>VLOOKUP(I5808,[2]媒体政策预估表!A:N,MATCH(O5808,[2]媒体政策预估表!$A$2:$M$2,0),0)</f>
        <v>0.10299999999999999</v>
      </c>
      <c r="AF5808" s="6">
        <f t="shared" si="908"/>
        <v>0</v>
      </c>
      <c r="AG5808" s="14">
        <v>0</v>
      </c>
      <c r="AH5808" s="99">
        <f t="shared" si="912"/>
        <v>0</v>
      </c>
      <c r="AI5808" s="47"/>
      <c r="AJ5808" s="126" t="e">
        <v>#N/A</v>
      </c>
      <c r="AK5808" s="80">
        <f t="shared" si="907"/>
        <v>0</v>
      </c>
      <c r="AL5808" s="85"/>
      <c r="AM5808" s="85"/>
    </row>
    <row r="5809" spans="1:39" s="86" customFormat="1" ht="13.25" hidden="1" customHeight="1" x14ac:dyDescent="0.3">
      <c r="A5809" s="89" t="s">
        <v>3794</v>
      </c>
      <c r="B5809" s="86" t="s">
        <v>35</v>
      </c>
      <c r="C5809" s="86" t="s">
        <v>36</v>
      </c>
      <c r="D5809" s="86" t="s">
        <v>185</v>
      </c>
      <c r="E5809" s="86" t="s">
        <v>2977</v>
      </c>
      <c r="F5809" s="86" t="s">
        <v>2977</v>
      </c>
      <c r="G5809" s="86" t="s">
        <v>2977</v>
      </c>
      <c r="H5809" s="144">
        <v>22</v>
      </c>
      <c r="I5809" s="86" t="s">
        <v>2935</v>
      </c>
      <c r="J5809" s="1" t="s">
        <v>3302</v>
      </c>
      <c r="K5809" s="1" t="s">
        <v>3371</v>
      </c>
      <c r="L5809" s="1" t="s">
        <v>35</v>
      </c>
      <c r="M5809" s="86" t="s">
        <v>2977</v>
      </c>
      <c r="O5809" s="47" t="s">
        <v>410</v>
      </c>
      <c r="P5809" s="47" t="s">
        <v>46</v>
      </c>
      <c r="Q5809" s="14">
        <v>0.02</v>
      </c>
      <c r="R5809" s="143">
        <v>114262</v>
      </c>
      <c r="S5809" s="47"/>
      <c r="T5809" s="6">
        <v>8000</v>
      </c>
      <c r="U5809" s="6">
        <v>60000</v>
      </c>
      <c r="V5809" s="6">
        <v>31000</v>
      </c>
      <c r="W5809" s="6">
        <f t="shared" si="909"/>
        <v>37000</v>
      </c>
      <c r="X5809" s="6">
        <f t="shared" si="910"/>
        <v>30392.156862745098</v>
      </c>
      <c r="Y5809" s="13">
        <f t="shared" si="905"/>
        <v>0</v>
      </c>
      <c r="Z5809" s="66">
        <v>0</v>
      </c>
      <c r="AA5809" s="6">
        <v>0</v>
      </c>
      <c r="AB5809" s="4">
        <f t="shared" si="906"/>
        <v>30392.156862745098</v>
      </c>
      <c r="AC5809" s="6">
        <f t="shared" si="902"/>
        <v>607.8431372549021</v>
      </c>
      <c r="AD5809" s="6">
        <f t="shared" si="911"/>
        <v>31000</v>
      </c>
      <c r="AE5809" s="14">
        <f>VLOOKUP(I5809,[2]媒体政策预估表!A:N,MATCH(O5809,[2]媒体政策预估表!$A$2:$M$2,0),0)</f>
        <v>0.10299999999999999</v>
      </c>
      <c r="AF5809" s="6">
        <f t="shared" si="908"/>
        <v>3193</v>
      </c>
      <c r="AG5809" s="14">
        <v>0</v>
      </c>
      <c r="AH5809" s="99">
        <f t="shared" si="912"/>
        <v>31000</v>
      </c>
      <c r="AI5809" s="47"/>
      <c r="AJ5809" s="126" t="e">
        <v>#N/A</v>
      </c>
      <c r="AK5809" s="80">
        <f t="shared" si="907"/>
        <v>0</v>
      </c>
      <c r="AL5809" s="85"/>
      <c r="AM5809" s="85"/>
    </row>
    <row r="5810" spans="1:39" s="86" customFormat="1" ht="13.25" hidden="1" customHeight="1" x14ac:dyDescent="0.3">
      <c r="A5810" s="89" t="s">
        <v>3794</v>
      </c>
      <c r="B5810" s="86" t="s">
        <v>35</v>
      </c>
      <c r="C5810" s="86" t="s">
        <v>36</v>
      </c>
      <c r="D5810" s="86" t="s">
        <v>185</v>
      </c>
      <c r="E5810" s="86" t="s">
        <v>3865</v>
      </c>
      <c r="F5810" s="86" t="s">
        <v>3866</v>
      </c>
      <c r="G5810" s="86" t="s">
        <v>3865</v>
      </c>
      <c r="H5810" s="144">
        <v>22</v>
      </c>
      <c r="I5810" s="86" t="s">
        <v>2935</v>
      </c>
      <c r="J5810" s="1" t="s">
        <v>3302</v>
      </c>
      <c r="K5810" s="1" t="s">
        <v>3371</v>
      </c>
      <c r="L5810" s="1" t="s">
        <v>35</v>
      </c>
      <c r="M5810" s="86" t="s">
        <v>3867</v>
      </c>
      <c r="O5810" s="47" t="s">
        <v>410</v>
      </c>
      <c r="P5810" s="47" t="s">
        <v>46</v>
      </c>
      <c r="Q5810" s="14">
        <v>4.4999999999999998E-2</v>
      </c>
      <c r="R5810" s="143">
        <v>250522</v>
      </c>
      <c r="S5810" s="47"/>
      <c r="T5810" s="6">
        <v>0</v>
      </c>
      <c r="U5810" s="6">
        <v>40000</v>
      </c>
      <c r="V5810" s="6">
        <v>2828.12</v>
      </c>
      <c r="W5810" s="6">
        <f t="shared" si="909"/>
        <v>37171.879999999997</v>
      </c>
      <c r="X5810" s="6">
        <f t="shared" si="910"/>
        <v>2706.3349282296654</v>
      </c>
      <c r="Y5810" s="13">
        <f t="shared" si="905"/>
        <v>0</v>
      </c>
      <c r="Z5810" s="66">
        <v>0</v>
      </c>
      <c r="AA5810" s="6">
        <v>0</v>
      </c>
      <c r="AB5810" s="4">
        <f t="shared" si="906"/>
        <v>2706.3349282296654</v>
      </c>
      <c r="AC5810" s="6">
        <f t="shared" si="902"/>
        <v>121.78507177033453</v>
      </c>
      <c r="AD5810" s="6">
        <f t="shared" si="911"/>
        <v>2828.12</v>
      </c>
      <c r="AE5810" s="14">
        <f>VLOOKUP(I5810,[2]媒体政策预估表!A:N,MATCH(O5810,[2]媒体政策预估表!$A$2:$M$2,0),0)</f>
        <v>0.10299999999999999</v>
      </c>
      <c r="AF5810" s="6">
        <f t="shared" si="908"/>
        <v>291.29635999999999</v>
      </c>
      <c r="AG5810" s="14">
        <v>0</v>
      </c>
      <c r="AH5810" s="99">
        <f t="shared" si="912"/>
        <v>2828.12</v>
      </c>
      <c r="AI5810" s="47"/>
      <c r="AJ5810" s="126" t="e">
        <v>#N/A</v>
      </c>
      <c r="AK5810" s="80">
        <f t="shared" si="907"/>
        <v>0</v>
      </c>
      <c r="AL5810" s="85"/>
      <c r="AM5810" s="85"/>
    </row>
    <row r="5811" spans="1:39" s="86" customFormat="1" ht="13.25" hidden="1" customHeight="1" x14ac:dyDescent="0.3">
      <c r="A5811" s="89" t="s">
        <v>3792</v>
      </c>
      <c r="B5811" s="86" t="s">
        <v>35</v>
      </c>
      <c r="C5811" s="86" t="s">
        <v>36</v>
      </c>
      <c r="D5811" s="86" t="s">
        <v>185</v>
      </c>
      <c r="E5811" s="86" t="s">
        <v>2957</v>
      </c>
      <c r="F5811" s="86" t="s">
        <v>2957</v>
      </c>
      <c r="G5811" s="86" t="s">
        <v>2957</v>
      </c>
      <c r="H5811" s="144">
        <v>22</v>
      </c>
      <c r="I5811" s="86" t="s">
        <v>2935</v>
      </c>
      <c r="J5811" s="1" t="s">
        <v>3302</v>
      </c>
      <c r="K5811" s="1" t="s">
        <v>3371</v>
      </c>
      <c r="L5811" s="1" t="s">
        <v>35</v>
      </c>
      <c r="M5811" s="86" t="s">
        <v>2958</v>
      </c>
      <c r="O5811" s="47" t="s">
        <v>410</v>
      </c>
      <c r="P5811" s="47" t="s">
        <v>46</v>
      </c>
      <c r="Q5811" s="14">
        <v>0.02</v>
      </c>
      <c r="R5811" s="143">
        <v>227402</v>
      </c>
      <c r="S5811" s="47"/>
      <c r="T5811" s="6">
        <v>17344.560000000009</v>
      </c>
      <c r="U5811" s="6">
        <v>60000</v>
      </c>
      <c r="V5811" s="6">
        <v>51032.9</v>
      </c>
      <c r="W5811" s="6">
        <f t="shared" si="909"/>
        <v>26311.660000000011</v>
      </c>
      <c r="X5811" s="6">
        <f t="shared" si="910"/>
        <v>50032.254901960783</v>
      </c>
      <c r="Y5811" s="13">
        <f t="shared" si="905"/>
        <v>0</v>
      </c>
      <c r="Z5811" s="66">
        <v>0</v>
      </c>
      <c r="AA5811" s="6">
        <v>0</v>
      </c>
      <c r="AB5811" s="4">
        <f t="shared" si="906"/>
        <v>50032.254901960783</v>
      </c>
      <c r="AC5811" s="6">
        <f t="shared" si="902"/>
        <v>1000.6450980392183</v>
      </c>
      <c r="AD5811" s="6">
        <f t="shared" si="911"/>
        <v>51032.9</v>
      </c>
      <c r="AE5811" s="14">
        <f>VLOOKUP(I5811,[2]媒体政策预估表!A:N,MATCH(O5811,[2]媒体政策预估表!$A$2:$M$2,0),0)</f>
        <v>0.10299999999999999</v>
      </c>
      <c r="AF5811" s="6">
        <f t="shared" si="908"/>
        <v>5256.3886999999995</v>
      </c>
      <c r="AG5811" s="14">
        <v>0</v>
      </c>
      <c r="AH5811" s="99">
        <f t="shared" si="912"/>
        <v>51032.9</v>
      </c>
      <c r="AI5811" s="47"/>
      <c r="AJ5811" s="126" t="e">
        <v>#N/A</v>
      </c>
      <c r="AK5811" s="80">
        <f t="shared" si="907"/>
        <v>0</v>
      </c>
      <c r="AL5811" s="85"/>
      <c r="AM5811" s="85"/>
    </row>
    <row r="5812" spans="1:39" s="86" customFormat="1" ht="13.25" hidden="1" customHeight="1" x14ac:dyDescent="0.3">
      <c r="A5812" s="89" t="s">
        <v>3852</v>
      </c>
      <c r="B5812" s="86" t="s">
        <v>35</v>
      </c>
      <c r="C5812" s="86" t="s">
        <v>36</v>
      </c>
      <c r="D5812" s="86" t="s">
        <v>185</v>
      </c>
      <c r="E5812" s="86" t="s">
        <v>2957</v>
      </c>
      <c r="F5812" s="86" t="s">
        <v>2957</v>
      </c>
      <c r="G5812" s="86" t="s">
        <v>2957</v>
      </c>
      <c r="H5812" s="144">
        <v>22</v>
      </c>
      <c r="I5812" s="86" t="s">
        <v>2935</v>
      </c>
      <c r="J5812" s="1" t="s">
        <v>3302</v>
      </c>
      <c r="K5812" s="1" t="s">
        <v>3371</v>
      </c>
      <c r="L5812" s="1" t="s">
        <v>35</v>
      </c>
      <c r="M5812" s="86" t="s">
        <v>3868</v>
      </c>
      <c r="O5812" s="47" t="s">
        <v>410</v>
      </c>
      <c r="P5812" s="47" t="s">
        <v>46</v>
      </c>
      <c r="Q5812" s="14">
        <v>0.02</v>
      </c>
      <c r="R5812" s="143">
        <v>250332</v>
      </c>
      <c r="S5812" s="47"/>
      <c r="T5812" s="6">
        <v>0</v>
      </c>
      <c r="U5812" s="6">
        <v>660000</v>
      </c>
      <c r="V5812" s="6">
        <v>537173.5</v>
      </c>
      <c r="W5812" s="6">
        <f t="shared" si="909"/>
        <v>122826.5</v>
      </c>
      <c r="X5812" s="6">
        <f t="shared" si="910"/>
        <v>526640.68627450976</v>
      </c>
      <c r="Y5812" s="13">
        <f t="shared" si="905"/>
        <v>0</v>
      </c>
      <c r="Z5812" s="66">
        <v>0</v>
      </c>
      <c r="AA5812" s="6">
        <v>0</v>
      </c>
      <c r="AB5812" s="4">
        <f t="shared" si="906"/>
        <v>526640.68627450976</v>
      </c>
      <c r="AC5812" s="6">
        <f t="shared" si="902"/>
        <v>10532.813725490239</v>
      </c>
      <c r="AD5812" s="6">
        <f t="shared" si="911"/>
        <v>537173.5</v>
      </c>
      <c r="AE5812" s="14">
        <f>VLOOKUP(I5812,[2]媒体政策预估表!A:N,MATCH(O5812,[2]媒体政策预估表!$A$2:$M$2,0),0)</f>
        <v>0.10299999999999999</v>
      </c>
      <c r="AF5812" s="6">
        <f t="shared" si="908"/>
        <v>55328.870499999997</v>
      </c>
      <c r="AG5812" s="14">
        <v>0</v>
      </c>
      <c r="AH5812" s="99">
        <f t="shared" si="912"/>
        <v>537173.5</v>
      </c>
      <c r="AI5812" s="47"/>
      <c r="AJ5812" s="126" t="e">
        <v>#N/A</v>
      </c>
      <c r="AK5812" s="80">
        <f t="shared" si="907"/>
        <v>0</v>
      </c>
      <c r="AL5812" s="85"/>
      <c r="AM5812" s="85"/>
    </row>
    <row r="5813" spans="1:39" s="86" customFormat="1" ht="13.25" hidden="1" customHeight="1" x14ac:dyDescent="0.3">
      <c r="A5813" s="89" t="s">
        <v>3794</v>
      </c>
      <c r="B5813" s="86" t="s">
        <v>35</v>
      </c>
      <c r="C5813" s="86" t="s">
        <v>36</v>
      </c>
      <c r="D5813" s="86" t="s">
        <v>185</v>
      </c>
      <c r="E5813" s="86" t="s">
        <v>2957</v>
      </c>
      <c r="F5813" s="86" t="s">
        <v>2957</v>
      </c>
      <c r="G5813" s="86" t="s">
        <v>2957</v>
      </c>
      <c r="H5813" s="144">
        <v>22</v>
      </c>
      <c r="I5813" s="86" t="s">
        <v>2935</v>
      </c>
      <c r="J5813" s="1" t="s">
        <v>3302</v>
      </c>
      <c r="K5813" s="1" t="s">
        <v>3371</v>
      </c>
      <c r="L5813" s="1" t="s">
        <v>35</v>
      </c>
      <c r="M5813" s="86" t="s">
        <v>2959</v>
      </c>
      <c r="O5813" s="47" t="s">
        <v>410</v>
      </c>
      <c r="P5813" s="47" t="s">
        <v>46</v>
      </c>
      <c r="Q5813" s="14">
        <v>0.02</v>
      </c>
      <c r="R5813" s="143">
        <v>110452</v>
      </c>
      <c r="S5813" s="47"/>
      <c r="T5813" s="6">
        <v>42103.47000000003</v>
      </c>
      <c r="U5813" s="6">
        <v>270000</v>
      </c>
      <c r="V5813" s="6">
        <v>197505.91</v>
      </c>
      <c r="W5813" s="6">
        <f t="shared" si="909"/>
        <v>114597.56000000003</v>
      </c>
      <c r="X5813" s="6">
        <f t="shared" si="910"/>
        <v>193633.24509803922</v>
      </c>
      <c r="Y5813" s="13">
        <f t="shared" si="905"/>
        <v>0</v>
      </c>
      <c r="Z5813" s="66">
        <v>0</v>
      </c>
      <c r="AA5813" s="6">
        <v>0</v>
      </c>
      <c r="AB5813" s="4">
        <f t="shared" si="906"/>
        <v>193633.24509803922</v>
      </c>
      <c r="AC5813" s="6">
        <f t="shared" si="902"/>
        <v>3872.6649019607867</v>
      </c>
      <c r="AD5813" s="6">
        <f t="shared" si="911"/>
        <v>197505.91</v>
      </c>
      <c r="AE5813" s="14">
        <f>VLOOKUP(I5813,[2]媒体政策预估表!A:N,MATCH(O5813,[2]媒体政策预估表!$A$2:$M$2,0),0)</f>
        <v>0.10299999999999999</v>
      </c>
      <c r="AF5813" s="6">
        <f t="shared" si="908"/>
        <v>20343.10873</v>
      </c>
      <c r="AG5813" s="14">
        <v>0</v>
      </c>
      <c r="AH5813" s="99">
        <f t="shared" si="912"/>
        <v>197505.91</v>
      </c>
      <c r="AI5813" s="47"/>
      <c r="AJ5813" s="126" t="e">
        <v>#N/A</v>
      </c>
      <c r="AK5813" s="80">
        <f t="shared" si="907"/>
        <v>0</v>
      </c>
      <c r="AL5813" s="85"/>
      <c r="AM5813" s="85"/>
    </row>
    <row r="5814" spans="1:39" s="86" customFormat="1" ht="13.25" hidden="1" customHeight="1" x14ac:dyDescent="0.3">
      <c r="A5814" s="89" t="s">
        <v>3852</v>
      </c>
      <c r="B5814" s="86" t="s">
        <v>35</v>
      </c>
      <c r="C5814" s="86" t="s">
        <v>36</v>
      </c>
      <c r="D5814" s="86" t="s">
        <v>185</v>
      </c>
      <c r="E5814" s="86" t="s">
        <v>2957</v>
      </c>
      <c r="F5814" s="86" t="s">
        <v>2957</v>
      </c>
      <c r="G5814" s="86" t="s">
        <v>2957</v>
      </c>
      <c r="H5814" s="144">
        <v>22</v>
      </c>
      <c r="I5814" s="86" t="s">
        <v>2935</v>
      </c>
      <c r="J5814" s="1" t="s">
        <v>3302</v>
      </c>
      <c r="K5814" s="1" t="s">
        <v>3371</v>
      </c>
      <c r="L5814" s="1" t="s">
        <v>35</v>
      </c>
      <c r="M5814" s="86" t="s">
        <v>2957</v>
      </c>
      <c r="O5814" s="47" t="s">
        <v>410</v>
      </c>
      <c r="P5814" s="47" t="s">
        <v>46</v>
      </c>
      <c r="Q5814" s="14">
        <v>0.02</v>
      </c>
      <c r="R5814" s="143">
        <v>108552</v>
      </c>
      <c r="S5814" s="47"/>
      <c r="T5814" s="6">
        <v>0</v>
      </c>
      <c r="U5814" s="6">
        <v>660000</v>
      </c>
      <c r="V5814" s="6">
        <v>406161.25000000017</v>
      </c>
      <c r="W5814" s="6">
        <f t="shared" si="909"/>
        <v>253838.74999999983</v>
      </c>
      <c r="X5814" s="6">
        <f t="shared" si="910"/>
        <v>398197.30392156879</v>
      </c>
      <c r="Y5814" s="13">
        <f t="shared" si="905"/>
        <v>0</v>
      </c>
      <c r="Z5814" s="66">
        <v>0</v>
      </c>
      <c r="AA5814" s="6">
        <v>0</v>
      </c>
      <c r="AB5814" s="4">
        <f t="shared" si="906"/>
        <v>398197.30392156879</v>
      </c>
      <c r="AC5814" s="6">
        <f t="shared" si="902"/>
        <v>7963.9460784313851</v>
      </c>
      <c r="AD5814" s="6">
        <f t="shared" si="911"/>
        <v>406161.25000000017</v>
      </c>
      <c r="AE5814" s="14">
        <f>VLOOKUP(I5814,[2]媒体政策预估表!A:N,MATCH(O5814,[2]媒体政策预估表!$A$2:$M$2,0),0)</f>
        <v>0.10299999999999999</v>
      </c>
      <c r="AF5814" s="6">
        <f t="shared" si="908"/>
        <v>41834.608750000014</v>
      </c>
      <c r="AG5814" s="14">
        <v>0</v>
      </c>
      <c r="AH5814" s="99">
        <f t="shared" si="912"/>
        <v>406161.25000000017</v>
      </c>
      <c r="AI5814" s="47"/>
      <c r="AJ5814" s="126" t="e">
        <v>#N/A</v>
      </c>
      <c r="AK5814" s="80">
        <f t="shared" si="907"/>
        <v>0</v>
      </c>
      <c r="AL5814" s="85"/>
      <c r="AM5814" s="85"/>
    </row>
    <row r="5815" spans="1:39" s="86" customFormat="1" ht="13.25" hidden="1" customHeight="1" x14ac:dyDescent="0.3">
      <c r="A5815" s="89" t="s">
        <v>3806</v>
      </c>
      <c r="B5815" s="86" t="s">
        <v>35</v>
      </c>
      <c r="C5815" s="86" t="s">
        <v>36</v>
      </c>
      <c r="D5815" s="86" t="s">
        <v>185</v>
      </c>
      <c r="E5815" s="86" t="s">
        <v>2957</v>
      </c>
      <c r="F5815" s="86" t="s">
        <v>2978</v>
      </c>
      <c r="G5815" s="86" t="s">
        <v>2957</v>
      </c>
      <c r="H5815" s="144">
        <v>22</v>
      </c>
      <c r="I5815" s="86" t="s">
        <v>2935</v>
      </c>
      <c r="J5815" s="1" t="s">
        <v>3302</v>
      </c>
      <c r="K5815" s="1" t="s">
        <v>3371</v>
      </c>
      <c r="L5815" s="1" t="s">
        <v>35</v>
      </c>
      <c r="M5815" s="86" t="s">
        <v>2979</v>
      </c>
      <c r="O5815" s="47" t="s">
        <v>410</v>
      </c>
      <c r="P5815" s="47" t="s">
        <v>46</v>
      </c>
      <c r="Q5815" s="14">
        <v>0.02</v>
      </c>
      <c r="R5815" s="143">
        <v>19992</v>
      </c>
      <c r="S5815" s="47"/>
      <c r="T5815" s="6">
        <v>179308.87999999989</v>
      </c>
      <c r="U5815" s="6">
        <v>1836000</v>
      </c>
      <c r="V5815" s="6">
        <v>1256559.5</v>
      </c>
      <c r="W5815" s="6">
        <f t="shared" si="909"/>
        <v>758749.37999999989</v>
      </c>
      <c r="X5815" s="6">
        <f t="shared" si="910"/>
        <v>1231921.0784313725</v>
      </c>
      <c r="Y5815" s="13">
        <f t="shared" si="905"/>
        <v>0</v>
      </c>
      <c r="Z5815" s="66">
        <v>0</v>
      </c>
      <c r="AA5815" s="6">
        <v>0</v>
      </c>
      <c r="AB5815" s="4">
        <f t="shared" si="906"/>
        <v>1231921.0784313725</v>
      </c>
      <c r="AC5815" s="6">
        <f t="shared" si="902"/>
        <v>24638.421568627469</v>
      </c>
      <c r="AD5815" s="6">
        <f t="shared" si="911"/>
        <v>1256559.5</v>
      </c>
      <c r="AE5815" s="14">
        <f>VLOOKUP(I5815,[2]媒体政策预估表!A:N,MATCH(O5815,[2]媒体政策预估表!$A$2:$M$2,0),0)</f>
        <v>0.10299999999999999</v>
      </c>
      <c r="AF5815" s="6">
        <f t="shared" si="908"/>
        <v>129425.62849999999</v>
      </c>
      <c r="AG5815" s="14">
        <v>0</v>
      </c>
      <c r="AH5815" s="99">
        <f t="shared" si="912"/>
        <v>1256559.5</v>
      </c>
      <c r="AI5815" s="47"/>
      <c r="AJ5815" s="126" t="e">
        <v>#N/A</v>
      </c>
      <c r="AK5815" s="80">
        <f t="shared" si="907"/>
        <v>0</v>
      </c>
      <c r="AL5815" s="85"/>
      <c r="AM5815" s="85"/>
    </row>
    <row r="5816" spans="1:39" s="86" customFormat="1" ht="13.25" hidden="1" customHeight="1" x14ac:dyDescent="0.3">
      <c r="A5816" s="89" t="s">
        <v>3852</v>
      </c>
      <c r="B5816" s="86" t="s">
        <v>35</v>
      </c>
      <c r="C5816" s="86" t="s">
        <v>36</v>
      </c>
      <c r="D5816" s="86" t="s">
        <v>185</v>
      </c>
      <c r="E5816" s="86" t="s">
        <v>2957</v>
      </c>
      <c r="F5816" s="86" t="s">
        <v>3012</v>
      </c>
      <c r="G5816" s="86" t="s">
        <v>2957</v>
      </c>
      <c r="H5816" s="144">
        <v>22</v>
      </c>
      <c r="I5816" s="86" t="s">
        <v>2935</v>
      </c>
      <c r="J5816" s="1" t="s">
        <v>3302</v>
      </c>
      <c r="K5816" s="1" t="s">
        <v>3371</v>
      </c>
      <c r="L5816" s="1" t="s">
        <v>35</v>
      </c>
      <c r="M5816" s="86" t="s">
        <v>3013</v>
      </c>
      <c r="O5816" s="47" t="s">
        <v>410</v>
      </c>
      <c r="P5816" s="47" t="s">
        <v>46</v>
      </c>
      <c r="Q5816" s="14">
        <v>0.02</v>
      </c>
      <c r="R5816" s="143">
        <v>71652</v>
      </c>
      <c r="S5816" s="47"/>
      <c r="T5816" s="6">
        <v>157858.6399999999</v>
      </c>
      <c r="U5816" s="6">
        <v>468000</v>
      </c>
      <c r="V5816" s="6">
        <v>478098.35</v>
      </c>
      <c r="W5816" s="6">
        <f t="shared" si="909"/>
        <v>147760.28999999992</v>
      </c>
      <c r="X5816" s="6">
        <f t="shared" si="910"/>
        <v>468723.87254901958</v>
      </c>
      <c r="Y5816" s="13">
        <f t="shared" si="905"/>
        <v>0</v>
      </c>
      <c r="Z5816" s="66">
        <v>0</v>
      </c>
      <c r="AA5816" s="6">
        <v>0</v>
      </c>
      <c r="AB5816" s="4">
        <f t="shared" si="906"/>
        <v>468723.87254901958</v>
      </c>
      <c r="AC5816" s="6">
        <f t="shared" si="902"/>
        <v>9374.4774509803974</v>
      </c>
      <c r="AD5816" s="6">
        <f t="shared" si="911"/>
        <v>478098.35</v>
      </c>
      <c r="AE5816" s="14">
        <f>VLOOKUP(I5816,[2]媒体政策预估表!A:N,MATCH(O5816,[2]媒体政策预估表!$A$2:$M$2,0),0)</f>
        <v>0.10299999999999999</v>
      </c>
      <c r="AF5816" s="6">
        <f t="shared" si="908"/>
        <v>49244.130049999992</v>
      </c>
      <c r="AG5816" s="14">
        <v>0</v>
      </c>
      <c r="AH5816" s="99">
        <f t="shared" si="912"/>
        <v>478098.35</v>
      </c>
      <c r="AI5816" s="47"/>
      <c r="AJ5816" s="126" t="e">
        <v>#N/A</v>
      </c>
      <c r="AK5816" s="80">
        <f t="shared" si="907"/>
        <v>0</v>
      </c>
      <c r="AL5816" s="85"/>
      <c r="AM5816" s="85"/>
    </row>
    <row r="5817" spans="1:39" s="86" customFormat="1" ht="13.25" hidden="1" customHeight="1" x14ac:dyDescent="0.3">
      <c r="A5817" s="89" t="s">
        <v>3806</v>
      </c>
      <c r="B5817" s="86" t="s">
        <v>35</v>
      </c>
      <c r="C5817" s="86" t="s">
        <v>65</v>
      </c>
      <c r="D5817" s="86" t="s">
        <v>66</v>
      </c>
      <c r="E5817" s="86" t="s">
        <v>1907</v>
      </c>
      <c r="F5817" s="86" t="s">
        <v>1908</v>
      </c>
      <c r="G5817" s="86" t="s">
        <v>1907</v>
      </c>
      <c r="H5817" s="144">
        <v>22</v>
      </c>
      <c r="I5817" s="86" t="s">
        <v>2935</v>
      </c>
      <c r="J5817" s="1" t="s">
        <v>3302</v>
      </c>
      <c r="K5817" s="1" t="s">
        <v>3371</v>
      </c>
      <c r="L5817" s="1" t="s">
        <v>35</v>
      </c>
      <c r="M5817" s="86" t="s">
        <v>483</v>
      </c>
      <c r="O5817" s="47" t="s">
        <v>410</v>
      </c>
      <c r="P5817" s="47" t="s">
        <v>41</v>
      </c>
      <c r="Q5817" s="14">
        <v>0</v>
      </c>
      <c r="R5817" s="143">
        <v>41252</v>
      </c>
      <c r="S5817" s="47"/>
      <c r="T5817" s="6">
        <v>307236.31999999995</v>
      </c>
      <c r="U5817" s="6">
        <v>100000</v>
      </c>
      <c r="V5817" s="6">
        <v>91588.299999999988</v>
      </c>
      <c r="W5817" s="6">
        <f t="shared" si="909"/>
        <v>315648.01999999996</v>
      </c>
      <c r="X5817" s="6">
        <f t="shared" si="910"/>
        <v>91588.299999999988</v>
      </c>
      <c r="Y5817" s="13">
        <f t="shared" si="905"/>
        <v>0</v>
      </c>
      <c r="Z5817" s="66">
        <v>0</v>
      </c>
      <c r="AA5817" s="6">
        <v>0</v>
      </c>
      <c r="AB5817" s="4">
        <f t="shared" si="906"/>
        <v>91588.299999999988</v>
      </c>
      <c r="AC5817" s="6">
        <f t="shared" si="902"/>
        <v>0</v>
      </c>
      <c r="AD5817" s="6">
        <f t="shared" si="911"/>
        <v>91588.299999999988</v>
      </c>
      <c r="AE5817" s="14">
        <f>VLOOKUP(I5817,[2]媒体政策预估表!A:N,MATCH(O5817,[2]媒体政策预估表!$A$2:$M$2,0),0)</f>
        <v>0.10299999999999999</v>
      </c>
      <c r="AF5817" s="6">
        <f t="shared" si="908"/>
        <v>9433.5948999999982</v>
      </c>
      <c r="AG5817" s="14">
        <v>0</v>
      </c>
      <c r="AH5817" s="99">
        <f t="shared" si="912"/>
        <v>91588.299999999988</v>
      </c>
      <c r="AI5817" s="47"/>
      <c r="AJ5817" s="126" t="e">
        <v>#N/A</v>
      </c>
      <c r="AK5817" s="80">
        <f t="shared" si="907"/>
        <v>0</v>
      </c>
      <c r="AL5817" s="85"/>
      <c r="AM5817" s="85"/>
    </row>
    <row r="5818" spans="1:39" s="86" customFormat="1" ht="13.25" hidden="1" customHeight="1" x14ac:dyDescent="0.3">
      <c r="A5818" s="89" t="s">
        <v>3794</v>
      </c>
      <c r="B5818" s="86" t="s">
        <v>35</v>
      </c>
      <c r="C5818" s="86" t="s">
        <v>65</v>
      </c>
      <c r="D5818" s="86" t="s">
        <v>66</v>
      </c>
      <c r="E5818" s="86" t="s">
        <v>2386</v>
      </c>
      <c r="F5818" s="86" t="s">
        <v>2386</v>
      </c>
      <c r="G5818" s="86" t="s">
        <v>2386</v>
      </c>
      <c r="H5818" s="144">
        <v>22</v>
      </c>
      <c r="I5818" s="86" t="s">
        <v>2935</v>
      </c>
      <c r="J5818" s="1" t="s">
        <v>3302</v>
      </c>
      <c r="K5818" s="1" t="s">
        <v>3371</v>
      </c>
      <c r="L5818" s="1" t="s">
        <v>35</v>
      </c>
      <c r="M5818" s="86" t="s">
        <v>2387</v>
      </c>
      <c r="O5818" s="47" t="s">
        <v>410</v>
      </c>
      <c r="P5818" s="47" t="s">
        <v>41</v>
      </c>
      <c r="Q5818" s="14">
        <v>0</v>
      </c>
      <c r="R5818" s="143">
        <v>92622</v>
      </c>
      <c r="S5818" s="47"/>
      <c r="T5818" s="6">
        <v>47269.809999999881</v>
      </c>
      <c r="U5818" s="6">
        <v>300000</v>
      </c>
      <c r="V5818" s="6">
        <v>289154</v>
      </c>
      <c r="W5818" s="6">
        <f t="shared" si="909"/>
        <v>58115.809999999881</v>
      </c>
      <c r="X5818" s="6">
        <f t="shared" si="910"/>
        <v>289154</v>
      </c>
      <c r="Y5818" s="13">
        <f t="shared" si="905"/>
        <v>0</v>
      </c>
      <c r="Z5818" s="66">
        <v>0</v>
      </c>
      <c r="AA5818" s="6">
        <v>0</v>
      </c>
      <c r="AB5818" s="4">
        <f t="shared" si="906"/>
        <v>289154</v>
      </c>
      <c r="AC5818" s="6">
        <f t="shared" si="902"/>
        <v>0</v>
      </c>
      <c r="AD5818" s="6">
        <f t="shared" si="911"/>
        <v>289154</v>
      </c>
      <c r="AE5818" s="14">
        <f>VLOOKUP(I5818,[2]媒体政策预估表!A:N,MATCH(O5818,[2]媒体政策预估表!$A$2:$M$2,0),0)</f>
        <v>0.10299999999999999</v>
      </c>
      <c r="AF5818" s="6">
        <f t="shared" si="908"/>
        <v>29782.861999999997</v>
      </c>
      <c r="AG5818" s="14">
        <v>0</v>
      </c>
      <c r="AH5818" s="99">
        <f t="shared" si="912"/>
        <v>289154</v>
      </c>
      <c r="AI5818" s="47"/>
      <c r="AJ5818" s="126" t="e">
        <v>#N/A</v>
      </c>
      <c r="AK5818" s="80">
        <f t="shared" si="907"/>
        <v>0</v>
      </c>
      <c r="AL5818" s="85"/>
      <c r="AM5818" s="85"/>
    </row>
    <row r="5819" spans="1:39" s="86" customFormat="1" ht="13.25" hidden="1" customHeight="1" x14ac:dyDescent="0.3">
      <c r="A5819" s="89" t="s">
        <v>3794</v>
      </c>
      <c r="B5819" s="86" t="s">
        <v>35</v>
      </c>
      <c r="C5819" s="86" t="s">
        <v>65</v>
      </c>
      <c r="D5819" s="86" t="s">
        <v>66</v>
      </c>
      <c r="E5819" s="86" t="s">
        <v>2385</v>
      </c>
      <c r="F5819" s="86" t="s">
        <v>2385</v>
      </c>
      <c r="G5819" s="86" t="s">
        <v>2385</v>
      </c>
      <c r="H5819" s="144">
        <v>22</v>
      </c>
      <c r="I5819" s="86" t="s">
        <v>2935</v>
      </c>
      <c r="J5819" s="1" t="s">
        <v>3302</v>
      </c>
      <c r="K5819" s="1" t="s">
        <v>3371</v>
      </c>
      <c r="L5819" s="1" t="s">
        <v>35</v>
      </c>
      <c r="M5819" s="86" t="s">
        <v>2385</v>
      </c>
      <c r="O5819" s="47" t="s">
        <v>410</v>
      </c>
      <c r="P5819" s="47" t="s">
        <v>46</v>
      </c>
      <c r="Q5819" s="14">
        <v>0.01</v>
      </c>
      <c r="R5819" s="143">
        <v>95372</v>
      </c>
      <c r="S5819" s="47"/>
      <c r="T5819" s="6">
        <v>114923.53999999995</v>
      </c>
      <c r="U5819" s="6">
        <v>202000</v>
      </c>
      <c r="V5819" s="6">
        <v>165624.63</v>
      </c>
      <c r="W5819" s="6">
        <f t="shared" si="909"/>
        <v>151298.90999999992</v>
      </c>
      <c r="X5819" s="6">
        <f t="shared" si="910"/>
        <v>163984.78217821784</v>
      </c>
      <c r="Y5819" s="13">
        <f t="shared" si="905"/>
        <v>0</v>
      </c>
      <c r="Z5819" s="66">
        <v>0</v>
      </c>
      <c r="AA5819" s="6">
        <v>0</v>
      </c>
      <c r="AB5819" s="4">
        <f t="shared" si="906"/>
        <v>163984.78217821784</v>
      </c>
      <c r="AC5819" s="6">
        <f t="shared" si="902"/>
        <v>1639.8478217821685</v>
      </c>
      <c r="AD5819" s="6">
        <f t="shared" si="911"/>
        <v>165624.63</v>
      </c>
      <c r="AE5819" s="14">
        <f>VLOOKUP(I5819,[2]媒体政策预估表!A:N,MATCH(O5819,[2]媒体政策预估表!$A$2:$M$2,0),0)</f>
        <v>0.10299999999999999</v>
      </c>
      <c r="AF5819" s="6">
        <f t="shared" si="908"/>
        <v>17059.336889999999</v>
      </c>
      <c r="AG5819" s="14">
        <v>0</v>
      </c>
      <c r="AH5819" s="99">
        <f t="shared" si="912"/>
        <v>165624.63</v>
      </c>
      <c r="AI5819" s="47"/>
      <c r="AJ5819" s="126" t="e">
        <v>#N/A</v>
      </c>
      <c r="AK5819" s="80">
        <f t="shared" si="907"/>
        <v>0</v>
      </c>
      <c r="AL5819" s="85"/>
      <c r="AM5819" s="85"/>
    </row>
    <row r="5820" spans="1:39" s="86" customFormat="1" ht="13.25" hidden="1" customHeight="1" x14ac:dyDescent="0.3">
      <c r="A5820" s="89" t="s">
        <v>3794</v>
      </c>
      <c r="B5820" s="86" t="s">
        <v>35</v>
      </c>
      <c r="C5820" s="86" t="s">
        <v>65</v>
      </c>
      <c r="D5820" s="86" t="s">
        <v>66</v>
      </c>
      <c r="E5820" s="86" t="s">
        <v>2354</v>
      </c>
      <c r="F5820" s="86" t="s">
        <v>2354</v>
      </c>
      <c r="G5820" s="86" t="s">
        <v>2354</v>
      </c>
      <c r="H5820" s="144">
        <v>22</v>
      </c>
      <c r="I5820" s="86" t="s">
        <v>2935</v>
      </c>
      <c r="J5820" s="1" t="s">
        <v>3302</v>
      </c>
      <c r="K5820" s="1" t="s">
        <v>3371</v>
      </c>
      <c r="L5820" s="1" t="s">
        <v>35</v>
      </c>
      <c r="M5820" s="86" t="s">
        <v>2354</v>
      </c>
      <c r="O5820" s="47" t="s">
        <v>410</v>
      </c>
      <c r="P5820" s="47" t="s">
        <v>46</v>
      </c>
      <c r="Q5820" s="14">
        <v>0.02</v>
      </c>
      <c r="R5820" s="143">
        <v>10872</v>
      </c>
      <c r="S5820" s="47"/>
      <c r="T5820" s="6">
        <v>2131322.5199999996</v>
      </c>
      <c r="U5820" s="6">
        <v>3850000</v>
      </c>
      <c r="V5820" s="6">
        <v>1760864.89</v>
      </c>
      <c r="W5820" s="6">
        <f t="shared" si="909"/>
        <v>4220457.63</v>
      </c>
      <c r="X5820" s="6">
        <f t="shared" si="910"/>
        <v>1726338.1274509802</v>
      </c>
      <c r="Y5820" s="13">
        <f t="shared" si="905"/>
        <v>0</v>
      </c>
      <c r="Z5820" s="66">
        <v>0</v>
      </c>
      <c r="AA5820" s="6">
        <v>0</v>
      </c>
      <c r="AB5820" s="4">
        <f t="shared" si="906"/>
        <v>1726338.1274509802</v>
      </c>
      <c r="AC5820" s="6">
        <f t="shared" si="902"/>
        <v>34526.762549019651</v>
      </c>
      <c r="AD5820" s="6">
        <f t="shared" si="911"/>
        <v>1760864.89</v>
      </c>
      <c r="AE5820" s="14">
        <f>VLOOKUP(I5820,[2]媒体政策预估表!A:N,MATCH(O5820,[2]媒体政策预估表!$A$2:$M$2,0),0)</f>
        <v>0.10299999999999999</v>
      </c>
      <c r="AF5820" s="6">
        <f t="shared" si="908"/>
        <v>181369.08366999999</v>
      </c>
      <c r="AG5820" s="14">
        <v>0</v>
      </c>
      <c r="AH5820" s="99">
        <f t="shared" si="912"/>
        <v>1760864.89</v>
      </c>
      <c r="AI5820" s="47"/>
      <c r="AJ5820" s="126" t="e">
        <v>#N/A</v>
      </c>
      <c r="AK5820" s="80">
        <f t="shared" si="907"/>
        <v>0</v>
      </c>
      <c r="AL5820" s="85"/>
      <c r="AM5820" s="85"/>
    </row>
    <row r="5821" spans="1:39" s="86" customFormat="1" ht="13.25" hidden="1" customHeight="1" x14ac:dyDescent="0.3">
      <c r="A5821" s="89" t="s">
        <v>3852</v>
      </c>
      <c r="B5821" s="86" t="s">
        <v>35</v>
      </c>
      <c r="C5821" s="86" t="s">
        <v>65</v>
      </c>
      <c r="D5821" s="86" t="s">
        <v>66</v>
      </c>
      <c r="E5821" s="86" t="s">
        <v>2354</v>
      </c>
      <c r="F5821" s="86" t="s">
        <v>2354</v>
      </c>
      <c r="G5821" s="86" t="s">
        <v>2354</v>
      </c>
      <c r="H5821" s="143">
        <v>22</v>
      </c>
      <c r="I5821" s="86" t="s">
        <v>2935</v>
      </c>
      <c r="J5821" s="1" t="s">
        <v>3302</v>
      </c>
      <c r="K5821" s="1" t="s">
        <v>3371</v>
      </c>
      <c r="L5821" s="1" t="s">
        <v>35</v>
      </c>
      <c r="M5821" s="86" t="s">
        <v>3869</v>
      </c>
      <c r="O5821" s="47" t="s">
        <v>410</v>
      </c>
      <c r="P5821" s="47" t="s">
        <v>46</v>
      </c>
      <c r="Q5821" s="14">
        <v>0.02</v>
      </c>
      <c r="R5821" s="143">
        <v>245822</v>
      </c>
      <c r="S5821" s="47"/>
      <c r="T5821" s="6">
        <v>0</v>
      </c>
      <c r="U5821" s="6">
        <v>50000</v>
      </c>
      <c r="V5821" s="6">
        <v>0</v>
      </c>
      <c r="W5821" s="6">
        <f t="shared" si="909"/>
        <v>50000</v>
      </c>
      <c r="X5821" s="6">
        <f t="shared" si="910"/>
        <v>0</v>
      </c>
      <c r="Y5821" s="13">
        <f t="shared" si="905"/>
        <v>0</v>
      </c>
      <c r="Z5821" s="66">
        <v>0</v>
      </c>
      <c r="AA5821" s="6">
        <v>0</v>
      </c>
      <c r="AB5821" s="4">
        <f t="shared" si="906"/>
        <v>0</v>
      </c>
      <c r="AC5821" s="6">
        <f t="shared" si="902"/>
        <v>0</v>
      </c>
      <c r="AD5821" s="6">
        <f t="shared" si="911"/>
        <v>0</v>
      </c>
      <c r="AE5821" s="14">
        <f>VLOOKUP(I5821,[2]媒体政策预估表!A:N,MATCH(O5821,[2]媒体政策预估表!$A$2:$M$2,0),0)</f>
        <v>0.10299999999999999</v>
      </c>
      <c r="AF5821" s="6">
        <f t="shared" si="908"/>
        <v>0</v>
      </c>
      <c r="AG5821" s="14">
        <v>0</v>
      </c>
      <c r="AH5821" s="99">
        <f t="shared" si="912"/>
        <v>0</v>
      </c>
      <c r="AI5821" s="47"/>
      <c r="AJ5821" s="126" t="e">
        <v>#N/A</v>
      </c>
      <c r="AK5821" s="80">
        <f t="shared" si="907"/>
        <v>0</v>
      </c>
      <c r="AL5821" s="85"/>
      <c r="AM5821" s="85"/>
    </row>
    <row r="5822" spans="1:39" s="86" customFormat="1" ht="13.25" hidden="1" customHeight="1" x14ac:dyDescent="0.3">
      <c r="A5822" s="89" t="s">
        <v>3794</v>
      </c>
      <c r="B5822" s="86" t="s">
        <v>35</v>
      </c>
      <c r="C5822" s="86" t="s">
        <v>65</v>
      </c>
      <c r="D5822" s="86" t="s">
        <v>66</v>
      </c>
      <c r="E5822" s="86" t="s">
        <v>2354</v>
      </c>
      <c r="F5822" s="86" t="s">
        <v>2354</v>
      </c>
      <c r="G5822" s="86" t="s">
        <v>2354</v>
      </c>
      <c r="H5822" s="143">
        <v>22</v>
      </c>
      <c r="I5822" s="86" t="s">
        <v>2935</v>
      </c>
      <c r="J5822" s="1" t="s">
        <v>3302</v>
      </c>
      <c r="K5822" s="1" t="s">
        <v>3371</v>
      </c>
      <c r="L5822" s="1" t="s">
        <v>35</v>
      </c>
      <c r="M5822" s="86" t="s">
        <v>3870</v>
      </c>
      <c r="O5822" s="47" t="s">
        <v>410</v>
      </c>
      <c r="P5822" s="47" t="s">
        <v>46</v>
      </c>
      <c r="Q5822" s="14">
        <v>0.02</v>
      </c>
      <c r="R5822" s="143">
        <v>247452</v>
      </c>
      <c r="S5822" s="47"/>
      <c r="T5822" s="6">
        <v>0</v>
      </c>
      <c r="U5822" s="6">
        <v>50000</v>
      </c>
      <c r="V5822" s="6">
        <v>0</v>
      </c>
      <c r="W5822" s="6">
        <f t="shared" si="909"/>
        <v>50000</v>
      </c>
      <c r="X5822" s="6">
        <f t="shared" si="910"/>
        <v>0</v>
      </c>
      <c r="Y5822" s="13">
        <f t="shared" si="905"/>
        <v>0</v>
      </c>
      <c r="Z5822" s="66">
        <v>0</v>
      </c>
      <c r="AA5822" s="6">
        <v>0</v>
      </c>
      <c r="AB5822" s="4">
        <f t="shared" si="906"/>
        <v>0</v>
      </c>
      <c r="AC5822" s="6">
        <f t="shared" ref="AC5822:AC5885" si="913">IF(P5822="返现",X5822*Q5822,V5822-X5822)</f>
        <v>0</v>
      </c>
      <c r="AD5822" s="6">
        <f t="shared" si="911"/>
        <v>0</v>
      </c>
      <c r="AE5822" s="14">
        <f>VLOOKUP(I5822,[2]媒体政策预估表!A:N,MATCH(O5822,[2]媒体政策预估表!$A$2:$M$2,0),0)</f>
        <v>0.10299999999999999</v>
      </c>
      <c r="AF5822" s="6">
        <f t="shared" si="908"/>
        <v>0</v>
      </c>
      <c r="AG5822" s="14">
        <v>0</v>
      </c>
      <c r="AH5822" s="99">
        <f t="shared" si="912"/>
        <v>0</v>
      </c>
      <c r="AI5822" s="47"/>
      <c r="AJ5822" s="126" t="e">
        <v>#N/A</v>
      </c>
      <c r="AK5822" s="80">
        <f t="shared" si="907"/>
        <v>0</v>
      </c>
      <c r="AL5822" s="85"/>
      <c r="AM5822" s="85"/>
    </row>
    <row r="5823" spans="1:39" s="86" customFormat="1" ht="13.25" hidden="1" customHeight="1" x14ac:dyDescent="0.3">
      <c r="A5823" s="89" t="s">
        <v>3806</v>
      </c>
      <c r="B5823" s="86" t="s">
        <v>35</v>
      </c>
      <c r="C5823" s="86" t="s">
        <v>65</v>
      </c>
      <c r="D5823" s="86" t="s">
        <v>66</v>
      </c>
      <c r="E5823" s="86" t="s">
        <v>2354</v>
      </c>
      <c r="F5823" s="86" t="s">
        <v>2354</v>
      </c>
      <c r="G5823" s="86" t="s">
        <v>2354</v>
      </c>
      <c r="H5823" s="143">
        <v>22</v>
      </c>
      <c r="I5823" s="86" t="s">
        <v>2935</v>
      </c>
      <c r="J5823" s="1" t="s">
        <v>3302</v>
      </c>
      <c r="K5823" s="1" t="s">
        <v>3371</v>
      </c>
      <c r="L5823" s="1" t="s">
        <v>35</v>
      </c>
      <c r="M5823" s="86" t="s">
        <v>3871</v>
      </c>
      <c r="O5823" s="47" t="s">
        <v>410</v>
      </c>
      <c r="P5823" s="47" t="s">
        <v>46</v>
      </c>
      <c r="Q5823" s="14">
        <v>0.02</v>
      </c>
      <c r="R5823" s="143">
        <v>247462</v>
      </c>
      <c r="S5823" s="47"/>
      <c r="T5823" s="6">
        <v>0</v>
      </c>
      <c r="U5823" s="6">
        <v>50000</v>
      </c>
      <c r="V5823" s="6">
        <v>0</v>
      </c>
      <c r="W5823" s="6">
        <f t="shared" si="909"/>
        <v>50000</v>
      </c>
      <c r="X5823" s="6">
        <f t="shared" si="910"/>
        <v>0</v>
      </c>
      <c r="Y5823" s="13">
        <f t="shared" si="905"/>
        <v>0</v>
      </c>
      <c r="Z5823" s="66">
        <v>0</v>
      </c>
      <c r="AA5823" s="6">
        <v>0</v>
      </c>
      <c r="AB5823" s="4">
        <f t="shared" si="906"/>
        <v>0</v>
      </c>
      <c r="AC5823" s="6">
        <f t="shared" si="913"/>
        <v>0</v>
      </c>
      <c r="AD5823" s="6">
        <f t="shared" si="911"/>
        <v>0</v>
      </c>
      <c r="AE5823" s="14">
        <f>VLOOKUP(I5823,[2]媒体政策预估表!A:N,MATCH(O5823,[2]媒体政策预估表!$A$2:$M$2,0),0)</f>
        <v>0.10299999999999999</v>
      </c>
      <c r="AF5823" s="6">
        <f t="shared" si="908"/>
        <v>0</v>
      </c>
      <c r="AG5823" s="14">
        <v>0</v>
      </c>
      <c r="AH5823" s="99">
        <f t="shared" si="912"/>
        <v>0</v>
      </c>
      <c r="AI5823" s="47"/>
      <c r="AJ5823" s="126" t="e">
        <v>#N/A</v>
      </c>
      <c r="AK5823" s="80">
        <f t="shared" si="907"/>
        <v>0</v>
      </c>
      <c r="AL5823" s="85"/>
      <c r="AM5823" s="85"/>
    </row>
    <row r="5824" spans="1:39" s="86" customFormat="1" ht="13.25" hidden="1" customHeight="1" x14ac:dyDescent="0.3">
      <c r="A5824" s="89" t="s">
        <v>3794</v>
      </c>
      <c r="B5824" s="86" t="s">
        <v>35</v>
      </c>
      <c r="C5824" s="86" t="s">
        <v>65</v>
      </c>
      <c r="D5824" s="86" t="s">
        <v>66</v>
      </c>
      <c r="E5824" s="86" t="s">
        <v>3146</v>
      </c>
      <c r="F5824" s="86" t="s">
        <v>3585</v>
      </c>
      <c r="G5824" s="86" t="s">
        <v>3146</v>
      </c>
      <c r="H5824" s="144">
        <v>22</v>
      </c>
      <c r="I5824" s="86" t="s">
        <v>2935</v>
      </c>
      <c r="J5824" s="1" t="s">
        <v>3302</v>
      </c>
      <c r="K5824" s="1" t="s">
        <v>3371</v>
      </c>
      <c r="L5824" s="1" t="s">
        <v>35</v>
      </c>
      <c r="M5824" s="86" t="s">
        <v>3044</v>
      </c>
      <c r="O5824" s="47" t="s">
        <v>410</v>
      </c>
      <c r="P5824" s="47" t="s">
        <v>41</v>
      </c>
      <c r="Q5824" s="14">
        <v>0</v>
      </c>
      <c r="R5824" s="143">
        <v>18122</v>
      </c>
      <c r="S5824" s="47"/>
      <c r="T5824" s="6">
        <v>269387.36</v>
      </c>
      <c r="U5824" s="6">
        <v>470000</v>
      </c>
      <c r="V5824" s="6">
        <v>530197.59</v>
      </c>
      <c r="W5824" s="6">
        <f t="shared" si="909"/>
        <v>209189.77000000002</v>
      </c>
      <c r="X5824" s="6">
        <f t="shared" si="910"/>
        <v>530197.59</v>
      </c>
      <c r="Y5824" s="13">
        <f t="shared" si="905"/>
        <v>0</v>
      </c>
      <c r="Z5824" s="66">
        <v>0</v>
      </c>
      <c r="AA5824" s="6">
        <v>0</v>
      </c>
      <c r="AB5824" s="4">
        <f t="shared" si="906"/>
        <v>530197.59</v>
      </c>
      <c r="AC5824" s="6">
        <f t="shared" si="913"/>
        <v>0</v>
      </c>
      <c r="AD5824" s="6">
        <f t="shared" si="911"/>
        <v>530197.59</v>
      </c>
      <c r="AE5824" s="14">
        <f>VLOOKUP(I5824,[2]媒体政策预估表!A:N,MATCH(O5824,[2]媒体政策预估表!$A$2:$M$2,0),0)</f>
        <v>0.10299999999999999</v>
      </c>
      <c r="AF5824" s="6">
        <f t="shared" si="908"/>
        <v>54610.351769999994</v>
      </c>
      <c r="AG5824" s="14">
        <v>0</v>
      </c>
      <c r="AH5824" s="99">
        <f t="shared" si="912"/>
        <v>530197.59</v>
      </c>
      <c r="AI5824" s="47"/>
      <c r="AJ5824" s="126" t="e">
        <v>#N/A</v>
      </c>
      <c r="AK5824" s="80">
        <f t="shared" si="907"/>
        <v>0</v>
      </c>
      <c r="AL5824" s="85"/>
      <c r="AM5824" s="85"/>
    </row>
    <row r="5825" spans="1:39" s="86" customFormat="1" ht="13.25" hidden="1" customHeight="1" x14ac:dyDescent="0.3">
      <c r="A5825" s="89" t="s">
        <v>3792</v>
      </c>
      <c r="B5825" s="86" t="s">
        <v>35</v>
      </c>
      <c r="C5825" s="86" t="s">
        <v>65</v>
      </c>
      <c r="D5825" s="86" t="s">
        <v>66</v>
      </c>
      <c r="E5825" s="86" t="s">
        <v>2752</v>
      </c>
      <c r="F5825" s="86" t="s">
        <v>2752</v>
      </c>
      <c r="G5825" s="86" t="s">
        <v>2752</v>
      </c>
      <c r="H5825" s="144">
        <v>22</v>
      </c>
      <c r="I5825" s="86" t="s">
        <v>2935</v>
      </c>
      <c r="J5825" s="1" t="s">
        <v>3302</v>
      </c>
      <c r="K5825" s="1" t="s">
        <v>3371</v>
      </c>
      <c r="L5825" s="1" t="s">
        <v>35</v>
      </c>
      <c r="M5825" s="86" t="s">
        <v>2752</v>
      </c>
      <c r="O5825" s="47" t="s">
        <v>410</v>
      </c>
      <c r="P5825" s="47" t="s">
        <v>41</v>
      </c>
      <c r="Q5825" s="14">
        <v>0</v>
      </c>
      <c r="R5825" s="143">
        <v>30032</v>
      </c>
      <c r="S5825" s="47"/>
      <c r="T5825" s="6">
        <v>48442.68</v>
      </c>
      <c r="U5825" s="6">
        <v>550000</v>
      </c>
      <c r="V5825" s="6">
        <v>388536.83</v>
      </c>
      <c r="W5825" s="6">
        <f t="shared" si="909"/>
        <v>209905.85000000003</v>
      </c>
      <c r="X5825" s="6">
        <f t="shared" si="910"/>
        <v>388536.83</v>
      </c>
      <c r="Y5825" s="13">
        <f t="shared" si="905"/>
        <v>0</v>
      </c>
      <c r="Z5825" s="66">
        <v>0</v>
      </c>
      <c r="AA5825" s="6">
        <v>0</v>
      </c>
      <c r="AB5825" s="4">
        <f t="shared" si="906"/>
        <v>388536.83</v>
      </c>
      <c r="AC5825" s="6">
        <f t="shared" si="913"/>
        <v>0</v>
      </c>
      <c r="AD5825" s="6">
        <f t="shared" si="911"/>
        <v>388536.83</v>
      </c>
      <c r="AE5825" s="14">
        <f>VLOOKUP(I5825,[2]媒体政策预估表!A:N,MATCH(O5825,[2]媒体政策预估表!$A$2:$M$2,0),0)</f>
        <v>0.10299999999999999</v>
      </c>
      <c r="AF5825" s="6">
        <f t="shared" si="908"/>
        <v>40019.293489999996</v>
      </c>
      <c r="AG5825" s="14">
        <v>0</v>
      </c>
      <c r="AH5825" s="99">
        <f t="shared" si="912"/>
        <v>388536.83</v>
      </c>
      <c r="AI5825" s="47"/>
      <c r="AJ5825" s="126" t="e">
        <v>#N/A</v>
      </c>
      <c r="AK5825" s="80">
        <f t="shared" si="907"/>
        <v>0</v>
      </c>
      <c r="AL5825" s="85"/>
      <c r="AM5825" s="85"/>
    </row>
    <row r="5826" spans="1:39" s="86" customFormat="1" ht="13.25" hidden="1" customHeight="1" x14ac:dyDescent="0.3">
      <c r="A5826" s="89" t="s">
        <v>3852</v>
      </c>
      <c r="B5826" s="86" t="s">
        <v>35</v>
      </c>
      <c r="C5826" s="86" t="s">
        <v>65</v>
      </c>
      <c r="D5826" s="86" t="s">
        <v>66</v>
      </c>
      <c r="E5826" s="86" t="s">
        <v>494</v>
      </c>
      <c r="F5826" s="86" t="s">
        <v>494</v>
      </c>
      <c r="G5826" s="86" t="s">
        <v>494</v>
      </c>
      <c r="H5826" s="144">
        <v>22</v>
      </c>
      <c r="I5826" s="86" t="s">
        <v>2935</v>
      </c>
      <c r="J5826" s="1" t="s">
        <v>3302</v>
      </c>
      <c r="K5826" s="1" t="s">
        <v>3371</v>
      </c>
      <c r="L5826" s="1" t="s">
        <v>35</v>
      </c>
      <c r="M5826" s="86" t="s">
        <v>495</v>
      </c>
      <c r="O5826" s="47" t="s">
        <v>410</v>
      </c>
      <c r="P5826" s="47" t="s">
        <v>41</v>
      </c>
      <c r="Q5826" s="14">
        <v>0</v>
      </c>
      <c r="R5826" s="143">
        <v>16172</v>
      </c>
      <c r="S5826" s="47"/>
      <c r="T5826" s="6">
        <v>4452202.4099999983</v>
      </c>
      <c r="U5826" s="6">
        <v>1600000</v>
      </c>
      <c r="V5826" s="6">
        <v>1298529.2</v>
      </c>
      <c r="W5826" s="6">
        <f t="shared" si="909"/>
        <v>4753673.2099999981</v>
      </c>
      <c r="X5826" s="6">
        <f t="shared" si="910"/>
        <v>1298529.2</v>
      </c>
      <c r="Y5826" s="13">
        <f t="shared" si="905"/>
        <v>0</v>
      </c>
      <c r="Z5826" s="66">
        <v>0</v>
      </c>
      <c r="AA5826" s="6">
        <v>0</v>
      </c>
      <c r="AB5826" s="4">
        <f t="shared" si="906"/>
        <v>1298529.2</v>
      </c>
      <c r="AC5826" s="6">
        <f t="shared" si="913"/>
        <v>0</v>
      </c>
      <c r="AD5826" s="6">
        <f t="shared" si="911"/>
        <v>1298529.2</v>
      </c>
      <c r="AE5826" s="14">
        <f>VLOOKUP(I5826,[2]媒体政策预估表!A:N,MATCH(O5826,[2]媒体政策预估表!$A$2:$M$2,0),0)</f>
        <v>0.10299999999999999</v>
      </c>
      <c r="AF5826" s="6">
        <f t="shared" si="908"/>
        <v>133748.50759999998</v>
      </c>
      <c r="AG5826" s="14">
        <v>0</v>
      </c>
      <c r="AH5826" s="99">
        <f t="shared" si="912"/>
        <v>1298529.2</v>
      </c>
      <c r="AI5826" s="47"/>
      <c r="AJ5826" s="126" t="e">
        <v>#N/A</v>
      </c>
      <c r="AK5826" s="80">
        <f t="shared" si="907"/>
        <v>0</v>
      </c>
      <c r="AL5826" s="85"/>
      <c r="AM5826" s="85"/>
    </row>
    <row r="5827" spans="1:39" s="86" customFormat="1" ht="13.25" hidden="1" customHeight="1" x14ac:dyDescent="0.3">
      <c r="A5827" s="89" t="s">
        <v>3852</v>
      </c>
      <c r="B5827" s="86" t="s">
        <v>35</v>
      </c>
      <c r="C5827" s="86" t="s">
        <v>65</v>
      </c>
      <c r="D5827" s="86" t="s">
        <v>66</v>
      </c>
      <c r="E5827" s="86" t="s">
        <v>501</v>
      </c>
      <c r="F5827" s="86" t="s">
        <v>501</v>
      </c>
      <c r="G5827" s="86" t="s">
        <v>501</v>
      </c>
      <c r="H5827" s="144">
        <v>22</v>
      </c>
      <c r="I5827" s="86" t="s">
        <v>2935</v>
      </c>
      <c r="J5827" s="1" t="s">
        <v>3302</v>
      </c>
      <c r="K5827" s="1" t="s">
        <v>3371</v>
      </c>
      <c r="L5827" s="1" t="s">
        <v>35</v>
      </c>
      <c r="M5827" s="86" t="s">
        <v>501</v>
      </c>
      <c r="O5827" s="47" t="s">
        <v>410</v>
      </c>
      <c r="P5827" s="47" t="s">
        <v>41</v>
      </c>
      <c r="Q5827" s="14">
        <v>0</v>
      </c>
      <c r="R5827" s="143">
        <v>26112</v>
      </c>
      <c r="S5827" s="47"/>
      <c r="T5827" s="6">
        <v>196666.22999999992</v>
      </c>
      <c r="U5827" s="6">
        <v>600000</v>
      </c>
      <c r="V5827" s="6">
        <v>510957.18</v>
      </c>
      <c r="W5827" s="6">
        <f t="shared" si="909"/>
        <v>285709.05</v>
      </c>
      <c r="X5827" s="6">
        <f t="shared" si="910"/>
        <v>510957.18</v>
      </c>
      <c r="Y5827" s="13">
        <f t="shared" ref="Y5827:Y5890" si="914">IF(X5827-AD5827&lt;=0,0,IF(P5827="返现",MAX(X5827-AC5827-AD5827,0),MAX(X5827-AD5827)))</f>
        <v>0</v>
      </c>
      <c r="Z5827" s="66">
        <v>0</v>
      </c>
      <c r="AA5827" s="6">
        <v>0</v>
      </c>
      <c r="AB5827" s="4">
        <f t="shared" ref="AB5827:AB5889" si="915">X5827+AA5827</f>
        <v>510957.18</v>
      </c>
      <c r="AC5827" s="6">
        <f t="shared" si="913"/>
        <v>0</v>
      </c>
      <c r="AD5827" s="6">
        <f t="shared" si="911"/>
        <v>510957.18</v>
      </c>
      <c r="AE5827" s="14">
        <f>VLOOKUP(I5827,[2]媒体政策预估表!A:N,MATCH(O5827,[2]媒体政策预估表!$A$2:$M$2,0),0)</f>
        <v>0.10299999999999999</v>
      </c>
      <c r="AF5827" s="6">
        <f t="shared" si="908"/>
        <v>52628.589539999994</v>
      </c>
      <c r="AG5827" s="14">
        <v>0</v>
      </c>
      <c r="AH5827" s="99">
        <f t="shared" si="912"/>
        <v>510957.18</v>
      </c>
      <c r="AI5827" s="47"/>
      <c r="AJ5827" s="126" t="e">
        <v>#N/A</v>
      </c>
      <c r="AK5827" s="80">
        <f t="shared" ref="AK5827:AK5890" si="916">X5827+AA5827-AB5827</f>
        <v>0</v>
      </c>
      <c r="AL5827" s="85"/>
      <c r="AM5827" s="85"/>
    </row>
    <row r="5828" spans="1:39" s="86" customFormat="1" ht="13.25" hidden="1" customHeight="1" x14ac:dyDescent="0.3">
      <c r="A5828" s="89" t="s">
        <v>3806</v>
      </c>
      <c r="B5828" s="86" t="s">
        <v>35</v>
      </c>
      <c r="C5828" s="86" t="s">
        <v>65</v>
      </c>
      <c r="D5828" s="86" t="s">
        <v>66</v>
      </c>
      <c r="E5828" s="86" t="s">
        <v>2963</v>
      </c>
      <c r="F5828" s="86" t="s">
        <v>2963</v>
      </c>
      <c r="G5828" s="86" t="s">
        <v>2963</v>
      </c>
      <c r="H5828" s="144">
        <v>22</v>
      </c>
      <c r="I5828" s="86" t="s">
        <v>2935</v>
      </c>
      <c r="J5828" s="1" t="s">
        <v>3302</v>
      </c>
      <c r="K5828" s="1" t="s">
        <v>3371</v>
      </c>
      <c r="L5828" s="1" t="s">
        <v>35</v>
      </c>
      <c r="M5828" s="86" t="s">
        <v>2964</v>
      </c>
      <c r="O5828" s="47" t="s">
        <v>410</v>
      </c>
      <c r="P5828" s="47" t="s">
        <v>41</v>
      </c>
      <c r="Q5828" s="14">
        <v>0</v>
      </c>
      <c r="R5828" s="143">
        <v>27432</v>
      </c>
      <c r="S5828" s="47"/>
      <c r="T5828" s="6">
        <v>77995.900000000009</v>
      </c>
      <c r="U5828" s="6">
        <v>100000</v>
      </c>
      <c r="V5828" s="6">
        <v>98818.52</v>
      </c>
      <c r="W5828" s="6">
        <f t="shared" si="909"/>
        <v>79177.380000000019</v>
      </c>
      <c r="X5828" s="6">
        <f t="shared" si="910"/>
        <v>98818.52</v>
      </c>
      <c r="Y5828" s="13">
        <f t="shared" si="914"/>
        <v>0</v>
      </c>
      <c r="Z5828" s="66">
        <v>0</v>
      </c>
      <c r="AA5828" s="6">
        <v>0</v>
      </c>
      <c r="AB5828" s="4">
        <f t="shared" si="915"/>
        <v>98818.52</v>
      </c>
      <c r="AC5828" s="6">
        <f t="shared" si="913"/>
        <v>0</v>
      </c>
      <c r="AD5828" s="6">
        <f t="shared" si="911"/>
        <v>98818.52</v>
      </c>
      <c r="AE5828" s="14">
        <f>VLOOKUP(I5828,[2]媒体政策预估表!A:N,MATCH(O5828,[2]媒体政策预估表!$A$2:$M$2,0),0)</f>
        <v>0.10299999999999999</v>
      </c>
      <c r="AF5828" s="6">
        <f t="shared" si="908"/>
        <v>10178.307559999999</v>
      </c>
      <c r="AG5828" s="14">
        <v>0</v>
      </c>
      <c r="AH5828" s="99">
        <f t="shared" si="912"/>
        <v>98818.52</v>
      </c>
      <c r="AI5828" s="47"/>
      <c r="AJ5828" s="126" t="e">
        <v>#N/A</v>
      </c>
      <c r="AK5828" s="80">
        <f t="shared" si="916"/>
        <v>0</v>
      </c>
      <c r="AL5828" s="85"/>
      <c r="AM5828" s="85"/>
    </row>
    <row r="5829" spans="1:39" s="86" customFormat="1" ht="13.25" hidden="1" customHeight="1" x14ac:dyDescent="0.3">
      <c r="A5829" s="89" t="s">
        <v>3792</v>
      </c>
      <c r="B5829" s="86" t="s">
        <v>35</v>
      </c>
      <c r="C5829" s="86" t="s">
        <v>65</v>
      </c>
      <c r="D5829" s="86" t="s">
        <v>66</v>
      </c>
      <c r="E5829" s="86" t="s">
        <v>2678</v>
      </c>
      <c r="F5829" s="86" t="s">
        <v>2679</v>
      </c>
      <c r="G5829" s="86" t="s">
        <v>2678</v>
      </c>
      <c r="H5829" s="144">
        <v>22</v>
      </c>
      <c r="I5829" s="86" t="s">
        <v>2935</v>
      </c>
      <c r="J5829" s="1" t="s">
        <v>3302</v>
      </c>
      <c r="K5829" s="1" t="s">
        <v>3371</v>
      </c>
      <c r="L5829" s="1" t="s">
        <v>35</v>
      </c>
      <c r="M5829" s="86" t="s">
        <v>2678</v>
      </c>
      <c r="O5829" s="47" t="s">
        <v>410</v>
      </c>
      <c r="P5829" s="47" t="s">
        <v>46</v>
      </c>
      <c r="Q5829" s="14">
        <v>0.04</v>
      </c>
      <c r="R5829" s="143">
        <v>72222</v>
      </c>
      <c r="S5829" s="47"/>
      <c r="T5829" s="6">
        <v>2099877.600000001</v>
      </c>
      <c r="U5829" s="6">
        <v>2100000</v>
      </c>
      <c r="V5829" s="6">
        <v>598992.76</v>
      </c>
      <c r="W5829" s="6">
        <f t="shared" si="909"/>
        <v>3600884.8400000017</v>
      </c>
      <c r="X5829" s="6">
        <f t="shared" si="910"/>
        <v>575954.57692307688</v>
      </c>
      <c r="Y5829" s="13">
        <f t="shared" si="914"/>
        <v>0</v>
      </c>
      <c r="Z5829" s="66">
        <v>0</v>
      </c>
      <c r="AA5829" s="6">
        <v>0</v>
      </c>
      <c r="AB5829" s="4">
        <f t="shared" si="915"/>
        <v>575954.57692307688</v>
      </c>
      <c r="AC5829" s="6">
        <f t="shared" si="913"/>
        <v>23038.183076923131</v>
      </c>
      <c r="AD5829" s="6">
        <f t="shared" si="911"/>
        <v>598992.76</v>
      </c>
      <c r="AE5829" s="14">
        <f>VLOOKUP(I5829,[2]媒体政策预估表!A:N,MATCH(O5829,[2]媒体政策预估表!$A$2:$M$2,0),0)</f>
        <v>0.10299999999999999</v>
      </c>
      <c r="AF5829" s="6">
        <f t="shared" si="908"/>
        <v>61696.254280000001</v>
      </c>
      <c r="AG5829" s="14">
        <v>0</v>
      </c>
      <c r="AH5829" s="99">
        <f t="shared" si="912"/>
        <v>598992.76</v>
      </c>
      <c r="AI5829" s="47"/>
      <c r="AJ5829" s="126" t="e">
        <v>#N/A</v>
      </c>
      <c r="AK5829" s="80">
        <f t="shared" si="916"/>
        <v>0</v>
      </c>
      <c r="AL5829" s="85"/>
      <c r="AM5829" s="85"/>
    </row>
    <row r="5830" spans="1:39" s="86" customFormat="1" ht="13.25" hidden="1" customHeight="1" x14ac:dyDescent="0.3">
      <c r="A5830" s="89" t="s">
        <v>3806</v>
      </c>
      <c r="B5830" s="86" t="s">
        <v>35</v>
      </c>
      <c r="C5830" s="86" t="s">
        <v>65</v>
      </c>
      <c r="D5830" s="86" t="s">
        <v>66</v>
      </c>
      <c r="E5830" s="86" t="s">
        <v>2678</v>
      </c>
      <c r="F5830" s="86" t="s">
        <v>2679</v>
      </c>
      <c r="G5830" s="86" t="s">
        <v>2678</v>
      </c>
      <c r="H5830" s="144">
        <v>22</v>
      </c>
      <c r="I5830" s="86" t="s">
        <v>2935</v>
      </c>
      <c r="J5830" s="1" t="s">
        <v>3302</v>
      </c>
      <c r="K5830" s="1" t="s">
        <v>3371</v>
      </c>
      <c r="L5830" s="1" t="s">
        <v>35</v>
      </c>
      <c r="M5830" s="86" t="s">
        <v>2966</v>
      </c>
      <c r="O5830" s="47" t="s">
        <v>45</v>
      </c>
      <c r="P5830" s="47" t="s">
        <v>46</v>
      </c>
      <c r="Q5830" s="14">
        <v>0.06</v>
      </c>
      <c r="R5830" s="143">
        <v>242112</v>
      </c>
      <c r="S5830" s="47"/>
      <c r="T5830" s="6">
        <v>4207.3999999999996</v>
      </c>
      <c r="U5830" s="6">
        <v>100000</v>
      </c>
      <c r="V5830" s="6">
        <v>26446.92</v>
      </c>
      <c r="W5830" s="6">
        <f t="shared" si="909"/>
        <v>77760.479999999996</v>
      </c>
      <c r="X5830" s="6">
        <f t="shared" si="910"/>
        <v>24949.924528301883</v>
      </c>
      <c r="Y5830" s="13">
        <f t="shared" si="914"/>
        <v>0</v>
      </c>
      <c r="Z5830" s="66">
        <v>0</v>
      </c>
      <c r="AA5830" s="6">
        <v>0</v>
      </c>
      <c r="AB5830" s="4">
        <f t="shared" si="915"/>
        <v>24949.924528301883</v>
      </c>
      <c r="AC5830" s="6">
        <f t="shared" si="913"/>
        <v>1496.9954716981156</v>
      </c>
      <c r="AD5830" s="6">
        <f t="shared" si="911"/>
        <v>26446.92</v>
      </c>
      <c r="AE5830" s="14">
        <f>VLOOKUP(I5830,[2]媒体政策预估表!A:N,MATCH(O5830,[2]媒体政策预估表!$A$2:$M$2,0),0)</f>
        <v>0.223</v>
      </c>
      <c r="AF5830" s="6">
        <f t="shared" si="908"/>
        <v>5897.6631600000001</v>
      </c>
      <c r="AG5830" s="14">
        <v>0</v>
      </c>
      <c r="AH5830" s="99">
        <f t="shared" si="912"/>
        <v>26446.92</v>
      </c>
      <c r="AI5830" s="47"/>
      <c r="AJ5830" s="126" t="e">
        <v>#N/A</v>
      </c>
      <c r="AK5830" s="80">
        <f t="shared" si="916"/>
        <v>0</v>
      </c>
      <c r="AL5830" s="85"/>
      <c r="AM5830" s="85"/>
    </row>
    <row r="5831" spans="1:39" s="86" customFormat="1" ht="13.25" hidden="1" customHeight="1" x14ac:dyDescent="0.3">
      <c r="A5831" s="89" t="s">
        <v>3806</v>
      </c>
      <c r="B5831" s="86" t="s">
        <v>35</v>
      </c>
      <c r="C5831" s="86" t="s">
        <v>65</v>
      </c>
      <c r="D5831" s="86" t="s">
        <v>66</v>
      </c>
      <c r="E5831" s="86" t="s">
        <v>3183</v>
      </c>
      <c r="F5831" s="86" t="s">
        <v>3403</v>
      </c>
      <c r="G5831" s="86" t="s">
        <v>3183</v>
      </c>
      <c r="H5831" s="144">
        <v>22</v>
      </c>
      <c r="I5831" s="86" t="s">
        <v>2935</v>
      </c>
      <c r="J5831" s="1" t="s">
        <v>3302</v>
      </c>
      <c r="K5831" s="1" t="s">
        <v>3371</v>
      </c>
      <c r="L5831" s="1" t="s">
        <v>35</v>
      </c>
      <c r="M5831" s="86" t="s">
        <v>3586</v>
      </c>
      <c r="O5831" s="47" t="s">
        <v>410</v>
      </c>
      <c r="P5831" s="47" t="s">
        <v>46</v>
      </c>
      <c r="Q5831" s="14">
        <v>0.02</v>
      </c>
      <c r="R5831" s="143">
        <v>55522</v>
      </c>
      <c r="S5831" s="47"/>
      <c r="T5831" s="6">
        <v>0</v>
      </c>
      <c r="U5831" s="6">
        <v>5100</v>
      </c>
      <c r="V5831" s="6">
        <v>1068</v>
      </c>
      <c r="W5831" s="6">
        <f t="shared" si="909"/>
        <v>4032</v>
      </c>
      <c r="X5831" s="6">
        <f t="shared" si="910"/>
        <v>1047.0588235294117</v>
      </c>
      <c r="Y5831" s="13">
        <f t="shared" si="914"/>
        <v>0</v>
      </c>
      <c r="Z5831" s="66">
        <v>0</v>
      </c>
      <c r="AA5831" s="6">
        <v>0</v>
      </c>
      <c r="AB5831" s="4">
        <f t="shared" si="915"/>
        <v>1047.0588235294117</v>
      </c>
      <c r="AC5831" s="6">
        <f t="shared" si="913"/>
        <v>20.941176470588289</v>
      </c>
      <c r="AD5831" s="6">
        <f t="shared" si="911"/>
        <v>1068</v>
      </c>
      <c r="AE5831" s="14">
        <f>VLOOKUP(I5831,[2]媒体政策预估表!A:N,MATCH(O5831,[2]媒体政策预估表!$A$2:$M$2,0),0)</f>
        <v>0.10299999999999999</v>
      </c>
      <c r="AF5831" s="6">
        <f t="shared" si="908"/>
        <v>110.00399999999999</v>
      </c>
      <c r="AG5831" s="14">
        <v>0</v>
      </c>
      <c r="AH5831" s="99">
        <f t="shared" si="912"/>
        <v>1068</v>
      </c>
      <c r="AI5831" s="47"/>
      <c r="AJ5831" s="126" t="e">
        <v>#N/A</v>
      </c>
      <c r="AK5831" s="80">
        <f t="shared" si="916"/>
        <v>0</v>
      </c>
      <c r="AL5831" s="85"/>
      <c r="AM5831" s="85"/>
    </row>
    <row r="5832" spans="1:39" s="86" customFormat="1" ht="13.25" hidden="1" customHeight="1" x14ac:dyDescent="0.3">
      <c r="A5832" s="89" t="s">
        <v>3806</v>
      </c>
      <c r="B5832" s="86" t="s">
        <v>35</v>
      </c>
      <c r="C5832" s="86" t="s">
        <v>65</v>
      </c>
      <c r="D5832" s="86" t="s">
        <v>122</v>
      </c>
      <c r="E5832" s="86" t="s">
        <v>3812</v>
      </c>
      <c r="F5832" s="86" t="s">
        <v>3812</v>
      </c>
      <c r="G5832" s="86" t="s">
        <v>3812</v>
      </c>
      <c r="H5832" s="144">
        <v>22</v>
      </c>
      <c r="I5832" s="86" t="s">
        <v>2935</v>
      </c>
      <c r="J5832" s="1" t="s">
        <v>3302</v>
      </c>
      <c r="K5832" s="1" t="s">
        <v>3371</v>
      </c>
      <c r="L5832" s="1" t="s">
        <v>35</v>
      </c>
      <c r="M5832" s="86" t="s">
        <v>3812</v>
      </c>
      <c r="O5832" s="47" t="s">
        <v>410</v>
      </c>
      <c r="P5832" s="47" t="s">
        <v>46</v>
      </c>
      <c r="Q5832" s="14">
        <v>0.02</v>
      </c>
      <c r="R5832" s="143">
        <v>252022</v>
      </c>
      <c r="S5832" s="47"/>
      <c r="T5832" s="6">
        <v>0</v>
      </c>
      <c r="U5832" s="6">
        <v>10000</v>
      </c>
      <c r="V5832" s="6">
        <v>708</v>
      </c>
      <c r="W5832" s="6">
        <f t="shared" si="909"/>
        <v>9292</v>
      </c>
      <c r="X5832" s="6">
        <f t="shared" si="910"/>
        <v>694.11764705882354</v>
      </c>
      <c r="Y5832" s="13">
        <f t="shared" si="914"/>
        <v>0</v>
      </c>
      <c r="Z5832" s="66">
        <v>0</v>
      </c>
      <c r="AA5832" s="6">
        <v>0</v>
      </c>
      <c r="AB5832" s="4">
        <f t="shared" si="915"/>
        <v>694.11764705882354</v>
      </c>
      <c r="AC5832" s="6">
        <f t="shared" si="913"/>
        <v>13.882352941176464</v>
      </c>
      <c r="AD5832" s="6">
        <f t="shared" si="911"/>
        <v>708</v>
      </c>
      <c r="AE5832" s="14">
        <f>VLOOKUP(I5832,[2]媒体政策预估表!A:N,MATCH(O5832,[2]媒体政策预估表!$A$2:$M$2,0),0)</f>
        <v>0.10299999999999999</v>
      </c>
      <c r="AF5832" s="6">
        <f t="shared" si="908"/>
        <v>72.923999999999992</v>
      </c>
      <c r="AG5832" s="14">
        <v>0</v>
      </c>
      <c r="AH5832" s="99">
        <f t="shared" si="912"/>
        <v>708</v>
      </c>
      <c r="AI5832" s="47"/>
      <c r="AJ5832" s="126" t="e">
        <v>#N/A</v>
      </c>
      <c r="AK5832" s="80">
        <f t="shared" si="916"/>
        <v>0</v>
      </c>
      <c r="AL5832" s="85"/>
      <c r="AM5832" s="85"/>
    </row>
    <row r="5833" spans="1:39" s="86" customFormat="1" ht="13.25" hidden="1" customHeight="1" x14ac:dyDescent="0.3">
      <c r="A5833" s="89" t="s">
        <v>3794</v>
      </c>
      <c r="B5833" s="86" t="s">
        <v>35</v>
      </c>
      <c r="C5833" s="86" t="s">
        <v>65</v>
      </c>
      <c r="D5833" s="86" t="s">
        <v>122</v>
      </c>
      <c r="E5833" s="86" t="s">
        <v>2967</v>
      </c>
      <c r="F5833" s="86" t="s">
        <v>2968</v>
      </c>
      <c r="G5833" s="86" t="s">
        <v>2967</v>
      </c>
      <c r="H5833" s="144">
        <v>22</v>
      </c>
      <c r="I5833" s="86" t="s">
        <v>2935</v>
      </c>
      <c r="J5833" s="1" t="s">
        <v>3302</v>
      </c>
      <c r="K5833" s="1" t="s">
        <v>3371</v>
      </c>
      <c r="L5833" s="1" t="s">
        <v>35</v>
      </c>
      <c r="M5833" s="86" t="s">
        <v>2969</v>
      </c>
      <c r="O5833" s="47" t="s">
        <v>410</v>
      </c>
      <c r="P5833" s="47" t="s">
        <v>46</v>
      </c>
      <c r="Q5833" s="14">
        <v>0.01</v>
      </c>
      <c r="R5833" s="143">
        <v>77462</v>
      </c>
      <c r="S5833" s="47"/>
      <c r="T5833" s="6">
        <v>19640.010000000009</v>
      </c>
      <c r="U5833" s="6">
        <v>146450</v>
      </c>
      <c r="V5833" s="6">
        <v>85590</v>
      </c>
      <c r="W5833" s="6">
        <f t="shared" si="909"/>
        <v>80500.010000000009</v>
      </c>
      <c r="X5833" s="6">
        <f t="shared" si="910"/>
        <v>84742.574257425746</v>
      </c>
      <c r="Y5833" s="13">
        <f t="shared" si="914"/>
        <v>0</v>
      </c>
      <c r="Z5833" s="66">
        <v>0</v>
      </c>
      <c r="AA5833" s="6">
        <v>0</v>
      </c>
      <c r="AB5833" s="4">
        <f t="shared" si="915"/>
        <v>84742.574257425746</v>
      </c>
      <c r="AC5833" s="6">
        <f t="shared" si="913"/>
        <v>847.4257425742544</v>
      </c>
      <c r="AD5833" s="6">
        <f t="shared" si="911"/>
        <v>85590</v>
      </c>
      <c r="AE5833" s="14">
        <f>VLOOKUP(I5833,[2]媒体政策预估表!A:N,MATCH(O5833,[2]媒体政策预估表!$A$2:$M$2,0),0)</f>
        <v>0.10299999999999999</v>
      </c>
      <c r="AF5833" s="6">
        <f t="shared" si="908"/>
        <v>8815.7699999999986</v>
      </c>
      <c r="AG5833" s="14">
        <v>0</v>
      </c>
      <c r="AH5833" s="99">
        <f t="shared" si="912"/>
        <v>85590</v>
      </c>
      <c r="AI5833" s="47"/>
      <c r="AJ5833" s="126" t="e">
        <v>#N/A</v>
      </c>
      <c r="AK5833" s="80">
        <f t="shared" si="916"/>
        <v>0</v>
      </c>
      <c r="AL5833" s="85"/>
      <c r="AM5833" s="85"/>
    </row>
    <row r="5834" spans="1:39" s="86" customFormat="1" ht="13.25" hidden="1" customHeight="1" x14ac:dyDescent="0.3">
      <c r="A5834" s="89" t="s">
        <v>3806</v>
      </c>
      <c r="B5834" s="86" t="s">
        <v>35</v>
      </c>
      <c r="C5834" s="86" t="s">
        <v>65</v>
      </c>
      <c r="D5834" s="86" t="s">
        <v>122</v>
      </c>
      <c r="E5834" s="86" t="s">
        <v>2967</v>
      </c>
      <c r="F5834" s="86" t="s">
        <v>2968</v>
      </c>
      <c r="G5834" s="86" t="s">
        <v>2967</v>
      </c>
      <c r="H5834" s="144">
        <v>22</v>
      </c>
      <c r="I5834" s="86" t="s">
        <v>2935</v>
      </c>
      <c r="J5834" s="1" t="s">
        <v>3302</v>
      </c>
      <c r="K5834" s="1" t="s">
        <v>3371</v>
      </c>
      <c r="L5834" s="1" t="s">
        <v>35</v>
      </c>
      <c r="M5834" s="86" t="s">
        <v>2970</v>
      </c>
      <c r="O5834" s="47" t="s">
        <v>410</v>
      </c>
      <c r="P5834" s="47" t="s">
        <v>46</v>
      </c>
      <c r="Q5834" s="14">
        <v>0.01</v>
      </c>
      <c r="R5834" s="143">
        <v>36962</v>
      </c>
      <c r="S5834" s="47"/>
      <c r="T5834" s="6">
        <v>29228</v>
      </c>
      <c r="U5834" s="6">
        <v>176750</v>
      </c>
      <c r="V5834" s="6">
        <v>149270.5</v>
      </c>
      <c r="W5834" s="6">
        <f t="shared" si="909"/>
        <v>56707.5</v>
      </c>
      <c r="X5834" s="6">
        <f t="shared" si="910"/>
        <v>147792.57425742573</v>
      </c>
      <c r="Y5834" s="13">
        <f t="shared" si="914"/>
        <v>0</v>
      </c>
      <c r="Z5834" s="66">
        <v>0</v>
      </c>
      <c r="AA5834" s="6">
        <v>0</v>
      </c>
      <c r="AB5834" s="4">
        <f t="shared" si="915"/>
        <v>147792.57425742573</v>
      </c>
      <c r="AC5834" s="6">
        <f t="shared" si="913"/>
        <v>1477.925742574269</v>
      </c>
      <c r="AD5834" s="6">
        <f t="shared" si="911"/>
        <v>149270.5</v>
      </c>
      <c r="AE5834" s="14">
        <f>VLOOKUP(I5834,[2]媒体政策预估表!A:N,MATCH(O5834,[2]媒体政策预估表!$A$2:$M$2,0),0)</f>
        <v>0.10299999999999999</v>
      </c>
      <c r="AF5834" s="6">
        <f t="shared" si="908"/>
        <v>15374.861499999999</v>
      </c>
      <c r="AG5834" s="14">
        <v>0</v>
      </c>
      <c r="AH5834" s="99">
        <f t="shared" si="912"/>
        <v>149270.5</v>
      </c>
      <c r="AI5834" s="47"/>
      <c r="AJ5834" s="126" t="e">
        <v>#N/A</v>
      </c>
      <c r="AK5834" s="80">
        <f t="shared" si="916"/>
        <v>0</v>
      </c>
      <c r="AL5834" s="85"/>
      <c r="AM5834" s="85"/>
    </row>
    <row r="5835" spans="1:39" s="86" customFormat="1" ht="13.25" hidden="1" customHeight="1" x14ac:dyDescent="0.3">
      <c r="A5835" s="89" t="s">
        <v>3794</v>
      </c>
      <c r="B5835" s="86" t="s">
        <v>35</v>
      </c>
      <c r="C5835" s="86" t="s">
        <v>65</v>
      </c>
      <c r="D5835" s="86" t="s">
        <v>122</v>
      </c>
      <c r="E5835" s="86" t="s">
        <v>2856</v>
      </c>
      <c r="F5835" s="86" t="s">
        <v>2856</v>
      </c>
      <c r="G5835" s="86" t="s">
        <v>2856</v>
      </c>
      <c r="H5835" s="144">
        <v>22</v>
      </c>
      <c r="I5835" s="86" t="s">
        <v>2935</v>
      </c>
      <c r="J5835" s="1" t="s">
        <v>3302</v>
      </c>
      <c r="K5835" s="1" t="s">
        <v>3371</v>
      </c>
      <c r="L5835" s="1" t="s">
        <v>35</v>
      </c>
      <c r="M5835" s="86" t="s">
        <v>2857</v>
      </c>
      <c r="O5835" s="47" t="s">
        <v>410</v>
      </c>
      <c r="P5835" s="47" t="s">
        <v>41</v>
      </c>
      <c r="Q5835" s="14">
        <v>0</v>
      </c>
      <c r="R5835" s="143">
        <v>19802</v>
      </c>
      <c r="S5835" s="47"/>
      <c r="T5835" s="6">
        <v>62154.640000000036</v>
      </c>
      <c r="U5835" s="6">
        <v>80000</v>
      </c>
      <c r="V5835" s="6">
        <v>84725.46</v>
      </c>
      <c r="W5835" s="6">
        <f t="shared" si="909"/>
        <v>57429.180000000037</v>
      </c>
      <c r="X5835" s="6">
        <f t="shared" si="910"/>
        <v>84725.46</v>
      </c>
      <c r="Y5835" s="13">
        <f t="shared" si="914"/>
        <v>0</v>
      </c>
      <c r="Z5835" s="66">
        <v>0</v>
      </c>
      <c r="AA5835" s="6">
        <v>0</v>
      </c>
      <c r="AB5835" s="4">
        <f t="shared" si="915"/>
        <v>84725.46</v>
      </c>
      <c r="AC5835" s="6">
        <f t="shared" si="913"/>
        <v>0</v>
      </c>
      <c r="AD5835" s="6">
        <f t="shared" si="911"/>
        <v>84725.46</v>
      </c>
      <c r="AE5835" s="14">
        <f>VLOOKUP(I5835,[2]媒体政策预估表!A:N,MATCH(O5835,[2]媒体政策预估表!$A$2:$M$2,0),0)</f>
        <v>0.10299999999999999</v>
      </c>
      <c r="AF5835" s="6">
        <f t="shared" si="908"/>
        <v>8726.7223800000011</v>
      </c>
      <c r="AG5835" s="14">
        <v>0</v>
      </c>
      <c r="AH5835" s="99">
        <f t="shared" si="912"/>
        <v>84725.46</v>
      </c>
      <c r="AI5835" s="47"/>
      <c r="AJ5835" s="126" t="e">
        <v>#N/A</v>
      </c>
      <c r="AK5835" s="80">
        <f t="shared" si="916"/>
        <v>0</v>
      </c>
      <c r="AL5835" s="85"/>
      <c r="AM5835" s="85"/>
    </row>
    <row r="5836" spans="1:39" s="86" customFormat="1" ht="13.25" hidden="1" customHeight="1" x14ac:dyDescent="0.3">
      <c r="A5836" s="89" t="s">
        <v>3794</v>
      </c>
      <c r="B5836" s="86" t="s">
        <v>35</v>
      </c>
      <c r="C5836" s="86" t="s">
        <v>65</v>
      </c>
      <c r="D5836" s="86" t="s">
        <v>1291</v>
      </c>
      <c r="E5836" s="86" t="s">
        <v>2972</v>
      </c>
      <c r="F5836" s="86" t="s">
        <v>2972</v>
      </c>
      <c r="G5836" s="86" t="s">
        <v>2972</v>
      </c>
      <c r="H5836" s="143">
        <v>22</v>
      </c>
      <c r="I5836" s="86" t="s">
        <v>2935</v>
      </c>
      <c r="J5836" s="1" t="s">
        <v>3302</v>
      </c>
      <c r="K5836" s="1" t="s">
        <v>3371</v>
      </c>
      <c r="L5836" s="1" t="s">
        <v>35</v>
      </c>
      <c r="M5836" s="86" t="s">
        <v>2972</v>
      </c>
      <c r="O5836" s="47" t="s">
        <v>410</v>
      </c>
      <c r="P5836" s="47" t="s">
        <v>41</v>
      </c>
      <c r="Q5836" s="14">
        <v>0</v>
      </c>
      <c r="R5836" s="143">
        <v>244382</v>
      </c>
      <c r="S5836" s="47"/>
      <c r="T5836" s="6">
        <v>5898</v>
      </c>
      <c r="U5836" s="6">
        <v>-5898</v>
      </c>
      <c r="V5836" s="6">
        <v>0</v>
      </c>
      <c r="W5836" s="6">
        <f t="shared" si="909"/>
        <v>0</v>
      </c>
      <c r="X5836" s="6">
        <f t="shared" si="910"/>
        <v>0</v>
      </c>
      <c r="Y5836" s="13">
        <f t="shared" si="914"/>
        <v>0</v>
      </c>
      <c r="Z5836" s="66">
        <v>0</v>
      </c>
      <c r="AA5836" s="6">
        <v>0</v>
      </c>
      <c r="AB5836" s="4">
        <f t="shared" si="915"/>
        <v>0</v>
      </c>
      <c r="AC5836" s="6">
        <f t="shared" si="913"/>
        <v>0</v>
      </c>
      <c r="AD5836" s="6">
        <f t="shared" si="911"/>
        <v>0</v>
      </c>
      <c r="AE5836" s="14">
        <f>VLOOKUP(I5836,[2]媒体政策预估表!A:N,MATCH(O5836,[2]媒体政策预估表!$A$2:$M$2,0),0)</f>
        <v>0.10299999999999999</v>
      </c>
      <c r="AF5836" s="6">
        <f t="shared" si="908"/>
        <v>0</v>
      </c>
      <c r="AG5836" s="14">
        <v>0</v>
      </c>
      <c r="AH5836" s="99">
        <f t="shared" si="912"/>
        <v>0</v>
      </c>
      <c r="AI5836" s="47"/>
      <c r="AJ5836" s="126" t="e">
        <v>#N/A</v>
      </c>
      <c r="AK5836" s="80">
        <f t="shared" si="916"/>
        <v>0</v>
      </c>
      <c r="AL5836" s="85"/>
      <c r="AM5836" s="85"/>
    </row>
    <row r="5837" spans="1:39" s="86" customFormat="1" ht="13.25" hidden="1" customHeight="1" x14ac:dyDescent="0.3">
      <c r="A5837" s="89" t="s">
        <v>3806</v>
      </c>
      <c r="B5837" s="86" t="s">
        <v>35</v>
      </c>
      <c r="C5837" s="86" t="s">
        <v>65</v>
      </c>
      <c r="D5837" s="86" t="s">
        <v>1291</v>
      </c>
      <c r="E5837" s="86" t="s">
        <v>1311</v>
      </c>
      <c r="F5837" s="86" t="s">
        <v>1311</v>
      </c>
      <c r="G5837" s="86" t="s">
        <v>1311</v>
      </c>
      <c r="H5837" s="144">
        <v>22</v>
      </c>
      <c r="I5837" s="86" t="s">
        <v>2935</v>
      </c>
      <c r="J5837" s="1" t="s">
        <v>3302</v>
      </c>
      <c r="K5837" s="1" t="s">
        <v>3371</v>
      </c>
      <c r="L5837" s="1" t="s">
        <v>35</v>
      </c>
      <c r="M5837" s="86" t="s">
        <v>3872</v>
      </c>
      <c r="O5837" s="47" t="s">
        <v>410</v>
      </c>
      <c r="P5837" s="47" t="s">
        <v>41</v>
      </c>
      <c r="Q5837" s="14">
        <v>0</v>
      </c>
      <c r="R5837" s="143">
        <v>251922</v>
      </c>
      <c r="S5837" s="47"/>
      <c r="T5837" s="6">
        <v>0</v>
      </c>
      <c r="U5837" s="6">
        <v>20000</v>
      </c>
      <c r="V5837" s="6">
        <v>426</v>
      </c>
      <c r="W5837" s="6">
        <f t="shared" si="909"/>
        <v>19574</v>
      </c>
      <c r="X5837" s="6">
        <f t="shared" si="910"/>
        <v>426</v>
      </c>
      <c r="Y5837" s="13">
        <f t="shared" si="914"/>
        <v>0</v>
      </c>
      <c r="Z5837" s="66">
        <v>0</v>
      </c>
      <c r="AA5837" s="6">
        <v>0</v>
      </c>
      <c r="AB5837" s="4">
        <f t="shared" si="915"/>
        <v>426</v>
      </c>
      <c r="AC5837" s="6">
        <f t="shared" si="913"/>
        <v>0</v>
      </c>
      <c r="AD5837" s="6">
        <f t="shared" si="911"/>
        <v>426</v>
      </c>
      <c r="AE5837" s="14">
        <f>VLOOKUP(I5837,[2]媒体政策预估表!A:N,MATCH(O5837,[2]媒体政策预估表!$A$2:$M$2,0),0)</f>
        <v>0.10299999999999999</v>
      </c>
      <c r="AF5837" s="6">
        <f t="shared" si="908"/>
        <v>43.878</v>
      </c>
      <c r="AG5837" s="14">
        <v>0</v>
      </c>
      <c r="AH5837" s="99">
        <f t="shared" si="912"/>
        <v>426</v>
      </c>
      <c r="AI5837" s="47"/>
      <c r="AJ5837" s="126" t="e">
        <v>#N/A</v>
      </c>
      <c r="AK5837" s="80">
        <f t="shared" si="916"/>
        <v>0</v>
      </c>
      <c r="AL5837" s="85"/>
      <c r="AM5837" s="85"/>
    </row>
    <row r="5838" spans="1:39" s="86" customFormat="1" ht="13.25" hidden="1" customHeight="1" x14ac:dyDescent="0.3">
      <c r="A5838" s="89" t="s">
        <v>3792</v>
      </c>
      <c r="B5838" s="86" t="s">
        <v>35</v>
      </c>
      <c r="C5838" s="86" t="s">
        <v>144</v>
      </c>
      <c r="D5838" s="86" t="s">
        <v>145</v>
      </c>
      <c r="E5838" s="86" t="s">
        <v>3589</v>
      </c>
      <c r="F5838" s="86" t="s">
        <v>3589</v>
      </c>
      <c r="G5838" s="86" t="s">
        <v>3589</v>
      </c>
      <c r="H5838" s="144">
        <v>22</v>
      </c>
      <c r="I5838" s="86" t="s">
        <v>2935</v>
      </c>
      <c r="J5838" s="1" t="s">
        <v>3302</v>
      </c>
      <c r="K5838" s="1" t="s">
        <v>3371</v>
      </c>
      <c r="L5838" s="1" t="s">
        <v>35</v>
      </c>
      <c r="M5838" s="86" t="s">
        <v>3590</v>
      </c>
      <c r="O5838" s="47" t="s">
        <v>410</v>
      </c>
      <c r="P5838" s="47" t="s">
        <v>46</v>
      </c>
      <c r="Q5838" s="14">
        <v>0.04</v>
      </c>
      <c r="R5838" s="143">
        <v>247722</v>
      </c>
      <c r="S5838" s="47"/>
      <c r="T5838" s="6">
        <v>3020.2799999999988</v>
      </c>
      <c r="U5838" s="6">
        <v>100000</v>
      </c>
      <c r="V5838" s="6">
        <v>86554.98</v>
      </c>
      <c r="W5838" s="6">
        <f t="shared" si="909"/>
        <v>16465.300000000003</v>
      </c>
      <c r="X5838" s="6">
        <f t="shared" si="910"/>
        <v>83225.942307692298</v>
      </c>
      <c r="Y5838" s="13">
        <f t="shared" si="914"/>
        <v>0</v>
      </c>
      <c r="Z5838" s="66">
        <v>0</v>
      </c>
      <c r="AA5838" s="6">
        <v>0</v>
      </c>
      <c r="AB5838" s="4">
        <f t="shared" si="915"/>
        <v>83225.942307692298</v>
      </c>
      <c r="AC5838" s="6">
        <f t="shared" si="913"/>
        <v>3329.0376923076983</v>
      </c>
      <c r="AD5838" s="6">
        <f t="shared" si="911"/>
        <v>86554.98</v>
      </c>
      <c r="AE5838" s="14">
        <f>VLOOKUP(I5838,[2]媒体政策预估表!A:N,MATCH(O5838,[2]媒体政策预估表!$A$2:$M$2,0),0)</f>
        <v>0.10299999999999999</v>
      </c>
      <c r="AF5838" s="6">
        <f t="shared" si="908"/>
        <v>8915.1629399999983</v>
      </c>
      <c r="AG5838" s="14">
        <v>0</v>
      </c>
      <c r="AH5838" s="99">
        <f t="shared" si="912"/>
        <v>86554.98</v>
      </c>
      <c r="AI5838" s="47"/>
      <c r="AJ5838" s="126" t="e">
        <v>#N/A</v>
      </c>
      <c r="AK5838" s="80">
        <f t="shared" si="916"/>
        <v>0</v>
      </c>
      <c r="AL5838" s="85"/>
      <c r="AM5838" s="85"/>
    </row>
    <row r="5839" spans="1:39" s="86" customFormat="1" ht="13.25" hidden="1" customHeight="1" x14ac:dyDescent="0.3">
      <c r="A5839" s="89" t="s">
        <v>3794</v>
      </c>
      <c r="B5839" s="86" t="s">
        <v>35</v>
      </c>
      <c r="C5839" s="86" t="s">
        <v>144</v>
      </c>
      <c r="D5839" s="86" t="s">
        <v>145</v>
      </c>
      <c r="E5839" s="86" t="s">
        <v>1421</v>
      </c>
      <c r="F5839" s="86" t="s">
        <v>3814</v>
      </c>
      <c r="G5839" s="86" t="s">
        <v>1421</v>
      </c>
      <c r="H5839" s="144">
        <v>22</v>
      </c>
      <c r="I5839" s="86" t="s">
        <v>2935</v>
      </c>
      <c r="J5839" s="1" t="s">
        <v>3302</v>
      </c>
      <c r="K5839" s="1" t="s">
        <v>3371</v>
      </c>
      <c r="L5839" s="1" t="s">
        <v>35</v>
      </c>
      <c r="M5839" s="86" t="s">
        <v>1436</v>
      </c>
      <c r="O5839" s="47" t="s">
        <v>410</v>
      </c>
      <c r="P5839" s="47" t="s">
        <v>46</v>
      </c>
      <c r="Q5839" s="14">
        <v>0.02</v>
      </c>
      <c r="R5839" s="143">
        <v>251272</v>
      </c>
      <c r="S5839" s="47"/>
      <c r="T5839" s="6">
        <v>0</v>
      </c>
      <c r="U5839" s="6">
        <v>15300</v>
      </c>
      <c r="V5839" s="6">
        <v>5242</v>
      </c>
      <c r="W5839" s="6">
        <f t="shared" si="909"/>
        <v>10058</v>
      </c>
      <c r="X5839" s="6">
        <f t="shared" si="910"/>
        <v>5139.2156862745096</v>
      </c>
      <c r="Y5839" s="13">
        <f t="shared" si="914"/>
        <v>0</v>
      </c>
      <c r="Z5839" s="66">
        <v>0</v>
      </c>
      <c r="AA5839" s="6">
        <v>0</v>
      </c>
      <c r="AB5839" s="4">
        <f t="shared" si="915"/>
        <v>5139.2156862745096</v>
      </c>
      <c r="AC5839" s="6">
        <f t="shared" si="913"/>
        <v>102.78431372549039</v>
      </c>
      <c r="AD5839" s="6">
        <f t="shared" si="911"/>
        <v>5242</v>
      </c>
      <c r="AE5839" s="14">
        <f>VLOOKUP(I5839,[2]媒体政策预估表!A:N,MATCH(O5839,[2]媒体政策预估表!$A$2:$M$2,0),0)</f>
        <v>0.10299999999999999</v>
      </c>
      <c r="AF5839" s="6">
        <f t="shared" si="908"/>
        <v>539.92599999999993</v>
      </c>
      <c r="AG5839" s="14">
        <v>0</v>
      </c>
      <c r="AH5839" s="99">
        <f t="shared" si="912"/>
        <v>5242</v>
      </c>
      <c r="AI5839" s="47"/>
      <c r="AJ5839" s="126" t="e">
        <v>#N/A</v>
      </c>
      <c r="AK5839" s="80">
        <f t="shared" si="916"/>
        <v>0</v>
      </c>
      <c r="AL5839" s="85"/>
      <c r="AM5839" s="85"/>
    </row>
    <row r="5840" spans="1:39" s="86" customFormat="1" ht="13.25" hidden="1" customHeight="1" x14ac:dyDescent="0.3">
      <c r="A5840" s="89" t="s">
        <v>3852</v>
      </c>
      <c r="B5840" s="86" t="s">
        <v>35</v>
      </c>
      <c r="C5840" s="86" t="s">
        <v>144</v>
      </c>
      <c r="D5840" s="86" t="s">
        <v>145</v>
      </c>
      <c r="E5840" s="86" t="s">
        <v>1421</v>
      </c>
      <c r="F5840" s="86" t="s">
        <v>3814</v>
      </c>
      <c r="G5840" s="86" t="s">
        <v>1421</v>
      </c>
      <c r="H5840" s="144">
        <v>22</v>
      </c>
      <c r="I5840" s="86" t="s">
        <v>2935</v>
      </c>
      <c r="J5840" s="1" t="s">
        <v>3302</v>
      </c>
      <c r="K5840" s="1" t="s">
        <v>3371</v>
      </c>
      <c r="L5840" s="1" t="s">
        <v>35</v>
      </c>
      <c r="M5840" s="86" t="s">
        <v>1442</v>
      </c>
      <c r="O5840" s="47" t="s">
        <v>410</v>
      </c>
      <c r="P5840" s="47" t="s">
        <v>46</v>
      </c>
      <c r="Q5840" s="14">
        <v>0.02</v>
      </c>
      <c r="R5840" s="143">
        <v>251262</v>
      </c>
      <c r="S5840" s="47"/>
      <c r="T5840" s="6">
        <v>0</v>
      </c>
      <c r="U5840" s="6">
        <v>25500</v>
      </c>
      <c r="V5840" s="6">
        <v>11122</v>
      </c>
      <c r="W5840" s="6">
        <f t="shared" si="909"/>
        <v>14378</v>
      </c>
      <c r="X5840" s="6">
        <f t="shared" si="910"/>
        <v>10903.921568627451</v>
      </c>
      <c r="Y5840" s="13">
        <f t="shared" si="914"/>
        <v>0</v>
      </c>
      <c r="Z5840" s="66">
        <v>0</v>
      </c>
      <c r="AA5840" s="6">
        <v>0</v>
      </c>
      <c r="AB5840" s="4">
        <f t="shared" si="915"/>
        <v>10903.921568627451</v>
      </c>
      <c r="AC5840" s="6">
        <f t="shared" si="913"/>
        <v>218.07843137254895</v>
      </c>
      <c r="AD5840" s="6">
        <f t="shared" si="911"/>
        <v>11122</v>
      </c>
      <c r="AE5840" s="14">
        <f>VLOOKUP(I5840,[2]媒体政策预估表!A:N,MATCH(O5840,[2]媒体政策预估表!$A$2:$M$2,0),0)</f>
        <v>0.10299999999999999</v>
      </c>
      <c r="AF5840" s="6">
        <f t="shared" si="908"/>
        <v>1145.566</v>
      </c>
      <c r="AG5840" s="14">
        <v>0</v>
      </c>
      <c r="AH5840" s="99">
        <f t="shared" si="912"/>
        <v>11122</v>
      </c>
      <c r="AI5840" s="47"/>
      <c r="AJ5840" s="126" t="e">
        <v>#N/A</v>
      </c>
      <c r="AK5840" s="80">
        <f t="shared" si="916"/>
        <v>0</v>
      </c>
      <c r="AL5840" s="85"/>
      <c r="AM5840" s="85"/>
    </row>
    <row r="5841" spans="1:39" s="86" customFormat="1" ht="13.25" hidden="1" customHeight="1" x14ac:dyDescent="0.3">
      <c r="A5841" s="89" t="s">
        <v>3794</v>
      </c>
      <c r="B5841" s="86" t="s">
        <v>35</v>
      </c>
      <c r="C5841" s="86" t="s">
        <v>144</v>
      </c>
      <c r="D5841" s="86" t="s">
        <v>145</v>
      </c>
      <c r="E5841" s="86" t="s">
        <v>3048</v>
      </c>
      <c r="F5841" s="86" t="s">
        <v>3048</v>
      </c>
      <c r="G5841" s="86" t="s">
        <v>3048</v>
      </c>
      <c r="H5841" s="144">
        <v>22</v>
      </c>
      <c r="I5841" s="86" t="s">
        <v>2935</v>
      </c>
      <c r="J5841" s="1" t="s">
        <v>3302</v>
      </c>
      <c r="K5841" s="1" t="s">
        <v>3371</v>
      </c>
      <c r="L5841" s="1" t="s">
        <v>35</v>
      </c>
      <c r="M5841" s="86" t="s">
        <v>3048</v>
      </c>
      <c r="O5841" s="47" t="s">
        <v>410</v>
      </c>
      <c r="P5841" s="47" t="s">
        <v>46</v>
      </c>
      <c r="Q5841" s="14">
        <v>0.02</v>
      </c>
      <c r="R5841" s="143">
        <v>54872</v>
      </c>
      <c r="S5841" s="47"/>
      <c r="T5841" s="6">
        <v>10622.270000000004</v>
      </c>
      <c r="U5841" s="6">
        <v>3000</v>
      </c>
      <c r="V5841" s="6">
        <v>3568.77</v>
      </c>
      <c r="W5841" s="6">
        <f t="shared" si="909"/>
        <v>10053.500000000004</v>
      </c>
      <c r="X5841" s="6">
        <f t="shared" si="910"/>
        <v>3498.7941176470586</v>
      </c>
      <c r="Y5841" s="13">
        <f t="shared" si="914"/>
        <v>0</v>
      </c>
      <c r="Z5841" s="66">
        <v>0</v>
      </c>
      <c r="AA5841" s="6">
        <v>0</v>
      </c>
      <c r="AB5841" s="4">
        <f t="shared" si="915"/>
        <v>3498.7941176470586</v>
      </c>
      <c r="AC5841" s="6">
        <f t="shared" si="913"/>
        <v>69.975882352941426</v>
      </c>
      <c r="AD5841" s="6">
        <f t="shared" si="911"/>
        <v>3568.77</v>
      </c>
      <c r="AE5841" s="14">
        <f>VLOOKUP(I5841,[2]媒体政策预估表!A:N,MATCH(O5841,[2]媒体政策预估表!$A$2:$M$2,0),0)</f>
        <v>0.10299999999999999</v>
      </c>
      <c r="AF5841" s="6">
        <f t="shared" si="908"/>
        <v>367.58330999999998</v>
      </c>
      <c r="AG5841" s="14">
        <v>0</v>
      </c>
      <c r="AH5841" s="99">
        <f t="shared" si="912"/>
        <v>3568.77</v>
      </c>
      <c r="AI5841" s="47"/>
      <c r="AJ5841" s="126" t="e">
        <v>#N/A</v>
      </c>
      <c r="AK5841" s="80">
        <f t="shared" si="916"/>
        <v>0</v>
      </c>
      <c r="AL5841" s="85"/>
      <c r="AM5841" s="85"/>
    </row>
    <row r="5842" spans="1:39" s="86" customFormat="1" ht="13.25" hidden="1" customHeight="1" x14ac:dyDescent="0.3">
      <c r="A5842" s="89" t="s">
        <v>3794</v>
      </c>
      <c r="B5842" s="86" t="s">
        <v>35</v>
      </c>
      <c r="C5842" s="86" t="s">
        <v>144</v>
      </c>
      <c r="D5842" s="86" t="s">
        <v>145</v>
      </c>
      <c r="E5842" s="86" t="s">
        <v>150</v>
      </c>
      <c r="F5842" s="86" t="s">
        <v>151</v>
      </c>
      <c r="G5842" s="86" t="s">
        <v>150</v>
      </c>
      <c r="H5842" s="144">
        <v>22</v>
      </c>
      <c r="I5842" s="86" t="s">
        <v>2935</v>
      </c>
      <c r="J5842" s="1" t="s">
        <v>3302</v>
      </c>
      <c r="K5842" s="1" t="s">
        <v>3371</v>
      </c>
      <c r="L5842" s="1" t="s">
        <v>35</v>
      </c>
      <c r="M5842" s="86" t="s">
        <v>2991</v>
      </c>
      <c r="O5842" s="47" t="s">
        <v>45</v>
      </c>
      <c r="P5842" s="47" t="s">
        <v>46</v>
      </c>
      <c r="Q5842" s="14">
        <v>0.06</v>
      </c>
      <c r="R5842" s="143">
        <v>95122</v>
      </c>
      <c r="S5842" s="47"/>
      <c r="T5842" s="6">
        <v>-8289.7999999999993</v>
      </c>
      <c r="U5842" s="6">
        <v>80.260000000000005</v>
      </c>
      <c r="V5842" s="6">
        <v>3178.86</v>
      </c>
      <c r="W5842" s="6">
        <f t="shared" si="909"/>
        <v>-11388.4</v>
      </c>
      <c r="X5842" s="6">
        <f t="shared" si="910"/>
        <v>2998.9245283018868</v>
      </c>
      <c r="Y5842" s="13">
        <f t="shared" si="914"/>
        <v>0</v>
      </c>
      <c r="Z5842" s="66">
        <v>0</v>
      </c>
      <c r="AA5842" s="6">
        <v>0</v>
      </c>
      <c r="AB5842" s="4">
        <f t="shared" si="915"/>
        <v>2998.9245283018868</v>
      </c>
      <c r="AC5842" s="6">
        <f t="shared" si="913"/>
        <v>179.93547169811336</v>
      </c>
      <c r="AD5842" s="6">
        <f t="shared" si="911"/>
        <v>3178.86</v>
      </c>
      <c r="AE5842" s="14">
        <f>VLOOKUP(I5842,[2]媒体政策预估表!A:N,MATCH(O5842,[2]媒体政策预估表!$A$2:$M$2,0),0)</f>
        <v>0.223</v>
      </c>
      <c r="AF5842" s="6">
        <f t="shared" si="908"/>
        <v>708.88578000000007</v>
      </c>
      <c r="AG5842" s="14">
        <v>0</v>
      </c>
      <c r="AH5842" s="99">
        <f t="shared" si="912"/>
        <v>3178.86</v>
      </c>
      <c r="AI5842" s="47"/>
      <c r="AJ5842" s="126" t="e">
        <v>#N/A</v>
      </c>
      <c r="AK5842" s="80">
        <f t="shared" si="916"/>
        <v>0</v>
      </c>
      <c r="AL5842" s="85"/>
      <c r="AM5842" s="85"/>
    </row>
    <row r="5843" spans="1:39" s="86" customFormat="1" ht="13.25" hidden="1" customHeight="1" x14ac:dyDescent="0.3">
      <c r="A5843" s="89" t="s">
        <v>3794</v>
      </c>
      <c r="B5843" s="86" t="s">
        <v>35</v>
      </c>
      <c r="C5843" s="86" t="s">
        <v>144</v>
      </c>
      <c r="D5843" s="86" t="s">
        <v>145</v>
      </c>
      <c r="E5843" s="86" t="s">
        <v>150</v>
      </c>
      <c r="F5843" s="86" t="s">
        <v>151</v>
      </c>
      <c r="G5843" s="86" t="s">
        <v>150</v>
      </c>
      <c r="H5843" s="144">
        <v>22</v>
      </c>
      <c r="I5843" s="86" t="s">
        <v>2935</v>
      </c>
      <c r="J5843" s="1" t="s">
        <v>3302</v>
      </c>
      <c r="K5843" s="1" t="s">
        <v>3371</v>
      </c>
      <c r="L5843" s="1" t="s">
        <v>35</v>
      </c>
      <c r="M5843" s="86" t="s">
        <v>2991</v>
      </c>
      <c r="O5843" s="47" t="s">
        <v>410</v>
      </c>
      <c r="P5843" s="47" t="s">
        <v>46</v>
      </c>
      <c r="Q5843" s="14">
        <v>0.04</v>
      </c>
      <c r="R5843" s="143">
        <v>95122</v>
      </c>
      <c r="S5843" s="47"/>
      <c r="T5843" s="6">
        <v>44356.23</v>
      </c>
      <c r="U5843" s="6">
        <v>52000</v>
      </c>
      <c r="V5843" s="6">
        <v>38599.08</v>
      </c>
      <c r="W5843" s="6">
        <f t="shared" si="909"/>
        <v>57757.150000000009</v>
      </c>
      <c r="X5843" s="6">
        <f t="shared" si="910"/>
        <v>37114.5</v>
      </c>
      <c r="Y5843" s="13">
        <f t="shared" si="914"/>
        <v>0</v>
      </c>
      <c r="Z5843" s="66">
        <v>0</v>
      </c>
      <c r="AA5843" s="6">
        <v>0</v>
      </c>
      <c r="AB5843" s="4">
        <f t="shared" si="915"/>
        <v>37114.5</v>
      </c>
      <c r="AC5843" s="6">
        <f t="shared" si="913"/>
        <v>1484.5800000000017</v>
      </c>
      <c r="AD5843" s="6">
        <f t="shared" si="911"/>
        <v>38599.08</v>
      </c>
      <c r="AE5843" s="14">
        <f>VLOOKUP(I5843,[2]媒体政策预估表!A:N,MATCH(O5843,[2]媒体政策预估表!$A$2:$M$2,0),0)</f>
        <v>0.10299999999999999</v>
      </c>
      <c r="AF5843" s="6">
        <f t="shared" si="908"/>
        <v>3975.7052399999998</v>
      </c>
      <c r="AG5843" s="14">
        <v>0</v>
      </c>
      <c r="AH5843" s="99">
        <f t="shared" si="912"/>
        <v>38599.08</v>
      </c>
      <c r="AI5843" s="47"/>
      <c r="AJ5843" s="126" t="e">
        <v>#N/A</v>
      </c>
      <c r="AK5843" s="80">
        <f t="shared" si="916"/>
        <v>0</v>
      </c>
      <c r="AL5843" s="85"/>
      <c r="AM5843" s="85"/>
    </row>
    <row r="5844" spans="1:39" s="86" customFormat="1" ht="13.25" hidden="1" customHeight="1" x14ac:dyDescent="0.3">
      <c r="A5844" s="89" t="s">
        <v>3806</v>
      </c>
      <c r="B5844" s="86" t="s">
        <v>35</v>
      </c>
      <c r="C5844" s="86" t="s">
        <v>144</v>
      </c>
      <c r="D5844" s="86" t="s">
        <v>145</v>
      </c>
      <c r="E5844" s="86" t="s">
        <v>150</v>
      </c>
      <c r="F5844" s="86" t="s">
        <v>151</v>
      </c>
      <c r="G5844" s="86" t="s">
        <v>150</v>
      </c>
      <c r="H5844" s="144">
        <v>22</v>
      </c>
      <c r="I5844" s="86" t="s">
        <v>2935</v>
      </c>
      <c r="J5844" s="1" t="s">
        <v>3302</v>
      </c>
      <c r="K5844" s="1" t="s">
        <v>3371</v>
      </c>
      <c r="L5844" s="1" t="s">
        <v>35</v>
      </c>
      <c r="M5844" s="86" t="s">
        <v>2992</v>
      </c>
      <c r="O5844" s="47" t="s">
        <v>45</v>
      </c>
      <c r="P5844" s="47" t="s">
        <v>46</v>
      </c>
      <c r="Q5844" s="14">
        <v>0.06</v>
      </c>
      <c r="R5844" s="143">
        <v>99452</v>
      </c>
      <c r="S5844" s="47"/>
      <c r="T5844" s="6">
        <v>-467663.58999999997</v>
      </c>
      <c r="U5844" s="6">
        <v>4545.32</v>
      </c>
      <c r="V5844" s="6">
        <v>132253.26</v>
      </c>
      <c r="W5844" s="6">
        <f t="shared" si="909"/>
        <v>-595371.53</v>
      </c>
      <c r="X5844" s="6">
        <f t="shared" si="910"/>
        <v>124767.22641509434</v>
      </c>
      <c r="Y5844" s="13">
        <f t="shared" si="914"/>
        <v>0</v>
      </c>
      <c r="Z5844" s="66">
        <v>0</v>
      </c>
      <c r="AA5844" s="6">
        <v>0</v>
      </c>
      <c r="AB5844" s="4">
        <f t="shared" si="915"/>
        <v>124767.22641509434</v>
      </c>
      <c r="AC5844" s="6">
        <f t="shared" si="913"/>
        <v>7486.0335849056719</v>
      </c>
      <c r="AD5844" s="6">
        <f t="shared" si="911"/>
        <v>132253.26</v>
      </c>
      <c r="AE5844" s="14">
        <f>VLOOKUP(I5844,[2]媒体政策预估表!A:N,MATCH(O5844,[2]媒体政策预估表!$A$2:$M$2,0),0)</f>
        <v>0.223</v>
      </c>
      <c r="AF5844" s="6">
        <f t="shared" si="908"/>
        <v>29492.476980000003</v>
      </c>
      <c r="AG5844" s="14">
        <v>0</v>
      </c>
      <c r="AH5844" s="99">
        <f t="shared" si="912"/>
        <v>132253.26</v>
      </c>
      <c r="AI5844" s="47"/>
      <c r="AJ5844" s="126" t="e">
        <v>#N/A</v>
      </c>
      <c r="AK5844" s="80">
        <f t="shared" si="916"/>
        <v>0</v>
      </c>
      <c r="AL5844" s="85"/>
      <c r="AM5844" s="85"/>
    </row>
    <row r="5845" spans="1:39" s="86" customFormat="1" ht="13.25" hidden="1" customHeight="1" x14ac:dyDescent="0.3">
      <c r="A5845" s="89" t="s">
        <v>3806</v>
      </c>
      <c r="B5845" s="86" t="s">
        <v>35</v>
      </c>
      <c r="C5845" s="86" t="s">
        <v>144</v>
      </c>
      <c r="D5845" s="86" t="s">
        <v>145</v>
      </c>
      <c r="E5845" s="86" t="s">
        <v>150</v>
      </c>
      <c r="F5845" s="86" t="s">
        <v>151</v>
      </c>
      <c r="G5845" s="86" t="s">
        <v>150</v>
      </c>
      <c r="H5845" s="144">
        <v>22</v>
      </c>
      <c r="I5845" s="86" t="s">
        <v>2935</v>
      </c>
      <c r="J5845" s="1" t="s">
        <v>3302</v>
      </c>
      <c r="K5845" s="1" t="s">
        <v>3371</v>
      </c>
      <c r="L5845" s="1" t="s">
        <v>35</v>
      </c>
      <c r="M5845" s="86" t="s">
        <v>2992</v>
      </c>
      <c r="O5845" s="47" t="s">
        <v>410</v>
      </c>
      <c r="P5845" s="47" t="s">
        <v>46</v>
      </c>
      <c r="Q5845" s="14">
        <v>0.04</v>
      </c>
      <c r="R5845" s="143">
        <v>99452</v>
      </c>
      <c r="S5845" s="47"/>
      <c r="T5845" s="6">
        <v>684333.71000000008</v>
      </c>
      <c r="U5845" s="6">
        <v>832000</v>
      </c>
      <c r="V5845" s="6">
        <v>887906.16</v>
      </c>
      <c r="W5845" s="6">
        <f t="shared" si="909"/>
        <v>628427.54999999993</v>
      </c>
      <c r="X5845" s="6">
        <f t="shared" si="910"/>
        <v>853755.92307692312</v>
      </c>
      <c r="Y5845" s="13">
        <f t="shared" si="914"/>
        <v>0</v>
      </c>
      <c r="Z5845" s="66">
        <v>0</v>
      </c>
      <c r="AA5845" s="6">
        <v>0</v>
      </c>
      <c r="AB5845" s="4">
        <f t="shared" si="915"/>
        <v>853755.92307692312</v>
      </c>
      <c r="AC5845" s="6">
        <f t="shared" si="913"/>
        <v>34150.236923076911</v>
      </c>
      <c r="AD5845" s="6">
        <f t="shared" si="911"/>
        <v>887906.16</v>
      </c>
      <c r="AE5845" s="14">
        <f>VLOOKUP(I5845,[2]媒体政策预估表!A:N,MATCH(O5845,[2]媒体政策预估表!$A$2:$M$2,0),0)</f>
        <v>0.10299999999999999</v>
      </c>
      <c r="AF5845" s="6">
        <f t="shared" si="908"/>
        <v>91454.334480000005</v>
      </c>
      <c r="AG5845" s="14">
        <v>0</v>
      </c>
      <c r="AH5845" s="99">
        <f t="shared" si="912"/>
        <v>887906.16</v>
      </c>
      <c r="AI5845" s="47"/>
      <c r="AJ5845" s="126" t="e">
        <v>#N/A</v>
      </c>
      <c r="AK5845" s="80">
        <f t="shared" si="916"/>
        <v>0</v>
      </c>
      <c r="AL5845" s="85"/>
      <c r="AM5845" s="85"/>
    </row>
    <row r="5846" spans="1:39" s="86" customFormat="1" ht="13.25" hidden="1" customHeight="1" x14ac:dyDescent="0.3">
      <c r="A5846" s="89" t="s">
        <v>3794</v>
      </c>
      <c r="B5846" s="86" t="s">
        <v>35</v>
      </c>
      <c r="C5846" s="86" t="s">
        <v>144</v>
      </c>
      <c r="D5846" s="86" t="s">
        <v>145</v>
      </c>
      <c r="E5846" s="86" t="s">
        <v>150</v>
      </c>
      <c r="F5846" s="86" t="s">
        <v>151</v>
      </c>
      <c r="G5846" s="86" t="s">
        <v>150</v>
      </c>
      <c r="H5846" s="144">
        <v>22</v>
      </c>
      <c r="I5846" s="86" t="s">
        <v>2935</v>
      </c>
      <c r="J5846" s="1" t="s">
        <v>3302</v>
      </c>
      <c r="K5846" s="1" t="s">
        <v>3371</v>
      </c>
      <c r="L5846" s="1" t="s">
        <v>35</v>
      </c>
      <c r="M5846" s="86" t="s">
        <v>2993</v>
      </c>
      <c r="O5846" s="47" t="s">
        <v>45</v>
      </c>
      <c r="P5846" s="47" t="s">
        <v>46</v>
      </c>
      <c r="Q5846" s="14">
        <v>0.06</v>
      </c>
      <c r="R5846" s="143">
        <v>99422</v>
      </c>
      <c r="S5846" s="47"/>
      <c r="T5846" s="6">
        <v>-4788333.47</v>
      </c>
      <c r="U5846" s="6">
        <v>31271.88</v>
      </c>
      <c r="V5846" s="6">
        <v>1587552.83</v>
      </c>
      <c r="W5846" s="6">
        <f t="shared" si="909"/>
        <v>-6344614.4199999999</v>
      </c>
      <c r="X5846" s="6">
        <f t="shared" si="910"/>
        <v>1497691.3490566039</v>
      </c>
      <c r="Y5846" s="13">
        <f t="shared" si="914"/>
        <v>0</v>
      </c>
      <c r="Z5846" s="66">
        <v>0</v>
      </c>
      <c r="AA5846" s="6">
        <v>0</v>
      </c>
      <c r="AB5846" s="4">
        <f t="shared" si="915"/>
        <v>1497691.3490566039</v>
      </c>
      <c r="AC5846" s="6">
        <f t="shared" si="913"/>
        <v>89861.480943396222</v>
      </c>
      <c r="AD5846" s="6">
        <f t="shared" si="911"/>
        <v>1587552.83</v>
      </c>
      <c r="AE5846" s="14">
        <f>VLOOKUP(I5846,[2]媒体政策预估表!A:N,MATCH(O5846,[2]媒体政策预估表!$A$2:$M$2,0),0)</f>
        <v>0.223</v>
      </c>
      <c r="AF5846" s="6">
        <f t="shared" si="908"/>
        <v>354024.28109</v>
      </c>
      <c r="AG5846" s="14">
        <v>0</v>
      </c>
      <c r="AH5846" s="99">
        <f t="shared" si="912"/>
        <v>1587552.83</v>
      </c>
      <c r="AI5846" s="47"/>
      <c r="AJ5846" s="126" t="e">
        <v>#N/A</v>
      </c>
      <c r="AK5846" s="80">
        <f t="shared" si="916"/>
        <v>0</v>
      </c>
      <c r="AL5846" s="85"/>
      <c r="AM5846" s="85"/>
    </row>
    <row r="5847" spans="1:39" s="86" customFormat="1" ht="13.25" hidden="1" customHeight="1" x14ac:dyDescent="0.3">
      <c r="A5847" s="89" t="s">
        <v>3806</v>
      </c>
      <c r="B5847" s="86" t="s">
        <v>35</v>
      </c>
      <c r="C5847" s="86" t="s">
        <v>144</v>
      </c>
      <c r="D5847" s="86" t="s">
        <v>145</v>
      </c>
      <c r="E5847" s="86" t="s">
        <v>150</v>
      </c>
      <c r="F5847" s="86" t="s">
        <v>151</v>
      </c>
      <c r="G5847" s="86" t="s">
        <v>150</v>
      </c>
      <c r="H5847" s="143">
        <v>22</v>
      </c>
      <c r="I5847" s="86" t="s">
        <v>2935</v>
      </c>
      <c r="J5847" s="1" t="s">
        <v>3302</v>
      </c>
      <c r="K5847" s="1" t="s">
        <v>3371</v>
      </c>
      <c r="L5847" s="1" t="s">
        <v>35</v>
      </c>
      <c r="M5847" s="86" t="s">
        <v>2993</v>
      </c>
      <c r="O5847" s="47" t="s">
        <v>410</v>
      </c>
      <c r="P5847" s="47" t="s">
        <v>46</v>
      </c>
      <c r="Q5847" s="14">
        <v>0.04</v>
      </c>
      <c r="R5847" s="143">
        <v>99422</v>
      </c>
      <c r="S5847" s="47"/>
      <c r="T5847" s="6">
        <v>5304000</v>
      </c>
      <c r="U5847" s="6">
        <v>1248000</v>
      </c>
      <c r="V5847" s="6">
        <v>0</v>
      </c>
      <c r="W5847" s="6">
        <f t="shared" si="909"/>
        <v>6552000</v>
      </c>
      <c r="X5847" s="6">
        <f t="shared" si="910"/>
        <v>0</v>
      </c>
      <c r="Y5847" s="13">
        <f t="shared" si="914"/>
        <v>0</v>
      </c>
      <c r="Z5847" s="66">
        <v>0</v>
      </c>
      <c r="AA5847" s="6">
        <v>0</v>
      </c>
      <c r="AB5847" s="4">
        <f t="shared" si="915"/>
        <v>0</v>
      </c>
      <c r="AC5847" s="6">
        <f t="shared" si="913"/>
        <v>0</v>
      </c>
      <c r="AD5847" s="6">
        <f t="shared" si="911"/>
        <v>0</v>
      </c>
      <c r="AE5847" s="14">
        <f>VLOOKUP(I5847,[2]媒体政策预估表!A:N,MATCH(O5847,[2]媒体政策预估表!$A$2:$M$2,0),0)</f>
        <v>0.10299999999999999</v>
      </c>
      <c r="AF5847" s="6">
        <f t="shared" si="908"/>
        <v>0</v>
      </c>
      <c r="AG5847" s="14">
        <v>0</v>
      </c>
      <c r="AH5847" s="99">
        <f t="shared" si="912"/>
        <v>0</v>
      </c>
      <c r="AI5847" s="47"/>
      <c r="AJ5847" s="126" t="e">
        <v>#N/A</v>
      </c>
      <c r="AK5847" s="80">
        <f t="shared" si="916"/>
        <v>0</v>
      </c>
      <c r="AL5847" s="85"/>
      <c r="AM5847" s="85"/>
    </row>
    <row r="5848" spans="1:39" s="86" customFormat="1" ht="13.25" hidden="1" customHeight="1" x14ac:dyDescent="0.3">
      <c r="A5848" s="89" t="s">
        <v>3794</v>
      </c>
      <c r="B5848" s="86" t="s">
        <v>35</v>
      </c>
      <c r="C5848" s="86" t="s">
        <v>144</v>
      </c>
      <c r="D5848" s="86" t="s">
        <v>145</v>
      </c>
      <c r="E5848" s="86" t="s">
        <v>150</v>
      </c>
      <c r="F5848" s="86" t="s">
        <v>151</v>
      </c>
      <c r="G5848" s="86" t="s">
        <v>150</v>
      </c>
      <c r="H5848" s="144">
        <v>22</v>
      </c>
      <c r="I5848" s="86" t="s">
        <v>2935</v>
      </c>
      <c r="J5848" s="1" t="s">
        <v>3302</v>
      </c>
      <c r="K5848" s="1" t="s">
        <v>3371</v>
      </c>
      <c r="L5848" s="1" t="s">
        <v>35</v>
      </c>
      <c r="M5848" s="86" t="s">
        <v>2994</v>
      </c>
      <c r="O5848" s="47" t="s">
        <v>45</v>
      </c>
      <c r="P5848" s="47" t="s">
        <v>46</v>
      </c>
      <c r="Q5848" s="14">
        <v>0.06</v>
      </c>
      <c r="R5848" s="143">
        <v>173702</v>
      </c>
      <c r="S5848" s="47"/>
      <c r="T5848" s="6">
        <v>-6079676.1600000001</v>
      </c>
      <c r="U5848" s="6">
        <v>61312.5</v>
      </c>
      <c r="V5848" s="6">
        <v>2975847.44</v>
      </c>
      <c r="W5848" s="6">
        <f t="shared" si="909"/>
        <v>-8994211.0999999996</v>
      </c>
      <c r="X5848" s="6">
        <f t="shared" si="910"/>
        <v>2807403.2452830188</v>
      </c>
      <c r="Y5848" s="13">
        <f t="shared" si="914"/>
        <v>0</v>
      </c>
      <c r="Z5848" s="66">
        <v>0</v>
      </c>
      <c r="AA5848" s="6">
        <v>0</v>
      </c>
      <c r="AB5848" s="4">
        <f t="shared" si="915"/>
        <v>2807403.2452830188</v>
      </c>
      <c r="AC5848" s="6">
        <f t="shared" si="913"/>
        <v>168444.19471698115</v>
      </c>
      <c r="AD5848" s="6">
        <f t="shared" si="911"/>
        <v>2975847.44</v>
      </c>
      <c r="AE5848" s="14">
        <f>VLOOKUP(I5848,[2]媒体政策预估表!A:N,MATCH(O5848,[2]媒体政策预估表!$A$2:$M$2,0),0)</f>
        <v>0.223</v>
      </c>
      <c r="AF5848" s="6">
        <f t="shared" si="908"/>
        <v>663613.97912000003</v>
      </c>
      <c r="AG5848" s="14">
        <v>0</v>
      </c>
      <c r="AH5848" s="99">
        <f t="shared" si="912"/>
        <v>2975847.44</v>
      </c>
      <c r="AI5848" s="47"/>
      <c r="AJ5848" s="126" t="e">
        <v>#N/A</v>
      </c>
      <c r="AK5848" s="80">
        <f t="shared" si="916"/>
        <v>0</v>
      </c>
      <c r="AL5848" s="85"/>
      <c r="AM5848" s="85"/>
    </row>
    <row r="5849" spans="1:39" s="86" customFormat="1" ht="13.25" hidden="1" customHeight="1" x14ac:dyDescent="0.3">
      <c r="A5849" s="89" t="s">
        <v>3852</v>
      </c>
      <c r="B5849" s="86" t="s">
        <v>35</v>
      </c>
      <c r="C5849" s="86" t="s">
        <v>144</v>
      </c>
      <c r="D5849" s="86" t="s">
        <v>145</v>
      </c>
      <c r="E5849" s="86" t="s">
        <v>150</v>
      </c>
      <c r="F5849" s="86" t="s">
        <v>151</v>
      </c>
      <c r="G5849" s="86" t="s">
        <v>150</v>
      </c>
      <c r="H5849" s="143">
        <v>22</v>
      </c>
      <c r="I5849" s="86" t="s">
        <v>2935</v>
      </c>
      <c r="J5849" s="1" t="s">
        <v>3302</v>
      </c>
      <c r="K5849" s="1" t="s">
        <v>3371</v>
      </c>
      <c r="L5849" s="1" t="s">
        <v>35</v>
      </c>
      <c r="M5849" s="86" t="s">
        <v>2994</v>
      </c>
      <c r="O5849" s="47" t="s">
        <v>410</v>
      </c>
      <c r="P5849" s="47" t="s">
        <v>46</v>
      </c>
      <c r="Q5849" s="14">
        <v>0.04</v>
      </c>
      <c r="R5849" s="143">
        <v>173702</v>
      </c>
      <c r="S5849" s="47"/>
      <c r="T5849" s="6">
        <v>6656000</v>
      </c>
      <c r="U5849" s="6">
        <v>2600000</v>
      </c>
      <c r="V5849" s="6">
        <v>0</v>
      </c>
      <c r="W5849" s="6">
        <f t="shared" si="909"/>
        <v>9256000</v>
      </c>
      <c r="X5849" s="6">
        <f t="shared" si="910"/>
        <v>0</v>
      </c>
      <c r="Y5849" s="13">
        <f t="shared" si="914"/>
        <v>0</v>
      </c>
      <c r="Z5849" s="66">
        <v>0</v>
      </c>
      <c r="AA5849" s="6">
        <v>0</v>
      </c>
      <c r="AB5849" s="4">
        <f t="shared" si="915"/>
        <v>0</v>
      </c>
      <c r="AC5849" s="6">
        <f t="shared" si="913"/>
        <v>0</v>
      </c>
      <c r="AD5849" s="6">
        <f t="shared" si="911"/>
        <v>0</v>
      </c>
      <c r="AE5849" s="14">
        <f>VLOOKUP(I5849,[2]媒体政策预估表!A:N,MATCH(O5849,[2]媒体政策预估表!$A$2:$M$2,0),0)</f>
        <v>0.10299999999999999</v>
      </c>
      <c r="AF5849" s="6">
        <f t="shared" si="908"/>
        <v>0</v>
      </c>
      <c r="AG5849" s="14">
        <v>0</v>
      </c>
      <c r="AH5849" s="99">
        <f t="shared" si="912"/>
        <v>0</v>
      </c>
      <c r="AI5849" s="47"/>
      <c r="AJ5849" s="126" t="e">
        <v>#N/A</v>
      </c>
      <c r="AK5849" s="80">
        <f t="shared" si="916"/>
        <v>0</v>
      </c>
      <c r="AL5849" s="85"/>
      <c r="AM5849" s="85"/>
    </row>
    <row r="5850" spans="1:39" s="86" customFormat="1" ht="13.25" hidden="1" customHeight="1" x14ac:dyDescent="0.3">
      <c r="A5850" s="89" t="s">
        <v>3794</v>
      </c>
      <c r="B5850" s="86" t="s">
        <v>35</v>
      </c>
      <c r="C5850" s="86" t="s">
        <v>144</v>
      </c>
      <c r="D5850" s="86" t="s">
        <v>145</v>
      </c>
      <c r="E5850" s="86" t="s">
        <v>150</v>
      </c>
      <c r="F5850" s="86" t="s">
        <v>151</v>
      </c>
      <c r="G5850" s="86" t="s">
        <v>150</v>
      </c>
      <c r="H5850" s="144">
        <v>22</v>
      </c>
      <c r="I5850" s="86" t="s">
        <v>2935</v>
      </c>
      <c r="J5850" s="1" t="s">
        <v>3302</v>
      </c>
      <c r="K5850" s="1" t="s">
        <v>3371</v>
      </c>
      <c r="L5850" s="1" t="s">
        <v>35</v>
      </c>
      <c r="M5850" s="86" t="s">
        <v>2996</v>
      </c>
      <c r="O5850" s="47" t="s">
        <v>45</v>
      </c>
      <c r="P5850" s="47" t="s">
        <v>46</v>
      </c>
      <c r="Q5850" s="14">
        <v>0.06</v>
      </c>
      <c r="R5850" s="143">
        <v>82662</v>
      </c>
      <c r="S5850" s="47"/>
      <c r="T5850" s="6">
        <v>-708223.9</v>
      </c>
      <c r="U5850" s="6">
        <v>3452</v>
      </c>
      <c r="V5850" s="6">
        <v>534736.53</v>
      </c>
      <c r="W5850" s="6">
        <f t="shared" si="909"/>
        <v>-1239508.4300000002</v>
      </c>
      <c r="X5850" s="6">
        <f t="shared" si="910"/>
        <v>504468.42452830187</v>
      </c>
      <c r="Y5850" s="13">
        <f t="shared" si="914"/>
        <v>0</v>
      </c>
      <c r="Z5850" s="66">
        <v>0</v>
      </c>
      <c r="AA5850" s="6">
        <v>0</v>
      </c>
      <c r="AB5850" s="4">
        <f t="shared" si="915"/>
        <v>504468.42452830187</v>
      </c>
      <c r="AC5850" s="6">
        <f t="shared" si="913"/>
        <v>30268.10547169816</v>
      </c>
      <c r="AD5850" s="6">
        <f t="shared" si="911"/>
        <v>534736.53</v>
      </c>
      <c r="AE5850" s="14">
        <f>VLOOKUP(I5850,[2]媒体政策预估表!A:N,MATCH(O5850,[2]媒体政策预估表!$A$2:$M$2,0),0)</f>
        <v>0.223</v>
      </c>
      <c r="AF5850" s="6">
        <f t="shared" si="908"/>
        <v>119246.24619000001</v>
      </c>
      <c r="AG5850" s="14">
        <v>0</v>
      </c>
      <c r="AH5850" s="99">
        <f t="shared" si="912"/>
        <v>534736.53</v>
      </c>
      <c r="AI5850" s="47"/>
      <c r="AJ5850" s="126" t="e">
        <v>#N/A</v>
      </c>
      <c r="AK5850" s="80">
        <f t="shared" si="916"/>
        <v>0</v>
      </c>
      <c r="AL5850" s="85"/>
      <c r="AM5850" s="85"/>
    </row>
    <row r="5851" spans="1:39" s="86" customFormat="1" ht="13.25" hidden="1" customHeight="1" x14ac:dyDescent="0.3">
      <c r="A5851" s="89" t="s">
        <v>3794</v>
      </c>
      <c r="B5851" s="86" t="s">
        <v>35</v>
      </c>
      <c r="C5851" s="86" t="s">
        <v>144</v>
      </c>
      <c r="D5851" s="86" t="s">
        <v>145</v>
      </c>
      <c r="E5851" s="86" t="s">
        <v>150</v>
      </c>
      <c r="F5851" s="86" t="s">
        <v>151</v>
      </c>
      <c r="G5851" s="86" t="s">
        <v>150</v>
      </c>
      <c r="H5851" s="144">
        <v>22</v>
      </c>
      <c r="I5851" s="86" t="s">
        <v>2935</v>
      </c>
      <c r="J5851" s="1" t="s">
        <v>3302</v>
      </c>
      <c r="K5851" s="1" t="s">
        <v>3371</v>
      </c>
      <c r="L5851" s="1" t="s">
        <v>35</v>
      </c>
      <c r="M5851" s="86" t="s">
        <v>2996</v>
      </c>
      <c r="O5851" s="47" t="s">
        <v>410</v>
      </c>
      <c r="P5851" s="47" t="s">
        <v>46</v>
      </c>
      <c r="Q5851" s="14">
        <v>0.04</v>
      </c>
      <c r="R5851" s="143">
        <v>82662</v>
      </c>
      <c r="S5851" s="47"/>
      <c r="T5851" s="6">
        <v>1057000</v>
      </c>
      <c r="U5851" s="6">
        <v>364000</v>
      </c>
      <c r="V5851" s="6">
        <v>155000</v>
      </c>
      <c r="W5851" s="6">
        <f t="shared" si="909"/>
        <v>1266000</v>
      </c>
      <c r="X5851" s="6">
        <f t="shared" si="910"/>
        <v>149038.46153846153</v>
      </c>
      <c r="Y5851" s="13">
        <f t="shared" si="914"/>
        <v>0</v>
      </c>
      <c r="Z5851" s="66">
        <v>0</v>
      </c>
      <c r="AA5851" s="6">
        <v>0</v>
      </c>
      <c r="AB5851" s="4">
        <f t="shared" si="915"/>
        <v>149038.46153846153</v>
      </c>
      <c r="AC5851" s="6">
        <f t="shared" si="913"/>
        <v>5961.5384615384683</v>
      </c>
      <c r="AD5851" s="6">
        <f t="shared" si="911"/>
        <v>155000</v>
      </c>
      <c r="AE5851" s="14">
        <f>VLOOKUP(I5851,[2]媒体政策预估表!A:N,MATCH(O5851,[2]媒体政策预估表!$A$2:$M$2,0),0)</f>
        <v>0.10299999999999999</v>
      </c>
      <c r="AF5851" s="6">
        <f t="shared" si="908"/>
        <v>15965</v>
      </c>
      <c r="AG5851" s="14">
        <v>0</v>
      </c>
      <c r="AH5851" s="99">
        <f t="shared" si="912"/>
        <v>155000</v>
      </c>
      <c r="AI5851" s="47"/>
      <c r="AJ5851" s="126" t="e">
        <v>#N/A</v>
      </c>
      <c r="AK5851" s="80">
        <f t="shared" si="916"/>
        <v>0</v>
      </c>
      <c r="AL5851" s="85"/>
      <c r="AM5851" s="85"/>
    </row>
    <row r="5852" spans="1:39" s="86" customFormat="1" ht="13.25" hidden="1" customHeight="1" x14ac:dyDescent="0.3">
      <c r="A5852" s="89" t="s">
        <v>3794</v>
      </c>
      <c r="B5852" s="86" t="s">
        <v>35</v>
      </c>
      <c r="C5852" s="86" t="s">
        <v>144</v>
      </c>
      <c r="D5852" s="86" t="s">
        <v>145</v>
      </c>
      <c r="E5852" s="86" t="s">
        <v>150</v>
      </c>
      <c r="F5852" s="86" t="s">
        <v>151</v>
      </c>
      <c r="G5852" s="86" t="s">
        <v>150</v>
      </c>
      <c r="H5852" s="143">
        <v>22</v>
      </c>
      <c r="I5852" s="86" t="s">
        <v>2935</v>
      </c>
      <c r="J5852" s="1" t="s">
        <v>3302</v>
      </c>
      <c r="K5852" s="1" t="s">
        <v>3371</v>
      </c>
      <c r="L5852" s="1" t="s">
        <v>35</v>
      </c>
      <c r="M5852" s="86" t="s">
        <v>3873</v>
      </c>
      <c r="O5852" s="47" t="s">
        <v>410</v>
      </c>
      <c r="P5852" s="47" t="s">
        <v>46</v>
      </c>
      <c r="Q5852" s="14">
        <v>0.04</v>
      </c>
      <c r="R5852" s="143">
        <v>224862</v>
      </c>
      <c r="S5852" s="47"/>
      <c r="T5852" s="6">
        <v>0</v>
      </c>
      <c r="U5852" s="6">
        <v>104000</v>
      </c>
      <c r="V5852" s="6">
        <v>0</v>
      </c>
      <c r="W5852" s="6">
        <f t="shared" si="909"/>
        <v>104000</v>
      </c>
      <c r="X5852" s="6">
        <f t="shared" si="910"/>
        <v>0</v>
      </c>
      <c r="Y5852" s="13">
        <f t="shared" si="914"/>
        <v>0</v>
      </c>
      <c r="Z5852" s="66">
        <v>0</v>
      </c>
      <c r="AA5852" s="6">
        <v>0</v>
      </c>
      <c r="AB5852" s="4">
        <f t="shared" si="915"/>
        <v>0</v>
      </c>
      <c r="AC5852" s="6">
        <f t="shared" si="913"/>
        <v>0</v>
      </c>
      <c r="AD5852" s="6">
        <f t="shared" si="911"/>
        <v>0</v>
      </c>
      <c r="AE5852" s="14">
        <f>VLOOKUP(I5852,[2]媒体政策预估表!A:N,MATCH(O5852,[2]媒体政策预估表!$A$2:$M$2,0),0)</f>
        <v>0.10299999999999999</v>
      </c>
      <c r="AF5852" s="6">
        <f t="shared" si="908"/>
        <v>0</v>
      </c>
      <c r="AG5852" s="14">
        <v>0</v>
      </c>
      <c r="AH5852" s="99">
        <f t="shared" si="912"/>
        <v>0</v>
      </c>
      <c r="AI5852" s="47"/>
      <c r="AJ5852" s="126" t="e">
        <v>#N/A</v>
      </c>
      <c r="AK5852" s="80">
        <f t="shared" si="916"/>
        <v>0</v>
      </c>
      <c r="AL5852" s="85"/>
      <c r="AM5852" s="85"/>
    </row>
    <row r="5853" spans="1:39" s="86" customFormat="1" ht="13.25" hidden="1" customHeight="1" x14ac:dyDescent="0.3">
      <c r="A5853" s="89" t="s">
        <v>3794</v>
      </c>
      <c r="B5853" s="86" t="s">
        <v>35</v>
      </c>
      <c r="C5853" s="86" t="s">
        <v>144</v>
      </c>
      <c r="D5853" s="86" t="s">
        <v>152</v>
      </c>
      <c r="E5853" s="86" t="s">
        <v>1468</v>
      </c>
      <c r="F5853" s="86" t="s">
        <v>1468</v>
      </c>
      <c r="G5853" s="86" t="s">
        <v>1468</v>
      </c>
      <c r="H5853" s="144">
        <v>22</v>
      </c>
      <c r="I5853" s="86" t="s">
        <v>2935</v>
      </c>
      <c r="J5853" s="1" t="s">
        <v>3302</v>
      </c>
      <c r="K5853" s="1" t="s">
        <v>3371</v>
      </c>
      <c r="L5853" s="1" t="s">
        <v>35</v>
      </c>
      <c r="M5853" s="86" t="s">
        <v>1468</v>
      </c>
      <c r="O5853" s="47" t="s">
        <v>410</v>
      </c>
      <c r="P5853" s="47" t="s">
        <v>46</v>
      </c>
      <c r="Q5853" s="14">
        <v>0.02</v>
      </c>
      <c r="R5853" s="143">
        <v>46082</v>
      </c>
      <c r="S5853" s="47"/>
      <c r="T5853" s="6">
        <v>24615.700000000012</v>
      </c>
      <c r="U5853" s="6">
        <v>51000</v>
      </c>
      <c r="V5853" s="6">
        <v>42500</v>
      </c>
      <c r="W5853" s="6">
        <f t="shared" si="909"/>
        <v>33115.700000000012</v>
      </c>
      <c r="X5853" s="6">
        <f t="shared" si="910"/>
        <v>41666.666666666664</v>
      </c>
      <c r="Y5853" s="13">
        <f t="shared" si="914"/>
        <v>0</v>
      </c>
      <c r="Z5853" s="66">
        <v>0</v>
      </c>
      <c r="AA5853" s="6">
        <v>0</v>
      </c>
      <c r="AB5853" s="4">
        <f t="shared" si="915"/>
        <v>41666.666666666664</v>
      </c>
      <c r="AC5853" s="6">
        <f t="shared" si="913"/>
        <v>833.33333333333576</v>
      </c>
      <c r="AD5853" s="6">
        <f t="shared" si="911"/>
        <v>42500</v>
      </c>
      <c r="AE5853" s="14">
        <f>VLOOKUP(I5853,[2]媒体政策预估表!A:N,MATCH(O5853,[2]媒体政策预估表!$A$2:$M$2,0),0)</f>
        <v>0.10299999999999999</v>
      </c>
      <c r="AF5853" s="6">
        <f t="shared" si="908"/>
        <v>4377.5</v>
      </c>
      <c r="AG5853" s="14">
        <v>0</v>
      </c>
      <c r="AH5853" s="99">
        <f t="shared" si="912"/>
        <v>42500</v>
      </c>
      <c r="AI5853" s="47"/>
      <c r="AJ5853" s="126" t="e">
        <v>#N/A</v>
      </c>
      <c r="AK5853" s="80">
        <f t="shared" si="916"/>
        <v>0</v>
      </c>
      <c r="AL5853" s="85"/>
      <c r="AM5853" s="85"/>
    </row>
    <row r="5854" spans="1:39" s="86" customFormat="1" ht="13.25" hidden="1" customHeight="1" x14ac:dyDescent="0.3">
      <c r="A5854" s="89" t="s">
        <v>3806</v>
      </c>
      <c r="B5854" s="86" t="s">
        <v>35</v>
      </c>
      <c r="C5854" s="86" t="s">
        <v>144</v>
      </c>
      <c r="D5854" s="86" t="s">
        <v>152</v>
      </c>
      <c r="E5854" s="86" t="s">
        <v>2997</v>
      </c>
      <c r="F5854" s="86" t="s">
        <v>2997</v>
      </c>
      <c r="G5854" s="86" t="s">
        <v>2997</v>
      </c>
      <c r="H5854" s="144">
        <v>22</v>
      </c>
      <c r="I5854" s="86" t="s">
        <v>2935</v>
      </c>
      <c r="J5854" s="1" t="s">
        <v>3302</v>
      </c>
      <c r="K5854" s="1" t="s">
        <v>3371</v>
      </c>
      <c r="L5854" s="1" t="s">
        <v>35</v>
      </c>
      <c r="M5854" s="86" t="s">
        <v>2997</v>
      </c>
      <c r="O5854" s="47" t="s">
        <v>410</v>
      </c>
      <c r="P5854" s="47" t="s">
        <v>41</v>
      </c>
      <c r="Q5854" s="14">
        <v>0</v>
      </c>
      <c r="R5854" s="143">
        <v>129832</v>
      </c>
      <c r="S5854" s="47"/>
      <c r="T5854" s="6">
        <v>19148.370000000017</v>
      </c>
      <c r="U5854" s="6">
        <v>50000</v>
      </c>
      <c r="V5854" s="6">
        <v>58564.06</v>
      </c>
      <c r="W5854" s="6">
        <f t="shared" si="909"/>
        <v>10584.310000000027</v>
      </c>
      <c r="X5854" s="6">
        <f t="shared" si="910"/>
        <v>58564.06</v>
      </c>
      <c r="Y5854" s="13">
        <f t="shared" si="914"/>
        <v>0</v>
      </c>
      <c r="Z5854" s="66">
        <v>0</v>
      </c>
      <c r="AA5854" s="6">
        <v>0</v>
      </c>
      <c r="AB5854" s="4">
        <f t="shared" si="915"/>
        <v>58564.06</v>
      </c>
      <c r="AC5854" s="6">
        <f t="shared" si="913"/>
        <v>0</v>
      </c>
      <c r="AD5854" s="6">
        <f t="shared" si="911"/>
        <v>58564.06</v>
      </c>
      <c r="AE5854" s="14">
        <f>VLOOKUP(I5854,[2]媒体政策预估表!A:N,MATCH(O5854,[2]媒体政策预估表!$A$2:$M$2,0),0)</f>
        <v>0.10299999999999999</v>
      </c>
      <c r="AF5854" s="6">
        <f t="shared" si="908"/>
        <v>6032.098179999999</v>
      </c>
      <c r="AG5854" s="14">
        <v>0</v>
      </c>
      <c r="AH5854" s="99">
        <f t="shared" si="912"/>
        <v>58564.06</v>
      </c>
      <c r="AI5854" s="47"/>
      <c r="AJ5854" s="126" t="e">
        <v>#N/A</v>
      </c>
      <c r="AK5854" s="80">
        <f t="shared" si="916"/>
        <v>0</v>
      </c>
      <c r="AL5854" s="85"/>
      <c r="AM5854" s="85"/>
    </row>
    <row r="5855" spans="1:39" s="86" customFormat="1" ht="13.25" hidden="1" customHeight="1" x14ac:dyDescent="0.3">
      <c r="A5855" s="89" t="s">
        <v>3792</v>
      </c>
      <c r="B5855" s="86" t="s">
        <v>35</v>
      </c>
      <c r="C5855" s="86" t="s">
        <v>144</v>
      </c>
      <c r="D5855" s="86" t="s">
        <v>152</v>
      </c>
      <c r="E5855" s="86" t="s">
        <v>159</v>
      </c>
      <c r="F5855" s="86" t="s">
        <v>159</v>
      </c>
      <c r="G5855" s="86" t="s">
        <v>159</v>
      </c>
      <c r="H5855" s="144">
        <v>22</v>
      </c>
      <c r="I5855" s="86" t="s">
        <v>2935</v>
      </c>
      <c r="J5855" s="1" t="s">
        <v>3302</v>
      </c>
      <c r="K5855" s="1" t="s">
        <v>3371</v>
      </c>
      <c r="L5855" s="1" t="s">
        <v>35</v>
      </c>
      <c r="M5855" s="86" t="s">
        <v>159</v>
      </c>
      <c r="O5855" s="47" t="s">
        <v>410</v>
      </c>
      <c r="P5855" s="47" t="s">
        <v>46</v>
      </c>
      <c r="Q5855" s="14">
        <v>0.02</v>
      </c>
      <c r="R5855" s="143">
        <v>9812</v>
      </c>
      <c r="S5855" s="47"/>
      <c r="T5855" s="6">
        <v>324839.93000000017</v>
      </c>
      <c r="U5855" s="6">
        <v>206000</v>
      </c>
      <c r="V5855" s="6">
        <v>309502.18</v>
      </c>
      <c r="W5855" s="6">
        <f t="shared" si="909"/>
        <v>221337.75000000017</v>
      </c>
      <c r="X5855" s="6">
        <f t="shared" si="910"/>
        <v>303433.50980392157</v>
      </c>
      <c r="Y5855" s="13">
        <f t="shared" si="914"/>
        <v>0</v>
      </c>
      <c r="Z5855" s="66">
        <v>0</v>
      </c>
      <c r="AA5855" s="6">
        <v>0</v>
      </c>
      <c r="AB5855" s="4">
        <f t="shared" si="915"/>
        <v>303433.50980392157</v>
      </c>
      <c r="AC5855" s="6">
        <f t="shared" si="913"/>
        <v>6068.6701960784267</v>
      </c>
      <c r="AD5855" s="6">
        <f t="shared" si="911"/>
        <v>309502.18</v>
      </c>
      <c r="AE5855" s="14">
        <f>VLOOKUP(I5855,[2]媒体政策预估表!A:N,MATCH(O5855,[2]媒体政策预估表!$A$2:$M$2,0),0)</f>
        <v>0.10299999999999999</v>
      </c>
      <c r="AF5855" s="6">
        <f t="shared" si="908"/>
        <v>31878.724539999999</v>
      </c>
      <c r="AG5855" s="14">
        <v>0</v>
      </c>
      <c r="AH5855" s="99">
        <f t="shared" si="912"/>
        <v>309502.18</v>
      </c>
      <c r="AI5855" s="47"/>
      <c r="AJ5855" s="126" t="e">
        <v>#N/A</v>
      </c>
      <c r="AK5855" s="80">
        <f t="shared" si="916"/>
        <v>0</v>
      </c>
      <c r="AL5855" s="85"/>
      <c r="AM5855" s="85"/>
    </row>
    <row r="5856" spans="1:39" s="86" customFormat="1" ht="13.25" hidden="1" customHeight="1" x14ac:dyDescent="0.3">
      <c r="A5856" s="89" t="s">
        <v>3794</v>
      </c>
      <c r="B5856" s="86" t="s">
        <v>35</v>
      </c>
      <c r="C5856" s="86" t="s">
        <v>144</v>
      </c>
      <c r="D5856" s="86" t="s">
        <v>152</v>
      </c>
      <c r="E5856" s="86" t="s">
        <v>159</v>
      </c>
      <c r="F5856" s="86" t="s">
        <v>159</v>
      </c>
      <c r="G5856" s="86" t="s">
        <v>159</v>
      </c>
      <c r="H5856" s="144">
        <v>22</v>
      </c>
      <c r="I5856" s="86" t="s">
        <v>2935</v>
      </c>
      <c r="J5856" s="1" t="s">
        <v>3302</v>
      </c>
      <c r="K5856" s="1" t="s">
        <v>3371</v>
      </c>
      <c r="L5856" s="1" t="s">
        <v>35</v>
      </c>
      <c r="M5856" s="86" t="s">
        <v>3591</v>
      </c>
      <c r="O5856" s="47" t="s">
        <v>410</v>
      </c>
      <c r="P5856" s="47" t="s">
        <v>46</v>
      </c>
      <c r="Q5856" s="14">
        <v>0.02</v>
      </c>
      <c r="R5856" s="143">
        <v>228402</v>
      </c>
      <c r="S5856" s="47"/>
      <c r="T5856" s="6">
        <v>41642.400000000001</v>
      </c>
      <c r="U5856" s="6">
        <v>51000</v>
      </c>
      <c r="V5856" s="6">
        <v>66847.839999999997</v>
      </c>
      <c r="W5856" s="6">
        <f t="shared" si="909"/>
        <v>25794.559999999998</v>
      </c>
      <c r="X5856" s="6">
        <f t="shared" si="910"/>
        <v>65537.098039215678</v>
      </c>
      <c r="Y5856" s="13">
        <f t="shared" si="914"/>
        <v>0</v>
      </c>
      <c r="Z5856" s="66">
        <v>0</v>
      </c>
      <c r="AA5856" s="6">
        <v>0</v>
      </c>
      <c r="AB5856" s="4">
        <f t="shared" si="915"/>
        <v>65537.098039215678</v>
      </c>
      <c r="AC5856" s="6">
        <f t="shared" si="913"/>
        <v>1310.7419607843185</v>
      </c>
      <c r="AD5856" s="6">
        <f t="shared" si="911"/>
        <v>66847.839999999997</v>
      </c>
      <c r="AE5856" s="14">
        <f>VLOOKUP(I5856,[2]媒体政策预估表!A:N,MATCH(O5856,[2]媒体政策预估表!$A$2:$M$2,0),0)</f>
        <v>0.10299999999999999</v>
      </c>
      <c r="AF5856" s="6">
        <f t="shared" si="908"/>
        <v>6885.3275199999989</v>
      </c>
      <c r="AG5856" s="14">
        <v>0</v>
      </c>
      <c r="AH5856" s="99">
        <f t="shared" si="912"/>
        <v>66847.839999999997</v>
      </c>
      <c r="AI5856" s="47"/>
      <c r="AJ5856" s="126" t="e">
        <v>#N/A</v>
      </c>
      <c r="AK5856" s="80">
        <f t="shared" si="916"/>
        <v>0</v>
      </c>
      <c r="AL5856" s="85"/>
      <c r="AM5856" s="85"/>
    </row>
    <row r="5857" spans="1:39" s="86" customFormat="1" ht="13.25" hidden="1" customHeight="1" x14ac:dyDescent="0.3">
      <c r="A5857" s="89" t="s">
        <v>3806</v>
      </c>
      <c r="B5857" s="86" t="s">
        <v>35</v>
      </c>
      <c r="C5857" s="86" t="s">
        <v>144</v>
      </c>
      <c r="D5857" s="86" t="s">
        <v>152</v>
      </c>
      <c r="E5857" s="86" t="s">
        <v>2998</v>
      </c>
      <c r="F5857" s="86" t="s">
        <v>2998</v>
      </c>
      <c r="G5857" s="86" t="s">
        <v>2998</v>
      </c>
      <c r="H5857" s="144">
        <v>22</v>
      </c>
      <c r="I5857" s="86" t="s">
        <v>2935</v>
      </c>
      <c r="J5857" s="1" t="s">
        <v>3302</v>
      </c>
      <c r="K5857" s="1" t="s">
        <v>3371</v>
      </c>
      <c r="L5857" s="1" t="s">
        <v>35</v>
      </c>
      <c r="M5857" s="86" t="s">
        <v>2998</v>
      </c>
      <c r="O5857" s="47" t="s">
        <v>410</v>
      </c>
      <c r="P5857" s="47" t="s">
        <v>41</v>
      </c>
      <c r="Q5857" s="14">
        <v>0</v>
      </c>
      <c r="R5857" s="143">
        <v>158142</v>
      </c>
      <c r="S5857" s="47"/>
      <c r="T5857" s="6">
        <v>15631.680000000008</v>
      </c>
      <c r="U5857" s="6">
        <v>100000</v>
      </c>
      <c r="V5857" s="6">
        <v>85606.46</v>
      </c>
      <c r="W5857" s="6">
        <f t="shared" si="909"/>
        <v>30025.22</v>
      </c>
      <c r="X5857" s="6">
        <f t="shared" si="910"/>
        <v>85606.46</v>
      </c>
      <c r="Y5857" s="13">
        <f t="shared" si="914"/>
        <v>0</v>
      </c>
      <c r="Z5857" s="66">
        <v>0</v>
      </c>
      <c r="AA5857" s="6">
        <v>0</v>
      </c>
      <c r="AB5857" s="4">
        <f t="shared" si="915"/>
        <v>85606.46</v>
      </c>
      <c r="AC5857" s="6">
        <f t="shared" si="913"/>
        <v>0</v>
      </c>
      <c r="AD5857" s="6">
        <f t="shared" si="911"/>
        <v>85606.46</v>
      </c>
      <c r="AE5857" s="14">
        <f>VLOOKUP(I5857,[2]媒体政策预估表!A:N,MATCH(O5857,[2]媒体政策预估表!$A$2:$M$2,0),0)</f>
        <v>0.10299999999999999</v>
      </c>
      <c r="AF5857" s="6">
        <f t="shared" si="908"/>
        <v>8817.4653799999996</v>
      </c>
      <c r="AG5857" s="14">
        <v>0</v>
      </c>
      <c r="AH5857" s="99">
        <f t="shared" si="912"/>
        <v>85606.46</v>
      </c>
      <c r="AI5857" s="47"/>
      <c r="AJ5857" s="126" t="e">
        <v>#N/A</v>
      </c>
      <c r="AK5857" s="80">
        <f t="shared" si="916"/>
        <v>0</v>
      </c>
      <c r="AL5857" s="85"/>
      <c r="AM5857" s="85"/>
    </row>
    <row r="5858" spans="1:39" s="86" customFormat="1" ht="13.25" hidden="1" customHeight="1" x14ac:dyDescent="0.3">
      <c r="A5858" s="89" t="s">
        <v>3806</v>
      </c>
      <c r="B5858" s="86" t="s">
        <v>35</v>
      </c>
      <c r="C5858" s="86" t="s">
        <v>144</v>
      </c>
      <c r="D5858" s="86" t="s">
        <v>152</v>
      </c>
      <c r="E5858" s="86" t="s">
        <v>160</v>
      </c>
      <c r="F5858" s="86" t="s">
        <v>160</v>
      </c>
      <c r="G5858" s="86" t="s">
        <v>160</v>
      </c>
      <c r="H5858" s="143">
        <v>22</v>
      </c>
      <c r="I5858" s="86" t="s">
        <v>2935</v>
      </c>
      <c r="J5858" s="1" t="s">
        <v>3302</v>
      </c>
      <c r="K5858" s="1" t="s">
        <v>3371</v>
      </c>
      <c r="L5858" s="1" t="s">
        <v>35</v>
      </c>
      <c r="M5858" s="86" t="s">
        <v>160</v>
      </c>
      <c r="O5858" s="47" t="s">
        <v>410</v>
      </c>
      <c r="P5858" s="47" t="s">
        <v>46</v>
      </c>
      <c r="Q5858" s="14">
        <v>0.02</v>
      </c>
      <c r="R5858" s="143">
        <v>5052</v>
      </c>
      <c r="S5858" s="47"/>
      <c r="T5858" s="6">
        <v>1.18</v>
      </c>
      <c r="U5858" s="6">
        <v>204000</v>
      </c>
      <c r="V5858" s="6">
        <v>0</v>
      </c>
      <c r="W5858" s="6">
        <f t="shared" si="909"/>
        <v>204001.18</v>
      </c>
      <c r="X5858" s="6">
        <f t="shared" si="910"/>
        <v>0</v>
      </c>
      <c r="Y5858" s="13">
        <f t="shared" si="914"/>
        <v>0</v>
      </c>
      <c r="Z5858" s="66">
        <v>0</v>
      </c>
      <c r="AA5858" s="6">
        <v>0</v>
      </c>
      <c r="AB5858" s="4">
        <f t="shared" si="915"/>
        <v>0</v>
      </c>
      <c r="AC5858" s="6">
        <f t="shared" si="913"/>
        <v>0</v>
      </c>
      <c r="AD5858" s="6">
        <f t="shared" si="911"/>
        <v>0</v>
      </c>
      <c r="AE5858" s="14">
        <f>VLOOKUP(I5858,[2]媒体政策预估表!A:N,MATCH(O5858,[2]媒体政策预估表!$A$2:$M$2,0),0)</f>
        <v>0.10299999999999999</v>
      </c>
      <c r="AF5858" s="6">
        <f t="shared" si="908"/>
        <v>0</v>
      </c>
      <c r="AG5858" s="14">
        <v>0</v>
      </c>
      <c r="AH5858" s="99">
        <f t="shared" si="912"/>
        <v>0</v>
      </c>
      <c r="AI5858" s="47"/>
      <c r="AJ5858" s="126" t="e">
        <v>#N/A</v>
      </c>
      <c r="AK5858" s="80">
        <f t="shared" si="916"/>
        <v>0</v>
      </c>
      <c r="AL5858" s="85"/>
      <c r="AM5858" s="85"/>
    </row>
    <row r="5859" spans="1:39" s="86" customFormat="1" ht="13.25" hidden="1" customHeight="1" x14ac:dyDescent="0.3">
      <c r="A5859" s="89" t="s">
        <v>3794</v>
      </c>
      <c r="B5859" s="86" t="s">
        <v>35</v>
      </c>
      <c r="C5859" s="86" t="s">
        <v>144</v>
      </c>
      <c r="D5859" s="86" t="s">
        <v>152</v>
      </c>
      <c r="E5859" s="86" t="s">
        <v>3000</v>
      </c>
      <c r="F5859" s="86" t="s">
        <v>3000</v>
      </c>
      <c r="G5859" s="86" t="s">
        <v>3000</v>
      </c>
      <c r="H5859" s="144">
        <v>22</v>
      </c>
      <c r="I5859" s="86" t="s">
        <v>2935</v>
      </c>
      <c r="J5859" s="1" t="s">
        <v>3302</v>
      </c>
      <c r="K5859" s="1" t="s">
        <v>3371</v>
      </c>
      <c r="L5859" s="1" t="s">
        <v>35</v>
      </c>
      <c r="M5859" s="86" t="s">
        <v>3000</v>
      </c>
      <c r="O5859" s="47" t="s">
        <v>410</v>
      </c>
      <c r="P5859" s="47" t="s">
        <v>41</v>
      </c>
      <c r="Q5859" s="14">
        <v>0</v>
      </c>
      <c r="R5859" s="143">
        <v>142322</v>
      </c>
      <c r="S5859" s="47"/>
      <c r="T5859" s="6">
        <v>0</v>
      </c>
      <c r="U5859" s="6">
        <v>10000</v>
      </c>
      <c r="V5859" s="6">
        <v>7416</v>
      </c>
      <c r="W5859" s="6">
        <f t="shared" si="909"/>
        <v>2584</v>
      </c>
      <c r="X5859" s="6">
        <f t="shared" si="910"/>
        <v>7416</v>
      </c>
      <c r="Y5859" s="13">
        <f t="shared" si="914"/>
        <v>0</v>
      </c>
      <c r="Z5859" s="66">
        <v>0</v>
      </c>
      <c r="AA5859" s="6">
        <v>0</v>
      </c>
      <c r="AB5859" s="4">
        <f t="shared" si="915"/>
        <v>7416</v>
      </c>
      <c r="AC5859" s="6">
        <f t="shared" si="913"/>
        <v>0</v>
      </c>
      <c r="AD5859" s="6">
        <f t="shared" si="911"/>
        <v>7416</v>
      </c>
      <c r="AE5859" s="14">
        <f>VLOOKUP(I5859,[2]媒体政策预估表!A:N,MATCH(O5859,[2]媒体政策预估表!$A$2:$M$2,0),0)</f>
        <v>0.10299999999999999</v>
      </c>
      <c r="AF5859" s="6">
        <f t="shared" si="908"/>
        <v>763.84799999999996</v>
      </c>
      <c r="AG5859" s="14">
        <v>0</v>
      </c>
      <c r="AH5859" s="99">
        <f t="shared" si="912"/>
        <v>7416</v>
      </c>
      <c r="AI5859" s="47"/>
      <c r="AJ5859" s="126" t="e">
        <v>#N/A</v>
      </c>
      <c r="AK5859" s="80">
        <f t="shared" si="916"/>
        <v>0</v>
      </c>
      <c r="AL5859" s="85"/>
      <c r="AM5859" s="85"/>
    </row>
    <row r="5860" spans="1:39" s="86" customFormat="1" ht="13.25" hidden="1" customHeight="1" x14ac:dyDescent="0.3">
      <c r="A5860" s="89" t="s">
        <v>3806</v>
      </c>
      <c r="B5860" s="86" t="s">
        <v>35</v>
      </c>
      <c r="C5860" s="86" t="s">
        <v>144</v>
      </c>
      <c r="D5860" s="86" t="s">
        <v>152</v>
      </c>
      <c r="E5860" s="86" t="s">
        <v>3874</v>
      </c>
      <c r="F5860" s="86" t="s">
        <v>3874</v>
      </c>
      <c r="G5860" s="86" t="s">
        <v>3874</v>
      </c>
      <c r="H5860" s="144">
        <v>22</v>
      </c>
      <c r="I5860" s="86" t="s">
        <v>2935</v>
      </c>
      <c r="J5860" s="1" t="s">
        <v>3302</v>
      </c>
      <c r="K5860" s="1" t="s">
        <v>3371</v>
      </c>
      <c r="L5860" s="1" t="s">
        <v>35</v>
      </c>
      <c r="M5860" s="86" t="s">
        <v>3874</v>
      </c>
      <c r="O5860" s="47" t="s">
        <v>410</v>
      </c>
      <c r="P5860" s="47" t="s">
        <v>46</v>
      </c>
      <c r="Q5860" s="14">
        <v>0.02</v>
      </c>
      <c r="R5860" s="143">
        <v>249922</v>
      </c>
      <c r="S5860" s="47"/>
      <c r="T5860" s="6">
        <v>0</v>
      </c>
      <c r="U5860" s="6">
        <v>10200</v>
      </c>
      <c r="V5860" s="6">
        <v>3813.38</v>
      </c>
      <c r="W5860" s="6">
        <f t="shared" si="909"/>
        <v>6386.62</v>
      </c>
      <c r="X5860" s="6">
        <f t="shared" si="910"/>
        <v>3738.6078431372548</v>
      </c>
      <c r="Y5860" s="13">
        <f t="shared" si="914"/>
        <v>0</v>
      </c>
      <c r="Z5860" s="66">
        <v>0</v>
      </c>
      <c r="AA5860" s="6">
        <v>0</v>
      </c>
      <c r="AB5860" s="4">
        <f t="shared" si="915"/>
        <v>3738.6078431372548</v>
      </c>
      <c r="AC5860" s="6">
        <f t="shared" si="913"/>
        <v>74.772156862745305</v>
      </c>
      <c r="AD5860" s="6">
        <f t="shared" si="911"/>
        <v>3813.38</v>
      </c>
      <c r="AE5860" s="14">
        <f>VLOOKUP(I5860,[2]媒体政策预估表!A:N,MATCH(O5860,[2]媒体政策预估表!$A$2:$M$2,0),0)</f>
        <v>0.10299999999999999</v>
      </c>
      <c r="AF5860" s="6">
        <f t="shared" ref="AF5860:AF5923" si="917">AD5860*AE5860</f>
        <v>392.77814000000001</v>
      </c>
      <c r="AG5860" s="14">
        <v>0</v>
      </c>
      <c r="AH5860" s="99">
        <f t="shared" si="912"/>
        <v>3813.38</v>
      </c>
      <c r="AI5860" s="47"/>
      <c r="AJ5860" s="126" t="e">
        <v>#N/A</v>
      </c>
      <c r="AK5860" s="80">
        <f t="shared" si="916"/>
        <v>0</v>
      </c>
      <c r="AL5860" s="85"/>
      <c r="AM5860" s="85"/>
    </row>
    <row r="5861" spans="1:39" s="86" customFormat="1" ht="13.25" hidden="1" customHeight="1" x14ac:dyDescent="0.3">
      <c r="A5861" s="89" t="s">
        <v>3794</v>
      </c>
      <c r="B5861" s="86" t="s">
        <v>35</v>
      </c>
      <c r="C5861" s="86" t="s">
        <v>144</v>
      </c>
      <c r="D5861" s="86" t="s">
        <v>161</v>
      </c>
      <c r="E5861" s="86" t="s">
        <v>3001</v>
      </c>
      <c r="F5861" s="86" t="s">
        <v>3002</v>
      </c>
      <c r="G5861" s="86" t="s">
        <v>3001</v>
      </c>
      <c r="H5861" s="144">
        <v>22</v>
      </c>
      <c r="I5861" s="86" t="s">
        <v>2935</v>
      </c>
      <c r="J5861" s="1" t="s">
        <v>3302</v>
      </c>
      <c r="K5861" s="1" t="s">
        <v>3371</v>
      </c>
      <c r="L5861" s="1" t="s">
        <v>35</v>
      </c>
      <c r="M5861" s="86" t="s">
        <v>3003</v>
      </c>
      <c r="O5861" s="47" t="s">
        <v>410</v>
      </c>
      <c r="P5861" s="47" t="s">
        <v>46</v>
      </c>
      <c r="Q5861" s="14">
        <v>0.02</v>
      </c>
      <c r="R5861" s="143">
        <v>243732</v>
      </c>
      <c r="S5861" s="47"/>
      <c r="T5861" s="6">
        <v>12015.5</v>
      </c>
      <c r="U5861" s="6">
        <v>5100</v>
      </c>
      <c r="V5861" s="6">
        <v>14876.58</v>
      </c>
      <c r="W5861" s="6">
        <f t="shared" si="909"/>
        <v>2238.92</v>
      </c>
      <c r="X5861" s="6">
        <f t="shared" si="910"/>
        <v>14584.882352941177</v>
      </c>
      <c r="Y5861" s="13">
        <f t="shared" si="914"/>
        <v>0</v>
      </c>
      <c r="Z5861" s="66">
        <v>0</v>
      </c>
      <c r="AA5861" s="6">
        <v>0</v>
      </c>
      <c r="AB5861" s="4">
        <f t="shared" si="915"/>
        <v>14584.882352941177</v>
      </c>
      <c r="AC5861" s="6">
        <f t="shared" si="913"/>
        <v>291.69764705882335</v>
      </c>
      <c r="AD5861" s="6">
        <f t="shared" si="911"/>
        <v>14876.58</v>
      </c>
      <c r="AE5861" s="14">
        <f>VLOOKUP(I5861,[2]媒体政策预估表!A:N,MATCH(O5861,[2]媒体政策预估表!$A$2:$M$2,0),0)</f>
        <v>0.10299999999999999</v>
      </c>
      <c r="AF5861" s="6">
        <f t="shared" si="917"/>
        <v>1532.28774</v>
      </c>
      <c r="AG5861" s="14">
        <v>0</v>
      </c>
      <c r="AH5861" s="99">
        <f t="shared" si="912"/>
        <v>14876.58</v>
      </c>
      <c r="AI5861" s="47"/>
      <c r="AJ5861" s="126" t="e">
        <v>#N/A</v>
      </c>
      <c r="AK5861" s="80">
        <f t="shared" si="916"/>
        <v>0</v>
      </c>
      <c r="AL5861" s="85"/>
      <c r="AM5861" s="85"/>
    </row>
    <row r="5862" spans="1:39" s="86" customFormat="1" ht="13.25" hidden="1" customHeight="1" x14ac:dyDescent="0.3">
      <c r="A5862" s="89" t="s">
        <v>3792</v>
      </c>
      <c r="B5862" s="86" t="s">
        <v>35</v>
      </c>
      <c r="C5862" s="86" t="s">
        <v>144</v>
      </c>
      <c r="D5862" s="86" t="s">
        <v>161</v>
      </c>
      <c r="E5862" s="86" t="s">
        <v>1935</v>
      </c>
      <c r="F5862" s="86" t="s">
        <v>1935</v>
      </c>
      <c r="G5862" s="86" t="s">
        <v>1935</v>
      </c>
      <c r="H5862" s="144">
        <v>22</v>
      </c>
      <c r="I5862" s="86" t="s">
        <v>2935</v>
      </c>
      <c r="J5862" s="1" t="s">
        <v>3302</v>
      </c>
      <c r="K5862" s="1" t="s">
        <v>3371</v>
      </c>
      <c r="L5862" s="1" t="s">
        <v>35</v>
      </c>
      <c r="M5862" s="86" t="s">
        <v>1935</v>
      </c>
      <c r="O5862" s="47" t="s">
        <v>410</v>
      </c>
      <c r="P5862" s="47" t="s">
        <v>41</v>
      </c>
      <c r="Q5862" s="14">
        <v>0</v>
      </c>
      <c r="R5862" s="143">
        <v>66232</v>
      </c>
      <c r="S5862" s="47"/>
      <c r="T5862" s="6">
        <v>50627.790000000008</v>
      </c>
      <c r="U5862" s="6">
        <v>30000</v>
      </c>
      <c r="V5862" s="6">
        <v>48690</v>
      </c>
      <c r="W5862" s="6">
        <f t="shared" si="909"/>
        <v>31937.790000000008</v>
      </c>
      <c r="X5862" s="6">
        <f t="shared" si="910"/>
        <v>48690</v>
      </c>
      <c r="Y5862" s="13">
        <f t="shared" si="914"/>
        <v>0</v>
      </c>
      <c r="Z5862" s="66">
        <v>0</v>
      </c>
      <c r="AA5862" s="6">
        <v>0</v>
      </c>
      <c r="AB5862" s="4">
        <f t="shared" si="915"/>
        <v>48690</v>
      </c>
      <c r="AC5862" s="6">
        <f t="shared" si="913"/>
        <v>0</v>
      </c>
      <c r="AD5862" s="6">
        <f t="shared" si="911"/>
        <v>48690</v>
      </c>
      <c r="AE5862" s="14">
        <f>VLOOKUP(I5862,[2]媒体政策预估表!A:N,MATCH(O5862,[2]媒体政策预估表!$A$2:$M$2,0),0)</f>
        <v>0.10299999999999999</v>
      </c>
      <c r="AF5862" s="6">
        <f t="shared" si="917"/>
        <v>5015.07</v>
      </c>
      <c r="AG5862" s="14">
        <v>0</v>
      </c>
      <c r="AH5862" s="99">
        <f t="shared" si="912"/>
        <v>48690</v>
      </c>
      <c r="AI5862" s="47"/>
      <c r="AJ5862" s="126" t="e">
        <v>#N/A</v>
      </c>
      <c r="AK5862" s="80">
        <f t="shared" si="916"/>
        <v>0</v>
      </c>
      <c r="AL5862" s="85"/>
      <c r="AM5862" s="85"/>
    </row>
    <row r="5863" spans="1:39" s="86" customFormat="1" ht="13.25" hidden="1" customHeight="1" x14ac:dyDescent="0.3">
      <c r="A5863" s="89" t="s">
        <v>3806</v>
      </c>
      <c r="B5863" s="86" t="s">
        <v>35</v>
      </c>
      <c r="C5863" s="86" t="s">
        <v>164</v>
      </c>
      <c r="D5863" s="86" t="s">
        <v>3407</v>
      </c>
      <c r="E5863" s="86" t="s">
        <v>182</v>
      </c>
      <c r="F5863" s="86" t="s">
        <v>183</v>
      </c>
      <c r="G5863" s="86" t="s">
        <v>182</v>
      </c>
      <c r="H5863" s="144">
        <v>22</v>
      </c>
      <c r="I5863" s="86" t="s">
        <v>2935</v>
      </c>
      <c r="J5863" s="1" t="s">
        <v>3302</v>
      </c>
      <c r="K5863" s="1" t="s">
        <v>3371</v>
      </c>
      <c r="L5863" s="1" t="s">
        <v>35</v>
      </c>
      <c r="M5863" s="86" t="s">
        <v>1832</v>
      </c>
      <c r="O5863" s="47" t="s">
        <v>410</v>
      </c>
      <c r="P5863" s="47" t="s">
        <v>41</v>
      </c>
      <c r="Q5863" s="14">
        <v>0</v>
      </c>
      <c r="R5863" s="143">
        <v>16472</v>
      </c>
      <c r="S5863" s="47"/>
      <c r="T5863" s="6">
        <v>259787.84</v>
      </c>
      <c r="U5863" s="6">
        <v>196000</v>
      </c>
      <c r="V5863" s="6">
        <v>50495.07</v>
      </c>
      <c r="W5863" s="6">
        <f t="shared" si="909"/>
        <v>405292.76999999996</v>
      </c>
      <c r="X5863" s="6">
        <f t="shared" si="910"/>
        <v>50495.07</v>
      </c>
      <c r="Y5863" s="13">
        <f t="shared" si="914"/>
        <v>0</v>
      </c>
      <c r="Z5863" s="66">
        <v>0.02</v>
      </c>
      <c r="AA5863" s="6">
        <f>X5863/(1-Z5863)*Z5863</f>
        <v>1030.5116326530613</v>
      </c>
      <c r="AB5863" s="4">
        <f t="shared" si="915"/>
        <v>51525.581632653062</v>
      </c>
      <c r="AC5863" s="6">
        <f t="shared" si="913"/>
        <v>0</v>
      </c>
      <c r="AD5863" s="6">
        <f t="shared" si="911"/>
        <v>50495.07</v>
      </c>
      <c r="AE5863" s="14">
        <f>VLOOKUP(I5863,[2]媒体政策预估表!A:N,MATCH(O5863,[2]媒体政策预估表!$A$2:$M$2,0),0)</f>
        <v>0.10299999999999999</v>
      </c>
      <c r="AF5863" s="6">
        <f t="shared" si="917"/>
        <v>5200.9922099999994</v>
      </c>
      <c r="AG5863" s="14">
        <v>0</v>
      </c>
      <c r="AH5863" s="99">
        <f t="shared" si="912"/>
        <v>50495.07</v>
      </c>
      <c r="AI5863" s="47"/>
      <c r="AJ5863" s="126" t="e">
        <v>#N/A</v>
      </c>
      <c r="AK5863" s="80">
        <f t="shared" si="916"/>
        <v>0</v>
      </c>
      <c r="AL5863" s="85"/>
      <c r="AM5863" s="85"/>
    </row>
    <row r="5864" spans="1:39" s="86" customFormat="1" ht="13.25" hidden="1" customHeight="1" x14ac:dyDescent="0.3">
      <c r="A5864" s="89" t="s">
        <v>3794</v>
      </c>
      <c r="B5864" s="86" t="s">
        <v>35</v>
      </c>
      <c r="C5864" s="86" t="s">
        <v>164</v>
      </c>
      <c r="D5864" s="86" t="s">
        <v>3407</v>
      </c>
      <c r="E5864" s="86" t="s">
        <v>3069</v>
      </c>
      <c r="F5864" s="86" t="s">
        <v>3069</v>
      </c>
      <c r="G5864" s="86" t="s">
        <v>3069</v>
      </c>
      <c r="H5864" s="143">
        <v>22</v>
      </c>
      <c r="I5864" s="86" t="s">
        <v>2935</v>
      </c>
      <c r="J5864" s="1" t="s">
        <v>3302</v>
      </c>
      <c r="K5864" s="1" t="s">
        <v>3371</v>
      </c>
      <c r="L5864" s="1" t="s">
        <v>35</v>
      </c>
      <c r="M5864" s="86" t="s">
        <v>3070</v>
      </c>
      <c r="O5864" s="47" t="s">
        <v>410</v>
      </c>
      <c r="P5864" s="47" t="s">
        <v>46</v>
      </c>
      <c r="Q5864" s="14">
        <v>0.02</v>
      </c>
      <c r="R5864" s="143">
        <v>48782</v>
      </c>
      <c r="S5864" s="47"/>
      <c r="T5864" s="6">
        <v>609000</v>
      </c>
      <c r="U5864" s="6">
        <v>50000</v>
      </c>
      <c r="V5864" s="6">
        <v>0</v>
      </c>
      <c r="W5864" s="6">
        <f t="shared" si="909"/>
        <v>659000</v>
      </c>
      <c r="X5864" s="6">
        <f t="shared" si="910"/>
        <v>0</v>
      </c>
      <c r="Y5864" s="13">
        <f t="shared" si="914"/>
        <v>0</v>
      </c>
      <c r="Z5864" s="66">
        <v>0</v>
      </c>
      <c r="AA5864" s="6">
        <v>0</v>
      </c>
      <c r="AB5864" s="4">
        <f t="shared" si="915"/>
        <v>0</v>
      </c>
      <c r="AC5864" s="6">
        <f t="shared" si="913"/>
        <v>0</v>
      </c>
      <c r="AD5864" s="6">
        <f t="shared" si="911"/>
        <v>0</v>
      </c>
      <c r="AE5864" s="14">
        <f>VLOOKUP(I5864,[2]媒体政策预估表!A:N,MATCH(O5864,[2]媒体政策预估表!$A$2:$M$2,0),0)</f>
        <v>0.10299999999999999</v>
      </c>
      <c r="AF5864" s="6">
        <f t="shared" si="917"/>
        <v>0</v>
      </c>
      <c r="AG5864" s="14">
        <v>0</v>
      </c>
      <c r="AH5864" s="99">
        <f t="shared" si="912"/>
        <v>0</v>
      </c>
      <c r="AI5864" s="47"/>
      <c r="AJ5864" s="126" t="e">
        <v>#N/A</v>
      </c>
      <c r="AK5864" s="80">
        <f t="shared" si="916"/>
        <v>0</v>
      </c>
      <c r="AL5864" s="85"/>
      <c r="AM5864" s="85"/>
    </row>
    <row r="5865" spans="1:39" s="86" customFormat="1" ht="13.25" hidden="1" customHeight="1" x14ac:dyDescent="0.3">
      <c r="A5865" s="89" t="s">
        <v>3794</v>
      </c>
      <c r="B5865" s="86" t="s">
        <v>35</v>
      </c>
      <c r="C5865" s="86" t="s">
        <v>164</v>
      </c>
      <c r="D5865" s="86" t="s">
        <v>305</v>
      </c>
      <c r="E5865" s="86" t="s">
        <v>615</v>
      </c>
      <c r="F5865" s="86" t="s">
        <v>615</v>
      </c>
      <c r="G5865" s="86" t="s">
        <v>615</v>
      </c>
      <c r="H5865" s="144">
        <v>22</v>
      </c>
      <c r="I5865" s="86" t="s">
        <v>2935</v>
      </c>
      <c r="J5865" s="1" t="s">
        <v>3302</v>
      </c>
      <c r="K5865" s="1" t="s">
        <v>3371</v>
      </c>
      <c r="L5865" s="1" t="s">
        <v>35</v>
      </c>
      <c r="M5865" s="86" t="s">
        <v>616</v>
      </c>
      <c r="O5865" s="47" t="s">
        <v>410</v>
      </c>
      <c r="P5865" s="47" t="s">
        <v>46</v>
      </c>
      <c r="Q5865" s="14">
        <v>0.02</v>
      </c>
      <c r="R5865" s="143">
        <v>31572</v>
      </c>
      <c r="S5865" s="47"/>
      <c r="T5865" s="6">
        <v>97350.190000000177</v>
      </c>
      <c r="U5865" s="6">
        <v>1020000</v>
      </c>
      <c r="V5865" s="6">
        <v>591152.6</v>
      </c>
      <c r="W5865" s="6">
        <f t="shared" ref="W5865:W5928" si="918">T5865+U5865-V5865</f>
        <v>526197.5900000002</v>
      </c>
      <c r="X5865" s="6">
        <f t="shared" ref="X5865:X5928" si="919">IF(P5865="折扣",V5865*Q5865,IF(P5865="返现",V5865,V5865/(1+Q5865)))</f>
        <v>579561.37254901952</v>
      </c>
      <c r="Y5865" s="13">
        <f t="shared" si="914"/>
        <v>0</v>
      </c>
      <c r="Z5865" s="66">
        <v>0</v>
      </c>
      <c r="AA5865" s="6">
        <v>0</v>
      </c>
      <c r="AB5865" s="4">
        <f t="shared" si="915"/>
        <v>579561.37254901952</v>
      </c>
      <c r="AC5865" s="6">
        <f t="shared" si="913"/>
        <v>11591.227450980456</v>
      </c>
      <c r="AD5865" s="6">
        <f t="shared" ref="AD5865:AD5928" si="920">V5865</f>
        <v>591152.6</v>
      </c>
      <c r="AE5865" s="14">
        <f>VLOOKUP(I5865,[2]媒体政策预估表!A:N,MATCH(O5865,[2]媒体政策预估表!$A$2:$M$2,0),0)</f>
        <v>0.10299999999999999</v>
      </c>
      <c r="AF5865" s="6">
        <f t="shared" si="917"/>
        <v>60888.717799999991</v>
      </c>
      <c r="AG5865" s="14">
        <v>0</v>
      </c>
      <c r="AH5865" s="99">
        <f t="shared" ref="AH5865:AH5928" si="921">V5865</f>
        <v>591152.6</v>
      </c>
      <c r="AI5865" s="47"/>
      <c r="AJ5865" s="126" t="e">
        <v>#N/A</v>
      </c>
      <c r="AK5865" s="80">
        <f t="shared" si="916"/>
        <v>0</v>
      </c>
      <c r="AL5865" s="85"/>
      <c r="AM5865" s="85"/>
    </row>
    <row r="5866" spans="1:39" s="86" customFormat="1" ht="13.25" hidden="1" customHeight="1" x14ac:dyDescent="0.3">
      <c r="A5866" s="89" t="s">
        <v>3852</v>
      </c>
      <c r="B5866" s="86" t="s">
        <v>35</v>
      </c>
      <c r="C5866" s="86" t="s">
        <v>164</v>
      </c>
      <c r="D5866" s="86" t="s">
        <v>305</v>
      </c>
      <c r="E5866" s="86" t="s">
        <v>2129</v>
      </c>
      <c r="F5866" s="86" t="s">
        <v>2129</v>
      </c>
      <c r="G5866" s="86" t="s">
        <v>2129</v>
      </c>
      <c r="H5866" s="144">
        <v>22</v>
      </c>
      <c r="I5866" s="86" t="s">
        <v>2935</v>
      </c>
      <c r="J5866" s="1" t="s">
        <v>3302</v>
      </c>
      <c r="K5866" s="1" t="s">
        <v>3371</v>
      </c>
      <c r="L5866" s="1" t="s">
        <v>35</v>
      </c>
      <c r="M5866" s="86" t="s">
        <v>1539</v>
      </c>
      <c r="O5866" s="47" t="s">
        <v>410</v>
      </c>
      <c r="P5866" s="47" t="s">
        <v>41</v>
      </c>
      <c r="Q5866" s="14">
        <v>0</v>
      </c>
      <c r="R5866" s="143">
        <v>20182</v>
      </c>
      <c r="S5866" s="47"/>
      <c r="T5866" s="6">
        <v>3004895.7399999998</v>
      </c>
      <c r="U5866" s="6">
        <v>1600000</v>
      </c>
      <c r="V5866" s="6">
        <v>1565939.09</v>
      </c>
      <c r="W5866" s="6">
        <f t="shared" si="918"/>
        <v>3038956.6500000004</v>
      </c>
      <c r="X5866" s="6">
        <f t="shared" si="919"/>
        <v>1565939.09</v>
      </c>
      <c r="Y5866" s="13">
        <f t="shared" si="914"/>
        <v>0</v>
      </c>
      <c r="Z5866" s="66">
        <v>0</v>
      </c>
      <c r="AA5866" s="6">
        <v>0</v>
      </c>
      <c r="AB5866" s="4">
        <f t="shared" si="915"/>
        <v>1565939.09</v>
      </c>
      <c r="AC5866" s="6">
        <f t="shared" si="913"/>
        <v>0</v>
      </c>
      <c r="AD5866" s="6">
        <f t="shared" si="920"/>
        <v>1565939.09</v>
      </c>
      <c r="AE5866" s="14">
        <f>VLOOKUP(I5866,[2]媒体政策预估表!A:N,MATCH(O5866,[2]媒体政策预估表!$A$2:$M$2,0),0)</f>
        <v>0.10299999999999999</v>
      </c>
      <c r="AF5866" s="6">
        <f t="shared" si="917"/>
        <v>161291.72627000001</v>
      </c>
      <c r="AG5866" s="14">
        <v>0</v>
      </c>
      <c r="AH5866" s="99">
        <f t="shared" si="921"/>
        <v>1565939.09</v>
      </c>
      <c r="AI5866" s="47"/>
      <c r="AJ5866" s="126" t="e">
        <v>#N/A</v>
      </c>
      <c r="AK5866" s="80">
        <f t="shared" si="916"/>
        <v>0</v>
      </c>
      <c r="AL5866" s="85"/>
      <c r="AM5866" s="85"/>
    </row>
    <row r="5867" spans="1:39" s="86" customFormat="1" ht="13.25" hidden="1" customHeight="1" x14ac:dyDescent="0.3">
      <c r="A5867" s="89" t="s">
        <v>3852</v>
      </c>
      <c r="B5867" s="86" t="s">
        <v>35</v>
      </c>
      <c r="C5867" s="86" t="s">
        <v>164</v>
      </c>
      <c r="D5867" s="86" t="s">
        <v>305</v>
      </c>
      <c r="E5867" s="86" t="s">
        <v>3594</v>
      </c>
      <c r="F5867" s="86" t="s">
        <v>3594</v>
      </c>
      <c r="G5867" s="86" t="s">
        <v>3669</v>
      </c>
      <c r="H5867" s="144">
        <v>22</v>
      </c>
      <c r="I5867" s="86" t="s">
        <v>2935</v>
      </c>
      <c r="J5867" s="1" t="s">
        <v>3302</v>
      </c>
      <c r="K5867" s="1" t="s">
        <v>3371</v>
      </c>
      <c r="L5867" s="1" t="s">
        <v>35</v>
      </c>
      <c r="M5867" s="86" t="s">
        <v>3595</v>
      </c>
      <c r="O5867" s="47" t="s">
        <v>410</v>
      </c>
      <c r="P5867" s="47" t="s">
        <v>41</v>
      </c>
      <c r="Q5867" s="14">
        <v>0</v>
      </c>
      <c r="R5867" s="143">
        <v>177562</v>
      </c>
      <c r="S5867" s="47"/>
      <c r="T5867" s="6">
        <v>9000</v>
      </c>
      <c r="U5867" s="6">
        <v>60000</v>
      </c>
      <c r="V5867" s="6">
        <v>50688.02</v>
      </c>
      <c r="W5867" s="6">
        <f t="shared" si="918"/>
        <v>18311.980000000003</v>
      </c>
      <c r="X5867" s="6">
        <f t="shared" si="919"/>
        <v>50688.02</v>
      </c>
      <c r="Y5867" s="13">
        <f t="shared" si="914"/>
        <v>0</v>
      </c>
      <c r="Z5867" s="66">
        <v>0</v>
      </c>
      <c r="AA5867" s="6">
        <v>0</v>
      </c>
      <c r="AB5867" s="4">
        <f t="shared" si="915"/>
        <v>50688.02</v>
      </c>
      <c r="AC5867" s="6">
        <f t="shared" si="913"/>
        <v>0</v>
      </c>
      <c r="AD5867" s="6">
        <f t="shared" si="920"/>
        <v>50688.02</v>
      </c>
      <c r="AE5867" s="14">
        <f>VLOOKUP(I5867,[2]媒体政策预估表!A:N,MATCH(O5867,[2]媒体政策预估表!$A$2:$M$2,0),0)</f>
        <v>0.10299999999999999</v>
      </c>
      <c r="AF5867" s="6">
        <f t="shared" si="917"/>
        <v>5220.8660599999994</v>
      </c>
      <c r="AG5867" s="14">
        <v>0</v>
      </c>
      <c r="AH5867" s="99">
        <f t="shared" si="921"/>
        <v>50688.02</v>
      </c>
      <c r="AI5867" s="47"/>
      <c r="AJ5867" s="126" t="e">
        <v>#N/A</v>
      </c>
      <c r="AK5867" s="80">
        <f t="shared" si="916"/>
        <v>0</v>
      </c>
      <c r="AL5867" s="85"/>
      <c r="AM5867" s="85"/>
    </row>
    <row r="5868" spans="1:39" s="86" customFormat="1" ht="13.25" hidden="1" customHeight="1" x14ac:dyDescent="0.3">
      <c r="A5868" s="89" t="s">
        <v>3852</v>
      </c>
      <c r="B5868" s="86" t="s">
        <v>35</v>
      </c>
      <c r="C5868" s="86" t="s">
        <v>164</v>
      </c>
      <c r="D5868" s="86" t="s">
        <v>305</v>
      </c>
      <c r="E5868" s="86" t="s">
        <v>3819</v>
      </c>
      <c r="F5868" s="86" t="s">
        <v>3005</v>
      </c>
      <c r="G5868" s="86" t="s">
        <v>3006</v>
      </c>
      <c r="H5868" s="144">
        <v>22</v>
      </c>
      <c r="I5868" s="86" t="s">
        <v>2935</v>
      </c>
      <c r="J5868" s="1" t="s">
        <v>3302</v>
      </c>
      <c r="K5868" s="1" t="s">
        <v>3371</v>
      </c>
      <c r="L5868" s="1" t="s">
        <v>35</v>
      </c>
      <c r="M5868" s="86" t="s">
        <v>3007</v>
      </c>
      <c r="O5868" s="47" t="s">
        <v>410</v>
      </c>
      <c r="P5868" s="47" t="s">
        <v>46</v>
      </c>
      <c r="Q5868" s="14">
        <v>0.01</v>
      </c>
      <c r="R5868" s="143">
        <v>15032</v>
      </c>
      <c r="S5868" s="47"/>
      <c r="T5868" s="6">
        <v>385486.7699999999</v>
      </c>
      <c r="U5868" s="6">
        <v>361950</v>
      </c>
      <c r="V5868" s="6">
        <v>629587.21</v>
      </c>
      <c r="W5868" s="6">
        <f t="shared" si="918"/>
        <v>117849.55999999994</v>
      </c>
      <c r="X5868" s="6">
        <f t="shared" si="919"/>
        <v>623353.67326732667</v>
      </c>
      <c r="Y5868" s="13">
        <f t="shared" si="914"/>
        <v>0</v>
      </c>
      <c r="Z5868" s="66">
        <v>0</v>
      </c>
      <c r="AA5868" s="6">
        <v>0</v>
      </c>
      <c r="AB5868" s="4">
        <f t="shared" si="915"/>
        <v>623353.67326732667</v>
      </c>
      <c r="AC5868" s="6">
        <f t="shared" si="913"/>
        <v>6233.5367326732958</v>
      </c>
      <c r="AD5868" s="6">
        <f t="shared" si="920"/>
        <v>629587.21</v>
      </c>
      <c r="AE5868" s="14">
        <f>VLOOKUP(I5868,[2]媒体政策预估表!A:N,MATCH(O5868,[2]媒体政策预估表!$A$2:$M$2,0),0)</f>
        <v>0.10299999999999999</v>
      </c>
      <c r="AF5868" s="6">
        <f t="shared" si="917"/>
        <v>64847.482629999991</v>
      </c>
      <c r="AG5868" s="14">
        <v>0</v>
      </c>
      <c r="AH5868" s="99">
        <f t="shared" si="921"/>
        <v>629587.21</v>
      </c>
      <c r="AI5868" s="47"/>
      <c r="AJ5868" s="126" t="e">
        <v>#N/A</v>
      </c>
      <c r="AK5868" s="80">
        <f t="shared" si="916"/>
        <v>0</v>
      </c>
      <c r="AL5868" s="85"/>
      <c r="AM5868" s="85"/>
    </row>
    <row r="5869" spans="1:39" s="86" customFormat="1" ht="13.25" hidden="1" customHeight="1" x14ac:dyDescent="0.3">
      <c r="A5869" s="89" t="s">
        <v>3792</v>
      </c>
      <c r="B5869" s="86" t="s">
        <v>35</v>
      </c>
      <c r="C5869" s="86" t="s">
        <v>164</v>
      </c>
      <c r="D5869" s="86" t="s">
        <v>305</v>
      </c>
      <c r="E5869" s="86" t="s">
        <v>2805</v>
      </c>
      <c r="F5869" s="86" t="s">
        <v>2805</v>
      </c>
      <c r="G5869" s="86" t="s">
        <v>2805</v>
      </c>
      <c r="H5869" s="144">
        <v>22</v>
      </c>
      <c r="I5869" s="86" t="s">
        <v>2935</v>
      </c>
      <c r="J5869" s="1" t="s">
        <v>3302</v>
      </c>
      <c r="K5869" s="1" t="s">
        <v>3371</v>
      </c>
      <c r="L5869" s="1" t="s">
        <v>35</v>
      </c>
      <c r="M5869" s="86" t="s">
        <v>3009</v>
      </c>
      <c r="O5869" s="47" t="s">
        <v>410</v>
      </c>
      <c r="P5869" s="47" t="s">
        <v>41</v>
      </c>
      <c r="Q5869" s="14">
        <v>0</v>
      </c>
      <c r="R5869" s="143">
        <v>173832</v>
      </c>
      <c r="S5869" s="47"/>
      <c r="T5869" s="6">
        <v>35575.64</v>
      </c>
      <c r="U5869" s="6">
        <v>50000</v>
      </c>
      <c r="V5869" s="6">
        <v>58213.46</v>
      </c>
      <c r="W5869" s="6">
        <f t="shared" si="918"/>
        <v>27362.18</v>
      </c>
      <c r="X5869" s="6">
        <f t="shared" si="919"/>
        <v>58213.46</v>
      </c>
      <c r="Y5869" s="13">
        <f t="shared" si="914"/>
        <v>0</v>
      </c>
      <c r="Z5869" s="66">
        <v>0</v>
      </c>
      <c r="AA5869" s="6">
        <v>0</v>
      </c>
      <c r="AB5869" s="4">
        <f t="shared" si="915"/>
        <v>58213.46</v>
      </c>
      <c r="AC5869" s="6">
        <f t="shared" si="913"/>
        <v>0</v>
      </c>
      <c r="AD5869" s="6">
        <f t="shared" si="920"/>
        <v>58213.46</v>
      </c>
      <c r="AE5869" s="14">
        <f>VLOOKUP(I5869,[2]媒体政策预估表!A:N,MATCH(O5869,[2]媒体政策预估表!$A$2:$M$2,0),0)</f>
        <v>0.10299999999999999</v>
      </c>
      <c r="AF5869" s="6">
        <f t="shared" si="917"/>
        <v>5995.9863799999994</v>
      </c>
      <c r="AG5869" s="14">
        <v>0</v>
      </c>
      <c r="AH5869" s="99">
        <f t="shared" si="921"/>
        <v>58213.46</v>
      </c>
      <c r="AI5869" s="47"/>
      <c r="AJ5869" s="126" t="e">
        <v>#N/A</v>
      </c>
      <c r="AK5869" s="80">
        <f t="shared" si="916"/>
        <v>0</v>
      </c>
      <c r="AL5869" s="85"/>
      <c r="AM5869" s="85"/>
    </row>
    <row r="5870" spans="1:39" s="86" customFormat="1" ht="13.25" hidden="1" customHeight="1" x14ac:dyDescent="0.3">
      <c r="A5870" s="89" t="s">
        <v>3852</v>
      </c>
      <c r="B5870" s="86" t="s">
        <v>35</v>
      </c>
      <c r="C5870" s="86" t="s">
        <v>164</v>
      </c>
      <c r="D5870" s="86" t="s">
        <v>305</v>
      </c>
      <c r="E5870" s="86" t="s">
        <v>3875</v>
      </c>
      <c r="F5870" s="86" t="s">
        <v>3875</v>
      </c>
      <c r="G5870" s="86" t="s">
        <v>3875</v>
      </c>
      <c r="H5870" s="144">
        <v>22</v>
      </c>
      <c r="I5870" s="86" t="s">
        <v>2935</v>
      </c>
      <c r="J5870" s="1" t="s">
        <v>3302</v>
      </c>
      <c r="K5870" s="1" t="s">
        <v>3371</v>
      </c>
      <c r="L5870" s="1" t="s">
        <v>35</v>
      </c>
      <c r="M5870" s="86" t="s">
        <v>3875</v>
      </c>
      <c r="O5870" s="47" t="s">
        <v>410</v>
      </c>
      <c r="P5870" s="47" t="s">
        <v>46</v>
      </c>
      <c r="Q5870" s="14">
        <v>0.03</v>
      </c>
      <c r="R5870" s="143">
        <v>252132</v>
      </c>
      <c r="S5870" s="47"/>
      <c r="T5870" s="6">
        <v>0</v>
      </c>
      <c r="U5870" s="6">
        <v>10000</v>
      </c>
      <c r="V5870" s="6">
        <v>1300.94</v>
      </c>
      <c r="W5870" s="6">
        <f t="shared" si="918"/>
        <v>8699.06</v>
      </c>
      <c r="X5870" s="6">
        <f t="shared" si="919"/>
        <v>1263.0485436893205</v>
      </c>
      <c r="Y5870" s="13">
        <f t="shared" si="914"/>
        <v>0</v>
      </c>
      <c r="Z5870" s="66">
        <v>0</v>
      </c>
      <c r="AA5870" s="6">
        <v>0</v>
      </c>
      <c r="AB5870" s="4">
        <f t="shared" si="915"/>
        <v>1263.0485436893205</v>
      </c>
      <c r="AC5870" s="6">
        <f t="shared" si="913"/>
        <v>37.891456310679587</v>
      </c>
      <c r="AD5870" s="6">
        <f t="shared" si="920"/>
        <v>1300.94</v>
      </c>
      <c r="AE5870" s="14">
        <f>VLOOKUP(I5870,[2]媒体政策预估表!A:N,MATCH(O5870,[2]媒体政策预估表!$A$2:$M$2,0),0)</f>
        <v>0.10299999999999999</v>
      </c>
      <c r="AF5870" s="6">
        <f t="shared" si="917"/>
        <v>133.99681999999999</v>
      </c>
      <c r="AG5870" s="14">
        <v>0</v>
      </c>
      <c r="AH5870" s="99">
        <f t="shared" si="921"/>
        <v>1300.94</v>
      </c>
      <c r="AI5870" s="47"/>
      <c r="AJ5870" s="126" t="e">
        <v>#N/A</v>
      </c>
      <c r="AK5870" s="80">
        <f t="shared" si="916"/>
        <v>0</v>
      </c>
      <c r="AL5870" s="85"/>
      <c r="AM5870" s="85"/>
    </row>
    <row r="5871" spans="1:39" s="86" customFormat="1" ht="13.25" hidden="1" customHeight="1" x14ac:dyDescent="0.3">
      <c r="A5871" s="89" t="s">
        <v>3852</v>
      </c>
      <c r="B5871" s="86" t="s">
        <v>35</v>
      </c>
      <c r="C5871" s="86" t="s">
        <v>164</v>
      </c>
      <c r="D5871" s="86" t="s">
        <v>305</v>
      </c>
      <c r="E5871" s="86" t="s">
        <v>2806</v>
      </c>
      <c r="F5871" s="86" t="s">
        <v>2806</v>
      </c>
      <c r="G5871" s="86" t="s">
        <v>2806</v>
      </c>
      <c r="H5871" s="144">
        <v>22</v>
      </c>
      <c r="I5871" s="86" t="s">
        <v>2935</v>
      </c>
      <c r="J5871" s="1" t="s">
        <v>3302</v>
      </c>
      <c r="K5871" s="1" t="s">
        <v>3371</v>
      </c>
      <c r="L5871" s="1" t="s">
        <v>35</v>
      </c>
      <c r="M5871" s="86" t="s">
        <v>3010</v>
      </c>
      <c r="O5871" s="47" t="s">
        <v>410</v>
      </c>
      <c r="P5871" s="47" t="s">
        <v>41</v>
      </c>
      <c r="Q5871" s="14">
        <v>0</v>
      </c>
      <c r="R5871" s="143">
        <v>19782</v>
      </c>
      <c r="S5871" s="47"/>
      <c r="T5871" s="6">
        <v>763703.9</v>
      </c>
      <c r="U5871" s="6">
        <v>200000</v>
      </c>
      <c r="V5871" s="6">
        <v>221265.69</v>
      </c>
      <c r="W5871" s="6">
        <f t="shared" si="918"/>
        <v>742438.21</v>
      </c>
      <c r="X5871" s="6">
        <f t="shared" si="919"/>
        <v>221265.69</v>
      </c>
      <c r="Y5871" s="13">
        <f t="shared" si="914"/>
        <v>0</v>
      </c>
      <c r="Z5871" s="66">
        <v>0</v>
      </c>
      <c r="AA5871" s="6">
        <v>0</v>
      </c>
      <c r="AB5871" s="4">
        <f t="shared" si="915"/>
        <v>221265.69</v>
      </c>
      <c r="AC5871" s="6">
        <f t="shared" si="913"/>
        <v>0</v>
      </c>
      <c r="AD5871" s="6">
        <f t="shared" si="920"/>
        <v>221265.69</v>
      </c>
      <c r="AE5871" s="14">
        <f>VLOOKUP(I5871,[2]媒体政策预估表!A:N,MATCH(O5871,[2]媒体政策预估表!$A$2:$M$2,0),0)</f>
        <v>0.10299999999999999</v>
      </c>
      <c r="AF5871" s="6">
        <f t="shared" si="917"/>
        <v>22790.36607</v>
      </c>
      <c r="AG5871" s="14">
        <v>0</v>
      </c>
      <c r="AH5871" s="99">
        <f t="shared" si="921"/>
        <v>221265.69</v>
      </c>
      <c r="AI5871" s="47"/>
      <c r="AJ5871" s="126" t="e">
        <v>#N/A</v>
      </c>
      <c r="AK5871" s="80">
        <f t="shared" si="916"/>
        <v>0</v>
      </c>
      <c r="AL5871" s="85"/>
      <c r="AM5871" s="85"/>
    </row>
    <row r="5872" spans="1:39" s="86" customFormat="1" ht="13.25" hidden="1" customHeight="1" x14ac:dyDescent="0.3">
      <c r="A5872" s="89" t="s">
        <v>3852</v>
      </c>
      <c r="B5872" s="86" t="s">
        <v>35</v>
      </c>
      <c r="C5872" s="86" t="s">
        <v>164</v>
      </c>
      <c r="D5872" s="86" t="s">
        <v>169</v>
      </c>
      <c r="E5872" s="86" t="s">
        <v>3011</v>
      </c>
      <c r="F5872" s="86" t="s">
        <v>3011</v>
      </c>
      <c r="G5872" s="86" t="s">
        <v>3011</v>
      </c>
      <c r="H5872" s="144">
        <v>22</v>
      </c>
      <c r="I5872" s="86" t="s">
        <v>2935</v>
      </c>
      <c r="J5872" s="1" t="s">
        <v>3302</v>
      </c>
      <c r="K5872" s="1" t="s">
        <v>3371</v>
      </c>
      <c r="L5872" s="1" t="s">
        <v>35</v>
      </c>
      <c r="M5872" s="86" t="s">
        <v>3011</v>
      </c>
      <c r="O5872" s="47" t="s">
        <v>410</v>
      </c>
      <c r="P5872" s="47" t="s">
        <v>41</v>
      </c>
      <c r="Q5872" s="14">
        <v>0</v>
      </c>
      <c r="R5872" s="143">
        <v>51562</v>
      </c>
      <c r="S5872" s="47"/>
      <c r="T5872" s="6">
        <v>216907.15000000002</v>
      </c>
      <c r="U5872" s="6">
        <v>400000</v>
      </c>
      <c r="V5872" s="6">
        <v>274793.37</v>
      </c>
      <c r="W5872" s="6">
        <f t="shared" si="918"/>
        <v>342113.78</v>
      </c>
      <c r="X5872" s="6">
        <f t="shared" si="919"/>
        <v>274793.37</v>
      </c>
      <c r="Y5872" s="13">
        <f t="shared" si="914"/>
        <v>0</v>
      </c>
      <c r="Z5872" s="66">
        <v>0</v>
      </c>
      <c r="AA5872" s="6">
        <v>0</v>
      </c>
      <c r="AB5872" s="4">
        <f t="shared" si="915"/>
        <v>274793.37</v>
      </c>
      <c r="AC5872" s="6">
        <f t="shared" si="913"/>
        <v>0</v>
      </c>
      <c r="AD5872" s="6">
        <f t="shared" si="920"/>
        <v>274793.37</v>
      </c>
      <c r="AE5872" s="14">
        <f>VLOOKUP(I5872,[2]媒体政策预估表!A:N,MATCH(O5872,[2]媒体政策预估表!$A$2:$M$2,0),0)</f>
        <v>0.10299999999999999</v>
      </c>
      <c r="AF5872" s="6">
        <f t="shared" si="917"/>
        <v>28303.717109999998</v>
      </c>
      <c r="AG5872" s="14">
        <v>0</v>
      </c>
      <c r="AH5872" s="99">
        <f t="shared" si="921"/>
        <v>274793.37</v>
      </c>
      <c r="AI5872" s="47"/>
      <c r="AJ5872" s="126" t="e">
        <v>#N/A</v>
      </c>
      <c r="AK5872" s="80">
        <f t="shared" si="916"/>
        <v>0</v>
      </c>
      <c r="AL5872" s="85"/>
      <c r="AM5872" s="85"/>
    </row>
    <row r="5873" spans="1:39" s="86" customFormat="1" ht="13.25" hidden="1" customHeight="1" x14ac:dyDescent="0.3">
      <c r="A5873" s="89" t="s">
        <v>3852</v>
      </c>
      <c r="B5873" s="86" t="s">
        <v>35</v>
      </c>
      <c r="C5873" s="86" t="s">
        <v>164</v>
      </c>
      <c r="D5873" s="86" t="s">
        <v>169</v>
      </c>
      <c r="E5873" s="86" t="s">
        <v>628</v>
      </c>
      <c r="F5873" s="86" t="s">
        <v>628</v>
      </c>
      <c r="G5873" s="86" t="s">
        <v>628</v>
      </c>
      <c r="H5873" s="144">
        <v>22</v>
      </c>
      <c r="I5873" s="86" t="s">
        <v>2935</v>
      </c>
      <c r="J5873" s="1" t="s">
        <v>3302</v>
      </c>
      <c r="K5873" s="1" t="s">
        <v>3371</v>
      </c>
      <c r="L5873" s="1" t="s">
        <v>35</v>
      </c>
      <c r="M5873" s="86" t="s">
        <v>628</v>
      </c>
      <c r="O5873" s="47" t="s">
        <v>410</v>
      </c>
      <c r="P5873" s="47" t="s">
        <v>46</v>
      </c>
      <c r="Q5873" s="14">
        <v>0.06</v>
      </c>
      <c r="R5873" s="143">
        <v>46582</v>
      </c>
      <c r="S5873" s="47"/>
      <c r="T5873" s="6">
        <v>503633.05999999866</v>
      </c>
      <c r="U5873" s="6">
        <v>5300000</v>
      </c>
      <c r="V5873" s="6">
        <v>5508760.5700000003</v>
      </c>
      <c r="W5873" s="6">
        <f t="shared" si="918"/>
        <v>294872.48999999836</v>
      </c>
      <c r="X5873" s="6">
        <f t="shared" si="919"/>
        <v>5196943.9339622641</v>
      </c>
      <c r="Y5873" s="13">
        <f t="shared" si="914"/>
        <v>0</v>
      </c>
      <c r="Z5873" s="66">
        <v>0</v>
      </c>
      <c r="AA5873" s="6">
        <v>0</v>
      </c>
      <c r="AB5873" s="4">
        <f t="shared" si="915"/>
        <v>5196943.9339622641</v>
      </c>
      <c r="AC5873" s="6">
        <f t="shared" si="913"/>
        <v>311816.6360377362</v>
      </c>
      <c r="AD5873" s="6">
        <f t="shared" si="920"/>
        <v>5508760.5700000003</v>
      </c>
      <c r="AE5873" s="14">
        <f>VLOOKUP(I5873,[2]媒体政策预估表!A:N,MATCH(O5873,[2]媒体政策预估表!$A$2:$M$2,0),0)</f>
        <v>0.10299999999999999</v>
      </c>
      <c r="AF5873" s="6">
        <f t="shared" si="917"/>
        <v>567402.33871000004</v>
      </c>
      <c r="AG5873" s="14">
        <v>0</v>
      </c>
      <c r="AH5873" s="99">
        <f t="shared" si="921"/>
        <v>5508760.5700000003</v>
      </c>
      <c r="AI5873" s="47"/>
      <c r="AJ5873" s="126" t="e">
        <v>#N/A</v>
      </c>
      <c r="AK5873" s="80">
        <f t="shared" si="916"/>
        <v>0</v>
      </c>
      <c r="AL5873" s="85"/>
      <c r="AM5873" s="85"/>
    </row>
    <row r="5874" spans="1:39" s="86" customFormat="1" ht="13.25" hidden="1" customHeight="1" x14ac:dyDescent="0.3">
      <c r="A5874" s="89" t="s">
        <v>3852</v>
      </c>
      <c r="B5874" s="86" t="s">
        <v>35</v>
      </c>
      <c r="C5874" s="86" t="s">
        <v>164</v>
      </c>
      <c r="D5874" s="86" t="s">
        <v>174</v>
      </c>
      <c r="E5874" s="86" t="s">
        <v>1283</v>
      </c>
      <c r="F5874" s="86" t="s">
        <v>3014</v>
      </c>
      <c r="G5874" s="86" t="s">
        <v>1283</v>
      </c>
      <c r="H5874" s="144">
        <v>22</v>
      </c>
      <c r="I5874" s="86" t="s">
        <v>2935</v>
      </c>
      <c r="J5874" s="1" t="s">
        <v>3302</v>
      </c>
      <c r="K5874" s="1" t="s">
        <v>3371</v>
      </c>
      <c r="L5874" s="1" t="s">
        <v>35</v>
      </c>
      <c r="M5874" s="86" t="s">
        <v>3015</v>
      </c>
      <c r="O5874" s="47" t="s">
        <v>410</v>
      </c>
      <c r="P5874" s="47" t="s">
        <v>41</v>
      </c>
      <c r="Q5874" s="14">
        <v>0</v>
      </c>
      <c r="R5874" s="143">
        <v>174222</v>
      </c>
      <c r="S5874" s="47"/>
      <c r="T5874" s="6">
        <v>130278.38999999998</v>
      </c>
      <c r="U5874" s="6">
        <v>200000</v>
      </c>
      <c r="V5874" s="6">
        <v>131818.15</v>
      </c>
      <c r="W5874" s="6">
        <f t="shared" si="918"/>
        <v>198460.24000000002</v>
      </c>
      <c r="X5874" s="6">
        <f t="shared" si="919"/>
        <v>131818.15</v>
      </c>
      <c r="Y5874" s="13">
        <f t="shared" si="914"/>
        <v>0</v>
      </c>
      <c r="Z5874" s="66">
        <v>0</v>
      </c>
      <c r="AA5874" s="6">
        <v>0</v>
      </c>
      <c r="AB5874" s="4">
        <f t="shared" si="915"/>
        <v>131818.15</v>
      </c>
      <c r="AC5874" s="6">
        <f t="shared" si="913"/>
        <v>0</v>
      </c>
      <c r="AD5874" s="6">
        <f t="shared" si="920"/>
        <v>131818.15</v>
      </c>
      <c r="AE5874" s="14">
        <f>VLOOKUP(I5874,[2]媒体政策预估表!A:N,MATCH(O5874,[2]媒体政策预估表!$A$2:$M$2,0),0)</f>
        <v>0.10299999999999999</v>
      </c>
      <c r="AF5874" s="6">
        <f t="shared" si="917"/>
        <v>13577.269449999998</v>
      </c>
      <c r="AG5874" s="14">
        <v>0</v>
      </c>
      <c r="AH5874" s="99">
        <f t="shared" si="921"/>
        <v>131818.15</v>
      </c>
      <c r="AI5874" s="47"/>
      <c r="AJ5874" s="126" t="e">
        <v>#N/A</v>
      </c>
      <c r="AK5874" s="80">
        <f t="shared" si="916"/>
        <v>0</v>
      </c>
      <c r="AL5874" s="85"/>
      <c r="AM5874" s="85"/>
    </row>
    <row r="5875" spans="1:39" s="86" customFormat="1" ht="13.25" hidden="1" customHeight="1" x14ac:dyDescent="0.3">
      <c r="A5875" s="89" t="s">
        <v>3852</v>
      </c>
      <c r="B5875" s="86" t="s">
        <v>35</v>
      </c>
      <c r="C5875" s="86" t="s">
        <v>164</v>
      </c>
      <c r="D5875" s="86" t="s">
        <v>174</v>
      </c>
      <c r="E5875" s="86" t="s">
        <v>3016</v>
      </c>
      <c r="F5875" s="86" t="s">
        <v>3016</v>
      </c>
      <c r="G5875" s="86" t="s">
        <v>3016</v>
      </c>
      <c r="H5875" s="144">
        <v>22</v>
      </c>
      <c r="I5875" s="86" t="s">
        <v>2935</v>
      </c>
      <c r="J5875" s="1" t="s">
        <v>3302</v>
      </c>
      <c r="K5875" s="1" t="s">
        <v>3371</v>
      </c>
      <c r="L5875" s="1" t="s">
        <v>35</v>
      </c>
      <c r="M5875" s="86" t="s">
        <v>3016</v>
      </c>
      <c r="O5875" s="47" t="s">
        <v>410</v>
      </c>
      <c r="P5875" s="47" t="s">
        <v>41</v>
      </c>
      <c r="Q5875" s="14">
        <v>0</v>
      </c>
      <c r="R5875" s="143">
        <v>4672</v>
      </c>
      <c r="S5875" s="47"/>
      <c r="T5875" s="6">
        <v>151974.63999999996</v>
      </c>
      <c r="U5875" s="6">
        <v>200000</v>
      </c>
      <c r="V5875" s="6">
        <v>305933.25</v>
      </c>
      <c r="W5875" s="6">
        <f t="shared" si="918"/>
        <v>46041.389999999956</v>
      </c>
      <c r="X5875" s="6">
        <f t="shared" si="919"/>
        <v>305933.25</v>
      </c>
      <c r="Y5875" s="13">
        <f t="shared" si="914"/>
        <v>0</v>
      </c>
      <c r="Z5875" s="66">
        <v>0</v>
      </c>
      <c r="AA5875" s="6">
        <v>0</v>
      </c>
      <c r="AB5875" s="4">
        <f t="shared" si="915"/>
        <v>305933.25</v>
      </c>
      <c r="AC5875" s="6">
        <f t="shared" si="913"/>
        <v>0</v>
      </c>
      <c r="AD5875" s="6">
        <f t="shared" si="920"/>
        <v>305933.25</v>
      </c>
      <c r="AE5875" s="14">
        <f>VLOOKUP(I5875,[2]媒体政策预估表!A:N,MATCH(O5875,[2]媒体政策预估表!$A$2:$M$2,0),0)</f>
        <v>0.10299999999999999</v>
      </c>
      <c r="AF5875" s="6">
        <f t="shared" si="917"/>
        <v>31511.124749999999</v>
      </c>
      <c r="AG5875" s="14">
        <v>0</v>
      </c>
      <c r="AH5875" s="99">
        <f t="shared" si="921"/>
        <v>305933.25</v>
      </c>
      <c r="AI5875" s="47"/>
      <c r="AJ5875" s="126" t="e">
        <v>#N/A</v>
      </c>
      <c r="AK5875" s="80">
        <f t="shared" si="916"/>
        <v>0</v>
      </c>
      <c r="AL5875" s="85"/>
      <c r="AM5875" s="85"/>
    </row>
    <row r="5876" spans="1:39" s="86" customFormat="1" ht="13.25" hidden="1" customHeight="1" x14ac:dyDescent="0.3">
      <c r="A5876" s="89" t="s">
        <v>3852</v>
      </c>
      <c r="B5876" s="86" t="s">
        <v>35</v>
      </c>
      <c r="C5876" s="86" t="s">
        <v>164</v>
      </c>
      <c r="D5876" s="86" t="s">
        <v>174</v>
      </c>
      <c r="E5876" s="86" t="s">
        <v>1966</v>
      </c>
      <c r="F5876" s="86" t="s">
        <v>1966</v>
      </c>
      <c r="G5876" s="86" t="s">
        <v>1966</v>
      </c>
      <c r="H5876" s="144">
        <v>22</v>
      </c>
      <c r="I5876" s="86" t="s">
        <v>2935</v>
      </c>
      <c r="J5876" s="1" t="s">
        <v>3302</v>
      </c>
      <c r="K5876" s="1" t="s">
        <v>3371</v>
      </c>
      <c r="L5876" s="1" t="s">
        <v>35</v>
      </c>
      <c r="M5876" s="86" t="s">
        <v>3017</v>
      </c>
      <c r="O5876" s="47" t="s">
        <v>410</v>
      </c>
      <c r="P5876" s="47" t="s">
        <v>41</v>
      </c>
      <c r="Q5876" s="14">
        <v>0</v>
      </c>
      <c r="R5876" s="143">
        <v>215472</v>
      </c>
      <c r="S5876" s="47"/>
      <c r="T5876" s="6">
        <v>-323406.01000000007</v>
      </c>
      <c r="U5876" s="6">
        <v>400000</v>
      </c>
      <c r="V5876" s="6">
        <v>381486.14</v>
      </c>
      <c r="W5876" s="6">
        <f t="shared" si="918"/>
        <v>-304892.15000000008</v>
      </c>
      <c r="X5876" s="6">
        <f t="shared" si="919"/>
        <v>381486.14</v>
      </c>
      <c r="Y5876" s="13">
        <f t="shared" si="914"/>
        <v>0</v>
      </c>
      <c r="Z5876" s="66">
        <v>0</v>
      </c>
      <c r="AA5876" s="6">
        <v>0</v>
      </c>
      <c r="AB5876" s="4">
        <f t="shared" si="915"/>
        <v>381486.14</v>
      </c>
      <c r="AC5876" s="6">
        <f t="shared" si="913"/>
        <v>0</v>
      </c>
      <c r="AD5876" s="6">
        <f t="shared" si="920"/>
        <v>381486.14</v>
      </c>
      <c r="AE5876" s="14">
        <f>VLOOKUP(I5876,[2]媒体政策预估表!A:N,MATCH(O5876,[2]媒体政策预估表!$A$2:$M$2,0),0)</f>
        <v>0.10299999999999999</v>
      </c>
      <c r="AF5876" s="6">
        <f t="shared" si="917"/>
        <v>39293.072419999997</v>
      </c>
      <c r="AG5876" s="14">
        <v>0</v>
      </c>
      <c r="AH5876" s="99">
        <f t="shared" si="921"/>
        <v>381486.14</v>
      </c>
      <c r="AI5876" s="47"/>
      <c r="AJ5876" s="126" t="e">
        <v>#N/A</v>
      </c>
      <c r="AK5876" s="80">
        <f t="shared" si="916"/>
        <v>0</v>
      </c>
      <c r="AL5876" s="85"/>
      <c r="AM5876" s="85"/>
    </row>
    <row r="5877" spans="1:39" s="86" customFormat="1" ht="13.25" hidden="1" customHeight="1" x14ac:dyDescent="0.3">
      <c r="A5877" s="89" t="s">
        <v>3852</v>
      </c>
      <c r="B5877" s="86" t="s">
        <v>35</v>
      </c>
      <c r="C5877" s="86" t="s">
        <v>164</v>
      </c>
      <c r="D5877" s="86" t="s">
        <v>174</v>
      </c>
      <c r="E5877" s="86" t="s">
        <v>1966</v>
      </c>
      <c r="F5877" s="86" t="s">
        <v>1966</v>
      </c>
      <c r="G5877" s="86" t="s">
        <v>1966</v>
      </c>
      <c r="H5877" s="144">
        <v>22</v>
      </c>
      <c r="I5877" s="86" t="s">
        <v>2935</v>
      </c>
      <c r="J5877" s="1" t="s">
        <v>3302</v>
      </c>
      <c r="K5877" s="1" t="s">
        <v>3371</v>
      </c>
      <c r="L5877" s="1" t="s">
        <v>35</v>
      </c>
      <c r="M5877" s="86" t="s">
        <v>3052</v>
      </c>
      <c r="O5877" s="47" t="s">
        <v>410</v>
      </c>
      <c r="P5877" s="47" t="s">
        <v>41</v>
      </c>
      <c r="Q5877" s="14">
        <v>0</v>
      </c>
      <c r="R5877" s="143">
        <v>215482</v>
      </c>
      <c r="S5877" s="47"/>
      <c r="T5877" s="6">
        <v>25761.950000000012</v>
      </c>
      <c r="U5877" s="6">
        <v>350000</v>
      </c>
      <c r="V5877" s="6">
        <v>335357.45</v>
      </c>
      <c r="W5877" s="6">
        <f t="shared" si="918"/>
        <v>40404.5</v>
      </c>
      <c r="X5877" s="6">
        <f t="shared" si="919"/>
        <v>335357.45</v>
      </c>
      <c r="Y5877" s="13">
        <f t="shared" si="914"/>
        <v>0</v>
      </c>
      <c r="Z5877" s="66">
        <v>0</v>
      </c>
      <c r="AA5877" s="6">
        <v>0</v>
      </c>
      <c r="AB5877" s="4">
        <f t="shared" si="915"/>
        <v>335357.45</v>
      </c>
      <c r="AC5877" s="6">
        <f t="shared" si="913"/>
        <v>0</v>
      </c>
      <c r="AD5877" s="6">
        <f t="shared" si="920"/>
        <v>335357.45</v>
      </c>
      <c r="AE5877" s="14">
        <f>VLOOKUP(I5877,[2]媒体政策预估表!A:N,MATCH(O5877,[2]媒体政策预估表!$A$2:$M$2,0),0)</f>
        <v>0.10299999999999999</v>
      </c>
      <c r="AF5877" s="6">
        <f t="shared" si="917"/>
        <v>34541.817349999998</v>
      </c>
      <c r="AG5877" s="14">
        <v>0</v>
      </c>
      <c r="AH5877" s="99">
        <f t="shared" si="921"/>
        <v>335357.45</v>
      </c>
      <c r="AI5877" s="47"/>
      <c r="AJ5877" s="126" t="e">
        <v>#N/A</v>
      </c>
      <c r="AK5877" s="80">
        <f t="shared" si="916"/>
        <v>0</v>
      </c>
      <c r="AL5877" s="85"/>
      <c r="AM5877" s="85"/>
    </row>
    <row r="5878" spans="1:39" s="86" customFormat="1" ht="13.25" hidden="1" customHeight="1" x14ac:dyDescent="0.3">
      <c r="A5878" s="89" t="s">
        <v>3852</v>
      </c>
      <c r="B5878" s="86" t="s">
        <v>35</v>
      </c>
      <c r="C5878" s="86" t="s">
        <v>164</v>
      </c>
      <c r="D5878" s="86" t="s">
        <v>174</v>
      </c>
      <c r="E5878" s="86" t="s">
        <v>1966</v>
      </c>
      <c r="F5878" s="86" t="s">
        <v>1966</v>
      </c>
      <c r="G5878" s="86" t="s">
        <v>1966</v>
      </c>
      <c r="H5878" s="144">
        <v>22</v>
      </c>
      <c r="I5878" s="86" t="s">
        <v>2935</v>
      </c>
      <c r="J5878" s="1" t="s">
        <v>3302</v>
      </c>
      <c r="K5878" s="1" t="s">
        <v>3371</v>
      </c>
      <c r="L5878" s="1" t="s">
        <v>35</v>
      </c>
      <c r="M5878" s="86" t="s">
        <v>3018</v>
      </c>
      <c r="O5878" s="47" t="s">
        <v>410</v>
      </c>
      <c r="P5878" s="47" t="s">
        <v>41</v>
      </c>
      <c r="Q5878" s="14">
        <v>0</v>
      </c>
      <c r="R5878" s="143">
        <v>41722</v>
      </c>
      <c r="S5878" s="47"/>
      <c r="T5878" s="6">
        <v>322551.5399999998</v>
      </c>
      <c r="U5878" s="6">
        <v>50000</v>
      </c>
      <c r="V5878" s="6">
        <v>227436.72999999981</v>
      </c>
      <c r="W5878" s="6">
        <v>0</v>
      </c>
      <c r="X5878" s="6">
        <f t="shared" si="919"/>
        <v>227436.72999999981</v>
      </c>
      <c r="Y5878" s="13">
        <f t="shared" si="914"/>
        <v>0</v>
      </c>
      <c r="Z5878" s="66">
        <v>0</v>
      </c>
      <c r="AA5878" s="6">
        <v>0</v>
      </c>
      <c r="AB5878" s="4">
        <f t="shared" si="915"/>
        <v>227436.72999999981</v>
      </c>
      <c r="AC5878" s="6">
        <f t="shared" si="913"/>
        <v>0</v>
      </c>
      <c r="AD5878" s="6">
        <f t="shared" si="920"/>
        <v>227436.72999999981</v>
      </c>
      <c r="AE5878" s="14">
        <f>VLOOKUP(I5878,[2]媒体政策预估表!A:N,MATCH(O5878,[2]媒体政策预估表!$A$2:$M$2,0),0)</f>
        <v>0.10299999999999999</v>
      </c>
      <c r="AF5878" s="6">
        <f t="shared" si="917"/>
        <v>23425.983189999977</v>
      </c>
      <c r="AG5878" s="14">
        <v>0</v>
      </c>
      <c r="AH5878" s="99">
        <f t="shared" si="921"/>
        <v>227436.72999999981</v>
      </c>
      <c r="AI5878" s="47"/>
      <c r="AJ5878" s="126" t="e">
        <v>#N/A</v>
      </c>
      <c r="AK5878" s="80">
        <f t="shared" si="916"/>
        <v>0</v>
      </c>
      <c r="AL5878" s="85"/>
      <c r="AM5878" s="85"/>
    </row>
    <row r="5879" spans="1:39" s="86" customFormat="1" ht="13.25" hidden="1" customHeight="1" x14ac:dyDescent="0.3">
      <c r="A5879" s="89" t="s">
        <v>3852</v>
      </c>
      <c r="B5879" s="86" t="s">
        <v>35</v>
      </c>
      <c r="C5879" s="86" t="s">
        <v>164</v>
      </c>
      <c r="D5879" s="86" t="s">
        <v>174</v>
      </c>
      <c r="E5879" s="86" t="s">
        <v>1966</v>
      </c>
      <c r="F5879" s="86" t="s">
        <v>1966</v>
      </c>
      <c r="G5879" s="86" t="s">
        <v>1966</v>
      </c>
      <c r="H5879" s="144">
        <v>22</v>
      </c>
      <c r="I5879" s="86" t="s">
        <v>2935</v>
      </c>
      <c r="J5879" s="1" t="s">
        <v>3302</v>
      </c>
      <c r="K5879" s="1" t="s">
        <v>3371</v>
      </c>
      <c r="L5879" s="1" t="s">
        <v>35</v>
      </c>
      <c r="M5879" s="86" t="s">
        <v>3876</v>
      </c>
      <c r="O5879" s="47" t="s">
        <v>410</v>
      </c>
      <c r="P5879" s="47" t="s">
        <v>41</v>
      </c>
      <c r="Q5879" s="14">
        <v>0</v>
      </c>
      <c r="R5879" s="143">
        <v>41722</v>
      </c>
      <c r="S5879" s="47"/>
      <c r="T5879" s="6">
        <v>0</v>
      </c>
      <c r="U5879" s="6">
        <v>550000</v>
      </c>
      <c r="V5879" s="6">
        <v>261391.70000000019</v>
      </c>
      <c r="W5879" s="6">
        <f t="shared" si="918"/>
        <v>288608.29999999981</v>
      </c>
      <c r="X5879" s="6">
        <f t="shared" si="919"/>
        <v>261391.70000000019</v>
      </c>
      <c r="Y5879" s="13">
        <f t="shared" si="914"/>
        <v>0</v>
      </c>
      <c r="Z5879" s="66">
        <v>0</v>
      </c>
      <c r="AA5879" s="6">
        <v>0</v>
      </c>
      <c r="AB5879" s="4">
        <f t="shared" si="915"/>
        <v>261391.70000000019</v>
      </c>
      <c r="AC5879" s="6">
        <f t="shared" si="913"/>
        <v>0</v>
      </c>
      <c r="AD5879" s="6">
        <f t="shared" si="920"/>
        <v>261391.70000000019</v>
      </c>
      <c r="AE5879" s="14">
        <f>VLOOKUP(I5879,[2]媒体政策预估表!A:N,MATCH(O5879,[2]媒体政策预估表!$A$2:$M$2,0),0)</f>
        <v>0.10299999999999999</v>
      </c>
      <c r="AF5879" s="6">
        <f t="shared" si="917"/>
        <v>26923.345100000017</v>
      </c>
      <c r="AG5879" s="14">
        <v>0</v>
      </c>
      <c r="AH5879" s="99">
        <f t="shared" si="921"/>
        <v>261391.70000000019</v>
      </c>
      <c r="AI5879" s="47"/>
      <c r="AJ5879" s="126" t="e">
        <v>#N/A</v>
      </c>
      <c r="AK5879" s="80">
        <f t="shared" si="916"/>
        <v>0</v>
      </c>
      <c r="AL5879" s="85"/>
      <c r="AM5879" s="85"/>
    </row>
    <row r="5880" spans="1:39" s="86" customFormat="1" ht="13.25" hidden="1" customHeight="1" x14ac:dyDescent="0.3">
      <c r="A5880" s="89" t="s">
        <v>3852</v>
      </c>
      <c r="B5880" s="86" t="s">
        <v>35</v>
      </c>
      <c r="C5880" s="86" t="s">
        <v>164</v>
      </c>
      <c r="D5880" s="86" t="s">
        <v>174</v>
      </c>
      <c r="E5880" s="86" t="s">
        <v>1966</v>
      </c>
      <c r="F5880" s="86" t="s">
        <v>1966</v>
      </c>
      <c r="G5880" s="86" t="s">
        <v>1966</v>
      </c>
      <c r="H5880" s="144">
        <v>22</v>
      </c>
      <c r="I5880" s="86" t="s">
        <v>2935</v>
      </c>
      <c r="J5880" s="1" t="s">
        <v>3302</v>
      </c>
      <c r="K5880" s="1" t="s">
        <v>3371</v>
      </c>
      <c r="L5880" s="1" t="s">
        <v>35</v>
      </c>
      <c r="M5880" s="86" t="s">
        <v>3019</v>
      </c>
      <c r="O5880" s="47" t="s">
        <v>410</v>
      </c>
      <c r="P5880" s="47" t="s">
        <v>41</v>
      </c>
      <c r="Q5880" s="14">
        <v>0</v>
      </c>
      <c r="R5880" s="143">
        <v>186502</v>
      </c>
      <c r="S5880" s="47"/>
      <c r="T5880" s="6">
        <v>12068.559999999998</v>
      </c>
      <c r="U5880" s="6">
        <v>29500</v>
      </c>
      <c r="V5880" s="6">
        <v>15160.7</v>
      </c>
      <c r="W5880" s="6">
        <f t="shared" si="918"/>
        <v>26407.859999999997</v>
      </c>
      <c r="X5880" s="6">
        <f t="shared" si="919"/>
        <v>15160.7</v>
      </c>
      <c r="Y5880" s="13">
        <f t="shared" si="914"/>
        <v>0</v>
      </c>
      <c r="Z5880" s="66">
        <v>0</v>
      </c>
      <c r="AA5880" s="6">
        <v>0</v>
      </c>
      <c r="AB5880" s="4">
        <f t="shared" si="915"/>
        <v>15160.7</v>
      </c>
      <c r="AC5880" s="6">
        <f t="shared" si="913"/>
        <v>0</v>
      </c>
      <c r="AD5880" s="6">
        <f t="shared" si="920"/>
        <v>15160.7</v>
      </c>
      <c r="AE5880" s="14">
        <f>VLOOKUP(I5880,[2]媒体政策预估表!A:N,MATCH(O5880,[2]媒体政策预估表!$A$2:$M$2,0),0)</f>
        <v>0.10299999999999999</v>
      </c>
      <c r="AF5880" s="6">
        <f t="shared" si="917"/>
        <v>1561.5520999999999</v>
      </c>
      <c r="AG5880" s="14">
        <v>0</v>
      </c>
      <c r="AH5880" s="99">
        <f t="shared" si="921"/>
        <v>15160.7</v>
      </c>
      <c r="AI5880" s="47"/>
      <c r="AJ5880" s="126" t="e">
        <v>#N/A</v>
      </c>
      <c r="AK5880" s="80">
        <f t="shared" si="916"/>
        <v>0</v>
      </c>
      <c r="AL5880" s="85"/>
      <c r="AM5880" s="85"/>
    </row>
    <row r="5881" spans="1:39" s="86" customFormat="1" ht="13.25" hidden="1" customHeight="1" x14ac:dyDescent="0.3">
      <c r="A5881" s="89" t="s">
        <v>3852</v>
      </c>
      <c r="B5881" s="86" t="s">
        <v>35</v>
      </c>
      <c r="C5881" s="86" t="s">
        <v>164</v>
      </c>
      <c r="D5881" s="86" t="s">
        <v>174</v>
      </c>
      <c r="E5881" s="86" t="s">
        <v>1966</v>
      </c>
      <c r="F5881" s="86" t="s">
        <v>1966</v>
      </c>
      <c r="G5881" s="86" t="s">
        <v>1966</v>
      </c>
      <c r="H5881" s="144">
        <v>22</v>
      </c>
      <c r="I5881" s="86" t="s">
        <v>2935</v>
      </c>
      <c r="J5881" s="1" t="s">
        <v>3302</v>
      </c>
      <c r="K5881" s="1" t="s">
        <v>3371</v>
      </c>
      <c r="L5881" s="1" t="s">
        <v>35</v>
      </c>
      <c r="M5881" s="86" t="s">
        <v>2604</v>
      </c>
      <c r="O5881" s="47" t="s">
        <v>410</v>
      </c>
      <c r="P5881" s="47" t="s">
        <v>41</v>
      </c>
      <c r="Q5881" s="14">
        <v>0</v>
      </c>
      <c r="R5881" s="143">
        <v>20942</v>
      </c>
      <c r="S5881" s="47"/>
      <c r="T5881" s="6">
        <v>146822.56999999989</v>
      </c>
      <c r="U5881" s="6">
        <v>610000</v>
      </c>
      <c r="V5881" s="6">
        <v>421457.15</v>
      </c>
      <c r="W5881" s="6">
        <f t="shared" si="918"/>
        <v>335365.41999999981</v>
      </c>
      <c r="X5881" s="6">
        <f t="shared" si="919"/>
        <v>421457.15</v>
      </c>
      <c r="Y5881" s="13">
        <f t="shared" si="914"/>
        <v>0</v>
      </c>
      <c r="Z5881" s="66">
        <v>0</v>
      </c>
      <c r="AA5881" s="6">
        <v>0</v>
      </c>
      <c r="AB5881" s="4">
        <f t="shared" si="915"/>
        <v>421457.15</v>
      </c>
      <c r="AC5881" s="6">
        <f t="shared" si="913"/>
        <v>0</v>
      </c>
      <c r="AD5881" s="6">
        <f t="shared" si="920"/>
        <v>421457.15</v>
      </c>
      <c r="AE5881" s="14">
        <f>VLOOKUP(I5881,[2]媒体政策预估表!A:N,MATCH(O5881,[2]媒体政策预估表!$A$2:$M$2,0),0)</f>
        <v>0.10299999999999999</v>
      </c>
      <c r="AF5881" s="6">
        <f t="shared" si="917"/>
        <v>43410.086450000003</v>
      </c>
      <c r="AG5881" s="14">
        <v>0</v>
      </c>
      <c r="AH5881" s="99">
        <f t="shared" si="921"/>
        <v>421457.15</v>
      </c>
      <c r="AI5881" s="47"/>
      <c r="AJ5881" s="126" t="e">
        <v>#N/A</v>
      </c>
      <c r="AK5881" s="80">
        <f t="shared" si="916"/>
        <v>0</v>
      </c>
      <c r="AL5881" s="85"/>
      <c r="AM5881" s="85"/>
    </row>
    <row r="5882" spans="1:39" s="86" customFormat="1" ht="13.25" hidden="1" customHeight="1" x14ac:dyDescent="0.3">
      <c r="A5882" s="89" t="s">
        <v>3852</v>
      </c>
      <c r="B5882" s="86" t="s">
        <v>35</v>
      </c>
      <c r="C5882" s="86" t="s">
        <v>164</v>
      </c>
      <c r="D5882" s="86" t="s">
        <v>174</v>
      </c>
      <c r="E5882" s="86" t="s">
        <v>646</v>
      </c>
      <c r="F5882" s="86" t="s">
        <v>646</v>
      </c>
      <c r="G5882" s="86" t="s">
        <v>646</v>
      </c>
      <c r="H5882" s="144">
        <v>22</v>
      </c>
      <c r="I5882" s="86" t="s">
        <v>2935</v>
      </c>
      <c r="J5882" s="1" t="s">
        <v>3302</v>
      </c>
      <c r="K5882" s="1" t="s">
        <v>3371</v>
      </c>
      <c r="L5882" s="1" t="s">
        <v>35</v>
      </c>
      <c r="M5882" s="86" t="s">
        <v>646</v>
      </c>
      <c r="O5882" s="47" t="s">
        <v>410</v>
      </c>
      <c r="P5882" s="47" t="s">
        <v>41</v>
      </c>
      <c r="Q5882" s="14">
        <v>0</v>
      </c>
      <c r="R5882" s="143">
        <v>175442</v>
      </c>
      <c r="S5882" s="47"/>
      <c r="T5882" s="6">
        <v>24000</v>
      </c>
      <c r="U5882" s="6">
        <v>50000</v>
      </c>
      <c r="V5882" s="6">
        <v>30459.52</v>
      </c>
      <c r="W5882" s="6">
        <f t="shared" si="918"/>
        <v>43540.479999999996</v>
      </c>
      <c r="X5882" s="6">
        <f t="shared" si="919"/>
        <v>30459.52</v>
      </c>
      <c r="Y5882" s="13">
        <f t="shared" si="914"/>
        <v>0</v>
      </c>
      <c r="Z5882" s="66">
        <v>0</v>
      </c>
      <c r="AA5882" s="6">
        <v>0</v>
      </c>
      <c r="AB5882" s="4">
        <f t="shared" si="915"/>
        <v>30459.52</v>
      </c>
      <c r="AC5882" s="6">
        <f t="shared" si="913"/>
        <v>0</v>
      </c>
      <c r="AD5882" s="6">
        <f t="shared" si="920"/>
        <v>30459.52</v>
      </c>
      <c r="AE5882" s="14">
        <f>VLOOKUP(I5882,[2]媒体政策预估表!A:N,MATCH(O5882,[2]媒体政策预估表!$A$2:$M$2,0),0)</f>
        <v>0.10299999999999999</v>
      </c>
      <c r="AF5882" s="6">
        <f t="shared" si="917"/>
        <v>3137.3305599999999</v>
      </c>
      <c r="AG5882" s="14">
        <v>0</v>
      </c>
      <c r="AH5882" s="99">
        <f t="shared" si="921"/>
        <v>30459.52</v>
      </c>
      <c r="AI5882" s="47"/>
      <c r="AJ5882" s="126" t="e">
        <v>#N/A</v>
      </c>
      <c r="AK5882" s="80">
        <f t="shared" si="916"/>
        <v>0</v>
      </c>
      <c r="AL5882" s="85"/>
      <c r="AM5882" s="85"/>
    </row>
    <row r="5883" spans="1:39" s="86" customFormat="1" ht="13.25" hidden="1" customHeight="1" x14ac:dyDescent="0.3">
      <c r="A5883" s="89" t="s">
        <v>3852</v>
      </c>
      <c r="B5883" s="86" t="s">
        <v>35</v>
      </c>
      <c r="C5883" s="86" t="s">
        <v>164</v>
      </c>
      <c r="D5883" s="86" t="s">
        <v>174</v>
      </c>
      <c r="E5883" s="86" t="s">
        <v>3022</v>
      </c>
      <c r="F5883" s="86" t="s">
        <v>3022</v>
      </c>
      <c r="G5883" s="86" t="s">
        <v>3022</v>
      </c>
      <c r="H5883" s="144">
        <v>22</v>
      </c>
      <c r="I5883" s="86" t="s">
        <v>2935</v>
      </c>
      <c r="J5883" s="1" t="s">
        <v>3302</v>
      </c>
      <c r="K5883" s="1" t="s">
        <v>3371</v>
      </c>
      <c r="L5883" s="1" t="s">
        <v>35</v>
      </c>
      <c r="M5883" s="86" t="s">
        <v>3023</v>
      </c>
      <c r="O5883" s="47" t="s">
        <v>410</v>
      </c>
      <c r="P5883" s="47" t="s">
        <v>41</v>
      </c>
      <c r="Q5883" s="14">
        <v>0</v>
      </c>
      <c r="R5883" s="143">
        <v>225202</v>
      </c>
      <c r="S5883" s="47"/>
      <c r="T5883" s="6">
        <v>1161</v>
      </c>
      <c r="U5883" s="6">
        <v>20000</v>
      </c>
      <c r="V5883" s="6">
        <v>17514</v>
      </c>
      <c r="W5883" s="6">
        <f t="shared" si="918"/>
        <v>3647</v>
      </c>
      <c r="X5883" s="6">
        <f t="shared" si="919"/>
        <v>17514</v>
      </c>
      <c r="Y5883" s="13">
        <f t="shared" si="914"/>
        <v>0</v>
      </c>
      <c r="Z5883" s="66">
        <v>0</v>
      </c>
      <c r="AA5883" s="6">
        <v>0</v>
      </c>
      <c r="AB5883" s="4">
        <f t="shared" si="915"/>
        <v>17514</v>
      </c>
      <c r="AC5883" s="6">
        <f t="shared" si="913"/>
        <v>0</v>
      </c>
      <c r="AD5883" s="6">
        <f t="shared" si="920"/>
        <v>17514</v>
      </c>
      <c r="AE5883" s="14">
        <f>VLOOKUP(I5883,[2]媒体政策预估表!A:N,MATCH(O5883,[2]媒体政策预估表!$A$2:$M$2,0),0)</f>
        <v>0.10299999999999999</v>
      </c>
      <c r="AF5883" s="6">
        <f t="shared" si="917"/>
        <v>1803.942</v>
      </c>
      <c r="AG5883" s="14">
        <v>0</v>
      </c>
      <c r="AH5883" s="99">
        <f t="shared" si="921"/>
        <v>17514</v>
      </c>
      <c r="AI5883" s="47"/>
      <c r="AJ5883" s="126" t="e">
        <v>#N/A</v>
      </c>
      <c r="AK5883" s="80">
        <f t="shared" si="916"/>
        <v>0</v>
      </c>
      <c r="AL5883" s="85"/>
      <c r="AM5883" s="85"/>
    </row>
    <row r="5884" spans="1:39" s="86" customFormat="1" ht="13.25" hidden="1" customHeight="1" x14ac:dyDescent="0.3">
      <c r="A5884" s="89" t="s">
        <v>3852</v>
      </c>
      <c r="B5884" s="86" t="s">
        <v>35</v>
      </c>
      <c r="C5884" s="86" t="s">
        <v>164</v>
      </c>
      <c r="D5884" s="86" t="s">
        <v>174</v>
      </c>
      <c r="E5884" s="86" t="s">
        <v>3053</v>
      </c>
      <c r="F5884" s="86" t="s">
        <v>3053</v>
      </c>
      <c r="G5884" s="86" t="s">
        <v>3053</v>
      </c>
      <c r="H5884" s="144">
        <v>22</v>
      </c>
      <c r="I5884" s="86" t="s">
        <v>2935</v>
      </c>
      <c r="J5884" s="1" t="s">
        <v>3302</v>
      </c>
      <c r="K5884" s="1" t="s">
        <v>3371</v>
      </c>
      <c r="L5884" s="1" t="s">
        <v>35</v>
      </c>
      <c r="M5884" s="86" t="s">
        <v>3054</v>
      </c>
      <c r="O5884" s="47" t="s">
        <v>410</v>
      </c>
      <c r="P5884" s="47" t="s">
        <v>41</v>
      </c>
      <c r="Q5884" s="14">
        <v>0</v>
      </c>
      <c r="R5884" s="143">
        <v>152972</v>
      </c>
      <c r="S5884" s="47"/>
      <c r="T5884" s="6">
        <v>0</v>
      </c>
      <c r="U5884" s="6">
        <v>5000</v>
      </c>
      <c r="V5884" s="6">
        <v>5000</v>
      </c>
      <c r="W5884" s="6">
        <f t="shared" si="918"/>
        <v>0</v>
      </c>
      <c r="X5884" s="6">
        <f t="shared" si="919"/>
        <v>5000</v>
      </c>
      <c r="Y5884" s="13">
        <f t="shared" si="914"/>
        <v>0</v>
      </c>
      <c r="Z5884" s="66">
        <v>0</v>
      </c>
      <c r="AA5884" s="6">
        <v>0</v>
      </c>
      <c r="AB5884" s="4">
        <f t="shared" si="915"/>
        <v>5000</v>
      </c>
      <c r="AC5884" s="6">
        <f t="shared" si="913"/>
        <v>0</v>
      </c>
      <c r="AD5884" s="6">
        <f t="shared" si="920"/>
        <v>5000</v>
      </c>
      <c r="AE5884" s="14">
        <f>VLOOKUP(I5884,[2]媒体政策预估表!A:N,MATCH(O5884,[2]媒体政策预估表!$A$2:$M$2,0),0)</f>
        <v>0.10299999999999999</v>
      </c>
      <c r="AF5884" s="6">
        <f t="shared" si="917"/>
        <v>515</v>
      </c>
      <c r="AG5884" s="14">
        <v>0</v>
      </c>
      <c r="AH5884" s="99">
        <f t="shared" si="921"/>
        <v>5000</v>
      </c>
      <c r="AI5884" s="47"/>
      <c r="AJ5884" s="126" t="e">
        <v>#N/A</v>
      </c>
      <c r="AK5884" s="80">
        <f t="shared" si="916"/>
        <v>0</v>
      </c>
      <c r="AL5884" s="85"/>
      <c r="AM5884" s="85"/>
    </row>
    <row r="5885" spans="1:39" s="86" customFormat="1" ht="13.25" hidden="1" customHeight="1" x14ac:dyDescent="0.3">
      <c r="A5885" s="89" t="s">
        <v>3852</v>
      </c>
      <c r="B5885" s="86" t="s">
        <v>35</v>
      </c>
      <c r="C5885" s="86" t="s">
        <v>164</v>
      </c>
      <c r="D5885" s="86" t="s">
        <v>174</v>
      </c>
      <c r="E5885" s="86" t="s">
        <v>3024</v>
      </c>
      <c r="F5885" s="86" t="s">
        <v>3024</v>
      </c>
      <c r="G5885" s="86" t="s">
        <v>3024</v>
      </c>
      <c r="H5885" s="143">
        <v>22</v>
      </c>
      <c r="I5885" s="86" t="s">
        <v>2935</v>
      </c>
      <c r="J5885" s="1" t="s">
        <v>3302</v>
      </c>
      <c r="K5885" s="1" t="s">
        <v>3371</v>
      </c>
      <c r="L5885" s="1" t="s">
        <v>35</v>
      </c>
      <c r="M5885" s="86" t="s">
        <v>3025</v>
      </c>
      <c r="O5885" s="47" t="s">
        <v>410</v>
      </c>
      <c r="P5885" s="47" t="s">
        <v>46</v>
      </c>
      <c r="Q5885" s="14">
        <v>0.02</v>
      </c>
      <c r="R5885" s="143">
        <v>239792</v>
      </c>
      <c r="S5885" s="47"/>
      <c r="T5885" s="6">
        <v>0</v>
      </c>
      <c r="U5885" s="6">
        <v>0</v>
      </c>
      <c r="V5885" s="6">
        <v>0</v>
      </c>
      <c r="W5885" s="6">
        <f t="shared" si="918"/>
        <v>0</v>
      </c>
      <c r="X5885" s="6">
        <f t="shared" si="919"/>
        <v>0</v>
      </c>
      <c r="Y5885" s="13">
        <f t="shared" si="914"/>
        <v>0</v>
      </c>
      <c r="Z5885" s="66">
        <v>0</v>
      </c>
      <c r="AA5885" s="6">
        <v>0</v>
      </c>
      <c r="AB5885" s="4">
        <f t="shared" si="915"/>
        <v>0</v>
      </c>
      <c r="AC5885" s="6">
        <f t="shared" si="913"/>
        <v>0</v>
      </c>
      <c r="AD5885" s="6">
        <f t="shared" si="920"/>
        <v>0</v>
      </c>
      <c r="AE5885" s="14">
        <f>VLOOKUP(I5885,[2]媒体政策预估表!A:N,MATCH(O5885,[2]媒体政策预估表!$A$2:$M$2,0),0)</f>
        <v>0.10299999999999999</v>
      </c>
      <c r="AF5885" s="6">
        <f t="shared" si="917"/>
        <v>0</v>
      </c>
      <c r="AG5885" s="14">
        <v>0</v>
      </c>
      <c r="AH5885" s="99">
        <f t="shared" si="921"/>
        <v>0</v>
      </c>
      <c r="AI5885" s="47"/>
      <c r="AJ5885" s="126" t="e">
        <v>#N/A</v>
      </c>
      <c r="AK5885" s="80">
        <f t="shared" si="916"/>
        <v>0</v>
      </c>
      <c r="AL5885" s="85"/>
      <c r="AM5885" s="85"/>
    </row>
    <row r="5886" spans="1:39" s="86" customFormat="1" ht="13.25" hidden="1" customHeight="1" x14ac:dyDescent="0.3">
      <c r="A5886" s="89" t="s">
        <v>3852</v>
      </c>
      <c r="B5886" s="86" t="s">
        <v>35</v>
      </c>
      <c r="C5886" s="86" t="s">
        <v>164</v>
      </c>
      <c r="D5886" s="86" t="s">
        <v>174</v>
      </c>
      <c r="E5886" s="86" t="s">
        <v>3024</v>
      </c>
      <c r="F5886" s="86" t="s">
        <v>3024</v>
      </c>
      <c r="G5886" s="86" t="s">
        <v>3024</v>
      </c>
      <c r="H5886" s="143">
        <v>22</v>
      </c>
      <c r="I5886" s="86" t="s">
        <v>2935</v>
      </c>
      <c r="J5886" s="1" t="s">
        <v>3302</v>
      </c>
      <c r="K5886" s="1" t="s">
        <v>3371</v>
      </c>
      <c r="L5886" s="1" t="s">
        <v>35</v>
      </c>
      <c r="M5886" s="86" t="s">
        <v>3026</v>
      </c>
      <c r="O5886" s="47" t="s">
        <v>410</v>
      </c>
      <c r="P5886" s="47" t="s">
        <v>46</v>
      </c>
      <c r="Q5886" s="14">
        <v>0.02</v>
      </c>
      <c r="R5886" s="143">
        <v>239842</v>
      </c>
      <c r="S5886" s="47"/>
      <c r="T5886" s="6">
        <v>0</v>
      </c>
      <c r="U5886" s="6">
        <v>0</v>
      </c>
      <c r="V5886" s="6">
        <v>0</v>
      </c>
      <c r="W5886" s="6">
        <f t="shared" si="918"/>
        <v>0</v>
      </c>
      <c r="X5886" s="6">
        <f t="shared" si="919"/>
        <v>0</v>
      </c>
      <c r="Y5886" s="13">
        <f t="shared" si="914"/>
        <v>0</v>
      </c>
      <c r="Z5886" s="66">
        <v>0</v>
      </c>
      <c r="AA5886" s="6">
        <v>0</v>
      </c>
      <c r="AB5886" s="4">
        <f t="shared" si="915"/>
        <v>0</v>
      </c>
      <c r="AC5886" s="6">
        <f t="shared" ref="AC5886:AC5949" si="922">IF(P5886="返现",X5886*Q5886,V5886-X5886)</f>
        <v>0</v>
      </c>
      <c r="AD5886" s="6">
        <f t="shared" si="920"/>
        <v>0</v>
      </c>
      <c r="AE5886" s="14">
        <f>VLOOKUP(I5886,[2]媒体政策预估表!A:N,MATCH(O5886,[2]媒体政策预估表!$A$2:$M$2,0),0)</f>
        <v>0.10299999999999999</v>
      </c>
      <c r="AF5886" s="6">
        <f t="shared" si="917"/>
        <v>0</v>
      </c>
      <c r="AG5886" s="14">
        <v>0</v>
      </c>
      <c r="AH5886" s="99">
        <f t="shared" si="921"/>
        <v>0</v>
      </c>
      <c r="AI5886" s="47"/>
      <c r="AJ5886" s="126" t="e">
        <v>#N/A</v>
      </c>
      <c r="AK5886" s="80">
        <f t="shared" si="916"/>
        <v>0</v>
      </c>
      <c r="AL5886" s="85"/>
      <c r="AM5886" s="85"/>
    </row>
    <row r="5887" spans="1:39" s="86" customFormat="1" ht="13.25" hidden="1" customHeight="1" x14ac:dyDescent="0.3">
      <c r="A5887" s="89" t="s">
        <v>3852</v>
      </c>
      <c r="B5887" s="86" t="s">
        <v>35</v>
      </c>
      <c r="C5887" s="86" t="s">
        <v>164</v>
      </c>
      <c r="D5887" s="86" t="s">
        <v>174</v>
      </c>
      <c r="E5887" s="86" t="s">
        <v>3024</v>
      </c>
      <c r="F5887" s="86" t="s">
        <v>3024</v>
      </c>
      <c r="G5887" s="86" t="s">
        <v>3024</v>
      </c>
      <c r="H5887" s="143">
        <v>22</v>
      </c>
      <c r="I5887" s="86" t="s">
        <v>2935</v>
      </c>
      <c r="J5887" s="1" t="s">
        <v>3302</v>
      </c>
      <c r="K5887" s="1" t="s">
        <v>3371</v>
      </c>
      <c r="L5887" s="1" t="s">
        <v>35</v>
      </c>
      <c r="M5887" s="86" t="s">
        <v>3028</v>
      </c>
      <c r="O5887" s="47" t="s">
        <v>410</v>
      </c>
      <c r="P5887" s="47" t="s">
        <v>46</v>
      </c>
      <c r="Q5887" s="14">
        <v>0.02</v>
      </c>
      <c r="R5887" s="143">
        <v>162772</v>
      </c>
      <c r="S5887" s="47"/>
      <c r="T5887" s="6">
        <v>0</v>
      </c>
      <c r="U5887" s="6">
        <v>0</v>
      </c>
      <c r="V5887" s="6">
        <v>0</v>
      </c>
      <c r="W5887" s="6">
        <f t="shared" si="918"/>
        <v>0</v>
      </c>
      <c r="X5887" s="6">
        <f t="shared" si="919"/>
        <v>0</v>
      </c>
      <c r="Y5887" s="13">
        <f t="shared" si="914"/>
        <v>0</v>
      </c>
      <c r="Z5887" s="66">
        <v>0</v>
      </c>
      <c r="AA5887" s="6">
        <v>0</v>
      </c>
      <c r="AB5887" s="4">
        <f t="shared" si="915"/>
        <v>0</v>
      </c>
      <c r="AC5887" s="6">
        <f t="shared" si="922"/>
        <v>0</v>
      </c>
      <c r="AD5887" s="6">
        <f t="shared" si="920"/>
        <v>0</v>
      </c>
      <c r="AE5887" s="14">
        <f>VLOOKUP(I5887,[2]媒体政策预估表!A:N,MATCH(O5887,[2]媒体政策预估表!$A$2:$M$2,0),0)</f>
        <v>0.10299999999999999</v>
      </c>
      <c r="AF5887" s="6">
        <f t="shared" si="917"/>
        <v>0</v>
      </c>
      <c r="AG5887" s="14">
        <v>0</v>
      </c>
      <c r="AH5887" s="99">
        <f t="shared" si="921"/>
        <v>0</v>
      </c>
      <c r="AI5887" s="47"/>
      <c r="AJ5887" s="126" t="e">
        <v>#N/A</v>
      </c>
      <c r="AK5887" s="80">
        <f t="shared" si="916"/>
        <v>0</v>
      </c>
      <c r="AL5887" s="85"/>
      <c r="AM5887" s="85"/>
    </row>
    <row r="5888" spans="1:39" s="86" customFormat="1" ht="13.25" hidden="1" customHeight="1" x14ac:dyDescent="0.3">
      <c r="A5888" s="89" t="s">
        <v>3852</v>
      </c>
      <c r="B5888" s="86" t="s">
        <v>35</v>
      </c>
      <c r="C5888" s="86" t="s">
        <v>164</v>
      </c>
      <c r="D5888" s="86" t="s">
        <v>174</v>
      </c>
      <c r="E5888" s="86" t="s">
        <v>2818</v>
      </c>
      <c r="F5888" s="86" t="s">
        <v>2818</v>
      </c>
      <c r="G5888" s="86" t="s">
        <v>2818</v>
      </c>
      <c r="H5888" s="144">
        <v>22</v>
      </c>
      <c r="I5888" s="86" t="s">
        <v>2935</v>
      </c>
      <c r="J5888" s="1" t="s">
        <v>3302</v>
      </c>
      <c r="K5888" s="1" t="s">
        <v>3371</v>
      </c>
      <c r="L5888" s="1" t="s">
        <v>35</v>
      </c>
      <c r="M5888" s="86" t="s">
        <v>3877</v>
      </c>
      <c r="O5888" s="47" t="s">
        <v>410</v>
      </c>
      <c r="P5888" s="47" t="s">
        <v>46</v>
      </c>
      <c r="Q5888" s="14">
        <v>0.02</v>
      </c>
      <c r="R5888" s="143">
        <v>250232</v>
      </c>
      <c r="S5888" s="47"/>
      <c r="T5888" s="6">
        <v>0</v>
      </c>
      <c r="U5888" s="6">
        <v>10000</v>
      </c>
      <c r="V5888" s="6">
        <v>4131.7299999999996</v>
      </c>
      <c r="W5888" s="6">
        <f t="shared" si="918"/>
        <v>5868.27</v>
      </c>
      <c r="X5888" s="6">
        <f t="shared" si="919"/>
        <v>4050.7156862745092</v>
      </c>
      <c r="Y5888" s="13">
        <f t="shared" si="914"/>
        <v>0</v>
      </c>
      <c r="Z5888" s="66">
        <v>0</v>
      </c>
      <c r="AA5888" s="6">
        <v>0</v>
      </c>
      <c r="AB5888" s="4">
        <f t="shared" si="915"/>
        <v>4050.7156862745092</v>
      </c>
      <c r="AC5888" s="6">
        <f t="shared" si="922"/>
        <v>81.01431372549041</v>
      </c>
      <c r="AD5888" s="6">
        <f t="shared" si="920"/>
        <v>4131.7299999999996</v>
      </c>
      <c r="AE5888" s="14">
        <f>VLOOKUP(I5888,[2]媒体政策预估表!A:N,MATCH(O5888,[2]媒体政策预估表!$A$2:$M$2,0),0)</f>
        <v>0.10299999999999999</v>
      </c>
      <c r="AF5888" s="6">
        <f t="shared" si="917"/>
        <v>425.56818999999996</v>
      </c>
      <c r="AG5888" s="14">
        <v>0</v>
      </c>
      <c r="AH5888" s="99">
        <f t="shared" si="921"/>
        <v>4131.7299999999996</v>
      </c>
      <c r="AI5888" s="47"/>
      <c r="AJ5888" s="126" t="e">
        <v>#N/A</v>
      </c>
      <c r="AK5888" s="80">
        <f t="shared" si="916"/>
        <v>0</v>
      </c>
      <c r="AL5888" s="85"/>
      <c r="AM5888" s="85"/>
    </row>
    <row r="5889" spans="1:39" s="86" customFormat="1" ht="13.25" hidden="1" customHeight="1" x14ac:dyDescent="0.3">
      <c r="A5889" s="89" t="s">
        <v>3852</v>
      </c>
      <c r="B5889" s="86" t="s">
        <v>35</v>
      </c>
      <c r="C5889" s="86" t="s">
        <v>164</v>
      </c>
      <c r="D5889" s="86" t="s">
        <v>174</v>
      </c>
      <c r="E5889" s="86" t="s">
        <v>3030</v>
      </c>
      <c r="F5889" s="86" t="s">
        <v>3030</v>
      </c>
      <c r="G5889" s="86" t="s">
        <v>3030</v>
      </c>
      <c r="H5889" s="144">
        <v>22</v>
      </c>
      <c r="I5889" s="86" t="s">
        <v>2935</v>
      </c>
      <c r="J5889" s="1" t="s">
        <v>3302</v>
      </c>
      <c r="K5889" s="1" t="s">
        <v>3371</v>
      </c>
      <c r="L5889" s="1" t="s">
        <v>35</v>
      </c>
      <c r="M5889" s="86" t="s">
        <v>3031</v>
      </c>
      <c r="O5889" s="47" t="s">
        <v>410</v>
      </c>
      <c r="P5889" s="47" t="s">
        <v>46</v>
      </c>
      <c r="Q5889" s="14">
        <v>0.02</v>
      </c>
      <c r="R5889" s="143">
        <v>44982</v>
      </c>
      <c r="S5889" s="47"/>
      <c r="T5889" s="6">
        <v>21428</v>
      </c>
      <c r="U5889" s="6">
        <v>60000</v>
      </c>
      <c r="V5889" s="6">
        <v>61978</v>
      </c>
      <c r="W5889" s="6">
        <f t="shared" si="918"/>
        <v>19450</v>
      </c>
      <c r="X5889" s="6">
        <f t="shared" si="919"/>
        <v>60762.745098039217</v>
      </c>
      <c r="Y5889" s="13">
        <f t="shared" si="914"/>
        <v>0</v>
      </c>
      <c r="Z5889" s="66">
        <v>0</v>
      </c>
      <c r="AA5889" s="6">
        <v>0</v>
      </c>
      <c r="AB5889" s="4">
        <f t="shared" si="915"/>
        <v>60762.745098039217</v>
      </c>
      <c r="AC5889" s="6">
        <f t="shared" si="922"/>
        <v>1215.2549019607832</v>
      </c>
      <c r="AD5889" s="6">
        <f t="shared" si="920"/>
        <v>61978</v>
      </c>
      <c r="AE5889" s="14">
        <f>VLOOKUP(I5889,[2]媒体政策预估表!A:N,MATCH(O5889,[2]媒体政策预估表!$A$2:$M$2,0),0)</f>
        <v>0.10299999999999999</v>
      </c>
      <c r="AF5889" s="6">
        <f t="shared" si="917"/>
        <v>6383.7339999999995</v>
      </c>
      <c r="AG5889" s="14">
        <v>0</v>
      </c>
      <c r="AH5889" s="99">
        <f t="shared" si="921"/>
        <v>61978</v>
      </c>
      <c r="AI5889" s="47"/>
      <c r="AJ5889" s="126" t="e">
        <v>#N/A</v>
      </c>
      <c r="AK5889" s="80">
        <f t="shared" si="916"/>
        <v>0</v>
      </c>
      <c r="AL5889" s="85"/>
      <c r="AM5889" s="85"/>
    </row>
    <row r="5890" spans="1:39" s="86" customFormat="1" ht="13.25" hidden="1" customHeight="1" x14ac:dyDescent="0.3">
      <c r="A5890" s="89" t="s">
        <v>3852</v>
      </c>
      <c r="B5890" s="86" t="s">
        <v>35</v>
      </c>
      <c r="C5890" s="86" t="s">
        <v>164</v>
      </c>
      <c r="D5890" s="86" t="s">
        <v>174</v>
      </c>
      <c r="E5890" s="86" t="s">
        <v>671</v>
      </c>
      <c r="F5890" s="86" t="s">
        <v>3032</v>
      </c>
      <c r="G5890" s="86" t="s">
        <v>671</v>
      </c>
      <c r="H5890" s="143">
        <v>22</v>
      </c>
      <c r="I5890" s="86" t="s">
        <v>2935</v>
      </c>
      <c r="J5890" s="1" t="s">
        <v>3302</v>
      </c>
      <c r="K5890" s="1" t="s">
        <v>3371</v>
      </c>
      <c r="L5890" s="1" t="s">
        <v>35</v>
      </c>
      <c r="M5890" s="86" t="s">
        <v>3033</v>
      </c>
      <c r="O5890" s="47" t="s">
        <v>410</v>
      </c>
      <c r="P5890" s="47" t="s">
        <v>41</v>
      </c>
      <c r="Q5890" s="14">
        <v>0</v>
      </c>
      <c r="R5890" s="143">
        <v>244512</v>
      </c>
      <c r="S5890" s="47"/>
      <c r="T5890" s="6">
        <v>0</v>
      </c>
      <c r="U5890" s="6">
        <v>80000</v>
      </c>
      <c r="V5890" s="6">
        <v>3815.8300000000163</v>
      </c>
      <c r="W5890" s="6">
        <f t="shared" si="918"/>
        <v>76184.169999999984</v>
      </c>
      <c r="X5890" s="6">
        <f t="shared" si="919"/>
        <v>3815.8300000000163</v>
      </c>
      <c r="Y5890" s="13">
        <f t="shared" si="914"/>
        <v>0</v>
      </c>
      <c r="Z5890" s="66">
        <v>0</v>
      </c>
      <c r="AA5890" s="6">
        <v>0</v>
      </c>
      <c r="AB5890" s="4"/>
      <c r="AC5890" s="6">
        <f t="shared" si="922"/>
        <v>0</v>
      </c>
      <c r="AD5890" s="6">
        <f t="shared" si="920"/>
        <v>3815.8300000000163</v>
      </c>
      <c r="AE5890" s="14">
        <f>VLOOKUP(I5890,[2]媒体政策预估表!A:N,MATCH(O5890,[2]媒体政策预估表!$A$2:$M$2,0),0)</f>
        <v>0.10299999999999999</v>
      </c>
      <c r="AF5890" s="6">
        <f t="shared" si="917"/>
        <v>393.03049000000163</v>
      </c>
      <c r="AG5890" s="14">
        <v>0</v>
      </c>
      <c r="AH5890" s="99">
        <f t="shared" si="921"/>
        <v>3815.8300000000163</v>
      </c>
      <c r="AI5890" s="47"/>
      <c r="AJ5890" s="126">
        <v>109</v>
      </c>
      <c r="AK5890" s="80">
        <f t="shared" si="916"/>
        <v>3815.8300000000163</v>
      </c>
      <c r="AL5890" s="85"/>
      <c r="AM5890" s="85"/>
    </row>
    <row r="5891" spans="1:39" s="86" customFormat="1" ht="13.25" hidden="1" customHeight="1" x14ac:dyDescent="0.3">
      <c r="A5891" s="89" t="s">
        <v>3792</v>
      </c>
      <c r="B5891" s="86" t="s">
        <v>35</v>
      </c>
      <c r="C5891" s="86" t="s">
        <v>164</v>
      </c>
      <c r="D5891" s="86" t="s">
        <v>174</v>
      </c>
      <c r="E5891" s="86" t="s">
        <v>671</v>
      </c>
      <c r="F5891" s="86" t="s">
        <v>3032</v>
      </c>
      <c r="G5891" s="86" t="s">
        <v>671</v>
      </c>
      <c r="H5891" s="143">
        <v>22</v>
      </c>
      <c r="I5891" s="86" t="s">
        <v>2935</v>
      </c>
      <c r="J5891" s="1" t="s">
        <v>3302</v>
      </c>
      <c r="K5891" s="1" t="s">
        <v>3371</v>
      </c>
      <c r="L5891" s="1" t="s">
        <v>35</v>
      </c>
      <c r="M5891" s="86" t="s">
        <v>3878</v>
      </c>
      <c r="O5891" s="47" t="s">
        <v>410</v>
      </c>
      <c r="P5891" s="47" t="s">
        <v>41</v>
      </c>
      <c r="Q5891" s="14">
        <v>0</v>
      </c>
      <c r="R5891" s="143">
        <v>249462</v>
      </c>
      <c r="S5891" s="47"/>
      <c r="T5891" s="6">
        <v>0</v>
      </c>
      <c r="U5891" s="6">
        <v>60000</v>
      </c>
      <c r="V5891" s="6">
        <v>26963.21</v>
      </c>
      <c r="W5891" s="6">
        <f t="shared" si="918"/>
        <v>33036.79</v>
      </c>
      <c r="X5891" s="6">
        <f t="shared" si="919"/>
        <v>26963.21</v>
      </c>
      <c r="Y5891" s="13">
        <f t="shared" ref="Y5891:Y5954" si="923">IF(X5891-AD5891&lt;=0,0,IF(P5891="返现",MAX(X5891-AC5891-AD5891,0),MAX(X5891-AD5891)))</f>
        <v>0</v>
      </c>
      <c r="Z5891" s="66">
        <v>0</v>
      </c>
      <c r="AA5891" s="6">
        <v>0</v>
      </c>
      <c r="AB5891" s="4"/>
      <c r="AC5891" s="6">
        <f t="shared" si="922"/>
        <v>0</v>
      </c>
      <c r="AD5891" s="6">
        <f t="shared" si="920"/>
        <v>26963.21</v>
      </c>
      <c r="AE5891" s="14">
        <f>VLOOKUP(I5891,[2]媒体政策预估表!A:N,MATCH(O5891,[2]媒体政策预估表!$A$2:$M$2,0),0)</f>
        <v>0.10299999999999999</v>
      </c>
      <c r="AF5891" s="6">
        <f t="shared" si="917"/>
        <v>2777.2106299999996</v>
      </c>
      <c r="AG5891" s="14">
        <v>0</v>
      </c>
      <c r="AH5891" s="99">
        <f t="shared" si="921"/>
        <v>26963.21</v>
      </c>
      <c r="AI5891" s="47"/>
      <c r="AJ5891" s="126">
        <v>109</v>
      </c>
      <c r="AK5891" s="80">
        <f t="shared" ref="AK5891:AK5954" si="924">X5891+AA5891-AB5891</f>
        <v>26963.21</v>
      </c>
      <c r="AL5891" s="85"/>
      <c r="AM5891" s="85"/>
    </row>
    <row r="5892" spans="1:39" s="86" customFormat="1" ht="13.25" hidden="1" customHeight="1" x14ac:dyDescent="0.3">
      <c r="A5892" s="89" t="s">
        <v>3852</v>
      </c>
      <c r="B5892" s="86" t="s">
        <v>35</v>
      </c>
      <c r="C5892" s="86" t="s">
        <v>164</v>
      </c>
      <c r="D5892" s="86" t="s">
        <v>174</v>
      </c>
      <c r="E5892" s="86" t="s">
        <v>671</v>
      </c>
      <c r="F5892" s="86" t="s">
        <v>3032</v>
      </c>
      <c r="G5892" s="86" t="s">
        <v>671</v>
      </c>
      <c r="H5892" s="143">
        <v>22</v>
      </c>
      <c r="I5892" s="86" t="s">
        <v>2935</v>
      </c>
      <c r="J5892" s="1" t="s">
        <v>3302</v>
      </c>
      <c r="K5892" s="1" t="s">
        <v>3371</v>
      </c>
      <c r="L5892" s="1" t="s">
        <v>35</v>
      </c>
      <c r="M5892" s="86" t="s">
        <v>671</v>
      </c>
      <c r="O5892" s="47" t="s">
        <v>410</v>
      </c>
      <c r="P5892" s="47" t="s">
        <v>41</v>
      </c>
      <c r="Q5892" s="14">
        <v>0</v>
      </c>
      <c r="R5892" s="143">
        <v>240322</v>
      </c>
      <c r="S5892" s="47"/>
      <c r="T5892" s="6">
        <v>40000</v>
      </c>
      <c r="U5892" s="6">
        <v>40000</v>
      </c>
      <c r="V5892" s="6">
        <v>29732.479999999996</v>
      </c>
      <c r="W5892" s="6">
        <f t="shared" si="918"/>
        <v>50267.520000000004</v>
      </c>
      <c r="X5892" s="6">
        <f t="shared" si="919"/>
        <v>29732.479999999996</v>
      </c>
      <c r="Y5892" s="13">
        <f t="shared" si="923"/>
        <v>0</v>
      </c>
      <c r="Z5892" s="66">
        <v>0</v>
      </c>
      <c r="AA5892" s="6">
        <v>0</v>
      </c>
      <c r="AB5892" s="4"/>
      <c r="AC5892" s="6">
        <f t="shared" si="922"/>
        <v>0</v>
      </c>
      <c r="AD5892" s="6">
        <f t="shared" si="920"/>
        <v>29732.479999999996</v>
      </c>
      <c r="AE5892" s="14">
        <f>VLOOKUP(I5892,[2]媒体政策预估表!A:N,MATCH(O5892,[2]媒体政策预估表!$A$2:$M$2,0),0)</f>
        <v>0.10299999999999999</v>
      </c>
      <c r="AF5892" s="6">
        <f t="shared" si="917"/>
        <v>3062.4454399999995</v>
      </c>
      <c r="AG5892" s="14">
        <v>0</v>
      </c>
      <c r="AH5892" s="99">
        <f t="shared" si="921"/>
        <v>29732.479999999996</v>
      </c>
      <c r="AI5892" s="47"/>
      <c r="AJ5892" s="126">
        <v>109</v>
      </c>
      <c r="AK5892" s="80">
        <f t="shared" si="924"/>
        <v>29732.479999999996</v>
      </c>
      <c r="AL5892" s="85"/>
      <c r="AM5892" s="85"/>
    </row>
    <row r="5893" spans="1:39" s="86" customFormat="1" ht="13.25" hidden="1" customHeight="1" x14ac:dyDescent="0.3">
      <c r="A5893" s="89" t="s">
        <v>3852</v>
      </c>
      <c r="B5893" s="86" t="s">
        <v>35</v>
      </c>
      <c r="C5893" s="86" t="s">
        <v>164</v>
      </c>
      <c r="D5893" s="86" t="s">
        <v>174</v>
      </c>
      <c r="E5893" s="86" t="s">
        <v>3879</v>
      </c>
      <c r="F5893" s="86" t="s">
        <v>3879</v>
      </c>
      <c r="G5893" s="86" t="s">
        <v>3879</v>
      </c>
      <c r="H5893" s="144">
        <v>22</v>
      </c>
      <c r="I5893" s="86" t="s">
        <v>2935</v>
      </c>
      <c r="J5893" s="1" t="s">
        <v>3302</v>
      </c>
      <c r="K5893" s="1" t="s">
        <v>3371</v>
      </c>
      <c r="L5893" s="1" t="s">
        <v>35</v>
      </c>
      <c r="M5893" s="86" t="s">
        <v>3880</v>
      </c>
      <c r="O5893" s="47" t="s">
        <v>410</v>
      </c>
      <c r="P5893" s="47" t="s">
        <v>46</v>
      </c>
      <c r="Q5893" s="14">
        <v>0.04</v>
      </c>
      <c r="R5893" s="143">
        <v>250222</v>
      </c>
      <c r="S5893" s="47"/>
      <c r="T5893" s="6">
        <v>0</v>
      </c>
      <c r="U5893" s="6">
        <v>20400</v>
      </c>
      <c r="V5893" s="6">
        <v>11404</v>
      </c>
      <c r="W5893" s="6">
        <f t="shared" si="918"/>
        <v>8996</v>
      </c>
      <c r="X5893" s="6">
        <f t="shared" si="919"/>
        <v>10965.384615384615</v>
      </c>
      <c r="Y5893" s="13">
        <f t="shared" si="923"/>
        <v>0</v>
      </c>
      <c r="Z5893" s="66">
        <v>0</v>
      </c>
      <c r="AA5893" s="6">
        <v>0</v>
      </c>
      <c r="AB5893" s="4">
        <f t="shared" ref="AB5893:AB5954" si="925">X5893+AA5893</f>
        <v>10965.384615384615</v>
      </c>
      <c r="AC5893" s="6">
        <f t="shared" si="922"/>
        <v>438.61538461538476</v>
      </c>
      <c r="AD5893" s="6">
        <f t="shared" si="920"/>
        <v>11404</v>
      </c>
      <c r="AE5893" s="14">
        <f>VLOOKUP(I5893,[2]媒体政策预估表!A:N,MATCH(O5893,[2]媒体政策预估表!$A$2:$M$2,0),0)</f>
        <v>0.10299999999999999</v>
      </c>
      <c r="AF5893" s="6">
        <f t="shared" si="917"/>
        <v>1174.6119999999999</v>
      </c>
      <c r="AG5893" s="14">
        <v>0</v>
      </c>
      <c r="AH5893" s="99">
        <f t="shared" si="921"/>
        <v>11404</v>
      </c>
      <c r="AI5893" s="47"/>
      <c r="AJ5893" s="126" t="e">
        <v>#N/A</v>
      </c>
      <c r="AK5893" s="80">
        <f t="shared" si="924"/>
        <v>0</v>
      </c>
      <c r="AL5893" s="85"/>
      <c r="AM5893" s="85"/>
    </row>
    <row r="5894" spans="1:39" s="86" customFormat="1" ht="13.25" hidden="1" customHeight="1" x14ac:dyDescent="0.3">
      <c r="A5894" s="89" t="s">
        <v>3852</v>
      </c>
      <c r="B5894" s="86" t="s">
        <v>35</v>
      </c>
      <c r="C5894" s="86" t="s">
        <v>164</v>
      </c>
      <c r="D5894" s="86" t="s">
        <v>174</v>
      </c>
      <c r="E5894" s="86" t="s">
        <v>3036</v>
      </c>
      <c r="F5894" s="86" t="s">
        <v>3036</v>
      </c>
      <c r="G5894" s="86" t="s">
        <v>3036</v>
      </c>
      <c r="H5894" s="144">
        <v>22</v>
      </c>
      <c r="I5894" s="86" t="s">
        <v>2935</v>
      </c>
      <c r="J5894" s="1" t="s">
        <v>3302</v>
      </c>
      <c r="K5894" s="1" t="s">
        <v>3371</v>
      </c>
      <c r="L5894" s="1" t="s">
        <v>35</v>
      </c>
      <c r="M5894" s="86" t="s">
        <v>3036</v>
      </c>
      <c r="O5894" s="47" t="s">
        <v>410</v>
      </c>
      <c r="P5894" s="47" t="s">
        <v>41</v>
      </c>
      <c r="Q5894" s="14">
        <v>0</v>
      </c>
      <c r="R5894" s="143">
        <v>42612</v>
      </c>
      <c r="S5894" s="47"/>
      <c r="T5894" s="6">
        <v>6932.2199999999903</v>
      </c>
      <c r="U5894" s="6">
        <v>50000</v>
      </c>
      <c r="V5894" s="6">
        <v>42346.34</v>
      </c>
      <c r="W5894" s="6">
        <f t="shared" si="918"/>
        <v>14585.87999999999</v>
      </c>
      <c r="X5894" s="6">
        <f t="shared" si="919"/>
        <v>42346.34</v>
      </c>
      <c r="Y5894" s="13">
        <f t="shared" si="923"/>
        <v>0</v>
      </c>
      <c r="Z5894" s="66">
        <v>0</v>
      </c>
      <c r="AA5894" s="6">
        <v>0</v>
      </c>
      <c r="AB5894" s="4">
        <f t="shared" si="925"/>
        <v>42346.34</v>
      </c>
      <c r="AC5894" s="6">
        <f t="shared" si="922"/>
        <v>0</v>
      </c>
      <c r="AD5894" s="6">
        <f t="shared" si="920"/>
        <v>42346.34</v>
      </c>
      <c r="AE5894" s="14">
        <f>VLOOKUP(I5894,[2]媒体政策预估表!A:N,MATCH(O5894,[2]媒体政策预估表!$A$2:$M$2,0),0)</f>
        <v>0.10299999999999999</v>
      </c>
      <c r="AF5894" s="6">
        <f t="shared" si="917"/>
        <v>4361.6730199999993</v>
      </c>
      <c r="AG5894" s="14">
        <v>0</v>
      </c>
      <c r="AH5894" s="99">
        <f t="shared" si="921"/>
        <v>42346.34</v>
      </c>
      <c r="AI5894" s="47"/>
      <c r="AJ5894" s="126" t="e">
        <v>#N/A</v>
      </c>
      <c r="AK5894" s="80">
        <f t="shared" si="924"/>
        <v>0</v>
      </c>
      <c r="AL5894" s="85"/>
      <c r="AM5894" s="85"/>
    </row>
    <row r="5895" spans="1:39" s="86" customFormat="1" ht="13.25" hidden="1" customHeight="1" x14ac:dyDescent="0.3">
      <c r="A5895" s="89" t="s">
        <v>3852</v>
      </c>
      <c r="B5895" s="86" t="s">
        <v>35</v>
      </c>
      <c r="C5895" s="86" t="s">
        <v>164</v>
      </c>
      <c r="D5895" s="86" t="s">
        <v>174</v>
      </c>
      <c r="E5895" s="86" t="s">
        <v>688</v>
      </c>
      <c r="F5895" s="86" t="s">
        <v>688</v>
      </c>
      <c r="G5895" s="86" t="s">
        <v>688</v>
      </c>
      <c r="H5895" s="144">
        <v>22</v>
      </c>
      <c r="I5895" s="86" t="s">
        <v>2935</v>
      </c>
      <c r="J5895" s="1" t="s">
        <v>3302</v>
      </c>
      <c r="K5895" s="1" t="s">
        <v>3371</v>
      </c>
      <c r="L5895" s="1" t="s">
        <v>35</v>
      </c>
      <c r="M5895" s="86" t="s">
        <v>688</v>
      </c>
      <c r="O5895" s="47" t="s">
        <v>410</v>
      </c>
      <c r="P5895" s="47" t="s">
        <v>41</v>
      </c>
      <c r="Q5895" s="14">
        <v>0</v>
      </c>
      <c r="R5895" s="143">
        <v>166042</v>
      </c>
      <c r="S5895" s="47"/>
      <c r="T5895" s="6">
        <v>42379.929999999993</v>
      </c>
      <c r="U5895" s="6">
        <v>10000</v>
      </c>
      <c r="V5895" s="6">
        <v>37899.9</v>
      </c>
      <c r="W5895" s="6">
        <f t="shared" si="918"/>
        <v>14480.029999999992</v>
      </c>
      <c r="X5895" s="6">
        <f t="shared" si="919"/>
        <v>37899.9</v>
      </c>
      <c r="Y5895" s="13">
        <f t="shared" si="923"/>
        <v>0</v>
      </c>
      <c r="Z5895" s="66">
        <v>0</v>
      </c>
      <c r="AA5895" s="6">
        <v>0</v>
      </c>
      <c r="AB5895" s="4">
        <f t="shared" si="925"/>
        <v>37899.9</v>
      </c>
      <c r="AC5895" s="6">
        <f t="shared" si="922"/>
        <v>0</v>
      </c>
      <c r="AD5895" s="6">
        <f t="shared" si="920"/>
        <v>37899.9</v>
      </c>
      <c r="AE5895" s="14">
        <f>VLOOKUP(I5895,[2]媒体政策预估表!A:N,MATCH(O5895,[2]媒体政策预估表!$A$2:$M$2,0),0)</f>
        <v>0.10299999999999999</v>
      </c>
      <c r="AF5895" s="6">
        <f t="shared" si="917"/>
        <v>3903.6896999999999</v>
      </c>
      <c r="AG5895" s="14">
        <v>0</v>
      </c>
      <c r="AH5895" s="99">
        <f t="shared" si="921"/>
        <v>37899.9</v>
      </c>
      <c r="AI5895" s="47"/>
      <c r="AJ5895" s="126" t="e">
        <v>#N/A</v>
      </c>
      <c r="AK5895" s="80">
        <f t="shared" si="924"/>
        <v>0</v>
      </c>
      <c r="AL5895" s="85"/>
      <c r="AM5895" s="85"/>
    </row>
    <row r="5896" spans="1:39" s="86" customFormat="1" ht="13.25" hidden="1" customHeight="1" x14ac:dyDescent="0.3">
      <c r="A5896" s="89" t="s">
        <v>3852</v>
      </c>
      <c r="B5896" s="86" t="s">
        <v>35</v>
      </c>
      <c r="C5896" s="86" t="s">
        <v>164</v>
      </c>
      <c r="D5896" s="86" t="s">
        <v>174</v>
      </c>
      <c r="E5896" s="86" t="s">
        <v>2007</v>
      </c>
      <c r="F5896" s="86" t="s">
        <v>2007</v>
      </c>
      <c r="G5896" s="86" t="s">
        <v>2007</v>
      </c>
      <c r="H5896" s="144">
        <v>22</v>
      </c>
      <c r="I5896" s="86" t="s">
        <v>2935</v>
      </c>
      <c r="J5896" s="1" t="s">
        <v>3302</v>
      </c>
      <c r="K5896" s="1" t="s">
        <v>3371</v>
      </c>
      <c r="L5896" s="1" t="s">
        <v>35</v>
      </c>
      <c r="M5896" s="86" t="s">
        <v>2007</v>
      </c>
      <c r="O5896" s="47" t="s">
        <v>410</v>
      </c>
      <c r="P5896" s="47" t="s">
        <v>46</v>
      </c>
      <c r="Q5896" s="14">
        <v>0.02</v>
      </c>
      <c r="R5896" s="143">
        <v>246852</v>
      </c>
      <c r="S5896" s="47"/>
      <c r="T5896" s="6">
        <v>18973.370000000003</v>
      </c>
      <c r="U5896" s="6">
        <v>596.08000000000004</v>
      </c>
      <c r="V5896" s="6">
        <v>3888.82</v>
      </c>
      <c r="W5896" s="6">
        <f t="shared" si="918"/>
        <v>15680.630000000005</v>
      </c>
      <c r="X5896" s="6">
        <f t="shared" si="919"/>
        <v>3812.5686274509803</v>
      </c>
      <c r="Y5896" s="13">
        <f t="shared" si="923"/>
        <v>0</v>
      </c>
      <c r="Z5896" s="66">
        <v>0</v>
      </c>
      <c r="AA5896" s="6">
        <v>0</v>
      </c>
      <c r="AB5896" s="4">
        <f t="shared" si="925"/>
        <v>3812.5686274509803</v>
      </c>
      <c r="AC5896" s="6">
        <f t="shared" si="922"/>
        <v>76.251372549019834</v>
      </c>
      <c r="AD5896" s="6">
        <f t="shared" si="920"/>
        <v>3888.82</v>
      </c>
      <c r="AE5896" s="14">
        <f>VLOOKUP(I5896,[2]媒体政策预估表!A:N,MATCH(O5896,[2]媒体政策预估表!$A$2:$M$2,0),0)</f>
        <v>0.10299999999999999</v>
      </c>
      <c r="AF5896" s="6">
        <f t="shared" si="917"/>
        <v>400.54845999999998</v>
      </c>
      <c r="AG5896" s="14">
        <v>0</v>
      </c>
      <c r="AH5896" s="99">
        <f t="shared" si="921"/>
        <v>3888.82</v>
      </c>
      <c r="AI5896" s="47"/>
      <c r="AJ5896" s="126" t="e">
        <v>#N/A</v>
      </c>
      <c r="AK5896" s="80">
        <f t="shared" si="924"/>
        <v>0</v>
      </c>
      <c r="AL5896" s="85"/>
      <c r="AM5896" s="85"/>
    </row>
    <row r="5897" spans="1:39" s="86" customFormat="1" ht="13.25" hidden="1" customHeight="1" x14ac:dyDescent="0.3">
      <c r="A5897" s="89" t="s">
        <v>3852</v>
      </c>
      <c r="B5897" s="86" t="s">
        <v>35</v>
      </c>
      <c r="C5897" s="86" t="s">
        <v>164</v>
      </c>
      <c r="D5897" s="86" t="s">
        <v>174</v>
      </c>
      <c r="E5897" s="86" t="s">
        <v>692</v>
      </c>
      <c r="F5897" s="86" t="s">
        <v>692</v>
      </c>
      <c r="G5897" s="86" t="s">
        <v>692</v>
      </c>
      <c r="H5897" s="144">
        <v>22</v>
      </c>
      <c r="I5897" s="86" t="s">
        <v>2935</v>
      </c>
      <c r="J5897" s="1" t="s">
        <v>3302</v>
      </c>
      <c r="K5897" s="1" t="s">
        <v>3371</v>
      </c>
      <c r="L5897" s="1" t="s">
        <v>35</v>
      </c>
      <c r="M5897" s="86" t="s">
        <v>3037</v>
      </c>
      <c r="O5897" s="47" t="s">
        <v>410</v>
      </c>
      <c r="P5897" s="47" t="s">
        <v>41</v>
      </c>
      <c r="Q5897" s="14">
        <v>0</v>
      </c>
      <c r="R5897" s="143">
        <v>239782</v>
      </c>
      <c r="S5897" s="47"/>
      <c r="T5897" s="6">
        <v>38173.87000000001</v>
      </c>
      <c r="U5897" s="6">
        <v>150000</v>
      </c>
      <c r="V5897" s="6">
        <v>76537.83</v>
      </c>
      <c r="W5897" s="6">
        <f t="shared" si="918"/>
        <v>111636.04</v>
      </c>
      <c r="X5897" s="6">
        <f t="shared" si="919"/>
        <v>76537.83</v>
      </c>
      <c r="Y5897" s="13">
        <f t="shared" si="923"/>
        <v>0</v>
      </c>
      <c r="Z5897" s="66">
        <v>0</v>
      </c>
      <c r="AA5897" s="6">
        <v>0</v>
      </c>
      <c r="AB5897" s="4">
        <f t="shared" si="925"/>
        <v>76537.83</v>
      </c>
      <c r="AC5897" s="6">
        <f t="shared" si="922"/>
        <v>0</v>
      </c>
      <c r="AD5897" s="6">
        <f t="shared" si="920"/>
        <v>76537.83</v>
      </c>
      <c r="AE5897" s="14">
        <f>VLOOKUP(I5897,[2]媒体政策预估表!A:N,MATCH(O5897,[2]媒体政策预估表!$A$2:$M$2,0),0)</f>
        <v>0.10299999999999999</v>
      </c>
      <c r="AF5897" s="6">
        <f t="shared" si="917"/>
        <v>7883.3964900000001</v>
      </c>
      <c r="AG5897" s="14">
        <v>0</v>
      </c>
      <c r="AH5897" s="99">
        <f t="shared" si="921"/>
        <v>76537.83</v>
      </c>
      <c r="AI5897" s="47"/>
      <c r="AJ5897" s="126" t="e">
        <v>#N/A</v>
      </c>
      <c r="AK5897" s="80">
        <f t="shared" si="924"/>
        <v>0</v>
      </c>
      <c r="AL5897" s="85"/>
      <c r="AM5897" s="85"/>
    </row>
    <row r="5898" spans="1:39" s="86" customFormat="1" ht="13.25" hidden="1" customHeight="1" x14ac:dyDescent="0.3">
      <c r="A5898" s="89" t="s">
        <v>3852</v>
      </c>
      <c r="B5898" s="86" t="s">
        <v>35</v>
      </c>
      <c r="C5898" s="86" t="s">
        <v>184</v>
      </c>
      <c r="D5898" s="86" t="s">
        <v>224</v>
      </c>
      <c r="E5898" s="86" t="s">
        <v>431</v>
      </c>
      <c r="F5898" s="86" t="s">
        <v>431</v>
      </c>
      <c r="G5898" s="86" t="s">
        <v>431</v>
      </c>
      <c r="H5898" s="144">
        <v>22</v>
      </c>
      <c r="I5898" s="86" t="s">
        <v>2935</v>
      </c>
      <c r="J5898" s="1" t="s">
        <v>3302</v>
      </c>
      <c r="K5898" s="1" t="s">
        <v>3371</v>
      </c>
      <c r="L5898" s="1" t="s">
        <v>35</v>
      </c>
      <c r="M5898" s="86" t="s">
        <v>431</v>
      </c>
      <c r="O5898" s="47" t="s">
        <v>410</v>
      </c>
      <c r="P5898" s="47" t="s">
        <v>41</v>
      </c>
      <c r="Q5898" s="14">
        <v>0</v>
      </c>
      <c r="R5898" s="143">
        <v>72942</v>
      </c>
      <c r="S5898" s="47"/>
      <c r="T5898" s="6">
        <v>0</v>
      </c>
      <c r="U5898" s="6">
        <v>30000</v>
      </c>
      <c r="V5898" s="6">
        <v>24600</v>
      </c>
      <c r="W5898" s="6">
        <f t="shared" si="918"/>
        <v>5400</v>
      </c>
      <c r="X5898" s="6">
        <f t="shared" si="919"/>
        <v>24600</v>
      </c>
      <c r="Y5898" s="13">
        <f t="shared" si="923"/>
        <v>0</v>
      </c>
      <c r="Z5898" s="66">
        <v>0</v>
      </c>
      <c r="AA5898" s="6">
        <v>0</v>
      </c>
      <c r="AB5898" s="4">
        <f t="shared" si="925"/>
        <v>24600</v>
      </c>
      <c r="AC5898" s="6">
        <f t="shared" si="922"/>
        <v>0</v>
      </c>
      <c r="AD5898" s="6">
        <f t="shared" si="920"/>
        <v>24600</v>
      </c>
      <c r="AE5898" s="14">
        <f>VLOOKUP(I5898,[2]媒体政策预估表!A:N,MATCH(O5898,[2]媒体政策预估表!$A$2:$M$2,0),0)</f>
        <v>0.10299999999999999</v>
      </c>
      <c r="AF5898" s="6">
        <f t="shared" si="917"/>
        <v>2533.7999999999997</v>
      </c>
      <c r="AG5898" s="14">
        <v>0</v>
      </c>
      <c r="AH5898" s="99">
        <f t="shared" si="921"/>
        <v>24600</v>
      </c>
      <c r="AI5898" s="47"/>
      <c r="AJ5898" s="126" t="e">
        <v>#N/A</v>
      </c>
      <c r="AK5898" s="80">
        <f t="shared" si="924"/>
        <v>0</v>
      </c>
      <c r="AL5898" s="85"/>
      <c r="AM5898" s="85"/>
    </row>
    <row r="5899" spans="1:39" s="86" customFormat="1" ht="13.25" hidden="1" customHeight="1" x14ac:dyDescent="0.3">
      <c r="A5899" s="89" t="s">
        <v>3852</v>
      </c>
      <c r="B5899" s="86" t="s">
        <v>35</v>
      </c>
      <c r="C5899" s="86" t="s">
        <v>184</v>
      </c>
      <c r="D5899" s="86" t="s">
        <v>224</v>
      </c>
      <c r="E5899" s="86" t="s">
        <v>2942</v>
      </c>
      <c r="F5899" s="86" t="s">
        <v>2942</v>
      </c>
      <c r="G5899" s="86" t="s">
        <v>2942</v>
      </c>
      <c r="H5899" s="144">
        <v>22</v>
      </c>
      <c r="I5899" s="86" t="s">
        <v>2935</v>
      </c>
      <c r="J5899" s="1" t="s">
        <v>3302</v>
      </c>
      <c r="K5899" s="1" t="s">
        <v>3371</v>
      </c>
      <c r="L5899" s="1" t="s">
        <v>35</v>
      </c>
      <c r="M5899" s="86" t="s">
        <v>2943</v>
      </c>
      <c r="O5899" s="47" t="s">
        <v>410</v>
      </c>
      <c r="P5899" s="47" t="s">
        <v>41</v>
      </c>
      <c r="Q5899" s="14">
        <v>0</v>
      </c>
      <c r="R5899" s="143">
        <v>237452</v>
      </c>
      <c r="S5899" s="47"/>
      <c r="T5899" s="6">
        <v>5728.4499999999989</v>
      </c>
      <c r="U5899" s="6">
        <v>15000</v>
      </c>
      <c r="V5899" s="6">
        <v>18626.150000000001</v>
      </c>
      <c r="W5899" s="6">
        <f t="shared" si="918"/>
        <v>2102.2999999999956</v>
      </c>
      <c r="X5899" s="6">
        <f t="shared" si="919"/>
        <v>18626.150000000001</v>
      </c>
      <c r="Y5899" s="13">
        <f t="shared" si="923"/>
        <v>0</v>
      </c>
      <c r="Z5899" s="66">
        <v>0</v>
      </c>
      <c r="AA5899" s="6">
        <v>0</v>
      </c>
      <c r="AB5899" s="4">
        <f t="shared" si="925"/>
        <v>18626.150000000001</v>
      </c>
      <c r="AC5899" s="6">
        <f t="shared" si="922"/>
        <v>0</v>
      </c>
      <c r="AD5899" s="6">
        <f t="shared" si="920"/>
        <v>18626.150000000001</v>
      </c>
      <c r="AE5899" s="14">
        <f>VLOOKUP(I5899,[2]媒体政策预估表!A:N,MATCH(O5899,[2]媒体政策预估表!$A$2:$M$2,0),0)</f>
        <v>0.10299999999999999</v>
      </c>
      <c r="AF5899" s="6">
        <f t="shared" si="917"/>
        <v>1918.4934499999999</v>
      </c>
      <c r="AG5899" s="14">
        <v>0</v>
      </c>
      <c r="AH5899" s="99">
        <f t="shared" si="921"/>
        <v>18626.150000000001</v>
      </c>
      <c r="AI5899" s="47"/>
      <c r="AJ5899" s="126" t="e">
        <v>#N/A</v>
      </c>
      <c r="AK5899" s="80">
        <f t="shared" si="924"/>
        <v>0</v>
      </c>
      <c r="AL5899" s="85"/>
      <c r="AM5899" s="85"/>
    </row>
    <row r="5900" spans="1:39" s="86" customFormat="1" ht="13.25" hidden="1" customHeight="1" x14ac:dyDescent="0.3">
      <c r="A5900" s="89" t="s">
        <v>3852</v>
      </c>
      <c r="B5900" s="86" t="s">
        <v>35</v>
      </c>
      <c r="C5900" s="86" t="s">
        <v>184</v>
      </c>
      <c r="D5900" s="86" t="s">
        <v>224</v>
      </c>
      <c r="E5900" s="86" t="s">
        <v>3881</v>
      </c>
      <c r="F5900" s="86" t="s">
        <v>3117</v>
      </c>
      <c r="G5900" s="86" t="s">
        <v>3117</v>
      </c>
      <c r="H5900" s="143">
        <v>22</v>
      </c>
      <c r="I5900" s="86" t="s">
        <v>2935</v>
      </c>
      <c r="J5900" s="1" t="s">
        <v>3302</v>
      </c>
      <c r="K5900" s="1" t="s">
        <v>3371</v>
      </c>
      <c r="L5900" s="1" t="s">
        <v>35</v>
      </c>
      <c r="M5900" s="86" t="s">
        <v>3117</v>
      </c>
      <c r="O5900" s="47" t="s">
        <v>410</v>
      </c>
      <c r="P5900" s="47" t="s">
        <v>41</v>
      </c>
      <c r="Q5900" s="14">
        <v>0</v>
      </c>
      <c r="R5900" s="143">
        <v>88232</v>
      </c>
      <c r="S5900" s="47"/>
      <c r="T5900" s="6">
        <v>7337</v>
      </c>
      <c r="U5900" s="6">
        <v>-7337</v>
      </c>
      <c r="V5900" s="6">
        <v>0</v>
      </c>
      <c r="W5900" s="6">
        <f t="shared" si="918"/>
        <v>0</v>
      </c>
      <c r="X5900" s="6">
        <f t="shared" si="919"/>
        <v>0</v>
      </c>
      <c r="Y5900" s="13">
        <f t="shared" si="923"/>
        <v>0</v>
      </c>
      <c r="Z5900" s="66">
        <v>0</v>
      </c>
      <c r="AA5900" s="6">
        <v>0</v>
      </c>
      <c r="AB5900" s="4">
        <f t="shared" si="925"/>
        <v>0</v>
      </c>
      <c r="AC5900" s="6">
        <f t="shared" si="922"/>
        <v>0</v>
      </c>
      <c r="AD5900" s="6">
        <f t="shared" si="920"/>
        <v>0</v>
      </c>
      <c r="AE5900" s="14">
        <f>VLOOKUP(I5900,[2]媒体政策预估表!A:N,MATCH(O5900,[2]媒体政策预估表!$A$2:$M$2,0),0)</f>
        <v>0.10299999999999999</v>
      </c>
      <c r="AF5900" s="6">
        <f t="shared" si="917"/>
        <v>0</v>
      </c>
      <c r="AG5900" s="14">
        <v>0</v>
      </c>
      <c r="AH5900" s="99">
        <f t="shared" si="921"/>
        <v>0</v>
      </c>
      <c r="AI5900" s="47"/>
      <c r="AJ5900" s="126" t="e">
        <v>#N/A</v>
      </c>
      <c r="AK5900" s="80">
        <f t="shared" si="924"/>
        <v>0</v>
      </c>
      <c r="AL5900" s="85"/>
      <c r="AM5900" s="85"/>
    </row>
    <row r="5901" spans="1:39" s="86" customFormat="1" ht="13.25" hidden="1" customHeight="1" x14ac:dyDescent="0.3">
      <c r="A5901" s="89" t="s">
        <v>3792</v>
      </c>
      <c r="B5901" s="86" t="s">
        <v>35</v>
      </c>
      <c r="C5901" s="86" t="s">
        <v>184</v>
      </c>
      <c r="D5901" s="86" t="s">
        <v>224</v>
      </c>
      <c r="E5901" s="86" t="s">
        <v>3438</v>
      </c>
      <c r="F5901" s="86" t="s">
        <v>3438</v>
      </c>
      <c r="G5901" s="86" t="s">
        <v>3438</v>
      </c>
      <c r="H5901" s="144">
        <v>22</v>
      </c>
      <c r="I5901" s="86" t="s">
        <v>2935</v>
      </c>
      <c r="J5901" s="1" t="s">
        <v>3302</v>
      </c>
      <c r="K5901" s="1" t="s">
        <v>3371</v>
      </c>
      <c r="L5901" s="1" t="s">
        <v>35</v>
      </c>
      <c r="M5901" s="86" t="s">
        <v>2944</v>
      </c>
      <c r="O5901" s="47" t="s">
        <v>410</v>
      </c>
      <c r="P5901" s="47" t="s">
        <v>92</v>
      </c>
      <c r="Q5901" s="14">
        <v>0.96</v>
      </c>
      <c r="R5901" s="143">
        <v>10772</v>
      </c>
      <c r="S5901" s="47"/>
      <c r="T5901" s="6">
        <v>433998.62999999977</v>
      </c>
      <c r="U5901" s="6">
        <v>2150000</v>
      </c>
      <c r="V5901" s="6">
        <v>2336380.89</v>
      </c>
      <c r="W5901" s="6">
        <f t="shared" si="918"/>
        <v>247617.73999999976</v>
      </c>
      <c r="X5901" s="6">
        <f t="shared" si="919"/>
        <v>2242925.6543999999</v>
      </c>
      <c r="Y5901" s="13">
        <f t="shared" si="923"/>
        <v>0</v>
      </c>
      <c r="Z5901" s="66">
        <v>0</v>
      </c>
      <c r="AA5901" s="6">
        <v>0</v>
      </c>
      <c r="AB5901" s="4">
        <f t="shared" si="925"/>
        <v>2242925.6543999999</v>
      </c>
      <c r="AC5901" s="6">
        <f t="shared" si="922"/>
        <v>93455.235600000247</v>
      </c>
      <c r="AD5901" s="6">
        <f t="shared" si="920"/>
        <v>2336380.89</v>
      </c>
      <c r="AE5901" s="14">
        <f>VLOOKUP(I5901,[2]媒体政策预估表!A:N,MATCH(O5901,[2]媒体政策预估表!$A$2:$M$2,0),0)</f>
        <v>0.10299999999999999</v>
      </c>
      <c r="AF5901" s="6">
        <f t="shared" si="917"/>
        <v>240647.23167000001</v>
      </c>
      <c r="AG5901" s="14">
        <v>0</v>
      </c>
      <c r="AH5901" s="99">
        <f t="shared" si="921"/>
        <v>2336380.89</v>
      </c>
      <c r="AI5901" s="47"/>
      <c r="AJ5901" s="126" t="e">
        <v>#N/A</v>
      </c>
      <c r="AK5901" s="80">
        <f t="shared" si="924"/>
        <v>0</v>
      </c>
      <c r="AL5901" s="85"/>
      <c r="AM5901" s="85"/>
    </row>
    <row r="5902" spans="1:39" s="86" customFormat="1" ht="13.25" hidden="1" customHeight="1" x14ac:dyDescent="0.3">
      <c r="A5902" s="89" t="s">
        <v>3852</v>
      </c>
      <c r="B5902" s="86" t="s">
        <v>35</v>
      </c>
      <c r="C5902" s="86" t="s">
        <v>184</v>
      </c>
      <c r="D5902" s="86" t="s">
        <v>224</v>
      </c>
      <c r="E5902" s="86" t="s">
        <v>3837</v>
      </c>
      <c r="F5902" s="86" t="s">
        <v>3837</v>
      </c>
      <c r="G5902" s="86" t="s">
        <v>3837</v>
      </c>
      <c r="H5902" s="144">
        <v>22</v>
      </c>
      <c r="I5902" s="86" t="s">
        <v>2935</v>
      </c>
      <c r="J5902" s="1" t="s">
        <v>3302</v>
      </c>
      <c r="K5902" s="1" t="s">
        <v>3371</v>
      </c>
      <c r="L5902" s="1" t="s">
        <v>35</v>
      </c>
      <c r="M5902" s="86" t="s">
        <v>3837</v>
      </c>
      <c r="O5902" s="47" t="s">
        <v>410</v>
      </c>
      <c r="P5902" s="47" t="s">
        <v>41</v>
      </c>
      <c r="Q5902" s="14">
        <v>0</v>
      </c>
      <c r="R5902" s="143">
        <v>250682</v>
      </c>
      <c r="S5902" s="47"/>
      <c r="T5902" s="6">
        <v>0</v>
      </c>
      <c r="U5902" s="6">
        <v>5000</v>
      </c>
      <c r="V5902" s="6">
        <v>396</v>
      </c>
      <c r="W5902" s="6">
        <f t="shared" si="918"/>
        <v>4604</v>
      </c>
      <c r="X5902" s="6">
        <f t="shared" si="919"/>
        <v>396</v>
      </c>
      <c r="Y5902" s="13">
        <f t="shared" si="923"/>
        <v>0</v>
      </c>
      <c r="Z5902" s="66">
        <v>0</v>
      </c>
      <c r="AA5902" s="6">
        <v>0</v>
      </c>
      <c r="AB5902" s="4">
        <f t="shared" si="925"/>
        <v>396</v>
      </c>
      <c r="AC5902" s="6">
        <f t="shared" si="922"/>
        <v>0</v>
      </c>
      <c r="AD5902" s="6">
        <f t="shared" si="920"/>
        <v>396</v>
      </c>
      <c r="AE5902" s="14">
        <f>VLOOKUP(I5902,[2]媒体政策预估表!A:N,MATCH(O5902,[2]媒体政策预估表!$A$2:$M$2,0),0)</f>
        <v>0.10299999999999999</v>
      </c>
      <c r="AF5902" s="6">
        <f t="shared" si="917"/>
        <v>40.787999999999997</v>
      </c>
      <c r="AG5902" s="14">
        <v>0</v>
      </c>
      <c r="AH5902" s="99">
        <f t="shared" si="921"/>
        <v>396</v>
      </c>
      <c r="AI5902" s="47"/>
      <c r="AJ5902" s="126" t="e">
        <v>#N/A</v>
      </c>
      <c r="AK5902" s="80">
        <f t="shared" si="924"/>
        <v>0</v>
      </c>
      <c r="AL5902" s="85"/>
      <c r="AM5902" s="85"/>
    </row>
    <row r="5903" spans="1:39" s="86" customFormat="1" ht="13.25" hidden="1" customHeight="1" x14ac:dyDescent="0.3">
      <c r="A5903" s="89" t="s">
        <v>3792</v>
      </c>
      <c r="B5903" s="86" t="s">
        <v>35</v>
      </c>
      <c r="C5903" s="86" t="s">
        <v>184</v>
      </c>
      <c r="D5903" s="86" t="s">
        <v>224</v>
      </c>
      <c r="E5903" s="86" t="s">
        <v>1192</v>
      </c>
      <c r="F5903" s="86" t="s">
        <v>1192</v>
      </c>
      <c r="G5903" s="86" t="s">
        <v>1192</v>
      </c>
      <c r="H5903" s="144">
        <v>22</v>
      </c>
      <c r="I5903" s="86" t="s">
        <v>2935</v>
      </c>
      <c r="J5903" s="1" t="s">
        <v>3302</v>
      </c>
      <c r="K5903" s="1" t="s">
        <v>3371</v>
      </c>
      <c r="L5903" s="1" t="s">
        <v>35</v>
      </c>
      <c r="M5903" s="86" t="s">
        <v>3882</v>
      </c>
      <c r="O5903" s="47" t="s">
        <v>410</v>
      </c>
      <c r="P5903" s="47" t="s">
        <v>41</v>
      </c>
      <c r="Q5903" s="14">
        <v>0</v>
      </c>
      <c r="R5903" s="143">
        <v>231182</v>
      </c>
      <c r="S5903" s="47"/>
      <c r="T5903" s="6">
        <v>5225.5800000000017</v>
      </c>
      <c r="U5903" s="6">
        <v>90000</v>
      </c>
      <c r="V5903" s="6">
        <v>75902.5</v>
      </c>
      <c r="W5903" s="6">
        <f t="shared" si="918"/>
        <v>19323.080000000002</v>
      </c>
      <c r="X5903" s="6">
        <f t="shared" si="919"/>
        <v>75902.5</v>
      </c>
      <c r="Y5903" s="13">
        <f t="shared" si="923"/>
        <v>0</v>
      </c>
      <c r="Z5903" s="66">
        <v>0</v>
      </c>
      <c r="AA5903" s="6">
        <v>0</v>
      </c>
      <c r="AB5903" s="4">
        <f t="shared" si="925"/>
        <v>75902.5</v>
      </c>
      <c r="AC5903" s="6">
        <f t="shared" si="922"/>
        <v>0</v>
      </c>
      <c r="AD5903" s="6">
        <f t="shared" si="920"/>
        <v>75902.5</v>
      </c>
      <c r="AE5903" s="14">
        <f>VLOOKUP(I5903,[2]媒体政策预估表!A:N,MATCH(O5903,[2]媒体政策预估表!$A$2:$M$2,0),0)</f>
        <v>0.10299999999999999</v>
      </c>
      <c r="AF5903" s="6">
        <f t="shared" si="917"/>
        <v>7817.9574999999995</v>
      </c>
      <c r="AG5903" s="14">
        <v>0</v>
      </c>
      <c r="AH5903" s="99">
        <f t="shared" si="921"/>
        <v>75902.5</v>
      </c>
      <c r="AI5903" s="47"/>
      <c r="AJ5903" s="126" t="e">
        <v>#N/A</v>
      </c>
      <c r="AK5903" s="80">
        <f t="shared" si="924"/>
        <v>0</v>
      </c>
      <c r="AL5903" s="85"/>
      <c r="AM5903" s="85"/>
    </row>
    <row r="5904" spans="1:39" s="86" customFormat="1" ht="13.25" hidden="1" customHeight="1" x14ac:dyDescent="0.3">
      <c r="A5904" s="89" t="s">
        <v>3852</v>
      </c>
      <c r="B5904" s="86" t="s">
        <v>35</v>
      </c>
      <c r="C5904" s="86" t="s">
        <v>184</v>
      </c>
      <c r="D5904" s="86" t="s">
        <v>224</v>
      </c>
      <c r="E5904" s="86" t="s">
        <v>1192</v>
      </c>
      <c r="F5904" s="86" t="s">
        <v>1192</v>
      </c>
      <c r="G5904" s="86" t="s">
        <v>1192</v>
      </c>
      <c r="H5904" s="143">
        <v>22</v>
      </c>
      <c r="I5904" s="86" t="s">
        <v>2935</v>
      </c>
      <c r="J5904" s="1" t="s">
        <v>3302</v>
      </c>
      <c r="K5904" s="1" t="s">
        <v>3371</v>
      </c>
      <c r="L5904" s="1" t="s">
        <v>35</v>
      </c>
      <c r="M5904" s="86" t="s">
        <v>3882</v>
      </c>
      <c r="O5904" s="47" t="s">
        <v>410</v>
      </c>
      <c r="P5904" s="47" t="s">
        <v>41</v>
      </c>
      <c r="Q5904" s="14">
        <v>0</v>
      </c>
      <c r="R5904" s="143">
        <v>231182</v>
      </c>
      <c r="S5904" s="47"/>
      <c r="T5904" s="6">
        <v>0</v>
      </c>
      <c r="U5904" s="6">
        <v>0</v>
      </c>
      <c r="V5904" s="6">
        <v>0</v>
      </c>
      <c r="W5904" s="6">
        <f t="shared" si="918"/>
        <v>0</v>
      </c>
      <c r="X5904" s="6">
        <f t="shared" si="919"/>
        <v>0</v>
      </c>
      <c r="Y5904" s="13">
        <f t="shared" si="923"/>
        <v>0</v>
      </c>
      <c r="Z5904" s="66">
        <v>0</v>
      </c>
      <c r="AA5904" s="6">
        <v>0</v>
      </c>
      <c r="AB5904" s="4">
        <f t="shared" si="925"/>
        <v>0</v>
      </c>
      <c r="AC5904" s="6">
        <f t="shared" si="922"/>
        <v>0</v>
      </c>
      <c r="AD5904" s="6">
        <f t="shared" si="920"/>
        <v>0</v>
      </c>
      <c r="AE5904" s="14">
        <f>VLOOKUP(I5904,[2]媒体政策预估表!A:N,MATCH(O5904,[2]媒体政策预估表!$A$2:$M$2,0),0)</f>
        <v>0.10299999999999999</v>
      </c>
      <c r="AF5904" s="6">
        <f t="shared" si="917"/>
        <v>0</v>
      </c>
      <c r="AG5904" s="14">
        <v>0</v>
      </c>
      <c r="AH5904" s="99">
        <f t="shared" si="921"/>
        <v>0</v>
      </c>
      <c r="AI5904" s="47"/>
      <c r="AJ5904" s="126" t="e">
        <v>#N/A</v>
      </c>
      <c r="AK5904" s="80">
        <f t="shared" si="924"/>
        <v>0</v>
      </c>
      <c r="AL5904" s="85"/>
      <c r="AM5904" s="85"/>
    </row>
    <row r="5905" spans="1:39" s="86" customFormat="1" ht="13.25" hidden="1" customHeight="1" x14ac:dyDescent="0.3">
      <c r="A5905" s="89" t="s">
        <v>3852</v>
      </c>
      <c r="B5905" s="86" t="s">
        <v>35</v>
      </c>
      <c r="C5905" s="86" t="s">
        <v>184</v>
      </c>
      <c r="D5905" s="86" t="s">
        <v>54</v>
      </c>
      <c r="E5905" s="86" t="s">
        <v>2909</v>
      </c>
      <c r="F5905" s="86" t="s">
        <v>2909</v>
      </c>
      <c r="G5905" s="86" t="s">
        <v>2909</v>
      </c>
      <c r="H5905" s="144">
        <v>22</v>
      </c>
      <c r="I5905" s="86" t="s">
        <v>2935</v>
      </c>
      <c r="J5905" s="1" t="s">
        <v>3302</v>
      </c>
      <c r="K5905" s="1" t="s">
        <v>3371</v>
      </c>
      <c r="L5905" s="1" t="s">
        <v>35</v>
      </c>
      <c r="M5905" s="86" t="s">
        <v>2909</v>
      </c>
      <c r="O5905" s="47" t="s">
        <v>410</v>
      </c>
      <c r="P5905" s="47" t="s">
        <v>41</v>
      </c>
      <c r="Q5905" s="14">
        <v>0</v>
      </c>
      <c r="R5905" s="143">
        <v>16782</v>
      </c>
      <c r="S5905" s="47"/>
      <c r="T5905" s="6">
        <v>59338.919999999984</v>
      </c>
      <c r="U5905" s="6">
        <v>360000</v>
      </c>
      <c r="V5905" s="6">
        <v>309030.84999999998</v>
      </c>
      <c r="W5905" s="6">
        <f t="shared" si="918"/>
        <v>110308.07</v>
      </c>
      <c r="X5905" s="6">
        <f t="shared" si="919"/>
        <v>309030.84999999998</v>
      </c>
      <c r="Y5905" s="13">
        <f t="shared" si="923"/>
        <v>0</v>
      </c>
      <c r="Z5905" s="66">
        <v>0</v>
      </c>
      <c r="AA5905" s="6">
        <v>0</v>
      </c>
      <c r="AB5905" s="4">
        <f t="shared" si="925"/>
        <v>309030.84999999998</v>
      </c>
      <c r="AC5905" s="6">
        <f t="shared" si="922"/>
        <v>0</v>
      </c>
      <c r="AD5905" s="6">
        <f t="shared" si="920"/>
        <v>309030.84999999998</v>
      </c>
      <c r="AE5905" s="14">
        <f>VLOOKUP(I5905,[2]媒体政策预估表!A:N,MATCH(O5905,[2]媒体政策预估表!$A$2:$M$2,0),0)</f>
        <v>0.10299999999999999</v>
      </c>
      <c r="AF5905" s="6">
        <f t="shared" si="917"/>
        <v>31830.177549999997</v>
      </c>
      <c r="AG5905" s="14">
        <v>0</v>
      </c>
      <c r="AH5905" s="99">
        <f t="shared" si="921"/>
        <v>309030.84999999998</v>
      </c>
      <c r="AI5905" s="47"/>
      <c r="AJ5905" s="126" t="e">
        <v>#N/A</v>
      </c>
      <c r="AK5905" s="80">
        <f t="shared" si="924"/>
        <v>0</v>
      </c>
      <c r="AL5905" s="85"/>
      <c r="AM5905" s="85"/>
    </row>
    <row r="5906" spans="1:39" s="86" customFormat="1" ht="13.25" hidden="1" customHeight="1" x14ac:dyDescent="0.3">
      <c r="A5906" s="89" t="s">
        <v>3852</v>
      </c>
      <c r="B5906" s="86" t="s">
        <v>35</v>
      </c>
      <c r="C5906" s="86" t="s">
        <v>184</v>
      </c>
      <c r="D5906" s="86" t="s">
        <v>54</v>
      </c>
      <c r="E5906" s="86" t="s">
        <v>2909</v>
      </c>
      <c r="F5906" s="86" t="s">
        <v>2909</v>
      </c>
      <c r="G5906" s="86" t="s">
        <v>2909</v>
      </c>
      <c r="H5906" s="144">
        <v>22</v>
      </c>
      <c r="I5906" s="86" t="s">
        <v>2935</v>
      </c>
      <c r="J5906" s="1" t="s">
        <v>3302</v>
      </c>
      <c r="K5906" s="1" t="s">
        <v>3371</v>
      </c>
      <c r="L5906" s="1" t="s">
        <v>35</v>
      </c>
      <c r="M5906" s="86" t="s">
        <v>2983</v>
      </c>
      <c r="O5906" s="47" t="s">
        <v>410</v>
      </c>
      <c r="P5906" s="47" t="s">
        <v>41</v>
      </c>
      <c r="Q5906" s="14">
        <v>0</v>
      </c>
      <c r="R5906" s="143">
        <v>235462</v>
      </c>
      <c r="S5906" s="47"/>
      <c r="T5906" s="6">
        <v>290441.15999999992</v>
      </c>
      <c r="U5906" s="6">
        <v>320000</v>
      </c>
      <c r="V5906" s="6">
        <v>345423.7</v>
      </c>
      <c r="W5906" s="6">
        <f t="shared" si="918"/>
        <v>265017.4599999999</v>
      </c>
      <c r="X5906" s="6">
        <f t="shared" si="919"/>
        <v>345423.7</v>
      </c>
      <c r="Y5906" s="13">
        <f t="shared" si="923"/>
        <v>0</v>
      </c>
      <c r="Z5906" s="66">
        <v>0</v>
      </c>
      <c r="AA5906" s="6">
        <v>0</v>
      </c>
      <c r="AB5906" s="4">
        <f t="shared" si="925"/>
        <v>345423.7</v>
      </c>
      <c r="AC5906" s="6">
        <f t="shared" si="922"/>
        <v>0</v>
      </c>
      <c r="AD5906" s="6">
        <f t="shared" si="920"/>
        <v>345423.7</v>
      </c>
      <c r="AE5906" s="14">
        <f>VLOOKUP(I5906,[2]媒体政策预估表!A:N,MATCH(O5906,[2]媒体政策预估表!$A$2:$M$2,0),0)</f>
        <v>0.10299999999999999</v>
      </c>
      <c r="AF5906" s="6">
        <f t="shared" si="917"/>
        <v>35578.641100000001</v>
      </c>
      <c r="AG5906" s="14">
        <v>0</v>
      </c>
      <c r="AH5906" s="99">
        <f t="shared" si="921"/>
        <v>345423.7</v>
      </c>
      <c r="AI5906" s="47"/>
      <c r="AJ5906" s="126" t="e">
        <v>#N/A</v>
      </c>
      <c r="AK5906" s="80">
        <f t="shared" si="924"/>
        <v>0</v>
      </c>
      <c r="AL5906" s="85"/>
      <c r="AM5906" s="85"/>
    </row>
    <row r="5907" spans="1:39" s="86" customFormat="1" ht="13.25" hidden="1" customHeight="1" x14ac:dyDescent="0.3">
      <c r="A5907" s="89" t="s">
        <v>3852</v>
      </c>
      <c r="B5907" s="86" t="s">
        <v>35</v>
      </c>
      <c r="C5907" s="86" t="s">
        <v>184</v>
      </c>
      <c r="D5907" s="86" t="s">
        <v>54</v>
      </c>
      <c r="E5907" s="86" t="s">
        <v>2909</v>
      </c>
      <c r="F5907" s="86" t="s">
        <v>2909</v>
      </c>
      <c r="G5907" s="86" t="s">
        <v>2909</v>
      </c>
      <c r="H5907" s="144">
        <v>22</v>
      </c>
      <c r="I5907" s="86" t="s">
        <v>2935</v>
      </c>
      <c r="J5907" s="1" t="s">
        <v>3302</v>
      </c>
      <c r="K5907" s="1" t="s">
        <v>3371</v>
      </c>
      <c r="L5907" s="1" t="s">
        <v>35</v>
      </c>
      <c r="M5907" s="86" t="s">
        <v>2984</v>
      </c>
      <c r="O5907" s="47" t="s">
        <v>410</v>
      </c>
      <c r="P5907" s="47" t="s">
        <v>41</v>
      </c>
      <c r="Q5907" s="14">
        <v>0</v>
      </c>
      <c r="R5907" s="143">
        <v>238242</v>
      </c>
      <c r="S5907" s="47"/>
      <c r="T5907" s="6">
        <v>164982.21999999997</v>
      </c>
      <c r="U5907" s="6">
        <v>120000</v>
      </c>
      <c r="V5907" s="6">
        <v>141851.95000000001</v>
      </c>
      <c r="W5907" s="6">
        <f t="shared" si="918"/>
        <v>143130.26999999996</v>
      </c>
      <c r="X5907" s="6">
        <f t="shared" si="919"/>
        <v>141851.95000000001</v>
      </c>
      <c r="Y5907" s="13">
        <f t="shared" si="923"/>
        <v>0</v>
      </c>
      <c r="Z5907" s="66">
        <v>0</v>
      </c>
      <c r="AA5907" s="6">
        <v>0</v>
      </c>
      <c r="AB5907" s="4">
        <f t="shared" si="925"/>
        <v>141851.95000000001</v>
      </c>
      <c r="AC5907" s="6">
        <f t="shared" si="922"/>
        <v>0</v>
      </c>
      <c r="AD5907" s="6">
        <f t="shared" si="920"/>
        <v>141851.95000000001</v>
      </c>
      <c r="AE5907" s="14">
        <f>VLOOKUP(I5907,[2]媒体政策预估表!A:N,MATCH(O5907,[2]媒体政策预估表!$A$2:$M$2,0),0)</f>
        <v>0.10299999999999999</v>
      </c>
      <c r="AF5907" s="6">
        <f t="shared" si="917"/>
        <v>14610.75085</v>
      </c>
      <c r="AG5907" s="14">
        <v>0</v>
      </c>
      <c r="AH5907" s="99">
        <f t="shared" si="921"/>
        <v>141851.95000000001</v>
      </c>
      <c r="AI5907" s="47"/>
      <c r="AJ5907" s="126" t="e">
        <v>#N/A</v>
      </c>
      <c r="AK5907" s="80">
        <f t="shared" si="924"/>
        <v>0</v>
      </c>
      <c r="AL5907" s="85"/>
      <c r="AM5907" s="85"/>
    </row>
    <row r="5908" spans="1:39" s="86" customFormat="1" ht="13.25" hidden="1" customHeight="1" x14ac:dyDescent="0.3">
      <c r="A5908" s="89" t="s">
        <v>3852</v>
      </c>
      <c r="B5908" s="86" t="s">
        <v>35</v>
      </c>
      <c r="C5908" s="86" t="s">
        <v>184</v>
      </c>
      <c r="D5908" s="86" t="s">
        <v>54</v>
      </c>
      <c r="E5908" s="86" t="s">
        <v>2740</v>
      </c>
      <c r="F5908" s="86" t="s">
        <v>2740</v>
      </c>
      <c r="G5908" s="86" t="s">
        <v>2740</v>
      </c>
      <c r="H5908" s="144">
        <v>22</v>
      </c>
      <c r="I5908" s="86" t="s">
        <v>2935</v>
      </c>
      <c r="J5908" s="1" t="s">
        <v>3302</v>
      </c>
      <c r="K5908" s="1" t="s">
        <v>3371</v>
      </c>
      <c r="L5908" s="1" t="s">
        <v>35</v>
      </c>
      <c r="M5908" s="86" t="s">
        <v>2948</v>
      </c>
      <c r="O5908" s="47" t="s">
        <v>410</v>
      </c>
      <c r="P5908" s="47" t="s">
        <v>41</v>
      </c>
      <c r="Q5908" s="14">
        <v>0</v>
      </c>
      <c r="R5908" s="143">
        <v>46462</v>
      </c>
      <c r="S5908" s="47"/>
      <c r="T5908" s="6">
        <v>170491.88999999996</v>
      </c>
      <c r="U5908" s="6">
        <v>200000</v>
      </c>
      <c r="V5908" s="6">
        <v>268899.28000000003</v>
      </c>
      <c r="W5908" s="6">
        <f t="shared" si="918"/>
        <v>101592.60999999993</v>
      </c>
      <c r="X5908" s="6">
        <f t="shared" si="919"/>
        <v>268899.28000000003</v>
      </c>
      <c r="Y5908" s="13">
        <f t="shared" si="923"/>
        <v>0</v>
      </c>
      <c r="Z5908" s="66">
        <v>0</v>
      </c>
      <c r="AA5908" s="6">
        <v>0</v>
      </c>
      <c r="AB5908" s="4">
        <f t="shared" si="925"/>
        <v>268899.28000000003</v>
      </c>
      <c r="AC5908" s="6">
        <f t="shared" si="922"/>
        <v>0</v>
      </c>
      <c r="AD5908" s="6">
        <f t="shared" si="920"/>
        <v>268899.28000000003</v>
      </c>
      <c r="AE5908" s="14">
        <f>VLOOKUP(I5908,[2]媒体政策预估表!A:N,MATCH(O5908,[2]媒体政策预估表!$A$2:$M$2,0),0)</f>
        <v>0.10299999999999999</v>
      </c>
      <c r="AF5908" s="6">
        <f t="shared" si="917"/>
        <v>27696.625840000001</v>
      </c>
      <c r="AG5908" s="14">
        <v>0</v>
      </c>
      <c r="AH5908" s="99">
        <f t="shared" si="921"/>
        <v>268899.28000000003</v>
      </c>
      <c r="AI5908" s="47"/>
      <c r="AJ5908" s="126" t="e">
        <v>#N/A</v>
      </c>
      <c r="AK5908" s="80">
        <f t="shared" si="924"/>
        <v>0</v>
      </c>
      <c r="AL5908" s="85"/>
      <c r="AM5908" s="85"/>
    </row>
    <row r="5909" spans="1:39" s="86" customFormat="1" ht="13.25" hidden="1" customHeight="1" x14ac:dyDescent="0.3">
      <c r="A5909" s="89" t="s">
        <v>3852</v>
      </c>
      <c r="B5909" s="86" t="s">
        <v>35</v>
      </c>
      <c r="C5909" s="86" t="s">
        <v>184</v>
      </c>
      <c r="D5909" s="86" t="s">
        <v>54</v>
      </c>
      <c r="E5909" s="86" t="s">
        <v>2482</v>
      </c>
      <c r="F5909" s="86" t="s">
        <v>2483</v>
      </c>
      <c r="G5909" s="86" t="s">
        <v>2482</v>
      </c>
      <c r="H5909" s="144">
        <v>22</v>
      </c>
      <c r="I5909" s="86" t="s">
        <v>2935</v>
      </c>
      <c r="J5909" s="1" t="s">
        <v>3302</v>
      </c>
      <c r="K5909" s="1" t="s">
        <v>3371</v>
      </c>
      <c r="L5909" s="1" t="s">
        <v>35</v>
      </c>
      <c r="M5909" s="86" t="s">
        <v>2482</v>
      </c>
      <c r="O5909" s="47" t="s">
        <v>410</v>
      </c>
      <c r="P5909" s="47" t="s">
        <v>41</v>
      </c>
      <c r="Q5909" s="14">
        <v>0</v>
      </c>
      <c r="R5909" s="143">
        <v>52872</v>
      </c>
      <c r="S5909" s="47"/>
      <c r="T5909" s="6">
        <v>67761.540000000023</v>
      </c>
      <c r="U5909" s="6">
        <v>50000</v>
      </c>
      <c r="V5909" s="6">
        <v>53683.99</v>
      </c>
      <c r="W5909" s="6">
        <f t="shared" si="918"/>
        <v>64077.550000000025</v>
      </c>
      <c r="X5909" s="6">
        <f t="shared" si="919"/>
        <v>53683.99</v>
      </c>
      <c r="Y5909" s="13">
        <f t="shared" si="923"/>
        <v>0</v>
      </c>
      <c r="Z5909" s="66">
        <v>0</v>
      </c>
      <c r="AA5909" s="6">
        <v>0</v>
      </c>
      <c r="AB5909" s="4">
        <f t="shared" si="925"/>
        <v>53683.99</v>
      </c>
      <c r="AC5909" s="6">
        <f t="shared" si="922"/>
        <v>0</v>
      </c>
      <c r="AD5909" s="6">
        <f t="shared" si="920"/>
        <v>53683.99</v>
      </c>
      <c r="AE5909" s="14">
        <f>VLOOKUP(I5909,[2]媒体政策预估表!A:N,MATCH(O5909,[2]媒体政策预估表!$A$2:$M$2,0),0)</f>
        <v>0.10299999999999999</v>
      </c>
      <c r="AF5909" s="6">
        <f t="shared" si="917"/>
        <v>5529.4509699999999</v>
      </c>
      <c r="AG5909" s="14">
        <v>0</v>
      </c>
      <c r="AH5909" s="99">
        <f t="shared" si="921"/>
        <v>53683.99</v>
      </c>
      <c r="AI5909" s="47"/>
      <c r="AJ5909" s="126" t="e">
        <v>#N/A</v>
      </c>
      <c r="AK5909" s="80">
        <f t="shared" si="924"/>
        <v>0</v>
      </c>
      <c r="AL5909" s="85"/>
      <c r="AM5909" s="85"/>
    </row>
    <row r="5910" spans="1:39" s="86" customFormat="1" ht="13.25" hidden="1" customHeight="1" x14ac:dyDescent="0.3">
      <c r="A5910" s="89" t="s">
        <v>3852</v>
      </c>
      <c r="B5910" s="86" t="s">
        <v>35</v>
      </c>
      <c r="C5910" s="86" t="s">
        <v>184</v>
      </c>
      <c r="D5910" s="86" t="s">
        <v>54</v>
      </c>
      <c r="E5910" s="86" t="s">
        <v>3581</v>
      </c>
      <c r="F5910" s="86" t="s">
        <v>3581</v>
      </c>
      <c r="G5910" s="86" t="s">
        <v>3581</v>
      </c>
      <c r="H5910" s="143">
        <v>22</v>
      </c>
      <c r="I5910" s="86" t="s">
        <v>2935</v>
      </c>
      <c r="J5910" s="1" t="s">
        <v>3302</v>
      </c>
      <c r="K5910" s="1" t="s">
        <v>3371</v>
      </c>
      <c r="L5910" s="1" t="s">
        <v>35</v>
      </c>
      <c r="M5910" s="86" t="s">
        <v>3581</v>
      </c>
      <c r="O5910" s="47" t="s">
        <v>410</v>
      </c>
      <c r="P5910" s="47" t="s">
        <v>46</v>
      </c>
      <c r="Q5910" s="14">
        <v>0.02</v>
      </c>
      <c r="R5910" s="143">
        <v>247082</v>
      </c>
      <c r="S5910" s="47"/>
      <c r="T5910" s="6">
        <v>3760.99</v>
      </c>
      <c r="U5910" s="6">
        <v>-3760.99</v>
      </c>
      <c r="V5910" s="6">
        <v>0</v>
      </c>
      <c r="W5910" s="6">
        <f t="shared" si="918"/>
        <v>0</v>
      </c>
      <c r="X5910" s="6">
        <f t="shared" si="919"/>
        <v>0</v>
      </c>
      <c r="Y5910" s="13">
        <f t="shared" si="923"/>
        <v>0</v>
      </c>
      <c r="Z5910" s="66">
        <v>0</v>
      </c>
      <c r="AA5910" s="6">
        <v>0</v>
      </c>
      <c r="AB5910" s="4"/>
      <c r="AC5910" s="6">
        <f t="shared" si="922"/>
        <v>0</v>
      </c>
      <c r="AD5910" s="6">
        <f t="shared" si="920"/>
        <v>0</v>
      </c>
      <c r="AE5910" s="14">
        <f>VLOOKUP(I5910,[2]媒体政策预估表!A:N,MATCH(O5910,[2]媒体政策预估表!$A$2:$M$2,0),0)</f>
        <v>0.10299999999999999</v>
      </c>
      <c r="AF5910" s="6">
        <f t="shared" si="917"/>
        <v>0</v>
      </c>
      <c r="AG5910" s="14">
        <v>0</v>
      </c>
      <c r="AH5910" s="99">
        <f t="shared" si="921"/>
        <v>0</v>
      </c>
      <c r="AI5910" s="47"/>
      <c r="AJ5910" s="126">
        <v>117</v>
      </c>
      <c r="AK5910" s="80">
        <f t="shared" si="924"/>
        <v>0</v>
      </c>
      <c r="AL5910" s="85"/>
      <c r="AM5910" s="85"/>
    </row>
    <row r="5911" spans="1:39" s="86" customFormat="1" ht="13.25" hidden="1" customHeight="1" x14ac:dyDescent="0.3">
      <c r="A5911" s="89" t="s">
        <v>3852</v>
      </c>
      <c r="B5911" s="86" t="s">
        <v>35</v>
      </c>
      <c r="C5911" s="86" t="s">
        <v>184</v>
      </c>
      <c r="D5911" s="86" t="s">
        <v>54</v>
      </c>
      <c r="E5911" s="86" t="s">
        <v>1200</v>
      </c>
      <c r="F5911" s="86" t="s">
        <v>1201</v>
      </c>
      <c r="G5911" s="86" t="s">
        <v>1200</v>
      </c>
      <c r="H5911" s="144">
        <v>22</v>
      </c>
      <c r="I5911" s="86" t="s">
        <v>2935</v>
      </c>
      <c r="J5911" s="1" t="s">
        <v>3302</v>
      </c>
      <c r="K5911" s="1" t="s">
        <v>3371</v>
      </c>
      <c r="L5911" s="1" t="s">
        <v>35</v>
      </c>
      <c r="M5911" s="86" t="s">
        <v>2949</v>
      </c>
      <c r="O5911" s="47" t="s">
        <v>410</v>
      </c>
      <c r="P5911" s="47" t="s">
        <v>41</v>
      </c>
      <c r="Q5911" s="14">
        <v>0</v>
      </c>
      <c r="R5911" s="143">
        <v>89262</v>
      </c>
      <c r="S5911" s="47"/>
      <c r="T5911" s="6">
        <v>9571.880000000001</v>
      </c>
      <c r="U5911" s="6">
        <v>20000</v>
      </c>
      <c r="V5911" s="6">
        <v>8568.1</v>
      </c>
      <c r="W5911" s="6">
        <f t="shared" si="918"/>
        <v>21003.78</v>
      </c>
      <c r="X5911" s="6">
        <f t="shared" si="919"/>
        <v>8568.1</v>
      </c>
      <c r="Y5911" s="13">
        <f t="shared" si="923"/>
        <v>0</v>
      </c>
      <c r="Z5911" s="66">
        <v>0</v>
      </c>
      <c r="AA5911" s="6">
        <v>0</v>
      </c>
      <c r="AB5911" s="4">
        <f t="shared" si="925"/>
        <v>8568.1</v>
      </c>
      <c r="AC5911" s="6">
        <f t="shared" si="922"/>
        <v>0</v>
      </c>
      <c r="AD5911" s="6">
        <f t="shared" si="920"/>
        <v>8568.1</v>
      </c>
      <c r="AE5911" s="14">
        <f>VLOOKUP(I5911,[2]媒体政策预估表!A:N,MATCH(O5911,[2]媒体政策预估表!$A$2:$M$2,0),0)</f>
        <v>0.10299999999999999</v>
      </c>
      <c r="AF5911" s="6">
        <f t="shared" si="917"/>
        <v>882.51429999999993</v>
      </c>
      <c r="AG5911" s="14">
        <v>0</v>
      </c>
      <c r="AH5911" s="99">
        <f t="shared" si="921"/>
        <v>8568.1</v>
      </c>
      <c r="AI5911" s="47"/>
      <c r="AJ5911" s="126" t="e">
        <v>#N/A</v>
      </c>
      <c r="AK5911" s="80">
        <f t="shared" si="924"/>
        <v>0</v>
      </c>
      <c r="AL5911" s="85"/>
      <c r="AM5911" s="85"/>
    </row>
    <row r="5912" spans="1:39" s="86" customFormat="1" ht="13.25" hidden="1" customHeight="1" x14ac:dyDescent="0.3">
      <c r="A5912" s="89" t="s">
        <v>3852</v>
      </c>
      <c r="B5912" s="86" t="s">
        <v>35</v>
      </c>
      <c r="C5912" s="86" t="s">
        <v>184</v>
      </c>
      <c r="D5912" s="86" t="s">
        <v>54</v>
      </c>
      <c r="E5912" s="86" t="s">
        <v>1200</v>
      </c>
      <c r="F5912" s="86" t="s">
        <v>1201</v>
      </c>
      <c r="G5912" s="86" t="s">
        <v>1200</v>
      </c>
      <c r="H5912" s="144">
        <v>22</v>
      </c>
      <c r="I5912" s="86" t="s">
        <v>2935</v>
      </c>
      <c r="J5912" s="1" t="s">
        <v>3302</v>
      </c>
      <c r="K5912" s="1" t="s">
        <v>3371</v>
      </c>
      <c r="L5912" s="1" t="s">
        <v>35</v>
      </c>
      <c r="M5912" s="86" t="s">
        <v>2331</v>
      </c>
      <c r="O5912" s="47" t="s">
        <v>410</v>
      </c>
      <c r="P5912" s="47" t="s">
        <v>41</v>
      </c>
      <c r="Q5912" s="14">
        <v>0</v>
      </c>
      <c r="R5912" s="143">
        <v>245072</v>
      </c>
      <c r="S5912" s="47"/>
      <c r="T5912" s="6">
        <v>9932.4799999999977</v>
      </c>
      <c r="U5912" s="6">
        <v>20000</v>
      </c>
      <c r="V5912" s="6">
        <v>14195.04</v>
      </c>
      <c r="W5912" s="6">
        <f t="shared" si="918"/>
        <v>15737.439999999995</v>
      </c>
      <c r="X5912" s="6">
        <f t="shared" si="919"/>
        <v>14195.04</v>
      </c>
      <c r="Y5912" s="13">
        <f t="shared" si="923"/>
        <v>0</v>
      </c>
      <c r="Z5912" s="66">
        <v>0</v>
      </c>
      <c r="AA5912" s="6">
        <v>0</v>
      </c>
      <c r="AB5912" s="4">
        <f t="shared" si="925"/>
        <v>14195.04</v>
      </c>
      <c r="AC5912" s="6">
        <f t="shared" si="922"/>
        <v>0</v>
      </c>
      <c r="AD5912" s="6">
        <f t="shared" si="920"/>
        <v>14195.04</v>
      </c>
      <c r="AE5912" s="14">
        <f>VLOOKUP(I5912,[2]媒体政策预估表!A:N,MATCH(O5912,[2]媒体政策预估表!$A$2:$M$2,0),0)</f>
        <v>0.10299999999999999</v>
      </c>
      <c r="AF5912" s="6">
        <f t="shared" si="917"/>
        <v>1462.0891200000001</v>
      </c>
      <c r="AG5912" s="14">
        <v>0</v>
      </c>
      <c r="AH5912" s="99">
        <f t="shared" si="921"/>
        <v>14195.04</v>
      </c>
      <c r="AI5912" s="47"/>
      <c r="AJ5912" s="126" t="e">
        <v>#N/A</v>
      </c>
      <c r="AK5912" s="80">
        <f t="shared" si="924"/>
        <v>0</v>
      </c>
      <c r="AL5912" s="85"/>
      <c r="AM5912" s="85"/>
    </row>
    <row r="5913" spans="1:39" s="86" customFormat="1" ht="13.25" hidden="1" customHeight="1" x14ac:dyDescent="0.3">
      <c r="A5913" s="89" t="s">
        <v>3792</v>
      </c>
      <c r="B5913" s="86" t="s">
        <v>35</v>
      </c>
      <c r="C5913" s="86" t="s">
        <v>184</v>
      </c>
      <c r="D5913" s="86" t="s">
        <v>54</v>
      </c>
      <c r="E5913" s="86" t="s">
        <v>1200</v>
      </c>
      <c r="F5913" s="86" t="s">
        <v>1201</v>
      </c>
      <c r="G5913" s="86" t="s">
        <v>1200</v>
      </c>
      <c r="H5913" s="144">
        <v>22</v>
      </c>
      <c r="I5913" s="86" t="s">
        <v>2935</v>
      </c>
      <c r="J5913" s="1" t="s">
        <v>3302</v>
      </c>
      <c r="K5913" s="1" t="s">
        <v>3371</v>
      </c>
      <c r="L5913" s="1" t="s">
        <v>35</v>
      </c>
      <c r="M5913" s="86" t="s">
        <v>1200</v>
      </c>
      <c r="O5913" s="47" t="s">
        <v>410</v>
      </c>
      <c r="P5913" s="47" t="s">
        <v>41</v>
      </c>
      <c r="Q5913" s="14">
        <v>0</v>
      </c>
      <c r="R5913" s="143">
        <v>49572</v>
      </c>
      <c r="S5913" s="47"/>
      <c r="T5913" s="6">
        <v>79881.62999999999</v>
      </c>
      <c r="U5913" s="6">
        <v>50000</v>
      </c>
      <c r="V5913" s="6">
        <v>45375.8</v>
      </c>
      <c r="W5913" s="6">
        <f t="shared" si="918"/>
        <v>84505.829999999987</v>
      </c>
      <c r="X5913" s="6">
        <f t="shared" si="919"/>
        <v>45375.8</v>
      </c>
      <c r="Y5913" s="13">
        <f t="shared" si="923"/>
        <v>0</v>
      </c>
      <c r="Z5913" s="66">
        <v>0</v>
      </c>
      <c r="AA5913" s="6">
        <v>0</v>
      </c>
      <c r="AB5913" s="4">
        <f t="shared" si="925"/>
        <v>45375.8</v>
      </c>
      <c r="AC5913" s="6">
        <f t="shared" si="922"/>
        <v>0</v>
      </c>
      <c r="AD5913" s="6">
        <f t="shared" si="920"/>
        <v>45375.8</v>
      </c>
      <c r="AE5913" s="14">
        <f>VLOOKUP(I5913,[2]媒体政策预估表!A:N,MATCH(O5913,[2]媒体政策预估表!$A$2:$M$2,0),0)</f>
        <v>0.10299999999999999</v>
      </c>
      <c r="AF5913" s="6">
        <f t="shared" si="917"/>
        <v>4673.7074000000002</v>
      </c>
      <c r="AG5913" s="14">
        <v>0</v>
      </c>
      <c r="AH5913" s="99">
        <f t="shared" si="921"/>
        <v>45375.8</v>
      </c>
      <c r="AI5913" s="47"/>
      <c r="AJ5913" s="126" t="e">
        <v>#N/A</v>
      </c>
      <c r="AK5913" s="80">
        <f t="shared" si="924"/>
        <v>0</v>
      </c>
      <c r="AL5913" s="85"/>
      <c r="AM5913" s="85"/>
    </row>
    <row r="5914" spans="1:39" s="86" customFormat="1" ht="13.25" hidden="1" customHeight="1" x14ac:dyDescent="0.3">
      <c r="A5914" s="89" t="s">
        <v>3852</v>
      </c>
      <c r="B5914" s="86" t="s">
        <v>35</v>
      </c>
      <c r="C5914" s="86" t="s">
        <v>184</v>
      </c>
      <c r="D5914" s="86" t="s">
        <v>54</v>
      </c>
      <c r="E5914" s="86" t="s">
        <v>1200</v>
      </c>
      <c r="F5914" s="86" t="s">
        <v>1201</v>
      </c>
      <c r="G5914" s="86" t="s">
        <v>1200</v>
      </c>
      <c r="H5914" s="144">
        <v>22</v>
      </c>
      <c r="I5914" s="86" t="s">
        <v>2935</v>
      </c>
      <c r="J5914" s="1" t="s">
        <v>3302</v>
      </c>
      <c r="K5914" s="1" t="s">
        <v>3371</v>
      </c>
      <c r="L5914" s="1" t="s">
        <v>35</v>
      </c>
      <c r="M5914" s="86" t="s">
        <v>3883</v>
      </c>
      <c r="O5914" s="47" t="s">
        <v>410</v>
      </c>
      <c r="P5914" s="47" t="s">
        <v>41</v>
      </c>
      <c r="Q5914" s="14">
        <v>0</v>
      </c>
      <c r="R5914" s="143">
        <v>245042</v>
      </c>
      <c r="S5914" s="47"/>
      <c r="T5914" s="6">
        <v>0</v>
      </c>
      <c r="U5914" s="6">
        <v>10000</v>
      </c>
      <c r="V5914" s="6">
        <v>1920.11</v>
      </c>
      <c r="W5914" s="6">
        <f t="shared" si="918"/>
        <v>8079.89</v>
      </c>
      <c r="X5914" s="6">
        <f t="shared" si="919"/>
        <v>1920.11</v>
      </c>
      <c r="Y5914" s="13">
        <f t="shared" si="923"/>
        <v>0</v>
      </c>
      <c r="Z5914" s="66">
        <v>0</v>
      </c>
      <c r="AA5914" s="6">
        <v>0</v>
      </c>
      <c r="AB5914" s="4">
        <f t="shared" si="925"/>
        <v>1920.11</v>
      </c>
      <c r="AC5914" s="6">
        <f t="shared" si="922"/>
        <v>0</v>
      </c>
      <c r="AD5914" s="6">
        <f t="shared" si="920"/>
        <v>1920.11</v>
      </c>
      <c r="AE5914" s="14">
        <f>VLOOKUP(I5914,[2]媒体政策预估表!A:N,MATCH(O5914,[2]媒体政策预估表!$A$2:$M$2,0),0)</f>
        <v>0.10299999999999999</v>
      </c>
      <c r="AF5914" s="6">
        <f t="shared" si="917"/>
        <v>197.77132999999998</v>
      </c>
      <c r="AG5914" s="14">
        <v>0</v>
      </c>
      <c r="AH5914" s="99">
        <f t="shared" si="921"/>
        <v>1920.11</v>
      </c>
      <c r="AI5914" s="47"/>
      <c r="AJ5914" s="126" t="e">
        <v>#N/A</v>
      </c>
      <c r="AK5914" s="80">
        <f t="shared" si="924"/>
        <v>0</v>
      </c>
      <c r="AL5914" s="85"/>
      <c r="AM5914" s="85"/>
    </row>
    <row r="5915" spans="1:39" s="86" customFormat="1" ht="13.25" hidden="1" customHeight="1" x14ac:dyDescent="0.3">
      <c r="A5915" s="89" t="s">
        <v>3852</v>
      </c>
      <c r="B5915" s="86" t="s">
        <v>35</v>
      </c>
      <c r="C5915" s="86" t="s">
        <v>184</v>
      </c>
      <c r="D5915" s="86" t="s">
        <v>54</v>
      </c>
      <c r="E5915" s="86" t="s">
        <v>2843</v>
      </c>
      <c r="F5915" s="86" t="s">
        <v>2843</v>
      </c>
      <c r="G5915" s="86" t="s">
        <v>2843</v>
      </c>
      <c r="H5915" s="144">
        <v>22</v>
      </c>
      <c r="I5915" s="86" t="s">
        <v>2935</v>
      </c>
      <c r="J5915" s="1" t="s">
        <v>3302</v>
      </c>
      <c r="K5915" s="1" t="s">
        <v>3371</v>
      </c>
      <c r="L5915" s="1" t="s">
        <v>35</v>
      </c>
      <c r="M5915" s="86" t="s">
        <v>2950</v>
      </c>
      <c r="O5915" s="47" t="s">
        <v>410</v>
      </c>
      <c r="P5915" s="47" t="s">
        <v>41</v>
      </c>
      <c r="Q5915" s="14">
        <v>0</v>
      </c>
      <c r="R5915" s="143">
        <v>213242</v>
      </c>
      <c r="S5915" s="47"/>
      <c r="T5915" s="6">
        <v>108858.84</v>
      </c>
      <c r="U5915" s="6">
        <v>50000</v>
      </c>
      <c r="V5915" s="6">
        <v>137617.92000000001</v>
      </c>
      <c r="W5915" s="6">
        <f t="shared" si="918"/>
        <v>21240.919999999984</v>
      </c>
      <c r="X5915" s="6">
        <f t="shared" si="919"/>
        <v>137617.92000000001</v>
      </c>
      <c r="Y5915" s="13">
        <f t="shared" si="923"/>
        <v>0</v>
      </c>
      <c r="Z5915" s="66">
        <v>0</v>
      </c>
      <c r="AA5915" s="6">
        <v>0</v>
      </c>
      <c r="AB5915" s="4">
        <f t="shared" si="925"/>
        <v>137617.92000000001</v>
      </c>
      <c r="AC5915" s="6">
        <f t="shared" si="922"/>
        <v>0</v>
      </c>
      <c r="AD5915" s="6">
        <f t="shared" si="920"/>
        <v>137617.92000000001</v>
      </c>
      <c r="AE5915" s="14">
        <f>VLOOKUP(I5915,[2]媒体政策预估表!A:N,MATCH(O5915,[2]媒体政策预估表!$A$2:$M$2,0),0)</f>
        <v>0.10299999999999999</v>
      </c>
      <c r="AF5915" s="6">
        <f t="shared" si="917"/>
        <v>14174.645760000001</v>
      </c>
      <c r="AG5915" s="14">
        <v>0</v>
      </c>
      <c r="AH5915" s="99">
        <f t="shared" si="921"/>
        <v>137617.92000000001</v>
      </c>
      <c r="AI5915" s="47"/>
      <c r="AJ5915" s="126" t="e">
        <v>#N/A</v>
      </c>
      <c r="AK5915" s="80">
        <f t="shared" si="924"/>
        <v>0</v>
      </c>
      <c r="AL5915" s="85"/>
      <c r="AM5915" s="85"/>
    </row>
    <row r="5916" spans="1:39" s="86" customFormat="1" ht="13.25" hidden="1" customHeight="1" x14ac:dyDescent="0.3">
      <c r="A5916" s="89" t="s">
        <v>3792</v>
      </c>
      <c r="B5916" s="86" t="s">
        <v>35</v>
      </c>
      <c r="C5916" s="86" t="s">
        <v>184</v>
      </c>
      <c r="D5916" s="86" t="s">
        <v>54</v>
      </c>
      <c r="E5916" s="86" t="s">
        <v>3884</v>
      </c>
      <c r="F5916" s="86" t="s">
        <v>3884</v>
      </c>
      <c r="G5916" s="86" t="s">
        <v>3884</v>
      </c>
      <c r="H5916" s="144">
        <v>22</v>
      </c>
      <c r="I5916" s="86" t="s">
        <v>2935</v>
      </c>
      <c r="J5916" s="1" t="s">
        <v>3302</v>
      </c>
      <c r="K5916" s="1" t="s">
        <v>3371</v>
      </c>
      <c r="L5916" s="1" t="s">
        <v>35</v>
      </c>
      <c r="M5916" s="86" t="s">
        <v>3884</v>
      </c>
      <c r="O5916" s="47" t="s">
        <v>410</v>
      </c>
      <c r="P5916" s="47" t="s">
        <v>41</v>
      </c>
      <c r="Q5916" s="14">
        <v>0</v>
      </c>
      <c r="R5916" s="143">
        <v>249792</v>
      </c>
      <c r="S5916" s="47"/>
      <c r="T5916" s="6">
        <v>0</v>
      </c>
      <c r="U5916" s="6">
        <v>10000</v>
      </c>
      <c r="V5916" s="6">
        <v>5554.8</v>
      </c>
      <c r="W5916" s="6">
        <f t="shared" si="918"/>
        <v>4445.2</v>
      </c>
      <c r="X5916" s="6">
        <f t="shared" si="919"/>
        <v>5554.8</v>
      </c>
      <c r="Y5916" s="13">
        <f t="shared" si="923"/>
        <v>0</v>
      </c>
      <c r="Z5916" s="66">
        <v>0</v>
      </c>
      <c r="AA5916" s="6">
        <v>0</v>
      </c>
      <c r="AB5916" s="4">
        <f t="shared" si="925"/>
        <v>5554.8</v>
      </c>
      <c r="AC5916" s="6">
        <f t="shared" si="922"/>
        <v>0</v>
      </c>
      <c r="AD5916" s="6">
        <f t="shared" si="920"/>
        <v>5554.8</v>
      </c>
      <c r="AE5916" s="14">
        <f>VLOOKUP(I5916,[2]媒体政策预估表!A:N,MATCH(O5916,[2]媒体政策预估表!$A$2:$M$2,0),0)</f>
        <v>0.10299999999999999</v>
      </c>
      <c r="AF5916" s="6">
        <f t="shared" si="917"/>
        <v>572.14440000000002</v>
      </c>
      <c r="AG5916" s="14">
        <v>0</v>
      </c>
      <c r="AH5916" s="99">
        <f t="shared" si="921"/>
        <v>5554.8</v>
      </c>
      <c r="AI5916" s="47"/>
      <c r="AJ5916" s="126" t="e">
        <v>#N/A</v>
      </c>
      <c r="AK5916" s="80">
        <f t="shared" si="924"/>
        <v>0</v>
      </c>
      <c r="AL5916" s="85"/>
      <c r="AM5916" s="85"/>
    </row>
    <row r="5917" spans="1:39" s="86" customFormat="1" ht="13.25" hidden="1" customHeight="1" x14ac:dyDescent="0.3">
      <c r="A5917" s="89" t="s">
        <v>3852</v>
      </c>
      <c r="B5917" s="86" t="s">
        <v>35</v>
      </c>
      <c r="C5917" s="86" t="s">
        <v>184</v>
      </c>
      <c r="D5917" s="86" t="s">
        <v>54</v>
      </c>
      <c r="E5917" s="86" t="s">
        <v>2846</v>
      </c>
      <c r="F5917" s="86" t="s">
        <v>2846</v>
      </c>
      <c r="G5917" s="86" t="s">
        <v>2846</v>
      </c>
      <c r="H5917" s="144">
        <v>22</v>
      </c>
      <c r="I5917" s="86" t="s">
        <v>2935</v>
      </c>
      <c r="J5917" s="1" t="s">
        <v>3302</v>
      </c>
      <c r="K5917" s="1" t="s">
        <v>3371</v>
      </c>
      <c r="L5917" s="1" t="s">
        <v>35</v>
      </c>
      <c r="M5917" s="86" t="s">
        <v>2846</v>
      </c>
      <c r="O5917" s="47" t="s">
        <v>410</v>
      </c>
      <c r="P5917" s="47" t="s">
        <v>41</v>
      </c>
      <c r="Q5917" s="14">
        <v>0</v>
      </c>
      <c r="R5917" s="143">
        <v>22902</v>
      </c>
      <c r="S5917" s="47"/>
      <c r="T5917" s="6">
        <v>249816.82</v>
      </c>
      <c r="U5917" s="6">
        <v>600000</v>
      </c>
      <c r="V5917" s="6">
        <v>732099.8</v>
      </c>
      <c r="W5917" s="6">
        <f t="shared" si="918"/>
        <v>117717.02000000002</v>
      </c>
      <c r="X5917" s="6">
        <f t="shared" si="919"/>
        <v>732099.8</v>
      </c>
      <c r="Y5917" s="13">
        <f t="shared" si="923"/>
        <v>0</v>
      </c>
      <c r="Z5917" s="66">
        <v>0</v>
      </c>
      <c r="AA5917" s="6">
        <v>0</v>
      </c>
      <c r="AB5917" s="4">
        <f t="shared" si="925"/>
        <v>732099.8</v>
      </c>
      <c r="AC5917" s="6">
        <f t="shared" si="922"/>
        <v>0</v>
      </c>
      <c r="AD5917" s="6">
        <f t="shared" si="920"/>
        <v>732099.8</v>
      </c>
      <c r="AE5917" s="14">
        <f>VLOOKUP(I5917,[2]媒体政策预估表!A:N,MATCH(O5917,[2]媒体政策预估表!$A$2:$M$2,0),0)</f>
        <v>0.10299999999999999</v>
      </c>
      <c r="AF5917" s="6">
        <f t="shared" si="917"/>
        <v>75406.279399999999</v>
      </c>
      <c r="AG5917" s="14">
        <v>0</v>
      </c>
      <c r="AH5917" s="99">
        <f t="shared" si="921"/>
        <v>732099.8</v>
      </c>
      <c r="AI5917" s="47"/>
      <c r="AJ5917" s="126" t="e">
        <v>#N/A</v>
      </c>
      <c r="AK5917" s="80">
        <f t="shared" si="924"/>
        <v>0</v>
      </c>
      <c r="AL5917" s="85"/>
      <c r="AM5917" s="85"/>
    </row>
    <row r="5918" spans="1:39" s="86" customFormat="1" ht="13.25" hidden="1" customHeight="1" x14ac:dyDescent="0.3">
      <c r="A5918" s="89" t="s">
        <v>3852</v>
      </c>
      <c r="B5918" s="86" t="s">
        <v>35</v>
      </c>
      <c r="C5918" s="86" t="s">
        <v>184</v>
      </c>
      <c r="D5918" s="86" t="s">
        <v>54</v>
      </c>
      <c r="E5918" s="86" t="s">
        <v>2846</v>
      </c>
      <c r="F5918" s="86" t="s">
        <v>2846</v>
      </c>
      <c r="G5918" s="86" t="s">
        <v>2846</v>
      </c>
      <c r="H5918" s="144">
        <v>22</v>
      </c>
      <c r="I5918" s="86" t="s">
        <v>2935</v>
      </c>
      <c r="J5918" s="1" t="s">
        <v>3302</v>
      </c>
      <c r="K5918" s="1" t="s">
        <v>3371</v>
      </c>
      <c r="L5918" s="1" t="s">
        <v>35</v>
      </c>
      <c r="M5918" s="86" t="s">
        <v>2952</v>
      </c>
      <c r="O5918" s="47" t="s">
        <v>410</v>
      </c>
      <c r="P5918" s="47" t="s">
        <v>41</v>
      </c>
      <c r="Q5918" s="14">
        <v>0</v>
      </c>
      <c r="R5918" s="143">
        <v>97602</v>
      </c>
      <c r="S5918" s="47"/>
      <c r="T5918" s="6">
        <v>172398.42999999988</v>
      </c>
      <c r="U5918" s="6">
        <v>500000</v>
      </c>
      <c r="V5918" s="6">
        <v>634442.76</v>
      </c>
      <c r="W5918" s="6">
        <f t="shared" si="918"/>
        <v>37955.669999999925</v>
      </c>
      <c r="X5918" s="6">
        <f t="shared" si="919"/>
        <v>634442.76</v>
      </c>
      <c r="Y5918" s="13">
        <f t="shared" si="923"/>
        <v>0</v>
      </c>
      <c r="Z5918" s="66">
        <v>0</v>
      </c>
      <c r="AA5918" s="6">
        <v>0</v>
      </c>
      <c r="AB5918" s="4">
        <f t="shared" si="925"/>
        <v>634442.76</v>
      </c>
      <c r="AC5918" s="6">
        <f t="shared" si="922"/>
        <v>0</v>
      </c>
      <c r="AD5918" s="6">
        <f t="shared" si="920"/>
        <v>634442.76</v>
      </c>
      <c r="AE5918" s="14">
        <f>VLOOKUP(I5918,[2]媒体政策预估表!A:N,MATCH(O5918,[2]媒体政策预估表!$A$2:$M$2,0),0)</f>
        <v>0.10299999999999999</v>
      </c>
      <c r="AF5918" s="6">
        <f t="shared" si="917"/>
        <v>65347.60428</v>
      </c>
      <c r="AG5918" s="14">
        <v>0</v>
      </c>
      <c r="AH5918" s="99">
        <f t="shared" si="921"/>
        <v>634442.76</v>
      </c>
      <c r="AI5918" s="47"/>
      <c r="AJ5918" s="126" t="e">
        <v>#N/A</v>
      </c>
      <c r="AK5918" s="80">
        <f t="shared" si="924"/>
        <v>0</v>
      </c>
      <c r="AL5918" s="85"/>
      <c r="AM5918" s="85"/>
    </row>
    <row r="5919" spans="1:39" s="86" customFormat="1" ht="13.25" hidden="1" customHeight="1" x14ac:dyDescent="0.3">
      <c r="A5919" s="89" t="s">
        <v>3852</v>
      </c>
      <c r="B5919" s="86" t="s">
        <v>35</v>
      </c>
      <c r="C5919" s="86" t="s">
        <v>184</v>
      </c>
      <c r="D5919" s="86" t="s">
        <v>54</v>
      </c>
      <c r="E5919" s="86" t="s">
        <v>458</v>
      </c>
      <c r="F5919" s="86" t="s">
        <v>458</v>
      </c>
      <c r="G5919" s="86" t="s">
        <v>458</v>
      </c>
      <c r="H5919" s="144">
        <v>22</v>
      </c>
      <c r="I5919" s="86" t="s">
        <v>2935</v>
      </c>
      <c r="J5919" s="1" t="s">
        <v>3302</v>
      </c>
      <c r="K5919" s="1" t="s">
        <v>3371</v>
      </c>
      <c r="L5919" s="1" t="s">
        <v>35</v>
      </c>
      <c r="M5919" s="86" t="s">
        <v>458</v>
      </c>
      <c r="O5919" s="47" t="s">
        <v>410</v>
      </c>
      <c r="P5919" s="47" t="s">
        <v>41</v>
      </c>
      <c r="Q5919" s="14">
        <v>0</v>
      </c>
      <c r="R5919" s="143">
        <v>39522</v>
      </c>
      <c r="S5919" s="47"/>
      <c r="T5919" s="6">
        <v>48089.049999999988</v>
      </c>
      <c r="U5919" s="6">
        <v>100000</v>
      </c>
      <c r="V5919" s="6">
        <v>92695.77</v>
      </c>
      <c r="W5919" s="6">
        <f t="shared" si="918"/>
        <v>55393.279999999984</v>
      </c>
      <c r="X5919" s="6">
        <f t="shared" si="919"/>
        <v>92695.77</v>
      </c>
      <c r="Y5919" s="13">
        <f t="shared" si="923"/>
        <v>0</v>
      </c>
      <c r="Z5919" s="66">
        <v>0</v>
      </c>
      <c r="AA5919" s="6">
        <v>0</v>
      </c>
      <c r="AB5919" s="4">
        <f t="shared" si="925"/>
        <v>92695.77</v>
      </c>
      <c r="AC5919" s="6">
        <f t="shared" si="922"/>
        <v>0</v>
      </c>
      <c r="AD5919" s="6">
        <f t="shared" si="920"/>
        <v>92695.77</v>
      </c>
      <c r="AE5919" s="14">
        <f>VLOOKUP(I5919,[2]媒体政策预估表!A:N,MATCH(O5919,[2]媒体政策预估表!$A$2:$M$2,0),0)</f>
        <v>0.10299999999999999</v>
      </c>
      <c r="AF5919" s="6">
        <f t="shared" si="917"/>
        <v>9547.6643100000001</v>
      </c>
      <c r="AG5919" s="14">
        <v>0</v>
      </c>
      <c r="AH5919" s="99">
        <f t="shared" si="921"/>
        <v>92695.77</v>
      </c>
      <c r="AI5919" s="47"/>
      <c r="AJ5919" s="126" t="e">
        <v>#N/A</v>
      </c>
      <c r="AK5919" s="80">
        <f t="shared" si="924"/>
        <v>0</v>
      </c>
      <c r="AL5919" s="85"/>
      <c r="AM5919" s="85"/>
    </row>
    <row r="5920" spans="1:39" s="86" customFormat="1" ht="13.25" hidden="1" customHeight="1" x14ac:dyDescent="0.3">
      <c r="A5920" s="89" t="s">
        <v>3852</v>
      </c>
      <c r="B5920" s="86" t="s">
        <v>35</v>
      </c>
      <c r="C5920" s="86" t="s">
        <v>184</v>
      </c>
      <c r="D5920" s="86" t="s">
        <v>54</v>
      </c>
      <c r="E5920" s="86" t="s">
        <v>3885</v>
      </c>
      <c r="F5920" s="86" t="s">
        <v>3885</v>
      </c>
      <c r="G5920" s="86" t="s">
        <v>3885</v>
      </c>
      <c r="H5920" s="143">
        <v>22</v>
      </c>
      <c r="I5920" s="86" t="s">
        <v>2935</v>
      </c>
      <c r="J5920" s="1" t="s">
        <v>3302</v>
      </c>
      <c r="K5920" s="1" t="s">
        <v>3371</v>
      </c>
      <c r="L5920" s="1" t="s">
        <v>35</v>
      </c>
      <c r="M5920" s="86" t="s">
        <v>3885</v>
      </c>
      <c r="O5920" s="47" t="s">
        <v>410</v>
      </c>
      <c r="P5920" s="47" t="s">
        <v>41</v>
      </c>
      <c r="Q5920" s="14">
        <v>0</v>
      </c>
      <c r="R5920" s="143">
        <v>250782</v>
      </c>
      <c r="S5920" s="47"/>
      <c r="T5920" s="6">
        <v>0</v>
      </c>
      <c r="U5920" s="6">
        <v>5000</v>
      </c>
      <c r="V5920" s="6">
        <v>500</v>
      </c>
      <c r="W5920" s="6">
        <f t="shared" si="918"/>
        <v>4500</v>
      </c>
      <c r="X5920" s="6">
        <f t="shared" si="919"/>
        <v>500</v>
      </c>
      <c r="Y5920" s="13">
        <f t="shared" si="923"/>
        <v>0</v>
      </c>
      <c r="Z5920" s="66">
        <v>0</v>
      </c>
      <c r="AA5920" s="6">
        <v>0</v>
      </c>
      <c r="AB5920" s="4"/>
      <c r="AC5920" s="6">
        <f t="shared" si="922"/>
        <v>0</v>
      </c>
      <c r="AD5920" s="6">
        <f t="shared" si="920"/>
        <v>500</v>
      </c>
      <c r="AE5920" s="14">
        <f>VLOOKUP(I5920,[2]媒体政策预估表!A:N,MATCH(O5920,[2]媒体政策预估表!$A$2:$M$2,0),0)</f>
        <v>0.10299999999999999</v>
      </c>
      <c r="AF5920" s="6">
        <f t="shared" si="917"/>
        <v>51.5</v>
      </c>
      <c r="AG5920" s="14">
        <v>0</v>
      </c>
      <c r="AH5920" s="99">
        <f t="shared" si="921"/>
        <v>500</v>
      </c>
      <c r="AI5920" s="47"/>
      <c r="AJ5920" s="126">
        <v>118</v>
      </c>
      <c r="AK5920" s="80">
        <f t="shared" si="924"/>
        <v>500</v>
      </c>
      <c r="AL5920" s="85"/>
      <c r="AM5920" s="85"/>
    </row>
    <row r="5921" spans="1:39" s="86" customFormat="1" ht="13.25" hidden="1" customHeight="1" x14ac:dyDescent="0.3">
      <c r="A5921" s="89" t="s">
        <v>3792</v>
      </c>
      <c r="B5921" s="86" t="s">
        <v>35</v>
      </c>
      <c r="C5921" s="86" t="s">
        <v>184</v>
      </c>
      <c r="D5921" s="86" t="s">
        <v>54</v>
      </c>
      <c r="E5921" s="86" t="s">
        <v>291</v>
      </c>
      <c r="F5921" s="86" t="s">
        <v>291</v>
      </c>
      <c r="G5921" s="86" t="s">
        <v>291</v>
      </c>
      <c r="H5921" s="144">
        <v>22</v>
      </c>
      <c r="I5921" s="86" t="s">
        <v>2935</v>
      </c>
      <c r="J5921" s="1" t="s">
        <v>3302</v>
      </c>
      <c r="K5921" s="1" t="s">
        <v>3371</v>
      </c>
      <c r="L5921" s="1" t="s">
        <v>35</v>
      </c>
      <c r="M5921" s="86" t="s">
        <v>2955</v>
      </c>
      <c r="O5921" s="47" t="s">
        <v>410</v>
      </c>
      <c r="P5921" s="47" t="s">
        <v>41</v>
      </c>
      <c r="Q5921" s="14">
        <v>0</v>
      </c>
      <c r="R5921" s="143">
        <v>46382</v>
      </c>
      <c r="S5921" s="47"/>
      <c r="T5921" s="6">
        <v>35811.850000000079</v>
      </c>
      <c r="U5921" s="6">
        <v>50000</v>
      </c>
      <c r="V5921" s="6">
        <v>62746.860000000008</v>
      </c>
      <c r="W5921" s="6">
        <f t="shared" si="918"/>
        <v>23064.990000000071</v>
      </c>
      <c r="X5921" s="6">
        <f t="shared" si="919"/>
        <v>62746.860000000008</v>
      </c>
      <c r="Y5921" s="13">
        <f t="shared" si="923"/>
        <v>0</v>
      </c>
      <c r="Z5921" s="66">
        <v>0</v>
      </c>
      <c r="AA5921" s="6">
        <v>0</v>
      </c>
      <c r="AB5921" s="4">
        <f t="shared" si="925"/>
        <v>62746.860000000008</v>
      </c>
      <c r="AC5921" s="6">
        <f t="shared" si="922"/>
        <v>0</v>
      </c>
      <c r="AD5921" s="6">
        <f t="shared" si="920"/>
        <v>62746.860000000008</v>
      </c>
      <c r="AE5921" s="14">
        <f>VLOOKUP(I5921,[2]媒体政策预估表!A:N,MATCH(O5921,[2]媒体政策预估表!$A$2:$M$2,0),0)</f>
        <v>0.10299999999999999</v>
      </c>
      <c r="AF5921" s="6">
        <f t="shared" si="917"/>
        <v>6462.9265800000003</v>
      </c>
      <c r="AG5921" s="14">
        <v>0</v>
      </c>
      <c r="AH5921" s="99">
        <f t="shared" si="921"/>
        <v>62746.860000000008</v>
      </c>
      <c r="AI5921" s="47"/>
      <c r="AJ5921" s="126" t="e">
        <v>#N/A</v>
      </c>
      <c r="AK5921" s="80">
        <f t="shared" si="924"/>
        <v>0</v>
      </c>
      <c r="AL5921" s="85"/>
      <c r="AM5921" s="85"/>
    </row>
    <row r="5922" spans="1:39" s="86" customFormat="1" ht="13.25" hidden="1" customHeight="1" x14ac:dyDescent="0.3">
      <c r="A5922" s="89" t="s">
        <v>3852</v>
      </c>
      <c r="B5922" s="86" t="s">
        <v>35</v>
      </c>
      <c r="C5922" s="86" t="s">
        <v>184</v>
      </c>
      <c r="D5922" s="86" t="s">
        <v>54</v>
      </c>
      <c r="E5922" s="86" t="s">
        <v>114</v>
      </c>
      <c r="F5922" s="86" t="s">
        <v>114</v>
      </c>
      <c r="G5922" s="86" t="s">
        <v>114</v>
      </c>
      <c r="H5922" s="144">
        <v>22</v>
      </c>
      <c r="I5922" s="86" t="s">
        <v>2935</v>
      </c>
      <c r="J5922" s="1" t="s">
        <v>3302</v>
      </c>
      <c r="K5922" s="1" t="s">
        <v>3371</v>
      </c>
      <c r="L5922" s="1" t="s">
        <v>35</v>
      </c>
      <c r="M5922" s="86" t="s">
        <v>1866</v>
      </c>
      <c r="O5922" s="47" t="s">
        <v>410</v>
      </c>
      <c r="P5922" s="47" t="s">
        <v>46</v>
      </c>
      <c r="Q5922" s="14">
        <v>0.02</v>
      </c>
      <c r="R5922" s="143">
        <v>62122</v>
      </c>
      <c r="S5922" s="47"/>
      <c r="T5922" s="6">
        <v>1579125.3399999994</v>
      </c>
      <c r="U5922" s="6">
        <v>5800000</v>
      </c>
      <c r="V5922" s="6">
        <v>5481635.4000000004</v>
      </c>
      <c r="W5922" s="6">
        <f t="shared" si="918"/>
        <v>1897489.9399999995</v>
      </c>
      <c r="X5922" s="6">
        <f t="shared" si="919"/>
        <v>5374152.3529411769</v>
      </c>
      <c r="Y5922" s="13">
        <f t="shared" si="923"/>
        <v>0</v>
      </c>
      <c r="Z5922" s="66">
        <v>0</v>
      </c>
      <c r="AA5922" s="6">
        <v>0</v>
      </c>
      <c r="AB5922" s="4">
        <f t="shared" si="925"/>
        <v>5374152.3529411769</v>
      </c>
      <c r="AC5922" s="6">
        <f t="shared" si="922"/>
        <v>107483.04705882352</v>
      </c>
      <c r="AD5922" s="6">
        <f t="shared" si="920"/>
        <v>5481635.4000000004</v>
      </c>
      <c r="AE5922" s="14">
        <f>VLOOKUP(I5922,[2]媒体政策预估表!A:N,MATCH(O5922,[2]媒体政策预估表!$A$2:$M$2,0),0)</f>
        <v>0.10299999999999999</v>
      </c>
      <c r="AF5922" s="6">
        <f t="shared" si="917"/>
        <v>564608.44620000001</v>
      </c>
      <c r="AG5922" s="14">
        <v>0</v>
      </c>
      <c r="AH5922" s="99">
        <f t="shared" si="921"/>
        <v>5481635.4000000004</v>
      </c>
      <c r="AI5922" s="47"/>
      <c r="AJ5922" s="126" t="e">
        <v>#N/A</v>
      </c>
      <c r="AK5922" s="80">
        <f t="shared" si="924"/>
        <v>0</v>
      </c>
      <c r="AL5922" s="85"/>
      <c r="AM5922" s="85"/>
    </row>
    <row r="5923" spans="1:39" s="86" customFormat="1" ht="13.25" hidden="1" customHeight="1" x14ac:dyDescent="0.3">
      <c r="A5923" s="89" t="s">
        <v>3792</v>
      </c>
      <c r="B5923" s="86" t="s">
        <v>35</v>
      </c>
      <c r="C5923" s="86" t="s">
        <v>184</v>
      </c>
      <c r="D5923" s="86" t="s">
        <v>54</v>
      </c>
      <c r="E5923" s="86" t="s">
        <v>114</v>
      </c>
      <c r="F5923" s="86" t="s">
        <v>114</v>
      </c>
      <c r="G5923" s="86" t="s">
        <v>114</v>
      </c>
      <c r="H5923" s="144">
        <v>22</v>
      </c>
      <c r="I5923" s="86" t="s">
        <v>2935</v>
      </c>
      <c r="J5923" s="1" t="s">
        <v>3302</v>
      </c>
      <c r="K5923" s="1" t="s">
        <v>3371</v>
      </c>
      <c r="L5923" s="1" t="s">
        <v>35</v>
      </c>
      <c r="M5923" s="86" t="s">
        <v>2956</v>
      </c>
      <c r="O5923" s="47" t="s">
        <v>410</v>
      </c>
      <c r="P5923" s="47" t="s">
        <v>46</v>
      </c>
      <c r="Q5923" s="14">
        <v>0.02</v>
      </c>
      <c r="R5923" s="143">
        <v>238152</v>
      </c>
      <c r="S5923" s="47"/>
      <c r="T5923" s="6">
        <v>194682.54000000027</v>
      </c>
      <c r="U5923" s="6">
        <v>1480000</v>
      </c>
      <c r="V5923" s="6">
        <v>1519696.93</v>
      </c>
      <c r="W5923" s="6">
        <f t="shared" si="918"/>
        <v>154985.61000000034</v>
      </c>
      <c r="X5923" s="6">
        <f t="shared" si="919"/>
        <v>1489898.9509803921</v>
      </c>
      <c r="Y5923" s="13">
        <f t="shared" si="923"/>
        <v>0</v>
      </c>
      <c r="Z5923" s="66">
        <v>0</v>
      </c>
      <c r="AA5923" s="6">
        <v>0</v>
      </c>
      <c r="AB5923" s="4">
        <f t="shared" si="925"/>
        <v>1489898.9509803921</v>
      </c>
      <c r="AC5923" s="6">
        <f t="shared" si="922"/>
        <v>29797.979019607883</v>
      </c>
      <c r="AD5923" s="6">
        <f t="shared" si="920"/>
        <v>1519696.93</v>
      </c>
      <c r="AE5923" s="14">
        <f>VLOOKUP(I5923,[2]媒体政策预估表!A:N,MATCH(O5923,[2]媒体政策预估表!$A$2:$M$2,0),0)</f>
        <v>0.10299999999999999</v>
      </c>
      <c r="AF5923" s="6">
        <f t="shared" si="917"/>
        <v>156528.78378999999</v>
      </c>
      <c r="AG5923" s="14">
        <v>0</v>
      </c>
      <c r="AH5923" s="99">
        <f t="shared" si="921"/>
        <v>1519696.93</v>
      </c>
      <c r="AI5923" s="47"/>
      <c r="AJ5923" s="126" t="e">
        <v>#N/A</v>
      </c>
      <c r="AK5923" s="80">
        <f t="shared" si="924"/>
        <v>0</v>
      </c>
      <c r="AL5923" s="85"/>
      <c r="AM5923" s="85"/>
    </row>
    <row r="5924" spans="1:39" s="86" customFormat="1" ht="13.25" hidden="1" customHeight="1" x14ac:dyDescent="0.3">
      <c r="A5924" s="89" t="s">
        <v>3852</v>
      </c>
      <c r="B5924" s="86" t="s">
        <v>35</v>
      </c>
      <c r="C5924" s="86" t="s">
        <v>184</v>
      </c>
      <c r="D5924" s="86" t="s">
        <v>54</v>
      </c>
      <c r="E5924" s="86" t="s">
        <v>114</v>
      </c>
      <c r="F5924" s="86" t="s">
        <v>114</v>
      </c>
      <c r="G5924" s="86" t="s">
        <v>114</v>
      </c>
      <c r="H5924" s="144">
        <v>22</v>
      </c>
      <c r="I5924" s="86" t="s">
        <v>2935</v>
      </c>
      <c r="J5924" s="1" t="s">
        <v>3302</v>
      </c>
      <c r="K5924" s="1" t="s">
        <v>3371</v>
      </c>
      <c r="L5924" s="1" t="s">
        <v>35</v>
      </c>
      <c r="M5924" s="86" t="s">
        <v>3886</v>
      </c>
      <c r="O5924" s="47" t="s">
        <v>410</v>
      </c>
      <c r="P5924" s="47" t="s">
        <v>46</v>
      </c>
      <c r="Q5924" s="14">
        <v>0.02</v>
      </c>
      <c r="R5924" s="143">
        <v>249062</v>
      </c>
      <c r="S5924" s="47"/>
      <c r="T5924" s="6">
        <v>0</v>
      </c>
      <c r="U5924" s="6">
        <v>500000</v>
      </c>
      <c r="V5924" s="6">
        <v>415291.65</v>
      </c>
      <c r="W5924" s="6">
        <f t="shared" si="918"/>
        <v>84708.349999999977</v>
      </c>
      <c r="X5924" s="6">
        <f t="shared" si="919"/>
        <v>407148.67647058825</v>
      </c>
      <c r="Y5924" s="13">
        <f t="shared" si="923"/>
        <v>0</v>
      </c>
      <c r="Z5924" s="66">
        <v>0</v>
      </c>
      <c r="AA5924" s="6">
        <v>0</v>
      </c>
      <c r="AB5924" s="4">
        <f t="shared" si="925"/>
        <v>407148.67647058825</v>
      </c>
      <c r="AC5924" s="6">
        <f t="shared" si="922"/>
        <v>8142.9735294117709</v>
      </c>
      <c r="AD5924" s="6">
        <f t="shared" si="920"/>
        <v>415291.65</v>
      </c>
      <c r="AE5924" s="14">
        <f>VLOOKUP(I5924,[2]媒体政策预估表!A:N,MATCH(O5924,[2]媒体政策预估表!$A$2:$M$2,0),0)</f>
        <v>0.10299999999999999</v>
      </c>
      <c r="AF5924" s="6">
        <f t="shared" ref="AF5924:AF5987" si="926">AD5924*AE5924</f>
        <v>42775.039949999998</v>
      </c>
      <c r="AG5924" s="14">
        <v>0</v>
      </c>
      <c r="AH5924" s="99">
        <f t="shared" si="921"/>
        <v>415291.65</v>
      </c>
      <c r="AI5924" s="47"/>
      <c r="AJ5924" s="126" t="e">
        <v>#N/A</v>
      </c>
      <c r="AK5924" s="80">
        <f t="shared" si="924"/>
        <v>0</v>
      </c>
      <c r="AL5924" s="85"/>
      <c r="AM5924" s="85"/>
    </row>
    <row r="5925" spans="1:39" s="86" customFormat="1" ht="13.25" hidden="1" customHeight="1" x14ac:dyDescent="0.3">
      <c r="A5925" s="89" t="s">
        <v>3852</v>
      </c>
      <c r="B5925" s="86" t="s">
        <v>35</v>
      </c>
      <c r="C5925" s="86" t="s">
        <v>184</v>
      </c>
      <c r="D5925" s="86" t="s">
        <v>37</v>
      </c>
      <c r="E5925" s="86" t="s">
        <v>222</v>
      </c>
      <c r="F5925" s="86" t="s">
        <v>462</v>
      </c>
      <c r="G5925" s="86" t="s">
        <v>222</v>
      </c>
      <c r="H5925" s="144">
        <v>22</v>
      </c>
      <c r="I5925" s="86" t="s">
        <v>2935</v>
      </c>
      <c r="J5925" s="1" t="s">
        <v>3302</v>
      </c>
      <c r="K5925" s="1" t="s">
        <v>3371</v>
      </c>
      <c r="L5925" s="1" t="s">
        <v>35</v>
      </c>
      <c r="M5925" s="86" t="s">
        <v>2960</v>
      </c>
      <c r="O5925" s="47" t="s">
        <v>410</v>
      </c>
      <c r="P5925" s="47" t="s">
        <v>46</v>
      </c>
      <c r="Q5925" s="14">
        <v>0.02</v>
      </c>
      <c r="R5925" s="143">
        <v>242342</v>
      </c>
      <c r="S5925" s="47"/>
      <c r="T5925" s="6">
        <v>19867.120000000003</v>
      </c>
      <c r="U5925" s="6">
        <v>10000</v>
      </c>
      <c r="V5925" s="6">
        <v>23059.040000000001</v>
      </c>
      <c r="W5925" s="6">
        <f t="shared" si="918"/>
        <v>6808.0800000000017</v>
      </c>
      <c r="X5925" s="6">
        <f t="shared" si="919"/>
        <v>22606.901960784315</v>
      </c>
      <c r="Y5925" s="13">
        <f t="shared" si="923"/>
        <v>0</v>
      </c>
      <c r="Z5925" s="66">
        <v>0</v>
      </c>
      <c r="AA5925" s="6">
        <v>0</v>
      </c>
      <c r="AB5925" s="4">
        <f t="shared" si="925"/>
        <v>22606.901960784315</v>
      </c>
      <c r="AC5925" s="6">
        <f t="shared" si="922"/>
        <v>452.13803921568615</v>
      </c>
      <c r="AD5925" s="6">
        <f t="shared" si="920"/>
        <v>23059.040000000001</v>
      </c>
      <c r="AE5925" s="14">
        <f>VLOOKUP(I5925,[2]媒体政策预估表!A:N,MATCH(O5925,[2]媒体政策预估表!$A$2:$M$2,0),0)</f>
        <v>0.10299999999999999</v>
      </c>
      <c r="AF5925" s="6">
        <f t="shared" si="926"/>
        <v>2375.0811199999998</v>
      </c>
      <c r="AG5925" s="14">
        <v>0</v>
      </c>
      <c r="AH5925" s="99">
        <f t="shared" si="921"/>
        <v>23059.040000000001</v>
      </c>
      <c r="AI5925" s="47"/>
      <c r="AJ5925" s="126" t="e">
        <v>#N/A</v>
      </c>
      <c r="AK5925" s="80">
        <f t="shared" si="924"/>
        <v>0</v>
      </c>
      <c r="AL5925" s="85"/>
      <c r="AM5925" s="85"/>
    </row>
    <row r="5926" spans="1:39" s="86" customFormat="1" ht="13.25" hidden="1" customHeight="1" x14ac:dyDescent="0.3">
      <c r="A5926" s="89" t="s">
        <v>3792</v>
      </c>
      <c r="B5926" s="86" t="s">
        <v>35</v>
      </c>
      <c r="C5926" s="86" t="s">
        <v>184</v>
      </c>
      <c r="D5926" s="86" t="s">
        <v>3849</v>
      </c>
      <c r="E5926" s="86" t="s">
        <v>2981</v>
      </c>
      <c r="F5926" s="86" t="s">
        <v>2981</v>
      </c>
      <c r="G5926" s="86" t="s">
        <v>2981</v>
      </c>
      <c r="H5926" s="144">
        <v>22</v>
      </c>
      <c r="I5926" s="86" t="s">
        <v>2935</v>
      </c>
      <c r="J5926" s="1" t="s">
        <v>3302</v>
      </c>
      <c r="K5926" s="1" t="s">
        <v>3371</v>
      </c>
      <c r="L5926" s="1" t="s">
        <v>35</v>
      </c>
      <c r="M5926" s="86" t="s">
        <v>2982</v>
      </c>
      <c r="O5926" s="47" t="s">
        <v>410</v>
      </c>
      <c r="P5926" s="47" t="s">
        <v>41</v>
      </c>
      <c r="Q5926" s="14">
        <v>0</v>
      </c>
      <c r="R5926" s="143">
        <v>21162</v>
      </c>
      <c r="S5926" s="47"/>
      <c r="T5926" s="6">
        <v>46168.799999999996</v>
      </c>
      <c r="U5926" s="6">
        <v>20000</v>
      </c>
      <c r="V5926" s="6">
        <v>23941.74</v>
      </c>
      <c r="W5926" s="6">
        <f t="shared" si="918"/>
        <v>42227.059999999983</v>
      </c>
      <c r="X5926" s="6">
        <f t="shared" si="919"/>
        <v>23941.74</v>
      </c>
      <c r="Y5926" s="13">
        <f t="shared" si="923"/>
        <v>0</v>
      </c>
      <c r="Z5926" s="66">
        <v>0</v>
      </c>
      <c r="AA5926" s="6">
        <v>0</v>
      </c>
      <c r="AB5926" s="4">
        <f t="shared" si="925"/>
        <v>23941.74</v>
      </c>
      <c r="AC5926" s="6">
        <f t="shared" si="922"/>
        <v>0</v>
      </c>
      <c r="AD5926" s="6">
        <f t="shared" si="920"/>
        <v>23941.74</v>
      </c>
      <c r="AE5926" s="14">
        <f>VLOOKUP(I5926,[2]媒体政策预估表!A:N,MATCH(O5926,[2]媒体政策预估表!$A$2:$M$2,0),0)</f>
        <v>0.10299999999999999</v>
      </c>
      <c r="AF5926" s="6">
        <f t="shared" si="926"/>
        <v>2465.9992200000002</v>
      </c>
      <c r="AG5926" s="14">
        <v>0</v>
      </c>
      <c r="AH5926" s="99">
        <f t="shared" si="921"/>
        <v>23941.74</v>
      </c>
      <c r="AI5926" s="47"/>
      <c r="AJ5926" s="126" t="e">
        <v>#N/A</v>
      </c>
      <c r="AK5926" s="80">
        <f t="shared" si="924"/>
        <v>0</v>
      </c>
      <c r="AL5926" s="85"/>
      <c r="AM5926" s="85"/>
    </row>
    <row r="5927" spans="1:39" s="86" customFormat="1" ht="13.25" hidden="1" customHeight="1" x14ac:dyDescent="0.3">
      <c r="A5927" s="89" t="s">
        <v>3852</v>
      </c>
      <c r="B5927" s="86" t="s">
        <v>35</v>
      </c>
      <c r="C5927" s="86" t="s">
        <v>184</v>
      </c>
      <c r="D5927" s="86" t="s">
        <v>3849</v>
      </c>
      <c r="E5927" s="86" t="s">
        <v>2772</v>
      </c>
      <c r="F5927" s="86" t="s">
        <v>2772</v>
      </c>
      <c r="G5927" s="86" t="s">
        <v>2772</v>
      </c>
      <c r="H5927" s="144">
        <v>22</v>
      </c>
      <c r="I5927" s="86" t="s">
        <v>2935</v>
      </c>
      <c r="J5927" s="1" t="s">
        <v>3302</v>
      </c>
      <c r="K5927" s="1" t="s">
        <v>3371</v>
      </c>
      <c r="L5927" s="1" t="s">
        <v>35</v>
      </c>
      <c r="M5927" s="86" t="s">
        <v>2974</v>
      </c>
      <c r="O5927" s="47" t="s">
        <v>410</v>
      </c>
      <c r="P5927" s="47" t="s">
        <v>41</v>
      </c>
      <c r="Q5927" s="14">
        <v>0</v>
      </c>
      <c r="R5927" s="143">
        <v>40472</v>
      </c>
      <c r="S5927" s="47"/>
      <c r="T5927" s="6">
        <v>415050.91999999969</v>
      </c>
      <c r="U5927" s="6">
        <v>1200000</v>
      </c>
      <c r="V5927" s="6">
        <v>697225.59</v>
      </c>
      <c r="W5927" s="6">
        <f t="shared" si="918"/>
        <v>917825.32999999973</v>
      </c>
      <c r="X5927" s="6">
        <f t="shared" si="919"/>
        <v>697225.59</v>
      </c>
      <c r="Y5927" s="13">
        <f t="shared" si="923"/>
        <v>0</v>
      </c>
      <c r="Z5927" s="66">
        <v>0</v>
      </c>
      <c r="AA5927" s="6">
        <v>0</v>
      </c>
      <c r="AB5927" s="4">
        <f t="shared" si="925"/>
        <v>697225.59</v>
      </c>
      <c r="AC5927" s="6">
        <f t="shared" si="922"/>
        <v>0</v>
      </c>
      <c r="AD5927" s="6">
        <f t="shared" si="920"/>
        <v>697225.59</v>
      </c>
      <c r="AE5927" s="14">
        <f>VLOOKUP(I5927,[2]媒体政策预估表!A:N,MATCH(O5927,[2]媒体政策预估表!$A$2:$M$2,0),0)</f>
        <v>0.10299999999999999</v>
      </c>
      <c r="AF5927" s="6">
        <f t="shared" si="926"/>
        <v>71814.235769999999</v>
      </c>
      <c r="AG5927" s="14">
        <v>0</v>
      </c>
      <c r="AH5927" s="99">
        <f t="shared" si="921"/>
        <v>697225.59</v>
      </c>
      <c r="AI5927" s="47"/>
      <c r="AJ5927" s="126" t="e">
        <v>#N/A</v>
      </c>
      <c r="AK5927" s="80">
        <f t="shared" si="924"/>
        <v>0</v>
      </c>
      <c r="AL5927" s="85"/>
      <c r="AM5927" s="85"/>
    </row>
    <row r="5928" spans="1:39" s="86" customFormat="1" ht="13.25" hidden="1" customHeight="1" x14ac:dyDescent="0.3">
      <c r="A5928" s="89" t="s">
        <v>3852</v>
      </c>
      <c r="B5928" s="86" t="s">
        <v>35</v>
      </c>
      <c r="C5928" s="86" t="s">
        <v>184</v>
      </c>
      <c r="D5928" s="86" t="s">
        <v>3849</v>
      </c>
      <c r="E5928" s="86" t="s">
        <v>2789</v>
      </c>
      <c r="F5928" s="86" t="s">
        <v>2789</v>
      </c>
      <c r="G5928" s="86" t="s">
        <v>2789</v>
      </c>
      <c r="H5928" s="144">
        <v>22</v>
      </c>
      <c r="I5928" s="86" t="s">
        <v>2935</v>
      </c>
      <c r="J5928" s="1" t="s">
        <v>3302</v>
      </c>
      <c r="K5928" s="1" t="s">
        <v>3371</v>
      </c>
      <c r="L5928" s="1" t="s">
        <v>35</v>
      </c>
      <c r="M5928" s="86" t="s">
        <v>2789</v>
      </c>
      <c r="O5928" s="47" t="s">
        <v>410</v>
      </c>
      <c r="P5928" s="47" t="s">
        <v>41</v>
      </c>
      <c r="Q5928" s="14">
        <v>0</v>
      </c>
      <c r="R5928" s="143">
        <v>34612</v>
      </c>
      <c r="S5928" s="47"/>
      <c r="T5928" s="6">
        <v>1529432.7800000005</v>
      </c>
      <c r="U5928" s="6">
        <v>1150000</v>
      </c>
      <c r="V5928" s="6">
        <v>770681.4</v>
      </c>
      <c r="W5928" s="6">
        <f t="shared" si="918"/>
        <v>1908751.3800000004</v>
      </c>
      <c r="X5928" s="6">
        <f t="shared" si="919"/>
        <v>770681.4</v>
      </c>
      <c r="Y5928" s="13">
        <f t="shared" si="923"/>
        <v>0</v>
      </c>
      <c r="Z5928" s="66">
        <v>0</v>
      </c>
      <c r="AA5928" s="6">
        <v>0</v>
      </c>
      <c r="AB5928" s="4">
        <f t="shared" si="925"/>
        <v>770681.4</v>
      </c>
      <c r="AC5928" s="6">
        <f t="shared" si="922"/>
        <v>0</v>
      </c>
      <c r="AD5928" s="6">
        <f t="shared" si="920"/>
        <v>770681.4</v>
      </c>
      <c r="AE5928" s="14">
        <f>VLOOKUP(I5928,[2]媒体政策预估表!A:N,MATCH(O5928,[2]媒体政策预估表!$A$2:$M$2,0),0)</f>
        <v>0.10299999999999999</v>
      </c>
      <c r="AF5928" s="6">
        <f t="shared" si="926"/>
        <v>79380.184200000003</v>
      </c>
      <c r="AG5928" s="14">
        <v>0</v>
      </c>
      <c r="AH5928" s="99">
        <f t="shared" si="921"/>
        <v>770681.4</v>
      </c>
      <c r="AI5928" s="47"/>
      <c r="AJ5928" s="126" t="e">
        <v>#N/A</v>
      </c>
      <c r="AK5928" s="80">
        <f t="shared" si="924"/>
        <v>0</v>
      </c>
      <c r="AL5928" s="85"/>
      <c r="AM5928" s="85"/>
    </row>
    <row r="5929" spans="1:39" s="86" customFormat="1" ht="13.25" hidden="1" customHeight="1" x14ac:dyDescent="0.3">
      <c r="A5929" s="89" t="s">
        <v>3852</v>
      </c>
      <c r="B5929" s="86" t="s">
        <v>35</v>
      </c>
      <c r="C5929" s="86" t="s">
        <v>184</v>
      </c>
      <c r="D5929" s="86" t="s">
        <v>3849</v>
      </c>
      <c r="E5929" s="86" t="s">
        <v>2789</v>
      </c>
      <c r="F5929" s="86" t="s">
        <v>2789</v>
      </c>
      <c r="G5929" s="86" t="s">
        <v>2789</v>
      </c>
      <c r="H5929" s="143">
        <v>22</v>
      </c>
      <c r="I5929" s="86" t="s">
        <v>2935</v>
      </c>
      <c r="J5929" s="1" t="s">
        <v>3302</v>
      </c>
      <c r="K5929" s="1" t="s">
        <v>3371</v>
      </c>
      <c r="L5929" s="1" t="s">
        <v>35</v>
      </c>
      <c r="M5929" s="86" t="s">
        <v>2985</v>
      </c>
      <c r="O5929" s="47" t="s">
        <v>410</v>
      </c>
      <c r="P5929" s="47" t="s">
        <v>41</v>
      </c>
      <c r="Q5929" s="14">
        <v>0</v>
      </c>
      <c r="R5929" s="143">
        <v>179222</v>
      </c>
      <c r="S5929" s="47"/>
      <c r="T5929" s="6">
        <v>0</v>
      </c>
      <c r="U5929" s="6">
        <v>100000</v>
      </c>
      <c r="V5929" s="6">
        <v>0</v>
      </c>
      <c r="W5929" s="6">
        <f t="shared" ref="W5929:W5992" si="927">T5929+U5929-V5929</f>
        <v>100000</v>
      </c>
      <c r="X5929" s="6">
        <f t="shared" ref="X5929:X5992" si="928">IF(P5929="折扣",V5929*Q5929,IF(P5929="返现",V5929,V5929/(1+Q5929)))</f>
        <v>0</v>
      </c>
      <c r="Y5929" s="13">
        <f t="shared" si="923"/>
        <v>0</v>
      </c>
      <c r="Z5929" s="66">
        <v>0</v>
      </c>
      <c r="AA5929" s="6">
        <v>0</v>
      </c>
      <c r="AB5929" s="4">
        <f t="shared" si="925"/>
        <v>0</v>
      </c>
      <c r="AC5929" s="6">
        <f t="shared" si="922"/>
        <v>0</v>
      </c>
      <c r="AD5929" s="6">
        <f t="shared" ref="AD5929:AD5992" si="929">V5929</f>
        <v>0</v>
      </c>
      <c r="AE5929" s="14">
        <f>VLOOKUP(I5929,[2]媒体政策预估表!A:N,MATCH(O5929,[2]媒体政策预估表!$A$2:$M$2,0),0)</f>
        <v>0.10299999999999999</v>
      </c>
      <c r="AF5929" s="6">
        <f t="shared" si="926"/>
        <v>0</v>
      </c>
      <c r="AG5929" s="14">
        <v>0</v>
      </c>
      <c r="AH5929" s="99">
        <f t="shared" ref="AH5929:AH5992" si="930">V5929</f>
        <v>0</v>
      </c>
      <c r="AI5929" s="47"/>
      <c r="AJ5929" s="126" t="e">
        <v>#N/A</v>
      </c>
      <c r="AK5929" s="80">
        <f t="shared" si="924"/>
        <v>0</v>
      </c>
      <c r="AL5929" s="85"/>
      <c r="AM5929" s="85"/>
    </row>
    <row r="5930" spans="1:39" s="86" customFormat="1" ht="13.25" hidden="1" customHeight="1" x14ac:dyDescent="0.3">
      <c r="A5930" s="89" t="s">
        <v>3794</v>
      </c>
      <c r="B5930" s="86" t="s">
        <v>35</v>
      </c>
      <c r="C5930" s="86" t="s">
        <v>184</v>
      </c>
      <c r="D5930" s="86" t="s">
        <v>3849</v>
      </c>
      <c r="E5930" s="86" t="s">
        <v>2789</v>
      </c>
      <c r="F5930" s="86" t="s">
        <v>2789</v>
      </c>
      <c r="G5930" s="86" t="s">
        <v>2789</v>
      </c>
      <c r="H5930" s="144">
        <v>22</v>
      </c>
      <c r="I5930" s="86" t="s">
        <v>2935</v>
      </c>
      <c r="J5930" s="1" t="s">
        <v>3302</v>
      </c>
      <c r="K5930" s="1" t="s">
        <v>3371</v>
      </c>
      <c r="L5930" s="1" t="s">
        <v>35</v>
      </c>
      <c r="M5930" s="86" t="s">
        <v>3887</v>
      </c>
      <c r="O5930" s="47" t="s">
        <v>410</v>
      </c>
      <c r="P5930" s="47" t="s">
        <v>41</v>
      </c>
      <c r="Q5930" s="14">
        <v>0</v>
      </c>
      <c r="R5930" s="143">
        <v>248422</v>
      </c>
      <c r="S5930" s="47"/>
      <c r="T5930" s="6">
        <v>0</v>
      </c>
      <c r="U5930" s="6">
        <v>100000</v>
      </c>
      <c r="V5930" s="6">
        <v>12561.03</v>
      </c>
      <c r="W5930" s="6">
        <f t="shared" si="927"/>
        <v>87438.97</v>
      </c>
      <c r="X5930" s="6">
        <f t="shared" si="928"/>
        <v>12561.03</v>
      </c>
      <c r="Y5930" s="13">
        <f t="shared" si="923"/>
        <v>0</v>
      </c>
      <c r="Z5930" s="66">
        <v>0</v>
      </c>
      <c r="AA5930" s="6">
        <v>0</v>
      </c>
      <c r="AB5930" s="4">
        <f t="shared" si="925"/>
        <v>12561.03</v>
      </c>
      <c r="AC5930" s="6">
        <f t="shared" si="922"/>
        <v>0</v>
      </c>
      <c r="AD5930" s="6">
        <f t="shared" si="929"/>
        <v>12561.03</v>
      </c>
      <c r="AE5930" s="14">
        <f>VLOOKUP(I5930,[2]媒体政策预估表!A:N,MATCH(O5930,[2]媒体政策预估表!$A$2:$M$2,0),0)</f>
        <v>0.10299999999999999</v>
      </c>
      <c r="AF5930" s="6">
        <f t="shared" si="926"/>
        <v>1293.7860900000001</v>
      </c>
      <c r="AG5930" s="14">
        <v>0</v>
      </c>
      <c r="AH5930" s="99">
        <f t="shared" si="930"/>
        <v>12561.03</v>
      </c>
      <c r="AI5930" s="47"/>
      <c r="AJ5930" s="126" t="e">
        <v>#N/A</v>
      </c>
      <c r="AK5930" s="80">
        <f t="shared" si="924"/>
        <v>0</v>
      </c>
      <c r="AL5930" s="85"/>
      <c r="AM5930" s="85"/>
    </row>
    <row r="5931" spans="1:39" s="86" customFormat="1" ht="13.25" hidden="1" customHeight="1" x14ac:dyDescent="0.3">
      <c r="A5931" s="89" t="s">
        <v>3794</v>
      </c>
      <c r="B5931" s="86" t="s">
        <v>35</v>
      </c>
      <c r="C5931" s="86" t="s">
        <v>184</v>
      </c>
      <c r="D5931" s="86" t="s">
        <v>3849</v>
      </c>
      <c r="E5931" s="86" t="s">
        <v>3888</v>
      </c>
      <c r="F5931" s="86" t="s">
        <v>3888</v>
      </c>
      <c r="G5931" s="86" t="s">
        <v>3888</v>
      </c>
      <c r="H5931" s="144">
        <v>22</v>
      </c>
      <c r="I5931" s="86" t="s">
        <v>2935</v>
      </c>
      <c r="J5931" s="1" t="s">
        <v>3302</v>
      </c>
      <c r="K5931" s="1" t="s">
        <v>3371</v>
      </c>
      <c r="L5931" s="1" t="s">
        <v>35</v>
      </c>
      <c r="M5931" s="86" t="s">
        <v>3888</v>
      </c>
      <c r="O5931" s="47" t="s">
        <v>410</v>
      </c>
      <c r="P5931" s="47" t="s">
        <v>41</v>
      </c>
      <c r="Q5931" s="14">
        <v>0</v>
      </c>
      <c r="R5931" s="143">
        <v>249112</v>
      </c>
      <c r="S5931" s="47"/>
      <c r="T5931" s="6">
        <v>0</v>
      </c>
      <c r="U5931" s="6">
        <v>170000</v>
      </c>
      <c r="V5931" s="6">
        <v>59840.56</v>
      </c>
      <c r="W5931" s="6">
        <f t="shared" si="927"/>
        <v>110159.44</v>
      </c>
      <c r="X5931" s="6">
        <f t="shared" si="928"/>
        <v>59840.56</v>
      </c>
      <c r="Y5931" s="13">
        <f t="shared" si="923"/>
        <v>0</v>
      </c>
      <c r="Z5931" s="66">
        <v>0</v>
      </c>
      <c r="AA5931" s="6">
        <v>0</v>
      </c>
      <c r="AB5931" s="4">
        <f t="shared" si="925"/>
        <v>59840.56</v>
      </c>
      <c r="AC5931" s="6">
        <f t="shared" si="922"/>
        <v>0</v>
      </c>
      <c r="AD5931" s="6">
        <f t="shared" si="929"/>
        <v>59840.56</v>
      </c>
      <c r="AE5931" s="14">
        <f>VLOOKUP(I5931,[2]媒体政策预估表!A:N,MATCH(O5931,[2]媒体政策预估表!$A$2:$M$2,0),0)</f>
        <v>0.10299999999999999</v>
      </c>
      <c r="AF5931" s="6">
        <f t="shared" si="926"/>
        <v>6163.5776799999994</v>
      </c>
      <c r="AG5931" s="14">
        <v>0</v>
      </c>
      <c r="AH5931" s="99">
        <f t="shared" si="930"/>
        <v>59840.56</v>
      </c>
      <c r="AI5931" s="47"/>
      <c r="AJ5931" s="126" t="e">
        <v>#N/A</v>
      </c>
      <c r="AK5931" s="80">
        <f t="shared" si="924"/>
        <v>0</v>
      </c>
      <c r="AL5931" s="85"/>
      <c r="AM5931" s="85"/>
    </row>
    <row r="5932" spans="1:39" s="86" customFormat="1" ht="13.25" hidden="1" customHeight="1" x14ac:dyDescent="0.3">
      <c r="A5932" s="89" t="s">
        <v>3794</v>
      </c>
      <c r="B5932" s="86" t="s">
        <v>35</v>
      </c>
      <c r="C5932" s="86" t="s">
        <v>184</v>
      </c>
      <c r="D5932" s="86" t="s">
        <v>3849</v>
      </c>
      <c r="E5932" s="86" t="s">
        <v>542</v>
      </c>
      <c r="F5932" s="86" t="s">
        <v>543</v>
      </c>
      <c r="G5932" s="86" t="s">
        <v>542</v>
      </c>
      <c r="H5932" s="144">
        <v>22</v>
      </c>
      <c r="I5932" s="86" t="s">
        <v>2935</v>
      </c>
      <c r="J5932" s="1" t="s">
        <v>3302</v>
      </c>
      <c r="K5932" s="1" t="s">
        <v>3371</v>
      </c>
      <c r="L5932" s="1" t="s">
        <v>35</v>
      </c>
      <c r="M5932" s="86" t="s">
        <v>2986</v>
      </c>
      <c r="O5932" s="47" t="s">
        <v>410</v>
      </c>
      <c r="P5932" s="47" t="s">
        <v>46</v>
      </c>
      <c r="Q5932" s="14">
        <v>0.01</v>
      </c>
      <c r="R5932" s="143">
        <v>98692</v>
      </c>
      <c r="S5932" s="47"/>
      <c r="T5932" s="6">
        <v>233782.99</v>
      </c>
      <c r="U5932" s="6">
        <v>101000</v>
      </c>
      <c r="V5932" s="6">
        <v>284066.26</v>
      </c>
      <c r="W5932" s="6">
        <f t="shared" si="927"/>
        <v>50716.729999999981</v>
      </c>
      <c r="X5932" s="6">
        <f t="shared" si="928"/>
        <v>281253.72277227725</v>
      </c>
      <c r="Y5932" s="13">
        <f t="shared" si="923"/>
        <v>0</v>
      </c>
      <c r="Z5932" s="66">
        <v>0</v>
      </c>
      <c r="AA5932" s="6">
        <v>0</v>
      </c>
      <c r="AB5932" s="4">
        <f t="shared" si="925"/>
        <v>281253.72277227725</v>
      </c>
      <c r="AC5932" s="6">
        <f t="shared" si="922"/>
        <v>2812.537227722758</v>
      </c>
      <c r="AD5932" s="6">
        <f t="shared" si="929"/>
        <v>284066.26</v>
      </c>
      <c r="AE5932" s="14">
        <f>VLOOKUP(I5932,[2]媒体政策预估表!A:N,MATCH(O5932,[2]媒体政策预估表!$A$2:$M$2,0),0)</f>
        <v>0.10299999999999999</v>
      </c>
      <c r="AF5932" s="6">
        <f t="shared" si="926"/>
        <v>29258.824779999999</v>
      </c>
      <c r="AG5932" s="14">
        <v>0</v>
      </c>
      <c r="AH5932" s="99">
        <f t="shared" si="930"/>
        <v>284066.26</v>
      </c>
      <c r="AI5932" s="47"/>
      <c r="AJ5932" s="126" t="e">
        <v>#N/A</v>
      </c>
      <c r="AK5932" s="80">
        <f t="shared" si="924"/>
        <v>0</v>
      </c>
      <c r="AL5932" s="85"/>
      <c r="AM5932" s="85"/>
    </row>
    <row r="5933" spans="1:39" s="86" customFormat="1" ht="13.25" hidden="1" customHeight="1" x14ac:dyDescent="0.3">
      <c r="A5933" s="89" t="s">
        <v>3794</v>
      </c>
      <c r="B5933" s="86" t="s">
        <v>35</v>
      </c>
      <c r="C5933" s="86" t="s">
        <v>184</v>
      </c>
      <c r="D5933" s="86" t="s">
        <v>3849</v>
      </c>
      <c r="E5933" s="86" t="s">
        <v>533</v>
      </c>
      <c r="F5933" s="86" t="s">
        <v>533</v>
      </c>
      <c r="G5933" s="86" t="s">
        <v>533</v>
      </c>
      <c r="H5933" s="144">
        <v>22</v>
      </c>
      <c r="I5933" s="86" t="s">
        <v>2935</v>
      </c>
      <c r="J5933" s="1" t="s">
        <v>3302</v>
      </c>
      <c r="K5933" s="1" t="s">
        <v>3371</v>
      </c>
      <c r="L5933" s="1" t="s">
        <v>35</v>
      </c>
      <c r="M5933" s="86" t="s">
        <v>533</v>
      </c>
      <c r="O5933" s="47" t="s">
        <v>410</v>
      </c>
      <c r="P5933" s="47" t="s">
        <v>46</v>
      </c>
      <c r="Q5933" s="14">
        <v>0.02</v>
      </c>
      <c r="R5933" s="143">
        <v>58532</v>
      </c>
      <c r="S5933" s="47"/>
      <c r="T5933" s="6">
        <v>559265.08999999985</v>
      </c>
      <c r="U5933" s="6">
        <v>50000</v>
      </c>
      <c r="V5933" s="6">
        <v>59996.03</v>
      </c>
      <c r="W5933" s="6">
        <f t="shared" si="927"/>
        <v>549269.05999999982</v>
      </c>
      <c r="X5933" s="6">
        <f t="shared" si="928"/>
        <v>58819.637254901958</v>
      </c>
      <c r="Y5933" s="13">
        <f t="shared" si="923"/>
        <v>0</v>
      </c>
      <c r="Z5933" s="66">
        <v>0</v>
      </c>
      <c r="AA5933" s="6">
        <v>0</v>
      </c>
      <c r="AB5933" s="4">
        <f t="shared" si="925"/>
        <v>58819.637254901958</v>
      </c>
      <c r="AC5933" s="6">
        <f t="shared" si="922"/>
        <v>1176.3927450980409</v>
      </c>
      <c r="AD5933" s="6">
        <f t="shared" si="929"/>
        <v>59996.03</v>
      </c>
      <c r="AE5933" s="14">
        <f>VLOOKUP(I5933,[2]媒体政策预估表!A:N,MATCH(O5933,[2]媒体政策预估表!$A$2:$M$2,0),0)</f>
        <v>0.10299999999999999</v>
      </c>
      <c r="AF5933" s="6">
        <f t="shared" si="926"/>
        <v>6179.5910899999999</v>
      </c>
      <c r="AG5933" s="14">
        <v>0</v>
      </c>
      <c r="AH5933" s="99">
        <f t="shared" si="930"/>
        <v>59996.03</v>
      </c>
      <c r="AI5933" s="47"/>
      <c r="AJ5933" s="126" t="e">
        <v>#N/A</v>
      </c>
      <c r="AK5933" s="80">
        <f t="shared" si="924"/>
        <v>0</v>
      </c>
      <c r="AL5933" s="85"/>
      <c r="AM5933" s="85"/>
    </row>
    <row r="5934" spans="1:39" s="86" customFormat="1" ht="13.25" hidden="1" customHeight="1" x14ac:dyDescent="0.3">
      <c r="A5934" s="89" t="s">
        <v>3792</v>
      </c>
      <c r="B5934" s="86" t="s">
        <v>35</v>
      </c>
      <c r="C5934" s="86" t="s">
        <v>184</v>
      </c>
      <c r="D5934" s="86" t="s">
        <v>3849</v>
      </c>
      <c r="E5934" s="86" t="s">
        <v>2480</v>
      </c>
      <c r="F5934" s="86" t="s">
        <v>2480</v>
      </c>
      <c r="G5934" s="86" t="s">
        <v>2480</v>
      </c>
      <c r="H5934" s="144">
        <v>22</v>
      </c>
      <c r="I5934" s="86" t="s">
        <v>2935</v>
      </c>
      <c r="J5934" s="1" t="s">
        <v>3302</v>
      </c>
      <c r="K5934" s="1" t="s">
        <v>3371</v>
      </c>
      <c r="L5934" s="1" t="s">
        <v>35</v>
      </c>
      <c r="M5934" s="86" t="s">
        <v>2480</v>
      </c>
      <c r="O5934" s="47" t="s">
        <v>410</v>
      </c>
      <c r="P5934" s="47" t="s">
        <v>41</v>
      </c>
      <c r="Q5934" s="14">
        <v>0</v>
      </c>
      <c r="R5934" s="143">
        <v>26532</v>
      </c>
      <c r="S5934" s="47"/>
      <c r="T5934" s="6">
        <v>64827.359999999884</v>
      </c>
      <c r="U5934" s="6">
        <v>50000</v>
      </c>
      <c r="V5934" s="6">
        <v>62000</v>
      </c>
      <c r="W5934" s="6">
        <f t="shared" si="927"/>
        <v>52827.359999999884</v>
      </c>
      <c r="X5934" s="6">
        <f t="shared" si="928"/>
        <v>62000</v>
      </c>
      <c r="Y5934" s="13">
        <f t="shared" si="923"/>
        <v>0</v>
      </c>
      <c r="Z5934" s="66">
        <v>0</v>
      </c>
      <c r="AA5934" s="6">
        <v>0</v>
      </c>
      <c r="AB5934" s="4">
        <f t="shared" si="925"/>
        <v>62000</v>
      </c>
      <c r="AC5934" s="6">
        <f t="shared" si="922"/>
        <v>0</v>
      </c>
      <c r="AD5934" s="6">
        <f t="shared" si="929"/>
        <v>62000</v>
      </c>
      <c r="AE5934" s="14">
        <f>VLOOKUP(I5934,[2]媒体政策预估表!A:N,MATCH(O5934,[2]媒体政策预估表!$A$2:$M$2,0),0)</f>
        <v>0.10299999999999999</v>
      </c>
      <c r="AF5934" s="6">
        <f t="shared" si="926"/>
        <v>6386</v>
      </c>
      <c r="AG5934" s="14">
        <v>0</v>
      </c>
      <c r="AH5934" s="99">
        <f t="shared" si="930"/>
        <v>62000</v>
      </c>
      <c r="AI5934" s="47"/>
      <c r="AJ5934" s="126" t="e">
        <v>#N/A</v>
      </c>
      <c r="AK5934" s="80">
        <f t="shared" si="924"/>
        <v>0</v>
      </c>
      <c r="AL5934" s="85"/>
      <c r="AM5934" s="85"/>
    </row>
    <row r="5935" spans="1:39" s="86" customFormat="1" ht="13.25" hidden="1" customHeight="1" x14ac:dyDescent="0.3">
      <c r="A5935" s="89" t="s">
        <v>3792</v>
      </c>
      <c r="B5935" s="86" t="s">
        <v>35</v>
      </c>
      <c r="C5935" s="86" t="s">
        <v>184</v>
      </c>
      <c r="D5935" s="86" t="s">
        <v>3849</v>
      </c>
      <c r="E5935" s="86" t="s">
        <v>3889</v>
      </c>
      <c r="F5935" s="86" t="s">
        <v>3889</v>
      </c>
      <c r="G5935" s="86" t="s">
        <v>3889</v>
      </c>
      <c r="H5935" s="144">
        <v>22</v>
      </c>
      <c r="I5935" s="86" t="s">
        <v>2935</v>
      </c>
      <c r="J5935" s="1" t="s">
        <v>3302</v>
      </c>
      <c r="K5935" s="1" t="s">
        <v>3371</v>
      </c>
      <c r="L5935" s="1" t="s">
        <v>35</v>
      </c>
      <c r="M5935" s="86" t="s">
        <v>3890</v>
      </c>
      <c r="O5935" s="47" t="s">
        <v>410</v>
      </c>
      <c r="P5935" s="47" t="s">
        <v>41</v>
      </c>
      <c r="Q5935" s="14">
        <v>0</v>
      </c>
      <c r="R5935" s="143">
        <v>249912</v>
      </c>
      <c r="S5935" s="47"/>
      <c r="T5935" s="6">
        <v>0</v>
      </c>
      <c r="U5935" s="6">
        <v>50000</v>
      </c>
      <c r="V5935" s="6">
        <v>2739.7</v>
      </c>
      <c r="W5935" s="6">
        <f t="shared" si="927"/>
        <v>47260.3</v>
      </c>
      <c r="X5935" s="6">
        <f t="shared" si="928"/>
        <v>2739.7</v>
      </c>
      <c r="Y5935" s="13">
        <f t="shared" si="923"/>
        <v>0</v>
      </c>
      <c r="Z5935" s="66">
        <v>0</v>
      </c>
      <c r="AA5935" s="6">
        <v>0</v>
      </c>
      <c r="AB5935" s="4">
        <f t="shared" si="925"/>
        <v>2739.7</v>
      </c>
      <c r="AC5935" s="6">
        <f t="shared" si="922"/>
        <v>0</v>
      </c>
      <c r="AD5935" s="6">
        <f t="shared" si="929"/>
        <v>2739.7</v>
      </c>
      <c r="AE5935" s="14">
        <f>VLOOKUP(I5935,[2]媒体政策预估表!A:N,MATCH(O5935,[2]媒体政策预估表!$A$2:$M$2,0),0)</f>
        <v>0.10299999999999999</v>
      </c>
      <c r="AF5935" s="6">
        <f t="shared" si="926"/>
        <v>282.18909999999994</v>
      </c>
      <c r="AG5935" s="14">
        <v>0</v>
      </c>
      <c r="AH5935" s="99">
        <f t="shared" si="930"/>
        <v>2739.7</v>
      </c>
      <c r="AI5935" s="47"/>
      <c r="AJ5935" s="126" t="e">
        <v>#N/A</v>
      </c>
      <c r="AK5935" s="80">
        <f t="shared" si="924"/>
        <v>0</v>
      </c>
      <c r="AL5935" s="85"/>
      <c r="AM5935" s="85"/>
    </row>
    <row r="5936" spans="1:39" s="86" customFormat="1" ht="13.25" hidden="1" customHeight="1" x14ac:dyDescent="0.3">
      <c r="A5936" s="89" t="s">
        <v>3792</v>
      </c>
      <c r="B5936" s="86" t="s">
        <v>35</v>
      </c>
      <c r="C5936" s="86" t="s">
        <v>184</v>
      </c>
      <c r="D5936" s="86" t="s">
        <v>3849</v>
      </c>
      <c r="E5936" s="86" t="s">
        <v>2987</v>
      </c>
      <c r="F5936" s="86" t="s">
        <v>2987</v>
      </c>
      <c r="G5936" s="86" t="s">
        <v>2987</v>
      </c>
      <c r="H5936" s="144">
        <v>22</v>
      </c>
      <c r="I5936" s="86" t="s">
        <v>2935</v>
      </c>
      <c r="J5936" s="1" t="s">
        <v>3302</v>
      </c>
      <c r="K5936" s="1" t="s">
        <v>3371</v>
      </c>
      <c r="L5936" s="1" t="s">
        <v>35</v>
      </c>
      <c r="M5936" s="86" t="s">
        <v>2987</v>
      </c>
      <c r="O5936" s="47" t="s">
        <v>410</v>
      </c>
      <c r="P5936" s="47" t="s">
        <v>41</v>
      </c>
      <c r="Q5936" s="14">
        <v>0</v>
      </c>
      <c r="R5936" s="143">
        <v>106232</v>
      </c>
      <c r="S5936" s="47"/>
      <c r="T5936" s="6">
        <v>2218.7199999999966</v>
      </c>
      <c r="U5936" s="6">
        <v>10000</v>
      </c>
      <c r="V5936" s="6">
        <v>7400.64</v>
      </c>
      <c r="W5936" s="6">
        <f t="shared" si="927"/>
        <v>4818.0799999999972</v>
      </c>
      <c r="X5936" s="6">
        <f t="shared" si="928"/>
        <v>7400.64</v>
      </c>
      <c r="Y5936" s="13">
        <f t="shared" si="923"/>
        <v>0</v>
      </c>
      <c r="Z5936" s="66">
        <v>0</v>
      </c>
      <c r="AA5936" s="6">
        <v>0</v>
      </c>
      <c r="AB5936" s="4">
        <f t="shared" si="925"/>
        <v>7400.64</v>
      </c>
      <c r="AC5936" s="6">
        <f t="shared" si="922"/>
        <v>0</v>
      </c>
      <c r="AD5936" s="6">
        <f t="shared" si="929"/>
        <v>7400.64</v>
      </c>
      <c r="AE5936" s="14">
        <f>VLOOKUP(I5936,[2]媒体政策预估表!A:N,MATCH(O5936,[2]媒体政策预估表!$A$2:$M$2,0),0)</f>
        <v>0.10299999999999999</v>
      </c>
      <c r="AF5936" s="6">
        <f t="shared" si="926"/>
        <v>762.26591999999994</v>
      </c>
      <c r="AG5936" s="14">
        <v>0</v>
      </c>
      <c r="AH5936" s="99">
        <f t="shared" si="930"/>
        <v>7400.64</v>
      </c>
      <c r="AI5936" s="47"/>
      <c r="AJ5936" s="126" t="e">
        <v>#N/A</v>
      </c>
      <c r="AK5936" s="80">
        <f t="shared" si="924"/>
        <v>0</v>
      </c>
      <c r="AL5936" s="85"/>
      <c r="AM5936" s="85"/>
    </row>
    <row r="5937" spans="1:39" s="86" customFormat="1" ht="13.25" hidden="1" customHeight="1" x14ac:dyDescent="0.3">
      <c r="A5937" s="89" t="s">
        <v>3794</v>
      </c>
      <c r="B5937" s="86" t="s">
        <v>35</v>
      </c>
      <c r="C5937" s="86" t="s">
        <v>184</v>
      </c>
      <c r="D5937" s="86" t="s">
        <v>3849</v>
      </c>
      <c r="E5937" s="86" t="s">
        <v>1334</v>
      </c>
      <c r="F5937" s="86" t="s">
        <v>1334</v>
      </c>
      <c r="G5937" s="86" t="s">
        <v>1334</v>
      </c>
      <c r="H5937" s="144">
        <v>22</v>
      </c>
      <c r="I5937" s="86" t="s">
        <v>2935</v>
      </c>
      <c r="J5937" s="1" t="s">
        <v>3302</v>
      </c>
      <c r="K5937" s="1" t="s">
        <v>3371</v>
      </c>
      <c r="L5937" s="1" t="s">
        <v>35</v>
      </c>
      <c r="M5937" s="86" t="s">
        <v>1334</v>
      </c>
      <c r="O5937" s="47" t="s">
        <v>410</v>
      </c>
      <c r="P5937" s="47" t="s">
        <v>41</v>
      </c>
      <c r="Q5937" s="14">
        <v>0</v>
      </c>
      <c r="R5937" s="143">
        <v>80182</v>
      </c>
      <c r="S5937" s="47"/>
      <c r="T5937" s="6">
        <v>29703.97000000003</v>
      </c>
      <c r="U5937" s="6">
        <v>280000</v>
      </c>
      <c r="V5937" s="6">
        <v>195286.15</v>
      </c>
      <c r="W5937" s="6">
        <f t="shared" si="927"/>
        <v>114417.82000000004</v>
      </c>
      <c r="X5937" s="6">
        <f t="shared" si="928"/>
        <v>195286.15</v>
      </c>
      <c r="Y5937" s="13">
        <f t="shared" si="923"/>
        <v>0</v>
      </c>
      <c r="Z5937" s="66">
        <v>0</v>
      </c>
      <c r="AA5937" s="6">
        <v>0</v>
      </c>
      <c r="AB5937" s="4">
        <f t="shared" si="925"/>
        <v>195286.15</v>
      </c>
      <c r="AC5937" s="6">
        <f t="shared" si="922"/>
        <v>0</v>
      </c>
      <c r="AD5937" s="6">
        <f t="shared" si="929"/>
        <v>195286.15</v>
      </c>
      <c r="AE5937" s="14">
        <f>VLOOKUP(I5937,[2]媒体政策预估表!A:N,MATCH(O5937,[2]媒体政策预估表!$A$2:$M$2,0),0)</f>
        <v>0.10299999999999999</v>
      </c>
      <c r="AF5937" s="6">
        <f t="shared" si="926"/>
        <v>20114.473449999998</v>
      </c>
      <c r="AG5937" s="14">
        <v>0</v>
      </c>
      <c r="AH5937" s="99">
        <f t="shared" si="930"/>
        <v>195286.15</v>
      </c>
      <c r="AI5937" s="47"/>
      <c r="AJ5937" s="126" t="e">
        <v>#N/A</v>
      </c>
      <c r="AK5937" s="80">
        <f t="shared" si="924"/>
        <v>0</v>
      </c>
      <c r="AL5937" s="85"/>
      <c r="AM5937" s="85"/>
    </row>
    <row r="5938" spans="1:39" s="86" customFormat="1" ht="13.25" hidden="1" customHeight="1" x14ac:dyDescent="0.3">
      <c r="A5938" s="89" t="s">
        <v>3792</v>
      </c>
      <c r="B5938" s="86" t="s">
        <v>35</v>
      </c>
      <c r="C5938" s="86" t="s">
        <v>59</v>
      </c>
      <c r="D5938" s="86" t="s">
        <v>60</v>
      </c>
      <c r="E5938" s="86" t="s">
        <v>765</v>
      </c>
      <c r="F5938" s="86" t="s">
        <v>766</v>
      </c>
      <c r="G5938" s="86" t="s">
        <v>765</v>
      </c>
      <c r="H5938" s="144">
        <v>22</v>
      </c>
      <c r="I5938" s="86" t="s">
        <v>2935</v>
      </c>
      <c r="J5938" s="1" t="s">
        <v>3302</v>
      </c>
      <c r="K5938" s="1" t="s">
        <v>3371</v>
      </c>
      <c r="L5938" s="1" t="s">
        <v>35</v>
      </c>
      <c r="M5938" s="86" t="s">
        <v>2941</v>
      </c>
      <c r="O5938" s="47" t="s">
        <v>410</v>
      </c>
      <c r="P5938" s="14" t="s">
        <v>46</v>
      </c>
      <c r="Q5938" s="14">
        <v>0.02</v>
      </c>
      <c r="R5938" s="143">
        <v>6521</v>
      </c>
      <c r="S5938" s="47"/>
      <c r="T5938" s="6">
        <v>5177.9999999999982</v>
      </c>
      <c r="U5938" s="6"/>
      <c r="V5938" s="6">
        <v>2708</v>
      </c>
      <c r="W5938" s="6">
        <f t="shared" si="927"/>
        <v>2469.9999999999982</v>
      </c>
      <c r="X5938" s="6">
        <f t="shared" si="928"/>
        <v>2654.9019607843138</v>
      </c>
      <c r="Y5938" s="13">
        <f t="shared" si="923"/>
        <v>0</v>
      </c>
      <c r="Z5938" s="14">
        <v>0</v>
      </c>
      <c r="AA5938" s="6">
        <v>0</v>
      </c>
      <c r="AB5938" s="4">
        <f t="shared" si="925"/>
        <v>2654.9019607843138</v>
      </c>
      <c r="AC5938" s="6">
        <f t="shared" si="922"/>
        <v>53.098039215686185</v>
      </c>
      <c r="AD5938" s="6">
        <f t="shared" si="929"/>
        <v>2708</v>
      </c>
      <c r="AE5938" s="14">
        <f>VLOOKUP(I5938,[2]媒体政策预估表!A:N,MATCH(O5938,[2]媒体政策预估表!$A$2:$M$2,0),0)</f>
        <v>0.10299999999999999</v>
      </c>
      <c r="AF5938" s="6">
        <f t="shared" si="926"/>
        <v>278.92399999999998</v>
      </c>
      <c r="AG5938" s="14">
        <v>0</v>
      </c>
      <c r="AH5938" s="99">
        <f t="shared" si="930"/>
        <v>2708</v>
      </c>
      <c r="AI5938" s="47"/>
      <c r="AJ5938" s="126" t="e">
        <v>#N/A</v>
      </c>
      <c r="AK5938" s="80">
        <f t="shared" si="924"/>
        <v>0</v>
      </c>
      <c r="AL5938" s="85"/>
      <c r="AM5938" s="85"/>
    </row>
    <row r="5939" spans="1:39" s="86" customFormat="1" ht="13.25" hidden="1" customHeight="1" x14ac:dyDescent="0.3">
      <c r="A5939" s="89" t="s">
        <v>3792</v>
      </c>
      <c r="B5939" s="86" t="s">
        <v>35</v>
      </c>
      <c r="C5939" s="86" t="s">
        <v>184</v>
      </c>
      <c r="D5939" s="86" t="s">
        <v>224</v>
      </c>
      <c r="E5939" s="86" t="s">
        <v>2945</v>
      </c>
      <c r="F5939" s="86" t="s">
        <v>2945</v>
      </c>
      <c r="G5939" s="86" t="s">
        <v>2945</v>
      </c>
      <c r="H5939" s="144">
        <v>22</v>
      </c>
      <c r="I5939" s="86" t="s">
        <v>2935</v>
      </c>
      <c r="J5939" s="1" t="s">
        <v>3302</v>
      </c>
      <c r="K5939" s="1" t="s">
        <v>3371</v>
      </c>
      <c r="L5939" s="1" t="s">
        <v>35</v>
      </c>
      <c r="M5939" s="86" t="s">
        <v>2946</v>
      </c>
      <c r="O5939" s="47" t="s">
        <v>410</v>
      </c>
      <c r="P5939" s="14" t="s">
        <v>41</v>
      </c>
      <c r="Q5939" s="14">
        <v>0</v>
      </c>
      <c r="R5939" s="143">
        <v>6662</v>
      </c>
      <c r="S5939" s="47"/>
      <c r="T5939" s="6">
        <v>18833.900000000067</v>
      </c>
      <c r="U5939" s="6"/>
      <c r="V5939" s="6">
        <v>6250.07</v>
      </c>
      <c r="W5939" s="6">
        <f t="shared" si="927"/>
        <v>12583.830000000067</v>
      </c>
      <c r="X5939" s="6">
        <f t="shared" si="928"/>
        <v>6250.07</v>
      </c>
      <c r="Y5939" s="13">
        <f t="shared" si="923"/>
        <v>0</v>
      </c>
      <c r="Z5939" s="14">
        <v>0</v>
      </c>
      <c r="AA5939" s="6">
        <v>0</v>
      </c>
      <c r="AB5939" s="4">
        <f t="shared" si="925"/>
        <v>6250.07</v>
      </c>
      <c r="AC5939" s="6">
        <f t="shared" si="922"/>
        <v>0</v>
      </c>
      <c r="AD5939" s="6">
        <f t="shared" si="929"/>
        <v>6250.07</v>
      </c>
      <c r="AE5939" s="14">
        <f>VLOOKUP(I5939,[2]媒体政策预估表!A:N,MATCH(O5939,[2]媒体政策预估表!$A$2:$M$2,0),0)</f>
        <v>0.10299999999999999</v>
      </c>
      <c r="AF5939" s="6">
        <f t="shared" si="926"/>
        <v>643.75720999999999</v>
      </c>
      <c r="AG5939" s="14">
        <v>0</v>
      </c>
      <c r="AH5939" s="99">
        <f t="shared" si="930"/>
        <v>6250.07</v>
      </c>
      <c r="AI5939" s="47"/>
      <c r="AJ5939" s="126" t="e">
        <v>#N/A</v>
      </c>
      <c r="AK5939" s="80">
        <f t="shared" si="924"/>
        <v>0</v>
      </c>
      <c r="AL5939" s="85"/>
      <c r="AM5939" s="85"/>
    </row>
    <row r="5940" spans="1:39" s="86" customFormat="1" ht="13.25" hidden="1" customHeight="1" x14ac:dyDescent="0.3">
      <c r="A5940" s="89" t="s">
        <v>3794</v>
      </c>
      <c r="B5940" s="86" t="s">
        <v>35</v>
      </c>
      <c r="C5940" s="86" t="s">
        <v>184</v>
      </c>
      <c r="D5940" s="86" t="s">
        <v>54</v>
      </c>
      <c r="E5940" s="86" t="s">
        <v>3579</v>
      </c>
      <c r="F5940" s="86" t="s">
        <v>3579</v>
      </c>
      <c r="G5940" s="86" t="s">
        <v>3579</v>
      </c>
      <c r="H5940" s="144">
        <v>22</v>
      </c>
      <c r="I5940" s="86" t="s">
        <v>2935</v>
      </c>
      <c r="J5940" s="1" t="s">
        <v>3302</v>
      </c>
      <c r="K5940" s="1" t="s">
        <v>3371</v>
      </c>
      <c r="L5940" s="1" t="s">
        <v>35</v>
      </c>
      <c r="M5940" s="86" t="s">
        <v>3580</v>
      </c>
      <c r="O5940" s="47" t="s">
        <v>410</v>
      </c>
      <c r="P5940" s="14" t="s">
        <v>46</v>
      </c>
      <c r="Q5940" s="14">
        <v>0.01</v>
      </c>
      <c r="R5940" s="143">
        <v>212502</v>
      </c>
      <c r="S5940" s="47"/>
      <c r="T5940" s="6">
        <v>10000</v>
      </c>
      <c r="U5940" s="6"/>
      <c r="V5940" s="6">
        <v>10000</v>
      </c>
      <c r="W5940" s="6">
        <f t="shared" si="927"/>
        <v>0</v>
      </c>
      <c r="X5940" s="6">
        <f t="shared" si="928"/>
        <v>9900.9900990099013</v>
      </c>
      <c r="Y5940" s="13">
        <f t="shared" si="923"/>
        <v>0</v>
      </c>
      <c r="Z5940" s="14">
        <v>0</v>
      </c>
      <c r="AA5940" s="6">
        <v>0</v>
      </c>
      <c r="AB5940" s="4">
        <f t="shared" si="925"/>
        <v>9900.9900990099013</v>
      </c>
      <c r="AC5940" s="6">
        <f t="shared" si="922"/>
        <v>99.009900990098686</v>
      </c>
      <c r="AD5940" s="6">
        <f t="shared" si="929"/>
        <v>10000</v>
      </c>
      <c r="AE5940" s="14">
        <f>VLOOKUP(I5940,[2]媒体政策预估表!A:N,MATCH(O5940,[2]媒体政策预估表!$A$2:$M$2,0),0)</f>
        <v>0.10299999999999999</v>
      </c>
      <c r="AF5940" s="6">
        <f t="shared" si="926"/>
        <v>1030</v>
      </c>
      <c r="AG5940" s="14">
        <v>0</v>
      </c>
      <c r="AH5940" s="99">
        <f t="shared" si="930"/>
        <v>10000</v>
      </c>
      <c r="AI5940" s="47"/>
      <c r="AJ5940" s="126" t="e">
        <v>#N/A</v>
      </c>
      <c r="AK5940" s="80">
        <f t="shared" si="924"/>
        <v>0</v>
      </c>
      <c r="AL5940" s="85"/>
      <c r="AM5940" s="85"/>
    </row>
    <row r="5941" spans="1:39" s="86" customFormat="1" ht="13.25" hidden="1" customHeight="1" x14ac:dyDescent="0.3">
      <c r="A5941" s="89" t="s">
        <v>3792</v>
      </c>
      <c r="B5941" s="86" t="s">
        <v>35</v>
      </c>
      <c r="C5941" s="86" t="s">
        <v>184</v>
      </c>
      <c r="D5941" s="86" t="s">
        <v>54</v>
      </c>
      <c r="E5941" s="86" t="s">
        <v>2953</v>
      </c>
      <c r="F5941" s="86" t="s">
        <v>2953</v>
      </c>
      <c r="G5941" s="86" t="s">
        <v>2953</v>
      </c>
      <c r="H5941" s="143">
        <v>22</v>
      </c>
      <c r="I5941" s="86" t="s">
        <v>2935</v>
      </c>
      <c r="J5941" s="1" t="s">
        <v>3302</v>
      </c>
      <c r="K5941" s="1" t="s">
        <v>3371</v>
      </c>
      <c r="L5941" s="1" t="s">
        <v>35</v>
      </c>
      <c r="M5941" s="86" t="s">
        <v>2954</v>
      </c>
      <c r="O5941" s="47" t="s">
        <v>410</v>
      </c>
      <c r="P5941" s="14" t="s">
        <v>46</v>
      </c>
      <c r="Q5941" s="14">
        <v>0.02</v>
      </c>
      <c r="R5941" s="143">
        <v>207742</v>
      </c>
      <c r="S5941" s="47"/>
      <c r="T5941" s="6">
        <v>23930.83</v>
      </c>
      <c r="U5941" s="6"/>
      <c r="V5941" s="6">
        <v>0</v>
      </c>
      <c r="W5941" s="6">
        <f t="shared" si="927"/>
        <v>23930.83</v>
      </c>
      <c r="X5941" s="6">
        <f t="shared" si="928"/>
        <v>0</v>
      </c>
      <c r="Y5941" s="13">
        <f t="shared" si="923"/>
        <v>0</v>
      </c>
      <c r="Z5941" s="14">
        <v>0</v>
      </c>
      <c r="AA5941" s="6">
        <v>0</v>
      </c>
      <c r="AB5941" s="4">
        <f t="shared" si="925"/>
        <v>0</v>
      </c>
      <c r="AC5941" s="6">
        <f t="shared" si="922"/>
        <v>0</v>
      </c>
      <c r="AD5941" s="6">
        <f t="shared" si="929"/>
        <v>0</v>
      </c>
      <c r="AE5941" s="14">
        <f>VLOOKUP(I5941,[2]媒体政策预估表!A:N,MATCH(O5941,[2]媒体政策预估表!$A$2:$M$2,0),0)</f>
        <v>0.10299999999999999</v>
      </c>
      <c r="AF5941" s="6">
        <f t="shared" si="926"/>
        <v>0</v>
      </c>
      <c r="AG5941" s="14">
        <v>0</v>
      </c>
      <c r="AH5941" s="99">
        <f t="shared" si="930"/>
        <v>0</v>
      </c>
      <c r="AI5941" s="47"/>
      <c r="AJ5941" s="126" t="e">
        <v>#N/A</v>
      </c>
      <c r="AK5941" s="80">
        <f t="shared" si="924"/>
        <v>0</v>
      </c>
      <c r="AL5941" s="85"/>
      <c r="AM5941" s="85"/>
    </row>
    <row r="5942" spans="1:39" s="86" customFormat="1" ht="13.25" hidden="1" customHeight="1" x14ac:dyDescent="0.3">
      <c r="A5942" s="89" t="s">
        <v>3794</v>
      </c>
      <c r="B5942" s="86" t="s">
        <v>35</v>
      </c>
      <c r="C5942" s="86" t="s">
        <v>184</v>
      </c>
      <c r="D5942" s="86" t="s">
        <v>37</v>
      </c>
      <c r="E5942" s="86" t="s">
        <v>222</v>
      </c>
      <c r="F5942" s="86" t="s">
        <v>462</v>
      </c>
      <c r="G5942" s="86" t="s">
        <v>222</v>
      </c>
      <c r="H5942" s="144">
        <v>22</v>
      </c>
      <c r="I5942" s="86" t="s">
        <v>2935</v>
      </c>
      <c r="J5942" s="1" t="s">
        <v>3302</v>
      </c>
      <c r="K5942" s="1" t="s">
        <v>3371</v>
      </c>
      <c r="L5942" s="1" t="s">
        <v>35</v>
      </c>
      <c r="M5942" s="86" t="s">
        <v>2961</v>
      </c>
      <c r="O5942" s="47" t="s">
        <v>410</v>
      </c>
      <c r="P5942" s="14" t="s">
        <v>46</v>
      </c>
      <c r="Q5942" s="14">
        <v>0.02</v>
      </c>
      <c r="R5942" s="143">
        <v>245152</v>
      </c>
      <c r="S5942" s="47"/>
      <c r="T5942" s="6">
        <v>18484.309999999998</v>
      </c>
      <c r="U5942" s="6"/>
      <c r="V5942" s="6">
        <v>17307.830000000002</v>
      </c>
      <c r="W5942" s="6">
        <f t="shared" si="927"/>
        <v>1176.4799999999959</v>
      </c>
      <c r="X5942" s="6">
        <f t="shared" si="928"/>
        <v>16968.460784313727</v>
      </c>
      <c r="Y5942" s="13">
        <f t="shared" si="923"/>
        <v>0</v>
      </c>
      <c r="Z5942" s="14">
        <v>0</v>
      </c>
      <c r="AA5942" s="6">
        <v>0</v>
      </c>
      <c r="AB5942" s="4">
        <f t="shared" si="925"/>
        <v>16968.460784313727</v>
      </c>
      <c r="AC5942" s="6">
        <f t="shared" si="922"/>
        <v>339.3692156862744</v>
      </c>
      <c r="AD5942" s="6">
        <f t="shared" si="929"/>
        <v>17307.830000000002</v>
      </c>
      <c r="AE5942" s="14">
        <f>VLOOKUP(I5942,[2]媒体政策预估表!A:N,MATCH(O5942,[2]媒体政策预估表!$A$2:$M$2,0),0)</f>
        <v>0.10299999999999999</v>
      </c>
      <c r="AF5942" s="6">
        <f t="shared" si="926"/>
        <v>1782.70649</v>
      </c>
      <c r="AG5942" s="14">
        <v>0</v>
      </c>
      <c r="AH5942" s="99">
        <f t="shared" si="930"/>
        <v>17307.830000000002</v>
      </c>
      <c r="AI5942" s="47"/>
      <c r="AJ5942" s="126" t="e">
        <v>#N/A</v>
      </c>
      <c r="AK5942" s="80">
        <f t="shared" si="924"/>
        <v>0</v>
      </c>
      <c r="AL5942" s="85"/>
      <c r="AM5942" s="85"/>
    </row>
    <row r="5943" spans="1:39" s="86" customFormat="1" ht="13.25" hidden="1" customHeight="1" x14ac:dyDescent="0.3">
      <c r="A5943" s="89" t="s">
        <v>3792</v>
      </c>
      <c r="B5943" s="86" t="s">
        <v>35</v>
      </c>
      <c r="C5943" s="86" t="s">
        <v>184</v>
      </c>
      <c r="D5943" s="86" t="s">
        <v>37</v>
      </c>
      <c r="E5943" s="86" t="s">
        <v>57</v>
      </c>
      <c r="F5943" s="86" t="s">
        <v>3071</v>
      </c>
      <c r="G5943" s="86" t="s">
        <v>57</v>
      </c>
      <c r="H5943" s="143">
        <v>22</v>
      </c>
      <c r="I5943" s="86" t="s">
        <v>2935</v>
      </c>
      <c r="J5943" s="1" t="s">
        <v>3302</v>
      </c>
      <c r="K5943" s="1" t="s">
        <v>3371</v>
      </c>
      <c r="L5943" s="1" t="s">
        <v>35</v>
      </c>
      <c r="M5943" s="86" t="s">
        <v>3076</v>
      </c>
      <c r="O5943" s="47" t="s">
        <v>410</v>
      </c>
      <c r="P5943" s="14" t="s">
        <v>46</v>
      </c>
      <c r="Q5943" s="14">
        <v>0.02</v>
      </c>
      <c r="R5943" s="143">
        <v>33302</v>
      </c>
      <c r="S5943" s="47"/>
      <c r="T5943" s="6">
        <v>172076.80999999997</v>
      </c>
      <c r="U5943" s="6"/>
      <c r="V5943" s="6">
        <v>0</v>
      </c>
      <c r="W5943" s="6">
        <f t="shared" si="927"/>
        <v>172076.80999999997</v>
      </c>
      <c r="X5943" s="6">
        <f t="shared" si="928"/>
        <v>0</v>
      </c>
      <c r="Y5943" s="13">
        <f t="shared" si="923"/>
        <v>0</v>
      </c>
      <c r="Z5943" s="14">
        <v>0</v>
      </c>
      <c r="AA5943" s="6">
        <v>0</v>
      </c>
      <c r="AB5943" s="4">
        <f t="shared" si="925"/>
        <v>0</v>
      </c>
      <c r="AC5943" s="6">
        <f t="shared" si="922"/>
        <v>0</v>
      </c>
      <c r="AD5943" s="6">
        <f t="shared" si="929"/>
        <v>0</v>
      </c>
      <c r="AE5943" s="14">
        <f>VLOOKUP(I5943,[2]媒体政策预估表!A:N,MATCH(O5943,[2]媒体政策预估表!$A$2:$M$2,0),0)</f>
        <v>0.10299999999999999</v>
      </c>
      <c r="AF5943" s="6">
        <f t="shared" si="926"/>
        <v>0</v>
      </c>
      <c r="AG5943" s="14">
        <v>0</v>
      </c>
      <c r="AH5943" s="99">
        <f t="shared" si="930"/>
        <v>0</v>
      </c>
      <c r="AI5943" s="47"/>
      <c r="AJ5943" s="126" t="e">
        <v>#N/A</v>
      </c>
      <c r="AK5943" s="80">
        <f t="shared" si="924"/>
        <v>0</v>
      </c>
      <c r="AL5943" s="85"/>
      <c r="AM5943" s="85"/>
    </row>
    <row r="5944" spans="1:39" s="86" customFormat="1" ht="13.25" hidden="1" customHeight="1" x14ac:dyDescent="0.3">
      <c r="A5944" s="89" t="s">
        <v>3792</v>
      </c>
      <c r="B5944" s="86" t="s">
        <v>35</v>
      </c>
      <c r="C5944" s="86" t="s">
        <v>184</v>
      </c>
      <c r="D5944" s="86" t="s">
        <v>37</v>
      </c>
      <c r="E5944" s="86" t="s">
        <v>57</v>
      </c>
      <c r="F5944" s="86" t="s">
        <v>3071</v>
      </c>
      <c r="G5944" s="86" t="s">
        <v>57</v>
      </c>
      <c r="H5944" s="144">
        <v>22</v>
      </c>
      <c r="I5944" s="86" t="s">
        <v>2935</v>
      </c>
      <c r="J5944" s="1" t="s">
        <v>3302</v>
      </c>
      <c r="K5944" s="1" t="s">
        <v>3371</v>
      </c>
      <c r="L5944" s="1" t="s">
        <v>35</v>
      </c>
      <c r="M5944" s="86" t="s">
        <v>3072</v>
      </c>
      <c r="O5944" s="47" t="s">
        <v>410</v>
      </c>
      <c r="P5944" s="14" t="s">
        <v>46</v>
      </c>
      <c r="Q5944" s="14">
        <v>0.02</v>
      </c>
      <c r="R5944" s="143">
        <v>216592</v>
      </c>
      <c r="S5944" s="47"/>
      <c r="T5944" s="6">
        <v>334339.65000000002</v>
      </c>
      <c r="U5944" s="6"/>
      <c r="V5944" s="6">
        <v>21431</v>
      </c>
      <c r="W5944" s="6">
        <f t="shared" si="927"/>
        <v>312908.65000000002</v>
      </c>
      <c r="X5944" s="6">
        <f t="shared" si="928"/>
        <v>21010.784313725489</v>
      </c>
      <c r="Y5944" s="13">
        <f t="shared" si="923"/>
        <v>0</v>
      </c>
      <c r="Z5944" s="14">
        <v>0</v>
      </c>
      <c r="AA5944" s="6">
        <v>0</v>
      </c>
      <c r="AB5944" s="4">
        <f t="shared" si="925"/>
        <v>21010.784313725489</v>
      </c>
      <c r="AC5944" s="6">
        <f t="shared" si="922"/>
        <v>420.21568627451052</v>
      </c>
      <c r="AD5944" s="6">
        <f t="shared" si="929"/>
        <v>21431</v>
      </c>
      <c r="AE5944" s="14">
        <f>VLOOKUP(I5944,[2]媒体政策预估表!A:N,MATCH(O5944,[2]媒体政策预估表!$A$2:$M$2,0),0)</f>
        <v>0.10299999999999999</v>
      </c>
      <c r="AF5944" s="6">
        <f t="shared" si="926"/>
        <v>2207.393</v>
      </c>
      <c r="AG5944" s="14">
        <v>0</v>
      </c>
      <c r="AH5944" s="99">
        <f t="shared" si="930"/>
        <v>21431</v>
      </c>
      <c r="AI5944" s="47"/>
      <c r="AJ5944" s="126" t="e">
        <v>#N/A</v>
      </c>
      <c r="AK5944" s="80">
        <f t="shared" si="924"/>
        <v>0</v>
      </c>
      <c r="AL5944" s="85"/>
      <c r="AM5944" s="85"/>
    </row>
    <row r="5945" spans="1:39" s="86" customFormat="1" ht="13.25" hidden="1" customHeight="1" x14ac:dyDescent="0.3">
      <c r="A5945" s="89" t="s">
        <v>3792</v>
      </c>
      <c r="B5945" s="86" t="s">
        <v>35</v>
      </c>
      <c r="C5945" s="86" t="s">
        <v>65</v>
      </c>
      <c r="D5945" s="86" t="s">
        <v>66</v>
      </c>
      <c r="E5945" s="86" t="s">
        <v>469</v>
      </c>
      <c r="F5945" s="86" t="s">
        <v>469</v>
      </c>
      <c r="G5945" s="86" t="s">
        <v>469</v>
      </c>
      <c r="H5945" s="144">
        <v>22</v>
      </c>
      <c r="I5945" s="86" t="s">
        <v>2935</v>
      </c>
      <c r="J5945" s="1" t="s">
        <v>3302</v>
      </c>
      <c r="K5945" s="1" t="s">
        <v>3371</v>
      </c>
      <c r="L5945" s="1" t="s">
        <v>35</v>
      </c>
      <c r="M5945" s="86" t="s">
        <v>469</v>
      </c>
      <c r="O5945" s="47" t="s">
        <v>410</v>
      </c>
      <c r="P5945" s="14" t="s">
        <v>41</v>
      </c>
      <c r="Q5945" s="14">
        <v>0</v>
      </c>
      <c r="R5945" s="143">
        <v>102202</v>
      </c>
      <c r="S5945" s="47"/>
      <c r="T5945" s="6">
        <v>142066.67000000004</v>
      </c>
      <c r="U5945" s="6"/>
      <c r="V5945" s="6">
        <v>87397.67</v>
      </c>
      <c r="W5945" s="6">
        <f t="shared" si="927"/>
        <v>54669.000000000044</v>
      </c>
      <c r="X5945" s="6">
        <f t="shared" si="928"/>
        <v>87397.67</v>
      </c>
      <c r="Y5945" s="13">
        <f t="shared" si="923"/>
        <v>0</v>
      </c>
      <c r="Z5945" s="14">
        <v>0</v>
      </c>
      <c r="AA5945" s="6">
        <v>0</v>
      </c>
      <c r="AB5945" s="4">
        <f t="shared" si="925"/>
        <v>87397.67</v>
      </c>
      <c r="AC5945" s="6">
        <f t="shared" si="922"/>
        <v>0</v>
      </c>
      <c r="AD5945" s="6">
        <f t="shared" si="929"/>
        <v>87397.67</v>
      </c>
      <c r="AE5945" s="14">
        <f>VLOOKUP(I5945,[2]媒体政策预估表!A:N,MATCH(O5945,[2]媒体政策预估表!$A$2:$M$2,0),0)</f>
        <v>0.10299999999999999</v>
      </c>
      <c r="AF5945" s="6">
        <f t="shared" si="926"/>
        <v>9001.9600099999989</v>
      </c>
      <c r="AG5945" s="14">
        <v>0</v>
      </c>
      <c r="AH5945" s="99">
        <f t="shared" si="930"/>
        <v>87397.67</v>
      </c>
      <c r="AI5945" s="47"/>
      <c r="AJ5945" s="126" t="e">
        <v>#N/A</v>
      </c>
      <c r="AK5945" s="80">
        <f t="shared" si="924"/>
        <v>0</v>
      </c>
      <c r="AL5945" s="85"/>
      <c r="AM5945" s="85"/>
    </row>
    <row r="5946" spans="1:39" s="86" customFormat="1" ht="13.25" hidden="1" customHeight="1" x14ac:dyDescent="0.3">
      <c r="A5946" s="89" t="s">
        <v>3792</v>
      </c>
      <c r="B5946" s="86" t="s">
        <v>35</v>
      </c>
      <c r="C5946" s="86" t="s">
        <v>65</v>
      </c>
      <c r="D5946" s="86" t="s">
        <v>66</v>
      </c>
      <c r="E5946" s="86" t="s">
        <v>473</v>
      </c>
      <c r="F5946" s="86" t="s">
        <v>473</v>
      </c>
      <c r="G5946" s="86" t="s">
        <v>473</v>
      </c>
      <c r="H5946" s="144">
        <v>22</v>
      </c>
      <c r="I5946" s="86" t="s">
        <v>2935</v>
      </c>
      <c r="J5946" s="1" t="s">
        <v>3302</v>
      </c>
      <c r="K5946" s="1" t="s">
        <v>3371</v>
      </c>
      <c r="L5946" s="1" t="s">
        <v>35</v>
      </c>
      <c r="M5946" s="86" t="s">
        <v>483</v>
      </c>
      <c r="O5946" s="47" t="s">
        <v>410</v>
      </c>
      <c r="P5946" s="14" t="s">
        <v>41</v>
      </c>
      <c r="Q5946" s="14">
        <v>0</v>
      </c>
      <c r="R5946" s="143">
        <v>41252</v>
      </c>
      <c r="S5946" s="47"/>
      <c r="T5946" s="6">
        <v>9390.5200000000186</v>
      </c>
      <c r="U5946" s="6"/>
      <c r="V5946" s="6">
        <v>9390.5200000000186</v>
      </c>
      <c r="W5946" s="6">
        <f t="shared" si="927"/>
        <v>0</v>
      </c>
      <c r="X5946" s="6">
        <f t="shared" si="928"/>
        <v>9390.5200000000186</v>
      </c>
      <c r="Y5946" s="13">
        <f t="shared" si="923"/>
        <v>0</v>
      </c>
      <c r="Z5946" s="14">
        <v>0</v>
      </c>
      <c r="AA5946" s="6">
        <v>0</v>
      </c>
      <c r="AB5946" s="4">
        <f t="shared" si="925"/>
        <v>9390.5200000000186</v>
      </c>
      <c r="AC5946" s="6">
        <f t="shared" si="922"/>
        <v>0</v>
      </c>
      <c r="AD5946" s="6">
        <f t="shared" si="929"/>
        <v>9390.5200000000186</v>
      </c>
      <c r="AE5946" s="14">
        <f>VLOOKUP(I5946,[2]媒体政策预估表!A:N,MATCH(O5946,[2]媒体政策预估表!$A$2:$M$2,0),0)</f>
        <v>0.10299999999999999</v>
      </c>
      <c r="AF5946" s="6">
        <f t="shared" si="926"/>
        <v>967.22356000000184</v>
      </c>
      <c r="AG5946" s="14">
        <v>0</v>
      </c>
      <c r="AH5946" s="99">
        <f t="shared" si="930"/>
        <v>9390.5200000000186</v>
      </c>
      <c r="AI5946" s="47"/>
      <c r="AJ5946" s="126" t="e">
        <v>#N/A</v>
      </c>
      <c r="AK5946" s="80">
        <f t="shared" si="924"/>
        <v>0</v>
      </c>
      <c r="AL5946" s="85"/>
      <c r="AM5946" s="85"/>
    </row>
    <row r="5947" spans="1:39" s="86" customFormat="1" ht="13.25" hidden="1" customHeight="1" x14ac:dyDescent="0.3">
      <c r="A5947" s="89" t="s">
        <v>3794</v>
      </c>
      <c r="B5947" s="86" t="s">
        <v>35</v>
      </c>
      <c r="C5947" s="86" t="s">
        <v>65</v>
      </c>
      <c r="D5947" s="86" t="s">
        <v>66</v>
      </c>
      <c r="E5947" s="86" t="s">
        <v>487</v>
      </c>
      <c r="F5947" s="86" t="s">
        <v>487</v>
      </c>
      <c r="G5947" s="86" t="s">
        <v>487</v>
      </c>
      <c r="H5947" s="143">
        <v>22</v>
      </c>
      <c r="I5947" s="86" t="s">
        <v>2935</v>
      </c>
      <c r="J5947" s="1" t="s">
        <v>3302</v>
      </c>
      <c r="K5947" s="1" t="s">
        <v>3371</v>
      </c>
      <c r="L5947" s="1" t="s">
        <v>35</v>
      </c>
      <c r="M5947" s="86" t="s">
        <v>3584</v>
      </c>
      <c r="O5947" s="47" t="s">
        <v>410</v>
      </c>
      <c r="P5947" s="14" t="s">
        <v>41</v>
      </c>
      <c r="Q5947" s="14">
        <v>0</v>
      </c>
      <c r="R5947" s="143">
        <v>176062</v>
      </c>
      <c r="S5947" s="47"/>
      <c r="T5947" s="6">
        <v>23523.52</v>
      </c>
      <c r="U5947" s="6"/>
      <c r="V5947" s="6">
        <v>0</v>
      </c>
      <c r="W5947" s="6">
        <f t="shared" si="927"/>
        <v>23523.52</v>
      </c>
      <c r="X5947" s="6">
        <f t="shared" si="928"/>
        <v>0</v>
      </c>
      <c r="Y5947" s="13">
        <f t="shared" si="923"/>
        <v>0</v>
      </c>
      <c r="Z5947" s="14">
        <v>0</v>
      </c>
      <c r="AA5947" s="6">
        <v>0</v>
      </c>
      <c r="AB5947" s="4">
        <f t="shared" si="925"/>
        <v>0</v>
      </c>
      <c r="AC5947" s="6">
        <f t="shared" si="922"/>
        <v>0</v>
      </c>
      <c r="AD5947" s="6">
        <f t="shared" si="929"/>
        <v>0</v>
      </c>
      <c r="AE5947" s="14">
        <f>VLOOKUP(I5947,[2]媒体政策预估表!A:N,MATCH(O5947,[2]媒体政策预估表!$A$2:$M$2,0),0)</f>
        <v>0.10299999999999999</v>
      </c>
      <c r="AF5947" s="6">
        <f t="shared" si="926"/>
        <v>0</v>
      </c>
      <c r="AG5947" s="14">
        <v>0</v>
      </c>
      <c r="AH5947" s="99">
        <f t="shared" si="930"/>
        <v>0</v>
      </c>
      <c r="AI5947" s="47"/>
      <c r="AJ5947" s="126" t="e">
        <v>#N/A</v>
      </c>
      <c r="AK5947" s="80">
        <f t="shared" si="924"/>
        <v>0</v>
      </c>
      <c r="AL5947" s="85"/>
      <c r="AM5947" s="85"/>
    </row>
    <row r="5948" spans="1:39" s="86" customFormat="1" ht="13.25" hidden="1" customHeight="1" x14ac:dyDescent="0.3">
      <c r="A5948" s="89" t="s">
        <v>3794</v>
      </c>
      <c r="B5948" s="86" t="s">
        <v>35</v>
      </c>
      <c r="C5948" s="86" t="s">
        <v>65</v>
      </c>
      <c r="D5948" s="86" t="s">
        <v>66</v>
      </c>
      <c r="E5948" s="86" t="s">
        <v>2678</v>
      </c>
      <c r="F5948" s="86" t="s">
        <v>2679</v>
      </c>
      <c r="G5948" s="86" t="s">
        <v>2678</v>
      </c>
      <c r="H5948" s="144">
        <v>22</v>
      </c>
      <c r="I5948" s="86" t="s">
        <v>2935</v>
      </c>
      <c r="J5948" s="1" t="s">
        <v>3302</v>
      </c>
      <c r="K5948" s="1" t="s">
        <v>3371</v>
      </c>
      <c r="L5948" s="1" t="s">
        <v>35</v>
      </c>
      <c r="M5948" s="86" t="s">
        <v>2678</v>
      </c>
      <c r="O5948" s="47" t="s">
        <v>45</v>
      </c>
      <c r="P5948" s="14" t="s">
        <v>46</v>
      </c>
      <c r="Q5948" s="14">
        <v>0.06</v>
      </c>
      <c r="R5948" s="143">
        <v>72222</v>
      </c>
      <c r="S5948" s="47"/>
      <c r="T5948" s="6">
        <v>-2036052.7200000002</v>
      </c>
      <c r="U5948" s="6"/>
      <c r="V5948" s="6">
        <v>1301449.99</v>
      </c>
      <c r="W5948" s="6">
        <f t="shared" si="927"/>
        <v>-3337502.71</v>
      </c>
      <c r="X5948" s="6">
        <f t="shared" si="928"/>
        <v>1227783.0094339622</v>
      </c>
      <c r="Y5948" s="13">
        <f t="shared" si="923"/>
        <v>0</v>
      </c>
      <c r="Z5948" s="14">
        <v>0</v>
      </c>
      <c r="AA5948" s="6">
        <v>0</v>
      </c>
      <c r="AB5948" s="4">
        <f t="shared" si="925"/>
        <v>1227783.0094339622</v>
      </c>
      <c r="AC5948" s="6">
        <f t="shared" si="922"/>
        <v>73666.980566037819</v>
      </c>
      <c r="AD5948" s="6">
        <f t="shared" si="929"/>
        <v>1301449.99</v>
      </c>
      <c r="AE5948" s="14">
        <f>VLOOKUP(I5948,[2]媒体政策预估表!A:N,MATCH(O5948,[2]媒体政策预估表!$A$2:$M$2,0),0)</f>
        <v>0.223</v>
      </c>
      <c r="AF5948" s="6">
        <f t="shared" si="926"/>
        <v>290223.34776999999</v>
      </c>
      <c r="AG5948" s="14">
        <v>0</v>
      </c>
      <c r="AH5948" s="99">
        <f t="shared" si="930"/>
        <v>1301449.99</v>
      </c>
      <c r="AI5948" s="47"/>
      <c r="AJ5948" s="126" t="e">
        <v>#N/A</v>
      </c>
      <c r="AK5948" s="80">
        <f t="shared" si="924"/>
        <v>0</v>
      </c>
      <c r="AL5948" s="85"/>
      <c r="AM5948" s="85"/>
    </row>
    <row r="5949" spans="1:39" s="86" customFormat="1" ht="13.25" hidden="1" customHeight="1" x14ac:dyDescent="0.3">
      <c r="A5949" s="89" t="s">
        <v>3794</v>
      </c>
      <c r="B5949" s="86" t="s">
        <v>35</v>
      </c>
      <c r="C5949" s="86" t="s">
        <v>65</v>
      </c>
      <c r="D5949" s="86" t="s">
        <v>66</v>
      </c>
      <c r="E5949" s="86" t="s">
        <v>2678</v>
      </c>
      <c r="F5949" s="86" t="s">
        <v>2679</v>
      </c>
      <c r="G5949" s="86" t="s">
        <v>2678</v>
      </c>
      <c r="H5949" s="144">
        <v>22</v>
      </c>
      <c r="I5949" s="86" t="s">
        <v>2935</v>
      </c>
      <c r="J5949" s="1" t="s">
        <v>3302</v>
      </c>
      <c r="K5949" s="1" t="s">
        <v>3371</v>
      </c>
      <c r="L5949" s="1" t="s">
        <v>35</v>
      </c>
      <c r="M5949" s="86" t="s">
        <v>2966</v>
      </c>
      <c r="O5949" s="47" t="s">
        <v>45</v>
      </c>
      <c r="P5949" s="14" t="s">
        <v>46</v>
      </c>
      <c r="Q5949" s="14">
        <v>0.08</v>
      </c>
      <c r="R5949" s="143">
        <v>242112</v>
      </c>
      <c r="S5949" s="47"/>
      <c r="T5949" s="6">
        <v>3846.15</v>
      </c>
      <c r="U5949" s="6"/>
      <c r="V5949" s="6">
        <v>3846.15</v>
      </c>
      <c r="W5949" s="6">
        <f t="shared" si="927"/>
        <v>0</v>
      </c>
      <c r="X5949" s="6">
        <f t="shared" si="928"/>
        <v>3561.25</v>
      </c>
      <c r="Y5949" s="13">
        <f t="shared" si="923"/>
        <v>0</v>
      </c>
      <c r="Z5949" s="14">
        <v>0</v>
      </c>
      <c r="AA5949" s="6">
        <v>0</v>
      </c>
      <c r="AB5949" s="4">
        <f t="shared" si="925"/>
        <v>3561.25</v>
      </c>
      <c r="AC5949" s="6">
        <f t="shared" si="922"/>
        <v>284.90000000000009</v>
      </c>
      <c r="AD5949" s="6">
        <f t="shared" si="929"/>
        <v>3846.15</v>
      </c>
      <c r="AE5949" s="14">
        <f>VLOOKUP(I5949,[2]媒体政策预估表!A:N,MATCH(O5949,[2]媒体政策预估表!$A$2:$M$2,0),0)</f>
        <v>0.223</v>
      </c>
      <c r="AF5949" s="6">
        <f t="shared" si="926"/>
        <v>857.69145000000003</v>
      </c>
      <c r="AG5949" s="14">
        <v>0</v>
      </c>
      <c r="AH5949" s="99">
        <f t="shared" si="930"/>
        <v>3846.15</v>
      </c>
      <c r="AI5949" s="47"/>
      <c r="AJ5949" s="126" t="e">
        <v>#N/A</v>
      </c>
      <c r="AK5949" s="80">
        <f t="shared" si="924"/>
        <v>0</v>
      </c>
      <c r="AL5949" s="85"/>
      <c r="AM5949" s="85"/>
    </row>
    <row r="5950" spans="1:39" s="86" customFormat="1" ht="13.25" hidden="1" customHeight="1" x14ac:dyDescent="0.3">
      <c r="A5950" s="89" t="s">
        <v>3794</v>
      </c>
      <c r="B5950" s="86" t="s">
        <v>35</v>
      </c>
      <c r="C5950" s="86" t="s">
        <v>65</v>
      </c>
      <c r="D5950" s="86" t="s">
        <v>122</v>
      </c>
      <c r="E5950" s="86" t="s">
        <v>2856</v>
      </c>
      <c r="F5950" s="86" t="s">
        <v>2856</v>
      </c>
      <c r="G5950" s="86" t="s">
        <v>2856</v>
      </c>
      <c r="H5950" s="144">
        <v>22</v>
      </c>
      <c r="I5950" s="86" t="s">
        <v>2935</v>
      </c>
      <c r="J5950" s="1" t="s">
        <v>3302</v>
      </c>
      <c r="K5950" s="1" t="s">
        <v>3371</v>
      </c>
      <c r="L5950" s="1" t="s">
        <v>35</v>
      </c>
      <c r="M5950" s="86" t="s">
        <v>2857</v>
      </c>
      <c r="O5950" s="47" t="s">
        <v>410</v>
      </c>
      <c r="P5950" s="47" t="s">
        <v>41</v>
      </c>
      <c r="Q5950" s="14">
        <v>0</v>
      </c>
      <c r="R5950" s="143">
        <v>19802</v>
      </c>
      <c r="S5950" s="47"/>
      <c r="T5950" s="6">
        <v>990.04</v>
      </c>
      <c r="U5950" s="6"/>
      <c r="V5950" s="6">
        <v>990.04</v>
      </c>
      <c r="W5950" s="6">
        <f t="shared" si="927"/>
        <v>0</v>
      </c>
      <c r="X5950" s="6">
        <f t="shared" si="928"/>
        <v>990.04</v>
      </c>
      <c r="Y5950" s="13">
        <f t="shared" si="923"/>
        <v>0</v>
      </c>
      <c r="Z5950" s="14">
        <v>0</v>
      </c>
      <c r="AA5950" s="6">
        <v>0</v>
      </c>
      <c r="AB5950" s="4">
        <f t="shared" si="925"/>
        <v>990.04</v>
      </c>
      <c r="AC5950" s="6">
        <f t="shared" ref="AC5950:AC6013" si="931">IF(P5950="返现",X5950*Q5950,V5950-X5950)</f>
        <v>0</v>
      </c>
      <c r="AD5950" s="6">
        <f t="shared" si="929"/>
        <v>990.04</v>
      </c>
      <c r="AE5950" s="14">
        <f>VLOOKUP(I5950,[2]媒体政策预估表!A:N,MATCH(O5950,[2]媒体政策预估表!$A$2:$M$2,0),0)</f>
        <v>0.10299999999999999</v>
      </c>
      <c r="AF5950" s="6">
        <f t="shared" si="926"/>
        <v>101.97411999999998</v>
      </c>
      <c r="AG5950" s="14">
        <v>0</v>
      </c>
      <c r="AH5950" s="99">
        <f t="shared" si="930"/>
        <v>990.04</v>
      </c>
      <c r="AI5950" s="47"/>
      <c r="AJ5950" s="126" t="e">
        <v>#N/A</v>
      </c>
      <c r="AK5950" s="80">
        <f t="shared" si="924"/>
        <v>0</v>
      </c>
      <c r="AL5950" s="85"/>
      <c r="AM5950" s="85"/>
    </row>
    <row r="5951" spans="1:39" s="86" customFormat="1" ht="13.25" hidden="1" customHeight="1" x14ac:dyDescent="0.3">
      <c r="A5951" s="89" t="s">
        <v>3792</v>
      </c>
      <c r="B5951" s="86" t="s">
        <v>35</v>
      </c>
      <c r="C5951" s="86" t="s">
        <v>184</v>
      </c>
      <c r="D5951" s="86" t="s">
        <v>3849</v>
      </c>
      <c r="E5951" s="86" t="s">
        <v>2789</v>
      </c>
      <c r="F5951" s="86" t="s">
        <v>2789</v>
      </c>
      <c r="G5951" s="86" t="s">
        <v>2789</v>
      </c>
      <c r="H5951" s="144">
        <v>22</v>
      </c>
      <c r="I5951" s="86" t="s">
        <v>2935</v>
      </c>
      <c r="J5951" s="1" t="s">
        <v>3302</v>
      </c>
      <c r="K5951" s="1" t="s">
        <v>3371</v>
      </c>
      <c r="L5951" s="1" t="s">
        <v>35</v>
      </c>
      <c r="M5951" s="86" t="s">
        <v>2985</v>
      </c>
      <c r="O5951" s="47" t="s">
        <v>45</v>
      </c>
      <c r="P5951" s="14" t="s">
        <v>41</v>
      </c>
      <c r="Q5951" s="14">
        <v>0</v>
      </c>
      <c r="R5951" s="143">
        <v>179222</v>
      </c>
      <c r="S5951" s="47"/>
      <c r="T5951" s="6">
        <v>16269.580000000011</v>
      </c>
      <c r="U5951" s="6"/>
      <c r="V5951" s="6">
        <v>57730.36</v>
      </c>
      <c r="W5951" s="6">
        <f t="shared" si="927"/>
        <v>-41460.779999999992</v>
      </c>
      <c r="X5951" s="6">
        <f t="shared" si="928"/>
        <v>57730.36</v>
      </c>
      <c r="Y5951" s="13">
        <f t="shared" si="923"/>
        <v>0</v>
      </c>
      <c r="Z5951" s="14">
        <v>0</v>
      </c>
      <c r="AA5951" s="6">
        <v>0</v>
      </c>
      <c r="AB5951" s="4">
        <f t="shared" si="925"/>
        <v>57730.36</v>
      </c>
      <c r="AC5951" s="6">
        <f t="shared" si="931"/>
        <v>0</v>
      </c>
      <c r="AD5951" s="6">
        <f t="shared" si="929"/>
        <v>57730.36</v>
      </c>
      <c r="AE5951" s="14">
        <f>VLOOKUP(I5951,[2]媒体政策预估表!A:N,MATCH(O5951,[2]媒体政策预估表!$A$2:$M$2,0),0)</f>
        <v>0.223</v>
      </c>
      <c r="AF5951" s="6">
        <f t="shared" si="926"/>
        <v>12873.870280000001</v>
      </c>
      <c r="AG5951" s="14">
        <v>0</v>
      </c>
      <c r="AH5951" s="99">
        <f t="shared" si="930"/>
        <v>57730.36</v>
      </c>
      <c r="AI5951" s="47"/>
      <c r="AJ5951" s="126" t="e">
        <v>#N/A</v>
      </c>
      <c r="AK5951" s="80">
        <f t="shared" si="924"/>
        <v>0</v>
      </c>
      <c r="AL5951" s="85"/>
      <c r="AM5951" s="85"/>
    </row>
    <row r="5952" spans="1:39" s="86" customFormat="1" ht="13.25" hidden="1" customHeight="1" x14ac:dyDescent="0.3">
      <c r="A5952" s="89" t="s">
        <v>3794</v>
      </c>
      <c r="B5952" s="86" t="s">
        <v>35</v>
      </c>
      <c r="C5952" s="86" t="s">
        <v>184</v>
      </c>
      <c r="D5952" s="86" t="s">
        <v>3849</v>
      </c>
      <c r="E5952" s="86" t="s">
        <v>550</v>
      </c>
      <c r="F5952" s="86" t="s">
        <v>551</v>
      </c>
      <c r="G5952" s="86" t="s">
        <v>550</v>
      </c>
      <c r="H5952" s="144">
        <v>22</v>
      </c>
      <c r="I5952" s="86" t="s">
        <v>2935</v>
      </c>
      <c r="J5952" s="1" t="s">
        <v>3302</v>
      </c>
      <c r="K5952" s="1" t="s">
        <v>3371</v>
      </c>
      <c r="L5952" s="1" t="s">
        <v>35</v>
      </c>
      <c r="M5952" s="86" t="s">
        <v>550</v>
      </c>
      <c r="O5952" s="47" t="s">
        <v>410</v>
      </c>
      <c r="P5952" s="14" t="s">
        <v>41</v>
      </c>
      <c r="Q5952" s="14">
        <v>0</v>
      </c>
      <c r="R5952" s="143">
        <v>100212</v>
      </c>
      <c r="S5952" s="47"/>
      <c r="T5952" s="6">
        <v>463435.46000000008</v>
      </c>
      <c r="U5952" s="6"/>
      <c r="V5952" s="6">
        <v>207638.28999999998</v>
      </c>
      <c r="W5952" s="6">
        <f t="shared" si="927"/>
        <v>255797.1700000001</v>
      </c>
      <c r="X5952" s="6">
        <f t="shared" si="928"/>
        <v>207638.28999999998</v>
      </c>
      <c r="Y5952" s="13">
        <f t="shared" si="923"/>
        <v>0</v>
      </c>
      <c r="Z5952" s="14">
        <v>0</v>
      </c>
      <c r="AA5952" s="6">
        <v>0</v>
      </c>
      <c r="AB5952" s="4">
        <f t="shared" si="925"/>
        <v>207638.28999999998</v>
      </c>
      <c r="AC5952" s="6">
        <f t="shared" si="931"/>
        <v>0</v>
      </c>
      <c r="AD5952" s="6">
        <f t="shared" si="929"/>
        <v>207638.28999999998</v>
      </c>
      <c r="AE5952" s="14">
        <f>VLOOKUP(I5952,[2]媒体政策预估表!A:N,MATCH(O5952,[2]媒体政策预估表!$A$2:$M$2,0),0)</f>
        <v>0.10299999999999999</v>
      </c>
      <c r="AF5952" s="6">
        <f t="shared" si="926"/>
        <v>21386.743869999998</v>
      </c>
      <c r="AG5952" s="14">
        <v>0</v>
      </c>
      <c r="AH5952" s="99">
        <f t="shared" si="930"/>
        <v>207638.28999999998</v>
      </c>
      <c r="AI5952" s="47"/>
      <c r="AJ5952" s="126" t="e">
        <v>#N/A</v>
      </c>
      <c r="AK5952" s="80">
        <f t="shared" si="924"/>
        <v>0</v>
      </c>
      <c r="AL5952" s="85"/>
      <c r="AM5952" s="85"/>
    </row>
    <row r="5953" spans="1:39" s="86" customFormat="1" ht="13.25" hidden="1" customHeight="1" x14ac:dyDescent="0.3">
      <c r="A5953" s="89" t="s">
        <v>3794</v>
      </c>
      <c r="B5953" s="86" t="s">
        <v>35</v>
      </c>
      <c r="C5953" s="86" t="s">
        <v>184</v>
      </c>
      <c r="D5953" s="86" t="s">
        <v>3849</v>
      </c>
      <c r="E5953" s="86" t="s">
        <v>550</v>
      </c>
      <c r="F5953" s="86" t="s">
        <v>551</v>
      </c>
      <c r="G5953" s="86" t="s">
        <v>550</v>
      </c>
      <c r="H5953" s="144">
        <v>22</v>
      </c>
      <c r="I5953" s="86" t="s">
        <v>2935</v>
      </c>
      <c r="J5953" s="1" t="s">
        <v>3302</v>
      </c>
      <c r="K5953" s="1" t="s">
        <v>3371</v>
      </c>
      <c r="L5953" s="1" t="s">
        <v>35</v>
      </c>
      <c r="M5953" s="86" t="s">
        <v>3588</v>
      </c>
      <c r="O5953" s="47" t="s">
        <v>45</v>
      </c>
      <c r="P5953" s="14" t="s">
        <v>46</v>
      </c>
      <c r="Q5953" s="14">
        <v>0.06</v>
      </c>
      <c r="R5953" s="143">
        <v>247382</v>
      </c>
      <c r="S5953" s="47"/>
      <c r="T5953" s="6">
        <v>167385.41</v>
      </c>
      <c r="U5953" s="6"/>
      <c r="V5953" s="6">
        <v>85410.57</v>
      </c>
      <c r="W5953" s="6">
        <f t="shared" si="927"/>
        <v>81974.84</v>
      </c>
      <c r="X5953" s="6">
        <f t="shared" si="928"/>
        <v>80576.009433962274</v>
      </c>
      <c r="Y5953" s="13">
        <f t="shared" si="923"/>
        <v>0</v>
      </c>
      <c r="Z5953" s="14">
        <v>0</v>
      </c>
      <c r="AA5953" s="6">
        <v>0</v>
      </c>
      <c r="AB5953" s="4">
        <f t="shared" si="925"/>
        <v>80576.009433962274</v>
      </c>
      <c r="AC5953" s="6">
        <f t="shared" si="931"/>
        <v>4834.5605660377332</v>
      </c>
      <c r="AD5953" s="6">
        <f t="shared" si="929"/>
        <v>85410.57</v>
      </c>
      <c r="AE5953" s="14">
        <f>VLOOKUP(I5953,[2]媒体政策预估表!A:N,MATCH(O5953,[2]媒体政策预估表!$A$2:$M$2,0),0)</f>
        <v>0.223</v>
      </c>
      <c r="AF5953" s="6">
        <f t="shared" si="926"/>
        <v>19046.557110000002</v>
      </c>
      <c r="AG5953" s="14">
        <v>0</v>
      </c>
      <c r="AH5953" s="99">
        <f t="shared" si="930"/>
        <v>85410.57</v>
      </c>
      <c r="AI5953" s="47"/>
      <c r="AJ5953" s="126" t="e">
        <v>#N/A</v>
      </c>
      <c r="AK5953" s="80">
        <f t="shared" si="924"/>
        <v>0</v>
      </c>
      <c r="AL5953" s="85"/>
      <c r="AM5953" s="85"/>
    </row>
    <row r="5954" spans="1:39" s="86" customFormat="1" ht="13.25" hidden="1" customHeight="1" x14ac:dyDescent="0.3">
      <c r="A5954" s="89" t="s">
        <v>3792</v>
      </c>
      <c r="B5954" s="86" t="s">
        <v>35</v>
      </c>
      <c r="C5954" s="86" t="s">
        <v>144</v>
      </c>
      <c r="D5954" s="86" t="s">
        <v>145</v>
      </c>
      <c r="E5954" s="86" t="s">
        <v>2988</v>
      </c>
      <c r="F5954" s="86" t="s">
        <v>2989</v>
      </c>
      <c r="G5954" s="86" t="s">
        <v>2988</v>
      </c>
      <c r="H5954" s="144">
        <v>22</v>
      </c>
      <c r="I5954" s="86" t="s">
        <v>2935</v>
      </c>
      <c r="J5954" s="1" t="s">
        <v>3302</v>
      </c>
      <c r="K5954" s="1" t="s">
        <v>3371</v>
      </c>
      <c r="L5954" s="1" t="s">
        <v>35</v>
      </c>
      <c r="M5954" s="86" t="s">
        <v>2990</v>
      </c>
      <c r="O5954" s="47" t="s">
        <v>410</v>
      </c>
      <c r="P5954" s="14" t="s">
        <v>46</v>
      </c>
      <c r="Q5954" s="14">
        <v>0.02</v>
      </c>
      <c r="R5954" s="143">
        <v>36132</v>
      </c>
      <c r="S5954" s="47"/>
      <c r="T5954" s="6">
        <v>220599.52999999988</v>
      </c>
      <c r="U5954" s="6"/>
      <c r="V5954" s="6">
        <v>145398.46</v>
      </c>
      <c r="W5954" s="6">
        <f t="shared" si="927"/>
        <v>75201.069999999891</v>
      </c>
      <c r="X5954" s="6">
        <f t="shared" si="928"/>
        <v>142547.50980392157</v>
      </c>
      <c r="Y5954" s="13">
        <f t="shared" si="923"/>
        <v>0</v>
      </c>
      <c r="Z5954" s="14">
        <v>0</v>
      </c>
      <c r="AA5954" s="6">
        <v>0</v>
      </c>
      <c r="AB5954" s="4">
        <f t="shared" si="925"/>
        <v>142547.50980392157</v>
      </c>
      <c r="AC5954" s="6">
        <f t="shared" si="931"/>
        <v>2850.9501960784255</v>
      </c>
      <c r="AD5954" s="6">
        <f t="shared" si="929"/>
        <v>145398.46</v>
      </c>
      <c r="AE5954" s="14">
        <f>VLOOKUP(I5954,[2]媒体政策预估表!A:N,MATCH(O5954,[2]媒体政策预估表!$A$2:$M$2,0),0)</f>
        <v>0.10299999999999999</v>
      </c>
      <c r="AF5954" s="6">
        <f t="shared" si="926"/>
        <v>14976.041379999999</v>
      </c>
      <c r="AG5954" s="14">
        <v>0</v>
      </c>
      <c r="AH5954" s="99">
        <f t="shared" si="930"/>
        <v>145398.46</v>
      </c>
      <c r="AI5954" s="47"/>
      <c r="AJ5954" s="126" t="e">
        <v>#N/A</v>
      </c>
      <c r="AK5954" s="80">
        <f t="shared" si="924"/>
        <v>0</v>
      </c>
      <c r="AL5954" s="85"/>
      <c r="AM5954" s="85"/>
    </row>
    <row r="5955" spans="1:39" s="86" customFormat="1" ht="13.25" hidden="1" customHeight="1" x14ac:dyDescent="0.3">
      <c r="A5955" s="89" t="s">
        <v>3794</v>
      </c>
      <c r="B5955" s="86" t="s">
        <v>35</v>
      </c>
      <c r="C5955" s="86" t="s">
        <v>144</v>
      </c>
      <c r="D5955" s="86" t="s">
        <v>145</v>
      </c>
      <c r="E5955" s="86" t="s">
        <v>925</v>
      </c>
      <c r="F5955" s="86" t="s">
        <v>925</v>
      </c>
      <c r="G5955" s="86" t="s">
        <v>925</v>
      </c>
      <c r="H5955" s="143">
        <v>22</v>
      </c>
      <c r="I5955" s="86" t="s">
        <v>2935</v>
      </c>
      <c r="J5955" s="1" t="s">
        <v>3302</v>
      </c>
      <c r="K5955" s="1" t="s">
        <v>3371</v>
      </c>
      <c r="L5955" s="1" t="s">
        <v>35</v>
      </c>
      <c r="M5955" s="86" t="s">
        <v>2189</v>
      </c>
      <c r="O5955" s="47" t="s">
        <v>45</v>
      </c>
      <c r="P5955" s="14" t="s">
        <v>46</v>
      </c>
      <c r="Q5955" s="14">
        <v>0.02</v>
      </c>
      <c r="R5955" s="143">
        <v>109322</v>
      </c>
      <c r="S5955" s="47"/>
      <c r="T5955" s="6">
        <v>9829.09</v>
      </c>
      <c r="U5955" s="6"/>
      <c r="V5955" s="6">
        <v>0</v>
      </c>
      <c r="W5955" s="6">
        <f t="shared" si="927"/>
        <v>9829.09</v>
      </c>
      <c r="X5955" s="6">
        <f t="shared" si="928"/>
        <v>0</v>
      </c>
      <c r="Y5955" s="13">
        <f t="shared" ref="Y5955:Y6018" si="932">IF(X5955-AD5955&lt;=0,0,IF(P5955="返现",MAX(X5955-AC5955-AD5955,0),MAX(X5955-AD5955)))</f>
        <v>0</v>
      </c>
      <c r="Z5955" s="14">
        <v>0</v>
      </c>
      <c r="AA5955" s="6">
        <v>0</v>
      </c>
      <c r="AB5955" s="4">
        <f t="shared" ref="AB5955:AB6018" si="933">X5955+AA5955</f>
        <v>0</v>
      </c>
      <c r="AC5955" s="6">
        <f t="shared" si="931"/>
        <v>0</v>
      </c>
      <c r="AD5955" s="6">
        <f t="shared" si="929"/>
        <v>0</v>
      </c>
      <c r="AE5955" s="14">
        <f>VLOOKUP(I5955,[2]媒体政策预估表!A:N,MATCH(O5955,[2]媒体政策预估表!$A$2:$M$2,0),0)</f>
        <v>0.223</v>
      </c>
      <c r="AF5955" s="6">
        <f t="shared" si="926"/>
        <v>0</v>
      </c>
      <c r="AG5955" s="14">
        <v>0</v>
      </c>
      <c r="AH5955" s="99">
        <f t="shared" si="930"/>
        <v>0</v>
      </c>
      <c r="AI5955" s="47"/>
      <c r="AJ5955" s="126" t="e">
        <v>#N/A</v>
      </c>
      <c r="AK5955" s="80">
        <f t="shared" ref="AK5955:AK6018" si="934">X5955+AA5955-AB5955</f>
        <v>0</v>
      </c>
      <c r="AL5955" s="85"/>
      <c r="AM5955" s="85"/>
    </row>
    <row r="5956" spans="1:39" s="86" customFormat="1" ht="13.25" hidden="1" customHeight="1" x14ac:dyDescent="0.3">
      <c r="A5956" s="89" t="s">
        <v>3794</v>
      </c>
      <c r="B5956" s="86" t="s">
        <v>35</v>
      </c>
      <c r="C5956" s="86" t="s">
        <v>144</v>
      </c>
      <c r="D5956" s="86" t="s">
        <v>145</v>
      </c>
      <c r="E5956" s="86" t="s">
        <v>150</v>
      </c>
      <c r="F5956" s="86" t="s">
        <v>151</v>
      </c>
      <c r="G5956" s="86" t="s">
        <v>150</v>
      </c>
      <c r="H5956" s="143">
        <v>22</v>
      </c>
      <c r="I5956" s="86" t="s">
        <v>2935</v>
      </c>
      <c r="J5956" s="1" t="s">
        <v>3302</v>
      </c>
      <c r="K5956" s="1" t="s">
        <v>3371</v>
      </c>
      <c r="L5956" s="1" t="s">
        <v>35</v>
      </c>
      <c r="M5956" s="86" t="s">
        <v>2995</v>
      </c>
      <c r="O5956" s="47" t="s">
        <v>410</v>
      </c>
      <c r="P5956" s="14" t="s">
        <v>46</v>
      </c>
      <c r="Q5956" s="14">
        <v>0.04</v>
      </c>
      <c r="R5956" s="143">
        <v>246342</v>
      </c>
      <c r="S5956" s="47"/>
      <c r="T5956" s="6">
        <v>884000</v>
      </c>
      <c r="U5956" s="6">
        <v>0</v>
      </c>
      <c r="V5956" s="6">
        <v>0</v>
      </c>
      <c r="W5956" s="6">
        <f t="shared" si="927"/>
        <v>884000</v>
      </c>
      <c r="X5956" s="6">
        <f t="shared" si="928"/>
        <v>0</v>
      </c>
      <c r="Y5956" s="13">
        <f t="shared" si="932"/>
        <v>0</v>
      </c>
      <c r="Z5956" s="14">
        <v>0</v>
      </c>
      <c r="AA5956" s="6">
        <v>0</v>
      </c>
      <c r="AB5956" s="4">
        <f t="shared" si="933"/>
        <v>0</v>
      </c>
      <c r="AC5956" s="6">
        <f t="shared" si="931"/>
        <v>0</v>
      </c>
      <c r="AD5956" s="6">
        <f t="shared" si="929"/>
        <v>0</v>
      </c>
      <c r="AE5956" s="14">
        <f>VLOOKUP(I5956,[2]媒体政策预估表!A:N,MATCH(O5956,[2]媒体政策预估表!$A$2:$M$2,0),0)</f>
        <v>0.10299999999999999</v>
      </c>
      <c r="AF5956" s="6">
        <f t="shared" si="926"/>
        <v>0</v>
      </c>
      <c r="AG5956" s="14">
        <v>0</v>
      </c>
      <c r="AH5956" s="99">
        <f t="shared" si="930"/>
        <v>0</v>
      </c>
      <c r="AI5956" s="47"/>
      <c r="AJ5956" s="126" t="e">
        <v>#N/A</v>
      </c>
      <c r="AK5956" s="80">
        <f t="shared" si="934"/>
        <v>0</v>
      </c>
      <c r="AL5956" s="85"/>
      <c r="AM5956" s="85"/>
    </row>
    <row r="5957" spans="1:39" s="86" customFormat="1" ht="13.25" hidden="1" customHeight="1" x14ac:dyDescent="0.3">
      <c r="A5957" s="89" t="s">
        <v>3792</v>
      </c>
      <c r="B5957" s="86" t="s">
        <v>35</v>
      </c>
      <c r="C5957" s="86" t="s">
        <v>144</v>
      </c>
      <c r="D5957" s="86" t="s">
        <v>152</v>
      </c>
      <c r="E5957" s="86" t="s">
        <v>1478</v>
      </c>
      <c r="F5957" s="86" t="s">
        <v>1478</v>
      </c>
      <c r="G5957" s="86" t="s">
        <v>1478</v>
      </c>
      <c r="H5957" s="144">
        <v>22</v>
      </c>
      <c r="I5957" s="86" t="s">
        <v>2935</v>
      </c>
      <c r="J5957" s="1" t="s">
        <v>3302</v>
      </c>
      <c r="K5957" s="1" t="s">
        <v>3371</v>
      </c>
      <c r="L5957" s="1" t="s">
        <v>35</v>
      </c>
      <c r="M5957" s="86" t="s">
        <v>2999</v>
      </c>
      <c r="O5957" s="47" t="s">
        <v>45</v>
      </c>
      <c r="P5957" s="14" t="s">
        <v>46</v>
      </c>
      <c r="Q5957" s="14">
        <v>0.1</v>
      </c>
      <c r="R5957" s="143">
        <v>246482</v>
      </c>
      <c r="S5957" s="47"/>
      <c r="T5957" s="6">
        <v>17300.239999999998</v>
      </c>
      <c r="U5957" s="6"/>
      <c r="V5957" s="6">
        <v>16763.63</v>
      </c>
      <c r="W5957" s="6">
        <f t="shared" si="927"/>
        <v>536.60999999999694</v>
      </c>
      <c r="X5957" s="6">
        <f t="shared" si="928"/>
        <v>15239.663636363635</v>
      </c>
      <c r="Y5957" s="13">
        <f t="shared" si="932"/>
        <v>0</v>
      </c>
      <c r="Z5957" s="14">
        <v>0</v>
      </c>
      <c r="AA5957" s="6">
        <v>0</v>
      </c>
      <c r="AB5957" s="4">
        <f t="shared" si="933"/>
        <v>15239.663636363635</v>
      </c>
      <c r="AC5957" s="6">
        <f t="shared" si="931"/>
        <v>1523.9663636363657</v>
      </c>
      <c r="AD5957" s="6">
        <f t="shared" si="929"/>
        <v>16763.63</v>
      </c>
      <c r="AE5957" s="14">
        <f>VLOOKUP(I5957,[2]媒体政策预估表!A:N,MATCH(O5957,[2]媒体政策预估表!$A$2:$M$2,0),0)</f>
        <v>0.223</v>
      </c>
      <c r="AF5957" s="6">
        <f t="shared" si="926"/>
        <v>3738.2894900000001</v>
      </c>
      <c r="AG5957" s="14">
        <v>0</v>
      </c>
      <c r="AH5957" s="99">
        <f t="shared" si="930"/>
        <v>16763.63</v>
      </c>
      <c r="AI5957" s="47"/>
      <c r="AJ5957" s="126" t="e">
        <v>#N/A</v>
      </c>
      <c r="AK5957" s="80">
        <f t="shared" si="934"/>
        <v>0</v>
      </c>
      <c r="AL5957" s="85"/>
      <c r="AM5957" s="85"/>
    </row>
    <row r="5958" spans="1:39" s="86" customFormat="1" ht="13.25" hidden="1" customHeight="1" x14ac:dyDescent="0.3">
      <c r="A5958" s="89" t="s">
        <v>3792</v>
      </c>
      <c r="B5958" s="86" t="s">
        <v>35</v>
      </c>
      <c r="C5958" s="86" t="s">
        <v>164</v>
      </c>
      <c r="D5958" s="86" t="s">
        <v>305</v>
      </c>
      <c r="E5958" s="86" t="s">
        <v>1543</v>
      </c>
      <c r="F5958" s="86" t="s">
        <v>1543</v>
      </c>
      <c r="G5958" s="86" t="s">
        <v>1543</v>
      </c>
      <c r="H5958" s="144">
        <v>22</v>
      </c>
      <c r="I5958" s="86" t="s">
        <v>2935</v>
      </c>
      <c r="J5958" s="1" t="s">
        <v>3302</v>
      </c>
      <c r="K5958" s="1" t="s">
        <v>3371</v>
      </c>
      <c r="L5958" s="1" t="s">
        <v>35</v>
      </c>
      <c r="M5958" s="86" t="s">
        <v>3008</v>
      </c>
      <c r="O5958" s="47" t="s">
        <v>410</v>
      </c>
      <c r="P5958" s="14" t="s">
        <v>46</v>
      </c>
      <c r="Q5958" s="14">
        <v>0.02</v>
      </c>
      <c r="R5958" s="143">
        <v>243792</v>
      </c>
      <c r="S5958" s="47"/>
      <c r="T5958" s="6">
        <v>37659.300000000003</v>
      </c>
      <c r="U5958" s="6"/>
      <c r="V5958" s="6">
        <v>31637.09</v>
      </c>
      <c r="W5958" s="6">
        <f t="shared" si="927"/>
        <v>6022.2100000000028</v>
      </c>
      <c r="X5958" s="6">
        <f t="shared" si="928"/>
        <v>31016.754901960783</v>
      </c>
      <c r="Y5958" s="13">
        <f t="shared" si="932"/>
        <v>0</v>
      </c>
      <c r="Z5958" s="14">
        <v>0</v>
      </c>
      <c r="AA5958" s="6">
        <v>0</v>
      </c>
      <c r="AB5958" s="4">
        <f t="shared" si="933"/>
        <v>31016.754901960783</v>
      </c>
      <c r="AC5958" s="6">
        <f t="shared" si="931"/>
        <v>620.33509803921697</v>
      </c>
      <c r="AD5958" s="6">
        <f t="shared" si="929"/>
        <v>31637.09</v>
      </c>
      <c r="AE5958" s="14">
        <f>VLOOKUP(I5958,[2]媒体政策预估表!A:N,MATCH(O5958,[2]媒体政策预估表!$A$2:$M$2,0),0)</f>
        <v>0.10299999999999999</v>
      </c>
      <c r="AF5958" s="6">
        <f t="shared" si="926"/>
        <v>3258.6202699999999</v>
      </c>
      <c r="AG5958" s="14">
        <v>0</v>
      </c>
      <c r="AH5958" s="99">
        <f t="shared" si="930"/>
        <v>31637.09</v>
      </c>
      <c r="AI5958" s="47"/>
      <c r="AJ5958" s="126" t="e">
        <v>#N/A</v>
      </c>
      <c r="AK5958" s="80">
        <f t="shared" si="934"/>
        <v>0</v>
      </c>
      <c r="AL5958" s="85"/>
      <c r="AM5958" s="85"/>
    </row>
    <row r="5959" spans="1:39" s="86" customFormat="1" ht="13.25" hidden="1" customHeight="1" x14ac:dyDescent="0.3">
      <c r="A5959" s="89" t="s">
        <v>3792</v>
      </c>
      <c r="B5959" s="86" t="s">
        <v>35</v>
      </c>
      <c r="C5959" s="86" t="s">
        <v>164</v>
      </c>
      <c r="D5959" s="86" t="s">
        <v>174</v>
      </c>
      <c r="E5959" s="86" t="s">
        <v>651</v>
      </c>
      <c r="F5959" s="86" t="s">
        <v>651</v>
      </c>
      <c r="G5959" s="86" t="s">
        <v>651</v>
      </c>
      <c r="H5959" s="143">
        <v>22</v>
      </c>
      <c r="I5959" s="86" t="s">
        <v>2935</v>
      </c>
      <c r="J5959" s="1" t="s">
        <v>3302</v>
      </c>
      <c r="K5959" s="1" t="s">
        <v>3371</v>
      </c>
      <c r="L5959" s="1" t="s">
        <v>35</v>
      </c>
      <c r="M5959" s="86" t="s">
        <v>651</v>
      </c>
      <c r="O5959" s="47" t="s">
        <v>45</v>
      </c>
      <c r="P5959" s="14" t="s">
        <v>46</v>
      </c>
      <c r="Q5959" s="14">
        <v>0.08</v>
      </c>
      <c r="R5959" s="143">
        <v>104552</v>
      </c>
      <c r="S5959" s="47"/>
      <c r="T5959" s="6">
        <v>48518.630000000012</v>
      </c>
      <c r="U5959" s="6"/>
      <c r="V5959" s="6">
        <v>0</v>
      </c>
      <c r="W5959" s="6">
        <f t="shared" si="927"/>
        <v>48518.630000000012</v>
      </c>
      <c r="X5959" s="6">
        <f t="shared" si="928"/>
        <v>0</v>
      </c>
      <c r="Y5959" s="13">
        <f t="shared" si="932"/>
        <v>0</v>
      </c>
      <c r="Z5959" s="14">
        <v>0</v>
      </c>
      <c r="AA5959" s="6">
        <v>0</v>
      </c>
      <c r="AB5959" s="4">
        <f t="shared" si="933"/>
        <v>0</v>
      </c>
      <c r="AC5959" s="6">
        <f t="shared" si="931"/>
        <v>0</v>
      </c>
      <c r="AD5959" s="6">
        <f t="shared" si="929"/>
        <v>0</v>
      </c>
      <c r="AE5959" s="14">
        <f>VLOOKUP(I5959,[2]媒体政策预估表!A:N,MATCH(O5959,[2]媒体政策预估表!$A$2:$M$2,0),0)</f>
        <v>0.223</v>
      </c>
      <c r="AF5959" s="6">
        <f t="shared" si="926"/>
        <v>0</v>
      </c>
      <c r="AG5959" s="14">
        <v>0</v>
      </c>
      <c r="AH5959" s="99">
        <f t="shared" si="930"/>
        <v>0</v>
      </c>
      <c r="AI5959" s="47"/>
      <c r="AJ5959" s="126" t="e">
        <v>#N/A</v>
      </c>
      <c r="AK5959" s="80">
        <f t="shared" si="934"/>
        <v>0</v>
      </c>
      <c r="AL5959" s="85"/>
      <c r="AM5959" s="85"/>
    </row>
    <row r="5960" spans="1:39" s="86" customFormat="1" ht="13.25" hidden="1" customHeight="1" x14ac:dyDescent="0.3">
      <c r="A5960" s="89" t="s">
        <v>3794</v>
      </c>
      <c r="B5960" s="86" t="s">
        <v>35</v>
      </c>
      <c r="C5960" s="86" t="s">
        <v>164</v>
      </c>
      <c r="D5960" s="86" t="s">
        <v>174</v>
      </c>
      <c r="E5960" s="86" t="s">
        <v>3472</v>
      </c>
      <c r="F5960" s="86" t="s">
        <v>3473</v>
      </c>
      <c r="G5960" s="86" t="s">
        <v>3472</v>
      </c>
      <c r="H5960" s="144">
        <v>22</v>
      </c>
      <c r="I5960" s="86" t="s">
        <v>2935</v>
      </c>
      <c r="J5960" s="1" t="s">
        <v>3302</v>
      </c>
      <c r="K5960" s="1" t="s">
        <v>3371</v>
      </c>
      <c r="L5960" s="1" t="s">
        <v>35</v>
      </c>
      <c r="M5960" s="86" t="s">
        <v>3033</v>
      </c>
      <c r="O5960" s="47" t="s">
        <v>410</v>
      </c>
      <c r="P5960" s="14" t="s">
        <v>41</v>
      </c>
      <c r="Q5960" s="14">
        <v>0</v>
      </c>
      <c r="R5960" s="143">
        <v>244512</v>
      </c>
      <c r="S5960" s="47"/>
      <c r="T5960" s="6">
        <v>172229.09</v>
      </c>
      <c r="U5960" s="6"/>
      <c r="V5960" s="6">
        <v>172229.09</v>
      </c>
      <c r="W5960" s="6">
        <f t="shared" si="927"/>
        <v>0</v>
      </c>
      <c r="X5960" s="6">
        <f t="shared" si="928"/>
        <v>172229.09</v>
      </c>
      <c r="Y5960" s="13">
        <f t="shared" si="932"/>
        <v>0</v>
      </c>
      <c r="Z5960" s="14">
        <v>0</v>
      </c>
      <c r="AA5960" s="6">
        <v>0</v>
      </c>
      <c r="AB5960" s="4">
        <f t="shared" si="933"/>
        <v>172229.09</v>
      </c>
      <c r="AC5960" s="6">
        <f t="shared" si="931"/>
        <v>0</v>
      </c>
      <c r="AD5960" s="6">
        <f t="shared" si="929"/>
        <v>172229.09</v>
      </c>
      <c r="AE5960" s="14">
        <f>VLOOKUP(I5960,[2]媒体政策预估表!A:N,MATCH(O5960,[2]媒体政策预估表!$A$2:$M$2,0),0)</f>
        <v>0.10299999999999999</v>
      </c>
      <c r="AF5960" s="6">
        <f t="shared" si="926"/>
        <v>17739.596269999998</v>
      </c>
      <c r="AG5960" s="14">
        <v>0</v>
      </c>
      <c r="AH5960" s="99">
        <f t="shared" si="930"/>
        <v>172229.09</v>
      </c>
      <c r="AI5960" s="47"/>
      <c r="AJ5960" s="126" t="e">
        <v>#N/A</v>
      </c>
      <c r="AK5960" s="80">
        <f t="shared" si="934"/>
        <v>0</v>
      </c>
      <c r="AL5960" s="85"/>
      <c r="AM5960" s="85"/>
    </row>
    <row r="5961" spans="1:39" s="86" customFormat="1" ht="13.25" hidden="1" customHeight="1" x14ac:dyDescent="0.3">
      <c r="A5961" s="89" t="s">
        <v>3792</v>
      </c>
      <c r="B5961" s="86" t="s">
        <v>35</v>
      </c>
      <c r="C5961" s="86" t="s">
        <v>164</v>
      </c>
      <c r="D5961" s="86" t="s">
        <v>174</v>
      </c>
      <c r="E5961" s="86" t="s">
        <v>3472</v>
      </c>
      <c r="F5961" s="86" t="s">
        <v>3473</v>
      </c>
      <c r="G5961" s="86" t="s">
        <v>3472</v>
      </c>
      <c r="H5961" s="144">
        <v>22</v>
      </c>
      <c r="I5961" s="86" t="s">
        <v>2935</v>
      </c>
      <c r="J5961" s="1" t="s">
        <v>3302</v>
      </c>
      <c r="K5961" s="1" t="s">
        <v>3371</v>
      </c>
      <c r="L5961" s="1" t="s">
        <v>35</v>
      </c>
      <c r="M5961" s="86" t="s">
        <v>3034</v>
      </c>
      <c r="O5961" s="47" t="s">
        <v>410</v>
      </c>
      <c r="P5961" s="14" t="s">
        <v>41</v>
      </c>
      <c r="Q5961" s="14">
        <v>0</v>
      </c>
      <c r="R5961" s="143">
        <v>246772</v>
      </c>
      <c r="S5961" s="47"/>
      <c r="T5961" s="6">
        <v>70000</v>
      </c>
      <c r="U5961" s="6"/>
      <c r="V5961" s="6">
        <v>40049.48000000001</v>
      </c>
      <c r="W5961" s="6">
        <f t="shared" si="927"/>
        <v>29950.51999999999</v>
      </c>
      <c r="X5961" s="6">
        <f t="shared" si="928"/>
        <v>40049.48000000001</v>
      </c>
      <c r="Y5961" s="13">
        <f t="shared" si="932"/>
        <v>0</v>
      </c>
      <c r="Z5961" s="14">
        <v>0</v>
      </c>
      <c r="AA5961" s="6">
        <v>0</v>
      </c>
      <c r="AB5961" s="4">
        <f t="shared" si="933"/>
        <v>40049.48000000001</v>
      </c>
      <c r="AC5961" s="6">
        <f t="shared" si="931"/>
        <v>0</v>
      </c>
      <c r="AD5961" s="6">
        <f t="shared" si="929"/>
        <v>40049.48000000001</v>
      </c>
      <c r="AE5961" s="14">
        <f>VLOOKUP(I5961,[2]媒体政策预估表!A:N,MATCH(O5961,[2]媒体政策预估表!$A$2:$M$2,0),0)</f>
        <v>0.10299999999999999</v>
      </c>
      <c r="AF5961" s="6">
        <f t="shared" si="926"/>
        <v>4125.0964400000012</v>
      </c>
      <c r="AG5961" s="14">
        <v>0</v>
      </c>
      <c r="AH5961" s="99">
        <f t="shared" si="930"/>
        <v>40049.48000000001</v>
      </c>
      <c r="AI5961" s="47"/>
      <c r="AJ5961" s="126" t="e">
        <v>#N/A</v>
      </c>
      <c r="AK5961" s="80">
        <f t="shared" si="934"/>
        <v>0</v>
      </c>
      <c r="AL5961" s="85"/>
      <c r="AM5961" s="85"/>
    </row>
    <row r="5962" spans="1:39" s="86" customFormat="1" ht="13.25" hidden="1" customHeight="1" x14ac:dyDescent="0.3">
      <c r="A5962" s="89" t="s">
        <v>3794</v>
      </c>
      <c r="B5962" s="86" t="s">
        <v>35</v>
      </c>
      <c r="C5962" s="86" t="s">
        <v>164</v>
      </c>
      <c r="D5962" s="86" t="s">
        <v>174</v>
      </c>
      <c r="E5962" s="86" t="s">
        <v>2820</v>
      </c>
      <c r="F5962" s="86" t="s">
        <v>2820</v>
      </c>
      <c r="G5962" s="86" t="s">
        <v>2820</v>
      </c>
      <c r="H5962" s="144">
        <v>22</v>
      </c>
      <c r="I5962" s="86" t="s">
        <v>2935</v>
      </c>
      <c r="J5962" s="1" t="s">
        <v>3302</v>
      </c>
      <c r="K5962" s="1" t="s">
        <v>3371</v>
      </c>
      <c r="L5962" s="1" t="s">
        <v>35</v>
      </c>
      <c r="M5962" s="86" t="s">
        <v>2360</v>
      </c>
      <c r="O5962" s="47" t="s">
        <v>410</v>
      </c>
      <c r="P5962" s="14" t="s">
        <v>41</v>
      </c>
      <c r="Q5962" s="14">
        <v>0</v>
      </c>
      <c r="R5962" s="143">
        <v>53662</v>
      </c>
      <c r="S5962" s="47"/>
      <c r="T5962" s="6">
        <v>20345.219999999994</v>
      </c>
      <c r="U5962" s="6"/>
      <c r="V5962" s="6">
        <v>8008.06</v>
      </c>
      <c r="W5962" s="6">
        <f t="shared" si="927"/>
        <v>12337.159999999993</v>
      </c>
      <c r="X5962" s="6">
        <f t="shared" si="928"/>
        <v>8008.06</v>
      </c>
      <c r="Y5962" s="13">
        <f t="shared" si="932"/>
        <v>0</v>
      </c>
      <c r="Z5962" s="14">
        <v>0</v>
      </c>
      <c r="AA5962" s="6">
        <v>0</v>
      </c>
      <c r="AB5962" s="4">
        <f t="shared" si="933"/>
        <v>8008.06</v>
      </c>
      <c r="AC5962" s="6">
        <f t="shared" si="931"/>
        <v>0</v>
      </c>
      <c r="AD5962" s="6">
        <f t="shared" si="929"/>
        <v>8008.06</v>
      </c>
      <c r="AE5962" s="14">
        <f>VLOOKUP(I5962,[2]媒体政策预估表!A:N,MATCH(O5962,[2]媒体政策预估表!$A$2:$M$2,0),0)</f>
        <v>0.10299999999999999</v>
      </c>
      <c r="AF5962" s="6">
        <f t="shared" si="926"/>
        <v>824.83018000000004</v>
      </c>
      <c r="AG5962" s="14">
        <v>0</v>
      </c>
      <c r="AH5962" s="99">
        <f t="shared" si="930"/>
        <v>8008.06</v>
      </c>
      <c r="AI5962" s="47"/>
      <c r="AJ5962" s="126" t="e">
        <v>#N/A</v>
      </c>
      <c r="AK5962" s="80">
        <f t="shared" si="934"/>
        <v>0</v>
      </c>
      <c r="AL5962" s="85"/>
      <c r="AM5962" s="85"/>
    </row>
    <row r="5963" spans="1:39" s="86" customFormat="1" ht="13.25" hidden="1" customHeight="1" x14ac:dyDescent="0.3">
      <c r="A5963" s="89" t="s">
        <v>3794</v>
      </c>
      <c r="B5963" s="86" t="s">
        <v>35</v>
      </c>
      <c r="C5963" s="86" t="s">
        <v>164</v>
      </c>
      <c r="D5963" s="86" t="s">
        <v>174</v>
      </c>
      <c r="E5963" s="86" t="s">
        <v>2820</v>
      </c>
      <c r="F5963" s="86" t="s">
        <v>2820</v>
      </c>
      <c r="G5963" s="86" t="s">
        <v>2820</v>
      </c>
      <c r="H5963" s="144">
        <v>22</v>
      </c>
      <c r="I5963" s="86" t="s">
        <v>2935</v>
      </c>
      <c r="J5963" s="1" t="s">
        <v>3302</v>
      </c>
      <c r="K5963" s="1" t="s">
        <v>3371</v>
      </c>
      <c r="L5963" s="1" t="s">
        <v>35</v>
      </c>
      <c r="M5963" s="86" t="s">
        <v>2361</v>
      </c>
      <c r="O5963" s="47" t="s">
        <v>410</v>
      </c>
      <c r="P5963" s="14" t="s">
        <v>41</v>
      </c>
      <c r="Q5963" s="14">
        <v>0</v>
      </c>
      <c r="R5963" s="143">
        <v>107002</v>
      </c>
      <c r="S5963" s="47"/>
      <c r="T5963" s="6">
        <v>20591.030000000002</v>
      </c>
      <c r="U5963" s="6"/>
      <c r="V5963" s="6">
        <v>14091.73</v>
      </c>
      <c r="W5963" s="6">
        <f t="shared" si="927"/>
        <v>6499.3000000000029</v>
      </c>
      <c r="X5963" s="6">
        <f t="shared" si="928"/>
        <v>14091.73</v>
      </c>
      <c r="Y5963" s="13">
        <f t="shared" si="932"/>
        <v>0</v>
      </c>
      <c r="Z5963" s="14">
        <v>0</v>
      </c>
      <c r="AA5963" s="6">
        <v>0</v>
      </c>
      <c r="AB5963" s="4">
        <f t="shared" si="933"/>
        <v>14091.73</v>
      </c>
      <c r="AC5963" s="6">
        <f t="shared" si="931"/>
        <v>0</v>
      </c>
      <c r="AD5963" s="6">
        <f t="shared" si="929"/>
        <v>14091.73</v>
      </c>
      <c r="AE5963" s="14">
        <f>VLOOKUP(I5963,[2]媒体政策预估表!A:N,MATCH(O5963,[2]媒体政策预估表!$A$2:$M$2,0),0)</f>
        <v>0.10299999999999999</v>
      </c>
      <c r="AF5963" s="6">
        <f t="shared" si="926"/>
        <v>1451.4481899999998</v>
      </c>
      <c r="AG5963" s="14">
        <v>0</v>
      </c>
      <c r="AH5963" s="99">
        <f t="shared" si="930"/>
        <v>14091.73</v>
      </c>
      <c r="AI5963" s="47"/>
      <c r="AJ5963" s="126" t="e">
        <v>#N/A</v>
      </c>
      <c r="AK5963" s="80">
        <f t="shared" si="934"/>
        <v>0</v>
      </c>
      <c r="AL5963" s="85"/>
      <c r="AM5963" s="85"/>
    </row>
    <row r="5964" spans="1:39" s="86" customFormat="1" ht="13.25" hidden="1" customHeight="1" x14ac:dyDescent="0.3">
      <c r="A5964" s="89" t="s">
        <v>3805</v>
      </c>
      <c r="B5964" s="86" t="s">
        <v>35</v>
      </c>
      <c r="C5964" s="86" t="s">
        <v>164</v>
      </c>
      <c r="D5964" s="86" t="s">
        <v>174</v>
      </c>
      <c r="E5964" s="86" t="s">
        <v>671</v>
      </c>
      <c r="F5964" s="86" t="s">
        <v>671</v>
      </c>
      <c r="G5964" s="86" t="s">
        <v>671</v>
      </c>
      <c r="H5964" s="143">
        <v>22</v>
      </c>
      <c r="I5964" s="86" t="s">
        <v>2935</v>
      </c>
      <c r="J5964" s="1" t="s">
        <v>3302</v>
      </c>
      <c r="K5964" s="1" t="s">
        <v>3371</v>
      </c>
      <c r="L5964" s="1" t="s">
        <v>35</v>
      </c>
      <c r="M5964" s="86" t="s">
        <v>671</v>
      </c>
      <c r="O5964" s="47" t="s">
        <v>410</v>
      </c>
      <c r="P5964" s="14" t="s">
        <v>41</v>
      </c>
      <c r="Q5964" s="14">
        <v>0</v>
      </c>
      <c r="R5964" s="143">
        <v>240322</v>
      </c>
      <c r="S5964" s="47"/>
      <c r="T5964" s="6">
        <v>58938.25</v>
      </c>
      <c r="U5964" s="6"/>
      <c r="V5964" s="6">
        <v>58938.25</v>
      </c>
      <c r="W5964" s="6">
        <f t="shared" si="927"/>
        <v>0</v>
      </c>
      <c r="X5964" s="6">
        <f t="shared" si="928"/>
        <v>58938.25</v>
      </c>
      <c r="Y5964" s="13">
        <f t="shared" si="932"/>
        <v>0</v>
      </c>
      <c r="Z5964" s="14">
        <v>0</v>
      </c>
      <c r="AA5964" s="6">
        <v>0</v>
      </c>
      <c r="AB5964" s="4"/>
      <c r="AC5964" s="6">
        <f t="shared" si="931"/>
        <v>0</v>
      </c>
      <c r="AD5964" s="6">
        <f t="shared" si="929"/>
        <v>58938.25</v>
      </c>
      <c r="AE5964" s="14">
        <f>VLOOKUP(I5964,[2]媒体政策预估表!A:N,MATCH(O5964,[2]媒体政策预估表!$A$2:$M$2,0),0)</f>
        <v>0.10299999999999999</v>
      </c>
      <c r="AF5964" s="6">
        <f t="shared" si="926"/>
        <v>6070.6397499999994</v>
      </c>
      <c r="AG5964" s="14">
        <v>0</v>
      </c>
      <c r="AH5964" s="99">
        <f t="shared" si="930"/>
        <v>58938.25</v>
      </c>
      <c r="AI5964" s="47"/>
      <c r="AJ5964" s="126">
        <v>109</v>
      </c>
      <c r="AK5964" s="80">
        <f t="shared" si="934"/>
        <v>58938.25</v>
      </c>
      <c r="AL5964" s="85"/>
      <c r="AM5964" s="85"/>
    </row>
    <row r="5965" spans="1:39" s="86" customFormat="1" ht="13.25" hidden="1" customHeight="1" x14ac:dyDescent="0.3">
      <c r="A5965" s="89" t="s">
        <v>3794</v>
      </c>
      <c r="B5965" s="86" t="s">
        <v>35</v>
      </c>
      <c r="C5965" s="86" t="s">
        <v>164</v>
      </c>
      <c r="D5965" s="86" t="s">
        <v>174</v>
      </c>
      <c r="E5965" s="86" t="s">
        <v>671</v>
      </c>
      <c r="F5965" s="86" t="s">
        <v>3032</v>
      </c>
      <c r="G5965" s="86" t="s">
        <v>671</v>
      </c>
      <c r="H5965" s="143">
        <v>22</v>
      </c>
      <c r="I5965" s="86" t="s">
        <v>2935</v>
      </c>
      <c r="J5965" s="1" t="s">
        <v>3302</v>
      </c>
      <c r="K5965" s="1" t="s">
        <v>3371</v>
      </c>
      <c r="L5965" s="1" t="s">
        <v>35</v>
      </c>
      <c r="M5965" s="86" t="s">
        <v>3034</v>
      </c>
      <c r="O5965" s="47" t="s">
        <v>410</v>
      </c>
      <c r="P5965" s="14" t="s">
        <v>41</v>
      </c>
      <c r="Q5965" s="14">
        <v>0</v>
      </c>
      <c r="R5965" s="143">
        <v>246772</v>
      </c>
      <c r="S5965" s="47"/>
      <c r="T5965" s="6">
        <v>86381.26</v>
      </c>
      <c r="U5965" s="6"/>
      <c r="V5965" s="6">
        <v>86381.26</v>
      </c>
      <c r="W5965" s="6">
        <f t="shared" si="927"/>
        <v>0</v>
      </c>
      <c r="X5965" s="6">
        <f t="shared" si="928"/>
        <v>86381.26</v>
      </c>
      <c r="Y5965" s="13">
        <f t="shared" si="932"/>
        <v>0</v>
      </c>
      <c r="Z5965" s="14">
        <v>0</v>
      </c>
      <c r="AA5965" s="6">
        <v>0</v>
      </c>
      <c r="AB5965" s="4"/>
      <c r="AC5965" s="6">
        <f t="shared" si="931"/>
        <v>0</v>
      </c>
      <c r="AD5965" s="6">
        <f t="shared" si="929"/>
        <v>86381.26</v>
      </c>
      <c r="AE5965" s="14">
        <f>VLOOKUP(I5965,[2]媒体政策预估表!A:N,MATCH(O5965,[2]媒体政策预估表!$A$2:$M$2,0),0)</f>
        <v>0.10299999999999999</v>
      </c>
      <c r="AF5965" s="6">
        <f t="shared" si="926"/>
        <v>8897.2697799999987</v>
      </c>
      <c r="AG5965" s="14">
        <v>0</v>
      </c>
      <c r="AH5965" s="99">
        <f t="shared" si="930"/>
        <v>86381.26</v>
      </c>
      <c r="AI5965" s="47"/>
      <c r="AJ5965" s="126">
        <v>109</v>
      </c>
      <c r="AK5965" s="80">
        <f t="shared" si="934"/>
        <v>86381.26</v>
      </c>
      <c r="AL5965" s="85"/>
      <c r="AM5965" s="85"/>
    </row>
    <row r="5966" spans="1:39" s="86" customFormat="1" ht="13.25" hidden="1" customHeight="1" x14ac:dyDescent="0.3">
      <c r="A5966" s="89" t="s">
        <v>3805</v>
      </c>
      <c r="B5966" s="86" t="s">
        <v>35</v>
      </c>
      <c r="C5966" s="86" t="s">
        <v>164</v>
      </c>
      <c r="D5966" s="86" t="s">
        <v>174</v>
      </c>
      <c r="E5966" s="86" t="s">
        <v>678</v>
      </c>
      <c r="F5966" s="86" t="s">
        <v>678</v>
      </c>
      <c r="G5966" s="86" t="s">
        <v>678</v>
      </c>
      <c r="H5966" s="143">
        <v>22</v>
      </c>
      <c r="I5966" s="86" t="s">
        <v>2935</v>
      </c>
      <c r="J5966" s="1" t="s">
        <v>3302</v>
      </c>
      <c r="K5966" s="1" t="s">
        <v>3371</v>
      </c>
      <c r="L5966" s="1" t="s">
        <v>35</v>
      </c>
      <c r="M5966" s="86" t="s">
        <v>3035</v>
      </c>
      <c r="O5966" s="47" t="s">
        <v>410</v>
      </c>
      <c r="P5966" s="14" t="s">
        <v>41</v>
      </c>
      <c r="Q5966" s="14">
        <v>0</v>
      </c>
      <c r="R5966" s="143">
        <v>8714</v>
      </c>
      <c r="S5966" s="47"/>
      <c r="T5966" s="6">
        <v>6000</v>
      </c>
      <c r="U5966" s="6"/>
      <c r="V5966" s="6">
        <v>0</v>
      </c>
      <c r="W5966" s="6">
        <f t="shared" si="927"/>
        <v>6000</v>
      </c>
      <c r="X5966" s="6">
        <f t="shared" si="928"/>
        <v>0</v>
      </c>
      <c r="Y5966" s="13">
        <f t="shared" si="932"/>
        <v>0</v>
      </c>
      <c r="Z5966" s="14">
        <v>0</v>
      </c>
      <c r="AA5966" s="6">
        <v>0</v>
      </c>
      <c r="AB5966" s="4">
        <f t="shared" si="933"/>
        <v>0</v>
      </c>
      <c r="AC5966" s="6">
        <f t="shared" si="931"/>
        <v>0</v>
      </c>
      <c r="AD5966" s="6">
        <f t="shared" si="929"/>
        <v>0</v>
      </c>
      <c r="AE5966" s="14">
        <f>VLOOKUP(I5966,[2]媒体政策预估表!A:N,MATCH(O5966,[2]媒体政策预估表!$A$2:$M$2,0),0)</f>
        <v>0.10299999999999999</v>
      </c>
      <c r="AF5966" s="6">
        <f t="shared" si="926"/>
        <v>0</v>
      </c>
      <c r="AG5966" s="14">
        <v>0</v>
      </c>
      <c r="AH5966" s="99">
        <f t="shared" si="930"/>
        <v>0</v>
      </c>
      <c r="AI5966" s="47"/>
      <c r="AJ5966" s="126" t="e">
        <v>#N/A</v>
      </c>
      <c r="AK5966" s="80">
        <f t="shared" si="934"/>
        <v>0</v>
      </c>
      <c r="AL5966" s="85"/>
      <c r="AM5966" s="85"/>
    </row>
    <row r="5967" spans="1:39" s="86" customFormat="1" ht="13.25" hidden="1" customHeight="1" x14ac:dyDescent="0.3">
      <c r="A5967" s="89" t="s">
        <v>3792</v>
      </c>
      <c r="B5967" s="86" t="s">
        <v>35</v>
      </c>
      <c r="C5967" s="86" t="s">
        <v>184</v>
      </c>
      <c r="D5967" s="86" t="s">
        <v>54</v>
      </c>
      <c r="E5967" s="86" t="s">
        <v>2846</v>
      </c>
      <c r="F5967" s="86" t="s">
        <v>2846</v>
      </c>
      <c r="G5967" s="86" t="s">
        <v>2846</v>
      </c>
      <c r="H5967" s="144">
        <v>22</v>
      </c>
      <c r="I5967" s="86" t="s">
        <v>2935</v>
      </c>
      <c r="J5967" s="1" t="s">
        <v>3302</v>
      </c>
      <c r="K5967" s="1" t="s">
        <v>3371</v>
      </c>
      <c r="L5967" s="1" t="s">
        <v>35</v>
      </c>
      <c r="M5967" s="86" t="s">
        <v>2951</v>
      </c>
      <c r="O5967" s="47" t="s">
        <v>410</v>
      </c>
      <c r="P5967" s="14" t="s">
        <v>41</v>
      </c>
      <c r="Q5967" s="14">
        <v>0</v>
      </c>
      <c r="R5967" s="143">
        <v>234782</v>
      </c>
      <c r="S5967" s="47"/>
      <c r="T5967" s="6">
        <v>40307.9</v>
      </c>
      <c r="U5967" s="6"/>
      <c r="V5967" s="6">
        <v>30890.02</v>
      </c>
      <c r="W5967" s="6">
        <f t="shared" si="927"/>
        <v>9417.880000000001</v>
      </c>
      <c r="X5967" s="6">
        <f t="shared" si="928"/>
        <v>30890.02</v>
      </c>
      <c r="Y5967" s="13">
        <f t="shared" si="932"/>
        <v>0</v>
      </c>
      <c r="Z5967" s="14">
        <v>0</v>
      </c>
      <c r="AA5967" s="6">
        <v>0</v>
      </c>
      <c r="AB5967" s="4">
        <f t="shared" si="933"/>
        <v>30890.02</v>
      </c>
      <c r="AC5967" s="6">
        <f t="shared" si="931"/>
        <v>0</v>
      </c>
      <c r="AD5967" s="6">
        <f t="shared" si="929"/>
        <v>30890.02</v>
      </c>
      <c r="AE5967" s="14">
        <f>VLOOKUP(I5967,[2]媒体政策预估表!A:N,MATCH(O5967,[2]媒体政策预估表!$A$2:$M$2,0),0)</f>
        <v>0.10299999999999999</v>
      </c>
      <c r="AF5967" s="6">
        <f t="shared" si="926"/>
        <v>3181.6720599999999</v>
      </c>
      <c r="AG5967" s="14">
        <v>0</v>
      </c>
      <c r="AH5967" s="99">
        <f t="shared" si="930"/>
        <v>30890.02</v>
      </c>
      <c r="AI5967" s="47"/>
      <c r="AJ5967" s="126" t="e">
        <v>#N/A</v>
      </c>
      <c r="AK5967" s="80">
        <f t="shared" si="934"/>
        <v>0</v>
      </c>
      <c r="AL5967" s="85"/>
      <c r="AM5967" s="85"/>
    </row>
    <row r="5968" spans="1:39" s="86" customFormat="1" ht="13.25" hidden="1" customHeight="1" x14ac:dyDescent="0.3">
      <c r="A5968" s="89" t="s">
        <v>3792</v>
      </c>
      <c r="B5968" s="86" t="s">
        <v>35</v>
      </c>
      <c r="C5968" s="86" t="s">
        <v>184</v>
      </c>
      <c r="D5968" s="86" t="s">
        <v>37</v>
      </c>
      <c r="E5968" s="86" t="s">
        <v>466</v>
      </c>
      <c r="F5968" s="86" t="s">
        <v>466</v>
      </c>
      <c r="G5968" s="86" t="s">
        <v>466</v>
      </c>
      <c r="H5968" s="143">
        <v>22</v>
      </c>
      <c r="I5968" s="86" t="s">
        <v>2935</v>
      </c>
      <c r="J5968" s="1" t="s">
        <v>3302</v>
      </c>
      <c r="K5968" s="1" t="s">
        <v>3371</v>
      </c>
      <c r="L5968" s="1" t="s">
        <v>35</v>
      </c>
      <c r="M5968" s="86" t="s">
        <v>466</v>
      </c>
      <c r="O5968" s="47" t="s">
        <v>45</v>
      </c>
      <c r="P5968" s="14" t="s">
        <v>41</v>
      </c>
      <c r="Q5968" s="14">
        <v>0</v>
      </c>
      <c r="R5968" s="143">
        <v>180302</v>
      </c>
      <c r="S5968" s="47"/>
      <c r="T5968" s="6">
        <v>2600</v>
      </c>
      <c r="U5968" s="6"/>
      <c r="V5968" s="6">
        <v>0</v>
      </c>
      <c r="W5968" s="6">
        <f t="shared" si="927"/>
        <v>2600</v>
      </c>
      <c r="X5968" s="6">
        <f t="shared" si="928"/>
        <v>0</v>
      </c>
      <c r="Y5968" s="13">
        <f t="shared" si="932"/>
        <v>0</v>
      </c>
      <c r="Z5968" s="14">
        <v>0</v>
      </c>
      <c r="AA5968" s="6">
        <v>0</v>
      </c>
      <c r="AB5968" s="4"/>
      <c r="AC5968" s="6">
        <f t="shared" si="931"/>
        <v>0</v>
      </c>
      <c r="AD5968" s="6">
        <f t="shared" si="929"/>
        <v>0</v>
      </c>
      <c r="AE5968" s="14">
        <f>VLOOKUP(I5968,[2]媒体政策预估表!A:N,MATCH(O5968,[2]媒体政策预估表!$A$2:$M$2,0),0)</f>
        <v>0.223</v>
      </c>
      <c r="AF5968" s="6">
        <f t="shared" si="926"/>
        <v>0</v>
      </c>
      <c r="AG5968" s="14">
        <v>0</v>
      </c>
      <c r="AH5968" s="99">
        <f t="shared" si="930"/>
        <v>0</v>
      </c>
      <c r="AI5968" s="47"/>
      <c r="AJ5968" s="126">
        <v>96</v>
      </c>
      <c r="AK5968" s="80">
        <f t="shared" si="934"/>
        <v>0</v>
      </c>
      <c r="AL5968" s="85"/>
      <c r="AM5968" s="85"/>
    </row>
    <row r="5969" spans="1:39" s="86" customFormat="1" ht="13.25" hidden="1" customHeight="1" x14ac:dyDescent="0.3">
      <c r="A5969" s="89" t="s">
        <v>3794</v>
      </c>
      <c r="B5969" s="86" t="s">
        <v>35</v>
      </c>
      <c r="C5969" s="86" t="s">
        <v>184</v>
      </c>
      <c r="D5969" s="86" t="s">
        <v>37</v>
      </c>
      <c r="E5969" s="86" t="s">
        <v>466</v>
      </c>
      <c r="F5969" s="86" t="s">
        <v>466</v>
      </c>
      <c r="G5969" s="86" t="s">
        <v>466</v>
      </c>
      <c r="H5969" s="143">
        <v>22</v>
      </c>
      <c r="I5969" s="86" t="s">
        <v>2935</v>
      </c>
      <c r="J5969" s="1" t="s">
        <v>3302</v>
      </c>
      <c r="K5969" s="1" t="s">
        <v>3371</v>
      </c>
      <c r="L5969" s="1" t="s">
        <v>35</v>
      </c>
      <c r="M5969" s="86" t="s">
        <v>466</v>
      </c>
      <c r="O5969" s="47" t="s">
        <v>410</v>
      </c>
      <c r="P5969" s="14" t="s">
        <v>41</v>
      </c>
      <c r="Q5969" s="14">
        <v>0</v>
      </c>
      <c r="R5969" s="143">
        <v>180302</v>
      </c>
      <c r="S5969" s="47"/>
      <c r="T5969" s="6">
        <v>-2600</v>
      </c>
      <c r="U5969" s="6"/>
      <c r="V5969" s="6">
        <v>0</v>
      </c>
      <c r="W5969" s="6">
        <f t="shared" si="927"/>
        <v>-2600</v>
      </c>
      <c r="X5969" s="6">
        <f t="shared" si="928"/>
        <v>0</v>
      </c>
      <c r="Y5969" s="13">
        <f t="shared" si="932"/>
        <v>0</v>
      </c>
      <c r="Z5969" s="14">
        <v>0</v>
      </c>
      <c r="AA5969" s="6">
        <v>0</v>
      </c>
      <c r="AB5969" s="4"/>
      <c r="AC5969" s="6">
        <f t="shared" si="931"/>
        <v>0</v>
      </c>
      <c r="AD5969" s="6">
        <f t="shared" si="929"/>
        <v>0</v>
      </c>
      <c r="AE5969" s="14">
        <f>VLOOKUP(I5969,[2]媒体政策预估表!A:N,MATCH(O5969,[2]媒体政策预估表!$A$2:$M$2,0),0)</f>
        <v>0.10299999999999999</v>
      </c>
      <c r="AF5969" s="6">
        <f t="shared" si="926"/>
        <v>0</v>
      </c>
      <c r="AG5969" s="14">
        <v>0</v>
      </c>
      <c r="AH5969" s="99">
        <f t="shared" si="930"/>
        <v>0</v>
      </c>
      <c r="AI5969" s="47"/>
      <c r="AJ5969" s="126">
        <v>96</v>
      </c>
      <c r="AK5969" s="80">
        <f t="shared" si="934"/>
        <v>0</v>
      </c>
      <c r="AL5969" s="85"/>
      <c r="AM5969" s="85"/>
    </row>
    <row r="5970" spans="1:39" s="86" customFormat="1" ht="13.25" hidden="1" customHeight="1" x14ac:dyDescent="0.3">
      <c r="A5970" s="89" t="s">
        <v>3792</v>
      </c>
      <c r="B5970" s="86" t="s">
        <v>35</v>
      </c>
      <c r="C5970" s="86" t="s">
        <v>65</v>
      </c>
      <c r="D5970" s="86" t="s">
        <v>66</v>
      </c>
      <c r="E5970" s="86" t="s">
        <v>494</v>
      </c>
      <c r="F5970" s="86" t="s">
        <v>494</v>
      </c>
      <c r="G5970" s="86" t="s">
        <v>494</v>
      </c>
      <c r="H5970" s="144">
        <v>22</v>
      </c>
      <c r="I5970" s="86" t="s">
        <v>2935</v>
      </c>
      <c r="J5970" s="1" t="s">
        <v>3302</v>
      </c>
      <c r="K5970" s="1" t="s">
        <v>3371</v>
      </c>
      <c r="L5970" s="1" t="s">
        <v>35</v>
      </c>
      <c r="M5970" s="86" t="s">
        <v>495</v>
      </c>
      <c r="O5970" s="47" t="s">
        <v>45</v>
      </c>
      <c r="P5970" s="14" t="s">
        <v>41</v>
      </c>
      <c r="Q5970" s="14">
        <v>0</v>
      </c>
      <c r="R5970" s="143">
        <v>16172</v>
      </c>
      <c r="S5970" s="47"/>
      <c r="T5970" s="6">
        <v>-4369624.47</v>
      </c>
      <c r="U5970" s="6"/>
      <c r="V5970" s="6">
        <v>306155.55</v>
      </c>
      <c r="W5970" s="6">
        <f t="shared" si="927"/>
        <v>-4675780.0199999996</v>
      </c>
      <c r="X5970" s="6">
        <f t="shared" si="928"/>
        <v>306155.55</v>
      </c>
      <c r="Y5970" s="13">
        <f t="shared" si="932"/>
        <v>0</v>
      </c>
      <c r="Z5970" s="14">
        <v>0</v>
      </c>
      <c r="AA5970" s="6">
        <v>0</v>
      </c>
      <c r="AB5970" s="4">
        <f t="shared" si="933"/>
        <v>306155.55</v>
      </c>
      <c r="AC5970" s="6">
        <f t="shared" si="931"/>
        <v>0</v>
      </c>
      <c r="AD5970" s="6">
        <f t="shared" si="929"/>
        <v>306155.55</v>
      </c>
      <c r="AE5970" s="14">
        <f>VLOOKUP(I5970,[2]媒体政策预估表!A:N,MATCH(O5970,[2]媒体政策预估表!$A$2:$M$2,0),0)</f>
        <v>0.223</v>
      </c>
      <c r="AF5970" s="6">
        <f t="shared" si="926"/>
        <v>68272.687649999993</v>
      </c>
      <c r="AG5970" s="14">
        <v>0</v>
      </c>
      <c r="AH5970" s="99">
        <f t="shared" si="930"/>
        <v>306155.55</v>
      </c>
      <c r="AI5970" s="47"/>
      <c r="AJ5970" s="126" t="e">
        <v>#N/A</v>
      </c>
      <c r="AK5970" s="80">
        <f t="shared" si="934"/>
        <v>0</v>
      </c>
      <c r="AL5970" s="85"/>
      <c r="AM5970" s="85"/>
    </row>
    <row r="5971" spans="1:39" s="86" customFormat="1" ht="13.25" hidden="1" customHeight="1" x14ac:dyDescent="0.3">
      <c r="A5971" s="89" t="s">
        <v>3792</v>
      </c>
      <c r="B5971" s="86" t="s">
        <v>35</v>
      </c>
      <c r="C5971" s="86" t="s">
        <v>65</v>
      </c>
      <c r="D5971" s="86" t="s">
        <v>66</v>
      </c>
      <c r="E5971" s="86" t="s">
        <v>2678</v>
      </c>
      <c r="F5971" s="86" t="s">
        <v>2679</v>
      </c>
      <c r="G5971" s="86" t="s">
        <v>2678</v>
      </c>
      <c r="H5971" s="143">
        <v>22</v>
      </c>
      <c r="I5971" s="86" t="s">
        <v>2935</v>
      </c>
      <c r="J5971" s="1" t="s">
        <v>3302</v>
      </c>
      <c r="K5971" s="1" t="s">
        <v>3371</v>
      </c>
      <c r="L5971" s="1" t="s">
        <v>35</v>
      </c>
      <c r="M5971" s="86" t="s">
        <v>2965</v>
      </c>
      <c r="O5971" s="47" t="s">
        <v>410</v>
      </c>
      <c r="P5971" s="14" t="s">
        <v>41</v>
      </c>
      <c r="Q5971" s="14">
        <v>0</v>
      </c>
      <c r="R5971" s="143">
        <v>112112</v>
      </c>
      <c r="S5971" s="47"/>
      <c r="T5971" s="6">
        <v>29980</v>
      </c>
      <c r="U5971" s="6"/>
      <c r="V5971" s="6">
        <v>0</v>
      </c>
      <c r="W5971" s="6">
        <f t="shared" si="927"/>
        <v>29980</v>
      </c>
      <c r="X5971" s="6">
        <f t="shared" si="928"/>
        <v>0</v>
      </c>
      <c r="Y5971" s="13">
        <f t="shared" si="932"/>
        <v>0</v>
      </c>
      <c r="Z5971" s="14">
        <v>0</v>
      </c>
      <c r="AA5971" s="6">
        <v>0</v>
      </c>
      <c r="AB5971" s="4">
        <f t="shared" si="933"/>
        <v>0</v>
      </c>
      <c r="AC5971" s="6">
        <f t="shared" si="931"/>
        <v>0</v>
      </c>
      <c r="AD5971" s="6">
        <f t="shared" si="929"/>
        <v>0</v>
      </c>
      <c r="AE5971" s="14">
        <f>VLOOKUP(I5971,[2]媒体政策预估表!A:N,MATCH(O5971,[2]媒体政策预估表!$A$2:$M$2,0),0)</f>
        <v>0.10299999999999999</v>
      </c>
      <c r="AF5971" s="6">
        <f t="shared" si="926"/>
        <v>0</v>
      </c>
      <c r="AG5971" s="14">
        <v>0</v>
      </c>
      <c r="AH5971" s="99">
        <f t="shared" si="930"/>
        <v>0</v>
      </c>
      <c r="AI5971" s="47"/>
      <c r="AJ5971" s="126" t="e">
        <v>#N/A</v>
      </c>
      <c r="AK5971" s="80">
        <f t="shared" si="934"/>
        <v>0</v>
      </c>
      <c r="AL5971" s="85"/>
      <c r="AM5971" s="85"/>
    </row>
    <row r="5972" spans="1:39" s="86" customFormat="1" ht="13.25" hidden="1" customHeight="1" x14ac:dyDescent="0.3">
      <c r="A5972" s="89" t="s">
        <v>3794</v>
      </c>
      <c r="B5972" s="86" t="s">
        <v>35</v>
      </c>
      <c r="C5972" s="86" t="s">
        <v>65</v>
      </c>
      <c r="D5972" s="86" t="s">
        <v>1291</v>
      </c>
      <c r="E5972" s="86" t="s">
        <v>2973</v>
      </c>
      <c r="F5972" s="86" t="s">
        <v>2973</v>
      </c>
      <c r="G5972" s="86" t="s">
        <v>2973</v>
      </c>
      <c r="H5972" s="143">
        <v>22</v>
      </c>
      <c r="I5972" s="86" t="s">
        <v>2935</v>
      </c>
      <c r="J5972" s="1" t="s">
        <v>3302</v>
      </c>
      <c r="K5972" s="1" t="s">
        <v>3371</v>
      </c>
      <c r="L5972" s="1" t="s">
        <v>35</v>
      </c>
      <c r="M5972" s="86" t="s">
        <v>2973</v>
      </c>
      <c r="O5972" s="47" t="s">
        <v>410</v>
      </c>
      <c r="P5972" s="14" t="s">
        <v>41</v>
      </c>
      <c r="Q5972" s="14">
        <v>0</v>
      </c>
      <c r="R5972" s="143">
        <v>246412</v>
      </c>
      <c r="S5972" s="47"/>
      <c r="T5972" s="6">
        <v>11869.1</v>
      </c>
      <c r="U5972" s="6"/>
      <c r="V5972" s="6">
        <v>0</v>
      </c>
      <c r="W5972" s="6">
        <f t="shared" si="927"/>
        <v>11869.1</v>
      </c>
      <c r="X5972" s="6">
        <f t="shared" si="928"/>
        <v>0</v>
      </c>
      <c r="Y5972" s="13">
        <f t="shared" si="932"/>
        <v>0</v>
      </c>
      <c r="Z5972" s="14">
        <v>0</v>
      </c>
      <c r="AA5972" s="6">
        <v>0</v>
      </c>
      <c r="AB5972" s="4"/>
      <c r="AC5972" s="6">
        <f t="shared" si="931"/>
        <v>0</v>
      </c>
      <c r="AD5972" s="6">
        <f t="shared" si="929"/>
        <v>0</v>
      </c>
      <c r="AE5972" s="14">
        <f>VLOOKUP(I5972,[2]媒体政策预估表!A:N,MATCH(O5972,[2]媒体政策预估表!$A$2:$M$2,0),0)</f>
        <v>0.10299999999999999</v>
      </c>
      <c r="AF5972" s="6">
        <f t="shared" si="926"/>
        <v>0</v>
      </c>
      <c r="AG5972" s="14">
        <v>0</v>
      </c>
      <c r="AH5972" s="99">
        <f t="shared" si="930"/>
        <v>0</v>
      </c>
      <c r="AI5972" s="47"/>
      <c r="AJ5972" s="126">
        <v>119</v>
      </c>
      <c r="AK5972" s="80">
        <f t="shared" si="934"/>
        <v>0</v>
      </c>
      <c r="AL5972" s="85"/>
      <c r="AM5972" s="85"/>
    </row>
    <row r="5973" spans="1:39" s="86" customFormat="1" ht="13.25" hidden="1" customHeight="1" x14ac:dyDescent="0.3">
      <c r="A5973" s="89" t="s">
        <v>3794</v>
      </c>
      <c r="B5973" s="86" t="s">
        <v>35</v>
      </c>
      <c r="C5973" s="86" t="s">
        <v>184</v>
      </c>
      <c r="D5973" s="86" t="s">
        <v>3849</v>
      </c>
      <c r="E5973" s="86" t="s">
        <v>533</v>
      </c>
      <c r="F5973" s="86" t="s">
        <v>533</v>
      </c>
      <c r="G5973" s="86" t="s">
        <v>533</v>
      </c>
      <c r="H5973" s="143">
        <v>22</v>
      </c>
      <c r="I5973" s="86" t="s">
        <v>2935</v>
      </c>
      <c r="J5973" s="1" t="s">
        <v>3302</v>
      </c>
      <c r="K5973" s="1" t="s">
        <v>3371</v>
      </c>
      <c r="L5973" s="1" t="s">
        <v>35</v>
      </c>
      <c r="M5973" s="86" t="s">
        <v>533</v>
      </c>
      <c r="O5973" s="47" t="s">
        <v>45</v>
      </c>
      <c r="P5973" s="14" t="s">
        <v>46</v>
      </c>
      <c r="Q5973" s="14">
        <v>0.05</v>
      </c>
      <c r="R5973" s="143">
        <v>58532</v>
      </c>
      <c r="S5973" s="47"/>
      <c r="T5973" s="6">
        <v>-523192.05</v>
      </c>
      <c r="U5973" s="6"/>
      <c r="V5973" s="6">
        <v>0</v>
      </c>
      <c r="W5973" s="6">
        <f t="shared" si="927"/>
        <v>-523192.05</v>
      </c>
      <c r="X5973" s="6">
        <f t="shared" si="928"/>
        <v>0</v>
      </c>
      <c r="Y5973" s="13">
        <f t="shared" si="932"/>
        <v>0</v>
      </c>
      <c r="Z5973" s="14">
        <v>0</v>
      </c>
      <c r="AA5973" s="6">
        <v>0</v>
      </c>
      <c r="AB5973" s="4">
        <f t="shared" si="933"/>
        <v>0</v>
      </c>
      <c r="AC5973" s="6">
        <f t="shared" si="931"/>
        <v>0</v>
      </c>
      <c r="AD5973" s="6">
        <f t="shared" si="929"/>
        <v>0</v>
      </c>
      <c r="AE5973" s="14">
        <f>VLOOKUP(I5973,[2]媒体政策预估表!A:N,MATCH(O5973,[2]媒体政策预估表!$A$2:$M$2,0),0)</f>
        <v>0.223</v>
      </c>
      <c r="AF5973" s="6">
        <f t="shared" si="926"/>
        <v>0</v>
      </c>
      <c r="AG5973" s="14">
        <v>0</v>
      </c>
      <c r="AH5973" s="99">
        <f t="shared" si="930"/>
        <v>0</v>
      </c>
      <c r="AI5973" s="47"/>
      <c r="AJ5973" s="126" t="e">
        <v>#N/A</v>
      </c>
      <c r="AK5973" s="80">
        <f t="shared" si="934"/>
        <v>0</v>
      </c>
      <c r="AL5973" s="85"/>
      <c r="AM5973" s="85"/>
    </row>
    <row r="5974" spans="1:39" s="86" customFormat="1" ht="13.25" hidden="1" customHeight="1" x14ac:dyDescent="0.3">
      <c r="A5974" s="89" t="s">
        <v>3794</v>
      </c>
      <c r="B5974" s="86" t="s">
        <v>35</v>
      </c>
      <c r="C5974" s="86" t="s">
        <v>144</v>
      </c>
      <c r="D5974" s="86" t="s">
        <v>152</v>
      </c>
      <c r="E5974" s="86" t="s">
        <v>159</v>
      </c>
      <c r="F5974" s="86" t="s">
        <v>159</v>
      </c>
      <c r="G5974" s="86" t="s">
        <v>159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159</v>
      </c>
      <c r="O5974" s="47" t="s">
        <v>45</v>
      </c>
      <c r="P5974" s="14" t="s">
        <v>46</v>
      </c>
      <c r="Q5974" s="14">
        <v>0.05</v>
      </c>
      <c r="R5974" s="143">
        <v>9812</v>
      </c>
      <c r="S5974" s="47"/>
      <c r="T5974" s="6">
        <v>-154099.26</v>
      </c>
      <c r="U5974" s="6"/>
      <c r="V5974" s="6">
        <v>7340.93</v>
      </c>
      <c r="W5974" s="6">
        <f t="shared" si="927"/>
        <v>-161440.19</v>
      </c>
      <c r="X5974" s="6">
        <f t="shared" si="928"/>
        <v>6991.361904761905</v>
      </c>
      <c r="Y5974" s="13">
        <f t="shared" si="932"/>
        <v>0</v>
      </c>
      <c r="Z5974" s="14">
        <v>0</v>
      </c>
      <c r="AA5974" s="6">
        <v>0</v>
      </c>
      <c r="AB5974" s="4">
        <f t="shared" si="933"/>
        <v>6991.361904761905</v>
      </c>
      <c r="AC5974" s="6">
        <f t="shared" si="931"/>
        <v>349.56809523809534</v>
      </c>
      <c r="AD5974" s="6">
        <f t="shared" si="929"/>
        <v>7340.93</v>
      </c>
      <c r="AE5974" s="14">
        <f>VLOOKUP(I5974,[2]媒体政策预估表!A:N,MATCH(O5974,[2]媒体政策预估表!$A$2:$M$2,0),0)</f>
        <v>0.223</v>
      </c>
      <c r="AF5974" s="6">
        <f t="shared" si="926"/>
        <v>1637.0273900000002</v>
      </c>
      <c r="AG5974" s="14">
        <v>0</v>
      </c>
      <c r="AH5974" s="99">
        <f t="shared" si="930"/>
        <v>7340.93</v>
      </c>
      <c r="AI5974" s="47"/>
      <c r="AJ5974" s="126" t="e">
        <v>#N/A</v>
      </c>
      <c r="AK5974" s="80">
        <f t="shared" si="934"/>
        <v>0</v>
      </c>
      <c r="AL5974" s="85"/>
      <c r="AM5974" s="85"/>
    </row>
    <row r="5975" spans="1:39" s="86" customFormat="1" ht="13.25" hidden="1" customHeight="1" x14ac:dyDescent="0.3">
      <c r="A5975" s="89" t="s">
        <v>3794</v>
      </c>
      <c r="B5975" s="86" t="s">
        <v>35</v>
      </c>
      <c r="C5975" s="86" t="s">
        <v>144</v>
      </c>
      <c r="D5975" s="86" t="s">
        <v>152</v>
      </c>
      <c r="E5975" s="86" t="s">
        <v>160</v>
      </c>
      <c r="F5975" s="86" t="s">
        <v>160</v>
      </c>
      <c r="G5975" s="86" t="s">
        <v>160</v>
      </c>
      <c r="H5975" s="144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160</v>
      </c>
      <c r="O5975" s="47" t="s">
        <v>45</v>
      </c>
      <c r="P5975" s="14" t="s">
        <v>46</v>
      </c>
      <c r="Q5975" s="14">
        <v>0.04</v>
      </c>
      <c r="R5975" s="143">
        <v>5052</v>
      </c>
      <c r="S5975" s="47"/>
      <c r="T5975" s="6">
        <v>469.8</v>
      </c>
      <c r="U5975" s="6"/>
      <c r="V5975" s="6">
        <v>112782.6</v>
      </c>
      <c r="W5975" s="6">
        <f t="shared" si="927"/>
        <v>-112312.8</v>
      </c>
      <c r="X5975" s="6">
        <f t="shared" si="928"/>
        <v>108444.80769230769</v>
      </c>
      <c r="Y5975" s="13">
        <f t="shared" si="932"/>
        <v>0</v>
      </c>
      <c r="Z5975" s="14">
        <v>0</v>
      </c>
      <c r="AA5975" s="6">
        <v>0</v>
      </c>
      <c r="AB5975" s="4">
        <f t="shared" si="933"/>
        <v>108444.80769230769</v>
      </c>
      <c r="AC5975" s="6">
        <f t="shared" si="931"/>
        <v>4337.792307692318</v>
      </c>
      <c r="AD5975" s="6">
        <f t="shared" si="929"/>
        <v>112782.6</v>
      </c>
      <c r="AE5975" s="14">
        <f>VLOOKUP(I5975,[2]媒体政策预估表!A:N,MATCH(O5975,[2]媒体政策预估表!$A$2:$M$2,0),0)</f>
        <v>0.223</v>
      </c>
      <c r="AF5975" s="6">
        <f t="shared" si="926"/>
        <v>25150.519800000002</v>
      </c>
      <c r="AG5975" s="14">
        <v>0</v>
      </c>
      <c r="AH5975" s="99">
        <f t="shared" si="930"/>
        <v>112782.6</v>
      </c>
      <c r="AI5975" s="47"/>
      <c r="AJ5975" s="126" t="e">
        <v>#N/A</v>
      </c>
      <c r="AK5975" s="80">
        <f t="shared" si="934"/>
        <v>0</v>
      </c>
      <c r="AL5975" s="85"/>
      <c r="AM5975" s="85"/>
    </row>
    <row r="5976" spans="1:39" s="86" customFormat="1" ht="13.25" hidden="1" customHeight="1" x14ac:dyDescent="0.3">
      <c r="A5976" s="89" t="s">
        <v>3792</v>
      </c>
      <c r="B5976" s="86" t="s">
        <v>35</v>
      </c>
      <c r="C5976" s="86" t="s">
        <v>164</v>
      </c>
      <c r="D5976" s="86" t="s">
        <v>305</v>
      </c>
      <c r="E5976" s="86" t="s">
        <v>2129</v>
      </c>
      <c r="F5976" s="86" t="s">
        <v>2129</v>
      </c>
      <c r="G5976" s="86" t="s">
        <v>2129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3004</v>
      </c>
      <c r="O5976" s="47" t="s">
        <v>410</v>
      </c>
      <c r="P5976" s="14" t="s">
        <v>41</v>
      </c>
      <c r="Q5976" s="14">
        <v>0</v>
      </c>
      <c r="R5976" s="143">
        <v>238232</v>
      </c>
      <c r="S5976" s="47"/>
      <c r="T5976" s="6">
        <v>935756.03</v>
      </c>
      <c r="U5976" s="6"/>
      <c r="V5976" s="6">
        <v>0</v>
      </c>
      <c r="W5976" s="6">
        <f t="shared" si="927"/>
        <v>935756.03</v>
      </c>
      <c r="X5976" s="6">
        <f t="shared" si="928"/>
        <v>0</v>
      </c>
      <c r="Y5976" s="13">
        <f t="shared" si="932"/>
        <v>0</v>
      </c>
      <c r="Z5976" s="14">
        <v>0</v>
      </c>
      <c r="AA5976" s="6">
        <v>0</v>
      </c>
      <c r="AB5976" s="4">
        <f t="shared" si="933"/>
        <v>0</v>
      </c>
      <c r="AC5976" s="6">
        <f t="shared" si="931"/>
        <v>0</v>
      </c>
      <c r="AD5976" s="6">
        <f t="shared" si="929"/>
        <v>0</v>
      </c>
      <c r="AE5976" s="14">
        <f>VLOOKUP(I5976,[2]媒体政策预估表!A:N,MATCH(O5976,[2]媒体政策预估表!$A$2:$M$2,0),0)</f>
        <v>0.10299999999999999</v>
      </c>
      <c r="AF5976" s="6">
        <f t="shared" si="926"/>
        <v>0</v>
      </c>
      <c r="AG5976" s="14">
        <v>0</v>
      </c>
      <c r="AH5976" s="99">
        <f t="shared" si="930"/>
        <v>0</v>
      </c>
      <c r="AI5976" s="47"/>
      <c r="AJ5976" s="126" t="e">
        <v>#N/A</v>
      </c>
      <c r="AK5976" s="80">
        <f t="shared" si="934"/>
        <v>0</v>
      </c>
      <c r="AL5976" s="85"/>
      <c r="AM5976" s="85"/>
    </row>
    <row r="5977" spans="1:39" s="86" customFormat="1" ht="13.25" hidden="1" customHeight="1" x14ac:dyDescent="0.3">
      <c r="A5977" s="89" t="s">
        <v>3805</v>
      </c>
      <c r="B5977" s="86" t="s">
        <v>35</v>
      </c>
      <c r="C5977" s="86" t="s">
        <v>164</v>
      </c>
      <c r="D5977" s="86" t="s">
        <v>305</v>
      </c>
      <c r="E5977" s="86" t="s">
        <v>625</v>
      </c>
      <c r="F5977" s="86" t="s">
        <v>625</v>
      </c>
      <c r="G5977" s="86" t="s">
        <v>625</v>
      </c>
      <c r="H5977" s="143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625</v>
      </c>
      <c r="O5977" s="47" t="s">
        <v>410</v>
      </c>
      <c r="P5977" s="14" t="s">
        <v>46</v>
      </c>
      <c r="Q5977" s="14">
        <v>0.02</v>
      </c>
      <c r="R5977" s="143">
        <v>244692</v>
      </c>
      <c r="S5977" s="47"/>
      <c r="T5977" s="6">
        <v>1007.83</v>
      </c>
      <c r="U5977" s="6"/>
      <c r="V5977" s="6">
        <v>0</v>
      </c>
      <c r="W5977" s="6">
        <f t="shared" si="927"/>
        <v>1007.83</v>
      </c>
      <c r="X5977" s="6">
        <f t="shared" si="928"/>
        <v>0</v>
      </c>
      <c r="Y5977" s="13">
        <f t="shared" si="932"/>
        <v>0</v>
      </c>
      <c r="Z5977" s="14">
        <v>0</v>
      </c>
      <c r="AA5977" s="6">
        <v>0</v>
      </c>
      <c r="AB5977" s="4"/>
      <c r="AC5977" s="6">
        <f t="shared" si="931"/>
        <v>0</v>
      </c>
      <c r="AD5977" s="6">
        <f t="shared" si="929"/>
        <v>0</v>
      </c>
      <c r="AE5977" s="14">
        <f>VLOOKUP(I5977,[2]媒体政策预估表!A:N,MATCH(O5977,[2]媒体政策预估表!$A$2:$M$2,0),0)</f>
        <v>0.10299999999999999</v>
      </c>
      <c r="AF5977" s="6">
        <f t="shared" si="926"/>
        <v>0</v>
      </c>
      <c r="AG5977" s="14">
        <v>0</v>
      </c>
      <c r="AH5977" s="99">
        <f t="shared" si="930"/>
        <v>0</v>
      </c>
      <c r="AI5977" s="47"/>
      <c r="AJ5977" s="126">
        <v>115</v>
      </c>
      <c r="AK5977" s="80">
        <f t="shared" si="934"/>
        <v>0</v>
      </c>
      <c r="AL5977" s="85"/>
      <c r="AM5977" s="85"/>
    </row>
    <row r="5978" spans="1:39" s="86" customFormat="1" ht="13.25" hidden="1" customHeight="1" x14ac:dyDescent="0.3">
      <c r="A5978" s="89" t="s">
        <v>3792</v>
      </c>
      <c r="B5978" s="86" t="s">
        <v>35</v>
      </c>
      <c r="C5978" s="86" t="s">
        <v>164</v>
      </c>
      <c r="D5978" s="86" t="s">
        <v>174</v>
      </c>
      <c r="E5978" s="86" t="s">
        <v>3020</v>
      </c>
      <c r="F5978" s="86" t="s">
        <v>3020</v>
      </c>
      <c r="G5978" s="86" t="s">
        <v>3020</v>
      </c>
      <c r="H5978" s="143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3021</v>
      </c>
      <c r="O5978" s="47" t="s">
        <v>410</v>
      </c>
      <c r="P5978" s="14" t="s">
        <v>41</v>
      </c>
      <c r="Q5978" s="14">
        <v>0</v>
      </c>
      <c r="R5978" s="143">
        <v>241162</v>
      </c>
      <c r="S5978" s="47"/>
      <c r="T5978" s="6">
        <v>23526.620000000003</v>
      </c>
      <c r="U5978" s="6"/>
      <c r="V5978" s="6">
        <v>0</v>
      </c>
      <c r="W5978" s="6">
        <f t="shared" si="927"/>
        <v>23526.620000000003</v>
      </c>
      <c r="X5978" s="6">
        <f t="shared" si="928"/>
        <v>0</v>
      </c>
      <c r="Y5978" s="13">
        <f t="shared" si="932"/>
        <v>0</v>
      </c>
      <c r="Z5978" s="14">
        <v>0</v>
      </c>
      <c r="AA5978" s="6">
        <v>0</v>
      </c>
      <c r="AB5978" s="4">
        <f t="shared" si="933"/>
        <v>0</v>
      </c>
      <c r="AC5978" s="6">
        <f t="shared" si="931"/>
        <v>0</v>
      </c>
      <c r="AD5978" s="6">
        <f t="shared" si="929"/>
        <v>0</v>
      </c>
      <c r="AE5978" s="14">
        <f>VLOOKUP(I5978,[2]媒体政策预估表!A:N,MATCH(O5978,[2]媒体政策预估表!$A$2:$M$2,0),0)</f>
        <v>0.10299999999999999</v>
      </c>
      <c r="AF5978" s="6">
        <f t="shared" si="926"/>
        <v>0</v>
      </c>
      <c r="AG5978" s="14">
        <v>0</v>
      </c>
      <c r="AH5978" s="99">
        <f t="shared" si="930"/>
        <v>0</v>
      </c>
      <c r="AI5978" s="47"/>
      <c r="AJ5978" s="126" t="e">
        <v>#N/A</v>
      </c>
      <c r="AK5978" s="80">
        <f t="shared" si="934"/>
        <v>0</v>
      </c>
      <c r="AL5978" s="85"/>
      <c r="AM5978" s="85"/>
    </row>
    <row r="5979" spans="1:39" s="86" customFormat="1" ht="13.25" hidden="1" customHeight="1" x14ac:dyDescent="0.3">
      <c r="A5979" s="89" t="s">
        <v>3805</v>
      </c>
      <c r="B5979" s="86" t="s">
        <v>35</v>
      </c>
      <c r="C5979" s="86" t="s">
        <v>164</v>
      </c>
      <c r="D5979" s="86" t="s">
        <v>174</v>
      </c>
      <c r="E5979" s="86" t="s">
        <v>1668</v>
      </c>
      <c r="F5979" s="86" t="s">
        <v>1669</v>
      </c>
      <c r="G5979" s="86" t="s">
        <v>1668</v>
      </c>
      <c r="H5979" s="143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3029</v>
      </c>
      <c r="O5979" s="47" t="s">
        <v>410</v>
      </c>
      <c r="P5979" s="14" t="s">
        <v>46</v>
      </c>
      <c r="Q5979" s="14">
        <v>0.05</v>
      </c>
      <c r="R5979" s="143">
        <v>10818</v>
      </c>
      <c r="S5979" s="47"/>
      <c r="T5979" s="6">
        <v>1117.1299999999974</v>
      </c>
      <c r="U5979" s="6"/>
      <c r="V5979" s="6">
        <v>0</v>
      </c>
      <c r="W5979" s="6">
        <f t="shared" si="927"/>
        <v>1117.1299999999974</v>
      </c>
      <c r="X5979" s="6">
        <f t="shared" si="928"/>
        <v>0</v>
      </c>
      <c r="Y5979" s="13">
        <f t="shared" si="932"/>
        <v>0</v>
      </c>
      <c r="Z5979" s="14">
        <v>0</v>
      </c>
      <c r="AA5979" s="6">
        <v>0</v>
      </c>
      <c r="AB5979" s="4">
        <f t="shared" si="933"/>
        <v>0</v>
      </c>
      <c r="AC5979" s="6">
        <f t="shared" si="931"/>
        <v>0</v>
      </c>
      <c r="AD5979" s="6">
        <f t="shared" si="929"/>
        <v>0</v>
      </c>
      <c r="AE5979" s="14">
        <f>VLOOKUP(I5979,[2]媒体政策预估表!A:N,MATCH(O5979,[2]媒体政策预估表!$A$2:$M$2,0),0)</f>
        <v>0.10299999999999999</v>
      </c>
      <c r="AF5979" s="6">
        <f t="shared" si="926"/>
        <v>0</v>
      </c>
      <c r="AG5979" s="14">
        <v>0</v>
      </c>
      <c r="AH5979" s="99">
        <f t="shared" si="930"/>
        <v>0</v>
      </c>
      <c r="AI5979" s="47"/>
      <c r="AJ5979" s="126" t="e">
        <v>#N/A</v>
      </c>
      <c r="AK5979" s="80">
        <f t="shared" si="934"/>
        <v>0</v>
      </c>
      <c r="AL5979" s="85"/>
      <c r="AM5979" s="85"/>
    </row>
    <row r="5980" spans="1:39" s="86" customFormat="1" ht="13.25" hidden="1" customHeight="1" x14ac:dyDescent="0.3">
      <c r="A5980" s="89" t="s">
        <v>3792</v>
      </c>
      <c r="B5980" s="86" t="s">
        <v>35</v>
      </c>
      <c r="C5980" s="86" t="s">
        <v>164</v>
      </c>
      <c r="D5980" s="86" t="s">
        <v>174</v>
      </c>
      <c r="E5980" s="86" t="s">
        <v>678</v>
      </c>
      <c r="F5980" s="86" t="s">
        <v>678</v>
      </c>
      <c r="G5980" s="86" t="s">
        <v>678</v>
      </c>
      <c r="H5980" s="143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3035</v>
      </c>
      <c r="O5980" s="47" t="s">
        <v>410</v>
      </c>
      <c r="P5980" s="14" t="s">
        <v>46</v>
      </c>
      <c r="Q5980" s="14">
        <v>0.02</v>
      </c>
      <c r="R5980" s="143">
        <v>8714</v>
      </c>
      <c r="S5980" s="47"/>
      <c r="T5980" s="6">
        <v>1849.3599999999981</v>
      </c>
      <c r="U5980" s="6"/>
      <c r="V5980" s="6">
        <v>0</v>
      </c>
      <c r="W5980" s="6">
        <f t="shared" si="927"/>
        <v>1849.3599999999981</v>
      </c>
      <c r="X5980" s="6">
        <f t="shared" si="928"/>
        <v>0</v>
      </c>
      <c r="Y5980" s="13">
        <f t="shared" si="932"/>
        <v>0</v>
      </c>
      <c r="Z5980" s="14">
        <v>0</v>
      </c>
      <c r="AA5980" s="6">
        <v>0</v>
      </c>
      <c r="AB5980" s="4">
        <f t="shared" si="933"/>
        <v>0</v>
      </c>
      <c r="AC5980" s="6">
        <f t="shared" si="931"/>
        <v>0</v>
      </c>
      <c r="AD5980" s="6">
        <f t="shared" si="929"/>
        <v>0</v>
      </c>
      <c r="AE5980" s="14">
        <f>VLOOKUP(I5980,[2]媒体政策预估表!A:N,MATCH(O5980,[2]媒体政策预估表!$A$2:$M$2,0),0)</f>
        <v>0.10299999999999999</v>
      </c>
      <c r="AF5980" s="6">
        <f t="shared" si="926"/>
        <v>0</v>
      </c>
      <c r="AG5980" s="14">
        <v>0</v>
      </c>
      <c r="AH5980" s="99">
        <f t="shared" si="930"/>
        <v>0</v>
      </c>
      <c r="AI5980" s="47"/>
      <c r="AJ5980" s="126" t="e">
        <v>#N/A</v>
      </c>
      <c r="AK5980" s="80">
        <f t="shared" si="934"/>
        <v>0</v>
      </c>
      <c r="AL5980" s="85"/>
      <c r="AM5980" s="85"/>
    </row>
    <row r="5981" spans="1:39" s="86" customFormat="1" ht="13.25" hidden="1" customHeight="1" x14ac:dyDescent="0.3">
      <c r="A5981" s="89" t="s">
        <v>3794</v>
      </c>
      <c r="B5981" s="86" t="s">
        <v>35</v>
      </c>
      <c r="C5981" s="86" t="s">
        <v>164</v>
      </c>
      <c r="D5981" s="86" t="s">
        <v>3407</v>
      </c>
      <c r="E5981" s="86" t="s">
        <v>182</v>
      </c>
      <c r="F5981" s="86" t="s">
        <v>183</v>
      </c>
      <c r="G5981" s="86" t="s">
        <v>182</v>
      </c>
      <c r="H5981" s="143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3038</v>
      </c>
      <c r="O5981" s="47" t="s">
        <v>410</v>
      </c>
      <c r="P5981" s="14" t="s">
        <v>41</v>
      </c>
      <c r="Q5981" s="14">
        <v>0</v>
      </c>
      <c r="R5981" s="143">
        <v>116712</v>
      </c>
      <c r="S5981" s="47"/>
      <c r="T5981" s="6">
        <v>8650.2400000001362</v>
      </c>
      <c r="U5981" s="6"/>
      <c r="V5981" s="6">
        <v>0</v>
      </c>
      <c r="W5981" s="6">
        <f t="shared" si="927"/>
        <v>8650.2400000001362</v>
      </c>
      <c r="X5981" s="6">
        <f t="shared" si="928"/>
        <v>0</v>
      </c>
      <c r="Y5981" s="13">
        <f t="shared" si="932"/>
        <v>0</v>
      </c>
      <c r="Z5981" s="14">
        <v>0.02</v>
      </c>
      <c r="AA5981" s="6">
        <f>X5981/(1-Z5981)*Z5981</f>
        <v>0</v>
      </c>
      <c r="AB5981" s="4">
        <f t="shared" si="933"/>
        <v>0</v>
      </c>
      <c r="AC5981" s="6">
        <f t="shared" si="931"/>
        <v>0</v>
      </c>
      <c r="AD5981" s="6">
        <f t="shared" si="929"/>
        <v>0</v>
      </c>
      <c r="AE5981" s="14">
        <f>VLOOKUP(I5981,[2]媒体政策预估表!A:N,MATCH(O5981,[2]媒体政策预估表!$A$2:$M$2,0),0)</f>
        <v>0.10299999999999999</v>
      </c>
      <c r="AF5981" s="6">
        <f t="shared" si="926"/>
        <v>0</v>
      </c>
      <c r="AG5981" s="14">
        <v>0</v>
      </c>
      <c r="AH5981" s="99">
        <f t="shared" si="930"/>
        <v>0</v>
      </c>
      <c r="AI5981" s="47"/>
      <c r="AJ5981" s="126" t="e">
        <v>#N/A</v>
      </c>
      <c r="AK5981" s="80">
        <f t="shared" si="934"/>
        <v>0</v>
      </c>
      <c r="AL5981" s="85"/>
      <c r="AM5981" s="85"/>
    </row>
    <row r="5982" spans="1:39" s="86" customFormat="1" ht="13.25" hidden="1" customHeight="1" x14ac:dyDescent="0.3">
      <c r="A5982" s="89" t="s">
        <v>3794</v>
      </c>
      <c r="B5982" s="86" t="s">
        <v>35</v>
      </c>
      <c r="C5982" s="86" t="s">
        <v>184</v>
      </c>
      <c r="D5982" s="86" t="s">
        <v>224</v>
      </c>
      <c r="E5982" s="86" t="s">
        <v>2126</v>
      </c>
      <c r="F5982" s="86" t="s">
        <v>2126</v>
      </c>
      <c r="G5982" s="86" t="s">
        <v>2126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3041</v>
      </c>
      <c r="O5982" s="47" t="s">
        <v>410</v>
      </c>
      <c r="P5982" s="14" t="s">
        <v>41</v>
      </c>
      <c r="Q5982" s="14">
        <v>0</v>
      </c>
      <c r="R5982" s="143">
        <v>57092</v>
      </c>
      <c r="S5982" s="47"/>
      <c r="T5982" s="6">
        <v>4013.5999999999626</v>
      </c>
      <c r="U5982" s="6"/>
      <c r="V5982" s="6">
        <v>0</v>
      </c>
      <c r="W5982" s="6">
        <f t="shared" si="927"/>
        <v>4013.5999999999626</v>
      </c>
      <c r="X5982" s="6">
        <f t="shared" si="928"/>
        <v>0</v>
      </c>
      <c r="Y5982" s="13">
        <f t="shared" si="932"/>
        <v>0</v>
      </c>
      <c r="Z5982" s="14">
        <v>0</v>
      </c>
      <c r="AA5982" s="6">
        <v>0</v>
      </c>
      <c r="AB5982" s="4">
        <f t="shared" si="933"/>
        <v>0</v>
      </c>
      <c r="AC5982" s="6">
        <f t="shared" si="931"/>
        <v>0</v>
      </c>
      <c r="AD5982" s="6">
        <f t="shared" si="929"/>
        <v>0</v>
      </c>
      <c r="AE5982" s="14">
        <f>VLOOKUP(I5982,[2]媒体政策预估表!A:N,MATCH(O5982,[2]媒体政策预估表!$A$2:$M$2,0),0)</f>
        <v>0.10299999999999999</v>
      </c>
      <c r="AF5982" s="6">
        <f t="shared" si="926"/>
        <v>0</v>
      </c>
      <c r="AG5982" s="14">
        <v>0</v>
      </c>
      <c r="AH5982" s="99">
        <f t="shared" si="930"/>
        <v>0</v>
      </c>
      <c r="AI5982" s="47"/>
      <c r="AJ5982" s="126" t="e">
        <v>#N/A</v>
      </c>
      <c r="AK5982" s="80">
        <f t="shared" si="934"/>
        <v>0</v>
      </c>
      <c r="AL5982" s="85"/>
      <c r="AM5982" s="85"/>
    </row>
    <row r="5983" spans="1:39" s="86" customFormat="1" ht="13.25" hidden="1" customHeight="1" x14ac:dyDescent="0.3">
      <c r="A5983" s="89" t="s">
        <v>3794</v>
      </c>
      <c r="B5983" s="86" t="s">
        <v>35</v>
      </c>
      <c r="C5983" s="86" t="s">
        <v>36</v>
      </c>
      <c r="D5983" s="86" t="s">
        <v>185</v>
      </c>
      <c r="E5983" s="86" t="s">
        <v>2957</v>
      </c>
      <c r="F5983" s="86" t="s">
        <v>2957</v>
      </c>
      <c r="G5983" s="86" t="s">
        <v>2957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2957</v>
      </c>
      <c r="O5983" s="47" t="s">
        <v>410</v>
      </c>
      <c r="P5983" s="14" t="s">
        <v>46</v>
      </c>
      <c r="Q5983" s="14">
        <v>0.04</v>
      </c>
      <c r="R5983" s="143">
        <v>108552</v>
      </c>
      <c r="S5983" s="47"/>
      <c r="T5983" s="6">
        <v>16679.939999999828</v>
      </c>
      <c r="U5983" s="6"/>
      <c r="V5983" s="6">
        <v>16679.939999999828</v>
      </c>
      <c r="W5983" s="6">
        <f t="shared" si="927"/>
        <v>0</v>
      </c>
      <c r="X5983" s="6">
        <f t="shared" si="928"/>
        <v>16038.40384615368</v>
      </c>
      <c r="Y5983" s="13">
        <f t="shared" si="932"/>
        <v>0</v>
      </c>
      <c r="Z5983" s="14">
        <v>0</v>
      </c>
      <c r="AA5983" s="6">
        <v>0</v>
      </c>
      <c r="AB5983" s="4">
        <f t="shared" si="933"/>
        <v>16038.40384615368</v>
      </c>
      <c r="AC5983" s="6">
        <f t="shared" si="931"/>
        <v>641.5361538461475</v>
      </c>
      <c r="AD5983" s="6">
        <f t="shared" si="929"/>
        <v>16679.939999999828</v>
      </c>
      <c r="AE5983" s="14">
        <f>VLOOKUP(I5983,[2]媒体政策预估表!A:N,MATCH(O5983,[2]媒体政策预估表!$A$2:$M$2,0),0)</f>
        <v>0.10299999999999999</v>
      </c>
      <c r="AF5983" s="6">
        <f t="shared" si="926"/>
        <v>1718.0338199999821</v>
      </c>
      <c r="AG5983" s="14">
        <v>0</v>
      </c>
      <c r="AH5983" s="99">
        <f t="shared" si="930"/>
        <v>16679.939999999828</v>
      </c>
      <c r="AI5983" s="47"/>
      <c r="AJ5983" s="126" t="e">
        <v>#N/A</v>
      </c>
      <c r="AK5983" s="80">
        <f t="shared" si="934"/>
        <v>0</v>
      </c>
      <c r="AL5983" s="85"/>
      <c r="AM5983" s="85"/>
    </row>
    <row r="5984" spans="1:39" s="86" customFormat="1" ht="13.25" hidden="1" customHeight="1" x14ac:dyDescent="0.3">
      <c r="A5984" s="89" t="s">
        <v>3792</v>
      </c>
      <c r="B5984" s="86" t="s">
        <v>35</v>
      </c>
      <c r="C5984" s="86" t="s">
        <v>65</v>
      </c>
      <c r="D5984" s="86" t="s">
        <v>66</v>
      </c>
      <c r="E5984" s="86" t="s">
        <v>1877</v>
      </c>
      <c r="F5984" s="86" t="s">
        <v>1877</v>
      </c>
      <c r="G5984" s="86" t="s">
        <v>1877</v>
      </c>
      <c r="H5984" s="143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1877</v>
      </c>
      <c r="O5984" s="47" t="s">
        <v>410</v>
      </c>
      <c r="P5984" s="14" t="s">
        <v>46</v>
      </c>
      <c r="Q5984" s="14">
        <v>0.02</v>
      </c>
      <c r="R5984" s="143">
        <v>186892</v>
      </c>
      <c r="S5984" s="47"/>
      <c r="T5984" s="6">
        <v>4073.05</v>
      </c>
      <c r="U5984" s="6"/>
      <c r="V5984" s="6">
        <v>0</v>
      </c>
      <c r="W5984" s="6">
        <f t="shared" si="927"/>
        <v>4073.05</v>
      </c>
      <c r="X5984" s="6">
        <f t="shared" si="928"/>
        <v>0</v>
      </c>
      <c r="Y5984" s="13">
        <f t="shared" si="932"/>
        <v>0</v>
      </c>
      <c r="Z5984" s="14">
        <v>0</v>
      </c>
      <c r="AA5984" s="6">
        <v>0</v>
      </c>
      <c r="AB5984" s="4">
        <f t="shared" si="933"/>
        <v>0</v>
      </c>
      <c r="AC5984" s="6">
        <f t="shared" si="931"/>
        <v>0</v>
      </c>
      <c r="AD5984" s="6">
        <f t="shared" si="929"/>
        <v>0</v>
      </c>
      <c r="AE5984" s="14">
        <f>VLOOKUP(I5984,[2]媒体政策预估表!A:N,MATCH(O5984,[2]媒体政策预估表!$A$2:$M$2,0),0)</f>
        <v>0.10299999999999999</v>
      </c>
      <c r="AF5984" s="6">
        <f t="shared" si="926"/>
        <v>0</v>
      </c>
      <c r="AG5984" s="14">
        <v>0</v>
      </c>
      <c r="AH5984" s="99">
        <f t="shared" si="930"/>
        <v>0</v>
      </c>
      <c r="AI5984" s="47"/>
      <c r="AJ5984" s="126" t="e">
        <v>#N/A</v>
      </c>
      <c r="AK5984" s="80">
        <f t="shared" si="934"/>
        <v>0</v>
      </c>
      <c r="AL5984" s="85"/>
      <c r="AM5984" s="85"/>
    </row>
    <row r="5985" spans="1:39" s="86" customFormat="1" ht="13.25" hidden="1" customHeight="1" x14ac:dyDescent="0.3">
      <c r="A5985" s="89" t="s">
        <v>3794</v>
      </c>
      <c r="B5985" s="86" t="s">
        <v>35</v>
      </c>
      <c r="C5985" s="86" t="s">
        <v>65</v>
      </c>
      <c r="D5985" s="86" t="s">
        <v>66</v>
      </c>
      <c r="E5985" s="86" t="s">
        <v>2678</v>
      </c>
      <c r="F5985" s="86" t="s">
        <v>2679</v>
      </c>
      <c r="G5985" s="86" t="s">
        <v>2678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2966</v>
      </c>
      <c r="O5985" s="47" t="s">
        <v>45</v>
      </c>
      <c r="P5985" s="14" t="s">
        <v>41</v>
      </c>
      <c r="Q5985" s="14">
        <v>0</v>
      </c>
      <c r="R5985" s="143">
        <v>242112</v>
      </c>
      <c r="S5985" s="47"/>
      <c r="T5985" s="6">
        <v>70429.760000000009</v>
      </c>
      <c r="U5985" s="6"/>
      <c r="V5985" s="6">
        <v>70429.760000000009</v>
      </c>
      <c r="W5985" s="6">
        <f t="shared" si="927"/>
        <v>0</v>
      </c>
      <c r="X5985" s="6">
        <f t="shared" si="928"/>
        <v>70429.760000000009</v>
      </c>
      <c r="Y5985" s="13">
        <f t="shared" si="932"/>
        <v>0</v>
      </c>
      <c r="Z5985" s="14">
        <v>0</v>
      </c>
      <c r="AA5985" s="6">
        <v>0</v>
      </c>
      <c r="AB5985" s="4">
        <f t="shared" si="933"/>
        <v>70429.760000000009</v>
      </c>
      <c r="AC5985" s="6">
        <f t="shared" si="931"/>
        <v>0</v>
      </c>
      <c r="AD5985" s="6">
        <f t="shared" si="929"/>
        <v>70429.760000000009</v>
      </c>
      <c r="AE5985" s="14">
        <f>VLOOKUP(I5985,[2]媒体政策预估表!A:N,MATCH(O5985,[2]媒体政策预估表!$A$2:$M$2,0),0)</f>
        <v>0.223</v>
      </c>
      <c r="AF5985" s="6">
        <f t="shared" si="926"/>
        <v>15705.836480000002</v>
      </c>
      <c r="AG5985" s="14">
        <v>0</v>
      </c>
      <c r="AH5985" s="99">
        <f t="shared" si="930"/>
        <v>70429.760000000009</v>
      </c>
      <c r="AI5985" s="47"/>
      <c r="AJ5985" s="126" t="e">
        <v>#N/A</v>
      </c>
      <c r="AK5985" s="80">
        <f t="shared" si="934"/>
        <v>0</v>
      </c>
      <c r="AL5985" s="85"/>
      <c r="AM5985" s="85"/>
    </row>
    <row r="5986" spans="1:39" s="86" customFormat="1" ht="13.25" hidden="1" customHeight="1" x14ac:dyDescent="0.3">
      <c r="A5986" s="89" t="s">
        <v>3794</v>
      </c>
      <c r="B5986" s="86" t="s">
        <v>35</v>
      </c>
      <c r="C5986" s="86" t="s">
        <v>65</v>
      </c>
      <c r="D5986" s="86" t="s">
        <v>122</v>
      </c>
      <c r="E5986" s="86" t="s">
        <v>3045</v>
      </c>
      <c r="F5986" s="86" t="s">
        <v>3045</v>
      </c>
      <c r="G5986" s="86" t="s">
        <v>3045</v>
      </c>
      <c r="H5986" s="143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3046</v>
      </c>
      <c r="O5986" s="47" t="s">
        <v>410</v>
      </c>
      <c r="P5986" s="14" t="s">
        <v>46</v>
      </c>
      <c r="Q5986" s="14">
        <v>0.02</v>
      </c>
      <c r="R5986" s="143">
        <v>236362</v>
      </c>
      <c r="S5986" s="47"/>
      <c r="T5986" s="6">
        <v>29890.9</v>
      </c>
      <c r="U5986" s="6"/>
      <c r="V5986" s="6">
        <v>0</v>
      </c>
      <c r="W5986" s="6">
        <f t="shared" si="927"/>
        <v>29890.9</v>
      </c>
      <c r="X5986" s="6">
        <f t="shared" si="928"/>
        <v>0</v>
      </c>
      <c r="Y5986" s="13">
        <f t="shared" si="932"/>
        <v>0</v>
      </c>
      <c r="Z5986" s="14">
        <v>0</v>
      </c>
      <c r="AA5986" s="6">
        <v>0</v>
      </c>
      <c r="AB5986" s="4">
        <f t="shared" si="933"/>
        <v>0</v>
      </c>
      <c r="AC5986" s="6">
        <f t="shared" si="931"/>
        <v>0</v>
      </c>
      <c r="AD5986" s="6">
        <f t="shared" si="929"/>
        <v>0</v>
      </c>
      <c r="AE5986" s="14">
        <f>VLOOKUP(I5986,[2]媒体政策预估表!A:N,MATCH(O5986,[2]媒体政策预估表!$A$2:$M$2,0),0)</f>
        <v>0.10299999999999999</v>
      </c>
      <c r="AF5986" s="6">
        <f t="shared" si="926"/>
        <v>0</v>
      </c>
      <c r="AG5986" s="14">
        <v>0</v>
      </c>
      <c r="AH5986" s="99">
        <f t="shared" si="930"/>
        <v>0</v>
      </c>
      <c r="AI5986" s="47"/>
      <c r="AJ5986" s="126" t="e">
        <v>#N/A</v>
      </c>
      <c r="AK5986" s="80">
        <f t="shared" si="934"/>
        <v>0</v>
      </c>
      <c r="AL5986" s="85"/>
      <c r="AM5986" s="85"/>
    </row>
    <row r="5987" spans="1:39" s="86" customFormat="1" ht="13.25" hidden="1" customHeight="1" x14ac:dyDescent="0.3">
      <c r="A5987" s="89" t="s">
        <v>3805</v>
      </c>
      <c r="B5987" s="86" t="s">
        <v>35</v>
      </c>
      <c r="C5987" s="86" t="s">
        <v>184</v>
      </c>
      <c r="D5987" s="86" t="s">
        <v>3849</v>
      </c>
      <c r="E5987" s="86" t="s">
        <v>550</v>
      </c>
      <c r="F5987" s="86" t="s">
        <v>551</v>
      </c>
      <c r="G5987" s="86" t="s">
        <v>550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550</v>
      </c>
      <c r="O5987" s="47" t="s">
        <v>410</v>
      </c>
      <c r="P5987" s="14" t="s">
        <v>46</v>
      </c>
      <c r="Q5987" s="14">
        <v>0.03</v>
      </c>
      <c r="R5987" s="143">
        <v>100212</v>
      </c>
      <c r="S5987" s="47"/>
      <c r="T5987" s="6">
        <v>15548.39</v>
      </c>
      <c r="U5987" s="6"/>
      <c r="V5987" s="6">
        <v>4004.5399999999991</v>
      </c>
      <c r="W5987" s="6">
        <v>0</v>
      </c>
      <c r="X5987" s="6">
        <f t="shared" si="928"/>
        <v>3887.9029126213582</v>
      </c>
      <c r="Y5987" s="13">
        <f t="shared" si="932"/>
        <v>0</v>
      </c>
      <c r="Z5987" s="14">
        <v>0</v>
      </c>
      <c r="AA5987" s="6">
        <v>0</v>
      </c>
      <c r="AB5987" s="4">
        <f t="shared" si="933"/>
        <v>3887.9029126213582</v>
      </c>
      <c r="AC5987" s="6">
        <f t="shared" si="931"/>
        <v>116.6370873786409</v>
      </c>
      <c r="AD5987" s="6">
        <f t="shared" si="929"/>
        <v>4004.5399999999991</v>
      </c>
      <c r="AE5987" s="14">
        <f>VLOOKUP(I5987,[2]媒体政策预估表!A:N,MATCH(O5987,[2]媒体政策预估表!$A$2:$M$2,0),0)</f>
        <v>0.10299999999999999</v>
      </c>
      <c r="AF5987" s="6">
        <f t="shared" si="926"/>
        <v>412.4676199999999</v>
      </c>
      <c r="AG5987" s="14">
        <v>0</v>
      </c>
      <c r="AH5987" s="99">
        <f t="shared" si="930"/>
        <v>4004.5399999999991</v>
      </c>
      <c r="AI5987" s="47"/>
      <c r="AJ5987" s="126" t="e">
        <v>#N/A</v>
      </c>
      <c r="AK5987" s="80">
        <f t="shared" si="934"/>
        <v>0</v>
      </c>
      <c r="AL5987" s="85"/>
      <c r="AM5987" s="85"/>
    </row>
    <row r="5988" spans="1:39" s="86" customFormat="1" ht="13.25" hidden="1" customHeight="1" x14ac:dyDescent="0.3">
      <c r="A5988" s="89" t="s">
        <v>3794</v>
      </c>
      <c r="B5988" s="86" t="s">
        <v>35</v>
      </c>
      <c r="C5988" s="86" t="s">
        <v>144</v>
      </c>
      <c r="D5988" s="86" t="s">
        <v>145</v>
      </c>
      <c r="E5988" s="86" t="s">
        <v>3048</v>
      </c>
      <c r="F5988" s="86" t="s">
        <v>3048</v>
      </c>
      <c r="G5988" s="86" t="s">
        <v>3048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3049</v>
      </c>
      <c r="O5988" s="47" t="s">
        <v>410</v>
      </c>
      <c r="P5988" s="14" t="s">
        <v>46</v>
      </c>
      <c r="Q5988" s="14">
        <v>0.02</v>
      </c>
      <c r="R5988" s="143">
        <v>228052</v>
      </c>
      <c r="S5988" s="47"/>
      <c r="T5988" s="6">
        <v>2317.3000000000029</v>
      </c>
      <c r="U5988" s="6"/>
      <c r="V5988" s="6">
        <v>1182.42</v>
      </c>
      <c r="W5988" s="6">
        <f t="shared" si="927"/>
        <v>1134.8800000000028</v>
      </c>
      <c r="X5988" s="6">
        <f t="shared" si="928"/>
        <v>1159.2352941176471</v>
      </c>
      <c r="Y5988" s="13">
        <f t="shared" si="932"/>
        <v>0</v>
      </c>
      <c r="Z5988" s="14">
        <v>0</v>
      </c>
      <c r="AA5988" s="6">
        <v>0</v>
      </c>
      <c r="AB5988" s="4">
        <f t="shared" si="933"/>
        <v>1159.2352941176471</v>
      </c>
      <c r="AC5988" s="6">
        <f t="shared" si="931"/>
        <v>23.184705882353001</v>
      </c>
      <c r="AD5988" s="6">
        <f t="shared" si="929"/>
        <v>1182.42</v>
      </c>
      <c r="AE5988" s="14">
        <f>VLOOKUP(I5988,[2]媒体政策预估表!A:N,MATCH(O5988,[2]媒体政策预估表!$A$2:$M$2,0),0)</f>
        <v>0.10299999999999999</v>
      </c>
      <c r="AF5988" s="6">
        <f t="shared" ref="AF5988:AF6051" si="935">AD5988*AE5988</f>
        <v>121.78926</v>
      </c>
      <c r="AG5988" s="14">
        <v>0</v>
      </c>
      <c r="AH5988" s="99">
        <f t="shared" si="930"/>
        <v>1182.42</v>
      </c>
      <c r="AI5988" s="47"/>
      <c r="AJ5988" s="126" t="e">
        <v>#N/A</v>
      </c>
      <c r="AK5988" s="80">
        <f t="shared" si="934"/>
        <v>0</v>
      </c>
      <c r="AL5988" s="85"/>
      <c r="AM5988" s="85"/>
    </row>
    <row r="5989" spans="1:39" s="86" customFormat="1" ht="13.25" hidden="1" customHeight="1" x14ac:dyDescent="0.3">
      <c r="A5989" s="89" t="s">
        <v>3794</v>
      </c>
      <c r="B5989" s="86" t="s">
        <v>35</v>
      </c>
      <c r="C5989" s="86" t="s">
        <v>144</v>
      </c>
      <c r="D5989" s="86" t="s">
        <v>152</v>
      </c>
      <c r="E5989" s="86" t="s">
        <v>3050</v>
      </c>
      <c r="F5989" s="86" t="s">
        <v>3050</v>
      </c>
      <c r="G5989" s="86" t="s">
        <v>3050</v>
      </c>
      <c r="H5989" s="143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3051</v>
      </c>
      <c r="O5989" s="47" t="s">
        <v>410</v>
      </c>
      <c r="P5989" s="14" t="s">
        <v>46</v>
      </c>
      <c r="Q5989" s="14">
        <v>0.02</v>
      </c>
      <c r="R5989" s="143">
        <v>42992</v>
      </c>
      <c r="S5989" s="47"/>
      <c r="T5989" s="6">
        <v>15479.45</v>
      </c>
      <c r="U5989" s="6"/>
      <c r="V5989" s="6">
        <v>0</v>
      </c>
      <c r="W5989" s="6">
        <f t="shared" si="927"/>
        <v>15479.45</v>
      </c>
      <c r="X5989" s="6">
        <f t="shared" si="928"/>
        <v>0</v>
      </c>
      <c r="Y5989" s="13">
        <f t="shared" si="932"/>
        <v>0</v>
      </c>
      <c r="Z5989" s="14">
        <v>0</v>
      </c>
      <c r="AA5989" s="6">
        <v>0</v>
      </c>
      <c r="AB5989" s="4">
        <f t="shared" si="933"/>
        <v>0</v>
      </c>
      <c r="AC5989" s="6">
        <f t="shared" si="931"/>
        <v>0</v>
      </c>
      <c r="AD5989" s="6">
        <f t="shared" si="929"/>
        <v>0</v>
      </c>
      <c r="AE5989" s="14">
        <f>VLOOKUP(I5989,[2]媒体政策预估表!A:N,MATCH(O5989,[2]媒体政策预估表!$A$2:$M$2,0),0)</f>
        <v>0.10299999999999999</v>
      </c>
      <c r="AF5989" s="6">
        <f t="shared" si="935"/>
        <v>0</v>
      </c>
      <c r="AG5989" s="14">
        <v>0</v>
      </c>
      <c r="AH5989" s="99">
        <f t="shared" si="930"/>
        <v>0</v>
      </c>
      <c r="AI5989" s="47"/>
      <c r="AJ5989" s="126" t="e">
        <v>#N/A</v>
      </c>
      <c r="AK5989" s="80">
        <f t="shared" si="934"/>
        <v>0</v>
      </c>
      <c r="AL5989" s="85"/>
      <c r="AM5989" s="85"/>
    </row>
    <row r="5990" spans="1:39" s="86" customFormat="1" ht="13.25" hidden="1" customHeight="1" x14ac:dyDescent="0.3">
      <c r="A5990" s="89" t="s">
        <v>3794</v>
      </c>
      <c r="B5990" s="86" t="s">
        <v>35</v>
      </c>
      <c r="C5990" s="86" t="s">
        <v>164</v>
      </c>
      <c r="D5990" s="86" t="s">
        <v>174</v>
      </c>
      <c r="E5990" s="86" t="s">
        <v>1966</v>
      </c>
      <c r="F5990" s="86" t="s">
        <v>1966</v>
      </c>
      <c r="G5990" s="86" t="s">
        <v>1966</v>
      </c>
      <c r="H5990" s="143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3017</v>
      </c>
      <c r="O5990" s="47" t="s">
        <v>45</v>
      </c>
      <c r="P5990" s="14" t="s">
        <v>41</v>
      </c>
      <c r="Q5990" s="14">
        <v>0</v>
      </c>
      <c r="R5990" s="143">
        <v>215472</v>
      </c>
      <c r="S5990" s="47"/>
      <c r="T5990" s="6">
        <v>371992.43</v>
      </c>
      <c r="U5990" s="6"/>
      <c r="V5990" s="6">
        <v>0</v>
      </c>
      <c r="W5990" s="6">
        <f t="shared" si="927"/>
        <v>371992.43</v>
      </c>
      <c r="X5990" s="6">
        <f t="shared" si="928"/>
        <v>0</v>
      </c>
      <c r="Y5990" s="13">
        <f t="shared" si="932"/>
        <v>0</v>
      </c>
      <c r="Z5990" s="14">
        <v>0</v>
      </c>
      <c r="AA5990" s="6">
        <v>0</v>
      </c>
      <c r="AB5990" s="4">
        <f t="shared" si="933"/>
        <v>0</v>
      </c>
      <c r="AC5990" s="6">
        <f t="shared" si="931"/>
        <v>0</v>
      </c>
      <c r="AD5990" s="6">
        <f t="shared" si="929"/>
        <v>0</v>
      </c>
      <c r="AE5990" s="14">
        <f>VLOOKUP(I5990,[2]媒体政策预估表!A:N,MATCH(O5990,[2]媒体政策预估表!$A$2:$M$2,0),0)</f>
        <v>0.223</v>
      </c>
      <c r="AF5990" s="6">
        <f t="shared" si="935"/>
        <v>0</v>
      </c>
      <c r="AG5990" s="14">
        <v>0</v>
      </c>
      <c r="AH5990" s="99">
        <f t="shared" si="930"/>
        <v>0</v>
      </c>
      <c r="AI5990" s="47"/>
      <c r="AJ5990" s="126" t="e">
        <v>#N/A</v>
      </c>
      <c r="AK5990" s="80">
        <f t="shared" si="934"/>
        <v>0</v>
      </c>
      <c r="AL5990" s="85"/>
      <c r="AM5990" s="85"/>
    </row>
    <row r="5991" spans="1:39" s="86" customFormat="1" ht="13.25" hidden="1" customHeight="1" x14ac:dyDescent="0.3">
      <c r="A5991" s="89" t="s">
        <v>3794</v>
      </c>
      <c r="B5991" s="86" t="s">
        <v>35</v>
      </c>
      <c r="C5991" s="86" t="s">
        <v>59</v>
      </c>
      <c r="D5991" s="86" t="s">
        <v>60</v>
      </c>
      <c r="E5991" s="86" t="s">
        <v>3057</v>
      </c>
      <c r="F5991" s="86" t="s">
        <v>3057</v>
      </c>
      <c r="G5991" s="86" t="s">
        <v>3057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3057</v>
      </c>
      <c r="O5991" s="47" t="s">
        <v>410</v>
      </c>
      <c r="P5991" s="14" t="s">
        <v>41</v>
      </c>
      <c r="Q5991" s="14">
        <v>0</v>
      </c>
      <c r="R5991" s="143">
        <v>96962</v>
      </c>
      <c r="S5991" s="47"/>
      <c r="T5991" s="6">
        <v>4327.5400000000018</v>
      </c>
      <c r="U5991" s="6"/>
      <c r="V5991" s="6">
        <v>22</v>
      </c>
      <c r="W5991" s="6">
        <f t="shared" si="927"/>
        <v>4305.5400000000018</v>
      </c>
      <c r="X5991" s="6">
        <f t="shared" si="928"/>
        <v>22</v>
      </c>
      <c r="Y5991" s="13">
        <f t="shared" si="932"/>
        <v>0</v>
      </c>
      <c r="Z5991" s="14">
        <v>0</v>
      </c>
      <c r="AA5991" s="6">
        <v>0</v>
      </c>
      <c r="AB5991" s="4">
        <f t="shared" si="933"/>
        <v>22</v>
      </c>
      <c r="AC5991" s="6">
        <f t="shared" si="931"/>
        <v>0</v>
      </c>
      <c r="AD5991" s="6">
        <f t="shared" si="929"/>
        <v>22</v>
      </c>
      <c r="AE5991" s="14">
        <f>VLOOKUP(I5991,[2]媒体政策预估表!A:N,MATCH(O5991,[2]媒体政策预估表!$A$2:$M$2,0),0)</f>
        <v>0.10299999999999999</v>
      </c>
      <c r="AF5991" s="6">
        <f t="shared" si="935"/>
        <v>2.266</v>
      </c>
      <c r="AG5991" s="14">
        <v>0</v>
      </c>
      <c r="AH5991" s="99">
        <f t="shared" si="930"/>
        <v>22</v>
      </c>
      <c r="AI5991" s="47"/>
      <c r="AJ5991" s="126" t="e">
        <v>#N/A</v>
      </c>
      <c r="AK5991" s="80">
        <f t="shared" si="934"/>
        <v>0</v>
      </c>
      <c r="AL5991" s="85"/>
      <c r="AM5991" s="85"/>
    </row>
    <row r="5992" spans="1:39" s="86" customFormat="1" ht="13.25" hidden="1" customHeight="1" x14ac:dyDescent="0.3">
      <c r="A5992" s="89" t="s">
        <v>3792</v>
      </c>
      <c r="B5992" s="86" t="s">
        <v>35</v>
      </c>
      <c r="C5992" s="86" t="s">
        <v>59</v>
      </c>
      <c r="D5992" s="86" t="s">
        <v>60</v>
      </c>
      <c r="E5992" s="86" t="s">
        <v>421</v>
      </c>
      <c r="F5992" s="86" t="s">
        <v>422</v>
      </c>
      <c r="G5992" s="86" t="s">
        <v>421</v>
      </c>
      <c r="H5992" s="143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3058</v>
      </c>
      <c r="O5992" s="47" t="s">
        <v>410</v>
      </c>
      <c r="P5992" s="14" t="s">
        <v>46</v>
      </c>
      <c r="Q5992" s="14">
        <v>0.02</v>
      </c>
      <c r="R5992" s="143">
        <v>8555</v>
      </c>
      <c r="S5992" s="47"/>
      <c r="T5992" s="6">
        <v>3000</v>
      </c>
      <c r="U5992" s="6"/>
      <c r="V5992" s="6">
        <v>0</v>
      </c>
      <c r="W5992" s="6">
        <f t="shared" si="927"/>
        <v>3000</v>
      </c>
      <c r="X5992" s="6">
        <f t="shared" si="928"/>
        <v>0</v>
      </c>
      <c r="Y5992" s="13">
        <f t="shared" si="932"/>
        <v>0</v>
      </c>
      <c r="Z5992" s="14">
        <v>0</v>
      </c>
      <c r="AA5992" s="6">
        <v>0</v>
      </c>
      <c r="AB5992" s="4">
        <f t="shared" si="933"/>
        <v>0</v>
      </c>
      <c r="AC5992" s="6">
        <f t="shared" si="931"/>
        <v>0</v>
      </c>
      <c r="AD5992" s="6">
        <f t="shared" si="929"/>
        <v>0</v>
      </c>
      <c r="AE5992" s="14">
        <f>VLOOKUP(I5992,[2]媒体政策预估表!A:N,MATCH(O5992,[2]媒体政策预估表!$A$2:$M$2,0),0)</f>
        <v>0.10299999999999999</v>
      </c>
      <c r="AF5992" s="6">
        <f t="shared" si="935"/>
        <v>0</v>
      </c>
      <c r="AG5992" s="14">
        <v>0</v>
      </c>
      <c r="AH5992" s="99">
        <f t="shared" si="930"/>
        <v>0</v>
      </c>
      <c r="AI5992" s="47"/>
      <c r="AJ5992" s="126" t="e">
        <v>#N/A</v>
      </c>
      <c r="AK5992" s="80">
        <f t="shared" si="934"/>
        <v>0</v>
      </c>
      <c r="AL5992" s="85"/>
      <c r="AM5992" s="85"/>
    </row>
    <row r="5993" spans="1:39" s="86" customFormat="1" ht="13.25" hidden="1" customHeight="1" x14ac:dyDescent="0.3">
      <c r="A5993" s="89" t="s">
        <v>3792</v>
      </c>
      <c r="B5993" s="86" t="s">
        <v>35</v>
      </c>
      <c r="C5993" s="86" t="s">
        <v>184</v>
      </c>
      <c r="D5993" s="86" t="s">
        <v>3849</v>
      </c>
      <c r="E5993" s="86" t="s">
        <v>3059</v>
      </c>
      <c r="F5993" s="86" t="s">
        <v>3059</v>
      </c>
      <c r="G5993" s="86" t="s">
        <v>3059</v>
      </c>
      <c r="H5993" s="143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3059</v>
      </c>
      <c r="O5993" s="47" t="s">
        <v>410</v>
      </c>
      <c r="P5993" s="14" t="s">
        <v>41</v>
      </c>
      <c r="Q5993" s="14">
        <v>0</v>
      </c>
      <c r="R5993" s="143">
        <v>55682</v>
      </c>
      <c r="S5993" s="47"/>
      <c r="T5993" s="6">
        <v>75415.339999999982</v>
      </c>
      <c r="U5993" s="6"/>
      <c r="V5993" s="6">
        <v>0</v>
      </c>
      <c r="W5993" s="6">
        <f t="shared" ref="W5993:W6056" si="936">T5993+U5993-V5993</f>
        <v>75415.339999999982</v>
      </c>
      <c r="X5993" s="6">
        <f t="shared" ref="X5993:X6056" si="937">IF(P5993="折扣",V5993*Q5993,IF(P5993="返现",V5993,V5993/(1+Q5993)))</f>
        <v>0</v>
      </c>
      <c r="Y5993" s="13">
        <f t="shared" si="932"/>
        <v>0</v>
      </c>
      <c r="Z5993" s="14">
        <v>0</v>
      </c>
      <c r="AA5993" s="6">
        <v>0</v>
      </c>
      <c r="AB5993" s="4">
        <f t="shared" si="933"/>
        <v>0</v>
      </c>
      <c r="AC5993" s="6">
        <f t="shared" si="931"/>
        <v>0</v>
      </c>
      <c r="AD5993" s="6">
        <f t="shared" ref="AD5993:AD6056" si="938">V5993</f>
        <v>0</v>
      </c>
      <c r="AE5993" s="14">
        <f>VLOOKUP(I5993,[2]媒体政策预估表!A:N,MATCH(O5993,[2]媒体政策预估表!$A$2:$M$2,0),0)</f>
        <v>0.10299999999999999</v>
      </c>
      <c r="AF5993" s="6">
        <f t="shared" si="935"/>
        <v>0</v>
      </c>
      <c r="AG5993" s="14">
        <v>0</v>
      </c>
      <c r="AH5993" s="99">
        <f t="shared" ref="AH5993:AH6056" si="939">V5993</f>
        <v>0</v>
      </c>
      <c r="AI5993" s="47"/>
      <c r="AJ5993" s="126" t="e">
        <v>#N/A</v>
      </c>
      <c r="AK5993" s="80">
        <f t="shared" si="934"/>
        <v>0</v>
      </c>
      <c r="AL5993" s="85"/>
      <c r="AM5993" s="85"/>
    </row>
    <row r="5994" spans="1:39" s="86" customFormat="1" ht="13.25" hidden="1" customHeight="1" x14ac:dyDescent="0.3">
      <c r="A5994" s="89" t="s">
        <v>3794</v>
      </c>
      <c r="B5994" s="86" t="s">
        <v>35</v>
      </c>
      <c r="C5994" s="86" t="s">
        <v>164</v>
      </c>
      <c r="D5994" s="86" t="s">
        <v>174</v>
      </c>
      <c r="E5994" s="86" t="s">
        <v>3053</v>
      </c>
      <c r="F5994" s="86" t="s">
        <v>3053</v>
      </c>
      <c r="G5994" s="86" t="s">
        <v>3053</v>
      </c>
      <c r="H5994" s="143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3053</v>
      </c>
      <c r="O5994" s="47" t="s">
        <v>410</v>
      </c>
      <c r="P5994" s="14" t="s">
        <v>46</v>
      </c>
      <c r="Q5994" s="14">
        <v>0.02</v>
      </c>
      <c r="R5994" s="143">
        <v>133822</v>
      </c>
      <c r="S5994" s="47"/>
      <c r="T5994" s="6">
        <v>1297.6300000000019</v>
      </c>
      <c r="U5994" s="6"/>
      <c r="V5994" s="6">
        <v>0</v>
      </c>
      <c r="W5994" s="6">
        <f t="shared" si="936"/>
        <v>1297.6300000000019</v>
      </c>
      <c r="X5994" s="6">
        <f t="shared" si="937"/>
        <v>0</v>
      </c>
      <c r="Y5994" s="13">
        <f t="shared" si="932"/>
        <v>0</v>
      </c>
      <c r="Z5994" s="14">
        <v>0</v>
      </c>
      <c r="AA5994" s="6">
        <v>0</v>
      </c>
      <c r="AB5994" s="4">
        <f t="shared" si="933"/>
        <v>0</v>
      </c>
      <c r="AC5994" s="6">
        <f t="shared" si="931"/>
        <v>0</v>
      </c>
      <c r="AD5994" s="6">
        <f t="shared" si="938"/>
        <v>0</v>
      </c>
      <c r="AE5994" s="14">
        <f>VLOOKUP(I5994,[2]媒体政策预估表!A:N,MATCH(O5994,[2]媒体政策预估表!$A$2:$M$2,0),0)</f>
        <v>0.10299999999999999</v>
      </c>
      <c r="AF5994" s="6">
        <f t="shared" si="935"/>
        <v>0</v>
      </c>
      <c r="AG5994" s="14">
        <v>0</v>
      </c>
      <c r="AH5994" s="99">
        <f t="shared" si="939"/>
        <v>0</v>
      </c>
      <c r="AI5994" s="47"/>
      <c r="AJ5994" s="126" t="e">
        <v>#N/A</v>
      </c>
      <c r="AK5994" s="80">
        <f t="shared" si="934"/>
        <v>0</v>
      </c>
      <c r="AL5994" s="85"/>
      <c r="AM5994" s="85"/>
    </row>
    <row r="5995" spans="1:39" s="86" customFormat="1" ht="13.25" hidden="1" customHeight="1" x14ac:dyDescent="0.3">
      <c r="A5995" s="89" t="s">
        <v>3794</v>
      </c>
      <c r="B5995" s="86" t="s">
        <v>35</v>
      </c>
      <c r="C5995" s="86" t="s">
        <v>164</v>
      </c>
      <c r="D5995" s="86" t="s">
        <v>174</v>
      </c>
      <c r="E5995" s="86" t="s">
        <v>3060</v>
      </c>
      <c r="F5995" s="86" t="s">
        <v>3060</v>
      </c>
      <c r="G5995" s="86" t="s">
        <v>3060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3060</v>
      </c>
      <c r="O5995" s="47" t="s">
        <v>410</v>
      </c>
      <c r="P5995" s="14" t="s">
        <v>46</v>
      </c>
      <c r="Q5995" s="14">
        <v>0.04</v>
      </c>
      <c r="R5995" s="143">
        <v>237162</v>
      </c>
      <c r="S5995" s="47"/>
      <c r="T5995" s="6">
        <v>3711.48</v>
      </c>
      <c r="U5995" s="6"/>
      <c r="V5995" s="6">
        <v>0</v>
      </c>
      <c r="W5995" s="6">
        <f t="shared" si="936"/>
        <v>3711.48</v>
      </c>
      <c r="X5995" s="6">
        <f t="shared" si="937"/>
        <v>0</v>
      </c>
      <c r="Y5995" s="13">
        <f t="shared" si="932"/>
        <v>0</v>
      </c>
      <c r="Z5995" s="14">
        <v>0</v>
      </c>
      <c r="AA5995" s="6">
        <v>0</v>
      </c>
      <c r="AB5995" s="4">
        <f t="shared" si="933"/>
        <v>0</v>
      </c>
      <c r="AC5995" s="6">
        <f t="shared" si="931"/>
        <v>0</v>
      </c>
      <c r="AD5995" s="6">
        <f t="shared" si="938"/>
        <v>0</v>
      </c>
      <c r="AE5995" s="14">
        <f>VLOOKUP(I5995,[2]媒体政策预估表!A:N,MATCH(O5995,[2]媒体政策预估表!$A$2:$M$2,0),0)</f>
        <v>0.10299999999999999</v>
      </c>
      <c r="AF5995" s="6">
        <f t="shared" si="935"/>
        <v>0</v>
      </c>
      <c r="AG5995" s="14">
        <v>0</v>
      </c>
      <c r="AH5995" s="99">
        <f t="shared" si="939"/>
        <v>0</v>
      </c>
      <c r="AI5995" s="47"/>
      <c r="AJ5995" s="126" t="e">
        <v>#N/A</v>
      </c>
      <c r="AK5995" s="80">
        <f t="shared" si="934"/>
        <v>0</v>
      </c>
      <c r="AL5995" s="85"/>
      <c r="AM5995" s="85"/>
    </row>
    <row r="5996" spans="1:39" s="86" customFormat="1" ht="13.25" hidden="1" customHeight="1" x14ac:dyDescent="0.3">
      <c r="A5996" s="89" t="s">
        <v>3794</v>
      </c>
      <c r="B5996" s="86" t="s">
        <v>35</v>
      </c>
      <c r="C5996" s="86" t="s">
        <v>184</v>
      </c>
      <c r="D5996" s="86" t="s">
        <v>224</v>
      </c>
      <c r="E5996" s="86" t="s">
        <v>1852</v>
      </c>
      <c r="F5996" s="86" t="s">
        <v>1852</v>
      </c>
      <c r="G5996" s="86" t="s">
        <v>1852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1852</v>
      </c>
      <c r="O5996" s="47" t="s">
        <v>410</v>
      </c>
      <c r="P5996" s="14" t="s">
        <v>46</v>
      </c>
      <c r="Q5996" s="14">
        <v>0.03</v>
      </c>
      <c r="R5996" s="143">
        <v>42432</v>
      </c>
      <c r="S5996" s="47"/>
      <c r="T5996" s="6">
        <v>100990.47999999998</v>
      </c>
      <c r="U5996" s="6"/>
      <c r="V5996" s="6">
        <v>0</v>
      </c>
      <c r="W5996" s="6">
        <f t="shared" si="936"/>
        <v>100990.47999999998</v>
      </c>
      <c r="X5996" s="6">
        <f t="shared" si="937"/>
        <v>0</v>
      </c>
      <c r="Y5996" s="13">
        <f t="shared" si="932"/>
        <v>0</v>
      </c>
      <c r="Z5996" s="14">
        <v>0</v>
      </c>
      <c r="AA5996" s="6">
        <v>0</v>
      </c>
      <c r="AB5996" s="4">
        <f t="shared" si="933"/>
        <v>0</v>
      </c>
      <c r="AC5996" s="6">
        <f t="shared" si="931"/>
        <v>0</v>
      </c>
      <c r="AD5996" s="6">
        <f t="shared" si="938"/>
        <v>0</v>
      </c>
      <c r="AE5996" s="14">
        <f>VLOOKUP(I5996,[2]媒体政策预估表!A:N,MATCH(O5996,[2]媒体政策预估表!$A$2:$M$2,0),0)</f>
        <v>0.10299999999999999</v>
      </c>
      <c r="AF5996" s="6">
        <f t="shared" si="935"/>
        <v>0</v>
      </c>
      <c r="AG5996" s="14">
        <v>0</v>
      </c>
      <c r="AH5996" s="99">
        <f t="shared" si="939"/>
        <v>0</v>
      </c>
      <c r="AI5996" s="47"/>
      <c r="AJ5996" s="126" t="e">
        <v>#N/A</v>
      </c>
      <c r="AK5996" s="80">
        <f t="shared" si="934"/>
        <v>0</v>
      </c>
      <c r="AL5996" s="85"/>
      <c r="AM5996" s="85"/>
    </row>
    <row r="5997" spans="1:39" s="86" customFormat="1" ht="13.25" hidden="1" customHeight="1" x14ac:dyDescent="0.3">
      <c r="A5997" s="89" t="s">
        <v>3794</v>
      </c>
      <c r="B5997" s="86" t="s">
        <v>35</v>
      </c>
      <c r="C5997" s="86" t="s">
        <v>65</v>
      </c>
      <c r="D5997" s="86" t="s">
        <v>66</v>
      </c>
      <c r="E5997" s="86" t="s">
        <v>3062</v>
      </c>
      <c r="F5997" s="86" t="s">
        <v>3062</v>
      </c>
      <c r="G5997" s="86" t="s">
        <v>3062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3063</v>
      </c>
      <c r="O5997" s="47" t="s">
        <v>410</v>
      </c>
      <c r="P5997" s="14" t="s">
        <v>41</v>
      </c>
      <c r="Q5997" s="14">
        <v>0</v>
      </c>
      <c r="R5997" s="143">
        <v>552</v>
      </c>
      <c r="S5997" s="47"/>
      <c r="T5997" s="6">
        <v>9071.89</v>
      </c>
      <c r="U5997" s="6"/>
      <c r="V5997" s="6">
        <v>0</v>
      </c>
      <c r="W5997" s="6">
        <f t="shared" si="936"/>
        <v>9071.89</v>
      </c>
      <c r="X5997" s="6">
        <f t="shared" si="937"/>
        <v>0</v>
      </c>
      <c r="Y5997" s="13">
        <f t="shared" si="932"/>
        <v>0</v>
      </c>
      <c r="Z5997" s="14">
        <v>0</v>
      </c>
      <c r="AA5997" s="6">
        <v>0</v>
      </c>
      <c r="AB5997" s="4">
        <f t="shared" si="933"/>
        <v>0</v>
      </c>
      <c r="AC5997" s="6">
        <f t="shared" si="931"/>
        <v>0</v>
      </c>
      <c r="AD5997" s="6">
        <f t="shared" si="938"/>
        <v>0</v>
      </c>
      <c r="AE5997" s="14">
        <f>VLOOKUP(I5997,[2]媒体政策预估表!A:N,MATCH(O5997,[2]媒体政策预估表!$A$2:$M$2,0),0)</f>
        <v>0.10299999999999999</v>
      </c>
      <c r="AF5997" s="6">
        <f t="shared" si="935"/>
        <v>0</v>
      </c>
      <c r="AG5997" s="14">
        <v>0</v>
      </c>
      <c r="AH5997" s="99">
        <f t="shared" si="939"/>
        <v>0</v>
      </c>
      <c r="AI5997" s="47"/>
      <c r="AJ5997" s="126" t="e">
        <v>#N/A</v>
      </c>
      <c r="AK5997" s="80">
        <f t="shared" si="934"/>
        <v>0</v>
      </c>
      <c r="AL5997" s="85"/>
      <c r="AM5997" s="85"/>
    </row>
    <row r="5998" spans="1:39" s="86" customFormat="1" ht="13.25" hidden="1" customHeight="1" x14ac:dyDescent="0.3">
      <c r="A5998" s="89" t="s">
        <v>3794</v>
      </c>
      <c r="B5998" s="86" t="s">
        <v>35</v>
      </c>
      <c r="C5998" s="86" t="s">
        <v>59</v>
      </c>
      <c r="D5998" s="86" t="s">
        <v>60</v>
      </c>
      <c r="E5998" s="86" t="s">
        <v>906</v>
      </c>
      <c r="F5998" s="86" t="s">
        <v>3064</v>
      </c>
      <c r="G5998" s="86" t="s">
        <v>906</v>
      </c>
      <c r="H5998" s="143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3065</v>
      </c>
      <c r="O5998" s="47" t="s">
        <v>410</v>
      </c>
      <c r="P5998" s="14" t="s">
        <v>46</v>
      </c>
      <c r="Q5998" s="14">
        <v>0.02</v>
      </c>
      <c r="R5998" s="143">
        <v>9986</v>
      </c>
      <c r="S5998" s="47"/>
      <c r="T5998" s="6">
        <v>42453.239999999983</v>
      </c>
      <c r="U5998" s="6"/>
      <c r="V5998" s="6">
        <v>0</v>
      </c>
      <c r="W5998" s="6">
        <f t="shared" si="936"/>
        <v>42453.239999999983</v>
      </c>
      <c r="X5998" s="6">
        <f t="shared" si="937"/>
        <v>0</v>
      </c>
      <c r="Y5998" s="13">
        <f t="shared" si="932"/>
        <v>0</v>
      </c>
      <c r="Z5998" s="14">
        <v>0</v>
      </c>
      <c r="AA5998" s="6">
        <v>0</v>
      </c>
      <c r="AB5998" s="4">
        <f t="shared" si="933"/>
        <v>0</v>
      </c>
      <c r="AC5998" s="6">
        <f t="shared" si="931"/>
        <v>0</v>
      </c>
      <c r="AD5998" s="6">
        <f t="shared" si="938"/>
        <v>0</v>
      </c>
      <c r="AE5998" s="14">
        <f>VLOOKUP(I5998,[2]媒体政策预估表!A:N,MATCH(O5998,[2]媒体政策预估表!$A$2:$M$2,0),0)</f>
        <v>0.10299999999999999</v>
      </c>
      <c r="AF5998" s="6">
        <f t="shared" si="935"/>
        <v>0</v>
      </c>
      <c r="AG5998" s="14">
        <v>0</v>
      </c>
      <c r="AH5998" s="99">
        <f t="shared" si="939"/>
        <v>0</v>
      </c>
      <c r="AI5998" s="47"/>
      <c r="AJ5998" s="126" t="e">
        <v>#N/A</v>
      </c>
      <c r="AK5998" s="80">
        <f t="shared" si="934"/>
        <v>0</v>
      </c>
      <c r="AL5998" s="85"/>
      <c r="AM5998" s="85"/>
    </row>
    <row r="5999" spans="1:39" s="86" customFormat="1" ht="13.25" hidden="1" customHeight="1" x14ac:dyDescent="0.3">
      <c r="A5999" s="89" t="s">
        <v>3794</v>
      </c>
      <c r="B5999" s="86" t="s">
        <v>35</v>
      </c>
      <c r="C5999" s="86" t="s">
        <v>65</v>
      </c>
      <c r="D5999" s="86" t="s">
        <v>66</v>
      </c>
      <c r="E5999" s="86" t="s">
        <v>233</v>
      </c>
      <c r="F5999" s="86" t="s">
        <v>233</v>
      </c>
      <c r="G5999" s="86" t="s">
        <v>233</v>
      </c>
      <c r="H5999" s="143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3066</v>
      </c>
      <c r="O5999" s="47" t="s">
        <v>410</v>
      </c>
      <c r="P5999" s="14" t="s">
        <v>46</v>
      </c>
      <c r="Q5999" s="14">
        <v>0.02</v>
      </c>
      <c r="R5999" s="143">
        <v>138972</v>
      </c>
      <c r="S5999" s="47"/>
      <c r="T5999" s="6">
        <v>43378.239999999998</v>
      </c>
      <c r="U5999" s="6"/>
      <c r="V5999" s="6">
        <v>0</v>
      </c>
      <c r="W5999" s="6">
        <f t="shared" si="936"/>
        <v>43378.239999999998</v>
      </c>
      <c r="X5999" s="6">
        <f t="shared" si="937"/>
        <v>0</v>
      </c>
      <c r="Y5999" s="13">
        <f t="shared" si="932"/>
        <v>0</v>
      </c>
      <c r="Z5999" s="14">
        <v>0</v>
      </c>
      <c r="AA5999" s="6">
        <v>0</v>
      </c>
      <c r="AB5999" s="4">
        <f t="shared" si="933"/>
        <v>0</v>
      </c>
      <c r="AC5999" s="6">
        <f t="shared" si="931"/>
        <v>0</v>
      </c>
      <c r="AD5999" s="6">
        <f t="shared" si="938"/>
        <v>0</v>
      </c>
      <c r="AE5999" s="14">
        <f>VLOOKUP(I5999,[2]媒体政策预估表!A:N,MATCH(O5999,[2]媒体政策预估表!$A$2:$M$2,0),0)</f>
        <v>0.10299999999999999</v>
      </c>
      <c r="AF5999" s="6">
        <f t="shared" si="935"/>
        <v>0</v>
      </c>
      <c r="AG5999" s="14">
        <v>0</v>
      </c>
      <c r="AH5999" s="99">
        <f t="shared" si="939"/>
        <v>0</v>
      </c>
      <c r="AI5999" s="47"/>
      <c r="AJ5999" s="126" t="e">
        <v>#N/A</v>
      </c>
      <c r="AK5999" s="80">
        <f t="shared" si="934"/>
        <v>0</v>
      </c>
      <c r="AL5999" s="85"/>
      <c r="AM5999" s="85"/>
    </row>
    <row r="6000" spans="1:39" s="86" customFormat="1" ht="13.25" hidden="1" customHeight="1" x14ac:dyDescent="0.3">
      <c r="A6000" s="89" t="s">
        <v>3792</v>
      </c>
      <c r="B6000" s="86" t="s">
        <v>35</v>
      </c>
      <c r="C6000" s="86" t="s">
        <v>144</v>
      </c>
      <c r="D6000" s="86" t="s">
        <v>145</v>
      </c>
      <c r="E6000" s="86" t="s">
        <v>3068</v>
      </c>
      <c r="F6000" s="86" t="s">
        <v>3068</v>
      </c>
      <c r="G6000" s="86" t="s">
        <v>3068</v>
      </c>
      <c r="H6000" s="143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3068</v>
      </c>
      <c r="O6000" s="47" t="s">
        <v>410</v>
      </c>
      <c r="P6000" s="14" t="s">
        <v>41</v>
      </c>
      <c r="Q6000" s="14">
        <v>0</v>
      </c>
      <c r="R6000" s="143">
        <v>85162</v>
      </c>
      <c r="S6000" s="47"/>
      <c r="T6000" s="6">
        <v>18.449999999999818</v>
      </c>
      <c r="U6000" s="6"/>
      <c r="V6000" s="6">
        <v>0</v>
      </c>
      <c r="W6000" s="6">
        <f t="shared" si="936"/>
        <v>18.449999999999818</v>
      </c>
      <c r="X6000" s="6">
        <f t="shared" si="937"/>
        <v>0</v>
      </c>
      <c r="Y6000" s="13">
        <f t="shared" si="932"/>
        <v>0</v>
      </c>
      <c r="Z6000" s="14">
        <v>0</v>
      </c>
      <c r="AA6000" s="6">
        <v>0</v>
      </c>
      <c r="AB6000" s="4">
        <f t="shared" si="933"/>
        <v>0</v>
      </c>
      <c r="AC6000" s="6">
        <f t="shared" si="931"/>
        <v>0</v>
      </c>
      <c r="AD6000" s="6">
        <f t="shared" si="938"/>
        <v>0</v>
      </c>
      <c r="AE6000" s="14">
        <f>VLOOKUP(I6000,[2]媒体政策预估表!A:N,MATCH(O6000,[2]媒体政策预估表!$A$2:$M$2,0),0)</f>
        <v>0.10299999999999999</v>
      </c>
      <c r="AF6000" s="6">
        <f t="shared" si="935"/>
        <v>0</v>
      </c>
      <c r="AG6000" s="14">
        <v>0</v>
      </c>
      <c r="AH6000" s="99">
        <f t="shared" si="939"/>
        <v>0</v>
      </c>
      <c r="AI6000" s="47"/>
      <c r="AJ6000" s="126" t="e">
        <v>#N/A</v>
      </c>
      <c r="AK6000" s="80">
        <f t="shared" si="934"/>
        <v>0</v>
      </c>
      <c r="AL6000" s="85"/>
      <c r="AM6000" s="85"/>
    </row>
    <row r="6001" spans="1:39" s="86" customFormat="1" ht="13.25" hidden="1" customHeight="1" x14ac:dyDescent="0.3">
      <c r="A6001" s="89" t="s">
        <v>3792</v>
      </c>
      <c r="B6001" s="86" t="s">
        <v>35</v>
      </c>
      <c r="C6001" s="86" t="s">
        <v>36</v>
      </c>
      <c r="D6001" s="86" t="s">
        <v>185</v>
      </c>
      <c r="E6001" s="86" t="s">
        <v>2957</v>
      </c>
      <c r="F6001" s="86" t="s">
        <v>2957</v>
      </c>
      <c r="G6001" s="86" t="s">
        <v>2957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2959</v>
      </c>
      <c r="O6001" s="47" t="s">
        <v>45</v>
      </c>
      <c r="P6001" s="14" t="s">
        <v>46</v>
      </c>
      <c r="Q6001" s="14">
        <v>0.05</v>
      </c>
      <c r="R6001" s="143">
        <v>110452</v>
      </c>
      <c r="S6001" s="47"/>
      <c r="T6001" s="6">
        <v>-17443.18</v>
      </c>
      <c r="U6001" s="6"/>
      <c r="V6001" s="6">
        <v>8018</v>
      </c>
      <c r="W6001" s="6">
        <f t="shared" si="936"/>
        <v>-25461.18</v>
      </c>
      <c r="X6001" s="6">
        <f t="shared" si="937"/>
        <v>7636.1904761904761</v>
      </c>
      <c r="Y6001" s="13">
        <f t="shared" si="932"/>
        <v>0</v>
      </c>
      <c r="Z6001" s="14">
        <v>0</v>
      </c>
      <c r="AA6001" s="6">
        <v>0</v>
      </c>
      <c r="AB6001" s="4">
        <f t="shared" si="933"/>
        <v>7636.1904761904761</v>
      </c>
      <c r="AC6001" s="6">
        <f t="shared" si="931"/>
        <v>381.80952380952385</v>
      </c>
      <c r="AD6001" s="6">
        <f t="shared" si="938"/>
        <v>8018</v>
      </c>
      <c r="AE6001" s="14">
        <f>VLOOKUP(I6001,[2]媒体政策预估表!A:N,MATCH(O6001,[2]媒体政策预估表!$A$2:$M$2,0),0)</f>
        <v>0.223</v>
      </c>
      <c r="AF6001" s="6">
        <f t="shared" si="935"/>
        <v>1788.0140000000001</v>
      </c>
      <c r="AG6001" s="14">
        <v>0</v>
      </c>
      <c r="AH6001" s="99">
        <f t="shared" si="939"/>
        <v>8018</v>
      </c>
      <c r="AI6001" s="47"/>
      <c r="AJ6001" s="126" t="e">
        <v>#N/A</v>
      </c>
      <c r="AK6001" s="80">
        <f t="shared" si="934"/>
        <v>0</v>
      </c>
      <c r="AL6001" s="85"/>
      <c r="AM6001" s="85"/>
    </row>
    <row r="6002" spans="1:39" s="86" customFormat="1" ht="13.25" hidden="1" customHeight="1" x14ac:dyDescent="0.3">
      <c r="A6002" s="89" t="s">
        <v>3792</v>
      </c>
      <c r="B6002" s="86" t="s">
        <v>35</v>
      </c>
      <c r="C6002" s="86" t="s">
        <v>36</v>
      </c>
      <c r="D6002" s="86" t="s">
        <v>185</v>
      </c>
      <c r="E6002" s="86" t="s">
        <v>2957</v>
      </c>
      <c r="F6002" s="86" t="s">
        <v>2957</v>
      </c>
      <c r="G6002" s="86" t="s">
        <v>2957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2957</v>
      </c>
      <c r="O6002" s="47" t="s">
        <v>45</v>
      </c>
      <c r="P6002" s="14" t="s">
        <v>46</v>
      </c>
      <c r="Q6002" s="14">
        <v>0.05</v>
      </c>
      <c r="R6002" s="143">
        <v>108552</v>
      </c>
      <c r="S6002" s="47"/>
      <c r="T6002" s="6">
        <v>0</v>
      </c>
      <c r="U6002" s="6"/>
      <c r="V6002" s="6">
        <v>119973.93</v>
      </c>
      <c r="W6002" s="6">
        <f t="shared" si="936"/>
        <v>-119973.93</v>
      </c>
      <c r="X6002" s="6">
        <f t="shared" si="937"/>
        <v>114260.8857142857</v>
      </c>
      <c r="Y6002" s="13">
        <f t="shared" si="932"/>
        <v>0</v>
      </c>
      <c r="Z6002" s="14">
        <v>0</v>
      </c>
      <c r="AA6002" s="6">
        <v>0</v>
      </c>
      <c r="AB6002" s="4">
        <f t="shared" si="933"/>
        <v>114260.8857142857</v>
      </c>
      <c r="AC6002" s="6">
        <f t="shared" si="931"/>
        <v>5713.0442857142916</v>
      </c>
      <c r="AD6002" s="6">
        <f t="shared" si="938"/>
        <v>119973.93</v>
      </c>
      <c r="AE6002" s="14">
        <f>VLOOKUP(I6002,[2]媒体政策预估表!A:N,MATCH(O6002,[2]媒体政策预估表!$A$2:$M$2,0),0)</f>
        <v>0.223</v>
      </c>
      <c r="AF6002" s="6">
        <f t="shared" si="935"/>
        <v>26754.186389999999</v>
      </c>
      <c r="AG6002" s="14">
        <v>0</v>
      </c>
      <c r="AH6002" s="99">
        <f t="shared" si="939"/>
        <v>119973.93</v>
      </c>
      <c r="AI6002" s="47"/>
      <c r="AJ6002" s="126" t="e">
        <v>#N/A</v>
      </c>
      <c r="AK6002" s="80">
        <f t="shared" si="934"/>
        <v>0</v>
      </c>
      <c r="AL6002" s="85"/>
      <c r="AM6002" s="85"/>
    </row>
    <row r="6003" spans="1:39" s="86" customFormat="1" ht="13.25" hidden="1" customHeight="1" x14ac:dyDescent="0.3">
      <c r="A6003" s="89" t="s">
        <v>3792</v>
      </c>
      <c r="B6003" s="86" t="s">
        <v>35</v>
      </c>
      <c r="C6003" s="86" t="s">
        <v>47</v>
      </c>
      <c r="D6003" s="86" t="s">
        <v>48</v>
      </c>
      <c r="E6003" s="86" t="s">
        <v>3077</v>
      </c>
      <c r="F6003" s="86" t="s">
        <v>3077</v>
      </c>
      <c r="G6003" s="86" t="s">
        <v>3077</v>
      </c>
      <c r="H6003" s="143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3077</v>
      </c>
      <c r="O6003" s="47" t="s">
        <v>410</v>
      </c>
      <c r="P6003" s="14" t="s">
        <v>41</v>
      </c>
      <c r="Q6003" s="14">
        <v>0</v>
      </c>
      <c r="R6003" s="143">
        <v>169952</v>
      </c>
      <c r="S6003" s="47"/>
      <c r="T6003" s="6">
        <v>23558.670000000006</v>
      </c>
      <c r="U6003" s="6"/>
      <c r="V6003" s="6">
        <v>0</v>
      </c>
      <c r="W6003" s="6">
        <f t="shared" si="936"/>
        <v>23558.670000000006</v>
      </c>
      <c r="X6003" s="6">
        <f t="shared" si="937"/>
        <v>0</v>
      </c>
      <c r="Y6003" s="13">
        <f t="shared" si="932"/>
        <v>0</v>
      </c>
      <c r="Z6003" s="14">
        <v>0</v>
      </c>
      <c r="AA6003" s="6">
        <v>0</v>
      </c>
      <c r="AB6003" s="4">
        <f t="shared" si="933"/>
        <v>0</v>
      </c>
      <c r="AC6003" s="6">
        <f t="shared" si="931"/>
        <v>0</v>
      </c>
      <c r="AD6003" s="6">
        <f t="shared" si="938"/>
        <v>0</v>
      </c>
      <c r="AE6003" s="14">
        <f>VLOOKUP(I6003,[2]媒体政策预估表!A:N,MATCH(O6003,[2]媒体政策预估表!$A$2:$M$2,0),0)</f>
        <v>0.10299999999999999</v>
      </c>
      <c r="AF6003" s="6">
        <f t="shared" si="935"/>
        <v>0</v>
      </c>
      <c r="AG6003" s="14">
        <v>0</v>
      </c>
      <c r="AH6003" s="99">
        <f t="shared" si="939"/>
        <v>0</v>
      </c>
      <c r="AI6003" s="47"/>
      <c r="AJ6003" s="126" t="e">
        <v>#N/A</v>
      </c>
      <c r="AK6003" s="80">
        <f t="shared" si="934"/>
        <v>0</v>
      </c>
      <c r="AL6003" s="85"/>
      <c r="AM6003" s="85"/>
    </row>
    <row r="6004" spans="1:39" s="86" customFormat="1" ht="13.25" hidden="1" customHeight="1" x14ac:dyDescent="0.3">
      <c r="A6004" s="89" t="s">
        <v>3794</v>
      </c>
      <c r="B6004" s="86" t="s">
        <v>35</v>
      </c>
      <c r="C6004" s="86" t="s">
        <v>3078</v>
      </c>
      <c r="D6004" s="86" t="s">
        <v>3079</v>
      </c>
      <c r="E6004" s="86" t="s">
        <v>3080</v>
      </c>
      <c r="F6004" s="86" t="s">
        <v>3081</v>
      </c>
      <c r="G6004" s="86" t="s">
        <v>3080</v>
      </c>
      <c r="H6004" s="143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3082</v>
      </c>
      <c r="O6004" s="47" t="s">
        <v>410</v>
      </c>
      <c r="P6004" s="14" t="s">
        <v>46</v>
      </c>
      <c r="Q6004" s="14">
        <v>0.05</v>
      </c>
      <c r="R6004" s="143">
        <v>6815</v>
      </c>
      <c r="S6004" s="47"/>
      <c r="T6004" s="6">
        <v>427.65</v>
      </c>
      <c r="U6004" s="6"/>
      <c r="V6004" s="6">
        <v>0</v>
      </c>
      <c r="W6004" s="6">
        <f t="shared" si="936"/>
        <v>427.65</v>
      </c>
      <c r="X6004" s="6">
        <f t="shared" si="937"/>
        <v>0</v>
      </c>
      <c r="Y6004" s="13">
        <f t="shared" si="932"/>
        <v>0</v>
      </c>
      <c r="Z6004" s="14">
        <v>0</v>
      </c>
      <c r="AA6004" s="6">
        <v>0</v>
      </c>
      <c r="AB6004" s="4">
        <f t="shared" si="933"/>
        <v>0</v>
      </c>
      <c r="AC6004" s="6">
        <f t="shared" si="931"/>
        <v>0</v>
      </c>
      <c r="AD6004" s="6">
        <f t="shared" si="938"/>
        <v>0</v>
      </c>
      <c r="AE6004" s="14">
        <f>VLOOKUP(I6004,[2]媒体政策预估表!A:N,MATCH(O6004,[2]媒体政策预估表!$A$2:$M$2,0),0)</f>
        <v>0.10299999999999999</v>
      </c>
      <c r="AF6004" s="6">
        <f t="shared" si="935"/>
        <v>0</v>
      </c>
      <c r="AG6004" s="14">
        <v>0</v>
      </c>
      <c r="AH6004" s="99">
        <f t="shared" si="939"/>
        <v>0</v>
      </c>
      <c r="AI6004" s="47"/>
      <c r="AJ6004" s="126" t="e">
        <v>#N/A</v>
      </c>
      <c r="AK6004" s="80">
        <f t="shared" si="934"/>
        <v>0</v>
      </c>
      <c r="AL6004" s="85"/>
      <c r="AM6004" s="85"/>
    </row>
    <row r="6005" spans="1:39" s="86" customFormat="1" ht="13.25" hidden="1" customHeight="1" x14ac:dyDescent="0.3">
      <c r="A6005" s="89" t="s">
        <v>3794</v>
      </c>
      <c r="B6005" s="86" t="s">
        <v>35</v>
      </c>
      <c r="C6005" s="86" t="s">
        <v>59</v>
      </c>
      <c r="D6005" s="86" t="s">
        <v>60</v>
      </c>
      <c r="E6005" s="86" t="s">
        <v>891</v>
      </c>
      <c r="F6005" s="86" t="s">
        <v>3083</v>
      </c>
      <c r="G6005" s="86" t="s">
        <v>891</v>
      </c>
      <c r="H6005" s="143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3084</v>
      </c>
      <c r="O6005" s="47" t="s">
        <v>410</v>
      </c>
      <c r="P6005" s="14" t="s">
        <v>46</v>
      </c>
      <c r="Q6005" s="14">
        <v>0.02</v>
      </c>
      <c r="R6005" s="143">
        <v>3316</v>
      </c>
      <c r="S6005" s="47"/>
      <c r="T6005" s="6">
        <v>25000</v>
      </c>
      <c r="U6005" s="6"/>
      <c r="V6005" s="6">
        <v>0</v>
      </c>
      <c r="W6005" s="6">
        <f t="shared" si="936"/>
        <v>25000</v>
      </c>
      <c r="X6005" s="6">
        <f t="shared" si="937"/>
        <v>0</v>
      </c>
      <c r="Y6005" s="13">
        <f t="shared" si="932"/>
        <v>0</v>
      </c>
      <c r="Z6005" s="14">
        <v>0</v>
      </c>
      <c r="AA6005" s="6">
        <v>0</v>
      </c>
      <c r="AB6005" s="4">
        <f t="shared" si="933"/>
        <v>0</v>
      </c>
      <c r="AC6005" s="6">
        <f t="shared" si="931"/>
        <v>0</v>
      </c>
      <c r="AD6005" s="6">
        <f t="shared" si="938"/>
        <v>0</v>
      </c>
      <c r="AE6005" s="14">
        <f>VLOOKUP(I6005,[2]媒体政策预估表!A:N,MATCH(O6005,[2]媒体政策预估表!$A$2:$M$2,0),0)</f>
        <v>0.10299999999999999</v>
      </c>
      <c r="AF6005" s="6">
        <f t="shared" si="935"/>
        <v>0</v>
      </c>
      <c r="AG6005" s="14">
        <v>0</v>
      </c>
      <c r="AH6005" s="99">
        <f t="shared" si="939"/>
        <v>0</v>
      </c>
      <c r="AI6005" s="47"/>
      <c r="AJ6005" s="126" t="e">
        <v>#N/A</v>
      </c>
      <c r="AK6005" s="80">
        <f t="shared" si="934"/>
        <v>0</v>
      </c>
      <c r="AL6005" s="85"/>
      <c r="AM6005" s="85"/>
    </row>
    <row r="6006" spans="1:39" s="86" customFormat="1" ht="13.25" hidden="1" customHeight="1" x14ac:dyDescent="0.3">
      <c r="A6006" s="89" t="s">
        <v>3794</v>
      </c>
      <c r="B6006" s="86" t="s">
        <v>35</v>
      </c>
      <c r="C6006" s="86" t="s">
        <v>59</v>
      </c>
      <c r="D6006" s="86" t="s">
        <v>60</v>
      </c>
      <c r="E6006" s="86" t="s">
        <v>891</v>
      </c>
      <c r="F6006" s="86" t="s">
        <v>3085</v>
      </c>
      <c r="G6006" s="86" t="s">
        <v>891</v>
      </c>
      <c r="H6006" s="143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3084</v>
      </c>
      <c r="O6006" s="47" t="s">
        <v>410</v>
      </c>
      <c r="P6006" s="14" t="s">
        <v>46</v>
      </c>
      <c r="Q6006" s="14">
        <v>7.0000000000000007E-2</v>
      </c>
      <c r="R6006" s="143">
        <v>3316</v>
      </c>
      <c r="S6006" s="47"/>
      <c r="T6006" s="6">
        <v>9500</v>
      </c>
      <c r="U6006" s="6"/>
      <c r="V6006" s="6">
        <v>0</v>
      </c>
      <c r="W6006" s="6">
        <f t="shared" si="936"/>
        <v>9500</v>
      </c>
      <c r="X6006" s="6">
        <f t="shared" si="937"/>
        <v>0</v>
      </c>
      <c r="Y6006" s="13">
        <f t="shared" si="932"/>
        <v>0</v>
      </c>
      <c r="Z6006" s="14">
        <v>0</v>
      </c>
      <c r="AA6006" s="6">
        <v>0</v>
      </c>
      <c r="AB6006" s="4">
        <f t="shared" si="933"/>
        <v>0</v>
      </c>
      <c r="AC6006" s="6">
        <f t="shared" si="931"/>
        <v>0</v>
      </c>
      <c r="AD6006" s="6">
        <f t="shared" si="938"/>
        <v>0</v>
      </c>
      <c r="AE6006" s="14">
        <f>VLOOKUP(I6006,[2]媒体政策预估表!A:N,MATCH(O6006,[2]媒体政策预估表!$A$2:$M$2,0),0)</f>
        <v>0.10299999999999999</v>
      </c>
      <c r="AF6006" s="6">
        <f t="shared" si="935"/>
        <v>0</v>
      </c>
      <c r="AG6006" s="14">
        <v>0</v>
      </c>
      <c r="AH6006" s="99">
        <f t="shared" si="939"/>
        <v>0</v>
      </c>
      <c r="AI6006" s="47"/>
      <c r="AJ6006" s="126" t="e">
        <v>#N/A</v>
      </c>
      <c r="AK6006" s="80">
        <f t="shared" si="934"/>
        <v>0</v>
      </c>
      <c r="AL6006" s="85"/>
      <c r="AM6006" s="85"/>
    </row>
    <row r="6007" spans="1:39" s="86" customFormat="1" ht="13.25" hidden="1" customHeight="1" x14ac:dyDescent="0.3">
      <c r="A6007" s="89" t="s">
        <v>3794</v>
      </c>
      <c r="B6007" s="86" t="s">
        <v>35</v>
      </c>
      <c r="C6007" s="86" t="s">
        <v>59</v>
      </c>
      <c r="D6007" s="86" t="s">
        <v>60</v>
      </c>
      <c r="E6007" s="86" t="s">
        <v>3086</v>
      </c>
      <c r="F6007" s="86" t="s">
        <v>3086</v>
      </c>
      <c r="G6007" s="86" t="s">
        <v>3086</v>
      </c>
      <c r="H6007" s="143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3087</v>
      </c>
      <c r="O6007" s="47" t="s">
        <v>45</v>
      </c>
      <c r="P6007" s="14" t="s">
        <v>46</v>
      </c>
      <c r="Q6007" s="14">
        <v>0.02</v>
      </c>
      <c r="R6007" s="143">
        <v>181292</v>
      </c>
      <c r="S6007" s="47"/>
      <c r="T6007" s="6">
        <v>-1143.1799999999998</v>
      </c>
      <c r="U6007" s="6"/>
      <c r="V6007" s="6">
        <v>0</v>
      </c>
      <c r="W6007" s="6">
        <f t="shared" si="936"/>
        <v>-1143.1799999999998</v>
      </c>
      <c r="X6007" s="6">
        <f t="shared" si="937"/>
        <v>0</v>
      </c>
      <c r="Y6007" s="13">
        <f t="shared" si="932"/>
        <v>0</v>
      </c>
      <c r="Z6007" s="14">
        <v>0</v>
      </c>
      <c r="AA6007" s="6">
        <v>0</v>
      </c>
      <c r="AB6007" s="4">
        <f t="shared" si="933"/>
        <v>0</v>
      </c>
      <c r="AC6007" s="6">
        <f t="shared" si="931"/>
        <v>0</v>
      </c>
      <c r="AD6007" s="6">
        <f t="shared" si="938"/>
        <v>0</v>
      </c>
      <c r="AE6007" s="14">
        <f>VLOOKUP(I6007,[2]媒体政策预估表!A:N,MATCH(O6007,[2]媒体政策预估表!$A$2:$M$2,0),0)</f>
        <v>0.223</v>
      </c>
      <c r="AF6007" s="6">
        <f t="shared" si="935"/>
        <v>0</v>
      </c>
      <c r="AG6007" s="14">
        <v>0</v>
      </c>
      <c r="AH6007" s="99">
        <f t="shared" si="939"/>
        <v>0</v>
      </c>
      <c r="AI6007" s="47"/>
      <c r="AJ6007" s="126" t="e">
        <v>#N/A</v>
      </c>
      <c r="AK6007" s="80">
        <f t="shared" si="934"/>
        <v>0</v>
      </c>
      <c r="AL6007" s="85"/>
      <c r="AM6007" s="85"/>
    </row>
    <row r="6008" spans="1:39" s="86" customFormat="1" ht="13.25" hidden="1" customHeight="1" x14ac:dyDescent="0.3">
      <c r="A6008" s="89" t="s">
        <v>3792</v>
      </c>
      <c r="B6008" s="86" t="s">
        <v>35</v>
      </c>
      <c r="C6008" s="86" t="s">
        <v>59</v>
      </c>
      <c r="D6008" s="86" t="s">
        <v>60</v>
      </c>
      <c r="E6008" s="86" t="s">
        <v>3086</v>
      </c>
      <c r="F6008" s="86" t="s">
        <v>3086</v>
      </c>
      <c r="G6008" s="86" t="s">
        <v>3086</v>
      </c>
      <c r="H6008" s="143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3087</v>
      </c>
      <c r="O6008" s="47" t="s">
        <v>410</v>
      </c>
      <c r="P6008" s="14" t="s">
        <v>46</v>
      </c>
      <c r="Q6008" s="14">
        <v>0.02</v>
      </c>
      <c r="R6008" s="143">
        <v>181292</v>
      </c>
      <c r="S6008" s="47"/>
      <c r="T6008" s="6">
        <v>2808.2299999999996</v>
      </c>
      <c r="U6008" s="6"/>
      <c r="V6008" s="6">
        <v>0</v>
      </c>
      <c r="W6008" s="6">
        <f t="shared" si="936"/>
        <v>2808.2299999999996</v>
      </c>
      <c r="X6008" s="6">
        <f t="shared" si="937"/>
        <v>0</v>
      </c>
      <c r="Y6008" s="13">
        <f t="shared" si="932"/>
        <v>0</v>
      </c>
      <c r="Z6008" s="14">
        <v>0</v>
      </c>
      <c r="AA6008" s="6">
        <v>0</v>
      </c>
      <c r="AB6008" s="4">
        <f t="shared" si="933"/>
        <v>0</v>
      </c>
      <c r="AC6008" s="6">
        <f t="shared" si="931"/>
        <v>0</v>
      </c>
      <c r="AD6008" s="6">
        <f t="shared" si="938"/>
        <v>0</v>
      </c>
      <c r="AE6008" s="14">
        <f>VLOOKUP(I6008,[2]媒体政策预估表!A:N,MATCH(O6008,[2]媒体政策预估表!$A$2:$M$2,0),0)</f>
        <v>0.10299999999999999</v>
      </c>
      <c r="AF6008" s="6">
        <f t="shared" si="935"/>
        <v>0</v>
      </c>
      <c r="AG6008" s="14">
        <v>0</v>
      </c>
      <c r="AH6008" s="99">
        <f t="shared" si="939"/>
        <v>0</v>
      </c>
      <c r="AI6008" s="47"/>
      <c r="AJ6008" s="126" t="e">
        <v>#N/A</v>
      </c>
      <c r="AK6008" s="80">
        <f t="shared" si="934"/>
        <v>0</v>
      </c>
      <c r="AL6008" s="85"/>
      <c r="AM6008" s="85"/>
    </row>
    <row r="6009" spans="1:39" s="86" customFormat="1" ht="13.25" hidden="1" customHeight="1" x14ac:dyDescent="0.3">
      <c r="A6009" s="89" t="s">
        <v>3792</v>
      </c>
      <c r="B6009" s="86" t="s">
        <v>35</v>
      </c>
      <c r="C6009" s="86" t="s">
        <v>59</v>
      </c>
      <c r="D6009" s="86" t="s">
        <v>60</v>
      </c>
      <c r="E6009" s="86" t="s">
        <v>774</v>
      </c>
      <c r="F6009" s="86" t="s">
        <v>774</v>
      </c>
      <c r="G6009" s="86" t="s">
        <v>774</v>
      </c>
      <c r="H6009" s="143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3088</v>
      </c>
      <c r="O6009" s="47" t="s">
        <v>410</v>
      </c>
      <c r="P6009" s="14" t="s">
        <v>46</v>
      </c>
      <c r="Q6009" s="14">
        <v>7.0000000000000007E-2</v>
      </c>
      <c r="R6009" s="143">
        <v>7957</v>
      </c>
      <c r="S6009" s="47"/>
      <c r="T6009" s="6">
        <v>10079.870000000001</v>
      </c>
      <c r="U6009" s="6"/>
      <c r="V6009" s="6">
        <v>0</v>
      </c>
      <c r="W6009" s="6">
        <f t="shared" si="936"/>
        <v>10079.870000000001</v>
      </c>
      <c r="X6009" s="6">
        <f t="shared" si="937"/>
        <v>0</v>
      </c>
      <c r="Y6009" s="13">
        <f t="shared" si="932"/>
        <v>0</v>
      </c>
      <c r="Z6009" s="14">
        <v>0</v>
      </c>
      <c r="AA6009" s="6">
        <v>0</v>
      </c>
      <c r="AB6009" s="4">
        <f t="shared" si="933"/>
        <v>0</v>
      </c>
      <c r="AC6009" s="6">
        <f t="shared" si="931"/>
        <v>0</v>
      </c>
      <c r="AD6009" s="6">
        <f t="shared" si="938"/>
        <v>0</v>
      </c>
      <c r="AE6009" s="14">
        <f>VLOOKUP(I6009,[2]媒体政策预估表!A:N,MATCH(O6009,[2]媒体政策预估表!$A$2:$M$2,0),0)</f>
        <v>0.10299999999999999</v>
      </c>
      <c r="AF6009" s="6">
        <f t="shared" si="935"/>
        <v>0</v>
      </c>
      <c r="AG6009" s="14">
        <v>0</v>
      </c>
      <c r="AH6009" s="99">
        <f t="shared" si="939"/>
        <v>0</v>
      </c>
      <c r="AI6009" s="47"/>
      <c r="AJ6009" s="126" t="e">
        <v>#N/A</v>
      </c>
      <c r="AK6009" s="80">
        <f t="shared" si="934"/>
        <v>0</v>
      </c>
      <c r="AL6009" s="85"/>
      <c r="AM6009" s="85"/>
    </row>
    <row r="6010" spans="1:39" s="86" customFormat="1" ht="13.25" hidden="1" customHeight="1" x14ac:dyDescent="0.3">
      <c r="A6010" s="89" t="s">
        <v>3794</v>
      </c>
      <c r="B6010" s="86" t="s">
        <v>35</v>
      </c>
      <c r="C6010" s="86" t="s">
        <v>59</v>
      </c>
      <c r="D6010" s="86" t="s">
        <v>60</v>
      </c>
      <c r="E6010" s="86" t="s">
        <v>3040</v>
      </c>
      <c r="F6010" s="86" t="s">
        <v>3040</v>
      </c>
      <c r="G6010" s="86" t="s">
        <v>3040</v>
      </c>
      <c r="H6010" s="144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3040</v>
      </c>
      <c r="O6010" s="47" t="s">
        <v>45</v>
      </c>
      <c r="P6010" s="14" t="s">
        <v>41</v>
      </c>
      <c r="Q6010" s="14">
        <v>0</v>
      </c>
      <c r="R6010" s="143">
        <v>150932</v>
      </c>
      <c r="S6010" s="47"/>
      <c r="T6010" s="6">
        <v>-42822.44</v>
      </c>
      <c r="U6010" s="6"/>
      <c r="V6010" s="6">
        <v>1533.6</v>
      </c>
      <c r="W6010" s="6">
        <f t="shared" si="936"/>
        <v>-44356.04</v>
      </c>
      <c r="X6010" s="6">
        <f t="shared" si="937"/>
        <v>1533.6</v>
      </c>
      <c r="Y6010" s="13">
        <f t="shared" si="932"/>
        <v>0</v>
      </c>
      <c r="Z6010" s="14">
        <v>0</v>
      </c>
      <c r="AA6010" s="6">
        <v>0</v>
      </c>
      <c r="AB6010" s="4">
        <f t="shared" si="933"/>
        <v>1533.6</v>
      </c>
      <c r="AC6010" s="6">
        <f t="shared" si="931"/>
        <v>0</v>
      </c>
      <c r="AD6010" s="6">
        <f t="shared" si="938"/>
        <v>1533.6</v>
      </c>
      <c r="AE6010" s="14">
        <f>VLOOKUP(I6010,[2]媒体政策预估表!A:N,MATCH(O6010,[2]媒体政策预估表!$A$2:$M$2,0),0)</f>
        <v>0.223</v>
      </c>
      <c r="AF6010" s="6">
        <f t="shared" si="935"/>
        <v>341.99279999999999</v>
      </c>
      <c r="AG6010" s="14">
        <v>0</v>
      </c>
      <c r="AH6010" s="99">
        <f t="shared" si="939"/>
        <v>1533.6</v>
      </c>
      <c r="AI6010" s="47"/>
      <c r="AJ6010" s="126" t="e">
        <v>#N/A</v>
      </c>
      <c r="AK6010" s="80">
        <f t="shared" si="934"/>
        <v>0</v>
      </c>
      <c r="AL6010" s="85"/>
      <c r="AM6010" s="85"/>
    </row>
    <row r="6011" spans="1:39" s="86" customFormat="1" ht="13.25" hidden="1" customHeight="1" x14ac:dyDescent="0.3">
      <c r="A6011" s="89" t="s">
        <v>3794</v>
      </c>
      <c r="B6011" s="86" t="s">
        <v>35</v>
      </c>
      <c r="C6011" s="86" t="s">
        <v>36</v>
      </c>
      <c r="D6011" s="86" t="s">
        <v>185</v>
      </c>
      <c r="E6011" s="86" t="s">
        <v>3089</v>
      </c>
      <c r="F6011" s="86" t="s">
        <v>3089</v>
      </c>
      <c r="G6011" s="86" t="s">
        <v>3089</v>
      </c>
      <c r="H6011" s="143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3089</v>
      </c>
      <c r="O6011" s="47" t="s">
        <v>410</v>
      </c>
      <c r="P6011" s="14" t="s">
        <v>41</v>
      </c>
      <c r="Q6011" s="14">
        <v>0</v>
      </c>
      <c r="R6011" s="143">
        <v>90462</v>
      </c>
      <c r="S6011" s="47"/>
      <c r="T6011" s="6">
        <v>27897.68</v>
      </c>
      <c r="U6011" s="6"/>
      <c r="V6011" s="6">
        <v>0</v>
      </c>
      <c r="W6011" s="6">
        <f t="shared" si="936"/>
        <v>27897.68</v>
      </c>
      <c r="X6011" s="6">
        <f t="shared" si="937"/>
        <v>0</v>
      </c>
      <c r="Y6011" s="13">
        <f t="shared" si="932"/>
        <v>0</v>
      </c>
      <c r="Z6011" s="14">
        <v>0</v>
      </c>
      <c r="AA6011" s="6">
        <v>0</v>
      </c>
      <c r="AB6011" s="4">
        <f t="shared" si="933"/>
        <v>0</v>
      </c>
      <c r="AC6011" s="6">
        <f t="shared" si="931"/>
        <v>0</v>
      </c>
      <c r="AD6011" s="6">
        <f t="shared" si="938"/>
        <v>0</v>
      </c>
      <c r="AE6011" s="14">
        <f>VLOOKUP(I6011,[2]媒体政策预估表!A:N,MATCH(O6011,[2]媒体政策预估表!$A$2:$M$2,0),0)</f>
        <v>0.10299999999999999</v>
      </c>
      <c r="AF6011" s="6">
        <f t="shared" si="935"/>
        <v>0</v>
      </c>
      <c r="AG6011" s="14">
        <v>0</v>
      </c>
      <c r="AH6011" s="99">
        <f t="shared" si="939"/>
        <v>0</v>
      </c>
      <c r="AI6011" s="47"/>
      <c r="AJ6011" s="126" t="e">
        <v>#N/A</v>
      </c>
      <c r="AK6011" s="80">
        <f t="shared" si="934"/>
        <v>0</v>
      </c>
      <c r="AL6011" s="85"/>
      <c r="AM6011" s="85"/>
    </row>
    <row r="6012" spans="1:39" s="86" customFormat="1" ht="13.25" hidden="1" customHeight="1" x14ac:dyDescent="0.3">
      <c r="A6012" s="89" t="s">
        <v>3792</v>
      </c>
      <c r="B6012" s="86" t="s">
        <v>35</v>
      </c>
      <c r="C6012" s="86" t="s">
        <v>144</v>
      </c>
      <c r="D6012" s="86" t="s">
        <v>145</v>
      </c>
      <c r="E6012" s="86" t="s">
        <v>805</v>
      </c>
      <c r="F6012" s="86" t="s">
        <v>805</v>
      </c>
      <c r="G6012" s="86" t="s">
        <v>805</v>
      </c>
      <c r="H6012" s="143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3090</v>
      </c>
      <c r="O6012" s="47" t="s">
        <v>410</v>
      </c>
      <c r="P6012" s="14" t="s">
        <v>46</v>
      </c>
      <c r="Q6012" s="14">
        <v>0.02</v>
      </c>
      <c r="R6012" s="143">
        <v>6486</v>
      </c>
      <c r="S6012" s="47"/>
      <c r="T6012" s="6">
        <v>4006.75</v>
      </c>
      <c r="U6012" s="6"/>
      <c r="V6012" s="6">
        <v>0</v>
      </c>
      <c r="W6012" s="6">
        <f t="shared" si="936"/>
        <v>4006.75</v>
      </c>
      <c r="X6012" s="6">
        <f t="shared" si="937"/>
        <v>0</v>
      </c>
      <c r="Y6012" s="13">
        <f t="shared" si="932"/>
        <v>0</v>
      </c>
      <c r="Z6012" s="14">
        <v>0</v>
      </c>
      <c r="AA6012" s="6">
        <v>0</v>
      </c>
      <c r="AB6012" s="4">
        <f t="shared" si="933"/>
        <v>0</v>
      </c>
      <c r="AC6012" s="6">
        <f t="shared" si="931"/>
        <v>0</v>
      </c>
      <c r="AD6012" s="6">
        <f t="shared" si="938"/>
        <v>0</v>
      </c>
      <c r="AE6012" s="14">
        <f>VLOOKUP(I6012,[2]媒体政策预估表!A:N,MATCH(O6012,[2]媒体政策预估表!$A$2:$M$2,0),0)</f>
        <v>0.10299999999999999</v>
      </c>
      <c r="AF6012" s="6">
        <f t="shared" si="935"/>
        <v>0</v>
      </c>
      <c r="AG6012" s="14">
        <v>0</v>
      </c>
      <c r="AH6012" s="99">
        <f t="shared" si="939"/>
        <v>0</v>
      </c>
      <c r="AI6012" s="47"/>
      <c r="AJ6012" s="126" t="e">
        <v>#N/A</v>
      </c>
      <c r="AK6012" s="80">
        <f t="shared" si="934"/>
        <v>0</v>
      </c>
      <c r="AL6012" s="85"/>
      <c r="AM6012" s="85"/>
    </row>
    <row r="6013" spans="1:39" s="86" customFormat="1" ht="13.25" hidden="1" customHeight="1" x14ac:dyDescent="0.3">
      <c r="A6013" s="89" t="s">
        <v>3792</v>
      </c>
      <c r="B6013" s="86" t="s">
        <v>35</v>
      </c>
      <c r="C6013" s="86" t="s">
        <v>36</v>
      </c>
      <c r="D6013" s="86" t="s">
        <v>185</v>
      </c>
      <c r="E6013" s="86" t="s">
        <v>3091</v>
      </c>
      <c r="F6013" s="86" t="s">
        <v>3091</v>
      </c>
      <c r="G6013" s="86" t="s">
        <v>3091</v>
      </c>
      <c r="H6013" s="143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3091</v>
      </c>
      <c r="O6013" s="47" t="s">
        <v>45</v>
      </c>
      <c r="P6013" s="14" t="s">
        <v>46</v>
      </c>
      <c r="Q6013" s="14">
        <v>0.04</v>
      </c>
      <c r="R6013" s="143">
        <v>94602</v>
      </c>
      <c r="S6013" s="47"/>
      <c r="T6013" s="6">
        <v>2238.3000000000002</v>
      </c>
      <c r="U6013" s="6"/>
      <c r="V6013" s="6">
        <v>0</v>
      </c>
      <c r="W6013" s="6">
        <f t="shared" si="936"/>
        <v>2238.3000000000002</v>
      </c>
      <c r="X6013" s="6">
        <f t="shared" si="937"/>
        <v>0</v>
      </c>
      <c r="Y6013" s="13">
        <f t="shared" si="932"/>
        <v>0</v>
      </c>
      <c r="Z6013" s="14">
        <v>0</v>
      </c>
      <c r="AA6013" s="6">
        <v>0</v>
      </c>
      <c r="AB6013" s="4">
        <f t="shared" si="933"/>
        <v>0</v>
      </c>
      <c r="AC6013" s="6">
        <f t="shared" si="931"/>
        <v>0</v>
      </c>
      <c r="AD6013" s="6">
        <f t="shared" si="938"/>
        <v>0</v>
      </c>
      <c r="AE6013" s="14">
        <f>VLOOKUP(I6013,[2]媒体政策预估表!A:N,MATCH(O6013,[2]媒体政策预估表!$A$2:$M$2,0),0)</f>
        <v>0.223</v>
      </c>
      <c r="AF6013" s="6">
        <f t="shared" si="935"/>
        <v>0</v>
      </c>
      <c r="AG6013" s="14">
        <v>0</v>
      </c>
      <c r="AH6013" s="99">
        <f t="shared" si="939"/>
        <v>0</v>
      </c>
      <c r="AI6013" s="47"/>
      <c r="AJ6013" s="126" t="e">
        <v>#N/A</v>
      </c>
      <c r="AK6013" s="80">
        <f t="shared" si="934"/>
        <v>0</v>
      </c>
      <c r="AL6013" s="85"/>
      <c r="AM6013" s="85"/>
    </row>
    <row r="6014" spans="1:39" s="86" customFormat="1" ht="13.25" hidden="1" customHeight="1" x14ac:dyDescent="0.3">
      <c r="A6014" s="89" t="s">
        <v>3792</v>
      </c>
      <c r="B6014" s="86" t="s">
        <v>35</v>
      </c>
      <c r="C6014" s="86" t="s">
        <v>36</v>
      </c>
      <c r="D6014" s="86" t="s">
        <v>185</v>
      </c>
      <c r="E6014" s="86" t="s">
        <v>2113</v>
      </c>
      <c r="F6014" s="86" t="s">
        <v>2113</v>
      </c>
      <c r="G6014" s="86" t="s">
        <v>2113</v>
      </c>
      <c r="H6014" s="143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2113</v>
      </c>
      <c r="O6014" s="47" t="s">
        <v>410</v>
      </c>
      <c r="P6014" s="14" t="s">
        <v>41</v>
      </c>
      <c r="Q6014" s="14">
        <v>0</v>
      </c>
      <c r="R6014" s="143">
        <v>90942</v>
      </c>
      <c r="S6014" s="47"/>
      <c r="T6014" s="6">
        <v>4257.3999999999996</v>
      </c>
      <c r="U6014" s="6"/>
      <c r="V6014" s="6">
        <v>0</v>
      </c>
      <c r="W6014" s="6">
        <f t="shared" si="936"/>
        <v>4257.3999999999996</v>
      </c>
      <c r="X6014" s="6">
        <f t="shared" si="937"/>
        <v>0</v>
      </c>
      <c r="Y6014" s="13">
        <f t="shared" si="932"/>
        <v>0</v>
      </c>
      <c r="Z6014" s="14">
        <v>0</v>
      </c>
      <c r="AA6014" s="6">
        <v>0</v>
      </c>
      <c r="AB6014" s="4">
        <f t="shared" si="933"/>
        <v>0</v>
      </c>
      <c r="AC6014" s="6">
        <f t="shared" ref="AC6014:AC6077" si="940">IF(P6014="返现",X6014*Q6014,V6014-X6014)</f>
        <v>0</v>
      </c>
      <c r="AD6014" s="6">
        <f t="shared" si="938"/>
        <v>0</v>
      </c>
      <c r="AE6014" s="14">
        <f>VLOOKUP(I6014,[2]媒体政策预估表!A:N,MATCH(O6014,[2]媒体政策预估表!$A$2:$M$2,0),0)</f>
        <v>0.10299999999999999</v>
      </c>
      <c r="AF6014" s="6">
        <f t="shared" si="935"/>
        <v>0</v>
      </c>
      <c r="AG6014" s="14">
        <v>0</v>
      </c>
      <c r="AH6014" s="99">
        <f t="shared" si="939"/>
        <v>0</v>
      </c>
      <c r="AI6014" s="47"/>
      <c r="AJ6014" s="126" t="e">
        <v>#N/A</v>
      </c>
      <c r="AK6014" s="80">
        <f t="shared" si="934"/>
        <v>0</v>
      </c>
      <c r="AL6014" s="85"/>
      <c r="AM6014" s="85"/>
    </row>
    <row r="6015" spans="1:39" s="86" customFormat="1" ht="13.25" hidden="1" customHeight="1" x14ac:dyDescent="0.3">
      <c r="A6015" s="89" t="s">
        <v>3794</v>
      </c>
      <c r="B6015" s="86" t="s">
        <v>35</v>
      </c>
      <c r="C6015" s="86" t="s">
        <v>164</v>
      </c>
      <c r="D6015" s="86" t="s">
        <v>305</v>
      </c>
      <c r="E6015" s="86" t="s">
        <v>2129</v>
      </c>
      <c r="F6015" s="86" t="s">
        <v>2129</v>
      </c>
      <c r="G6015" s="86" t="s">
        <v>2129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1539</v>
      </c>
      <c r="O6015" s="47" t="s">
        <v>45</v>
      </c>
      <c r="P6015" s="14" t="s">
        <v>41</v>
      </c>
      <c r="Q6015" s="14">
        <v>0</v>
      </c>
      <c r="R6015" s="143">
        <v>20182</v>
      </c>
      <c r="S6015" s="47"/>
      <c r="T6015" s="6">
        <v>-2626373.4500000002</v>
      </c>
      <c r="U6015" s="6"/>
      <c r="V6015" s="6">
        <v>321257.09999999998</v>
      </c>
      <c r="W6015" s="6">
        <f t="shared" si="936"/>
        <v>-2947630.5500000003</v>
      </c>
      <c r="X6015" s="6">
        <f t="shared" si="937"/>
        <v>321257.09999999998</v>
      </c>
      <c r="Y6015" s="13">
        <f t="shared" si="932"/>
        <v>0</v>
      </c>
      <c r="Z6015" s="14">
        <v>0</v>
      </c>
      <c r="AA6015" s="6">
        <v>0</v>
      </c>
      <c r="AB6015" s="4">
        <f t="shared" si="933"/>
        <v>321257.09999999998</v>
      </c>
      <c r="AC6015" s="6">
        <f t="shared" si="940"/>
        <v>0</v>
      </c>
      <c r="AD6015" s="6">
        <f t="shared" si="938"/>
        <v>321257.09999999998</v>
      </c>
      <c r="AE6015" s="14">
        <f>VLOOKUP(I6015,[2]媒体政策预估表!A:N,MATCH(O6015,[2]媒体政策预估表!$A$2:$M$2,0),0)</f>
        <v>0.223</v>
      </c>
      <c r="AF6015" s="6">
        <f t="shared" si="935"/>
        <v>71640.333299999998</v>
      </c>
      <c r="AG6015" s="14">
        <v>0</v>
      </c>
      <c r="AH6015" s="99">
        <f t="shared" si="939"/>
        <v>321257.09999999998</v>
      </c>
      <c r="AI6015" s="47"/>
      <c r="AJ6015" s="126" t="e">
        <v>#N/A</v>
      </c>
      <c r="AK6015" s="80">
        <f t="shared" si="934"/>
        <v>0</v>
      </c>
      <c r="AL6015" s="85"/>
      <c r="AM6015" s="85"/>
    </row>
    <row r="6016" spans="1:39" s="86" customFormat="1" ht="13.25" hidden="1" customHeight="1" x14ac:dyDescent="0.3">
      <c r="A6016" s="89" t="s">
        <v>3794</v>
      </c>
      <c r="B6016" s="86" t="s">
        <v>35</v>
      </c>
      <c r="C6016" s="86" t="s">
        <v>164</v>
      </c>
      <c r="D6016" s="86" t="s">
        <v>305</v>
      </c>
      <c r="E6016" s="86" t="s">
        <v>2129</v>
      </c>
      <c r="F6016" s="86" t="s">
        <v>2129</v>
      </c>
      <c r="G6016" s="86" t="s">
        <v>2129</v>
      </c>
      <c r="H6016" s="143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2129</v>
      </c>
      <c r="O6016" s="47" t="s">
        <v>410</v>
      </c>
      <c r="P6016" s="14" t="s">
        <v>46</v>
      </c>
      <c r="Q6016" s="14">
        <v>0.01</v>
      </c>
      <c r="R6016" s="143">
        <v>105642</v>
      </c>
      <c r="S6016" s="47"/>
      <c r="T6016" s="6">
        <v>33802.089999999997</v>
      </c>
      <c r="U6016" s="6"/>
      <c r="V6016" s="6">
        <v>0</v>
      </c>
      <c r="W6016" s="6">
        <f t="shared" si="936"/>
        <v>33802.089999999997</v>
      </c>
      <c r="X6016" s="6">
        <f t="shared" si="937"/>
        <v>0</v>
      </c>
      <c r="Y6016" s="13">
        <f t="shared" si="932"/>
        <v>0</v>
      </c>
      <c r="Z6016" s="14">
        <v>0</v>
      </c>
      <c r="AA6016" s="6">
        <v>0</v>
      </c>
      <c r="AB6016" s="4">
        <f t="shared" si="933"/>
        <v>0</v>
      </c>
      <c r="AC6016" s="6">
        <f t="shared" si="940"/>
        <v>0</v>
      </c>
      <c r="AD6016" s="6">
        <f t="shared" si="938"/>
        <v>0</v>
      </c>
      <c r="AE6016" s="14">
        <f>VLOOKUP(I6016,[2]媒体政策预估表!A:N,MATCH(O6016,[2]媒体政策预估表!$A$2:$M$2,0),0)</f>
        <v>0.10299999999999999</v>
      </c>
      <c r="AF6016" s="6">
        <f t="shared" si="935"/>
        <v>0</v>
      </c>
      <c r="AG6016" s="14">
        <v>0</v>
      </c>
      <c r="AH6016" s="99">
        <f t="shared" si="939"/>
        <v>0</v>
      </c>
      <c r="AI6016" s="47"/>
      <c r="AJ6016" s="126" t="e">
        <v>#N/A</v>
      </c>
      <c r="AK6016" s="80">
        <f t="shared" si="934"/>
        <v>0</v>
      </c>
      <c r="AL6016" s="85"/>
      <c r="AM6016" s="85"/>
    </row>
    <row r="6017" spans="1:39" s="86" customFormat="1" ht="13.25" hidden="1" customHeight="1" x14ac:dyDescent="0.3">
      <c r="A6017" s="89" t="s">
        <v>3805</v>
      </c>
      <c r="B6017" s="86" t="s">
        <v>35</v>
      </c>
      <c r="C6017" s="86" t="s">
        <v>36</v>
      </c>
      <c r="D6017" s="86" t="s">
        <v>298</v>
      </c>
      <c r="E6017" s="86" t="s">
        <v>831</v>
      </c>
      <c r="F6017" s="86" t="s">
        <v>831</v>
      </c>
      <c r="G6017" s="86" t="s">
        <v>831</v>
      </c>
      <c r="H6017" s="143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3094</v>
      </c>
      <c r="O6017" s="47" t="s">
        <v>45</v>
      </c>
      <c r="P6017" s="14" t="s">
        <v>46</v>
      </c>
      <c r="Q6017" s="14">
        <v>0.15</v>
      </c>
      <c r="R6017" s="143">
        <v>9039</v>
      </c>
      <c r="S6017" s="47"/>
      <c r="T6017" s="6">
        <v>1153.1199999999999</v>
      </c>
      <c r="U6017" s="6"/>
      <c r="V6017" s="6">
        <v>0</v>
      </c>
      <c r="W6017" s="6">
        <f t="shared" si="936"/>
        <v>1153.1199999999999</v>
      </c>
      <c r="X6017" s="6">
        <f t="shared" si="937"/>
        <v>0</v>
      </c>
      <c r="Y6017" s="13">
        <f t="shared" si="932"/>
        <v>0</v>
      </c>
      <c r="Z6017" s="14">
        <v>0</v>
      </c>
      <c r="AA6017" s="6">
        <v>0</v>
      </c>
      <c r="AB6017" s="4"/>
      <c r="AC6017" s="6">
        <f t="shared" si="940"/>
        <v>0</v>
      </c>
      <c r="AD6017" s="6">
        <f t="shared" si="938"/>
        <v>0</v>
      </c>
      <c r="AE6017" s="14">
        <f>VLOOKUP(I6017,[2]媒体政策预估表!A:N,MATCH(O6017,[2]媒体政策预估表!$A$2:$M$2,0),0)</f>
        <v>0.223</v>
      </c>
      <c r="AF6017" s="6">
        <f t="shared" si="935"/>
        <v>0</v>
      </c>
      <c r="AG6017" s="14">
        <v>0</v>
      </c>
      <c r="AH6017" s="99">
        <f t="shared" si="939"/>
        <v>0</v>
      </c>
      <c r="AI6017" s="47"/>
      <c r="AJ6017" s="126">
        <v>25</v>
      </c>
      <c r="AK6017" s="80">
        <f t="shared" si="934"/>
        <v>0</v>
      </c>
      <c r="AL6017" s="85"/>
      <c r="AM6017" s="85"/>
    </row>
    <row r="6018" spans="1:39" s="86" customFormat="1" ht="13.25" hidden="1" customHeight="1" x14ac:dyDescent="0.3">
      <c r="A6018" s="89" t="s">
        <v>3794</v>
      </c>
      <c r="B6018" s="86" t="s">
        <v>35</v>
      </c>
      <c r="C6018" s="86" t="s">
        <v>144</v>
      </c>
      <c r="D6018" s="86" t="s">
        <v>152</v>
      </c>
      <c r="E6018" s="86" t="s">
        <v>833</v>
      </c>
      <c r="F6018" s="86" t="s">
        <v>833</v>
      </c>
      <c r="G6018" s="86" t="s">
        <v>833</v>
      </c>
      <c r="H6018" s="143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3095</v>
      </c>
      <c r="O6018" s="47" t="s">
        <v>410</v>
      </c>
      <c r="P6018" s="14" t="s">
        <v>41</v>
      </c>
      <c r="Q6018" s="14">
        <v>0</v>
      </c>
      <c r="R6018" s="143">
        <v>7587</v>
      </c>
      <c r="S6018" s="47"/>
      <c r="T6018" s="6">
        <v>977.7</v>
      </c>
      <c r="U6018" s="6"/>
      <c r="V6018" s="6">
        <v>0</v>
      </c>
      <c r="W6018" s="6">
        <f t="shared" si="936"/>
        <v>977.7</v>
      </c>
      <c r="X6018" s="6">
        <f t="shared" si="937"/>
        <v>0</v>
      </c>
      <c r="Y6018" s="13">
        <f t="shared" si="932"/>
        <v>0</v>
      </c>
      <c r="Z6018" s="14">
        <v>0</v>
      </c>
      <c r="AA6018" s="6">
        <v>0</v>
      </c>
      <c r="AB6018" s="4">
        <f t="shared" si="933"/>
        <v>0</v>
      </c>
      <c r="AC6018" s="6">
        <f t="shared" si="940"/>
        <v>0</v>
      </c>
      <c r="AD6018" s="6">
        <f t="shared" si="938"/>
        <v>0</v>
      </c>
      <c r="AE6018" s="14">
        <f>VLOOKUP(I6018,[2]媒体政策预估表!A:N,MATCH(O6018,[2]媒体政策预估表!$A$2:$M$2,0),0)</f>
        <v>0.10299999999999999</v>
      </c>
      <c r="AF6018" s="6">
        <f t="shared" si="935"/>
        <v>0</v>
      </c>
      <c r="AG6018" s="14">
        <v>0</v>
      </c>
      <c r="AH6018" s="99">
        <f t="shared" si="939"/>
        <v>0</v>
      </c>
      <c r="AI6018" s="47"/>
      <c r="AJ6018" s="126" t="e">
        <v>#N/A</v>
      </c>
      <c r="AK6018" s="80">
        <f t="shared" si="934"/>
        <v>0</v>
      </c>
      <c r="AL6018" s="85"/>
      <c r="AM6018" s="85"/>
    </row>
    <row r="6019" spans="1:39" s="86" customFormat="1" ht="13.25" hidden="1" customHeight="1" x14ac:dyDescent="0.3">
      <c r="A6019" s="89" t="s">
        <v>3794</v>
      </c>
      <c r="B6019" s="86" t="s">
        <v>35</v>
      </c>
      <c r="C6019" s="86" t="s">
        <v>164</v>
      </c>
      <c r="D6019" s="86" t="s">
        <v>305</v>
      </c>
      <c r="E6019" s="86" t="s">
        <v>2806</v>
      </c>
      <c r="F6019" s="86" t="s">
        <v>2806</v>
      </c>
      <c r="G6019" s="86" t="s">
        <v>2806</v>
      </c>
      <c r="H6019" s="143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3010</v>
      </c>
      <c r="O6019" s="47" t="s">
        <v>45</v>
      </c>
      <c r="P6019" s="14" t="s">
        <v>41</v>
      </c>
      <c r="Q6019" s="14">
        <v>0</v>
      </c>
      <c r="R6019" s="143">
        <v>19782</v>
      </c>
      <c r="S6019" s="47"/>
      <c r="T6019" s="6">
        <v>-732126.01</v>
      </c>
      <c r="U6019" s="6"/>
      <c r="V6019" s="6">
        <v>0</v>
      </c>
      <c r="W6019" s="6">
        <f t="shared" si="936"/>
        <v>-732126.01</v>
      </c>
      <c r="X6019" s="6">
        <f t="shared" si="937"/>
        <v>0</v>
      </c>
      <c r="Y6019" s="13">
        <f t="shared" ref="Y6019:Y6082" si="941">IF(X6019-AD6019&lt;=0,0,IF(P6019="返现",MAX(X6019-AC6019-AD6019,0),MAX(X6019-AD6019)))</f>
        <v>0</v>
      </c>
      <c r="Z6019" s="14">
        <v>0</v>
      </c>
      <c r="AA6019" s="6">
        <v>0</v>
      </c>
      <c r="AB6019" s="4">
        <f t="shared" ref="AB6019:AB6082" si="942">X6019+AA6019</f>
        <v>0</v>
      </c>
      <c r="AC6019" s="6">
        <f t="shared" si="940"/>
        <v>0</v>
      </c>
      <c r="AD6019" s="6">
        <f t="shared" si="938"/>
        <v>0</v>
      </c>
      <c r="AE6019" s="14">
        <f>VLOOKUP(I6019,[2]媒体政策预估表!A:N,MATCH(O6019,[2]媒体政策预估表!$A$2:$M$2,0),0)</f>
        <v>0.223</v>
      </c>
      <c r="AF6019" s="6">
        <f t="shared" si="935"/>
        <v>0</v>
      </c>
      <c r="AG6019" s="14">
        <v>0</v>
      </c>
      <c r="AH6019" s="99">
        <f t="shared" si="939"/>
        <v>0</v>
      </c>
      <c r="AI6019" s="47"/>
      <c r="AJ6019" s="126" t="e">
        <v>#N/A</v>
      </c>
      <c r="AK6019" s="80">
        <f t="shared" ref="AK6019:AK6082" si="943">X6019+AA6019-AB6019</f>
        <v>0</v>
      </c>
      <c r="AL6019" s="85"/>
      <c r="AM6019" s="85"/>
    </row>
    <row r="6020" spans="1:39" s="86" customFormat="1" ht="13.25" hidden="1" customHeight="1" x14ac:dyDescent="0.3">
      <c r="A6020" s="89" t="s">
        <v>3792</v>
      </c>
      <c r="B6020" s="86" t="s">
        <v>35</v>
      </c>
      <c r="C6020" s="86" t="s">
        <v>184</v>
      </c>
      <c r="D6020" s="86" t="s">
        <v>3849</v>
      </c>
      <c r="E6020" s="86" t="s">
        <v>2772</v>
      </c>
      <c r="F6020" s="86" t="s">
        <v>2772</v>
      </c>
      <c r="G6020" s="86" t="s">
        <v>2772</v>
      </c>
      <c r="H6020" s="143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2974</v>
      </c>
      <c r="O6020" s="47" t="s">
        <v>45</v>
      </c>
      <c r="P6020" s="14" t="s">
        <v>41</v>
      </c>
      <c r="Q6020" s="14">
        <v>0</v>
      </c>
      <c r="R6020" s="143">
        <v>40472</v>
      </c>
      <c r="S6020" s="47"/>
      <c r="T6020" s="6">
        <v>-288203.2</v>
      </c>
      <c r="U6020" s="6"/>
      <c r="V6020" s="6">
        <v>0</v>
      </c>
      <c r="W6020" s="6">
        <f t="shared" si="936"/>
        <v>-288203.2</v>
      </c>
      <c r="X6020" s="6">
        <f t="shared" si="937"/>
        <v>0</v>
      </c>
      <c r="Y6020" s="13">
        <f t="shared" si="941"/>
        <v>0</v>
      </c>
      <c r="Z6020" s="14">
        <v>0</v>
      </c>
      <c r="AA6020" s="6">
        <v>0</v>
      </c>
      <c r="AB6020" s="4">
        <f t="shared" si="942"/>
        <v>0</v>
      </c>
      <c r="AC6020" s="6">
        <f t="shared" si="940"/>
        <v>0</v>
      </c>
      <c r="AD6020" s="6">
        <f t="shared" si="938"/>
        <v>0</v>
      </c>
      <c r="AE6020" s="14">
        <f>VLOOKUP(I6020,[2]媒体政策预估表!A:N,MATCH(O6020,[2]媒体政策预估表!$A$2:$M$2,0),0)</f>
        <v>0.223</v>
      </c>
      <c r="AF6020" s="6">
        <f t="shared" si="935"/>
        <v>0</v>
      </c>
      <c r="AG6020" s="14">
        <v>0</v>
      </c>
      <c r="AH6020" s="99">
        <f t="shared" si="939"/>
        <v>0</v>
      </c>
      <c r="AI6020" s="47"/>
      <c r="AJ6020" s="126" t="e">
        <v>#N/A</v>
      </c>
      <c r="AK6020" s="80">
        <f t="shared" si="943"/>
        <v>0</v>
      </c>
      <c r="AL6020" s="85"/>
      <c r="AM6020" s="85"/>
    </row>
    <row r="6021" spans="1:39" s="86" customFormat="1" ht="13.25" hidden="1" customHeight="1" x14ac:dyDescent="0.3">
      <c r="A6021" s="89" t="s">
        <v>3794</v>
      </c>
      <c r="B6021" s="86" t="s">
        <v>35</v>
      </c>
      <c r="C6021" s="86" t="s">
        <v>36</v>
      </c>
      <c r="D6021" s="86" t="s">
        <v>185</v>
      </c>
      <c r="E6021" s="86" t="s">
        <v>3096</v>
      </c>
      <c r="F6021" s="86" t="s">
        <v>3096</v>
      </c>
      <c r="G6021" s="86" t="s">
        <v>3096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3097</v>
      </c>
      <c r="O6021" s="47" t="s">
        <v>410</v>
      </c>
      <c r="P6021" s="14" t="s">
        <v>46</v>
      </c>
      <c r="Q6021" s="14">
        <v>0.05</v>
      </c>
      <c r="R6021" s="143">
        <v>6122</v>
      </c>
      <c r="S6021" s="47"/>
      <c r="T6021" s="6">
        <v>4458.1899999999996</v>
      </c>
      <c r="U6021" s="6"/>
      <c r="V6021" s="6">
        <v>0</v>
      </c>
      <c r="W6021" s="6">
        <f t="shared" si="936"/>
        <v>4458.1899999999996</v>
      </c>
      <c r="X6021" s="6">
        <f t="shared" si="937"/>
        <v>0</v>
      </c>
      <c r="Y6021" s="13">
        <f t="shared" si="941"/>
        <v>0</v>
      </c>
      <c r="Z6021" s="14">
        <v>0</v>
      </c>
      <c r="AA6021" s="6">
        <v>0</v>
      </c>
      <c r="AB6021" s="4">
        <f t="shared" si="942"/>
        <v>0</v>
      </c>
      <c r="AC6021" s="6">
        <f t="shared" si="940"/>
        <v>0</v>
      </c>
      <c r="AD6021" s="6">
        <f t="shared" si="938"/>
        <v>0</v>
      </c>
      <c r="AE6021" s="14">
        <f>VLOOKUP(I6021,[2]媒体政策预估表!A:N,MATCH(O6021,[2]媒体政策预估表!$A$2:$M$2,0),0)</f>
        <v>0.10299999999999999</v>
      </c>
      <c r="AF6021" s="6">
        <f t="shared" si="935"/>
        <v>0</v>
      </c>
      <c r="AG6021" s="14">
        <v>0</v>
      </c>
      <c r="AH6021" s="99">
        <f t="shared" si="939"/>
        <v>0</v>
      </c>
      <c r="AI6021" s="47"/>
      <c r="AJ6021" s="126" t="e">
        <v>#N/A</v>
      </c>
      <c r="AK6021" s="80">
        <f t="shared" si="943"/>
        <v>0</v>
      </c>
      <c r="AL6021" s="85"/>
      <c r="AM6021" s="85"/>
    </row>
    <row r="6022" spans="1:39" s="86" customFormat="1" ht="13.25" hidden="1" customHeight="1" x14ac:dyDescent="0.3">
      <c r="A6022" s="89" t="s">
        <v>3792</v>
      </c>
      <c r="B6022" s="86" t="s">
        <v>35</v>
      </c>
      <c r="C6022" s="86" t="s">
        <v>65</v>
      </c>
      <c r="D6022" s="86" t="s">
        <v>66</v>
      </c>
      <c r="E6022" s="86" t="s">
        <v>3098</v>
      </c>
      <c r="F6022" s="86" t="s">
        <v>3098</v>
      </c>
      <c r="G6022" s="86" t="s">
        <v>3098</v>
      </c>
      <c r="H6022" s="143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3099</v>
      </c>
      <c r="O6022" s="47" t="s">
        <v>410</v>
      </c>
      <c r="P6022" s="14" t="s">
        <v>46</v>
      </c>
      <c r="Q6022" s="14">
        <v>0.08</v>
      </c>
      <c r="R6022" s="143">
        <v>5508</v>
      </c>
      <c r="S6022" s="47"/>
      <c r="T6022" s="6">
        <v>69200.62</v>
      </c>
      <c r="U6022" s="6"/>
      <c r="V6022" s="6">
        <v>0</v>
      </c>
      <c r="W6022" s="6">
        <f t="shared" si="936"/>
        <v>69200.62</v>
      </c>
      <c r="X6022" s="6">
        <f t="shared" si="937"/>
        <v>0</v>
      </c>
      <c r="Y6022" s="13">
        <f t="shared" si="941"/>
        <v>0</v>
      </c>
      <c r="Z6022" s="14">
        <v>0</v>
      </c>
      <c r="AA6022" s="6">
        <v>0</v>
      </c>
      <c r="AB6022" s="4">
        <f t="shared" si="942"/>
        <v>0</v>
      </c>
      <c r="AC6022" s="6">
        <f t="shared" si="940"/>
        <v>0</v>
      </c>
      <c r="AD6022" s="6">
        <f t="shared" si="938"/>
        <v>0</v>
      </c>
      <c r="AE6022" s="14">
        <f>VLOOKUP(I6022,[2]媒体政策预估表!A:N,MATCH(O6022,[2]媒体政策预估表!$A$2:$M$2,0),0)</f>
        <v>0.10299999999999999</v>
      </c>
      <c r="AF6022" s="6">
        <f t="shared" si="935"/>
        <v>0</v>
      </c>
      <c r="AG6022" s="14">
        <v>0</v>
      </c>
      <c r="AH6022" s="99">
        <f t="shared" si="939"/>
        <v>0</v>
      </c>
      <c r="AI6022" s="47"/>
      <c r="AJ6022" s="126" t="e">
        <v>#N/A</v>
      </c>
      <c r="AK6022" s="80">
        <f t="shared" si="943"/>
        <v>0</v>
      </c>
      <c r="AL6022" s="85"/>
      <c r="AM6022" s="85"/>
    </row>
    <row r="6023" spans="1:39" s="86" customFormat="1" ht="13.25" hidden="1" customHeight="1" x14ac:dyDescent="0.3">
      <c r="A6023" s="89" t="s">
        <v>3794</v>
      </c>
      <c r="B6023" s="86" t="s">
        <v>35</v>
      </c>
      <c r="C6023" s="86" t="s">
        <v>65</v>
      </c>
      <c r="D6023" s="86" t="s">
        <v>66</v>
      </c>
      <c r="E6023" s="86" t="s">
        <v>1891</v>
      </c>
      <c r="F6023" s="86" t="s">
        <v>1891</v>
      </c>
      <c r="G6023" s="86" t="s">
        <v>1891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3100</v>
      </c>
      <c r="O6023" s="47" t="s">
        <v>410</v>
      </c>
      <c r="P6023" s="14" t="s">
        <v>46</v>
      </c>
      <c r="Q6023" s="14">
        <v>0.06</v>
      </c>
      <c r="R6023" s="143">
        <v>3771</v>
      </c>
      <c r="S6023" s="47"/>
      <c r="T6023" s="6">
        <v>4331.8599999999997</v>
      </c>
      <c r="U6023" s="6"/>
      <c r="V6023" s="6">
        <v>0</v>
      </c>
      <c r="W6023" s="6">
        <f t="shared" si="936"/>
        <v>4331.8599999999997</v>
      </c>
      <c r="X6023" s="6">
        <f t="shared" si="937"/>
        <v>0</v>
      </c>
      <c r="Y6023" s="13">
        <f t="shared" si="941"/>
        <v>0</v>
      </c>
      <c r="Z6023" s="14">
        <v>0</v>
      </c>
      <c r="AA6023" s="6">
        <v>0</v>
      </c>
      <c r="AB6023" s="4">
        <f t="shared" si="942"/>
        <v>0</v>
      </c>
      <c r="AC6023" s="6">
        <f t="shared" si="940"/>
        <v>0</v>
      </c>
      <c r="AD6023" s="6">
        <f t="shared" si="938"/>
        <v>0</v>
      </c>
      <c r="AE6023" s="14">
        <f>VLOOKUP(I6023,[2]媒体政策预估表!A:N,MATCH(O6023,[2]媒体政策预估表!$A$2:$M$2,0),0)</f>
        <v>0.10299999999999999</v>
      </c>
      <c r="AF6023" s="6">
        <f t="shared" si="935"/>
        <v>0</v>
      </c>
      <c r="AG6023" s="14">
        <v>0</v>
      </c>
      <c r="AH6023" s="99">
        <f t="shared" si="939"/>
        <v>0</v>
      </c>
      <c r="AI6023" s="47"/>
      <c r="AJ6023" s="126" t="e">
        <v>#N/A</v>
      </c>
      <c r="AK6023" s="80">
        <f t="shared" si="943"/>
        <v>0</v>
      </c>
      <c r="AL6023" s="85"/>
      <c r="AM6023" s="85"/>
    </row>
    <row r="6024" spans="1:39" s="86" customFormat="1" ht="13.25" hidden="1" customHeight="1" x14ac:dyDescent="0.3">
      <c r="A6024" s="89" t="s">
        <v>3805</v>
      </c>
      <c r="B6024" s="86" t="s">
        <v>35</v>
      </c>
      <c r="C6024" s="86" t="s">
        <v>65</v>
      </c>
      <c r="D6024" s="86" t="s">
        <v>125</v>
      </c>
      <c r="E6024" s="86" t="s">
        <v>3101</v>
      </c>
      <c r="F6024" s="86" t="s">
        <v>3101</v>
      </c>
      <c r="G6024" s="86" t="s">
        <v>3101</v>
      </c>
      <c r="H6024" s="143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3102</v>
      </c>
      <c r="O6024" s="47" t="s">
        <v>45</v>
      </c>
      <c r="P6024" s="14" t="s">
        <v>46</v>
      </c>
      <c r="Q6024" s="14">
        <v>0.02</v>
      </c>
      <c r="R6024" s="143">
        <v>185192</v>
      </c>
      <c r="S6024" s="47"/>
      <c r="T6024" s="6">
        <v>-5342.56</v>
      </c>
      <c r="U6024" s="6"/>
      <c r="V6024" s="6">
        <v>0</v>
      </c>
      <c r="W6024" s="6">
        <f t="shared" si="936"/>
        <v>-5342.56</v>
      </c>
      <c r="X6024" s="6">
        <f t="shared" si="937"/>
        <v>0</v>
      </c>
      <c r="Y6024" s="13">
        <f t="shared" si="941"/>
        <v>0</v>
      </c>
      <c r="Z6024" s="14">
        <v>0</v>
      </c>
      <c r="AA6024" s="6">
        <v>0</v>
      </c>
      <c r="AB6024" s="4">
        <f t="shared" si="942"/>
        <v>0</v>
      </c>
      <c r="AC6024" s="6">
        <f t="shared" si="940"/>
        <v>0</v>
      </c>
      <c r="AD6024" s="6">
        <f t="shared" si="938"/>
        <v>0</v>
      </c>
      <c r="AE6024" s="14">
        <f>VLOOKUP(I6024,[2]媒体政策预估表!A:N,MATCH(O6024,[2]媒体政策预估表!$A$2:$M$2,0),0)</f>
        <v>0.223</v>
      </c>
      <c r="AF6024" s="6">
        <f t="shared" si="935"/>
        <v>0</v>
      </c>
      <c r="AG6024" s="14">
        <v>0</v>
      </c>
      <c r="AH6024" s="99">
        <f t="shared" si="939"/>
        <v>0</v>
      </c>
      <c r="AI6024" s="47"/>
      <c r="AJ6024" s="126" t="e">
        <v>#N/A</v>
      </c>
      <c r="AK6024" s="80">
        <f t="shared" si="943"/>
        <v>0</v>
      </c>
      <c r="AL6024" s="85"/>
      <c r="AM6024" s="85"/>
    </row>
    <row r="6025" spans="1:39" s="86" customFormat="1" ht="13.25" hidden="1" customHeight="1" x14ac:dyDescent="0.3">
      <c r="A6025" s="89" t="s">
        <v>3792</v>
      </c>
      <c r="B6025" s="86" t="s">
        <v>35</v>
      </c>
      <c r="C6025" s="86" t="s">
        <v>65</v>
      </c>
      <c r="D6025" s="86" t="s">
        <v>125</v>
      </c>
      <c r="E6025" s="86" t="s">
        <v>3101</v>
      </c>
      <c r="F6025" s="86" t="s">
        <v>3101</v>
      </c>
      <c r="G6025" s="86" t="s">
        <v>3101</v>
      </c>
      <c r="H6025" s="143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3102</v>
      </c>
      <c r="O6025" s="47" t="s">
        <v>410</v>
      </c>
      <c r="P6025" s="14" t="s">
        <v>46</v>
      </c>
      <c r="Q6025" s="14">
        <v>0.02</v>
      </c>
      <c r="R6025" s="143">
        <v>185192</v>
      </c>
      <c r="S6025" s="47"/>
      <c r="T6025" s="6">
        <v>102479.85</v>
      </c>
      <c r="U6025" s="6"/>
      <c r="V6025" s="6">
        <v>0</v>
      </c>
      <c r="W6025" s="6">
        <f t="shared" si="936"/>
        <v>102479.85</v>
      </c>
      <c r="X6025" s="6">
        <f t="shared" si="937"/>
        <v>0</v>
      </c>
      <c r="Y6025" s="13">
        <f t="shared" si="941"/>
        <v>0</v>
      </c>
      <c r="Z6025" s="14">
        <v>0</v>
      </c>
      <c r="AA6025" s="6">
        <v>0</v>
      </c>
      <c r="AB6025" s="4">
        <f t="shared" si="942"/>
        <v>0</v>
      </c>
      <c r="AC6025" s="6">
        <f t="shared" si="940"/>
        <v>0</v>
      </c>
      <c r="AD6025" s="6">
        <f t="shared" si="938"/>
        <v>0</v>
      </c>
      <c r="AE6025" s="14">
        <f>VLOOKUP(I6025,[2]媒体政策预估表!A:N,MATCH(O6025,[2]媒体政策预估表!$A$2:$M$2,0),0)</f>
        <v>0.10299999999999999</v>
      </c>
      <c r="AF6025" s="6">
        <f t="shared" si="935"/>
        <v>0</v>
      </c>
      <c r="AG6025" s="14">
        <v>0</v>
      </c>
      <c r="AH6025" s="99">
        <f t="shared" si="939"/>
        <v>0</v>
      </c>
      <c r="AI6025" s="47"/>
      <c r="AJ6025" s="126" t="e">
        <v>#N/A</v>
      </c>
      <c r="AK6025" s="80">
        <f t="shared" si="943"/>
        <v>0</v>
      </c>
      <c r="AL6025" s="85"/>
      <c r="AM6025" s="85"/>
    </row>
    <row r="6026" spans="1:39" s="86" customFormat="1" ht="13.25" hidden="1" customHeight="1" x14ac:dyDescent="0.3">
      <c r="A6026" s="89" t="s">
        <v>3794</v>
      </c>
      <c r="B6026" s="86" t="s">
        <v>35</v>
      </c>
      <c r="C6026" s="86" t="s">
        <v>65</v>
      </c>
      <c r="D6026" s="86" t="s">
        <v>66</v>
      </c>
      <c r="E6026" s="86" t="s">
        <v>1907</v>
      </c>
      <c r="F6026" s="86" t="s">
        <v>1908</v>
      </c>
      <c r="G6026" s="86" t="s">
        <v>1907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483</v>
      </c>
      <c r="O6026" s="47" t="s">
        <v>45</v>
      </c>
      <c r="P6026" s="14" t="s">
        <v>41</v>
      </c>
      <c r="Q6026" s="14">
        <v>0</v>
      </c>
      <c r="R6026" s="143">
        <v>41252</v>
      </c>
      <c r="S6026" s="47"/>
      <c r="T6026" s="6">
        <v>-307236.3</v>
      </c>
      <c r="U6026" s="6"/>
      <c r="V6026" s="6">
        <v>0</v>
      </c>
      <c r="W6026" s="6">
        <f t="shared" si="936"/>
        <v>-307236.3</v>
      </c>
      <c r="X6026" s="6">
        <f t="shared" si="937"/>
        <v>0</v>
      </c>
      <c r="Y6026" s="13">
        <f t="shared" si="941"/>
        <v>0</v>
      </c>
      <c r="Z6026" s="14">
        <v>0</v>
      </c>
      <c r="AA6026" s="6">
        <v>0</v>
      </c>
      <c r="AB6026" s="4">
        <f t="shared" si="942"/>
        <v>0</v>
      </c>
      <c r="AC6026" s="6">
        <f t="shared" si="940"/>
        <v>0</v>
      </c>
      <c r="AD6026" s="6">
        <f t="shared" si="938"/>
        <v>0</v>
      </c>
      <c r="AE6026" s="14">
        <f>VLOOKUP(I6026,[2]媒体政策预估表!A:N,MATCH(O6026,[2]媒体政策预估表!$A$2:$M$2,0),0)</f>
        <v>0.223</v>
      </c>
      <c r="AF6026" s="6">
        <f t="shared" si="935"/>
        <v>0</v>
      </c>
      <c r="AG6026" s="14">
        <v>0</v>
      </c>
      <c r="AH6026" s="99">
        <f t="shared" si="939"/>
        <v>0</v>
      </c>
      <c r="AI6026" s="47"/>
      <c r="AJ6026" s="126" t="e">
        <v>#N/A</v>
      </c>
      <c r="AK6026" s="80">
        <f t="shared" si="943"/>
        <v>0</v>
      </c>
      <c r="AL6026" s="85"/>
      <c r="AM6026" s="85"/>
    </row>
    <row r="6027" spans="1:39" s="86" customFormat="1" ht="13.25" hidden="1" customHeight="1" x14ac:dyDescent="0.3">
      <c r="A6027" s="89" t="s">
        <v>3794</v>
      </c>
      <c r="B6027" s="86" t="s">
        <v>35</v>
      </c>
      <c r="C6027" s="86" t="s">
        <v>184</v>
      </c>
      <c r="D6027" s="86" t="s">
        <v>3849</v>
      </c>
      <c r="E6027" s="86" t="s">
        <v>2789</v>
      </c>
      <c r="F6027" s="86" t="s">
        <v>2789</v>
      </c>
      <c r="G6027" s="86" t="s">
        <v>2789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2789</v>
      </c>
      <c r="O6027" s="47" t="s">
        <v>45</v>
      </c>
      <c r="P6027" s="14" t="s">
        <v>41</v>
      </c>
      <c r="Q6027" s="14">
        <v>0</v>
      </c>
      <c r="R6027" s="143">
        <v>34612</v>
      </c>
      <c r="S6027" s="47"/>
      <c r="T6027" s="6">
        <v>-1416309.59</v>
      </c>
      <c r="U6027" s="6"/>
      <c r="V6027" s="6">
        <v>22024.400000000001</v>
      </c>
      <c r="W6027" s="6">
        <f t="shared" si="936"/>
        <v>-1438333.99</v>
      </c>
      <c r="X6027" s="6">
        <f t="shared" si="937"/>
        <v>22024.400000000001</v>
      </c>
      <c r="Y6027" s="13">
        <f t="shared" si="941"/>
        <v>0</v>
      </c>
      <c r="Z6027" s="14">
        <v>0</v>
      </c>
      <c r="AA6027" s="6">
        <v>0</v>
      </c>
      <c r="AB6027" s="4">
        <f t="shared" si="942"/>
        <v>22024.400000000001</v>
      </c>
      <c r="AC6027" s="6">
        <f t="shared" si="940"/>
        <v>0</v>
      </c>
      <c r="AD6027" s="6">
        <f t="shared" si="938"/>
        <v>22024.400000000001</v>
      </c>
      <c r="AE6027" s="14">
        <f>VLOOKUP(I6027,[2]媒体政策预估表!A:N,MATCH(O6027,[2]媒体政策预估表!$A$2:$M$2,0),0)</f>
        <v>0.223</v>
      </c>
      <c r="AF6027" s="6">
        <f t="shared" si="935"/>
        <v>4911.4412000000002</v>
      </c>
      <c r="AG6027" s="14">
        <v>0</v>
      </c>
      <c r="AH6027" s="99">
        <f t="shared" si="939"/>
        <v>22024.400000000001</v>
      </c>
      <c r="AI6027" s="47"/>
      <c r="AJ6027" s="126" t="e">
        <v>#N/A</v>
      </c>
      <c r="AK6027" s="80">
        <f t="shared" si="943"/>
        <v>0</v>
      </c>
      <c r="AL6027" s="85"/>
      <c r="AM6027" s="85"/>
    </row>
    <row r="6028" spans="1:39" s="86" customFormat="1" ht="13.25" hidden="1" customHeight="1" x14ac:dyDescent="0.3">
      <c r="A6028" s="89" t="s">
        <v>3794</v>
      </c>
      <c r="B6028" s="86" t="s">
        <v>35</v>
      </c>
      <c r="C6028" s="86" t="s">
        <v>47</v>
      </c>
      <c r="D6028" s="86" t="s">
        <v>63</v>
      </c>
      <c r="E6028" s="86" t="s">
        <v>3103</v>
      </c>
      <c r="F6028" s="86" t="s">
        <v>3103</v>
      </c>
      <c r="G6028" s="86" t="s">
        <v>3103</v>
      </c>
      <c r="H6028" s="143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3104</v>
      </c>
      <c r="O6028" s="47" t="s">
        <v>410</v>
      </c>
      <c r="P6028" s="14" t="s">
        <v>46</v>
      </c>
      <c r="Q6028" s="14">
        <v>0.06</v>
      </c>
      <c r="R6028" s="143">
        <v>8028</v>
      </c>
      <c r="S6028" s="47"/>
      <c r="T6028" s="6">
        <v>10000</v>
      </c>
      <c r="U6028" s="6"/>
      <c r="V6028" s="6">
        <v>0</v>
      </c>
      <c r="W6028" s="6">
        <f t="shared" si="936"/>
        <v>10000</v>
      </c>
      <c r="X6028" s="6">
        <f t="shared" si="937"/>
        <v>0</v>
      </c>
      <c r="Y6028" s="13">
        <f t="shared" si="941"/>
        <v>0</v>
      </c>
      <c r="Z6028" s="14">
        <v>0</v>
      </c>
      <c r="AA6028" s="6">
        <v>0</v>
      </c>
      <c r="AB6028" s="4">
        <f t="shared" si="942"/>
        <v>0</v>
      </c>
      <c r="AC6028" s="6">
        <f t="shared" si="940"/>
        <v>0</v>
      </c>
      <c r="AD6028" s="6">
        <f t="shared" si="938"/>
        <v>0</v>
      </c>
      <c r="AE6028" s="14">
        <f>VLOOKUP(I6028,[2]媒体政策预估表!A:N,MATCH(O6028,[2]媒体政策预估表!$A$2:$M$2,0),0)</f>
        <v>0.10299999999999999</v>
      </c>
      <c r="AF6028" s="6">
        <f t="shared" si="935"/>
        <v>0</v>
      </c>
      <c r="AG6028" s="14">
        <v>0</v>
      </c>
      <c r="AH6028" s="99">
        <f t="shared" si="939"/>
        <v>0</v>
      </c>
      <c r="AI6028" s="47"/>
      <c r="AJ6028" s="126" t="e">
        <v>#N/A</v>
      </c>
      <c r="AK6028" s="80">
        <f t="shared" si="943"/>
        <v>0</v>
      </c>
      <c r="AL6028" s="85"/>
      <c r="AM6028" s="85"/>
    </row>
    <row r="6029" spans="1:39" s="86" customFormat="1" ht="13.25" hidden="1" customHeight="1" x14ac:dyDescent="0.3">
      <c r="A6029" s="89" t="s">
        <v>3794</v>
      </c>
      <c r="B6029" s="86" t="s">
        <v>35</v>
      </c>
      <c r="C6029" s="86" t="s">
        <v>47</v>
      </c>
      <c r="D6029" s="86" t="s">
        <v>63</v>
      </c>
      <c r="E6029" s="86" t="s">
        <v>3105</v>
      </c>
      <c r="F6029" s="86" t="s">
        <v>3105</v>
      </c>
      <c r="G6029" s="86" t="s">
        <v>3105</v>
      </c>
      <c r="H6029" s="143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3106</v>
      </c>
      <c r="O6029" s="47" t="s">
        <v>410</v>
      </c>
      <c r="P6029" s="14" t="s">
        <v>46</v>
      </c>
      <c r="Q6029" s="14">
        <v>0.05</v>
      </c>
      <c r="R6029" s="143">
        <v>6086</v>
      </c>
      <c r="S6029" s="47"/>
      <c r="T6029" s="6">
        <v>8478.73</v>
      </c>
      <c r="U6029" s="6"/>
      <c r="V6029" s="6">
        <v>0</v>
      </c>
      <c r="W6029" s="6">
        <f t="shared" si="936"/>
        <v>8478.73</v>
      </c>
      <c r="X6029" s="6">
        <f t="shared" si="937"/>
        <v>0</v>
      </c>
      <c r="Y6029" s="13">
        <f t="shared" si="941"/>
        <v>0</v>
      </c>
      <c r="Z6029" s="14">
        <v>0</v>
      </c>
      <c r="AA6029" s="6">
        <v>0</v>
      </c>
      <c r="AB6029" s="4">
        <f t="shared" si="942"/>
        <v>0</v>
      </c>
      <c r="AC6029" s="6">
        <f t="shared" si="940"/>
        <v>0</v>
      </c>
      <c r="AD6029" s="6">
        <f t="shared" si="938"/>
        <v>0</v>
      </c>
      <c r="AE6029" s="14">
        <f>VLOOKUP(I6029,[2]媒体政策预估表!A:N,MATCH(O6029,[2]媒体政策预估表!$A$2:$M$2,0),0)</f>
        <v>0.10299999999999999</v>
      </c>
      <c r="AF6029" s="6">
        <f t="shared" si="935"/>
        <v>0</v>
      </c>
      <c r="AG6029" s="14">
        <v>0</v>
      </c>
      <c r="AH6029" s="99">
        <f t="shared" si="939"/>
        <v>0</v>
      </c>
      <c r="AI6029" s="47"/>
      <c r="AJ6029" s="126" t="e">
        <v>#N/A</v>
      </c>
      <c r="AK6029" s="80">
        <f t="shared" si="943"/>
        <v>0</v>
      </c>
      <c r="AL6029" s="85"/>
      <c r="AM6029" s="85"/>
    </row>
    <row r="6030" spans="1:39" s="86" customFormat="1" ht="13.25" hidden="1" customHeight="1" x14ac:dyDescent="0.3">
      <c r="A6030" s="89" t="s">
        <v>3794</v>
      </c>
      <c r="B6030" s="86" t="s">
        <v>35</v>
      </c>
      <c r="C6030" s="86" t="s">
        <v>47</v>
      </c>
      <c r="D6030" s="86" t="s">
        <v>63</v>
      </c>
      <c r="E6030" s="86" t="s">
        <v>3107</v>
      </c>
      <c r="F6030" s="86" t="s">
        <v>3107</v>
      </c>
      <c r="G6030" s="86" t="s">
        <v>3107</v>
      </c>
      <c r="H6030" s="143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3108</v>
      </c>
      <c r="O6030" s="47" t="s">
        <v>410</v>
      </c>
      <c r="P6030" s="14" t="s">
        <v>46</v>
      </c>
      <c r="Q6030" s="14">
        <v>0.05</v>
      </c>
      <c r="R6030" s="143">
        <v>3487</v>
      </c>
      <c r="S6030" s="47"/>
      <c r="T6030" s="6">
        <v>1105.3699999999999</v>
      </c>
      <c r="U6030" s="6"/>
      <c r="V6030" s="6">
        <v>0</v>
      </c>
      <c r="W6030" s="6">
        <f t="shared" si="936"/>
        <v>1105.3699999999999</v>
      </c>
      <c r="X6030" s="6">
        <f t="shared" si="937"/>
        <v>0</v>
      </c>
      <c r="Y6030" s="13">
        <f t="shared" si="941"/>
        <v>0</v>
      </c>
      <c r="Z6030" s="14">
        <v>0</v>
      </c>
      <c r="AA6030" s="6">
        <v>0</v>
      </c>
      <c r="AB6030" s="4">
        <f t="shared" si="942"/>
        <v>0</v>
      </c>
      <c r="AC6030" s="6">
        <f t="shared" si="940"/>
        <v>0</v>
      </c>
      <c r="AD6030" s="6">
        <f t="shared" si="938"/>
        <v>0</v>
      </c>
      <c r="AE6030" s="14">
        <f>VLOOKUP(I6030,[2]媒体政策预估表!A:N,MATCH(O6030,[2]媒体政策预估表!$A$2:$M$2,0),0)</f>
        <v>0.10299999999999999</v>
      </c>
      <c r="AF6030" s="6">
        <f t="shared" si="935"/>
        <v>0</v>
      </c>
      <c r="AG6030" s="14">
        <v>0</v>
      </c>
      <c r="AH6030" s="99">
        <f t="shared" si="939"/>
        <v>0</v>
      </c>
      <c r="AI6030" s="47"/>
      <c r="AJ6030" s="126" t="e">
        <v>#N/A</v>
      </c>
      <c r="AK6030" s="80">
        <f t="shared" si="943"/>
        <v>0</v>
      </c>
      <c r="AL6030" s="85"/>
      <c r="AM6030" s="85"/>
    </row>
    <row r="6031" spans="1:39" s="86" customFormat="1" ht="13.25" hidden="1" customHeight="1" x14ac:dyDescent="0.3">
      <c r="A6031" s="89" t="s">
        <v>3805</v>
      </c>
      <c r="B6031" s="86" t="s">
        <v>35</v>
      </c>
      <c r="C6031" s="86" t="s">
        <v>47</v>
      </c>
      <c r="D6031" s="86" t="s">
        <v>63</v>
      </c>
      <c r="E6031" s="86" t="s">
        <v>906</v>
      </c>
      <c r="F6031" s="86" t="s">
        <v>3109</v>
      </c>
      <c r="G6031" s="86" t="s">
        <v>906</v>
      </c>
      <c r="H6031" s="143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3110</v>
      </c>
      <c r="O6031" s="47" t="s">
        <v>410</v>
      </c>
      <c r="P6031" s="14" t="s">
        <v>75</v>
      </c>
      <c r="Q6031" s="14">
        <v>0.04</v>
      </c>
      <c r="R6031" s="143">
        <v>3193</v>
      </c>
      <c r="S6031" s="47"/>
      <c r="T6031" s="6">
        <v>500000</v>
      </c>
      <c r="U6031" s="6"/>
      <c r="V6031" s="6">
        <v>0</v>
      </c>
      <c r="W6031" s="6">
        <f t="shared" si="936"/>
        <v>500000</v>
      </c>
      <c r="X6031" s="6">
        <f t="shared" si="937"/>
        <v>0</v>
      </c>
      <c r="Y6031" s="13">
        <f t="shared" si="941"/>
        <v>0</v>
      </c>
      <c r="Z6031" s="14">
        <v>0</v>
      </c>
      <c r="AA6031" s="6">
        <v>0</v>
      </c>
      <c r="AB6031" s="4">
        <f t="shared" si="942"/>
        <v>0</v>
      </c>
      <c r="AC6031" s="6">
        <f t="shared" si="940"/>
        <v>0</v>
      </c>
      <c r="AD6031" s="6">
        <f t="shared" si="938"/>
        <v>0</v>
      </c>
      <c r="AE6031" s="14">
        <f>VLOOKUP(I6031,[2]媒体政策预估表!A:N,MATCH(O6031,[2]媒体政策预估表!$A$2:$M$2,0),0)</f>
        <v>0.10299999999999999</v>
      </c>
      <c r="AF6031" s="6">
        <f t="shared" si="935"/>
        <v>0</v>
      </c>
      <c r="AG6031" s="14">
        <v>0</v>
      </c>
      <c r="AH6031" s="99">
        <f t="shared" si="939"/>
        <v>0</v>
      </c>
      <c r="AI6031" s="47"/>
      <c r="AJ6031" s="126" t="e">
        <v>#N/A</v>
      </c>
      <c r="AK6031" s="80">
        <f t="shared" si="943"/>
        <v>0</v>
      </c>
      <c r="AL6031" s="85"/>
      <c r="AM6031" s="85"/>
    </row>
    <row r="6032" spans="1:39" s="86" customFormat="1" ht="13.25" hidden="1" customHeight="1" x14ac:dyDescent="0.3">
      <c r="A6032" s="89" t="s">
        <v>3792</v>
      </c>
      <c r="B6032" s="86" t="s">
        <v>35</v>
      </c>
      <c r="C6032" s="86" t="s">
        <v>144</v>
      </c>
      <c r="D6032" s="86" t="s">
        <v>303</v>
      </c>
      <c r="E6032" s="86" t="s">
        <v>3111</v>
      </c>
      <c r="F6032" s="86" t="s">
        <v>3111</v>
      </c>
      <c r="G6032" s="86" t="s">
        <v>3111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3112</v>
      </c>
      <c r="O6032" s="47" t="s">
        <v>410</v>
      </c>
      <c r="P6032" s="14" t="s">
        <v>46</v>
      </c>
      <c r="Q6032" s="14">
        <v>0.02</v>
      </c>
      <c r="R6032" s="143">
        <v>133322</v>
      </c>
      <c r="S6032" s="47"/>
      <c r="T6032" s="6">
        <v>26746.11</v>
      </c>
      <c r="U6032" s="6"/>
      <c r="V6032" s="6">
        <v>0</v>
      </c>
      <c r="W6032" s="6">
        <f t="shared" si="936"/>
        <v>26746.11</v>
      </c>
      <c r="X6032" s="6">
        <f t="shared" si="937"/>
        <v>0</v>
      </c>
      <c r="Y6032" s="13">
        <f t="shared" si="941"/>
        <v>0</v>
      </c>
      <c r="Z6032" s="14">
        <v>0</v>
      </c>
      <c r="AA6032" s="6">
        <v>0</v>
      </c>
      <c r="AB6032" s="4">
        <f t="shared" si="942"/>
        <v>0</v>
      </c>
      <c r="AC6032" s="6">
        <f t="shared" si="940"/>
        <v>0</v>
      </c>
      <c r="AD6032" s="6">
        <f t="shared" si="938"/>
        <v>0</v>
      </c>
      <c r="AE6032" s="14">
        <f>VLOOKUP(I6032,[2]媒体政策预估表!A:N,MATCH(O6032,[2]媒体政策预估表!$A$2:$M$2,0),0)</f>
        <v>0.10299999999999999</v>
      </c>
      <c r="AF6032" s="6">
        <f t="shared" si="935"/>
        <v>0</v>
      </c>
      <c r="AG6032" s="14">
        <v>0</v>
      </c>
      <c r="AH6032" s="99">
        <f t="shared" si="939"/>
        <v>0</v>
      </c>
      <c r="AI6032" s="47"/>
      <c r="AJ6032" s="126" t="e">
        <v>#N/A</v>
      </c>
      <c r="AK6032" s="80">
        <f t="shared" si="943"/>
        <v>0</v>
      </c>
      <c r="AL6032" s="85"/>
      <c r="AM6032" s="85"/>
    </row>
    <row r="6033" spans="1:39" s="86" customFormat="1" ht="13.25" hidden="1" customHeight="1" x14ac:dyDescent="0.3">
      <c r="A6033" s="89" t="s">
        <v>3794</v>
      </c>
      <c r="B6033" s="86" t="s">
        <v>35</v>
      </c>
      <c r="C6033" s="86" t="s">
        <v>144</v>
      </c>
      <c r="D6033" s="86" t="s">
        <v>303</v>
      </c>
      <c r="E6033" s="86" t="s">
        <v>3113</v>
      </c>
      <c r="F6033" s="86" t="s">
        <v>3113</v>
      </c>
      <c r="G6033" s="86" t="s">
        <v>3113</v>
      </c>
      <c r="H6033" s="143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3114</v>
      </c>
      <c r="O6033" s="47" t="s">
        <v>45</v>
      </c>
      <c r="P6033" s="14" t="s">
        <v>46</v>
      </c>
      <c r="Q6033" s="14">
        <v>0.15</v>
      </c>
      <c r="R6033" s="143">
        <v>8533</v>
      </c>
      <c r="S6033" s="47"/>
      <c r="T6033" s="6">
        <v>1262.4100000000001</v>
      </c>
      <c r="U6033" s="6"/>
      <c r="V6033" s="6">
        <v>0</v>
      </c>
      <c r="W6033" s="6">
        <f t="shared" si="936"/>
        <v>1262.4100000000001</v>
      </c>
      <c r="X6033" s="6">
        <f t="shared" si="937"/>
        <v>0</v>
      </c>
      <c r="Y6033" s="13">
        <f t="shared" si="941"/>
        <v>0</v>
      </c>
      <c r="Z6033" s="14">
        <v>0</v>
      </c>
      <c r="AA6033" s="6">
        <v>0</v>
      </c>
      <c r="AB6033" s="4">
        <f t="shared" si="942"/>
        <v>0</v>
      </c>
      <c r="AC6033" s="6">
        <f t="shared" si="940"/>
        <v>0</v>
      </c>
      <c r="AD6033" s="6">
        <f t="shared" si="938"/>
        <v>0</v>
      </c>
      <c r="AE6033" s="14">
        <f>VLOOKUP(I6033,[2]媒体政策预估表!A:N,MATCH(O6033,[2]媒体政策预估表!$A$2:$M$2,0),0)</f>
        <v>0.223</v>
      </c>
      <c r="AF6033" s="6">
        <f t="shared" si="935"/>
        <v>0</v>
      </c>
      <c r="AG6033" s="14">
        <v>0</v>
      </c>
      <c r="AH6033" s="99">
        <f t="shared" si="939"/>
        <v>0</v>
      </c>
      <c r="AI6033" s="47"/>
      <c r="AJ6033" s="126" t="e">
        <v>#N/A</v>
      </c>
      <c r="AK6033" s="80">
        <f t="shared" si="943"/>
        <v>0</v>
      </c>
      <c r="AL6033" s="85"/>
      <c r="AM6033" s="85"/>
    </row>
    <row r="6034" spans="1:39" s="86" customFormat="1" ht="13.25" hidden="1" customHeight="1" x14ac:dyDescent="0.3">
      <c r="A6034" s="89" t="s">
        <v>3794</v>
      </c>
      <c r="B6034" s="86" t="s">
        <v>35</v>
      </c>
      <c r="C6034" s="86" t="s">
        <v>164</v>
      </c>
      <c r="D6034" s="86" t="s">
        <v>174</v>
      </c>
      <c r="E6034" s="86" t="s">
        <v>2272</v>
      </c>
      <c r="F6034" s="86" t="s">
        <v>2272</v>
      </c>
      <c r="G6034" s="86" t="s">
        <v>2272</v>
      </c>
      <c r="H6034" s="143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2273</v>
      </c>
      <c r="O6034" s="47" t="s">
        <v>410</v>
      </c>
      <c r="P6034" s="14" t="s">
        <v>46</v>
      </c>
      <c r="Q6034" s="14">
        <v>0.14000000000000001</v>
      </c>
      <c r="R6034" s="143">
        <v>84202</v>
      </c>
      <c r="S6034" s="47"/>
      <c r="T6034" s="6">
        <v>7397.8599999999988</v>
      </c>
      <c r="U6034" s="6"/>
      <c r="V6034" s="6">
        <v>0</v>
      </c>
      <c r="W6034" s="6">
        <f t="shared" si="936"/>
        <v>7397.8599999999988</v>
      </c>
      <c r="X6034" s="6">
        <f t="shared" si="937"/>
        <v>0</v>
      </c>
      <c r="Y6034" s="13">
        <f t="shared" si="941"/>
        <v>0</v>
      </c>
      <c r="Z6034" s="14">
        <v>0</v>
      </c>
      <c r="AA6034" s="6">
        <v>0</v>
      </c>
      <c r="AB6034" s="4">
        <f t="shared" si="942"/>
        <v>0</v>
      </c>
      <c r="AC6034" s="6">
        <f t="shared" si="940"/>
        <v>0</v>
      </c>
      <c r="AD6034" s="6">
        <f t="shared" si="938"/>
        <v>0</v>
      </c>
      <c r="AE6034" s="14">
        <f>VLOOKUP(I6034,[2]媒体政策预估表!A:N,MATCH(O6034,[2]媒体政策预估表!$A$2:$M$2,0),0)</f>
        <v>0.10299999999999999</v>
      </c>
      <c r="AF6034" s="6">
        <f t="shared" si="935"/>
        <v>0</v>
      </c>
      <c r="AG6034" s="14">
        <v>0</v>
      </c>
      <c r="AH6034" s="99">
        <f t="shared" si="939"/>
        <v>0</v>
      </c>
      <c r="AI6034" s="47"/>
      <c r="AJ6034" s="126" t="e">
        <v>#N/A</v>
      </c>
      <c r="AK6034" s="80">
        <f t="shared" si="943"/>
        <v>0</v>
      </c>
      <c r="AL6034" s="85"/>
      <c r="AM6034" s="85"/>
    </row>
    <row r="6035" spans="1:39" s="86" customFormat="1" ht="13.25" hidden="1" customHeight="1" x14ac:dyDescent="0.3">
      <c r="A6035" s="89" t="s">
        <v>3794</v>
      </c>
      <c r="B6035" s="86" t="s">
        <v>35</v>
      </c>
      <c r="C6035" s="86" t="s">
        <v>164</v>
      </c>
      <c r="D6035" s="86" t="s">
        <v>3407</v>
      </c>
      <c r="E6035" s="86" t="s">
        <v>182</v>
      </c>
      <c r="F6035" s="86" t="s">
        <v>183</v>
      </c>
      <c r="G6035" s="86" t="s">
        <v>182</v>
      </c>
      <c r="H6035" s="143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1832</v>
      </c>
      <c r="O6035" s="47" t="s">
        <v>45</v>
      </c>
      <c r="P6035" s="14" t="s">
        <v>41</v>
      </c>
      <c r="Q6035" s="14">
        <v>0</v>
      </c>
      <c r="R6035" s="143">
        <v>16472</v>
      </c>
      <c r="S6035" s="47"/>
      <c r="T6035" s="6">
        <v>-259787.84</v>
      </c>
      <c r="U6035" s="6"/>
      <c r="V6035" s="6">
        <v>0</v>
      </c>
      <c r="W6035" s="6">
        <f t="shared" si="936"/>
        <v>-259787.84</v>
      </c>
      <c r="X6035" s="6">
        <f t="shared" si="937"/>
        <v>0</v>
      </c>
      <c r="Y6035" s="13">
        <f t="shared" si="941"/>
        <v>0</v>
      </c>
      <c r="Z6035" s="14">
        <v>0.02</v>
      </c>
      <c r="AA6035" s="6">
        <f>X6035/(1-Z6035)*Z6035</f>
        <v>0</v>
      </c>
      <c r="AB6035" s="4">
        <f t="shared" si="942"/>
        <v>0</v>
      </c>
      <c r="AC6035" s="6">
        <f t="shared" si="940"/>
        <v>0</v>
      </c>
      <c r="AD6035" s="6">
        <f t="shared" si="938"/>
        <v>0</v>
      </c>
      <c r="AE6035" s="14">
        <f>VLOOKUP(I6035,[2]媒体政策预估表!A:N,MATCH(O6035,[2]媒体政策预估表!$A$2:$M$2,0),0)</f>
        <v>0.223</v>
      </c>
      <c r="AF6035" s="6">
        <f t="shared" si="935"/>
        <v>0</v>
      </c>
      <c r="AG6035" s="14">
        <v>0</v>
      </c>
      <c r="AH6035" s="99">
        <f t="shared" si="939"/>
        <v>0</v>
      </c>
      <c r="AI6035" s="47"/>
      <c r="AJ6035" s="126" t="e">
        <v>#N/A</v>
      </c>
      <c r="AK6035" s="80">
        <f t="shared" si="943"/>
        <v>0</v>
      </c>
      <c r="AL6035" s="85"/>
      <c r="AM6035" s="85"/>
    </row>
    <row r="6036" spans="1:39" s="86" customFormat="1" ht="13.25" hidden="1" customHeight="1" x14ac:dyDescent="0.3">
      <c r="A6036" s="89" t="s">
        <v>3794</v>
      </c>
      <c r="B6036" s="86" t="s">
        <v>35</v>
      </c>
      <c r="C6036" s="86" t="s">
        <v>164</v>
      </c>
      <c r="D6036" s="86" t="s">
        <v>3407</v>
      </c>
      <c r="E6036" s="86" t="s">
        <v>3069</v>
      </c>
      <c r="F6036" s="86" t="s">
        <v>3069</v>
      </c>
      <c r="G6036" s="86" t="s">
        <v>3069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3070</v>
      </c>
      <c r="O6036" s="47" t="s">
        <v>45</v>
      </c>
      <c r="P6036" s="14" t="s">
        <v>46</v>
      </c>
      <c r="Q6036" s="14">
        <v>0.02</v>
      </c>
      <c r="R6036" s="143">
        <v>48782</v>
      </c>
      <c r="S6036" s="47"/>
      <c r="T6036" s="6">
        <v>-608863</v>
      </c>
      <c r="U6036" s="6"/>
      <c r="V6036" s="6">
        <v>49889.7</v>
      </c>
      <c r="W6036" s="6">
        <f t="shared" si="936"/>
        <v>-658752.69999999995</v>
      </c>
      <c r="X6036" s="6">
        <f t="shared" si="937"/>
        <v>48911.470588235294</v>
      </c>
      <c r="Y6036" s="13">
        <f t="shared" si="941"/>
        <v>0</v>
      </c>
      <c r="Z6036" s="14">
        <v>0</v>
      </c>
      <c r="AA6036" s="6">
        <v>0</v>
      </c>
      <c r="AB6036" s="4">
        <f t="shared" si="942"/>
        <v>48911.470588235294</v>
      </c>
      <c r="AC6036" s="6">
        <f t="shared" si="940"/>
        <v>978.2294117647034</v>
      </c>
      <c r="AD6036" s="6">
        <f t="shared" si="938"/>
        <v>49889.7</v>
      </c>
      <c r="AE6036" s="14">
        <f>VLOOKUP(I6036,[2]媒体政策预估表!A:N,MATCH(O6036,[2]媒体政策预估表!$A$2:$M$2,0),0)</f>
        <v>0.223</v>
      </c>
      <c r="AF6036" s="6">
        <f t="shared" si="935"/>
        <v>11125.4031</v>
      </c>
      <c r="AG6036" s="14">
        <v>0</v>
      </c>
      <c r="AH6036" s="99">
        <f t="shared" si="939"/>
        <v>49889.7</v>
      </c>
      <c r="AI6036" s="47"/>
      <c r="AJ6036" s="126" t="e">
        <v>#N/A</v>
      </c>
      <c r="AK6036" s="80">
        <f t="shared" si="943"/>
        <v>0</v>
      </c>
      <c r="AL6036" s="85"/>
      <c r="AM6036" s="85"/>
    </row>
    <row r="6037" spans="1:39" s="86" customFormat="1" ht="13.25" hidden="1" customHeight="1" x14ac:dyDescent="0.3">
      <c r="A6037" s="89" t="s">
        <v>3805</v>
      </c>
      <c r="B6037" s="86" t="s">
        <v>35</v>
      </c>
      <c r="C6037" s="86" t="s">
        <v>164</v>
      </c>
      <c r="D6037" s="86" t="s">
        <v>3407</v>
      </c>
      <c r="E6037" s="86" t="s">
        <v>3115</v>
      </c>
      <c r="F6037" s="86" t="s">
        <v>3115</v>
      </c>
      <c r="G6037" s="86" t="s">
        <v>3115</v>
      </c>
      <c r="H6037" s="143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3116</v>
      </c>
      <c r="O6037" s="47" t="s">
        <v>410</v>
      </c>
      <c r="P6037" s="14" t="s">
        <v>46</v>
      </c>
      <c r="Q6037" s="14">
        <v>0.05</v>
      </c>
      <c r="R6037" s="143">
        <v>8283</v>
      </c>
      <c r="S6037" s="47"/>
      <c r="T6037" s="6">
        <v>650</v>
      </c>
      <c r="U6037" s="6"/>
      <c r="V6037" s="6">
        <v>0</v>
      </c>
      <c r="W6037" s="6">
        <f t="shared" si="936"/>
        <v>650</v>
      </c>
      <c r="X6037" s="6">
        <f t="shared" si="937"/>
        <v>0</v>
      </c>
      <c r="Y6037" s="13">
        <f t="shared" si="941"/>
        <v>0</v>
      </c>
      <c r="Z6037" s="14">
        <v>0</v>
      </c>
      <c r="AA6037" s="6">
        <v>0</v>
      </c>
      <c r="AB6037" s="4"/>
      <c r="AC6037" s="6">
        <f t="shared" si="940"/>
        <v>0</v>
      </c>
      <c r="AD6037" s="6">
        <f t="shared" si="938"/>
        <v>0</v>
      </c>
      <c r="AE6037" s="14">
        <f>VLOOKUP(I6037,[2]媒体政策预估表!A:N,MATCH(O6037,[2]媒体政策预估表!$A$2:$M$2,0),0)</f>
        <v>0.10299999999999999</v>
      </c>
      <c r="AF6037" s="6">
        <f t="shared" si="935"/>
        <v>0</v>
      </c>
      <c r="AG6037" s="14">
        <v>0</v>
      </c>
      <c r="AH6037" s="99">
        <f t="shared" si="939"/>
        <v>0</v>
      </c>
      <c r="AI6037" s="47"/>
      <c r="AJ6037" s="126">
        <v>3</v>
      </c>
      <c r="AK6037" s="80">
        <f t="shared" si="943"/>
        <v>0</v>
      </c>
      <c r="AL6037" s="85"/>
      <c r="AM6037" s="85"/>
    </row>
    <row r="6038" spans="1:39" s="86" customFormat="1" ht="13.25" hidden="1" customHeight="1" x14ac:dyDescent="0.3">
      <c r="A6038" s="89" t="s">
        <v>3792</v>
      </c>
      <c r="B6038" s="86" t="s">
        <v>35</v>
      </c>
      <c r="C6038" s="86" t="s">
        <v>184</v>
      </c>
      <c r="D6038" s="86" t="s">
        <v>224</v>
      </c>
      <c r="E6038" s="86" t="s">
        <v>2290</v>
      </c>
      <c r="F6038" s="86" t="s">
        <v>2292</v>
      </c>
      <c r="G6038" s="86" t="s">
        <v>2290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2293</v>
      </c>
      <c r="O6038" s="47" t="s">
        <v>410</v>
      </c>
      <c r="P6038" s="14" t="s">
        <v>46</v>
      </c>
      <c r="Q6038" s="14">
        <v>0.02</v>
      </c>
      <c r="R6038" s="143">
        <v>125032</v>
      </c>
      <c r="S6038" s="47"/>
      <c r="T6038" s="6">
        <v>19864.599999999999</v>
      </c>
      <c r="U6038" s="6"/>
      <c r="V6038" s="6">
        <v>0</v>
      </c>
      <c r="W6038" s="6">
        <f t="shared" si="936"/>
        <v>19864.599999999999</v>
      </c>
      <c r="X6038" s="6">
        <f t="shared" si="937"/>
        <v>0</v>
      </c>
      <c r="Y6038" s="13">
        <f t="shared" si="941"/>
        <v>0</v>
      </c>
      <c r="Z6038" s="14">
        <v>0</v>
      </c>
      <c r="AA6038" s="6">
        <v>0</v>
      </c>
      <c r="AB6038" s="4">
        <f t="shared" si="942"/>
        <v>0</v>
      </c>
      <c r="AC6038" s="6">
        <f t="shared" si="940"/>
        <v>0</v>
      </c>
      <c r="AD6038" s="6">
        <f t="shared" si="938"/>
        <v>0</v>
      </c>
      <c r="AE6038" s="14">
        <f>VLOOKUP(I6038,[2]媒体政策预估表!A:N,MATCH(O6038,[2]媒体政策预估表!$A$2:$M$2,0),0)</f>
        <v>0.10299999999999999</v>
      </c>
      <c r="AF6038" s="6">
        <f t="shared" si="935"/>
        <v>0</v>
      </c>
      <c r="AG6038" s="14">
        <v>0</v>
      </c>
      <c r="AH6038" s="99">
        <f t="shared" si="939"/>
        <v>0</v>
      </c>
      <c r="AI6038" s="47"/>
      <c r="AJ6038" s="126" t="e">
        <v>#N/A</v>
      </c>
      <c r="AK6038" s="80">
        <f t="shared" si="943"/>
        <v>0</v>
      </c>
      <c r="AL6038" s="85"/>
      <c r="AM6038" s="85"/>
    </row>
    <row r="6039" spans="1:39" s="86" customFormat="1" ht="13.25" hidden="1" customHeight="1" x14ac:dyDescent="0.3">
      <c r="A6039" s="89" t="s">
        <v>3792</v>
      </c>
      <c r="B6039" s="86" t="s">
        <v>35</v>
      </c>
      <c r="C6039" s="86" t="s">
        <v>184</v>
      </c>
      <c r="D6039" s="86" t="s">
        <v>54</v>
      </c>
      <c r="E6039" s="86" t="s">
        <v>2589</v>
      </c>
      <c r="F6039" s="86" t="s">
        <v>2589</v>
      </c>
      <c r="G6039" s="86" t="s">
        <v>2589</v>
      </c>
      <c r="H6039" s="143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2590</v>
      </c>
      <c r="O6039" s="47" t="s">
        <v>410</v>
      </c>
      <c r="P6039" s="14" t="s">
        <v>41</v>
      </c>
      <c r="Q6039" s="14">
        <v>0</v>
      </c>
      <c r="R6039" s="143">
        <v>73192</v>
      </c>
      <c r="S6039" s="47"/>
      <c r="T6039" s="6">
        <v>2641</v>
      </c>
      <c r="U6039" s="6"/>
      <c r="V6039" s="6">
        <v>0</v>
      </c>
      <c r="W6039" s="6">
        <f t="shared" si="936"/>
        <v>2641</v>
      </c>
      <c r="X6039" s="6">
        <f t="shared" si="937"/>
        <v>0</v>
      </c>
      <c r="Y6039" s="13">
        <f t="shared" si="941"/>
        <v>0</v>
      </c>
      <c r="Z6039" s="14">
        <v>0</v>
      </c>
      <c r="AA6039" s="6">
        <v>0</v>
      </c>
      <c r="AB6039" s="4">
        <f t="shared" si="942"/>
        <v>0</v>
      </c>
      <c r="AC6039" s="6">
        <f t="shared" si="940"/>
        <v>0</v>
      </c>
      <c r="AD6039" s="6">
        <f t="shared" si="938"/>
        <v>0</v>
      </c>
      <c r="AE6039" s="14">
        <f>VLOOKUP(I6039,[2]媒体政策预估表!A:N,MATCH(O6039,[2]媒体政策预估表!$A$2:$M$2,0),0)</f>
        <v>0.10299999999999999</v>
      </c>
      <c r="AF6039" s="6">
        <f t="shared" si="935"/>
        <v>0</v>
      </c>
      <c r="AG6039" s="14">
        <v>0</v>
      </c>
      <c r="AH6039" s="99">
        <f t="shared" si="939"/>
        <v>0</v>
      </c>
      <c r="AI6039" s="47"/>
      <c r="AJ6039" s="126" t="e">
        <v>#N/A</v>
      </c>
      <c r="AK6039" s="80">
        <f t="shared" si="943"/>
        <v>0</v>
      </c>
      <c r="AL6039" s="85"/>
      <c r="AM6039" s="85"/>
    </row>
    <row r="6040" spans="1:39" s="86" customFormat="1" ht="13.25" hidden="1" customHeight="1" x14ac:dyDescent="0.3">
      <c r="A6040" s="89" t="s">
        <v>3792</v>
      </c>
      <c r="B6040" s="86" t="s">
        <v>35</v>
      </c>
      <c r="C6040" s="86" t="s">
        <v>184</v>
      </c>
      <c r="D6040" s="86" t="s">
        <v>54</v>
      </c>
      <c r="E6040" s="86" t="s">
        <v>2590</v>
      </c>
      <c r="F6040" s="86" t="s">
        <v>3118</v>
      </c>
      <c r="G6040" s="86" t="s">
        <v>2590</v>
      </c>
      <c r="H6040" s="143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v>
      </c>
      <c r="R6040" s="143">
        <v>86832</v>
      </c>
      <c r="S6040" s="47"/>
      <c r="T6040" s="6">
        <v>3533.05</v>
      </c>
      <c r="U6040" s="6"/>
      <c r="V6040" s="6">
        <v>0</v>
      </c>
      <c r="W6040" s="6">
        <f t="shared" si="936"/>
        <v>3533.05</v>
      </c>
      <c r="X6040" s="6">
        <f t="shared" si="937"/>
        <v>0</v>
      </c>
      <c r="Y6040" s="13">
        <f t="shared" si="941"/>
        <v>0</v>
      </c>
      <c r="Z6040" s="14">
        <v>0</v>
      </c>
      <c r="AA6040" s="6">
        <v>0</v>
      </c>
      <c r="AB6040" s="4">
        <f t="shared" si="942"/>
        <v>0</v>
      </c>
      <c r="AC6040" s="6">
        <f t="shared" si="940"/>
        <v>0</v>
      </c>
      <c r="AD6040" s="6">
        <f t="shared" si="938"/>
        <v>0</v>
      </c>
      <c r="AE6040" s="14">
        <f>VLOOKUP(I6040,[2]媒体政策预估表!A:N,MATCH(O6040,[2]媒体政策预估表!$A$2:$M$2,0),0)</f>
        <v>0.10299999999999999</v>
      </c>
      <c r="AF6040" s="6">
        <f t="shared" si="935"/>
        <v>0</v>
      </c>
      <c r="AG6040" s="14">
        <v>0</v>
      </c>
      <c r="AH6040" s="99">
        <f t="shared" si="939"/>
        <v>0</v>
      </c>
      <c r="AI6040" s="47"/>
      <c r="AJ6040" s="126" t="e">
        <v>#N/A</v>
      </c>
      <c r="AK6040" s="80">
        <f t="shared" si="943"/>
        <v>0</v>
      </c>
      <c r="AL6040" s="85"/>
      <c r="AM6040" s="85"/>
    </row>
    <row r="6041" spans="1:39" s="86" customFormat="1" ht="13.25" hidden="1" customHeight="1" x14ac:dyDescent="0.3">
      <c r="A6041" s="89" t="s">
        <v>3794</v>
      </c>
      <c r="B6041" s="86" t="s">
        <v>35</v>
      </c>
      <c r="C6041" s="86" t="s">
        <v>184</v>
      </c>
      <c r="D6041" s="86" t="s">
        <v>54</v>
      </c>
      <c r="E6041" s="86" t="s">
        <v>2740</v>
      </c>
      <c r="F6041" s="86" t="s">
        <v>2740</v>
      </c>
      <c r="G6041" s="86" t="s">
        <v>2740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2948</v>
      </c>
      <c r="O6041" s="47" t="s">
        <v>45</v>
      </c>
      <c r="P6041" s="14" t="s">
        <v>41</v>
      </c>
      <c r="Q6041" s="14">
        <v>0</v>
      </c>
      <c r="R6041" s="143">
        <v>46462</v>
      </c>
      <c r="S6041" s="47"/>
      <c r="T6041" s="6">
        <v>-1153.24</v>
      </c>
      <c r="U6041" s="6"/>
      <c r="V6041" s="6">
        <v>8087.74</v>
      </c>
      <c r="W6041" s="6">
        <f t="shared" si="936"/>
        <v>-9240.98</v>
      </c>
      <c r="X6041" s="6">
        <f t="shared" si="937"/>
        <v>8087.74</v>
      </c>
      <c r="Y6041" s="13">
        <f t="shared" si="941"/>
        <v>0</v>
      </c>
      <c r="Z6041" s="14">
        <v>0</v>
      </c>
      <c r="AA6041" s="6">
        <v>0</v>
      </c>
      <c r="AB6041" s="4">
        <f t="shared" si="942"/>
        <v>8087.74</v>
      </c>
      <c r="AC6041" s="6">
        <f t="shared" si="940"/>
        <v>0</v>
      </c>
      <c r="AD6041" s="6">
        <f t="shared" si="938"/>
        <v>8087.74</v>
      </c>
      <c r="AE6041" s="14">
        <f>VLOOKUP(I6041,[2]媒体政策预估表!A:N,MATCH(O6041,[2]媒体政策预估表!$A$2:$M$2,0),0)</f>
        <v>0.223</v>
      </c>
      <c r="AF6041" s="6">
        <f t="shared" si="935"/>
        <v>1803.56602</v>
      </c>
      <c r="AG6041" s="14">
        <v>0</v>
      </c>
      <c r="AH6041" s="99">
        <f t="shared" si="939"/>
        <v>8087.74</v>
      </c>
      <c r="AI6041" s="47"/>
      <c r="AJ6041" s="126" t="e">
        <v>#N/A</v>
      </c>
      <c r="AK6041" s="80">
        <f t="shared" si="943"/>
        <v>0</v>
      </c>
      <c r="AL6041" s="85"/>
      <c r="AM6041" s="85"/>
    </row>
    <row r="6042" spans="1:39" s="86" customFormat="1" ht="13.25" hidden="1" customHeight="1" x14ac:dyDescent="0.3">
      <c r="A6042" s="89" t="s">
        <v>3794</v>
      </c>
      <c r="B6042" s="86" t="s">
        <v>35</v>
      </c>
      <c r="C6042" s="86" t="s">
        <v>184</v>
      </c>
      <c r="D6042" s="86" t="s">
        <v>54</v>
      </c>
      <c r="E6042" s="86" t="s">
        <v>1200</v>
      </c>
      <c r="F6042" s="86" t="s">
        <v>1201</v>
      </c>
      <c r="G6042" s="86" t="s">
        <v>1200</v>
      </c>
      <c r="H6042" s="143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1200</v>
      </c>
      <c r="O6042" s="47" t="s">
        <v>45</v>
      </c>
      <c r="P6042" s="14" t="s">
        <v>41</v>
      </c>
      <c r="Q6042" s="14">
        <v>0</v>
      </c>
      <c r="R6042" s="143">
        <v>49572</v>
      </c>
      <c r="S6042" s="47"/>
      <c r="T6042" s="6">
        <v>-67672</v>
      </c>
      <c r="U6042" s="6"/>
      <c r="V6042" s="6">
        <v>0</v>
      </c>
      <c r="W6042" s="6">
        <f t="shared" si="936"/>
        <v>-67672</v>
      </c>
      <c r="X6042" s="6">
        <f t="shared" si="937"/>
        <v>0</v>
      </c>
      <c r="Y6042" s="13">
        <f t="shared" si="941"/>
        <v>0</v>
      </c>
      <c r="Z6042" s="14">
        <v>0</v>
      </c>
      <c r="AA6042" s="6">
        <v>0</v>
      </c>
      <c r="AB6042" s="4">
        <f t="shared" si="942"/>
        <v>0</v>
      </c>
      <c r="AC6042" s="6">
        <f t="shared" si="940"/>
        <v>0</v>
      </c>
      <c r="AD6042" s="6">
        <f t="shared" si="938"/>
        <v>0</v>
      </c>
      <c r="AE6042" s="14">
        <f>VLOOKUP(I6042,[2]媒体政策预估表!A:N,MATCH(O6042,[2]媒体政策预估表!$A$2:$M$2,0),0)</f>
        <v>0.223</v>
      </c>
      <c r="AF6042" s="6">
        <f t="shared" si="935"/>
        <v>0</v>
      </c>
      <c r="AG6042" s="14">
        <v>0</v>
      </c>
      <c r="AH6042" s="99">
        <f t="shared" si="939"/>
        <v>0</v>
      </c>
      <c r="AI6042" s="47"/>
      <c r="AJ6042" s="126" t="e">
        <v>#N/A</v>
      </c>
      <c r="AK6042" s="80">
        <f t="shared" si="943"/>
        <v>0</v>
      </c>
      <c r="AL6042" s="85"/>
      <c r="AM6042" s="85"/>
    </row>
    <row r="6043" spans="1:39" s="86" customFormat="1" ht="13.25" hidden="1" customHeight="1" x14ac:dyDescent="0.3">
      <c r="A6043" s="89" t="s">
        <v>3794</v>
      </c>
      <c r="B6043" s="86" t="s">
        <v>35</v>
      </c>
      <c r="C6043" s="86" t="s">
        <v>184</v>
      </c>
      <c r="D6043" s="86" t="s">
        <v>54</v>
      </c>
      <c r="E6043" s="86" t="s">
        <v>458</v>
      </c>
      <c r="F6043" s="86" t="s">
        <v>458</v>
      </c>
      <c r="G6043" s="86" t="s">
        <v>458</v>
      </c>
      <c r="H6043" s="143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3120</v>
      </c>
      <c r="O6043" s="47" t="s">
        <v>410</v>
      </c>
      <c r="P6043" s="14" t="s">
        <v>41</v>
      </c>
      <c r="Q6043" s="14">
        <v>0</v>
      </c>
      <c r="R6043" s="143">
        <v>67222</v>
      </c>
      <c r="S6043" s="47"/>
      <c r="T6043" s="6">
        <v>7130.130000000001</v>
      </c>
      <c r="U6043" s="6"/>
      <c r="V6043" s="6">
        <v>0</v>
      </c>
      <c r="W6043" s="6">
        <f t="shared" si="936"/>
        <v>7130.130000000001</v>
      </c>
      <c r="X6043" s="6">
        <f t="shared" si="937"/>
        <v>0</v>
      </c>
      <c r="Y6043" s="13">
        <f t="shared" si="941"/>
        <v>0</v>
      </c>
      <c r="Z6043" s="14">
        <v>0</v>
      </c>
      <c r="AA6043" s="6">
        <v>0</v>
      </c>
      <c r="AB6043" s="4">
        <f t="shared" si="942"/>
        <v>0</v>
      </c>
      <c r="AC6043" s="6">
        <f t="shared" si="940"/>
        <v>0</v>
      </c>
      <c r="AD6043" s="6">
        <f t="shared" si="938"/>
        <v>0</v>
      </c>
      <c r="AE6043" s="14">
        <f>VLOOKUP(I6043,[2]媒体政策预估表!A:N,MATCH(O6043,[2]媒体政策预估表!$A$2:$M$2,0),0)</f>
        <v>0.10299999999999999</v>
      </c>
      <c r="AF6043" s="6">
        <f t="shared" si="935"/>
        <v>0</v>
      </c>
      <c r="AG6043" s="14">
        <v>0</v>
      </c>
      <c r="AH6043" s="99">
        <f t="shared" si="939"/>
        <v>0</v>
      </c>
      <c r="AI6043" s="47"/>
      <c r="AJ6043" s="126" t="e">
        <v>#N/A</v>
      </c>
      <c r="AK6043" s="80">
        <f t="shared" si="943"/>
        <v>0</v>
      </c>
      <c r="AL6043" s="85"/>
      <c r="AM6043" s="85"/>
    </row>
    <row r="6044" spans="1:39" s="86" customFormat="1" ht="13.25" hidden="1" customHeight="1" x14ac:dyDescent="0.3">
      <c r="A6044" s="89" t="s">
        <v>3792</v>
      </c>
      <c r="B6044" s="86" t="s">
        <v>35</v>
      </c>
      <c r="C6044" s="86" t="s">
        <v>184</v>
      </c>
      <c r="D6044" s="86" t="s">
        <v>3849</v>
      </c>
      <c r="E6044" s="86" t="s">
        <v>2480</v>
      </c>
      <c r="F6044" s="86" t="s">
        <v>2480</v>
      </c>
      <c r="G6044" s="86" t="s">
        <v>2480</v>
      </c>
      <c r="H6044" s="143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2480</v>
      </c>
      <c r="O6044" s="47" t="s">
        <v>45</v>
      </c>
      <c r="P6044" s="14" t="s">
        <v>41</v>
      </c>
      <c r="Q6044" s="14">
        <v>0</v>
      </c>
      <c r="R6044" s="143">
        <v>26532</v>
      </c>
      <c r="S6044" s="47"/>
      <c r="T6044" s="6">
        <v>-41545.46</v>
      </c>
      <c r="U6044" s="6"/>
      <c r="V6044" s="6">
        <v>0</v>
      </c>
      <c r="W6044" s="6">
        <f t="shared" si="936"/>
        <v>-41545.46</v>
      </c>
      <c r="X6044" s="6">
        <f t="shared" si="937"/>
        <v>0</v>
      </c>
      <c r="Y6044" s="13">
        <f t="shared" si="941"/>
        <v>0</v>
      </c>
      <c r="Z6044" s="14">
        <v>0</v>
      </c>
      <c r="AA6044" s="6">
        <v>0</v>
      </c>
      <c r="AB6044" s="4">
        <f t="shared" si="942"/>
        <v>0</v>
      </c>
      <c r="AC6044" s="6">
        <f t="shared" si="940"/>
        <v>0</v>
      </c>
      <c r="AD6044" s="6">
        <f t="shared" si="938"/>
        <v>0</v>
      </c>
      <c r="AE6044" s="14">
        <f>VLOOKUP(I6044,[2]媒体政策预估表!A:N,MATCH(O6044,[2]媒体政策预估表!$A$2:$M$2,0),0)</f>
        <v>0.223</v>
      </c>
      <c r="AF6044" s="6">
        <f t="shared" si="935"/>
        <v>0</v>
      </c>
      <c r="AG6044" s="14">
        <v>0</v>
      </c>
      <c r="AH6044" s="99">
        <f t="shared" si="939"/>
        <v>0</v>
      </c>
      <c r="AI6044" s="47"/>
      <c r="AJ6044" s="126" t="e">
        <v>#N/A</v>
      </c>
      <c r="AK6044" s="80">
        <f t="shared" si="943"/>
        <v>0</v>
      </c>
      <c r="AL6044" s="85"/>
      <c r="AM6044" s="85"/>
    </row>
    <row r="6045" spans="1:39" s="86" customFormat="1" ht="13.25" hidden="1" customHeight="1" x14ac:dyDescent="0.3">
      <c r="A6045" s="89" t="s">
        <v>3792</v>
      </c>
      <c r="B6045" s="86" t="s">
        <v>35</v>
      </c>
      <c r="C6045" s="86" t="s">
        <v>47</v>
      </c>
      <c r="D6045" s="86" t="s">
        <v>48</v>
      </c>
      <c r="E6045" s="86" t="s">
        <v>3077</v>
      </c>
      <c r="F6045" s="86" t="s">
        <v>3077</v>
      </c>
      <c r="G6045" s="86" t="s">
        <v>3077</v>
      </c>
      <c r="H6045" s="143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3077</v>
      </c>
      <c r="O6045" s="47" t="s">
        <v>45</v>
      </c>
      <c r="P6045" s="14" t="s">
        <v>41</v>
      </c>
      <c r="Q6045" s="14">
        <v>0</v>
      </c>
      <c r="R6045" s="143">
        <v>169952</v>
      </c>
      <c r="S6045" s="47"/>
      <c r="T6045" s="6">
        <v>-10080.1</v>
      </c>
      <c r="U6045" s="6"/>
      <c r="V6045" s="6">
        <v>0</v>
      </c>
      <c r="W6045" s="6">
        <f t="shared" si="936"/>
        <v>-10080.1</v>
      </c>
      <c r="X6045" s="6">
        <f t="shared" si="937"/>
        <v>0</v>
      </c>
      <c r="Y6045" s="13">
        <f t="shared" si="941"/>
        <v>0</v>
      </c>
      <c r="Z6045" s="14">
        <v>0</v>
      </c>
      <c r="AA6045" s="6">
        <v>0</v>
      </c>
      <c r="AB6045" s="4">
        <f t="shared" si="942"/>
        <v>0</v>
      </c>
      <c r="AC6045" s="6">
        <f t="shared" si="940"/>
        <v>0</v>
      </c>
      <c r="AD6045" s="6">
        <f t="shared" si="938"/>
        <v>0</v>
      </c>
      <c r="AE6045" s="14">
        <f>VLOOKUP(I6045,[2]媒体政策预估表!A:N,MATCH(O6045,[2]媒体政策预估表!$A$2:$M$2,0),0)</f>
        <v>0.223</v>
      </c>
      <c r="AF6045" s="6">
        <f t="shared" si="935"/>
        <v>0</v>
      </c>
      <c r="AG6045" s="14">
        <v>0</v>
      </c>
      <c r="AH6045" s="99">
        <f t="shared" si="939"/>
        <v>0</v>
      </c>
      <c r="AI6045" s="47"/>
      <c r="AJ6045" s="126" t="e">
        <v>#N/A</v>
      </c>
      <c r="AK6045" s="80">
        <f t="shared" si="943"/>
        <v>0</v>
      </c>
      <c r="AL6045" s="85"/>
      <c r="AM6045" s="85"/>
    </row>
    <row r="6046" spans="1:39" s="86" customFormat="1" ht="13.25" hidden="1" customHeight="1" x14ac:dyDescent="0.3">
      <c r="A6046" s="89" t="s">
        <v>3794</v>
      </c>
      <c r="B6046" s="86" t="s">
        <v>35</v>
      </c>
      <c r="C6046" s="86" t="s">
        <v>36</v>
      </c>
      <c r="D6046" s="86" t="s">
        <v>185</v>
      </c>
      <c r="E6046" s="86" t="s">
        <v>2279</v>
      </c>
      <c r="F6046" s="86" t="s">
        <v>2980</v>
      </c>
      <c r="G6046" s="86" t="s">
        <v>2279</v>
      </c>
      <c r="H6046" s="143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2279</v>
      </c>
      <c r="O6046" s="47" t="s">
        <v>45</v>
      </c>
      <c r="P6046" s="14" t="s">
        <v>46</v>
      </c>
      <c r="Q6046" s="14">
        <v>0.04</v>
      </c>
      <c r="R6046" s="143">
        <v>208532</v>
      </c>
      <c r="S6046" s="47"/>
      <c r="T6046" s="6">
        <v>-365615.88</v>
      </c>
      <c r="U6046" s="6"/>
      <c r="V6046" s="6">
        <v>0</v>
      </c>
      <c r="W6046" s="6">
        <f t="shared" si="936"/>
        <v>-365615.88</v>
      </c>
      <c r="X6046" s="6">
        <f t="shared" si="937"/>
        <v>0</v>
      </c>
      <c r="Y6046" s="13">
        <f t="shared" si="941"/>
        <v>0</v>
      </c>
      <c r="Z6046" s="14">
        <v>0</v>
      </c>
      <c r="AA6046" s="6">
        <v>0</v>
      </c>
      <c r="AB6046" s="4">
        <f t="shared" si="942"/>
        <v>0</v>
      </c>
      <c r="AC6046" s="6">
        <f t="shared" si="940"/>
        <v>0</v>
      </c>
      <c r="AD6046" s="6">
        <f t="shared" si="938"/>
        <v>0</v>
      </c>
      <c r="AE6046" s="14">
        <f>VLOOKUP(I6046,[2]媒体政策预估表!A:N,MATCH(O6046,[2]媒体政策预估表!$A$2:$M$2,0),0)</f>
        <v>0.223</v>
      </c>
      <c r="AF6046" s="6">
        <f t="shared" si="935"/>
        <v>0</v>
      </c>
      <c r="AG6046" s="14">
        <v>0</v>
      </c>
      <c r="AH6046" s="99">
        <f t="shared" si="939"/>
        <v>0</v>
      </c>
      <c r="AI6046" s="47"/>
      <c r="AJ6046" s="126" t="e">
        <v>#N/A</v>
      </c>
      <c r="AK6046" s="80">
        <f t="shared" si="943"/>
        <v>0</v>
      </c>
      <c r="AL6046" s="85"/>
      <c r="AM6046" s="85"/>
    </row>
    <row r="6047" spans="1:39" s="86" customFormat="1" ht="13.25" hidden="1" customHeight="1" x14ac:dyDescent="0.3">
      <c r="A6047" s="89" t="s">
        <v>3794</v>
      </c>
      <c r="B6047" s="86" t="s">
        <v>35</v>
      </c>
      <c r="C6047" s="86" t="s">
        <v>164</v>
      </c>
      <c r="D6047" s="86" t="s">
        <v>169</v>
      </c>
      <c r="E6047" s="86" t="s">
        <v>3011</v>
      </c>
      <c r="F6047" s="86" t="s">
        <v>3011</v>
      </c>
      <c r="G6047" s="86" t="s">
        <v>3011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3011</v>
      </c>
      <c r="O6047" s="47" t="s">
        <v>45</v>
      </c>
      <c r="P6047" s="14" t="s">
        <v>41</v>
      </c>
      <c r="Q6047" s="14">
        <v>0</v>
      </c>
      <c r="R6047" s="143">
        <v>51562</v>
      </c>
      <c r="S6047" s="47"/>
      <c r="T6047" s="6">
        <v>-168764.61</v>
      </c>
      <c r="U6047" s="6"/>
      <c r="V6047" s="6">
        <v>2374.8000000000002</v>
      </c>
      <c r="W6047" s="6">
        <f t="shared" si="936"/>
        <v>-171139.40999999997</v>
      </c>
      <c r="X6047" s="6">
        <f t="shared" si="937"/>
        <v>2374.8000000000002</v>
      </c>
      <c r="Y6047" s="13">
        <f t="shared" si="941"/>
        <v>0</v>
      </c>
      <c r="Z6047" s="14">
        <v>0</v>
      </c>
      <c r="AA6047" s="6">
        <v>0</v>
      </c>
      <c r="AB6047" s="4">
        <f t="shared" si="942"/>
        <v>2374.8000000000002</v>
      </c>
      <c r="AC6047" s="6">
        <f t="shared" si="940"/>
        <v>0</v>
      </c>
      <c r="AD6047" s="6">
        <f t="shared" si="938"/>
        <v>2374.8000000000002</v>
      </c>
      <c r="AE6047" s="14">
        <f>VLOOKUP(I6047,[2]媒体政策预估表!A:N,MATCH(O6047,[2]媒体政策预估表!$A$2:$M$2,0),0)</f>
        <v>0.223</v>
      </c>
      <c r="AF6047" s="6">
        <f t="shared" si="935"/>
        <v>529.58040000000005</v>
      </c>
      <c r="AG6047" s="14">
        <v>0</v>
      </c>
      <c r="AH6047" s="99">
        <f t="shared" si="939"/>
        <v>2374.8000000000002</v>
      </c>
      <c r="AI6047" s="47"/>
      <c r="AJ6047" s="126" t="e">
        <v>#N/A</v>
      </c>
      <c r="AK6047" s="80">
        <f t="shared" si="943"/>
        <v>0</v>
      </c>
      <c r="AL6047" s="85"/>
      <c r="AM6047" s="85"/>
    </row>
    <row r="6048" spans="1:39" s="86" customFormat="1" ht="13.25" hidden="1" customHeight="1" x14ac:dyDescent="0.3">
      <c r="A6048" s="89" t="s">
        <v>3805</v>
      </c>
      <c r="B6048" s="86" t="s">
        <v>35</v>
      </c>
      <c r="C6048" s="86" t="s">
        <v>184</v>
      </c>
      <c r="D6048" s="86" t="s">
        <v>54</v>
      </c>
      <c r="E6048" s="86" t="s">
        <v>2482</v>
      </c>
      <c r="F6048" s="86" t="s">
        <v>2483</v>
      </c>
      <c r="G6048" s="86" t="s">
        <v>2482</v>
      </c>
      <c r="H6048" s="143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2482</v>
      </c>
      <c r="O6048" s="47" t="s">
        <v>45</v>
      </c>
      <c r="P6048" s="14" t="s">
        <v>41</v>
      </c>
      <c r="Q6048" s="14">
        <v>0</v>
      </c>
      <c r="R6048" s="143">
        <v>52872</v>
      </c>
      <c r="S6048" s="47"/>
      <c r="T6048" s="6">
        <v>-51441.16</v>
      </c>
      <c r="U6048" s="6"/>
      <c r="V6048" s="6">
        <v>0</v>
      </c>
      <c r="W6048" s="6">
        <f t="shared" si="936"/>
        <v>-51441.16</v>
      </c>
      <c r="X6048" s="6">
        <f t="shared" si="937"/>
        <v>0</v>
      </c>
      <c r="Y6048" s="13">
        <f t="shared" si="941"/>
        <v>0</v>
      </c>
      <c r="Z6048" s="14">
        <v>0</v>
      </c>
      <c r="AA6048" s="6">
        <v>0</v>
      </c>
      <c r="AB6048" s="4">
        <f t="shared" si="942"/>
        <v>0</v>
      </c>
      <c r="AC6048" s="6">
        <f t="shared" si="940"/>
        <v>0</v>
      </c>
      <c r="AD6048" s="6">
        <f t="shared" si="938"/>
        <v>0</v>
      </c>
      <c r="AE6048" s="14">
        <f>VLOOKUP(I6048,[2]媒体政策预估表!A:N,MATCH(O6048,[2]媒体政策预估表!$A$2:$M$2,0),0)</f>
        <v>0.223</v>
      </c>
      <c r="AF6048" s="6">
        <f t="shared" si="935"/>
        <v>0</v>
      </c>
      <c r="AG6048" s="14">
        <v>0</v>
      </c>
      <c r="AH6048" s="99">
        <f t="shared" si="939"/>
        <v>0</v>
      </c>
      <c r="AI6048" s="47"/>
      <c r="AJ6048" s="126" t="e">
        <v>#N/A</v>
      </c>
      <c r="AK6048" s="80">
        <f t="shared" si="943"/>
        <v>0</v>
      </c>
      <c r="AL6048" s="85"/>
      <c r="AM6048" s="85"/>
    </row>
    <row r="6049" spans="1:39" s="86" customFormat="1" ht="13.25" hidden="1" customHeight="1" x14ac:dyDescent="0.3">
      <c r="A6049" s="89" t="s">
        <v>3794</v>
      </c>
      <c r="B6049" s="86" t="s">
        <v>35</v>
      </c>
      <c r="C6049" s="86" t="s">
        <v>164</v>
      </c>
      <c r="D6049" s="86" t="s">
        <v>174</v>
      </c>
      <c r="E6049" s="86" t="s">
        <v>1966</v>
      </c>
      <c r="F6049" s="86" t="s">
        <v>1966</v>
      </c>
      <c r="G6049" s="86" t="s">
        <v>1966</v>
      </c>
      <c r="H6049" s="143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3018</v>
      </c>
      <c r="O6049" s="47" t="s">
        <v>45</v>
      </c>
      <c r="P6049" s="14" t="s">
        <v>41</v>
      </c>
      <c r="Q6049" s="14">
        <v>0</v>
      </c>
      <c r="R6049" s="143">
        <v>41722</v>
      </c>
      <c r="S6049" s="47"/>
      <c r="T6049" s="6">
        <v>-145114.81</v>
      </c>
      <c r="U6049" s="6"/>
      <c r="V6049" s="6">
        <v>0</v>
      </c>
      <c r="W6049" s="6">
        <v>0</v>
      </c>
      <c r="X6049" s="6">
        <f t="shared" si="937"/>
        <v>0</v>
      </c>
      <c r="Y6049" s="13">
        <f t="shared" si="941"/>
        <v>0</v>
      </c>
      <c r="Z6049" s="14">
        <v>0</v>
      </c>
      <c r="AA6049" s="6">
        <v>0</v>
      </c>
      <c r="AB6049" s="4">
        <f t="shared" si="942"/>
        <v>0</v>
      </c>
      <c r="AC6049" s="6">
        <f t="shared" si="940"/>
        <v>0</v>
      </c>
      <c r="AD6049" s="6">
        <f t="shared" si="938"/>
        <v>0</v>
      </c>
      <c r="AE6049" s="14">
        <f>VLOOKUP(I6049,[2]媒体政策预估表!A:N,MATCH(O6049,[2]媒体政策预估表!$A$2:$M$2,0),0)</f>
        <v>0.223</v>
      </c>
      <c r="AF6049" s="6">
        <f t="shared" si="935"/>
        <v>0</v>
      </c>
      <c r="AG6049" s="14">
        <v>0</v>
      </c>
      <c r="AH6049" s="99">
        <f t="shared" si="939"/>
        <v>0</v>
      </c>
      <c r="AI6049" s="47"/>
      <c r="AJ6049" s="126" t="e">
        <v>#N/A</v>
      </c>
      <c r="AK6049" s="80">
        <f t="shared" si="943"/>
        <v>0</v>
      </c>
      <c r="AL6049" s="85"/>
      <c r="AM6049" s="85"/>
    </row>
    <row r="6050" spans="1:39" s="86" customFormat="1" ht="13.25" hidden="1" customHeight="1" x14ac:dyDescent="0.3">
      <c r="A6050" s="89" t="s">
        <v>3794</v>
      </c>
      <c r="B6050" s="86" t="s">
        <v>35</v>
      </c>
      <c r="C6050" s="86" t="s">
        <v>164</v>
      </c>
      <c r="D6050" s="86" t="s">
        <v>305</v>
      </c>
      <c r="E6050" s="86" t="s">
        <v>615</v>
      </c>
      <c r="F6050" s="86" t="s">
        <v>615</v>
      </c>
      <c r="G6050" s="86" t="s">
        <v>615</v>
      </c>
      <c r="H6050" s="143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616</v>
      </c>
      <c r="O6050" s="47" t="s">
        <v>45</v>
      </c>
      <c r="P6050" s="14" t="s">
        <v>41</v>
      </c>
      <c r="Q6050" s="14">
        <v>0</v>
      </c>
      <c r="R6050" s="143">
        <v>31572</v>
      </c>
      <c r="S6050" s="47"/>
      <c r="T6050" s="6">
        <v>-6716.95</v>
      </c>
      <c r="U6050" s="6"/>
      <c r="V6050" s="6">
        <v>0</v>
      </c>
      <c r="W6050" s="6">
        <f t="shared" si="936"/>
        <v>-6716.95</v>
      </c>
      <c r="X6050" s="6">
        <f t="shared" si="937"/>
        <v>0</v>
      </c>
      <c r="Y6050" s="13">
        <f t="shared" si="941"/>
        <v>0</v>
      </c>
      <c r="Z6050" s="14">
        <v>0</v>
      </c>
      <c r="AA6050" s="6">
        <v>0</v>
      </c>
      <c r="AB6050" s="4">
        <f t="shared" si="942"/>
        <v>0</v>
      </c>
      <c r="AC6050" s="6">
        <f t="shared" si="940"/>
        <v>0</v>
      </c>
      <c r="AD6050" s="6">
        <f t="shared" si="938"/>
        <v>0</v>
      </c>
      <c r="AE6050" s="14">
        <f>VLOOKUP(I6050,[2]媒体政策预估表!A:N,MATCH(O6050,[2]媒体政策预估表!$A$2:$M$2,0),0)</f>
        <v>0.223</v>
      </c>
      <c r="AF6050" s="6">
        <f t="shared" si="935"/>
        <v>0</v>
      </c>
      <c r="AG6050" s="14">
        <v>0</v>
      </c>
      <c r="AH6050" s="99">
        <f t="shared" si="939"/>
        <v>0</v>
      </c>
      <c r="AI6050" s="47"/>
      <c r="AJ6050" s="126" t="e">
        <v>#N/A</v>
      </c>
      <c r="AK6050" s="80">
        <f t="shared" si="943"/>
        <v>0</v>
      </c>
      <c r="AL6050" s="85"/>
      <c r="AM6050" s="85"/>
    </row>
    <row r="6051" spans="1:39" s="86" customFormat="1" ht="13.25" hidden="1" customHeight="1" x14ac:dyDescent="0.3">
      <c r="A6051" s="89" t="s">
        <v>3794</v>
      </c>
      <c r="B6051" s="86" t="s">
        <v>35</v>
      </c>
      <c r="C6051" s="86" t="s">
        <v>184</v>
      </c>
      <c r="D6051" s="86" t="s">
        <v>37</v>
      </c>
      <c r="E6051" s="86" t="s">
        <v>57</v>
      </c>
      <c r="F6051" s="86" t="s">
        <v>3071</v>
      </c>
      <c r="G6051" s="86" t="s">
        <v>57</v>
      </c>
      <c r="H6051" s="143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3076</v>
      </c>
      <c r="O6051" s="47" t="s">
        <v>45</v>
      </c>
      <c r="P6051" s="14" t="s">
        <v>46</v>
      </c>
      <c r="Q6051" s="14">
        <v>0.04</v>
      </c>
      <c r="R6051" s="143">
        <v>33302</v>
      </c>
      <c r="S6051" s="47"/>
      <c r="T6051" s="6">
        <v>-3229.28</v>
      </c>
      <c r="U6051" s="6"/>
      <c r="V6051" s="6">
        <v>0</v>
      </c>
      <c r="W6051" s="6">
        <f t="shared" si="936"/>
        <v>-3229.28</v>
      </c>
      <c r="X6051" s="6">
        <f t="shared" si="937"/>
        <v>0</v>
      </c>
      <c r="Y6051" s="13">
        <f t="shared" si="941"/>
        <v>0</v>
      </c>
      <c r="Z6051" s="14">
        <v>0</v>
      </c>
      <c r="AA6051" s="6">
        <v>0</v>
      </c>
      <c r="AB6051" s="4">
        <f t="shared" si="942"/>
        <v>0</v>
      </c>
      <c r="AC6051" s="6">
        <f t="shared" si="940"/>
        <v>0</v>
      </c>
      <c r="AD6051" s="6">
        <f t="shared" si="938"/>
        <v>0</v>
      </c>
      <c r="AE6051" s="14">
        <f>VLOOKUP(I6051,[2]媒体政策预估表!A:N,MATCH(O6051,[2]媒体政策预估表!$A$2:$M$2,0),0)</f>
        <v>0.223</v>
      </c>
      <c r="AF6051" s="6">
        <f t="shared" si="935"/>
        <v>0</v>
      </c>
      <c r="AG6051" s="14">
        <v>0</v>
      </c>
      <c r="AH6051" s="99">
        <f t="shared" si="939"/>
        <v>0</v>
      </c>
      <c r="AI6051" s="47"/>
      <c r="AJ6051" s="126" t="e">
        <v>#N/A</v>
      </c>
      <c r="AK6051" s="80">
        <f t="shared" si="943"/>
        <v>0</v>
      </c>
      <c r="AL6051" s="85"/>
      <c r="AM6051" s="85"/>
    </row>
    <row r="6052" spans="1:39" s="86" customFormat="1" ht="13.25" hidden="1" customHeight="1" x14ac:dyDescent="0.3">
      <c r="A6052" s="89" t="s">
        <v>3792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3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2604</v>
      </c>
      <c r="O6052" s="47" t="s">
        <v>45</v>
      </c>
      <c r="P6052" s="14" t="s">
        <v>41</v>
      </c>
      <c r="Q6052" s="14">
        <v>0</v>
      </c>
      <c r="R6052" s="143">
        <v>20942</v>
      </c>
      <c r="S6052" s="47"/>
      <c r="T6052" s="6">
        <v>-70367.600000000006</v>
      </c>
      <c r="U6052" s="6"/>
      <c r="V6052" s="6">
        <v>0</v>
      </c>
      <c r="W6052" s="6">
        <f t="shared" si="936"/>
        <v>-70367.600000000006</v>
      </c>
      <c r="X6052" s="6">
        <f t="shared" si="937"/>
        <v>0</v>
      </c>
      <c r="Y6052" s="13">
        <f t="shared" si="941"/>
        <v>0</v>
      </c>
      <c r="Z6052" s="14">
        <v>0</v>
      </c>
      <c r="AA6052" s="6">
        <v>0</v>
      </c>
      <c r="AB6052" s="4">
        <f t="shared" si="942"/>
        <v>0</v>
      </c>
      <c r="AC6052" s="6">
        <f t="shared" si="940"/>
        <v>0</v>
      </c>
      <c r="AD6052" s="6">
        <f t="shared" si="938"/>
        <v>0</v>
      </c>
      <c r="AE6052" s="14">
        <f>VLOOKUP(I6052,[2]媒体政策预估表!A:N,MATCH(O6052,[2]媒体政策预估表!$A$2:$M$2,0),0)</f>
        <v>0.223</v>
      </c>
      <c r="AF6052" s="6">
        <f t="shared" ref="AF6052:AF6115" si="944">AD6052*AE6052</f>
        <v>0</v>
      </c>
      <c r="AG6052" s="14">
        <v>0</v>
      </c>
      <c r="AH6052" s="99">
        <f t="shared" si="939"/>
        <v>0</v>
      </c>
      <c r="AI6052" s="47"/>
      <c r="AJ6052" s="126" t="e">
        <v>#N/A</v>
      </c>
      <c r="AK6052" s="80">
        <f t="shared" si="943"/>
        <v>0</v>
      </c>
      <c r="AL6052" s="85"/>
      <c r="AM6052" s="85"/>
    </row>
    <row r="6053" spans="1:39" s="86" customFormat="1" ht="13.25" hidden="1" customHeight="1" x14ac:dyDescent="0.3">
      <c r="A6053" s="89" t="s">
        <v>3794</v>
      </c>
      <c r="B6053" s="86" t="s">
        <v>35</v>
      </c>
      <c r="C6053" s="86" t="s">
        <v>164</v>
      </c>
      <c r="D6053" s="86" t="s">
        <v>3407</v>
      </c>
      <c r="E6053" s="86" t="s">
        <v>182</v>
      </c>
      <c r="F6053" s="86" t="s">
        <v>183</v>
      </c>
      <c r="G6053" s="86" t="s">
        <v>182</v>
      </c>
      <c r="H6053" s="143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3038</v>
      </c>
      <c r="O6053" s="47" t="s">
        <v>45</v>
      </c>
      <c r="P6053" s="14" t="s">
        <v>41</v>
      </c>
      <c r="Q6053" s="14">
        <v>0</v>
      </c>
      <c r="R6053" s="143">
        <v>116712</v>
      </c>
      <c r="S6053" s="47"/>
      <c r="T6053" s="6">
        <v>-26</v>
      </c>
      <c r="U6053" s="6"/>
      <c r="V6053" s="6">
        <v>0</v>
      </c>
      <c r="W6053" s="6">
        <f t="shared" si="936"/>
        <v>-26</v>
      </c>
      <c r="X6053" s="6">
        <f t="shared" si="937"/>
        <v>0</v>
      </c>
      <c r="Y6053" s="13">
        <f t="shared" si="941"/>
        <v>0</v>
      </c>
      <c r="Z6053" s="14">
        <v>0.02</v>
      </c>
      <c r="AA6053" s="6">
        <f>X6053/(1-Z6053)*Z6053</f>
        <v>0</v>
      </c>
      <c r="AB6053" s="4">
        <f t="shared" si="942"/>
        <v>0</v>
      </c>
      <c r="AC6053" s="6">
        <f t="shared" si="940"/>
        <v>0</v>
      </c>
      <c r="AD6053" s="6">
        <f t="shared" si="938"/>
        <v>0</v>
      </c>
      <c r="AE6053" s="14">
        <f>VLOOKUP(I6053,[2]媒体政策预估表!A:N,MATCH(O6053,[2]媒体政策预估表!$A$2:$M$2,0),0)</f>
        <v>0.223</v>
      </c>
      <c r="AF6053" s="6">
        <f t="shared" si="944"/>
        <v>0</v>
      </c>
      <c r="AG6053" s="14">
        <v>0</v>
      </c>
      <c r="AH6053" s="99">
        <f t="shared" si="939"/>
        <v>0</v>
      </c>
      <c r="AI6053" s="47"/>
      <c r="AJ6053" s="126" t="e">
        <v>#N/A</v>
      </c>
      <c r="AK6053" s="80">
        <f t="shared" si="943"/>
        <v>0</v>
      </c>
      <c r="AL6053" s="85"/>
      <c r="AM6053" s="85"/>
    </row>
    <row r="6054" spans="1:39" s="86" customFormat="1" ht="13.25" hidden="1" customHeight="1" x14ac:dyDescent="0.3">
      <c r="A6054" s="89" t="s">
        <v>3792</v>
      </c>
      <c r="B6054" s="86" t="s">
        <v>35</v>
      </c>
      <c r="C6054" s="86" t="s">
        <v>184</v>
      </c>
      <c r="D6054" s="86" t="s">
        <v>54</v>
      </c>
      <c r="E6054" s="86" t="s">
        <v>2909</v>
      </c>
      <c r="F6054" s="86" t="s">
        <v>2909</v>
      </c>
      <c r="G6054" s="86" t="s">
        <v>2909</v>
      </c>
      <c r="H6054" s="143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2983</v>
      </c>
      <c r="O6054" s="47" t="s">
        <v>45</v>
      </c>
      <c r="P6054" s="14" t="s">
        <v>41</v>
      </c>
      <c r="Q6054" s="14">
        <v>0</v>
      </c>
      <c r="R6054" s="143">
        <v>235462</v>
      </c>
      <c r="S6054" s="47"/>
      <c r="T6054" s="6">
        <v>-160375.22</v>
      </c>
      <c r="U6054" s="6"/>
      <c r="V6054" s="6">
        <v>0</v>
      </c>
      <c r="W6054" s="6">
        <f t="shared" si="936"/>
        <v>-160375.22</v>
      </c>
      <c r="X6054" s="6">
        <f t="shared" si="937"/>
        <v>0</v>
      </c>
      <c r="Y6054" s="13">
        <f t="shared" si="941"/>
        <v>0</v>
      </c>
      <c r="Z6054" s="14">
        <v>0</v>
      </c>
      <c r="AA6054" s="6">
        <v>0</v>
      </c>
      <c r="AB6054" s="4">
        <f t="shared" si="942"/>
        <v>0</v>
      </c>
      <c r="AC6054" s="6">
        <f t="shared" si="940"/>
        <v>0</v>
      </c>
      <c r="AD6054" s="6">
        <f t="shared" si="938"/>
        <v>0</v>
      </c>
      <c r="AE6054" s="14">
        <f>VLOOKUP(I6054,[2]媒体政策预估表!A:N,MATCH(O6054,[2]媒体政策预估表!$A$2:$M$2,0),0)</f>
        <v>0.223</v>
      </c>
      <c r="AF6054" s="6">
        <f t="shared" si="944"/>
        <v>0</v>
      </c>
      <c r="AG6054" s="14">
        <v>0</v>
      </c>
      <c r="AH6054" s="99">
        <f t="shared" si="939"/>
        <v>0</v>
      </c>
      <c r="AI6054" s="47"/>
      <c r="AJ6054" s="126" t="e">
        <v>#N/A</v>
      </c>
      <c r="AK6054" s="80">
        <f t="shared" si="943"/>
        <v>0</v>
      </c>
      <c r="AL6054" s="85"/>
      <c r="AM6054" s="85"/>
    </row>
    <row r="6055" spans="1:39" s="86" customFormat="1" ht="13.25" hidden="1" customHeight="1" x14ac:dyDescent="0.3">
      <c r="A6055" s="89" t="s">
        <v>3794</v>
      </c>
      <c r="B6055" s="86" t="s">
        <v>35</v>
      </c>
      <c r="C6055" s="86" t="s">
        <v>59</v>
      </c>
      <c r="D6055" s="86" t="s">
        <v>60</v>
      </c>
      <c r="E6055" s="86" t="s">
        <v>891</v>
      </c>
      <c r="F6055" s="86" t="s">
        <v>3085</v>
      </c>
      <c r="G6055" s="86" t="s">
        <v>891</v>
      </c>
      <c r="H6055" s="143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3084</v>
      </c>
      <c r="O6055" s="47" t="s">
        <v>410</v>
      </c>
      <c r="P6055" s="14" t="s">
        <v>46</v>
      </c>
      <c r="Q6055" s="14">
        <v>0.05</v>
      </c>
      <c r="R6055" s="143">
        <v>3316</v>
      </c>
      <c r="S6055" s="47"/>
      <c r="T6055" s="6">
        <v>356.31999999999971</v>
      </c>
      <c r="U6055" s="6"/>
      <c r="V6055" s="6">
        <v>0</v>
      </c>
      <c r="W6055" s="6">
        <f t="shared" si="936"/>
        <v>356.31999999999971</v>
      </c>
      <c r="X6055" s="6">
        <f t="shared" si="937"/>
        <v>0</v>
      </c>
      <c r="Y6055" s="13">
        <f t="shared" si="941"/>
        <v>0</v>
      </c>
      <c r="Z6055" s="14">
        <v>0</v>
      </c>
      <c r="AA6055" s="6">
        <v>0</v>
      </c>
      <c r="AB6055" s="4">
        <f t="shared" si="942"/>
        <v>0</v>
      </c>
      <c r="AC6055" s="6">
        <f t="shared" si="940"/>
        <v>0</v>
      </c>
      <c r="AD6055" s="6">
        <f t="shared" si="938"/>
        <v>0</v>
      </c>
      <c r="AE6055" s="14">
        <f>VLOOKUP(I6055,[2]媒体政策预估表!A:N,MATCH(O6055,[2]媒体政策预估表!$A$2:$M$2,0),0)</f>
        <v>0.10299999999999999</v>
      </c>
      <c r="AF6055" s="6">
        <f t="shared" si="944"/>
        <v>0</v>
      </c>
      <c r="AG6055" s="14">
        <v>0</v>
      </c>
      <c r="AH6055" s="99">
        <f t="shared" si="939"/>
        <v>0</v>
      </c>
      <c r="AI6055" s="47"/>
      <c r="AJ6055" s="126" t="e">
        <v>#N/A</v>
      </c>
      <c r="AK6055" s="80">
        <f t="shared" si="943"/>
        <v>0</v>
      </c>
      <c r="AL6055" s="85"/>
      <c r="AM6055" s="85"/>
    </row>
    <row r="6056" spans="1:39" s="86" customFormat="1" ht="13.25" hidden="1" customHeight="1" x14ac:dyDescent="0.3">
      <c r="A6056" s="89" t="s">
        <v>3792</v>
      </c>
      <c r="B6056" s="86" t="s">
        <v>35</v>
      </c>
      <c r="C6056" s="86" t="s">
        <v>164</v>
      </c>
      <c r="D6056" s="86" t="s">
        <v>174</v>
      </c>
      <c r="E6056" s="86" t="s">
        <v>651</v>
      </c>
      <c r="F6056" s="86" t="s">
        <v>651</v>
      </c>
      <c r="G6056" s="86" t="s">
        <v>651</v>
      </c>
      <c r="H6056" s="143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651</v>
      </c>
      <c r="O6056" s="47" t="s">
        <v>410</v>
      </c>
      <c r="P6056" s="14" t="s">
        <v>46</v>
      </c>
      <c r="Q6056" s="14">
        <v>0.02</v>
      </c>
      <c r="R6056" s="143">
        <v>104552</v>
      </c>
      <c r="S6056" s="47"/>
      <c r="T6056" s="6">
        <v>-48518.63</v>
      </c>
      <c r="U6056" s="6"/>
      <c r="V6056" s="6">
        <v>0</v>
      </c>
      <c r="W6056" s="6">
        <f t="shared" si="936"/>
        <v>-48518.63</v>
      </c>
      <c r="X6056" s="6">
        <f t="shared" si="937"/>
        <v>0</v>
      </c>
      <c r="Y6056" s="13">
        <f t="shared" si="941"/>
        <v>0</v>
      </c>
      <c r="Z6056" s="14">
        <v>0</v>
      </c>
      <c r="AA6056" s="6">
        <v>0</v>
      </c>
      <c r="AB6056" s="4">
        <f t="shared" si="942"/>
        <v>0</v>
      </c>
      <c r="AC6056" s="6">
        <f t="shared" si="940"/>
        <v>0</v>
      </c>
      <c r="AD6056" s="6">
        <f t="shared" si="938"/>
        <v>0</v>
      </c>
      <c r="AE6056" s="14">
        <f>VLOOKUP(I6056,[2]媒体政策预估表!A:N,MATCH(O6056,[2]媒体政策预估表!$A$2:$M$2,0),0)</f>
        <v>0.10299999999999999</v>
      </c>
      <c r="AF6056" s="6">
        <f t="shared" si="944"/>
        <v>0</v>
      </c>
      <c r="AG6056" s="14">
        <v>0</v>
      </c>
      <c r="AH6056" s="99">
        <f t="shared" si="939"/>
        <v>0</v>
      </c>
      <c r="AI6056" s="47"/>
      <c r="AJ6056" s="126" t="e">
        <v>#N/A</v>
      </c>
      <c r="AK6056" s="80">
        <f t="shared" si="943"/>
        <v>0</v>
      </c>
      <c r="AL6056" s="85"/>
      <c r="AM6056" s="85"/>
    </row>
    <row r="6057" spans="1:39" s="86" customFormat="1" ht="13.25" hidden="1" customHeight="1" x14ac:dyDescent="0.3">
      <c r="A6057" s="89" t="s">
        <v>3794</v>
      </c>
      <c r="B6057" s="86" t="s">
        <v>35</v>
      </c>
      <c r="C6057" s="86" t="s">
        <v>59</v>
      </c>
      <c r="D6057" s="86" t="s">
        <v>60</v>
      </c>
      <c r="E6057" s="86" t="s">
        <v>3057</v>
      </c>
      <c r="F6057" s="86" t="s">
        <v>3057</v>
      </c>
      <c r="G6057" s="86" t="s">
        <v>3057</v>
      </c>
      <c r="H6057" s="143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3057</v>
      </c>
      <c r="O6057" s="47" t="s">
        <v>45</v>
      </c>
      <c r="P6057" s="14" t="s">
        <v>41</v>
      </c>
      <c r="Q6057" s="14">
        <v>0</v>
      </c>
      <c r="R6057" s="143">
        <v>96962</v>
      </c>
      <c r="S6057" s="47"/>
      <c r="T6057" s="6">
        <v>-293.76</v>
      </c>
      <c r="U6057" s="6"/>
      <c r="V6057" s="6">
        <v>0</v>
      </c>
      <c r="W6057" s="6">
        <f t="shared" ref="W6057:W6120" si="945">T6057+U6057-V6057</f>
        <v>-293.76</v>
      </c>
      <c r="X6057" s="6">
        <f t="shared" ref="X6057:X6074" si="946">IF(P6057="折扣",V6057*Q6057,IF(P6057="返现",V6057,V6057/(1+Q6057)))</f>
        <v>0</v>
      </c>
      <c r="Y6057" s="13">
        <f t="shared" si="941"/>
        <v>0</v>
      </c>
      <c r="Z6057" s="14">
        <v>0</v>
      </c>
      <c r="AA6057" s="6">
        <v>0</v>
      </c>
      <c r="AB6057" s="4">
        <f t="shared" si="942"/>
        <v>0</v>
      </c>
      <c r="AC6057" s="6">
        <f t="shared" si="940"/>
        <v>0</v>
      </c>
      <c r="AD6057" s="6">
        <f t="shared" ref="AD6057:AD6074" si="947">V6057</f>
        <v>0</v>
      </c>
      <c r="AE6057" s="14">
        <f>VLOOKUP(I6057,[2]媒体政策预估表!A:N,MATCH(O6057,[2]媒体政策预估表!$A$2:$M$2,0),0)</f>
        <v>0.223</v>
      </c>
      <c r="AF6057" s="6">
        <f t="shared" si="944"/>
        <v>0</v>
      </c>
      <c r="AG6057" s="14">
        <v>0</v>
      </c>
      <c r="AH6057" s="99">
        <f t="shared" ref="AH6057:AH6074" si="948">V6057</f>
        <v>0</v>
      </c>
      <c r="AI6057" s="47"/>
      <c r="AJ6057" s="126" t="e">
        <v>#N/A</v>
      </c>
      <c r="AK6057" s="80">
        <f t="shared" si="943"/>
        <v>0</v>
      </c>
      <c r="AL6057" s="85"/>
      <c r="AM6057" s="85"/>
    </row>
    <row r="6058" spans="1:39" s="86" customFormat="1" ht="13.25" hidden="1" customHeight="1" x14ac:dyDescent="0.3">
      <c r="A6058" s="89" t="s">
        <v>3792</v>
      </c>
      <c r="B6058" s="86" t="s">
        <v>35</v>
      </c>
      <c r="C6058" s="86" t="s">
        <v>164</v>
      </c>
      <c r="D6058" s="86" t="s">
        <v>305</v>
      </c>
      <c r="E6058" s="86" t="s">
        <v>2129</v>
      </c>
      <c r="F6058" s="86" t="s">
        <v>2129</v>
      </c>
      <c r="G6058" s="86" t="s">
        <v>2129</v>
      </c>
      <c r="H6058" s="143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3004</v>
      </c>
      <c r="O6058" s="47" t="s">
        <v>45</v>
      </c>
      <c r="P6058" s="14" t="s">
        <v>41</v>
      </c>
      <c r="Q6058" s="14">
        <v>0</v>
      </c>
      <c r="R6058" s="143">
        <v>238232</v>
      </c>
      <c r="S6058" s="47"/>
      <c r="T6058" s="6">
        <v>-935756.02</v>
      </c>
      <c r="U6058" s="6"/>
      <c r="V6058" s="6">
        <v>0</v>
      </c>
      <c r="W6058" s="6">
        <f t="shared" si="945"/>
        <v>-935756.02</v>
      </c>
      <c r="X6058" s="6">
        <f t="shared" si="946"/>
        <v>0</v>
      </c>
      <c r="Y6058" s="13">
        <f t="shared" si="941"/>
        <v>0</v>
      </c>
      <c r="Z6058" s="14">
        <v>0</v>
      </c>
      <c r="AA6058" s="6">
        <v>0</v>
      </c>
      <c r="AB6058" s="4">
        <f t="shared" si="942"/>
        <v>0</v>
      </c>
      <c r="AC6058" s="6">
        <f t="shared" si="940"/>
        <v>0</v>
      </c>
      <c r="AD6058" s="6">
        <f t="shared" si="947"/>
        <v>0</v>
      </c>
      <c r="AE6058" s="14">
        <f>VLOOKUP(I6058,[2]媒体政策预估表!A:N,MATCH(O6058,[2]媒体政策预估表!$A$2:$M$2,0),0)</f>
        <v>0.223</v>
      </c>
      <c r="AF6058" s="6">
        <f t="shared" si="944"/>
        <v>0</v>
      </c>
      <c r="AG6058" s="14">
        <v>0</v>
      </c>
      <c r="AH6058" s="99">
        <f t="shared" si="948"/>
        <v>0</v>
      </c>
      <c r="AI6058" s="47"/>
      <c r="AJ6058" s="126" t="e">
        <v>#N/A</v>
      </c>
      <c r="AK6058" s="80">
        <f t="shared" si="943"/>
        <v>0</v>
      </c>
      <c r="AL6058" s="85"/>
      <c r="AM6058" s="85"/>
    </row>
    <row r="6059" spans="1:39" s="86" customFormat="1" ht="13.25" hidden="1" customHeight="1" x14ac:dyDescent="0.3">
      <c r="A6059" s="89" t="s">
        <v>3794</v>
      </c>
      <c r="B6059" s="86" t="s">
        <v>35</v>
      </c>
      <c r="C6059" s="86" t="s">
        <v>184</v>
      </c>
      <c r="D6059" s="86" t="s">
        <v>54</v>
      </c>
      <c r="E6059" s="86" t="s">
        <v>114</v>
      </c>
      <c r="F6059" s="86" t="s">
        <v>114</v>
      </c>
      <c r="G6059" s="86" t="s">
        <v>114</v>
      </c>
      <c r="H6059" s="144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1866</v>
      </c>
      <c r="O6059" s="47" t="s">
        <v>45</v>
      </c>
      <c r="P6059" s="14" t="s">
        <v>46</v>
      </c>
      <c r="Q6059" s="14">
        <v>0.04</v>
      </c>
      <c r="R6059" s="143">
        <v>62122</v>
      </c>
      <c r="S6059" s="47"/>
      <c r="T6059" s="6">
        <v>-1300426.6600000001</v>
      </c>
      <c r="U6059" s="6"/>
      <c r="V6059" s="6">
        <v>457085.45</v>
      </c>
      <c r="W6059" s="6">
        <f t="shared" si="945"/>
        <v>-1757512.11</v>
      </c>
      <c r="X6059" s="6">
        <f t="shared" si="946"/>
        <v>439505.24038461538</v>
      </c>
      <c r="Y6059" s="13">
        <f t="shared" si="941"/>
        <v>0</v>
      </c>
      <c r="Z6059" s="14">
        <v>0</v>
      </c>
      <c r="AA6059" s="6">
        <v>0</v>
      </c>
      <c r="AB6059" s="4">
        <f t="shared" si="942"/>
        <v>439505.24038461538</v>
      </c>
      <c r="AC6059" s="6">
        <f t="shared" si="940"/>
        <v>17580.209615384636</v>
      </c>
      <c r="AD6059" s="6">
        <f t="shared" si="947"/>
        <v>457085.45</v>
      </c>
      <c r="AE6059" s="14">
        <f>VLOOKUP(I6059,[2]媒体政策预估表!A:N,MATCH(O6059,[2]媒体政策预估表!$A$2:$M$2,0),0)</f>
        <v>0.223</v>
      </c>
      <c r="AF6059" s="6">
        <f t="shared" si="944"/>
        <v>101930.05535000001</v>
      </c>
      <c r="AG6059" s="14">
        <v>0</v>
      </c>
      <c r="AH6059" s="99">
        <f t="shared" si="948"/>
        <v>457085.45</v>
      </c>
      <c r="AI6059" s="47"/>
      <c r="AJ6059" s="126" t="e">
        <v>#N/A</v>
      </c>
      <c r="AK6059" s="80">
        <f t="shared" si="943"/>
        <v>0</v>
      </c>
      <c r="AL6059" s="85"/>
      <c r="AM6059" s="85"/>
    </row>
    <row r="6060" spans="1:39" s="86" customFormat="1" ht="13.25" hidden="1" customHeight="1" x14ac:dyDescent="0.3">
      <c r="A6060" s="89" t="s">
        <v>3792</v>
      </c>
      <c r="B6060" s="86" t="s">
        <v>35</v>
      </c>
      <c r="C6060" s="86" t="s">
        <v>164</v>
      </c>
      <c r="D6060" s="86" t="s">
        <v>174</v>
      </c>
      <c r="E6060" s="86" t="s">
        <v>1966</v>
      </c>
      <c r="F6060" s="86" t="s">
        <v>1966</v>
      </c>
      <c r="G6060" s="86" t="s">
        <v>1966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3052</v>
      </c>
      <c r="O6060" s="47" t="s">
        <v>45</v>
      </c>
      <c r="P6060" s="14" t="s">
        <v>41</v>
      </c>
      <c r="Q6060" s="14">
        <v>0</v>
      </c>
      <c r="R6060" s="143">
        <v>215482</v>
      </c>
      <c r="S6060" s="47"/>
      <c r="T6060" s="6">
        <v>-23601.200000000001</v>
      </c>
      <c r="U6060" s="6"/>
      <c r="V6060" s="6">
        <v>0</v>
      </c>
      <c r="W6060" s="6">
        <f t="shared" si="945"/>
        <v>-23601.200000000001</v>
      </c>
      <c r="X6060" s="6">
        <f t="shared" si="946"/>
        <v>0</v>
      </c>
      <c r="Y6060" s="13">
        <f t="shared" si="941"/>
        <v>0</v>
      </c>
      <c r="Z6060" s="14">
        <v>0</v>
      </c>
      <c r="AA6060" s="6">
        <v>0</v>
      </c>
      <c r="AB6060" s="4">
        <f t="shared" si="942"/>
        <v>0</v>
      </c>
      <c r="AC6060" s="6">
        <f t="shared" si="940"/>
        <v>0</v>
      </c>
      <c r="AD6060" s="6">
        <f t="shared" si="947"/>
        <v>0</v>
      </c>
      <c r="AE6060" s="14">
        <f>VLOOKUP(I6060,[2]媒体政策预估表!A:N,MATCH(O6060,[2]媒体政策预估表!$A$2:$M$2,0),0)</f>
        <v>0.223</v>
      </c>
      <c r="AF6060" s="6">
        <f t="shared" si="944"/>
        <v>0</v>
      </c>
      <c r="AG6060" s="14">
        <v>0</v>
      </c>
      <c r="AH6060" s="99">
        <f t="shared" si="948"/>
        <v>0</v>
      </c>
      <c r="AI6060" s="47"/>
      <c r="AJ6060" s="126" t="e">
        <v>#N/A</v>
      </c>
      <c r="AK6060" s="80">
        <f t="shared" si="943"/>
        <v>0</v>
      </c>
      <c r="AL6060" s="85"/>
      <c r="AM6060" s="85"/>
    </row>
    <row r="6061" spans="1:39" s="86" customFormat="1" ht="13.25" hidden="1" customHeight="1" x14ac:dyDescent="0.3">
      <c r="A6061" s="89" t="s">
        <v>3794</v>
      </c>
      <c r="B6061" s="86" t="s">
        <v>35</v>
      </c>
      <c r="C6061" s="86" t="s">
        <v>184</v>
      </c>
      <c r="D6061" s="86" t="s">
        <v>54</v>
      </c>
      <c r="E6061" s="86" t="s">
        <v>114</v>
      </c>
      <c r="F6061" s="86" t="s">
        <v>114</v>
      </c>
      <c r="G6061" s="86" t="s">
        <v>114</v>
      </c>
      <c r="H6061" s="144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2956</v>
      </c>
      <c r="O6061" s="47" t="s">
        <v>45</v>
      </c>
      <c r="P6061" s="14" t="s">
        <v>46</v>
      </c>
      <c r="Q6061" s="14">
        <v>0.04</v>
      </c>
      <c r="R6061" s="143">
        <v>238152</v>
      </c>
      <c r="S6061" s="47"/>
      <c r="T6061" s="6">
        <v>-87350.13</v>
      </c>
      <c r="U6061" s="6"/>
      <c r="V6061" s="6">
        <v>13087.4</v>
      </c>
      <c r="W6061" s="6">
        <f t="shared" si="945"/>
        <v>-100437.53</v>
      </c>
      <c r="X6061" s="6">
        <f t="shared" si="946"/>
        <v>12584.038461538461</v>
      </c>
      <c r="Y6061" s="13">
        <f t="shared" si="941"/>
        <v>0</v>
      </c>
      <c r="Z6061" s="14">
        <v>0</v>
      </c>
      <c r="AA6061" s="6">
        <v>0</v>
      </c>
      <c r="AB6061" s="4">
        <f t="shared" si="942"/>
        <v>12584.038461538461</v>
      </c>
      <c r="AC6061" s="6">
        <f t="shared" si="940"/>
        <v>503.36153846153866</v>
      </c>
      <c r="AD6061" s="6">
        <f t="shared" si="947"/>
        <v>13087.4</v>
      </c>
      <c r="AE6061" s="14">
        <f>VLOOKUP(I6061,[2]媒体政策预估表!A:N,MATCH(O6061,[2]媒体政策预估表!$A$2:$M$2,0),0)</f>
        <v>0.223</v>
      </c>
      <c r="AF6061" s="6">
        <f t="shared" si="944"/>
        <v>2918.4902000000002</v>
      </c>
      <c r="AG6061" s="14">
        <v>0</v>
      </c>
      <c r="AH6061" s="99">
        <f t="shared" si="948"/>
        <v>13087.4</v>
      </c>
      <c r="AI6061" s="47"/>
      <c r="AJ6061" s="126" t="e">
        <v>#N/A</v>
      </c>
      <c r="AK6061" s="80">
        <f t="shared" si="943"/>
        <v>0</v>
      </c>
      <c r="AL6061" s="85"/>
      <c r="AM6061" s="85"/>
    </row>
    <row r="6062" spans="1:39" s="86" customFormat="1" ht="13.25" hidden="1" customHeight="1" x14ac:dyDescent="0.3">
      <c r="A6062" s="89" t="s">
        <v>3794</v>
      </c>
      <c r="B6062" s="86" t="s">
        <v>35</v>
      </c>
      <c r="C6062" s="86" t="s">
        <v>184</v>
      </c>
      <c r="D6062" s="86" t="s">
        <v>54</v>
      </c>
      <c r="E6062" s="86" t="s">
        <v>2909</v>
      </c>
      <c r="F6062" s="86" t="s">
        <v>2909</v>
      </c>
      <c r="G6062" s="86" t="s">
        <v>2909</v>
      </c>
      <c r="H6062" s="143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2984</v>
      </c>
      <c r="O6062" s="47" t="s">
        <v>45</v>
      </c>
      <c r="P6062" s="14" t="s">
        <v>41</v>
      </c>
      <c r="Q6062" s="14">
        <v>0</v>
      </c>
      <c r="R6062" s="143">
        <v>238242</v>
      </c>
      <c r="S6062" s="47"/>
      <c r="T6062" s="6">
        <v>-75624.570000000007</v>
      </c>
      <c r="U6062" s="6"/>
      <c r="V6062" s="6">
        <v>0</v>
      </c>
      <c r="W6062" s="6">
        <f t="shared" si="945"/>
        <v>-75624.570000000007</v>
      </c>
      <c r="X6062" s="6">
        <f t="shared" si="946"/>
        <v>0</v>
      </c>
      <c r="Y6062" s="13">
        <f t="shared" si="941"/>
        <v>0</v>
      </c>
      <c r="Z6062" s="14">
        <v>0</v>
      </c>
      <c r="AA6062" s="6">
        <v>0</v>
      </c>
      <c r="AB6062" s="4">
        <f t="shared" si="942"/>
        <v>0</v>
      </c>
      <c r="AC6062" s="6">
        <f t="shared" si="940"/>
        <v>0</v>
      </c>
      <c r="AD6062" s="6">
        <f t="shared" si="947"/>
        <v>0</v>
      </c>
      <c r="AE6062" s="14">
        <f>VLOOKUP(I6062,[2]媒体政策预估表!A:N,MATCH(O6062,[2]媒体政策预估表!$A$2:$M$2,0),0)</f>
        <v>0.223</v>
      </c>
      <c r="AF6062" s="6">
        <f t="shared" si="944"/>
        <v>0</v>
      </c>
      <c r="AG6062" s="14">
        <v>0</v>
      </c>
      <c r="AH6062" s="99">
        <f t="shared" si="948"/>
        <v>0</v>
      </c>
      <c r="AI6062" s="47"/>
      <c r="AJ6062" s="126" t="e">
        <v>#N/A</v>
      </c>
      <c r="AK6062" s="80">
        <f t="shared" si="943"/>
        <v>0</v>
      </c>
      <c r="AL6062" s="85"/>
      <c r="AM6062" s="85"/>
    </row>
    <row r="6063" spans="1:39" s="86" customFormat="1" ht="13.25" hidden="1" customHeight="1" x14ac:dyDescent="0.3">
      <c r="A6063" s="89" t="s">
        <v>3792</v>
      </c>
      <c r="B6063" s="86" t="s">
        <v>35</v>
      </c>
      <c r="C6063" s="86" t="s">
        <v>65</v>
      </c>
      <c r="D6063" s="86" t="s">
        <v>66</v>
      </c>
      <c r="E6063" s="86" t="s">
        <v>2354</v>
      </c>
      <c r="F6063" s="86" t="s">
        <v>2354</v>
      </c>
      <c r="G6063" s="86" t="s">
        <v>2354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2354</v>
      </c>
      <c r="O6063" s="47" t="s">
        <v>45</v>
      </c>
      <c r="P6063" s="14" t="s">
        <v>46</v>
      </c>
      <c r="Q6063" s="14">
        <v>0.05</v>
      </c>
      <c r="R6063" s="143">
        <v>10872</v>
      </c>
      <c r="S6063" s="47"/>
      <c r="T6063" s="6">
        <v>-1922073.01</v>
      </c>
      <c r="U6063" s="6"/>
      <c r="V6063" s="6">
        <v>1981625.37</v>
      </c>
      <c r="W6063" s="6">
        <f t="shared" si="945"/>
        <v>-3903698.38</v>
      </c>
      <c r="X6063" s="6">
        <f t="shared" si="946"/>
        <v>1887262.2571428572</v>
      </c>
      <c r="Y6063" s="13">
        <f t="shared" si="941"/>
        <v>0</v>
      </c>
      <c r="Z6063" s="14">
        <v>0</v>
      </c>
      <c r="AA6063" s="6">
        <v>0</v>
      </c>
      <c r="AB6063" s="4">
        <f t="shared" si="942"/>
        <v>1887262.2571428572</v>
      </c>
      <c r="AC6063" s="6">
        <f t="shared" si="940"/>
        <v>94363.112857142929</v>
      </c>
      <c r="AD6063" s="6">
        <f t="shared" si="947"/>
        <v>1981625.37</v>
      </c>
      <c r="AE6063" s="14">
        <f>VLOOKUP(I6063,[2]媒体政策预估表!A:N,MATCH(O6063,[2]媒体政策预估表!$A$2:$M$2,0),0)</f>
        <v>0.223</v>
      </c>
      <c r="AF6063" s="6">
        <f t="shared" si="944"/>
        <v>441902.45751000004</v>
      </c>
      <c r="AG6063" s="14">
        <v>0</v>
      </c>
      <c r="AH6063" s="99">
        <f t="shared" si="948"/>
        <v>1981625.37</v>
      </c>
      <c r="AI6063" s="47"/>
      <c r="AJ6063" s="126" t="e">
        <v>#N/A</v>
      </c>
      <c r="AK6063" s="80">
        <f t="shared" si="943"/>
        <v>0</v>
      </c>
      <c r="AL6063" s="85"/>
      <c r="AM6063" s="85"/>
    </row>
    <row r="6064" spans="1:39" s="86" customFormat="1" ht="13.25" hidden="1" customHeight="1" x14ac:dyDescent="0.3">
      <c r="A6064" s="89" t="s">
        <v>3794</v>
      </c>
      <c r="B6064" s="86" t="s">
        <v>35</v>
      </c>
      <c r="C6064" s="86" t="s">
        <v>184</v>
      </c>
      <c r="D6064" s="86" t="s">
        <v>3849</v>
      </c>
      <c r="E6064" s="86" t="s">
        <v>550</v>
      </c>
      <c r="F6064" s="86" t="s">
        <v>551</v>
      </c>
      <c r="G6064" s="86" t="s">
        <v>550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550</v>
      </c>
      <c r="O6064" s="47" t="s">
        <v>45</v>
      </c>
      <c r="P6064" s="14" t="s">
        <v>46</v>
      </c>
      <c r="Q6064" s="14">
        <v>0.06</v>
      </c>
      <c r="R6064" s="143">
        <v>100212</v>
      </c>
      <c r="S6064" s="47"/>
      <c r="T6064" s="6">
        <v>-11543.85</v>
      </c>
      <c r="U6064" s="6"/>
      <c r="V6064" s="6">
        <v>0</v>
      </c>
      <c r="W6064" s="6">
        <v>0</v>
      </c>
      <c r="X6064" s="6">
        <f t="shared" si="946"/>
        <v>0</v>
      </c>
      <c r="Y6064" s="13">
        <f t="shared" si="941"/>
        <v>0</v>
      </c>
      <c r="Z6064" s="14">
        <v>0</v>
      </c>
      <c r="AA6064" s="6">
        <v>0</v>
      </c>
      <c r="AB6064" s="4">
        <f t="shared" si="942"/>
        <v>0</v>
      </c>
      <c r="AC6064" s="6">
        <f t="shared" si="940"/>
        <v>0</v>
      </c>
      <c r="AD6064" s="6">
        <f t="shared" si="947"/>
        <v>0</v>
      </c>
      <c r="AE6064" s="14">
        <f>VLOOKUP(I6064,[2]媒体政策预估表!A:N,MATCH(O6064,[2]媒体政策预估表!$A$2:$M$2,0),0)</f>
        <v>0.223</v>
      </c>
      <c r="AF6064" s="6">
        <f t="shared" si="944"/>
        <v>0</v>
      </c>
      <c r="AG6064" s="14">
        <v>0</v>
      </c>
      <c r="AH6064" s="99">
        <f t="shared" si="948"/>
        <v>0</v>
      </c>
      <c r="AI6064" s="47"/>
      <c r="AJ6064" s="126" t="e">
        <v>#N/A</v>
      </c>
      <c r="AK6064" s="80">
        <f t="shared" si="943"/>
        <v>0</v>
      </c>
      <c r="AL6064" s="85"/>
      <c r="AM6064" s="85"/>
    </row>
    <row r="6065" spans="1:39" s="86" customFormat="1" ht="13.25" hidden="1" customHeight="1" x14ac:dyDescent="0.3">
      <c r="A6065" s="89" t="s">
        <v>3792</v>
      </c>
      <c r="B6065" s="86" t="s">
        <v>35</v>
      </c>
      <c r="C6065" s="86" t="s">
        <v>65</v>
      </c>
      <c r="D6065" s="86" t="s">
        <v>66</v>
      </c>
      <c r="E6065" s="86" t="s">
        <v>2678</v>
      </c>
      <c r="F6065" s="86" t="s">
        <v>2679</v>
      </c>
      <c r="G6065" s="86" t="s">
        <v>2678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2965</v>
      </c>
      <c r="O6065" s="47" t="s">
        <v>45</v>
      </c>
      <c r="P6065" s="14" t="s">
        <v>41</v>
      </c>
      <c r="Q6065" s="14">
        <v>0</v>
      </c>
      <c r="R6065" s="143">
        <v>112112</v>
      </c>
      <c r="S6065" s="47"/>
      <c r="T6065" s="6">
        <v>-608.1</v>
      </c>
      <c r="U6065" s="6"/>
      <c r="V6065" s="6">
        <v>0</v>
      </c>
      <c r="W6065" s="6">
        <f t="shared" si="945"/>
        <v>-608.1</v>
      </c>
      <c r="X6065" s="6">
        <f t="shared" si="946"/>
        <v>0</v>
      </c>
      <c r="Y6065" s="13">
        <f t="shared" si="941"/>
        <v>0</v>
      </c>
      <c r="Z6065" s="14">
        <v>0</v>
      </c>
      <c r="AA6065" s="6">
        <v>0</v>
      </c>
      <c r="AB6065" s="4">
        <f t="shared" si="942"/>
        <v>0</v>
      </c>
      <c r="AC6065" s="6">
        <f t="shared" si="940"/>
        <v>0</v>
      </c>
      <c r="AD6065" s="6">
        <f t="shared" si="947"/>
        <v>0</v>
      </c>
      <c r="AE6065" s="14">
        <f>VLOOKUP(I6065,[2]媒体政策预估表!A:N,MATCH(O6065,[2]媒体政策预估表!$A$2:$M$2,0),0)</f>
        <v>0.223</v>
      </c>
      <c r="AF6065" s="6">
        <f t="shared" si="944"/>
        <v>0</v>
      </c>
      <c r="AG6065" s="14">
        <v>0</v>
      </c>
      <c r="AH6065" s="99">
        <f t="shared" si="948"/>
        <v>0</v>
      </c>
      <c r="AI6065" s="47"/>
      <c r="AJ6065" s="126" t="e">
        <v>#N/A</v>
      </c>
      <c r="AK6065" s="80">
        <f t="shared" si="943"/>
        <v>0</v>
      </c>
      <c r="AL6065" s="85"/>
      <c r="AM6065" s="85"/>
    </row>
    <row r="6066" spans="1:39" s="86" customFormat="1" ht="13.25" hidden="1" customHeight="1" x14ac:dyDescent="0.3">
      <c r="A6066" s="89" t="s">
        <v>3792</v>
      </c>
      <c r="B6066" s="86" t="s">
        <v>35</v>
      </c>
      <c r="C6066" s="86" t="s">
        <v>164</v>
      </c>
      <c r="D6066" s="86" t="s">
        <v>174</v>
      </c>
      <c r="E6066" s="86" t="s">
        <v>1966</v>
      </c>
      <c r="F6066" s="86" t="s">
        <v>1966</v>
      </c>
      <c r="G6066" s="86" t="s">
        <v>1966</v>
      </c>
      <c r="H6066" s="144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3019</v>
      </c>
      <c r="O6066" s="47" t="s">
        <v>45</v>
      </c>
      <c r="P6066" s="14" t="s">
        <v>41</v>
      </c>
      <c r="Q6066" s="14">
        <v>0</v>
      </c>
      <c r="R6066" s="143">
        <v>186502</v>
      </c>
      <c r="S6066" s="47"/>
      <c r="T6066" s="6">
        <v>-1600.9</v>
      </c>
      <c r="U6066" s="6"/>
      <c r="V6066" s="6">
        <v>24774.13</v>
      </c>
      <c r="W6066" s="6">
        <f t="shared" si="945"/>
        <v>-26375.030000000002</v>
      </c>
      <c r="X6066" s="6">
        <f t="shared" si="946"/>
        <v>24774.13</v>
      </c>
      <c r="Y6066" s="13">
        <f t="shared" si="941"/>
        <v>0</v>
      </c>
      <c r="Z6066" s="14">
        <v>0</v>
      </c>
      <c r="AA6066" s="6">
        <v>0</v>
      </c>
      <c r="AB6066" s="4">
        <f t="shared" si="942"/>
        <v>24774.13</v>
      </c>
      <c r="AC6066" s="6">
        <f t="shared" si="940"/>
        <v>0</v>
      </c>
      <c r="AD6066" s="6">
        <f t="shared" si="947"/>
        <v>24774.13</v>
      </c>
      <c r="AE6066" s="14">
        <f>VLOOKUP(I6066,[2]媒体政策预估表!A:N,MATCH(O6066,[2]媒体政策预估表!$A$2:$M$2,0),0)</f>
        <v>0.223</v>
      </c>
      <c r="AF6066" s="6">
        <f t="shared" si="944"/>
        <v>5524.6309900000006</v>
      </c>
      <c r="AG6066" s="14">
        <v>0</v>
      </c>
      <c r="AH6066" s="99">
        <f t="shared" si="948"/>
        <v>24774.13</v>
      </c>
      <c r="AI6066" s="47"/>
      <c r="AJ6066" s="126" t="e">
        <v>#N/A</v>
      </c>
      <c r="AK6066" s="80">
        <f t="shared" si="943"/>
        <v>0</v>
      </c>
      <c r="AL6066" s="85"/>
      <c r="AM6066" s="85"/>
    </row>
    <row r="6067" spans="1:39" s="86" customFormat="1" ht="13.25" hidden="1" customHeight="1" x14ac:dyDescent="0.3">
      <c r="A6067" s="89" t="s">
        <v>3794</v>
      </c>
      <c r="B6067" s="86" t="s">
        <v>35</v>
      </c>
      <c r="C6067" s="86" t="s">
        <v>164</v>
      </c>
      <c r="D6067" s="86" t="s">
        <v>174</v>
      </c>
      <c r="E6067" s="86" t="s">
        <v>1668</v>
      </c>
      <c r="F6067" s="86" t="s">
        <v>1669</v>
      </c>
      <c r="G6067" s="86" t="s">
        <v>1668</v>
      </c>
      <c r="H6067" s="143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3029</v>
      </c>
      <c r="O6067" s="47" t="s">
        <v>45</v>
      </c>
      <c r="P6067" s="14" t="s">
        <v>46</v>
      </c>
      <c r="Q6067" s="14">
        <v>0.05</v>
      </c>
      <c r="R6067" s="143">
        <v>10818</v>
      </c>
      <c r="S6067" s="47"/>
      <c r="T6067" s="6">
        <v>-1117.1300000000001</v>
      </c>
      <c r="U6067" s="6"/>
      <c r="V6067" s="6">
        <v>0</v>
      </c>
      <c r="W6067" s="6">
        <f t="shared" si="945"/>
        <v>-1117.1300000000001</v>
      </c>
      <c r="X6067" s="6">
        <f t="shared" si="946"/>
        <v>0</v>
      </c>
      <c r="Y6067" s="13">
        <f t="shared" si="941"/>
        <v>0</v>
      </c>
      <c r="Z6067" s="14">
        <v>0</v>
      </c>
      <c r="AA6067" s="6">
        <v>0</v>
      </c>
      <c r="AB6067" s="4">
        <f t="shared" si="942"/>
        <v>0</v>
      </c>
      <c r="AC6067" s="6">
        <f t="shared" si="940"/>
        <v>0</v>
      </c>
      <c r="AD6067" s="6">
        <f t="shared" si="947"/>
        <v>0</v>
      </c>
      <c r="AE6067" s="14">
        <f>VLOOKUP(I6067,[2]媒体政策预估表!A:N,MATCH(O6067,[2]媒体政策预估表!$A$2:$M$2,0),0)</f>
        <v>0.223</v>
      </c>
      <c r="AF6067" s="6">
        <f t="shared" si="944"/>
        <v>0</v>
      </c>
      <c r="AG6067" s="14">
        <v>0</v>
      </c>
      <c r="AH6067" s="99">
        <f t="shared" si="948"/>
        <v>0</v>
      </c>
      <c r="AI6067" s="47"/>
      <c r="AJ6067" s="126" t="e">
        <v>#N/A</v>
      </c>
      <c r="AK6067" s="80">
        <f t="shared" si="943"/>
        <v>0</v>
      </c>
      <c r="AL6067" s="85"/>
      <c r="AM6067" s="85"/>
    </row>
    <row r="6068" spans="1:39" s="86" customFormat="1" ht="13.25" hidden="1" customHeight="1" x14ac:dyDescent="0.3">
      <c r="A6068" s="89" t="s">
        <v>3792</v>
      </c>
      <c r="B6068" s="86" t="s">
        <v>35</v>
      </c>
      <c r="C6068" s="86" t="s">
        <v>65</v>
      </c>
      <c r="D6068" s="86" t="s">
        <v>66</v>
      </c>
      <c r="E6068" s="86" t="s">
        <v>501</v>
      </c>
      <c r="F6068" s="86" t="s">
        <v>501</v>
      </c>
      <c r="G6068" s="86" t="s">
        <v>501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501</v>
      </c>
      <c r="O6068" s="47" t="s">
        <v>45</v>
      </c>
      <c r="P6068" s="14" t="s">
        <v>41</v>
      </c>
      <c r="Q6068" s="14">
        <v>0</v>
      </c>
      <c r="R6068" s="143">
        <v>26112</v>
      </c>
      <c r="S6068" s="47"/>
      <c r="T6068" s="6">
        <v>-64409.9</v>
      </c>
      <c r="U6068" s="6"/>
      <c r="V6068" s="6">
        <v>89045.31</v>
      </c>
      <c r="W6068" s="6">
        <f t="shared" si="945"/>
        <v>-153455.21</v>
      </c>
      <c r="X6068" s="6">
        <f t="shared" si="946"/>
        <v>89045.31</v>
      </c>
      <c r="Y6068" s="13">
        <f t="shared" si="941"/>
        <v>0</v>
      </c>
      <c r="Z6068" s="14">
        <v>0</v>
      </c>
      <c r="AA6068" s="6">
        <v>0</v>
      </c>
      <c r="AB6068" s="4">
        <f t="shared" si="942"/>
        <v>89045.31</v>
      </c>
      <c r="AC6068" s="6">
        <f t="shared" si="940"/>
        <v>0</v>
      </c>
      <c r="AD6068" s="6">
        <f t="shared" si="947"/>
        <v>89045.31</v>
      </c>
      <c r="AE6068" s="14">
        <f>VLOOKUP(I6068,[2]媒体政策预估表!A:N,MATCH(O6068,[2]媒体政策预估表!$A$2:$M$2,0),0)</f>
        <v>0.223</v>
      </c>
      <c r="AF6068" s="6">
        <f t="shared" si="944"/>
        <v>19857.10413</v>
      </c>
      <c r="AG6068" s="14">
        <v>0</v>
      </c>
      <c r="AH6068" s="99">
        <f t="shared" si="948"/>
        <v>89045.31</v>
      </c>
      <c r="AI6068" s="47"/>
      <c r="AJ6068" s="126" t="e">
        <v>#N/A</v>
      </c>
      <c r="AK6068" s="80">
        <f t="shared" si="943"/>
        <v>0</v>
      </c>
      <c r="AL6068" s="85"/>
      <c r="AM6068" s="85"/>
    </row>
    <row r="6069" spans="1:39" s="86" customFormat="1" ht="13.25" hidden="1" customHeight="1" x14ac:dyDescent="0.3">
      <c r="A6069" s="89" t="s">
        <v>3794</v>
      </c>
      <c r="B6069" s="86" t="s">
        <v>35</v>
      </c>
      <c r="C6069" s="86" t="s">
        <v>184</v>
      </c>
      <c r="D6069" s="86" t="s">
        <v>54</v>
      </c>
      <c r="E6069" s="86" t="s">
        <v>291</v>
      </c>
      <c r="F6069" s="86" t="s">
        <v>291</v>
      </c>
      <c r="G6069" s="86" t="s">
        <v>291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2955</v>
      </c>
      <c r="O6069" s="47" t="s">
        <v>410</v>
      </c>
      <c r="P6069" s="14" t="s">
        <v>46</v>
      </c>
      <c r="Q6069" s="14">
        <v>0.02</v>
      </c>
      <c r="R6069" s="143">
        <v>46382</v>
      </c>
      <c r="S6069" s="47"/>
      <c r="T6069" s="6">
        <v>8511.7099999999991</v>
      </c>
      <c r="U6069" s="6"/>
      <c r="V6069" s="6">
        <v>8511.7099999999991</v>
      </c>
      <c r="W6069" s="6">
        <f t="shared" si="945"/>
        <v>0</v>
      </c>
      <c r="X6069" s="6">
        <f t="shared" si="946"/>
        <v>8344.8137254901958</v>
      </c>
      <c r="Y6069" s="13">
        <f t="shared" si="941"/>
        <v>0</v>
      </c>
      <c r="Z6069" s="14">
        <v>0</v>
      </c>
      <c r="AA6069" s="6">
        <v>0</v>
      </c>
      <c r="AB6069" s="4">
        <f t="shared" si="942"/>
        <v>8344.8137254901958</v>
      </c>
      <c r="AC6069" s="6">
        <f t="shared" si="940"/>
        <v>166.89627450980333</v>
      </c>
      <c r="AD6069" s="6">
        <f t="shared" si="947"/>
        <v>8511.7099999999991</v>
      </c>
      <c r="AE6069" s="14">
        <f>VLOOKUP(I6069,[2]媒体政策预估表!A:N,MATCH(O6069,[2]媒体政策预估表!$A$2:$M$2,0),0)</f>
        <v>0.10299999999999999</v>
      </c>
      <c r="AF6069" s="6">
        <f t="shared" si="944"/>
        <v>876.70612999999992</v>
      </c>
      <c r="AG6069" s="14">
        <v>0</v>
      </c>
      <c r="AH6069" s="99">
        <f t="shared" si="948"/>
        <v>8511.7099999999991</v>
      </c>
      <c r="AI6069" s="47"/>
      <c r="AJ6069" s="126" t="e">
        <v>#N/A</v>
      </c>
      <c r="AK6069" s="80">
        <f t="shared" si="943"/>
        <v>0</v>
      </c>
      <c r="AL6069" s="85"/>
      <c r="AM6069" s="85"/>
    </row>
    <row r="6070" spans="1:39" s="86" customFormat="1" ht="13.25" hidden="1" customHeight="1" x14ac:dyDescent="0.3">
      <c r="A6070" s="89" t="s">
        <v>3794</v>
      </c>
      <c r="B6070" s="86" t="s">
        <v>35</v>
      </c>
      <c r="C6070" s="86" t="s">
        <v>36</v>
      </c>
      <c r="D6070" s="86" t="s">
        <v>185</v>
      </c>
      <c r="E6070" s="86" t="s">
        <v>2957</v>
      </c>
      <c r="F6070" s="86" t="s">
        <v>2957</v>
      </c>
      <c r="G6070" s="86" t="s">
        <v>2957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3868</v>
      </c>
      <c r="O6070" s="47" t="s">
        <v>3891</v>
      </c>
      <c r="P6070" s="47" t="s">
        <v>46</v>
      </c>
      <c r="Q6070" s="14">
        <v>0.02</v>
      </c>
      <c r="R6070" s="143">
        <v>250332</v>
      </c>
      <c r="S6070" s="47"/>
      <c r="T6070" s="6">
        <v>0</v>
      </c>
      <c r="U6070" s="6">
        <v>0</v>
      </c>
      <c r="V6070" s="6">
        <v>53733</v>
      </c>
      <c r="W6070" s="6">
        <f t="shared" si="945"/>
        <v>-53733</v>
      </c>
      <c r="X6070" s="6">
        <f t="shared" si="946"/>
        <v>52679.411764705881</v>
      </c>
      <c r="Y6070" s="13">
        <f t="shared" si="941"/>
        <v>0</v>
      </c>
      <c r="Z6070" s="66">
        <v>0</v>
      </c>
      <c r="AA6070" s="6">
        <v>0</v>
      </c>
      <c r="AB6070" s="4">
        <f t="shared" si="942"/>
        <v>52679.411764705881</v>
      </c>
      <c r="AC6070" s="6">
        <f t="shared" si="940"/>
        <v>1053.5882352941189</v>
      </c>
      <c r="AD6070" s="6">
        <f t="shared" si="947"/>
        <v>53733</v>
      </c>
      <c r="AE6070" s="14">
        <f>VLOOKUP(I6070,[2]媒体政策预估表!A:N,MATCH(O6070,[2]媒体政策预估表!$A$2:$M$2,0),0)</f>
        <v>0.223</v>
      </c>
      <c r="AF6070" s="6">
        <f t="shared" si="944"/>
        <v>11982.459000000001</v>
      </c>
      <c r="AG6070" s="14">
        <v>0</v>
      </c>
      <c r="AH6070" s="99">
        <f t="shared" si="948"/>
        <v>53733</v>
      </c>
      <c r="AI6070" s="47"/>
      <c r="AJ6070" s="126" t="e">
        <v>#N/A</v>
      </c>
      <c r="AK6070" s="80">
        <f t="shared" si="943"/>
        <v>0</v>
      </c>
      <c r="AL6070" s="85"/>
      <c r="AM6070" s="85"/>
    </row>
    <row r="6071" spans="1:39" s="86" customFormat="1" ht="13.25" hidden="1" customHeight="1" x14ac:dyDescent="0.3">
      <c r="A6071" s="89" t="s">
        <v>3794</v>
      </c>
      <c r="B6071" s="86" t="s">
        <v>35</v>
      </c>
      <c r="C6071" s="86" t="s">
        <v>36</v>
      </c>
      <c r="D6071" s="86" t="s">
        <v>185</v>
      </c>
      <c r="E6071" s="86" t="s">
        <v>2957</v>
      </c>
      <c r="F6071" s="86" t="s">
        <v>2978</v>
      </c>
      <c r="G6071" s="86" t="s">
        <v>2957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2979</v>
      </c>
      <c r="O6071" s="47" t="s">
        <v>3891</v>
      </c>
      <c r="P6071" s="47" t="s">
        <v>46</v>
      </c>
      <c r="Q6071" s="14">
        <v>0.02</v>
      </c>
      <c r="R6071" s="143">
        <v>19992</v>
      </c>
      <c r="S6071" s="47"/>
      <c r="T6071" s="6">
        <v>0</v>
      </c>
      <c r="U6071" s="6">
        <v>0</v>
      </c>
      <c r="V6071" s="6">
        <v>46440.480000000003</v>
      </c>
      <c r="W6071" s="6">
        <f t="shared" si="945"/>
        <v>-46440.480000000003</v>
      </c>
      <c r="X6071" s="6">
        <f t="shared" si="946"/>
        <v>45529.882352941182</v>
      </c>
      <c r="Y6071" s="13">
        <f t="shared" si="941"/>
        <v>0</v>
      </c>
      <c r="Z6071" s="66">
        <v>0</v>
      </c>
      <c r="AA6071" s="6">
        <v>0</v>
      </c>
      <c r="AB6071" s="4">
        <f t="shared" si="942"/>
        <v>45529.882352941182</v>
      </c>
      <c r="AC6071" s="6">
        <f t="shared" si="940"/>
        <v>910.59764705882117</v>
      </c>
      <c r="AD6071" s="6">
        <f t="shared" si="947"/>
        <v>46440.480000000003</v>
      </c>
      <c r="AE6071" s="14">
        <f>VLOOKUP(I6071,[2]媒体政策预估表!A:N,MATCH(O6071,[2]媒体政策预估表!$A$2:$M$2,0),0)</f>
        <v>0.223</v>
      </c>
      <c r="AF6071" s="6">
        <f t="shared" si="944"/>
        <v>10356.227040000002</v>
      </c>
      <c r="AG6071" s="14">
        <v>0</v>
      </c>
      <c r="AH6071" s="99">
        <f t="shared" si="948"/>
        <v>46440.480000000003</v>
      </c>
      <c r="AI6071" s="47"/>
      <c r="AJ6071" s="126" t="e">
        <v>#N/A</v>
      </c>
      <c r="AK6071" s="80">
        <f t="shared" si="943"/>
        <v>0</v>
      </c>
      <c r="AL6071" s="85"/>
      <c r="AM6071" s="85"/>
    </row>
    <row r="6072" spans="1:39" s="86" customFormat="1" ht="13.25" hidden="1" customHeight="1" x14ac:dyDescent="0.3">
      <c r="A6072" s="89" t="s">
        <v>3792</v>
      </c>
      <c r="B6072" s="86" t="s">
        <v>35</v>
      </c>
      <c r="C6072" s="86" t="s">
        <v>65</v>
      </c>
      <c r="D6072" s="86" t="s">
        <v>66</v>
      </c>
      <c r="E6072" s="86" t="s">
        <v>2354</v>
      </c>
      <c r="F6072" s="86" t="s">
        <v>2354</v>
      </c>
      <c r="G6072" s="86" t="s">
        <v>2354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3870</v>
      </c>
      <c r="O6072" s="47" t="s">
        <v>3892</v>
      </c>
      <c r="P6072" s="47" t="s">
        <v>46</v>
      </c>
      <c r="Q6072" s="14">
        <v>0.05</v>
      </c>
      <c r="R6072" s="143">
        <v>247452</v>
      </c>
      <c r="S6072" s="47"/>
      <c r="T6072" s="6">
        <v>0</v>
      </c>
      <c r="U6072" s="6">
        <v>0</v>
      </c>
      <c r="V6072" s="6">
        <v>2073.14</v>
      </c>
      <c r="W6072" s="6">
        <f t="shared" si="945"/>
        <v>-2073.14</v>
      </c>
      <c r="X6072" s="6">
        <f t="shared" si="946"/>
        <v>1974.4190476190474</v>
      </c>
      <c r="Y6072" s="13">
        <f t="shared" si="941"/>
        <v>0</v>
      </c>
      <c r="Z6072" s="66">
        <v>0</v>
      </c>
      <c r="AA6072" s="6">
        <v>0</v>
      </c>
      <c r="AB6072" s="4">
        <f t="shared" si="942"/>
        <v>1974.4190476190474</v>
      </c>
      <c r="AC6072" s="6">
        <f t="shared" si="940"/>
        <v>98.72095238095244</v>
      </c>
      <c r="AD6072" s="6">
        <f t="shared" si="947"/>
        <v>2073.14</v>
      </c>
      <c r="AE6072" s="14">
        <f>VLOOKUP(I6072,[2]媒体政策预估表!A:N,MATCH(O6072,[2]媒体政策预估表!$A$2:$M$2,0),0)</f>
        <v>0.223</v>
      </c>
      <c r="AF6072" s="6">
        <f t="shared" si="944"/>
        <v>462.31021999999996</v>
      </c>
      <c r="AG6072" s="14">
        <v>0</v>
      </c>
      <c r="AH6072" s="99">
        <f t="shared" si="948"/>
        <v>2073.14</v>
      </c>
      <c r="AI6072" s="47"/>
      <c r="AJ6072" s="126" t="e">
        <v>#N/A</v>
      </c>
      <c r="AK6072" s="80">
        <f t="shared" si="943"/>
        <v>0</v>
      </c>
      <c r="AL6072" s="85"/>
      <c r="AM6072" s="85"/>
    </row>
    <row r="6073" spans="1:39" s="86" customFormat="1" ht="13.25" hidden="1" customHeight="1" x14ac:dyDescent="0.3">
      <c r="A6073" s="89" t="s">
        <v>3794</v>
      </c>
      <c r="B6073" s="86" t="s">
        <v>35</v>
      </c>
      <c r="C6073" s="86" t="s">
        <v>144</v>
      </c>
      <c r="D6073" s="86" t="s">
        <v>145</v>
      </c>
      <c r="E6073" s="86" t="s">
        <v>150</v>
      </c>
      <c r="F6073" s="86" t="s">
        <v>151</v>
      </c>
      <c r="G6073" s="86" t="s">
        <v>150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3873</v>
      </c>
      <c r="O6073" s="47" t="s">
        <v>3891</v>
      </c>
      <c r="P6073" s="47" t="s">
        <v>46</v>
      </c>
      <c r="Q6073" s="14">
        <v>0.04</v>
      </c>
      <c r="R6073" s="143">
        <v>224862</v>
      </c>
      <c r="S6073" s="47"/>
      <c r="T6073" s="6">
        <v>0</v>
      </c>
      <c r="U6073" s="6">
        <v>0</v>
      </c>
      <c r="V6073" s="6">
        <v>34605.379999999997</v>
      </c>
      <c r="W6073" s="6">
        <f t="shared" si="945"/>
        <v>-34605.379999999997</v>
      </c>
      <c r="X6073" s="6">
        <f t="shared" si="946"/>
        <v>33274.403846153844</v>
      </c>
      <c r="Y6073" s="13">
        <f t="shared" si="941"/>
        <v>0</v>
      </c>
      <c r="Z6073" s="66">
        <v>0</v>
      </c>
      <c r="AA6073" s="6">
        <v>0</v>
      </c>
      <c r="AB6073" s="4">
        <f t="shared" si="942"/>
        <v>33274.403846153844</v>
      </c>
      <c r="AC6073" s="6">
        <f t="shared" si="940"/>
        <v>1330.9761538461535</v>
      </c>
      <c r="AD6073" s="6">
        <f t="shared" si="947"/>
        <v>34605.379999999997</v>
      </c>
      <c r="AE6073" s="14">
        <f>VLOOKUP(I6073,[2]媒体政策预估表!A:N,MATCH(O6073,[2]媒体政策预估表!$A$2:$M$2,0),0)</f>
        <v>0.223</v>
      </c>
      <c r="AF6073" s="6">
        <f t="shared" si="944"/>
        <v>7716.9997399999993</v>
      </c>
      <c r="AG6073" s="14">
        <v>0</v>
      </c>
      <c r="AH6073" s="99">
        <f t="shared" si="948"/>
        <v>34605.379999999997</v>
      </c>
      <c r="AI6073" s="47"/>
      <c r="AJ6073" s="126" t="e">
        <v>#N/A</v>
      </c>
      <c r="AK6073" s="80">
        <f t="shared" si="943"/>
        <v>0</v>
      </c>
      <c r="AL6073" s="85"/>
      <c r="AM6073" s="85"/>
    </row>
    <row r="6074" spans="1:39" s="86" customFormat="1" ht="13.25" hidden="1" customHeight="1" x14ac:dyDescent="0.3">
      <c r="A6074" s="89" t="s">
        <v>3794</v>
      </c>
      <c r="B6074" s="86" t="s">
        <v>35</v>
      </c>
      <c r="C6074" s="86" t="s">
        <v>144</v>
      </c>
      <c r="D6074" s="86" t="s">
        <v>145</v>
      </c>
      <c r="E6074" s="86" t="s">
        <v>150</v>
      </c>
      <c r="F6074" s="86" t="s">
        <v>151</v>
      </c>
      <c r="G6074" s="86" t="s">
        <v>150</v>
      </c>
      <c r="H6074" s="144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2995</v>
      </c>
      <c r="O6074" s="47" t="s">
        <v>3892</v>
      </c>
      <c r="P6074" s="14" t="s">
        <v>46</v>
      </c>
      <c r="Q6074" s="14">
        <v>0.04</v>
      </c>
      <c r="R6074" s="143">
        <v>246342</v>
      </c>
      <c r="S6074" s="47"/>
      <c r="T6074" s="6">
        <v>0</v>
      </c>
      <c r="U6074" s="6">
        <v>0</v>
      </c>
      <c r="V6074" s="6">
        <v>26435.809999999998</v>
      </c>
      <c r="W6074" s="6">
        <f t="shared" si="945"/>
        <v>-26435.809999999998</v>
      </c>
      <c r="X6074" s="6">
        <f t="shared" si="946"/>
        <v>25419.048076923074</v>
      </c>
      <c r="Y6074" s="13">
        <f t="shared" si="941"/>
        <v>0</v>
      </c>
      <c r="Z6074" s="14">
        <v>0</v>
      </c>
      <c r="AA6074" s="6">
        <v>0</v>
      </c>
      <c r="AB6074" s="4">
        <f t="shared" si="942"/>
        <v>25419.048076923074</v>
      </c>
      <c r="AC6074" s="6">
        <f t="shared" si="940"/>
        <v>1016.7619230769233</v>
      </c>
      <c r="AD6074" s="6">
        <f t="shared" si="947"/>
        <v>26435.809999999998</v>
      </c>
      <c r="AE6074" s="14">
        <f>VLOOKUP(I6074,[2]媒体政策预估表!A:N,MATCH(O6074,[2]媒体政策预估表!$A$2:$M$2,0),0)</f>
        <v>0.223</v>
      </c>
      <c r="AF6074" s="6">
        <f t="shared" si="944"/>
        <v>5895.1856299999999</v>
      </c>
      <c r="AG6074" s="14">
        <v>0</v>
      </c>
      <c r="AH6074" s="99">
        <f t="shared" si="948"/>
        <v>26435.809999999998</v>
      </c>
      <c r="AI6074" s="47"/>
      <c r="AJ6074" s="126" t="e">
        <v>#N/A</v>
      </c>
      <c r="AK6074" s="80">
        <f t="shared" si="943"/>
        <v>0</v>
      </c>
      <c r="AL6074" s="85"/>
      <c r="AM6074" s="85"/>
    </row>
    <row r="6075" spans="1:39" s="86" customFormat="1" ht="13.25" hidden="1" customHeight="1" x14ac:dyDescent="0.3">
      <c r="A6075" s="89" t="s">
        <v>3794</v>
      </c>
      <c r="B6075" s="86" t="s">
        <v>35</v>
      </c>
      <c r="C6075" s="86" t="s">
        <v>59</v>
      </c>
      <c r="D6075" s="86" t="s">
        <v>60</v>
      </c>
      <c r="E6075" s="86" t="s">
        <v>2570</v>
      </c>
      <c r="F6075" s="86" t="s">
        <v>2571</v>
      </c>
      <c r="G6075" s="86" t="s">
        <v>2570</v>
      </c>
      <c r="H6075" s="143">
        <v>237</v>
      </c>
      <c r="I6075" s="86" t="s">
        <v>2374</v>
      </c>
      <c r="J6075" s="1" t="s">
        <v>3322</v>
      </c>
      <c r="K6075" s="1" t="s">
        <v>3269</v>
      </c>
      <c r="L6075" s="1" t="s">
        <v>35</v>
      </c>
      <c r="M6075" s="86" t="s">
        <v>2521</v>
      </c>
      <c r="O6075" s="47" t="s">
        <v>45</v>
      </c>
      <c r="P6075" s="47" t="s">
        <v>75</v>
      </c>
      <c r="Q6075" s="14">
        <v>0.06</v>
      </c>
      <c r="R6075" s="143"/>
      <c r="S6075" s="47"/>
      <c r="T6075" s="6">
        <v>0</v>
      </c>
      <c r="U6075" s="6">
        <v>10000</v>
      </c>
      <c r="V6075" s="6">
        <v>0</v>
      </c>
      <c r="W6075" s="6">
        <f t="shared" si="945"/>
        <v>10000</v>
      </c>
      <c r="X6075" s="6">
        <f>IF(P6075="折扣",V6075*Q6075,IF(P6075="返现",V6075,V6075/(1+Q6075+AG6075)))</f>
        <v>0</v>
      </c>
      <c r="Y6075" s="13">
        <f t="shared" si="941"/>
        <v>0</v>
      </c>
      <c r="Z6075" s="66">
        <v>0</v>
      </c>
      <c r="AA6075" s="6">
        <v>0</v>
      </c>
      <c r="AB6075" s="4">
        <f t="shared" si="942"/>
        <v>0</v>
      </c>
      <c r="AC6075" s="6">
        <f t="shared" si="940"/>
        <v>0</v>
      </c>
      <c r="AD6075" s="6">
        <v>0</v>
      </c>
      <c r="AE6075" s="14">
        <f>VLOOKUP(I6075,[2]媒体政策预估表!A:N,MATCH(O6075,[2]媒体政策预估表!$A$2:$M$2,0),0)</f>
        <v>7.0000000000000007E-2</v>
      </c>
      <c r="AF6075" s="6">
        <f t="shared" si="944"/>
        <v>0</v>
      </c>
      <c r="AG6075" s="14">
        <v>0</v>
      </c>
      <c r="AH6075" s="6">
        <f>V6075/(1+AG6075)</f>
        <v>0</v>
      </c>
      <c r="AI6075" s="47"/>
      <c r="AJ6075" s="126" t="e">
        <v>#N/A</v>
      </c>
      <c r="AK6075" s="80">
        <f t="shared" si="943"/>
        <v>0</v>
      </c>
      <c r="AL6075" s="85"/>
      <c r="AM6075" s="85"/>
    </row>
    <row r="6076" spans="1:39" s="86" customFormat="1" ht="13.25" hidden="1" customHeight="1" x14ac:dyDescent="0.3">
      <c r="A6076" s="89" t="s">
        <v>3794</v>
      </c>
      <c r="B6076" s="86" t="s">
        <v>35</v>
      </c>
      <c r="C6076" s="86" t="s">
        <v>36</v>
      </c>
      <c r="D6076" s="86" t="s">
        <v>185</v>
      </c>
      <c r="E6076" s="86" t="s">
        <v>2515</v>
      </c>
      <c r="F6076" s="86" t="s">
        <v>3893</v>
      </c>
      <c r="G6076" s="86" t="s">
        <v>2515</v>
      </c>
      <c r="H6076" s="144">
        <v>237</v>
      </c>
      <c r="I6076" s="86" t="s">
        <v>2374</v>
      </c>
      <c r="J6076" s="1" t="s">
        <v>3322</v>
      </c>
      <c r="K6076" s="1" t="s">
        <v>3269</v>
      </c>
      <c r="L6076" s="1" t="s">
        <v>35</v>
      </c>
      <c r="M6076" s="86" t="s">
        <v>2515</v>
      </c>
      <c r="O6076" s="47" t="s">
        <v>45</v>
      </c>
      <c r="P6076" s="47" t="s">
        <v>46</v>
      </c>
      <c r="Q6076" s="14">
        <v>0.03</v>
      </c>
      <c r="R6076" s="143"/>
      <c r="S6076" s="47"/>
      <c r="T6076" s="6">
        <v>0</v>
      </c>
      <c r="U6076" s="6">
        <v>-39208.769999999997</v>
      </c>
      <c r="V6076" s="6">
        <v>-39208.769999999997</v>
      </c>
      <c r="W6076" s="6">
        <f t="shared" si="945"/>
        <v>0</v>
      </c>
      <c r="X6076" s="6">
        <f t="shared" ref="X6076:X6139" si="949">IF(P6076="折扣",V6076*Q6076,IF(P6076="返现",V6076,V6076/(1+Q6076+AG6076)))</f>
        <v>-38066.76699029126</v>
      </c>
      <c r="Y6076" s="13">
        <f t="shared" si="941"/>
        <v>0</v>
      </c>
      <c r="Z6076" s="66">
        <v>0</v>
      </c>
      <c r="AA6076" s="6">
        <v>0</v>
      </c>
      <c r="AB6076" s="4">
        <f t="shared" si="942"/>
        <v>-38066.76699029126</v>
      </c>
      <c r="AC6076" s="6">
        <f t="shared" si="940"/>
        <v>-1142.0030097087365</v>
      </c>
      <c r="AD6076" s="6">
        <v>8236.9000000000015</v>
      </c>
      <c r="AE6076" s="14">
        <f>VLOOKUP(I6076,[2]媒体政策预估表!A:N,MATCH(O6076,[2]媒体政策预估表!$A$2:$M$2,0),0)</f>
        <v>7.0000000000000007E-2</v>
      </c>
      <c r="AF6076" s="6">
        <f t="shared" si="944"/>
        <v>576.5830000000002</v>
      </c>
      <c r="AG6076" s="14">
        <v>0</v>
      </c>
      <c r="AH6076" s="6">
        <f t="shared" ref="AH6076:AH6139" si="950">V6076/(1+AG6076)</f>
        <v>-39208.769999999997</v>
      </c>
      <c r="AI6076" s="47"/>
      <c r="AJ6076" s="126" t="e">
        <v>#N/A</v>
      </c>
      <c r="AK6076" s="80">
        <f t="shared" si="943"/>
        <v>0</v>
      </c>
      <c r="AL6076" s="85"/>
      <c r="AM6076" s="85"/>
    </row>
    <row r="6077" spans="1:39" s="86" customFormat="1" ht="13.25" customHeight="1" x14ac:dyDescent="0.3">
      <c r="A6077" s="89" t="s">
        <v>3794</v>
      </c>
      <c r="B6077" s="86" t="s">
        <v>35</v>
      </c>
      <c r="C6077" s="86" t="s">
        <v>36</v>
      </c>
      <c r="D6077" s="86" t="s">
        <v>185</v>
      </c>
      <c r="E6077" s="86" t="s">
        <v>528</v>
      </c>
      <c r="F6077" s="86" t="s">
        <v>528</v>
      </c>
      <c r="G6077" s="86" t="s">
        <v>528</v>
      </c>
      <c r="H6077" s="144">
        <v>237</v>
      </c>
      <c r="I6077" s="86" t="s">
        <v>2374</v>
      </c>
      <c r="J6077" s="1" t="s">
        <v>3322</v>
      </c>
      <c r="K6077" s="1" t="s">
        <v>3269</v>
      </c>
      <c r="L6077" s="1" t="s">
        <v>35</v>
      </c>
      <c r="M6077" s="86" t="s">
        <v>2391</v>
      </c>
      <c r="O6077" s="47" t="s">
        <v>45</v>
      </c>
      <c r="P6077" s="47" t="s">
        <v>41</v>
      </c>
      <c r="Q6077" s="14">
        <v>0</v>
      </c>
      <c r="R6077" s="143"/>
      <c r="S6077" s="47"/>
      <c r="T6077" s="6">
        <v>6202926.9446200002</v>
      </c>
      <c r="U6077" s="6">
        <v>5500000</v>
      </c>
      <c r="V6077" s="6">
        <v>5816722.9000000013</v>
      </c>
      <c r="W6077" s="6">
        <f t="shared" si="945"/>
        <v>5886204.0446199989</v>
      </c>
      <c r="X6077" s="6">
        <f t="shared" si="949"/>
        <v>5816722.9000000013</v>
      </c>
      <c r="Y6077" s="13">
        <f t="shared" si="941"/>
        <v>0</v>
      </c>
      <c r="Z6077" s="66">
        <v>0</v>
      </c>
      <c r="AA6077" s="6">
        <v>0</v>
      </c>
      <c r="AB6077" s="4">
        <f t="shared" si="942"/>
        <v>5816722.9000000013</v>
      </c>
      <c r="AC6077" s="6">
        <f t="shared" si="940"/>
        <v>0</v>
      </c>
      <c r="AD6077" s="6">
        <v>5816722.9000000013</v>
      </c>
      <c r="AE6077" s="14">
        <f>VLOOKUP(I6077,[2]媒体政策预估表!A:N,MATCH(O6077,[2]媒体政策预估表!$A$2:$M$2,0),0)</f>
        <v>7.0000000000000007E-2</v>
      </c>
      <c r="AF6077" s="6">
        <f t="shared" si="944"/>
        <v>407170.60300000012</v>
      </c>
      <c r="AG6077" s="14">
        <v>0</v>
      </c>
      <c r="AH6077" s="6">
        <f t="shared" si="950"/>
        <v>5816722.9000000013</v>
      </c>
      <c r="AI6077" s="47"/>
      <c r="AJ6077" s="126" t="e">
        <v>#N/A</v>
      </c>
      <c r="AK6077" s="80">
        <f t="shared" si="943"/>
        <v>0</v>
      </c>
      <c r="AL6077" s="85"/>
      <c r="AM6077" s="85"/>
    </row>
    <row r="6078" spans="1:39" s="86" customFormat="1" ht="13.25" customHeight="1" x14ac:dyDescent="0.3">
      <c r="A6078" s="89" t="s">
        <v>3792</v>
      </c>
      <c r="B6078" s="86" t="s">
        <v>35</v>
      </c>
      <c r="C6078" s="86" t="s">
        <v>36</v>
      </c>
      <c r="D6078" s="86" t="s">
        <v>185</v>
      </c>
      <c r="E6078" s="86" t="s">
        <v>528</v>
      </c>
      <c r="F6078" s="86" t="s">
        <v>528</v>
      </c>
      <c r="G6078" s="86" t="s">
        <v>528</v>
      </c>
      <c r="H6078" s="144">
        <v>237</v>
      </c>
      <c r="I6078" s="86" t="s">
        <v>2374</v>
      </c>
      <c r="J6078" s="1" t="s">
        <v>3322</v>
      </c>
      <c r="K6078" s="1" t="s">
        <v>3269</v>
      </c>
      <c r="L6078" s="1" t="s">
        <v>35</v>
      </c>
      <c r="M6078" s="86" t="s">
        <v>2391</v>
      </c>
      <c r="O6078" s="47" t="s">
        <v>40</v>
      </c>
      <c r="P6078" s="47" t="s">
        <v>41</v>
      </c>
      <c r="Q6078" s="14">
        <v>0</v>
      </c>
      <c r="R6078" s="143"/>
      <c r="S6078" s="47"/>
      <c r="T6078" s="6">
        <v>3978578.1099999994</v>
      </c>
      <c r="U6078" s="6">
        <v>2700000</v>
      </c>
      <c r="V6078" s="6">
        <v>4391257.3299999954</v>
      </c>
      <c r="W6078" s="6">
        <f t="shared" si="945"/>
        <v>2287320.780000004</v>
      </c>
      <c r="X6078" s="6">
        <f t="shared" si="949"/>
        <v>4391257.3299999954</v>
      </c>
      <c r="Y6078" s="13">
        <f t="shared" si="941"/>
        <v>0</v>
      </c>
      <c r="Z6078" s="66">
        <v>0</v>
      </c>
      <c r="AA6078" s="6">
        <v>0</v>
      </c>
      <c r="AB6078" s="4">
        <f t="shared" si="942"/>
        <v>4391257.3299999954</v>
      </c>
      <c r="AC6078" s="6">
        <f t="shared" ref="AC6078:AC6141" si="951">IF(P6078="返现",X6078*Q6078,V6078-X6078)</f>
        <v>0</v>
      </c>
      <c r="AD6078" s="6">
        <v>4391257.3299999954</v>
      </c>
      <c r="AE6078" s="14">
        <f>VLOOKUP(I6078,[2]媒体政策预估表!A:N,MATCH(O6078,[2]媒体政策预估表!$A$2:$M$2,0),0)</f>
        <v>0.09</v>
      </c>
      <c r="AF6078" s="6">
        <f t="shared" si="944"/>
        <v>395213.15969999955</v>
      </c>
      <c r="AG6078" s="14">
        <v>0</v>
      </c>
      <c r="AH6078" s="6">
        <f t="shared" si="950"/>
        <v>4391257.3299999954</v>
      </c>
      <c r="AI6078" s="47"/>
      <c r="AJ6078" s="126" t="e">
        <v>#N/A</v>
      </c>
      <c r="AK6078" s="80">
        <f t="shared" si="943"/>
        <v>0</v>
      </c>
      <c r="AL6078" s="85"/>
      <c r="AM6078" s="85"/>
    </row>
    <row r="6079" spans="1:39" s="86" customFormat="1" ht="13.25" customHeight="1" x14ac:dyDescent="0.3">
      <c r="A6079" s="89" t="s">
        <v>3794</v>
      </c>
      <c r="B6079" s="86" t="s">
        <v>35</v>
      </c>
      <c r="C6079" s="86" t="s">
        <v>36</v>
      </c>
      <c r="D6079" s="86" t="s">
        <v>185</v>
      </c>
      <c r="E6079" s="86" t="s">
        <v>528</v>
      </c>
      <c r="F6079" s="86" t="s">
        <v>2392</v>
      </c>
      <c r="G6079" s="86" t="s">
        <v>528</v>
      </c>
      <c r="H6079" s="144">
        <v>237</v>
      </c>
      <c r="I6079" s="86" t="s">
        <v>2374</v>
      </c>
      <c r="J6079" s="1" t="s">
        <v>3322</v>
      </c>
      <c r="K6079" s="1" t="s">
        <v>3269</v>
      </c>
      <c r="L6079" s="1" t="s">
        <v>35</v>
      </c>
      <c r="M6079" s="86" t="s">
        <v>2391</v>
      </c>
      <c r="O6079" s="47" t="s">
        <v>40</v>
      </c>
      <c r="P6079" s="47" t="s">
        <v>41</v>
      </c>
      <c r="Q6079" s="14">
        <v>0</v>
      </c>
      <c r="R6079" s="143"/>
      <c r="S6079" s="47" t="s">
        <v>4235</v>
      </c>
      <c r="T6079" s="6">
        <v>897724.64445999998</v>
      </c>
      <c r="U6079" s="6">
        <v>2050116.37</v>
      </c>
      <c r="V6079" s="6">
        <v>1741351.550000001</v>
      </c>
      <c r="W6079" s="6">
        <f t="shared" si="945"/>
        <v>1206489.4644599992</v>
      </c>
      <c r="X6079" s="6">
        <f>IF(P6079="折扣",V6079*Q6079,IF(P6079="返现",V6079,(V6079-116.37)/(1+Q6079+AG6079)))</f>
        <v>1741235.1800000009</v>
      </c>
      <c r="Y6079" s="13">
        <f t="shared" si="941"/>
        <v>0</v>
      </c>
      <c r="Z6079" s="66">
        <v>0</v>
      </c>
      <c r="AA6079" s="6">
        <v>0</v>
      </c>
      <c r="AB6079" s="4">
        <f t="shared" si="942"/>
        <v>1741235.1800000009</v>
      </c>
      <c r="AC6079" s="6">
        <f t="shared" si="951"/>
        <v>116.37000000011176</v>
      </c>
      <c r="AD6079" s="6">
        <v>1741235.1800000011</v>
      </c>
      <c r="AE6079" s="14">
        <f>VLOOKUP(I6079,[2]媒体政策预估表!A:N,MATCH(O6079,[2]媒体政策预估表!$A$2:$M$2,0),0)</f>
        <v>0.09</v>
      </c>
      <c r="AF6079" s="6">
        <f t="shared" si="944"/>
        <v>156711.16620000009</v>
      </c>
      <c r="AG6079" s="14">
        <v>0</v>
      </c>
      <c r="AH6079" s="6">
        <f t="shared" si="950"/>
        <v>1741351.550000001</v>
      </c>
      <c r="AI6079" s="47"/>
      <c r="AJ6079" s="126" t="e">
        <v>#N/A</v>
      </c>
      <c r="AK6079" s="80">
        <f t="shared" si="943"/>
        <v>0</v>
      </c>
      <c r="AL6079" s="85"/>
      <c r="AM6079" s="85"/>
    </row>
    <row r="6080" spans="1:39" s="86" customFormat="1" ht="13.25" hidden="1" customHeight="1" x14ac:dyDescent="0.3">
      <c r="A6080" s="89" t="s">
        <v>3794</v>
      </c>
      <c r="B6080" s="86" t="s">
        <v>35</v>
      </c>
      <c r="C6080" s="86" t="s">
        <v>36</v>
      </c>
      <c r="D6080" s="86" t="s">
        <v>185</v>
      </c>
      <c r="E6080" s="86" t="s">
        <v>2393</v>
      </c>
      <c r="F6080" s="86" t="s">
        <v>2394</v>
      </c>
      <c r="G6080" s="86" t="s">
        <v>2393</v>
      </c>
      <c r="H6080" s="144">
        <v>237</v>
      </c>
      <c r="I6080" s="86" t="s">
        <v>2374</v>
      </c>
      <c r="J6080" s="1" t="s">
        <v>3322</v>
      </c>
      <c r="K6080" s="1" t="s">
        <v>3269</v>
      </c>
      <c r="L6080" s="1" t="s">
        <v>35</v>
      </c>
      <c r="M6080" s="86" t="s">
        <v>2397</v>
      </c>
      <c r="O6080" s="47" t="s">
        <v>45</v>
      </c>
      <c r="P6080" s="47" t="s">
        <v>46</v>
      </c>
      <c r="Q6080" s="14">
        <v>5.5E-2</v>
      </c>
      <c r="R6080" s="143"/>
      <c r="S6080" s="47" t="s">
        <v>3856</v>
      </c>
      <c r="T6080" s="6">
        <v>285686.96000000008</v>
      </c>
      <c r="U6080" s="6">
        <v>-285730.15000000002</v>
      </c>
      <c r="V6080" s="6">
        <v>0</v>
      </c>
      <c r="W6080" s="6">
        <f t="shared" si="945"/>
        <v>-43.189999999944121</v>
      </c>
      <c r="X6080" s="6">
        <v>64.8</v>
      </c>
      <c r="Y6080" s="13">
        <f t="shared" si="941"/>
        <v>64.8</v>
      </c>
      <c r="Z6080" s="66">
        <v>0</v>
      </c>
      <c r="AA6080" s="6">
        <v>0</v>
      </c>
      <c r="AB6080" s="4">
        <f t="shared" si="942"/>
        <v>64.8</v>
      </c>
      <c r="AC6080" s="6">
        <f t="shared" si="951"/>
        <v>-64.8</v>
      </c>
      <c r="AD6080" s="6">
        <v>0</v>
      </c>
      <c r="AE6080" s="14">
        <f>VLOOKUP(I6080,[2]媒体政策预估表!A:N,MATCH(O6080,[2]媒体政策预估表!$A$2:$M$2,0),0)</f>
        <v>7.0000000000000007E-2</v>
      </c>
      <c r="AF6080" s="6">
        <f t="shared" si="944"/>
        <v>0</v>
      </c>
      <c r="AG6080" s="14">
        <v>0</v>
      </c>
      <c r="AH6080" s="6">
        <f t="shared" si="950"/>
        <v>0</v>
      </c>
      <c r="AI6080" s="47"/>
      <c r="AJ6080" s="126" t="e">
        <v>#N/A</v>
      </c>
      <c r="AK6080" s="80">
        <f t="shared" si="943"/>
        <v>0</v>
      </c>
      <c r="AL6080" s="85"/>
      <c r="AM6080" s="85"/>
    </row>
    <row r="6081" spans="1:39" s="86" customFormat="1" ht="13.25" hidden="1" customHeight="1" x14ac:dyDescent="0.3">
      <c r="A6081" s="89" t="s">
        <v>3792</v>
      </c>
      <c r="B6081" s="86" t="s">
        <v>35</v>
      </c>
      <c r="C6081" s="86" t="s">
        <v>36</v>
      </c>
      <c r="D6081" s="86" t="s">
        <v>185</v>
      </c>
      <c r="E6081" s="86" t="s">
        <v>2393</v>
      </c>
      <c r="F6081" s="86" t="s">
        <v>2399</v>
      </c>
      <c r="G6081" s="86" t="s">
        <v>2393</v>
      </c>
      <c r="H6081" s="143">
        <v>237</v>
      </c>
      <c r="I6081" s="86" t="s">
        <v>2374</v>
      </c>
      <c r="J6081" s="1" t="s">
        <v>3322</v>
      </c>
      <c r="K6081" s="1" t="s">
        <v>3269</v>
      </c>
      <c r="L6081" s="1" t="s">
        <v>35</v>
      </c>
      <c r="M6081" s="86" t="s">
        <v>3894</v>
      </c>
      <c r="O6081" s="47" t="s">
        <v>45</v>
      </c>
      <c r="P6081" s="47" t="s">
        <v>46</v>
      </c>
      <c r="Q6081" s="14">
        <v>5.5E-2</v>
      </c>
      <c r="R6081" s="143"/>
      <c r="S6081" s="47"/>
      <c r="T6081" s="6">
        <v>0</v>
      </c>
      <c r="U6081" s="6">
        <v>560000</v>
      </c>
      <c r="V6081" s="6">
        <v>0</v>
      </c>
      <c r="W6081" s="6">
        <f t="shared" si="945"/>
        <v>560000</v>
      </c>
      <c r="X6081" s="6">
        <f t="shared" si="949"/>
        <v>0</v>
      </c>
      <c r="Y6081" s="13">
        <f t="shared" si="941"/>
        <v>0</v>
      </c>
      <c r="Z6081" s="66">
        <v>0</v>
      </c>
      <c r="AA6081" s="6">
        <v>0</v>
      </c>
      <c r="AB6081" s="4">
        <f t="shared" si="942"/>
        <v>0</v>
      </c>
      <c r="AC6081" s="6">
        <f t="shared" si="951"/>
        <v>0</v>
      </c>
      <c r="AD6081" s="6">
        <v>0</v>
      </c>
      <c r="AE6081" s="14">
        <f>VLOOKUP(I6081,[2]媒体政策预估表!A:N,MATCH(O6081,[2]媒体政策预估表!$A$2:$M$2,0),0)</f>
        <v>7.0000000000000007E-2</v>
      </c>
      <c r="AF6081" s="6">
        <f t="shared" si="944"/>
        <v>0</v>
      </c>
      <c r="AG6081" s="14">
        <v>0</v>
      </c>
      <c r="AH6081" s="6">
        <f t="shared" si="950"/>
        <v>0</v>
      </c>
      <c r="AI6081" s="47"/>
      <c r="AJ6081" s="126" t="e">
        <v>#N/A</v>
      </c>
      <c r="AK6081" s="80">
        <f t="shared" si="943"/>
        <v>0</v>
      </c>
      <c r="AL6081" s="85"/>
      <c r="AM6081" s="85"/>
    </row>
    <row r="6082" spans="1:39" s="86" customFormat="1" ht="13.25" hidden="1" customHeight="1" x14ac:dyDescent="0.3">
      <c r="A6082" s="89" t="s">
        <v>3794</v>
      </c>
      <c r="B6082" s="86" t="s">
        <v>35</v>
      </c>
      <c r="C6082" s="86" t="s">
        <v>36</v>
      </c>
      <c r="D6082" s="86" t="s">
        <v>185</v>
      </c>
      <c r="E6082" s="86" t="s">
        <v>2393</v>
      </c>
      <c r="F6082" s="86" t="s">
        <v>2399</v>
      </c>
      <c r="G6082" s="86" t="s">
        <v>2393</v>
      </c>
      <c r="H6082" s="144">
        <v>237</v>
      </c>
      <c r="I6082" s="86" t="s">
        <v>2374</v>
      </c>
      <c r="J6082" s="1" t="s">
        <v>3322</v>
      </c>
      <c r="K6082" s="1" t="s">
        <v>3269</v>
      </c>
      <c r="L6082" s="1" t="s">
        <v>35</v>
      </c>
      <c r="M6082" s="86" t="s">
        <v>3894</v>
      </c>
      <c r="O6082" s="47" t="s">
        <v>40</v>
      </c>
      <c r="P6082" s="47" t="s">
        <v>46</v>
      </c>
      <c r="Q6082" s="14">
        <v>5.5E-2</v>
      </c>
      <c r="R6082" s="143"/>
      <c r="S6082" s="47"/>
      <c r="T6082" s="6">
        <v>0</v>
      </c>
      <c r="U6082" s="6">
        <v>2800000</v>
      </c>
      <c r="V6082" s="6">
        <v>13836.730000000001</v>
      </c>
      <c r="W6082" s="6">
        <f t="shared" si="945"/>
        <v>2786163.27</v>
      </c>
      <c r="X6082" s="6">
        <f t="shared" si="949"/>
        <v>13115.383886255926</v>
      </c>
      <c r="Y6082" s="13">
        <f t="shared" si="941"/>
        <v>0</v>
      </c>
      <c r="Z6082" s="66">
        <v>0</v>
      </c>
      <c r="AA6082" s="6">
        <v>0</v>
      </c>
      <c r="AB6082" s="4">
        <f t="shared" si="942"/>
        <v>13115.383886255926</v>
      </c>
      <c r="AC6082" s="6">
        <f t="shared" si="951"/>
        <v>721.34611374407541</v>
      </c>
      <c r="AD6082" s="6">
        <v>13836.730000000001</v>
      </c>
      <c r="AE6082" s="14">
        <f>VLOOKUP(I6082,[2]媒体政策预估表!A:N,MATCH(O6082,[2]媒体政策预估表!$A$2:$M$2,0),0)</f>
        <v>0.09</v>
      </c>
      <c r="AF6082" s="6">
        <f t="shared" si="944"/>
        <v>1245.3057000000001</v>
      </c>
      <c r="AG6082" s="14">
        <v>0</v>
      </c>
      <c r="AH6082" s="6">
        <f t="shared" si="950"/>
        <v>13836.730000000001</v>
      </c>
      <c r="AI6082" s="47"/>
      <c r="AJ6082" s="126" t="e">
        <v>#N/A</v>
      </c>
      <c r="AK6082" s="80">
        <f t="shared" si="943"/>
        <v>0</v>
      </c>
      <c r="AL6082" s="85"/>
      <c r="AM6082" s="85"/>
    </row>
    <row r="6083" spans="1:39" s="86" customFormat="1" ht="13.25" hidden="1" customHeight="1" x14ac:dyDescent="0.3">
      <c r="A6083" s="89" t="s">
        <v>3792</v>
      </c>
      <c r="B6083" s="86" t="s">
        <v>35</v>
      </c>
      <c r="C6083" s="86" t="s">
        <v>36</v>
      </c>
      <c r="D6083" s="86" t="s">
        <v>185</v>
      </c>
      <c r="E6083" s="86" t="s">
        <v>2393</v>
      </c>
      <c r="F6083" s="86" t="s">
        <v>2399</v>
      </c>
      <c r="G6083" s="86" t="s">
        <v>2393</v>
      </c>
      <c r="H6083" s="144">
        <v>237</v>
      </c>
      <c r="I6083" s="86" t="s">
        <v>2374</v>
      </c>
      <c r="J6083" s="1" t="s">
        <v>3322</v>
      </c>
      <c r="K6083" s="1" t="s">
        <v>3269</v>
      </c>
      <c r="L6083" s="1" t="s">
        <v>35</v>
      </c>
      <c r="M6083" s="86" t="s">
        <v>2401</v>
      </c>
      <c r="O6083" s="47" t="s">
        <v>45</v>
      </c>
      <c r="P6083" s="47" t="s">
        <v>46</v>
      </c>
      <c r="Q6083" s="14">
        <v>5.5E-2</v>
      </c>
      <c r="R6083" s="143"/>
      <c r="S6083" s="47"/>
      <c r="T6083" s="6">
        <v>33917.410000000018</v>
      </c>
      <c r="U6083" s="6">
        <v>30000</v>
      </c>
      <c r="V6083" s="6">
        <v>37746.740000000005</v>
      </c>
      <c r="W6083" s="6">
        <f t="shared" si="945"/>
        <v>26170.670000000013</v>
      </c>
      <c r="X6083" s="6">
        <f t="shared" si="949"/>
        <v>35778.90047393366</v>
      </c>
      <c r="Y6083" s="13">
        <f t="shared" ref="Y6083:Y6146" si="952">IF(X6083-AD6083&lt;=0,0,IF(P6083="返现",MAX(X6083-AC6083-AD6083,0),MAX(X6083-AD6083)))</f>
        <v>0</v>
      </c>
      <c r="Z6083" s="66">
        <v>0</v>
      </c>
      <c r="AA6083" s="6">
        <v>0</v>
      </c>
      <c r="AB6083" s="4">
        <f t="shared" ref="AB6083:AB6146" si="953">X6083+AA6083</f>
        <v>35778.90047393366</v>
      </c>
      <c r="AC6083" s="6">
        <f t="shared" si="951"/>
        <v>1967.8395260663456</v>
      </c>
      <c r="AD6083" s="6">
        <v>37746.740000000005</v>
      </c>
      <c r="AE6083" s="14">
        <f>VLOOKUP(I6083,[2]媒体政策预估表!A:N,MATCH(O6083,[2]媒体政策预估表!$A$2:$M$2,0),0)</f>
        <v>7.0000000000000007E-2</v>
      </c>
      <c r="AF6083" s="6">
        <f t="shared" si="944"/>
        <v>2642.2718000000004</v>
      </c>
      <c r="AG6083" s="14">
        <v>0</v>
      </c>
      <c r="AH6083" s="6">
        <f t="shared" si="950"/>
        <v>37746.740000000005</v>
      </c>
      <c r="AI6083" s="47"/>
      <c r="AJ6083" s="126" t="e">
        <v>#N/A</v>
      </c>
      <c r="AK6083" s="80">
        <f t="shared" ref="AK6083:AK6146" si="954">X6083+AA6083-AB6083</f>
        <v>0</v>
      </c>
      <c r="AL6083" s="85"/>
      <c r="AM6083" s="85"/>
    </row>
    <row r="6084" spans="1:39" s="86" customFormat="1" ht="13.25" hidden="1" customHeight="1" x14ac:dyDescent="0.3">
      <c r="A6084" s="89" t="s">
        <v>3792</v>
      </c>
      <c r="B6084" s="86" t="s">
        <v>35</v>
      </c>
      <c r="C6084" s="86" t="s">
        <v>36</v>
      </c>
      <c r="D6084" s="86" t="s">
        <v>185</v>
      </c>
      <c r="E6084" s="86" t="s">
        <v>2393</v>
      </c>
      <c r="F6084" s="86" t="s">
        <v>2399</v>
      </c>
      <c r="G6084" s="86" t="s">
        <v>2393</v>
      </c>
      <c r="H6084" s="144">
        <v>237</v>
      </c>
      <c r="I6084" s="86" t="s">
        <v>2374</v>
      </c>
      <c r="J6084" s="1" t="s">
        <v>3322</v>
      </c>
      <c r="K6084" s="1" t="s">
        <v>3269</v>
      </c>
      <c r="L6084" s="1" t="s">
        <v>35</v>
      </c>
      <c r="M6084" s="86" t="s">
        <v>2395</v>
      </c>
      <c r="O6084" s="47" t="s">
        <v>45</v>
      </c>
      <c r="P6084" s="47" t="s">
        <v>46</v>
      </c>
      <c r="Q6084" s="14">
        <v>5.5E-2</v>
      </c>
      <c r="R6084" s="143"/>
      <c r="S6084" s="47"/>
      <c r="T6084" s="6">
        <v>2228704.3599999994</v>
      </c>
      <c r="U6084" s="6">
        <v>23730000</v>
      </c>
      <c r="V6084" s="6">
        <v>14993718.390000004</v>
      </c>
      <c r="W6084" s="6">
        <f t="shared" si="945"/>
        <v>10964985.969999995</v>
      </c>
      <c r="X6084" s="6">
        <f t="shared" si="949"/>
        <v>14212055.345971569</v>
      </c>
      <c r="Y6084" s="13">
        <f t="shared" si="952"/>
        <v>0</v>
      </c>
      <c r="Z6084" s="66">
        <v>0</v>
      </c>
      <c r="AA6084" s="6">
        <v>0</v>
      </c>
      <c r="AB6084" s="4">
        <f t="shared" si="953"/>
        <v>14212055.345971569</v>
      </c>
      <c r="AC6084" s="6">
        <f t="shared" si="951"/>
        <v>781663.0440284349</v>
      </c>
      <c r="AD6084" s="6">
        <v>14993718.390000004</v>
      </c>
      <c r="AE6084" s="14">
        <f>VLOOKUP(I6084,[2]媒体政策预估表!A:N,MATCH(O6084,[2]媒体政策预估表!$A$2:$M$2,0),0)</f>
        <v>7.0000000000000007E-2</v>
      </c>
      <c r="AF6084" s="6">
        <f t="shared" si="944"/>
        <v>1049560.2873000004</v>
      </c>
      <c r="AG6084" s="14">
        <v>0</v>
      </c>
      <c r="AH6084" s="6">
        <f t="shared" si="950"/>
        <v>14993718.390000004</v>
      </c>
      <c r="AI6084" s="47"/>
      <c r="AJ6084" s="126" t="e">
        <v>#N/A</v>
      </c>
      <c r="AK6084" s="80">
        <f t="shared" si="954"/>
        <v>0</v>
      </c>
      <c r="AL6084" s="85"/>
      <c r="AM6084" s="85"/>
    </row>
    <row r="6085" spans="1:39" s="86" customFormat="1" ht="13.25" hidden="1" customHeight="1" x14ac:dyDescent="0.3">
      <c r="A6085" s="89" t="s">
        <v>3794</v>
      </c>
      <c r="B6085" s="86" t="s">
        <v>35</v>
      </c>
      <c r="C6085" s="86" t="s">
        <v>36</v>
      </c>
      <c r="D6085" s="86" t="s">
        <v>185</v>
      </c>
      <c r="E6085" s="86" t="s">
        <v>2393</v>
      </c>
      <c r="F6085" s="86" t="s">
        <v>2399</v>
      </c>
      <c r="G6085" s="86" t="s">
        <v>2393</v>
      </c>
      <c r="H6085" s="144">
        <v>237</v>
      </c>
      <c r="I6085" s="86" t="s">
        <v>2374</v>
      </c>
      <c r="J6085" s="1" t="s">
        <v>3322</v>
      </c>
      <c r="K6085" s="1" t="s">
        <v>3269</v>
      </c>
      <c r="L6085" s="1" t="s">
        <v>35</v>
      </c>
      <c r="M6085" s="86" t="s">
        <v>2395</v>
      </c>
      <c r="O6085" s="47" t="s">
        <v>40</v>
      </c>
      <c r="P6085" s="47" t="s">
        <v>46</v>
      </c>
      <c r="Q6085" s="14">
        <v>5.5E-2</v>
      </c>
      <c r="R6085" s="143"/>
      <c r="S6085" s="47"/>
      <c r="T6085" s="6">
        <v>3993014.79</v>
      </c>
      <c r="U6085" s="6">
        <v>105500</v>
      </c>
      <c r="V6085" s="6">
        <v>1101767.7399999998</v>
      </c>
      <c r="W6085" s="6">
        <f t="shared" si="945"/>
        <v>2996747.0500000003</v>
      </c>
      <c r="X6085" s="6">
        <f t="shared" si="949"/>
        <v>1044329.6113744074</v>
      </c>
      <c r="Y6085" s="13">
        <f t="shared" si="952"/>
        <v>0</v>
      </c>
      <c r="Z6085" s="66">
        <v>0</v>
      </c>
      <c r="AA6085" s="6">
        <v>0</v>
      </c>
      <c r="AB6085" s="4">
        <f t="shared" si="953"/>
        <v>1044329.6113744074</v>
      </c>
      <c r="AC6085" s="6">
        <f t="shared" si="951"/>
        <v>57438.128625592333</v>
      </c>
      <c r="AD6085" s="6">
        <v>1101767.7399999998</v>
      </c>
      <c r="AE6085" s="14">
        <f>VLOOKUP(I6085,[2]媒体政策预估表!A:N,MATCH(O6085,[2]媒体政策预估表!$A$2:$M$2,0),0)</f>
        <v>0.09</v>
      </c>
      <c r="AF6085" s="6">
        <f t="shared" si="944"/>
        <v>99159.096599999975</v>
      </c>
      <c r="AG6085" s="14">
        <v>0</v>
      </c>
      <c r="AH6085" s="6">
        <f t="shared" si="950"/>
        <v>1101767.7399999998</v>
      </c>
      <c r="AI6085" s="47"/>
      <c r="AJ6085" s="126" t="e">
        <v>#N/A</v>
      </c>
      <c r="AK6085" s="80">
        <f t="shared" si="954"/>
        <v>0</v>
      </c>
      <c r="AL6085" s="85"/>
      <c r="AM6085" s="85"/>
    </row>
    <row r="6086" spans="1:39" s="86" customFormat="1" ht="13.25" hidden="1" customHeight="1" x14ac:dyDescent="0.3">
      <c r="A6086" s="89" t="s">
        <v>3792</v>
      </c>
      <c r="B6086" s="86" t="s">
        <v>35</v>
      </c>
      <c r="C6086" s="86" t="s">
        <v>36</v>
      </c>
      <c r="D6086" s="86" t="s">
        <v>185</v>
      </c>
      <c r="E6086" s="86" t="s">
        <v>2393</v>
      </c>
      <c r="F6086" s="86" t="s">
        <v>2399</v>
      </c>
      <c r="G6086" s="86" t="s">
        <v>2393</v>
      </c>
      <c r="H6086" s="144">
        <v>237</v>
      </c>
      <c r="I6086" s="86" t="s">
        <v>2374</v>
      </c>
      <c r="J6086" s="1" t="s">
        <v>3322</v>
      </c>
      <c r="K6086" s="1" t="s">
        <v>3269</v>
      </c>
      <c r="L6086" s="1" t="s">
        <v>35</v>
      </c>
      <c r="M6086" s="86" t="s">
        <v>2402</v>
      </c>
      <c r="O6086" s="47" t="s">
        <v>45</v>
      </c>
      <c r="P6086" s="47" t="s">
        <v>46</v>
      </c>
      <c r="Q6086" s="14">
        <v>5.5E-2</v>
      </c>
      <c r="R6086" s="143"/>
      <c r="S6086" s="47"/>
      <c r="T6086" s="6">
        <v>420791.50999999983</v>
      </c>
      <c r="U6086" s="6">
        <v>538115</v>
      </c>
      <c r="V6086" s="6">
        <v>442599.85999999993</v>
      </c>
      <c r="W6086" s="6">
        <f t="shared" si="945"/>
        <v>516306.64999999985</v>
      </c>
      <c r="X6086" s="6">
        <f t="shared" si="949"/>
        <v>419525.93364928907</v>
      </c>
      <c r="Y6086" s="13">
        <f t="shared" si="952"/>
        <v>0</v>
      </c>
      <c r="Z6086" s="66">
        <v>0</v>
      </c>
      <c r="AA6086" s="6">
        <v>0</v>
      </c>
      <c r="AB6086" s="4">
        <f t="shared" si="953"/>
        <v>419525.93364928907</v>
      </c>
      <c r="AC6086" s="6">
        <f t="shared" si="951"/>
        <v>23073.926350710855</v>
      </c>
      <c r="AD6086" s="6">
        <v>442599.85999999993</v>
      </c>
      <c r="AE6086" s="14">
        <f>VLOOKUP(I6086,[2]媒体政策预估表!A:N,MATCH(O6086,[2]媒体政策预估表!$A$2:$M$2,0),0)</f>
        <v>7.0000000000000007E-2</v>
      </c>
      <c r="AF6086" s="6">
        <f t="shared" si="944"/>
        <v>30981.990199999997</v>
      </c>
      <c r="AG6086" s="14">
        <v>0</v>
      </c>
      <c r="AH6086" s="6">
        <f t="shared" si="950"/>
        <v>442599.85999999993</v>
      </c>
      <c r="AI6086" s="47"/>
      <c r="AJ6086" s="126" t="e">
        <v>#N/A</v>
      </c>
      <c r="AK6086" s="80">
        <f t="shared" si="954"/>
        <v>0</v>
      </c>
      <c r="AL6086" s="85"/>
      <c r="AM6086" s="85"/>
    </row>
    <row r="6087" spans="1:39" s="86" customFormat="1" ht="13.25" hidden="1" customHeight="1" x14ac:dyDescent="0.3">
      <c r="A6087" s="89" t="s">
        <v>3794</v>
      </c>
      <c r="B6087" s="86" t="s">
        <v>35</v>
      </c>
      <c r="C6087" s="86" t="s">
        <v>36</v>
      </c>
      <c r="D6087" s="86" t="s">
        <v>185</v>
      </c>
      <c r="E6087" s="86" t="s">
        <v>2393</v>
      </c>
      <c r="F6087" s="86" t="s">
        <v>2399</v>
      </c>
      <c r="G6087" s="86" t="s">
        <v>2393</v>
      </c>
      <c r="H6087" s="144">
        <v>237</v>
      </c>
      <c r="I6087" s="86" t="s">
        <v>2374</v>
      </c>
      <c r="J6087" s="1" t="s">
        <v>3322</v>
      </c>
      <c r="K6087" s="1" t="s">
        <v>3269</v>
      </c>
      <c r="L6087" s="1" t="s">
        <v>35</v>
      </c>
      <c r="M6087" s="86" t="s">
        <v>2402</v>
      </c>
      <c r="O6087" s="47" t="s">
        <v>40</v>
      </c>
      <c r="P6087" s="47" t="s">
        <v>46</v>
      </c>
      <c r="Q6087" s="14">
        <v>5.5E-2</v>
      </c>
      <c r="R6087" s="143"/>
      <c r="S6087" s="47"/>
      <c r="T6087" s="6">
        <v>0</v>
      </c>
      <c r="U6087" s="6">
        <v>1680000</v>
      </c>
      <c r="V6087" s="6">
        <v>10273.290000000001</v>
      </c>
      <c r="W6087" s="6">
        <f t="shared" si="945"/>
        <v>1669726.71</v>
      </c>
      <c r="X6087" s="6">
        <f t="shared" si="949"/>
        <v>9737.7156398104271</v>
      </c>
      <c r="Y6087" s="13">
        <f t="shared" si="952"/>
        <v>0</v>
      </c>
      <c r="Z6087" s="66">
        <v>0</v>
      </c>
      <c r="AA6087" s="6">
        <v>0</v>
      </c>
      <c r="AB6087" s="4">
        <f t="shared" si="953"/>
        <v>9737.7156398104271</v>
      </c>
      <c r="AC6087" s="6">
        <f t="shared" si="951"/>
        <v>535.57436018957378</v>
      </c>
      <c r="AD6087" s="6">
        <v>10273.290000000001</v>
      </c>
      <c r="AE6087" s="14">
        <f>VLOOKUP(I6087,[2]媒体政策预估表!A:N,MATCH(O6087,[2]媒体政策预估表!$A$2:$M$2,0),0)</f>
        <v>0.09</v>
      </c>
      <c r="AF6087" s="6">
        <f t="shared" si="944"/>
        <v>924.59610000000009</v>
      </c>
      <c r="AG6087" s="14">
        <v>0</v>
      </c>
      <c r="AH6087" s="6">
        <f t="shared" si="950"/>
        <v>10273.290000000001</v>
      </c>
      <c r="AI6087" s="47"/>
      <c r="AJ6087" s="126" t="e">
        <v>#N/A</v>
      </c>
      <c r="AK6087" s="80">
        <f t="shared" si="954"/>
        <v>0</v>
      </c>
      <c r="AL6087" s="85"/>
      <c r="AM6087" s="85"/>
    </row>
    <row r="6088" spans="1:39" s="86" customFormat="1" ht="13.25" hidden="1" customHeight="1" x14ac:dyDescent="0.3">
      <c r="A6088" s="89" t="s">
        <v>3794</v>
      </c>
      <c r="B6088" s="86" t="s">
        <v>35</v>
      </c>
      <c r="C6088" s="86" t="s">
        <v>36</v>
      </c>
      <c r="D6088" s="86" t="s">
        <v>185</v>
      </c>
      <c r="E6088" s="86" t="s">
        <v>2393</v>
      </c>
      <c r="F6088" s="86" t="s">
        <v>2399</v>
      </c>
      <c r="G6088" s="86" t="s">
        <v>2393</v>
      </c>
      <c r="H6088" s="144">
        <v>237</v>
      </c>
      <c r="I6088" s="86" t="s">
        <v>2374</v>
      </c>
      <c r="J6088" s="1" t="s">
        <v>3322</v>
      </c>
      <c r="K6088" s="1" t="s">
        <v>3269</v>
      </c>
      <c r="L6088" s="1" t="s">
        <v>35</v>
      </c>
      <c r="M6088" s="86" t="s">
        <v>2404</v>
      </c>
      <c r="O6088" s="47" t="s">
        <v>45</v>
      </c>
      <c r="P6088" s="47" t="s">
        <v>46</v>
      </c>
      <c r="Q6088" s="14">
        <v>5.5E-2</v>
      </c>
      <c r="R6088" s="143"/>
      <c r="S6088" s="47"/>
      <c r="T6088" s="6">
        <v>3550016.6199999996</v>
      </c>
      <c r="U6088" s="6">
        <v>2624810</v>
      </c>
      <c r="V6088" s="6">
        <v>4394931.2299999995</v>
      </c>
      <c r="W6088" s="6">
        <f t="shared" si="945"/>
        <v>1779895.3899999997</v>
      </c>
      <c r="X6088" s="6">
        <f t="shared" si="949"/>
        <v>4165811.5924170613</v>
      </c>
      <c r="Y6088" s="13">
        <f t="shared" si="952"/>
        <v>0</v>
      </c>
      <c r="Z6088" s="66">
        <v>0</v>
      </c>
      <c r="AA6088" s="6">
        <v>0</v>
      </c>
      <c r="AB6088" s="4">
        <f t="shared" si="953"/>
        <v>4165811.5924170613</v>
      </c>
      <c r="AC6088" s="6">
        <f t="shared" si="951"/>
        <v>229119.63758293819</v>
      </c>
      <c r="AD6088" s="6">
        <v>4394931.2299999995</v>
      </c>
      <c r="AE6088" s="14">
        <f>VLOOKUP(I6088,[2]媒体政策预估表!A:N,MATCH(O6088,[2]媒体政策预估表!$A$2:$M$2,0),0)</f>
        <v>7.0000000000000007E-2</v>
      </c>
      <c r="AF6088" s="6">
        <f t="shared" si="944"/>
        <v>307645.18609999999</v>
      </c>
      <c r="AG6088" s="14">
        <v>0</v>
      </c>
      <c r="AH6088" s="6">
        <f t="shared" si="950"/>
        <v>4394931.2299999995</v>
      </c>
      <c r="AI6088" s="47"/>
      <c r="AJ6088" s="126" t="e">
        <v>#N/A</v>
      </c>
      <c r="AK6088" s="80">
        <f t="shared" si="954"/>
        <v>0</v>
      </c>
      <c r="AL6088" s="85"/>
      <c r="AM6088" s="85"/>
    </row>
    <row r="6089" spans="1:39" s="86" customFormat="1" ht="13.25" hidden="1" customHeight="1" x14ac:dyDescent="0.3">
      <c r="A6089" s="89" t="s">
        <v>3792</v>
      </c>
      <c r="B6089" s="86" t="s">
        <v>35</v>
      </c>
      <c r="C6089" s="86" t="s">
        <v>36</v>
      </c>
      <c r="D6089" s="86" t="s">
        <v>185</v>
      </c>
      <c r="E6089" s="86" t="s">
        <v>2393</v>
      </c>
      <c r="F6089" s="86" t="s">
        <v>2399</v>
      </c>
      <c r="G6089" s="86" t="s">
        <v>2393</v>
      </c>
      <c r="H6089" s="144">
        <v>237</v>
      </c>
      <c r="I6089" s="86" t="s">
        <v>2374</v>
      </c>
      <c r="J6089" s="1" t="s">
        <v>3322</v>
      </c>
      <c r="K6089" s="1" t="s">
        <v>3269</v>
      </c>
      <c r="L6089" s="1" t="s">
        <v>35</v>
      </c>
      <c r="M6089" s="86" t="s">
        <v>2404</v>
      </c>
      <c r="O6089" s="47" t="s">
        <v>40</v>
      </c>
      <c r="P6089" s="47" t="s">
        <v>46</v>
      </c>
      <c r="Q6089" s="14">
        <v>5.5E-2</v>
      </c>
      <c r="R6089" s="143"/>
      <c r="S6089" s="47"/>
      <c r="T6089" s="6">
        <v>1675884.13</v>
      </c>
      <c r="U6089" s="6">
        <v>12258850</v>
      </c>
      <c r="V6089" s="6">
        <v>8708960.4600000102</v>
      </c>
      <c r="W6089" s="6">
        <f t="shared" si="945"/>
        <v>5225773.6699999887</v>
      </c>
      <c r="X6089" s="6">
        <f t="shared" si="949"/>
        <v>8254938.82464456</v>
      </c>
      <c r="Y6089" s="13">
        <f t="shared" si="952"/>
        <v>0</v>
      </c>
      <c r="Z6089" s="66">
        <v>0</v>
      </c>
      <c r="AA6089" s="6">
        <v>0</v>
      </c>
      <c r="AB6089" s="4">
        <f t="shared" si="953"/>
        <v>8254938.82464456</v>
      </c>
      <c r="AC6089" s="6">
        <f t="shared" si="951"/>
        <v>454021.63535545021</v>
      </c>
      <c r="AD6089" s="6">
        <v>8708960.4600000102</v>
      </c>
      <c r="AE6089" s="14">
        <f>VLOOKUP(I6089,[2]媒体政策预估表!A:N,MATCH(O6089,[2]媒体政策预估表!$A$2:$M$2,0),0)</f>
        <v>0.09</v>
      </c>
      <c r="AF6089" s="6">
        <f t="shared" si="944"/>
        <v>783806.44140000094</v>
      </c>
      <c r="AG6089" s="14">
        <v>0</v>
      </c>
      <c r="AH6089" s="6">
        <f t="shared" si="950"/>
        <v>8708960.4600000102</v>
      </c>
      <c r="AI6089" s="47"/>
      <c r="AJ6089" s="126" t="e">
        <v>#N/A</v>
      </c>
      <c r="AK6089" s="80">
        <f t="shared" si="954"/>
        <v>0</v>
      </c>
      <c r="AL6089" s="85"/>
      <c r="AM6089" s="85"/>
    </row>
    <row r="6090" spans="1:39" s="86" customFormat="1" ht="13.25" hidden="1" customHeight="1" x14ac:dyDescent="0.3">
      <c r="A6090" s="89" t="s">
        <v>3792</v>
      </c>
      <c r="B6090" s="86" t="s">
        <v>35</v>
      </c>
      <c r="C6090" s="86" t="s">
        <v>36</v>
      </c>
      <c r="D6090" s="86" t="s">
        <v>185</v>
      </c>
      <c r="E6090" s="86" t="s">
        <v>2393</v>
      </c>
      <c r="F6090" s="86" t="s">
        <v>2405</v>
      </c>
      <c r="G6090" s="86" t="s">
        <v>2393</v>
      </c>
      <c r="H6090" s="144">
        <v>237</v>
      </c>
      <c r="I6090" s="86" t="s">
        <v>2374</v>
      </c>
      <c r="J6090" s="1" t="s">
        <v>3322</v>
      </c>
      <c r="K6090" s="1" t="s">
        <v>3269</v>
      </c>
      <c r="L6090" s="1" t="s">
        <v>35</v>
      </c>
      <c r="M6090" s="86" t="s">
        <v>2406</v>
      </c>
      <c r="O6090" s="47" t="s">
        <v>45</v>
      </c>
      <c r="P6090" s="47" t="s">
        <v>46</v>
      </c>
      <c r="Q6090" s="14">
        <v>5.5E-2</v>
      </c>
      <c r="R6090" s="143"/>
      <c r="S6090" s="47"/>
      <c r="T6090" s="6">
        <v>17549.099999999919</v>
      </c>
      <c r="U6090" s="6">
        <v>52750</v>
      </c>
      <c r="V6090" s="6">
        <v>61285.339999999989</v>
      </c>
      <c r="W6090" s="6">
        <f t="shared" si="945"/>
        <v>9013.7599999999293</v>
      </c>
      <c r="X6090" s="6">
        <f t="shared" si="949"/>
        <v>58090.369668246436</v>
      </c>
      <c r="Y6090" s="13">
        <f t="shared" si="952"/>
        <v>0</v>
      </c>
      <c r="Z6090" s="66">
        <v>0</v>
      </c>
      <c r="AA6090" s="6">
        <v>0</v>
      </c>
      <c r="AB6090" s="4">
        <f t="shared" si="953"/>
        <v>58090.369668246436</v>
      </c>
      <c r="AC6090" s="6">
        <f t="shared" si="951"/>
        <v>3194.9703317535532</v>
      </c>
      <c r="AD6090" s="6">
        <v>61285.339999999989</v>
      </c>
      <c r="AE6090" s="14">
        <f>VLOOKUP(I6090,[2]媒体政策预估表!A:N,MATCH(O6090,[2]媒体政策预估表!$A$2:$M$2,0),0)</f>
        <v>7.0000000000000007E-2</v>
      </c>
      <c r="AF6090" s="6">
        <f t="shared" si="944"/>
        <v>4289.9737999999998</v>
      </c>
      <c r="AG6090" s="14">
        <v>0</v>
      </c>
      <c r="AH6090" s="6">
        <f t="shared" si="950"/>
        <v>61285.339999999989</v>
      </c>
      <c r="AI6090" s="47"/>
      <c r="AJ6090" s="126" t="e">
        <v>#N/A</v>
      </c>
      <c r="AK6090" s="80">
        <f t="shared" si="954"/>
        <v>0</v>
      </c>
      <c r="AL6090" s="85"/>
      <c r="AM6090" s="85"/>
    </row>
    <row r="6091" spans="1:39" s="86" customFormat="1" ht="13.25" hidden="1" customHeight="1" x14ac:dyDescent="0.3">
      <c r="A6091" s="89" t="s">
        <v>3794</v>
      </c>
      <c r="B6091" s="86" t="s">
        <v>35</v>
      </c>
      <c r="C6091" s="86" t="s">
        <v>36</v>
      </c>
      <c r="D6091" s="86" t="s">
        <v>185</v>
      </c>
      <c r="E6091" s="86" t="s">
        <v>2393</v>
      </c>
      <c r="F6091" s="86" t="s">
        <v>2407</v>
      </c>
      <c r="G6091" s="86" t="s">
        <v>2393</v>
      </c>
      <c r="H6091" s="144">
        <v>237</v>
      </c>
      <c r="I6091" s="86" t="s">
        <v>2374</v>
      </c>
      <c r="J6091" s="1" t="s">
        <v>3322</v>
      </c>
      <c r="K6091" s="1" t="s">
        <v>3269</v>
      </c>
      <c r="L6091" s="1" t="s">
        <v>35</v>
      </c>
      <c r="M6091" s="86" t="s">
        <v>2408</v>
      </c>
      <c r="O6091" s="47" t="s">
        <v>45</v>
      </c>
      <c r="P6091" s="47" t="s">
        <v>46</v>
      </c>
      <c r="Q6091" s="14">
        <v>5.5E-2</v>
      </c>
      <c r="R6091" s="143"/>
      <c r="S6091" s="47"/>
      <c r="T6091" s="6">
        <v>1075982.6009999998</v>
      </c>
      <c r="U6091" s="6">
        <v>211649.99660000001</v>
      </c>
      <c r="V6091" s="6">
        <v>268549.20999999996</v>
      </c>
      <c r="W6091" s="6">
        <f t="shared" si="945"/>
        <v>1019083.3875999998</v>
      </c>
      <c r="X6091" s="6">
        <f t="shared" si="949"/>
        <v>215702.1767068273</v>
      </c>
      <c r="Y6091" s="13">
        <f t="shared" si="952"/>
        <v>0</v>
      </c>
      <c r="Z6091" s="66">
        <v>0</v>
      </c>
      <c r="AA6091" s="6">
        <v>0</v>
      </c>
      <c r="AB6091" s="4">
        <f t="shared" si="953"/>
        <v>215702.1767068273</v>
      </c>
      <c r="AC6091" s="6">
        <f t="shared" si="951"/>
        <v>52847.033293172659</v>
      </c>
      <c r="AD6091" s="6">
        <v>225671.99000000002</v>
      </c>
      <c r="AE6091" s="14">
        <f>VLOOKUP(I6091,[2]媒体政策预估表!A:N,MATCH(O6091,[2]媒体政策预估表!$A$2:$M$2,0),0)</f>
        <v>7.0000000000000007E-2</v>
      </c>
      <c r="AF6091" s="6">
        <f t="shared" si="944"/>
        <v>15797.039300000002</v>
      </c>
      <c r="AG6091" s="14">
        <v>0.19</v>
      </c>
      <c r="AH6091" s="6">
        <f t="shared" si="950"/>
        <v>225671.60504201677</v>
      </c>
      <c r="AI6091" s="47"/>
      <c r="AJ6091" s="126" t="e">
        <v>#N/A</v>
      </c>
      <c r="AK6091" s="80">
        <f t="shared" si="954"/>
        <v>0</v>
      </c>
      <c r="AL6091" s="85"/>
      <c r="AM6091" s="85"/>
    </row>
    <row r="6092" spans="1:39" s="86" customFormat="1" ht="13.25" hidden="1" customHeight="1" x14ac:dyDescent="0.3">
      <c r="A6092" s="89" t="s">
        <v>3792</v>
      </c>
      <c r="B6092" s="86" t="s">
        <v>35</v>
      </c>
      <c r="C6092" s="86" t="s">
        <v>36</v>
      </c>
      <c r="D6092" s="86" t="s">
        <v>185</v>
      </c>
      <c r="E6092" s="86" t="s">
        <v>3702</v>
      </c>
      <c r="F6092" s="86" t="s">
        <v>3702</v>
      </c>
      <c r="G6092" s="86" t="s">
        <v>3702</v>
      </c>
      <c r="H6092" s="144">
        <v>237</v>
      </c>
      <c r="I6092" s="86" t="s">
        <v>2374</v>
      </c>
      <c r="J6092" s="1" t="s">
        <v>3322</v>
      </c>
      <c r="K6092" s="1" t="s">
        <v>3269</v>
      </c>
      <c r="L6092" s="1" t="s">
        <v>35</v>
      </c>
      <c r="M6092" s="86" t="s">
        <v>2515</v>
      </c>
      <c r="O6092" s="47" t="s">
        <v>45</v>
      </c>
      <c r="P6092" s="47" t="s">
        <v>41</v>
      </c>
      <c r="Q6092" s="14">
        <v>0</v>
      </c>
      <c r="R6092" s="143"/>
      <c r="S6092" s="47"/>
      <c r="T6092" s="6">
        <v>0</v>
      </c>
      <c r="U6092" s="6">
        <v>39208.769999999997</v>
      </c>
      <c r="V6092" s="6">
        <v>39208.769999999997</v>
      </c>
      <c r="W6092" s="6">
        <f t="shared" si="945"/>
        <v>0</v>
      </c>
      <c r="X6092" s="6">
        <f t="shared" si="949"/>
        <v>39208.769999999997</v>
      </c>
      <c r="Y6092" s="13">
        <f t="shared" si="952"/>
        <v>39208.769999999997</v>
      </c>
      <c r="Z6092" s="66">
        <v>0</v>
      </c>
      <c r="AA6092" s="6">
        <v>0</v>
      </c>
      <c r="AB6092" s="4">
        <f t="shared" si="953"/>
        <v>39208.769999999997</v>
      </c>
      <c r="AC6092" s="6">
        <f t="shared" si="951"/>
        <v>0</v>
      </c>
      <c r="AD6092" s="6">
        <v>0</v>
      </c>
      <c r="AE6092" s="14">
        <f>VLOOKUP(I6092,[2]媒体政策预估表!A:N,MATCH(O6092,[2]媒体政策预估表!$A$2:$M$2,0),0)</f>
        <v>7.0000000000000007E-2</v>
      </c>
      <c r="AF6092" s="6">
        <f t="shared" si="944"/>
        <v>0</v>
      </c>
      <c r="AG6092" s="14">
        <v>0</v>
      </c>
      <c r="AH6092" s="6">
        <f t="shared" si="950"/>
        <v>39208.769999999997</v>
      </c>
      <c r="AI6092" s="47"/>
      <c r="AJ6092" s="126" t="e">
        <v>#N/A</v>
      </c>
      <c r="AK6092" s="80">
        <f t="shared" si="954"/>
        <v>0</v>
      </c>
      <c r="AL6092" s="85"/>
      <c r="AM6092" s="85"/>
    </row>
    <row r="6093" spans="1:39" s="86" customFormat="1" ht="13.25" hidden="1" customHeight="1" x14ac:dyDescent="0.3">
      <c r="A6093" s="89" t="s">
        <v>3792</v>
      </c>
      <c r="B6093" s="86" t="s">
        <v>35</v>
      </c>
      <c r="C6093" s="86" t="s">
        <v>36</v>
      </c>
      <c r="D6093" s="86" t="s">
        <v>185</v>
      </c>
      <c r="E6093" s="86" t="s">
        <v>2409</v>
      </c>
      <c r="F6093" s="86" t="s">
        <v>2412</v>
      </c>
      <c r="G6093" s="86" t="s">
        <v>2409</v>
      </c>
      <c r="H6093" s="144">
        <v>237</v>
      </c>
      <c r="I6093" s="86" t="s">
        <v>2374</v>
      </c>
      <c r="J6093" s="1" t="s">
        <v>3322</v>
      </c>
      <c r="K6093" s="1" t="s">
        <v>3269</v>
      </c>
      <c r="L6093" s="1" t="s">
        <v>35</v>
      </c>
      <c r="M6093" s="86" t="s">
        <v>2413</v>
      </c>
      <c r="O6093" s="47" t="s">
        <v>45</v>
      </c>
      <c r="P6093" s="47" t="s">
        <v>46</v>
      </c>
      <c r="Q6093" s="14">
        <v>5.5E-2</v>
      </c>
      <c r="R6093" s="143"/>
      <c r="S6093" s="47"/>
      <c r="T6093" s="6">
        <v>272064.87999999971</v>
      </c>
      <c r="U6093" s="6">
        <v>469600</v>
      </c>
      <c r="V6093" s="6">
        <v>524326.61999999988</v>
      </c>
      <c r="W6093" s="6">
        <f t="shared" si="945"/>
        <v>217338.25999999978</v>
      </c>
      <c r="X6093" s="6">
        <f t="shared" si="949"/>
        <v>496992.05687203782</v>
      </c>
      <c r="Y6093" s="13">
        <f t="shared" si="952"/>
        <v>0</v>
      </c>
      <c r="Z6093" s="66">
        <v>0</v>
      </c>
      <c r="AA6093" s="6">
        <v>0</v>
      </c>
      <c r="AB6093" s="4">
        <f t="shared" si="953"/>
        <v>496992.05687203782</v>
      </c>
      <c r="AC6093" s="6">
        <f t="shared" si="951"/>
        <v>27334.563127962057</v>
      </c>
      <c r="AD6093" s="6">
        <v>524326.61999999988</v>
      </c>
      <c r="AE6093" s="14">
        <f>VLOOKUP(I6093,[2]媒体政策预估表!A:N,MATCH(O6093,[2]媒体政策预估表!$A$2:$M$2,0),0)</f>
        <v>7.0000000000000007E-2</v>
      </c>
      <c r="AF6093" s="6">
        <f t="shared" si="944"/>
        <v>36702.863399999995</v>
      </c>
      <c r="AG6093" s="14">
        <v>0</v>
      </c>
      <c r="AH6093" s="6">
        <f t="shared" si="950"/>
        <v>524326.61999999988</v>
      </c>
      <c r="AI6093" s="47"/>
      <c r="AJ6093" s="126" t="e">
        <v>#N/A</v>
      </c>
      <c r="AK6093" s="80">
        <f t="shared" si="954"/>
        <v>0</v>
      </c>
      <c r="AL6093" s="85"/>
      <c r="AM6093" s="85"/>
    </row>
    <row r="6094" spans="1:39" s="86" customFormat="1" ht="13.25" hidden="1" customHeight="1" x14ac:dyDescent="0.3">
      <c r="A6094" s="89" t="s">
        <v>3794</v>
      </c>
      <c r="B6094" s="86" t="s">
        <v>35</v>
      </c>
      <c r="C6094" s="86" t="s">
        <v>36</v>
      </c>
      <c r="D6094" s="86" t="s">
        <v>185</v>
      </c>
      <c r="E6094" s="86" t="s">
        <v>2409</v>
      </c>
      <c r="F6094" s="86" t="s">
        <v>2412</v>
      </c>
      <c r="G6094" s="86" t="s">
        <v>2409</v>
      </c>
      <c r="H6094" s="144">
        <v>237</v>
      </c>
      <c r="I6094" s="86" t="s">
        <v>2374</v>
      </c>
      <c r="J6094" s="1" t="s">
        <v>3322</v>
      </c>
      <c r="K6094" s="1" t="s">
        <v>3269</v>
      </c>
      <c r="L6094" s="1" t="s">
        <v>35</v>
      </c>
      <c r="M6094" s="86" t="s">
        <v>2409</v>
      </c>
      <c r="O6094" s="47" t="s">
        <v>45</v>
      </c>
      <c r="P6094" s="47" t="s">
        <v>46</v>
      </c>
      <c r="Q6094" s="14">
        <v>5.5E-2</v>
      </c>
      <c r="R6094" s="143"/>
      <c r="S6094" s="47"/>
      <c r="T6094" s="6">
        <v>240920.25000000015</v>
      </c>
      <c r="U6094" s="6">
        <v>538050</v>
      </c>
      <c r="V6094" s="6">
        <v>700849.84999999986</v>
      </c>
      <c r="W6094" s="6">
        <f t="shared" si="945"/>
        <v>78120.400000000256</v>
      </c>
      <c r="X6094" s="6">
        <f t="shared" si="949"/>
        <v>664312.65402843594</v>
      </c>
      <c r="Y6094" s="13">
        <f t="shared" si="952"/>
        <v>0</v>
      </c>
      <c r="Z6094" s="66">
        <v>0</v>
      </c>
      <c r="AA6094" s="6">
        <v>0</v>
      </c>
      <c r="AB6094" s="4">
        <f t="shared" si="953"/>
        <v>664312.65402843594</v>
      </c>
      <c r="AC6094" s="6">
        <f t="shared" si="951"/>
        <v>36537.195971563924</v>
      </c>
      <c r="AD6094" s="6">
        <v>700849.84999999986</v>
      </c>
      <c r="AE6094" s="14">
        <f>VLOOKUP(I6094,[2]媒体政策预估表!A:N,MATCH(O6094,[2]媒体政策预估表!$A$2:$M$2,0),0)</f>
        <v>7.0000000000000007E-2</v>
      </c>
      <c r="AF6094" s="6">
        <f t="shared" si="944"/>
        <v>49059.489499999996</v>
      </c>
      <c r="AG6094" s="14">
        <v>0</v>
      </c>
      <c r="AH6094" s="6">
        <f t="shared" si="950"/>
        <v>700849.84999999986</v>
      </c>
      <c r="AI6094" s="47"/>
      <c r="AJ6094" s="126" t="e">
        <v>#N/A</v>
      </c>
      <c r="AK6094" s="80">
        <f t="shared" si="954"/>
        <v>0</v>
      </c>
      <c r="AL6094" s="85"/>
      <c r="AM6094" s="85"/>
    </row>
    <row r="6095" spans="1:39" s="86" customFormat="1" ht="13.25" hidden="1" customHeight="1" x14ac:dyDescent="0.3">
      <c r="A6095" s="89" t="s">
        <v>3794</v>
      </c>
      <c r="B6095" s="86" t="s">
        <v>35</v>
      </c>
      <c r="C6095" s="86" t="s">
        <v>36</v>
      </c>
      <c r="D6095" s="86" t="s">
        <v>185</v>
      </c>
      <c r="E6095" s="86" t="s">
        <v>2409</v>
      </c>
      <c r="F6095" s="86" t="s">
        <v>2412</v>
      </c>
      <c r="G6095" s="86" t="s">
        <v>2409</v>
      </c>
      <c r="H6095" s="144">
        <v>237</v>
      </c>
      <c r="I6095" s="86" t="s">
        <v>2374</v>
      </c>
      <c r="J6095" s="1" t="s">
        <v>3322</v>
      </c>
      <c r="K6095" s="1" t="s">
        <v>3269</v>
      </c>
      <c r="L6095" s="1" t="s">
        <v>35</v>
      </c>
      <c r="M6095" s="86" t="s">
        <v>2414</v>
      </c>
      <c r="O6095" s="47" t="s">
        <v>45</v>
      </c>
      <c r="P6095" s="47" t="s">
        <v>46</v>
      </c>
      <c r="Q6095" s="14">
        <v>5.5E-2</v>
      </c>
      <c r="R6095" s="143"/>
      <c r="S6095" s="47"/>
      <c r="T6095" s="6">
        <v>4628.3799999999937</v>
      </c>
      <c r="U6095" s="6">
        <v>27660</v>
      </c>
      <c r="V6095" s="6">
        <v>18711.45</v>
      </c>
      <c r="W6095" s="6">
        <f t="shared" si="945"/>
        <v>13576.929999999993</v>
      </c>
      <c r="X6095" s="6">
        <f t="shared" si="949"/>
        <v>17735.971563981046</v>
      </c>
      <c r="Y6095" s="13">
        <f t="shared" si="952"/>
        <v>0</v>
      </c>
      <c r="Z6095" s="66">
        <v>0</v>
      </c>
      <c r="AA6095" s="6">
        <v>0</v>
      </c>
      <c r="AB6095" s="4">
        <f t="shared" si="953"/>
        <v>17735.971563981046</v>
      </c>
      <c r="AC6095" s="6">
        <f t="shared" si="951"/>
        <v>975.47843601895511</v>
      </c>
      <c r="AD6095" s="6">
        <v>18711.45</v>
      </c>
      <c r="AE6095" s="14">
        <f>VLOOKUP(I6095,[2]媒体政策预估表!A:N,MATCH(O6095,[2]媒体政策预估表!$A$2:$M$2,0),0)</f>
        <v>7.0000000000000007E-2</v>
      </c>
      <c r="AF6095" s="6">
        <f t="shared" si="944"/>
        <v>1309.8015000000003</v>
      </c>
      <c r="AG6095" s="14">
        <v>0</v>
      </c>
      <c r="AH6095" s="6">
        <f t="shared" si="950"/>
        <v>18711.45</v>
      </c>
      <c r="AI6095" s="47"/>
      <c r="AJ6095" s="126" t="e">
        <v>#N/A</v>
      </c>
      <c r="AK6095" s="80">
        <f t="shared" si="954"/>
        <v>0</v>
      </c>
      <c r="AL6095" s="85"/>
      <c r="AM6095" s="85"/>
    </row>
    <row r="6096" spans="1:39" s="86" customFormat="1" ht="13.25" hidden="1" customHeight="1" x14ac:dyDescent="0.3">
      <c r="A6096" s="89" t="s">
        <v>3792</v>
      </c>
      <c r="B6096" s="86" t="s">
        <v>35</v>
      </c>
      <c r="C6096" s="86" t="s">
        <v>36</v>
      </c>
      <c r="D6096" s="86" t="s">
        <v>185</v>
      </c>
      <c r="E6096" s="86" t="s">
        <v>2409</v>
      </c>
      <c r="F6096" s="86" t="s">
        <v>2412</v>
      </c>
      <c r="G6096" s="86" t="s">
        <v>2409</v>
      </c>
      <c r="H6096" s="144">
        <v>237</v>
      </c>
      <c r="I6096" s="86" t="s">
        <v>2374</v>
      </c>
      <c r="J6096" s="1" t="s">
        <v>3322</v>
      </c>
      <c r="K6096" s="1" t="s">
        <v>3269</v>
      </c>
      <c r="L6096" s="1" t="s">
        <v>35</v>
      </c>
      <c r="M6096" s="86" t="s">
        <v>2417</v>
      </c>
      <c r="O6096" s="47" t="s">
        <v>45</v>
      </c>
      <c r="P6096" s="47" t="s">
        <v>46</v>
      </c>
      <c r="Q6096" s="14">
        <v>5.5E-2</v>
      </c>
      <c r="R6096" s="143"/>
      <c r="S6096" s="47"/>
      <c r="T6096" s="6">
        <v>886200</v>
      </c>
      <c r="U6096" s="6">
        <v>1336200</v>
      </c>
      <c r="V6096" s="6">
        <v>1600026.3899999997</v>
      </c>
      <c r="W6096" s="6">
        <f t="shared" si="945"/>
        <v>622373.61000000034</v>
      </c>
      <c r="X6096" s="6">
        <f t="shared" si="949"/>
        <v>1516612.6919431277</v>
      </c>
      <c r="Y6096" s="13">
        <f t="shared" si="952"/>
        <v>0</v>
      </c>
      <c r="Z6096" s="66">
        <v>0</v>
      </c>
      <c r="AA6096" s="6">
        <v>0</v>
      </c>
      <c r="AB6096" s="4">
        <f t="shared" si="953"/>
        <v>1516612.6919431277</v>
      </c>
      <c r="AC6096" s="6">
        <f t="shared" si="951"/>
        <v>83413.698056872003</v>
      </c>
      <c r="AD6096" s="6">
        <v>1600026.3899999997</v>
      </c>
      <c r="AE6096" s="14">
        <f>VLOOKUP(I6096,[2]媒体政策预估表!A:N,MATCH(O6096,[2]媒体政策预估表!$A$2:$M$2,0),0)</f>
        <v>7.0000000000000007E-2</v>
      </c>
      <c r="AF6096" s="6">
        <f t="shared" si="944"/>
        <v>112001.84729999999</v>
      </c>
      <c r="AG6096" s="14">
        <v>0</v>
      </c>
      <c r="AH6096" s="6">
        <f t="shared" si="950"/>
        <v>1600026.3899999997</v>
      </c>
      <c r="AI6096" s="47"/>
      <c r="AJ6096" s="126" t="e">
        <v>#N/A</v>
      </c>
      <c r="AK6096" s="80">
        <f t="shared" si="954"/>
        <v>0</v>
      </c>
      <c r="AL6096" s="85"/>
      <c r="AM6096" s="85"/>
    </row>
    <row r="6097" spans="1:39" s="86" customFormat="1" ht="13.25" hidden="1" customHeight="1" x14ac:dyDescent="0.3">
      <c r="A6097" s="89" t="s">
        <v>3792</v>
      </c>
      <c r="B6097" s="86" t="s">
        <v>35</v>
      </c>
      <c r="C6097" s="86" t="s">
        <v>36</v>
      </c>
      <c r="D6097" s="86" t="s">
        <v>185</v>
      </c>
      <c r="E6097" s="86" t="s">
        <v>2418</v>
      </c>
      <c r="F6097" s="86" t="s">
        <v>2512</v>
      </c>
      <c r="G6097" s="86" t="s">
        <v>2418</v>
      </c>
      <c r="H6097" s="143">
        <v>237</v>
      </c>
      <c r="I6097" s="86" t="s">
        <v>2374</v>
      </c>
      <c r="J6097" s="1" t="s">
        <v>3322</v>
      </c>
      <c r="K6097" s="1" t="s">
        <v>3269</v>
      </c>
      <c r="L6097" s="1" t="s">
        <v>35</v>
      </c>
      <c r="M6097" s="86" t="s">
        <v>2504</v>
      </c>
      <c r="O6097" s="47" t="s">
        <v>45</v>
      </c>
      <c r="P6097" s="47" t="s">
        <v>46</v>
      </c>
      <c r="Q6097" s="14">
        <v>5.5E-2</v>
      </c>
      <c r="R6097" s="143"/>
      <c r="S6097" s="47"/>
      <c r="T6097" s="6">
        <v>19288.310000000001</v>
      </c>
      <c r="U6097" s="6">
        <v>-19288.313000000002</v>
      </c>
      <c r="V6097" s="6">
        <v>0</v>
      </c>
      <c r="W6097" s="6">
        <f t="shared" si="945"/>
        <v>-3.0000000006111804E-3</v>
      </c>
      <c r="X6097" s="6">
        <f t="shared" si="949"/>
        <v>0</v>
      </c>
      <c r="Y6097" s="13">
        <f t="shared" si="952"/>
        <v>0</v>
      </c>
      <c r="Z6097" s="66">
        <v>0</v>
      </c>
      <c r="AA6097" s="6">
        <v>0</v>
      </c>
      <c r="AB6097" s="4">
        <f t="shared" si="953"/>
        <v>0</v>
      </c>
      <c r="AC6097" s="6">
        <f t="shared" si="951"/>
        <v>0</v>
      </c>
      <c r="AD6097" s="6">
        <v>0</v>
      </c>
      <c r="AE6097" s="14">
        <f>VLOOKUP(I6097,[2]媒体政策预估表!A:N,MATCH(O6097,[2]媒体政策预估表!$A$2:$M$2,0),0)</f>
        <v>7.0000000000000007E-2</v>
      </c>
      <c r="AF6097" s="6">
        <f t="shared" si="944"/>
        <v>0</v>
      </c>
      <c r="AG6097" s="14">
        <v>0.1</v>
      </c>
      <c r="AH6097" s="6">
        <f t="shared" si="950"/>
        <v>0</v>
      </c>
      <c r="AI6097" s="47"/>
      <c r="AJ6097" s="126" t="e">
        <v>#N/A</v>
      </c>
      <c r="AK6097" s="80">
        <f t="shared" si="954"/>
        <v>0</v>
      </c>
      <c r="AL6097" s="85"/>
      <c r="AM6097" s="85"/>
    </row>
    <row r="6098" spans="1:39" s="86" customFormat="1" ht="13.25" hidden="1" customHeight="1" x14ac:dyDescent="0.3">
      <c r="A6098" s="89" t="s">
        <v>3794</v>
      </c>
      <c r="B6098" s="86" t="s">
        <v>35</v>
      </c>
      <c r="C6098" s="86" t="s">
        <v>36</v>
      </c>
      <c r="D6098" s="86" t="s">
        <v>185</v>
      </c>
      <c r="E6098" s="86" t="s">
        <v>2418</v>
      </c>
      <c r="F6098" s="86" t="s">
        <v>2512</v>
      </c>
      <c r="G6098" s="86" t="s">
        <v>2418</v>
      </c>
      <c r="H6098" s="143">
        <v>237</v>
      </c>
      <c r="I6098" s="86" t="s">
        <v>2374</v>
      </c>
      <c r="J6098" s="1" t="s">
        <v>3322</v>
      </c>
      <c r="K6098" s="1" t="s">
        <v>3269</v>
      </c>
      <c r="L6098" s="1" t="s">
        <v>35</v>
      </c>
      <c r="M6098" s="86" t="s">
        <v>2504</v>
      </c>
      <c r="O6098" s="47" t="s">
        <v>40</v>
      </c>
      <c r="P6098" s="47" t="s">
        <v>46</v>
      </c>
      <c r="Q6098" s="14">
        <v>5.5E-2</v>
      </c>
      <c r="R6098" s="143"/>
      <c r="S6098" s="47"/>
      <c r="T6098" s="6">
        <v>13050</v>
      </c>
      <c r="U6098" s="6">
        <v>-13050</v>
      </c>
      <c r="V6098" s="6">
        <v>0</v>
      </c>
      <c r="W6098" s="6">
        <f t="shared" si="945"/>
        <v>0</v>
      </c>
      <c r="X6098" s="6">
        <f t="shared" si="949"/>
        <v>0</v>
      </c>
      <c r="Y6098" s="13">
        <f t="shared" si="952"/>
        <v>0</v>
      </c>
      <c r="Z6098" s="66">
        <v>0</v>
      </c>
      <c r="AA6098" s="6">
        <v>0</v>
      </c>
      <c r="AB6098" s="4">
        <f t="shared" si="953"/>
        <v>0</v>
      </c>
      <c r="AC6098" s="6">
        <f t="shared" si="951"/>
        <v>0</v>
      </c>
      <c r="AD6098" s="6">
        <v>0</v>
      </c>
      <c r="AE6098" s="14">
        <f>VLOOKUP(I6098,[2]媒体政策预估表!A:N,MATCH(O6098,[2]媒体政策预估表!$A$2:$M$2,0),0)</f>
        <v>0.09</v>
      </c>
      <c r="AF6098" s="6">
        <f t="shared" si="944"/>
        <v>0</v>
      </c>
      <c r="AG6098" s="14">
        <v>0.25</v>
      </c>
      <c r="AH6098" s="6">
        <f t="shared" si="950"/>
        <v>0</v>
      </c>
      <c r="AI6098" s="47"/>
      <c r="AJ6098" s="126" t="e">
        <v>#N/A</v>
      </c>
      <c r="AK6098" s="80">
        <f t="shared" si="954"/>
        <v>0</v>
      </c>
      <c r="AL6098" s="85"/>
      <c r="AM6098" s="85"/>
    </row>
    <row r="6099" spans="1:39" s="86" customFormat="1" ht="13.25" hidden="1" customHeight="1" x14ac:dyDescent="0.3">
      <c r="A6099" s="89" t="s">
        <v>3794</v>
      </c>
      <c r="B6099" s="86" t="s">
        <v>35</v>
      </c>
      <c r="C6099" s="86" t="s">
        <v>36</v>
      </c>
      <c r="D6099" s="86" t="s">
        <v>185</v>
      </c>
      <c r="E6099" s="86" t="s">
        <v>2418</v>
      </c>
      <c r="F6099" s="86" t="s">
        <v>2422</v>
      </c>
      <c r="G6099" s="86" t="s">
        <v>2418</v>
      </c>
      <c r="H6099" s="144">
        <v>237</v>
      </c>
      <c r="I6099" s="86" t="s">
        <v>2374</v>
      </c>
      <c r="J6099" s="1" t="s">
        <v>3322</v>
      </c>
      <c r="K6099" s="1" t="s">
        <v>3269</v>
      </c>
      <c r="L6099" s="1" t="s">
        <v>35</v>
      </c>
      <c r="M6099" s="86" t="s">
        <v>2428</v>
      </c>
      <c r="O6099" s="47" t="s">
        <v>45</v>
      </c>
      <c r="P6099" s="47" t="s">
        <v>46</v>
      </c>
      <c r="Q6099" s="14">
        <v>5.5E-2</v>
      </c>
      <c r="R6099" s="143"/>
      <c r="S6099" s="47"/>
      <c r="T6099" s="6">
        <v>2318890</v>
      </c>
      <c r="U6099" s="6">
        <v>1524120</v>
      </c>
      <c r="V6099" s="6">
        <v>2251043.0300000007</v>
      </c>
      <c r="W6099" s="6">
        <f t="shared" si="945"/>
        <v>1591966.9699999993</v>
      </c>
      <c r="X6099" s="6">
        <f t="shared" si="949"/>
        <v>2133690.0758293848</v>
      </c>
      <c r="Y6099" s="13">
        <f t="shared" si="952"/>
        <v>0</v>
      </c>
      <c r="Z6099" s="66">
        <v>0</v>
      </c>
      <c r="AA6099" s="6">
        <v>0</v>
      </c>
      <c r="AB6099" s="4">
        <f t="shared" si="953"/>
        <v>2133690.0758293848</v>
      </c>
      <c r="AC6099" s="6">
        <f t="shared" si="951"/>
        <v>117352.95417061588</v>
      </c>
      <c r="AD6099" s="6">
        <v>2251043.0300000007</v>
      </c>
      <c r="AE6099" s="14">
        <f>VLOOKUP(I6099,[2]媒体政策预估表!A:N,MATCH(O6099,[2]媒体政策预估表!$A$2:$M$2,0),0)</f>
        <v>7.0000000000000007E-2</v>
      </c>
      <c r="AF6099" s="6">
        <f t="shared" si="944"/>
        <v>157573.01210000008</v>
      </c>
      <c r="AG6099" s="14">
        <v>0</v>
      </c>
      <c r="AH6099" s="6">
        <f t="shared" si="950"/>
        <v>2251043.0300000007</v>
      </c>
      <c r="AI6099" s="47"/>
      <c r="AJ6099" s="126" t="e">
        <v>#N/A</v>
      </c>
      <c r="AK6099" s="80">
        <f t="shared" si="954"/>
        <v>0</v>
      </c>
      <c r="AL6099" s="85"/>
      <c r="AM6099" s="85"/>
    </row>
    <row r="6100" spans="1:39" s="86" customFormat="1" ht="13.25" hidden="1" customHeight="1" x14ac:dyDescent="0.3">
      <c r="A6100" s="89" t="s">
        <v>3794</v>
      </c>
      <c r="B6100" s="86" t="s">
        <v>35</v>
      </c>
      <c r="C6100" s="86" t="s">
        <v>36</v>
      </c>
      <c r="D6100" s="86" t="s">
        <v>185</v>
      </c>
      <c r="E6100" s="86" t="s">
        <v>2418</v>
      </c>
      <c r="F6100" s="86" t="s">
        <v>2422</v>
      </c>
      <c r="G6100" s="86" t="s">
        <v>2418</v>
      </c>
      <c r="H6100" s="144">
        <v>237</v>
      </c>
      <c r="I6100" s="86" t="s">
        <v>2374</v>
      </c>
      <c r="J6100" s="1" t="s">
        <v>3322</v>
      </c>
      <c r="K6100" s="1" t="s">
        <v>3269</v>
      </c>
      <c r="L6100" s="1" t="s">
        <v>35</v>
      </c>
      <c r="M6100" s="86" t="s">
        <v>2420</v>
      </c>
      <c r="O6100" s="47" t="s">
        <v>45</v>
      </c>
      <c r="P6100" s="47" t="s">
        <v>46</v>
      </c>
      <c r="Q6100" s="14">
        <v>5.5E-2</v>
      </c>
      <c r="R6100" s="143"/>
      <c r="S6100" s="47"/>
      <c r="T6100" s="6">
        <v>8225192.6427999847</v>
      </c>
      <c r="U6100" s="6">
        <v>12484600</v>
      </c>
      <c r="V6100" s="6">
        <v>16007958.270000005</v>
      </c>
      <c r="W6100" s="6">
        <f t="shared" si="945"/>
        <v>4701834.3727999795</v>
      </c>
      <c r="X6100" s="6">
        <f t="shared" si="949"/>
        <v>15173420.161137447</v>
      </c>
      <c r="Y6100" s="13">
        <f t="shared" si="952"/>
        <v>0</v>
      </c>
      <c r="Z6100" s="66">
        <v>0</v>
      </c>
      <c r="AA6100" s="6">
        <v>0</v>
      </c>
      <c r="AB6100" s="4">
        <f t="shared" si="953"/>
        <v>15173420.161137447</v>
      </c>
      <c r="AC6100" s="6">
        <f t="shared" si="951"/>
        <v>834538.10886255838</v>
      </c>
      <c r="AD6100" s="6">
        <v>16007958.270000005</v>
      </c>
      <c r="AE6100" s="14">
        <f>VLOOKUP(I6100,[2]媒体政策预估表!A:N,MATCH(O6100,[2]媒体政策预估表!$A$2:$M$2,0),0)</f>
        <v>7.0000000000000007E-2</v>
      </c>
      <c r="AF6100" s="6">
        <f t="shared" si="944"/>
        <v>1120557.0789000005</v>
      </c>
      <c r="AG6100" s="14">
        <v>0</v>
      </c>
      <c r="AH6100" s="6">
        <f t="shared" si="950"/>
        <v>16007958.270000005</v>
      </c>
      <c r="AI6100" s="47"/>
      <c r="AJ6100" s="126" t="e">
        <v>#N/A</v>
      </c>
      <c r="AK6100" s="80">
        <f t="shared" si="954"/>
        <v>0</v>
      </c>
      <c r="AL6100" s="85"/>
      <c r="AM6100" s="85"/>
    </row>
    <row r="6101" spans="1:39" s="86" customFormat="1" ht="13.25" hidden="1" customHeight="1" x14ac:dyDescent="0.3">
      <c r="A6101" s="89" t="s">
        <v>3794</v>
      </c>
      <c r="B6101" s="86" t="s">
        <v>35</v>
      </c>
      <c r="C6101" s="86" t="s">
        <v>36</v>
      </c>
      <c r="D6101" s="86" t="s">
        <v>185</v>
      </c>
      <c r="E6101" s="86" t="s">
        <v>2418</v>
      </c>
      <c r="F6101" s="86" t="s">
        <v>2422</v>
      </c>
      <c r="G6101" s="86" t="s">
        <v>2418</v>
      </c>
      <c r="H6101" s="144">
        <v>237</v>
      </c>
      <c r="I6101" s="86" t="s">
        <v>2374</v>
      </c>
      <c r="J6101" s="1" t="s">
        <v>3322</v>
      </c>
      <c r="K6101" s="1" t="s">
        <v>3269</v>
      </c>
      <c r="L6101" s="1" t="s">
        <v>35</v>
      </c>
      <c r="M6101" s="86" t="s">
        <v>2420</v>
      </c>
      <c r="O6101" s="47" t="s">
        <v>40</v>
      </c>
      <c r="P6101" s="47" t="s">
        <v>46</v>
      </c>
      <c r="Q6101" s="14">
        <v>5.5E-2</v>
      </c>
      <c r="R6101" s="143"/>
      <c r="S6101" s="47"/>
      <c r="T6101" s="6">
        <v>4283300</v>
      </c>
      <c r="U6101" s="6">
        <v>6034000</v>
      </c>
      <c r="V6101" s="6">
        <v>6712483.5</v>
      </c>
      <c r="W6101" s="6">
        <f t="shared" si="945"/>
        <v>3604816.5</v>
      </c>
      <c r="X6101" s="6">
        <f t="shared" si="949"/>
        <v>6362543.6018957347</v>
      </c>
      <c r="Y6101" s="13">
        <f t="shared" si="952"/>
        <v>0</v>
      </c>
      <c r="Z6101" s="66">
        <v>0</v>
      </c>
      <c r="AA6101" s="6">
        <v>0</v>
      </c>
      <c r="AB6101" s="4">
        <f t="shared" si="953"/>
        <v>6362543.6018957347</v>
      </c>
      <c r="AC6101" s="6">
        <f t="shared" si="951"/>
        <v>349939.89810426533</v>
      </c>
      <c r="AD6101" s="6">
        <v>6712410.8799999999</v>
      </c>
      <c r="AE6101" s="14">
        <f>VLOOKUP(I6101,[2]媒体政策预估表!A:N,MATCH(O6101,[2]媒体政策预估表!$A$2:$M$2,0),0)</f>
        <v>0.09</v>
      </c>
      <c r="AF6101" s="6">
        <f t="shared" si="944"/>
        <v>604116.97919999994</v>
      </c>
      <c r="AG6101" s="14">
        <v>0</v>
      </c>
      <c r="AH6101" s="6">
        <f t="shared" si="950"/>
        <v>6712483.5</v>
      </c>
      <c r="AI6101" s="47"/>
      <c r="AJ6101" s="126" t="e">
        <v>#N/A</v>
      </c>
      <c r="AK6101" s="80">
        <f t="shared" si="954"/>
        <v>0</v>
      </c>
      <c r="AL6101" s="85"/>
      <c r="AM6101" s="85"/>
    </row>
    <row r="6102" spans="1:39" s="86" customFormat="1" ht="13.25" hidden="1" customHeight="1" x14ac:dyDescent="0.3">
      <c r="A6102" s="89" t="s">
        <v>3794</v>
      </c>
      <c r="B6102" s="86" t="s">
        <v>35</v>
      </c>
      <c r="C6102" s="86" t="s">
        <v>36</v>
      </c>
      <c r="D6102" s="86" t="s">
        <v>185</v>
      </c>
      <c r="E6102" s="86" t="s">
        <v>2418</v>
      </c>
      <c r="F6102" s="86" t="s">
        <v>2422</v>
      </c>
      <c r="G6102" s="86" t="s">
        <v>2418</v>
      </c>
      <c r="H6102" s="144">
        <v>237</v>
      </c>
      <c r="I6102" s="86" t="s">
        <v>2374</v>
      </c>
      <c r="J6102" s="1" t="s">
        <v>3322</v>
      </c>
      <c r="K6102" s="1" t="s">
        <v>3269</v>
      </c>
      <c r="L6102" s="1" t="s">
        <v>35</v>
      </c>
      <c r="M6102" s="86" t="s">
        <v>2423</v>
      </c>
      <c r="O6102" s="47" t="s">
        <v>45</v>
      </c>
      <c r="P6102" s="47" t="s">
        <v>46</v>
      </c>
      <c r="Q6102" s="14">
        <v>5.5E-2</v>
      </c>
      <c r="R6102" s="143"/>
      <c r="S6102" s="47"/>
      <c r="T6102" s="6">
        <v>75738.000000000146</v>
      </c>
      <c r="U6102" s="6">
        <v>397700</v>
      </c>
      <c r="V6102" s="6">
        <v>297183.91999999987</v>
      </c>
      <c r="W6102" s="6">
        <f t="shared" si="945"/>
        <v>176254.08000000025</v>
      </c>
      <c r="X6102" s="6">
        <f t="shared" si="949"/>
        <v>281690.91943127953</v>
      </c>
      <c r="Y6102" s="13">
        <f t="shared" si="952"/>
        <v>0</v>
      </c>
      <c r="Z6102" s="66">
        <v>0</v>
      </c>
      <c r="AA6102" s="6">
        <v>0</v>
      </c>
      <c r="AB6102" s="4">
        <f t="shared" si="953"/>
        <v>281690.91943127953</v>
      </c>
      <c r="AC6102" s="6">
        <f t="shared" si="951"/>
        <v>15493.000568720337</v>
      </c>
      <c r="AD6102" s="6">
        <v>297183.91999999987</v>
      </c>
      <c r="AE6102" s="14">
        <f>VLOOKUP(I6102,[2]媒体政策预估表!A:N,MATCH(O6102,[2]媒体政策预估表!$A$2:$M$2,0),0)</f>
        <v>7.0000000000000007E-2</v>
      </c>
      <c r="AF6102" s="6">
        <f t="shared" si="944"/>
        <v>20802.874399999993</v>
      </c>
      <c r="AG6102" s="14">
        <v>0</v>
      </c>
      <c r="AH6102" s="6">
        <f t="shared" si="950"/>
        <v>297183.91999999987</v>
      </c>
      <c r="AI6102" s="47"/>
      <c r="AJ6102" s="126" t="e">
        <v>#N/A</v>
      </c>
      <c r="AK6102" s="80">
        <f t="shared" si="954"/>
        <v>0</v>
      </c>
      <c r="AL6102" s="85"/>
      <c r="AM6102" s="85"/>
    </row>
    <row r="6103" spans="1:39" s="86" customFormat="1" ht="13.25" hidden="1" customHeight="1" x14ac:dyDescent="0.3">
      <c r="A6103" s="89" t="s">
        <v>3792</v>
      </c>
      <c r="B6103" s="86" t="s">
        <v>35</v>
      </c>
      <c r="C6103" s="86" t="s">
        <v>36</v>
      </c>
      <c r="D6103" s="86" t="s">
        <v>185</v>
      </c>
      <c r="E6103" s="86" t="s">
        <v>2418</v>
      </c>
      <c r="F6103" s="86" t="s">
        <v>2424</v>
      </c>
      <c r="G6103" s="86" t="s">
        <v>2418</v>
      </c>
      <c r="H6103" s="144">
        <v>237</v>
      </c>
      <c r="I6103" s="86" t="s">
        <v>2374</v>
      </c>
      <c r="J6103" s="1" t="s">
        <v>3322</v>
      </c>
      <c r="K6103" s="1" t="s">
        <v>3269</v>
      </c>
      <c r="L6103" s="1" t="s">
        <v>35</v>
      </c>
      <c r="M6103" s="86" t="s">
        <v>2428</v>
      </c>
      <c r="O6103" s="47" t="s">
        <v>410</v>
      </c>
      <c r="P6103" s="47" t="s">
        <v>46</v>
      </c>
      <c r="Q6103" s="14">
        <v>5.5E-2</v>
      </c>
      <c r="R6103" s="143"/>
      <c r="S6103" s="47" t="s">
        <v>3895</v>
      </c>
      <c r="T6103" s="6">
        <v>14770</v>
      </c>
      <c r="U6103" s="6">
        <v>-14770</v>
      </c>
      <c r="V6103" s="6">
        <v>0</v>
      </c>
      <c r="W6103" s="6">
        <f t="shared" si="945"/>
        <v>0</v>
      </c>
      <c r="X6103" s="6">
        <v>-1451.96</v>
      </c>
      <c r="Y6103" s="13">
        <f t="shared" si="952"/>
        <v>0</v>
      </c>
      <c r="Z6103" s="66">
        <v>0</v>
      </c>
      <c r="AA6103" s="6">
        <v>0</v>
      </c>
      <c r="AB6103" s="4">
        <f t="shared" si="953"/>
        <v>-1451.96</v>
      </c>
      <c r="AC6103" s="6">
        <f t="shared" si="951"/>
        <v>1451.96</v>
      </c>
      <c r="AD6103" s="6">
        <v>0</v>
      </c>
      <c r="AE6103" s="14">
        <f>VLOOKUP(I6103,[2]媒体政策预估表!A:N,MATCH(O6103,[2]媒体政策预估表!$A$2:$M$2,0),0)</f>
        <v>0</v>
      </c>
      <c r="AF6103" s="6">
        <f t="shared" si="944"/>
        <v>0</v>
      </c>
      <c r="AG6103" s="14">
        <v>0</v>
      </c>
      <c r="AH6103" s="6">
        <f t="shared" si="950"/>
        <v>0</v>
      </c>
      <c r="AI6103" s="47"/>
      <c r="AJ6103" s="126" t="e">
        <v>#N/A</v>
      </c>
      <c r="AK6103" s="80">
        <f t="shared" si="954"/>
        <v>0</v>
      </c>
      <c r="AL6103" s="85"/>
      <c r="AM6103" s="85"/>
    </row>
    <row r="6104" spans="1:39" s="86" customFormat="1" ht="13.25" hidden="1" customHeight="1" x14ac:dyDescent="0.3">
      <c r="A6104" s="89" t="s">
        <v>3794</v>
      </c>
      <c r="B6104" s="86" t="s">
        <v>35</v>
      </c>
      <c r="C6104" s="86" t="s">
        <v>36</v>
      </c>
      <c r="D6104" s="86" t="s">
        <v>185</v>
      </c>
      <c r="E6104" s="86" t="s">
        <v>2418</v>
      </c>
      <c r="F6104" s="86" t="s">
        <v>3896</v>
      </c>
      <c r="G6104" s="86" t="s">
        <v>2418</v>
      </c>
      <c r="H6104" s="143">
        <v>237</v>
      </c>
      <c r="I6104" s="86" t="s">
        <v>2374</v>
      </c>
      <c r="J6104" s="1" t="s">
        <v>3322</v>
      </c>
      <c r="K6104" s="1" t="s">
        <v>3269</v>
      </c>
      <c r="L6104" s="1" t="s">
        <v>35</v>
      </c>
      <c r="M6104" s="86" t="s">
        <v>2420</v>
      </c>
      <c r="O6104" s="47" t="s">
        <v>45</v>
      </c>
      <c r="P6104" s="47" t="s">
        <v>46</v>
      </c>
      <c r="Q6104" s="14">
        <v>0.1212</v>
      </c>
      <c r="R6104" s="143"/>
      <c r="S6104" s="47"/>
      <c r="T6104" s="6">
        <v>0</v>
      </c>
      <c r="U6104" s="6">
        <v>165600</v>
      </c>
      <c r="V6104" s="6">
        <v>0</v>
      </c>
      <c r="W6104" s="6">
        <f t="shared" si="945"/>
        <v>165600</v>
      </c>
      <c r="X6104" s="6">
        <f t="shared" si="949"/>
        <v>0</v>
      </c>
      <c r="Y6104" s="13">
        <f t="shared" si="952"/>
        <v>0</v>
      </c>
      <c r="Z6104" s="66">
        <v>0</v>
      </c>
      <c r="AA6104" s="6">
        <v>0</v>
      </c>
      <c r="AB6104" s="4">
        <f t="shared" si="953"/>
        <v>0</v>
      </c>
      <c r="AC6104" s="6">
        <f t="shared" si="951"/>
        <v>0</v>
      </c>
      <c r="AD6104" s="6">
        <v>0</v>
      </c>
      <c r="AE6104" s="14">
        <f>VLOOKUP(I6104,[2]媒体政策预估表!A:N,MATCH(O6104,[2]媒体政策预估表!$A$2:$M$2,0),0)</f>
        <v>7.0000000000000007E-2</v>
      </c>
      <c r="AF6104" s="6">
        <f t="shared" si="944"/>
        <v>0</v>
      </c>
      <c r="AG6104" s="14">
        <v>0.38</v>
      </c>
      <c r="AH6104" s="6">
        <f t="shared" si="950"/>
        <v>0</v>
      </c>
      <c r="AI6104" s="47"/>
      <c r="AJ6104" s="126" t="e">
        <v>#N/A</v>
      </c>
      <c r="AK6104" s="80">
        <f t="shared" si="954"/>
        <v>0</v>
      </c>
      <c r="AL6104" s="85"/>
      <c r="AM6104" s="85"/>
    </row>
    <row r="6105" spans="1:39" s="86" customFormat="1" ht="13.25" hidden="1" customHeight="1" x14ac:dyDescent="0.3">
      <c r="A6105" s="89" t="s">
        <v>3794</v>
      </c>
      <c r="B6105" s="86" t="s">
        <v>35</v>
      </c>
      <c r="C6105" s="86" t="s">
        <v>36</v>
      </c>
      <c r="D6105" s="86" t="s">
        <v>185</v>
      </c>
      <c r="E6105" s="86" t="s">
        <v>134</v>
      </c>
      <c r="F6105" s="86" t="s">
        <v>134</v>
      </c>
      <c r="G6105" s="86" t="s">
        <v>134</v>
      </c>
      <c r="H6105" s="144">
        <v>237</v>
      </c>
      <c r="I6105" s="86" t="s">
        <v>2374</v>
      </c>
      <c r="J6105" s="1" t="s">
        <v>3322</v>
      </c>
      <c r="K6105" s="1" t="s">
        <v>3269</v>
      </c>
      <c r="L6105" s="1" t="s">
        <v>35</v>
      </c>
      <c r="M6105" s="86" t="s">
        <v>134</v>
      </c>
      <c r="O6105" s="47" t="s">
        <v>45</v>
      </c>
      <c r="P6105" s="47" t="s">
        <v>41</v>
      </c>
      <c r="Q6105" s="14">
        <v>0</v>
      </c>
      <c r="R6105" s="143"/>
      <c r="S6105" s="47"/>
      <c r="T6105" s="6">
        <v>-8153.6560999996727</v>
      </c>
      <c r="U6105" s="6">
        <v>330000</v>
      </c>
      <c r="V6105" s="6">
        <v>284413.56000000006</v>
      </c>
      <c r="W6105" s="6">
        <f t="shared" si="945"/>
        <v>37432.783900000271</v>
      </c>
      <c r="X6105" s="6">
        <f t="shared" si="949"/>
        <v>284413.56000000006</v>
      </c>
      <c r="Y6105" s="13">
        <f t="shared" si="952"/>
        <v>298.30000000004657</v>
      </c>
      <c r="Z6105" s="66">
        <v>0</v>
      </c>
      <c r="AA6105" s="6">
        <v>0</v>
      </c>
      <c r="AB6105" s="4">
        <f t="shared" si="953"/>
        <v>284413.56000000006</v>
      </c>
      <c r="AC6105" s="6">
        <f t="shared" si="951"/>
        <v>0</v>
      </c>
      <c r="AD6105" s="6">
        <v>284115.26</v>
      </c>
      <c r="AE6105" s="14">
        <f>VLOOKUP(I6105,[2]媒体政策预估表!A:N,MATCH(O6105,[2]媒体政策预估表!$A$2:$M$2,0),0)</f>
        <v>7.0000000000000007E-2</v>
      </c>
      <c r="AF6105" s="6">
        <f t="shared" si="944"/>
        <v>19888.068200000002</v>
      </c>
      <c r="AG6105" s="14">
        <v>0</v>
      </c>
      <c r="AH6105" s="6">
        <f t="shared" si="950"/>
        <v>284413.56000000006</v>
      </c>
      <c r="AI6105" s="47"/>
      <c r="AJ6105" s="126" t="e">
        <v>#N/A</v>
      </c>
      <c r="AK6105" s="80">
        <f t="shared" si="954"/>
        <v>0</v>
      </c>
      <c r="AL6105" s="85"/>
      <c r="AM6105" s="85"/>
    </row>
    <row r="6106" spans="1:39" s="86" customFormat="1" ht="13.25" hidden="1" customHeight="1" x14ac:dyDescent="0.3">
      <c r="A6106" s="89" t="s">
        <v>3792</v>
      </c>
      <c r="B6106" s="86" t="s">
        <v>35</v>
      </c>
      <c r="C6106" s="86" t="s">
        <v>65</v>
      </c>
      <c r="D6106" s="86" t="s">
        <v>66</v>
      </c>
      <c r="E6106" s="86" t="s">
        <v>2386</v>
      </c>
      <c r="F6106" s="86" t="s">
        <v>2386</v>
      </c>
      <c r="G6106" s="86" t="s">
        <v>2386</v>
      </c>
      <c r="H6106" s="144">
        <v>237</v>
      </c>
      <c r="I6106" s="86" t="s">
        <v>2374</v>
      </c>
      <c r="J6106" s="1" t="s">
        <v>3322</v>
      </c>
      <c r="K6106" s="1" t="s">
        <v>3269</v>
      </c>
      <c r="L6106" s="1" t="s">
        <v>35</v>
      </c>
      <c r="M6106" s="86" t="s">
        <v>2387</v>
      </c>
      <c r="O6106" s="47" t="s">
        <v>45</v>
      </c>
      <c r="P6106" s="47" t="s">
        <v>46</v>
      </c>
      <c r="Q6106" s="14">
        <v>2.5000000000000001E-2</v>
      </c>
      <c r="R6106" s="143"/>
      <c r="S6106" s="47"/>
      <c r="T6106" s="6">
        <v>46223.109999999986</v>
      </c>
      <c r="U6106" s="6">
        <v>507500</v>
      </c>
      <c r="V6106" s="6">
        <v>506848.48000000004</v>
      </c>
      <c r="W6106" s="6">
        <f t="shared" si="945"/>
        <v>46874.629999999946</v>
      </c>
      <c r="X6106" s="6">
        <f t="shared" si="949"/>
        <v>494486.32195121958</v>
      </c>
      <c r="Y6106" s="13">
        <f t="shared" si="952"/>
        <v>0</v>
      </c>
      <c r="Z6106" s="66">
        <v>0</v>
      </c>
      <c r="AA6106" s="6">
        <v>0</v>
      </c>
      <c r="AB6106" s="4">
        <f t="shared" si="953"/>
        <v>494486.32195121958</v>
      </c>
      <c r="AC6106" s="6">
        <f t="shared" si="951"/>
        <v>12362.15804878046</v>
      </c>
      <c r="AD6106" s="6">
        <v>506848.48000000004</v>
      </c>
      <c r="AE6106" s="14">
        <f>VLOOKUP(I6106,[2]媒体政策预估表!A:N,MATCH(O6106,[2]媒体政策预估表!$A$2:$M$2,0),0)</f>
        <v>7.0000000000000007E-2</v>
      </c>
      <c r="AF6106" s="6">
        <f t="shared" si="944"/>
        <v>35479.393600000003</v>
      </c>
      <c r="AG6106" s="14">
        <v>0</v>
      </c>
      <c r="AH6106" s="6">
        <f t="shared" si="950"/>
        <v>506848.48000000004</v>
      </c>
      <c r="AI6106" s="47"/>
      <c r="AJ6106" s="126" t="e">
        <v>#N/A</v>
      </c>
      <c r="AK6106" s="80">
        <f t="shared" si="954"/>
        <v>0</v>
      </c>
      <c r="AL6106" s="85"/>
      <c r="AM6106" s="85"/>
    </row>
    <row r="6107" spans="1:39" s="86" customFormat="1" ht="13.25" hidden="1" customHeight="1" x14ac:dyDescent="0.3">
      <c r="A6107" s="89" t="s">
        <v>3792</v>
      </c>
      <c r="B6107" s="86" t="s">
        <v>35</v>
      </c>
      <c r="C6107" s="86" t="s">
        <v>65</v>
      </c>
      <c r="D6107" s="86" t="s">
        <v>66</v>
      </c>
      <c r="E6107" s="86" t="s">
        <v>2386</v>
      </c>
      <c r="F6107" s="86" t="s">
        <v>2386</v>
      </c>
      <c r="G6107" s="86" t="s">
        <v>2386</v>
      </c>
      <c r="H6107" s="144">
        <v>237</v>
      </c>
      <c r="I6107" s="86" t="s">
        <v>2374</v>
      </c>
      <c r="J6107" s="1" t="s">
        <v>3322</v>
      </c>
      <c r="K6107" s="1" t="s">
        <v>3269</v>
      </c>
      <c r="L6107" s="1" t="s">
        <v>35</v>
      </c>
      <c r="M6107" s="86" t="s">
        <v>2387</v>
      </c>
      <c r="O6107" s="47" t="s">
        <v>40</v>
      </c>
      <c r="P6107" s="47" t="s">
        <v>46</v>
      </c>
      <c r="Q6107" s="14">
        <v>0.03</v>
      </c>
      <c r="R6107" s="143"/>
      <c r="S6107" s="47"/>
      <c r="T6107" s="6">
        <v>0</v>
      </c>
      <c r="U6107" s="6">
        <v>50000.004300000001</v>
      </c>
      <c r="V6107" s="6">
        <v>979.08999999999651</v>
      </c>
      <c r="W6107" s="6">
        <f t="shared" si="945"/>
        <v>49020.914300000004</v>
      </c>
      <c r="X6107" s="6">
        <f t="shared" si="949"/>
        <v>777.05555555555281</v>
      </c>
      <c r="Y6107" s="13">
        <f t="shared" si="952"/>
        <v>0</v>
      </c>
      <c r="Z6107" s="66">
        <v>0</v>
      </c>
      <c r="AA6107" s="6">
        <v>0</v>
      </c>
      <c r="AB6107" s="4">
        <f t="shared" si="953"/>
        <v>777.05555555555281</v>
      </c>
      <c r="AC6107" s="6">
        <f t="shared" si="951"/>
        <v>202.03444444444369</v>
      </c>
      <c r="AD6107" s="6">
        <v>52045.88</v>
      </c>
      <c r="AE6107" s="14">
        <f>VLOOKUP(I6107,[2]媒体政策预估表!A:N,MATCH(O6107,[2]媒体政策预估表!$A$2:$M$2,0),0)</f>
        <v>0.09</v>
      </c>
      <c r="AF6107" s="6">
        <f t="shared" si="944"/>
        <v>4684.1291999999994</v>
      </c>
      <c r="AG6107" s="14">
        <v>0.23</v>
      </c>
      <c r="AH6107" s="6">
        <f t="shared" si="950"/>
        <v>796.00813008129796</v>
      </c>
      <c r="AI6107" s="47"/>
      <c r="AJ6107" s="126" t="e">
        <v>#N/A</v>
      </c>
      <c r="AK6107" s="80">
        <f t="shared" si="954"/>
        <v>0</v>
      </c>
      <c r="AL6107" s="85"/>
      <c r="AM6107" s="85"/>
    </row>
    <row r="6108" spans="1:39" s="86" customFormat="1" ht="13.25" hidden="1" customHeight="1" x14ac:dyDescent="0.3">
      <c r="A6108" s="89" t="s">
        <v>3792</v>
      </c>
      <c r="B6108" s="86" t="s">
        <v>35</v>
      </c>
      <c r="C6108" s="86" t="s">
        <v>65</v>
      </c>
      <c r="D6108" s="86" t="s">
        <v>66</v>
      </c>
      <c r="E6108" s="86" t="s">
        <v>132</v>
      </c>
      <c r="F6108" s="86" t="s">
        <v>132</v>
      </c>
      <c r="G6108" s="86" t="s">
        <v>132</v>
      </c>
      <c r="H6108" s="143">
        <v>237</v>
      </c>
      <c r="I6108" s="86" t="s">
        <v>2374</v>
      </c>
      <c r="J6108" s="1" t="s">
        <v>3322</v>
      </c>
      <c r="K6108" s="1" t="s">
        <v>3269</v>
      </c>
      <c r="L6108" s="1" t="s">
        <v>35</v>
      </c>
      <c r="M6108" s="86" t="s">
        <v>132</v>
      </c>
      <c r="O6108" s="47" t="s">
        <v>45</v>
      </c>
      <c r="P6108" s="47" t="s">
        <v>41</v>
      </c>
      <c r="Q6108" s="14">
        <v>0</v>
      </c>
      <c r="R6108" s="143"/>
      <c r="S6108" s="47"/>
      <c r="T6108" s="6">
        <v>0</v>
      </c>
      <c r="U6108" s="6">
        <v>1000000</v>
      </c>
      <c r="V6108" s="6">
        <v>0</v>
      </c>
      <c r="W6108" s="6">
        <f t="shared" si="945"/>
        <v>1000000</v>
      </c>
      <c r="X6108" s="6">
        <f t="shared" si="949"/>
        <v>0</v>
      </c>
      <c r="Y6108" s="13">
        <f t="shared" si="952"/>
        <v>0</v>
      </c>
      <c r="Z6108" s="66">
        <v>0</v>
      </c>
      <c r="AA6108" s="6">
        <v>0</v>
      </c>
      <c r="AB6108" s="4">
        <f t="shared" si="953"/>
        <v>0</v>
      </c>
      <c r="AC6108" s="6">
        <f t="shared" si="951"/>
        <v>0</v>
      </c>
      <c r="AD6108" s="6">
        <v>650606.46999999986</v>
      </c>
      <c r="AE6108" s="14">
        <f>VLOOKUP(I6108,[2]媒体政策预估表!A:N,MATCH(O6108,[2]媒体政策预估表!$A$2:$M$2,0),0)</f>
        <v>7.0000000000000007E-2</v>
      </c>
      <c r="AF6108" s="6">
        <f t="shared" si="944"/>
        <v>45542.452899999997</v>
      </c>
      <c r="AG6108" s="14">
        <v>0</v>
      </c>
      <c r="AH6108" s="6">
        <f t="shared" si="950"/>
        <v>0</v>
      </c>
      <c r="AI6108" s="47"/>
      <c r="AJ6108" s="126" t="e">
        <v>#N/A</v>
      </c>
      <c r="AK6108" s="80">
        <f t="shared" si="954"/>
        <v>0</v>
      </c>
      <c r="AL6108" s="85"/>
      <c r="AM6108" s="85"/>
    </row>
    <row r="6109" spans="1:39" s="86" customFormat="1" ht="13.25" hidden="1" customHeight="1" x14ac:dyDescent="0.3">
      <c r="A6109" s="89" t="s">
        <v>3794</v>
      </c>
      <c r="B6109" s="86" t="s">
        <v>35</v>
      </c>
      <c r="C6109" s="86" t="s">
        <v>65</v>
      </c>
      <c r="D6109" s="86" t="s">
        <v>122</v>
      </c>
      <c r="E6109" s="86" t="s">
        <v>2393</v>
      </c>
      <c r="F6109" s="86" t="s">
        <v>3151</v>
      </c>
      <c r="G6109" s="86" t="s">
        <v>2393</v>
      </c>
      <c r="H6109" s="143">
        <v>237</v>
      </c>
      <c r="I6109" s="86" t="s">
        <v>2374</v>
      </c>
      <c r="J6109" s="1" t="s">
        <v>3322</v>
      </c>
      <c r="K6109" s="1" t="s">
        <v>3269</v>
      </c>
      <c r="L6109" s="1" t="s">
        <v>35</v>
      </c>
      <c r="M6109" s="86" t="s">
        <v>3415</v>
      </c>
      <c r="O6109" s="47" t="s">
        <v>45</v>
      </c>
      <c r="P6109" s="47" t="s">
        <v>75</v>
      </c>
      <c r="Q6109" s="14">
        <v>0.06</v>
      </c>
      <c r="R6109" s="143"/>
      <c r="S6109" s="47"/>
      <c r="T6109" s="6">
        <v>17766.36</v>
      </c>
      <c r="U6109" s="6">
        <v>-17766.36</v>
      </c>
      <c r="V6109" s="6">
        <v>0</v>
      </c>
      <c r="W6109" s="6">
        <f t="shared" si="945"/>
        <v>0</v>
      </c>
      <c r="X6109" s="6">
        <f t="shared" si="949"/>
        <v>0</v>
      </c>
      <c r="Y6109" s="13">
        <f t="shared" si="952"/>
        <v>0</v>
      </c>
      <c r="Z6109" s="66">
        <v>0</v>
      </c>
      <c r="AA6109" s="6">
        <v>0</v>
      </c>
      <c r="AB6109" s="4">
        <f t="shared" si="953"/>
        <v>0</v>
      </c>
      <c r="AC6109" s="6">
        <f t="shared" si="951"/>
        <v>0</v>
      </c>
      <c r="AD6109" s="6">
        <v>0</v>
      </c>
      <c r="AE6109" s="14">
        <f>VLOOKUP(I6109,[2]媒体政策预估表!A:N,MATCH(O6109,[2]媒体政策预估表!$A$2:$M$2,0),0)</f>
        <v>7.0000000000000007E-2</v>
      </c>
      <c r="AF6109" s="6">
        <f t="shared" si="944"/>
        <v>0</v>
      </c>
      <c r="AG6109" s="14">
        <v>0</v>
      </c>
      <c r="AH6109" s="6">
        <f t="shared" si="950"/>
        <v>0</v>
      </c>
      <c r="AI6109" s="47"/>
      <c r="AJ6109" s="126" t="e">
        <v>#N/A</v>
      </c>
      <c r="AK6109" s="80">
        <f t="shared" si="954"/>
        <v>0</v>
      </c>
      <c r="AL6109" s="85"/>
      <c r="AM6109" s="85"/>
    </row>
    <row r="6110" spans="1:39" s="86" customFormat="1" ht="13.25" hidden="1" customHeight="1" x14ac:dyDescent="0.3">
      <c r="A6110" s="89" t="s">
        <v>3792</v>
      </c>
      <c r="B6110" s="86" t="s">
        <v>35</v>
      </c>
      <c r="C6110" s="86" t="s">
        <v>65</v>
      </c>
      <c r="D6110" s="86" t="s">
        <v>122</v>
      </c>
      <c r="E6110" s="86" t="s">
        <v>2393</v>
      </c>
      <c r="F6110" s="86" t="s">
        <v>3151</v>
      </c>
      <c r="G6110" s="86" t="s">
        <v>2393</v>
      </c>
      <c r="H6110" s="144">
        <v>237</v>
      </c>
      <c r="I6110" s="86" t="s">
        <v>2374</v>
      </c>
      <c r="J6110" s="1" t="s">
        <v>3322</v>
      </c>
      <c r="K6110" s="1" t="s">
        <v>3269</v>
      </c>
      <c r="L6110" s="1" t="s">
        <v>35</v>
      </c>
      <c r="M6110" s="86" t="s">
        <v>3415</v>
      </c>
      <c r="O6110" s="47" t="s">
        <v>40</v>
      </c>
      <c r="P6110" s="47" t="s">
        <v>75</v>
      </c>
      <c r="Q6110" s="14">
        <v>0.06</v>
      </c>
      <c r="R6110" s="143"/>
      <c r="S6110" s="47"/>
      <c r="T6110" s="6">
        <v>17231.46</v>
      </c>
      <c r="U6110" s="6">
        <v>-16755.310000000001</v>
      </c>
      <c r="V6110" s="6">
        <v>456.15000000000003</v>
      </c>
      <c r="W6110" s="6">
        <f t="shared" si="945"/>
        <v>19.999999999997783</v>
      </c>
      <c r="X6110" s="6">
        <f t="shared" si="949"/>
        <v>456.15000000000003</v>
      </c>
      <c r="Y6110" s="13">
        <f t="shared" si="952"/>
        <v>0</v>
      </c>
      <c r="Z6110" s="66">
        <v>0</v>
      </c>
      <c r="AA6110" s="6">
        <v>0</v>
      </c>
      <c r="AB6110" s="4">
        <f t="shared" si="953"/>
        <v>456.15000000000003</v>
      </c>
      <c r="AC6110" s="6">
        <f t="shared" si="951"/>
        <v>27.369</v>
      </c>
      <c r="AD6110" s="6">
        <v>456.15000000000003</v>
      </c>
      <c r="AE6110" s="14">
        <f>VLOOKUP(I6110,[2]媒体政策预估表!A:N,MATCH(O6110,[2]媒体政策预估表!$A$2:$M$2,0),0)</f>
        <v>0.09</v>
      </c>
      <c r="AF6110" s="6">
        <f t="shared" si="944"/>
        <v>41.0535</v>
      </c>
      <c r="AG6110" s="14">
        <v>0</v>
      </c>
      <c r="AH6110" s="6">
        <f t="shared" si="950"/>
        <v>456.15000000000003</v>
      </c>
      <c r="AI6110" s="47"/>
      <c r="AJ6110" s="126" t="e">
        <v>#N/A</v>
      </c>
      <c r="AK6110" s="80">
        <f t="shared" si="954"/>
        <v>0</v>
      </c>
      <c r="AL6110" s="85"/>
      <c r="AM6110" s="85"/>
    </row>
    <row r="6111" spans="1:39" s="86" customFormat="1" ht="13.25" hidden="1" customHeight="1" x14ac:dyDescent="0.3">
      <c r="A6111" s="89" t="s">
        <v>3794</v>
      </c>
      <c r="B6111" s="86" t="s">
        <v>35</v>
      </c>
      <c r="C6111" s="86" t="s">
        <v>144</v>
      </c>
      <c r="D6111" s="86" t="s">
        <v>145</v>
      </c>
      <c r="E6111" s="86" t="s">
        <v>146</v>
      </c>
      <c r="F6111" s="86" t="s">
        <v>146</v>
      </c>
      <c r="G6111" s="86" t="s">
        <v>146</v>
      </c>
      <c r="H6111" s="144">
        <v>237</v>
      </c>
      <c r="I6111" s="86" t="s">
        <v>2374</v>
      </c>
      <c r="J6111" s="1" t="s">
        <v>3322</v>
      </c>
      <c r="K6111" s="1" t="s">
        <v>3269</v>
      </c>
      <c r="L6111" s="1" t="s">
        <v>35</v>
      </c>
      <c r="M6111" s="86" t="s">
        <v>2433</v>
      </c>
      <c r="O6111" s="47" t="s">
        <v>45</v>
      </c>
      <c r="P6111" s="47" t="s">
        <v>46</v>
      </c>
      <c r="Q6111" s="14">
        <v>0.03</v>
      </c>
      <c r="R6111" s="143"/>
      <c r="S6111" s="47"/>
      <c r="T6111" s="6">
        <v>0</v>
      </c>
      <c r="U6111" s="6">
        <v>50000</v>
      </c>
      <c r="V6111" s="6">
        <v>71765.969999999987</v>
      </c>
      <c r="W6111" s="6">
        <f t="shared" si="945"/>
        <v>-21765.969999999987</v>
      </c>
      <c r="X6111" s="6">
        <f t="shared" si="949"/>
        <v>69675.699029126205</v>
      </c>
      <c r="Y6111" s="13">
        <f t="shared" si="952"/>
        <v>0</v>
      </c>
      <c r="Z6111" s="66">
        <v>0</v>
      </c>
      <c r="AA6111" s="6">
        <v>0</v>
      </c>
      <c r="AB6111" s="4">
        <f t="shared" si="953"/>
        <v>69675.699029126205</v>
      </c>
      <c r="AC6111" s="6">
        <f t="shared" si="951"/>
        <v>2090.2709708737821</v>
      </c>
      <c r="AD6111" s="6">
        <v>71765.969999999987</v>
      </c>
      <c r="AE6111" s="14">
        <f>VLOOKUP(I6111,[2]媒体政策预估表!A:N,MATCH(O6111,[2]媒体政策预估表!$A$2:$M$2,0),0)</f>
        <v>7.0000000000000007E-2</v>
      </c>
      <c r="AF6111" s="6">
        <f t="shared" si="944"/>
        <v>5023.6178999999993</v>
      </c>
      <c r="AG6111" s="14">
        <v>0</v>
      </c>
      <c r="AH6111" s="6">
        <f t="shared" si="950"/>
        <v>71765.969999999987</v>
      </c>
      <c r="AI6111" s="47"/>
      <c r="AJ6111" s="126" t="e">
        <v>#N/A</v>
      </c>
      <c r="AK6111" s="80">
        <f t="shared" si="954"/>
        <v>0</v>
      </c>
      <c r="AL6111" s="85"/>
      <c r="AM6111" s="85"/>
    </row>
    <row r="6112" spans="1:39" s="86" customFormat="1" ht="13.25" hidden="1" customHeight="1" x14ac:dyDescent="0.3">
      <c r="A6112" s="89" t="s">
        <v>3794</v>
      </c>
      <c r="B6112" s="86" t="s">
        <v>35</v>
      </c>
      <c r="C6112" s="86" t="s">
        <v>144</v>
      </c>
      <c r="D6112" s="86" t="s">
        <v>145</v>
      </c>
      <c r="E6112" s="86" t="s">
        <v>146</v>
      </c>
      <c r="F6112" s="86" t="s">
        <v>146</v>
      </c>
      <c r="G6112" s="86" t="s">
        <v>146</v>
      </c>
      <c r="H6112" s="143">
        <v>237</v>
      </c>
      <c r="I6112" s="86" t="s">
        <v>2374</v>
      </c>
      <c r="J6112" s="1" t="s">
        <v>3322</v>
      </c>
      <c r="K6112" s="1" t="s">
        <v>3269</v>
      </c>
      <c r="L6112" s="1" t="s">
        <v>35</v>
      </c>
      <c r="M6112" s="86" t="s">
        <v>2433</v>
      </c>
      <c r="O6112" s="47" t="s">
        <v>45</v>
      </c>
      <c r="P6112" s="47" t="s">
        <v>41</v>
      </c>
      <c r="Q6112" s="14">
        <v>0</v>
      </c>
      <c r="R6112" s="143"/>
      <c r="S6112" s="47"/>
      <c r="T6112" s="6">
        <v>53439.099999999991</v>
      </c>
      <c r="U6112" s="6">
        <v>-31679.13</v>
      </c>
      <c r="V6112" s="6">
        <v>0</v>
      </c>
      <c r="W6112" s="6">
        <f t="shared" si="945"/>
        <v>21759.96999999999</v>
      </c>
      <c r="X6112" s="6">
        <f t="shared" si="949"/>
        <v>0</v>
      </c>
      <c r="Y6112" s="13">
        <f t="shared" si="952"/>
        <v>0</v>
      </c>
      <c r="Z6112" s="66">
        <v>0</v>
      </c>
      <c r="AA6112" s="6">
        <v>0</v>
      </c>
      <c r="AB6112" s="4">
        <f t="shared" si="953"/>
        <v>0</v>
      </c>
      <c r="AC6112" s="6">
        <f t="shared" si="951"/>
        <v>0</v>
      </c>
      <c r="AD6112" s="6">
        <v>0</v>
      </c>
      <c r="AE6112" s="14">
        <f>VLOOKUP(I6112,[2]媒体政策预估表!A:N,MATCH(O6112,[2]媒体政策预估表!$A$2:$M$2,0),0)</f>
        <v>7.0000000000000007E-2</v>
      </c>
      <c r="AF6112" s="6">
        <f t="shared" si="944"/>
        <v>0</v>
      </c>
      <c r="AG6112" s="14">
        <v>0</v>
      </c>
      <c r="AH6112" s="6">
        <f t="shared" si="950"/>
        <v>0</v>
      </c>
      <c r="AI6112" s="47"/>
      <c r="AJ6112" s="126" t="e">
        <v>#N/A</v>
      </c>
      <c r="AK6112" s="80">
        <f t="shared" si="954"/>
        <v>0</v>
      </c>
      <c r="AL6112" s="85"/>
      <c r="AM6112" s="85"/>
    </row>
    <row r="6113" spans="1:39" s="86" customFormat="1" ht="13.25" hidden="1" customHeight="1" x14ac:dyDescent="0.3">
      <c r="A6113" s="89" t="s">
        <v>3792</v>
      </c>
      <c r="B6113" s="86" t="s">
        <v>35</v>
      </c>
      <c r="C6113" s="86" t="s">
        <v>144</v>
      </c>
      <c r="D6113" s="86" t="s">
        <v>152</v>
      </c>
      <c r="E6113" s="86" t="s">
        <v>157</v>
      </c>
      <c r="F6113" s="86" t="s">
        <v>157</v>
      </c>
      <c r="G6113" s="86" t="s">
        <v>157</v>
      </c>
      <c r="H6113" s="144">
        <v>237</v>
      </c>
      <c r="I6113" s="86" t="s">
        <v>2374</v>
      </c>
      <c r="J6113" s="1" t="s">
        <v>3322</v>
      </c>
      <c r="K6113" s="1" t="s">
        <v>3269</v>
      </c>
      <c r="L6113" s="1" t="s">
        <v>35</v>
      </c>
      <c r="M6113" s="86" t="s">
        <v>157</v>
      </c>
      <c r="O6113" s="47" t="s">
        <v>45</v>
      </c>
      <c r="P6113" s="47" t="s">
        <v>41</v>
      </c>
      <c r="Q6113" s="14">
        <v>0</v>
      </c>
      <c r="R6113" s="143"/>
      <c r="S6113" s="47"/>
      <c r="T6113" s="6">
        <v>1438669.8910999978</v>
      </c>
      <c r="U6113" s="6">
        <v>1200000</v>
      </c>
      <c r="V6113" s="6">
        <v>2267082.33</v>
      </c>
      <c r="W6113" s="6">
        <f t="shared" si="945"/>
        <v>371587.56109999772</v>
      </c>
      <c r="X6113" s="6">
        <f t="shared" si="949"/>
        <v>2267082.33</v>
      </c>
      <c r="Y6113" s="13">
        <f t="shared" si="952"/>
        <v>33449.119999999646</v>
      </c>
      <c r="Z6113" s="66">
        <v>0</v>
      </c>
      <c r="AA6113" s="6">
        <v>0</v>
      </c>
      <c r="AB6113" s="4">
        <f t="shared" si="953"/>
        <v>2267082.33</v>
      </c>
      <c r="AC6113" s="6">
        <f t="shared" si="951"/>
        <v>0</v>
      </c>
      <c r="AD6113" s="6">
        <v>2233633.2100000004</v>
      </c>
      <c r="AE6113" s="14">
        <f>VLOOKUP(I6113,[2]媒体政策预估表!A:N,MATCH(O6113,[2]媒体政策预估表!$A$2:$M$2,0),0)</f>
        <v>7.0000000000000007E-2</v>
      </c>
      <c r="AF6113" s="6">
        <f t="shared" si="944"/>
        <v>156354.32470000006</v>
      </c>
      <c r="AG6113" s="14">
        <v>0</v>
      </c>
      <c r="AH6113" s="6">
        <f t="shared" si="950"/>
        <v>2267082.33</v>
      </c>
      <c r="AI6113" s="47"/>
      <c r="AJ6113" s="126" t="e">
        <v>#N/A</v>
      </c>
      <c r="AK6113" s="80">
        <f t="shared" si="954"/>
        <v>0</v>
      </c>
      <c r="AL6113" s="85"/>
      <c r="AM6113" s="85"/>
    </row>
    <row r="6114" spans="1:39" s="86" customFormat="1" ht="13.25" hidden="1" customHeight="1" x14ac:dyDescent="0.3">
      <c r="A6114" s="89" t="s">
        <v>3794</v>
      </c>
      <c r="B6114" s="86" t="s">
        <v>35</v>
      </c>
      <c r="C6114" s="86" t="s">
        <v>144</v>
      </c>
      <c r="D6114" s="86" t="s">
        <v>152</v>
      </c>
      <c r="E6114" s="86" t="s">
        <v>3211</v>
      </c>
      <c r="F6114" s="86" t="s">
        <v>3530</v>
      </c>
      <c r="G6114" s="86" t="s">
        <v>3211</v>
      </c>
      <c r="H6114" s="144">
        <v>237</v>
      </c>
      <c r="I6114" s="86" t="s">
        <v>2374</v>
      </c>
      <c r="J6114" s="1" t="s">
        <v>3322</v>
      </c>
      <c r="K6114" s="1" t="s">
        <v>3269</v>
      </c>
      <c r="L6114" s="1" t="s">
        <v>35</v>
      </c>
      <c r="M6114" s="86" t="s">
        <v>3211</v>
      </c>
      <c r="O6114" s="47" t="s">
        <v>45</v>
      </c>
      <c r="P6114" s="47" t="s">
        <v>46</v>
      </c>
      <c r="Q6114" s="14">
        <v>0.03</v>
      </c>
      <c r="R6114" s="143"/>
      <c r="S6114" s="47"/>
      <c r="T6114" s="6">
        <v>0</v>
      </c>
      <c r="U6114" s="6">
        <v>61303.92</v>
      </c>
      <c r="V6114" s="6">
        <v>29420.760000000006</v>
      </c>
      <c r="W6114" s="6">
        <f t="shared" si="945"/>
        <v>31883.159999999993</v>
      </c>
      <c r="X6114" s="6">
        <f t="shared" si="949"/>
        <v>28563.84466019418</v>
      </c>
      <c r="Y6114" s="13">
        <f t="shared" si="952"/>
        <v>0</v>
      </c>
      <c r="Z6114" s="66">
        <v>0</v>
      </c>
      <c r="AA6114" s="6">
        <v>0</v>
      </c>
      <c r="AB6114" s="4">
        <f t="shared" si="953"/>
        <v>28563.84466019418</v>
      </c>
      <c r="AC6114" s="6">
        <f t="shared" si="951"/>
        <v>856.91533980582608</v>
      </c>
      <c r="AD6114" s="6">
        <v>29420.760000000006</v>
      </c>
      <c r="AE6114" s="14">
        <f>VLOOKUP(I6114,[2]媒体政策预估表!A:N,MATCH(O6114,[2]媒体政策预估表!$A$2:$M$2,0),0)</f>
        <v>7.0000000000000007E-2</v>
      </c>
      <c r="AF6114" s="6">
        <f t="shared" si="944"/>
        <v>2059.4532000000004</v>
      </c>
      <c r="AG6114" s="14">
        <v>0</v>
      </c>
      <c r="AH6114" s="6">
        <f t="shared" si="950"/>
        <v>29420.760000000006</v>
      </c>
      <c r="AI6114" s="47"/>
      <c r="AJ6114" s="126" t="e">
        <v>#N/A</v>
      </c>
      <c r="AK6114" s="80">
        <f t="shared" si="954"/>
        <v>0</v>
      </c>
      <c r="AL6114" s="85"/>
      <c r="AM6114" s="85"/>
    </row>
    <row r="6115" spans="1:39" s="86" customFormat="1" ht="13.25" hidden="1" customHeight="1" x14ac:dyDescent="0.3">
      <c r="A6115" s="89" t="s">
        <v>3792</v>
      </c>
      <c r="B6115" s="86" t="s">
        <v>35</v>
      </c>
      <c r="C6115" s="86" t="s">
        <v>144</v>
      </c>
      <c r="D6115" s="86" t="s">
        <v>152</v>
      </c>
      <c r="E6115" s="86" t="s">
        <v>3211</v>
      </c>
      <c r="F6115" s="86" t="s">
        <v>3530</v>
      </c>
      <c r="G6115" s="86" t="s">
        <v>3211</v>
      </c>
      <c r="H6115" s="143">
        <v>237</v>
      </c>
      <c r="I6115" s="86" t="s">
        <v>2374</v>
      </c>
      <c r="J6115" s="1" t="s">
        <v>3322</v>
      </c>
      <c r="K6115" s="1" t="s">
        <v>3269</v>
      </c>
      <c r="L6115" s="1" t="s">
        <v>35</v>
      </c>
      <c r="M6115" s="86" t="s">
        <v>3211</v>
      </c>
      <c r="O6115" s="47" t="s">
        <v>40</v>
      </c>
      <c r="P6115" s="47" t="s">
        <v>46</v>
      </c>
      <c r="Q6115" s="14">
        <v>0.03</v>
      </c>
      <c r="R6115" s="143"/>
      <c r="S6115" s="47"/>
      <c r="T6115" s="6">
        <v>0</v>
      </c>
      <c r="U6115" s="6">
        <v>0</v>
      </c>
      <c r="V6115" s="6">
        <v>0</v>
      </c>
      <c r="W6115" s="6">
        <f t="shared" si="945"/>
        <v>0</v>
      </c>
      <c r="X6115" s="6">
        <f t="shared" si="949"/>
        <v>0</v>
      </c>
      <c r="Y6115" s="13">
        <f t="shared" si="952"/>
        <v>0</v>
      </c>
      <c r="Z6115" s="66">
        <v>0</v>
      </c>
      <c r="AA6115" s="6">
        <v>0</v>
      </c>
      <c r="AB6115" s="4">
        <f t="shared" si="953"/>
        <v>0</v>
      </c>
      <c r="AC6115" s="6">
        <f t="shared" si="951"/>
        <v>0</v>
      </c>
      <c r="AD6115" s="6">
        <v>0</v>
      </c>
      <c r="AE6115" s="14">
        <f>VLOOKUP(I6115,[2]媒体政策预估表!A:N,MATCH(O6115,[2]媒体政策预估表!$A$2:$M$2,0),0)</f>
        <v>0.09</v>
      </c>
      <c r="AF6115" s="6">
        <f t="shared" si="944"/>
        <v>0</v>
      </c>
      <c r="AG6115" s="14">
        <v>0</v>
      </c>
      <c r="AH6115" s="6">
        <f t="shared" si="950"/>
        <v>0</v>
      </c>
      <c r="AI6115" s="47"/>
      <c r="AJ6115" s="126" t="e">
        <v>#N/A</v>
      </c>
      <c r="AK6115" s="80">
        <f t="shared" si="954"/>
        <v>0</v>
      </c>
      <c r="AL6115" s="85"/>
      <c r="AM6115" s="85"/>
    </row>
    <row r="6116" spans="1:39" s="86" customFormat="1" ht="13.25" hidden="1" customHeight="1" x14ac:dyDescent="0.3">
      <c r="A6116" s="89" t="s">
        <v>3792</v>
      </c>
      <c r="B6116" s="86" t="s">
        <v>35</v>
      </c>
      <c r="C6116" s="86" t="s">
        <v>164</v>
      </c>
      <c r="D6116" s="86" t="s">
        <v>169</v>
      </c>
      <c r="E6116" s="86" t="s">
        <v>2518</v>
      </c>
      <c r="F6116" s="86" t="s">
        <v>2518</v>
      </c>
      <c r="G6116" s="86" t="s">
        <v>2518</v>
      </c>
      <c r="H6116" s="144">
        <v>237</v>
      </c>
      <c r="I6116" s="86" t="s">
        <v>2374</v>
      </c>
      <c r="J6116" s="1" t="s">
        <v>3322</v>
      </c>
      <c r="K6116" s="1" t="s">
        <v>3269</v>
      </c>
      <c r="L6116" s="1" t="s">
        <v>35</v>
      </c>
      <c r="M6116" s="86" t="s">
        <v>2519</v>
      </c>
      <c r="O6116" s="47" t="s">
        <v>45</v>
      </c>
      <c r="P6116" s="47" t="s">
        <v>41</v>
      </c>
      <c r="Q6116" s="14">
        <v>0</v>
      </c>
      <c r="R6116" s="143"/>
      <c r="S6116" s="47"/>
      <c r="T6116" s="6">
        <v>-121533.92000000003</v>
      </c>
      <c r="U6116" s="6">
        <v>2000000</v>
      </c>
      <c r="V6116" s="6">
        <v>997020.04000000027</v>
      </c>
      <c r="W6116" s="6">
        <f t="shared" si="945"/>
        <v>881446.0399999998</v>
      </c>
      <c r="X6116" s="6">
        <f t="shared" si="949"/>
        <v>997020.04000000027</v>
      </c>
      <c r="Y6116" s="13">
        <f t="shared" si="952"/>
        <v>0</v>
      </c>
      <c r="Z6116" s="66">
        <v>0</v>
      </c>
      <c r="AA6116" s="6">
        <v>0</v>
      </c>
      <c r="AB6116" s="4">
        <f t="shared" si="953"/>
        <v>997020.04000000027</v>
      </c>
      <c r="AC6116" s="6">
        <f t="shared" si="951"/>
        <v>0</v>
      </c>
      <c r="AD6116" s="6">
        <v>997020.04000000027</v>
      </c>
      <c r="AE6116" s="14">
        <f>VLOOKUP(I6116,[2]媒体政策预估表!A:N,MATCH(O6116,[2]媒体政策预估表!$A$2:$M$2,0),0)</f>
        <v>7.0000000000000007E-2</v>
      </c>
      <c r="AF6116" s="6">
        <f t="shared" ref="AF6116:AF6179" si="955">AD6116*AE6116</f>
        <v>69791.402800000025</v>
      </c>
      <c r="AG6116" s="14">
        <v>0</v>
      </c>
      <c r="AH6116" s="6">
        <f t="shared" si="950"/>
        <v>997020.04000000027</v>
      </c>
      <c r="AI6116" s="47"/>
      <c r="AJ6116" s="126" t="e">
        <v>#N/A</v>
      </c>
      <c r="AK6116" s="80">
        <f t="shared" si="954"/>
        <v>0</v>
      </c>
      <c r="AL6116" s="85"/>
      <c r="AM6116" s="85"/>
    </row>
    <row r="6117" spans="1:39" s="86" customFormat="1" ht="13.25" hidden="1" customHeight="1" x14ac:dyDescent="0.3">
      <c r="A6117" s="89" t="s">
        <v>3794</v>
      </c>
      <c r="B6117" s="86" t="s">
        <v>35</v>
      </c>
      <c r="C6117" s="86" t="s">
        <v>164</v>
      </c>
      <c r="D6117" s="86" t="s">
        <v>169</v>
      </c>
      <c r="E6117" s="86" t="s">
        <v>2518</v>
      </c>
      <c r="F6117" s="86" t="s">
        <v>2518</v>
      </c>
      <c r="G6117" s="86" t="s">
        <v>2518</v>
      </c>
      <c r="H6117" s="144">
        <v>237</v>
      </c>
      <c r="I6117" s="86" t="s">
        <v>2374</v>
      </c>
      <c r="J6117" s="1" t="s">
        <v>3322</v>
      </c>
      <c r="K6117" s="1" t="s">
        <v>3269</v>
      </c>
      <c r="L6117" s="1" t="s">
        <v>35</v>
      </c>
      <c r="M6117" s="86" t="s">
        <v>2519</v>
      </c>
      <c r="O6117" s="47" t="s">
        <v>40</v>
      </c>
      <c r="P6117" s="47" t="s">
        <v>41</v>
      </c>
      <c r="Q6117" s="14">
        <v>0</v>
      </c>
      <c r="R6117" s="143"/>
      <c r="S6117" s="47"/>
      <c r="T6117" s="6">
        <v>-4658828.6399999987</v>
      </c>
      <c r="U6117" s="6">
        <v>50000</v>
      </c>
      <c r="V6117" s="6">
        <v>33299.750000000007</v>
      </c>
      <c r="W6117" s="6">
        <f t="shared" si="945"/>
        <v>-4642128.3899999987</v>
      </c>
      <c r="X6117" s="6">
        <f t="shared" si="949"/>
        <v>33299.750000000007</v>
      </c>
      <c r="Y6117" s="13">
        <f t="shared" si="952"/>
        <v>0.37000000000261934</v>
      </c>
      <c r="Z6117" s="66">
        <v>0</v>
      </c>
      <c r="AA6117" s="6">
        <v>0</v>
      </c>
      <c r="AB6117" s="4">
        <f t="shared" si="953"/>
        <v>33299.750000000007</v>
      </c>
      <c r="AC6117" s="6">
        <f t="shared" si="951"/>
        <v>0</v>
      </c>
      <c r="AD6117" s="6">
        <v>33299.380000000005</v>
      </c>
      <c r="AE6117" s="14">
        <f>VLOOKUP(I6117,[2]媒体政策预估表!A:N,MATCH(O6117,[2]媒体政策预估表!$A$2:$M$2,0),0)</f>
        <v>0.09</v>
      </c>
      <c r="AF6117" s="6">
        <f t="shared" si="955"/>
        <v>2996.9442000000004</v>
      </c>
      <c r="AG6117" s="14">
        <v>0</v>
      </c>
      <c r="AH6117" s="6">
        <f t="shared" si="950"/>
        <v>33299.750000000007</v>
      </c>
      <c r="AI6117" s="47"/>
      <c r="AJ6117" s="126" t="e">
        <v>#N/A</v>
      </c>
      <c r="AK6117" s="80">
        <f t="shared" si="954"/>
        <v>0</v>
      </c>
      <c r="AL6117" s="85"/>
      <c r="AM6117" s="85"/>
    </row>
    <row r="6118" spans="1:39" s="86" customFormat="1" ht="13.25" hidden="1" customHeight="1" x14ac:dyDescent="0.3">
      <c r="A6118" s="89" t="s">
        <v>3794</v>
      </c>
      <c r="B6118" s="86" t="s">
        <v>35</v>
      </c>
      <c r="C6118" s="86" t="s">
        <v>164</v>
      </c>
      <c r="D6118" s="86" t="s">
        <v>169</v>
      </c>
      <c r="E6118" s="86" t="s">
        <v>2518</v>
      </c>
      <c r="F6118" s="86" t="s">
        <v>2518</v>
      </c>
      <c r="G6118" s="86" t="s">
        <v>2518</v>
      </c>
      <c r="H6118" s="144">
        <v>237</v>
      </c>
      <c r="I6118" s="86" t="s">
        <v>2374</v>
      </c>
      <c r="J6118" s="1" t="s">
        <v>3322</v>
      </c>
      <c r="K6118" s="1" t="s">
        <v>3269</v>
      </c>
      <c r="L6118" s="1" t="s">
        <v>35</v>
      </c>
      <c r="M6118" s="86" t="s">
        <v>3419</v>
      </c>
      <c r="O6118" s="47" t="s">
        <v>40</v>
      </c>
      <c r="P6118" s="47" t="s">
        <v>41</v>
      </c>
      <c r="Q6118" s="14">
        <v>0</v>
      </c>
      <c r="R6118" s="143"/>
      <c r="S6118" s="47"/>
      <c r="T6118" s="6">
        <v>30078.41</v>
      </c>
      <c r="U6118" s="6">
        <v>100000</v>
      </c>
      <c r="V6118" s="6">
        <v>57250.090000000011</v>
      </c>
      <c r="W6118" s="6">
        <f t="shared" si="945"/>
        <v>72828.319999999992</v>
      </c>
      <c r="X6118" s="6">
        <f t="shared" si="949"/>
        <v>57250.090000000011</v>
      </c>
      <c r="Y6118" s="13">
        <f t="shared" si="952"/>
        <v>0</v>
      </c>
      <c r="Z6118" s="66">
        <v>0</v>
      </c>
      <c r="AA6118" s="6">
        <v>0</v>
      </c>
      <c r="AB6118" s="4">
        <f t="shared" si="953"/>
        <v>57250.090000000011</v>
      </c>
      <c r="AC6118" s="6">
        <f t="shared" si="951"/>
        <v>0</v>
      </c>
      <c r="AD6118" s="6">
        <v>57250.090000000011</v>
      </c>
      <c r="AE6118" s="14">
        <f>VLOOKUP(I6118,[2]媒体政策预估表!A:N,MATCH(O6118,[2]媒体政策预估表!$A$2:$M$2,0),0)</f>
        <v>0.09</v>
      </c>
      <c r="AF6118" s="6">
        <f t="shared" si="955"/>
        <v>5152.5081000000009</v>
      </c>
      <c r="AG6118" s="14">
        <v>0</v>
      </c>
      <c r="AH6118" s="6">
        <f t="shared" si="950"/>
        <v>57250.090000000011</v>
      </c>
      <c r="AI6118" s="47"/>
      <c r="AJ6118" s="126" t="e">
        <v>#N/A</v>
      </c>
      <c r="AK6118" s="80">
        <f t="shared" si="954"/>
        <v>0</v>
      </c>
      <c r="AL6118" s="85"/>
      <c r="AM6118" s="85"/>
    </row>
    <row r="6119" spans="1:39" s="86" customFormat="1" ht="13.25" hidden="1" customHeight="1" x14ac:dyDescent="0.3">
      <c r="A6119" s="89" t="s">
        <v>3794</v>
      </c>
      <c r="B6119" s="86" t="s">
        <v>35</v>
      </c>
      <c r="C6119" s="86" t="s">
        <v>164</v>
      </c>
      <c r="D6119" s="86" t="s">
        <v>169</v>
      </c>
      <c r="E6119" s="86" t="s">
        <v>2435</v>
      </c>
      <c r="F6119" s="86" t="s">
        <v>2435</v>
      </c>
      <c r="G6119" s="86" t="s">
        <v>2435</v>
      </c>
      <c r="H6119" s="143">
        <v>237</v>
      </c>
      <c r="I6119" s="86" t="s">
        <v>2374</v>
      </c>
      <c r="J6119" s="1" t="s">
        <v>3322</v>
      </c>
      <c r="K6119" s="1" t="s">
        <v>3269</v>
      </c>
      <c r="L6119" s="1" t="s">
        <v>35</v>
      </c>
      <c r="M6119" s="86" t="s">
        <v>2436</v>
      </c>
      <c r="O6119" s="47" t="s">
        <v>40</v>
      </c>
      <c r="P6119" s="47" t="s">
        <v>46</v>
      </c>
      <c r="Q6119" s="14">
        <v>0.03</v>
      </c>
      <c r="R6119" s="143"/>
      <c r="S6119" s="47"/>
      <c r="T6119" s="6">
        <v>0</v>
      </c>
      <c r="U6119" s="6">
        <v>0</v>
      </c>
      <c r="V6119" s="6"/>
      <c r="W6119" s="6">
        <f t="shared" si="945"/>
        <v>0</v>
      </c>
      <c r="X6119" s="6">
        <f t="shared" si="949"/>
        <v>0</v>
      </c>
      <c r="Y6119" s="13">
        <f t="shared" si="952"/>
        <v>0</v>
      </c>
      <c r="Z6119" s="66">
        <v>0</v>
      </c>
      <c r="AA6119" s="6">
        <v>0</v>
      </c>
      <c r="AB6119" s="4">
        <f t="shared" si="953"/>
        <v>0</v>
      </c>
      <c r="AC6119" s="6">
        <f t="shared" si="951"/>
        <v>0</v>
      </c>
      <c r="AD6119" s="6">
        <v>0</v>
      </c>
      <c r="AE6119" s="14">
        <f>VLOOKUP(I6119,[2]媒体政策预估表!A:N,MATCH(O6119,[2]媒体政策预估表!$A$2:$M$2,0),0)</f>
        <v>0.09</v>
      </c>
      <c r="AF6119" s="6">
        <f t="shared" si="955"/>
        <v>0</v>
      </c>
      <c r="AG6119" s="14">
        <v>0</v>
      </c>
      <c r="AH6119" s="6">
        <f t="shared" si="950"/>
        <v>0</v>
      </c>
      <c r="AI6119" s="47"/>
      <c r="AJ6119" s="126" t="e">
        <v>#N/A</v>
      </c>
      <c r="AK6119" s="80">
        <f t="shared" si="954"/>
        <v>0</v>
      </c>
      <c r="AL6119" s="85"/>
      <c r="AM6119" s="85"/>
    </row>
    <row r="6120" spans="1:39" s="86" customFormat="1" ht="13.25" hidden="1" customHeight="1" x14ac:dyDescent="0.3">
      <c r="A6120" s="89" t="s">
        <v>3792</v>
      </c>
      <c r="B6120" s="86" t="s">
        <v>35</v>
      </c>
      <c r="C6120" s="86" t="s">
        <v>164</v>
      </c>
      <c r="D6120" s="86" t="s">
        <v>169</v>
      </c>
      <c r="E6120" s="86" t="s">
        <v>247</v>
      </c>
      <c r="F6120" s="86" t="s">
        <v>247</v>
      </c>
      <c r="G6120" s="86" t="s">
        <v>247</v>
      </c>
      <c r="H6120" s="143">
        <v>237</v>
      </c>
      <c r="I6120" s="86" t="s">
        <v>2374</v>
      </c>
      <c r="J6120" s="1" t="s">
        <v>3322</v>
      </c>
      <c r="K6120" s="1" t="s">
        <v>3269</v>
      </c>
      <c r="L6120" s="1" t="s">
        <v>35</v>
      </c>
      <c r="M6120" s="86" t="s">
        <v>247</v>
      </c>
      <c r="O6120" s="47" t="s">
        <v>40</v>
      </c>
      <c r="P6120" s="47" t="s">
        <v>46</v>
      </c>
      <c r="Q6120" s="14">
        <v>0.03</v>
      </c>
      <c r="R6120" s="143"/>
      <c r="S6120" s="47"/>
      <c r="T6120" s="6">
        <v>0</v>
      </c>
      <c r="U6120" s="6">
        <v>1030000</v>
      </c>
      <c r="V6120" s="6">
        <v>0</v>
      </c>
      <c r="W6120" s="6">
        <f t="shared" si="945"/>
        <v>1030000</v>
      </c>
      <c r="X6120" s="6">
        <f t="shared" si="949"/>
        <v>0</v>
      </c>
      <c r="Y6120" s="13">
        <f t="shared" si="952"/>
        <v>0</v>
      </c>
      <c r="Z6120" s="66">
        <v>0</v>
      </c>
      <c r="AA6120" s="6">
        <v>0</v>
      </c>
      <c r="AB6120" s="4">
        <f t="shared" si="953"/>
        <v>0</v>
      </c>
      <c r="AC6120" s="6">
        <f t="shared" si="951"/>
        <v>0</v>
      </c>
      <c r="AD6120" s="6">
        <v>0</v>
      </c>
      <c r="AE6120" s="14">
        <f>VLOOKUP(I6120,[2]媒体政策预估表!A:N,MATCH(O6120,[2]媒体政策预估表!$A$2:$M$2,0),0)</f>
        <v>0.09</v>
      </c>
      <c r="AF6120" s="6">
        <f t="shared" si="955"/>
        <v>0</v>
      </c>
      <c r="AG6120" s="14">
        <v>0</v>
      </c>
      <c r="AH6120" s="6">
        <f t="shared" si="950"/>
        <v>0</v>
      </c>
      <c r="AI6120" s="47"/>
      <c r="AJ6120" s="126" t="e">
        <v>#N/A</v>
      </c>
      <c r="AK6120" s="80">
        <f t="shared" si="954"/>
        <v>0</v>
      </c>
      <c r="AL6120" s="85"/>
      <c r="AM6120" s="85"/>
    </row>
    <row r="6121" spans="1:39" s="86" customFormat="1" ht="13.25" hidden="1" customHeight="1" x14ac:dyDescent="0.3">
      <c r="A6121" s="89" t="s">
        <v>3792</v>
      </c>
      <c r="B6121" s="86" t="s">
        <v>35</v>
      </c>
      <c r="C6121" s="86" t="s">
        <v>164</v>
      </c>
      <c r="D6121" s="86" t="s">
        <v>169</v>
      </c>
      <c r="E6121" s="86" t="s">
        <v>2436</v>
      </c>
      <c r="F6121" s="86" t="s">
        <v>3755</v>
      </c>
      <c r="G6121" s="86" t="s">
        <v>2436</v>
      </c>
      <c r="H6121" s="144">
        <v>237</v>
      </c>
      <c r="I6121" s="86" t="s">
        <v>2374</v>
      </c>
      <c r="J6121" s="1" t="s">
        <v>3322</v>
      </c>
      <c r="K6121" s="1" t="s">
        <v>3269</v>
      </c>
      <c r="L6121" s="1" t="s">
        <v>35</v>
      </c>
      <c r="M6121" s="86" t="s">
        <v>2436</v>
      </c>
      <c r="O6121" s="47" t="s">
        <v>40</v>
      </c>
      <c r="P6121" s="47" t="s">
        <v>46</v>
      </c>
      <c r="Q6121" s="14">
        <v>0.03</v>
      </c>
      <c r="R6121" s="143"/>
      <c r="S6121" s="47"/>
      <c r="T6121" s="6">
        <v>131079.44999999995</v>
      </c>
      <c r="U6121" s="6">
        <v>0</v>
      </c>
      <c r="V6121" s="6">
        <v>41356.260000000009</v>
      </c>
      <c r="W6121" s="6">
        <f t="shared" ref="W6121:W6184" si="956">T6121+U6121-V6121</f>
        <v>89723.189999999944</v>
      </c>
      <c r="X6121" s="6">
        <f t="shared" si="949"/>
        <v>40151.708737864086</v>
      </c>
      <c r="Y6121" s="13">
        <f t="shared" si="952"/>
        <v>2230.9987378640799</v>
      </c>
      <c r="Z6121" s="66">
        <v>0</v>
      </c>
      <c r="AA6121" s="6">
        <v>0</v>
      </c>
      <c r="AB6121" s="4">
        <f t="shared" si="953"/>
        <v>40151.708737864086</v>
      </c>
      <c r="AC6121" s="6">
        <f t="shared" si="951"/>
        <v>1204.551262135923</v>
      </c>
      <c r="AD6121" s="6">
        <v>37920.710000000006</v>
      </c>
      <c r="AE6121" s="14">
        <f>VLOOKUP(I6121,[2]媒体政策预估表!A:N,MATCH(O6121,[2]媒体政策预估表!$A$2:$M$2,0),0)</f>
        <v>0.09</v>
      </c>
      <c r="AF6121" s="6">
        <f t="shared" si="955"/>
        <v>3412.8639000000003</v>
      </c>
      <c r="AG6121" s="14">
        <v>0</v>
      </c>
      <c r="AH6121" s="6">
        <f t="shared" si="950"/>
        <v>41356.260000000009</v>
      </c>
      <c r="AI6121" s="47"/>
      <c r="AJ6121" s="126" t="e">
        <v>#N/A</v>
      </c>
      <c r="AK6121" s="80">
        <f t="shared" si="954"/>
        <v>0</v>
      </c>
      <c r="AL6121" s="85"/>
      <c r="AM6121" s="85"/>
    </row>
    <row r="6122" spans="1:39" s="86" customFormat="1" ht="13.25" hidden="1" customHeight="1" x14ac:dyDescent="0.3">
      <c r="A6122" s="89" t="s">
        <v>3794</v>
      </c>
      <c r="B6122" s="86" t="s">
        <v>35</v>
      </c>
      <c r="C6122" s="86" t="s">
        <v>164</v>
      </c>
      <c r="D6122" s="86" t="s">
        <v>174</v>
      </c>
      <c r="E6122" s="86" t="s">
        <v>50</v>
      </c>
      <c r="F6122" s="86" t="s">
        <v>50</v>
      </c>
      <c r="G6122" s="86" t="s">
        <v>50</v>
      </c>
      <c r="H6122" s="143">
        <v>237</v>
      </c>
      <c r="I6122" s="86" t="s">
        <v>2374</v>
      </c>
      <c r="J6122" s="1" t="s">
        <v>3322</v>
      </c>
      <c r="K6122" s="1" t="s">
        <v>3269</v>
      </c>
      <c r="L6122" s="1" t="s">
        <v>35</v>
      </c>
      <c r="M6122" s="86" t="s">
        <v>2432</v>
      </c>
      <c r="O6122" s="47" t="s">
        <v>45</v>
      </c>
      <c r="P6122" s="47" t="s">
        <v>46</v>
      </c>
      <c r="Q6122" s="14">
        <v>0.02</v>
      </c>
      <c r="R6122" s="143"/>
      <c r="S6122" s="47"/>
      <c r="T6122" s="6">
        <v>50000</v>
      </c>
      <c r="U6122" s="6">
        <v>1000</v>
      </c>
      <c r="V6122" s="6">
        <v>0</v>
      </c>
      <c r="W6122" s="6">
        <f t="shared" si="956"/>
        <v>51000</v>
      </c>
      <c r="X6122" s="6">
        <f t="shared" si="949"/>
        <v>0</v>
      </c>
      <c r="Y6122" s="13">
        <f t="shared" si="952"/>
        <v>0</v>
      </c>
      <c r="Z6122" s="66">
        <v>0</v>
      </c>
      <c r="AA6122" s="6">
        <v>0</v>
      </c>
      <c r="AB6122" s="4">
        <f t="shared" si="953"/>
        <v>0</v>
      </c>
      <c r="AC6122" s="6">
        <f t="shared" si="951"/>
        <v>0</v>
      </c>
      <c r="AD6122" s="6">
        <v>0</v>
      </c>
      <c r="AE6122" s="14">
        <f>VLOOKUP(I6122,[2]媒体政策预估表!A:N,MATCH(O6122,[2]媒体政策预估表!$A$2:$M$2,0),0)</f>
        <v>7.0000000000000007E-2</v>
      </c>
      <c r="AF6122" s="6">
        <f t="shared" si="955"/>
        <v>0</v>
      </c>
      <c r="AG6122" s="14">
        <v>0</v>
      </c>
      <c r="AH6122" s="6">
        <f t="shared" si="950"/>
        <v>0</v>
      </c>
      <c r="AI6122" s="47"/>
      <c r="AJ6122" s="126" t="e">
        <v>#N/A</v>
      </c>
      <c r="AK6122" s="80">
        <f t="shared" si="954"/>
        <v>0</v>
      </c>
      <c r="AL6122" s="85"/>
      <c r="AM6122" s="85"/>
    </row>
    <row r="6123" spans="1:39" s="86" customFormat="1" ht="13.25" hidden="1" customHeight="1" x14ac:dyDescent="0.3">
      <c r="A6123" s="89" t="s">
        <v>3792</v>
      </c>
      <c r="B6123" s="86" t="s">
        <v>35</v>
      </c>
      <c r="C6123" s="86" t="s">
        <v>164</v>
      </c>
      <c r="D6123" s="86" t="s">
        <v>174</v>
      </c>
      <c r="E6123" s="86" t="s">
        <v>50</v>
      </c>
      <c r="F6123" s="86" t="s">
        <v>50</v>
      </c>
      <c r="G6123" s="86" t="s">
        <v>50</v>
      </c>
      <c r="H6123" s="144">
        <v>237</v>
      </c>
      <c r="I6123" s="86" t="s">
        <v>2374</v>
      </c>
      <c r="J6123" s="1" t="s">
        <v>3322</v>
      </c>
      <c r="K6123" s="1" t="s">
        <v>3269</v>
      </c>
      <c r="L6123" s="1" t="s">
        <v>35</v>
      </c>
      <c r="M6123" s="86" t="s">
        <v>2432</v>
      </c>
      <c r="O6123" s="47" t="s">
        <v>40</v>
      </c>
      <c r="P6123" s="47" t="s">
        <v>46</v>
      </c>
      <c r="Q6123" s="14">
        <v>0.03</v>
      </c>
      <c r="R6123" s="143"/>
      <c r="S6123" s="47"/>
      <c r="T6123" s="6">
        <v>255219.02999999997</v>
      </c>
      <c r="U6123" s="6">
        <v>116500</v>
      </c>
      <c r="V6123" s="6">
        <v>41368.170000000013</v>
      </c>
      <c r="W6123" s="6">
        <f t="shared" si="956"/>
        <v>330350.86</v>
      </c>
      <c r="X6123" s="6">
        <f t="shared" si="949"/>
        <v>40163.271844660208</v>
      </c>
      <c r="Y6123" s="13">
        <f t="shared" si="952"/>
        <v>0</v>
      </c>
      <c r="Z6123" s="66">
        <v>0</v>
      </c>
      <c r="AA6123" s="6">
        <v>0</v>
      </c>
      <c r="AB6123" s="4">
        <f t="shared" si="953"/>
        <v>40163.271844660208</v>
      </c>
      <c r="AC6123" s="6">
        <f t="shared" si="951"/>
        <v>1204.8981553398044</v>
      </c>
      <c r="AD6123" s="6">
        <v>41368.170000000013</v>
      </c>
      <c r="AE6123" s="14">
        <f>VLOOKUP(I6123,[2]媒体政策预估表!A:N,MATCH(O6123,[2]媒体政策预估表!$A$2:$M$2,0),0)</f>
        <v>0.09</v>
      </c>
      <c r="AF6123" s="6">
        <f t="shared" si="955"/>
        <v>3723.1353000000008</v>
      </c>
      <c r="AG6123" s="14">
        <v>0</v>
      </c>
      <c r="AH6123" s="6">
        <f t="shared" si="950"/>
        <v>41368.170000000013</v>
      </c>
      <c r="AI6123" s="47"/>
      <c r="AJ6123" s="126" t="e">
        <v>#N/A</v>
      </c>
      <c r="AK6123" s="80">
        <f t="shared" si="954"/>
        <v>0</v>
      </c>
      <c r="AL6123" s="85"/>
      <c r="AM6123" s="85"/>
    </row>
    <row r="6124" spans="1:39" s="86" customFormat="1" ht="13.25" hidden="1" customHeight="1" x14ac:dyDescent="0.3">
      <c r="A6124" s="89" t="s">
        <v>3792</v>
      </c>
      <c r="B6124" s="86" t="s">
        <v>35</v>
      </c>
      <c r="C6124" s="86" t="s">
        <v>184</v>
      </c>
      <c r="D6124" s="86" t="s">
        <v>224</v>
      </c>
      <c r="E6124" s="86" t="s">
        <v>2377</v>
      </c>
      <c r="F6124" s="86" t="s">
        <v>2377</v>
      </c>
      <c r="G6124" s="86" t="s">
        <v>2377</v>
      </c>
      <c r="H6124" s="143">
        <v>237</v>
      </c>
      <c r="I6124" s="86" t="s">
        <v>2374</v>
      </c>
      <c r="J6124" s="1" t="s">
        <v>3322</v>
      </c>
      <c r="K6124" s="1" t="s">
        <v>3269</v>
      </c>
      <c r="L6124" s="1" t="s">
        <v>35</v>
      </c>
      <c r="M6124" s="86" t="s">
        <v>2377</v>
      </c>
      <c r="O6124" s="47" t="s">
        <v>45</v>
      </c>
      <c r="P6124" s="47" t="s">
        <v>75</v>
      </c>
      <c r="Q6124" s="14">
        <v>0.06</v>
      </c>
      <c r="R6124" s="143"/>
      <c r="S6124" s="47"/>
      <c r="T6124" s="6">
        <v>0</v>
      </c>
      <c r="U6124" s="6">
        <v>266200</v>
      </c>
      <c r="V6124" s="6">
        <v>0</v>
      </c>
      <c r="W6124" s="6">
        <f t="shared" si="956"/>
        <v>266200</v>
      </c>
      <c r="X6124" s="6">
        <f t="shared" si="949"/>
        <v>0</v>
      </c>
      <c r="Y6124" s="13">
        <f t="shared" si="952"/>
        <v>0</v>
      </c>
      <c r="Z6124" s="66">
        <v>0</v>
      </c>
      <c r="AA6124" s="6">
        <v>0</v>
      </c>
      <c r="AB6124" s="4">
        <f t="shared" si="953"/>
        <v>0</v>
      </c>
      <c r="AC6124" s="6">
        <f t="shared" si="951"/>
        <v>0</v>
      </c>
      <c r="AD6124" s="6">
        <v>2352318.7199999983</v>
      </c>
      <c r="AE6124" s="14">
        <f>VLOOKUP(I6124,[2]媒体政策预估表!A:N,MATCH(O6124,[2]媒体政策预估表!$A$2:$M$2,0),0)</f>
        <v>7.0000000000000007E-2</v>
      </c>
      <c r="AF6124" s="6">
        <f t="shared" si="955"/>
        <v>164662.3103999999</v>
      </c>
      <c r="AG6124" s="14">
        <v>0.21</v>
      </c>
      <c r="AH6124" s="6">
        <f t="shared" si="950"/>
        <v>0</v>
      </c>
      <c r="AI6124" s="47"/>
      <c r="AJ6124" s="126" t="s">
        <v>4223</v>
      </c>
      <c r="AK6124" s="80">
        <f t="shared" si="954"/>
        <v>0</v>
      </c>
      <c r="AL6124" s="150"/>
      <c r="AM6124" s="85"/>
    </row>
    <row r="6125" spans="1:39" s="86" customFormat="1" ht="13.25" hidden="1" customHeight="1" x14ac:dyDescent="0.3">
      <c r="A6125" s="89" t="s">
        <v>3792</v>
      </c>
      <c r="B6125" s="86" t="s">
        <v>35</v>
      </c>
      <c r="C6125" s="86" t="s">
        <v>184</v>
      </c>
      <c r="D6125" s="86" t="s">
        <v>224</v>
      </c>
      <c r="E6125" s="86" t="s">
        <v>2377</v>
      </c>
      <c r="F6125" s="86" t="s">
        <v>2377</v>
      </c>
      <c r="G6125" s="86" t="s">
        <v>2377</v>
      </c>
      <c r="H6125" s="144">
        <v>237</v>
      </c>
      <c r="I6125" s="86" t="s">
        <v>2374</v>
      </c>
      <c r="J6125" s="1" t="s">
        <v>3322</v>
      </c>
      <c r="K6125" s="1" t="s">
        <v>3269</v>
      </c>
      <c r="L6125" s="1" t="s">
        <v>35</v>
      </c>
      <c r="M6125" s="86" t="s">
        <v>2377</v>
      </c>
      <c r="O6125" s="47" t="s">
        <v>45</v>
      </c>
      <c r="P6125" s="47" t="s">
        <v>41</v>
      </c>
      <c r="Q6125" s="14">
        <v>0</v>
      </c>
      <c r="R6125" s="143"/>
      <c r="S6125" s="47"/>
      <c r="T6125" s="6">
        <v>814438.40000000829</v>
      </c>
      <c r="U6125" s="6">
        <v>2190000</v>
      </c>
      <c r="V6125" s="6">
        <v>2363978.9199999981</v>
      </c>
      <c r="W6125" s="6">
        <f t="shared" si="956"/>
        <v>640459.48000001023</v>
      </c>
      <c r="X6125" s="6">
        <f t="shared" si="949"/>
        <v>2363978.9199999981</v>
      </c>
      <c r="Y6125" s="13">
        <f t="shared" si="952"/>
        <v>2363978.9199999981</v>
      </c>
      <c r="Z6125" s="66">
        <v>0</v>
      </c>
      <c r="AA6125" s="6">
        <v>0</v>
      </c>
      <c r="AB6125" s="4">
        <f t="shared" si="953"/>
        <v>2363978.9199999981</v>
      </c>
      <c r="AC6125" s="6">
        <f t="shared" si="951"/>
        <v>0</v>
      </c>
      <c r="AD6125" s="6">
        <v>0</v>
      </c>
      <c r="AE6125" s="14">
        <f>VLOOKUP(I6125,[2]媒体政策预估表!A:N,MATCH(O6125,[2]媒体政策预估表!$A$2:$M$2,0),0)</f>
        <v>7.0000000000000007E-2</v>
      </c>
      <c r="AF6125" s="6">
        <f t="shared" si="955"/>
        <v>0</v>
      </c>
      <c r="AG6125" s="14">
        <v>0</v>
      </c>
      <c r="AH6125" s="6">
        <f t="shared" si="950"/>
        <v>2363978.9199999981</v>
      </c>
      <c r="AI6125" s="47"/>
      <c r="AJ6125" s="126" t="s">
        <v>4223</v>
      </c>
      <c r="AK6125" s="80">
        <f t="shared" si="954"/>
        <v>0</v>
      </c>
      <c r="AL6125" s="150"/>
      <c r="AM6125" s="85"/>
    </row>
    <row r="6126" spans="1:39" s="86" customFormat="1" ht="13.25" hidden="1" customHeight="1" x14ac:dyDescent="0.3">
      <c r="A6126" s="89" t="s">
        <v>3794</v>
      </c>
      <c r="B6126" s="86" t="s">
        <v>35</v>
      </c>
      <c r="C6126" s="86" t="s">
        <v>184</v>
      </c>
      <c r="D6126" s="86" t="s">
        <v>54</v>
      </c>
      <c r="E6126" s="86" t="s">
        <v>2388</v>
      </c>
      <c r="F6126" s="86" t="s">
        <v>2389</v>
      </c>
      <c r="G6126" s="86" t="s">
        <v>2388</v>
      </c>
      <c r="H6126" s="144">
        <v>237</v>
      </c>
      <c r="I6126" s="86" t="s">
        <v>2374</v>
      </c>
      <c r="J6126" s="1" t="s">
        <v>3322</v>
      </c>
      <c r="K6126" s="1" t="s">
        <v>3269</v>
      </c>
      <c r="L6126" s="1" t="s">
        <v>35</v>
      </c>
      <c r="M6126" s="86" t="s">
        <v>2390</v>
      </c>
      <c r="O6126" s="47" t="s">
        <v>40</v>
      </c>
      <c r="P6126" s="47" t="s">
        <v>46</v>
      </c>
      <c r="Q6126" s="14">
        <v>9.0800000000000006E-2</v>
      </c>
      <c r="R6126" s="143"/>
      <c r="S6126" s="47"/>
      <c r="T6126" s="6">
        <v>30332422.943610009</v>
      </c>
      <c r="U6126" s="6">
        <v>8781399.9945</v>
      </c>
      <c r="V6126" s="6">
        <v>7781571.6500000022</v>
      </c>
      <c r="W6126" s="6">
        <f t="shared" si="956"/>
        <v>31332251.288110007</v>
      </c>
      <c r="X6126" s="6">
        <f t="shared" si="949"/>
        <v>4882401.5874011815</v>
      </c>
      <c r="Y6126" s="13">
        <f t="shared" si="952"/>
        <v>0</v>
      </c>
      <c r="Z6126" s="66">
        <v>0</v>
      </c>
      <c r="AA6126" s="6">
        <v>0</v>
      </c>
      <c r="AB6126" s="4">
        <f t="shared" si="953"/>
        <v>4882401.5874011815</v>
      </c>
      <c r="AC6126" s="6">
        <f t="shared" si="951"/>
        <v>2899170.0625988208</v>
      </c>
      <c r="AD6126" s="6">
        <v>5162710.8200000022</v>
      </c>
      <c r="AE6126" s="14">
        <f>VLOOKUP(I6126,[2]媒体政策预估表!A:N,MATCH(O6126,[2]媒体政策预估表!$A$2:$M$2,0),0)</f>
        <v>0.09</v>
      </c>
      <c r="AF6126" s="6">
        <f t="shared" si="955"/>
        <v>464643.97380000015</v>
      </c>
      <c r="AG6126" s="14">
        <v>0.503</v>
      </c>
      <c r="AH6126" s="6">
        <f t="shared" si="950"/>
        <v>5177359.7139055235</v>
      </c>
      <c r="AI6126" s="47"/>
      <c r="AJ6126" s="126" t="e">
        <v>#N/A</v>
      </c>
      <c r="AK6126" s="80">
        <f t="shared" si="954"/>
        <v>0</v>
      </c>
      <c r="AL6126" s="85"/>
      <c r="AM6126" s="85"/>
    </row>
    <row r="6127" spans="1:39" s="86" customFormat="1" ht="13.25" hidden="1" customHeight="1" x14ac:dyDescent="0.3">
      <c r="A6127" s="89" t="s">
        <v>3794</v>
      </c>
      <c r="B6127" s="86" t="s">
        <v>35</v>
      </c>
      <c r="C6127" s="86" t="s">
        <v>184</v>
      </c>
      <c r="D6127" s="86" t="s">
        <v>54</v>
      </c>
      <c r="E6127" s="86" t="s">
        <v>2378</v>
      </c>
      <c r="F6127" s="86" t="s">
        <v>2379</v>
      </c>
      <c r="G6127" s="86" t="s">
        <v>2378</v>
      </c>
      <c r="H6127" s="144">
        <v>237</v>
      </c>
      <c r="I6127" s="86" t="s">
        <v>2374</v>
      </c>
      <c r="J6127" s="1" t="s">
        <v>3322</v>
      </c>
      <c r="K6127" s="1" t="s">
        <v>3269</v>
      </c>
      <c r="L6127" s="1" t="s">
        <v>35</v>
      </c>
      <c r="M6127" s="86" t="s">
        <v>2378</v>
      </c>
      <c r="O6127" s="47" t="s">
        <v>45</v>
      </c>
      <c r="P6127" s="47" t="s">
        <v>46</v>
      </c>
      <c r="Q6127" s="14">
        <v>0.04</v>
      </c>
      <c r="R6127" s="143"/>
      <c r="S6127" s="47"/>
      <c r="T6127" s="6">
        <v>-526223.29130000004</v>
      </c>
      <c r="U6127" s="6">
        <v>-827647.45559999999</v>
      </c>
      <c r="V6127" s="6">
        <v>60.449999999999996</v>
      </c>
      <c r="W6127" s="6">
        <f t="shared" si="956"/>
        <v>-1353931.1969000001</v>
      </c>
      <c r="X6127" s="6">
        <f t="shared" si="949"/>
        <v>44.124087591240873</v>
      </c>
      <c r="Y6127" s="13">
        <f t="shared" si="952"/>
        <v>0</v>
      </c>
      <c r="Z6127" s="66">
        <v>0</v>
      </c>
      <c r="AA6127" s="6">
        <v>0</v>
      </c>
      <c r="AB6127" s="4">
        <f t="shared" si="953"/>
        <v>44.124087591240873</v>
      </c>
      <c r="AC6127" s="6">
        <f t="shared" si="951"/>
        <v>16.325912408759123</v>
      </c>
      <c r="AD6127" s="6">
        <v>48.75</v>
      </c>
      <c r="AE6127" s="14">
        <f>VLOOKUP(I6127,[2]媒体政策预估表!A:N,MATCH(O6127,[2]媒体政策预估表!$A$2:$M$2,0),0)</f>
        <v>7.0000000000000007E-2</v>
      </c>
      <c r="AF6127" s="6">
        <f t="shared" si="955"/>
        <v>3.4125000000000005</v>
      </c>
      <c r="AG6127" s="14">
        <v>0.33</v>
      </c>
      <c r="AH6127" s="6">
        <f t="shared" si="950"/>
        <v>45.451127819548866</v>
      </c>
      <c r="AI6127" s="47"/>
      <c r="AJ6127" s="126" t="e">
        <v>#N/A</v>
      </c>
      <c r="AK6127" s="80">
        <f t="shared" si="954"/>
        <v>0</v>
      </c>
      <c r="AL6127" s="85"/>
      <c r="AM6127" s="85"/>
    </row>
    <row r="6128" spans="1:39" s="86" customFormat="1" ht="13.25" hidden="1" customHeight="1" x14ac:dyDescent="0.3">
      <c r="A6128" s="89" t="s">
        <v>3792</v>
      </c>
      <c r="B6128" s="86" t="s">
        <v>35</v>
      </c>
      <c r="C6128" s="86" t="s">
        <v>184</v>
      </c>
      <c r="D6128" s="86" t="s">
        <v>54</v>
      </c>
      <c r="E6128" s="86" t="s">
        <v>2472</v>
      </c>
      <c r="F6128" s="86" t="s">
        <v>2472</v>
      </c>
      <c r="G6128" s="86" t="s">
        <v>2472</v>
      </c>
      <c r="H6128" s="144">
        <v>237</v>
      </c>
      <c r="I6128" s="86" t="s">
        <v>2374</v>
      </c>
      <c r="J6128" s="1" t="s">
        <v>3322</v>
      </c>
      <c r="K6128" s="1" t="s">
        <v>3269</v>
      </c>
      <c r="L6128" s="1" t="s">
        <v>35</v>
      </c>
      <c r="M6128" s="86" t="s">
        <v>2472</v>
      </c>
      <c r="O6128" s="47" t="s">
        <v>45</v>
      </c>
      <c r="P6128" s="47" t="s">
        <v>41</v>
      </c>
      <c r="Q6128" s="14">
        <v>0</v>
      </c>
      <c r="R6128" s="143"/>
      <c r="S6128" s="47"/>
      <c r="T6128" s="6">
        <v>0</v>
      </c>
      <c r="U6128" s="6">
        <v>190000</v>
      </c>
      <c r="V6128" s="6">
        <v>22340.0900000002</v>
      </c>
      <c r="W6128" s="6">
        <f t="shared" si="956"/>
        <v>167659.9099999998</v>
      </c>
      <c r="X6128" s="6">
        <f t="shared" si="949"/>
        <v>22340.0900000002</v>
      </c>
      <c r="Y6128" s="13">
        <f t="shared" si="952"/>
        <v>0</v>
      </c>
      <c r="Z6128" s="66">
        <v>0</v>
      </c>
      <c r="AA6128" s="6">
        <v>0</v>
      </c>
      <c r="AB6128" s="4">
        <f t="shared" si="953"/>
        <v>22340.0900000002</v>
      </c>
      <c r="AC6128" s="6">
        <f t="shared" si="951"/>
        <v>0</v>
      </c>
      <c r="AD6128" s="6">
        <v>261096.31</v>
      </c>
      <c r="AE6128" s="14">
        <f>VLOOKUP(I6128,[2]媒体政策预估表!A:N,MATCH(O6128,[2]媒体政策预估表!$A$2:$M$2,0),0)</f>
        <v>7.0000000000000007E-2</v>
      </c>
      <c r="AF6128" s="6">
        <f t="shared" si="955"/>
        <v>18276.741700000002</v>
      </c>
      <c r="AG6128" s="14">
        <v>0</v>
      </c>
      <c r="AH6128" s="6">
        <f t="shared" si="950"/>
        <v>22340.0900000002</v>
      </c>
      <c r="AI6128" s="47"/>
      <c r="AJ6128" s="126" t="e">
        <v>#N/A</v>
      </c>
      <c r="AK6128" s="80">
        <f t="shared" si="954"/>
        <v>0</v>
      </c>
      <c r="AL6128" s="85"/>
      <c r="AM6128" s="85"/>
    </row>
    <row r="6129" spans="1:39" s="86" customFormat="1" ht="13.25" hidden="1" customHeight="1" x14ac:dyDescent="0.3">
      <c r="A6129" s="89" t="s">
        <v>3794</v>
      </c>
      <c r="B6129" s="86" t="s">
        <v>35</v>
      </c>
      <c r="C6129" s="86" t="s">
        <v>184</v>
      </c>
      <c r="D6129" s="86" t="s">
        <v>54</v>
      </c>
      <c r="E6129" s="86" t="s">
        <v>2472</v>
      </c>
      <c r="F6129" s="86" t="s">
        <v>2472</v>
      </c>
      <c r="G6129" s="86" t="s">
        <v>2472</v>
      </c>
      <c r="H6129" s="144">
        <v>237</v>
      </c>
      <c r="I6129" s="86" t="s">
        <v>2374</v>
      </c>
      <c r="J6129" s="1" t="s">
        <v>3322</v>
      </c>
      <c r="K6129" s="1" t="s">
        <v>3269</v>
      </c>
      <c r="L6129" s="1" t="s">
        <v>35</v>
      </c>
      <c r="M6129" s="86" t="s">
        <v>2472</v>
      </c>
      <c r="O6129" s="47" t="s">
        <v>40</v>
      </c>
      <c r="P6129" s="47" t="s">
        <v>41</v>
      </c>
      <c r="Q6129" s="14">
        <v>0</v>
      </c>
      <c r="R6129" s="143"/>
      <c r="S6129" s="47"/>
      <c r="T6129" s="6">
        <v>0</v>
      </c>
      <c r="U6129" s="6">
        <v>150000</v>
      </c>
      <c r="V6129" s="6">
        <v>59539.679999999942</v>
      </c>
      <c r="W6129" s="6">
        <f t="shared" si="956"/>
        <v>90460.320000000065</v>
      </c>
      <c r="X6129" s="6">
        <f t="shared" si="949"/>
        <v>59539.679999999942</v>
      </c>
      <c r="Y6129" s="13">
        <f t="shared" si="952"/>
        <v>0</v>
      </c>
      <c r="Z6129" s="66">
        <v>0</v>
      </c>
      <c r="AA6129" s="6">
        <v>0</v>
      </c>
      <c r="AB6129" s="4">
        <f t="shared" si="953"/>
        <v>59539.679999999942</v>
      </c>
      <c r="AC6129" s="6">
        <f t="shared" si="951"/>
        <v>0</v>
      </c>
      <c r="AD6129" s="6">
        <v>113613.60999999997</v>
      </c>
      <c r="AE6129" s="14">
        <f>VLOOKUP(I6129,[2]媒体政策预估表!A:N,MATCH(O6129,[2]媒体政策预估表!$A$2:$M$2,0),0)</f>
        <v>0.09</v>
      </c>
      <c r="AF6129" s="6">
        <f t="shared" si="955"/>
        <v>10225.224899999997</v>
      </c>
      <c r="AG6129" s="14">
        <v>0</v>
      </c>
      <c r="AH6129" s="6">
        <f t="shared" si="950"/>
        <v>59539.679999999942</v>
      </c>
      <c r="AI6129" s="47"/>
      <c r="AJ6129" s="126" t="e">
        <v>#N/A</v>
      </c>
      <c r="AK6129" s="80">
        <f t="shared" si="954"/>
        <v>0</v>
      </c>
      <c r="AL6129" s="85"/>
      <c r="AM6129" s="85"/>
    </row>
    <row r="6130" spans="1:39" s="86" customFormat="1" ht="13.25" hidden="1" customHeight="1" x14ac:dyDescent="0.3">
      <c r="A6130" s="89" t="s">
        <v>3794</v>
      </c>
      <c r="B6130" s="86" t="s">
        <v>35</v>
      </c>
      <c r="C6130" s="86" t="s">
        <v>184</v>
      </c>
      <c r="D6130" s="86" t="s">
        <v>54</v>
      </c>
      <c r="E6130" s="86" t="s">
        <v>2482</v>
      </c>
      <c r="F6130" s="86" t="s">
        <v>2483</v>
      </c>
      <c r="G6130" s="86" t="s">
        <v>2482</v>
      </c>
      <c r="H6130" s="143">
        <v>237</v>
      </c>
      <c r="I6130" s="86" t="s">
        <v>2374</v>
      </c>
      <c r="J6130" s="1" t="s">
        <v>3322</v>
      </c>
      <c r="K6130" s="1" t="s">
        <v>3269</v>
      </c>
      <c r="L6130" s="1" t="s">
        <v>35</v>
      </c>
      <c r="M6130" s="86" t="s">
        <v>2482</v>
      </c>
      <c r="O6130" s="47" t="s">
        <v>45</v>
      </c>
      <c r="P6130" s="47" t="s">
        <v>41</v>
      </c>
      <c r="Q6130" s="14">
        <v>0</v>
      </c>
      <c r="R6130" s="143"/>
      <c r="S6130" s="47"/>
      <c r="T6130" s="6">
        <v>26160.120000000014</v>
      </c>
      <c r="U6130" s="6">
        <v>-26163.79</v>
      </c>
      <c r="V6130" s="6">
        <v>0</v>
      </c>
      <c r="W6130" s="6">
        <f t="shared" si="956"/>
        <v>-3.6699999999873398</v>
      </c>
      <c r="X6130" s="6">
        <f t="shared" si="949"/>
        <v>0</v>
      </c>
      <c r="Y6130" s="13">
        <f t="shared" si="952"/>
        <v>0</v>
      </c>
      <c r="Z6130" s="66">
        <v>0</v>
      </c>
      <c r="AA6130" s="6">
        <v>0</v>
      </c>
      <c r="AB6130" s="4">
        <f t="shared" si="953"/>
        <v>0</v>
      </c>
      <c r="AC6130" s="6">
        <f t="shared" si="951"/>
        <v>0</v>
      </c>
      <c r="AD6130" s="6">
        <v>0</v>
      </c>
      <c r="AE6130" s="14">
        <f>VLOOKUP(I6130,[2]媒体政策预估表!A:N,MATCH(O6130,[2]媒体政策预估表!$A$2:$M$2,0),0)</f>
        <v>7.0000000000000007E-2</v>
      </c>
      <c r="AF6130" s="6">
        <f t="shared" si="955"/>
        <v>0</v>
      </c>
      <c r="AG6130" s="14">
        <v>0</v>
      </c>
      <c r="AH6130" s="6">
        <f t="shared" si="950"/>
        <v>0</v>
      </c>
      <c r="AI6130" s="47"/>
      <c r="AJ6130" s="126" t="e">
        <v>#N/A</v>
      </c>
      <c r="AK6130" s="80">
        <f t="shared" si="954"/>
        <v>0</v>
      </c>
      <c r="AL6130" s="85"/>
      <c r="AM6130" s="85"/>
    </row>
    <row r="6131" spans="1:39" s="86" customFormat="1" ht="13.25" hidden="1" customHeight="1" x14ac:dyDescent="0.3">
      <c r="A6131" s="89" t="s">
        <v>3794</v>
      </c>
      <c r="B6131" s="86" t="s">
        <v>35</v>
      </c>
      <c r="C6131" s="86" t="s">
        <v>184</v>
      </c>
      <c r="D6131" s="86" t="s">
        <v>54</v>
      </c>
      <c r="E6131" s="86" t="s">
        <v>2482</v>
      </c>
      <c r="F6131" s="86" t="s">
        <v>2483</v>
      </c>
      <c r="G6131" s="86" t="s">
        <v>2482</v>
      </c>
      <c r="H6131" s="143">
        <v>237</v>
      </c>
      <c r="I6131" s="86" t="s">
        <v>2374</v>
      </c>
      <c r="J6131" s="1" t="s">
        <v>3322</v>
      </c>
      <c r="K6131" s="1" t="s">
        <v>3269</v>
      </c>
      <c r="L6131" s="1" t="s">
        <v>35</v>
      </c>
      <c r="M6131" s="86" t="s">
        <v>2482</v>
      </c>
      <c r="O6131" s="47" t="s">
        <v>40</v>
      </c>
      <c r="P6131" s="47" t="s">
        <v>41</v>
      </c>
      <c r="Q6131" s="14">
        <v>0</v>
      </c>
      <c r="R6131" s="143"/>
      <c r="S6131" s="47"/>
      <c r="T6131" s="6">
        <v>2747.1099999999988</v>
      </c>
      <c r="U6131" s="6">
        <v>-2747.11</v>
      </c>
      <c r="V6131" s="6">
        <v>0</v>
      </c>
      <c r="W6131" s="6">
        <f t="shared" si="956"/>
        <v>-1.3642420526593924E-12</v>
      </c>
      <c r="X6131" s="6">
        <f t="shared" si="949"/>
        <v>0</v>
      </c>
      <c r="Y6131" s="13">
        <f t="shared" si="952"/>
        <v>0</v>
      </c>
      <c r="Z6131" s="66">
        <v>0</v>
      </c>
      <c r="AA6131" s="6">
        <v>0</v>
      </c>
      <c r="AB6131" s="4">
        <f t="shared" si="953"/>
        <v>0</v>
      </c>
      <c r="AC6131" s="6">
        <f t="shared" si="951"/>
        <v>0</v>
      </c>
      <c r="AD6131" s="6">
        <v>0</v>
      </c>
      <c r="AE6131" s="14">
        <f>VLOOKUP(I6131,[2]媒体政策预估表!A:N,MATCH(O6131,[2]媒体政策预估表!$A$2:$M$2,0),0)</f>
        <v>0.09</v>
      </c>
      <c r="AF6131" s="6">
        <f t="shared" si="955"/>
        <v>0</v>
      </c>
      <c r="AG6131" s="14">
        <v>0</v>
      </c>
      <c r="AH6131" s="6">
        <f t="shared" si="950"/>
        <v>0</v>
      </c>
      <c r="AI6131" s="47"/>
      <c r="AJ6131" s="126" t="e">
        <v>#N/A</v>
      </c>
      <c r="AK6131" s="80">
        <f t="shared" si="954"/>
        <v>0</v>
      </c>
      <c r="AL6131" s="85"/>
      <c r="AM6131" s="85"/>
    </row>
    <row r="6132" spans="1:39" s="86" customFormat="1" ht="13.25" hidden="1" customHeight="1" x14ac:dyDescent="0.3">
      <c r="A6132" s="89" t="s">
        <v>3794</v>
      </c>
      <c r="B6132" s="86" t="s">
        <v>35</v>
      </c>
      <c r="C6132" s="86" t="s">
        <v>184</v>
      </c>
      <c r="D6132" s="86" t="s">
        <v>54</v>
      </c>
      <c r="E6132" s="86" t="s">
        <v>2743</v>
      </c>
      <c r="F6132" s="86" t="s">
        <v>2743</v>
      </c>
      <c r="G6132" s="86" t="s">
        <v>2743</v>
      </c>
      <c r="H6132" s="144">
        <v>237</v>
      </c>
      <c r="I6132" s="86" t="s">
        <v>2374</v>
      </c>
      <c r="J6132" s="1" t="s">
        <v>3322</v>
      </c>
      <c r="K6132" s="1" t="s">
        <v>3269</v>
      </c>
      <c r="L6132" s="1" t="s">
        <v>35</v>
      </c>
      <c r="M6132" s="86" t="s">
        <v>2744</v>
      </c>
      <c r="O6132" s="47" t="s">
        <v>45</v>
      </c>
      <c r="P6132" s="47" t="s">
        <v>46</v>
      </c>
      <c r="Q6132" s="14">
        <v>0.05</v>
      </c>
      <c r="R6132" s="143"/>
      <c r="S6132" s="47"/>
      <c r="T6132" s="6">
        <v>19360.120000000003</v>
      </c>
      <c r="U6132" s="6">
        <v>100000</v>
      </c>
      <c r="V6132" s="6">
        <v>119360.12</v>
      </c>
      <c r="W6132" s="6">
        <f t="shared" si="956"/>
        <v>0</v>
      </c>
      <c r="X6132" s="6">
        <f t="shared" si="949"/>
        <v>113676.30476190476</v>
      </c>
      <c r="Y6132" s="13">
        <f t="shared" si="952"/>
        <v>0</v>
      </c>
      <c r="Z6132" s="66">
        <v>0</v>
      </c>
      <c r="AA6132" s="6">
        <v>0</v>
      </c>
      <c r="AB6132" s="4">
        <f t="shared" si="953"/>
        <v>113676.30476190476</v>
      </c>
      <c r="AC6132" s="6">
        <f t="shared" si="951"/>
        <v>5683.8152380952379</v>
      </c>
      <c r="AD6132" s="6">
        <v>216717.60000000003</v>
      </c>
      <c r="AE6132" s="14">
        <f>VLOOKUP(I6132,[2]媒体政策预估表!A:N,MATCH(O6132,[2]媒体政策预估表!$A$2:$M$2,0),0)</f>
        <v>7.0000000000000007E-2</v>
      </c>
      <c r="AF6132" s="6">
        <f t="shared" si="955"/>
        <v>15170.232000000004</v>
      </c>
      <c r="AG6132" s="14">
        <v>0</v>
      </c>
      <c r="AH6132" s="6">
        <f t="shared" si="950"/>
        <v>119360.12</v>
      </c>
      <c r="AI6132" s="47"/>
      <c r="AJ6132" s="126" t="e">
        <v>#N/A</v>
      </c>
      <c r="AK6132" s="80">
        <f t="shared" si="954"/>
        <v>0</v>
      </c>
      <c r="AL6132" s="85"/>
      <c r="AM6132" s="85"/>
    </row>
    <row r="6133" spans="1:39" s="86" customFormat="1" ht="13.25" hidden="1" customHeight="1" x14ac:dyDescent="0.3">
      <c r="A6133" s="89" t="s">
        <v>3794</v>
      </c>
      <c r="B6133" s="86" t="s">
        <v>35</v>
      </c>
      <c r="C6133" s="86" t="s">
        <v>184</v>
      </c>
      <c r="D6133" s="86" t="s">
        <v>54</v>
      </c>
      <c r="E6133" s="86" t="s">
        <v>2743</v>
      </c>
      <c r="F6133" s="86" t="s">
        <v>2743</v>
      </c>
      <c r="G6133" s="86" t="s">
        <v>2743</v>
      </c>
      <c r="H6133" s="144">
        <v>237</v>
      </c>
      <c r="I6133" s="86" t="s">
        <v>2374</v>
      </c>
      <c r="J6133" s="1" t="s">
        <v>3322</v>
      </c>
      <c r="K6133" s="1" t="s">
        <v>3269</v>
      </c>
      <c r="L6133" s="1" t="s">
        <v>35</v>
      </c>
      <c r="M6133" s="86" t="s">
        <v>2744</v>
      </c>
      <c r="O6133" s="47" t="s">
        <v>45</v>
      </c>
      <c r="P6133" s="47" t="s">
        <v>41</v>
      </c>
      <c r="Q6133" s="14">
        <v>0</v>
      </c>
      <c r="R6133" s="143"/>
      <c r="S6133" s="47"/>
      <c r="T6133" s="6">
        <v>0</v>
      </c>
      <c r="U6133" s="6">
        <v>620000</v>
      </c>
      <c r="V6133" s="6">
        <v>97357.48000000001</v>
      </c>
      <c r="W6133" s="6">
        <f t="shared" si="956"/>
        <v>522642.52</v>
      </c>
      <c r="X6133" s="6">
        <f t="shared" si="949"/>
        <v>97357.48000000001</v>
      </c>
      <c r="Y6133" s="13">
        <f t="shared" si="952"/>
        <v>97357.48000000001</v>
      </c>
      <c r="Z6133" s="66">
        <v>0</v>
      </c>
      <c r="AA6133" s="6">
        <v>0</v>
      </c>
      <c r="AB6133" s="4">
        <f t="shared" si="953"/>
        <v>97357.48000000001</v>
      </c>
      <c r="AC6133" s="6">
        <f t="shared" si="951"/>
        <v>0</v>
      </c>
      <c r="AD6133" s="6">
        <v>0</v>
      </c>
      <c r="AE6133" s="14">
        <f>VLOOKUP(I6133,[2]媒体政策预估表!A:N,MATCH(O6133,[2]媒体政策预估表!$A$2:$M$2,0),0)</f>
        <v>7.0000000000000007E-2</v>
      </c>
      <c r="AF6133" s="6">
        <f t="shared" si="955"/>
        <v>0</v>
      </c>
      <c r="AG6133" s="14">
        <v>0</v>
      </c>
      <c r="AH6133" s="6">
        <f t="shared" si="950"/>
        <v>97357.48000000001</v>
      </c>
      <c r="AI6133" s="47"/>
      <c r="AJ6133" s="126" t="e">
        <v>#N/A</v>
      </c>
      <c r="AK6133" s="80">
        <f t="shared" si="954"/>
        <v>0</v>
      </c>
      <c r="AL6133" s="85"/>
      <c r="AM6133" s="85"/>
    </row>
    <row r="6134" spans="1:39" s="86" customFormat="1" ht="13.25" hidden="1" customHeight="1" x14ac:dyDescent="0.3">
      <c r="A6134" s="89" t="s">
        <v>3794</v>
      </c>
      <c r="B6134" s="86" t="s">
        <v>35</v>
      </c>
      <c r="C6134" s="86" t="s">
        <v>184</v>
      </c>
      <c r="D6134" s="86" t="s">
        <v>54</v>
      </c>
      <c r="E6134" s="86" t="s">
        <v>2380</v>
      </c>
      <c r="F6134" s="86" t="s">
        <v>2380</v>
      </c>
      <c r="G6134" s="86" t="s">
        <v>2380</v>
      </c>
      <c r="H6134" s="144">
        <v>237</v>
      </c>
      <c r="I6134" s="86" t="s">
        <v>2374</v>
      </c>
      <c r="J6134" s="1" t="s">
        <v>3322</v>
      </c>
      <c r="K6134" s="1" t="s">
        <v>3269</v>
      </c>
      <c r="L6134" s="1" t="s">
        <v>35</v>
      </c>
      <c r="M6134" s="86" t="s">
        <v>2381</v>
      </c>
      <c r="O6134" s="47" t="s">
        <v>45</v>
      </c>
      <c r="P6134" s="47" t="s">
        <v>46</v>
      </c>
      <c r="Q6134" s="14">
        <v>0.03</v>
      </c>
      <c r="R6134" s="143"/>
      <c r="S6134" s="47"/>
      <c r="T6134" s="6">
        <v>0</v>
      </c>
      <c r="U6134" s="6">
        <v>190000</v>
      </c>
      <c r="V6134" s="6">
        <v>89128.19</v>
      </c>
      <c r="W6134" s="6">
        <f t="shared" si="956"/>
        <v>100871.81</v>
      </c>
      <c r="X6134" s="6">
        <f t="shared" si="949"/>
        <v>86532.223300970873</v>
      </c>
      <c r="Y6134" s="13">
        <f t="shared" si="952"/>
        <v>0</v>
      </c>
      <c r="Z6134" s="66">
        <v>0</v>
      </c>
      <c r="AA6134" s="6">
        <v>0</v>
      </c>
      <c r="AB6134" s="4">
        <f t="shared" si="953"/>
        <v>86532.223300970873</v>
      </c>
      <c r="AC6134" s="6">
        <f t="shared" si="951"/>
        <v>2595.9666990291298</v>
      </c>
      <c r="AD6134" s="6">
        <v>336854.16000000009</v>
      </c>
      <c r="AE6134" s="14">
        <f>VLOOKUP(I6134,[2]媒体政策预估表!A:N,MATCH(O6134,[2]媒体政策预估表!$A$2:$M$2,0),0)</f>
        <v>7.0000000000000007E-2</v>
      </c>
      <c r="AF6134" s="6">
        <f t="shared" si="955"/>
        <v>23579.791200000007</v>
      </c>
      <c r="AG6134" s="14">
        <v>0</v>
      </c>
      <c r="AH6134" s="6">
        <f t="shared" si="950"/>
        <v>89128.19</v>
      </c>
      <c r="AI6134" s="47"/>
      <c r="AJ6134" s="126" t="e">
        <v>#N/A</v>
      </c>
      <c r="AK6134" s="80">
        <f t="shared" si="954"/>
        <v>0</v>
      </c>
      <c r="AL6134" s="85"/>
      <c r="AM6134" s="85"/>
    </row>
    <row r="6135" spans="1:39" s="86" customFormat="1" ht="13.25" hidden="1" customHeight="1" x14ac:dyDescent="0.3">
      <c r="A6135" s="89" t="s">
        <v>3794</v>
      </c>
      <c r="B6135" s="86" t="s">
        <v>35</v>
      </c>
      <c r="C6135" s="86" t="s">
        <v>184</v>
      </c>
      <c r="D6135" s="86" t="s">
        <v>54</v>
      </c>
      <c r="E6135" s="86" t="s">
        <v>2382</v>
      </c>
      <c r="F6135" s="86" t="s">
        <v>2382</v>
      </c>
      <c r="G6135" s="86" t="s">
        <v>2382</v>
      </c>
      <c r="H6135" s="144">
        <v>237</v>
      </c>
      <c r="I6135" s="86" t="s">
        <v>2374</v>
      </c>
      <c r="J6135" s="1" t="s">
        <v>3322</v>
      </c>
      <c r="K6135" s="1" t="s">
        <v>3269</v>
      </c>
      <c r="L6135" s="1" t="s">
        <v>35</v>
      </c>
      <c r="M6135" s="86" t="s">
        <v>2383</v>
      </c>
      <c r="O6135" s="47" t="s">
        <v>45</v>
      </c>
      <c r="P6135" s="47" t="s">
        <v>41</v>
      </c>
      <c r="Q6135" s="14">
        <v>0</v>
      </c>
      <c r="R6135" s="143"/>
      <c r="S6135" s="47"/>
      <c r="T6135" s="6">
        <v>11061.76999999999</v>
      </c>
      <c r="U6135" s="6">
        <v>-8417.84</v>
      </c>
      <c r="V6135" s="6">
        <v>2643.9300000000003</v>
      </c>
      <c r="W6135" s="6">
        <f t="shared" si="956"/>
        <v>-1.0913936421275139E-11</v>
      </c>
      <c r="X6135" s="6">
        <f t="shared" si="949"/>
        <v>2643.9300000000003</v>
      </c>
      <c r="Y6135" s="13">
        <f t="shared" si="952"/>
        <v>0</v>
      </c>
      <c r="Z6135" s="66">
        <v>0</v>
      </c>
      <c r="AA6135" s="6">
        <v>0</v>
      </c>
      <c r="AB6135" s="4">
        <f t="shared" si="953"/>
        <v>2643.9300000000003</v>
      </c>
      <c r="AC6135" s="6">
        <f t="shared" si="951"/>
        <v>0</v>
      </c>
      <c r="AD6135" s="6">
        <v>2643.9300000000003</v>
      </c>
      <c r="AE6135" s="14">
        <f>VLOOKUP(I6135,[2]媒体政策预估表!A:N,MATCH(O6135,[2]媒体政策预估表!$A$2:$M$2,0),0)</f>
        <v>7.0000000000000007E-2</v>
      </c>
      <c r="AF6135" s="6">
        <f t="shared" si="955"/>
        <v>185.07510000000005</v>
      </c>
      <c r="AG6135" s="14">
        <v>0</v>
      </c>
      <c r="AH6135" s="6">
        <f t="shared" si="950"/>
        <v>2643.9300000000003</v>
      </c>
      <c r="AI6135" s="47"/>
      <c r="AJ6135" s="126" t="e">
        <v>#N/A</v>
      </c>
      <c r="AK6135" s="80">
        <f t="shared" si="954"/>
        <v>0</v>
      </c>
      <c r="AL6135" s="85"/>
      <c r="AM6135" s="85"/>
    </row>
    <row r="6136" spans="1:39" s="86" customFormat="1" ht="13.25" hidden="1" customHeight="1" x14ac:dyDescent="0.3">
      <c r="A6136" s="89" t="s">
        <v>3792</v>
      </c>
      <c r="B6136" s="86" t="s">
        <v>35</v>
      </c>
      <c r="C6136" s="86" t="s">
        <v>184</v>
      </c>
      <c r="D6136" s="86" t="s">
        <v>3849</v>
      </c>
      <c r="E6136" s="86" t="s">
        <v>1349</v>
      </c>
      <c r="F6136" s="86" t="s">
        <v>2431</v>
      </c>
      <c r="G6136" s="86" t="s">
        <v>1349</v>
      </c>
      <c r="H6136" s="144">
        <v>237</v>
      </c>
      <c r="I6136" s="86" t="s">
        <v>2374</v>
      </c>
      <c r="J6136" s="1" t="s">
        <v>3322</v>
      </c>
      <c r="K6136" s="1" t="s">
        <v>3269</v>
      </c>
      <c r="L6136" s="1" t="s">
        <v>35</v>
      </c>
      <c r="M6136" s="86" t="s">
        <v>627</v>
      </c>
      <c r="O6136" s="47" t="s">
        <v>45</v>
      </c>
      <c r="P6136" s="47" t="s">
        <v>41</v>
      </c>
      <c r="Q6136" s="14">
        <v>0</v>
      </c>
      <c r="R6136" s="143"/>
      <c r="S6136" s="47"/>
      <c r="T6136" s="6">
        <v>829645.41999999911</v>
      </c>
      <c r="U6136" s="6">
        <v>1500000</v>
      </c>
      <c r="V6136" s="6">
        <v>990118.01999999955</v>
      </c>
      <c r="W6136" s="6">
        <f t="shared" si="956"/>
        <v>1339527.3999999994</v>
      </c>
      <c r="X6136" s="6">
        <f t="shared" si="949"/>
        <v>990118.01999999955</v>
      </c>
      <c r="Y6136" s="13">
        <f t="shared" si="952"/>
        <v>0</v>
      </c>
      <c r="Z6136" s="66">
        <v>0</v>
      </c>
      <c r="AA6136" s="6">
        <v>0</v>
      </c>
      <c r="AB6136" s="4">
        <f t="shared" si="953"/>
        <v>990118.01999999955</v>
      </c>
      <c r="AC6136" s="6">
        <f t="shared" si="951"/>
        <v>0</v>
      </c>
      <c r="AD6136" s="6">
        <v>990118.01999999955</v>
      </c>
      <c r="AE6136" s="14">
        <f>VLOOKUP(I6136,[2]媒体政策预估表!A:N,MATCH(O6136,[2]媒体政策预估表!$A$2:$M$2,0),0)</f>
        <v>7.0000000000000007E-2</v>
      </c>
      <c r="AF6136" s="6">
        <f t="shared" si="955"/>
        <v>69308.261399999974</v>
      </c>
      <c r="AG6136" s="14">
        <v>0</v>
      </c>
      <c r="AH6136" s="6">
        <f t="shared" si="950"/>
        <v>990118.01999999955</v>
      </c>
      <c r="AI6136" s="47"/>
      <c r="AJ6136" s="126" t="e">
        <v>#N/A</v>
      </c>
      <c r="AK6136" s="80">
        <f t="shared" si="954"/>
        <v>0</v>
      </c>
      <c r="AL6136" s="85"/>
      <c r="AM6136" s="85"/>
    </row>
    <row r="6137" spans="1:39" s="86" customFormat="1" ht="13.25" hidden="1" customHeight="1" x14ac:dyDescent="0.3">
      <c r="A6137" s="89" t="s">
        <v>3792</v>
      </c>
      <c r="B6137" s="86" t="s">
        <v>35</v>
      </c>
      <c r="C6137" s="86" t="s">
        <v>184</v>
      </c>
      <c r="D6137" s="86" t="s">
        <v>3849</v>
      </c>
      <c r="E6137" s="86" t="s">
        <v>2429</v>
      </c>
      <c r="F6137" s="86" t="s">
        <v>2429</v>
      </c>
      <c r="G6137" s="86" t="s">
        <v>2429</v>
      </c>
      <c r="H6137" s="144">
        <v>237</v>
      </c>
      <c r="I6137" s="86" t="s">
        <v>2374</v>
      </c>
      <c r="J6137" s="1" t="s">
        <v>3322</v>
      </c>
      <c r="K6137" s="1" t="s">
        <v>3269</v>
      </c>
      <c r="L6137" s="1" t="s">
        <v>35</v>
      </c>
      <c r="M6137" s="86" t="s">
        <v>2430</v>
      </c>
      <c r="O6137" s="47" t="s">
        <v>45</v>
      </c>
      <c r="P6137" s="47" t="s">
        <v>41</v>
      </c>
      <c r="Q6137" s="14">
        <v>0</v>
      </c>
      <c r="R6137" s="143"/>
      <c r="S6137" s="47"/>
      <c r="T6137" s="6">
        <v>0</v>
      </c>
      <c r="U6137" s="6">
        <v>300000</v>
      </c>
      <c r="V6137" s="6">
        <v>55096.990000000049</v>
      </c>
      <c r="W6137" s="6">
        <f t="shared" si="956"/>
        <v>244903.00999999995</v>
      </c>
      <c r="X6137" s="6">
        <f t="shared" si="949"/>
        <v>55096.990000000049</v>
      </c>
      <c r="Y6137" s="13">
        <f t="shared" si="952"/>
        <v>0</v>
      </c>
      <c r="Z6137" s="66">
        <v>0</v>
      </c>
      <c r="AA6137" s="6">
        <v>0</v>
      </c>
      <c r="AB6137" s="4">
        <f t="shared" si="953"/>
        <v>55096.990000000049</v>
      </c>
      <c r="AC6137" s="6">
        <f t="shared" si="951"/>
        <v>0</v>
      </c>
      <c r="AD6137" s="6">
        <v>168507.19</v>
      </c>
      <c r="AE6137" s="14">
        <f>VLOOKUP(I6137,[2]媒体政策预估表!A:N,MATCH(O6137,[2]媒体政策预估表!$A$2:$M$2,0),0)</f>
        <v>7.0000000000000007E-2</v>
      </c>
      <c r="AF6137" s="6">
        <f t="shared" si="955"/>
        <v>11795.503300000002</v>
      </c>
      <c r="AG6137" s="14">
        <v>0</v>
      </c>
      <c r="AH6137" s="6">
        <f t="shared" si="950"/>
        <v>55096.990000000049</v>
      </c>
      <c r="AI6137" s="47"/>
      <c r="AJ6137" s="126" t="e">
        <v>#N/A</v>
      </c>
      <c r="AK6137" s="80">
        <f t="shared" si="954"/>
        <v>0</v>
      </c>
      <c r="AL6137" s="85"/>
      <c r="AM6137" s="85"/>
    </row>
    <row r="6138" spans="1:39" s="86" customFormat="1" ht="13.25" hidden="1" customHeight="1" x14ac:dyDescent="0.3">
      <c r="A6138" s="89" t="s">
        <v>3794</v>
      </c>
      <c r="B6138" s="86" t="s">
        <v>35</v>
      </c>
      <c r="C6138" s="86" t="s">
        <v>184</v>
      </c>
      <c r="D6138" s="86" t="s">
        <v>3849</v>
      </c>
      <c r="E6138" s="86" t="s">
        <v>2503</v>
      </c>
      <c r="F6138" s="86" t="s">
        <v>2503</v>
      </c>
      <c r="G6138" s="86" t="s">
        <v>2503</v>
      </c>
      <c r="H6138" s="144">
        <v>237</v>
      </c>
      <c r="I6138" s="86" t="s">
        <v>2374</v>
      </c>
      <c r="J6138" s="1" t="s">
        <v>3322</v>
      </c>
      <c r="K6138" s="1" t="s">
        <v>3269</v>
      </c>
      <c r="L6138" s="1" t="s">
        <v>35</v>
      </c>
      <c r="M6138" s="86" t="s">
        <v>2503</v>
      </c>
      <c r="O6138" s="47" t="s">
        <v>45</v>
      </c>
      <c r="P6138" s="47" t="s">
        <v>46</v>
      </c>
      <c r="Q6138" s="14">
        <v>1.4999999999999999E-2</v>
      </c>
      <c r="R6138" s="143"/>
      <c r="S6138" s="47"/>
      <c r="T6138" s="6">
        <v>0</v>
      </c>
      <c r="U6138" s="6">
        <v>50000</v>
      </c>
      <c r="V6138" s="6">
        <v>6084.0999999999549</v>
      </c>
      <c r="W6138" s="6">
        <f t="shared" si="956"/>
        <v>43915.900000000045</v>
      </c>
      <c r="X6138" s="6">
        <f t="shared" si="949"/>
        <v>5994.1871921181828</v>
      </c>
      <c r="Y6138" s="13">
        <f t="shared" si="952"/>
        <v>0</v>
      </c>
      <c r="Z6138" s="66">
        <v>0</v>
      </c>
      <c r="AA6138" s="6">
        <v>0</v>
      </c>
      <c r="AB6138" s="4">
        <f t="shared" si="953"/>
        <v>5994.1871921181828</v>
      </c>
      <c r="AC6138" s="6">
        <f t="shared" si="951"/>
        <v>89.912807881772096</v>
      </c>
      <c r="AD6138" s="6">
        <v>21933.63</v>
      </c>
      <c r="AE6138" s="14">
        <f>VLOOKUP(I6138,[2]媒体政策预估表!A:N,MATCH(O6138,[2]媒体政策预估表!$A$2:$M$2,0),0)</f>
        <v>7.0000000000000007E-2</v>
      </c>
      <c r="AF6138" s="6">
        <f t="shared" si="955"/>
        <v>1535.3541000000002</v>
      </c>
      <c r="AG6138" s="14">
        <v>0</v>
      </c>
      <c r="AH6138" s="6">
        <f t="shared" si="950"/>
        <v>6084.0999999999549</v>
      </c>
      <c r="AI6138" s="47"/>
      <c r="AJ6138" s="126" t="e">
        <v>#N/A</v>
      </c>
      <c r="AK6138" s="80">
        <f t="shared" si="954"/>
        <v>0</v>
      </c>
      <c r="AL6138" s="85"/>
      <c r="AM6138" s="85"/>
    </row>
    <row r="6139" spans="1:39" s="86" customFormat="1" ht="13.25" hidden="1" customHeight="1" x14ac:dyDescent="0.3">
      <c r="A6139" s="89" t="s">
        <v>3794</v>
      </c>
      <c r="B6139" s="86" t="s">
        <v>35</v>
      </c>
      <c r="C6139" s="86" t="s">
        <v>184</v>
      </c>
      <c r="D6139" s="86" t="s">
        <v>3849</v>
      </c>
      <c r="E6139" s="86" t="s">
        <v>3417</v>
      </c>
      <c r="F6139" s="86" t="s">
        <v>3417</v>
      </c>
      <c r="G6139" s="86" t="s">
        <v>3417</v>
      </c>
      <c r="H6139" s="144">
        <v>237</v>
      </c>
      <c r="I6139" s="86" t="s">
        <v>2374</v>
      </c>
      <c r="J6139" s="1" t="s">
        <v>3322</v>
      </c>
      <c r="K6139" s="1" t="s">
        <v>3269</v>
      </c>
      <c r="L6139" s="1" t="s">
        <v>35</v>
      </c>
      <c r="M6139" s="86" t="s">
        <v>919</v>
      </c>
      <c r="O6139" s="47" t="s">
        <v>45</v>
      </c>
      <c r="P6139" s="47" t="s">
        <v>41</v>
      </c>
      <c r="Q6139" s="14">
        <v>0</v>
      </c>
      <c r="R6139" s="143"/>
      <c r="S6139" s="47"/>
      <c r="T6139" s="6">
        <v>178435.38</v>
      </c>
      <c r="U6139" s="6">
        <v>2900000</v>
      </c>
      <c r="V6139" s="6">
        <v>1909447.3399999999</v>
      </c>
      <c r="W6139" s="6">
        <f t="shared" si="956"/>
        <v>1168988.04</v>
      </c>
      <c r="X6139" s="6">
        <f t="shared" si="949"/>
        <v>1909447.3399999999</v>
      </c>
      <c r="Y6139" s="13">
        <f t="shared" si="952"/>
        <v>0</v>
      </c>
      <c r="Z6139" s="66">
        <v>0</v>
      </c>
      <c r="AA6139" s="6">
        <v>0</v>
      </c>
      <c r="AB6139" s="4">
        <f t="shared" si="953"/>
        <v>1909447.3399999999</v>
      </c>
      <c r="AC6139" s="6">
        <f t="shared" si="951"/>
        <v>0</v>
      </c>
      <c r="AD6139" s="6">
        <v>1909447.3399999999</v>
      </c>
      <c r="AE6139" s="14">
        <f>VLOOKUP(I6139,[2]媒体政策预估表!A:N,MATCH(O6139,[2]媒体政策预估表!$A$2:$M$2,0),0)</f>
        <v>7.0000000000000007E-2</v>
      </c>
      <c r="AF6139" s="6">
        <f t="shared" si="955"/>
        <v>133661.3138</v>
      </c>
      <c r="AG6139" s="14">
        <v>0</v>
      </c>
      <c r="AH6139" s="6">
        <f t="shared" si="950"/>
        <v>1909447.3399999999</v>
      </c>
      <c r="AI6139" s="47"/>
      <c r="AJ6139" s="126" t="e">
        <v>#N/A</v>
      </c>
      <c r="AK6139" s="80">
        <f t="shared" si="954"/>
        <v>0</v>
      </c>
      <c r="AL6139" s="85"/>
      <c r="AM6139" s="85"/>
    </row>
    <row r="6140" spans="1:39" s="86" customFormat="1" ht="13.25" hidden="1" customHeight="1" x14ac:dyDescent="0.3">
      <c r="A6140" s="89" t="s">
        <v>3792</v>
      </c>
      <c r="B6140" s="86" t="s">
        <v>35</v>
      </c>
      <c r="C6140" s="86" t="s">
        <v>184</v>
      </c>
      <c r="D6140" s="86" t="s">
        <v>3849</v>
      </c>
      <c r="E6140" s="86" t="s">
        <v>3417</v>
      </c>
      <c r="F6140" s="86" t="s">
        <v>3417</v>
      </c>
      <c r="G6140" s="86" t="s">
        <v>3417</v>
      </c>
      <c r="H6140" s="144">
        <v>237</v>
      </c>
      <c r="I6140" s="86" t="s">
        <v>2374</v>
      </c>
      <c r="J6140" s="1" t="s">
        <v>3322</v>
      </c>
      <c r="K6140" s="1" t="s">
        <v>3269</v>
      </c>
      <c r="L6140" s="1" t="s">
        <v>35</v>
      </c>
      <c r="M6140" s="86" t="s">
        <v>919</v>
      </c>
      <c r="O6140" s="47" t="s">
        <v>40</v>
      </c>
      <c r="P6140" s="47" t="s">
        <v>41</v>
      </c>
      <c r="Q6140" s="14">
        <v>0</v>
      </c>
      <c r="R6140" s="143"/>
      <c r="S6140" s="47"/>
      <c r="T6140" s="6">
        <v>125291.32</v>
      </c>
      <c r="U6140" s="6">
        <v>2200000</v>
      </c>
      <c r="V6140" s="6">
        <v>1391628.44</v>
      </c>
      <c r="W6140" s="6">
        <f t="shared" si="956"/>
        <v>933662.87999999989</v>
      </c>
      <c r="X6140" s="6">
        <f t="shared" ref="X6140:X6203" si="957">IF(P6140="折扣",V6140*Q6140,IF(P6140="返现",V6140,V6140/(1+Q6140+AG6140)))</f>
        <v>1391628.44</v>
      </c>
      <c r="Y6140" s="13">
        <f t="shared" si="952"/>
        <v>0</v>
      </c>
      <c r="Z6140" s="66">
        <v>0</v>
      </c>
      <c r="AA6140" s="6">
        <v>0</v>
      </c>
      <c r="AB6140" s="4">
        <f t="shared" si="953"/>
        <v>1391628.44</v>
      </c>
      <c r="AC6140" s="6">
        <f t="shared" si="951"/>
        <v>0</v>
      </c>
      <c r="AD6140" s="6">
        <v>1391628.44</v>
      </c>
      <c r="AE6140" s="14">
        <f>VLOOKUP(I6140,[2]媒体政策预估表!A:N,MATCH(O6140,[2]媒体政策预估表!$A$2:$M$2,0),0)</f>
        <v>0.09</v>
      </c>
      <c r="AF6140" s="6">
        <f t="shared" si="955"/>
        <v>125246.55959999999</v>
      </c>
      <c r="AG6140" s="14">
        <v>0</v>
      </c>
      <c r="AH6140" s="6">
        <f t="shared" ref="AH6140:AH6203" si="958">V6140/(1+AG6140)</f>
        <v>1391628.44</v>
      </c>
      <c r="AI6140" s="47"/>
      <c r="AJ6140" s="126" t="e">
        <v>#N/A</v>
      </c>
      <c r="AK6140" s="80">
        <f t="shared" si="954"/>
        <v>0</v>
      </c>
      <c r="AL6140" s="85"/>
      <c r="AM6140" s="85"/>
    </row>
    <row r="6141" spans="1:39" s="86" customFormat="1" ht="13.25" hidden="1" customHeight="1" x14ac:dyDescent="0.3">
      <c r="A6141" s="89" t="s">
        <v>3792</v>
      </c>
      <c r="B6141" s="86" t="s">
        <v>35</v>
      </c>
      <c r="C6141" s="86" t="s">
        <v>187</v>
      </c>
      <c r="D6141" s="86" t="s">
        <v>188</v>
      </c>
      <c r="E6141" s="86" t="s">
        <v>2437</v>
      </c>
      <c r="F6141" s="86" t="s">
        <v>2437</v>
      </c>
      <c r="G6141" s="86" t="s">
        <v>2437</v>
      </c>
      <c r="H6141" s="144">
        <v>237</v>
      </c>
      <c r="I6141" s="86" t="s">
        <v>2374</v>
      </c>
      <c r="J6141" s="1" t="s">
        <v>3322</v>
      </c>
      <c r="K6141" s="1" t="s">
        <v>3269</v>
      </c>
      <c r="L6141" s="1" t="s">
        <v>35</v>
      </c>
      <c r="M6141" s="86" t="s">
        <v>3897</v>
      </c>
      <c r="O6141" s="47" t="s">
        <v>40</v>
      </c>
      <c r="P6141" s="47" t="s">
        <v>46</v>
      </c>
      <c r="Q6141" s="14">
        <v>0.02</v>
      </c>
      <c r="R6141" s="143"/>
      <c r="S6141" s="47"/>
      <c r="T6141" s="6">
        <v>0</v>
      </c>
      <c r="U6141" s="6">
        <v>283999.99599999998</v>
      </c>
      <c r="V6141" s="6">
        <v>126479.44</v>
      </c>
      <c r="W6141" s="6">
        <f t="shared" si="956"/>
        <v>157520.55599999998</v>
      </c>
      <c r="X6141" s="6">
        <f t="shared" si="957"/>
        <v>89070.028169014084</v>
      </c>
      <c r="Y6141" s="13">
        <f t="shared" si="952"/>
        <v>0</v>
      </c>
      <c r="Z6141" s="66">
        <v>0</v>
      </c>
      <c r="AA6141" s="6">
        <v>0</v>
      </c>
      <c r="AB6141" s="4">
        <f t="shared" si="953"/>
        <v>89070.028169014084</v>
      </c>
      <c r="AC6141" s="6">
        <f t="shared" si="951"/>
        <v>37409.411830985919</v>
      </c>
      <c r="AD6141" s="6">
        <v>90332.74</v>
      </c>
      <c r="AE6141" s="14">
        <f>VLOOKUP(I6141,[2]媒体政策预估表!A:N,MATCH(O6141,[2]媒体政策预估表!$A$2:$M$2,0),0)</f>
        <v>0.09</v>
      </c>
      <c r="AF6141" s="6">
        <f t="shared" si="955"/>
        <v>8129.9466000000002</v>
      </c>
      <c r="AG6141" s="14">
        <v>0.4</v>
      </c>
      <c r="AH6141" s="6">
        <f t="shared" si="958"/>
        <v>90342.457142857151</v>
      </c>
      <c r="AI6141" s="47"/>
      <c r="AJ6141" s="126" t="e">
        <v>#N/A</v>
      </c>
      <c r="AK6141" s="80">
        <f t="shared" si="954"/>
        <v>0</v>
      </c>
      <c r="AL6141" s="85"/>
      <c r="AM6141" s="85"/>
    </row>
    <row r="6142" spans="1:39" s="86" customFormat="1" ht="13.25" hidden="1" customHeight="1" x14ac:dyDescent="0.3">
      <c r="A6142" s="89" t="s">
        <v>3792</v>
      </c>
      <c r="B6142" s="86" t="s">
        <v>35</v>
      </c>
      <c r="C6142" s="86" t="s">
        <v>187</v>
      </c>
      <c r="D6142" s="86" t="s">
        <v>188</v>
      </c>
      <c r="E6142" s="86" t="s">
        <v>2438</v>
      </c>
      <c r="F6142" s="86" t="s">
        <v>2438</v>
      </c>
      <c r="G6142" s="86" t="s">
        <v>2438</v>
      </c>
      <c r="H6142" s="143">
        <v>237</v>
      </c>
      <c r="I6142" s="86" t="s">
        <v>2374</v>
      </c>
      <c r="J6142" s="1" t="s">
        <v>3322</v>
      </c>
      <c r="K6142" s="1" t="s">
        <v>3269</v>
      </c>
      <c r="L6142" s="1" t="s">
        <v>35</v>
      </c>
      <c r="M6142" s="86" t="s">
        <v>2438</v>
      </c>
      <c r="O6142" s="47" t="s">
        <v>45</v>
      </c>
      <c r="P6142" s="47" t="s">
        <v>46</v>
      </c>
      <c r="Q6142" s="14">
        <v>0.08</v>
      </c>
      <c r="R6142" s="143"/>
      <c r="S6142" s="47"/>
      <c r="T6142" s="6">
        <v>136109.06239343219</v>
      </c>
      <c r="U6142" s="6">
        <v>-70747.3891</v>
      </c>
      <c r="V6142" s="6">
        <v>0</v>
      </c>
      <c r="W6142" s="6">
        <f t="shared" si="956"/>
        <v>65361.673293432192</v>
      </c>
      <c r="X6142" s="6">
        <f t="shared" si="957"/>
        <v>0</v>
      </c>
      <c r="Y6142" s="13">
        <f t="shared" si="952"/>
        <v>0</v>
      </c>
      <c r="Z6142" s="66">
        <v>0</v>
      </c>
      <c r="AA6142" s="6">
        <v>0</v>
      </c>
      <c r="AB6142" s="4">
        <f t="shared" si="953"/>
        <v>0</v>
      </c>
      <c r="AC6142" s="6">
        <f t="shared" ref="AC6142:AC6205" si="959">IF(P6142="返现",X6142*Q6142,V6142-X6142)</f>
        <v>0</v>
      </c>
      <c r="AD6142" s="6">
        <v>0</v>
      </c>
      <c r="AE6142" s="14">
        <f>VLOOKUP(I6142,[2]媒体政策预估表!A:N,MATCH(O6142,[2]媒体政策预估表!$A$2:$M$2,0),0)</f>
        <v>7.0000000000000007E-2</v>
      </c>
      <c r="AF6142" s="6">
        <f t="shared" si="955"/>
        <v>0</v>
      </c>
      <c r="AG6142" s="14">
        <v>0.37</v>
      </c>
      <c r="AH6142" s="6">
        <f t="shared" si="958"/>
        <v>0</v>
      </c>
      <c r="AI6142" s="47"/>
      <c r="AJ6142" s="126" t="e">
        <v>#N/A</v>
      </c>
      <c r="AK6142" s="80">
        <f t="shared" si="954"/>
        <v>0</v>
      </c>
      <c r="AL6142" s="85"/>
      <c r="AM6142" s="85"/>
    </row>
    <row r="6143" spans="1:39" s="86" customFormat="1" ht="13.25" hidden="1" customHeight="1" x14ac:dyDescent="0.3">
      <c r="A6143" s="89" t="s">
        <v>3794</v>
      </c>
      <c r="B6143" s="86" t="s">
        <v>35</v>
      </c>
      <c r="C6143" s="86" t="s">
        <v>187</v>
      </c>
      <c r="D6143" s="86" t="s">
        <v>188</v>
      </c>
      <c r="E6143" s="86" t="s">
        <v>2438</v>
      </c>
      <c r="F6143" s="86" t="s">
        <v>2438</v>
      </c>
      <c r="G6143" s="86" t="s">
        <v>2438</v>
      </c>
      <c r="H6143" s="144">
        <v>237</v>
      </c>
      <c r="I6143" s="86" t="s">
        <v>2374</v>
      </c>
      <c r="J6143" s="1" t="s">
        <v>3322</v>
      </c>
      <c r="K6143" s="1" t="s">
        <v>3269</v>
      </c>
      <c r="L6143" s="1" t="s">
        <v>35</v>
      </c>
      <c r="M6143" s="86" t="s">
        <v>2438</v>
      </c>
      <c r="O6143" s="47" t="s">
        <v>40</v>
      </c>
      <c r="P6143" s="47" t="s">
        <v>46</v>
      </c>
      <c r="Q6143" s="14">
        <v>0.08</v>
      </c>
      <c r="R6143" s="143"/>
      <c r="S6143" s="47"/>
      <c r="T6143" s="6">
        <v>5347590.380199993</v>
      </c>
      <c r="U6143" s="6">
        <v>961999.99</v>
      </c>
      <c r="V6143" s="6">
        <v>4296467.2500000028</v>
      </c>
      <c r="W6143" s="6">
        <f t="shared" si="956"/>
        <v>2013123.1201999905</v>
      </c>
      <c r="X6143" s="6">
        <f t="shared" si="957"/>
        <v>2903018.4121621642</v>
      </c>
      <c r="Y6143" s="13">
        <f t="shared" si="952"/>
        <v>0</v>
      </c>
      <c r="Z6143" s="66">
        <v>0</v>
      </c>
      <c r="AA6143" s="6">
        <v>0</v>
      </c>
      <c r="AB6143" s="4">
        <f t="shared" si="953"/>
        <v>2903018.4121621642</v>
      </c>
      <c r="AC6143" s="6">
        <f t="shared" si="959"/>
        <v>1393448.8378378386</v>
      </c>
      <c r="AD6143" s="6">
        <v>3070976.88</v>
      </c>
      <c r="AE6143" s="14">
        <f>VLOOKUP(I6143,[2]媒体政策预估表!A:N,MATCH(O6143,[2]媒体政策预估表!$A$2:$M$2,0),0)</f>
        <v>0.09</v>
      </c>
      <c r="AF6143" s="6">
        <f t="shared" si="955"/>
        <v>276387.9192</v>
      </c>
      <c r="AG6143" s="14">
        <v>0.4</v>
      </c>
      <c r="AH6143" s="6">
        <f t="shared" si="958"/>
        <v>3068905.178571431</v>
      </c>
      <c r="AI6143" s="47"/>
      <c r="AJ6143" s="126" t="e">
        <v>#N/A</v>
      </c>
      <c r="AK6143" s="80">
        <f t="shared" si="954"/>
        <v>0</v>
      </c>
      <c r="AL6143" s="85"/>
      <c r="AM6143" s="85"/>
    </row>
    <row r="6144" spans="1:39" s="86" customFormat="1" ht="13.25" hidden="1" customHeight="1" x14ac:dyDescent="0.3">
      <c r="A6144" s="89" t="s">
        <v>3794</v>
      </c>
      <c r="B6144" s="86" t="s">
        <v>35</v>
      </c>
      <c r="C6144" s="86" t="s">
        <v>187</v>
      </c>
      <c r="D6144" s="86" t="s">
        <v>188</v>
      </c>
      <c r="E6144" s="86" t="s">
        <v>3898</v>
      </c>
      <c r="F6144" s="86" t="s">
        <v>3899</v>
      </c>
      <c r="G6144" s="86" t="s">
        <v>3898</v>
      </c>
      <c r="H6144" s="143">
        <v>237</v>
      </c>
      <c r="I6144" s="86" t="s">
        <v>2374</v>
      </c>
      <c r="J6144" s="1" t="s">
        <v>3322</v>
      </c>
      <c r="K6144" s="1" t="s">
        <v>3269</v>
      </c>
      <c r="L6144" s="1" t="s">
        <v>35</v>
      </c>
      <c r="M6144" s="86" t="s">
        <v>3900</v>
      </c>
      <c r="O6144" s="47" t="s">
        <v>45</v>
      </c>
      <c r="P6144" s="47" t="s">
        <v>46</v>
      </c>
      <c r="Q6144" s="14">
        <v>7.8E-2</v>
      </c>
      <c r="R6144" s="143"/>
      <c r="S6144" s="47"/>
      <c r="T6144" s="6">
        <v>0</v>
      </c>
      <c r="U6144" s="6">
        <v>24999.996000000003</v>
      </c>
      <c r="V6144" s="6">
        <v>0</v>
      </c>
      <c r="W6144" s="6">
        <f t="shared" si="956"/>
        <v>24999.996000000003</v>
      </c>
      <c r="X6144" s="6">
        <f t="shared" si="957"/>
        <v>0</v>
      </c>
      <c r="Y6144" s="13">
        <f t="shared" si="952"/>
        <v>0</v>
      </c>
      <c r="Z6144" s="66">
        <v>0</v>
      </c>
      <c r="AA6144" s="6">
        <v>0</v>
      </c>
      <c r="AB6144" s="4">
        <f t="shared" si="953"/>
        <v>0</v>
      </c>
      <c r="AC6144" s="6">
        <f t="shared" si="959"/>
        <v>0</v>
      </c>
      <c r="AD6144" s="6">
        <v>0</v>
      </c>
      <c r="AE6144" s="14">
        <f>VLOOKUP(I6144,[2]媒体政策预估表!A:N,MATCH(O6144,[2]媒体政策预估表!$A$2:$M$2,0),0)</f>
        <v>7.0000000000000007E-2</v>
      </c>
      <c r="AF6144" s="6">
        <f t="shared" si="955"/>
        <v>0</v>
      </c>
      <c r="AG6144" s="14">
        <v>0.2</v>
      </c>
      <c r="AH6144" s="6">
        <f t="shared" si="958"/>
        <v>0</v>
      </c>
      <c r="AI6144" s="47"/>
      <c r="AJ6144" s="126" t="e">
        <v>#N/A</v>
      </c>
      <c r="AK6144" s="80">
        <f t="shared" si="954"/>
        <v>0</v>
      </c>
      <c r="AL6144" s="85"/>
      <c r="AM6144" s="85"/>
    </row>
    <row r="6145" spans="1:39" s="86" customFormat="1" ht="13.25" hidden="1" customHeight="1" x14ac:dyDescent="0.3">
      <c r="A6145" s="89" t="s">
        <v>3794</v>
      </c>
      <c r="B6145" s="86" t="s">
        <v>35</v>
      </c>
      <c r="C6145" s="86" t="s">
        <v>187</v>
      </c>
      <c r="D6145" s="86" t="s">
        <v>188</v>
      </c>
      <c r="E6145" s="86" t="s">
        <v>3898</v>
      </c>
      <c r="F6145" s="86" t="s">
        <v>3899</v>
      </c>
      <c r="G6145" s="86" t="s">
        <v>3898</v>
      </c>
      <c r="H6145" s="144">
        <v>237</v>
      </c>
      <c r="I6145" s="86" t="s">
        <v>2374</v>
      </c>
      <c r="J6145" s="1" t="s">
        <v>3322</v>
      </c>
      <c r="K6145" s="1" t="s">
        <v>3269</v>
      </c>
      <c r="L6145" s="1" t="s">
        <v>35</v>
      </c>
      <c r="M6145" s="86" t="s">
        <v>3900</v>
      </c>
      <c r="O6145" s="47" t="s">
        <v>40</v>
      </c>
      <c r="P6145" s="47" t="s">
        <v>41</v>
      </c>
      <c r="Q6145" s="14">
        <v>0</v>
      </c>
      <c r="R6145" s="143"/>
      <c r="S6145" s="47"/>
      <c r="T6145" s="6">
        <v>0</v>
      </c>
      <c r="U6145" s="6">
        <v>250000</v>
      </c>
      <c r="V6145" s="6">
        <v>14164.01</v>
      </c>
      <c r="W6145" s="6">
        <f t="shared" si="956"/>
        <v>235835.99</v>
      </c>
      <c r="X6145" s="6">
        <f t="shared" si="957"/>
        <v>14164.01</v>
      </c>
      <c r="Y6145" s="13">
        <f t="shared" si="952"/>
        <v>0</v>
      </c>
      <c r="Z6145" s="66">
        <v>0</v>
      </c>
      <c r="AA6145" s="6">
        <v>0</v>
      </c>
      <c r="AB6145" s="4">
        <f t="shared" si="953"/>
        <v>14164.01</v>
      </c>
      <c r="AC6145" s="6">
        <f t="shared" si="959"/>
        <v>0</v>
      </c>
      <c r="AD6145" s="6">
        <v>14164.01</v>
      </c>
      <c r="AE6145" s="14">
        <f>VLOOKUP(I6145,[2]媒体政策预估表!A:N,MATCH(O6145,[2]媒体政策预估表!$A$2:$M$2,0),0)</f>
        <v>0.09</v>
      </c>
      <c r="AF6145" s="6">
        <f t="shared" si="955"/>
        <v>1274.7609</v>
      </c>
      <c r="AG6145" s="14">
        <v>0</v>
      </c>
      <c r="AH6145" s="6">
        <f t="shared" si="958"/>
        <v>14164.01</v>
      </c>
      <c r="AI6145" s="47"/>
      <c r="AJ6145" s="126" t="e">
        <v>#N/A</v>
      </c>
      <c r="AK6145" s="80">
        <f t="shared" si="954"/>
        <v>0</v>
      </c>
      <c r="AL6145" s="85"/>
      <c r="AM6145" s="85"/>
    </row>
    <row r="6146" spans="1:39" s="86" customFormat="1" ht="13.25" hidden="1" customHeight="1" x14ac:dyDescent="0.3">
      <c r="A6146" s="89" t="s">
        <v>3794</v>
      </c>
      <c r="B6146" s="86" t="s">
        <v>35</v>
      </c>
      <c r="C6146" s="86" t="s">
        <v>187</v>
      </c>
      <c r="D6146" s="86" t="s">
        <v>188</v>
      </c>
      <c r="E6146" s="86" t="s">
        <v>199</v>
      </c>
      <c r="F6146" s="86" t="s">
        <v>199</v>
      </c>
      <c r="G6146" s="86" t="s">
        <v>199</v>
      </c>
      <c r="H6146" s="144">
        <v>237</v>
      </c>
      <c r="I6146" s="86" t="s">
        <v>2374</v>
      </c>
      <c r="J6146" s="1" t="s">
        <v>3322</v>
      </c>
      <c r="K6146" s="1" t="s">
        <v>3269</v>
      </c>
      <c r="L6146" s="1" t="s">
        <v>35</v>
      </c>
      <c r="M6146" s="86" t="s">
        <v>2438</v>
      </c>
      <c r="O6146" s="47" t="s">
        <v>45</v>
      </c>
      <c r="P6146" s="47" t="s">
        <v>46</v>
      </c>
      <c r="Q6146" s="14">
        <v>7.0000000000000007E-2</v>
      </c>
      <c r="R6146" s="143"/>
      <c r="S6146" s="47"/>
      <c r="T6146" s="6">
        <v>133793.61639999982</v>
      </c>
      <c r="U6146" s="6">
        <v>-25040.832599999994</v>
      </c>
      <c r="V6146" s="6">
        <v>106310.51</v>
      </c>
      <c r="W6146" s="6">
        <f t="shared" si="956"/>
        <v>2442.2737999998353</v>
      </c>
      <c r="X6146" s="6">
        <f t="shared" si="957"/>
        <v>73826.743055555547</v>
      </c>
      <c r="Y6146" s="13">
        <f t="shared" si="952"/>
        <v>0</v>
      </c>
      <c r="Z6146" s="66">
        <v>0</v>
      </c>
      <c r="AA6146" s="6">
        <v>0</v>
      </c>
      <c r="AB6146" s="4">
        <f t="shared" si="953"/>
        <v>73826.743055555547</v>
      </c>
      <c r="AC6146" s="6">
        <f t="shared" si="959"/>
        <v>32483.766944444447</v>
      </c>
      <c r="AD6146" s="6">
        <v>77598.920000000013</v>
      </c>
      <c r="AE6146" s="14">
        <f>VLOOKUP(I6146,[2]媒体政策预估表!A:N,MATCH(O6146,[2]媒体政策预估表!$A$2:$M$2,0),0)</f>
        <v>7.0000000000000007E-2</v>
      </c>
      <c r="AF6146" s="6">
        <f t="shared" si="955"/>
        <v>5431.9244000000017</v>
      </c>
      <c r="AG6146" s="14">
        <v>0.37</v>
      </c>
      <c r="AH6146" s="6">
        <f t="shared" si="958"/>
        <v>77598.912408759119</v>
      </c>
      <c r="AI6146" s="47"/>
      <c r="AJ6146" s="126" t="e">
        <v>#N/A</v>
      </c>
      <c r="AK6146" s="80">
        <f t="shared" si="954"/>
        <v>0</v>
      </c>
      <c r="AL6146" s="85"/>
      <c r="AM6146" s="85"/>
    </row>
    <row r="6147" spans="1:39" s="86" customFormat="1" ht="13.25" hidden="1" customHeight="1" x14ac:dyDescent="0.3">
      <c r="A6147" s="89" t="s">
        <v>3792</v>
      </c>
      <c r="B6147" s="86" t="s">
        <v>35</v>
      </c>
      <c r="C6147" s="86" t="s">
        <v>187</v>
      </c>
      <c r="D6147" s="86" t="s">
        <v>188</v>
      </c>
      <c r="E6147" s="86" t="s">
        <v>199</v>
      </c>
      <c r="F6147" s="86" t="s">
        <v>199</v>
      </c>
      <c r="G6147" s="86" t="s">
        <v>199</v>
      </c>
      <c r="H6147" s="144">
        <v>237</v>
      </c>
      <c r="I6147" s="86" t="s">
        <v>2374</v>
      </c>
      <c r="J6147" s="1" t="s">
        <v>3322</v>
      </c>
      <c r="K6147" s="1" t="s">
        <v>3269</v>
      </c>
      <c r="L6147" s="1" t="s">
        <v>35</v>
      </c>
      <c r="M6147" s="86" t="s">
        <v>2438</v>
      </c>
      <c r="O6147" s="47" t="s">
        <v>40</v>
      </c>
      <c r="P6147" s="47" t="s">
        <v>46</v>
      </c>
      <c r="Q6147" s="14">
        <v>0.08</v>
      </c>
      <c r="R6147" s="143"/>
      <c r="S6147" s="47"/>
      <c r="T6147" s="6">
        <v>555645.49734913372</v>
      </c>
      <c r="U6147" s="6">
        <v>568045.00200000009</v>
      </c>
      <c r="V6147" s="6">
        <v>1404196.0999999999</v>
      </c>
      <c r="W6147" s="6">
        <f t="shared" si="956"/>
        <v>-280505.60065086605</v>
      </c>
      <c r="X6147" s="6">
        <f t="shared" si="957"/>
        <v>948781.14864864852</v>
      </c>
      <c r="Y6147" s="13">
        <f t="shared" ref="Y6147:Y6210" si="960">IF(X6147-AD6147&lt;=0,0,IF(P6147="返现",MAX(X6147-AC6147-AD6147,0),MAX(X6147-AD6147)))</f>
        <v>0</v>
      </c>
      <c r="Z6147" s="66">
        <v>0</v>
      </c>
      <c r="AA6147" s="6">
        <v>0</v>
      </c>
      <c r="AB6147" s="4">
        <f t="shared" ref="AB6147:AB6210" si="961">X6147+AA6147</f>
        <v>948781.14864864852</v>
      </c>
      <c r="AC6147" s="6">
        <f t="shared" si="959"/>
        <v>455414.95135135134</v>
      </c>
      <c r="AD6147" s="6">
        <v>990772.16999999958</v>
      </c>
      <c r="AE6147" s="14">
        <f>VLOOKUP(I6147,[2]媒体政策预估表!A:N,MATCH(O6147,[2]媒体政策预估表!$A$2:$M$2,0),0)</f>
        <v>0.09</v>
      </c>
      <c r="AF6147" s="6">
        <f t="shared" si="955"/>
        <v>89169.495299999951</v>
      </c>
      <c r="AG6147" s="14">
        <v>0.4</v>
      </c>
      <c r="AH6147" s="6">
        <f t="shared" si="958"/>
        <v>1002997.2142857142</v>
      </c>
      <c r="AI6147" s="47"/>
      <c r="AJ6147" s="126" t="e">
        <v>#N/A</v>
      </c>
      <c r="AK6147" s="80">
        <f t="shared" ref="AK6147:AK6210" si="962">X6147+AA6147-AB6147</f>
        <v>0</v>
      </c>
      <c r="AL6147" s="85"/>
      <c r="AM6147" s="85"/>
    </row>
    <row r="6148" spans="1:39" s="86" customFormat="1" ht="13.25" hidden="1" customHeight="1" x14ac:dyDescent="0.3">
      <c r="A6148" s="89" t="s">
        <v>3792</v>
      </c>
      <c r="B6148" s="86" t="s">
        <v>35</v>
      </c>
      <c r="C6148" s="86" t="s">
        <v>187</v>
      </c>
      <c r="D6148" s="86" t="s">
        <v>188</v>
      </c>
      <c r="E6148" s="86" t="s">
        <v>199</v>
      </c>
      <c r="F6148" s="86" t="s">
        <v>199</v>
      </c>
      <c r="G6148" s="86" t="s">
        <v>199</v>
      </c>
      <c r="H6148" s="144">
        <v>237</v>
      </c>
      <c r="I6148" s="86" t="s">
        <v>2374</v>
      </c>
      <c r="J6148" s="1" t="s">
        <v>3322</v>
      </c>
      <c r="K6148" s="1" t="s">
        <v>3269</v>
      </c>
      <c r="L6148" s="1" t="s">
        <v>35</v>
      </c>
      <c r="M6148" s="86" t="s">
        <v>3897</v>
      </c>
      <c r="O6148" s="47" t="s">
        <v>45</v>
      </c>
      <c r="P6148" s="47" t="s">
        <v>46</v>
      </c>
      <c r="Q6148" s="14">
        <v>7.0000000000000007E-2</v>
      </c>
      <c r="R6148" s="143"/>
      <c r="S6148" s="47"/>
      <c r="T6148" s="6">
        <v>0</v>
      </c>
      <c r="U6148" s="6">
        <v>201599.99360000002</v>
      </c>
      <c r="V6148" s="6">
        <v>108486.76000000001</v>
      </c>
      <c r="W6148" s="6">
        <f t="shared" si="956"/>
        <v>93113.233600000007</v>
      </c>
      <c r="X6148" s="6">
        <f t="shared" si="957"/>
        <v>75338.027777777781</v>
      </c>
      <c r="Y6148" s="13">
        <f t="shared" si="960"/>
        <v>0</v>
      </c>
      <c r="Z6148" s="66">
        <v>0</v>
      </c>
      <c r="AA6148" s="6">
        <v>0</v>
      </c>
      <c r="AB6148" s="4">
        <f t="shared" si="961"/>
        <v>75338.027777777781</v>
      </c>
      <c r="AC6148" s="6">
        <f t="shared" si="959"/>
        <v>33148.732222222228</v>
      </c>
      <c r="AD6148" s="6">
        <v>79187.059999999954</v>
      </c>
      <c r="AE6148" s="14">
        <f>VLOOKUP(I6148,[2]媒体政策预估表!A:N,MATCH(O6148,[2]媒体政策预估表!$A$2:$M$2,0),0)</f>
        <v>7.0000000000000007E-2</v>
      </c>
      <c r="AF6148" s="6">
        <f t="shared" si="955"/>
        <v>5543.0941999999977</v>
      </c>
      <c r="AG6148" s="14">
        <v>0.37</v>
      </c>
      <c r="AH6148" s="6">
        <f t="shared" si="958"/>
        <v>79187.416058394156</v>
      </c>
      <c r="AI6148" s="47"/>
      <c r="AJ6148" s="126" t="e">
        <v>#N/A</v>
      </c>
      <c r="AK6148" s="80">
        <f t="shared" si="962"/>
        <v>0</v>
      </c>
      <c r="AL6148" s="85"/>
      <c r="AM6148" s="85"/>
    </row>
    <row r="6149" spans="1:39" s="86" customFormat="1" ht="13.25" hidden="1" customHeight="1" x14ac:dyDescent="0.3">
      <c r="A6149" s="89" t="s">
        <v>3792</v>
      </c>
      <c r="B6149" s="86" t="s">
        <v>35</v>
      </c>
      <c r="C6149" s="86" t="s">
        <v>187</v>
      </c>
      <c r="D6149" s="86" t="s">
        <v>188</v>
      </c>
      <c r="E6149" s="86" t="s">
        <v>199</v>
      </c>
      <c r="F6149" s="86" t="s">
        <v>199</v>
      </c>
      <c r="G6149" s="86" t="s">
        <v>199</v>
      </c>
      <c r="H6149" s="144">
        <v>237</v>
      </c>
      <c r="I6149" s="86" t="s">
        <v>2374</v>
      </c>
      <c r="J6149" s="1" t="s">
        <v>3322</v>
      </c>
      <c r="K6149" s="1" t="s">
        <v>3269</v>
      </c>
      <c r="L6149" s="1" t="s">
        <v>35</v>
      </c>
      <c r="M6149" s="86" t="s">
        <v>3897</v>
      </c>
      <c r="O6149" s="47" t="s">
        <v>40</v>
      </c>
      <c r="P6149" s="47" t="s">
        <v>46</v>
      </c>
      <c r="Q6149" s="14">
        <v>0.08</v>
      </c>
      <c r="R6149" s="143"/>
      <c r="S6149" s="47"/>
      <c r="T6149" s="6">
        <v>0</v>
      </c>
      <c r="U6149" s="6">
        <v>976799.99199999985</v>
      </c>
      <c r="V6149" s="6">
        <v>648711.29999999993</v>
      </c>
      <c r="W6149" s="6">
        <f t="shared" si="956"/>
        <v>328088.69199999992</v>
      </c>
      <c r="X6149" s="6">
        <f t="shared" si="957"/>
        <v>438318.44594594592</v>
      </c>
      <c r="Y6149" s="13">
        <f t="shared" si="960"/>
        <v>0</v>
      </c>
      <c r="Z6149" s="66">
        <v>0</v>
      </c>
      <c r="AA6149" s="6">
        <v>0</v>
      </c>
      <c r="AB6149" s="4">
        <f t="shared" si="961"/>
        <v>438318.44594594592</v>
      </c>
      <c r="AC6149" s="6">
        <f t="shared" si="959"/>
        <v>210392.85405405401</v>
      </c>
      <c r="AD6149" s="6">
        <v>463339.63000000012</v>
      </c>
      <c r="AE6149" s="14">
        <f>VLOOKUP(I6149,[2]媒体政策预估表!A:N,MATCH(O6149,[2]媒体政策预估表!$A$2:$M$2,0),0)</f>
        <v>0.09</v>
      </c>
      <c r="AF6149" s="6">
        <f t="shared" si="955"/>
        <v>41700.56670000001</v>
      </c>
      <c r="AG6149" s="14">
        <v>0.4</v>
      </c>
      <c r="AH6149" s="6">
        <f t="shared" si="958"/>
        <v>463365.21428571426</v>
      </c>
      <c r="AI6149" s="47"/>
      <c r="AJ6149" s="126" t="e">
        <v>#N/A</v>
      </c>
      <c r="AK6149" s="80">
        <f t="shared" si="962"/>
        <v>0</v>
      </c>
      <c r="AL6149" s="85"/>
      <c r="AM6149" s="85"/>
    </row>
    <row r="6150" spans="1:39" s="86" customFormat="1" ht="13.25" hidden="1" customHeight="1" x14ac:dyDescent="0.3">
      <c r="A6150" s="89" t="s">
        <v>3792</v>
      </c>
      <c r="B6150" s="86" t="s">
        <v>35</v>
      </c>
      <c r="C6150" s="86" t="s">
        <v>187</v>
      </c>
      <c r="D6150" s="86" t="s">
        <v>188</v>
      </c>
      <c r="E6150" s="86" t="s">
        <v>3901</v>
      </c>
      <c r="F6150" s="86" t="s">
        <v>3901</v>
      </c>
      <c r="G6150" s="86" t="s">
        <v>3901</v>
      </c>
      <c r="H6150" s="144">
        <v>237</v>
      </c>
      <c r="I6150" s="86" t="s">
        <v>2374</v>
      </c>
      <c r="J6150" s="1" t="s">
        <v>3322</v>
      </c>
      <c r="K6150" s="1" t="s">
        <v>3269</v>
      </c>
      <c r="L6150" s="1" t="s">
        <v>35</v>
      </c>
      <c r="M6150" s="86" t="s">
        <v>3897</v>
      </c>
      <c r="O6150" s="47" t="s">
        <v>40</v>
      </c>
      <c r="P6150" s="47" t="s">
        <v>46</v>
      </c>
      <c r="Q6150" s="14">
        <v>0.02</v>
      </c>
      <c r="R6150" s="143"/>
      <c r="S6150" s="47"/>
      <c r="T6150" s="6">
        <v>0</v>
      </c>
      <c r="U6150" s="6">
        <v>42599.998</v>
      </c>
      <c r="V6150" s="6">
        <v>14731.97</v>
      </c>
      <c r="W6150" s="6">
        <f t="shared" si="956"/>
        <v>27868.027999999998</v>
      </c>
      <c r="X6150" s="6">
        <f t="shared" si="957"/>
        <v>10374.62676056338</v>
      </c>
      <c r="Y6150" s="13">
        <f t="shared" si="960"/>
        <v>0</v>
      </c>
      <c r="Z6150" s="66">
        <v>0</v>
      </c>
      <c r="AA6150" s="6">
        <v>0</v>
      </c>
      <c r="AB6150" s="4">
        <f t="shared" si="961"/>
        <v>10374.62676056338</v>
      </c>
      <c r="AC6150" s="6">
        <f t="shared" si="959"/>
        <v>4357.3432394366191</v>
      </c>
      <c r="AD6150" s="6">
        <v>10520.079999999998</v>
      </c>
      <c r="AE6150" s="14">
        <f>VLOOKUP(I6150,[2]媒体政策预估表!A:N,MATCH(O6150,[2]媒体政策预估表!$A$2:$M$2,0),0)</f>
        <v>0.09</v>
      </c>
      <c r="AF6150" s="6">
        <f t="shared" si="955"/>
        <v>946.80719999999974</v>
      </c>
      <c r="AG6150" s="14">
        <v>0.4</v>
      </c>
      <c r="AH6150" s="6">
        <f t="shared" si="958"/>
        <v>10522.835714285715</v>
      </c>
      <c r="AI6150" s="47"/>
      <c r="AJ6150" s="126" t="e">
        <v>#N/A</v>
      </c>
      <c r="AK6150" s="80">
        <f t="shared" si="962"/>
        <v>0</v>
      </c>
      <c r="AL6150" s="85"/>
      <c r="AM6150" s="85"/>
    </row>
    <row r="6151" spans="1:39" s="86" customFormat="1" ht="13.25" hidden="1" customHeight="1" x14ac:dyDescent="0.3">
      <c r="A6151" s="89" t="s">
        <v>3792</v>
      </c>
      <c r="B6151" s="86" t="s">
        <v>35</v>
      </c>
      <c r="C6151" s="86" t="s">
        <v>187</v>
      </c>
      <c r="D6151" s="86" t="s">
        <v>188</v>
      </c>
      <c r="E6151" s="86" t="s">
        <v>202</v>
      </c>
      <c r="F6151" s="86" t="s">
        <v>202</v>
      </c>
      <c r="G6151" s="86" t="s">
        <v>202</v>
      </c>
      <c r="H6151" s="144">
        <v>237</v>
      </c>
      <c r="I6151" s="86" t="s">
        <v>2374</v>
      </c>
      <c r="J6151" s="1" t="s">
        <v>3322</v>
      </c>
      <c r="K6151" s="1" t="s">
        <v>3269</v>
      </c>
      <c r="L6151" s="1" t="s">
        <v>35</v>
      </c>
      <c r="M6151" s="86" t="s">
        <v>2438</v>
      </c>
      <c r="O6151" s="47" t="s">
        <v>45</v>
      </c>
      <c r="P6151" s="47" t="s">
        <v>46</v>
      </c>
      <c r="Q6151" s="14">
        <v>0.05</v>
      </c>
      <c r="R6151" s="143"/>
      <c r="S6151" s="47"/>
      <c r="T6151" s="6">
        <v>335652.87660000002</v>
      </c>
      <c r="U6151" s="6">
        <v>-172340.52000000002</v>
      </c>
      <c r="V6151" s="6">
        <v>180311.71000000002</v>
      </c>
      <c r="W6151" s="6">
        <f t="shared" si="956"/>
        <v>-16999.353400000022</v>
      </c>
      <c r="X6151" s="6">
        <f t="shared" si="957"/>
        <v>126980.07746478876</v>
      </c>
      <c r="Y6151" s="13">
        <f t="shared" si="960"/>
        <v>0</v>
      </c>
      <c r="Z6151" s="66">
        <v>0</v>
      </c>
      <c r="AA6151" s="6">
        <v>0</v>
      </c>
      <c r="AB6151" s="4">
        <f t="shared" si="961"/>
        <v>126980.07746478876</v>
      </c>
      <c r="AC6151" s="6">
        <f t="shared" si="959"/>
        <v>53331.632535211262</v>
      </c>
      <c r="AD6151" s="6">
        <v>131615.01000000004</v>
      </c>
      <c r="AE6151" s="14">
        <f>VLOOKUP(I6151,[2]媒体政策预估表!A:N,MATCH(O6151,[2]媒体政策预估表!$A$2:$M$2,0),0)</f>
        <v>7.0000000000000007E-2</v>
      </c>
      <c r="AF6151" s="6">
        <f t="shared" si="955"/>
        <v>9213.0507000000034</v>
      </c>
      <c r="AG6151" s="14">
        <v>0.37</v>
      </c>
      <c r="AH6151" s="6">
        <f t="shared" si="958"/>
        <v>131614.38686131386</v>
      </c>
      <c r="AI6151" s="47"/>
      <c r="AJ6151" s="126" t="e">
        <v>#N/A</v>
      </c>
      <c r="AK6151" s="80">
        <f t="shared" si="962"/>
        <v>0</v>
      </c>
      <c r="AL6151" s="85"/>
      <c r="AM6151" s="85"/>
    </row>
    <row r="6152" spans="1:39" s="86" customFormat="1" ht="13.25" hidden="1" customHeight="1" x14ac:dyDescent="0.3">
      <c r="A6152" s="89" t="s">
        <v>3794</v>
      </c>
      <c r="B6152" s="86" t="s">
        <v>35</v>
      </c>
      <c r="C6152" s="86" t="s">
        <v>187</v>
      </c>
      <c r="D6152" s="86" t="s">
        <v>188</v>
      </c>
      <c r="E6152" s="86" t="s">
        <v>202</v>
      </c>
      <c r="F6152" s="86" t="s">
        <v>202</v>
      </c>
      <c r="G6152" s="86" t="s">
        <v>202</v>
      </c>
      <c r="H6152" s="144">
        <v>237</v>
      </c>
      <c r="I6152" s="86" t="s">
        <v>2374</v>
      </c>
      <c r="J6152" s="1" t="s">
        <v>3322</v>
      </c>
      <c r="K6152" s="1" t="s">
        <v>3269</v>
      </c>
      <c r="L6152" s="1" t="s">
        <v>35</v>
      </c>
      <c r="M6152" s="86" t="s">
        <v>3897</v>
      </c>
      <c r="O6152" s="47" t="s">
        <v>45</v>
      </c>
      <c r="P6152" s="47" t="s">
        <v>46</v>
      </c>
      <c r="Q6152" s="14">
        <v>0.05</v>
      </c>
      <c r="R6152" s="143"/>
      <c r="S6152" s="47"/>
      <c r="T6152" s="6">
        <v>0</v>
      </c>
      <c r="U6152" s="6">
        <v>142000.0068</v>
      </c>
      <c r="V6152" s="6">
        <v>59733.990000000005</v>
      </c>
      <c r="W6152" s="6">
        <f t="shared" si="956"/>
        <v>82266.016799999998</v>
      </c>
      <c r="X6152" s="6">
        <f t="shared" si="957"/>
        <v>42066.190140845079</v>
      </c>
      <c r="Y6152" s="13">
        <f t="shared" si="960"/>
        <v>706.50014084508439</v>
      </c>
      <c r="Z6152" s="66">
        <v>0</v>
      </c>
      <c r="AA6152" s="6">
        <v>0</v>
      </c>
      <c r="AB6152" s="4">
        <f t="shared" si="961"/>
        <v>42066.190140845079</v>
      </c>
      <c r="AC6152" s="6">
        <f t="shared" si="959"/>
        <v>17667.799859154926</v>
      </c>
      <c r="AD6152" s="6">
        <v>41359.689999999995</v>
      </c>
      <c r="AE6152" s="14">
        <f>VLOOKUP(I6152,[2]媒体政策预估表!A:N,MATCH(O6152,[2]媒体政策预估表!$A$2:$M$2,0),0)</f>
        <v>7.0000000000000007E-2</v>
      </c>
      <c r="AF6152" s="6">
        <f t="shared" si="955"/>
        <v>2895.1783</v>
      </c>
      <c r="AG6152" s="14">
        <v>0.37</v>
      </c>
      <c r="AH6152" s="6">
        <f t="shared" si="958"/>
        <v>43601.452554744523</v>
      </c>
      <c r="AI6152" s="47"/>
      <c r="AJ6152" s="126" t="e">
        <v>#N/A</v>
      </c>
      <c r="AK6152" s="80">
        <f t="shared" si="962"/>
        <v>0</v>
      </c>
      <c r="AL6152" s="85"/>
      <c r="AM6152" s="85"/>
    </row>
    <row r="6153" spans="1:39" s="86" customFormat="1" ht="13.25" hidden="1" customHeight="1" x14ac:dyDescent="0.3">
      <c r="A6153" s="89" t="s">
        <v>3794</v>
      </c>
      <c r="B6153" s="86" t="s">
        <v>35</v>
      </c>
      <c r="C6153" s="86" t="s">
        <v>187</v>
      </c>
      <c r="D6153" s="86" t="s">
        <v>188</v>
      </c>
      <c r="E6153" s="86" t="s">
        <v>2446</v>
      </c>
      <c r="F6153" s="86" t="s">
        <v>2446</v>
      </c>
      <c r="G6153" s="86" t="s">
        <v>2446</v>
      </c>
      <c r="H6153" s="144">
        <v>237</v>
      </c>
      <c r="I6153" s="86" t="s">
        <v>2374</v>
      </c>
      <c r="J6153" s="1" t="s">
        <v>3322</v>
      </c>
      <c r="K6153" s="1" t="s">
        <v>3269</v>
      </c>
      <c r="L6153" s="1" t="s">
        <v>35</v>
      </c>
      <c r="M6153" s="86" t="s">
        <v>2438</v>
      </c>
      <c r="O6153" s="47" t="s">
        <v>45</v>
      </c>
      <c r="P6153" s="47" t="s">
        <v>46</v>
      </c>
      <c r="Q6153" s="14">
        <v>0.03</v>
      </c>
      <c r="R6153" s="143"/>
      <c r="S6153" s="47"/>
      <c r="T6153" s="6">
        <v>53816.933399999994</v>
      </c>
      <c r="U6153" s="6">
        <v>-34459.9251</v>
      </c>
      <c r="V6153" s="6">
        <v>19357.02</v>
      </c>
      <c r="W6153" s="6">
        <f t="shared" si="956"/>
        <v>-1.170000000638538E-2</v>
      </c>
      <c r="X6153" s="6">
        <f t="shared" si="957"/>
        <v>13826.442857142858</v>
      </c>
      <c r="Y6153" s="13">
        <f t="shared" si="960"/>
        <v>0</v>
      </c>
      <c r="Z6153" s="66">
        <v>0</v>
      </c>
      <c r="AA6153" s="6">
        <v>0</v>
      </c>
      <c r="AB6153" s="4">
        <f t="shared" si="961"/>
        <v>13826.442857142858</v>
      </c>
      <c r="AC6153" s="6">
        <f t="shared" si="959"/>
        <v>5530.5771428571425</v>
      </c>
      <c r="AD6153" s="6">
        <v>14129.149999999994</v>
      </c>
      <c r="AE6153" s="14">
        <f>VLOOKUP(I6153,[2]媒体政策预估表!A:N,MATCH(O6153,[2]媒体政策预估表!$A$2:$M$2,0),0)</f>
        <v>7.0000000000000007E-2</v>
      </c>
      <c r="AF6153" s="6">
        <f t="shared" si="955"/>
        <v>989.04049999999972</v>
      </c>
      <c r="AG6153" s="14">
        <v>0.37</v>
      </c>
      <c r="AH6153" s="6">
        <f t="shared" si="958"/>
        <v>14129.211678832116</v>
      </c>
      <c r="AI6153" s="47"/>
      <c r="AJ6153" s="126" t="e">
        <v>#N/A</v>
      </c>
      <c r="AK6153" s="80">
        <f t="shared" si="962"/>
        <v>0</v>
      </c>
      <c r="AL6153" s="85"/>
      <c r="AM6153" s="85"/>
    </row>
    <row r="6154" spans="1:39" s="86" customFormat="1" ht="13.25" hidden="1" customHeight="1" x14ac:dyDescent="0.3">
      <c r="A6154" s="89" t="s">
        <v>3792</v>
      </c>
      <c r="B6154" s="86" t="s">
        <v>35</v>
      </c>
      <c r="C6154" s="86" t="s">
        <v>187</v>
      </c>
      <c r="D6154" s="86" t="s">
        <v>188</v>
      </c>
      <c r="E6154" s="86" t="s">
        <v>2446</v>
      </c>
      <c r="F6154" s="86" t="s">
        <v>2446</v>
      </c>
      <c r="G6154" s="86" t="s">
        <v>2446</v>
      </c>
      <c r="H6154" s="144">
        <v>237</v>
      </c>
      <c r="I6154" s="86" t="s">
        <v>2374</v>
      </c>
      <c r="J6154" s="1" t="s">
        <v>3322</v>
      </c>
      <c r="K6154" s="1" t="s">
        <v>3269</v>
      </c>
      <c r="L6154" s="1" t="s">
        <v>35</v>
      </c>
      <c r="M6154" s="86" t="s">
        <v>3897</v>
      </c>
      <c r="O6154" s="47" t="s">
        <v>45</v>
      </c>
      <c r="P6154" s="47" t="s">
        <v>46</v>
      </c>
      <c r="Q6154" s="14">
        <v>0.03</v>
      </c>
      <c r="R6154" s="143"/>
      <c r="S6154" s="47"/>
      <c r="T6154" s="6">
        <v>0</v>
      </c>
      <c r="U6154" s="6">
        <v>41999.994100000004</v>
      </c>
      <c r="V6154" s="6">
        <v>11062.689999999999</v>
      </c>
      <c r="W6154" s="6">
        <f t="shared" si="956"/>
        <v>30937.304100000005</v>
      </c>
      <c r="X6154" s="6">
        <f t="shared" si="957"/>
        <v>7901.9214285714279</v>
      </c>
      <c r="Y6154" s="13">
        <f t="shared" si="960"/>
        <v>0</v>
      </c>
      <c r="Z6154" s="66">
        <v>0</v>
      </c>
      <c r="AA6154" s="6">
        <v>0</v>
      </c>
      <c r="AB6154" s="4">
        <f t="shared" si="961"/>
        <v>7901.9214285714279</v>
      </c>
      <c r="AC6154" s="6">
        <f t="shared" si="959"/>
        <v>3160.7685714285708</v>
      </c>
      <c r="AD6154" s="6">
        <v>8075.0000000000009</v>
      </c>
      <c r="AE6154" s="14">
        <f>VLOOKUP(I6154,[2]媒体政策预估表!A:N,MATCH(O6154,[2]媒体政策预估表!$A$2:$M$2,0),0)</f>
        <v>7.0000000000000007E-2</v>
      </c>
      <c r="AF6154" s="6">
        <f t="shared" si="955"/>
        <v>565.25000000000011</v>
      </c>
      <c r="AG6154" s="14">
        <v>0.37</v>
      </c>
      <c r="AH6154" s="6">
        <f t="shared" si="958"/>
        <v>8074.9562043795604</v>
      </c>
      <c r="AI6154" s="47"/>
      <c r="AJ6154" s="126" t="e">
        <v>#N/A</v>
      </c>
      <c r="AK6154" s="80">
        <f t="shared" si="962"/>
        <v>0</v>
      </c>
      <c r="AL6154" s="85"/>
      <c r="AM6154" s="85"/>
    </row>
    <row r="6155" spans="1:39" s="86" customFormat="1" ht="13.25" hidden="1" customHeight="1" x14ac:dyDescent="0.3">
      <c r="A6155" s="89" t="s">
        <v>3794</v>
      </c>
      <c r="B6155" s="86" t="s">
        <v>35</v>
      </c>
      <c r="C6155" s="86" t="s">
        <v>187</v>
      </c>
      <c r="D6155" s="86" t="s">
        <v>188</v>
      </c>
      <c r="E6155" s="86" t="s">
        <v>2446</v>
      </c>
      <c r="F6155" s="86" t="s">
        <v>2446</v>
      </c>
      <c r="G6155" s="86" t="s">
        <v>2446</v>
      </c>
      <c r="H6155" s="144">
        <v>237</v>
      </c>
      <c r="I6155" s="86" t="s">
        <v>2374</v>
      </c>
      <c r="J6155" s="1" t="s">
        <v>3322</v>
      </c>
      <c r="K6155" s="1" t="s">
        <v>3269</v>
      </c>
      <c r="L6155" s="1" t="s">
        <v>35</v>
      </c>
      <c r="M6155" s="86" t="s">
        <v>3897</v>
      </c>
      <c r="O6155" s="47" t="s">
        <v>40</v>
      </c>
      <c r="P6155" s="47" t="s">
        <v>46</v>
      </c>
      <c r="Q6155" s="14">
        <v>0.03</v>
      </c>
      <c r="R6155" s="143"/>
      <c r="S6155" s="47"/>
      <c r="T6155" s="6">
        <v>0</v>
      </c>
      <c r="U6155" s="6">
        <v>114400.00599999998</v>
      </c>
      <c r="V6155" s="6">
        <v>10871.3</v>
      </c>
      <c r="W6155" s="6">
        <f t="shared" si="956"/>
        <v>103528.70599999998</v>
      </c>
      <c r="X6155" s="6">
        <f t="shared" si="957"/>
        <v>7602.3076923076906</v>
      </c>
      <c r="Y6155" s="13">
        <f t="shared" si="960"/>
        <v>0</v>
      </c>
      <c r="Z6155" s="66">
        <v>0</v>
      </c>
      <c r="AA6155" s="6">
        <v>0</v>
      </c>
      <c r="AB6155" s="4">
        <f t="shared" si="961"/>
        <v>7602.3076923076906</v>
      </c>
      <c r="AC6155" s="6">
        <f t="shared" si="959"/>
        <v>3268.9923076923087</v>
      </c>
      <c r="AD6155" s="6">
        <v>7764.94</v>
      </c>
      <c r="AE6155" s="14">
        <f>VLOOKUP(I6155,[2]媒体政策预估表!A:N,MATCH(O6155,[2]媒体政策预估表!$A$2:$M$2,0),0)</f>
        <v>0.09</v>
      </c>
      <c r="AF6155" s="6">
        <f t="shared" si="955"/>
        <v>698.8445999999999</v>
      </c>
      <c r="AG6155" s="14">
        <v>0.4</v>
      </c>
      <c r="AH6155" s="6">
        <f t="shared" si="958"/>
        <v>7765.2142857142853</v>
      </c>
      <c r="AI6155" s="47"/>
      <c r="AJ6155" s="126" t="e">
        <v>#N/A</v>
      </c>
      <c r="AK6155" s="80">
        <f t="shared" si="962"/>
        <v>0</v>
      </c>
      <c r="AL6155" s="85"/>
      <c r="AM6155" s="85"/>
    </row>
    <row r="6156" spans="1:39" s="86" customFormat="1" ht="13.25" hidden="1" customHeight="1" x14ac:dyDescent="0.3">
      <c r="A6156" s="89" t="s">
        <v>3794</v>
      </c>
      <c r="B6156" s="86" t="s">
        <v>35</v>
      </c>
      <c r="C6156" s="86" t="s">
        <v>187</v>
      </c>
      <c r="D6156" s="86" t="s">
        <v>188</v>
      </c>
      <c r="E6156" s="86" t="s">
        <v>203</v>
      </c>
      <c r="F6156" s="86" t="s">
        <v>203</v>
      </c>
      <c r="G6156" s="86" t="s">
        <v>203</v>
      </c>
      <c r="H6156" s="144">
        <v>237</v>
      </c>
      <c r="I6156" s="86" t="s">
        <v>2374</v>
      </c>
      <c r="J6156" s="1" t="s">
        <v>3322</v>
      </c>
      <c r="K6156" s="1" t="s">
        <v>3269</v>
      </c>
      <c r="L6156" s="1" t="s">
        <v>35</v>
      </c>
      <c r="M6156" s="86" t="s">
        <v>2438</v>
      </c>
      <c r="O6156" s="47" t="s">
        <v>40</v>
      </c>
      <c r="P6156" s="47" t="s">
        <v>46</v>
      </c>
      <c r="Q6156" s="14">
        <v>0.08</v>
      </c>
      <c r="R6156" s="143"/>
      <c r="S6156" s="47"/>
      <c r="T6156" s="6">
        <v>1409142.9200000018</v>
      </c>
      <c r="U6156" s="6">
        <v>-1118516.7420000001</v>
      </c>
      <c r="V6156" s="6">
        <v>307297.19999999995</v>
      </c>
      <c r="W6156" s="6">
        <f t="shared" si="956"/>
        <v>-16671.021999998251</v>
      </c>
      <c r="X6156" s="6">
        <f t="shared" si="957"/>
        <v>207633.24324324323</v>
      </c>
      <c r="Y6156" s="13">
        <f t="shared" si="960"/>
        <v>0</v>
      </c>
      <c r="Z6156" s="66">
        <v>0</v>
      </c>
      <c r="AA6156" s="6">
        <v>0</v>
      </c>
      <c r="AB6156" s="4">
        <f t="shared" si="961"/>
        <v>207633.24324324323</v>
      </c>
      <c r="AC6156" s="6">
        <f t="shared" si="959"/>
        <v>99663.956756756728</v>
      </c>
      <c r="AD6156" s="6">
        <v>219497.05000000005</v>
      </c>
      <c r="AE6156" s="14">
        <f>VLOOKUP(I6156,[2]媒体政策预估表!A:N,MATCH(O6156,[2]媒体政策预估表!$A$2:$M$2,0),0)</f>
        <v>0.09</v>
      </c>
      <c r="AF6156" s="6">
        <f t="shared" si="955"/>
        <v>19754.734500000002</v>
      </c>
      <c r="AG6156" s="14">
        <v>0.4</v>
      </c>
      <c r="AH6156" s="6">
        <f t="shared" si="958"/>
        <v>219497.99999999997</v>
      </c>
      <c r="AI6156" s="47"/>
      <c r="AJ6156" s="126" t="e">
        <v>#N/A</v>
      </c>
      <c r="AK6156" s="80">
        <f t="shared" si="962"/>
        <v>0</v>
      </c>
      <c r="AL6156" s="85"/>
      <c r="AM6156" s="85"/>
    </row>
    <row r="6157" spans="1:39" s="86" customFormat="1" ht="13.25" hidden="1" customHeight="1" x14ac:dyDescent="0.3">
      <c r="A6157" s="89" t="s">
        <v>3792</v>
      </c>
      <c r="B6157" s="86" t="s">
        <v>35</v>
      </c>
      <c r="C6157" s="86" t="s">
        <v>187</v>
      </c>
      <c r="D6157" s="86" t="s">
        <v>188</v>
      </c>
      <c r="E6157" s="86" t="s">
        <v>203</v>
      </c>
      <c r="F6157" s="86" t="s">
        <v>203</v>
      </c>
      <c r="G6157" s="86" t="s">
        <v>203</v>
      </c>
      <c r="H6157" s="144">
        <v>237</v>
      </c>
      <c r="I6157" s="86" t="s">
        <v>2374</v>
      </c>
      <c r="J6157" s="1" t="s">
        <v>3322</v>
      </c>
      <c r="K6157" s="1" t="s">
        <v>3269</v>
      </c>
      <c r="L6157" s="1" t="s">
        <v>35</v>
      </c>
      <c r="M6157" s="86" t="s">
        <v>3897</v>
      </c>
      <c r="O6157" s="47" t="s">
        <v>40</v>
      </c>
      <c r="P6157" s="47" t="s">
        <v>46</v>
      </c>
      <c r="Q6157" s="14">
        <v>0.08</v>
      </c>
      <c r="R6157" s="143"/>
      <c r="S6157" s="47"/>
      <c r="T6157" s="6">
        <v>0</v>
      </c>
      <c r="U6157" s="6">
        <v>2456800.0099999998</v>
      </c>
      <c r="V6157" s="6">
        <v>1532377.3400000003</v>
      </c>
      <c r="W6157" s="6">
        <f t="shared" si="956"/>
        <v>924422.66999999946</v>
      </c>
      <c r="X6157" s="6">
        <f t="shared" si="957"/>
        <v>1035390.0945945948</v>
      </c>
      <c r="Y6157" s="13">
        <f t="shared" si="960"/>
        <v>0</v>
      </c>
      <c r="Z6157" s="66">
        <v>0</v>
      </c>
      <c r="AA6157" s="6">
        <v>0</v>
      </c>
      <c r="AB6157" s="4">
        <f t="shared" si="961"/>
        <v>1035390.0945945948</v>
      </c>
      <c r="AC6157" s="6">
        <f t="shared" si="959"/>
        <v>496987.24540540553</v>
      </c>
      <c r="AD6157" s="6">
        <v>1092274.2600000005</v>
      </c>
      <c r="AE6157" s="14">
        <f>VLOOKUP(I6157,[2]媒体政策预估表!A:N,MATCH(O6157,[2]媒体政策预估表!$A$2:$M$2,0),0)</f>
        <v>0.09</v>
      </c>
      <c r="AF6157" s="6">
        <f t="shared" si="955"/>
        <v>98304.683400000038</v>
      </c>
      <c r="AG6157" s="14">
        <v>0.4</v>
      </c>
      <c r="AH6157" s="6">
        <f t="shared" si="958"/>
        <v>1094555.2428571431</v>
      </c>
      <c r="AI6157" s="47"/>
      <c r="AJ6157" s="126" t="e">
        <v>#N/A</v>
      </c>
      <c r="AK6157" s="80">
        <f t="shared" si="962"/>
        <v>0</v>
      </c>
      <c r="AL6157" s="85"/>
      <c r="AM6157" s="85"/>
    </row>
    <row r="6158" spans="1:39" s="86" customFormat="1" ht="13.25" hidden="1" customHeight="1" x14ac:dyDescent="0.3">
      <c r="A6158" s="89" t="s">
        <v>3794</v>
      </c>
      <c r="B6158" s="86" t="s">
        <v>35</v>
      </c>
      <c r="C6158" s="86" t="s">
        <v>187</v>
      </c>
      <c r="D6158" s="86" t="s">
        <v>188</v>
      </c>
      <c r="E6158" s="86" t="s">
        <v>2447</v>
      </c>
      <c r="F6158" s="86" t="s">
        <v>2447</v>
      </c>
      <c r="G6158" s="86" t="s">
        <v>2447</v>
      </c>
      <c r="H6158" s="143">
        <v>237</v>
      </c>
      <c r="I6158" s="86" t="s">
        <v>2374</v>
      </c>
      <c r="J6158" s="1" t="s">
        <v>3322</v>
      </c>
      <c r="K6158" s="1" t="s">
        <v>3269</v>
      </c>
      <c r="L6158" s="1" t="s">
        <v>35</v>
      </c>
      <c r="M6158" s="86" t="s">
        <v>2438</v>
      </c>
      <c r="O6158" s="47" t="s">
        <v>40</v>
      </c>
      <c r="P6158" s="47" t="s">
        <v>46</v>
      </c>
      <c r="Q6158" s="14">
        <v>0.08</v>
      </c>
      <c r="R6158" s="143"/>
      <c r="S6158" s="47"/>
      <c r="T6158" s="6">
        <v>646253.81000000029</v>
      </c>
      <c r="U6158" s="6">
        <v>-642040.30799999996</v>
      </c>
      <c r="V6158" s="6">
        <v>0</v>
      </c>
      <c r="W6158" s="6">
        <f t="shared" si="956"/>
        <v>4213.5020000003278</v>
      </c>
      <c r="X6158" s="6">
        <f t="shared" si="957"/>
        <v>0</v>
      </c>
      <c r="Y6158" s="13">
        <f t="shared" si="960"/>
        <v>0</v>
      </c>
      <c r="Z6158" s="66">
        <v>0</v>
      </c>
      <c r="AA6158" s="6">
        <v>0</v>
      </c>
      <c r="AB6158" s="4">
        <f t="shared" si="961"/>
        <v>0</v>
      </c>
      <c r="AC6158" s="6">
        <f t="shared" si="959"/>
        <v>0</v>
      </c>
      <c r="AD6158" s="6">
        <v>0</v>
      </c>
      <c r="AE6158" s="14">
        <f>VLOOKUP(I6158,[2]媒体政策预估表!A:N,MATCH(O6158,[2]媒体政策预估表!$A$2:$M$2,0),0)</f>
        <v>0.09</v>
      </c>
      <c r="AF6158" s="6">
        <f t="shared" si="955"/>
        <v>0</v>
      </c>
      <c r="AG6158" s="14">
        <v>0.4</v>
      </c>
      <c r="AH6158" s="6">
        <f t="shared" si="958"/>
        <v>0</v>
      </c>
      <c r="AI6158" s="47"/>
      <c r="AJ6158" s="126" t="e">
        <v>#N/A</v>
      </c>
      <c r="AK6158" s="80">
        <f t="shared" si="962"/>
        <v>0</v>
      </c>
      <c r="AL6158" s="85"/>
      <c r="AM6158" s="85"/>
    </row>
    <row r="6159" spans="1:39" s="86" customFormat="1" ht="13.25" hidden="1" customHeight="1" x14ac:dyDescent="0.3">
      <c r="A6159" s="89" t="s">
        <v>3794</v>
      </c>
      <c r="B6159" s="86" t="s">
        <v>35</v>
      </c>
      <c r="C6159" s="86" t="s">
        <v>187</v>
      </c>
      <c r="D6159" s="86" t="s">
        <v>188</v>
      </c>
      <c r="E6159" s="86" t="s">
        <v>2448</v>
      </c>
      <c r="F6159" s="86" t="s">
        <v>2448</v>
      </c>
      <c r="G6159" s="86" t="s">
        <v>2448</v>
      </c>
      <c r="H6159" s="144">
        <v>237</v>
      </c>
      <c r="I6159" s="86" t="s">
        <v>2374</v>
      </c>
      <c r="J6159" s="1" t="s">
        <v>3322</v>
      </c>
      <c r="K6159" s="1" t="s">
        <v>3269</v>
      </c>
      <c r="L6159" s="1" t="s">
        <v>35</v>
      </c>
      <c r="M6159" s="86" t="s">
        <v>2438</v>
      </c>
      <c r="O6159" s="47" t="s">
        <v>40</v>
      </c>
      <c r="P6159" s="47" t="s">
        <v>46</v>
      </c>
      <c r="Q6159" s="14">
        <v>0.05</v>
      </c>
      <c r="R6159" s="143"/>
      <c r="S6159" s="47"/>
      <c r="T6159" s="6">
        <v>986763.78</v>
      </c>
      <c r="U6159" s="6">
        <v>-819514.03799999994</v>
      </c>
      <c r="V6159" s="6">
        <v>167249.75</v>
      </c>
      <c r="W6159" s="6">
        <f t="shared" si="956"/>
        <v>-7.9999999143183231E-3</v>
      </c>
      <c r="X6159" s="6">
        <f t="shared" si="957"/>
        <v>115344.65517241378</v>
      </c>
      <c r="Y6159" s="13">
        <f t="shared" si="960"/>
        <v>0</v>
      </c>
      <c r="Z6159" s="66">
        <v>0</v>
      </c>
      <c r="AA6159" s="6">
        <v>0</v>
      </c>
      <c r="AB6159" s="4">
        <f t="shared" si="961"/>
        <v>115344.65517241378</v>
      </c>
      <c r="AC6159" s="6">
        <f t="shared" si="959"/>
        <v>51905.094827586217</v>
      </c>
      <c r="AD6159" s="6">
        <v>119453.01</v>
      </c>
      <c r="AE6159" s="14">
        <f>VLOOKUP(I6159,[2]媒体政策预估表!A:N,MATCH(O6159,[2]媒体政策预估表!$A$2:$M$2,0),0)</f>
        <v>0.09</v>
      </c>
      <c r="AF6159" s="6">
        <f t="shared" si="955"/>
        <v>10750.7709</v>
      </c>
      <c r="AG6159" s="14">
        <v>0.4</v>
      </c>
      <c r="AH6159" s="6">
        <f t="shared" si="958"/>
        <v>119464.10714285714</v>
      </c>
      <c r="AI6159" s="47"/>
      <c r="AJ6159" s="126" t="e">
        <v>#N/A</v>
      </c>
      <c r="AK6159" s="80">
        <f t="shared" si="962"/>
        <v>0</v>
      </c>
      <c r="AL6159" s="85"/>
      <c r="AM6159" s="85"/>
    </row>
    <row r="6160" spans="1:39" s="86" customFormat="1" ht="13.25" hidden="1" customHeight="1" x14ac:dyDescent="0.3">
      <c r="A6160" s="89" t="s">
        <v>3794</v>
      </c>
      <c r="B6160" s="86" t="s">
        <v>35</v>
      </c>
      <c r="C6160" s="86" t="s">
        <v>187</v>
      </c>
      <c r="D6160" s="86" t="s">
        <v>188</v>
      </c>
      <c r="E6160" s="86" t="s">
        <v>2450</v>
      </c>
      <c r="F6160" s="86" t="s">
        <v>2450</v>
      </c>
      <c r="G6160" s="86" t="s">
        <v>2450</v>
      </c>
      <c r="H6160" s="143">
        <v>237</v>
      </c>
      <c r="I6160" s="86" t="s">
        <v>2374</v>
      </c>
      <c r="J6160" s="1" t="s">
        <v>3322</v>
      </c>
      <c r="K6160" s="1" t="s">
        <v>3269</v>
      </c>
      <c r="L6160" s="1" t="s">
        <v>35</v>
      </c>
      <c r="M6160" s="86" t="s">
        <v>2450</v>
      </c>
      <c r="O6160" s="47" t="s">
        <v>40</v>
      </c>
      <c r="P6160" s="47" t="s">
        <v>46</v>
      </c>
      <c r="Q6160" s="14">
        <v>0.1</v>
      </c>
      <c r="R6160" s="143"/>
      <c r="S6160" s="47"/>
      <c r="T6160" s="6">
        <v>0</v>
      </c>
      <c r="U6160" s="6">
        <v>216000.00019999998</v>
      </c>
      <c r="V6160" s="6">
        <v>0</v>
      </c>
      <c r="W6160" s="6">
        <f t="shared" si="956"/>
        <v>216000.00019999998</v>
      </c>
      <c r="X6160" s="6">
        <f t="shared" si="957"/>
        <v>0</v>
      </c>
      <c r="Y6160" s="13">
        <f t="shared" si="960"/>
        <v>0</v>
      </c>
      <c r="Z6160" s="66">
        <v>0</v>
      </c>
      <c r="AA6160" s="6">
        <v>0</v>
      </c>
      <c r="AB6160" s="4">
        <f t="shared" si="961"/>
        <v>0</v>
      </c>
      <c r="AC6160" s="6">
        <f t="shared" si="959"/>
        <v>0</v>
      </c>
      <c r="AD6160" s="6">
        <v>608392.16999999993</v>
      </c>
      <c r="AE6160" s="14">
        <f>VLOOKUP(I6160,[2]媒体政策预估表!A:N,MATCH(O6160,[2]媒体政策预估表!$A$2:$M$2,0),0)</f>
        <v>0.09</v>
      </c>
      <c r="AF6160" s="6">
        <f t="shared" si="955"/>
        <v>54755.295299999991</v>
      </c>
      <c r="AG6160" s="14">
        <v>0.34</v>
      </c>
      <c r="AH6160" s="6">
        <f t="shared" si="958"/>
        <v>0</v>
      </c>
      <c r="AI6160" s="47"/>
      <c r="AJ6160" s="126" t="e">
        <v>#N/A</v>
      </c>
      <c r="AK6160" s="80">
        <f t="shared" si="962"/>
        <v>0</v>
      </c>
      <c r="AL6160" s="85"/>
      <c r="AM6160" s="85"/>
    </row>
    <row r="6161" spans="1:39" s="86" customFormat="1" ht="13.25" hidden="1" customHeight="1" x14ac:dyDescent="0.3">
      <c r="A6161" s="89" t="s">
        <v>3794</v>
      </c>
      <c r="B6161" s="86" t="s">
        <v>35</v>
      </c>
      <c r="C6161" s="86" t="s">
        <v>187</v>
      </c>
      <c r="D6161" s="86" t="s">
        <v>188</v>
      </c>
      <c r="E6161" s="86" t="s">
        <v>2450</v>
      </c>
      <c r="F6161" s="86" t="s">
        <v>2450</v>
      </c>
      <c r="G6161" s="86" t="s">
        <v>2450</v>
      </c>
      <c r="H6161" s="144">
        <v>237</v>
      </c>
      <c r="I6161" s="86" t="s">
        <v>2374</v>
      </c>
      <c r="J6161" s="1" t="s">
        <v>3322</v>
      </c>
      <c r="K6161" s="1" t="s">
        <v>3269</v>
      </c>
      <c r="L6161" s="1" t="s">
        <v>35</v>
      </c>
      <c r="M6161" s="86" t="s">
        <v>2450</v>
      </c>
      <c r="O6161" s="47" t="s">
        <v>40</v>
      </c>
      <c r="P6161" s="47" t="s">
        <v>41</v>
      </c>
      <c r="Q6161" s="14">
        <v>0</v>
      </c>
      <c r="R6161" s="143"/>
      <c r="S6161" s="47"/>
      <c r="T6161" s="6">
        <v>312554.63000000047</v>
      </c>
      <c r="U6161" s="6">
        <v>410000</v>
      </c>
      <c r="V6161" s="6">
        <v>623910.80999999994</v>
      </c>
      <c r="W6161" s="6">
        <f t="shared" si="956"/>
        <v>98643.820000000531</v>
      </c>
      <c r="X6161" s="6">
        <f t="shared" si="957"/>
        <v>623910.80999999994</v>
      </c>
      <c r="Y6161" s="13">
        <f t="shared" si="960"/>
        <v>623910.80999999994</v>
      </c>
      <c r="Z6161" s="66">
        <v>0</v>
      </c>
      <c r="AA6161" s="6">
        <v>0</v>
      </c>
      <c r="AB6161" s="4">
        <f t="shared" si="961"/>
        <v>623910.80999999994</v>
      </c>
      <c r="AC6161" s="6">
        <f t="shared" si="959"/>
        <v>0</v>
      </c>
      <c r="AD6161" s="6">
        <v>0</v>
      </c>
      <c r="AE6161" s="14">
        <f>VLOOKUP(I6161,[2]媒体政策预估表!A:N,MATCH(O6161,[2]媒体政策预估表!$A$2:$M$2,0),0)</f>
        <v>0.09</v>
      </c>
      <c r="AF6161" s="6">
        <f t="shared" si="955"/>
        <v>0</v>
      </c>
      <c r="AG6161" s="14">
        <v>0</v>
      </c>
      <c r="AH6161" s="6">
        <f t="shared" si="958"/>
        <v>623910.80999999994</v>
      </c>
      <c r="AI6161" s="47"/>
      <c r="AJ6161" s="126" t="e">
        <v>#N/A</v>
      </c>
      <c r="AK6161" s="80">
        <f t="shared" si="962"/>
        <v>0</v>
      </c>
      <c r="AL6161" s="85"/>
      <c r="AM6161" s="85"/>
    </row>
    <row r="6162" spans="1:39" s="86" customFormat="1" ht="13.25" hidden="1" customHeight="1" x14ac:dyDescent="0.3">
      <c r="A6162" s="89" t="s">
        <v>3792</v>
      </c>
      <c r="B6162" s="86" t="s">
        <v>35</v>
      </c>
      <c r="C6162" s="86" t="s">
        <v>187</v>
      </c>
      <c r="D6162" s="86" t="s">
        <v>188</v>
      </c>
      <c r="E6162" s="86" t="s">
        <v>205</v>
      </c>
      <c r="F6162" s="86" t="s">
        <v>205</v>
      </c>
      <c r="G6162" s="86" t="s">
        <v>205</v>
      </c>
      <c r="H6162" s="144">
        <v>237</v>
      </c>
      <c r="I6162" s="86" t="s">
        <v>2374</v>
      </c>
      <c r="J6162" s="1" t="s">
        <v>3322</v>
      </c>
      <c r="K6162" s="1" t="s">
        <v>3269</v>
      </c>
      <c r="L6162" s="1" t="s">
        <v>35</v>
      </c>
      <c r="M6162" s="86" t="s">
        <v>2438</v>
      </c>
      <c r="O6162" s="47" t="s">
        <v>40</v>
      </c>
      <c r="P6162" s="47" t="s">
        <v>46</v>
      </c>
      <c r="Q6162" s="14">
        <v>-0.01</v>
      </c>
      <c r="R6162" s="143"/>
      <c r="S6162" s="47"/>
      <c r="T6162" s="6">
        <v>-3642.9189999999999</v>
      </c>
      <c r="U6162" s="6">
        <v>-1217.2749999999999</v>
      </c>
      <c r="V6162" s="6">
        <v>81209.180000000008</v>
      </c>
      <c r="W6162" s="6">
        <f t="shared" si="956"/>
        <v>-86069.374000000011</v>
      </c>
      <c r="X6162" s="6">
        <f t="shared" si="957"/>
        <v>56006.331034482762</v>
      </c>
      <c r="Y6162" s="13">
        <f t="shared" si="960"/>
        <v>50908.961034482767</v>
      </c>
      <c r="Z6162" s="66">
        <v>0</v>
      </c>
      <c r="AA6162" s="6">
        <v>0</v>
      </c>
      <c r="AB6162" s="4">
        <f t="shared" si="961"/>
        <v>56006.331034482762</v>
      </c>
      <c r="AC6162" s="6">
        <f t="shared" si="959"/>
        <v>25202.848965517245</v>
      </c>
      <c r="AD6162" s="6">
        <v>5097.369999999999</v>
      </c>
      <c r="AE6162" s="14">
        <f>VLOOKUP(I6162,[2]媒体政策预估表!A:N,MATCH(O6162,[2]媒体政策预估表!$A$2:$M$2,0),0)</f>
        <v>0.09</v>
      </c>
      <c r="AF6162" s="6">
        <f t="shared" si="955"/>
        <v>458.7632999999999</v>
      </c>
      <c r="AG6162" s="14">
        <v>0.46</v>
      </c>
      <c r="AH6162" s="6">
        <f t="shared" si="958"/>
        <v>55622.726027397264</v>
      </c>
      <c r="AI6162" s="47"/>
      <c r="AJ6162" s="126" t="e">
        <v>#N/A</v>
      </c>
      <c r="AK6162" s="80">
        <f t="shared" si="962"/>
        <v>0</v>
      </c>
      <c r="AL6162" s="85"/>
      <c r="AM6162" s="85"/>
    </row>
    <row r="6163" spans="1:39" s="86" customFormat="1" ht="13.25" hidden="1" customHeight="1" x14ac:dyDescent="0.3">
      <c r="A6163" s="89" t="s">
        <v>3792</v>
      </c>
      <c r="B6163" s="86" t="s">
        <v>35</v>
      </c>
      <c r="C6163" s="86" t="s">
        <v>187</v>
      </c>
      <c r="D6163" s="86" t="s">
        <v>188</v>
      </c>
      <c r="E6163" s="86" t="s">
        <v>205</v>
      </c>
      <c r="F6163" s="86" t="s">
        <v>205</v>
      </c>
      <c r="G6163" s="86" t="s">
        <v>205</v>
      </c>
      <c r="H6163" s="143">
        <v>237</v>
      </c>
      <c r="I6163" s="86" t="s">
        <v>2374</v>
      </c>
      <c r="J6163" s="1" t="s">
        <v>3322</v>
      </c>
      <c r="K6163" s="1" t="s">
        <v>3269</v>
      </c>
      <c r="L6163" s="1" t="s">
        <v>35</v>
      </c>
      <c r="M6163" s="86" t="s">
        <v>2438</v>
      </c>
      <c r="O6163" s="47" t="s">
        <v>40</v>
      </c>
      <c r="P6163" s="47" t="s">
        <v>46</v>
      </c>
      <c r="Q6163" s="14">
        <v>0.1</v>
      </c>
      <c r="R6163" s="143"/>
      <c r="S6163" s="47"/>
      <c r="T6163" s="6">
        <v>-11711.915999999037</v>
      </c>
      <c r="U6163" s="6">
        <v>-54096.504000000001</v>
      </c>
      <c r="V6163" s="6">
        <v>0</v>
      </c>
      <c r="W6163" s="6">
        <f t="shared" si="956"/>
        <v>-65808.419999999038</v>
      </c>
      <c r="X6163" s="6">
        <f t="shared" si="957"/>
        <v>0</v>
      </c>
      <c r="Y6163" s="13">
        <f t="shared" si="960"/>
        <v>0</v>
      </c>
      <c r="Z6163" s="66">
        <v>0</v>
      </c>
      <c r="AA6163" s="6">
        <v>0</v>
      </c>
      <c r="AB6163" s="4">
        <f t="shared" si="961"/>
        <v>0</v>
      </c>
      <c r="AC6163" s="6">
        <f t="shared" si="959"/>
        <v>0</v>
      </c>
      <c r="AD6163" s="6">
        <v>0</v>
      </c>
      <c r="AE6163" s="14">
        <f>VLOOKUP(I6163,[2]媒体政策预估表!A:N,MATCH(O6163,[2]媒体政策预估表!$A$2:$M$2,0),0)</f>
        <v>0.09</v>
      </c>
      <c r="AF6163" s="6">
        <f t="shared" si="955"/>
        <v>0</v>
      </c>
      <c r="AG6163" s="14">
        <v>0.4</v>
      </c>
      <c r="AH6163" s="6">
        <f t="shared" si="958"/>
        <v>0</v>
      </c>
      <c r="AI6163" s="47"/>
      <c r="AJ6163" s="126" t="e">
        <v>#N/A</v>
      </c>
      <c r="AK6163" s="80">
        <f t="shared" si="962"/>
        <v>0</v>
      </c>
      <c r="AL6163" s="85"/>
      <c r="AM6163" s="85"/>
    </row>
    <row r="6164" spans="1:39" s="86" customFormat="1" ht="13.25" hidden="1" customHeight="1" x14ac:dyDescent="0.3">
      <c r="A6164" s="89" t="s">
        <v>3794</v>
      </c>
      <c r="B6164" s="86" t="s">
        <v>35</v>
      </c>
      <c r="C6164" s="86" t="s">
        <v>187</v>
      </c>
      <c r="D6164" s="86" t="s">
        <v>188</v>
      </c>
      <c r="E6164" s="86" t="s">
        <v>3902</v>
      </c>
      <c r="F6164" s="86" t="s">
        <v>3902</v>
      </c>
      <c r="G6164" s="86" t="s">
        <v>3902</v>
      </c>
      <c r="H6164" s="144">
        <v>237</v>
      </c>
      <c r="I6164" s="86" t="s">
        <v>2374</v>
      </c>
      <c r="J6164" s="1" t="s">
        <v>3322</v>
      </c>
      <c r="K6164" s="1" t="s">
        <v>3269</v>
      </c>
      <c r="L6164" s="1" t="s">
        <v>35</v>
      </c>
      <c r="M6164" s="86" t="s">
        <v>3897</v>
      </c>
      <c r="O6164" s="47" t="s">
        <v>40</v>
      </c>
      <c r="P6164" s="47" t="s">
        <v>46</v>
      </c>
      <c r="Q6164" s="14">
        <v>0.05</v>
      </c>
      <c r="R6164" s="143"/>
      <c r="S6164" s="47"/>
      <c r="T6164" s="6">
        <v>0</v>
      </c>
      <c r="U6164" s="6">
        <v>203000</v>
      </c>
      <c r="V6164" s="6">
        <v>63127.310000000012</v>
      </c>
      <c r="W6164" s="6">
        <f t="shared" si="956"/>
        <v>139872.69</v>
      </c>
      <c r="X6164" s="6">
        <f t="shared" si="957"/>
        <v>43536.075862068967</v>
      </c>
      <c r="Y6164" s="13">
        <f t="shared" si="960"/>
        <v>0</v>
      </c>
      <c r="Z6164" s="66">
        <v>0</v>
      </c>
      <c r="AA6164" s="6">
        <v>0</v>
      </c>
      <c r="AB6164" s="4">
        <f t="shared" si="961"/>
        <v>43536.075862068967</v>
      </c>
      <c r="AC6164" s="6">
        <f t="shared" si="959"/>
        <v>19591.234137931046</v>
      </c>
      <c r="AD6164" s="6">
        <v>45059.990000000013</v>
      </c>
      <c r="AE6164" s="14">
        <f>VLOOKUP(I6164,[2]媒体政策预估表!A:N,MATCH(O6164,[2]媒体政策预估表!$A$2:$M$2,0),0)</f>
        <v>0.09</v>
      </c>
      <c r="AF6164" s="6">
        <f t="shared" si="955"/>
        <v>4055.399100000001</v>
      </c>
      <c r="AG6164" s="14">
        <v>0.4</v>
      </c>
      <c r="AH6164" s="6">
        <f t="shared" si="958"/>
        <v>45090.935714285726</v>
      </c>
      <c r="AI6164" s="47"/>
      <c r="AJ6164" s="126" t="e">
        <v>#N/A</v>
      </c>
      <c r="AK6164" s="80">
        <f t="shared" si="962"/>
        <v>0</v>
      </c>
      <c r="AL6164" s="85"/>
      <c r="AM6164" s="85"/>
    </row>
    <row r="6165" spans="1:39" s="86" customFormat="1" ht="13.25" hidden="1" customHeight="1" x14ac:dyDescent="0.3">
      <c r="A6165" s="89" t="s">
        <v>3792</v>
      </c>
      <c r="B6165" s="86" t="s">
        <v>35</v>
      </c>
      <c r="C6165" s="86" t="s">
        <v>187</v>
      </c>
      <c r="D6165" s="86" t="s">
        <v>188</v>
      </c>
      <c r="E6165" s="86" t="s">
        <v>2496</v>
      </c>
      <c r="F6165" s="86" t="s">
        <v>2496</v>
      </c>
      <c r="G6165" s="86" t="s">
        <v>2496</v>
      </c>
      <c r="H6165" s="143">
        <v>237</v>
      </c>
      <c r="I6165" s="86" t="s">
        <v>2374</v>
      </c>
      <c r="J6165" s="1" t="s">
        <v>3322</v>
      </c>
      <c r="K6165" s="1" t="s">
        <v>3269</v>
      </c>
      <c r="L6165" s="1" t="s">
        <v>35</v>
      </c>
      <c r="M6165" s="86" t="s">
        <v>2438</v>
      </c>
      <c r="O6165" s="47" t="s">
        <v>40</v>
      </c>
      <c r="P6165" s="47" t="s">
        <v>46</v>
      </c>
      <c r="Q6165" s="14">
        <v>-0.01</v>
      </c>
      <c r="R6165" s="143"/>
      <c r="S6165" s="47"/>
      <c r="T6165" s="6">
        <v>0</v>
      </c>
      <c r="U6165" s="6">
        <v>-15503.842199999999</v>
      </c>
      <c r="V6165" s="6">
        <v>0</v>
      </c>
      <c r="W6165" s="6">
        <f t="shared" si="956"/>
        <v>-15503.842199999999</v>
      </c>
      <c r="X6165" s="6">
        <f t="shared" si="957"/>
        <v>0</v>
      </c>
      <c r="Y6165" s="13">
        <f t="shared" si="960"/>
        <v>0</v>
      </c>
      <c r="Z6165" s="66">
        <v>0</v>
      </c>
      <c r="AA6165" s="6">
        <v>0</v>
      </c>
      <c r="AB6165" s="4">
        <f t="shared" si="961"/>
        <v>0</v>
      </c>
      <c r="AC6165" s="6">
        <f t="shared" si="959"/>
        <v>0</v>
      </c>
      <c r="AD6165" s="6">
        <v>0</v>
      </c>
      <c r="AE6165" s="14">
        <f>VLOOKUP(I6165,[2]媒体政策预估表!A:N,MATCH(O6165,[2]媒体政策预估表!$A$2:$M$2,0),0)</f>
        <v>0.09</v>
      </c>
      <c r="AF6165" s="6">
        <f t="shared" si="955"/>
        <v>0</v>
      </c>
      <c r="AG6165" s="14">
        <v>0.46</v>
      </c>
      <c r="AH6165" s="6">
        <f t="shared" si="958"/>
        <v>0</v>
      </c>
      <c r="AI6165" s="47"/>
      <c r="AJ6165" s="126" t="e">
        <v>#N/A</v>
      </c>
      <c r="AK6165" s="80">
        <f t="shared" si="962"/>
        <v>0</v>
      </c>
      <c r="AL6165" s="85"/>
      <c r="AM6165" s="85"/>
    </row>
    <row r="6166" spans="1:39" s="86" customFormat="1" ht="13.25" hidden="1" customHeight="1" x14ac:dyDescent="0.3">
      <c r="A6166" s="89" t="s">
        <v>3794</v>
      </c>
      <c r="B6166" s="86" t="s">
        <v>35</v>
      </c>
      <c r="C6166" s="86" t="s">
        <v>187</v>
      </c>
      <c r="D6166" s="86" t="s">
        <v>188</v>
      </c>
      <c r="E6166" s="86" t="s">
        <v>2496</v>
      </c>
      <c r="F6166" s="86" t="s">
        <v>2496</v>
      </c>
      <c r="G6166" s="86" t="s">
        <v>2496</v>
      </c>
      <c r="H6166" s="143">
        <v>237</v>
      </c>
      <c r="I6166" s="86" t="s">
        <v>2374</v>
      </c>
      <c r="J6166" s="1" t="s">
        <v>3322</v>
      </c>
      <c r="K6166" s="1" t="s">
        <v>3269</v>
      </c>
      <c r="L6166" s="1" t="s">
        <v>35</v>
      </c>
      <c r="M6166" s="86" t="s">
        <v>2438</v>
      </c>
      <c r="O6166" s="47" t="s">
        <v>40</v>
      </c>
      <c r="P6166" s="47" t="s">
        <v>46</v>
      </c>
      <c r="Q6166" s="14">
        <v>0.05</v>
      </c>
      <c r="R6166" s="143"/>
      <c r="S6166" s="47"/>
      <c r="T6166" s="6">
        <v>30886.428000000004</v>
      </c>
      <c r="U6166" s="6">
        <v>-17299.295999999998</v>
      </c>
      <c r="V6166" s="6">
        <v>0</v>
      </c>
      <c r="W6166" s="6">
        <f t="shared" si="956"/>
        <v>13587.132000000005</v>
      </c>
      <c r="X6166" s="6">
        <f t="shared" si="957"/>
        <v>0</v>
      </c>
      <c r="Y6166" s="13">
        <f t="shared" si="960"/>
        <v>0</v>
      </c>
      <c r="Z6166" s="66">
        <v>0</v>
      </c>
      <c r="AA6166" s="6">
        <v>0</v>
      </c>
      <c r="AB6166" s="4">
        <f t="shared" si="961"/>
        <v>0</v>
      </c>
      <c r="AC6166" s="6">
        <f t="shared" si="959"/>
        <v>0</v>
      </c>
      <c r="AD6166" s="6">
        <v>0</v>
      </c>
      <c r="AE6166" s="14">
        <f>VLOOKUP(I6166,[2]媒体政策预估表!A:N,MATCH(O6166,[2]媒体政策预估表!$A$2:$M$2,0),0)</f>
        <v>0.09</v>
      </c>
      <c r="AF6166" s="6">
        <f t="shared" si="955"/>
        <v>0</v>
      </c>
      <c r="AG6166" s="14">
        <v>0.4</v>
      </c>
      <c r="AH6166" s="6">
        <f t="shared" si="958"/>
        <v>0</v>
      </c>
      <c r="AI6166" s="47"/>
      <c r="AJ6166" s="126" t="e">
        <v>#N/A</v>
      </c>
      <c r="AK6166" s="80">
        <f t="shared" si="962"/>
        <v>0</v>
      </c>
      <c r="AL6166" s="85"/>
      <c r="AM6166" s="85"/>
    </row>
    <row r="6167" spans="1:39" s="86" customFormat="1" ht="13.25" hidden="1" customHeight="1" x14ac:dyDescent="0.3">
      <c r="A6167" s="89" t="s">
        <v>3794</v>
      </c>
      <c r="B6167" s="86" t="s">
        <v>35</v>
      </c>
      <c r="C6167" s="86" t="s">
        <v>187</v>
      </c>
      <c r="D6167" s="86" t="s">
        <v>188</v>
      </c>
      <c r="E6167" s="86" t="s">
        <v>3903</v>
      </c>
      <c r="F6167" s="86" t="s">
        <v>3903</v>
      </c>
      <c r="G6167" s="86" t="s">
        <v>3903</v>
      </c>
      <c r="H6167" s="143">
        <v>237</v>
      </c>
      <c r="I6167" s="86" t="s">
        <v>2374</v>
      </c>
      <c r="J6167" s="1" t="s">
        <v>3322</v>
      </c>
      <c r="K6167" s="1" t="s">
        <v>3269</v>
      </c>
      <c r="L6167" s="1" t="s">
        <v>35</v>
      </c>
      <c r="M6167" s="86" t="s">
        <v>3897</v>
      </c>
      <c r="O6167" s="47" t="s">
        <v>40</v>
      </c>
      <c r="P6167" s="47" t="s">
        <v>46</v>
      </c>
      <c r="Q6167" s="14">
        <v>0.08</v>
      </c>
      <c r="R6167" s="143"/>
      <c r="S6167" s="47"/>
      <c r="T6167" s="6">
        <v>0</v>
      </c>
      <c r="U6167" s="6">
        <v>59199.993999999992</v>
      </c>
      <c r="V6167" s="6">
        <v>0</v>
      </c>
      <c r="W6167" s="6">
        <f t="shared" si="956"/>
        <v>59199.993999999992</v>
      </c>
      <c r="X6167" s="6">
        <f t="shared" si="957"/>
        <v>0</v>
      </c>
      <c r="Y6167" s="13">
        <f t="shared" si="960"/>
        <v>0</v>
      </c>
      <c r="Z6167" s="66">
        <v>0</v>
      </c>
      <c r="AA6167" s="6">
        <v>0</v>
      </c>
      <c r="AB6167" s="4">
        <f t="shared" si="961"/>
        <v>0</v>
      </c>
      <c r="AC6167" s="6">
        <f t="shared" si="959"/>
        <v>0</v>
      </c>
      <c r="AD6167" s="6">
        <v>0</v>
      </c>
      <c r="AE6167" s="14">
        <f>VLOOKUP(I6167,[2]媒体政策预估表!A:N,MATCH(O6167,[2]媒体政策预估表!$A$2:$M$2,0),0)</f>
        <v>0.09</v>
      </c>
      <c r="AF6167" s="6">
        <f t="shared" si="955"/>
        <v>0</v>
      </c>
      <c r="AG6167" s="14">
        <v>0.4</v>
      </c>
      <c r="AH6167" s="6">
        <f t="shared" si="958"/>
        <v>0</v>
      </c>
      <c r="AI6167" s="47"/>
      <c r="AJ6167" s="126" t="e">
        <v>#N/A</v>
      </c>
      <c r="AK6167" s="80">
        <f t="shared" si="962"/>
        <v>0</v>
      </c>
      <c r="AL6167" s="85"/>
      <c r="AM6167" s="85"/>
    </row>
    <row r="6168" spans="1:39" s="86" customFormat="1" ht="13.25" hidden="1" customHeight="1" x14ac:dyDescent="0.3">
      <c r="A6168" s="89" t="s">
        <v>3792</v>
      </c>
      <c r="B6168" s="86" t="s">
        <v>35</v>
      </c>
      <c r="C6168" s="86" t="s">
        <v>187</v>
      </c>
      <c r="D6168" s="86" t="s">
        <v>188</v>
      </c>
      <c r="E6168" s="86" t="s">
        <v>2497</v>
      </c>
      <c r="F6168" s="86" t="s">
        <v>2497</v>
      </c>
      <c r="G6168" s="86" t="s">
        <v>2497</v>
      </c>
      <c r="H6168" s="143">
        <v>237</v>
      </c>
      <c r="I6168" s="86" t="s">
        <v>2374</v>
      </c>
      <c r="J6168" s="1" t="s">
        <v>3322</v>
      </c>
      <c r="K6168" s="1" t="s">
        <v>3269</v>
      </c>
      <c r="L6168" s="1" t="s">
        <v>35</v>
      </c>
      <c r="M6168" s="86" t="s">
        <v>2438</v>
      </c>
      <c r="O6168" s="47" t="s">
        <v>40</v>
      </c>
      <c r="P6168" s="47" t="s">
        <v>46</v>
      </c>
      <c r="Q6168" s="14">
        <v>0.08</v>
      </c>
      <c r="R6168" s="143"/>
      <c r="S6168" s="47" t="s">
        <v>3904</v>
      </c>
      <c r="T6168" s="6">
        <v>178230.13199999923</v>
      </c>
      <c r="U6168" s="6">
        <f>-178588.536+731.76</f>
        <v>-177856.77599999998</v>
      </c>
      <c r="V6168" s="6">
        <v>0</v>
      </c>
      <c r="W6168" s="6">
        <f t="shared" si="956"/>
        <v>373.35599999924307</v>
      </c>
      <c r="X6168" s="6">
        <f t="shared" si="957"/>
        <v>0</v>
      </c>
      <c r="Y6168" s="13">
        <f t="shared" si="960"/>
        <v>0</v>
      </c>
      <c r="Z6168" s="66">
        <v>0</v>
      </c>
      <c r="AA6168" s="6">
        <v>0</v>
      </c>
      <c r="AB6168" s="4">
        <f t="shared" si="961"/>
        <v>0</v>
      </c>
      <c r="AC6168" s="6">
        <f t="shared" si="959"/>
        <v>0</v>
      </c>
      <c r="AD6168" s="6">
        <v>0</v>
      </c>
      <c r="AE6168" s="14">
        <f>VLOOKUP(I6168,[2]媒体政策预估表!A:N,MATCH(O6168,[2]媒体政策预估表!$A$2:$M$2,0),0)</f>
        <v>0.09</v>
      </c>
      <c r="AF6168" s="6">
        <f t="shared" si="955"/>
        <v>0</v>
      </c>
      <c r="AG6168" s="14">
        <v>0.4</v>
      </c>
      <c r="AH6168" s="6">
        <f t="shared" si="958"/>
        <v>0</v>
      </c>
      <c r="AI6168" s="47"/>
      <c r="AJ6168" s="126" t="e">
        <v>#N/A</v>
      </c>
      <c r="AK6168" s="80">
        <f t="shared" si="962"/>
        <v>0</v>
      </c>
      <c r="AL6168" s="85"/>
      <c r="AM6168" s="85"/>
    </row>
    <row r="6169" spans="1:39" s="86" customFormat="1" ht="13.25" hidden="1" customHeight="1" x14ac:dyDescent="0.3">
      <c r="A6169" s="89" t="s">
        <v>3794</v>
      </c>
      <c r="B6169" s="86" t="s">
        <v>35</v>
      </c>
      <c r="C6169" s="86" t="s">
        <v>187</v>
      </c>
      <c r="D6169" s="86" t="s">
        <v>188</v>
      </c>
      <c r="E6169" s="86" t="s">
        <v>2451</v>
      </c>
      <c r="F6169" s="86" t="s">
        <v>2451</v>
      </c>
      <c r="G6169" s="86" t="s">
        <v>2451</v>
      </c>
      <c r="H6169" s="144">
        <v>237</v>
      </c>
      <c r="I6169" s="86" t="s">
        <v>2374</v>
      </c>
      <c r="J6169" s="1" t="s">
        <v>3322</v>
      </c>
      <c r="K6169" s="1" t="s">
        <v>3269</v>
      </c>
      <c r="L6169" s="1" t="s">
        <v>35</v>
      </c>
      <c r="M6169" s="86" t="s">
        <v>2451</v>
      </c>
      <c r="O6169" s="47" t="s">
        <v>45</v>
      </c>
      <c r="P6169" s="47" t="s">
        <v>46</v>
      </c>
      <c r="Q6169" s="14">
        <v>7.4399999999999994E-2</v>
      </c>
      <c r="R6169" s="143"/>
      <c r="S6169" s="47"/>
      <c r="T6169" s="6">
        <v>1766672.1116000009</v>
      </c>
      <c r="U6169" s="6">
        <v>920080</v>
      </c>
      <c r="V6169" s="6">
        <v>2203588.399999998</v>
      </c>
      <c r="W6169" s="6">
        <f t="shared" si="956"/>
        <v>483163.71160000283</v>
      </c>
      <c r="X6169" s="6">
        <f t="shared" si="957"/>
        <v>1676497.5654290917</v>
      </c>
      <c r="Y6169" s="13">
        <f t="shared" si="960"/>
        <v>0</v>
      </c>
      <c r="Z6169" s="66">
        <v>0</v>
      </c>
      <c r="AA6169" s="6">
        <v>0</v>
      </c>
      <c r="AB6169" s="4">
        <f t="shared" si="961"/>
        <v>1676497.5654290917</v>
      </c>
      <c r="AC6169" s="6">
        <f t="shared" si="959"/>
        <v>527090.83457090636</v>
      </c>
      <c r="AD6169" s="6">
        <v>1777077.7899999998</v>
      </c>
      <c r="AE6169" s="14">
        <f>VLOOKUP(I6169,[2]媒体政策预估表!A:N,MATCH(O6169,[2]媒体政策预估表!$A$2:$M$2,0),0)</f>
        <v>7.0000000000000007E-2</v>
      </c>
      <c r="AF6169" s="6">
        <f t="shared" si="955"/>
        <v>124395.44529999999</v>
      </c>
      <c r="AG6169" s="14">
        <v>0.24</v>
      </c>
      <c r="AH6169" s="6">
        <f t="shared" si="958"/>
        <v>1777087.4193548372</v>
      </c>
      <c r="AI6169" s="47"/>
      <c r="AJ6169" s="126" t="e">
        <v>#N/A</v>
      </c>
      <c r="AK6169" s="80">
        <f t="shared" si="962"/>
        <v>0</v>
      </c>
      <c r="AL6169" s="85"/>
      <c r="AM6169" s="85"/>
    </row>
    <row r="6170" spans="1:39" s="86" customFormat="1" hidden="1" x14ac:dyDescent="0.3">
      <c r="A6170" s="89" t="s">
        <v>3794</v>
      </c>
      <c r="B6170" s="86" t="s">
        <v>35</v>
      </c>
      <c r="C6170" s="86" t="s">
        <v>187</v>
      </c>
      <c r="D6170" s="86" t="s">
        <v>188</v>
      </c>
      <c r="E6170" s="86" t="s">
        <v>2489</v>
      </c>
      <c r="F6170" s="86" t="s">
        <v>2489</v>
      </c>
      <c r="G6170" s="86" t="s">
        <v>2489</v>
      </c>
      <c r="H6170" s="144">
        <v>237</v>
      </c>
      <c r="I6170" s="86" t="s">
        <v>2374</v>
      </c>
      <c r="J6170" s="1" t="s">
        <v>3322</v>
      </c>
      <c r="K6170" s="1" t="s">
        <v>3269</v>
      </c>
      <c r="L6170" s="1" t="s">
        <v>35</v>
      </c>
      <c r="M6170" s="86" t="s">
        <v>2438</v>
      </c>
      <c r="O6170" s="47" t="s">
        <v>40</v>
      </c>
      <c r="P6170" s="47" t="s">
        <v>46</v>
      </c>
      <c r="Q6170" s="14">
        <v>7.0000000000000007E-2</v>
      </c>
      <c r="R6170" s="143"/>
      <c r="S6170" s="47" t="s">
        <v>3905</v>
      </c>
      <c r="T6170" s="6">
        <v>79704.590000000229</v>
      </c>
      <c r="U6170" s="6">
        <f>-2614.62599999999+12378.25</f>
        <v>9763.6240000000107</v>
      </c>
      <c r="V6170" s="6">
        <v>79292.89</v>
      </c>
      <c r="W6170" s="6">
        <f t="shared" si="956"/>
        <v>10175.324000000241</v>
      </c>
      <c r="X6170" s="6">
        <f t="shared" si="957"/>
        <v>53940.741496598632</v>
      </c>
      <c r="Y6170" s="13">
        <f t="shared" si="960"/>
        <v>0</v>
      </c>
      <c r="Z6170" s="66">
        <v>0</v>
      </c>
      <c r="AA6170" s="6">
        <v>0</v>
      </c>
      <c r="AB6170" s="4">
        <f t="shared" si="961"/>
        <v>53940.741496598632</v>
      </c>
      <c r="AC6170" s="6">
        <f t="shared" si="959"/>
        <v>25352.148503401368</v>
      </c>
      <c r="AD6170" s="6">
        <v>56637.279999999999</v>
      </c>
      <c r="AE6170" s="14">
        <f>VLOOKUP(I6170,[2]媒体政策预估表!A:N,MATCH(O6170,[2]媒体政策预估表!$A$2:$M$2,0),0)</f>
        <v>0.09</v>
      </c>
      <c r="AF6170" s="6">
        <f t="shared" si="955"/>
        <v>5097.3552</v>
      </c>
      <c r="AG6170" s="14">
        <v>0.4</v>
      </c>
      <c r="AH6170" s="6">
        <f t="shared" si="958"/>
        <v>56637.778571428571</v>
      </c>
      <c r="AI6170" s="47"/>
      <c r="AJ6170" s="126" t="e">
        <v>#N/A</v>
      </c>
      <c r="AK6170" s="80">
        <f t="shared" si="962"/>
        <v>0</v>
      </c>
      <c r="AL6170" s="85"/>
      <c r="AM6170" s="85"/>
    </row>
    <row r="6171" spans="1:39" s="86" customFormat="1" ht="13.25" hidden="1" customHeight="1" x14ac:dyDescent="0.3">
      <c r="A6171" s="89" t="s">
        <v>3792</v>
      </c>
      <c r="B6171" s="86" t="s">
        <v>35</v>
      </c>
      <c r="C6171" s="86" t="s">
        <v>187</v>
      </c>
      <c r="D6171" s="86" t="s">
        <v>188</v>
      </c>
      <c r="E6171" s="86" t="s">
        <v>2452</v>
      </c>
      <c r="F6171" s="86" t="s">
        <v>2452</v>
      </c>
      <c r="G6171" s="86" t="s">
        <v>2452</v>
      </c>
      <c r="H6171" s="144">
        <v>237</v>
      </c>
      <c r="I6171" s="86" t="s">
        <v>2374</v>
      </c>
      <c r="J6171" s="1" t="s">
        <v>3322</v>
      </c>
      <c r="K6171" s="1" t="s">
        <v>3269</v>
      </c>
      <c r="L6171" s="1" t="s">
        <v>35</v>
      </c>
      <c r="M6171" s="86" t="s">
        <v>2438</v>
      </c>
      <c r="O6171" s="47" t="s">
        <v>45</v>
      </c>
      <c r="P6171" s="47" t="s">
        <v>46</v>
      </c>
      <c r="Q6171" s="14">
        <v>5.04E-2</v>
      </c>
      <c r="R6171" s="143"/>
      <c r="S6171" s="47" t="s">
        <v>3906</v>
      </c>
      <c r="T6171" s="6">
        <v>40467.733199999988</v>
      </c>
      <c r="U6171" s="6">
        <f>32669.1981+3396.47</f>
        <v>36065.668100000003</v>
      </c>
      <c r="V6171" s="6">
        <v>46735.099999999991</v>
      </c>
      <c r="W6171" s="6">
        <f t="shared" si="956"/>
        <v>29798.301300000006</v>
      </c>
      <c r="X6171" s="6">
        <f>IF(P6171="折扣",V6171*Q6171,IF(P6171="返现",V6171,(V6171-3396.47)/(1+Q6171+AG6171)))</f>
        <v>30511.567164179101</v>
      </c>
      <c r="Y6171" s="13">
        <f t="shared" si="960"/>
        <v>0</v>
      </c>
      <c r="Z6171" s="66">
        <v>0</v>
      </c>
      <c r="AA6171" s="6">
        <v>0</v>
      </c>
      <c r="AB6171" s="4">
        <f t="shared" si="961"/>
        <v>30511.567164179101</v>
      </c>
      <c r="AC6171" s="6">
        <f t="shared" si="959"/>
        <v>16223.53283582089</v>
      </c>
      <c r="AD6171" s="6">
        <v>34113.090000000004</v>
      </c>
      <c r="AE6171" s="14">
        <f>VLOOKUP(I6171,[2]媒体政策预估表!A:N,MATCH(O6171,[2]媒体政策预估表!$A$2:$M$2,0),0)</f>
        <v>7.0000000000000007E-2</v>
      </c>
      <c r="AF6171" s="6">
        <f t="shared" si="955"/>
        <v>2387.9163000000003</v>
      </c>
      <c r="AG6171" s="14">
        <v>0.37</v>
      </c>
      <c r="AH6171" s="6">
        <f>(V6171-3396.47)/(1+AG6171)</f>
        <v>31634.036496350356</v>
      </c>
      <c r="AI6171" s="47"/>
      <c r="AJ6171" s="126" t="e">
        <v>#N/A</v>
      </c>
      <c r="AK6171" s="80">
        <f t="shared" si="962"/>
        <v>0</v>
      </c>
      <c r="AL6171" s="85"/>
      <c r="AM6171" s="85"/>
    </row>
    <row r="6172" spans="1:39" s="86" customFormat="1" ht="13.25" hidden="1" customHeight="1" x14ac:dyDescent="0.3">
      <c r="A6172" s="89" t="s">
        <v>3792</v>
      </c>
      <c r="B6172" s="86" t="s">
        <v>35</v>
      </c>
      <c r="C6172" s="86" t="s">
        <v>187</v>
      </c>
      <c r="D6172" s="86" t="s">
        <v>188</v>
      </c>
      <c r="E6172" s="86" t="s">
        <v>2452</v>
      </c>
      <c r="F6172" s="86" t="s">
        <v>2452</v>
      </c>
      <c r="G6172" s="86" t="s">
        <v>2452</v>
      </c>
      <c r="H6172" s="144">
        <v>237</v>
      </c>
      <c r="I6172" s="86" t="s">
        <v>2374</v>
      </c>
      <c r="J6172" s="1" t="s">
        <v>3322</v>
      </c>
      <c r="K6172" s="1" t="s">
        <v>3269</v>
      </c>
      <c r="L6172" s="1" t="s">
        <v>35</v>
      </c>
      <c r="M6172" s="86" t="s">
        <v>2438</v>
      </c>
      <c r="O6172" s="47" t="s">
        <v>40</v>
      </c>
      <c r="P6172" s="47" t="s">
        <v>46</v>
      </c>
      <c r="Q6172" s="14">
        <v>5.2200000000000003E-2</v>
      </c>
      <c r="R6172" s="143"/>
      <c r="S6172" s="47" t="s">
        <v>3907</v>
      </c>
      <c r="T6172" s="6">
        <v>430207.30399999872</v>
      </c>
      <c r="U6172" s="6">
        <f>203308+839.6</f>
        <v>204147.6</v>
      </c>
      <c r="V6172" s="6">
        <v>597575.07999999996</v>
      </c>
      <c r="W6172" s="6">
        <f t="shared" si="956"/>
        <v>36779.823999998742</v>
      </c>
      <c r="X6172" s="6">
        <f>IF(P6172="折扣",V6172*Q6172,IF(P6172="返现",V6172,(V6172-839.6)/(1+Q6172+AG6172)))</f>
        <v>410918.2481751825</v>
      </c>
      <c r="Y6172" s="13">
        <f t="shared" si="960"/>
        <v>0</v>
      </c>
      <c r="Z6172" s="66">
        <v>0</v>
      </c>
      <c r="AA6172" s="6">
        <v>0</v>
      </c>
      <c r="AB6172" s="4">
        <f t="shared" si="961"/>
        <v>410918.2481751825</v>
      </c>
      <c r="AC6172" s="6">
        <f t="shared" si="959"/>
        <v>186656.83182481746</v>
      </c>
      <c r="AD6172" s="6">
        <v>426641.23</v>
      </c>
      <c r="AE6172" s="14">
        <f>VLOOKUP(I6172,[2]媒体政策预估表!A:N,MATCH(O6172,[2]媒体政策预估表!$A$2:$M$2,0),0)</f>
        <v>0.09</v>
      </c>
      <c r="AF6172" s="6">
        <f t="shared" si="955"/>
        <v>38397.710699999996</v>
      </c>
      <c r="AG6172" s="14">
        <v>0.4</v>
      </c>
      <c r="AH6172" s="6">
        <f>(V6172-839.6)/(1+AG6172)</f>
        <v>426239.62857142859</v>
      </c>
      <c r="AI6172" s="47"/>
      <c r="AJ6172" s="126" t="e">
        <v>#N/A</v>
      </c>
      <c r="AK6172" s="80">
        <f t="shared" si="962"/>
        <v>0</v>
      </c>
      <c r="AL6172" s="85"/>
      <c r="AM6172" s="85"/>
    </row>
    <row r="6173" spans="1:39" s="86" customFormat="1" ht="13.25" hidden="1" customHeight="1" x14ac:dyDescent="0.3">
      <c r="A6173" s="89" t="s">
        <v>3792</v>
      </c>
      <c r="B6173" s="86" t="s">
        <v>35</v>
      </c>
      <c r="C6173" s="86" t="s">
        <v>187</v>
      </c>
      <c r="D6173" s="86" t="s">
        <v>188</v>
      </c>
      <c r="E6173" s="86" t="s">
        <v>2452</v>
      </c>
      <c r="F6173" s="86" t="s">
        <v>2452</v>
      </c>
      <c r="G6173" s="86" t="s">
        <v>2452</v>
      </c>
      <c r="H6173" s="144">
        <v>237</v>
      </c>
      <c r="I6173" s="86" t="s">
        <v>2374</v>
      </c>
      <c r="J6173" s="1" t="s">
        <v>3322</v>
      </c>
      <c r="K6173" s="1" t="s">
        <v>3269</v>
      </c>
      <c r="L6173" s="1" t="s">
        <v>35</v>
      </c>
      <c r="M6173" s="86" t="s">
        <v>3897</v>
      </c>
      <c r="O6173" s="47" t="s">
        <v>40</v>
      </c>
      <c r="P6173" s="47" t="s">
        <v>46</v>
      </c>
      <c r="Q6173" s="14">
        <v>5.2200000000000003E-2</v>
      </c>
      <c r="R6173" s="143"/>
      <c r="S6173" s="47"/>
      <c r="T6173" s="6">
        <v>0</v>
      </c>
      <c r="U6173" s="6">
        <v>261396.00199999995</v>
      </c>
      <c r="V6173" s="6">
        <v>19086.030000000002</v>
      </c>
      <c r="W6173" s="6">
        <f t="shared" si="956"/>
        <v>242309.97199999995</v>
      </c>
      <c r="X6173" s="6">
        <f t="shared" si="957"/>
        <v>13142.838452003858</v>
      </c>
      <c r="Y6173" s="13">
        <f t="shared" si="960"/>
        <v>0</v>
      </c>
      <c r="Z6173" s="66">
        <v>0</v>
      </c>
      <c r="AA6173" s="6">
        <v>0</v>
      </c>
      <c r="AB6173" s="4">
        <f t="shared" si="961"/>
        <v>13142.838452003858</v>
      </c>
      <c r="AC6173" s="6">
        <f t="shared" si="959"/>
        <v>5943.1915479961444</v>
      </c>
      <c r="AD6173" s="6">
        <v>13630.109999999997</v>
      </c>
      <c r="AE6173" s="14">
        <f>VLOOKUP(I6173,[2]媒体政策预估表!A:N,MATCH(O6173,[2]媒体政策预估表!$A$2:$M$2,0),0)</f>
        <v>0.09</v>
      </c>
      <c r="AF6173" s="6">
        <f t="shared" si="955"/>
        <v>1226.7098999999996</v>
      </c>
      <c r="AG6173" s="14">
        <v>0.4</v>
      </c>
      <c r="AH6173" s="6">
        <f t="shared" si="958"/>
        <v>13632.878571428573</v>
      </c>
      <c r="AI6173" s="47"/>
      <c r="AJ6173" s="126" t="e">
        <v>#N/A</v>
      </c>
      <c r="AK6173" s="80">
        <f t="shared" si="962"/>
        <v>0</v>
      </c>
      <c r="AL6173" s="85"/>
      <c r="AM6173" s="85"/>
    </row>
    <row r="6174" spans="1:39" s="86" customFormat="1" ht="13.25" hidden="1" customHeight="1" x14ac:dyDescent="0.3">
      <c r="A6174" s="89" t="s">
        <v>3794</v>
      </c>
      <c r="B6174" s="86" t="s">
        <v>35</v>
      </c>
      <c r="C6174" s="86" t="s">
        <v>187</v>
      </c>
      <c r="D6174" s="86" t="s">
        <v>208</v>
      </c>
      <c r="E6174" s="86" t="s">
        <v>2455</v>
      </c>
      <c r="F6174" s="86" t="s">
        <v>2455</v>
      </c>
      <c r="G6174" s="86" t="s">
        <v>2455</v>
      </c>
      <c r="H6174" s="144">
        <v>237</v>
      </c>
      <c r="I6174" s="86" t="s">
        <v>2374</v>
      </c>
      <c r="J6174" s="1" t="s">
        <v>3322</v>
      </c>
      <c r="K6174" s="1" t="s">
        <v>3269</v>
      </c>
      <c r="L6174" s="1" t="s">
        <v>35</v>
      </c>
      <c r="M6174" s="86" t="s">
        <v>2438</v>
      </c>
      <c r="O6174" s="47" t="s">
        <v>45</v>
      </c>
      <c r="P6174" s="47" t="s">
        <v>46</v>
      </c>
      <c r="Q6174" s="14">
        <v>7.0000000000000007E-2</v>
      </c>
      <c r="R6174" s="143"/>
      <c r="S6174" s="47"/>
      <c r="T6174" s="6">
        <v>990318.01480000094</v>
      </c>
      <c r="U6174" s="6">
        <v>1584000.0142999999</v>
      </c>
      <c r="V6174" s="6">
        <v>1777409.8500000003</v>
      </c>
      <c r="W6174" s="6">
        <f t="shared" si="956"/>
        <v>796908.17910000053</v>
      </c>
      <c r="X6174" s="6">
        <f t="shared" si="957"/>
        <v>1234312.3958333337</v>
      </c>
      <c r="Y6174" s="13">
        <f t="shared" si="960"/>
        <v>0</v>
      </c>
      <c r="Z6174" s="66">
        <v>0</v>
      </c>
      <c r="AA6174" s="6">
        <v>0</v>
      </c>
      <c r="AB6174" s="4">
        <f t="shared" si="961"/>
        <v>1234312.3958333337</v>
      </c>
      <c r="AC6174" s="6">
        <f t="shared" si="959"/>
        <v>543097.4541666666</v>
      </c>
      <c r="AD6174" s="6">
        <v>1297205.9299999997</v>
      </c>
      <c r="AE6174" s="14">
        <f>VLOOKUP(I6174,[2]媒体政策预估表!A:N,MATCH(O6174,[2]媒体政策预估表!$A$2:$M$2,0),0)</f>
        <v>7.0000000000000007E-2</v>
      </c>
      <c r="AF6174" s="6">
        <f t="shared" si="955"/>
        <v>90804.415099999984</v>
      </c>
      <c r="AG6174" s="14">
        <v>0.37</v>
      </c>
      <c r="AH6174" s="6">
        <f t="shared" si="958"/>
        <v>1297379.4525547447</v>
      </c>
      <c r="AI6174" s="47"/>
      <c r="AJ6174" s="126" t="e">
        <v>#N/A</v>
      </c>
      <c r="AK6174" s="80">
        <f t="shared" si="962"/>
        <v>0</v>
      </c>
      <c r="AL6174" s="85"/>
      <c r="AM6174" s="85"/>
    </row>
    <row r="6175" spans="1:39" s="86" customFormat="1" ht="13.25" hidden="1" customHeight="1" x14ac:dyDescent="0.3">
      <c r="A6175" s="89" t="s">
        <v>3792</v>
      </c>
      <c r="B6175" s="86" t="s">
        <v>35</v>
      </c>
      <c r="C6175" s="86" t="s">
        <v>187</v>
      </c>
      <c r="D6175" s="86" t="s">
        <v>208</v>
      </c>
      <c r="E6175" s="86" t="s">
        <v>2455</v>
      </c>
      <c r="F6175" s="86" t="s">
        <v>2455</v>
      </c>
      <c r="G6175" s="86" t="s">
        <v>2455</v>
      </c>
      <c r="H6175" s="144">
        <v>237</v>
      </c>
      <c r="I6175" s="86" t="s">
        <v>2374</v>
      </c>
      <c r="J6175" s="1" t="s">
        <v>3322</v>
      </c>
      <c r="K6175" s="1" t="s">
        <v>3269</v>
      </c>
      <c r="L6175" s="1" t="s">
        <v>35</v>
      </c>
      <c r="M6175" s="86" t="s">
        <v>2438</v>
      </c>
      <c r="O6175" s="47" t="s">
        <v>40</v>
      </c>
      <c r="P6175" s="47" t="s">
        <v>46</v>
      </c>
      <c r="Q6175" s="14">
        <v>0.06</v>
      </c>
      <c r="R6175" s="143"/>
      <c r="S6175" s="47"/>
      <c r="T6175" s="6">
        <v>455000.93799999868</v>
      </c>
      <c r="U6175" s="6">
        <v>897170.8899999999</v>
      </c>
      <c r="V6175" s="6">
        <v>1352171.8599999999</v>
      </c>
      <c r="W6175" s="6">
        <f t="shared" si="956"/>
        <v>-3.2000001287087798E-2</v>
      </c>
      <c r="X6175" s="6">
        <f t="shared" si="957"/>
        <v>926145.10958904098</v>
      </c>
      <c r="Y6175" s="13">
        <f t="shared" si="960"/>
        <v>0</v>
      </c>
      <c r="Z6175" s="66">
        <v>0</v>
      </c>
      <c r="AA6175" s="6">
        <v>0</v>
      </c>
      <c r="AB6175" s="4">
        <f t="shared" si="961"/>
        <v>926145.10958904098</v>
      </c>
      <c r="AC6175" s="6">
        <f t="shared" si="959"/>
        <v>426026.75041095889</v>
      </c>
      <c r="AD6175" s="6">
        <v>965815.77999999956</v>
      </c>
      <c r="AE6175" s="14">
        <f>VLOOKUP(I6175,[2]媒体政策预估表!A:N,MATCH(O6175,[2]媒体政策预估表!$A$2:$M$2,0),0)</f>
        <v>0.09</v>
      </c>
      <c r="AF6175" s="6">
        <f t="shared" si="955"/>
        <v>86923.420199999964</v>
      </c>
      <c r="AG6175" s="14">
        <v>0.4</v>
      </c>
      <c r="AH6175" s="6">
        <f t="shared" si="958"/>
        <v>965837.04285714286</v>
      </c>
      <c r="AI6175" s="47"/>
      <c r="AJ6175" s="126" t="e">
        <v>#N/A</v>
      </c>
      <c r="AK6175" s="80">
        <f t="shared" si="962"/>
        <v>0</v>
      </c>
      <c r="AL6175" s="85"/>
      <c r="AM6175" s="85"/>
    </row>
    <row r="6176" spans="1:39" s="86" customFormat="1" ht="13.25" hidden="1" customHeight="1" x14ac:dyDescent="0.3">
      <c r="A6176" s="89" t="s">
        <v>3794</v>
      </c>
      <c r="B6176" s="86" t="s">
        <v>35</v>
      </c>
      <c r="C6176" s="86" t="s">
        <v>187</v>
      </c>
      <c r="D6176" s="86" t="s">
        <v>208</v>
      </c>
      <c r="E6176" s="86" t="s">
        <v>2457</v>
      </c>
      <c r="F6176" s="86" t="s">
        <v>2457</v>
      </c>
      <c r="G6176" s="86" t="s">
        <v>2457</v>
      </c>
      <c r="H6176" s="144">
        <v>237</v>
      </c>
      <c r="I6176" s="86" t="s">
        <v>2374</v>
      </c>
      <c r="J6176" s="1" t="s">
        <v>3322</v>
      </c>
      <c r="K6176" s="1" t="s">
        <v>3269</v>
      </c>
      <c r="L6176" s="1" t="s">
        <v>35</v>
      </c>
      <c r="M6176" s="86" t="s">
        <v>2438</v>
      </c>
      <c r="O6176" s="47" t="s">
        <v>45</v>
      </c>
      <c r="P6176" s="47" t="s">
        <v>46</v>
      </c>
      <c r="Q6176" s="14">
        <v>0.03</v>
      </c>
      <c r="R6176" s="143"/>
      <c r="S6176" s="47"/>
      <c r="T6176" s="6">
        <v>129613.00910000026</v>
      </c>
      <c r="U6176" s="6">
        <f>279999.9972-214145.76</f>
        <v>65854.237199999974</v>
      </c>
      <c r="V6176" s="6">
        <v>195729.58</v>
      </c>
      <c r="W6176" s="6">
        <f t="shared" si="956"/>
        <v>-262.33369999975548</v>
      </c>
      <c r="X6176" s="6">
        <f t="shared" si="957"/>
        <v>139806.84285714285</v>
      </c>
      <c r="Y6176" s="13">
        <f t="shared" si="960"/>
        <v>0</v>
      </c>
      <c r="Z6176" s="66">
        <v>0</v>
      </c>
      <c r="AA6176" s="6">
        <v>0</v>
      </c>
      <c r="AB6176" s="4">
        <f t="shared" si="961"/>
        <v>139806.84285714285</v>
      </c>
      <c r="AC6176" s="6">
        <f t="shared" si="959"/>
        <v>55922.737142857135</v>
      </c>
      <c r="AD6176" s="6">
        <v>142868.30000000002</v>
      </c>
      <c r="AE6176" s="14">
        <f>VLOOKUP(I6176,[2]媒体政策预估表!A:N,MATCH(O6176,[2]媒体政策预估表!$A$2:$M$2,0),0)</f>
        <v>7.0000000000000007E-2</v>
      </c>
      <c r="AF6176" s="6">
        <f t="shared" si="955"/>
        <v>10000.781000000003</v>
      </c>
      <c r="AG6176" s="14">
        <v>0.37</v>
      </c>
      <c r="AH6176" s="6">
        <f t="shared" si="958"/>
        <v>142868.30656934305</v>
      </c>
      <c r="AI6176" s="47"/>
      <c r="AJ6176" s="126" t="e">
        <v>#N/A</v>
      </c>
      <c r="AK6176" s="80">
        <f t="shared" si="962"/>
        <v>0</v>
      </c>
      <c r="AL6176" s="85"/>
      <c r="AM6176" s="85"/>
    </row>
    <row r="6177" spans="1:39" s="86" customFormat="1" ht="13.25" hidden="1" customHeight="1" x14ac:dyDescent="0.3">
      <c r="A6177" s="89" t="s">
        <v>3794</v>
      </c>
      <c r="B6177" s="86" t="s">
        <v>35</v>
      </c>
      <c r="C6177" s="86" t="s">
        <v>187</v>
      </c>
      <c r="D6177" s="86" t="s">
        <v>208</v>
      </c>
      <c r="E6177" s="86" t="s">
        <v>2461</v>
      </c>
      <c r="F6177" s="86" t="s">
        <v>2461</v>
      </c>
      <c r="G6177" s="86" t="s">
        <v>2461</v>
      </c>
      <c r="H6177" s="144">
        <v>237</v>
      </c>
      <c r="I6177" s="86" t="s">
        <v>2374</v>
      </c>
      <c r="J6177" s="1" t="s">
        <v>3322</v>
      </c>
      <c r="K6177" s="1" t="s">
        <v>3269</v>
      </c>
      <c r="L6177" s="1" t="s">
        <v>35</v>
      </c>
      <c r="M6177" s="86" t="s">
        <v>2438</v>
      </c>
      <c r="O6177" s="47" t="s">
        <v>45</v>
      </c>
      <c r="P6177" s="47" t="s">
        <v>46</v>
      </c>
      <c r="Q6177" s="14">
        <v>0.01</v>
      </c>
      <c r="R6177" s="143"/>
      <c r="S6177" s="47"/>
      <c r="T6177" s="6">
        <v>45367.096159849025</v>
      </c>
      <c r="U6177" s="6">
        <v>138000.00409999999</v>
      </c>
      <c r="V6177" s="6">
        <v>184996.25999999986</v>
      </c>
      <c r="W6177" s="6">
        <f t="shared" si="956"/>
        <v>-1629.1597401508479</v>
      </c>
      <c r="X6177" s="6">
        <f t="shared" si="957"/>
        <v>134055.26086956513</v>
      </c>
      <c r="Y6177" s="13">
        <f t="shared" si="960"/>
        <v>0</v>
      </c>
      <c r="Z6177" s="66">
        <v>0</v>
      </c>
      <c r="AA6177" s="6">
        <v>0</v>
      </c>
      <c r="AB6177" s="4">
        <f t="shared" si="961"/>
        <v>134055.26086956513</v>
      </c>
      <c r="AC6177" s="6">
        <f t="shared" si="959"/>
        <v>50940.999130434735</v>
      </c>
      <c r="AD6177" s="6">
        <v>134292.15000000005</v>
      </c>
      <c r="AE6177" s="14">
        <f>VLOOKUP(I6177,[2]媒体政策预估表!A:N,MATCH(O6177,[2]媒体政策预估表!$A$2:$M$2,0),0)</f>
        <v>7.0000000000000007E-2</v>
      </c>
      <c r="AF6177" s="6">
        <f t="shared" si="955"/>
        <v>9400.4505000000045</v>
      </c>
      <c r="AG6177" s="14">
        <v>0.37</v>
      </c>
      <c r="AH6177" s="6">
        <f t="shared" si="958"/>
        <v>135033.76642335756</v>
      </c>
      <c r="AI6177" s="47"/>
      <c r="AJ6177" s="126" t="e">
        <v>#N/A</v>
      </c>
      <c r="AK6177" s="80">
        <f t="shared" si="962"/>
        <v>0</v>
      </c>
      <c r="AL6177" s="85"/>
      <c r="AM6177" s="85"/>
    </row>
    <row r="6178" spans="1:39" s="86" customFormat="1" ht="13.25" hidden="1" customHeight="1" x14ac:dyDescent="0.3">
      <c r="A6178" s="89" t="s">
        <v>3792</v>
      </c>
      <c r="B6178" s="86" t="s">
        <v>35</v>
      </c>
      <c r="C6178" s="86" t="s">
        <v>187</v>
      </c>
      <c r="D6178" s="86" t="s">
        <v>208</v>
      </c>
      <c r="E6178" s="86" t="s">
        <v>2461</v>
      </c>
      <c r="F6178" s="86" t="s">
        <v>2461</v>
      </c>
      <c r="G6178" s="86" t="s">
        <v>2461</v>
      </c>
      <c r="H6178" s="144">
        <v>237</v>
      </c>
      <c r="I6178" s="86" t="s">
        <v>2374</v>
      </c>
      <c r="J6178" s="1" t="s">
        <v>3322</v>
      </c>
      <c r="K6178" s="1" t="s">
        <v>3269</v>
      </c>
      <c r="L6178" s="1" t="s">
        <v>35</v>
      </c>
      <c r="M6178" s="86" t="s">
        <v>3897</v>
      </c>
      <c r="O6178" s="47" t="s">
        <v>45</v>
      </c>
      <c r="P6178" s="47" t="s">
        <v>46</v>
      </c>
      <c r="Q6178" s="14">
        <v>0.01</v>
      </c>
      <c r="R6178" s="143"/>
      <c r="S6178" s="47"/>
      <c r="T6178" s="6">
        <v>0</v>
      </c>
      <c r="U6178" s="6">
        <v>27600.006300000005</v>
      </c>
      <c r="V6178" s="6">
        <v>2935.58</v>
      </c>
      <c r="W6178" s="6">
        <f t="shared" si="956"/>
        <v>24664.426300000006</v>
      </c>
      <c r="X6178" s="6">
        <f t="shared" si="957"/>
        <v>2127.231884057971</v>
      </c>
      <c r="Y6178" s="13">
        <f t="shared" si="960"/>
        <v>0</v>
      </c>
      <c r="Z6178" s="66">
        <v>0</v>
      </c>
      <c r="AA6178" s="6">
        <v>0</v>
      </c>
      <c r="AB6178" s="4">
        <f t="shared" si="961"/>
        <v>2127.231884057971</v>
      </c>
      <c r="AC6178" s="6">
        <f t="shared" si="959"/>
        <v>808.34811594202893</v>
      </c>
      <c r="AD6178" s="6">
        <v>2142.7800000000007</v>
      </c>
      <c r="AE6178" s="14">
        <f>VLOOKUP(I6178,[2]媒体政策预估表!A:N,MATCH(O6178,[2]媒体政策预估表!$A$2:$M$2,0),0)</f>
        <v>7.0000000000000007E-2</v>
      </c>
      <c r="AF6178" s="6">
        <f t="shared" si="955"/>
        <v>149.99460000000005</v>
      </c>
      <c r="AG6178" s="14">
        <v>0.37</v>
      </c>
      <c r="AH6178" s="6">
        <f t="shared" si="958"/>
        <v>2142.7591240875909</v>
      </c>
      <c r="AI6178" s="47"/>
      <c r="AJ6178" s="126" t="e">
        <v>#N/A</v>
      </c>
      <c r="AK6178" s="80">
        <f t="shared" si="962"/>
        <v>0</v>
      </c>
      <c r="AL6178" s="85"/>
      <c r="AM6178" s="85"/>
    </row>
    <row r="6179" spans="1:39" s="86" customFormat="1" ht="13.25" hidden="1" customHeight="1" x14ac:dyDescent="0.3">
      <c r="A6179" s="89" t="s">
        <v>3794</v>
      </c>
      <c r="B6179" s="86" t="s">
        <v>35</v>
      </c>
      <c r="C6179" s="86" t="s">
        <v>187</v>
      </c>
      <c r="D6179" s="86" t="s">
        <v>208</v>
      </c>
      <c r="E6179" s="86" t="s">
        <v>2462</v>
      </c>
      <c r="F6179" s="86" t="s">
        <v>2462</v>
      </c>
      <c r="G6179" s="86" t="s">
        <v>2462</v>
      </c>
      <c r="H6179" s="144">
        <v>237</v>
      </c>
      <c r="I6179" s="86" t="s">
        <v>2374</v>
      </c>
      <c r="J6179" s="1" t="s">
        <v>3322</v>
      </c>
      <c r="K6179" s="1" t="s">
        <v>3269</v>
      </c>
      <c r="L6179" s="1" t="s">
        <v>35</v>
      </c>
      <c r="M6179" s="86" t="s">
        <v>2462</v>
      </c>
      <c r="O6179" s="47" t="s">
        <v>40</v>
      </c>
      <c r="P6179" s="47" t="s">
        <v>46</v>
      </c>
      <c r="Q6179" s="14">
        <v>0.06</v>
      </c>
      <c r="R6179" s="143"/>
      <c r="S6179" s="47"/>
      <c r="T6179" s="6">
        <v>665209.53359999997</v>
      </c>
      <c r="U6179" s="6">
        <v>-41495.992400000003</v>
      </c>
      <c r="V6179" s="6">
        <v>246187.46000000002</v>
      </c>
      <c r="W6179" s="6">
        <f t="shared" si="956"/>
        <v>377526.08119999996</v>
      </c>
      <c r="X6179" s="6">
        <f t="shared" si="957"/>
        <v>189374.96923076923</v>
      </c>
      <c r="Y6179" s="13">
        <f t="shared" si="960"/>
        <v>0</v>
      </c>
      <c r="Z6179" s="66">
        <v>0</v>
      </c>
      <c r="AA6179" s="6">
        <v>0</v>
      </c>
      <c r="AB6179" s="4">
        <f t="shared" si="961"/>
        <v>189374.96923076923</v>
      </c>
      <c r="AC6179" s="6">
        <f t="shared" si="959"/>
        <v>56812.49076923079</v>
      </c>
      <c r="AD6179" s="6">
        <v>198523.66000000009</v>
      </c>
      <c r="AE6179" s="14">
        <f>VLOOKUP(I6179,[2]媒体政策预估表!A:N,MATCH(O6179,[2]媒体政策预估表!$A$2:$M$2,0),0)</f>
        <v>0.09</v>
      </c>
      <c r="AF6179" s="6">
        <f t="shared" si="955"/>
        <v>17867.129400000009</v>
      </c>
      <c r="AG6179" s="14">
        <v>0.24</v>
      </c>
      <c r="AH6179" s="6">
        <f t="shared" si="958"/>
        <v>198538.27419354839</v>
      </c>
      <c r="AI6179" s="47"/>
      <c r="AJ6179" s="126" t="e">
        <v>#N/A</v>
      </c>
      <c r="AK6179" s="80">
        <f t="shared" si="962"/>
        <v>0</v>
      </c>
      <c r="AL6179" s="85"/>
      <c r="AM6179" s="85"/>
    </row>
    <row r="6180" spans="1:39" s="86" customFormat="1" ht="13.25" hidden="1" customHeight="1" x14ac:dyDescent="0.3">
      <c r="A6180" s="89" t="s">
        <v>3792</v>
      </c>
      <c r="B6180" s="86" t="s">
        <v>35</v>
      </c>
      <c r="C6180" s="86" t="s">
        <v>187</v>
      </c>
      <c r="D6180" s="86" t="s">
        <v>208</v>
      </c>
      <c r="E6180" s="86" t="s">
        <v>2463</v>
      </c>
      <c r="F6180" s="86" t="s">
        <v>2463</v>
      </c>
      <c r="G6180" s="86" t="s">
        <v>2463</v>
      </c>
      <c r="H6180" s="143">
        <v>237</v>
      </c>
      <c r="I6180" s="86" t="s">
        <v>2374</v>
      </c>
      <c r="J6180" s="1" t="s">
        <v>3322</v>
      </c>
      <c r="K6180" s="1" t="s">
        <v>3269</v>
      </c>
      <c r="L6180" s="1" t="s">
        <v>35</v>
      </c>
      <c r="M6180" s="86" t="s">
        <v>2438</v>
      </c>
      <c r="O6180" s="47" t="s">
        <v>45</v>
      </c>
      <c r="P6180" s="47" t="s">
        <v>41</v>
      </c>
      <c r="Q6180" s="14">
        <v>0</v>
      </c>
      <c r="R6180" s="143"/>
      <c r="S6180" s="47"/>
      <c r="T6180" s="6">
        <v>24741.10159999998</v>
      </c>
      <c r="U6180" s="6">
        <v>-24629.627100000005</v>
      </c>
      <c r="V6180" s="6">
        <v>0</v>
      </c>
      <c r="W6180" s="6">
        <f t="shared" si="956"/>
        <v>111.4744999999748</v>
      </c>
      <c r="X6180" s="6">
        <f t="shared" si="957"/>
        <v>0</v>
      </c>
      <c r="Y6180" s="13">
        <f t="shared" si="960"/>
        <v>0</v>
      </c>
      <c r="Z6180" s="66">
        <v>0</v>
      </c>
      <c r="AA6180" s="6">
        <v>0</v>
      </c>
      <c r="AB6180" s="4">
        <f t="shared" si="961"/>
        <v>0</v>
      </c>
      <c r="AC6180" s="6">
        <f t="shared" si="959"/>
        <v>0</v>
      </c>
      <c r="AD6180" s="6">
        <v>0</v>
      </c>
      <c r="AE6180" s="14">
        <f>VLOOKUP(I6180,[2]媒体政策预估表!A:N,MATCH(O6180,[2]媒体政策预估表!$A$2:$M$2,0),0)</f>
        <v>7.0000000000000007E-2</v>
      </c>
      <c r="AF6180" s="6">
        <f t="shared" ref="AF6180:AF6243" si="963">AD6180*AE6180</f>
        <v>0</v>
      </c>
      <c r="AG6180" s="14">
        <v>0.37</v>
      </c>
      <c r="AH6180" s="6">
        <f t="shared" si="958"/>
        <v>0</v>
      </c>
      <c r="AI6180" s="47"/>
      <c r="AJ6180" s="126" t="e">
        <v>#N/A</v>
      </c>
      <c r="AK6180" s="80">
        <f t="shared" si="962"/>
        <v>0</v>
      </c>
      <c r="AL6180" s="85"/>
      <c r="AM6180" s="85"/>
    </row>
    <row r="6181" spans="1:39" s="86" customFormat="1" ht="13.25" hidden="1" customHeight="1" x14ac:dyDescent="0.3">
      <c r="A6181" s="89" t="s">
        <v>3794</v>
      </c>
      <c r="B6181" s="86" t="s">
        <v>35</v>
      </c>
      <c r="C6181" s="86" t="s">
        <v>187</v>
      </c>
      <c r="D6181" s="86" t="s">
        <v>208</v>
      </c>
      <c r="E6181" s="86" t="s">
        <v>2463</v>
      </c>
      <c r="F6181" s="86" t="s">
        <v>2463</v>
      </c>
      <c r="G6181" s="86" t="s">
        <v>2463</v>
      </c>
      <c r="H6181" s="143">
        <v>237</v>
      </c>
      <c r="I6181" s="86" t="s">
        <v>2374</v>
      </c>
      <c r="J6181" s="1" t="s">
        <v>3322</v>
      </c>
      <c r="K6181" s="1" t="s">
        <v>3269</v>
      </c>
      <c r="L6181" s="1" t="s">
        <v>35</v>
      </c>
      <c r="M6181" s="86" t="s">
        <v>2438</v>
      </c>
      <c r="O6181" s="47" t="s">
        <v>40</v>
      </c>
      <c r="P6181" s="47" t="s">
        <v>46</v>
      </c>
      <c r="Q6181" s="14">
        <v>0.05</v>
      </c>
      <c r="R6181" s="143"/>
      <c r="S6181" s="47"/>
      <c r="T6181" s="6">
        <v>91499.004734503746</v>
      </c>
      <c r="U6181" s="6">
        <v>-91493.751999999993</v>
      </c>
      <c r="V6181" s="6">
        <v>0</v>
      </c>
      <c r="W6181" s="6">
        <f t="shared" si="956"/>
        <v>5.2527345037524356</v>
      </c>
      <c r="X6181" s="6">
        <f t="shared" si="957"/>
        <v>0</v>
      </c>
      <c r="Y6181" s="13">
        <f t="shared" si="960"/>
        <v>0</v>
      </c>
      <c r="Z6181" s="66">
        <v>0</v>
      </c>
      <c r="AA6181" s="6">
        <v>0</v>
      </c>
      <c r="AB6181" s="4">
        <f t="shared" si="961"/>
        <v>0</v>
      </c>
      <c r="AC6181" s="6">
        <f t="shared" si="959"/>
        <v>0</v>
      </c>
      <c r="AD6181" s="6">
        <v>0</v>
      </c>
      <c r="AE6181" s="14">
        <f>VLOOKUP(I6181,[2]媒体政策预估表!A:N,MATCH(O6181,[2]媒体政策预估表!$A$2:$M$2,0),0)</f>
        <v>0.09</v>
      </c>
      <c r="AF6181" s="6">
        <f t="shared" si="963"/>
        <v>0</v>
      </c>
      <c r="AG6181" s="14">
        <v>0.4</v>
      </c>
      <c r="AH6181" s="6">
        <f t="shared" si="958"/>
        <v>0</v>
      </c>
      <c r="AI6181" s="47"/>
      <c r="AJ6181" s="126" t="e">
        <v>#N/A</v>
      </c>
      <c r="AK6181" s="80">
        <f t="shared" si="962"/>
        <v>0</v>
      </c>
      <c r="AL6181" s="85"/>
      <c r="AM6181" s="85"/>
    </row>
    <row r="6182" spans="1:39" s="86" customFormat="1" ht="13.25" hidden="1" customHeight="1" x14ac:dyDescent="0.3">
      <c r="A6182" s="89" t="s">
        <v>3794</v>
      </c>
      <c r="B6182" s="86" t="s">
        <v>35</v>
      </c>
      <c r="C6182" s="86" t="s">
        <v>187</v>
      </c>
      <c r="D6182" s="86" t="s">
        <v>208</v>
      </c>
      <c r="E6182" s="86" t="s">
        <v>2463</v>
      </c>
      <c r="F6182" s="86" t="s">
        <v>2463</v>
      </c>
      <c r="G6182" s="86" t="s">
        <v>2463</v>
      </c>
      <c r="H6182" s="144">
        <v>237</v>
      </c>
      <c r="I6182" s="86" t="s">
        <v>2374</v>
      </c>
      <c r="J6182" s="1" t="s">
        <v>3322</v>
      </c>
      <c r="K6182" s="1" t="s">
        <v>3269</v>
      </c>
      <c r="L6182" s="1" t="s">
        <v>35</v>
      </c>
      <c r="M6182" s="86" t="s">
        <v>3897</v>
      </c>
      <c r="O6182" s="47" t="s">
        <v>40</v>
      </c>
      <c r="P6182" s="47" t="s">
        <v>46</v>
      </c>
      <c r="Q6182" s="14">
        <v>0.05</v>
      </c>
      <c r="R6182" s="143"/>
      <c r="S6182" s="47"/>
      <c r="T6182" s="6">
        <v>0</v>
      </c>
      <c r="U6182" s="6">
        <v>159499.99799999996</v>
      </c>
      <c r="V6182" s="6">
        <v>147493.47999999992</v>
      </c>
      <c r="W6182" s="6">
        <f t="shared" si="956"/>
        <v>12006.51800000004</v>
      </c>
      <c r="X6182" s="6">
        <f t="shared" si="957"/>
        <v>101719.64137931028</v>
      </c>
      <c r="Y6182" s="13">
        <f t="shared" si="960"/>
        <v>0</v>
      </c>
      <c r="Z6182" s="66">
        <v>0</v>
      </c>
      <c r="AA6182" s="6">
        <v>0</v>
      </c>
      <c r="AB6182" s="4">
        <f t="shared" si="961"/>
        <v>101719.64137931028</v>
      </c>
      <c r="AC6182" s="6">
        <f t="shared" si="959"/>
        <v>45773.838620689639</v>
      </c>
      <c r="AD6182" s="6">
        <v>105349.02</v>
      </c>
      <c r="AE6182" s="14">
        <f>VLOOKUP(I6182,[2]媒体政策预估表!A:N,MATCH(O6182,[2]媒体政策预估表!$A$2:$M$2,0),0)</f>
        <v>0.09</v>
      </c>
      <c r="AF6182" s="6">
        <f t="shared" si="963"/>
        <v>9481.4117999999999</v>
      </c>
      <c r="AG6182" s="14">
        <v>0.4</v>
      </c>
      <c r="AH6182" s="6">
        <f t="shared" si="958"/>
        <v>105352.48571428566</v>
      </c>
      <c r="AI6182" s="47"/>
      <c r="AJ6182" s="126" t="e">
        <v>#N/A</v>
      </c>
      <c r="AK6182" s="80">
        <f t="shared" si="962"/>
        <v>0</v>
      </c>
      <c r="AL6182" s="85"/>
      <c r="AM6182" s="85"/>
    </row>
    <row r="6183" spans="1:39" s="86" customFormat="1" ht="13.25" hidden="1" customHeight="1" x14ac:dyDescent="0.3">
      <c r="A6183" s="89" t="s">
        <v>3794</v>
      </c>
      <c r="B6183" s="86" t="s">
        <v>35</v>
      </c>
      <c r="C6183" s="86" t="s">
        <v>187</v>
      </c>
      <c r="D6183" s="86" t="s">
        <v>208</v>
      </c>
      <c r="E6183" s="86" t="s">
        <v>202</v>
      </c>
      <c r="F6183" s="86" t="s">
        <v>2464</v>
      </c>
      <c r="G6183" s="86" t="s">
        <v>202</v>
      </c>
      <c r="H6183" s="143">
        <v>237</v>
      </c>
      <c r="I6183" s="86" t="s">
        <v>2374</v>
      </c>
      <c r="J6183" s="1" t="s">
        <v>3322</v>
      </c>
      <c r="K6183" s="1" t="s">
        <v>3269</v>
      </c>
      <c r="L6183" s="1" t="s">
        <v>35</v>
      </c>
      <c r="M6183" s="86" t="s">
        <v>2438</v>
      </c>
      <c r="O6183" s="47" t="s">
        <v>45</v>
      </c>
      <c r="P6183" s="47" t="s">
        <v>46</v>
      </c>
      <c r="Q6183" s="14">
        <v>0.05</v>
      </c>
      <c r="R6183" s="143"/>
      <c r="S6183" s="47"/>
      <c r="T6183" s="6">
        <v>55994.777000000002</v>
      </c>
      <c r="U6183" s="6">
        <v>-55999.654200000012</v>
      </c>
      <c r="V6183" s="6">
        <v>0</v>
      </c>
      <c r="W6183" s="6">
        <f t="shared" si="956"/>
        <v>-4.8772000000099069</v>
      </c>
      <c r="X6183" s="6">
        <f t="shared" si="957"/>
        <v>0</v>
      </c>
      <c r="Y6183" s="13">
        <f t="shared" si="960"/>
        <v>0</v>
      </c>
      <c r="Z6183" s="66">
        <v>0</v>
      </c>
      <c r="AA6183" s="6">
        <v>0</v>
      </c>
      <c r="AB6183" s="4">
        <f t="shared" si="961"/>
        <v>0</v>
      </c>
      <c r="AC6183" s="6">
        <f t="shared" si="959"/>
        <v>0</v>
      </c>
      <c r="AD6183" s="6">
        <v>0</v>
      </c>
      <c r="AE6183" s="14">
        <f>VLOOKUP(I6183,[2]媒体政策预估表!A:N,MATCH(O6183,[2]媒体政策预估表!$A$2:$M$2,0),0)</f>
        <v>7.0000000000000007E-2</v>
      </c>
      <c r="AF6183" s="6">
        <f t="shared" si="963"/>
        <v>0</v>
      </c>
      <c r="AG6183" s="14">
        <v>0.37</v>
      </c>
      <c r="AH6183" s="6">
        <f t="shared" si="958"/>
        <v>0</v>
      </c>
      <c r="AI6183" s="47"/>
      <c r="AJ6183" s="126" t="e">
        <v>#N/A</v>
      </c>
      <c r="AK6183" s="80">
        <f t="shared" si="962"/>
        <v>0</v>
      </c>
      <c r="AL6183" s="85"/>
      <c r="AM6183" s="85"/>
    </row>
    <row r="6184" spans="1:39" s="86" customFormat="1" ht="13.25" hidden="1" customHeight="1" x14ac:dyDescent="0.3">
      <c r="A6184" s="89" t="s">
        <v>3794</v>
      </c>
      <c r="B6184" s="86" t="s">
        <v>35</v>
      </c>
      <c r="C6184" s="86" t="s">
        <v>187</v>
      </c>
      <c r="D6184" s="86" t="s">
        <v>208</v>
      </c>
      <c r="E6184" s="86" t="s">
        <v>202</v>
      </c>
      <c r="F6184" s="86" t="s">
        <v>2464</v>
      </c>
      <c r="G6184" s="86" t="s">
        <v>202</v>
      </c>
      <c r="H6184" s="143">
        <v>237</v>
      </c>
      <c r="I6184" s="86" t="s">
        <v>2374</v>
      </c>
      <c r="J6184" s="1" t="s">
        <v>3322</v>
      </c>
      <c r="K6184" s="1" t="s">
        <v>3269</v>
      </c>
      <c r="L6184" s="1" t="s">
        <v>35</v>
      </c>
      <c r="M6184" s="86" t="s">
        <v>2438</v>
      </c>
      <c r="O6184" s="47" t="s">
        <v>40</v>
      </c>
      <c r="P6184" s="47" t="s">
        <v>46</v>
      </c>
      <c r="Q6184" s="14">
        <v>0.04</v>
      </c>
      <c r="R6184" s="143"/>
      <c r="S6184" s="47"/>
      <c r="T6184" s="6">
        <v>0</v>
      </c>
      <c r="U6184" s="6">
        <v>-29822.1345</v>
      </c>
      <c r="V6184" s="6">
        <v>0</v>
      </c>
      <c r="W6184" s="6">
        <f t="shared" si="956"/>
        <v>-29822.1345</v>
      </c>
      <c r="X6184" s="6">
        <f t="shared" si="957"/>
        <v>0</v>
      </c>
      <c r="Y6184" s="13">
        <f t="shared" si="960"/>
        <v>0</v>
      </c>
      <c r="Z6184" s="66">
        <v>0</v>
      </c>
      <c r="AA6184" s="6">
        <v>0</v>
      </c>
      <c r="AB6184" s="4">
        <f t="shared" si="961"/>
        <v>0</v>
      </c>
      <c r="AC6184" s="6">
        <f t="shared" si="959"/>
        <v>0</v>
      </c>
      <c r="AD6184" s="6">
        <v>76284.570000000007</v>
      </c>
      <c r="AE6184" s="14">
        <f>VLOOKUP(I6184,[2]媒体政策预估表!A:N,MATCH(O6184,[2]媒体政策预估表!$A$2:$M$2,0),0)</f>
        <v>0.09</v>
      </c>
      <c r="AF6184" s="6">
        <f t="shared" si="963"/>
        <v>6865.6113000000005</v>
      </c>
      <c r="AG6184" s="14">
        <v>0.41</v>
      </c>
      <c r="AH6184" s="6">
        <f t="shared" si="958"/>
        <v>0</v>
      </c>
      <c r="AI6184" s="47"/>
      <c r="AJ6184" s="126" t="e">
        <v>#N/A</v>
      </c>
      <c r="AK6184" s="80">
        <f t="shared" si="962"/>
        <v>0</v>
      </c>
      <c r="AL6184" s="85"/>
      <c r="AM6184" s="85"/>
    </row>
    <row r="6185" spans="1:39" s="86" customFormat="1" ht="13.25" hidden="1" customHeight="1" x14ac:dyDescent="0.3">
      <c r="A6185" s="89" t="s">
        <v>3794</v>
      </c>
      <c r="B6185" s="86" t="s">
        <v>35</v>
      </c>
      <c r="C6185" s="86" t="s">
        <v>187</v>
      </c>
      <c r="D6185" s="86" t="s">
        <v>208</v>
      </c>
      <c r="E6185" s="86" t="s">
        <v>202</v>
      </c>
      <c r="F6185" s="86" t="s">
        <v>2464</v>
      </c>
      <c r="G6185" s="86" t="s">
        <v>202</v>
      </c>
      <c r="H6185" s="144">
        <v>237</v>
      </c>
      <c r="I6185" s="86" t="s">
        <v>2374</v>
      </c>
      <c r="J6185" s="1" t="s">
        <v>3322</v>
      </c>
      <c r="K6185" s="1" t="s">
        <v>3269</v>
      </c>
      <c r="L6185" s="1" t="s">
        <v>35</v>
      </c>
      <c r="M6185" s="86" t="s">
        <v>2438</v>
      </c>
      <c r="O6185" s="47" t="s">
        <v>40</v>
      </c>
      <c r="P6185" s="47" t="s">
        <v>46</v>
      </c>
      <c r="Q6185" s="14">
        <v>0.05</v>
      </c>
      <c r="R6185" s="143"/>
      <c r="S6185" s="47"/>
      <c r="T6185" s="6">
        <v>1050881.8134847868</v>
      </c>
      <c r="U6185" s="6">
        <v>-238356.49600000001</v>
      </c>
      <c r="V6185" s="6">
        <v>106801.37999999999</v>
      </c>
      <c r="W6185" s="6">
        <f t="shared" ref="W6185:W6248" si="964">T6185+U6185-V6185</f>
        <v>705723.93748478673</v>
      </c>
      <c r="X6185" s="6">
        <f t="shared" si="957"/>
        <v>73656.124137931023</v>
      </c>
      <c r="Y6185" s="13">
        <f t="shared" si="960"/>
        <v>73656.124137931023</v>
      </c>
      <c r="Z6185" s="66">
        <v>0</v>
      </c>
      <c r="AA6185" s="6">
        <v>0</v>
      </c>
      <c r="AB6185" s="4">
        <f t="shared" si="961"/>
        <v>73656.124137931023</v>
      </c>
      <c r="AC6185" s="6">
        <f t="shared" si="959"/>
        <v>33145.255862068967</v>
      </c>
      <c r="AD6185" s="6">
        <v>0</v>
      </c>
      <c r="AE6185" s="14">
        <f>VLOOKUP(I6185,[2]媒体政策预估表!A:N,MATCH(O6185,[2]媒体政策预估表!$A$2:$M$2,0),0)</f>
        <v>0.09</v>
      </c>
      <c r="AF6185" s="6">
        <f t="shared" si="963"/>
        <v>0</v>
      </c>
      <c r="AG6185" s="14">
        <v>0.4</v>
      </c>
      <c r="AH6185" s="6">
        <f t="shared" si="958"/>
        <v>76286.7</v>
      </c>
      <c r="AI6185" s="47"/>
      <c r="AJ6185" s="126" t="e">
        <v>#N/A</v>
      </c>
      <c r="AK6185" s="80">
        <f t="shared" si="962"/>
        <v>0</v>
      </c>
      <c r="AL6185" s="85"/>
      <c r="AM6185" s="85"/>
    </row>
    <row r="6186" spans="1:39" s="86" customFormat="1" ht="13.25" hidden="1" customHeight="1" x14ac:dyDescent="0.3">
      <c r="A6186" s="89" t="s">
        <v>3794</v>
      </c>
      <c r="B6186" s="86" t="s">
        <v>35</v>
      </c>
      <c r="C6186" s="86" t="s">
        <v>187</v>
      </c>
      <c r="D6186" s="86" t="s">
        <v>208</v>
      </c>
      <c r="E6186" s="86" t="s">
        <v>202</v>
      </c>
      <c r="F6186" s="86" t="s">
        <v>2464</v>
      </c>
      <c r="G6186" s="86" t="s">
        <v>202</v>
      </c>
      <c r="H6186" s="144">
        <v>237</v>
      </c>
      <c r="I6186" s="86" t="s">
        <v>2374</v>
      </c>
      <c r="J6186" s="1" t="s">
        <v>3322</v>
      </c>
      <c r="K6186" s="1" t="s">
        <v>3269</v>
      </c>
      <c r="L6186" s="1" t="s">
        <v>35</v>
      </c>
      <c r="M6186" s="86" t="s">
        <v>3897</v>
      </c>
      <c r="O6186" s="47" t="s">
        <v>40</v>
      </c>
      <c r="P6186" s="47" t="s">
        <v>46</v>
      </c>
      <c r="Q6186" s="14">
        <v>0.05</v>
      </c>
      <c r="R6186" s="143"/>
      <c r="S6186" s="47"/>
      <c r="T6186" s="6">
        <v>0</v>
      </c>
      <c r="U6186" s="6">
        <v>290000.00399999996</v>
      </c>
      <c r="V6186" s="6">
        <v>33953.9</v>
      </c>
      <c r="W6186" s="6">
        <f t="shared" si="964"/>
        <v>256046.10399999996</v>
      </c>
      <c r="X6186" s="6">
        <f t="shared" si="957"/>
        <v>23416.482758620688</v>
      </c>
      <c r="Y6186" s="13">
        <f t="shared" si="960"/>
        <v>0</v>
      </c>
      <c r="Z6186" s="66">
        <v>0</v>
      </c>
      <c r="AA6186" s="6">
        <v>0</v>
      </c>
      <c r="AB6186" s="4">
        <f t="shared" si="961"/>
        <v>23416.482758620688</v>
      </c>
      <c r="AC6186" s="6">
        <f t="shared" si="959"/>
        <v>10537.417241379313</v>
      </c>
      <c r="AD6186" s="6">
        <v>24251.74</v>
      </c>
      <c r="AE6186" s="14">
        <f>VLOOKUP(I6186,[2]媒体政策预估表!A:N,MATCH(O6186,[2]媒体政策预估表!$A$2:$M$2,0),0)</f>
        <v>0.09</v>
      </c>
      <c r="AF6186" s="6">
        <f t="shared" si="963"/>
        <v>2182.6566000000003</v>
      </c>
      <c r="AG6186" s="14">
        <v>0.4</v>
      </c>
      <c r="AH6186" s="6">
        <f t="shared" si="958"/>
        <v>24252.785714285717</v>
      </c>
      <c r="AI6186" s="47"/>
      <c r="AJ6186" s="126" t="e">
        <v>#N/A</v>
      </c>
      <c r="AK6186" s="80">
        <f t="shared" si="962"/>
        <v>0</v>
      </c>
      <c r="AL6186" s="85"/>
      <c r="AM6186" s="85"/>
    </row>
    <row r="6187" spans="1:39" s="86" customFormat="1" ht="13.25" hidden="1" customHeight="1" x14ac:dyDescent="0.3">
      <c r="A6187" s="89" t="s">
        <v>3794</v>
      </c>
      <c r="B6187" s="86" t="s">
        <v>35</v>
      </c>
      <c r="C6187" s="86" t="s">
        <v>187</v>
      </c>
      <c r="D6187" s="86" t="s">
        <v>208</v>
      </c>
      <c r="E6187" s="86" t="s">
        <v>3422</v>
      </c>
      <c r="F6187" s="86" t="s">
        <v>3422</v>
      </c>
      <c r="G6187" s="86" t="s">
        <v>3422</v>
      </c>
      <c r="H6187" s="143">
        <v>237</v>
      </c>
      <c r="I6187" s="86" t="s">
        <v>2374</v>
      </c>
      <c r="J6187" s="1" t="s">
        <v>3322</v>
      </c>
      <c r="K6187" s="1" t="s">
        <v>3269</v>
      </c>
      <c r="L6187" s="1" t="s">
        <v>35</v>
      </c>
      <c r="M6187" s="86" t="s">
        <v>2438</v>
      </c>
      <c r="O6187" s="47" t="s">
        <v>40</v>
      </c>
      <c r="P6187" s="47" t="s">
        <v>41</v>
      </c>
      <c r="Q6187" s="14">
        <v>0</v>
      </c>
      <c r="R6187" s="143"/>
      <c r="S6187" s="47"/>
      <c r="T6187" s="6">
        <v>23750.069999999992</v>
      </c>
      <c r="U6187" s="6">
        <v>-23750.075999999997</v>
      </c>
      <c r="V6187" s="6">
        <v>0</v>
      </c>
      <c r="W6187" s="6">
        <f t="shared" si="964"/>
        <v>-6.0000000048603397E-3</v>
      </c>
      <c r="X6187" s="6">
        <f t="shared" si="957"/>
        <v>0</v>
      </c>
      <c r="Y6187" s="13">
        <f t="shared" si="960"/>
        <v>0</v>
      </c>
      <c r="Z6187" s="66">
        <v>0</v>
      </c>
      <c r="AA6187" s="6">
        <v>0</v>
      </c>
      <c r="AB6187" s="4">
        <f t="shared" si="961"/>
        <v>0</v>
      </c>
      <c r="AC6187" s="6">
        <f t="shared" si="959"/>
        <v>0</v>
      </c>
      <c r="AD6187" s="6">
        <v>0</v>
      </c>
      <c r="AE6187" s="14">
        <f>VLOOKUP(I6187,[2]媒体政策预估表!A:N,MATCH(O6187,[2]媒体政策预估表!$A$2:$M$2,0),0)</f>
        <v>0.09</v>
      </c>
      <c r="AF6187" s="6">
        <f t="shared" si="963"/>
        <v>0</v>
      </c>
      <c r="AG6187" s="14">
        <v>0.4</v>
      </c>
      <c r="AH6187" s="6">
        <f t="shared" si="958"/>
        <v>0</v>
      </c>
      <c r="AI6187" s="47"/>
      <c r="AJ6187" s="126" t="e">
        <v>#N/A</v>
      </c>
      <c r="AK6187" s="80">
        <f t="shared" si="962"/>
        <v>0</v>
      </c>
      <c r="AL6187" s="85"/>
      <c r="AM6187" s="85"/>
    </row>
    <row r="6188" spans="1:39" s="86" customFormat="1" ht="13.25" hidden="1" customHeight="1" x14ac:dyDescent="0.3">
      <c r="A6188" s="89" t="s">
        <v>3792</v>
      </c>
      <c r="B6188" s="86" t="s">
        <v>35</v>
      </c>
      <c r="C6188" s="86" t="s">
        <v>187</v>
      </c>
      <c r="D6188" s="86" t="s">
        <v>208</v>
      </c>
      <c r="E6188" s="86" t="s">
        <v>2465</v>
      </c>
      <c r="F6188" s="86" t="s">
        <v>2466</v>
      </c>
      <c r="G6188" s="86" t="s">
        <v>2465</v>
      </c>
      <c r="H6188" s="144">
        <v>237</v>
      </c>
      <c r="I6188" s="86" t="s">
        <v>2374</v>
      </c>
      <c r="J6188" s="1" t="s">
        <v>3322</v>
      </c>
      <c r="K6188" s="1" t="s">
        <v>3269</v>
      </c>
      <c r="L6188" s="1" t="s">
        <v>35</v>
      </c>
      <c r="M6188" s="86" t="s">
        <v>2465</v>
      </c>
      <c r="O6188" s="47" t="s">
        <v>45</v>
      </c>
      <c r="P6188" s="47" t="s">
        <v>46</v>
      </c>
      <c r="Q6188" s="14">
        <v>6.4799999999999996E-2</v>
      </c>
      <c r="R6188" s="143"/>
      <c r="S6188" s="47"/>
      <c r="T6188" s="6">
        <v>36038.652800000506</v>
      </c>
      <c r="U6188" s="6">
        <v>572400.00000000012</v>
      </c>
      <c r="V6188" s="6">
        <v>534923.12999999989</v>
      </c>
      <c r="W6188" s="6">
        <f t="shared" si="964"/>
        <v>73515.522800000734</v>
      </c>
      <c r="X6188" s="6">
        <f t="shared" si="957"/>
        <v>467263.39098532486</v>
      </c>
      <c r="Y6188" s="13">
        <f t="shared" si="960"/>
        <v>0</v>
      </c>
      <c r="Z6188" s="66">
        <v>0</v>
      </c>
      <c r="AA6188" s="6">
        <v>0</v>
      </c>
      <c r="AB6188" s="4">
        <f t="shared" si="961"/>
        <v>467263.39098532486</v>
      </c>
      <c r="AC6188" s="6">
        <f t="shared" si="959"/>
        <v>67659.739014675026</v>
      </c>
      <c r="AD6188" s="6">
        <v>495204.61999999976</v>
      </c>
      <c r="AE6188" s="14">
        <f>VLOOKUP(I6188,[2]媒体政策预估表!A:N,MATCH(O6188,[2]媒体政策预估表!$A$2:$M$2,0),0)</f>
        <v>7.0000000000000007E-2</v>
      </c>
      <c r="AF6188" s="6">
        <f t="shared" si="963"/>
        <v>34664.323399999987</v>
      </c>
      <c r="AG6188" s="14">
        <v>0.08</v>
      </c>
      <c r="AH6188" s="6">
        <f t="shared" si="958"/>
        <v>495299.19444444432</v>
      </c>
      <c r="AI6188" s="47"/>
      <c r="AJ6188" s="126" t="e">
        <v>#N/A</v>
      </c>
      <c r="AK6188" s="80">
        <f t="shared" si="962"/>
        <v>0</v>
      </c>
      <c r="AL6188" s="85"/>
      <c r="AM6188" s="85"/>
    </row>
    <row r="6189" spans="1:39" s="86" customFormat="1" ht="13.25" hidden="1" customHeight="1" x14ac:dyDescent="0.3">
      <c r="A6189" s="89" t="s">
        <v>3792</v>
      </c>
      <c r="B6189" s="86" t="s">
        <v>35</v>
      </c>
      <c r="C6189" s="86" t="s">
        <v>187</v>
      </c>
      <c r="D6189" s="86" t="s">
        <v>208</v>
      </c>
      <c r="E6189" s="86" t="s">
        <v>2467</v>
      </c>
      <c r="F6189" s="86" t="s">
        <v>2467</v>
      </c>
      <c r="G6189" s="86" t="s">
        <v>2467</v>
      </c>
      <c r="H6189" s="144">
        <v>237</v>
      </c>
      <c r="I6189" s="86" t="s">
        <v>2374</v>
      </c>
      <c r="J6189" s="1" t="s">
        <v>3322</v>
      </c>
      <c r="K6189" s="1" t="s">
        <v>3269</v>
      </c>
      <c r="L6189" s="1" t="s">
        <v>35</v>
      </c>
      <c r="M6189" s="86" t="s">
        <v>2438</v>
      </c>
      <c r="O6189" s="47" t="s">
        <v>45</v>
      </c>
      <c r="P6189" s="47" t="s">
        <v>46</v>
      </c>
      <c r="Q6189" s="14">
        <v>0.05</v>
      </c>
      <c r="R6189" s="143"/>
      <c r="S6189" s="47"/>
      <c r="T6189" s="6">
        <v>11425.088200000009</v>
      </c>
      <c r="U6189" s="6">
        <v>71000.003400000001</v>
      </c>
      <c r="V6189" s="6">
        <v>14108.09</v>
      </c>
      <c r="W6189" s="6">
        <f t="shared" si="964"/>
        <v>68317.001600000018</v>
      </c>
      <c r="X6189" s="6">
        <f t="shared" si="957"/>
        <v>9935.274647887325</v>
      </c>
      <c r="Y6189" s="13">
        <f t="shared" si="960"/>
        <v>0</v>
      </c>
      <c r="Z6189" s="66">
        <v>0</v>
      </c>
      <c r="AA6189" s="6">
        <v>0</v>
      </c>
      <c r="AB6189" s="4">
        <f t="shared" si="961"/>
        <v>9935.274647887325</v>
      </c>
      <c r="AC6189" s="6">
        <f t="shared" si="959"/>
        <v>4172.8153521126751</v>
      </c>
      <c r="AD6189" s="6">
        <v>10297.780000000001</v>
      </c>
      <c r="AE6189" s="14">
        <f>VLOOKUP(I6189,[2]媒体政策预估表!A:N,MATCH(O6189,[2]媒体政策预估表!$A$2:$M$2,0),0)</f>
        <v>7.0000000000000007E-2</v>
      </c>
      <c r="AF6189" s="6">
        <f t="shared" si="963"/>
        <v>720.84460000000013</v>
      </c>
      <c r="AG6189" s="14">
        <v>0.37</v>
      </c>
      <c r="AH6189" s="6">
        <f t="shared" si="958"/>
        <v>10297.875912408759</v>
      </c>
      <c r="AI6189" s="47"/>
      <c r="AJ6189" s="126" t="e">
        <v>#N/A</v>
      </c>
      <c r="AK6189" s="80">
        <f t="shared" si="962"/>
        <v>0</v>
      </c>
      <c r="AL6189" s="85"/>
      <c r="AM6189" s="85"/>
    </row>
    <row r="6190" spans="1:39" s="86" customFormat="1" ht="13.25" hidden="1" customHeight="1" x14ac:dyDescent="0.3">
      <c r="A6190" s="89" t="s">
        <v>3792</v>
      </c>
      <c r="B6190" s="86" t="s">
        <v>35</v>
      </c>
      <c r="C6190" s="86" t="s">
        <v>187</v>
      </c>
      <c r="D6190" s="86" t="s">
        <v>208</v>
      </c>
      <c r="E6190" s="86" t="s">
        <v>2469</v>
      </c>
      <c r="F6190" s="86" t="s">
        <v>2469</v>
      </c>
      <c r="G6190" s="86" t="s">
        <v>2469</v>
      </c>
      <c r="H6190" s="144">
        <v>237</v>
      </c>
      <c r="I6190" s="86" t="s">
        <v>2374</v>
      </c>
      <c r="J6190" s="1" t="s">
        <v>3322</v>
      </c>
      <c r="K6190" s="1" t="s">
        <v>3269</v>
      </c>
      <c r="L6190" s="1" t="s">
        <v>35</v>
      </c>
      <c r="M6190" s="86" t="s">
        <v>2438</v>
      </c>
      <c r="O6190" s="47" t="s">
        <v>45</v>
      </c>
      <c r="P6190" s="47" t="s">
        <v>46</v>
      </c>
      <c r="Q6190" s="14">
        <v>0.03</v>
      </c>
      <c r="R6190" s="143"/>
      <c r="S6190" s="47"/>
      <c r="T6190" s="6">
        <v>17938.838699999993</v>
      </c>
      <c r="U6190" s="6">
        <v>90999.989500000011</v>
      </c>
      <c r="V6190" s="6">
        <v>44309.48000000001</v>
      </c>
      <c r="W6190" s="6">
        <f t="shared" si="964"/>
        <v>64629.348199999993</v>
      </c>
      <c r="X6190" s="6">
        <f t="shared" si="957"/>
        <v>31649.62857142858</v>
      </c>
      <c r="Y6190" s="13">
        <f t="shared" si="960"/>
        <v>0</v>
      </c>
      <c r="Z6190" s="66">
        <v>0</v>
      </c>
      <c r="AA6190" s="6">
        <v>0</v>
      </c>
      <c r="AB6190" s="4">
        <f t="shared" si="961"/>
        <v>31649.62857142858</v>
      </c>
      <c r="AC6190" s="6">
        <f t="shared" si="959"/>
        <v>12659.85142857143</v>
      </c>
      <c r="AD6190" s="6">
        <v>32342.53</v>
      </c>
      <c r="AE6190" s="14">
        <f>VLOOKUP(I6190,[2]媒体政策预估表!A:N,MATCH(O6190,[2]媒体政策预估表!$A$2:$M$2,0),0)</f>
        <v>7.0000000000000007E-2</v>
      </c>
      <c r="AF6190" s="6">
        <f t="shared" si="963"/>
        <v>2263.9771000000001</v>
      </c>
      <c r="AG6190" s="14">
        <v>0.37</v>
      </c>
      <c r="AH6190" s="6">
        <f t="shared" si="958"/>
        <v>32342.686131386865</v>
      </c>
      <c r="AI6190" s="47"/>
      <c r="AJ6190" s="126" t="e">
        <v>#N/A</v>
      </c>
      <c r="AK6190" s="80">
        <f t="shared" si="962"/>
        <v>0</v>
      </c>
      <c r="AL6190" s="85"/>
      <c r="AM6190" s="85"/>
    </row>
    <row r="6191" spans="1:39" s="86" customFormat="1" ht="13.25" hidden="1" customHeight="1" x14ac:dyDescent="0.3">
      <c r="A6191" s="89" t="s">
        <v>3794</v>
      </c>
      <c r="B6191" s="86" t="s">
        <v>35</v>
      </c>
      <c r="C6191" s="86" t="s">
        <v>59</v>
      </c>
      <c r="D6191" s="86" t="s">
        <v>60</v>
      </c>
      <c r="E6191" s="86" t="s">
        <v>82</v>
      </c>
      <c r="F6191" s="86" t="s">
        <v>83</v>
      </c>
      <c r="G6191" s="86" t="s">
        <v>82</v>
      </c>
      <c r="H6191" s="144">
        <v>237</v>
      </c>
      <c r="I6191" s="86" t="s">
        <v>2374</v>
      </c>
      <c r="J6191" s="1" t="s">
        <v>3322</v>
      </c>
      <c r="K6191" s="1" t="s">
        <v>3269</v>
      </c>
      <c r="L6191" s="1" t="s">
        <v>35</v>
      </c>
      <c r="M6191" s="86" t="s">
        <v>2375</v>
      </c>
      <c r="O6191" s="47" t="s">
        <v>40</v>
      </c>
      <c r="P6191" s="47" t="s">
        <v>75</v>
      </c>
      <c r="Q6191" s="14">
        <v>0.06</v>
      </c>
      <c r="R6191" s="143"/>
      <c r="S6191" s="47"/>
      <c r="T6191" s="6">
        <v>153976.13</v>
      </c>
      <c r="U6191" s="6"/>
      <c r="V6191" s="6">
        <v>30777.08</v>
      </c>
      <c r="W6191" s="6">
        <f t="shared" si="964"/>
        <v>123199.05</v>
      </c>
      <c r="X6191" s="6">
        <f t="shared" si="957"/>
        <v>30777.08</v>
      </c>
      <c r="Y6191" s="13">
        <f t="shared" si="960"/>
        <v>0</v>
      </c>
      <c r="Z6191" s="14">
        <v>0</v>
      </c>
      <c r="AA6191" s="6">
        <v>0</v>
      </c>
      <c r="AB6191" s="4">
        <f t="shared" si="961"/>
        <v>30777.08</v>
      </c>
      <c r="AC6191" s="6">
        <f t="shared" si="959"/>
        <v>1846.6248000000001</v>
      </c>
      <c r="AD6191" s="6">
        <v>30777.08</v>
      </c>
      <c r="AE6191" s="14">
        <f>VLOOKUP(I6191,[2]媒体政策预估表!A:N,MATCH(O6191,[2]媒体政策预估表!$A$2:$M$2,0),0)</f>
        <v>0.09</v>
      </c>
      <c r="AF6191" s="6">
        <f t="shared" si="963"/>
        <v>2769.9371999999998</v>
      </c>
      <c r="AG6191" s="14">
        <v>0</v>
      </c>
      <c r="AH6191" s="6">
        <f t="shared" si="958"/>
        <v>30777.08</v>
      </c>
      <c r="AI6191" s="47"/>
      <c r="AJ6191" s="126" t="e">
        <v>#N/A</v>
      </c>
      <c r="AK6191" s="80">
        <f t="shared" si="962"/>
        <v>0</v>
      </c>
      <c r="AL6191" s="85"/>
      <c r="AM6191" s="85"/>
    </row>
    <row r="6192" spans="1:39" s="86" customFormat="1" ht="13.25" hidden="1" customHeight="1" x14ac:dyDescent="0.3">
      <c r="A6192" s="89" t="s">
        <v>3794</v>
      </c>
      <c r="B6192" s="86" t="s">
        <v>35</v>
      </c>
      <c r="C6192" s="86" t="s">
        <v>184</v>
      </c>
      <c r="D6192" s="86" t="s">
        <v>54</v>
      </c>
      <c r="E6192" s="86" t="s">
        <v>2378</v>
      </c>
      <c r="F6192" s="86" t="s">
        <v>2379</v>
      </c>
      <c r="G6192" s="86" t="s">
        <v>2378</v>
      </c>
      <c r="H6192" s="143">
        <v>237</v>
      </c>
      <c r="I6192" s="86" t="s">
        <v>2374</v>
      </c>
      <c r="J6192" s="1" t="s">
        <v>3322</v>
      </c>
      <c r="K6192" s="1" t="s">
        <v>3269</v>
      </c>
      <c r="L6192" s="1" t="s">
        <v>35</v>
      </c>
      <c r="M6192" s="86" t="s">
        <v>2378</v>
      </c>
      <c r="O6192" s="47" t="s">
        <v>45</v>
      </c>
      <c r="P6192" s="47" t="s">
        <v>46</v>
      </c>
      <c r="Q6192" s="14">
        <v>-0.04</v>
      </c>
      <c r="R6192" s="143"/>
      <c r="S6192" s="47"/>
      <c r="T6192" s="6">
        <v>-122.264</v>
      </c>
      <c r="U6192" s="6"/>
      <c r="V6192" s="6">
        <v>0</v>
      </c>
      <c r="W6192" s="6">
        <f t="shared" si="964"/>
        <v>-122.264</v>
      </c>
      <c r="X6192" s="6">
        <f t="shared" si="957"/>
        <v>0</v>
      </c>
      <c r="Y6192" s="13">
        <f t="shared" si="960"/>
        <v>0</v>
      </c>
      <c r="Z6192" s="14">
        <v>0</v>
      </c>
      <c r="AA6192" s="6">
        <v>0</v>
      </c>
      <c r="AB6192" s="4">
        <f t="shared" si="961"/>
        <v>0</v>
      </c>
      <c r="AC6192" s="6">
        <f t="shared" si="959"/>
        <v>0</v>
      </c>
      <c r="AD6192" s="6">
        <v>0</v>
      </c>
      <c r="AE6192" s="14">
        <f>VLOOKUP(I6192,[2]媒体政策预估表!A:N,MATCH(O6192,[2]媒体政策预估表!$A$2:$M$2,0),0)</f>
        <v>7.0000000000000007E-2</v>
      </c>
      <c r="AF6192" s="6">
        <f t="shared" si="963"/>
        <v>0</v>
      </c>
      <c r="AG6192" s="14">
        <v>0.24</v>
      </c>
      <c r="AH6192" s="6">
        <f t="shared" si="958"/>
        <v>0</v>
      </c>
      <c r="AI6192" s="47"/>
      <c r="AJ6192" s="126" t="e">
        <v>#N/A</v>
      </c>
      <c r="AK6192" s="80">
        <f t="shared" si="962"/>
        <v>0</v>
      </c>
      <c r="AL6192" s="85"/>
      <c r="AM6192" s="85"/>
    </row>
    <row r="6193" spans="1:39" s="86" customFormat="1" ht="13.25" hidden="1" customHeight="1" x14ac:dyDescent="0.3">
      <c r="A6193" s="89" t="s">
        <v>3792</v>
      </c>
      <c r="B6193" s="86" t="s">
        <v>35</v>
      </c>
      <c r="C6193" s="86" t="s">
        <v>184</v>
      </c>
      <c r="D6193" s="86" t="s">
        <v>54</v>
      </c>
      <c r="E6193" s="86" t="s">
        <v>2378</v>
      </c>
      <c r="F6193" s="86" t="s">
        <v>2379</v>
      </c>
      <c r="G6193" s="86" t="s">
        <v>2378</v>
      </c>
      <c r="H6193" s="143">
        <v>237</v>
      </c>
      <c r="I6193" s="86" t="s">
        <v>2374</v>
      </c>
      <c r="J6193" s="1" t="s">
        <v>3322</v>
      </c>
      <c r="K6193" s="1" t="s">
        <v>3269</v>
      </c>
      <c r="L6193" s="1" t="s">
        <v>35</v>
      </c>
      <c r="M6193" s="86" t="s">
        <v>2378</v>
      </c>
      <c r="O6193" s="47" t="s">
        <v>45</v>
      </c>
      <c r="P6193" s="47" t="s">
        <v>46</v>
      </c>
      <c r="Q6193" s="14">
        <v>0.04</v>
      </c>
      <c r="R6193" s="143"/>
      <c r="S6193" s="47"/>
      <c r="T6193" s="6">
        <v>1221117.98789997</v>
      </c>
      <c r="U6193" s="6"/>
      <c r="V6193" s="6">
        <v>0</v>
      </c>
      <c r="W6193" s="6">
        <f t="shared" si="964"/>
        <v>1221117.98789997</v>
      </c>
      <c r="X6193" s="6">
        <f t="shared" si="957"/>
        <v>0</v>
      </c>
      <c r="Y6193" s="13">
        <f t="shared" si="960"/>
        <v>0</v>
      </c>
      <c r="Z6193" s="14">
        <v>0</v>
      </c>
      <c r="AA6193" s="6">
        <v>0</v>
      </c>
      <c r="AB6193" s="4">
        <f t="shared" si="961"/>
        <v>0</v>
      </c>
      <c r="AC6193" s="6">
        <f t="shared" si="959"/>
        <v>0</v>
      </c>
      <c r="AD6193" s="6">
        <v>0</v>
      </c>
      <c r="AE6193" s="14">
        <f>VLOOKUP(I6193,[2]媒体政策预估表!A:N,MATCH(O6193,[2]媒体政策预估表!$A$2:$M$2,0),0)</f>
        <v>7.0000000000000007E-2</v>
      </c>
      <c r="AF6193" s="6">
        <f t="shared" si="963"/>
        <v>0</v>
      </c>
      <c r="AG6193" s="14">
        <v>0.35</v>
      </c>
      <c r="AH6193" s="6">
        <f t="shared" si="958"/>
        <v>0</v>
      </c>
      <c r="AI6193" s="47"/>
      <c r="AJ6193" s="126" t="e">
        <v>#N/A</v>
      </c>
      <c r="AK6193" s="80">
        <f t="shared" si="962"/>
        <v>0</v>
      </c>
      <c r="AL6193" s="85"/>
      <c r="AM6193" s="85"/>
    </row>
    <row r="6194" spans="1:39" s="86" customFormat="1" ht="13.25" hidden="1" customHeight="1" x14ac:dyDescent="0.3">
      <c r="A6194" s="89" t="s">
        <v>3792</v>
      </c>
      <c r="B6194" s="86" t="s">
        <v>35</v>
      </c>
      <c r="C6194" s="86" t="s">
        <v>184</v>
      </c>
      <c r="D6194" s="86" t="s">
        <v>54</v>
      </c>
      <c r="E6194" s="86" t="s">
        <v>2378</v>
      </c>
      <c r="F6194" s="86" t="s">
        <v>2379</v>
      </c>
      <c r="G6194" s="86" t="s">
        <v>2378</v>
      </c>
      <c r="H6194" s="143">
        <v>237</v>
      </c>
      <c r="I6194" s="86" t="s">
        <v>2374</v>
      </c>
      <c r="J6194" s="1" t="s">
        <v>3322</v>
      </c>
      <c r="K6194" s="1" t="s">
        <v>3269</v>
      </c>
      <c r="L6194" s="1" t="s">
        <v>35</v>
      </c>
      <c r="M6194" s="86" t="s">
        <v>2378</v>
      </c>
      <c r="O6194" s="47" t="s">
        <v>40</v>
      </c>
      <c r="P6194" s="47" t="s">
        <v>46</v>
      </c>
      <c r="Q6194" s="14">
        <v>0.04</v>
      </c>
      <c r="R6194" s="143"/>
      <c r="S6194" s="47"/>
      <c r="T6194" s="6">
        <v>-241630.0183999998</v>
      </c>
      <c r="U6194" s="6"/>
      <c r="V6194" s="6">
        <v>0</v>
      </c>
      <c r="W6194" s="6">
        <f t="shared" si="964"/>
        <v>-241630.0183999998</v>
      </c>
      <c r="X6194" s="6">
        <f t="shared" si="957"/>
        <v>0</v>
      </c>
      <c r="Y6194" s="13">
        <f t="shared" si="960"/>
        <v>0</v>
      </c>
      <c r="Z6194" s="14">
        <v>0</v>
      </c>
      <c r="AA6194" s="6">
        <v>0</v>
      </c>
      <c r="AB6194" s="4">
        <f t="shared" si="961"/>
        <v>0</v>
      </c>
      <c r="AC6194" s="6">
        <f t="shared" si="959"/>
        <v>0</v>
      </c>
      <c r="AD6194" s="6">
        <v>0</v>
      </c>
      <c r="AE6194" s="14">
        <f>VLOOKUP(I6194,[2]媒体政策预估表!A:N,MATCH(O6194,[2]媒体政策预估表!$A$2:$M$2,0),0)</f>
        <v>0.09</v>
      </c>
      <c r="AF6194" s="6">
        <f t="shared" si="963"/>
        <v>0</v>
      </c>
      <c r="AG6194" s="14">
        <v>0.24</v>
      </c>
      <c r="AH6194" s="6">
        <f t="shared" si="958"/>
        <v>0</v>
      </c>
      <c r="AI6194" s="47"/>
      <c r="AJ6194" s="126" t="e">
        <v>#N/A</v>
      </c>
      <c r="AK6194" s="80">
        <f t="shared" si="962"/>
        <v>0</v>
      </c>
      <c r="AL6194" s="85"/>
      <c r="AM6194" s="85"/>
    </row>
    <row r="6195" spans="1:39" s="86" customFormat="1" ht="13.25" hidden="1" customHeight="1" x14ac:dyDescent="0.3">
      <c r="A6195" s="89" t="s">
        <v>3794</v>
      </c>
      <c r="B6195" s="86" t="s">
        <v>35</v>
      </c>
      <c r="C6195" s="86" t="s">
        <v>184</v>
      </c>
      <c r="D6195" s="86" t="s">
        <v>54</v>
      </c>
      <c r="E6195" s="86" t="s">
        <v>2380</v>
      </c>
      <c r="F6195" s="86" t="s">
        <v>2380</v>
      </c>
      <c r="G6195" s="86" t="s">
        <v>2380</v>
      </c>
      <c r="H6195" s="144">
        <v>237</v>
      </c>
      <c r="I6195" s="86" t="s">
        <v>2374</v>
      </c>
      <c r="J6195" s="1" t="s">
        <v>3322</v>
      </c>
      <c r="K6195" s="1" t="s">
        <v>3269</v>
      </c>
      <c r="L6195" s="1" t="s">
        <v>35</v>
      </c>
      <c r="M6195" s="86" t="s">
        <v>2381</v>
      </c>
      <c r="O6195" s="47" t="s">
        <v>45</v>
      </c>
      <c r="P6195" s="47" t="s">
        <v>41</v>
      </c>
      <c r="Q6195" s="14">
        <v>0</v>
      </c>
      <c r="R6195" s="143"/>
      <c r="S6195" s="47"/>
      <c r="T6195" s="6">
        <v>247725.96999999997</v>
      </c>
      <c r="U6195" s="6"/>
      <c r="V6195" s="6">
        <v>247725.96999999997</v>
      </c>
      <c r="W6195" s="6">
        <f t="shared" si="964"/>
        <v>0</v>
      </c>
      <c r="X6195" s="6">
        <f t="shared" si="957"/>
        <v>247725.96999999997</v>
      </c>
      <c r="Y6195" s="13">
        <f t="shared" si="960"/>
        <v>247725.96999999997</v>
      </c>
      <c r="Z6195" s="14">
        <v>0</v>
      </c>
      <c r="AA6195" s="6">
        <v>0</v>
      </c>
      <c r="AB6195" s="4">
        <f t="shared" si="961"/>
        <v>247725.96999999997</v>
      </c>
      <c r="AC6195" s="6">
        <f t="shared" si="959"/>
        <v>0</v>
      </c>
      <c r="AD6195" s="6">
        <v>0</v>
      </c>
      <c r="AE6195" s="14">
        <f>VLOOKUP(I6195,[2]媒体政策预估表!A:N,MATCH(O6195,[2]媒体政策预估表!$A$2:$M$2,0),0)</f>
        <v>7.0000000000000007E-2</v>
      </c>
      <c r="AF6195" s="6">
        <f t="shared" si="963"/>
        <v>0</v>
      </c>
      <c r="AG6195" s="14">
        <v>0</v>
      </c>
      <c r="AH6195" s="6">
        <f t="shared" si="958"/>
        <v>247725.96999999997</v>
      </c>
      <c r="AI6195" s="47"/>
      <c r="AJ6195" s="126" t="e">
        <v>#N/A</v>
      </c>
      <c r="AK6195" s="80">
        <f t="shared" si="962"/>
        <v>0</v>
      </c>
      <c r="AL6195" s="85"/>
      <c r="AM6195" s="85"/>
    </row>
    <row r="6196" spans="1:39" s="86" customFormat="1" ht="13.25" hidden="1" customHeight="1" x14ac:dyDescent="0.3">
      <c r="A6196" s="89" t="s">
        <v>3794</v>
      </c>
      <c r="B6196" s="86" t="s">
        <v>35</v>
      </c>
      <c r="C6196" s="86" t="s">
        <v>184</v>
      </c>
      <c r="D6196" s="86" t="s">
        <v>54</v>
      </c>
      <c r="E6196" s="86" t="s">
        <v>265</v>
      </c>
      <c r="F6196" s="86" t="s">
        <v>265</v>
      </c>
      <c r="G6196" s="86" t="s">
        <v>265</v>
      </c>
      <c r="H6196" s="144">
        <v>237</v>
      </c>
      <c r="I6196" s="86" t="s">
        <v>2374</v>
      </c>
      <c r="J6196" s="1" t="s">
        <v>3322</v>
      </c>
      <c r="K6196" s="1" t="s">
        <v>3269</v>
      </c>
      <c r="L6196" s="1" t="s">
        <v>35</v>
      </c>
      <c r="M6196" s="86" t="s">
        <v>2473</v>
      </c>
      <c r="O6196" s="47" t="s">
        <v>40</v>
      </c>
      <c r="P6196" s="47" t="s">
        <v>41</v>
      </c>
      <c r="Q6196" s="14">
        <v>0</v>
      </c>
      <c r="R6196" s="143"/>
      <c r="S6196" s="47"/>
      <c r="T6196" s="6">
        <v>80592.8554</v>
      </c>
      <c r="U6196" s="6"/>
      <c r="V6196" s="6">
        <v>1361.84</v>
      </c>
      <c r="W6196" s="6">
        <f t="shared" si="964"/>
        <v>79231.015400000004</v>
      </c>
      <c r="X6196" s="6">
        <f t="shared" si="957"/>
        <v>1361.84</v>
      </c>
      <c r="Y6196" s="13">
        <f t="shared" si="960"/>
        <v>0</v>
      </c>
      <c r="Z6196" s="14">
        <v>0</v>
      </c>
      <c r="AA6196" s="6">
        <v>0</v>
      </c>
      <c r="AB6196" s="4">
        <f t="shared" si="961"/>
        <v>1361.84</v>
      </c>
      <c r="AC6196" s="6">
        <f t="shared" si="959"/>
        <v>0</v>
      </c>
      <c r="AD6196" s="6">
        <v>1414.36</v>
      </c>
      <c r="AE6196" s="14">
        <f>VLOOKUP(I6196,[2]媒体政策预估表!A:N,MATCH(O6196,[2]媒体政策预估表!$A$2:$M$2,0),0)</f>
        <v>0.09</v>
      </c>
      <c r="AF6196" s="6">
        <f t="shared" si="963"/>
        <v>127.29239999999999</v>
      </c>
      <c r="AG6196" s="14">
        <v>0</v>
      </c>
      <c r="AH6196" s="6">
        <f t="shared" si="958"/>
        <v>1361.84</v>
      </c>
      <c r="AI6196" s="47"/>
      <c r="AJ6196" s="126" t="e">
        <v>#N/A</v>
      </c>
      <c r="AK6196" s="80">
        <f t="shared" si="962"/>
        <v>0</v>
      </c>
      <c r="AL6196" s="85"/>
      <c r="AM6196" s="85"/>
    </row>
    <row r="6197" spans="1:39" s="86" customFormat="1" ht="13.25" hidden="1" customHeight="1" x14ac:dyDescent="0.3">
      <c r="A6197" s="89" t="s">
        <v>3792</v>
      </c>
      <c r="B6197" s="86" t="s">
        <v>35</v>
      </c>
      <c r="C6197" s="86" t="s">
        <v>65</v>
      </c>
      <c r="D6197" s="86" t="s">
        <v>66</v>
      </c>
      <c r="E6197" s="86" t="s">
        <v>2474</v>
      </c>
      <c r="F6197" s="86" t="s">
        <v>2474</v>
      </c>
      <c r="G6197" s="86" t="s">
        <v>2474</v>
      </c>
      <c r="H6197" s="144">
        <v>237</v>
      </c>
      <c r="I6197" s="86" t="s">
        <v>2374</v>
      </c>
      <c r="J6197" s="1" t="s">
        <v>3322</v>
      </c>
      <c r="K6197" s="1" t="s">
        <v>3269</v>
      </c>
      <c r="L6197" s="1" t="s">
        <v>35</v>
      </c>
      <c r="M6197" s="86" t="s">
        <v>2474</v>
      </c>
      <c r="O6197" s="47" t="s">
        <v>45</v>
      </c>
      <c r="P6197" s="47" t="s">
        <v>41</v>
      </c>
      <c r="Q6197" s="14">
        <v>0</v>
      </c>
      <c r="R6197" s="143"/>
      <c r="S6197" s="47"/>
      <c r="T6197" s="6">
        <v>46609.739999999976</v>
      </c>
      <c r="U6197" s="6"/>
      <c r="V6197" s="6">
        <v>21012.98</v>
      </c>
      <c r="W6197" s="6">
        <f t="shared" si="964"/>
        <v>25596.759999999977</v>
      </c>
      <c r="X6197" s="6">
        <f t="shared" si="957"/>
        <v>21012.98</v>
      </c>
      <c r="Y6197" s="13">
        <f t="shared" si="960"/>
        <v>0</v>
      </c>
      <c r="Z6197" s="14">
        <v>0</v>
      </c>
      <c r="AA6197" s="6">
        <v>0</v>
      </c>
      <c r="AB6197" s="4">
        <f t="shared" si="961"/>
        <v>21012.98</v>
      </c>
      <c r="AC6197" s="6">
        <f t="shared" si="959"/>
        <v>0</v>
      </c>
      <c r="AD6197" s="6">
        <v>21012.98</v>
      </c>
      <c r="AE6197" s="14">
        <f>VLOOKUP(I6197,[2]媒体政策预估表!A:N,MATCH(O6197,[2]媒体政策预估表!$A$2:$M$2,0),0)</f>
        <v>7.0000000000000007E-2</v>
      </c>
      <c r="AF6197" s="6">
        <f t="shared" si="963"/>
        <v>1470.9086000000002</v>
      </c>
      <c r="AG6197" s="14">
        <v>0</v>
      </c>
      <c r="AH6197" s="6">
        <f t="shared" si="958"/>
        <v>21012.98</v>
      </c>
      <c r="AI6197" s="47"/>
      <c r="AJ6197" s="126" t="e">
        <v>#N/A</v>
      </c>
      <c r="AK6197" s="80">
        <f t="shared" si="962"/>
        <v>0</v>
      </c>
      <c r="AL6197" s="85"/>
      <c r="AM6197" s="85"/>
    </row>
    <row r="6198" spans="1:39" s="86" customFormat="1" ht="13.25" hidden="1" customHeight="1" x14ac:dyDescent="0.3">
      <c r="A6198" s="89" t="s">
        <v>3792</v>
      </c>
      <c r="B6198" s="86" t="s">
        <v>35</v>
      </c>
      <c r="C6198" s="86" t="s">
        <v>36</v>
      </c>
      <c r="D6198" s="86" t="s">
        <v>185</v>
      </c>
      <c r="E6198" s="86" t="s">
        <v>2393</v>
      </c>
      <c r="F6198" s="86" t="s">
        <v>2398</v>
      </c>
      <c r="G6198" s="86" t="s">
        <v>2393</v>
      </c>
      <c r="H6198" s="143">
        <v>237</v>
      </c>
      <c r="I6198" s="86" t="s">
        <v>2374</v>
      </c>
      <c r="J6198" s="1" t="s">
        <v>3322</v>
      </c>
      <c r="K6198" s="1" t="s">
        <v>3269</v>
      </c>
      <c r="L6198" s="1" t="s">
        <v>35</v>
      </c>
      <c r="M6198" s="86" t="s">
        <v>2395</v>
      </c>
      <c r="O6198" s="47" t="s">
        <v>45</v>
      </c>
      <c r="P6198" s="47" t="s">
        <v>46</v>
      </c>
      <c r="Q6198" s="14">
        <v>5.5E-2</v>
      </c>
      <c r="R6198" s="143"/>
      <c r="S6198" s="47"/>
      <c r="T6198" s="6">
        <v>9534327.0476999991</v>
      </c>
      <c r="U6198" s="6"/>
      <c r="V6198" s="6">
        <v>0</v>
      </c>
      <c r="W6198" s="6">
        <f t="shared" si="964"/>
        <v>9534327.0476999991</v>
      </c>
      <c r="X6198" s="6">
        <f t="shared" si="957"/>
        <v>0</v>
      </c>
      <c r="Y6198" s="13">
        <f t="shared" si="960"/>
        <v>0</v>
      </c>
      <c r="Z6198" s="14">
        <v>0</v>
      </c>
      <c r="AA6198" s="6">
        <v>0</v>
      </c>
      <c r="AB6198" s="4">
        <f t="shared" si="961"/>
        <v>0</v>
      </c>
      <c r="AC6198" s="6">
        <f t="shared" si="959"/>
        <v>0</v>
      </c>
      <c r="AD6198" s="6">
        <v>0</v>
      </c>
      <c r="AE6198" s="14">
        <f>VLOOKUP(I6198,[2]媒体政策预估表!A:N,MATCH(O6198,[2]媒体政策预估表!$A$2:$M$2,0),0)</f>
        <v>7.0000000000000007E-2</v>
      </c>
      <c r="AF6198" s="6">
        <f t="shared" si="963"/>
        <v>0</v>
      </c>
      <c r="AG6198" s="14">
        <v>0.21</v>
      </c>
      <c r="AH6198" s="6">
        <f t="shared" si="958"/>
        <v>0</v>
      </c>
      <c r="AI6198" s="47"/>
      <c r="AJ6198" s="126" t="e">
        <v>#N/A</v>
      </c>
      <c r="AK6198" s="80">
        <f t="shared" si="962"/>
        <v>0</v>
      </c>
      <c r="AL6198" s="85"/>
      <c r="AM6198" s="85"/>
    </row>
    <row r="6199" spans="1:39" s="86" customFormat="1" ht="13.25" hidden="1" customHeight="1" x14ac:dyDescent="0.3">
      <c r="A6199" s="89" t="s">
        <v>3794</v>
      </c>
      <c r="B6199" s="86" t="s">
        <v>35</v>
      </c>
      <c r="C6199" s="86" t="s">
        <v>36</v>
      </c>
      <c r="D6199" s="86" t="s">
        <v>185</v>
      </c>
      <c r="E6199" s="86" t="s">
        <v>2393</v>
      </c>
      <c r="F6199" s="86" t="s">
        <v>2398</v>
      </c>
      <c r="G6199" s="86" t="s">
        <v>2393</v>
      </c>
      <c r="H6199" s="143">
        <v>237</v>
      </c>
      <c r="I6199" s="86" t="s">
        <v>2374</v>
      </c>
      <c r="J6199" s="1" t="s">
        <v>3322</v>
      </c>
      <c r="K6199" s="1" t="s">
        <v>3269</v>
      </c>
      <c r="L6199" s="1" t="s">
        <v>35</v>
      </c>
      <c r="M6199" s="86" t="s">
        <v>2395</v>
      </c>
      <c r="O6199" s="47" t="s">
        <v>40</v>
      </c>
      <c r="P6199" s="47" t="s">
        <v>46</v>
      </c>
      <c r="Q6199" s="14">
        <v>5.5E-2</v>
      </c>
      <c r="R6199" s="143"/>
      <c r="S6199" s="47"/>
      <c r="T6199" s="6">
        <v>3626358.2863999996</v>
      </c>
      <c r="U6199" s="6"/>
      <c r="V6199" s="6">
        <v>0</v>
      </c>
      <c r="W6199" s="6">
        <f t="shared" si="964"/>
        <v>3626358.2863999996</v>
      </c>
      <c r="X6199" s="6">
        <f t="shared" si="957"/>
        <v>0</v>
      </c>
      <c r="Y6199" s="13">
        <f t="shared" si="960"/>
        <v>0</v>
      </c>
      <c r="Z6199" s="14">
        <v>0</v>
      </c>
      <c r="AA6199" s="6">
        <v>0</v>
      </c>
      <c r="AB6199" s="4">
        <f t="shared" si="961"/>
        <v>0</v>
      </c>
      <c r="AC6199" s="6">
        <f t="shared" si="959"/>
        <v>0</v>
      </c>
      <c r="AD6199" s="6">
        <v>0</v>
      </c>
      <c r="AE6199" s="14">
        <f>VLOOKUP(I6199,[2]媒体政策预估表!A:N,MATCH(O6199,[2]媒体政策预估表!$A$2:$M$2,0),0)</f>
        <v>0.09</v>
      </c>
      <c r="AF6199" s="6">
        <f t="shared" si="963"/>
        <v>0</v>
      </c>
      <c r="AG6199" s="14">
        <v>0.24</v>
      </c>
      <c r="AH6199" s="6">
        <f t="shared" si="958"/>
        <v>0</v>
      </c>
      <c r="AI6199" s="47"/>
      <c r="AJ6199" s="126" t="e">
        <v>#N/A</v>
      </c>
      <c r="AK6199" s="80">
        <f t="shared" si="962"/>
        <v>0</v>
      </c>
      <c r="AL6199" s="85"/>
      <c r="AM6199" s="85"/>
    </row>
    <row r="6200" spans="1:39" s="86" customFormat="1" ht="13.25" hidden="1" customHeight="1" x14ac:dyDescent="0.3">
      <c r="A6200" s="89" t="s">
        <v>3792</v>
      </c>
      <c r="B6200" s="86" t="s">
        <v>35</v>
      </c>
      <c r="C6200" s="86" t="s">
        <v>36</v>
      </c>
      <c r="D6200" s="86" t="s">
        <v>185</v>
      </c>
      <c r="E6200" s="86" t="s">
        <v>2393</v>
      </c>
      <c r="F6200" s="86" t="s">
        <v>2399</v>
      </c>
      <c r="G6200" s="86" t="s">
        <v>2393</v>
      </c>
      <c r="H6200" s="143">
        <v>237</v>
      </c>
      <c r="I6200" s="86" t="s">
        <v>2374</v>
      </c>
      <c r="J6200" s="1" t="s">
        <v>3322</v>
      </c>
      <c r="K6200" s="1" t="s">
        <v>3269</v>
      </c>
      <c r="L6200" s="1" t="s">
        <v>35</v>
      </c>
      <c r="M6200" s="86" t="s">
        <v>2396</v>
      </c>
      <c r="O6200" s="47" t="s">
        <v>45</v>
      </c>
      <c r="P6200" s="47" t="s">
        <v>46</v>
      </c>
      <c r="Q6200" s="14">
        <v>5.5E-2</v>
      </c>
      <c r="R6200" s="143"/>
      <c r="S6200" s="47"/>
      <c r="T6200" s="6">
        <v>73133.549999999974</v>
      </c>
      <c r="U6200" s="6"/>
      <c r="V6200" s="6">
        <v>0</v>
      </c>
      <c r="W6200" s="6">
        <f t="shared" si="964"/>
        <v>73133.549999999974</v>
      </c>
      <c r="X6200" s="6">
        <f t="shared" si="957"/>
        <v>0</v>
      </c>
      <c r="Y6200" s="13">
        <f t="shared" si="960"/>
        <v>0</v>
      </c>
      <c r="Z6200" s="14">
        <v>0</v>
      </c>
      <c r="AA6200" s="6">
        <v>0</v>
      </c>
      <c r="AB6200" s="4">
        <f t="shared" si="961"/>
        <v>0</v>
      </c>
      <c r="AC6200" s="6">
        <f t="shared" si="959"/>
        <v>0</v>
      </c>
      <c r="AD6200" s="6">
        <v>0</v>
      </c>
      <c r="AE6200" s="14">
        <f>VLOOKUP(I6200,[2]媒体政策预估表!A:N,MATCH(O6200,[2]媒体政策预估表!$A$2:$M$2,0),0)</f>
        <v>7.0000000000000007E-2</v>
      </c>
      <c r="AF6200" s="6">
        <f t="shared" si="963"/>
        <v>0</v>
      </c>
      <c r="AG6200" s="14">
        <v>0</v>
      </c>
      <c r="AH6200" s="6">
        <f t="shared" si="958"/>
        <v>0</v>
      </c>
      <c r="AI6200" s="47"/>
      <c r="AJ6200" s="126" t="e">
        <v>#N/A</v>
      </c>
      <c r="AK6200" s="80">
        <f t="shared" si="962"/>
        <v>0</v>
      </c>
      <c r="AL6200" s="85"/>
      <c r="AM6200" s="85"/>
    </row>
    <row r="6201" spans="1:39" s="86" customFormat="1" ht="13.25" hidden="1" customHeight="1" x14ac:dyDescent="0.3">
      <c r="A6201" s="89" t="s">
        <v>3792</v>
      </c>
      <c r="B6201" s="86" t="s">
        <v>35</v>
      </c>
      <c r="C6201" s="86" t="s">
        <v>36</v>
      </c>
      <c r="D6201" s="86" t="s">
        <v>185</v>
      </c>
      <c r="E6201" s="86" t="s">
        <v>2393</v>
      </c>
      <c r="F6201" s="86" t="s">
        <v>2403</v>
      </c>
      <c r="G6201" s="86" t="s">
        <v>2393</v>
      </c>
      <c r="H6201" s="143">
        <v>237</v>
      </c>
      <c r="I6201" s="86" t="s">
        <v>2374</v>
      </c>
      <c r="J6201" s="1" t="s">
        <v>3322</v>
      </c>
      <c r="K6201" s="1" t="s">
        <v>3269</v>
      </c>
      <c r="L6201" s="1" t="s">
        <v>35</v>
      </c>
      <c r="M6201" s="86" t="s">
        <v>2404</v>
      </c>
      <c r="O6201" s="47" t="s">
        <v>45</v>
      </c>
      <c r="P6201" s="47" t="s">
        <v>46</v>
      </c>
      <c r="Q6201" s="14">
        <v>5.5E-2</v>
      </c>
      <c r="R6201" s="143"/>
      <c r="S6201" s="47"/>
      <c r="T6201" s="6">
        <v>1068579.5059999994</v>
      </c>
      <c r="U6201" s="6"/>
      <c r="V6201" s="6">
        <v>0</v>
      </c>
      <c r="W6201" s="6">
        <f t="shared" si="964"/>
        <v>1068579.5059999994</v>
      </c>
      <c r="X6201" s="6">
        <f t="shared" si="957"/>
        <v>0</v>
      </c>
      <c r="Y6201" s="13">
        <f t="shared" si="960"/>
        <v>0</v>
      </c>
      <c r="Z6201" s="14">
        <v>0</v>
      </c>
      <c r="AA6201" s="6">
        <v>0</v>
      </c>
      <c r="AB6201" s="4">
        <f t="shared" si="961"/>
        <v>0</v>
      </c>
      <c r="AC6201" s="6">
        <f t="shared" si="959"/>
        <v>0</v>
      </c>
      <c r="AD6201" s="6">
        <v>0</v>
      </c>
      <c r="AE6201" s="14">
        <f>VLOOKUP(I6201,[2]媒体政策预估表!A:N,MATCH(O6201,[2]媒体政策预估表!$A$2:$M$2,0),0)</f>
        <v>7.0000000000000007E-2</v>
      </c>
      <c r="AF6201" s="6">
        <f t="shared" si="963"/>
        <v>0</v>
      </c>
      <c r="AG6201" s="14">
        <v>0.1</v>
      </c>
      <c r="AH6201" s="6">
        <f t="shared" si="958"/>
        <v>0</v>
      </c>
      <c r="AI6201" s="47"/>
      <c r="AJ6201" s="126" t="e">
        <v>#N/A</v>
      </c>
      <c r="AK6201" s="80">
        <f t="shared" si="962"/>
        <v>0</v>
      </c>
      <c r="AL6201" s="85"/>
      <c r="AM6201" s="85"/>
    </row>
    <row r="6202" spans="1:39" s="86" customFormat="1" ht="13.25" hidden="1" customHeight="1" x14ac:dyDescent="0.3">
      <c r="A6202" s="89" t="s">
        <v>3792</v>
      </c>
      <c r="B6202" s="86" t="s">
        <v>35</v>
      </c>
      <c r="C6202" s="86" t="s">
        <v>36</v>
      </c>
      <c r="D6202" s="86" t="s">
        <v>185</v>
      </c>
      <c r="E6202" s="86" t="s">
        <v>2393</v>
      </c>
      <c r="F6202" s="86" t="s">
        <v>2403</v>
      </c>
      <c r="G6202" s="86" t="s">
        <v>2393</v>
      </c>
      <c r="H6202" s="143">
        <v>237</v>
      </c>
      <c r="I6202" s="86" t="s">
        <v>2374</v>
      </c>
      <c r="J6202" s="1" t="s">
        <v>3322</v>
      </c>
      <c r="K6202" s="1" t="s">
        <v>3269</v>
      </c>
      <c r="L6202" s="1" t="s">
        <v>35</v>
      </c>
      <c r="M6202" s="86" t="s">
        <v>2404</v>
      </c>
      <c r="O6202" s="47" t="s">
        <v>45</v>
      </c>
      <c r="P6202" s="47" t="s">
        <v>46</v>
      </c>
      <c r="Q6202" s="14">
        <v>5.5E-2</v>
      </c>
      <c r="R6202" s="143"/>
      <c r="S6202" s="47"/>
      <c r="T6202" s="6">
        <v>1346892.4267000002</v>
      </c>
      <c r="U6202" s="6"/>
      <c r="V6202" s="6">
        <v>0</v>
      </c>
      <c r="W6202" s="6">
        <f t="shared" si="964"/>
        <v>1346892.4267000002</v>
      </c>
      <c r="X6202" s="6">
        <f t="shared" si="957"/>
        <v>0</v>
      </c>
      <c r="Y6202" s="13">
        <f t="shared" si="960"/>
        <v>0</v>
      </c>
      <c r="Z6202" s="14">
        <v>0</v>
      </c>
      <c r="AA6202" s="6">
        <v>0</v>
      </c>
      <c r="AB6202" s="4">
        <f t="shared" si="961"/>
        <v>0</v>
      </c>
      <c r="AC6202" s="6">
        <f t="shared" si="959"/>
        <v>0</v>
      </c>
      <c r="AD6202" s="6">
        <v>0</v>
      </c>
      <c r="AE6202" s="14">
        <f>VLOOKUP(I6202,[2]媒体政策预估表!A:N,MATCH(O6202,[2]媒体政策预估表!$A$2:$M$2,0),0)</f>
        <v>7.0000000000000007E-2</v>
      </c>
      <c r="AF6202" s="6">
        <f t="shared" si="963"/>
        <v>0</v>
      </c>
      <c r="AG6202" s="14">
        <v>0.19</v>
      </c>
      <c r="AH6202" s="6">
        <f t="shared" si="958"/>
        <v>0</v>
      </c>
      <c r="AI6202" s="47"/>
      <c r="AJ6202" s="126" t="e">
        <v>#N/A</v>
      </c>
      <c r="AK6202" s="80">
        <f t="shared" si="962"/>
        <v>0</v>
      </c>
      <c r="AL6202" s="85"/>
      <c r="AM6202" s="85"/>
    </row>
    <row r="6203" spans="1:39" s="86" customFormat="1" ht="13.25" hidden="1" customHeight="1" x14ac:dyDescent="0.3">
      <c r="A6203" s="89" t="s">
        <v>3792</v>
      </c>
      <c r="B6203" s="86" t="s">
        <v>35</v>
      </c>
      <c r="C6203" s="86" t="s">
        <v>36</v>
      </c>
      <c r="D6203" s="86" t="s">
        <v>185</v>
      </c>
      <c r="E6203" s="86" t="s">
        <v>2393</v>
      </c>
      <c r="F6203" s="86" t="s">
        <v>2403</v>
      </c>
      <c r="G6203" s="86" t="s">
        <v>2393</v>
      </c>
      <c r="H6203" s="143">
        <v>237</v>
      </c>
      <c r="I6203" s="86" t="s">
        <v>2374</v>
      </c>
      <c r="J6203" s="1" t="s">
        <v>3322</v>
      </c>
      <c r="K6203" s="1" t="s">
        <v>3269</v>
      </c>
      <c r="L6203" s="1" t="s">
        <v>35</v>
      </c>
      <c r="M6203" s="86" t="s">
        <v>2404</v>
      </c>
      <c r="O6203" s="47" t="s">
        <v>40</v>
      </c>
      <c r="P6203" s="47" t="s">
        <v>46</v>
      </c>
      <c r="Q6203" s="14">
        <v>5.5E-2</v>
      </c>
      <c r="R6203" s="143"/>
      <c r="S6203" s="47"/>
      <c r="T6203" s="6">
        <v>223134.78800000018</v>
      </c>
      <c r="U6203" s="6"/>
      <c r="V6203" s="6">
        <v>0</v>
      </c>
      <c r="W6203" s="6">
        <f t="shared" si="964"/>
        <v>223134.78800000018</v>
      </c>
      <c r="X6203" s="6">
        <f t="shared" si="957"/>
        <v>0</v>
      </c>
      <c r="Y6203" s="13">
        <f t="shared" si="960"/>
        <v>0</v>
      </c>
      <c r="Z6203" s="14">
        <v>0</v>
      </c>
      <c r="AA6203" s="6">
        <v>0</v>
      </c>
      <c r="AB6203" s="4">
        <f t="shared" si="961"/>
        <v>0</v>
      </c>
      <c r="AC6203" s="6">
        <f t="shared" si="959"/>
        <v>0</v>
      </c>
      <c r="AD6203" s="6">
        <v>0</v>
      </c>
      <c r="AE6203" s="14">
        <f>VLOOKUP(I6203,[2]媒体政策预估表!A:N,MATCH(O6203,[2]媒体政策预估表!$A$2:$M$2,0),0)</f>
        <v>0.09</v>
      </c>
      <c r="AF6203" s="6">
        <f t="shared" si="963"/>
        <v>0</v>
      </c>
      <c r="AG6203" s="14">
        <v>0.24</v>
      </c>
      <c r="AH6203" s="6">
        <f t="shared" si="958"/>
        <v>0</v>
      </c>
      <c r="AI6203" s="47"/>
      <c r="AJ6203" s="126" t="e">
        <v>#N/A</v>
      </c>
      <c r="AK6203" s="80">
        <f t="shared" si="962"/>
        <v>0</v>
      </c>
      <c r="AL6203" s="85"/>
      <c r="AM6203" s="85"/>
    </row>
    <row r="6204" spans="1:39" s="86" customFormat="1" ht="13.25" hidden="1" customHeight="1" x14ac:dyDescent="0.3">
      <c r="A6204" s="89" t="s">
        <v>3794</v>
      </c>
      <c r="B6204" s="86" t="s">
        <v>35</v>
      </c>
      <c r="C6204" s="86" t="s">
        <v>36</v>
      </c>
      <c r="D6204" s="86" t="s">
        <v>185</v>
      </c>
      <c r="E6204" s="86" t="s">
        <v>2393</v>
      </c>
      <c r="F6204" s="86" t="s">
        <v>2403</v>
      </c>
      <c r="G6204" s="86" t="s">
        <v>2393</v>
      </c>
      <c r="H6204" s="143">
        <v>237</v>
      </c>
      <c r="I6204" s="86" t="s">
        <v>2374</v>
      </c>
      <c r="J6204" s="1" t="s">
        <v>3322</v>
      </c>
      <c r="K6204" s="1" t="s">
        <v>3269</v>
      </c>
      <c r="L6204" s="1" t="s">
        <v>35</v>
      </c>
      <c r="M6204" s="86" t="s">
        <v>2404</v>
      </c>
      <c r="O6204" s="47" t="s">
        <v>40</v>
      </c>
      <c r="P6204" s="47" t="s">
        <v>46</v>
      </c>
      <c r="Q6204" s="14">
        <v>5.5E-2</v>
      </c>
      <c r="R6204" s="143"/>
      <c r="S6204" s="47"/>
      <c r="T6204" s="6">
        <v>4009966.8060000003</v>
      </c>
      <c r="U6204" s="6"/>
      <c r="V6204" s="6">
        <v>0</v>
      </c>
      <c r="W6204" s="6">
        <f t="shared" si="964"/>
        <v>4009966.8060000003</v>
      </c>
      <c r="X6204" s="6">
        <f t="shared" ref="X6204:X6267" si="965">IF(P6204="折扣",V6204*Q6204,IF(P6204="返现",V6204,V6204/(1+Q6204+AG6204)))</f>
        <v>0</v>
      </c>
      <c r="Y6204" s="13">
        <f t="shared" si="960"/>
        <v>0</v>
      </c>
      <c r="Z6204" s="14">
        <v>0</v>
      </c>
      <c r="AA6204" s="6">
        <v>0</v>
      </c>
      <c r="AB6204" s="4">
        <f t="shared" si="961"/>
        <v>0</v>
      </c>
      <c r="AC6204" s="6">
        <f t="shared" si="959"/>
        <v>0</v>
      </c>
      <c r="AD6204" s="6">
        <v>0</v>
      </c>
      <c r="AE6204" s="14">
        <f>VLOOKUP(I6204,[2]媒体政策预估表!A:N,MATCH(O6204,[2]媒体政策预估表!$A$2:$M$2,0),0)</f>
        <v>0.09</v>
      </c>
      <c r="AF6204" s="6">
        <f t="shared" si="963"/>
        <v>0</v>
      </c>
      <c r="AG6204" s="14">
        <v>0.28000000000000003</v>
      </c>
      <c r="AH6204" s="6">
        <f t="shared" ref="AH6204:AH6267" si="966">V6204/(1+AG6204)</f>
        <v>0</v>
      </c>
      <c r="AI6204" s="47"/>
      <c r="AJ6204" s="126" t="e">
        <v>#N/A</v>
      </c>
      <c r="AK6204" s="80">
        <f t="shared" si="962"/>
        <v>0</v>
      </c>
      <c r="AL6204" s="85"/>
      <c r="AM6204" s="85"/>
    </row>
    <row r="6205" spans="1:39" s="86" customFormat="1" ht="13.25" hidden="1" customHeight="1" x14ac:dyDescent="0.3">
      <c r="A6205" s="89" t="s">
        <v>3792</v>
      </c>
      <c r="B6205" s="86" t="s">
        <v>35</v>
      </c>
      <c r="C6205" s="86" t="s">
        <v>36</v>
      </c>
      <c r="D6205" s="86" t="s">
        <v>185</v>
      </c>
      <c r="E6205" s="86" t="s">
        <v>2409</v>
      </c>
      <c r="F6205" s="86" t="s">
        <v>2415</v>
      </c>
      <c r="G6205" s="86" t="s">
        <v>2409</v>
      </c>
      <c r="H6205" s="143">
        <v>237</v>
      </c>
      <c r="I6205" s="86" t="s">
        <v>2374</v>
      </c>
      <c r="J6205" s="1" t="s">
        <v>3322</v>
      </c>
      <c r="K6205" s="1" t="s">
        <v>3269</v>
      </c>
      <c r="L6205" s="1" t="s">
        <v>35</v>
      </c>
      <c r="M6205" s="86" t="s">
        <v>2411</v>
      </c>
      <c r="O6205" s="47" t="s">
        <v>45</v>
      </c>
      <c r="P6205" s="47" t="s">
        <v>46</v>
      </c>
      <c r="Q6205" s="14">
        <v>5.5E-2</v>
      </c>
      <c r="R6205" s="143"/>
      <c r="S6205" s="47"/>
      <c r="T6205" s="6">
        <v>4486733.1013000002</v>
      </c>
      <c r="U6205" s="6"/>
      <c r="V6205" s="6">
        <v>0</v>
      </c>
      <c r="W6205" s="6">
        <f t="shared" si="964"/>
        <v>4486733.1013000002</v>
      </c>
      <c r="X6205" s="6">
        <f t="shared" si="965"/>
        <v>0</v>
      </c>
      <c r="Y6205" s="13">
        <f t="shared" si="960"/>
        <v>0</v>
      </c>
      <c r="Z6205" s="14">
        <v>0</v>
      </c>
      <c r="AA6205" s="6">
        <v>0</v>
      </c>
      <c r="AB6205" s="4">
        <f t="shared" si="961"/>
        <v>0</v>
      </c>
      <c r="AC6205" s="6">
        <f t="shared" si="959"/>
        <v>0</v>
      </c>
      <c r="AD6205" s="6">
        <v>0</v>
      </c>
      <c r="AE6205" s="14">
        <f>VLOOKUP(I6205,[2]媒体政策预估表!A:N,MATCH(O6205,[2]媒体政策预估表!$A$2:$M$2,0),0)</f>
        <v>7.0000000000000007E-2</v>
      </c>
      <c r="AF6205" s="6">
        <f t="shared" si="963"/>
        <v>0</v>
      </c>
      <c r="AG6205" s="14">
        <v>0.19</v>
      </c>
      <c r="AH6205" s="6">
        <f t="shared" si="966"/>
        <v>0</v>
      </c>
      <c r="AI6205" s="47"/>
      <c r="AJ6205" s="126" t="e">
        <v>#N/A</v>
      </c>
      <c r="AK6205" s="80">
        <f t="shared" si="962"/>
        <v>0</v>
      </c>
      <c r="AL6205" s="85"/>
      <c r="AM6205" s="85"/>
    </row>
    <row r="6206" spans="1:39" s="86" customFormat="1" ht="13.25" hidden="1" customHeight="1" x14ac:dyDescent="0.3">
      <c r="A6206" s="89" t="s">
        <v>3792</v>
      </c>
      <c r="B6206" s="86" t="s">
        <v>35</v>
      </c>
      <c r="C6206" s="86" t="s">
        <v>36</v>
      </c>
      <c r="D6206" s="86" t="s">
        <v>185</v>
      </c>
      <c r="E6206" s="86" t="s">
        <v>2409</v>
      </c>
      <c r="F6206" s="86" t="s">
        <v>2415</v>
      </c>
      <c r="G6206" s="86" t="s">
        <v>2409</v>
      </c>
      <c r="H6206" s="143">
        <v>237</v>
      </c>
      <c r="I6206" s="86" t="s">
        <v>2374</v>
      </c>
      <c r="J6206" s="1" t="s">
        <v>3322</v>
      </c>
      <c r="K6206" s="1" t="s">
        <v>3269</v>
      </c>
      <c r="L6206" s="1" t="s">
        <v>35</v>
      </c>
      <c r="M6206" s="86" t="s">
        <v>2411</v>
      </c>
      <c r="O6206" s="47" t="s">
        <v>40</v>
      </c>
      <c r="P6206" s="47" t="s">
        <v>46</v>
      </c>
      <c r="Q6206" s="14">
        <v>5.5E-2</v>
      </c>
      <c r="R6206" s="143"/>
      <c r="S6206" s="47"/>
      <c r="T6206" s="6">
        <v>459263.8334</v>
      </c>
      <c r="U6206" s="6"/>
      <c r="V6206" s="6">
        <v>0</v>
      </c>
      <c r="W6206" s="6">
        <f t="shared" si="964"/>
        <v>459263.8334</v>
      </c>
      <c r="X6206" s="6">
        <f t="shared" si="965"/>
        <v>0</v>
      </c>
      <c r="Y6206" s="13">
        <f t="shared" si="960"/>
        <v>0</v>
      </c>
      <c r="Z6206" s="14">
        <v>0</v>
      </c>
      <c r="AA6206" s="6">
        <v>0</v>
      </c>
      <c r="AB6206" s="4">
        <f t="shared" si="961"/>
        <v>0</v>
      </c>
      <c r="AC6206" s="6">
        <f t="shared" ref="AC6206:AC6269" si="967">IF(P6206="返现",X6206*Q6206,V6206-X6206)</f>
        <v>0</v>
      </c>
      <c r="AD6206" s="6">
        <v>0</v>
      </c>
      <c r="AE6206" s="14">
        <f>VLOOKUP(I6206,[2]媒体政策预估表!A:N,MATCH(O6206,[2]媒体政策预估表!$A$2:$M$2,0),0)</f>
        <v>0.09</v>
      </c>
      <c r="AF6206" s="6">
        <f t="shared" si="963"/>
        <v>0</v>
      </c>
      <c r="AG6206" s="14">
        <v>0.26</v>
      </c>
      <c r="AH6206" s="6">
        <f t="shared" si="966"/>
        <v>0</v>
      </c>
      <c r="AI6206" s="47"/>
      <c r="AJ6206" s="126" t="e">
        <v>#N/A</v>
      </c>
      <c r="AK6206" s="80">
        <f t="shared" si="962"/>
        <v>0</v>
      </c>
      <c r="AL6206" s="85"/>
      <c r="AM6206" s="85"/>
    </row>
    <row r="6207" spans="1:39" s="86" customFormat="1" ht="13.25" hidden="1" customHeight="1" x14ac:dyDescent="0.3">
      <c r="A6207" s="89" t="s">
        <v>3792</v>
      </c>
      <c r="B6207" s="86" t="s">
        <v>35</v>
      </c>
      <c r="C6207" s="86" t="s">
        <v>36</v>
      </c>
      <c r="D6207" s="86" t="s">
        <v>185</v>
      </c>
      <c r="E6207" s="86" t="s">
        <v>2409</v>
      </c>
      <c r="F6207" s="86" t="s">
        <v>2416</v>
      </c>
      <c r="G6207" s="86" t="s">
        <v>2409</v>
      </c>
      <c r="H6207" s="143">
        <v>237</v>
      </c>
      <c r="I6207" s="86" t="s">
        <v>2374</v>
      </c>
      <c r="J6207" s="1" t="s">
        <v>3322</v>
      </c>
      <c r="K6207" s="1" t="s">
        <v>3269</v>
      </c>
      <c r="L6207" s="1" t="s">
        <v>35</v>
      </c>
      <c r="M6207" s="86" t="s">
        <v>2417</v>
      </c>
      <c r="O6207" s="47" t="s">
        <v>45</v>
      </c>
      <c r="P6207" s="47" t="s">
        <v>46</v>
      </c>
      <c r="Q6207" s="14">
        <v>5.5E-2</v>
      </c>
      <c r="R6207" s="143"/>
      <c r="S6207" s="47"/>
      <c r="T6207" s="6">
        <v>28999.739100000821</v>
      </c>
      <c r="U6207" s="6"/>
      <c r="V6207" s="6">
        <v>0</v>
      </c>
      <c r="W6207" s="6">
        <f t="shared" si="964"/>
        <v>28999.739100000821</v>
      </c>
      <c r="X6207" s="6">
        <f t="shared" si="965"/>
        <v>0</v>
      </c>
      <c r="Y6207" s="13">
        <f t="shared" si="960"/>
        <v>0</v>
      </c>
      <c r="Z6207" s="14">
        <v>0</v>
      </c>
      <c r="AA6207" s="6">
        <v>0</v>
      </c>
      <c r="AB6207" s="4">
        <f t="shared" si="961"/>
        <v>0</v>
      </c>
      <c r="AC6207" s="6">
        <f t="shared" si="967"/>
        <v>0</v>
      </c>
      <c r="AD6207" s="6">
        <v>0</v>
      </c>
      <c r="AE6207" s="14">
        <f>VLOOKUP(I6207,[2]媒体政策预估表!A:N,MATCH(O6207,[2]媒体政策预估表!$A$2:$M$2,0),0)</f>
        <v>7.0000000000000007E-2</v>
      </c>
      <c r="AF6207" s="6">
        <f t="shared" si="963"/>
        <v>0</v>
      </c>
      <c r="AG6207" s="14">
        <v>0.21</v>
      </c>
      <c r="AH6207" s="6">
        <f t="shared" si="966"/>
        <v>0</v>
      </c>
      <c r="AI6207" s="47"/>
      <c r="AJ6207" s="126" t="e">
        <v>#N/A</v>
      </c>
      <c r="AK6207" s="80">
        <f t="shared" si="962"/>
        <v>0</v>
      </c>
      <c r="AL6207" s="85"/>
      <c r="AM6207" s="85"/>
    </row>
    <row r="6208" spans="1:39" s="86" customFormat="1" ht="13.25" hidden="1" customHeight="1" x14ac:dyDescent="0.3">
      <c r="A6208" s="89" t="s">
        <v>3792</v>
      </c>
      <c r="B6208" s="86" t="s">
        <v>35</v>
      </c>
      <c r="C6208" s="86" t="s">
        <v>36</v>
      </c>
      <c r="D6208" s="86" t="s">
        <v>185</v>
      </c>
      <c r="E6208" s="86" t="s">
        <v>2418</v>
      </c>
      <c r="F6208" s="86" t="s">
        <v>2421</v>
      </c>
      <c r="G6208" s="86" t="s">
        <v>2418</v>
      </c>
      <c r="H6208" s="143">
        <v>237</v>
      </c>
      <c r="I6208" s="86" t="s">
        <v>2374</v>
      </c>
      <c r="J6208" s="1" t="s">
        <v>3322</v>
      </c>
      <c r="K6208" s="1" t="s">
        <v>3269</v>
      </c>
      <c r="L6208" s="1" t="s">
        <v>35</v>
      </c>
      <c r="M6208" s="86" t="s">
        <v>2420</v>
      </c>
      <c r="O6208" s="47" t="s">
        <v>40</v>
      </c>
      <c r="P6208" s="47" t="s">
        <v>46</v>
      </c>
      <c r="Q6208" s="14">
        <v>5.5E-2</v>
      </c>
      <c r="R6208" s="143"/>
      <c r="S6208" s="47"/>
      <c r="T6208" s="6">
        <v>7396590.9396000002</v>
      </c>
      <c r="U6208" s="6"/>
      <c r="V6208" s="6">
        <v>0</v>
      </c>
      <c r="W6208" s="6">
        <f t="shared" si="964"/>
        <v>7396590.9396000002</v>
      </c>
      <c r="X6208" s="6">
        <f t="shared" si="965"/>
        <v>0</v>
      </c>
      <c r="Y6208" s="13">
        <f t="shared" si="960"/>
        <v>0</v>
      </c>
      <c r="Z6208" s="14">
        <v>0</v>
      </c>
      <c r="AA6208" s="6">
        <v>0</v>
      </c>
      <c r="AB6208" s="4">
        <f t="shared" si="961"/>
        <v>0</v>
      </c>
      <c r="AC6208" s="6">
        <f t="shared" si="967"/>
        <v>0</v>
      </c>
      <c r="AD6208" s="6">
        <v>0</v>
      </c>
      <c r="AE6208" s="14">
        <f>VLOOKUP(I6208,[2]媒体政策预估表!A:N,MATCH(O6208,[2]媒体政策预估表!$A$2:$M$2,0),0)</f>
        <v>0.09</v>
      </c>
      <c r="AF6208" s="6">
        <f t="shared" si="963"/>
        <v>0</v>
      </c>
      <c r="AG6208" s="14">
        <v>0.28000000000000003</v>
      </c>
      <c r="AH6208" s="6">
        <f t="shared" si="966"/>
        <v>0</v>
      </c>
      <c r="AI6208" s="47"/>
      <c r="AJ6208" s="126" t="e">
        <v>#N/A</v>
      </c>
      <c r="AK6208" s="80">
        <f t="shared" si="962"/>
        <v>0</v>
      </c>
      <c r="AL6208" s="85"/>
      <c r="AM6208" s="85"/>
    </row>
    <row r="6209" spans="1:39" s="86" customFormat="1" ht="13.25" hidden="1" customHeight="1" x14ac:dyDescent="0.3">
      <c r="A6209" s="89" t="s">
        <v>3794</v>
      </c>
      <c r="B6209" s="86" t="s">
        <v>35</v>
      </c>
      <c r="C6209" s="86" t="s">
        <v>36</v>
      </c>
      <c r="D6209" s="86" t="s">
        <v>185</v>
      </c>
      <c r="E6209" s="86" t="s">
        <v>2418</v>
      </c>
      <c r="F6209" s="86" t="s">
        <v>2427</v>
      </c>
      <c r="G6209" s="86" t="s">
        <v>2418</v>
      </c>
      <c r="H6209" s="143">
        <v>237</v>
      </c>
      <c r="I6209" s="86" t="s">
        <v>2374</v>
      </c>
      <c r="J6209" s="1" t="s">
        <v>3322</v>
      </c>
      <c r="K6209" s="1" t="s">
        <v>3269</v>
      </c>
      <c r="L6209" s="1" t="s">
        <v>35</v>
      </c>
      <c r="M6209" s="86" t="s">
        <v>2428</v>
      </c>
      <c r="O6209" s="47" t="s">
        <v>45</v>
      </c>
      <c r="P6209" s="47" t="s">
        <v>46</v>
      </c>
      <c r="Q6209" s="14">
        <v>5.5E-2</v>
      </c>
      <c r="R6209" s="143"/>
      <c r="S6209" s="47"/>
      <c r="T6209" s="6">
        <v>266304.87000000314</v>
      </c>
      <c r="U6209" s="6"/>
      <c r="V6209" s="6">
        <v>0</v>
      </c>
      <c r="W6209" s="6">
        <f t="shared" si="964"/>
        <v>266304.87000000314</v>
      </c>
      <c r="X6209" s="6">
        <f t="shared" si="965"/>
        <v>0</v>
      </c>
      <c r="Y6209" s="13">
        <f t="shared" si="960"/>
        <v>0</v>
      </c>
      <c r="Z6209" s="14">
        <v>0</v>
      </c>
      <c r="AA6209" s="6">
        <v>0</v>
      </c>
      <c r="AB6209" s="4">
        <f t="shared" si="961"/>
        <v>0</v>
      </c>
      <c r="AC6209" s="6">
        <f t="shared" si="967"/>
        <v>0</v>
      </c>
      <c r="AD6209" s="6">
        <v>0</v>
      </c>
      <c r="AE6209" s="14">
        <f>VLOOKUP(I6209,[2]媒体政策预估表!A:N,MATCH(O6209,[2]媒体政策预估表!$A$2:$M$2,0),0)</f>
        <v>7.0000000000000007E-2</v>
      </c>
      <c r="AF6209" s="6">
        <f t="shared" si="963"/>
        <v>0</v>
      </c>
      <c r="AG6209" s="14">
        <v>0.06</v>
      </c>
      <c r="AH6209" s="6">
        <f t="shared" si="966"/>
        <v>0</v>
      </c>
      <c r="AI6209" s="47"/>
      <c r="AJ6209" s="126" t="e">
        <v>#N/A</v>
      </c>
      <c r="AK6209" s="80">
        <f t="shared" si="962"/>
        <v>0</v>
      </c>
      <c r="AL6209" s="85"/>
      <c r="AM6209" s="85"/>
    </row>
    <row r="6210" spans="1:39" s="86" customFormat="1" ht="13.25" hidden="1" customHeight="1" x14ac:dyDescent="0.3">
      <c r="A6210" s="89" t="s">
        <v>3794</v>
      </c>
      <c r="B6210" s="86" t="s">
        <v>35</v>
      </c>
      <c r="C6210" s="86" t="s">
        <v>184</v>
      </c>
      <c r="D6210" s="86" t="s">
        <v>3849</v>
      </c>
      <c r="E6210" s="86" t="s">
        <v>2480</v>
      </c>
      <c r="F6210" s="86" t="s">
        <v>2480</v>
      </c>
      <c r="G6210" s="86" t="s">
        <v>2480</v>
      </c>
      <c r="H6210" s="143">
        <v>237</v>
      </c>
      <c r="I6210" s="86" t="s">
        <v>2374</v>
      </c>
      <c r="J6210" s="1" t="s">
        <v>3322</v>
      </c>
      <c r="K6210" s="1" t="s">
        <v>3269</v>
      </c>
      <c r="L6210" s="1" t="s">
        <v>35</v>
      </c>
      <c r="M6210" s="86" t="s">
        <v>2481</v>
      </c>
      <c r="O6210" s="47" t="s">
        <v>45</v>
      </c>
      <c r="P6210" s="47" t="s">
        <v>41</v>
      </c>
      <c r="Q6210" s="14">
        <v>0</v>
      </c>
      <c r="R6210" s="143"/>
      <c r="S6210" s="47"/>
      <c r="T6210" s="6">
        <v>-1.2999999999733518</v>
      </c>
      <c r="U6210" s="6"/>
      <c r="V6210" s="6">
        <v>0</v>
      </c>
      <c r="W6210" s="6">
        <f t="shared" si="964"/>
        <v>-1.2999999999733518</v>
      </c>
      <c r="X6210" s="6">
        <f t="shared" si="965"/>
        <v>0</v>
      </c>
      <c r="Y6210" s="13">
        <f t="shared" si="960"/>
        <v>0</v>
      </c>
      <c r="Z6210" s="14">
        <v>0</v>
      </c>
      <c r="AA6210" s="6">
        <v>0</v>
      </c>
      <c r="AB6210" s="4">
        <f t="shared" si="961"/>
        <v>0</v>
      </c>
      <c r="AC6210" s="6">
        <f t="shared" si="967"/>
        <v>0</v>
      </c>
      <c r="AD6210" s="6">
        <v>0</v>
      </c>
      <c r="AE6210" s="14">
        <f>VLOOKUP(I6210,[2]媒体政策预估表!A:N,MATCH(O6210,[2]媒体政策预估表!$A$2:$M$2,0),0)</f>
        <v>7.0000000000000007E-2</v>
      </c>
      <c r="AF6210" s="6">
        <f t="shared" si="963"/>
        <v>0</v>
      </c>
      <c r="AG6210" s="14">
        <v>0</v>
      </c>
      <c r="AH6210" s="6">
        <f t="shared" si="966"/>
        <v>0</v>
      </c>
      <c r="AI6210" s="47"/>
      <c r="AJ6210" s="126" t="e">
        <v>#N/A</v>
      </c>
      <c r="AK6210" s="80">
        <f t="shared" si="962"/>
        <v>0</v>
      </c>
      <c r="AL6210" s="85"/>
      <c r="AM6210" s="85"/>
    </row>
    <row r="6211" spans="1:39" s="86" customFormat="1" ht="13.25" hidden="1" customHeight="1" x14ac:dyDescent="0.3">
      <c r="A6211" s="89" t="s">
        <v>3794</v>
      </c>
      <c r="B6211" s="86" t="s">
        <v>35</v>
      </c>
      <c r="C6211" s="86" t="s">
        <v>144</v>
      </c>
      <c r="D6211" s="86" t="s">
        <v>145</v>
      </c>
      <c r="E6211" s="86" t="s">
        <v>3418</v>
      </c>
      <c r="F6211" s="86" t="s">
        <v>3418</v>
      </c>
      <c r="G6211" s="86" t="s">
        <v>3418</v>
      </c>
      <c r="H6211" s="144">
        <v>237</v>
      </c>
      <c r="I6211" s="86" t="s">
        <v>2374</v>
      </c>
      <c r="J6211" s="1" t="s">
        <v>3322</v>
      </c>
      <c r="K6211" s="1" t="s">
        <v>3269</v>
      </c>
      <c r="L6211" s="1" t="s">
        <v>35</v>
      </c>
      <c r="M6211" s="86" t="s">
        <v>2434</v>
      </c>
      <c r="O6211" s="47" t="s">
        <v>45</v>
      </c>
      <c r="P6211" s="47" t="s">
        <v>41</v>
      </c>
      <c r="Q6211" s="14">
        <v>0</v>
      </c>
      <c r="R6211" s="143"/>
      <c r="S6211" s="47"/>
      <c r="T6211" s="6">
        <v>39708.189999999995</v>
      </c>
      <c r="U6211" s="6"/>
      <c r="V6211" s="6">
        <v>15536.569999999992</v>
      </c>
      <c r="W6211" s="6">
        <f t="shared" si="964"/>
        <v>24171.620000000003</v>
      </c>
      <c r="X6211" s="6">
        <f t="shared" si="965"/>
        <v>15536.569999999992</v>
      </c>
      <c r="Y6211" s="13">
        <f t="shared" ref="Y6211:Y6274" si="968">IF(X6211-AD6211&lt;=0,0,IF(P6211="返现",MAX(X6211-AC6211-AD6211,0),MAX(X6211-AD6211)))</f>
        <v>0</v>
      </c>
      <c r="Z6211" s="14">
        <v>0</v>
      </c>
      <c r="AA6211" s="6">
        <v>0</v>
      </c>
      <c r="AB6211" s="4">
        <f t="shared" ref="AB6211:AB6274" si="969">X6211+AA6211</f>
        <v>15536.569999999992</v>
      </c>
      <c r="AC6211" s="6">
        <f t="shared" si="967"/>
        <v>0</v>
      </c>
      <c r="AD6211" s="6">
        <v>15536.569999999992</v>
      </c>
      <c r="AE6211" s="14">
        <f>VLOOKUP(I6211,[2]媒体政策预估表!A:N,MATCH(O6211,[2]媒体政策预估表!$A$2:$M$2,0),0)</f>
        <v>7.0000000000000007E-2</v>
      </c>
      <c r="AF6211" s="6">
        <f t="shared" si="963"/>
        <v>1087.5598999999995</v>
      </c>
      <c r="AG6211" s="14">
        <v>0</v>
      </c>
      <c r="AH6211" s="6">
        <f t="shared" si="966"/>
        <v>15536.569999999992</v>
      </c>
      <c r="AI6211" s="47"/>
      <c r="AJ6211" s="126" t="e">
        <v>#N/A</v>
      </c>
      <c r="AK6211" s="80">
        <f t="shared" ref="AK6211:AK6274" si="970">X6211+AA6211-AB6211</f>
        <v>0</v>
      </c>
      <c r="AL6211" s="85"/>
      <c r="AM6211" s="85"/>
    </row>
    <row r="6212" spans="1:39" s="86" customFormat="1" ht="13.25" hidden="1" customHeight="1" x14ac:dyDescent="0.3">
      <c r="A6212" s="89" t="s">
        <v>3794</v>
      </c>
      <c r="B6212" s="86" t="s">
        <v>35</v>
      </c>
      <c r="C6212" s="86" t="s">
        <v>187</v>
      </c>
      <c r="D6212" s="86" t="s">
        <v>188</v>
      </c>
      <c r="E6212" s="86" t="s">
        <v>2437</v>
      </c>
      <c r="F6212" s="86" t="s">
        <v>2437</v>
      </c>
      <c r="G6212" s="86" t="s">
        <v>2437</v>
      </c>
      <c r="H6212" s="144">
        <v>237</v>
      </c>
      <c r="I6212" s="86" t="s">
        <v>2374</v>
      </c>
      <c r="J6212" s="1" t="s">
        <v>3322</v>
      </c>
      <c r="K6212" s="1" t="s">
        <v>3269</v>
      </c>
      <c r="L6212" s="1" t="s">
        <v>35</v>
      </c>
      <c r="M6212" s="86" t="s">
        <v>2438</v>
      </c>
      <c r="O6212" s="47" t="s">
        <v>40</v>
      </c>
      <c r="P6212" s="47" t="s">
        <v>46</v>
      </c>
      <c r="Q6212" s="14">
        <v>0.02</v>
      </c>
      <c r="R6212" s="143"/>
      <c r="S6212" s="47"/>
      <c r="T6212" s="6">
        <v>458847.28800000041</v>
      </c>
      <c r="U6212" s="6"/>
      <c r="V6212" s="6">
        <v>161051.78000000014</v>
      </c>
      <c r="W6212" s="6">
        <f t="shared" si="964"/>
        <v>297795.50800000026</v>
      </c>
      <c r="X6212" s="6">
        <f t="shared" si="965"/>
        <v>113416.74647887335</v>
      </c>
      <c r="Y6212" s="13">
        <f t="shared" si="968"/>
        <v>0</v>
      </c>
      <c r="Z6212" s="14">
        <v>0</v>
      </c>
      <c r="AA6212" s="6">
        <v>0</v>
      </c>
      <c r="AB6212" s="4">
        <f t="shared" si="969"/>
        <v>113416.74647887335</v>
      </c>
      <c r="AC6212" s="6">
        <f t="shared" si="967"/>
        <v>47635.033521126796</v>
      </c>
      <c r="AD6212" s="6">
        <v>115031.44999999994</v>
      </c>
      <c r="AE6212" s="14">
        <f>VLOOKUP(I6212,[2]媒体政策预估表!A:N,MATCH(O6212,[2]媒体政策预估表!$A$2:$M$2,0),0)</f>
        <v>0.09</v>
      </c>
      <c r="AF6212" s="6">
        <f t="shared" si="963"/>
        <v>10352.830499999995</v>
      </c>
      <c r="AG6212" s="14">
        <v>0.4</v>
      </c>
      <c r="AH6212" s="6">
        <f t="shared" si="966"/>
        <v>115036.98571428582</v>
      </c>
      <c r="AI6212" s="47"/>
      <c r="AJ6212" s="126" t="e">
        <v>#N/A</v>
      </c>
      <c r="AK6212" s="80">
        <f t="shared" si="970"/>
        <v>0</v>
      </c>
      <c r="AL6212" s="85"/>
      <c r="AM6212" s="85"/>
    </row>
    <row r="6213" spans="1:39" s="86" customFormat="1" ht="13.25" hidden="1" customHeight="1" x14ac:dyDescent="0.3">
      <c r="A6213" s="89" t="s">
        <v>3792</v>
      </c>
      <c r="B6213" s="86" t="s">
        <v>35</v>
      </c>
      <c r="C6213" s="86" t="s">
        <v>187</v>
      </c>
      <c r="D6213" s="86" t="s">
        <v>188</v>
      </c>
      <c r="E6213" s="86" t="s">
        <v>2440</v>
      </c>
      <c r="F6213" s="86" t="s">
        <v>2440</v>
      </c>
      <c r="G6213" s="86" t="s">
        <v>2440</v>
      </c>
      <c r="H6213" s="144">
        <v>237</v>
      </c>
      <c r="I6213" s="86" t="s">
        <v>2374</v>
      </c>
      <c r="J6213" s="1" t="s">
        <v>3322</v>
      </c>
      <c r="K6213" s="1" t="s">
        <v>3269</v>
      </c>
      <c r="L6213" s="1" t="s">
        <v>35</v>
      </c>
      <c r="M6213" s="86" t="s">
        <v>2438</v>
      </c>
      <c r="O6213" s="47" t="s">
        <v>45</v>
      </c>
      <c r="P6213" s="47" t="s">
        <v>46</v>
      </c>
      <c r="Q6213" s="14">
        <v>0.03</v>
      </c>
      <c r="R6213" s="143"/>
      <c r="S6213" s="47"/>
      <c r="T6213" s="6">
        <v>5647.8913000000002</v>
      </c>
      <c r="U6213" s="6"/>
      <c r="V6213" s="6">
        <v>2009.54</v>
      </c>
      <c r="W6213" s="6">
        <f t="shared" si="964"/>
        <v>3638.3513000000003</v>
      </c>
      <c r="X6213" s="6">
        <f t="shared" si="965"/>
        <v>1435.3857142857144</v>
      </c>
      <c r="Y6213" s="13">
        <f t="shared" si="968"/>
        <v>0</v>
      </c>
      <c r="Z6213" s="14">
        <v>0</v>
      </c>
      <c r="AA6213" s="6">
        <v>0</v>
      </c>
      <c r="AB6213" s="4">
        <f t="shared" si="969"/>
        <v>1435.3857142857144</v>
      </c>
      <c r="AC6213" s="6">
        <f t="shared" si="967"/>
        <v>574.15428571428561</v>
      </c>
      <c r="AD6213" s="6">
        <v>1466.8200000000002</v>
      </c>
      <c r="AE6213" s="14">
        <f>VLOOKUP(I6213,[2]媒体政策预估表!A:N,MATCH(O6213,[2]媒体政策预估表!$A$2:$M$2,0),0)</f>
        <v>7.0000000000000007E-2</v>
      </c>
      <c r="AF6213" s="6">
        <f t="shared" si="963"/>
        <v>102.67740000000002</v>
      </c>
      <c r="AG6213" s="14">
        <v>0.37</v>
      </c>
      <c r="AH6213" s="6">
        <f t="shared" si="966"/>
        <v>1466.817518248175</v>
      </c>
      <c r="AI6213" s="47"/>
      <c r="AJ6213" s="126" t="e">
        <v>#N/A</v>
      </c>
      <c r="AK6213" s="80">
        <f t="shared" si="970"/>
        <v>0</v>
      </c>
      <c r="AL6213" s="85"/>
      <c r="AM6213" s="85"/>
    </row>
    <row r="6214" spans="1:39" s="86" customFormat="1" ht="13.25" hidden="1" customHeight="1" x14ac:dyDescent="0.3">
      <c r="A6214" s="89" t="s">
        <v>3792</v>
      </c>
      <c r="B6214" s="86" t="s">
        <v>35</v>
      </c>
      <c r="C6214" s="86" t="s">
        <v>187</v>
      </c>
      <c r="D6214" s="86" t="s">
        <v>188</v>
      </c>
      <c r="E6214" s="86" t="s">
        <v>2440</v>
      </c>
      <c r="F6214" s="86" t="s">
        <v>2440</v>
      </c>
      <c r="G6214" s="86" t="s">
        <v>2440</v>
      </c>
      <c r="H6214" s="144">
        <v>237</v>
      </c>
      <c r="I6214" s="86" t="s">
        <v>2374</v>
      </c>
      <c r="J6214" s="1" t="s">
        <v>3322</v>
      </c>
      <c r="K6214" s="1" t="s">
        <v>3269</v>
      </c>
      <c r="L6214" s="1" t="s">
        <v>35</v>
      </c>
      <c r="M6214" s="86" t="s">
        <v>2438</v>
      </c>
      <c r="O6214" s="47" t="s">
        <v>40</v>
      </c>
      <c r="P6214" s="47" t="s">
        <v>46</v>
      </c>
      <c r="Q6214" s="14">
        <v>0.01</v>
      </c>
      <c r="R6214" s="143"/>
      <c r="S6214" s="47"/>
      <c r="T6214" s="6">
        <v>161646.48784635108</v>
      </c>
      <c r="U6214" s="6"/>
      <c r="V6214" s="6">
        <v>139443.21</v>
      </c>
      <c r="W6214" s="6">
        <f t="shared" si="964"/>
        <v>22203.277846351091</v>
      </c>
      <c r="X6214" s="6">
        <f t="shared" si="965"/>
        <v>98895.893617021255</v>
      </c>
      <c r="Y6214" s="13">
        <f t="shared" si="968"/>
        <v>0</v>
      </c>
      <c r="Z6214" s="14">
        <v>0</v>
      </c>
      <c r="AA6214" s="6">
        <v>0</v>
      </c>
      <c r="AB6214" s="4">
        <f t="shared" si="969"/>
        <v>98895.893617021255</v>
      </c>
      <c r="AC6214" s="6">
        <f t="shared" si="967"/>
        <v>40547.316382978737</v>
      </c>
      <c r="AD6214" s="6">
        <v>99600.369999999952</v>
      </c>
      <c r="AE6214" s="14">
        <f>VLOOKUP(I6214,[2]媒体政策预估表!A:N,MATCH(O6214,[2]媒体政策预估表!$A$2:$M$2,0),0)</f>
        <v>0.09</v>
      </c>
      <c r="AF6214" s="6">
        <f t="shared" si="963"/>
        <v>8964.0332999999955</v>
      </c>
      <c r="AG6214" s="14">
        <v>0.4</v>
      </c>
      <c r="AH6214" s="6">
        <f t="shared" si="966"/>
        <v>99602.292857142864</v>
      </c>
      <c r="AI6214" s="47"/>
      <c r="AJ6214" s="126" t="e">
        <v>#N/A</v>
      </c>
      <c r="AK6214" s="80">
        <f t="shared" si="970"/>
        <v>0</v>
      </c>
      <c r="AL6214" s="85"/>
      <c r="AM6214" s="85"/>
    </row>
    <row r="6215" spans="1:39" s="86" customFormat="1" ht="13.25" hidden="1" customHeight="1" x14ac:dyDescent="0.3">
      <c r="A6215" s="89" t="s">
        <v>3792</v>
      </c>
      <c r="B6215" s="86" t="s">
        <v>35</v>
      </c>
      <c r="C6215" s="86" t="s">
        <v>187</v>
      </c>
      <c r="D6215" s="86" t="s">
        <v>188</v>
      </c>
      <c r="E6215" s="86" t="s">
        <v>2444</v>
      </c>
      <c r="F6215" s="86" t="s">
        <v>2444</v>
      </c>
      <c r="G6215" s="86" t="s">
        <v>2444</v>
      </c>
      <c r="H6215" s="144">
        <v>237</v>
      </c>
      <c r="I6215" s="86" t="s">
        <v>2374</v>
      </c>
      <c r="J6215" s="1" t="s">
        <v>3322</v>
      </c>
      <c r="K6215" s="1" t="s">
        <v>3269</v>
      </c>
      <c r="L6215" s="1" t="s">
        <v>35</v>
      </c>
      <c r="M6215" s="86" t="s">
        <v>2438</v>
      </c>
      <c r="O6215" s="47" t="s">
        <v>45</v>
      </c>
      <c r="P6215" s="47" t="s">
        <v>46</v>
      </c>
      <c r="Q6215" s="14">
        <v>0.03</v>
      </c>
      <c r="R6215" s="143"/>
      <c r="S6215" s="47"/>
      <c r="T6215" s="6">
        <v>43850.559292700113</v>
      </c>
      <c r="U6215" s="6"/>
      <c r="V6215" s="6">
        <v>44661.29</v>
      </c>
      <c r="W6215" s="6">
        <f t="shared" si="964"/>
        <v>-810.73070729988831</v>
      </c>
      <c r="X6215" s="6">
        <f t="shared" si="965"/>
        <v>31900.92142857143</v>
      </c>
      <c r="Y6215" s="13">
        <f t="shared" si="968"/>
        <v>0</v>
      </c>
      <c r="Z6215" s="14">
        <v>0</v>
      </c>
      <c r="AA6215" s="6">
        <v>0</v>
      </c>
      <c r="AB6215" s="4">
        <f t="shared" si="969"/>
        <v>31900.92142857143</v>
      </c>
      <c r="AC6215" s="6">
        <f t="shared" si="967"/>
        <v>12760.368571428571</v>
      </c>
      <c r="AD6215" s="6">
        <v>32599.490000000009</v>
      </c>
      <c r="AE6215" s="14">
        <f>VLOOKUP(I6215,[2]媒体政策预估表!A:N,MATCH(O6215,[2]媒体政策预估表!$A$2:$M$2,0),0)</f>
        <v>7.0000000000000007E-2</v>
      </c>
      <c r="AF6215" s="6">
        <f t="shared" si="963"/>
        <v>2281.964300000001</v>
      </c>
      <c r="AG6215" s="14">
        <v>0.37</v>
      </c>
      <c r="AH6215" s="6">
        <f t="shared" si="966"/>
        <v>32599.481751824816</v>
      </c>
      <c r="AI6215" s="47"/>
      <c r="AJ6215" s="126" t="e">
        <v>#N/A</v>
      </c>
      <c r="AK6215" s="80">
        <f t="shared" si="970"/>
        <v>0</v>
      </c>
      <c r="AL6215" s="85"/>
      <c r="AM6215" s="85"/>
    </row>
    <row r="6216" spans="1:39" s="86" customFormat="1" ht="13.25" hidden="1" customHeight="1" x14ac:dyDescent="0.3">
      <c r="A6216" s="89" t="s">
        <v>3794</v>
      </c>
      <c r="B6216" s="86" t="s">
        <v>35</v>
      </c>
      <c r="C6216" s="86" t="s">
        <v>187</v>
      </c>
      <c r="D6216" s="86" t="s">
        <v>188</v>
      </c>
      <c r="E6216" s="86" t="s">
        <v>2444</v>
      </c>
      <c r="F6216" s="86" t="s">
        <v>2444</v>
      </c>
      <c r="G6216" s="86" t="s">
        <v>2444</v>
      </c>
      <c r="H6216" s="144">
        <v>237</v>
      </c>
      <c r="I6216" s="86" t="s">
        <v>2374</v>
      </c>
      <c r="J6216" s="1" t="s">
        <v>3322</v>
      </c>
      <c r="K6216" s="1" t="s">
        <v>3269</v>
      </c>
      <c r="L6216" s="1" t="s">
        <v>35</v>
      </c>
      <c r="M6216" s="86" t="s">
        <v>2438</v>
      </c>
      <c r="O6216" s="47" t="s">
        <v>40</v>
      </c>
      <c r="P6216" s="47" t="s">
        <v>46</v>
      </c>
      <c r="Q6216" s="14">
        <v>0.05</v>
      </c>
      <c r="R6216" s="143"/>
      <c r="S6216" s="47" t="s">
        <v>3908</v>
      </c>
      <c r="T6216" s="6">
        <v>213139.3984999996</v>
      </c>
      <c r="U6216" s="6">
        <v>2036.73</v>
      </c>
      <c r="V6216" s="6">
        <v>0</v>
      </c>
      <c r="W6216" s="6">
        <f t="shared" si="964"/>
        <v>215176.12849999961</v>
      </c>
      <c r="X6216" s="6">
        <f>IF(P6216="折扣",V6216*Q6216,IF(P6216="返现",V6216,(V6216-2036.73)/(1+Q6216+AG6216)))</f>
        <v>-1404.6413793103447</v>
      </c>
      <c r="Y6216" s="13">
        <f t="shared" si="968"/>
        <v>0</v>
      </c>
      <c r="Z6216" s="14">
        <v>0</v>
      </c>
      <c r="AA6216" s="6">
        <v>0</v>
      </c>
      <c r="AB6216" s="4">
        <f t="shared" si="969"/>
        <v>-1404.6413793103447</v>
      </c>
      <c r="AC6216" s="6">
        <f t="shared" si="967"/>
        <v>1404.6413793103447</v>
      </c>
      <c r="AD6216" s="6">
        <v>0</v>
      </c>
      <c r="AE6216" s="14">
        <f>VLOOKUP(I6216,[2]媒体政策预估表!A:N,MATCH(O6216,[2]媒体政策预估表!$A$2:$M$2,0),0)</f>
        <v>0.09</v>
      </c>
      <c r="AF6216" s="6">
        <f t="shared" si="963"/>
        <v>0</v>
      </c>
      <c r="AG6216" s="14">
        <v>0.4</v>
      </c>
      <c r="AH6216" s="6">
        <f>(V6216-2036.73)/(1+AG6216)</f>
        <v>-1454.8071428571429</v>
      </c>
      <c r="AI6216" s="47"/>
      <c r="AJ6216" s="126" t="e">
        <v>#N/A</v>
      </c>
      <c r="AK6216" s="80">
        <f t="shared" si="970"/>
        <v>0</v>
      </c>
      <c r="AL6216" s="85"/>
      <c r="AM6216" s="85"/>
    </row>
    <row r="6217" spans="1:39" s="86" customFormat="1" ht="13.25" hidden="1" customHeight="1" x14ac:dyDescent="0.3">
      <c r="A6217" s="89" t="s">
        <v>3794</v>
      </c>
      <c r="B6217" s="86" t="s">
        <v>35</v>
      </c>
      <c r="C6217" s="86" t="s">
        <v>187</v>
      </c>
      <c r="D6217" s="86" t="s">
        <v>188</v>
      </c>
      <c r="E6217" s="86" t="s">
        <v>2514</v>
      </c>
      <c r="F6217" s="86" t="s">
        <v>2514</v>
      </c>
      <c r="G6217" s="86" t="s">
        <v>2514</v>
      </c>
      <c r="H6217" s="143">
        <v>237</v>
      </c>
      <c r="I6217" s="86" t="s">
        <v>2374</v>
      </c>
      <c r="J6217" s="1" t="s">
        <v>3322</v>
      </c>
      <c r="K6217" s="1" t="s">
        <v>3269</v>
      </c>
      <c r="L6217" s="1" t="s">
        <v>35</v>
      </c>
      <c r="M6217" s="86" t="s">
        <v>2438</v>
      </c>
      <c r="O6217" s="47" t="s">
        <v>40</v>
      </c>
      <c r="P6217" s="47" t="s">
        <v>46</v>
      </c>
      <c r="Q6217" s="14">
        <v>7.0000000000000007E-2</v>
      </c>
      <c r="R6217" s="143"/>
      <c r="S6217" s="47"/>
      <c r="T6217" s="6">
        <v>441000</v>
      </c>
      <c r="U6217" s="6"/>
      <c r="V6217" s="6">
        <v>0</v>
      </c>
      <c r="W6217" s="6">
        <f t="shared" si="964"/>
        <v>441000</v>
      </c>
      <c r="X6217" s="6">
        <f t="shared" si="965"/>
        <v>0</v>
      </c>
      <c r="Y6217" s="13">
        <f t="shared" si="968"/>
        <v>0</v>
      </c>
      <c r="Z6217" s="14">
        <v>0</v>
      </c>
      <c r="AA6217" s="6">
        <v>0</v>
      </c>
      <c r="AB6217" s="4">
        <f t="shared" si="969"/>
        <v>0</v>
      </c>
      <c r="AC6217" s="6">
        <f t="shared" si="967"/>
        <v>0</v>
      </c>
      <c r="AD6217" s="6">
        <v>0</v>
      </c>
      <c r="AE6217" s="14">
        <f>VLOOKUP(I6217,[2]媒体政策预估表!A:N,MATCH(O6217,[2]媒体政策预估表!$A$2:$M$2,0),0)</f>
        <v>0.09</v>
      </c>
      <c r="AF6217" s="6">
        <f t="shared" si="963"/>
        <v>0</v>
      </c>
      <c r="AG6217" s="14">
        <v>0.4</v>
      </c>
      <c r="AH6217" s="6">
        <f t="shared" si="966"/>
        <v>0</v>
      </c>
      <c r="AI6217" s="47"/>
      <c r="AJ6217" s="126" t="e">
        <v>#N/A</v>
      </c>
      <c r="AK6217" s="80">
        <f t="shared" si="970"/>
        <v>0</v>
      </c>
      <c r="AL6217" s="85"/>
      <c r="AM6217" s="85"/>
    </row>
    <row r="6218" spans="1:39" s="86" customFormat="1" ht="13.25" hidden="1" customHeight="1" x14ac:dyDescent="0.3">
      <c r="A6218" s="89" t="s">
        <v>3794</v>
      </c>
      <c r="B6218" s="86" t="s">
        <v>35</v>
      </c>
      <c r="C6218" s="86" t="s">
        <v>187</v>
      </c>
      <c r="D6218" s="86" t="s">
        <v>188</v>
      </c>
      <c r="E6218" s="86" t="s">
        <v>202</v>
      </c>
      <c r="F6218" s="86" t="s">
        <v>202</v>
      </c>
      <c r="G6218" s="86" t="s">
        <v>202</v>
      </c>
      <c r="H6218" s="143">
        <v>237</v>
      </c>
      <c r="I6218" s="86" t="s">
        <v>2374</v>
      </c>
      <c r="J6218" s="1" t="s">
        <v>3322</v>
      </c>
      <c r="K6218" s="1" t="s">
        <v>3269</v>
      </c>
      <c r="L6218" s="1" t="s">
        <v>35</v>
      </c>
      <c r="M6218" s="86" t="s">
        <v>2438</v>
      </c>
      <c r="O6218" s="47" t="s">
        <v>40</v>
      </c>
      <c r="P6218" s="47" t="s">
        <v>46</v>
      </c>
      <c r="Q6218" s="14">
        <v>0.05</v>
      </c>
      <c r="R6218" s="143"/>
      <c r="S6218" s="47" t="s">
        <v>3909</v>
      </c>
      <c r="T6218" s="6">
        <v>-2.5999999837949872E-2</v>
      </c>
      <c r="U6218" s="6">
        <v>3146.17</v>
      </c>
      <c r="V6218" s="6">
        <v>0</v>
      </c>
      <c r="W6218" s="6">
        <f t="shared" si="964"/>
        <v>3146.1440000001621</v>
      </c>
      <c r="X6218" s="6">
        <f t="shared" si="965"/>
        <v>0</v>
      </c>
      <c r="Y6218" s="13">
        <f t="shared" si="968"/>
        <v>0</v>
      </c>
      <c r="Z6218" s="14">
        <v>0</v>
      </c>
      <c r="AA6218" s="6">
        <v>0</v>
      </c>
      <c r="AB6218" s="4">
        <f t="shared" si="969"/>
        <v>0</v>
      </c>
      <c r="AC6218" s="6">
        <f t="shared" si="967"/>
        <v>0</v>
      </c>
      <c r="AD6218" s="6">
        <v>0</v>
      </c>
      <c r="AE6218" s="14">
        <f>VLOOKUP(I6218,[2]媒体政策预估表!A:N,MATCH(O6218,[2]媒体政策预估表!$A$2:$M$2,0),0)</f>
        <v>0.09</v>
      </c>
      <c r="AF6218" s="6">
        <f t="shared" si="963"/>
        <v>0</v>
      </c>
      <c r="AG6218" s="14">
        <v>0.4</v>
      </c>
      <c r="AH6218" s="6">
        <f t="shared" si="966"/>
        <v>0</v>
      </c>
      <c r="AI6218" s="47"/>
      <c r="AJ6218" s="126" t="e">
        <v>#N/A</v>
      </c>
      <c r="AK6218" s="80">
        <f t="shared" si="970"/>
        <v>0</v>
      </c>
      <c r="AL6218" s="85"/>
      <c r="AM6218" s="85"/>
    </row>
    <row r="6219" spans="1:39" s="86" customFormat="1" ht="13.25" hidden="1" customHeight="1" x14ac:dyDescent="0.3">
      <c r="A6219" s="89" t="s">
        <v>3794</v>
      </c>
      <c r="B6219" s="86" t="s">
        <v>35</v>
      </c>
      <c r="C6219" s="86" t="s">
        <v>187</v>
      </c>
      <c r="D6219" s="86" t="s">
        <v>188</v>
      </c>
      <c r="E6219" s="86" t="s">
        <v>2445</v>
      </c>
      <c r="F6219" s="86" t="s">
        <v>2445</v>
      </c>
      <c r="G6219" s="86" t="s">
        <v>2445</v>
      </c>
      <c r="H6219" s="144">
        <v>237</v>
      </c>
      <c r="I6219" s="86" t="s">
        <v>2374</v>
      </c>
      <c r="J6219" s="1" t="s">
        <v>3322</v>
      </c>
      <c r="K6219" s="1" t="s">
        <v>3269</v>
      </c>
      <c r="L6219" s="1" t="s">
        <v>35</v>
      </c>
      <c r="M6219" s="86" t="s">
        <v>2438</v>
      </c>
      <c r="O6219" s="47" t="s">
        <v>45</v>
      </c>
      <c r="P6219" s="47" t="s">
        <v>46</v>
      </c>
      <c r="Q6219" s="14">
        <v>0.08</v>
      </c>
      <c r="R6219" s="143"/>
      <c r="S6219" s="47"/>
      <c r="T6219" s="6">
        <v>53778.1927</v>
      </c>
      <c r="U6219" s="6">
        <v>-50727.5</v>
      </c>
      <c r="V6219" s="6">
        <v>3050.7</v>
      </c>
      <c r="W6219" s="6">
        <v>0</v>
      </c>
      <c r="X6219" s="6">
        <f t="shared" si="965"/>
        <v>2103.9310344827582</v>
      </c>
      <c r="Y6219" s="13">
        <f t="shared" si="968"/>
        <v>0</v>
      </c>
      <c r="Z6219" s="14">
        <v>0</v>
      </c>
      <c r="AA6219" s="6">
        <v>0</v>
      </c>
      <c r="AB6219" s="4">
        <f t="shared" si="969"/>
        <v>2103.9310344827582</v>
      </c>
      <c r="AC6219" s="6">
        <f t="shared" si="967"/>
        <v>946.76896551724167</v>
      </c>
      <c r="AD6219" s="6">
        <v>2226.79</v>
      </c>
      <c r="AE6219" s="14">
        <f>VLOOKUP(I6219,[2]媒体政策预估表!A:N,MATCH(O6219,[2]媒体政策预估表!$A$2:$M$2,0),0)</f>
        <v>7.0000000000000007E-2</v>
      </c>
      <c r="AF6219" s="6">
        <f t="shared" si="963"/>
        <v>155.87530000000001</v>
      </c>
      <c r="AG6219" s="14">
        <v>0.37</v>
      </c>
      <c r="AH6219" s="6">
        <f t="shared" si="966"/>
        <v>2226.7883211678827</v>
      </c>
      <c r="AI6219" s="47"/>
      <c r="AJ6219" s="126" t="e">
        <v>#N/A</v>
      </c>
      <c r="AK6219" s="80">
        <f t="shared" si="970"/>
        <v>0</v>
      </c>
      <c r="AL6219" s="85"/>
      <c r="AM6219" s="85"/>
    </row>
    <row r="6220" spans="1:39" s="86" customFormat="1" ht="13.25" hidden="1" customHeight="1" x14ac:dyDescent="0.3">
      <c r="A6220" s="89" t="s">
        <v>3792</v>
      </c>
      <c r="B6220" s="86" t="s">
        <v>35</v>
      </c>
      <c r="C6220" s="86" t="s">
        <v>187</v>
      </c>
      <c r="D6220" s="86" t="s">
        <v>188</v>
      </c>
      <c r="E6220" s="86" t="s">
        <v>2445</v>
      </c>
      <c r="F6220" s="86" t="s">
        <v>2445</v>
      </c>
      <c r="G6220" s="86" t="s">
        <v>2445</v>
      </c>
      <c r="H6220" s="144">
        <v>237</v>
      </c>
      <c r="I6220" s="86" t="s">
        <v>2374</v>
      </c>
      <c r="J6220" s="1" t="s">
        <v>3322</v>
      </c>
      <c r="K6220" s="1" t="s">
        <v>3269</v>
      </c>
      <c r="L6220" s="1" t="s">
        <v>35</v>
      </c>
      <c r="M6220" s="86" t="s">
        <v>2438</v>
      </c>
      <c r="O6220" s="47" t="s">
        <v>40</v>
      </c>
      <c r="P6220" s="47" t="s">
        <v>46</v>
      </c>
      <c r="Q6220" s="14">
        <v>0.08</v>
      </c>
      <c r="R6220" s="143"/>
      <c r="S6220" s="47" t="s">
        <v>3910</v>
      </c>
      <c r="T6220" s="6">
        <v>758988.66556999355</v>
      </c>
      <c r="U6220" s="6">
        <v>-607911.78</v>
      </c>
      <c r="V6220" s="6">
        <v>103788.62999999998</v>
      </c>
      <c r="W6220" s="6">
        <f t="shared" si="964"/>
        <v>47288.255569993547</v>
      </c>
      <c r="X6220" s="6">
        <f>(V6220-56453.8)/(1+Q6220+AG6220)</f>
        <v>31982.993243243225</v>
      </c>
      <c r="Y6220" s="13">
        <f t="shared" si="968"/>
        <v>0</v>
      </c>
      <c r="Z6220" s="14">
        <v>0</v>
      </c>
      <c r="AA6220" s="6">
        <v>0</v>
      </c>
      <c r="AB6220" s="4">
        <f t="shared" si="969"/>
        <v>31982.993243243225</v>
      </c>
      <c r="AC6220" s="6">
        <f t="shared" si="967"/>
        <v>71805.63675675675</v>
      </c>
      <c r="AD6220" s="6">
        <v>74134.400000000009</v>
      </c>
      <c r="AE6220" s="14">
        <f>VLOOKUP(I6220,[2]媒体政策预估表!A:N,MATCH(O6220,[2]媒体政策预估表!$A$2:$M$2,0),0)</f>
        <v>0.09</v>
      </c>
      <c r="AF6220" s="6">
        <f t="shared" si="963"/>
        <v>6672.0960000000005</v>
      </c>
      <c r="AG6220" s="14">
        <v>0.4</v>
      </c>
      <c r="AH6220" s="6">
        <f>(V6220-56453.8)/(1+AG6220)</f>
        <v>33810.592857142838</v>
      </c>
      <c r="AI6220" s="47"/>
      <c r="AJ6220" s="126" t="e">
        <v>#N/A</v>
      </c>
      <c r="AK6220" s="80">
        <f t="shared" si="970"/>
        <v>0</v>
      </c>
      <c r="AL6220" s="85"/>
      <c r="AM6220" s="85"/>
    </row>
    <row r="6221" spans="1:39" s="86" customFormat="1" ht="13.25" hidden="1" customHeight="1" x14ac:dyDescent="0.3">
      <c r="A6221" s="89" t="s">
        <v>3794</v>
      </c>
      <c r="B6221" s="86" t="s">
        <v>35</v>
      </c>
      <c r="C6221" s="86" t="s">
        <v>187</v>
      </c>
      <c r="D6221" s="86" t="s">
        <v>188</v>
      </c>
      <c r="E6221" s="86" t="s">
        <v>2453</v>
      </c>
      <c r="F6221" s="86" t="s">
        <v>2453</v>
      </c>
      <c r="G6221" s="86" t="s">
        <v>2453</v>
      </c>
      <c r="H6221" s="143">
        <v>237</v>
      </c>
      <c r="I6221" s="86" t="s">
        <v>2374</v>
      </c>
      <c r="J6221" s="1" t="s">
        <v>3322</v>
      </c>
      <c r="K6221" s="1" t="s">
        <v>3269</v>
      </c>
      <c r="L6221" s="1" t="s">
        <v>35</v>
      </c>
      <c r="M6221" s="86" t="s">
        <v>2438</v>
      </c>
      <c r="O6221" s="47" t="s">
        <v>45</v>
      </c>
      <c r="P6221" s="47" t="s">
        <v>46</v>
      </c>
      <c r="Q6221" s="14">
        <v>0.03</v>
      </c>
      <c r="R6221" s="143"/>
      <c r="S6221" s="47"/>
      <c r="T6221" s="6">
        <v>22799.786499999995</v>
      </c>
      <c r="U6221" s="6"/>
      <c r="V6221" s="6">
        <v>0</v>
      </c>
      <c r="W6221" s="6">
        <f t="shared" si="964"/>
        <v>22799.786499999995</v>
      </c>
      <c r="X6221" s="6">
        <f t="shared" si="965"/>
        <v>0</v>
      </c>
      <c r="Y6221" s="13">
        <f t="shared" si="968"/>
        <v>0</v>
      </c>
      <c r="Z6221" s="14">
        <v>0</v>
      </c>
      <c r="AA6221" s="6">
        <v>0</v>
      </c>
      <c r="AB6221" s="4">
        <f t="shared" si="969"/>
        <v>0</v>
      </c>
      <c r="AC6221" s="6">
        <f t="shared" si="967"/>
        <v>0</v>
      </c>
      <c r="AD6221" s="6">
        <v>0</v>
      </c>
      <c r="AE6221" s="14">
        <f>VLOOKUP(I6221,[2]媒体政策预估表!A:N,MATCH(O6221,[2]媒体政策预估表!$A$2:$M$2,0),0)</f>
        <v>7.0000000000000007E-2</v>
      </c>
      <c r="AF6221" s="6">
        <f t="shared" si="963"/>
        <v>0</v>
      </c>
      <c r="AG6221" s="14">
        <v>0.37</v>
      </c>
      <c r="AH6221" s="6">
        <f t="shared" si="966"/>
        <v>0</v>
      </c>
      <c r="AI6221" s="47"/>
      <c r="AJ6221" s="126" t="e">
        <v>#N/A</v>
      </c>
      <c r="AK6221" s="80">
        <f t="shared" si="970"/>
        <v>0</v>
      </c>
      <c r="AL6221" s="85"/>
      <c r="AM6221" s="85"/>
    </row>
    <row r="6222" spans="1:39" s="86" customFormat="1" ht="13.25" hidden="1" customHeight="1" x14ac:dyDescent="0.3">
      <c r="A6222" s="89" t="s">
        <v>3794</v>
      </c>
      <c r="B6222" s="86" t="s">
        <v>35</v>
      </c>
      <c r="C6222" s="86" t="s">
        <v>187</v>
      </c>
      <c r="D6222" s="86" t="s">
        <v>188</v>
      </c>
      <c r="E6222" s="86" t="s">
        <v>2454</v>
      </c>
      <c r="F6222" s="86" t="s">
        <v>2454</v>
      </c>
      <c r="G6222" s="86" t="s">
        <v>2454</v>
      </c>
      <c r="H6222" s="144">
        <v>237</v>
      </c>
      <c r="I6222" s="86" t="s">
        <v>2374</v>
      </c>
      <c r="J6222" s="1" t="s">
        <v>3322</v>
      </c>
      <c r="K6222" s="1" t="s">
        <v>3269</v>
      </c>
      <c r="L6222" s="1" t="s">
        <v>35</v>
      </c>
      <c r="M6222" s="86" t="s">
        <v>2438</v>
      </c>
      <c r="O6222" s="47" t="s">
        <v>45</v>
      </c>
      <c r="P6222" s="47" t="s">
        <v>46</v>
      </c>
      <c r="Q6222" s="14">
        <v>0.08</v>
      </c>
      <c r="R6222" s="143"/>
      <c r="S6222" s="47"/>
      <c r="T6222" s="6">
        <v>870802.31960000051</v>
      </c>
      <c r="U6222" s="6"/>
      <c r="V6222" s="6">
        <v>237420.41000000003</v>
      </c>
      <c r="W6222" s="6">
        <f t="shared" si="964"/>
        <v>633381.90960000048</v>
      </c>
      <c r="X6222" s="6">
        <f t="shared" si="965"/>
        <v>163738.21379310344</v>
      </c>
      <c r="Y6222" s="13">
        <f t="shared" si="968"/>
        <v>0</v>
      </c>
      <c r="Z6222" s="14">
        <v>0</v>
      </c>
      <c r="AA6222" s="6">
        <v>0</v>
      </c>
      <c r="AB6222" s="4">
        <f t="shared" si="969"/>
        <v>163738.21379310344</v>
      </c>
      <c r="AC6222" s="6">
        <f t="shared" si="967"/>
        <v>73682.196206896595</v>
      </c>
      <c r="AD6222" s="6">
        <v>173297.16000000012</v>
      </c>
      <c r="AE6222" s="14">
        <f>VLOOKUP(I6222,[2]媒体政策预估表!A:N,MATCH(O6222,[2]媒体政策预估表!$A$2:$M$2,0),0)</f>
        <v>7.0000000000000007E-2</v>
      </c>
      <c r="AF6222" s="6">
        <f t="shared" si="963"/>
        <v>12130.801200000009</v>
      </c>
      <c r="AG6222" s="14">
        <v>0.37</v>
      </c>
      <c r="AH6222" s="6">
        <f t="shared" si="966"/>
        <v>173299.5693430657</v>
      </c>
      <c r="AI6222" s="47"/>
      <c r="AJ6222" s="126" t="e">
        <v>#N/A</v>
      </c>
      <c r="AK6222" s="80">
        <f t="shared" si="970"/>
        <v>0</v>
      </c>
      <c r="AL6222" s="85"/>
      <c r="AM6222" s="85"/>
    </row>
    <row r="6223" spans="1:39" s="86" customFormat="1" ht="13.25" hidden="1" customHeight="1" x14ac:dyDescent="0.3">
      <c r="A6223" s="89" t="s">
        <v>3794</v>
      </c>
      <c r="B6223" s="86" t="s">
        <v>35</v>
      </c>
      <c r="C6223" s="86" t="s">
        <v>187</v>
      </c>
      <c r="D6223" s="86" t="s">
        <v>208</v>
      </c>
      <c r="E6223" s="86" t="s">
        <v>210</v>
      </c>
      <c r="F6223" s="86" t="s">
        <v>210</v>
      </c>
      <c r="G6223" s="86" t="s">
        <v>210</v>
      </c>
      <c r="H6223" s="144">
        <v>237</v>
      </c>
      <c r="I6223" s="86" t="s">
        <v>2374</v>
      </c>
      <c r="J6223" s="1" t="s">
        <v>3322</v>
      </c>
      <c r="K6223" s="1" t="s">
        <v>3269</v>
      </c>
      <c r="L6223" s="1" t="s">
        <v>35</v>
      </c>
      <c r="M6223" s="86" t="s">
        <v>2438</v>
      </c>
      <c r="O6223" s="47" t="s">
        <v>40</v>
      </c>
      <c r="P6223" s="47" t="s">
        <v>46</v>
      </c>
      <c r="Q6223" s="14">
        <v>0.01</v>
      </c>
      <c r="R6223" s="143"/>
      <c r="S6223" s="47" t="s">
        <v>3911</v>
      </c>
      <c r="T6223" s="6">
        <v>47075.687999999762</v>
      </c>
      <c r="U6223" s="6">
        <v>2042.18</v>
      </c>
      <c r="V6223" s="6">
        <v>0</v>
      </c>
      <c r="W6223" s="6">
        <f t="shared" si="964"/>
        <v>49117.867999999762</v>
      </c>
      <c r="X6223" s="6">
        <f>IF(P6223="折扣",V6223*Q6223,IF(P6223="返现",V6223,(V6223-2042.18)/(1+Q6223+AG6223)))</f>
        <v>-1448.3546099290779</v>
      </c>
      <c r="Y6223" s="13">
        <f t="shared" si="968"/>
        <v>0</v>
      </c>
      <c r="Z6223" s="14">
        <v>0</v>
      </c>
      <c r="AA6223" s="6">
        <v>0</v>
      </c>
      <c r="AB6223" s="4">
        <f t="shared" si="969"/>
        <v>-1448.3546099290779</v>
      </c>
      <c r="AC6223" s="6">
        <f t="shared" si="967"/>
        <v>1448.3546099290779</v>
      </c>
      <c r="AD6223" s="6">
        <v>0</v>
      </c>
      <c r="AE6223" s="14">
        <f>VLOOKUP(I6223,[2]媒体政策预估表!A:N,MATCH(O6223,[2]媒体政策预估表!$A$2:$M$2,0),0)</f>
        <v>0.09</v>
      </c>
      <c r="AF6223" s="6">
        <f t="shared" si="963"/>
        <v>0</v>
      </c>
      <c r="AG6223" s="14">
        <v>0.4</v>
      </c>
      <c r="AH6223" s="6">
        <f>(V6223-2042.18)/(1+AG6223)</f>
        <v>-1458.7</v>
      </c>
      <c r="AI6223" s="47"/>
      <c r="AJ6223" s="126" t="e">
        <v>#N/A</v>
      </c>
      <c r="AK6223" s="80">
        <f t="shared" si="970"/>
        <v>0</v>
      </c>
      <c r="AL6223" s="85"/>
      <c r="AM6223" s="85"/>
    </row>
    <row r="6224" spans="1:39" s="86" customFormat="1" ht="13.25" hidden="1" customHeight="1" x14ac:dyDescent="0.3">
      <c r="A6224" s="89" t="s">
        <v>3794</v>
      </c>
      <c r="B6224" s="86" t="s">
        <v>35</v>
      </c>
      <c r="C6224" s="86" t="s">
        <v>187</v>
      </c>
      <c r="D6224" s="86" t="s">
        <v>208</v>
      </c>
      <c r="E6224" s="86" t="s">
        <v>2456</v>
      </c>
      <c r="F6224" s="86" t="s">
        <v>2456</v>
      </c>
      <c r="G6224" s="86" t="s">
        <v>2456</v>
      </c>
      <c r="H6224" s="144">
        <v>237</v>
      </c>
      <c r="I6224" s="86" t="s">
        <v>2374</v>
      </c>
      <c r="J6224" s="1" t="s">
        <v>3322</v>
      </c>
      <c r="K6224" s="1" t="s">
        <v>3269</v>
      </c>
      <c r="L6224" s="1" t="s">
        <v>35</v>
      </c>
      <c r="M6224" s="86" t="s">
        <v>2438</v>
      </c>
      <c r="O6224" s="47" t="s">
        <v>45</v>
      </c>
      <c r="P6224" s="47" t="s">
        <v>46</v>
      </c>
      <c r="Q6224" s="14">
        <v>0.06</v>
      </c>
      <c r="R6224" s="143"/>
      <c r="S6224" s="47" t="s">
        <v>3912</v>
      </c>
      <c r="T6224" s="6">
        <v>51727.3842</v>
      </c>
      <c r="U6224" s="6">
        <v>487.53</v>
      </c>
      <c r="V6224" s="6">
        <v>52232.849999999984</v>
      </c>
      <c r="W6224" s="6">
        <f t="shared" si="964"/>
        <v>-17.935799999984738</v>
      </c>
      <c r="X6224" s="6">
        <f>IF(P6224="折扣",V6224*Q6224,IF(P6224="返现",V6224,(V6224-487.53)/(1+Q6224+AG6224)))</f>
        <v>36185.538461538446</v>
      </c>
      <c r="Y6224" s="13">
        <f t="shared" si="968"/>
        <v>0</v>
      </c>
      <c r="Z6224" s="14">
        <v>0</v>
      </c>
      <c r="AA6224" s="6">
        <v>0</v>
      </c>
      <c r="AB6224" s="4">
        <f t="shared" si="969"/>
        <v>36185.538461538446</v>
      </c>
      <c r="AC6224" s="6">
        <f t="shared" si="967"/>
        <v>16047.311538461538</v>
      </c>
      <c r="AD6224" s="6">
        <v>37778.559999999998</v>
      </c>
      <c r="AE6224" s="14">
        <f>VLOOKUP(I6224,[2]媒体政策预估表!A:N,MATCH(O6224,[2]媒体政策预估表!$A$2:$M$2,0),0)</f>
        <v>7.0000000000000007E-2</v>
      </c>
      <c r="AF6224" s="6">
        <f t="shared" si="963"/>
        <v>2644.4992000000002</v>
      </c>
      <c r="AG6224" s="14">
        <v>0.37</v>
      </c>
      <c r="AH6224" s="6">
        <f>(V6224-487.53)/(1+AG6224)</f>
        <v>37770.306569343054</v>
      </c>
      <c r="AI6224" s="47"/>
      <c r="AJ6224" s="126" t="e">
        <v>#N/A</v>
      </c>
      <c r="AK6224" s="80">
        <f t="shared" si="970"/>
        <v>0</v>
      </c>
      <c r="AL6224" s="85"/>
      <c r="AM6224" s="85"/>
    </row>
    <row r="6225" spans="1:39" s="86" customFormat="1" ht="13.25" hidden="1" customHeight="1" x14ac:dyDescent="0.3">
      <c r="A6225" s="89" t="s">
        <v>3794</v>
      </c>
      <c r="B6225" s="86" t="s">
        <v>35</v>
      </c>
      <c r="C6225" s="86" t="s">
        <v>187</v>
      </c>
      <c r="D6225" s="86" t="s">
        <v>208</v>
      </c>
      <c r="E6225" s="86" t="s">
        <v>211</v>
      </c>
      <c r="F6225" s="86" t="s">
        <v>211</v>
      </c>
      <c r="G6225" s="86" t="s">
        <v>211</v>
      </c>
      <c r="H6225" s="143">
        <v>237</v>
      </c>
      <c r="I6225" s="86" t="s">
        <v>2374</v>
      </c>
      <c r="J6225" s="1" t="s">
        <v>3322</v>
      </c>
      <c r="K6225" s="1" t="s">
        <v>3269</v>
      </c>
      <c r="L6225" s="1" t="s">
        <v>35</v>
      </c>
      <c r="M6225" s="86" t="s">
        <v>2438</v>
      </c>
      <c r="O6225" s="47" t="s">
        <v>40</v>
      </c>
      <c r="P6225" s="47" t="s">
        <v>46</v>
      </c>
      <c r="Q6225" s="14">
        <v>0.01</v>
      </c>
      <c r="R6225" s="143"/>
      <c r="S6225" s="47"/>
      <c r="T6225" s="6">
        <v>1.6000000005305992E-2</v>
      </c>
      <c r="U6225" s="6"/>
      <c r="V6225" s="6">
        <v>0</v>
      </c>
      <c r="W6225" s="6">
        <f t="shared" si="964"/>
        <v>1.6000000005305992E-2</v>
      </c>
      <c r="X6225" s="6">
        <f t="shared" si="965"/>
        <v>0</v>
      </c>
      <c r="Y6225" s="13">
        <f t="shared" si="968"/>
        <v>0</v>
      </c>
      <c r="Z6225" s="14">
        <v>0</v>
      </c>
      <c r="AA6225" s="6">
        <v>0</v>
      </c>
      <c r="AB6225" s="4">
        <f t="shared" si="969"/>
        <v>0</v>
      </c>
      <c r="AC6225" s="6">
        <f t="shared" si="967"/>
        <v>0</v>
      </c>
      <c r="AD6225" s="6">
        <v>0</v>
      </c>
      <c r="AE6225" s="14">
        <f>VLOOKUP(I6225,[2]媒体政策预估表!A:N,MATCH(O6225,[2]媒体政策预估表!$A$2:$M$2,0),0)</f>
        <v>0.09</v>
      </c>
      <c r="AF6225" s="6">
        <f t="shared" si="963"/>
        <v>0</v>
      </c>
      <c r="AG6225" s="14">
        <v>0.4</v>
      </c>
      <c r="AH6225" s="6">
        <f t="shared" si="966"/>
        <v>0</v>
      </c>
      <c r="AI6225" s="47"/>
      <c r="AJ6225" s="126" t="e">
        <v>#N/A</v>
      </c>
      <c r="AK6225" s="80">
        <f t="shared" si="970"/>
        <v>0</v>
      </c>
      <c r="AL6225" s="85"/>
      <c r="AM6225" s="85"/>
    </row>
    <row r="6226" spans="1:39" s="86" customFormat="1" ht="13.25" hidden="1" customHeight="1" x14ac:dyDescent="0.3">
      <c r="A6226" s="89" t="s">
        <v>3792</v>
      </c>
      <c r="B6226" s="86" t="s">
        <v>35</v>
      </c>
      <c r="C6226" s="86" t="s">
        <v>187</v>
      </c>
      <c r="D6226" s="86" t="s">
        <v>208</v>
      </c>
      <c r="E6226" s="86" t="s">
        <v>2458</v>
      </c>
      <c r="F6226" s="86" t="s">
        <v>2459</v>
      </c>
      <c r="G6226" s="86" t="s">
        <v>2458</v>
      </c>
      <c r="H6226" s="144">
        <v>237</v>
      </c>
      <c r="I6226" s="86" t="s">
        <v>2374</v>
      </c>
      <c r="J6226" s="1" t="s">
        <v>3322</v>
      </c>
      <c r="K6226" s="1" t="s">
        <v>3269</v>
      </c>
      <c r="L6226" s="1" t="s">
        <v>35</v>
      </c>
      <c r="M6226" s="86" t="s">
        <v>2460</v>
      </c>
      <c r="O6226" s="47" t="s">
        <v>40</v>
      </c>
      <c r="P6226" s="47" t="s">
        <v>46</v>
      </c>
      <c r="Q6226" s="14">
        <v>0.05</v>
      </c>
      <c r="R6226" s="143"/>
      <c r="S6226" s="47"/>
      <c r="T6226" s="6">
        <v>158815.71519999986</v>
      </c>
      <c r="U6226" s="6"/>
      <c r="V6226" s="6">
        <v>83505.980000000025</v>
      </c>
      <c r="W6226" s="6">
        <f t="shared" si="964"/>
        <v>75309.735199999835</v>
      </c>
      <c r="X6226" s="6">
        <f t="shared" si="965"/>
        <v>64733.317829457381</v>
      </c>
      <c r="Y6226" s="13">
        <f t="shared" si="968"/>
        <v>0</v>
      </c>
      <c r="Z6226" s="14">
        <v>0</v>
      </c>
      <c r="AA6226" s="6">
        <v>0</v>
      </c>
      <c r="AB6226" s="4">
        <f t="shared" si="969"/>
        <v>64733.317829457381</v>
      </c>
      <c r="AC6226" s="6">
        <f t="shared" si="967"/>
        <v>18772.662170542644</v>
      </c>
      <c r="AD6226" s="6">
        <v>67343.220000000016</v>
      </c>
      <c r="AE6226" s="14">
        <f>VLOOKUP(I6226,[2]媒体政策预估表!A:N,MATCH(O6226,[2]媒体政策预估表!$A$2:$M$2,0),0)</f>
        <v>0.09</v>
      </c>
      <c r="AF6226" s="6">
        <f t="shared" si="963"/>
        <v>6060.8898000000008</v>
      </c>
      <c r="AG6226" s="14">
        <v>0.24</v>
      </c>
      <c r="AH6226" s="6">
        <f t="shared" si="966"/>
        <v>67343.53225806453</v>
      </c>
      <c r="AI6226" s="47"/>
      <c r="AJ6226" s="126" t="e">
        <v>#N/A</v>
      </c>
      <c r="AK6226" s="80">
        <f t="shared" si="970"/>
        <v>0</v>
      </c>
      <c r="AL6226" s="85"/>
      <c r="AM6226" s="85"/>
    </row>
    <row r="6227" spans="1:39" s="86" customFormat="1" ht="13.25" hidden="1" customHeight="1" x14ac:dyDescent="0.3">
      <c r="A6227" s="89" t="s">
        <v>3794</v>
      </c>
      <c r="B6227" s="86" t="s">
        <v>35</v>
      </c>
      <c r="C6227" s="86" t="s">
        <v>187</v>
      </c>
      <c r="D6227" s="86" t="s">
        <v>208</v>
      </c>
      <c r="E6227" s="86" t="s">
        <v>3698</v>
      </c>
      <c r="F6227" s="86" t="s">
        <v>3698</v>
      </c>
      <c r="G6227" s="86" t="s">
        <v>3698</v>
      </c>
      <c r="H6227" s="144">
        <v>237</v>
      </c>
      <c r="I6227" s="86" t="s">
        <v>2374</v>
      </c>
      <c r="J6227" s="1" t="s">
        <v>3322</v>
      </c>
      <c r="K6227" s="1" t="s">
        <v>3269</v>
      </c>
      <c r="L6227" s="1" t="s">
        <v>35</v>
      </c>
      <c r="M6227" s="86" t="s">
        <v>3423</v>
      </c>
      <c r="O6227" s="47" t="s">
        <v>40</v>
      </c>
      <c r="P6227" s="47" t="s">
        <v>46</v>
      </c>
      <c r="Q6227" s="14">
        <v>0.04</v>
      </c>
      <c r="R6227" s="143"/>
      <c r="S6227" s="47"/>
      <c r="T6227" s="6">
        <v>428414.43</v>
      </c>
      <c r="U6227" s="6"/>
      <c r="V6227" s="6">
        <v>54519.119999999981</v>
      </c>
      <c r="W6227" s="6">
        <f t="shared" si="964"/>
        <v>373895.31</v>
      </c>
      <c r="X6227" s="6">
        <f t="shared" si="965"/>
        <v>41302.363636363618</v>
      </c>
      <c r="Y6227" s="13">
        <f t="shared" si="968"/>
        <v>0</v>
      </c>
      <c r="Z6227" s="14">
        <v>0</v>
      </c>
      <c r="AA6227" s="6">
        <v>0</v>
      </c>
      <c r="AB6227" s="4">
        <f t="shared" si="969"/>
        <v>41302.363636363618</v>
      </c>
      <c r="AC6227" s="6">
        <f t="shared" si="967"/>
        <v>13216.756363636363</v>
      </c>
      <c r="AD6227" s="6">
        <v>42594.720000000001</v>
      </c>
      <c r="AE6227" s="14">
        <f>VLOOKUP(I6227,[2]媒体政策预估表!A:N,MATCH(O6227,[2]媒体政策预估表!$A$2:$M$2,0),0)</f>
        <v>0.09</v>
      </c>
      <c r="AF6227" s="6">
        <f t="shared" si="963"/>
        <v>3833.5248000000001</v>
      </c>
      <c r="AG6227" s="14">
        <v>0.28000000000000003</v>
      </c>
      <c r="AH6227" s="6">
        <f t="shared" si="966"/>
        <v>42593.062499999985</v>
      </c>
      <c r="AI6227" s="47"/>
      <c r="AJ6227" s="126" t="e">
        <v>#N/A</v>
      </c>
      <c r="AK6227" s="80">
        <f t="shared" si="970"/>
        <v>0</v>
      </c>
      <c r="AL6227" s="85"/>
      <c r="AM6227" s="85"/>
    </row>
    <row r="6228" spans="1:39" s="86" customFormat="1" ht="13.25" hidden="1" customHeight="1" x14ac:dyDescent="0.3">
      <c r="A6228" s="89" t="s">
        <v>3794</v>
      </c>
      <c r="B6228" s="86" t="s">
        <v>35</v>
      </c>
      <c r="C6228" s="86" t="s">
        <v>187</v>
      </c>
      <c r="D6228" s="86" t="s">
        <v>208</v>
      </c>
      <c r="E6228" s="86" t="s">
        <v>2468</v>
      </c>
      <c r="F6228" s="86" t="s">
        <v>2468</v>
      </c>
      <c r="G6228" s="86" t="s">
        <v>2468</v>
      </c>
      <c r="H6228" s="144">
        <v>237</v>
      </c>
      <c r="I6228" s="86" t="s">
        <v>2374</v>
      </c>
      <c r="J6228" s="1" t="s">
        <v>3322</v>
      </c>
      <c r="K6228" s="1" t="s">
        <v>3269</v>
      </c>
      <c r="L6228" s="1" t="s">
        <v>35</v>
      </c>
      <c r="M6228" s="86" t="s">
        <v>2438</v>
      </c>
      <c r="O6228" s="47" t="s">
        <v>40</v>
      </c>
      <c r="P6228" s="47" t="s">
        <v>46</v>
      </c>
      <c r="Q6228" s="14">
        <v>0.03</v>
      </c>
      <c r="R6228" s="143"/>
      <c r="S6228" s="47"/>
      <c r="T6228" s="6">
        <v>303669.32199999999</v>
      </c>
      <c r="U6228" s="6"/>
      <c r="V6228" s="6">
        <v>98087</v>
      </c>
      <c r="W6228" s="6">
        <f t="shared" si="964"/>
        <v>205582.32199999999</v>
      </c>
      <c r="X6228" s="6">
        <f t="shared" si="965"/>
        <v>68592.307692307688</v>
      </c>
      <c r="Y6228" s="13">
        <f t="shared" si="968"/>
        <v>0</v>
      </c>
      <c r="Z6228" s="14">
        <v>0</v>
      </c>
      <c r="AA6228" s="6">
        <v>0</v>
      </c>
      <c r="AB6228" s="4">
        <f t="shared" si="969"/>
        <v>68592.307692307688</v>
      </c>
      <c r="AC6228" s="6">
        <f t="shared" si="967"/>
        <v>29494.692307692312</v>
      </c>
      <c r="AD6228" s="6">
        <v>70058.599999999991</v>
      </c>
      <c r="AE6228" s="14">
        <f>VLOOKUP(I6228,[2]媒体政策预估表!A:N,MATCH(O6228,[2]媒体政策预估表!$A$2:$M$2,0),0)</f>
        <v>0.09</v>
      </c>
      <c r="AF6228" s="6">
        <f t="shared" si="963"/>
        <v>6305.2739999999994</v>
      </c>
      <c r="AG6228" s="14">
        <v>0.4</v>
      </c>
      <c r="AH6228" s="6">
        <f t="shared" si="966"/>
        <v>70062.142857142855</v>
      </c>
      <c r="AI6228" s="47"/>
      <c r="AJ6228" s="126" t="e">
        <v>#N/A</v>
      </c>
      <c r="AK6228" s="80">
        <f t="shared" si="970"/>
        <v>0</v>
      </c>
      <c r="AL6228" s="85"/>
      <c r="AM6228" s="85"/>
    </row>
    <row r="6229" spans="1:39" s="86" customFormat="1" ht="13.25" hidden="1" customHeight="1" x14ac:dyDescent="0.3">
      <c r="A6229" s="89" t="s">
        <v>3792</v>
      </c>
      <c r="B6229" s="86" t="s">
        <v>35</v>
      </c>
      <c r="C6229" s="86" t="s">
        <v>65</v>
      </c>
      <c r="D6229" s="86" t="s">
        <v>66</v>
      </c>
      <c r="E6229" s="86" t="s">
        <v>2386</v>
      </c>
      <c r="F6229" s="86" t="s">
        <v>2386</v>
      </c>
      <c r="G6229" s="86" t="s">
        <v>2386</v>
      </c>
      <c r="H6229" s="144">
        <v>237</v>
      </c>
      <c r="I6229" s="86" t="s">
        <v>2374</v>
      </c>
      <c r="J6229" s="1" t="s">
        <v>3322</v>
      </c>
      <c r="K6229" s="1" t="s">
        <v>3269</v>
      </c>
      <c r="L6229" s="1" t="s">
        <v>35</v>
      </c>
      <c r="M6229" s="86" t="s">
        <v>2387</v>
      </c>
      <c r="O6229" s="47" t="s">
        <v>40</v>
      </c>
      <c r="P6229" s="47" t="s">
        <v>46</v>
      </c>
      <c r="Q6229" s="14">
        <v>2.5000000000000001E-2</v>
      </c>
      <c r="R6229" s="143"/>
      <c r="S6229" s="47"/>
      <c r="T6229" s="6">
        <v>51250</v>
      </c>
      <c r="U6229" s="6"/>
      <c r="V6229" s="6">
        <v>51250</v>
      </c>
      <c r="W6229" s="6">
        <f t="shared" si="964"/>
        <v>0</v>
      </c>
      <c r="X6229" s="6">
        <f t="shared" si="965"/>
        <v>50000.000000000007</v>
      </c>
      <c r="Y6229" s="13">
        <f t="shared" si="968"/>
        <v>50000.000000000007</v>
      </c>
      <c r="Z6229" s="14">
        <v>0</v>
      </c>
      <c r="AA6229" s="6">
        <v>0</v>
      </c>
      <c r="AB6229" s="4">
        <f t="shared" si="969"/>
        <v>50000.000000000007</v>
      </c>
      <c r="AC6229" s="6">
        <f t="shared" si="967"/>
        <v>1249.9999999999927</v>
      </c>
      <c r="AD6229" s="6">
        <v>0</v>
      </c>
      <c r="AE6229" s="14">
        <f>VLOOKUP(I6229,[2]媒体政策预估表!A:N,MATCH(O6229,[2]媒体政策预估表!$A$2:$M$2,0),0)</f>
        <v>0.09</v>
      </c>
      <c r="AF6229" s="6">
        <f t="shared" si="963"/>
        <v>0</v>
      </c>
      <c r="AG6229" s="14">
        <v>0</v>
      </c>
      <c r="AH6229" s="6">
        <f t="shared" si="966"/>
        <v>51250</v>
      </c>
      <c r="AI6229" s="47"/>
      <c r="AJ6229" s="126" t="e">
        <v>#N/A</v>
      </c>
      <c r="AK6229" s="80">
        <f t="shared" si="970"/>
        <v>0</v>
      </c>
      <c r="AL6229" s="85"/>
      <c r="AM6229" s="85"/>
    </row>
    <row r="6230" spans="1:39" s="86" customFormat="1" ht="13.25" hidden="1" customHeight="1" x14ac:dyDescent="0.3">
      <c r="A6230" s="89" t="s">
        <v>3792</v>
      </c>
      <c r="B6230" s="86" t="s">
        <v>35</v>
      </c>
      <c r="C6230" s="86" t="s">
        <v>65</v>
      </c>
      <c r="D6230" s="86" t="s">
        <v>66</v>
      </c>
      <c r="E6230" s="86" t="s">
        <v>2385</v>
      </c>
      <c r="F6230" s="86" t="s">
        <v>2385</v>
      </c>
      <c r="G6230" s="86" t="s">
        <v>2385</v>
      </c>
      <c r="H6230" s="144">
        <v>237</v>
      </c>
      <c r="I6230" s="86" t="s">
        <v>2374</v>
      </c>
      <c r="J6230" s="1" t="s">
        <v>3322</v>
      </c>
      <c r="K6230" s="1" t="s">
        <v>3269</v>
      </c>
      <c r="L6230" s="1" t="s">
        <v>35</v>
      </c>
      <c r="M6230" s="86" t="s">
        <v>2385</v>
      </c>
      <c r="O6230" s="47" t="s">
        <v>45</v>
      </c>
      <c r="P6230" s="47" t="s">
        <v>41</v>
      </c>
      <c r="Q6230" s="14">
        <v>0</v>
      </c>
      <c r="R6230" s="143"/>
      <c r="S6230" s="47"/>
      <c r="T6230" s="6">
        <v>8074.6500000000024</v>
      </c>
      <c r="U6230" s="6"/>
      <c r="V6230" s="6">
        <v>6141.39</v>
      </c>
      <c r="W6230" s="6">
        <f t="shared" si="964"/>
        <v>1933.260000000002</v>
      </c>
      <c r="X6230" s="6">
        <f t="shared" si="965"/>
        <v>6141.39</v>
      </c>
      <c r="Y6230" s="13">
        <f t="shared" si="968"/>
        <v>0</v>
      </c>
      <c r="Z6230" s="14">
        <v>0</v>
      </c>
      <c r="AA6230" s="6">
        <v>0</v>
      </c>
      <c r="AB6230" s="4">
        <f t="shared" si="969"/>
        <v>6141.39</v>
      </c>
      <c r="AC6230" s="6">
        <f t="shared" si="967"/>
        <v>0</v>
      </c>
      <c r="AD6230" s="6">
        <v>6141.39</v>
      </c>
      <c r="AE6230" s="14">
        <f>VLOOKUP(I6230,[2]媒体政策预估表!A:N,MATCH(O6230,[2]媒体政策预估表!$A$2:$M$2,0),0)</f>
        <v>7.0000000000000007E-2</v>
      </c>
      <c r="AF6230" s="6">
        <f t="shared" si="963"/>
        <v>429.89730000000009</v>
      </c>
      <c r="AG6230" s="14">
        <v>0</v>
      </c>
      <c r="AH6230" s="6">
        <f t="shared" si="966"/>
        <v>6141.39</v>
      </c>
      <c r="AI6230" s="47"/>
      <c r="AJ6230" s="126" t="e">
        <v>#N/A</v>
      </c>
      <c r="AK6230" s="80">
        <f t="shared" si="970"/>
        <v>0</v>
      </c>
      <c r="AL6230" s="85"/>
      <c r="AM6230" s="85"/>
    </row>
    <row r="6231" spans="1:39" s="86" customFormat="1" ht="13.25" hidden="1" customHeight="1" x14ac:dyDescent="0.3">
      <c r="A6231" s="89" t="s">
        <v>3794</v>
      </c>
      <c r="B6231" s="86" t="s">
        <v>35</v>
      </c>
      <c r="C6231" s="86" t="s">
        <v>36</v>
      </c>
      <c r="D6231" s="86" t="s">
        <v>185</v>
      </c>
      <c r="E6231" s="86" t="s">
        <v>2393</v>
      </c>
      <c r="F6231" s="86" t="s">
        <v>2394</v>
      </c>
      <c r="G6231" s="86" t="s">
        <v>2393</v>
      </c>
      <c r="H6231" s="143">
        <v>237</v>
      </c>
      <c r="I6231" s="86" t="s">
        <v>2374</v>
      </c>
      <c r="J6231" s="1" t="s">
        <v>3322</v>
      </c>
      <c r="K6231" s="1" t="s">
        <v>3269</v>
      </c>
      <c r="L6231" s="1" t="s">
        <v>35</v>
      </c>
      <c r="M6231" s="86" t="s">
        <v>2395</v>
      </c>
      <c r="O6231" s="47" t="s">
        <v>45</v>
      </c>
      <c r="P6231" s="47" t="s">
        <v>46</v>
      </c>
      <c r="Q6231" s="14">
        <v>5.5E-2</v>
      </c>
      <c r="R6231" s="143"/>
      <c r="S6231" s="47"/>
      <c r="T6231" s="6">
        <v>8592.809999999552</v>
      </c>
      <c r="U6231" s="6"/>
      <c r="V6231" s="6">
        <v>0</v>
      </c>
      <c r="W6231" s="6">
        <f t="shared" si="964"/>
        <v>8592.809999999552</v>
      </c>
      <c r="X6231" s="6">
        <f t="shared" si="965"/>
        <v>0</v>
      </c>
      <c r="Y6231" s="13">
        <f t="shared" si="968"/>
        <v>0</v>
      </c>
      <c r="Z6231" s="14">
        <v>0</v>
      </c>
      <c r="AA6231" s="6">
        <v>0</v>
      </c>
      <c r="AB6231" s="4">
        <f t="shared" si="969"/>
        <v>0</v>
      </c>
      <c r="AC6231" s="6">
        <f t="shared" si="967"/>
        <v>0</v>
      </c>
      <c r="AD6231" s="6">
        <v>0</v>
      </c>
      <c r="AE6231" s="14">
        <f>VLOOKUP(I6231,[2]媒体政策预估表!A:N,MATCH(O6231,[2]媒体政策预估表!$A$2:$M$2,0),0)</f>
        <v>7.0000000000000007E-2</v>
      </c>
      <c r="AF6231" s="6">
        <f t="shared" si="963"/>
        <v>0</v>
      </c>
      <c r="AG6231" s="14">
        <v>0</v>
      </c>
      <c r="AH6231" s="6">
        <f t="shared" si="966"/>
        <v>0</v>
      </c>
      <c r="AI6231" s="47"/>
      <c r="AJ6231" s="126" t="e">
        <v>#N/A</v>
      </c>
      <c r="AK6231" s="80">
        <f t="shared" si="970"/>
        <v>0</v>
      </c>
      <c r="AL6231" s="85"/>
      <c r="AM6231" s="85"/>
    </row>
    <row r="6232" spans="1:39" s="86" customFormat="1" ht="13.25" hidden="1" customHeight="1" x14ac:dyDescent="0.3">
      <c r="A6232" s="89" t="s">
        <v>3792</v>
      </c>
      <c r="B6232" s="86" t="s">
        <v>35</v>
      </c>
      <c r="C6232" s="86" t="s">
        <v>36</v>
      </c>
      <c r="D6232" s="86" t="s">
        <v>185</v>
      </c>
      <c r="E6232" s="86" t="s">
        <v>2393</v>
      </c>
      <c r="F6232" s="86" t="s">
        <v>2399</v>
      </c>
      <c r="G6232" s="86" t="s">
        <v>2393</v>
      </c>
      <c r="H6232" s="143">
        <v>237</v>
      </c>
      <c r="I6232" s="86" t="s">
        <v>2374</v>
      </c>
      <c r="J6232" s="1" t="s">
        <v>3322</v>
      </c>
      <c r="K6232" s="1" t="s">
        <v>3269</v>
      </c>
      <c r="L6232" s="1" t="s">
        <v>35</v>
      </c>
      <c r="M6232" s="86" t="s">
        <v>2400</v>
      </c>
      <c r="O6232" s="47" t="s">
        <v>45</v>
      </c>
      <c r="P6232" s="47" t="s">
        <v>46</v>
      </c>
      <c r="Q6232" s="14">
        <v>5.5E-2</v>
      </c>
      <c r="R6232" s="143"/>
      <c r="S6232" s="47"/>
      <c r="T6232" s="6">
        <v>76634.570000000007</v>
      </c>
      <c r="U6232" s="6"/>
      <c r="V6232" s="6">
        <v>0</v>
      </c>
      <c r="W6232" s="6">
        <f t="shared" si="964"/>
        <v>76634.570000000007</v>
      </c>
      <c r="X6232" s="6">
        <f t="shared" si="965"/>
        <v>0</v>
      </c>
      <c r="Y6232" s="13">
        <f t="shared" si="968"/>
        <v>0</v>
      </c>
      <c r="Z6232" s="14">
        <v>0</v>
      </c>
      <c r="AA6232" s="6">
        <v>0</v>
      </c>
      <c r="AB6232" s="4">
        <f t="shared" si="969"/>
        <v>0</v>
      </c>
      <c r="AC6232" s="6">
        <f t="shared" si="967"/>
        <v>0</v>
      </c>
      <c r="AD6232" s="6">
        <v>0</v>
      </c>
      <c r="AE6232" s="14">
        <f>VLOOKUP(I6232,[2]媒体政策预估表!A:N,MATCH(O6232,[2]媒体政策预估表!$A$2:$M$2,0),0)</f>
        <v>7.0000000000000007E-2</v>
      </c>
      <c r="AF6232" s="6">
        <f t="shared" si="963"/>
        <v>0</v>
      </c>
      <c r="AG6232" s="14">
        <v>0</v>
      </c>
      <c r="AH6232" s="6">
        <f t="shared" si="966"/>
        <v>0</v>
      </c>
      <c r="AI6232" s="47"/>
      <c r="AJ6232" s="126" t="e">
        <v>#N/A</v>
      </c>
      <c r="AK6232" s="80">
        <f t="shared" si="970"/>
        <v>0</v>
      </c>
      <c r="AL6232" s="85"/>
      <c r="AM6232" s="85"/>
    </row>
    <row r="6233" spans="1:39" s="86" customFormat="1" ht="13.25" hidden="1" customHeight="1" x14ac:dyDescent="0.3">
      <c r="A6233" s="89" t="s">
        <v>3792</v>
      </c>
      <c r="B6233" s="86" t="s">
        <v>35</v>
      </c>
      <c r="C6233" s="86" t="s">
        <v>36</v>
      </c>
      <c r="D6233" s="86" t="s">
        <v>185</v>
      </c>
      <c r="E6233" s="86" t="s">
        <v>2418</v>
      </c>
      <c r="F6233" s="86" t="s">
        <v>2421</v>
      </c>
      <c r="G6233" s="86" t="s">
        <v>2418</v>
      </c>
      <c r="H6233" s="143">
        <v>237</v>
      </c>
      <c r="I6233" s="86" t="s">
        <v>2374</v>
      </c>
      <c r="J6233" s="1" t="s">
        <v>3322</v>
      </c>
      <c r="K6233" s="1" t="s">
        <v>3269</v>
      </c>
      <c r="L6233" s="1" t="s">
        <v>35</v>
      </c>
      <c r="M6233" s="86" t="s">
        <v>2420</v>
      </c>
      <c r="O6233" s="47" t="s">
        <v>40</v>
      </c>
      <c r="P6233" s="47" t="s">
        <v>46</v>
      </c>
      <c r="Q6233" s="14">
        <v>5.5E-2</v>
      </c>
      <c r="R6233" s="143"/>
      <c r="S6233" s="47"/>
      <c r="T6233" s="6">
        <v>-75465.168399998918</v>
      </c>
      <c r="U6233" s="6"/>
      <c r="V6233" s="6">
        <v>0</v>
      </c>
      <c r="W6233" s="6">
        <f t="shared" si="964"/>
        <v>-75465.168399998918</v>
      </c>
      <c r="X6233" s="6">
        <f t="shared" si="965"/>
        <v>0</v>
      </c>
      <c r="Y6233" s="13">
        <f t="shared" si="968"/>
        <v>0</v>
      </c>
      <c r="Z6233" s="14">
        <v>0</v>
      </c>
      <c r="AA6233" s="6">
        <v>0</v>
      </c>
      <c r="AB6233" s="4">
        <f t="shared" si="969"/>
        <v>0</v>
      </c>
      <c r="AC6233" s="6">
        <f t="shared" si="967"/>
        <v>0</v>
      </c>
      <c r="AD6233" s="6">
        <v>0</v>
      </c>
      <c r="AE6233" s="14">
        <f>VLOOKUP(I6233,[2]媒体政策预估表!A:N,MATCH(O6233,[2]媒体政策预估表!$A$2:$M$2,0),0)</f>
        <v>0.09</v>
      </c>
      <c r="AF6233" s="6">
        <f t="shared" si="963"/>
        <v>0</v>
      </c>
      <c r="AG6233" s="14">
        <v>0.24</v>
      </c>
      <c r="AH6233" s="6">
        <f t="shared" si="966"/>
        <v>0</v>
      </c>
      <c r="AI6233" s="47"/>
      <c r="AJ6233" s="126" t="e">
        <v>#N/A</v>
      </c>
      <c r="AK6233" s="80">
        <f t="shared" si="970"/>
        <v>0</v>
      </c>
      <c r="AL6233" s="85"/>
      <c r="AM6233" s="85"/>
    </row>
    <row r="6234" spans="1:39" s="86" customFormat="1" ht="13.25" hidden="1" customHeight="1" x14ac:dyDescent="0.3">
      <c r="A6234" s="89" t="s">
        <v>3792</v>
      </c>
      <c r="B6234" s="86" t="s">
        <v>35</v>
      </c>
      <c r="C6234" s="86" t="s">
        <v>184</v>
      </c>
      <c r="D6234" s="86" t="s">
        <v>3849</v>
      </c>
      <c r="E6234" s="86" t="s">
        <v>2429</v>
      </c>
      <c r="F6234" s="86" t="s">
        <v>2429</v>
      </c>
      <c r="G6234" s="86" t="s">
        <v>2429</v>
      </c>
      <c r="H6234" s="144">
        <v>237</v>
      </c>
      <c r="I6234" s="86" t="s">
        <v>2374</v>
      </c>
      <c r="J6234" s="1" t="s">
        <v>3322</v>
      </c>
      <c r="K6234" s="1" t="s">
        <v>3269</v>
      </c>
      <c r="L6234" s="1" t="s">
        <v>35</v>
      </c>
      <c r="M6234" s="86" t="s">
        <v>2430</v>
      </c>
      <c r="O6234" s="47" t="s">
        <v>45</v>
      </c>
      <c r="P6234" s="47" t="s">
        <v>41</v>
      </c>
      <c r="Q6234" s="14">
        <v>0</v>
      </c>
      <c r="R6234" s="143"/>
      <c r="S6234" s="47"/>
      <c r="T6234" s="6">
        <v>120224.62999999995</v>
      </c>
      <c r="U6234" s="6"/>
      <c r="V6234" s="6">
        <v>120224.62999999995</v>
      </c>
      <c r="W6234" s="6">
        <f t="shared" si="964"/>
        <v>0</v>
      </c>
      <c r="X6234" s="6">
        <f t="shared" si="965"/>
        <v>113419.46226415089</v>
      </c>
      <c r="Y6234" s="13">
        <f t="shared" si="968"/>
        <v>113419.46226415089</v>
      </c>
      <c r="Z6234" s="14">
        <v>0</v>
      </c>
      <c r="AA6234" s="6">
        <v>0</v>
      </c>
      <c r="AB6234" s="4">
        <f t="shared" si="969"/>
        <v>113419.46226415089</v>
      </c>
      <c r="AC6234" s="6">
        <f t="shared" si="967"/>
        <v>6805.167735849056</v>
      </c>
      <c r="AD6234" s="6">
        <v>0</v>
      </c>
      <c r="AE6234" s="14">
        <f>VLOOKUP(I6234,[2]媒体政策预估表!A:N,MATCH(O6234,[2]媒体政策预估表!$A$2:$M$2,0),0)</f>
        <v>7.0000000000000007E-2</v>
      </c>
      <c r="AF6234" s="6">
        <f t="shared" si="963"/>
        <v>0</v>
      </c>
      <c r="AG6234" s="14">
        <v>0.06</v>
      </c>
      <c r="AH6234" s="6">
        <f t="shared" si="966"/>
        <v>113419.46226415089</v>
      </c>
      <c r="AI6234" s="47"/>
      <c r="AJ6234" s="126" t="e">
        <v>#N/A</v>
      </c>
      <c r="AK6234" s="80">
        <f t="shared" si="970"/>
        <v>0</v>
      </c>
      <c r="AL6234" s="85"/>
      <c r="AM6234" s="85"/>
    </row>
    <row r="6235" spans="1:39" s="86" customFormat="1" ht="13.25" hidden="1" customHeight="1" x14ac:dyDescent="0.3">
      <c r="A6235" s="89" t="s">
        <v>3794</v>
      </c>
      <c r="B6235" s="86" t="s">
        <v>35</v>
      </c>
      <c r="C6235" s="86" t="s">
        <v>65</v>
      </c>
      <c r="D6235" s="86" t="s">
        <v>66</v>
      </c>
      <c r="E6235" s="86" t="s">
        <v>132</v>
      </c>
      <c r="F6235" s="86" t="s">
        <v>132</v>
      </c>
      <c r="G6235" s="86" t="s">
        <v>132</v>
      </c>
      <c r="H6235" s="144">
        <v>237</v>
      </c>
      <c r="I6235" s="86" t="s">
        <v>2374</v>
      </c>
      <c r="J6235" s="1" t="s">
        <v>3322</v>
      </c>
      <c r="K6235" s="1" t="s">
        <v>3269</v>
      </c>
      <c r="L6235" s="1" t="s">
        <v>35</v>
      </c>
      <c r="M6235" s="86" t="s">
        <v>132</v>
      </c>
      <c r="O6235" s="47" t="s">
        <v>45</v>
      </c>
      <c r="P6235" s="47" t="s">
        <v>46</v>
      </c>
      <c r="Q6235" s="14">
        <v>4.7E-2</v>
      </c>
      <c r="R6235" s="143"/>
      <c r="S6235" s="47"/>
      <c r="T6235" s="6">
        <v>955161.19329999981</v>
      </c>
      <c r="U6235" s="6"/>
      <c r="V6235" s="6">
        <v>774220.03000000014</v>
      </c>
      <c r="W6235" s="6">
        <f t="shared" si="964"/>
        <v>180941.16329999967</v>
      </c>
      <c r="X6235" s="6">
        <f t="shared" si="965"/>
        <v>625885.23039611988</v>
      </c>
      <c r="Y6235" s="13">
        <f t="shared" si="968"/>
        <v>625885.23039611988</v>
      </c>
      <c r="Z6235" s="14">
        <v>0</v>
      </c>
      <c r="AA6235" s="6">
        <v>0</v>
      </c>
      <c r="AB6235" s="4">
        <f t="shared" si="969"/>
        <v>625885.23039611988</v>
      </c>
      <c r="AC6235" s="6">
        <f t="shared" si="967"/>
        <v>148334.79960388027</v>
      </c>
      <c r="AD6235" s="6">
        <v>0</v>
      </c>
      <c r="AE6235" s="14">
        <f>VLOOKUP(I6235,[2]媒体政策预估表!A:N,MATCH(O6235,[2]媒体政策预估表!$A$2:$M$2,0),0)</f>
        <v>7.0000000000000007E-2</v>
      </c>
      <c r="AF6235" s="6">
        <f t="shared" si="963"/>
        <v>0</v>
      </c>
      <c r="AG6235" s="14">
        <v>0.19</v>
      </c>
      <c r="AH6235" s="6">
        <f t="shared" si="966"/>
        <v>650605.06722689094</v>
      </c>
      <c r="AI6235" s="47"/>
      <c r="AJ6235" s="126" t="e">
        <v>#N/A</v>
      </c>
      <c r="AK6235" s="80">
        <f t="shared" si="970"/>
        <v>0</v>
      </c>
      <c r="AL6235" s="85"/>
      <c r="AM6235" s="85"/>
    </row>
    <row r="6236" spans="1:39" s="86" customFormat="1" ht="13.25" hidden="1" customHeight="1" x14ac:dyDescent="0.3">
      <c r="A6236" s="89" t="s">
        <v>3794</v>
      </c>
      <c r="B6236" s="86" t="s">
        <v>35</v>
      </c>
      <c r="C6236" s="86" t="s">
        <v>144</v>
      </c>
      <c r="D6236" s="86" t="s">
        <v>161</v>
      </c>
      <c r="E6236" s="86" t="s">
        <v>1903</v>
      </c>
      <c r="F6236" s="86" t="s">
        <v>1903</v>
      </c>
      <c r="G6236" s="86" t="s">
        <v>1903</v>
      </c>
      <c r="H6236" s="144">
        <v>237</v>
      </c>
      <c r="I6236" s="86" t="s">
        <v>2374</v>
      </c>
      <c r="J6236" s="1" t="s">
        <v>3322</v>
      </c>
      <c r="K6236" s="1" t="s">
        <v>3269</v>
      </c>
      <c r="L6236" s="1" t="s">
        <v>35</v>
      </c>
      <c r="M6236" s="86" t="s">
        <v>2148</v>
      </c>
      <c r="O6236" s="47" t="s">
        <v>45</v>
      </c>
      <c r="P6236" s="47" t="s">
        <v>41</v>
      </c>
      <c r="Q6236" s="14">
        <v>0</v>
      </c>
      <c r="R6236" s="143"/>
      <c r="S6236" s="47"/>
      <c r="T6236" s="6">
        <v>9738.2300000000087</v>
      </c>
      <c r="U6236" s="6"/>
      <c r="V6236" s="6">
        <v>8014.8199999999988</v>
      </c>
      <c r="W6236" s="6">
        <f t="shared" si="964"/>
        <v>1723.4100000000099</v>
      </c>
      <c r="X6236" s="6">
        <f t="shared" si="965"/>
        <v>8014.8199999999988</v>
      </c>
      <c r="Y6236" s="13">
        <f t="shared" si="968"/>
        <v>0</v>
      </c>
      <c r="Z6236" s="14">
        <v>0</v>
      </c>
      <c r="AA6236" s="6">
        <v>0</v>
      </c>
      <c r="AB6236" s="4">
        <f t="shared" si="969"/>
        <v>8014.8199999999988</v>
      </c>
      <c r="AC6236" s="6">
        <f t="shared" si="967"/>
        <v>0</v>
      </c>
      <c r="AD6236" s="6">
        <v>8014.8199999999988</v>
      </c>
      <c r="AE6236" s="14">
        <f>VLOOKUP(I6236,[2]媒体政策预估表!A:N,MATCH(O6236,[2]媒体政策预估表!$A$2:$M$2,0),0)</f>
        <v>7.0000000000000007E-2</v>
      </c>
      <c r="AF6236" s="6">
        <f t="shared" si="963"/>
        <v>561.03739999999993</v>
      </c>
      <c r="AG6236" s="14">
        <v>0</v>
      </c>
      <c r="AH6236" s="6">
        <f t="shared" si="966"/>
        <v>8014.8199999999988</v>
      </c>
      <c r="AI6236" s="47"/>
      <c r="AJ6236" s="126" t="e">
        <v>#N/A</v>
      </c>
      <c r="AK6236" s="80">
        <f t="shared" si="970"/>
        <v>0</v>
      </c>
      <c r="AL6236" s="85"/>
      <c r="AM6236" s="85"/>
    </row>
    <row r="6237" spans="1:39" s="86" customFormat="1" ht="13.25" hidden="1" customHeight="1" x14ac:dyDescent="0.3">
      <c r="A6237" s="89" t="s">
        <v>3792</v>
      </c>
      <c r="B6237" s="86" t="s">
        <v>35</v>
      </c>
      <c r="C6237" s="86" t="s">
        <v>187</v>
      </c>
      <c r="D6237" s="86" t="s">
        <v>188</v>
      </c>
      <c r="E6237" s="86" t="s">
        <v>2439</v>
      </c>
      <c r="F6237" s="86" t="s">
        <v>2439</v>
      </c>
      <c r="G6237" s="86" t="s">
        <v>2439</v>
      </c>
      <c r="H6237" s="143">
        <v>237</v>
      </c>
      <c r="I6237" s="86" t="s">
        <v>2374</v>
      </c>
      <c r="J6237" s="1" t="s">
        <v>3322</v>
      </c>
      <c r="K6237" s="1" t="s">
        <v>3269</v>
      </c>
      <c r="L6237" s="1" t="s">
        <v>35</v>
      </c>
      <c r="M6237" s="86" t="s">
        <v>2438</v>
      </c>
      <c r="O6237" s="47" t="s">
        <v>45</v>
      </c>
      <c r="P6237" s="47" t="s">
        <v>46</v>
      </c>
      <c r="Q6237" s="14">
        <v>0.05</v>
      </c>
      <c r="R6237" s="143"/>
      <c r="S6237" s="47"/>
      <c r="T6237" s="6">
        <v>17803.209500000055</v>
      </c>
      <c r="U6237" s="6"/>
      <c r="V6237" s="6">
        <v>0</v>
      </c>
      <c r="W6237" s="6">
        <f t="shared" si="964"/>
        <v>17803.209500000055</v>
      </c>
      <c r="X6237" s="6">
        <f t="shared" si="965"/>
        <v>0</v>
      </c>
      <c r="Y6237" s="13">
        <f t="shared" si="968"/>
        <v>0</v>
      </c>
      <c r="Z6237" s="14">
        <v>0</v>
      </c>
      <c r="AA6237" s="6">
        <v>0</v>
      </c>
      <c r="AB6237" s="4">
        <f t="shared" si="969"/>
        <v>0</v>
      </c>
      <c r="AC6237" s="6">
        <f t="shared" si="967"/>
        <v>0</v>
      </c>
      <c r="AD6237" s="6">
        <v>0</v>
      </c>
      <c r="AE6237" s="14">
        <f>VLOOKUP(I6237,[2]媒体政策预估表!A:N,MATCH(O6237,[2]媒体政策预估表!$A$2:$M$2,0),0)</f>
        <v>7.0000000000000007E-2</v>
      </c>
      <c r="AF6237" s="6">
        <f t="shared" si="963"/>
        <v>0</v>
      </c>
      <c r="AG6237" s="14">
        <v>0.37</v>
      </c>
      <c r="AH6237" s="6">
        <f t="shared" si="966"/>
        <v>0</v>
      </c>
      <c r="AI6237" s="47"/>
      <c r="AJ6237" s="126" t="e">
        <v>#N/A</v>
      </c>
      <c r="AK6237" s="80">
        <f t="shared" si="970"/>
        <v>0</v>
      </c>
      <c r="AL6237" s="85"/>
      <c r="AM6237" s="85"/>
    </row>
    <row r="6238" spans="1:39" s="86" customFormat="1" ht="13.25" hidden="1" customHeight="1" x14ac:dyDescent="0.3">
      <c r="A6238" s="89" t="s">
        <v>3794</v>
      </c>
      <c r="B6238" s="86" t="s">
        <v>35</v>
      </c>
      <c r="C6238" s="86" t="s">
        <v>187</v>
      </c>
      <c r="D6238" s="86" t="s">
        <v>188</v>
      </c>
      <c r="E6238" s="86" t="s">
        <v>2441</v>
      </c>
      <c r="F6238" s="86" t="s">
        <v>2441</v>
      </c>
      <c r="G6238" s="86" t="s">
        <v>2441</v>
      </c>
      <c r="H6238" s="144">
        <v>237</v>
      </c>
      <c r="I6238" s="86" t="s">
        <v>2374</v>
      </c>
      <c r="J6238" s="1" t="s">
        <v>3322</v>
      </c>
      <c r="K6238" s="1" t="s">
        <v>3269</v>
      </c>
      <c r="L6238" s="1" t="s">
        <v>35</v>
      </c>
      <c r="M6238" s="86" t="s">
        <v>2438</v>
      </c>
      <c r="O6238" s="47" t="s">
        <v>45</v>
      </c>
      <c r="P6238" s="47" t="s">
        <v>46</v>
      </c>
      <c r="Q6238" s="14">
        <v>0.01</v>
      </c>
      <c r="R6238" s="143"/>
      <c r="S6238" s="47"/>
      <c r="T6238" s="6">
        <v>138973.15797153162</v>
      </c>
      <c r="U6238" s="6"/>
      <c r="V6238" s="6">
        <v>18.87</v>
      </c>
      <c r="W6238" s="6">
        <f t="shared" si="964"/>
        <v>138954.28797153162</v>
      </c>
      <c r="X6238" s="6">
        <f t="shared" si="965"/>
        <v>13.673913043478263</v>
      </c>
      <c r="Y6238" s="13">
        <f t="shared" si="968"/>
        <v>0</v>
      </c>
      <c r="Z6238" s="14">
        <v>0</v>
      </c>
      <c r="AA6238" s="6">
        <v>0</v>
      </c>
      <c r="AB6238" s="4">
        <f t="shared" si="969"/>
        <v>13.673913043478263</v>
      </c>
      <c r="AC6238" s="6">
        <f t="shared" si="967"/>
        <v>5.1960869565217376</v>
      </c>
      <c r="AD6238" s="6">
        <v>13.77</v>
      </c>
      <c r="AE6238" s="14">
        <f>VLOOKUP(I6238,[2]媒体政策预估表!A:N,MATCH(O6238,[2]媒体政策预估表!$A$2:$M$2,0),0)</f>
        <v>7.0000000000000007E-2</v>
      </c>
      <c r="AF6238" s="6">
        <f t="shared" si="963"/>
        <v>0.96390000000000009</v>
      </c>
      <c r="AG6238" s="14">
        <v>0.37</v>
      </c>
      <c r="AH6238" s="6">
        <f t="shared" si="966"/>
        <v>13.773722627737225</v>
      </c>
      <c r="AI6238" s="47"/>
      <c r="AJ6238" s="126" t="e">
        <v>#N/A</v>
      </c>
      <c r="AK6238" s="80">
        <f t="shared" si="970"/>
        <v>0</v>
      </c>
      <c r="AL6238" s="85"/>
      <c r="AM6238" s="85"/>
    </row>
    <row r="6239" spans="1:39" s="86" customFormat="1" ht="13.25" hidden="1" customHeight="1" x14ac:dyDescent="0.3">
      <c r="A6239" s="89" t="s">
        <v>3794</v>
      </c>
      <c r="B6239" s="86" t="s">
        <v>35</v>
      </c>
      <c r="C6239" s="86" t="s">
        <v>187</v>
      </c>
      <c r="D6239" s="86" t="s">
        <v>188</v>
      </c>
      <c r="E6239" s="86" t="s">
        <v>2442</v>
      </c>
      <c r="F6239" s="86" t="s">
        <v>2443</v>
      </c>
      <c r="G6239" s="86" t="s">
        <v>2442</v>
      </c>
      <c r="H6239" s="144">
        <v>237</v>
      </c>
      <c r="I6239" s="86" t="s">
        <v>2374</v>
      </c>
      <c r="J6239" s="1" t="s">
        <v>3322</v>
      </c>
      <c r="K6239" s="1" t="s">
        <v>3269</v>
      </c>
      <c r="L6239" s="1" t="s">
        <v>35</v>
      </c>
      <c r="M6239" s="86" t="s">
        <v>2438</v>
      </c>
      <c r="O6239" s="47" t="s">
        <v>45</v>
      </c>
      <c r="P6239" s="47" t="s">
        <v>41</v>
      </c>
      <c r="Q6239" s="14">
        <v>0</v>
      </c>
      <c r="R6239" s="143"/>
      <c r="S6239" s="47"/>
      <c r="T6239" s="6">
        <v>54774.643399999957</v>
      </c>
      <c r="U6239" s="6"/>
      <c r="V6239" s="6">
        <v>33928.07</v>
      </c>
      <c r="W6239" s="6">
        <f t="shared" si="964"/>
        <v>20846.573399999957</v>
      </c>
      <c r="X6239" s="6">
        <f t="shared" si="965"/>
        <v>24765.014598540143</v>
      </c>
      <c r="Y6239" s="13">
        <f t="shared" si="968"/>
        <v>9.4598540137667442E-2</v>
      </c>
      <c r="Z6239" s="14">
        <v>0</v>
      </c>
      <c r="AA6239" s="6">
        <v>0</v>
      </c>
      <c r="AB6239" s="4">
        <f t="shared" si="969"/>
        <v>24765.014598540143</v>
      </c>
      <c r="AC6239" s="6">
        <f t="shared" si="967"/>
        <v>9163.0554014598565</v>
      </c>
      <c r="AD6239" s="6">
        <v>24764.920000000006</v>
      </c>
      <c r="AE6239" s="14">
        <f>VLOOKUP(I6239,[2]媒体政策预估表!A:N,MATCH(O6239,[2]媒体政策预估表!$A$2:$M$2,0),0)</f>
        <v>7.0000000000000007E-2</v>
      </c>
      <c r="AF6239" s="6">
        <f t="shared" si="963"/>
        <v>1733.5444000000005</v>
      </c>
      <c r="AG6239" s="14">
        <v>0.37</v>
      </c>
      <c r="AH6239" s="6">
        <f t="shared" si="966"/>
        <v>24765.014598540143</v>
      </c>
      <c r="AI6239" s="47"/>
      <c r="AJ6239" s="126" t="e">
        <v>#N/A</v>
      </c>
      <c r="AK6239" s="80">
        <f t="shared" si="970"/>
        <v>0</v>
      </c>
      <c r="AL6239" s="85"/>
      <c r="AM6239" s="85"/>
    </row>
    <row r="6240" spans="1:39" s="86" customFormat="1" ht="13.25" hidden="1" customHeight="1" x14ac:dyDescent="0.3">
      <c r="A6240" s="89" t="s">
        <v>3794</v>
      </c>
      <c r="B6240" s="86" t="s">
        <v>35</v>
      </c>
      <c r="C6240" s="86" t="s">
        <v>187</v>
      </c>
      <c r="D6240" s="86" t="s">
        <v>188</v>
      </c>
      <c r="E6240" s="86" t="s">
        <v>2442</v>
      </c>
      <c r="F6240" s="86" t="s">
        <v>2443</v>
      </c>
      <c r="G6240" s="86" t="s">
        <v>2442</v>
      </c>
      <c r="H6240" s="143">
        <v>237</v>
      </c>
      <c r="I6240" s="86" t="s">
        <v>2374</v>
      </c>
      <c r="J6240" s="1" t="s">
        <v>3322</v>
      </c>
      <c r="K6240" s="1" t="s">
        <v>3269</v>
      </c>
      <c r="L6240" s="1" t="s">
        <v>35</v>
      </c>
      <c r="M6240" s="86" t="s">
        <v>2438</v>
      </c>
      <c r="O6240" s="47" t="s">
        <v>40</v>
      </c>
      <c r="P6240" s="47" t="s">
        <v>41</v>
      </c>
      <c r="Q6240" s="14">
        <v>0</v>
      </c>
      <c r="R6240" s="143"/>
      <c r="S6240" s="47"/>
      <c r="T6240" s="6">
        <v>19895.781699998079</v>
      </c>
      <c r="U6240" s="6"/>
      <c r="V6240" s="6">
        <v>0</v>
      </c>
      <c r="W6240" s="6">
        <f t="shared" si="964"/>
        <v>19895.781699998079</v>
      </c>
      <c r="X6240" s="6">
        <f t="shared" si="965"/>
        <v>0</v>
      </c>
      <c r="Y6240" s="13">
        <f t="shared" si="968"/>
        <v>0</v>
      </c>
      <c r="Z6240" s="14">
        <v>0</v>
      </c>
      <c r="AA6240" s="6">
        <v>0</v>
      </c>
      <c r="AB6240" s="4">
        <f t="shared" si="969"/>
        <v>0</v>
      </c>
      <c r="AC6240" s="6">
        <f t="shared" si="967"/>
        <v>0</v>
      </c>
      <c r="AD6240" s="6">
        <v>0</v>
      </c>
      <c r="AE6240" s="14">
        <f>VLOOKUP(I6240,[2]媒体政策预估表!A:N,MATCH(O6240,[2]媒体政策预估表!$A$2:$M$2,0),0)</f>
        <v>0.09</v>
      </c>
      <c r="AF6240" s="6">
        <f t="shared" si="963"/>
        <v>0</v>
      </c>
      <c r="AG6240" s="14">
        <v>0.4</v>
      </c>
      <c r="AH6240" s="6">
        <f t="shared" si="966"/>
        <v>0</v>
      </c>
      <c r="AI6240" s="47"/>
      <c r="AJ6240" s="126" t="e">
        <v>#N/A</v>
      </c>
      <c r="AK6240" s="80">
        <f t="shared" si="970"/>
        <v>0</v>
      </c>
      <c r="AL6240" s="85"/>
      <c r="AM6240" s="85"/>
    </row>
    <row r="6241" spans="1:39" s="86" customFormat="1" ht="13.25" hidden="1" customHeight="1" x14ac:dyDescent="0.3">
      <c r="A6241" s="89" t="s">
        <v>3794</v>
      </c>
      <c r="B6241" s="86" t="s">
        <v>35</v>
      </c>
      <c r="C6241" s="86" t="s">
        <v>187</v>
      </c>
      <c r="D6241" s="86" t="s">
        <v>188</v>
      </c>
      <c r="E6241" s="86" t="s">
        <v>201</v>
      </c>
      <c r="F6241" s="86" t="s">
        <v>201</v>
      </c>
      <c r="G6241" s="86" t="s">
        <v>201</v>
      </c>
      <c r="H6241" s="144">
        <v>237</v>
      </c>
      <c r="I6241" s="86" t="s">
        <v>2374</v>
      </c>
      <c r="J6241" s="1" t="s">
        <v>3322</v>
      </c>
      <c r="K6241" s="1" t="s">
        <v>3269</v>
      </c>
      <c r="L6241" s="1" t="s">
        <v>35</v>
      </c>
      <c r="M6241" s="86" t="s">
        <v>2438</v>
      </c>
      <c r="O6241" s="47" t="s">
        <v>40</v>
      </c>
      <c r="P6241" s="47" t="s">
        <v>46</v>
      </c>
      <c r="Q6241" s="14">
        <v>0.02</v>
      </c>
      <c r="R6241" s="143"/>
      <c r="S6241" s="47" t="s">
        <v>3913</v>
      </c>
      <c r="T6241" s="6">
        <v>386.5899999999383</v>
      </c>
      <c r="U6241" s="6">
        <v>5533.56</v>
      </c>
      <c r="V6241" s="6">
        <v>0</v>
      </c>
      <c r="W6241" s="6">
        <f t="shared" si="964"/>
        <v>5920.1499999999387</v>
      </c>
      <c r="X6241" s="6">
        <f>IF(P6241="折扣",V6241*Q6241,IF(P6241="返现",V6241,(V6241-5533.56)/(1+Q6241+AG6241)))</f>
        <v>-3896.8732394366202</v>
      </c>
      <c r="Y6241" s="13">
        <f t="shared" si="968"/>
        <v>0</v>
      </c>
      <c r="Z6241" s="14">
        <v>0</v>
      </c>
      <c r="AA6241" s="6">
        <v>0</v>
      </c>
      <c r="AB6241" s="4">
        <f t="shared" si="969"/>
        <v>-3896.8732394366202</v>
      </c>
      <c r="AC6241" s="6">
        <f t="shared" si="967"/>
        <v>3896.8732394366202</v>
      </c>
      <c r="AD6241" s="6">
        <v>0</v>
      </c>
      <c r="AE6241" s="14">
        <f>VLOOKUP(I6241,[2]媒体政策预估表!A:N,MATCH(O6241,[2]媒体政策预估表!$A$2:$M$2,0),0)</f>
        <v>0.09</v>
      </c>
      <c r="AF6241" s="6">
        <f t="shared" si="963"/>
        <v>0</v>
      </c>
      <c r="AG6241" s="14">
        <v>0.4</v>
      </c>
      <c r="AH6241" s="6">
        <f>(V6241-5533.56)/(1+AG6241)</f>
        <v>-3952.5428571428579</v>
      </c>
      <c r="AI6241" s="47"/>
      <c r="AJ6241" s="126" t="e">
        <v>#N/A</v>
      </c>
      <c r="AK6241" s="80">
        <f t="shared" si="970"/>
        <v>0</v>
      </c>
      <c r="AL6241" s="85"/>
      <c r="AM6241" s="85"/>
    </row>
    <row r="6242" spans="1:39" s="86" customFormat="1" ht="13.25" hidden="1" customHeight="1" x14ac:dyDescent="0.3">
      <c r="A6242" s="89" t="s">
        <v>3794</v>
      </c>
      <c r="B6242" s="86" t="s">
        <v>35</v>
      </c>
      <c r="C6242" s="86" t="s">
        <v>187</v>
      </c>
      <c r="D6242" s="86" t="s">
        <v>188</v>
      </c>
      <c r="E6242" s="86" t="s">
        <v>202</v>
      </c>
      <c r="F6242" s="86" t="s">
        <v>202</v>
      </c>
      <c r="G6242" s="86" t="s">
        <v>202</v>
      </c>
      <c r="H6242" s="144">
        <v>237</v>
      </c>
      <c r="I6242" s="86" t="s">
        <v>2374</v>
      </c>
      <c r="J6242" s="1" t="s">
        <v>3322</v>
      </c>
      <c r="K6242" s="1" t="s">
        <v>3269</v>
      </c>
      <c r="L6242" s="1" t="s">
        <v>35</v>
      </c>
      <c r="M6242" s="86" t="s">
        <v>2438</v>
      </c>
      <c r="O6242" s="47" t="s">
        <v>45</v>
      </c>
      <c r="P6242" s="47" t="s">
        <v>46</v>
      </c>
      <c r="Q6242" s="14">
        <v>0.03</v>
      </c>
      <c r="R6242" s="143"/>
      <c r="S6242" s="47"/>
      <c r="T6242" s="6">
        <v>515805.10739999986</v>
      </c>
      <c r="U6242" s="6"/>
      <c r="V6242" s="6">
        <v>515592.65</v>
      </c>
      <c r="W6242" s="6">
        <f t="shared" si="964"/>
        <v>212.45739999983925</v>
      </c>
      <c r="X6242" s="6">
        <f t="shared" si="965"/>
        <v>368280.46428571432</v>
      </c>
      <c r="Y6242" s="13">
        <f t="shared" si="968"/>
        <v>368280.46428571432</v>
      </c>
      <c r="Z6242" s="14">
        <v>0</v>
      </c>
      <c r="AA6242" s="6">
        <v>0</v>
      </c>
      <c r="AB6242" s="4">
        <f t="shared" si="969"/>
        <v>368280.46428571432</v>
      </c>
      <c r="AC6242" s="6">
        <f t="shared" si="967"/>
        <v>147312.1857142857</v>
      </c>
      <c r="AD6242" s="6">
        <v>0</v>
      </c>
      <c r="AE6242" s="14">
        <f>VLOOKUP(I6242,[2]媒体政策预估表!A:N,MATCH(O6242,[2]媒体政策预估表!$A$2:$M$2,0),0)</f>
        <v>7.0000000000000007E-2</v>
      </c>
      <c r="AF6242" s="6">
        <f t="shared" si="963"/>
        <v>0</v>
      </c>
      <c r="AG6242" s="14">
        <v>0.37</v>
      </c>
      <c r="AH6242" s="6">
        <f t="shared" si="966"/>
        <v>376345</v>
      </c>
      <c r="AI6242" s="47"/>
      <c r="AJ6242" s="126" t="e">
        <v>#N/A</v>
      </c>
      <c r="AK6242" s="80">
        <f t="shared" si="970"/>
        <v>0</v>
      </c>
      <c r="AL6242" s="85"/>
      <c r="AM6242" s="85"/>
    </row>
    <row r="6243" spans="1:39" s="86" customFormat="1" ht="13.25" hidden="1" customHeight="1" x14ac:dyDescent="0.3">
      <c r="A6243" s="89" t="s">
        <v>3794</v>
      </c>
      <c r="B6243" s="86" t="s">
        <v>35</v>
      </c>
      <c r="C6243" s="86" t="s">
        <v>187</v>
      </c>
      <c r="D6243" s="86" t="s">
        <v>188</v>
      </c>
      <c r="E6243" s="86" t="s">
        <v>2453</v>
      </c>
      <c r="F6243" s="86" t="s">
        <v>2453</v>
      </c>
      <c r="G6243" s="86" t="s">
        <v>2453</v>
      </c>
      <c r="H6243" s="144">
        <v>237</v>
      </c>
      <c r="I6243" s="86" t="s">
        <v>2374</v>
      </c>
      <c r="J6243" s="1" t="s">
        <v>3322</v>
      </c>
      <c r="K6243" s="1" t="s">
        <v>3269</v>
      </c>
      <c r="L6243" s="1" t="s">
        <v>35</v>
      </c>
      <c r="M6243" s="86" t="s">
        <v>2438</v>
      </c>
      <c r="O6243" s="47" t="s">
        <v>40</v>
      </c>
      <c r="P6243" s="47" t="s">
        <v>46</v>
      </c>
      <c r="Q6243" s="14">
        <v>0.01</v>
      </c>
      <c r="R6243" s="143"/>
      <c r="S6243" s="47" t="s">
        <v>3914</v>
      </c>
      <c r="T6243" s="6">
        <v>86131.845999999932</v>
      </c>
      <c r="U6243" s="6">
        <v>2119.27</v>
      </c>
      <c r="V6243" s="6">
        <v>0</v>
      </c>
      <c r="W6243" s="6">
        <f t="shared" si="964"/>
        <v>88251.115999999936</v>
      </c>
      <c r="X6243" s="6">
        <f>IF(P6243="折扣",V6243*Q6243,IF(P6243="返现",V6243,(V6243-2119.27)/(1+Q6243+AG6243)))</f>
        <v>-1503.0283687943261</v>
      </c>
      <c r="Y6243" s="13">
        <f t="shared" si="968"/>
        <v>0</v>
      </c>
      <c r="Z6243" s="14">
        <v>0</v>
      </c>
      <c r="AA6243" s="6">
        <v>0</v>
      </c>
      <c r="AB6243" s="4">
        <f t="shared" si="969"/>
        <v>-1503.0283687943261</v>
      </c>
      <c r="AC6243" s="6">
        <f t="shared" si="967"/>
        <v>1503.0283687943261</v>
      </c>
      <c r="AD6243" s="6">
        <v>0</v>
      </c>
      <c r="AE6243" s="14">
        <f>VLOOKUP(I6243,[2]媒体政策预估表!A:N,MATCH(O6243,[2]媒体政策预估表!$A$2:$M$2,0),0)</f>
        <v>0.09</v>
      </c>
      <c r="AF6243" s="6">
        <f t="shared" si="963"/>
        <v>0</v>
      </c>
      <c r="AG6243" s="14">
        <v>0.4</v>
      </c>
      <c r="AH6243" s="6">
        <f>(V6243-2119.27)/(1+AG6243)</f>
        <v>-1513.7642857142857</v>
      </c>
      <c r="AI6243" s="47"/>
      <c r="AJ6243" s="126" t="e">
        <v>#N/A</v>
      </c>
      <c r="AK6243" s="80">
        <f t="shared" si="970"/>
        <v>0</v>
      </c>
      <c r="AL6243" s="85"/>
      <c r="AM6243" s="85"/>
    </row>
    <row r="6244" spans="1:39" s="86" customFormat="1" ht="13.25" hidden="1" customHeight="1" x14ac:dyDescent="0.3">
      <c r="A6244" s="89" t="s">
        <v>3792</v>
      </c>
      <c r="B6244" s="86" t="s">
        <v>35</v>
      </c>
      <c r="C6244" s="86" t="s">
        <v>187</v>
      </c>
      <c r="D6244" s="86" t="s">
        <v>188</v>
      </c>
      <c r="E6244" s="86" t="s">
        <v>2454</v>
      </c>
      <c r="F6244" s="86" t="s">
        <v>2454</v>
      </c>
      <c r="G6244" s="86" t="s">
        <v>2454</v>
      </c>
      <c r="H6244" s="144">
        <v>237</v>
      </c>
      <c r="I6244" s="86" t="s">
        <v>2374</v>
      </c>
      <c r="J6244" s="1" t="s">
        <v>3322</v>
      </c>
      <c r="K6244" s="1" t="s">
        <v>3269</v>
      </c>
      <c r="L6244" s="1" t="s">
        <v>35</v>
      </c>
      <c r="M6244" s="86" t="s">
        <v>2438</v>
      </c>
      <c r="O6244" s="47" t="s">
        <v>40</v>
      </c>
      <c r="P6244" s="47" t="s">
        <v>46</v>
      </c>
      <c r="Q6244" s="14">
        <v>0.08</v>
      </c>
      <c r="R6244" s="143"/>
      <c r="S6244" s="47"/>
      <c r="T6244" s="6">
        <v>461923.77999999991</v>
      </c>
      <c r="U6244" s="6"/>
      <c r="V6244" s="6">
        <v>4694.630000000001</v>
      </c>
      <c r="W6244" s="6">
        <f t="shared" si="964"/>
        <v>457229.14999999991</v>
      </c>
      <c r="X6244" s="6">
        <f t="shared" si="965"/>
        <v>3172.047297297298</v>
      </c>
      <c r="Y6244" s="13">
        <f t="shared" si="968"/>
        <v>0</v>
      </c>
      <c r="Z6244" s="14">
        <v>0</v>
      </c>
      <c r="AA6244" s="6">
        <v>0</v>
      </c>
      <c r="AB6244" s="4">
        <f t="shared" si="969"/>
        <v>3172.047297297298</v>
      </c>
      <c r="AC6244" s="6">
        <f t="shared" si="967"/>
        <v>1522.582702702703</v>
      </c>
      <c r="AD6244" s="6">
        <v>3351.3400000000006</v>
      </c>
      <c r="AE6244" s="14">
        <f>VLOOKUP(I6244,[2]媒体政策预估表!A:N,MATCH(O6244,[2]媒体政策预估表!$A$2:$M$2,0),0)</f>
        <v>0.09</v>
      </c>
      <c r="AF6244" s="6">
        <f t="shared" ref="AF6244:AF6307" si="971">AD6244*AE6244</f>
        <v>301.62060000000002</v>
      </c>
      <c r="AG6244" s="14">
        <v>0.4</v>
      </c>
      <c r="AH6244" s="6">
        <f t="shared" si="966"/>
        <v>3353.3071428571438</v>
      </c>
      <c r="AI6244" s="47"/>
      <c r="AJ6244" s="126" t="e">
        <v>#N/A</v>
      </c>
      <c r="AK6244" s="80">
        <f t="shared" si="970"/>
        <v>0</v>
      </c>
      <c r="AL6244" s="85"/>
      <c r="AM6244" s="85"/>
    </row>
    <row r="6245" spans="1:39" s="86" customFormat="1" ht="13.25" hidden="1" customHeight="1" x14ac:dyDescent="0.3">
      <c r="A6245" s="89" t="s">
        <v>3794</v>
      </c>
      <c r="B6245" s="86" t="s">
        <v>35</v>
      </c>
      <c r="C6245" s="86" t="s">
        <v>187</v>
      </c>
      <c r="D6245" s="86" t="s">
        <v>208</v>
      </c>
      <c r="E6245" s="86" t="s">
        <v>2462</v>
      </c>
      <c r="F6245" s="86" t="s">
        <v>2462</v>
      </c>
      <c r="G6245" s="86" t="s">
        <v>2462</v>
      </c>
      <c r="H6245" s="143">
        <v>237</v>
      </c>
      <c r="I6245" s="86" t="s">
        <v>2374</v>
      </c>
      <c r="J6245" s="1" t="s">
        <v>3322</v>
      </c>
      <c r="K6245" s="1" t="s">
        <v>3269</v>
      </c>
      <c r="L6245" s="1" t="s">
        <v>35</v>
      </c>
      <c r="M6245" s="86" t="s">
        <v>2462</v>
      </c>
      <c r="O6245" s="47" t="s">
        <v>45</v>
      </c>
      <c r="P6245" s="47" t="s">
        <v>46</v>
      </c>
      <c r="Q6245" s="14">
        <v>0.05</v>
      </c>
      <c r="R6245" s="143"/>
      <c r="S6245" s="47"/>
      <c r="T6245" s="6">
        <v>5.4750000000003638</v>
      </c>
      <c r="U6245" s="6"/>
      <c r="V6245" s="6">
        <v>0</v>
      </c>
      <c r="W6245" s="6">
        <f t="shared" si="964"/>
        <v>5.4750000000003638</v>
      </c>
      <c r="X6245" s="6">
        <f t="shared" si="965"/>
        <v>0</v>
      </c>
      <c r="Y6245" s="13">
        <f t="shared" si="968"/>
        <v>0</v>
      </c>
      <c r="Z6245" s="14">
        <v>0</v>
      </c>
      <c r="AA6245" s="6">
        <v>0</v>
      </c>
      <c r="AB6245" s="4">
        <f t="shared" si="969"/>
        <v>0</v>
      </c>
      <c r="AC6245" s="6">
        <f t="shared" si="967"/>
        <v>0</v>
      </c>
      <c r="AD6245" s="6">
        <v>0</v>
      </c>
      <c r="AE6245" s="14">
        <f>VLOOKUP(I6245,[2]媒体政策预估表!A:N,MATCH(O6245,[2]媒体政策预估表!$A$2:$M$2,0),0)</f>
        <v>7.0000000000000007E-2</v>
      </c>
      <c r="AF6245" s="6">
        <f t="shared" si="971"/>
        <v>0</v>
      </c>
      <c r="AG6245" s="14">
        <v>0.1</v>
      </c>
      <c r="AH6245" s="6">
        <f t="shared" si="966"/>
        <v>0</v>
      </c>
      <c r="AI6245" s="47"/>
      <c r="AJ6245" s="126" t="e">
        <v>#N/A</v>
      </c>
      <c r="AK6245" s="80">
        <f t="shared" si="970"/>
        <v>0</v>
      </c>
      <c r="AL6245" s="85"/>
      <c r="AM6245" s="85"/>
    </row>
    <row r="6246" spans="1:39" s="86" customFormat="1" ht="13.25" hidden="1" customHeight="1" x14ac:dyDescent="0.3">
      <c r="A6246" s="89" t="s">
        <v>3794</v>
      </c>
      <c r="B6246" s="86" t="s">
        <v>35</v>
      </c>
      <c r="C6246" s="86" t="s">
        <v>59</v>
      </c>
      <c r="D6246" s="86" t="s">
        <v>60</v>
      </c>
      <c r="E6246" s="86" t="s">
        <v>2470</v>
      </c>
      <c r="F6246" s="86" t="s">
        <v>2470</v>
      </c>
      <c r="G6246" s="86" t="s">
        <v>2470</v>
      </c>
      <c r="H6246" s="143">
        <v>237</v>
      </c>
      <c r="I6246" s="86" t="s">
        <v>2374</v>
      </c>
      <c r="J6246" s="1" t="s">
        <v>3322</v>
      </c>
      <c r="K6246" s="1" t="s">
        <v>3269</v>
      </c>
      <c r="L6246" s="1" t="s">
        <v>35</v>
      </c>
      <c r="M6246" s="86" t="s">
        <v>2471</v>
      </c>
      <c r="O6246" s="47" t="s">
        <v>45</v>
      </c>
      <c r="P6246" s="47" t="s">
        <v>41</v>
      </c>
      <c r="Q6246" s="14">
        <v>0</v>
      </c>
      <c r="R6246" s="143"/>
      <c r="S6246" s="47"/>
      <c r="T6246" s="6">
        <v>-3.2200000000011642</v>
      </c>
      <c r="U6246" s="6"/>
      <c r="V6246" s="6">
        <v>0</v>
      </c>
      <c r="W6246" s="6">
        <f t="shared" si="964"/>
        <v>-3.2200000000011642</v>
      </c>
      <c r="X6246" s="6">
        <f t="shared" si="965"/>
        <v>0</v>
      </c>
      <c r="Y6246" s="13">
        <f t="shared" si="968"/>
        <v>0</v>
      </c>
      <c r="Z6246" s="14">
        <v>0</v>
      </c>
      <c r="AA6246" s="6">
        <v>0</v>
      </c>
      <c r="AB6246" s="4">
        <f t="shared" si="969"/>
        <v>0</v>
      </c>
      <c r="AC6246" s="6">
        <f t="shared" si="967"/>
        <v>0</v>
      </c>
      <c r="AD6246" s="6">
        <v>0</v>
      </c>
      <c r="AE6246" s="14">
        <f>VLOOKUP(I6246,[2]媒体政策预估表!A:N,MATCH(O6246,[2]媒体政策预估表!$A$2:$M$2,0),0)</f>
        <v>7.0000000000000007E-2</v>
      </c>
      <c r="AF6246" s="6">
        <f t="shared" si="971"/>
        <v>0</v>
      </c>
      <c r="AG6246" s="14">
        <v>0</v>
      </c>
      <c r="AH6246" s="6">
        <f t="shared" si="966"/>
        <v>0</v>
      </c>
      <c r="AI6246" s="47"/>
      <c r="AJ6246" s="126" t="e">
        <v>#N/A</v>
      </c>
      <c r="AK6246" s="80">
        <f t="shared" si="970"/>
        <v>0</v>
      </c>
      <c r="AL6246" s="85"/>
      <c r="AM6246" s="85"/>
    </row>
    <row r="6247" spans="1:39" s="86" customFormat="1" ht="13.25" hidden="1" customHeight="1" x14ac:dyDescent="0.3">
      <c r="A6247" s="89" t="s">
        <v>3792</v>
      </c>
      <c r="B6247" s="86" t="s">
        <v>35</v>
      </c>
      <c r="C6247" s="86" t="s">
        <v>184</v>
      </c>
      <c r="D6247" s="86" t="s">
        <v>224</v>
      </c>
      <c r="E6247" s="86" t="s">
        <v>2377</v>
      </c>
      <c r="F6247" s="86" t="s">
        <v>2377</v>
      </c>
      <c r="G6247" s="86" t="s">
        <v>2377</v>
      </c>
      <c r="H6247" s="143">
        <v>237</v>
      </c>
      <c r="I6247" s="86" t="s">
        <v>2374</v>
      </c>
      <c r="J6247" s="1" t="s">
        <v>3322</v>
      </c>
      <c r="K6247" s="1" t="s">
        <v>3269</v>
      </c>
      <c r="L6247" s="1" t="s">
        <v>35</v>
      </c>
      <c r="M6247" s="86" t="s">
        <v>2377</v>
      </c>
      <c r="O6247" s="47" t="s">
        <v>40</v>
      </c>
      <c r="P6247" s="47" t="s">
        <v>41</v>
      </c>
      <c r="Q6247" s="14">
        <v>0</v>
      </c>
      <c r="R6247" s="143"/>
      <c r="S6247" s="47"/>
      <c r="T6247" s="6">
        <v>-277.01999999991676</v>
      </c>
      <c r="U6247" s="6"/>
      <c r="V6247" s="6">
        <v>0</v>
      </c>
      <c r="W6247" s="6">
        <f t="shared" si="964"/>
        <v>-277.01999999991676</v>
      </c>
      <c r="X6247" s="6">
        <f t="shared" si="965"/>
        <v>0</v>
      </c>
      <c r="Y6247" s="13">
        <f t="shared" si="968"/>
        <v>0</v>
      </c>
      <c r="Z6247" s="14">
        <v>0</v>
      </c>
      <c r="AA6247" s="6">
        <v>0</v>
      </c>
      <c r="AB6247" s="4">
        <f t="shared" si="969"/>
        <v>0</v>
      </c>
      <c r="AC6247" s="6">
        <f t="shared" si="967"/>
        <v>0</v>
      </c>
      <c r="AD6247" s="6">
        <v>0</v>
      </c>
      <c r="AE6247" s="14">
        <f>VLOOKUP(I6247,[2]媒体政策预估表!A:N,MATCH(O6247,[2]媒体政策预估表!$A$2:$M$2,0),0)</f>
        <v>0.09</v>
      </c>
      <c r="AF6247" s="6">
        <f t="shared" si="971"/>
        <v>0</v>
      </c>
      <c r="AG6247" s="14">
        <v>0</v>
      </c>
      <c r="AH6247" s="6">
        <f t="shared" si="966"/>
        <v>0</v>
      </c>
      <c r="AI6247" s="47"/>
      <c r="AJ6247" s="126" t="s">
        <v>4223</v>
      </c>
      <c r="AK6247" s="80">
        <f t="shared" si="970"/>
        <v>0</v>
      </c>
      <c r="AL6247" s="150"/>
      <c r="AM6247" s="85"/>
    </row>
    <row r="6248" spans="1:39" s="86" customFormat="1" ht="13.25" hidden="1" customHeight="1" x14ac:dyDescent="0.3">
      <c r="A6248" s="89" t="s">
        <v>3792</v>
      </c>
      <c r="B6248" s="86" t="s">
        <v>35</v>
      </c>
      <c r="C6248" s="86" t="s">
        <v>184</v>
      </c>
      <c r="D6248" s="86" t="s">
        <v>54</v>
      </c>
      <c r="E6248" s="86" t="s">
        <v>2472</v>
      </c>
      <c r="F6248" s="86" t="s">
        <v>2472</v>
      </c>
      <c r="G6248" s="86" t="s">
        <v>2472</v>
      </c>
      <c r="H6248" s="144">
        <v>237</v>
      </c>
      <c r="I6248" s="86" t="s">
        <v>2374</v>
      </c>
      <c r="J6248" s="1" t="s">
        <v>3322</v>
      </c>
      <c r="K6248" s="1" t="s">
        <v>3269</v>
      </c>
      <c r="L6248" s="1" t="s">
        <v>35</v>
      </c>
      <c r="M6248" s="86" t="s">
        <v>2472</v>
      </c>
      <c r="O6248" s="47" t="s">
        <v>40</v>
      </c>
      <c r="P6248" s="47" t="s">
        <v>46</v>
      </c>
      <c r="Q6248" s="14">
        <v>0.03</v>
      </c>
      <c r="R6248" s="143"/>
      <c r="S6248" s="47"/>
      <c r="T6248" s="6">
        <v>54073.930000000058</v>
      </c>
      <c r="U6248" s="6"/>
      <c r="V6248" s="6">
        <v>54073.930000000058</v>
      </c>
      <c r="W6248" s="6">
        <f t="shared" si="964"/>
        <v>0</v>
      </c>
      <c r="X6248" s="6">
        <f t="shared" si="965"/>
        <v>52498.961165048597</v>
      </c>
      <c r="Y6248" s="13">
        <f t="shared" si="968"/>
        <v>52498.961165048597</v>
      </c>
      <c r="Z6248" s="14">
        <v>0</v>
      </c>
      <c r="AA6248" s="6">
        <v>0</v>
      </c>
      <c r="AB6248" s="4">
        <f t="shared" si="969"/>
        <v>52498.961165048597</v>
      </c>
      <c r="AC6248" s="6">
        <f t="shared" si="967"/>
        <v>1574.9688349514618</v>
      </c>
      <c r="AD6248" s="6">
        <v>0</v>
      </c>
      <c r="AE6248" s="14">
        <f>VLOOKUP(I6248,[2]媒体政策预估表!A:N,MATCH(O6248,[2]媒体政策预估表!$A$2:$M$2,0),0)</f>
        <v>0.09</v>
      </c>
      <c r="AF6248" s="6">
        <f t="shared" si="971"/>
        <v>0</v>
      </c>
      <c r="AG6248" s="14">
        <v>0</v>
      </c>
      <c r="AH6248" s="6">
        <f t="shared" si="966"/>
        <v>54073.930000000058</v>
      </c>
      <c r="AI6248" s="47"/>
      <c r="AJ6248" s="126" t="e">
        <v>#N/A</v>
      </c>
      <c r="AK6248" s="80">
        <f t="shared" si="970"/>
        <v>0</v>
      </c>
      <c r="AL6248" s="85"/>
      <c r="AM6248" s="85"/>
    </row>
    <row r="6249" spans="1:39" s="86" customFormat="1" ht="13.25" hidden="1" customHeight="1" x14ac:dyDescent="0.3">
      <c r="A6249" s="89" t="s">
        <v>3794</v>
      </c>
      <c r="B6249" s="86" t="s">
        <v>35</v>
      </c>
      <c r="C6249" s="86" t="s">
        <v>65</v>
      </c>
      <c r="D6249" s="86" t="s">
        <v>122</v>
      </c>
      <c r="E6249" s="86" t="s">
        <v>2475</v>
      </c>
      <c r="F6249" s="86" t="s">
        <v>2475</v>
      </c>
      <c r="G6249" s="86" t="s">
        <v>2475</v>
      </c>
      <c r="H6249" s="143">
        <v>237</v>
      </c>
      <c r="I6249" s="86" t="s">
        <v>2374</v>
      </c>
      <c r="J6249" s="1" t="s">
        <v>3322</v>
      </c>
      <c r="K6249" s="1" t="s">
        <v>3269</v>
      </c>
      <c r="L6249" s="1" t="s">
        <v>35</v>
      </c>
      <c r="M6249" s="86" t="s">
        <v>2475</v>
      </c>
      <c r="O6249" s="47" t="s">
        <v>45</v>
      </c>
      <c r="P6249" s="47" t="s">
        <v>41</v>
      </c>
      <c r="Q6249" s="14">
        <v>0</v>
      </c>
      <c r="R6249" s="143"/>
      <c r="S6249" s="47"/>
      <c r="T6249" s="6">
        <v>-6.4399999999977808</v>
      </c>
      <c r="U6249" s="6"/>
      <c r="V6249" s="6">
        <v>0</v>
      </c>
      <c r="W6249" s="6">
        <f t="shared" ref="W6249:W6312" si="972">T6249+U6249-V6249</f>
        <v>-6.4399999999977808</v>
      </c>
      <c r="X6249" s="6">
        <f t="shared" si="965"/>
        <v>0</v>
      </c>
      <c r="Y6249" s="13">
        <f t="shared" si="968"/>
        <v>0</v>
      </c>
      <c r="Z6249" s="14">
        <v>0</v>
      </c>
      <c r="AA6249" s="6">
        <v>0</v>
      </c>
      <c r="AB6249" s="4">
        <f t="shared" si="969"/>
        <v>0</v>
      </c>
      <c r="AC6249" s="6">
        <f t="shared" si="967"/>
        <v>0</v>
      </c>
      <c r="AD6249" s="6">
        <v>0</v>
      </c>
      <c r="AE6249" s="14">
        <f>VLOOKUP(I6249,[2]媒体政策预估表!A:N,MATCH(O6249,[2]媒体政策预估表!$A$2:$M$2,0),0)</f>
        <v>7.0000000000000007E-2</v>
      </c>
      <c r="AF6249" s="6">
        <f t="shared" si="971"/>
        <v>0</v>
      </c>
      <c r="AG6249" s="14">
        <v>0</v>
      </c>
      <c r="AH6249" s="6">
        <f t="shared" si="966"/>
        <v>0</v>
      </c>
      <c r="AI6249" s="47"/>
      <c r="AJ6249" s="126" t="e">
        <v>#N/A</v>
      </c>
      <c r="AK6249" s="80">
        <f t="shared" si="970"/>
        <v>0</v>
      </c>
      <c r="AL6249" s="85"/>
      <c r="AM6249" s="85"/>
    </row>
    <row r="6250" spans="1:39" s="86" customFormat="1" ht="13.25" hidden="1" customHeight="1" x14ac:dyDescent="0.3">
      <c r="A6250" s="89" t="s">
        <v>3792</v>
      </c>
      <c r="B6250" s="86" t="s">
        <v>35</v>
      </c>
      <c r="C6250" s="86" t="s">
        <v>65</v>
      </c>
      <c r="D6250" s="86" t="s">
        <v>1291</v>
      </c>
      <c r="E6250" s="86" t="s">
        <v>2476</v>
      </c>
      <c r="F6250" s="86" t="s">
        <v>2476</v>
      </c>
      <c r="G6250" s="86" t="s">
        <v>2476</v>
      </c>
      <c r="H6250" s="144">
        <v>237</v>
      </c>
      <c r="I6250" s="86" t="s">
        <v>2374</v>
      </c>
      <c r="J6250" s="1" t="s">
        <v>3322</v>
      </c>
      <c r="K6250" s="1" t="s">
        <v>3269</v>
      </c>
      <c r="L6250" s="1" t="s">
        <v>35</v>
      </c>
      <c r="M6250" s="86" t="s">
        <v>2476</v>
      </c>
      <c r="O6250" s="47" t="s">
        <v>40</v>
      </c>
      <c r="P6250" s="47" t="s">
        <v>41</v>
      </c>
      <c r="Q6250" s="14">
        <v>0</v>
      </c>
      <c r="R6250" s="143"/>
      <c r="S6250" s="47"/>
      <c r="T6250" s="6">
        <v>29486.05</v>
      </c>
      <c r="U6250" s="6"/>
      <c r="V6250" s="6">
        <v>306.82</v>
      </c>
      <c r="W6250" s="6">
        <f t="shared" si="972"/>
        <v>29179.23</v>
      </c>
      <c r="X6250" s="6">
        <f t="shared" si="965"/>
        <v>306.82</v>
      </c>
      <c r="Y6250" s="13">
        <f t="shared" si="968"/>
        <v>0</v>
      </c>
      <c r="Z6250" s="14">
        <v>0</v>
      </c>
      <c r="AA6250" s="6">
        <v>0</v>
      </c>
      <c r="AB6250" s="4">
        <f t="shared" si="969"/>
        <v>306.82</v>
      </c>
      <c r="AC6250" s="6">
        <f t="shared" si="967"/>
        <v>0</v>
      </c>
      <c r="AD6250" s="6">
        <v>306.82</v>
      </c>
      <c r="AE6250" s="14">
        <f>VLOOKUP(I6250,[2]媒体政策预估表!A:N,MATCH(O6250,[2]媒体政策预估表!$A$2:$M$2,0),0)</f>
        <v>0.09</v>
      </c>
      <c r="AF6250" s="6">
        <f t="shared" si="971"/>
        <v>27.613799999999998</v>
      </c>
      <c r="AG6250" s="14">
        <v>0</v>
      </c>
      <c r="AH6250" s="6">
        <f t="shared" si="966"/>
        <v>306.82</v>
      </c>
      <c r="AI6250" s="47"/>
      <c r="AJ6250" s="126" t="e">
        <v>#N/A</v>
      </c>
      <c r="AK6250" s="80">
        <f t="shared" si="970"/>
        <v>0</v>
      </c>
      <c r="AL6250" s="85"/>
      <c r="AM6250" s="85"/>
    </row>
    <row r="6251" spans="1:39" s="86" customFormat="1" ht="13.25" hidden="1" customHeight="1" x14ac:dyDescent="0.3">
      <c r="A6251" s="89" t="s">
        <v>3792</v>
      </c>
      <c r="B6251" s="86" t="s">
        <v>35</v>
      </c>
      <c r="C6251" s="86" t="s">
        <v>36</v>
      </c>
      <c r="D6251" s="86" t="s">
        <v>185</v>
      </c>
      <c r="E6251" s="86" t="s">
        <v>2393</v>
      </c>
      <c r="F6251" s="86" t="s">
        <v>2407</v>
      </c>
      <c r="G6251" s="86" t="s">
        <v>2393</v>
      </c>
      <c r="H6251" s="144">
        <v>237</v>
      </c>
      <c r="I6251" s="86" t="s">
        <v>2374</v>
      </c>
      <c r="J6251" s="1" t="s">
        <v>3322</v>
      </c>
      <c r="K6251" s="1" t="s">
        <v>3269</v>
      </c>
      <c r="L6251" s="1" t="s">
        <v>35</v>
      </c>
      <c r="M6251" s="86" t="s">
        <v>2408</v>
      </c>
      <c r="O6251" s="47" t="s">
        <v>40</v>
      </c>
      <c r="P6251" s="47" t="s">
        <v>46</v>
      </c>
      <c r="Q6251" s="14">
        <v>5.5E-2</v>
      </c>
      <c r="R6251" s="143"/>
      <c r="S6251" s="47"/>
      <c r="T6251" s="6">
        <v>343386.54800000042</v>
      </c>
      <c r="U6251" s="6"/>
      <c r="V6251" s="6">
        <v>188329.37999999992</v>
      </c>
      <c r="W6251" s="6">
        <f t="shared" si="972"/>
        <v>155057.1680000005</v>
      </c>
      <c r="X6251" s="6">
        <f t="shared" si="965"/>
        <v>141070.69662921343</v>
      </c>
      <c r="Y6251" s="13">
        <f t="shared" si="968"/>
        <v>0</v>
      </c>
      <c r="Z6251" s="14">
        <v>0</v>
      </c>
      <c r="AA6251" s="6">
        <v>0</v>
      </c>
      <c r="AB6251" s="4">
        <f t="shared" si="969"/>
        <v>141070.69662921343</v>
      </c>
      <c r="AC6251" s="6">
        <f t="shared" si="967"/>
        <v>47258.683370786486</v>
      </c>
      <c r="AD6251" s="6">
        <v>147146.68999999997</v>
      </c>
      <c r="AE6251" s="14">
        <f>VLOOKUP(I6251,[2]媒体政策预估表!A:N,MATCH(O6251,[2]媒体政策预估表!$A$2:$M$2,0),0)</f>
        <v>0.09</v>
      </c>
      <c r="AF6251" s="6">
        <f t="shared" si="971"/>
        <v>13243.202099999997</v>
      </c>
      <c r="AG6251" s="14">
        <v>0.28000000000000003</v>
      </c>
      <c r="AH6251" s="6">
        <f t="shared" si="966"/>
        <v>147132.32812499994</v>
      </c>
      <c r="AI6251" s="47"/>
      <c r="AJ6251" s="126" t="e">
        <v>#N/A</v>
      </c>
      <c r="AK6251" s="80">
        <f t="shared" si="970"/>
        <v>0</v>
      </c>
      <c r="AL6251" s="85"/>
      <c r="AM6251" s="85"/>
    </row>
    <row r="6252" spans="1:39" s="86" customFormat="1" ht="13.25" hidden="1" customHeight="1" x14ac:dyDescent="0.3">
      <c r="A6252" s="89" t="s">
        <v>3794</v>
      </c>
      <c r="B6252" s="86" t="s">
        <v>35</v>
      </c>
      <c r="C6252" s="86" t="s">
        <v>184</v>
      </c>
      <c r="D6252" s="86" t="s">
        <v>3849</v>
      </c>
      <c r="E6252" s="86" t="s">
        <v>538</v>
      </c>
      <c r="F6252" s="86" t="s">
        <v>538</v>
      </c>
      <c r="G6252" s="86" t="s">
        <v>538</v>
      </c>
      <c r="H6252" s="144">
        <v>237</v>
      </c>
      <c r="I6252" s="86" t="s">
        <v>2374</v>
      </c>
      <c r="J6252" s="1" t="s">
        <v>3322</v>
      </c>
      <c r="K6252" s="1" t="s">
        <v>3269</v>
      </c>
      <c r="L6252" s="1" t="s">
        <v>35</v>
      </c>
      <c r="M6252" s="86" t="s">
        <v>538</v>
      </c>
      <c r="O6252" s="47" t="s">
        <v>45</v>
      </c>
      <c r="P6252" s="47" t="s">
        <v>41</v>
      </c>
      <c r="Q6252" s="14">
        <v>0</v>
      </c>
      <c r="R6252" s="143"/>
      <c r="S6252" s="47"/>
      <c r="T6252" s="6">
        <v>5134.6000000000004</v>
      </c>
      <c r="U6252" s="6"/>
      <c r="V6252" s="6">
        <v>1816.1000000000004</v>
      </c>
      <c r="W6252" s="6">
        <f t="shared" si="972"/>
        <v>3318.5</v>
      </c>
      <c r="X6252" s="6">
        <f t="shared" si="965"/>
        <v>1816.1000000000004</v>
      </c>
      <c r="Y6252" s="13">
        <f t="shared" si="968"/>
        <v>0</v>
      </c>
      <c r="Z6252" s="14">
        <v>0</v>
      </c>
      <c r="AA6252" s="6">
        <v>0</v>
      </c>
      <c r="AB6252" s="4">
        <f t="shared" si="969"/>
        <v>1816.1000000000004</v>
      </c>
      <c r="AC6252" s="6">
        <f t="shared" si="967"/>
        <v>0</v>
      </c>
      <c r="AD6252" s="6">
        <v>1816.1000000000004</v>
      </c>
      <c r="AE6252" s="14">
        <f>VLOOKUP(I6252,[2]媒体政策预估表!A:N,MATCH(O6252,[2]媒体政策预估表!$A$2:$M$2,0),0)</f>
        <v>7.0000000000000007E-2</v>
      </c>
      <c r="AF6252" s="6">
        <f t="shared" si="971"/>
        <v>127.12700000000004</v>
      </c>
      <c r="AG6252" s="14">
        <v>0</v>
      </c>
      <c r="AH6252" s="6">
        <f t="shared" si="966"/>
        <v>1816.1000000000004</v>
      </c>
      <c r="AI6252" s="47"/>
      <c r="AJ6252" s="126" t="e">
        <v>#N/A</v>
      </c>
      <c r="AK6252" s="80">
        <f t="shared" si="970"/>
        <v>0</v>
      </c>
      <c r="AL6252" s="85"/>
      <c r="AM6252" s="85"/>
    </row>
    <row r="6253" spans="1:39" s="86" customFormat="1" ht="13.25" hidden="1" customHeight="1" x14ac:dyDescent="0.3">
      <c r="A6253" s="89" t="s">
        <v>3792</v>
      </c>
      <c r="B6253" s="86" t="s">
        <v>35</v>
      </c>
      <c r="C6253" s="86" t="s">
        <v>144</v>
      </c>
      <c r="D6253" s="86" t="s">
        <v>145</v>
      </c>
      <c r="E6253" s="86" t="s">
        <v>236</v>
      </c>
      <c r="F6253" s="86" t="s">
        <v>236</v>
      </c>
      <c r="G6253" s="86" t="s">
        <v>236</v>
      </c>
      <c r="H6253" s="143">
        <v>237</v>
      </c>
      <c r="I6253" s="86" t="s">
        <v>2374</v>
      </c>
      <c r="J6253" s="1" t="s">
        <v>3322</v>
      </c>
      <c r="K6253" s="1" t="s">
        <v>3269</v>
      </c>
      <c r="L6253" s="1" t="s">
        <v>35</v>
      </c>
      <c r="M6253" s="86" t="s">
        <v>2433</v>
      </c>
      <c r="O6253" s="47" t="s">
        <v>45</v>
      </c>
      <c r="P6253" s="47" t="s">
        <v>46</v>
      </c>
      <c r="Q6253" s="14">
        <v>0.02</v>
      </c>
      <c r="R6253" s="143"/>
      <c r="S6253" s="47"/>
      <c r="T6253" s="6">
        <v>1482.75</v>
      </c>
      <c r="U6253" s="6"/>
      <c r="V6253" s="6">
        <v>0</v>
      </c>
      <c r="W6253" s="6">
        <f t="shared" si="972"/>
        <v>1482.75</v>
      </c>
      <c r="X6253" s="6">
        <f t="shared" si="965"/>
        <v>0</v>
      </c>
      <c r="Y6253" s="13">
        <f t="shared" si="968"/>
        <v>0</v>
      </c>
      <c r="Z6253" s="14">
        <v>0</v>
      </c>
      <c r="AA6253" s="6">
        <v>0</v>
      </c>
      <c r="AB6253" s="4">
        <f t="shared" si="969"/>
        <v>0</v>
      </c>
      <c r="AC6253" s="6">
        <f t="shared" si="967"/>
        <v>0</v>
      </c>
      <c r="AD6253" s="6">
        <v>0</v>
      </c>
      <c r="AE6253" s="14">
        <f>VLOOKUP(I6253,[2]媒体政策预估表!A:N,MATCH(O6253,[2]媒体政策预估表!$A$2:$M$2,0),0)</f>
        <v>7.0000000000000007E-2</v>
      </c>
      <c r="AF6253" s="6">
        <f t="shared" si="971"/>
        <v>0</v>
      </c>
      <c r="AG6253" s="14">
        <v>0.3</v>
      </c>
      <c r="AH6253" s="6">
        <f t="shared" si="966"/>
        <v>0</v>
      </c>
      <c r="AI6253" s="47"/>
      <c r="AJ6253" s="126" t="e">
        <v>#N/A</v>
      </c>
      <c r="AK6253" s="80">
        <f t="shared" si="970"/>
        <v>0</v>
      </c>
      <c r="AL6253" s="85"/>
      <c r="AM6253" s="85"/>
    </row>
    <row r="6254" spans="1:39" s="86" customFormat="1" ht="13.25" hidden="1" customHeight="1" x14ac:dyDescent="0.3">
      <c r="A6254" s="89" t="s">
        <v>3792</v>
      </c>
      <c r="B6254" s="86" t="s">
        <v>35</v>
      </c>
      <c r="C6254" s="86" t="s">
        <v>144</v>
      </c>
      <c r="D6254" s="86" t="s">
        <v>145</v>
      </c>
      <c r="E6254" s="86" t="s">
        <v>2484</v>
      </c>
      <c r="F6254" s="86" t="s">
        <v>2484</v>
      </c>
      <c r="G6254" s="86" t="s">
        <v>2484</v>
      </c>
      <c r="H6254" s="144">
        <v>237</v>
      </c>
      <c r="I6254" s="86" t="s">
        <v>2374</v>
      </c>
      <c r="J6254" s="1" t="s">
        <v>3322</v>
      </c>
      <c r="K6254" s="1" t="s">
        <v>3269</v>
      </c>
      <c r="L6254" s="1" t="s">
        <v>35</v>
      </c>
      <c r="M6254" s="86" t="s">
        <v>2485</v>
      </c>
      <c r="O6254" s="47" t="s">
        <v>45</v>
      </c>
      <c r="P6254" s="47" t="s">
        <v>41</v>
      </c>
      <c r="Q6254" s="14">
        <v>0</v>
      </c>
      <c r="R6254" s="143"/>
      <c r="S6254" s="47"/>
      <c r="T6254" s="6">
        <v>48575.960000000021</v>
      </c>
      <c r="U6254" s="6"/>
      <c r="V6254" s="6">
        <v>12332.120000000004</v>
      </c>
      <c r="W6254" s="6">
        <f t="shared" si="972"/>
        <v>36243.840000000018</v>
      </c>
      <c r="X6254" s="6">
        <f t="shared" si="965"/>
        <v>12332.120000000004</v>
      </c>
      <c r="Y6254" s="13">
        <f t="shared" si="968"/>
        <v>0</v>
      </c>
      <c r="Z6254" s="14">
        <v>0</v>
      </c>
      <c r="AA6254" s="6">
        <v>0</v>
      </c>
      <c r="AB6254" s="4">
        <f t="shared" si="969"/>
        <v>12332.120000000004</v>
      </c>
      <c r="AC6254" s="6">
        <f t="shared" si="967"/>
        <v>0</v>
      </c>
      <c r="AD6254" s="6">
        <v>12332.120000000004</v>
      </c>
      <c r="AE6254" s="14">
        <f>VLOOKUP(I6254,[2]媒体政策预估表!A:N,MATCH(O6254,[2]媒体政策预估表!$A$2:$M$2,0),0)</f>
        <v>7.0000000000000007E-2</v>
      </c>
      <c r="AF6254" s="6">
        <f t="shared" si="971"/>
        <v>863.2484000000004</v>
      </c>
      <c r="AG6254" s="14">
        <v>0</v>
      </c>
      <c r="AH6254" s="6">
        <f t="shared" si="966"/>
        <v>12332.120000000004</v>
      </c>
      <c r="AI6254" s="47"/>
      <c r="AJ6254" s="126" t="e">
        <v>#N/A</v>
      </c>
      <c r="AK6254" s="80">
        <f t="shared" si="970"/>
        <v>0</v>
      </c>
      <c r="AL6254" s="85"/>
      <c r="AM6254" s="85"/>
    </row>
    <row r="6255" spans="1:39" s="86" customFormat="1" ht="13.25" hidden="1" customHeight="1" x14ac:dyDescent="0.3">
      <c r="A6255" s="89" t="s">
        <v>3792</v>
      </c>
      <c r="B6255" s="86" t="s">
        <v>35</v>
      </c>
      <c r="C6255" s="86" t="s">
        <v>144</v>
      </c>
      <c r="D6255" s="86" t="s">
        <v>161</v>
      </c>
      <c r="E6255" s="86" t="s">
        <v>1903</v>
      </c>
      <c r="F6255" s="86" t="s">
        <v>1903</v>
      </c>
      <c r="G6255" s="86" t="s">
        <v>1903</v>
      </c>
      <c r="H6255" s="143">
        <v>237</v>
      </c>
      <c r="I6255" s="86" t="s">
        <v>2374</v>
      </c>
      <c r="J6255" s="1" t="s">
        <v>3322</v>
      </c>
      <c r="K6255" s="1" t="s">
        <v>3269</v>
      </c>
      <c r="L6255" s="1" t="s">
        <v>35</v>
      </c>
      <c r="M6255" s="86" t="s">
        <v>2148</v>
      </c>
      <c r="O6255" s="47" t="s">
        <v>45</v>
      </c>
      <c r="P6255" s="47" t="s">
        <v>46</v>
      </c>
      <c r="Q6255" s="14">
        <v>0.03</v>
      </c>
      <c r="R6255" s="143"/>
      <c r="S6255" s="47"/>
      <c r="T6255" s="6">
        <v>-27682.880000000081</v>
      </c>
      <c r="U6255" s="6"/>
      <c r="V6255" s="6">
        <v>0</v>
      </c>
      <c r="W6255" s="6">
        <f t="shared" si="972"/>
        <v>-27682.880000000081</v>
      </c>
      <c r="X6255" s="6">
        <f t="shared" si="965"/>
        <v>0</v>
      </c>
      <c r="Y6255" s="13">
        <f t="shared" si="968"/>
        <v>0</v>
      </c>
      <c r="Z6255" s="14">
        <v>0</v>
      </c>
      <c r="AA6255" s="6">
        <v>0</v>
      </c>
      <c r="AB6255" s="4">
        <f t="shared" si="969"/>
        <v>0</v>
      </c>
      <c r="AC6255" s="6">
        <f t="shared" si="967"/>
        <v>0</v>
      </c>
      <c r="AD6255" s="6">
        <v>0</v>
      </c>
      <c r="AE6255" s="14">
        <f>VLOOKUP(I6255,[2]媒体政策预估表!A:N,MATCH(O6255,[2]媒体政策预估表!$A$2:$M$2,0),0)</f>
        <v>7.0000000000000007E-2</v>
      </c>
      <c r="AF6255" s="6">
        <f t="shared" si="971"/>
        <v>0</v>
      </c>
      <c r="AG6255" s="14">
        <v>0</v>
      </c>
      <c r="AH6255" s="6">
        <f t="shared" si="966"/>
        <v>0</v>
      </c>
      <c r="AI6255" s="47"/>
      <c r="AJ6255" s="126" t="e">
        <v>#N/A</v>
      </c>
      <c r="AK6255" s="80">
        <f t="shared" si="970"/>
        <v>0</v>
      </c>
      <c r="AL6255" s="85"/>
      <c r="AM6255" s="85"/>
    </row>
    <row r="6256" spans="1:39" s="86" customFormat="1" ht="13.25" hidden="1" customHeight="1" x14ac:dyDescent="0.3">
      <c r="A6256" s="89" t="s">
        <v>3792</v>
      </c>
      <c r="B6256" s="86" t="s">
        <v>35</v>
      </c>
      <c r="C6256" s="86" t="s">
        <v>187</v>
      </c>
      <c r="D6256" s="86" t="s">
        <v>188</v>
      </c>
      <c r="E6256" s="86" t="s">
        <v>2486</v>
      </c>
      <c r="F6256" s="86" t="s">
        <v>2486</v>
      </c>
      <c r="G6256" s="86" t="s">
        <v>2486</v>
      </c>
      <c r="H6256" s="143">
        <v>237</v>
      </c>
      <c r="I6256" s="86" t="s">
        <v>2374</v>
      </c>
      <c r="J6256" s="1" t="s">
        <v>3322</v>
      </c>
      <c r="K6256" s="1" t="s">
        <v>3269</v>
      </c>
      <c r="L6256" s="1" t="s">
        <v>35</v>
      </c>
      <c r="M6256" s="86" t="s">
        <v>2438</v>
      </c>
      <c r="O6256" s="47" t="s">
        <v>40</v>
      </c>
      <c r="P6256" s="47" t="s">
        <v>46</v>
      </c>
      <c r="Q6256" s="14">
        <v>0.01</v>
      </c>
      <c r="R6256" s="143"/>
      <c r="S6256" s="47"/>
      <c r="T6256" s="6">
        <v>2.4881808212867327</v>
      </c>
      <c r="U6256" s="6"/>
      <c r="V6256" s="6">
        <v>0</v>
      </c>
      <c r="W6256" s="6">
        <f t="shared" si="972"/>
        <v>2.4881808212867327</v>
      </c>
      <c r="X6256" s="6">
        <f t="shared" si="965"/>
        <v>0</v>
      </c>
      <c r="Y6256" s="13">
        <f t="shared" si="968"/>
        <v>0</v>
      </c>
      <c r="Z6256" s="14">
        <v>0</v>
      </c>
      <c r="AA6256" s="6">
        <v>0</v>
      </c>
      <c r="AB6256" s="4">
        <f t="shared" si="969"/>
        <v>0</v>
      </c>
      <c r="AC6256" s="6">
        <f t="shared" si="967"/>
        <v>0</v>
      </c>
      <c r="AD6256" s="6">
        <v>0</v>
      </c>
      <c r="AE6256" s="14">
        <f>VLOOKUP(I6256,[2]媒体政策预估表!A:N,MATCH(O6256,[2]媒体政策预估表!$A$2:$M$2,0),0)</f>
        <v>0.09</v>
      </c>
      <c r="AF6256" s="6">
        <f t="shared" si="971"/>
        <v>0</v>
      </c>
      <c r="AG6256" s="14">
        <v>0.4</v>
      </c>
      <c r="AH6256" s="6">
        <f t="shared" si="966"/>
        <v>0</v>
      </c>
      <c r="AI6256" s="47"/>
      <c r="AJ6256" s="126" t="e">
        <v>#N/A</v>
      </c>
      <c r="AK6256" s="80">
        <f t="shared" si="970"/>
        <v>0</v>
      </c>
      <c r="AL6256" s="85"/>
      <c r="AM6256" s="85"/>
    </row>
    <row r="6257" spans="1:39" s="86" customFormat="1" ht="13.25" hidden="1" customHeight="1" x14ac:dyDescent="0.3">
      <c r="A6257" s="89" t="s">
        <v>3794</v>
      </c>
      <c r="B6257" s="86" t="s">
        <v>35</v>
      </c>
      <c r="C6257" s="86" t="s">
        <v>187</v>
      </c>
      <c r="D6257" s="86" t="s">
        <v>188</v>
      </c>
      <c r="E6257" s="86" t="s">
        <v>2487</v>
      </c>
      <c r="F6257" s="86" t="s">
        <v>2487</v>
      </c>
      <c r="G6257" s="86" t="s">
        <v>2487</v>
      </c>
      <c r="H6257" s="143">
        <v>237</v>
      </c>
      <c r="I6257" s="86" t="s">
        <v>2374</v>
      </c>
      <c r="J6257" s="1" t="s">
        <v>3322</v>
      </c>
      <c r="K6257" s="1" t="s">
        <v>3269</v>
      </c>
      <c r="L6257" s="1" t="s">
        <v>35</v>
      </c>
      <c r="M6257" s="86" t="s">
        <v>2438</v>
      </c>
      <c r="O6257" s="47" t="s">
        <v>40</v>
      </c>
      <c r="P6257" s="47" t="s">
        <v>46</v>
      </c>
      <c r="Q6257" s="14">
        <v>7.0000000000000007E-2</v>
      </c>
      <c r="R6257" s="143"/>
      <c r="S6257" s="47"/>
      <c r="T6257" s="6">
        <v>-5.8385726027881901</v>
      </c>
      <c r="U6257" s="6"/>
      <c r="V6257" s="6">
        <v>0</v>
      </c>
      <c r="W6257" s="6">
        <f t="shared" si="972"/>
        <v>-5.8385726027881901</v>
      </c>
      <c r="X6257" s="6">
        <f t="shared" si="965"/>
        <v>0</v>
      </c>
      <c r="Y6257" s="13">
        <f t="shared" si="968"/>
        <v>0</v>
      </c>
      <c r="Z6257" s="14">
        <v>0</v>
      </c>
      <c r="AA6257" s="6">
        <v>0</v>
      </c>
      <c r="AB6257" s="4">
        <f t="shared" si="969"/>
        <v>0</v>
      </c>
      <c r="AC6257" s="6">
        <f t="shared" si="967"/>
        <v>0</v>
      </c>
      <c r="AD6257" s="6">
        <v>0</v>
      </c>
      <c r="AE6257" s="14">
        <f>VLOOKUP(I6257,[2]媒体政策预估表!A:N,MATCH(O6257,[2]媒体政策预估表!$A$2:$M$2,0),0)</f>
        <v>0.09</v>
      </c>
      <c r="AF6257" s="6">
        <f t="shared" si="971"/>
        <v>0</v>
      </c>
      <c r="AG6257" s="14">
        <v>0.46</v>
      </c>
      <c r="AH6257" s="6">
        <f t="shared" si="966"/>
        <v>0</v>
      </c>
      <c r="AI6257" s="47"/>
      <c r="AJ6257" s="126" t="e">
        <v>#N/A</v>
      </c>
      <c r="AK6257" s="80">
        <f t="shared" si="970"/>
        <v>0</v>
      </c>
      <c r="AL6257" s="85"/>
      <c r="AM6257" s="85"/>
    </row>
    <row r="6258" spans="1:39" s="86" customFormat="1" ht="13.25" hidden="1" customHeight="1" x14ac:dyDescent="0.3">
      <c r="A6258" s="89" t="s">
        <v>3794</v>
      </c>
      <c r="B6258" s="86" t="s">
        <v>35</v>
      </c>
      <c r="C6258" s="86" t="s">
        <v>187</v>
      </c>
      <c r="D6258" s="86" t="s">
        <v>188</v>
      </c>
      <c r="E6258" s="86" t="s">
        <v>2458</v>
      </c>
      <c r="F6258" s="86" t="s">
        <v>2458</v>
      </c>
      <c r="G6258" s="86" t="s">
        <v>2458</v>
      </c>
      <c r="H6258" s="143">
        <v>237</v>
      </c>
      <c r="I6258" s="86" t="s">
        <v>2374</v>
      </c>
      <c r="J6258" s="1" t="s">
        <v>3322</v>
      </c>
      <c r="K6258" s="1" t="s">
        <v>3269</v>
      </c>
      <c r="L6258" s="1" t="s">
        <v>35</v>
      </c>
      <c r="M6258" s="86" t="s">
        <v>2438</v>
      </c>
      <c r="O6258" s="47" t="s">
        <v>40</v>
      </c>
      <c r="P6258" s="47" t="s">
        <v>46</v>
      </c>
      <c r="Q6258" s="14">
        <v>0.04</v>
      </c>
      <c r="R6258" s="143"/>
      <c r="S6258" s="47"/>
      <c r="T6258" s="6">
        <v>146.38599999978214</v>
      </c>
      <c r="U6258" s="6"/>
      <c r="V6258" s="6">
        <v>0</v>
      </c>
      <c r="W6258" s="6">
        <f t="shared" si="972"/>
        <v>146.38599999978214</v>
      </c>
      <c r="X6258" s="6">
        <f t="shared" si="965"/>
        <v>0</v>
      </c>
      <c r="Y6258" s="13">
        <f t="shared" si="968"/>
        <v>0</v>
      </c>
      <c r="Z6258" s="14">
        <v>0</v>
      </c>
      <c r="AA6258" s="6">
        <v>0</v>
      </c>
      <c r="AB6258" s="4">
        <f t="shared" si="969"/>
        <v>0</v>
      </c>
      <c r="AC6258" s="6">
        <f t="shared" si="967"/>
        <v>0</v>
      </c>
      <c r="AD6258" s="6">
        <v>0</v>
      </c>
      <c r="AE6258" s="14">
        <f>VLOOKUP(I6258,[2]媒体政策预估表!A:N,MATCH(O6258,[2]媒体政策预估表!$A$2:$M$2,0),0)</f>
        <v>0.09</v>
      </c>
      <c r="AF6258" s="6">
        <f t="shared" si="971"/>
        <v>0</v>
      </c>
      <c r="AG6258" s="14">
        <v>0.4</v>
      </c>
      <c r="AH6258" s="6">
        <f t="shared" si="966"/>
        <v>0</v>
      </c>
      <c r="AI6258" s="47"/>
      <c r="AJ6258" s="126" t="e">
        <v>#N/A</v>
      </c>
      <c r="AK6258" s="80">
        <f t="shared" si="970"/>
        <v>0</v>
      </c>
      <c r="AL6258" s="85"/>
      <c r="AM6258" s="85"/>
    </row>
    <row r="6259" spans="1:39" s="86" customFormat="1" ht="13.25" hidden="1" customHeight="1" x14ac:dyDescent="0.3">
      <c r="A6259" s="89" t="s">
        <v>3794</v>
      </c>
      <c r="B6259" s="86" t="s">
        <v>35</v>
      </c>
      <c r="C6259" s="86" t="s">
        <v>187</v>
      </c>
      <c r="D6259" s="86" t="s">
        <v>188</v>
      </c>
      <c r="E6259" s="86" t="s">
        <v>2488</v>
      </c>
      <c r="F6259" s="86" t="s">
        <v>2488</v>
      </c>
      <c r="G6259" s="86" t="s">
        <v>2488</v>
      </c>
      <c r="H6259" s="143">
        <v>237</v>
      </c>
      <c r="I6259" s="86" t="s">
        <v>2374</v>
      </c>
      <c r="J6259" s="1" t="s">
        <v>3322</v>
      </c>
      <c r="K6259" s="1" t="s">
        <v>3269</v>
      </c>
      <c r="L6259" s="1" t="s">
        <v>35</v>
      </c>
      <c r="M6259" s="86" t="s">
        <v>2438</v>
      </c>
      <c r="O6259" s="47" t="s">
        <v>45</v>
      </c>
      <c r="P6259" s="47" t="s">
        <v>46</v>
      </c>
      <c r="Q6259" s="14">
        <v>0.08</v>
      </c>
      <c r="R6259" s="143"/>
      <c r="S6259" s="47"/>
      <c r="T6259" s="6">
        <v>-5.2999999998064595E-3</v>
      </c>
      <c r="U6259" s="6"/>
      <c r="V6259" s="6">
        <v>0</v>
      </c>
      <c r="W6259" s="6">
        <f t="shared" si="972"/>
        <v>-5.2999999998064595E-3</v>
      </c>
      <c r="X6259" s="6">
        <f t="shared" si="965"/>
        <v>0</v>
      </c>
      <c r="Y6259" s="13">
        <f t="shared" si="968"/>
        <v>0</v>
      </c>
      <c r="Z6259" s="14">
        <v>0</v>
      </c>
      <c r="AA6259" s="6">
        <v>0</v>
      </c>
      <c r="AB6259" s="4">
        <f t="shared" si="969"/>
        <v>0</v>
      </c>
      <c r="AC6259" s="6">
        <f t="shared" si="967"/>
        <v>0</v>
      </c>
      <c r="AD6259" s="6">
        <v>0</v>
      </c>
      <c r="AE6259" s="14">
        <f>VLOOKUP(I6259,[2]媒体政策预估表!A:N,MATCH(O6259,[2]媒体政策预估表!$A$2:$M$2,0),0)</f>
        <v>7.0000000000000007E-2</v>
      </c>
      <c r="AF6259" s="6">
        <f t="shared" si="971"/>
        <v>0</v>
      </c>
      <c r="AG6259" s="14">
        <v>0.37</v>
      </c>
      <c r="AH6259" s="6">
        <f t="shared" si="966"/>
        <v>0</v>
      </c>
      <c r="AI6259" s="47"/>
      <c r="AJ6259" s="126" t="e">
        <v>#N/A</v>
      </c>
      <c r="AK6259" s="80">
        <f t="shared" si="970"/>
        <v>0</v>
      </c>
      <c r="AL6259" s="85"/>
      <c r="AM6259" s="85"/>
    </row>
    <row r="6260" spans="1:39" s="86" customFormat="1" ht="13.25" hidden="1" customHeight="1" x14ac:dyDescent="0.3">
      <c r="A6260" s="89" t="s">
        <v>3792</v>
      </c>
      <c r="B6260" s="86" t="s">
        <v>35</v>
      </c>
      <c r="C6260" s="86" t="s">
        <v>187</v>
      </c>
      <c r="D6260" s="86" t="s">
        <v>188</v>
      </c>
      <c r="E6260" s="86" t="s">
        <v>206</v>
      </c>
      <c r="F6260" s="86" t="s">
        <v>206</v>
      </c>
      <c r="G6260" s="86" t="s">
        <v>206</v>
      </c>
      <c r="H6260" s="144">
        <v>237</v>
      </c>
      <c r="I6260" s="86" t="s">
        <v>2374</v>
      </c>
      <c r="J6260" s="1" t="s">
        <v>3322</v>
      </c>
      <c r="K6260" s="1" t="s">
        <v>3269</v>
      </c>
      <c r="L6260" s="1" t="s">
        <v>35</v>
      </c>
      <c r="M6260" s="86" t="s">
        <v>2438</v>
      </c>
      <c r="O6260" s="47" t="s">
        <v>40</v>
      </c>
      <c r="P6260" s="47" t="s">
        <v>46</v>
      </c>
      <c r="Q6260" s="14">
        <v>0.08</v>
      </c>
      <c r="R6260" s="143"/>
      <c r="S6260" s="47" t="s">
        <v>3915</v>
      </c>
      <c r="T6260" s="6">
        <v>1868.9399999999641</v>
      </c>
      <c r="U6260" s="6">
        <v>22240.68</v>
      </c>
      <c r="V6260" s="6">
        <v>0</v>
      </c>
      <c r="W6260" s="6">
        <f t="shared" si="972"/>
        <v>24109.619999999966</v>
      </c>
      <c r="X6260" s="6">
        <f>IF(P6260="折扣",V6260*Q6260,IF(P6260="返现",V6260,(V6260-22240.68)/(1+Q6260+AG6260)))</f>
        <v>-15027.486486486487</v>
      </c>
      <c r="Y6260" s="13">
        <f t="shared" si="968"/>
        <v>0</v>
      </c>
      <c r="Z6260" s="14">
        <v>0</v>
      </c>
      <c r="AA6260" s="6">
        <v>0</v>
      </c>
      <c r="AB6260" s="4">
        <f t="shared" si="969"/>
        <v>-15027.486486486487</v>
      </c>
      <c r="AC6260" s="6">
        <f t="shared" si="967"/>
        <v>15027.486486486487</v>
      </c>
      <c r="AD6260" s="6">
        <v>0</v>
      </c>
      <c r="AE6260" s="14">
        <f>VLOOKUP(I6260,[2]媒体政策预估表!A:N,MATCH(O6260,[2]媒体政策预估表!$A$2:$M$2,0),0)</f>
        <v>0.09</v>
      </c>
      <c r="AF6260" s="6">
        <f t="shared" si="971"/>
        <v>0</v>
      </c>
      <c r="AG6260" s="14">
        <v>0.4</v>
      </c>
      <c r="AH6260" s="6">
        <f>(V6260-22240.68)/(1+AG6260)</f>
        <v>-15886.2</v>
      </c>
      <c r="AI6260" s="47"/>
      <c r="AJ6260" s="126" t="s">
        <v>4218</v>
      </c>
      <c r="AK6260" s="80">
        <f t="shared" si="970"/>
        <v>0</v>
      </c>
      <c r="AL6260" s="150"/>
      <c r="AM6260" s="85"/>
    </row>
    <row r="6261" spans="1:39" s="86" customFormat="1" hidden="1" x14ac:dyDescent="0.3">
      <c r="A6261" s="89" t="s">
        <v>3794</v>
      </c>
      <c r="B6261" s="86" t="s">
        <v>35</v>
      </c>
      <c r="C6261" s="86" t="s">
        <v>187</v>
      </c>
      <c r="D6261" s="86" t="s">
        <v>188</v>
      </c>
      <c r="E6261" s="86" t="s">
        <v>2489</v>
      </c>
      <c r="F6261" s="86" t="s">
        <v>2489</v>
      </c>
      <c r="G6261" s="86" t="s">
        <v>2489</v>
      </c>
      <c r="H6261" s="143">
        <v>237</v>
      </c>
      <c r="I6261" s="86" t="s">
        <v>2374</v>
      </c>
      <c r="J6261" s="1" t="s">
        <v>3322</v>
      </c>
      <c r="K6261" s="1" t="s">
        <v>3269</v>
      </c>
      <c r="L6261" s="1" t="s">
        <v>35</v>
      </c>
      <c r="M6261" s="86" t="s">
        <v>2438</v>
      </c>
      <c r="O6261" s="47" t="s">
        <v>45</v>
      </c>
      <c r="P6261" s="47" t="s">
        <v>46</v>
      </c>
      <c r="Q6261" s="14">
        <v>0.03</v>
      </c>
      <c r="R6261" s="143"/>
      <c r="S6261" s="47"/>
      <c r="T6261" s="6">
        <v>6.2000000011721568E-3</v>
      </c>
      <c r="U6261" s="6"/>
      <c r="V6261" s="6">
        <v>0</v>
      </c>
      <c r="W6261" s="6">
        <f t="shared" si="972"/>
        <v>6.2000000011721568E-3</v>
      </c>
      <c r="X6261" s="6">
        <f t="shared" si="965"/>
        <v>0</v>
      </c>
      <c r="Y6261" s="13">
        <f t="shared" si="968"/>
        <v>0</v>
      </c>
      <c r="Z6261" s="14">
        <v>0</v>
      </c>
      <c r="AA6261" s="6">
        <v>0</v>
      </c>
      <c r="AB6261" s="4">
        <f t="shared" si="969"/>
        <v>0</v>
      </c>
      <c r="AC6261" s="6">
        <f t="shared" si="967"/>
        <v>0</v>
      </c>
      <c r="AD6261" s="6">
        <v>0</v>
      </c>
      <c r="AE6261" s="14">
        <f>VLOOKUP(I6261,[2]媒体政策预估表!A:N,MATCH(O6261,[2]媒体政策预估表!$A$2:$M$2,0),0)</f>
        <v>7.0000000000000007E-2</v>
      </c>
      <c r="AF6261" s="6">
        <f t="shared" si="971"/>
        <v>0</v>
      </c>
      <c r="AG6261" s="14">
        <v>0.37</v>
      </c>
      <c r="AH6261" s="6">
        <f t="shared" si="966"/>
        <v>0</v>
      </c>
      <c r="AI6261" s="47"/>
      <c r="AJ6261" s="126" t="e">
        <v>#N/A</v>
      </c>
      <c r="AK6261" s="80">
        <f t="shared" si="970"/>
        <v>0</v>
      </c>
      <c r="AL6261" s="85"/>
      <c r="AM6261" s="85"/>
    </row>
    <row r="6262" spans="1:39" s="86" customFormat="1" ht="13.25" hidden="1" customHeight="1" x14ac:dyDescent="0.3">
      <c r="A6262" s="89" t="s">
        <v>3792</v>
      </c>
      <c r="B6262" s="86" t="s">
        <v>35</v>
      </c>
      <c r="C6262" s="86" t="s">
        <v>187</v>
      </c>
      <c r="D6262" s="86" t="s">
        <v>208</v>
      </c>
      <c r="E6262" s="86" t="s">
        <v>2455</v>
      </c>
      <c r="F6262" s="86" t="s">
        <v>2455</v>
      </c>
      <c r="G6262" s="86" t="s">
        <v>2455</v>
      </c>
      <c r="H6262" s="144">
        <v>237</v>
      </c>
      <c r="I6262" s="86" t="s">
        <v>2374</v>
      </c>
      <c r="J6262" s="1" t="s">
        <v>3322</v>
      </c>
      <c r="K6262" s="1" t="s">
        <v>3269</v>
      </c>
      <c r="L6262" s="1" t="s">
        <v>35</v>
      </c>
      <c r="M6262" s="86" t="s">
        <v>2438</v>
      </c>
      <c r="O6262" s="47" t="s">
        <v>45</v>
      </c>
      <c r="P6262" s="47" t="s">
        <v>46</v>
      </c>
      <c r="Q6262" s="14">
        <v>0.05</v>
      </c>
      <c r="R6262" s="143"/>
      <c r="S6262" s="47" t="s">
        <v>3916</v>
      </c>
      <c r="T6262" s="6">
        <v>-830131.6571000003</v>
      </c>
      <c r="U6262" s="6"/>
      <c r="V6262" s="6">
        <v>0</v>
      </c>
      <c r="W6262" s="6">
        <f t="shared" si="972"/>
        <v>-830131.6571000003</v>
      </c>
      <c r="X6262" s="6">
        <f>IF(P6262="折扣",V6262*Q6262,IF(P6262="返现",V6262,(V6262-33668.63)/(1+Q6262+AG6262)))</f>
        <v>-23710.302816901407</v>
      </c>
      <c r="Y6262" s="13">
        <f t="shared" si="968"/>
        <v>0</v>
      </c>
      <c r="Z6262" s="14">
        <v>0</v>
      </c>
      <c r="AA6262" s="6">
        <v>0</v>
      </c>
      <c r="AB6262" s="4">
        <f t="shared" si="969"/>
        <v>-23710.302816901407</v>
      </c>
      <c r="AC6262" s="6">
        <f t="shared" si="967"/>
        <v>23710.302816901407</v>
      </c>
      <c r="AD6262" s="6">
        <v>0</v>
      </c>
      <c r="AE6262" s="14">
        <f>VLOOKUP(I6262,[2]媒体政策预估表!A:N,MATCH(O6262,[2]媒体政策预估表!$A$2:$M$2,0),0)</f>
        <v>7.0000000000000007E-2</v>
      </c>
      <c r="AF6262" s="6">
        <f t="shared" si="971"/>
        <v>0</v>
      </c>
      <c r="AG6262" s="14">
        <v>0.37</v>
      </c>
      <c r="AH6262" s="6">
        <f>(V6262-33668.63)/(1+AG6262)</f>
        <v>-24575.642335766421</v>
      </c>
      <c r="AI6262" s="47"/>
      <c r="AJ6262" s="126" t="e">
        <v>#N/A</v>
      </c>
      <c r="AK6262" s="80">
        <f t="shared" si="970"/>
        <v>0</v>
      </c>
      <c r="AL6262" s="85"/>
      <c r="AM6262" s="85"/>
    </row>
    <row r="6263" spans="1:39" s="86" customFormat="1" ht="13.25" hidden="1" customHeight="1" x14ac:dyDescent="0.3">
      <c r="A6263" s="89" t="s">
        <v>3794</v>
      </c>
      <c r="B6263" s="86" t="s">
        <v>35</v>
      </c>
      <c r="C6263" s="86" t="s">
        <v>187</v>
      </c>
      <c r="D6263" s="86" t="s">
        <v>208</v>
      </c>
      <c r="E6263" s="86" t="s">
        <v>293</v>
      </c>
      <c r="F6263" s="86" t="s">
        <v>293</v>
      </c>
      <c r="G6263" s="86" t="s">
        <v>293</v>
      </c>
      <c r="H6263" s="144">
        <v>237</v>
      </c>
      <c r="I6263" s="86" t="s">
        <v>2374</v>
      </c>
      <c r="J6263" s="1" t="s">
        <v>3322</v>
      </c>
      <c r="K6263" s="1" t="s">
        <v>3269</v>
      </c>
      <c r="L6263" s="1" t="s">
        <v>35</v>
      </c>
      <c r="M6263" s="86" t="s">
        <v>2438</v>
      </c>
      <c r="O6263" s="47" t="s">
        <v>45</v>
      </c>
      <c r="P6263" s="47" t="s">
        <v>46</v>
      </c>
      <c r="Q6263" s="14">
        <v>0.03</v>
      </c>
      <c r="R6263" s="143"/>
      <c r="S6263" s="47"/>
      <c r="T6263" s="6">
        <v>6226.2977999999957</v>
      </c>
      <c r="U6263" s="6"/>
      <c r="V6263" s="6">
        <v>4696.9900000000007</v>
      </c>
      <c r="W6263" s="6">
        <f t="shared" si="972"/>
        <v>1529.307799999995</v>
      </c>
      <c r="X6263" s="6">
        <f t="shared" si="965"/>
        <v>3354.9928571428577</v>
      </c>
      <c r="Y6263" s="13">
        <f t="shared" si="968"/>
        <v>0</v>
      </c>
      <c r="Z6263" s="14">
        <v>0</v>
      </c>
      <c r="AA6263" s="6">
        <v>0</v>
      </c>
      <c r="AB6263" s="4">
        <f t="shared" si="969"/>
        <v>3354.9928571428577</v>
      </c>
      <c r="AC6263" s="6">
        <f t="shared" si="967"/>
        <v>1341.997142857143</v>
      </c>
      <c r="AD6263" s="6">
        <v>3428.4199999999992</v>
      </c>
      <c r="AE6263" s="14">
        <f>VLOOKUP(I6263,[2]媒体政策预估表!A:N,MATCH(O6263,[2]媒体政策预估表!$A$2:$M$2,0),0)</f>
        <v>7.0000000000000007E-2</v>
      </c>
      <c r="AF6263" s="6">
        <f t="shared" si="971"/>
        <v>239.98939999999996</v>
      </c>
      <c r="AG6263" s="14">
        <v>0.37</v>
      </c>
      <c r="AH6263" s="6">
        <f t="shared" si="966"/>
        <v>3428.4598540145989</v>
      </c>
      <c r="AI6263" s="47"/>
      <c r="AJ6263" s="126" t="e">
        <v>#N/A</v>
      </c>
      <c r="AK6263" s="80">
        <f t="shared" si="970"/>
        <v>0</v>
      </c>
      <c r="AL6263" s="85"/>
      <c r="AM6263" s="85"/>
    </row>
    <row r="6264" spans="1:39" s="86" customFormat="1" ht="13.25" hidden="1" customHeight="1" x14ac:dyDescent="0.3">
      <c r="A6264" s="89" t="s">
        <v>3794</v>
      </c>
      <c r="B6264" s="86" t="s">
        <v>35</v>
      </c>
      <c r="C6264" s="86" t="s">
        <v>187</v>
      </c>
      <c r="D6264" s="86" t="s">
        <v>208</v>
      </c>
      <c r="E6264" s="86" t="s">
        <v>2490</v>
      </c>
      <c r="F6264" s="86" t="s">
        <v>2490</v>
      </c>
      <c r="G6264" s="86" t="s">
        <v>2490</v>
      </c>
      <c r="H6264" s="143">
        <v>237</v>
      </c>
      <c r="I6264" s="86" t="s">
        <v>2374</v>
      </c>
      <c r="J6264" s="1" t="s">
        <v>3322</v>
      </c>
      <c r="K6264" s="1" t="s">
        <v>3269</v>
      </c>
      <c r="L6264" s="1" t="s">
        <v>35</v>
      </c>
      <c r="M6264" s="86" t="s">
        <v>2438</v>
      </c>
      <c r="O6264" s="47" t="s">
        <v>45</v>
      </c>
      <c r="P6264" s="47" t="s">
        <v>46</v>
      </c>
      <c r="Q6264" s="14">
        <v>0.08</v>
      </c>
      <c r="R6264" s="143"/>
      <c r="S6264" s="47"/>
      <c r="T6264" s="6">
        <v>3055.029500000001</v>
      </c>
      <c r="U6264" s="6"/>
      <c r="V6264" s="6">
        <v>0</v>
      </c>
      <c r="W6264" s="6">
        <f t="shared" si="972"/>
        <v>3055.029500000001</v>
      </c>
      <c r="X6264" s="6">
        <f t="shared" si="965"/>
        <v>0</v>
      </c>
      <c r="Y6264" s="13">
        <f t="shared" si="968"/>
        <v>0</v>
      </c>
      <c r="Z6264" s="14">
        <v>0</v>
      </c>
      <c r="AA6264" s="6">
        <v>0</v>
      </c>
      <c r="AB6264" s="4">
        <f t="shared" si="969"/>
        <v>0</v>
      </c>
      <c r="AC6264" s="6">
        <f t="shared" si="967"/>
        <v>0</v>
      </c>
      <c r="AD6264" s="6">
        <v>0</v>
      </c>
      <c r="AE6264" s="14">
        <f>VLOOKUP(I6264,[2]媒体政策预估表!A:N,MATCH(O6264,[2]媒体政策预估表!$A$2:$M$2,0),0)</f>
        <v>7.0000000000000007E-2</v>
      </c>
      <c r="AF6264" s="6">
        <f t="shared" si="971"/>
        <v>0</v>
      </c>
      <c r="AG6264" s="14">
        <v>0.37</v>
      </c>
      <c r="AH6264" s="6">
        <f t="shared" si="966"/>
        <v>0</v>
      </c>
      <c r="AI6264" s="47"/>
      <c r="AJ6264" s="126" t="e">
        <v>#N/A</v>
      </c>
      <c r="AK6264" s="80">
        <f t="shared" si="970"/>
        <v>0</v>
      </c>
      <c r="AL6264" s="85"/>
      <c r="AM6264" s="85"/>
    </row>
    <row r="6265" spans="1:39" s="86" customFormat="1" ht="13.25" hidden="1" customHeight="1" x14ac:dyDescent="0.3">
      <c r="A6265" s="89" t="s">
        <v>3792</v>
      </c>
      <c r="B6265" s="86" t="s">
        <v>35</v>
      </c>
      <c r="C6265" s="86" t="s">
        <v>59</v>
      </c>
      <c r="D6265" s="86" t="s">
        <v>60</v>
      </c>
      <c r="E6265" s="86" t="s">
        <v>2491</v>
      </c>
      <c r="F6265" s="86" t="s">
        <v>2492</v>
      </c>
      <c r="G6265" s="86" t="s">
        <v>2491</v>
      </c>
      <c r="H6265" s="143">
        <v>237</v>
      </c>
      <c r="I6265" s="86" t="s">
        <v>2374</v>
      </c>
      <c r="J6265" s="1" t="s">
        <v>3322</v>
      </c>
      <c r="K6265" s="1" t="s">
        <v>3269</v>
      </c>
      <c r="L6265" s="1" t="s">
        <v>35</v>
      </c>
      <c r="M6265" s="86" t="s">
        <v>2493</v>
      </c>
      <c r="O6265" s="47" t="s">
        <v>45</v>
      </c>
      <c r="P6265" s="47" t="s">
        <v>46</v>
      </c>
      <c r="Q6265" s="14">
        <v>0.04</v>
      </c>
      <c r="R6265" s="143"/>
      <c r="S6265" s="47"/>
      <c r="T6265" s="6">
        <v>-1.0999999999985448</v>
      </c>
      <c r="U6265" s="6"/>
      <c r="V6265" s="6">
        <v>0</v>
      </c>
      <c r="W6265" s="6">
        <f t="shared" si="972"/>
        <v>-1.0999999999985448</v>
      </c>
      <c r="X6265" s="6">
        <f t="shared" si="965"/>
        <v>0</v>
      </c>
      <c r="Y6265" s="13">
        <f t="shared" si="968"/>
        <v>0</v>
      </c>
      <c r="Z6265" s="14">
        <v>0</v>
      </c>
      <c r="AA6265" s="6">
        <v>0</v>
      </c>
      <c r="AB6265" s="4">
        <f t="shared" si="969"/>
        <v>0</v>
      </c>
      <c r="AC6265" s="6">
        <f t="shared" si="967"/>
        <v>0</v>
      </c>
      <c r="AD6265" s="6">
        <v>0</v>
      </c>
      <c r="AE6265" s="14">
        <f>VLOOKUP(I6265,[2]媒体政策预估表!A:N,MATCH(O6265,[2]媒体政策预估表!$A$2:$M$2,0),0)</f>
        <v>7.0000000000000007E-2</v>
      </c>
      <c r="AF6265" s="6">
        <f t="shared" si="971"/>
        <v>0</v>
      </c>
      <c r="AG6265" s="14">
        <v>0</v>
      </c>
      <c r="AH6265" s="6">
        <f t="shared" si="966"/>
        <v>0</v>
      </c>
      <c r="AI6265" s="47"/>
      <c r="AJ6265" s="126" t="e">
        <v>#N/A</v>
      </c>
      <c r="AK6265" s="80">
        <f t="shared" si="970"/>
        <v>0</v>
      </c>
      <c r="AL6265" s="85"/>
      <c r="AM6265" s="85"/>
    </row>
    <row r="6266" spans="1:39" s="86" customFormat="1" ht="13.25" hidden="1" customHeight="1" x14ac:dyDescent="0.3">
      <c r="A6266" s="89" t="s">
        <v>3792</v>
      </c>
      <c r="B6266" s="86" t="s">
        <v>35</v>
      </c>
      <c r="C6266" s="86" t="s">
        <v>65</v>
      </c>
      <c r="D6266" s="86" t="s">
        <v>66</v>
      </c>
      <c r="E6266" s="86" t="s">
        <v>2385</v>
      </c>
      <c r="F6266" s="86" t="s">
        <v>2385</v>
      </c>
      <c r="G6266" s="86" t="s">
        <v>2385</v>
      </c>
      <c r="H6266" s="143">
        <v>237</v>
      </c>
      <c r="I6266" s="86" t="s">
        <v>2374</v>
      </c>
      <c r="J6266" s="1" t="s">
        <v>3322</v>
      </c>
      <c r="K6266" s="1" t="s">
        <v>3269</v>
      </c>
      <c r="L6266" s="1" t="s">
        <v>35</v>
      </c>
      <c r="M6266" s="86" t="s">
        <v>2385</v>
      </c>
      <c r="O6266" s="47" t="s">
        <v>410</v>
      </c>
      <c r="P6266" s="47" t="s">
        <v>46</v>
      </c>
      <c r="Q6266" s="14">
        <v>0.03</v>
      </c>
      <c r="R6266" s="143"/>
      <c r="S6266" s="47"/>
      <c r="T6266" s="6">
        <v>1.4300000000033322</v>
      </c>
      <c r="U6266" s="6"/>
      <c r="V6266" s="6">
        <v>0</v>
      </c>
      <c r="W6266" s="6">
        <f t="shared" si="972"/>
        <v>1.4300000000033322</v>
      </c>
      <c r="X6266" s="6">
        <f t="shared" si="965"/>
        <v>0</v>
      </c>
      <c r="Y6266" s="13">
        <f t="shared" si="968"/>
        <v>0</v>
      </c>
      <c r="Z6266" s="14">
        <v>0</v>
      </c>
      <c r="AA6266" s="6">
        <v>0</v>
      </c>
      <c r="AB6266" s="4">
        <f t="shared" si="969"/>
        <v>0</v>
      </c>
      <c r="AC6266" s="6">
        <f t="shared" si="967"/>
        <v>0</v>
      </c>
      <c r="AD6266" s="6">
        <v>0</v>
      </c>
      <c r="AE6266" s="14">
        <f>VLOOKUP(I6266,[2]媒体政策预估表!A:N,MATCH(O6266,[2]媒体政策预估表!$A$2:$M$2,0),0)</f>
        <v>0</v>
      </c>
      <c r="AF6266" s="6">
        <f t="shared" si="971"/>
        <v>0</v>
      </c>
      <c r="AG6266" s="14">
        <v>0</v>
      </c>
      <c r="AH6266" s="6">
        <f t="shared" si="966"/>
        <v>0</v>
      </c>
      <c r="AI6266" s="47"/>
      <c r="AJ6266" s="126" t="e">
        <v>#N/A</v>
      </c>
      <c r="AK6266" s="80">
        <f t="shared" si="970"/>
        <v>0</v>
      </c>
      <c r="AL6266" s="85"/>
      <c r="AM6266" s="85"/>
    </row>
    <row r="6267" spans="1:39" s="86" customFormat="1" ht="13.25" hidden="1" customHeight="1" x14ac:dyDescent="0.3">
      <c r="A6267" s="89" t="s">
        <v>3792</v>
      </c>
      <c r="B6267" s="86" t="s">
        <v>35</v>
      </c>
      <c r="C6267" s="86" t="s">
        <v>164</v>
      </c>
      <c r="D6267" s="86" t="s">
        <v>174</v>
      </c>
      <c r="E6267" s="86" t="s">
        <v>127</v>
      </c>
      <c r="F6267" s="86" t="s">
        <v>127</v>
      </c>
      <c r="G6267" s="86" t="s">
        <v>127</v>
      </c>
      <c r="H6267" s="143">
        <v>237</v>
      </c>
      <c r="I6267" s="86" t="s">
        <v>2374</v>
      </c>
      <c r="J6267" s="1" t="s">
        <v>3322</v>
      </c>
      <c r="K6267" s="1" t="s">
        <v>3269</v>
      </c>
      <c r="L6267" s="1" t="s">
        <v>35</v>
      </c>
      <c r="M6267" s="86" t="s">
        <v>127</v>
      </c>
      <c r="O6267" s="47" t="s">
        <v>40</v>
      </c>
      <c r="P6267" s="47" t="s">
        <v>46</v>
      </c>
      <c r="Q6267" s="14">
        <v>0.05</v>
      </c>
      <c r="R6267" s="143"/>
      <c r="S6267" s="47"/>
      <c r="T6267" s="6">
        <v>-1.2399999999615829E-2</v>
      </c>
      <c r="U6267" s="6"/>
      <c r="V6267" s="6">
        <v>0</v>
      </c>
      <c r="W6267" s="6">
        <f t="shared" si="972"/>
        <v>-1.2399999999615829E-2</v>
      </c>
      <c r="X6267" s="6">
        <f t="shared" si="965"/>
        <v>0</v>
      </c>
      <c r="Y6267" s="13">
        <f t="shared" si="968"/>
        <v>0</v>
      </c>
      <c r="Z6267" s="14">
        <v>0</v>
      </c>
      <c r="AA6267" s="6">
        <v>0</v>
      </c>
      <c r="AB6267" s="4">
        <f t="shared" si="969"/>
        <v>0</v>
      </c>
      <c r="AC6267" s="6">
        <f t="shared" si="967"/>
        <v>0</v>
      </c>
      <c r="AD6267" s="6">
        <v>0</v>
      </c>
      <c r="AE6267" s="14">
        <f>VLOOKUP(I6267,[2]媒体政策预估表!A:N,MATCH(O6267,[2]媒体政策预估表!$A$2:$M$2,0),0)</f>
        <v>0.09</v>
      </c>
      <c r="AF6267" s="6">
        <f t="shared" si="971"/>
        <v>0</v>
      </c>
      <c r="AG6267" s="14">
        <v>0.28000000000000003</v>
      </c>
      <c r="AH6267" s="6">
        <f t="shared" si="966"/>
        <v>0</v>
      </c>
      <c r="AI6267" s="47"/>
      <c r="AJ6267" s="126" t="e">
        <v>#N/A</v>
      </c>
      <c r="AK6267" s="80">
        <f t="shared" si="970"/>
        <v>0</v>
      </c>
      <c r="AL6267" s="85"/>
      <c r="AM6267" s="85"/>
    </row>
    <row r="6268" spans="1:39" s="86" customFormat="1" ht="13.25" hidden="1" customHeight="1" x14ac:dyDescent="0.3">
      <c r="A6268" s="89" t="s">
        <v>3794</v>
      </c>
      <c r="B6268" s="86" t="s">
        <v>35</v>
      </c>
      <c r="C6268" s="86" t="s">
        <v>36</v>
      </c>
      <c r="D6268" s="86" t="s">
        <v>185</v>
      </c>
      <c r="E6268" s="86" t="s">
        <v>2393</v>
      </c>
      <c r="F6268" s="86" t="s">
        <v>2394</v>
      </c>
      <c r="G6268" s="86" t="s">
        <v>2393</v>
      </c>
      <c r="H6268" s="143">
        <v>237</v>
      </c>
      <c r="I6268" s="86" t="s">
        <v>2374</v>
      </c>
      <c r="J6268" s="1" t="s">
        <v>3322</v>
      </c>
      <c r="K6268" s="1" t="s">
        <v>3269</v>
      </c>
      <c r="L6268" s="1" t="s">
        <v>35</v>
      </c>
      <c r="M6268" s="86" t="s">
        <v>2404</v>
      </c>
      <c r="O6268" s="47" t="s">
        <v>40</v>
      </c>
      <c r="P6268" s="47" t="s">
        <v>46</v>
      </c>
      <c r="Q6268" s="14">
        <v>5.5E-2</v>
      </c>
      <c r="R6268" s="143"/>
      <c r="S6268" s="47"/>
      <c r="T6268" s="6">
        <v>100.03</v>
      </c>
      <c r="U6268" s="6"/>
      <c r="V6268" s="6">
        <v>0</v>
      </c>
      <c r="W6268" s="6">
        <f t="shared" si="972"/>
        <v>100.03</v>
      </c>
      <c r="X6268" s="6">
        <f t="shared" ref="X6268:X6331" si="973">IF(P6268="折扣",V6268*Q6268,IF(P6268="返现",V6268,V6268/(1+Q6268+AG6268)))</f>
        <v>0</v>
      </c>
      <c r="Y6268" s="13">
        <f t="shared" si="968"/>
        <v>0</v>
      </c>
      <c r="Z6268" s="14">
        <v>0</v>
      </c>
      <c r="AA6268" s="6">
        <v>0</v>
      </c>
      <c r="AB6268" s="4">
        <f t="shared" si="969"/>
        <v>0</v>
      </c>
      <c r="AC6268" s="6">
        <f t="shared" si="967"/>
        <v>0</v>
      </c>
      <c r="AD6268" s="6">
        <v>0</v>
      </c>
      <c r="AE6268" s="14">
        <f>VLOOKUP(I6268,[2]媒体政策预估表!A:N,MATCH(O6268,[2]媒体政策预估表!$A$2:$M$2,0),0)</f>
        <v>0.09</v>
      </c>
      <c r="AF6268" s="6">
        <f t="shared" si="971"/>
        <v>0</v>
      </c>
      <c r="AG6268" s="14">
        <v>0</v>
      </c>
      <c r="AH6268" s="6">
        <f t="shared" ref="AH6268:AH6331" si="974">V6268/(1+AG6268)</f>
        <v>0</v>
      </c>
      <c r="AI6268" s="47"/>
      <c r="AJ6268" s="126" t="e">
        <v>#N/A</v>
      </c>
      <c r="AK6268" s="80">
        <f t="shared" si="970"/>
        <v>0</v>
      </c>
      <c r="AL6268" s="85"/>
      <c r="AM6268" s="85"/>
    </row>
    <row r="6269" spans="1:39" s="86" customFormat="1" ht="13.25" hidden="1" customHeight="1" x14ac:dyDescent="0.3">
      <c r="A6269" s="89" t="s">
        <v>3794</v>
      </c>
      <c r="B6269" s="86" t="s">
        <v>35</v>
      </c>
      <c r="C6269" s="86" t="s">
        <v>36</v>
      </c>
      <c r="D6269" s="86" t="s">
        <v>185</v>
      </c>
      <c r="E6269" s="86" t="s">
        <v>2409</v>
      </c>
      <c r="F6269" s="86" t="s">
        <v>2416</v>
      </c>
      <c r="G6269" s="86" t="s">
        <v>2409</v>
      </c>
      <c r="H6269" s="143">
        <v>237</v>
      </c>
      <c r="I6269" s="86" t="s">
        <v>2374</v>
      </c>
      <c r="J6269" s="1" t="s">
        <v>3322</v>
      </c>
      <c r="K6269" s="1" t="s">
        <v>3269</v>
      </c>
      <c r="L6269" s="1" t="s">
        <v>35</v>
      </c>
      <c r="M6269" s="86" t="s">
        <v>2417</v>
      </c>
      <c r="O6269" s="47" t="s">
        <v>45</v>
      </c>
      <c r="P6269" s="47" t="s">
        <v>46</v>
      </c>
      <c r="Q6269" s="14">
        <v>5.5E-2</v>
      </c>
      <c r="R6269" s="143"/>
      <c r="S6269" s="47"/>
      <c r="T6269" s="6">
        <v>-66434.08500000037</v>
      </c>
      <c r="U6269" s="6"/>
      <c r="V6269" s="6">
        <v>0</v>
      </c>
      <c r="W6269" s="6">
        <f t="shared" si="972"/>
        <v>-66434.08500000037</v>
      </c>
      <c r="X6269" s="6">
        <f t="shared" si="973"/>
        <v>0</v>
      </c>
      <c r="Y6269" s="13">
        <f t="shared" si="968"/>
        <v>0</v>
      </c>
      <c r="Z6269" s="14">
        <v>0</v>
      </c>
      <c r="AA6269" s="6">
        <v>0</v>
      </c>
      <c r="AB6269" s="4">
        <f t="shared" si="969"/>
        <v>0</v>
      </c>
      <c r="AC6269" s="6">
        <f t="shared" si="967"/>
        <v>0</v>
      </c>
      <c r="AD6269" s="6">
        <v>0</v>
      </c>
      <c r="AE6269" s="14">
        <f>VLOOKUP(I6269,[2]媒体政策预估表!A:N,MATCH(O6269,[2]媒体政策预估表!$A$2:$M$2,0),0)</f>
        <v>7.0000000000000007E-2</v>
      </c>
      <c r="AF6269" s="6">
        <f t="shared" si="971"/>
        <v>0</v>
      </c>
      <c r="AG6269" s="14">
        <v>0.1</v>
      </c>
      <c r="AH6269" s="6">
        <f t="shared" si="974"/>
        <v>0</v>
      </c>
      <c r="AI6269" s="47"/>
      <c r="AJ6269" s="126" t="e">
        <v>#N/A</v>
      </c>
      <c r="AK6269" s="80">
        <f t="shared" si="970"/>
        <v>0</v>
      </c>
      <c r="AL6269" s="85"/>
      <c r="AM6269" s="85"/>
    </row>
    <row r="6270" spans="1:39" s="86" customFormat="1" ht="13.25" hidden="1" customHeight="1" x14ac:dyDescent="0.3">
      <c r="A6270" s="89" t="s">
        <v>3794</v>
      </c>
      <c r="B6270" s="86" t="s">
        <v>35</v>
      </c>
      <c r="C6270" s="86" t="s">
        <v>36</v>
      </c>
      <c r="D6270" s="86" t="s">
        <v>185</v>
      </c>
      <c r="E6270" s="86" t="s">
        <v>2409</v>
      </c>
      <c r="F6270" s="86" t="s">
        <v>2416</v>
      </c>
      <c r="G6270" s="86" t="s">
        <v>2409</v>
      </c>
      <c r="H6270" s="143">
        <v>237</v>
      </c>
      <c r="I6270" s="86" t="s">
        <v>2374</v>
      </c>
      <c r="J6270" s="1" t="s">
        <v>3322</v>
      </c>
      <c r="K6270" s="1" t="s">
        <v>3269</v>
      </c>
      <c r="L6270" s="1" t="s">
        <v>35</v>
      </c>
      <c r="M6270" s="86" t="s">
        <v>2417</v>
      </c>
      <c r="O6270" s="47" t="s">
        <v>410</v>
      </c>
      <c r="P6270" s="47" t="s">
        <v>46</v>
      </c>
      <c r="Q6270" s="14">
        <v>5.5E-2</v>
      </c>
      <c r="R6270" s="143"/>
      <c r="S6270" s="47"/>
      <c r="T6270" s="6">
        <v>-5.0000000337604433E-3</v>
      </c>
      <c r="U6270" s="6"/>
      <c r="V6270" s="6">
        <v>0</v>
      </c>
      <c r="W6270" s="6">
        <f t="shared" si="972"/>
        <v>-5.0000000337604433E-3</v>
      </c>
      <c r="X6270" s="6">
        <f t="shared" si="973"/>
        <v>0</v>
      </c>
      <c r="Y6270" s="13">
        <f t="shared" si="968"/>
        <v>0</v>
      </c>
      <c r="Z6270" s="14">
        <v>0</v>
      </c>
      <c r="AA6270" s="6">
        <v>0</v>
      </c>
      <c r="AB6270" s="4">
        <f t="shared" si="969"/>
        <v>0</v>
      </c>
      <c r="AC6270" s="6">
        <f t="shared" ref="AC6270:AC6333" si="975">IF(P6270="返现",X6270*Q6270,V6270-X6270)</f>
        <v>0</v>
      </c>
      <c r="AD6270" s="6">
        <v>0</v>
      </c>
      <c r="AE6270" s="14">
        <f>VLOOKUP(I6270,[2]媒体政策预估表!A:N,MATCH(O6270,[2]媒体政策预估表!$A$2:$M$2,0),0)</f>
        <v>0</v>
      </c>
      <c r="AF6270" s="6">
        <f t="shared" si="971"/>
        <v>0</v>
      </c>
      <c r="AG6270" s="14">
        <v>0.1</v>
      </c>
      <c r="AH6270" s="6">
        <f t="shared" si="974"/>
        <v>0</v>
      </c>
      <c r="AI6270" s="47"/>
      <c r="AJ6270" s="126" t="e">
        <v>#N/A</v>
      </c>
      <c r="AK6270" s="80">
        <f t="shared" si="970"/>
        <v>0</v>
      </c>
      <c r="AL6270" s="85"/>
      <c r="AM6270" s="85"/>
    </row>
    <row r="6271" spans="1:39" s="86" customFormat="1" ht="13.25" hidden="1" customHeight="1" x14ac:dyDescent="0.3">
      <c r="A6271" s="89" t="s">
        <v>3792</v>
      </c>
      <c r="B6271" s="86" t="s">
        <v>35</v>
      </c>
      <c r="C6271" s="86" t="s">
        <v>144</v>
      </c>
      <c r="D6271" s="86" t="s">
        <v>145</v>
      </c>
      <c r="E6271" s="86" t="s">
        <v>236</v>
      </c>
      <c r="F6271" s="86" t="s">
        <v>236</v>
      </c>
      <c r="G6271" s="86" t="s">
        <v>236</v>
      </c>
      <c r="H6271" s="143">
        <v>237</v>
      </c>
      <c r="I6271" s="86" t="s">
        <v>2374</v>
      </c>
      <c r="J6271" s="1" t="s">
        <v>3322</v>
      </c>
      <c r="K6271" s="1" t="s">
        <v>3269</v>
      </c>
      <c r="L6271" s="1" t="s">
        <v>35</v>
      </c>
      <c r="M6271" s="86" t="s">
        <v>2433</v>
      </c>
      <c r="O6271" s="47" t="s">
        <v>40</v>
      </c>
      <c r="P6271" s="47" t="s">
        <v>46</v>
      </c>
      <c r="Q6271" s="14">
        <v>0.02</v>
      </c>
      <c r="R6271" s="143"/>
      <c r="S6271" s="47"/>
      <c r="T6271" s="6">
        <v>-74839.461799999946</v>
      </c>
      <c r="U6271" s="6"/>
      <c r="V6271" s="6">
        <v>0</v>
      </c>
      <c r="W6271" s="6">
        <f t="shared" si="972"/>
        <v>-74839.461799999946</v>
      </c>
      <c r="X6271" s="6">
        <f t="shared" si="973"/>
        <v>0</v>
      </c>
      <c r="Y6271" s="13">
        <f t="shared" si="968"/>
        <v>0</v>
      </c>
      <c r="Z6271" s="14">
        <v>0</v>
      </c>
      <c r="AA6271" s="6">
        <v>0</v>
      </c>
      <c r="AB6271" s="4">
        <f t="shared" si="969"/>
        <v>0</v>
      </c>
      <c r="AC6271" s="6">
        <f t="shared" si="975"/>
        <v>0</v>
      </c>
      <c r="AD6271" s="6">
        <v>0</v>
      </c>
      <c r="AE6271" s="14">
        <f>VLOOKUP(I6271,[2]媒体政策预估表!A:N,MATCH(O6271,[2]媒体政策预估表!$A$2:$M$2,0),0)</f>
        <v>0.09</v>
      </c>
      <c r="AF6271" s="6">
        <f t="shared" si="971"/>
        <v>0</v>
      </c>
      <c r="AG6271" s="14">
        <v>0.38</v>
      </c>
      <c r="AH6271" s="6">
        <f t="shared" si="974"/>
        <v>0</v>
      </c>
      <c r="AI6271" s="47"/>
      <c r="AJ6271" s="126" t="e">
        <v>#N/A</v>
      </c>
      <c r="AK6271" s="80">
        <f t="shared" si="970"/>
        <v>0</v>
      </c>
      <c r="AL6271" s="85"/>
      <c r="AM6271" s="85"/>
    </row>
    <row r="6272" spans="1:39" s="86" customFormat="1" ht="13.25" hidden="1" customHeight="1" x14ac:dyDescent="0.3">
      <c r="A6272" s="89" t="s">
        <v>3792</v>
      </c>
      <c r="B6272" s="86" t="s">
        <v>35</v>
      </c>
      <c r="C6272" s="86" t="s">
        <v>144</v>
      </c>
      <c r="D6272" s="86" t="s">
        <v>145</v>
      </c>
      <c r="E6272" s="86" t="s">
        <v>236</v>
      </c>
      <c r="F6272" s="86" t="s">
        <v>2495</v>
      </c>
      <c r="G6272" s="86" t="s">
        <v>236</v>
      </c>
      <c r="H6272" s="143">
        <v>237</v>
      </c>
      <c r="I6272" s="86" t="s">
        <v>2374</v>
      </c>
      <c r="J6272" s="1" t="s">
        <v>3322</v>
      </c>
      <c r="K6272" s="1" t="s">
        <v>3269</v>
      </c>
      <c r="L6272" s="1" t="s">
        <v>35</v>
      </c>
      <c r="M6272" s="86" t="s">
        <v>2433</v>
      </c>
      <c r="O6272" s="47" t="s">
        <v>40</v>
      </c>
      <c r="P6272" s="47" t="s">
        <v>46</v>
      </c>
      <c r="Q6272" s="14">
        <v>0.03</v>
      </c>
      <c r="R6272" s="143"/>
      <c r="S6272" s="47"/>
      <c r="T6272" s="6">
        <v>14839.55639999999</v>
      </c>
      <c r="U6272" s="6"/>
      <c r="V6272" s="6">
        <v>0</v>
      </c>
      <c r="W6272" s="6">
        <f t="shared" si="972"/>
        <v>14839.55639999999</v>
      </c>
      <c r="X6272" s="6">
        <f t="shared" si="973"/>
        <v>0</v>
      </c>
      <c r="Y6272" s="13">
        <f t="shared" si="968"/>
        <v>0</v>
      </c>
      <c r="Z6272" s="14">
        <v>0</v>
      </c>
      <c r="AA6272" s="6">
        <v>0</v>
      </c>
      <c r="AB6272" s="4">
        <f t="shared" si="969"/>
        <v>0</v>
      </c>
      <c r="AC6272" s="6">
        <f t="shared" si="975"/>
        <v>0</v>
      </c>
      <c r="AD6272" s="6">
        <v>0</v>
      </c>
      <c r="AE6272" s="14">
        <f>VLOOKUP(I6272,[2]媒体政策预估表!A:N,MATCH(O6272,[2]媒体政策预估表!$A$2:$M$2,0),0)</f>
        <v>0.09</v>
      </c>
      <c r="AF6272" s="6">
        <f t="shared" si="971"/>
        <v>0</v>
      </c>
      <c r="AG6272" s="14">
        <v>0.38</v>
      </c>
      <c r="AH6272" s="6">
        <f t="shared" si="974"/>
        <v>0</v>
      </c>
      <c r="AI6272" s="47"/>
      <c r="AJ6272" s="126" t="e">
        <v>#N/A</v>
      </c>
      <c r="AK6272" s="80">
        <f t="shared" si="970"/>
        <v>0</v>
      </c>
      <c r="AL6272" s="85"/>
      <c r="AM6272" s="85"/>
    </row>
    <row r="6273" spans="1:39" s="86" customFormat="1" ht="13.25" hidden="1" customHeight="1" x14ac:dyDescent="0.3">
      <c r="A6273" s="89" t="s">
        <v>3794</v>
      </c>
      <c r="B6273" s="86" t="s">
        <v>35</v>
      </c>
      <c r="C6273" s="86" t="s">
        <v>184</v>
      </c>
      <c r="D6273" s="86" t="s">
        <v>54</v>
      </c>
      <c r="E6273" s="86" t="s">
        <v>2472</v>
      </c>
      <c r="F6273" s="86" t="s">
        <v>2472</v>
      </c>
      <c r="G6273" s="86" t="s">
        <v>2472</v>
      </c>
      <c r="H6273" s="144">
        <v>237</v>
      </c>
      <c r="I6273" s="86" t="s">
        <v>2374</v>
      </c>
      <c r="J6273" s="1" t="s">
        <v>3322</v>
      </c>
      <c r="K6273" s="1" t="s">
        <v>3269</v>
      </c>
      <c r="L6273" s="1" t="s">
        <v>35</v>
      </c>
      <c r="M6273" s="86" t="s">
        <v>2472</v>
      </c>
      <c r="O6273" s="47" t="s">
        <v>45</v>
      </c>
      <c r="P6273" s="47" t="s">
        <v>46</v>
      </c>
      <c r="Q6273" s="14">
        <v>0.03</v>
      </c>
      <c r="R6273" s="143"/>
      <c r="S6273" s="47"/>
      <c r="T6273" s="6">
        <v>116699.80000000006</v>
      </c>
      <c r="U6273" s="6"/>
      <c r="V6273" s="6">
        <v>116699.80000000006</v>
      </c>
      <c r="W6273" s="6">
        <f t="shared" si="972"/>
        <v>0</v>
      </c>
      <c r="X6273" s="6">
        <f t="shared" si="973"/>
        <v>113300.77669902919</v>
      </c>
      <c r="Y6273" s="13">
        <f t="shared" si="968"/>
        <v>113300.77669902919</v>
      </c>
      <c r="Z6273" s="14">
        <v>0</v>
      </c>
      <c r="AA6273" s="6">
        <v>0</v>
      </c>
      <c r="AB6273" s="4">
        <f t="shared" si="969"/>
        <v>113300.77669902919</v>
      </c>
      <c r="AC6273" s="6">
        <f t="shared" si="975"/>
        <v>3399.0233009708754</v>
      </c>
      <c r="AD6273" s="6">
        <v>0</v>
      </c>
      <c r="AE6273" s="14">
        <f>VLOOKUP(I6273,[2]媒体政策预估表!A:N,MATCH(O6273,[2]媒体政策预估表!$A$2:$M$2,0),0)</f>
        <v>7.0000000000000007E-2</v>
      </c>
      <c r="AF6273" s="6">
        <f t="shared" si="971"/>
        <v>0</v>
      </c>
      <c r="AG6273" s="14">
        <v>0</v>
      </c>
      <c r="AH6273" s="6">
        <f t="shared" si="974"/>
        <v>116699.80000000006</v>
      </c>
      <c r="AI6273" s="47"/>
      <c r="AJ6273" s="126" t="e">
        <v>#N/A</v>
      </c>
      <c r="AK6273" s="80">
        <f t="shared" si="970"/>
        <v>0</v>
      </c>
      <c r="AL6273" s="85"/>
      <c r="AM6273" s="85"/>
    </row>
    <row r="6274" spans="1:39" s="86" customFormat="1" ht="13.25" hidden="1" customHeight="1" x14ac:dyDescent="0.3">
      <c r="A6274" s="89" t="s">
        <v>3794</v>
      </c>
      <c r="B6274" s="86" t="s">
        <v>35</v>
      </c>
      <c r="C6274" s="86" t="s">
        <v>187</v>
      </c>
      <c r="D6274" s="86" t="s">
        <v>188</v>
      </c>
      <c r="E6274" s="86" t="s">
        <v>202</v>
      </c>
      <c r="F6274" s="86" t="s">
        <v>202</v>
      </c>
      <c r="G6274" s="86" t="s">
        <v>202</v>
      </c>
      <c r="H6274" s="144">
        <v>237</v>
      </c>
      <c r="I6274" s="86" t="s">
        <v>2374</v>
      </c>
      <c r="J6274" s="1" t="s">
        <v>3322</v>
      </c>
      <c r="K6274" s="1" t="s">
        <v>3269</v>
      </c>
      <c r="L6274" s="1" t="s">
        <v>35</v>
      </c>
      <c r="M6274" s="86" t="s">
        <v>2438</v>
      </c>
      <c r="O6274" s="47" t="s">
        <v>45</v>
      </c>
      <c r="P6274" s="47" t="s">
        <v>46</v>
      </c>
      <c r="Q6274" s="14">
        <v>-0.02</v>
      </c>
      <c r="R6274" s="143"/>
      <c r="S6274" s="47"/>
      <c r="T6274" s="6">
        <v>-515592.65</v>
      </c>
      <c r="U6274" s="6"/>
      <c r="V6274" s="6">
        <v>-515592.65</v>
      </c>
      <c r="W6274" s="6">
        <f t="shared" si="972"/>
        <v>0</v>
      </c>
      <c r="X6274" s="6">
        <f t="shared" si="973"/>
        <v>-381920.48148148146</v>
      </c>
      <c r="Y6274" s="13">
        <f t="shared" si="968"/>
        <v>0</v>
      </c>
      <c r="Z6274" s="14">
        <v>0</v>
      </c>
      <c r="AA6274" s="6">
        <v>0</v>
      </c>
      <c r="AB6274" s="4">
        <f t="shared" si="969"/>
        <v>-381920.48148148146</v>
      </c>
      <c r="AC6274" s="6">
        <f t="shared" si="975"/>
        <v>-133672.16851851856</v>
      </c>
      <c r="AD6274" s="6">
        <v>0</v>
      </c>
      <c r="AE6274" s="14">
        <f>VLOOKUP(I6274,[2]媒体政策预估表!A:N,MATCH(O6274,[2]媒体政策预估表!$A$2:$M$2,0),0)</f>
        <v>7.0000000000000007E-2</v>
      </c>
      <c r="AF6274" s="6">
        <f t="shared" si="971"/>
        <v>0</v>
      </c>
      <c r="AG6274" s="14">
        <v>0.37</v>
      </c>
      <c r="AH6274" s="6">
        <f t="shared" si="974"/>
        <v>-376345</v>
      </c>
      <c r="AI6274" s="47"/>
      <c r="AJ6274" s="126" t="e">
        <v>#N/A</v>
      </c>
      <c r="AK6274" s="80">
        <f t="shared" si="970"/>
        <v>0</v>
      </c>
      <c r="AL6274" s="85"/>
      <c r="AM6274" s="85"/>
    </row>
    <row r="6275" spans="1:39" s="86" customFormat="1" ht="13.25" hidden="1" customHeight="1" x14ac:dyDescent="0.3">
      <c r="A6275" s="89" t="s">
        <v>3792</v>
      </c>
      <c r="B6275" s="86" t="s">
        <v>35</v>
      </c>
      <c r="C6275" s="86" t="s">
        <v>187</v>
      </c>
      <c r="D6275" s="86" t="s">
        <v>188</v>
      </c>
      <c r="E6275" s="86" t="s">
        <v>2496</v>
      </c>
      <c r="F6275" s="86" t="s">
        <v>2496</v>
      </c>
      <c r="G6275" s="86" t="s">
        <v>2496</v>
      </c>
      <c r="H6275" s="143">
        <v>237</v>
      </c>
      <c r="I6275" s="86" t="s">
        <v>2374</v>
      </c>
      <c r="J6275" s="1" t="s">
        <v>3322</v>
      </c>
      <c r="K6275" s="1" t="s">
        <v>3269</v>
      </c>
      <c r="L6275" s="1" t="s">
        <v>35</v>
      </c>
      <c r="M6275" s="86" t="s">
        <v>2438</v>
      </c>
      <c r="O6275" s="47" t="s">
        <v>40</v>
      </c>
      <c r="P6275" s="47" t="s">
        <v>41</v>
      </c>
      <c r="Q6275" s="14">
        <v>0</v>
      </c>
      <c r="R6275" s="143"/>
      <c r="S6275" s="47"/>
      <c r="T6275" s="6">
        <v>0.13395915713044815</v>
      </c>
      <c r="U6275" s="6"/>
      <c r="V6275" s="6">
        <v>0</v>
      </c>
      <c r="W6275" s="6">
        <f t="shared" si="972"/>
        <v>0.13395915713044815</v>
      </c>
      <c r="X6275" s="6">
        <f t="shared" si="973"/>
        <v>0</v>
      </c>
      <c r="Y6275" s="13">
        <f t="shared" ref="Y6275:Y6338" si="976">IF(X6275-AD6275&lt;=0,0,IF(P6275="返现",MAX(X6275-AC6275-AD6275,0),MAX(X6275-AD6275)))</f>
        <v>0</v>
      </c>
      <c r="Z6275" s="14">
        <v>0</v>
      </c>
      <c r="AA6275" s="6">
        <v>0</v>
      </c>
      <c r="AB6275" s="4">
        <f t="shared" ref="AB6275:AB6338" si="977">X6275+AA6275</f>
        <v>0</v>
      </c>
      <c r="AC6275" s="6">
        <f t="shared" si="975"/>
        <v>0</v>
      </c>
      <c r="AD6275" s="6">
        <v>0</v>
      </c>
      <c r="AE6275" s="14">
        <f>VLOOKUP(I6275,[2]媒体政策预估表!A:N,MATCH(O6275,[2]媒体政策预估表!$A$2:$M$2,0),0)</f>
        <v>0.09</v>
      </c>
      <c r="AF6275" s="6">
        <f t="shared" si="971"/>
        <v>0</v>
      </c>
      <c r="AG6275" s="14">
        <v>0.4</v>
      </c>
      <c r="AH6275" s="6">
        <f t="shared" si="974"/>
        <v>0</v>
      </c>
      <c r="AI6275" s="47"/>
      <c r="AJ6275" s="126" t="e">
        <v>#N/A</v>
      </c>
      <c r="AK6275" s="80">
        <f t="shared" ref="AK6275:AK6338" si="978">X6275+AA6275-AB6275</f>
        <v>0</v>
      </c>
      <c r="AL6275" s="85"/>
      <c r="AM6275" s="85"/>
    </row>
    <row r="6276" spans="1:39" s="86" customFormat="1" ht="13.25" hidden="1" customHeight="1" x14ac:dyDescent="0.3">
      <c r="A6276" s="89" t="s">
        <v>3794</v>
      </c>
      <c r="B6276" s="86" t="s">
        <v>35</v>
      </c>
      <c r="C6276" s="86" t="s">
        <v>187</v>
      </c>
      <c r="D6276" s="86" t="s">
        <v>188</v>
      </c>
      <c r="E6276" s="86" t="s">
        <v>2498</v>
      </c>
      <c r="F6276" s="86" t="s">
        <v>2498</v>
      </c>
      <c r="G6276" s="86" t="s">
        <v>2498</v>
      </c>
      <c r="H6276" s="143">
        <v>237</v>
      </c>
      <c r="I6276" s="86" t="s">
        <v>2374</v>
      </c>
      <c r="J6276" s="1" t="s">
        <v>3322</v>
      </c>
      <c r="K6276" s="1" t="s">
        <v>3269</v>
      </c>
      <c r="L6276" s="1" t="s">
        <v>35</v>
      </c>
      <c r="M6276" s="86" t="s">
        <v>2438</v>
      </c>
      <c r="O6276" s="47" t="s">
        <v>45</v>
      </c>
      <c r="P6276" s="47" t="s">
        <v>46</v>
      </c>
      <c r="Q6276" s="14">
        <v>0.05</v>
      </c>
      <c r="R6276" s="143"/>
      <c r="S6276" s="47"/>
      <c r="T6276" s="6">
        <v>-7.5000000019826984E-3</v>
      </c>
      <c r="U6276" s="6"/>
      <c r="V6276" s="6">
        <v>0</v>
      </c>
      <c r="W6276" s="6">
        <f t="shared" si="972"/>
        <v>-7.5000000019826984E-3</v>
      </c>
      <c r="X6276" s="6">
        <f t="shared" si="973"/>
        <v>0</v>
      </c>
      <c r="Y6276" s="13">
        <f t="shared" si="976"/>
        <v>0</v>
      </c>
      <c r="Z6276" s="14">
        <v>0</v>
      </c>
      <c r="AA6276" s="6">
        <v>0</v>
      </c>
      <c r="AB6276" s="4">
        <f t="shared" si="977"/>
        <v>0</v>
      </c>
      <c r="AC6276" s="6">
        <f t="shared" si="975"/>
        <v>0</v>
      </c>
      <c r="AD6276" s="6">
        <v>0</v>
      </c>
      <c r="AE6276" s="14">
        <f>VLOOKUP(I6276,[2]媒体政策预估表!A:N,MATCH(O6276,[2]媒体政策预估表!$A$2:$M$2,0),0)</f>
        <v>7.0000000000000007E-2</v>
      </c>
      <c r="AF6276" s="6">
        <f t="shared" si="971"/>
        <v>0</v>
      </c>
      <c r="AG6276" s="14">
        <v>0.37</v>
      </c>
      <c r="AH6276" s="6">
        <f t="shared" si="974"/>
        <v>0</v>
      </c>
      <c r="AI6276" s="47"/>
      <c r="AJ6276" s="126" t="e">
        <v>#N/A</v>
      </c>
      <c r="AK6276" s="80">
        <f t="shared" si="978"/>
        <v>0</v>
      </c>
      <c r="AL6276" s="85"/>
      <c r="AM6276" s="85"/>
    </row>
    <row r="6277" spans="1:39" s="86" customFormat="1" ht="13.25" hidden="1" customHeight="1" x14ac:dyDescent="0.3">
      <c r="A6277" s="89" t="s">
        <v>3794</v>
      </c>
      <c r="B6277" s="86" t="s">
        <v>35</v>
      </c>
      <c r="C6277" s="86" t="s">
        <v>187</v>
      </c>
      <c r="D6277" s="86" t="s">
        <v>188</v>
      </c>
      <c r="E6277" s="86" t="s">
        <v>2499</v>
      </c>
      <c r="F6277" s="86" t="s">
        <v>2499</v>
      </c>
      <c r="G6277" s="86" t="s">
        <v>2499</v>
      </c>
      <c r="H6277" s="143">
        <v>237</v>
      </c>
      <c r="I6277" s="86" t="s">
        <v>2374</v>
      </c>
      <c r="J6277" s="1" t="s">
        <v>3322</v>
      </c>
      <c r="K6277" s="1" t="s">
        <v>3269</v>
      </c>
      <c r="L6277" s="1" t="s">
        <v>35</v>
      </c>
      <c r="M6277" s="86" t="s">
        <v>2500</v>
      </c>
      <c r="O6277" s="47" t="s">
        <v>45</v>
      </c>
      <c r="P6277" s="47" t="s">
        <v>46</v>
      </c>
      <c r="Q6277" s="14">
        <v>0.03</v>
      </c>
      <c r="R6277" s="143"/>
      <c r="S6277" s="47"/>
      <c r="T6277" s="6">
        <v>1106.1799999999998</v>
      </c>
      <c r="U6277" s="6"/>
      <c r="V6277" s="6">
        <v>0</v>
      </c>
      <c r="W6277" s="6">
        <f t="shared" si="972"/>
        <v>1106.1799999999998</v>
      </c>
      <c r="X6277" s="6">
        <f t="shared" si="973"/>
        <v>0</v>
      </c>
      <c r="Y6277" s="13">
        <f t="shared" si="976"/>
        <v>0</v>
      </c>
      <c r="Z6277" s="14">
        <v>0</v>
      </c>
      <c r="AA6277" s="6">
        <v>0</v>
      </c>
      <c r="AB6277" s="4">
        <f t="shared" si="977"/>
        <v>0</v>
      </c>
      <c r="AC6277" s="6">
        <f t="shared" si="975"/>
        <v>0</v>
      </c>
      <c r="AD6277" s="6">
        <v>0</v>
      </c>
      <c r="AE6277" s="14">
        <f>VLOOKUP(I6277,[2]媒体政策预估表!A:N,MATCH(O6277,[2]媒体政策预估表!$A$2:$M$2,0),0)</f>
        <v>7.0000000000000007E-2</v>
      </c>
      <c r="AF6277" s="6">
        <f t="shared" si="971"/>
        <v>0</v>
      </c>
      <c r="AG6277" s="14">
        <v>0</v>
      </c>
      <c r="AH6277" s="6">
        <f t="shared" si="974"/>
        <v>0</v>
      </c>
      <c r="AI6277" s="47"/>
      <c r="AJ6277" s="126" t="e">
        <v>#N/A</v>
      </c>
      <c r="AK6277" s="80">
        <f t="shared" si="978"/>
        <v>0</v>
      </c>
      <c r="AL6277" s="85"/>
      <c r="AM6277" s="85"/>
    </row>
    <row r="6278" spans="1:39" s="86" customFormat="1" ht="13.25" hidden="1" customHeight="1" x14ac:dyDescent="0.3">
      <c r="A6278" s="89" t="s">
        <v>3794</v>
      </c>
      <c r="B6278" s="86" t="s">
        <v>35</v>
      </c>
      <c r="C6278" s="86" t="s">
        <v>187</v>
      </c>
      <c r="D6278" s="86" t="s">
        <v>208</v>
      </c>
      <c r="E6278" s="86" t="s">
        <v>2457</v>
      </c>
      <c r="F6278" s="86" t="s">
        <v>2457</v>
      </c>
      <c r="G6278" s="86" t="s">
        <v>2457</v>
      </c>
      <c r="H6278" s="143">
        <v>237</v>
      </c>
      <c r="I6278" s="86" t="s">
        <v>2374</v>
      </c>
      <c r="J6278" s="1" t="s">
        <v>3322</v>
      </c>
      <c r="K6278" s="1" t="s">
        <v>3269</v>
      </c>
      <c r="L6278" s="1" t="s">
        <v>35</v>
      </c>
      <c r="M6278" s="86" t="s">
        <v>2438</v>
      </c>
      <c r="O6278" s="47" t="s">
        <v>40</v>
      </c>
      <c r="P6278" s="47" t="s">
        <v>46</v>
      </c>
      <c r="Q6278" s="14">
        <v>0.03</v>
      </c>
      <c r="R6278" s="143"/>
      <c r="S6278" s="47"/>
      <c r="T6278" s="6">
        <v>-6.0000000157742761E-3</v>
      </c>
      <c r="U6278" s="6"/>
      <c r="V6278" s="6">
        <v>0</v>
      </c>
      <c r="W6278" s="6">
        <f t="shared" si="972"/>
        <v>-6.0000000157742761E-3</v>
      </c>
      <c r="X6278" s="6">
        <f t="shared" si="973"/>
        <v>0</v>
      </c>
      <c r="Y6278" s="13">
        <f t="shared" si="976"/>
        <v>0</v>
      </c>
      <c r="Z6278" s="14">
        <v>0</v>
      </c>
      <c r="AA6278" s="6">
        <v>0</v>
      </c>
      <c r="AB6278" s="4">
        <f t="shared" si="977"/>
        <v>0</v>
      </c>
      <c r="AC6278" s="6">
        <f t="shared" si="975"/>
        <v>0</v>
      </c>
      <c r="AD6278" s="6">
        <v>0</v>
      </c>
      <c r="AE6278" s="14">
        <f>VLOOKUP(I6278,[2]媒体政策预估表!A:N,MATCH(O6278,[2]媒体政策预估表!$A$2:$M$2,0),0)</f>
        <v>0.09</v>
      </c>
      <c r="AF6278" s="6">
        <f t="shared" si="971"/>
        <v>0</v>
      </c>
      <c r="AG6278" s="14">
        <v>0.4</v>
      </c>
      <c r="AH6278" s="6">
        <f t="shared" si="974"/>
        <v>0</v>
      </c>
      <c r="AI6278" s="47"/>
      <c r="AJ6278" s="126" t="e">
        <v>#N/A</v>
      </c>
      <c r="AK6278" s="80">
        <f t="shared" si="978"/>
        <v>0</v>
      </c>
      <c r="AL6278" s="85"/>
      <c r="AM6278" s="85"/>
    </row>
    <row r="6279" spans="1:39" s="86" customFormat="1" ht="13.25" hidden="1" customHeight="1" x14ac:dyDescent="0.3">
      <c r="A6279" s="89" t="s">
        <v>3794</v>
      </c>
      <c r="B6279" s="86" t="s">
        <v>35</v>
      </c>
      <c r="C6279" s="86" t="s">
        <v>187</v>
      </c>
      <c r="D6279" s="86" t="s">
        <v>208</v>
      </c>
      <c r="E6279" s="86" t="s">
        <v>202</v>
      </c>
      <c r="F6279" s="86" t="s">
        <v>2464</v>
      </c>
      <c r="G6279" s="86" t="s">
        <v>202</v>
      </c>
      <c r="H6279" s="143">
        <v>237</v>
      </c>
      <c r="I6279" s="86" t="s">
        <v>2374</v>
      </c>
      <c r="J6279" s="1" t="s">
        <v>3322</v>
      </c>
      <c r="K6279" s="1" t="s">
        <v>3269</v>
      </c>
      <c r="L6279" s="1" t="s">
        <v>35</v>
      </c>
      <c r="M6279" s="86" t="s">
        <v>2438</v>
      </c>
      <c r="O6279" s="47" t="s">
        <v>40</v>
      </c>
      <c r="P6279" s="47" t="s">
        <v>41</v>
      </c>
      <c r="Q6279" s="14">
        <v>0</v>
      </c>
      <c r="R6279" s="143"/>
      <c r="S6279" s="47"/>
      <c r="T6279" s="6">
        <v>-633233.87399999995</v>
      </c>
      <c r="U6279" s="6"/>
      <c r="V6279" s="6">
        <v>0</v>
      </c>
      <c r="W6279" s="6">
        <f t="shared" si="972"/>
        <v>-633233.87399999995</v>
      </c>
      <c r="X6279" s="6">
        <f t="shared" si="973"/>
        <v>0</v>
      </c>
      <c r="Y6279" s="13">
        <f t="shared" si="976"/>
        <v>0</v>
      </c>
      <c r="Z6279" s="14">
        <v>0</v>
      </c>
      <c r="AA6279" s="6">
        <v>0</v>
      </c>
      <c r="AB6279" s="4">
        <f t="shared" si="977"/>
        <v>0</v>
      </c>
      <c r="AC6279" s="6">
        <f t="shared" si="975"/>
        <v>0</v>
      </c>
      <c r="AD6279" s="6">
        <v>0</v>
      </c>
      <c r="AE6279" s="14">
        <f>VLOOKUP(I6279,[2]媒体政策预估表!A:N,MATCH(O6279,[2]媒体政策预估表!$A$2:$M$2,0),0)</f>
        <v>0.09</v>
      </c>
      <c r="AF6279" s="6">
        <f t="shared" si="971"/>
        <v>0</v>
      </c>
      <c r="AG6279" s="14">
        <v>0.4</v>
      </c>
      <c r="AH6279" s="6">
        <f t="shared" si="974"/>
        <v>0</v>
      </c>
      <c r="AI6279" s="47"/>
      <c r="AJ6279" s="126" t="e">
        <v>#N/A</v>
      </c>
      <c r="AK6279" s="80">
        <f t="shared" si="978"/>
        <v>0</v>
      </c>
      <c r="AL6279" s="85"/>
      <c r="AM6279" s="85"/>
    </row>
    <row r="6280" spans="1:39" s="86" customFormat="1" ht="13.25" hidden="1" customHeight="1" x14ac:dyDescent="0.3">
      <c r="A6280" s="89" t="s">
        <v>3792</v>
      </c>
      <c r="B6280" s="86" t="s">
        <v>35</v>
      </c>
      <c r="C6280" s="86" t="s">
        <v>187</v>
      </c>
      <c r="D6280" s="86" t="s">
        <v>208</v>
      </c>
      <c r="E6280" s="86" t="s">
        <v>213</v>
      </c>
      <c r="F6280" s="86" t="s">
        <v>213</v>
      </c>
      <c r="G6280" s="86" t="s">
        <v>213</v>
      </c>
      <c r="H6280" s="143">
        <v>237</v>
      </c>
      <c r="I6280" s="86" t="s">
        <v>2374</v>
      </c>
      <c r="J6280" s="1" t="s">
        <v>3322</v>
      </c>
      <c r="K6280" s="1" t="s">
        <v>3269</v>
      </c>
      <c r="L6280" s="1" t="s">
        <v>35</v>
      </c>
      <c r="M6280" s="86" t="s">
        <v>2438</v>
      </c>
      <c r="O6280" s="47" t="s">
        <v>45</v>
      </c>
      <c r="P6280" s="47" t="s">
        <v>46</v>
      </c>
      <c r="Q6280" s="14">
        <v>0.01</v>
      </c>
      <c r="R6280" s="143"/>
      <c r="S6280" s="47"/>
      <c r="T6280" s="6">
        <v>1242.0009</v>
      </c>
      <c r="U6280" s="6"/>
      <c r="V6280" s="6">
        <v>0</v>
      </c>
      <c r="W6280" s="6">
        <f t="shared" si="972"/>
        <v>1242.0009</v>
      </c>
      <c r="X6280" s="6">
        <f t="shared" si="973"/>
        <v>0</v>
      </c>
      <c r="Y6280" s="13">
        <f t="shared" si="976"/>
        <v>0</v>
      </c>
      <c r="Z6280" s="14">
        <v>0</v>
      </c>
      <c r="AA6280" s="6">
        <v>0</v>
      </c>
      <c r="AB6280" s="4">
        <f t="shared" si="977"/>
        <v>0</v>
      </c>
      <c r="AC6280" s="6">
        <f t="shared" si="975"/>
        <v>0</v>
      </c>
      <c r="AD6280" s="6">
        <v>0</v>
      </c>
      <c r="AE6280" s="14">
        <f>VLOOKUP(I6280,[2]媒体政策预估表!A:N,MATCH(O6280,[2]媒体政策预估表!$A$2:$M$2,0),0)</f>
        <v>7.0000000000000007E-2</v>
      </c>
      <c r="AF6280" s="6">
        <f t="shared" si="971"/>
        <v>0</v>
      </c>
      <c r="AG6280" s="14">
        <v>0.37</v>
      </c>
      <c r="AH6280" s="6">
        <f t="shared" si="974"/>
        <v>0</v>
      </c>
      <c r="AI6280" s="47"/>
      <c r="AJ6280" s="126" t="e">
        <v>#N/A</v>
      </c>
      <c r="AK6280" s="80">
        <f t="shared" si="978"/>
        <v>0</v>
      </c>
      <c r="AL6280" s="85"/>
      <c r="AM6280" s="85"/>
    </row>
    <row r="6281" spans="1:39" s="86" customFormat="1" ht="13.25" hidden="1" customHeight="1" x14ac:dyDescent="0.3">
      <c r="A6281" s="89" t="s">
        <v>3792</v>
      </c>
      <c r="B6281" s="86" t="s">
        <v>35</v>
      </c>
      <c r="C6281" s="86" t="s">
        <v>187</v>
      </c>
      <c r="D6281" s="86" t="s">
        <v>208</v>
      </c>
      <c r="E6281" s="86" t="s">
        <v>2501</v>
      </c>
      <c r="F6281" s="86" t="s">
        <v>2502</v>
      </c>
      <c r="G6281" s="86" t="s">
        <v>2501</v>
      </c>
      <c r="H6281" s="143">
        <v>237</v>
      </c>
      <c r="I6281" s="86" t="s">
        <v>2374</v>
      </c>
      <c r="J6281" s="1" t="s">
        <v>3322</v>
      </c>
      <c r="K6281" s="1" t="s">
        <v>3269</v>
      </c>
      <c r="L6281" s="1" t="s">
        <v>35</v>
      </c>
      <c r="M6281" s="86" t="s">
        <v>2501</v>
      </c>
      <c r="O6281" s="47" t="s">
        <v>40</v>
      </c>
      <c r="P6281" s="47" t="s">
        <v>46</v>
      </c>
      <c r="Q6281" s="14">
        <v>0.12</v>
      </c>
      <c r="R6281" s="143"/>
      <c r="S6281" s="47"/>
      <c r="T6281" s="6">
        <v>179793.86138219805</v>
      </c>
      <c r="U6281" s="6"/>
      <c r="V6281" s="6">
        <v>0</v>
      </c>
      <c r="W6281" s="6">
        <f t="shared" si="972"/>
        <v>179793.86138219805</v>
      </c>
      <c r="X6281" s="6">
        <f t="shared" si="973"/>
        <v>0</v>
      </c>
      <c r="Y6281" s="13">
        <f t="shared" si="976"/>
        <v>0</v>
      </c>
      <c r="Z6281" s="14">
        <v>0</v>
      </c>
      <c r="AA6281" s="6">
        <v>0</v>
      </c>
      <c r="AB6281" s="4">
        <f t="shared" si="977"/>
        <v>0</v>
      </c>
      <c r="AC6281" s="6">
        <f t="shared" si="975"/>
        <v>0</v>
      </c>
      <c r="AD6281" s="6">
        <v>0</v>
      </c>
      <c r="AE6281" s="14">
        <f>VLOOKUP(I6281,[2]媒体政策预估表!A:N,MATCH(O6281,[2]媒体政策预估表!$A$2:$M$2,0),0)</f>
        <v>0.09</v>
      </c>
      <c r="AF6281" s="6">
        <f t="shared" si="971"/>
        <v>0</v>
      </c>
      <c r="AG6281" s="14">
        <v>0.41</v>
      </c>
      <c r="AH6281" s="6">
        <f t="shared" si="974"/>
        <v>0</v>
      </c>
      <c r="AI6281" s="47"/>
      <c r="AJ6281" s="126" t="e">
        <v>#N/A</v>
      </c>
      <c r="AK6281" s="80">
        <f t="shared" si="978"/>
        <v>0</v>
      </c>
      <c r="AL6281" s="85"/>
      <c r="AM6281" s="85"/>
    </row>
    <row r="6282" spans="1:39" s="86" customFormat="1" ht="13.25" hidden="1" customHeight="1" x14ac:dyDescent="0.3">
      <c r="A6282" s="89" t="s">
        <v>3794</v>
      </c>
      <c r="B6282" s="86" t="s">
        <v>35</v>
      </c>
      <c r="C6282" s="86" t="s">
        <v>187</v>
      </c>
      <c r="D6282" s="86" t="s">
        <v>208</v>
      </c>
      <c r="E6282" s="86" t="s">
        <v>2501</v>
      </c>
      <c r="F6282" s="86" t="s">
        <v>2502</v>
      </c>
      <c r="G6282" s="86" t="s">
        <v>2501</v>
      </c>
      <c r="H6282" s="143">
        <v>237</v>
      </c>
      <c r="I6282" s="86" t="s">
        <v>2374</v>
      </c>
      <c r="J6282" s="1" t="s">
        <v>3322</v>
      </c>
      <c r="K6282" s="1" t="s">
        <v>3269</v>
      </c>
      <c r="L6282" s="1" t="s">
        <v>35</v>
      </c>
      <c r="M6282" s="86" t="s">
        <v>2501</v>
      </c>
      <c r="O6282" s="47" t="s">
        <v>40</v>
      </c>
      <c r="P6282" s="47" t="s">
        <v>46</v>
      </c>
      <c r="Q6282" s="14">
        <v>0.12</v>
      </c>
      <c r="R6282" s="143"/>
      <c r="S6282" s="47"/>
      <c r="T6282" s="6">
        <v>-244103.99919999999</v>
      </c>
      <c r="U6282" s="6"/>
      <c r="V6282" s="6">
        <v>0</v>
      </c>
      <c r="W6282" s="6">
        <f t="shared" si="972"/>
        <v>-244103.99919999999</v>
      </c>
      <c r="X6282" s="6">
        <f t="shared" si="973"/>
        <v>0</v>
      </c>
      <c r="Y6282" s="13">
        <f t="shared" si="976"/>
        <v>0</v>
      </c>
      <c r="Z6282" s="14">
        <v>0</v>
      </c>
      <c r="AA6282" s="6">
        <v>0</v>
      </c>
      <c r="AB6282" s="4">
        <f t="shared" si="977"/>
        <v>0</v>
      </c>
      <c r="AC6282" s="6">
        <f t="shared" si="975"/>
        <v>0</v>
      </c>
      <c r="AD6282" s="6">
        <v>0</v>
      </c>
      <c r="AE6282" s="14">
        <f>VLOOKUP(I6282,[2]媒体政策预估表!A:N,MATCH(O6282,[2]媒体政策预估表!$A$2:$M$2,0),0)</f>
        <v>0.09</v>
      </c>
      <c r="AF6282" s="6">
        <f t="shared" si="971"/>
        <v>0</v>
      </c>
      <c r="AG6282" s="14">
        <v>0.46</v>
      </c>
      <c r="AH6282" s="6">
        <f t="shared" si="974"/>
        <v>0</v>
      </c>
      <c r="AI6282" s="47"/>
      <c r="AJ6282" s="126" t="e">
        <v>#N/A</v>
      </c>
      <c r="AK6282" s="80">
        <f t="shared" si="978"/>
        <v>0</v>
      </c>
      <c r="AL6282" s="85"/>
      <c r="AM6282" s="85"/>
    </row>
    <row r="6283" spans="1:39" s="86" customFormat="1" ht="13.25" hidden="1" customHeight="1" x14ac:dyDescent="0.3">
      <c r="A6283" s="89" t="s">
        <v>3794</v>
      </c>
      <c r="B6283" s="86" t="s">
        <v>35</v>
      </c>
      <c r="C6283" s="86" t="s">
        <v>184</v>
      </c>
      <c r="D6283" s="86" t="s">
        <v>3849</v>
      </c>
      <c r="E6283" s="86" t="s">
        <v>2503</v>
      </c>
      <c r="F6283" s="86" t="s">
        <v>2503</v>
      </c>
      <c r="G6283" s="86" t="s">
        <v>2503</v>
      </c>
      <c r="H6283" s="144">
        <v>237</v>
      </c>
      <c r="I6283" s="86" t="s">
        <v>2374</v>
      </c>
      <c r="J6283" s="1" t="s">
        <v>3322</v>
      </c>
      <c r="K6283" s="1" t="s">
        <v>3269</v>
      </c>
      <c r="L6283" s="1" t="s">
        <v>35</v>
      </c>
      <c r="M6283" s="86" t="s">
        <v>2503</v>
      </c>
      <c r="O6283" s="47" t="s">
        <v>45</v>
      </c>
      <c r="P6283" s="47" t="s">
        <v>46</v>
      </c>
      <c r="Q6283" s="14">
        <v>0.03</v>
      </c>
      <c r="R6283" s="143"/>
      <c r="S6283" s="47"/>
      <c r="T6283" s="6">
        <v>15849.530000000046</v>
      </c>
      <c r="U6283" s="6"/>
      <c r="V6283" s="6">
        <v>15849.530000000046</v>
      </c>
      <c r="W6283" s="6">
        <f t="shared" si="972"/>
        <v>0</v>
      </c>
      <c r="X6283" s="6">
        <f t="shared" si="973"/>
        <v>15387.893203883539</v>
      </c>
      <c r="Y6283" s="13">
        <f t="shared" si="976"/>
        <v>15387.893203883539</v>
      </c>
      <c r="Z6283" s="14">
        <v>0</v>
      </c>
      <c r="AA6283" s="6">
        <v>0</v>
      </c>
      <c r="AB6283" s="4">
        <f t="shared" si="977"/>
        <v>15387.893203883539</v>
      </c>
      <c r="AC6283" s="6">
        <f t="shared" si="975"/>
        <v>461.63679611650696</v>
      </c>
      <c r="AD6283" s="6">
        <v>0</v>
      </c>
      <c r="AE6283" s="14">
        <f>VLOOKUP(I6283,[2]媒体政策预估表!A:N,MATCH(O6283,[2]媒体政策预估表!$A$2:$M$2,0),0)</f>
        <v>7.0000000000000007E-2</v>
      </c>
      <c r="AF6283" s="6">
        <f t="shared" si="971"/>
        <v>0</v>
      </c>
      <c r="AG6283" s="14">
        <v>0</v>
      </c>
      <c r="AH6283" s="6">
        <f t="shared" si="974"/>
        <v>15849.530000000046</v>
      </c>
      <c r="AI6283" s="47"/>
      <c r="AJ6283" s="126" t="e">
        <v>#N/A</v>
      </c>
      <c r="AK6283" s="80">
        <f t="shared" si="978"/>
        <v>0</v>
      </c>
      <c r="AL6283" s="85"/>
      <c r="AM6283" s="85"/>
    </row>
    <row r="6284" spans="1:39" s="86" customFormat="1" ht="13.25" hidden="1" customHeight="1" x14ac:dyDescent="0.3">
      <c r="A6284" s="89" t="s">
        <v>3792</v>
      </c>
      <c r="B6284" s="86" t="s">
        <v>35</v>
      </c>
      <c r="C6284" s="86" t="s">
        <v>184</v>
      </c>
      <c r="D6284" s="86" t="s">
        <v>3849</v>
      </c>
      <c r="E6284" s="86" t="s">
        <v>538</v>
      </c>
      <c r="F6284" s="86" t="s">
        <v>538</v>
      </c>
      <c r="G6284" s="86" t="s">
        <v>538</v>
      </c>
      <c r="H6284" s="143">
        <v>237</v>
      </c>
      <c r="I6284" s="86" t="s">
        <v>2374</v>
      </c>
      <c r="J6284" s="1" t="s">
        <v>3322</v>
      </c>
      <c r="K6284" s="1" t="s">
        <v>3269</v>
      </c>
      <c r="L6284" s="1" t="s">
        <v>35</v>
      </c>
      <c r="M6284" s="86" t="s">
        <v>538</v>
      </c>
      <c r="O6284" s="47" t="s">
        <v>45</v>
      </c>
      <c r="P6284" s="47" t="s">
        <v>46</v>
      </c>
      <c r="Q6284" s="14">
        <v>0.03</v>
      </c>
      <c r="R6284" s="143"/>
      <c r="S6284" s="47"/>
      <c r="T6284" s="6">
        <v>1067.8328000000383</v>
      </c>
      <c r="U6284" s="6"/>
      <c r="V6284" s="6">
        <v>0</v>
      </c>
      <c r="W6284" s="6">
        <f t="shared" si="972"/>
        <v>1067.8328000000383</v>
      </c>
      <c r="X6284" s="6">
        <f t="shared" si="973"/>
        <v>0</v>
      </c>
      <c r="Y6284" s="13">
        <f t="shared" si="976"/>
        <v>0</v>
      </c>
      <c r="Z6284" s="14">
        <v>0</v>
      </c>
      <c r="AA6284" s="6">
        <v>0</v>
      </c>
      <c r="AB6284" s="4">
        <f t="shared" si="977"/>
        <v>0</v>
      </c>
      <c r="AC6284" s="6">
        <f t="shared" si="975"/>
        <v>0</v>
      </c>
      <c r="AD6284" s="6">
        <v>0</v>
      </c>
      <c r="AE6284" s="14">
        <f>VLOOKUP(I6284,[2]媒体政策预估表!A:N,MATCH(O6284,[2]媒体政策预估表!$A$2:$M$2,0),0)</f>
        <v>7.0000000000000007E-2</v>
      </c>
      <c r="AF6284" s="6">
        <f t="shared" si="971"/>
        <v>0</v>
      </c>
      <c r="AG6284" s="14">
        <v>0</v>
      </c>
      <c r="AH6284" s="6">
        <f t="shared" si="974"/>
        <v>0</v>
      </c>
      <c r="AI6284" s="47"/>
      <c r="AJ6284" s="126" t="e">
        <v>#N/A</v>
      </c>
      <c r="AK6284" s="80">
        <f t="shared" si="978"/>
        <v>0</v>
      </c>
      <c r="AL6284" s="85"/>
      <c r="AM6284" s="85"/>
    </row>
    <row r="6285" spans="1:39" s="86" customFormat="1" ht="13.25" hidden="1" customHeight="1" x14ac:dyDescent="0.3">
      <c r="A6285" s="89" t="s">
        <v>3794</v>
      </c>
      <c r="B6285" s="86" t="s">
        <v>35</v>
      </c>
      <c r="C6285" s="86" t="s">
        <v>187</v>
      </c>
      <c r="D6285" s="86" t="s">
        <v>188</v>
      </c>
      <c r="E6285" s="86" t="s">
        <v>2504</v>
      </c>
      <c r="F6285" s="86" t="s">
        <v>2505</v>
      </c>
      <c r="G6285" s="86" t="s">
        <v>2504</v>
      </c>
      <c r="H6285" s="143">
        <v>237</v>
      </c>
      <c r="I6285" s="86" t="s">
        <v>2374</v>
      </c>
      <c r="J6285" s="1" t="s">
        <v>3322</v>
      </c>
      <c r="K6285" s="1" t="s">
        <v>3269</v>
      </c>
      <c r="L6285" s="1" t="s">
        <v>35</v>
      </c>
      <c r="M6285" s="86" t="s">
        <v>2504</v>
      </c>
      <c r="O6285" s="47" t="s">
        <v>40</v>
      </c>
      <c r="P6285" s="47" t="s">
        <v>46</v>
      </c>
      <c r="Q6285" s="14">
        <v>0.03</v>
      </c>
      <c r="R6285" s="143"/>
      <c r="S6285" s="47"/>
      <c r="T6285" s="6">
        <v>-10967.75</v>
      </c>
      <c r="U6285" s="6"/>
      <c r="V6285" s="6">
        <v>0</v>
      </c>
      <c r="W6285" s="6">
        <f t="shared" si="972"/>
        <v>-10967.75</v>
      </c>
      <c r="X6285" s="6">
        <f t="shared" si="973"/>
        <v>0</v>
      </c>
      <c r="Y6285" s="13">
        <f t="shared" si="976"/>
        <v>0</v>
      </c>
      <c r="Z6285" s="14">
        <v>0</v>
      </c>
      <c r="AA6285" s="6">
        <v>0</v>
      </c>
      <c r="AB6285" s="4">
        <f t="shared" si="977"/>
        <v>0</v>
      </c>
      <c r="AC6285" s="6">
        <f t="shared" si="975"/>
        <v>0</v>
      </c>
      <c r="AD6285" s="6">
        <v>0</v>
      </c>
      <c r="AE6285" s="14">
        <f>VLOOKUP(I6285,[2]媒体政策预估表!A:N,MATCH(O6285,[2]媒体政策预估表!$A$2:$M$2,0),0)</f>
        <v>0.09</v>
      </c>
      <c r="AF6285" s="6">
        <f t="shared" si="971"/>
        <v>0</v>
      </c>
      <c r="AG6285" s="14">
        <v>0.25</v>
      </c>
      <c r="AH6285" s="6">
        <f t="shared" si="974"/>
        <v>0</v>
      </c>
      <c r="AI6285" s="47"/>
      <c r="AJ6285" s="126" t="e">
        <v>#N/A</v>
      </c>
      <c r="AK6285" s="80">
        <f t="shared" si="978"/>
        <v>0</v>
      </c>
      <c r="AL6285" s="85"/>
      <c r="AM6285" s="85"/>
    </row>
    <row r="6286" spans="1:39" s="86" customFormat="1" ht="13.25" hidden="1" customHeight="1" x14ac:dyDescent="0.3">
      <c r="A6286" s="89" t="s">
        <v>3794</v>
      </c>
      <c r="B6286" s="86" t="s">
        <v>35</v>
      </c>
      <c r="C6286" s="86" t="s">
        <v>187</v>
      </c>
      <c r="D6286" s="86" t="s">
        <v>188</v>
      </c>
      <c r="E6286" s="86" t="s">
        <v>2445</v>
      </c>
      <c r="F6286" s="86" t="s">
        <v>2445</v>
      </c>
      <c r="G6286" s="86" t="s">
        <v>2445</v>
      </c>
      <c r="H6286" s="143">
        <v>237</v>
      </c>
      <c r="I6286" s="86" t="s">
        <v>2374</v>
      </c>
      <c r="J6286" s="1" t="s">
        <v>3322</v>
      </c>
      <c r="K6286" s="1" t="s">
        <v>3269</v>
      </c>
      <c r="L6286" s="1" t="s">
        <v>35</v>
      </c>
      <c r="M6286" s="86" t="s">
        <v>2438</v>
      </c>
      <c r="O6286" s="47" t="s">
        <v>40</v>
      </c>
      <c r="P6286" s="47" t="s">
        <v>46</v>
      </c>
      <c r="Q6286" s="14">
        <v>0.04</v>
      </c>
      <c r="R6286" s="143"/>
      <c r="S6286" s="47"/>
      <c r="T6286" s="6">
        <v>-31672.181400000001</v>
      </c>
      <c r="U6286" s="6"/>
      <c r="V6286" s="6">
        <v>0</v>
      </c>
      <c r="W6286" s="6">
        <f t="shared" si="972"/>
        <v>-31672.181400000001</v>
      </c>
      <c r="X6286" s="6">
        <f t="shared" si="973"/>
        <v>0</v>
      </c>
      <c r="Y6286" s="13">
        <f t="shared" si="976"/>
        <v>0</v>
      </c>
      <c r="Z6286" s="14">
        <v>0</v>
      </c>
      <c r="AA6286" s="6">
        <v>0</v>
      </c>
      <c r="AB6286" s="4">
        <f t="shared" si="977"/>
        <v>0</v>
      </c>
      <c r="AC6286" s="6">
        <f t="shared" si="975"/>
        <v>0</v>
      </c>
      <c r="AD6286" s="6">
        <v>0</v>
      </c>
      <c r="AE6286" s="14">
        <f>VLOOKUP(I6286,[2]媒体政策预估表!A:N,MATCH(O6286,[2]媒体政策预估表!$A$2:$M$2,0),0)</f>
        <v>0.09</v>
      </c>
      <c r="AF6286" s="6">
        <f t="shared" si="971"/>
        <v>0</v>
      </c>
      <c r="AG6286" s="14">
        <v>0.41</v>
      </c>
      <c r="AH6286" s="6">
        <f t="shared" si="974"/>
        <v>0</v>
      </c>
      <c r="AI6286" s="47"/>
      <c r="AJ6286" s="126" t="e">
        <v>#N/A</v>
      </c>
      <c r="AK6286" s="80">
        <f t="shared" si="978"/>
        <v>0</v>
      </c>
      <c r="AL6286" s="85"/>
      <c r="AM6286" s="85"/>
    </row>
    <row r="6287" spans="1:39" s="86" customFormat="1" ht="13.25" hidden="1" customHeight="1" x14ac:dyDescent="0.3">
      <c r="A6287" s="89" t="s">
        <v>3794</v>
      </c>
      <c r="B6287" s="86" t="s">
        <v>35</v>
      </c>
      <c r="C6287" s="86" t="s">
        <v>187</v>
      </c>
      <c r="D6287" s="86" t="s">
        <v>188</v>
      </c>
      <c r="E6287" s="86" t="s">
        <v>2506</v>
      </c>
      <c r="F6287" s="86" t="s">
        <v>2506</v>
      </c>
      <c r="G6287" s="86" t="s">
        <v>2506</v>
      </c>
      <c r="H6287" s="143">
        <v>237</v>
      </c>
      <c r="I6287" s="86" t="s">
        <v>2374</v>
      </c>
      <c r="J6287" s="1" t="s">
        <v>3322</v>
      </c>
      <c r="K6287" s="1" t="s">
        <v>3269</v>
      </c>
      <c r="L6287" s="1" t="s">
        <v>35</v>
      </c>
      <c r="M6287" s="86" t="s">
        <v>2438</v>
      </c>
      <c r="O6287" s="47" t="s">
        <v>40</v>
      </c>
      <c r="P6287" s="47" t="s">
        <v>41</v>
      </c>
      <c r="Q6287" s="14">
        <v>0</v>
      </c>
      <c r="R6287" s="143"/>
      <c r="S6287" s="47"/>
      <c r="T6287" s="6">
        <v>6.0000000021318556E-3</v>
      </c>
      <c r="U6287" s="6"/>
      <c r="V6287" s="6">
        <v>0</v>
      </c>
      <c r="W6287" s="6">
        <f t="shared" si="972"/>
        <v>6.0000000021318556E-3</v>
      </c>
      <c r="X6287" s="6">
        <f t="shared" si="973"/>
        <v>0</v>
      </c>
      <c r="Y6287" s="13">
        <f t="shared" si="976"/>
        <v>0</v>
      </c>
      <c r="Z6287" s="14">
        <v>0</v>
      </c>
      <c r="AA6287" s="6">
        <v>0</v>
      </c>
      <c r="AB6287" s="4">
        <f t="shared" si="977"/>
        <v>0</v>
      </c>
      <c r="AC6287" s="6">
        <f t="shared" si="975"/>
        <v>0</v>
      </c>
      <c r="AD6287" s="6">
        <v>0</v>
      </c>
      <c r="AE6287" s="14">
        <f>VLOOKUP(I6287,[2]媒体政策预估表!A:N,MATCH(O6287,[2]媒体政策预估表!$A$2:$M$2,0),0)</f>
        <v>0.09</v>
      </c>
      <c r="AF6287" s="6">
        <f t="shared" si="971"/>
        <v>0</v>
      </c>
      <c r="AG6287" s="14">
        <v>0.4</v>
      </c>
      <c r="AH6287" s="6">
        <f t="shared" si="974"/>
        <v>0</v>
      </c>
      <c r="AI6287" s="47"/>
      <c r="AJ6287" s="126" t="e">
        <v>#N/A</v>
      </c>
      <c r="AK6287" s="80">
        <f t="shared" si="978"/>
        <v>0</v>
      </c>
      <c r="AL6287" s="85"/>
      <c r="AM6287" s="85"/>
    </row>
    <row r="6288" spans="1:39" s="86" customFormat="1" ht="13.25" hidden="1" customHeight="1" x14ac:dyDescent="0.3">
      <c r="A6288" s="89" t="s">
        <v>3794</v>
      </c>
      <c r="B6288" s="86" t="s">
        <v>35</v>
      </c>
      <c r="C6288" s="86" t="s">
        <v>187</v>
      </c>
      <c r="D6288" s="86" t="s">
        <v>188</v>
      </c>
      <c r="E6288" s="86" t="s">
        <v>2507</v>
      </c>
      <c r="F6288" s="86" t="s">
        <v>2507</v>
      </c>
      <c r="G6288" s="86" t="s">
        <v>2507</v>
      </c>
      <c r="H6288" s="143">
        <v>237</v>
      </c>
      <c r="I6288" s="86" t="s">
        <v>2374</v>
      </c>
      <c r="J6288" s="1" t="s">
        <v>3322</v>
      </c>
      <c r="K6288" s="1" t="s">
        <v>3269</v>
      </c>
      <c r="L6288" s="1" t="s">
        <v>35</v>
      </c>
      <c r="M6288" s="86" t="s">
        <v>2438</v>
      </c>
      <c r="O6288" s="47" t="s">
        <v>45</v>
      </c>
      <c r="P6288" s="47" t="s">
        <v>46</v>
      </c>
      <c r="Q6288" s="14">
        <v>0.04</v>
      </c>
      <c r="R6288" s="143"/>
      <c r="S6288" s="47"/>
      <c r="T6288" s="6">
        <v>12422.418899999999</v>
      </c>
      <c r="U6288" s="6"/>
      <c r="V6288" s="6">
        <v>0</v>
      </c>
      <c r="W6288" s="6">
        <f t="shared" si="972"/>
        <v>12422.418899999999</v>
      </c>
      <c r="X6288" s="6">
        <f t="shared" si="973"/>
        <v>0</v>
      </c>
      <c r="Y6288" s="13">
        <f t="shared" si="976"/>
        <v>0</v>
      </c>
      <c r="Z6288" s="14">
        <v>0</v>
      </c>
      <c r="AA6288" s="6">
        <v>0</v>
      </c>
      <c r="AB6288" s="4">
        <f t="shared" si="977"/>
        <v>0</v>
      </c>
      <c r="AC6288" s="6">
        <f t="shared" si="975"/>
        <v>0</v>
      </c>
      <c r="AD6288" s="6">
        <v>0</v>
      </c>
      <c r="AE6288" s="14">
        <f>VLOOKUP(I6288,[2]媒体政策预估表!A:N,MATCH(O6288,[2]媒体政策预估表!$A$2:$M$2,0),0)</f>
        <v>7.0000000000000007E-2</v>
      </c>
      <c r="AF6288" s="6">
        <f t="shared" si="971"/>
        <v>0</v>
      </c>
      <c r="AG6288" s="14">
        <v>0.37</v>
      </c>
      <c r="AH6288" s="6">
        <f t="shared" si="974"/>
        <v>0</v>
      </c>
      <c r="AI6288" s="47"/>
      <c r="AJ6288" s="126" t="e">
        <v>#N/A</v>
      </c>
      <c r="AK6288" s="80">
        <f t="shared" si="978"/>
        <v>0</v>
      </c>
      <c r="AL6288" s="85"/>
      <c r="AM6288" s="85"/>
    </row>
    <row r="6289" spans="1:39" s="86" customFormat="1" ht="13.25" hidden="1" customHeight="1" x14ac:dyDescent="0.3">
      <c r="A6289" s="89" t="s">
        <v>3794</v>
      </c>
      <c r="B6289" s="86" t="s">
        <v>35</v>
      </c>
      <c r="C6289" s="86" t="s">
        <v>187</v>
      </c>
      <c r="D6289" s="86" t="s">
        <v>188</v>
      </c>
      <c r="E6289" s="86" t="s">
        <v>2507</v>
      </c>
      <c r="F6289" s="86" t="s">
        <v>2507</v>
      </c>
      <c r="G6289" s="86" t="s">
        <v>2507</v>
      </c>
      <c r="H6289" s="143">
        <v>237</v>
      </c>
      <c r="I6289" s="86" t="s">
        <v>2374</v>
      </c>
      <c r="J6289" s="1" t="s">
        <v>3322</v>
      </c>
      <c r="K6289" s="1" t="s">
        <v>3269</v>
      </c>
      <c r="L6289" s="1" t="s">
        <v>35</v>
      </c>
      <c r="M6289" s="86" t="s">
        <v>2438</v>
      </c>
      <c r="O6289" s="47" t="s">
        <v>40</v>
      </c>
      <c r="P6289" s="47" t="s">
        <v>46</v>
      </c>
      <c r="Q6289" s="14">
        <v>0.05</v>
      </c>
      <c r="R6289" s="143"/>
      <c r="S6289" s="47"/>
      <c r="T6289" s="6">
        <v>4315.6180000000031</v>
      </c>
      <c r="U6289" s="6"/>
      <c r="V6289" s="6">
        <v>0</v>
      </c>
      <c r="W6289" s="6">
        <f t="shared" si="972"/>
        <v>4315.6180000000031</v>
      </c>
      <c r="X6289" s="6">
        <f t="shared" si="973"/>
        <v>0</v>
      </c>
      <c r="Y6289" s="13">
        <f t="shared" si="976"/>
        <v>0</v>
      </c>
      <c r="Z6289" s="14">
        <v>0</v>
      </c>
      <c r="AA6289" s="6">
        <v>0</v>
      </c>
      <c r="AB6289" s="4">
        <f t="shared" si="977"/>
        <v>0</v>
      </c>
      <c r="AC6289" s="6">
        <f t="shared" si="975"/>
        <v>0</v>
      </c>
      <c r="AD6289" s="6">
        <v>0</v>
      </c>
      <c r="AE6289" s="14">
        <f>VLOOKUP(I6289,[2]媒体政策预估表!A:N,MATCH(O6289,[2]媒体政策预估表!$A$2:$M$2,0),0)</f>
        <v>0.09</v>
      </c>
      <c r="AF6289" s="6">
        <f t="shared" si="971"/>
        <v>0</v>
      </c>
      <c r="AG6289" s="14">
        <v>0.4</v>
      </c>
      <c r="AH6289" s="6">
        <f t="shared" si="974"/>
        <v>0</v>
      </c>
      <c r="AI6289" s="47"/>
      <c r="AJ6289" s="126" t="e">
        <v>#N/A</v>
      </c>
      <c r="AK6289" s="80">
        <f t="shared" si="978"/>
        <v>0</v>
      </c>
      <c r="AL6289" s="85"/>
      <c r="AM6289" s="85"/>
    </row>
    <row r="6290" spans="1:39" s="86" customFormat="1" ht="13.25" hidden="1" customHeight="1" x14ac:dyDescent="0.3">
      <c r="A6290" s="89" t="s">
        <v>3794</v>
      </c>
      <c r="B6290" s="86" t="s">
        <v>35</v>
      </c>
      <c r="C6290" s="86" t="s">
        <v>187</v>
      </c>
      <c r="D6290" s="86" t="s">
        <v>188</v>
      </c>
      <c r="E6290" s="86" t="s">
        <v>2508</v>
      </c>
      <c r="F6290" s="86" t="s">
        <v>2508</v>
      </c>
      <c r="G6290" s="86" t="s">
        <v>2508</v>
      </c>
      <c r="H6290" s="143">
        <v>237</v>
      </c>
      <c r="I6290" s="86" t="s">
        <v>2374</v>
      </c>
      <c r="J6290" s="1" t="s">
        <v>3322</v>
      </c>
      <c r="K6290" s="1" t="s">
        <v>3269</v>
      </c>
      <c r="L6290" s="1" t="s">
        <v>35</v>
      </c>
      <c r="M6290" s="86" t="s">
        <v>2438</v>
      </c>
      <c r="O6290" s="47" t="s">
        <v>40</v>
      </c>
      <c r="P6290" s="47" t="s">
        <v>41</v>
      </c>
      <c r="Q6290" s="14">
        <v>0</v>
      </c>
      <c r="R6290" s="143"/>
      <c r="S6290" s="47"/>
      <c r="T6290" s="6">
        <v>5.3099999912092244E-2</v>
      </c>
      <c r="U6290" s="6"/>
      <c r="V6290" s="6">
        <v>0</v>
      </c>
      <c r="W6290" s="6">
        <f t="shared" si="972"/>
        <v>5.3099999912092244E-2</v>
      </c>
      <c r="X6290" s="6">
        <f t="shared" si="973"/>
        <v>0</v>
      </c>
      <c r="Y6290" s="13">
        <f t="shared" si="976"/>
        <v>0</v>
      </c>
      <c r="Z6290" s="14">
        <v>0</v>
      </c>
      <c r="AA6290" s="6">
        <v>0</v>
      </c>
      <c r="AB6290" s="4">
        <f t="shared" si="977"/>
        <v>0</v>
      </c>
      <c r="AC6290" s="6">
        <f t="shared" si="975"/>
        <v>0</v>
      </c>
      <c r="AD6290" s="6">
        <v>0</v>
      </c>
      <c r="AE6290" s="14">
        <f>VLOOKUP(I6290,[2]媒体政策预估表!A:N,MATCH(O6290,[2]媒体政策预估表!$A$2:$M$2,0),0)</f>
        <v>0.09</v>
      </c>
      <c r="AF6290" s="6">
        <f t="shared" si="971"/>
        <v>0</v>
      </c>
      <c r="AG6290" s="14">
        <v>0.4</v>
      </c>
      <c r="AH6290" s="6">
        <f t="shared" si="974"/>
        <v>0</v>
      </c>
      <c r="AI6290" s="47"/>
      <c r="AJ6290" s="126" t="e">
        <v>#N/A</v>
      </c>
      <c r="AK6290" s="80">
        <f t="shared" si="978"/>
        <v>0</v>
      </c>
      <c r="AL6290" s="85"/>
      <c r="AM6290" s="85"/>
    </row>
    <row r="6291" spans="1:39" s="86" customFormat="1" ht="13.25" hidden="1" customHeight="1" x14ac:dyDescent="0.3">
      <c r="A6291" s="89" t="s">
        <v>3794</v>
      </c>
      <c r="B6291" s="86" t="s">
        <v>35</v>
      </c>
      <c r="C6291" s="86" t="s">
        <v>184</v>
      </c>
      <c r="D6291" s="86" t="s">
        <v>54</v>
      </c>
      <c r="E6291" s="86" t="s">
        <v>2388</v>
      </c>
      <c r="F6291" s="86" t="s">
        <v>2509</v>
      </c>
      <c r="G6291" s="86" t="s">
        <v>2388</v>
      </c>
      <c r="H6291" s="143">
        <v>237</v>
      </c>
      <c r="I6291" s="86" t="s">
        <v>2374</v>
      </c>
      <c r="J6291" s="1" t="s">
        <v>3322</v>
      </c>
      <c r="K6291" s="1" t="s">
        <v>3269</v>
      </c>
      <c r="L6291" s="1" t="s">
        <v>35</v>
      </c>
      <c r="M6291" s="86" t="s">
        <v>2390</v>
      </c>
      <c r="O6291" s="47" t="s">
        <v>410</v>
      </c>
      <c r="P6291" s="47" t="s">
        <v>46</v>
      </c>
      <c r="Q6291" s="14">
        <v>0.06</v>
      </c>
      <c r="R6291" s="143"/>
      <c r="S6291" s="47"/>
      <c r="T6291" s="6">
        <v>52779.029999999329</v>
      </c>
      <c r="U6291" s="6"/>
      <c r="V6291" s="6">
        <v>0</v>
      </c>
      <c r="W6291" s="6">
        <f t="shared" si="972"/>
        <v>52779.029999999329</v>
      </c>
      <c r="X6291" s="6">
        <f t="shared" si="973"/>
        <v>0</v>
      </c>
      <c r="Y6291" s="13">
        <f t="shared" si="976"/>
        <v>0</v>
      </c>
      <c r="Z6291" s="14">
        <v>0</v>
      </c>
      <c r="AA6291" s="6">
        <v>0</v>
      </c>
      <c r="AB6291" s="4">
        <f t="shared" si="977"/>
        <v>0</v>
      </c>
      <c r="AC6291" s="6">
        <f t="shared" si="975"/>
        <v>0</v>
      </c>
      <c r="AD6291" s="6">
        <v>0</v>
      </c>
      <c r="AE6291" s="14">
        <f>VLOOKUP(I6291,[2]媒体政策预估表!A:N,MATCH(O6291,[2]媒体政策预估表!$A$2:$M$2,0),0)</f>
        <v>0</v>
      </c>
      <c r="AF6291" s="6">
        <f t="shared" si="971"/>
        <v>0</v>
      </c>
      <c r="AG6291" s="14">
        <v>0.16</v>
      </c>
      <c r="AH6291" s="6">
        <f t="shared" si="974"/>
        <v>0</v>
      </c>
      <c r="AI6291" s="47"/>
      <c r="AJ6291" s="126" t="e">
        <v>#N/A</v>
      </c>
      <c r="AK6291" s="80">
        <f t="shared" si="978"/>
        <v>0</v>
      </c>
      <c r="AL6291" s="85"/>
      <c r="AM6291" s="85"/>
    </row>
    <row r="6292" spans="1:39" s="86" customFormat="1" ht="13.25" hidden="1" customHeight="1" x14ac:dyDescent="0.3">
      <c r="A6292" s="89" t="s">
        <v>3792</v>
      </c>
      <c r="B6292" s="86" t="s">
        <v>35</v>
      </c>
      <c r="C6292" s="86" t="s">
        <v>184</v>
      </c>
      <c r="D6292" s="86" t="s">
        <v>54</v>
      </c>
      <c r="E6292" s="86" t="s">
        <v>2388</v>
      </c>
      <c r="F6292" s="86" t="s">
        <v>2510</v>
      </c>
      <c r="G6292" s="86" t="s">
        <v>2388</v>
      </c>
      <c r="H6292" s="143">
        <v>237</v>
      </c>
      <c r="I6292" s="86" t="s">
        <v>2374</v>
      </c>
      <c r="J6292" s="1" t="s">
        <v>3322</v>
      </c>
      <c r="K6292" s="1" t="s">
        <v>3269</v>
      </c>
      <c r="L6292" s="1" t="s">
        <v>35</v>
      </c>
      <c r="M6292" s="86" t="s">
        <v>2390</v>
      </c>
      <c r="O6292" s="47" t="s">
        <v>45</v>
      </c>
      <c r="P6292" s="47" t="s">
        <v>41</v>
      </c>
      <c r="Q6292" s="14">
        <v>0</v>
      </c>
      <c r="R6292" s="143"/>
      <c r="S6292" s="47"/>
      <c r="T6292" s="6">
        <v>-20003231.118000001</v>
      </c>
      <c r="U6292" s="6"/>
      <c r="V6292" s="6">
        <v>0</v>
      </c>
      <c r="W6292" s="6">
        <f t="shared" si="972"/>
        <v>-20003231.118000001</v>
      </c>
      <c r="X6292" s="6">
        <f t="shared" si="973"/>
        <v>0</v>
      </c>
      <c r="Y6292" s="13">
        <f t="shared" si="976"/>
        <v>0</v>
      </c>
      <c r="Z6292" s="14">
        <v>0</v>
      </c>
      <c r="AA6292" s="6">
        <v>0</v>
      </c>
      <c r="AB6292" s="4">
        <f t="shared" si="977"/>
        <v>0</v>
      </c>
      <c r="AC6292" s="6">
        <f t="shared" si="975"/>
        <v>0</v>
      </c>
      <c r="AD6292" s="6">
        <v>0</v>
      </c>
      <c r="AE6292" s="14">
        <f>VLOOKUP(I6292,[2]媒体政策预估表!A:N,MATCH(O6292,[2]媒体政策预估表!$A$2:$M$2,0),0)</f>
        <v>7.0000000000000007E-2</v>
      </c>
      <c r="AF6292" s="6">
        <f t="shared" si="971"/>
        <v>0</v>
      </c>
      <c r="AG6292" s="14">
        <v>0.3</v>
      </c>
      <c r="AH6292" s="6">
        <f t="shared" si="974"/>
        <v>0</v>
      </c>
      <c r="AI6292" s="47"/>
      <c r="AJ6292" s="126" t="e">
        <v>#N/A</v>
      </c>
      <c r="AK6292" s="80">
        <f t="shared" si="978"/>
        <v>0</v>
      </c>
      <c r="AL6292" s="85"/>
      <c r="AM6292" s="85"/>
    </row>
    <row r="6293" spans="1:39" s="86" customFormat="1" ht="13.25" hidden="1" customHeight="1" x14ac:dyDescent="0.3">
      <c r="A6293" s="89" t="s">
        <v>3794</v>
      </c>
      <c r="B6293" s="86" t="s">
        <v>35</v>
      </c>
      <c r="C6293" s="86" t="s">
        <v>184</v>
      </c>
      <c r="D6293" s="86" t="s">
        <v>3849</v>
      </c>
      <c r="E6293" s="86" t="s">
        <v>2511</v>
      </c>
      <c r="F6293" s="86" t="s">
        <v>2511</v>
      </c>
      <c r="G6293" s="86" t="s">
        <v>2511</v>
      </c>
      <c r="H6293" s="143">
        <v>237</v>
      </c>
      <c r="I6293" s="86" t="s">
        <v>2374</v>
      </c>
      <c r="J6293" s="1" t="s">
        <v>3322</v>
      </c>
      <c r="K6293" s="1" t="s">
        <v>3269</v>
      </c>
      <c r="L6293" s="1" t="s">
        <v>35</v>
      </c>
      <c r="M6293" s="86" t="s">
        <v>2390</v>
      </c>
      <c r="O6293" s="47" t="s">
        <v>45</v>
      </c>
      <c r="P6293" s="47" t="s">
        <v>46</v>
      </c>
      <c r="Q6293" s="14">
        <v>5.2600000000000001E-2</v>
      </c>
      <c r="R6293" s="143"/>
      <c r="S6293" s="47"/>
      <c r="T6293" s="6">
        <v>877.33400000000245</v>
      </c>
      <c r="U6293" s="6"/>
      <c r="V6293" s="6">
        <v>0</v>
      </c>
      <c r="W6293" s="6">
        <f t="shared" si="972"/>
        <v>877.33400000000245</v>
      </c>
      <c r="X6293" s="6">
        <f t="shared" si="973"/>
        <v>0</v>
      </c>
      <c r="Y6293" s="13">
        <f t="shared" si="976"/>
        <v>0</v>
      </c>
      <c r="Z6293" s="14">
        <v>0</v>
      </c>
      <c r="AA6293" s="6">
        <v>0</v>
      </c>
      <c r="AB6293" s="4">
        <f t="shared" si="977"/>
        <v>0</v>
      </c>
      <c r="AC6293" s="6">
        <f t="shared" si="975"/>
        <v>0</v>
      </c>
      <c r="AD6293" s="6">
        <v>0</v>
      </c>
      <c r="AE6293" s="14">
        <f>VLOOKUP(I6293,[2]媒体政策预估表!A:N,MATCH(O6293,[2]媒体政策预估表!$A$2:$M$2,0),0)</f>
        <v>7.0000000000000007E-2</v>
      </c>
      <c r="AF6293" s="6">
        <f t="shared" si="971"/>
        <v>0</v>
      </c>
      <c r="AG6293" s="14">
        <v>0.3</v>
      </c>
      <c r="AH6293" s="6">
        <f t="shared" si="974"/>
        <v>0</v>
      </c>
      <c r="AI6293" s="47"/>
      <c r="AJ6293" s="126" t="e">
        <v>#N/A</v>
      </c>
      <c r="AK6293" s="80">
        <f t="shared" si="978"/>
        <v>0</v>
      </c>
      <c r="AL6293" s="85"/>
      <c r="AM6293" s="85"/>
    </row>
    <row r="6294" spans="1:39" s="86" customFormat="1" ht="13.25" hidden="1" customHeight="1" x14ac:dyDescent="0.3">
      <c r="A6294" s="89" t="s">
        <v>3794</v>
      </c>
      <c r="B6294" s="86" t="s">
        <v>35</v>
      </c>
      <c r="C6294" s="86" t="s">
        <v>36</v>
      </c>
      <c r="D6294" s="86" t="s">
        <v>185</v>
      </c>
      <c r="E6294" s="86" t="s">
        <v>134</v>
      </c>
      <c r="F6294" s="86" t="s">
        <v>134</v>
      </c>
      <c r="G6294" s="86" t="s">
        <v>134</v>
      </c>
      <c r="H6294" s="144">
        <v>237</v>
      </c>
      <c r="I6294" s="86" t="s">
        <v>2374</v>
      </c>
      <c r="J6294" s="1" t="s">
        <v>3322</v>
      </c>
      <c r="K6294" s="1" t="s">
        <v>3269</v>
      </c>
      <c r="L6294" s="1" t="s">
        <v>35</v>
      </c>
      <c r="M6294" s="86" t="s">
        <v>134</v>
      </c>
      <c r="O6294" s="47" t="s">
        <v>40</v>
      </c>
      <c r="P6294" s="47" t="s">
        <v>46</v>
      </c>
      <c r="Q6294" s="14">
        <v>0.03</v>
      </c>
      <c r="R6294" s="143"/>
      <c r="S6294" s="47"/>
      <c r="T6294" s="6">
        <v>308255.45000000007</v>
      </c>
      <c r="U6294" s="6"/>
      <c r="V6294" s="6">
        <v>41.079999999999991</v>
      </c>
      <c r="W6294" s="6">
        <f t="shared" si="972"/>
        <v>308214.37000000005</v>
      </c>
      <c r="X6294" s="6">
        <f t="shared" si="973"/>
        <v>39.883495145631059</v>
      </c>
      <c r="Y6294" s="13">
        <f t="shared" si="976"/>
        <v>39.883495145631059</v>
      </c>
      <c r="Z6294" s="14">
        <v>0</v>
      </c>
      <c r="AA6294" s="6">
        <v>0</v>
      </c>
      <c r="AB6294" s="4">
        <f t="shared" si="977"/>
        <v>39.883495145631059</v>
      </c>
      <c r="AC6294" s="6">
        <f t="shared" si="975"/>
        <v>1.1965048543689321</v>
      </c>
      <c r="AD6294" s="6">
        <v>0</v>
      </c>
      <c r="AE6294" s="14">
        <f>VLOOKUP(I6294,[2]媒体政策预估表!A:N,MATCH(O6294,[2]媒体政策预估表!$A$2:$M$2,0),0)</f>
        <v>0.09</v>
      </c>
      <c r="AF6294" s="6">
        <f t="shared" si="971"/>
        <v>0</v>
      </c>
      <c r="AG6294" s="14">
        <v>0</v>
      </c>
      <c r="AH6294" s="6">
        <f t="shared" si="974"/>
        <v>41.079999999999991</v>
      </c>
      <c r="AI6294" s="47"/>
      <c r="AJ6294" s="126" t="e">
        <v>#N/A</v>
      </c>
      <c r="AK6294" s="80">
        <f t="shared" si="978"/>
        <v>0</v>
      </c>
      <c r="AL6294" s="85"/>
      <c r="AM6294" s="85"/>
    </row>
    <row r="6295" spans="1:39" s="86" customFormat="1" ht="13.25" hidden="1" customHeight="1" x14ac:dyDescent="0.3">
      <c r="A6295" s="89" t="s">
        <v>3794</v>
      </c>
      <c r="B6295" s="86" t="s">
        <v>35</v>
      </c>
      <c r="C6295" s="86" t="s">
        <v>187</v>
      </c>
      <c r="D6295" s="86" t="s">
        <v>188</v>
      </c>
      <c r="E6295" s="86" t="s">
        <v>2439</v>
      </c>
      <c r="F6295" s="86" t="s">
        <v>2439</v>
      </c>
      <c r="G6295" s="86" t="s">
        <v>2439</v>
      </c>
      <c r="H6295" s="143">
        <v>237</v>
      </c>
      <c r="I6295" s="86" t="s">
        <v>2374</v>
      </c>
      <c r="J6295" s="1" t="s">
        <v>3322</v>
      </c>
      <c r="K6295" s="1" t="s">
        <v>3269</v>
      </c>
      <c r="L6295" s="1" t="s">
        <v>35</v>
      </c>
      <c r="M6295" s="86" t="s">
        <v>2438</v>
      </c>
      <c r="O6295" s="47" t="s">
        <v>40</v>
      </c>
      <c r="P6295" s="47" t="s">
        <v>46</v>
      </c>
      <c r="Q6295" s="14">
        <v>0.06</v>
      </c>
      <c r="R6295" s="143"/>
      <c r="S6295" s="47"/>
      <c r="T6295" s="6">
        <v>39593.855999999985</v>
      </c>
      <c r="U6295" s="6"/>
      <c r="V6295" s="6">
        <v>0</v>
      </c>
      <c r="W6295" s="6">
        <f t="shared" si="972"/>
        <v>39593.855999999985</v>
      </c>
      <c r="X6295" s="6">
        <f t="shared" si="973"/>
        <v>0</v>
      </c>
      <c r="Y6295" s="13">
        <f t="shared" si="976"/>
        <v>0</v>
      </c>
      <c r="Z6295" s="14">
        <v>0</v>
      </c>
      <c r="AA6295" s="6">
        <v>0</v>
      </c>
      <c r="AB6295" s="4">
        <f t="shared" si="977"/>
        <v>0</v>
      </c>
      <c r="AC6295" s="6">
        <f t="shared" si="975"/>
        <v>0</v>
      </c>
      <c r="AD6295" s="6">
        <v>0</v>
      </c>
      <c r="AE6295" s="14">
        <f>VLOOKUP(I6295,[2]媒体政策预估表!A:N,MATCH(O6295,[2]媒体政策预估表!$A$2:$M$2,0),0)</f>
        <v>0.09</v>
      </c>
      <c r="AF6295" s="6">
        <f t="shared" si="971"/>
        <v>0</v>
      </c>
      <c r="AG6295" s="14">
        <v>0.4</v>
      </c>
      <c r="AH6295" s="6">
        <f t="shared" si="974"/>
        <v>0</v>
      </c>
      <c r="AI6295" s="47"/>
      <c r="AJ6295" s="126" t="e">
        <v>#N/A</v>
      </c>
      <c r="AK6295" s="80">
        <f t="shared" si="978"/>
        <v>0</v>
      </c>
      <c r="AL6295" s="85"/>
      <c r="AM6295" s="85"/>
    </row>
    <row r="6296" spans="1:39" s="86" customFormat="1" ht="13.25" hidden="1" customHeight="1" x14ac:dyDescent="0.3">
      <c r="A6296" s="89" t="s">
        <v>3792</v>
      </c>
      <c r="B6296" s="86" t="s">
        <v>35</v>
      </c>
      <c r="C6296" s="86" t="s">
        <v>187</v>
      </c>
      <c r="D6296" s="86" t="s">
        <v>188</v>
      </c>
      <c r="E6296" s="86" t="s">
        <v>2513</v>
      </c>
      <c r="F6296" s="86" t="s">
        <v>2513</v>
      </c>
      <c r="G6296" s="86" t="s">
        <v>2513</v>
      </c>
      <c r="H6296" s="143">
        <v>237</v>
      </c>
      <c r="I6296" s="86" t="s">
        <v>2374</v>
      </c>
      <c r="J6296" s="1" t="s">
        <v>3322</v>
      </c>
      <c r="K6296" s="1" t="s">
        <v>3269</v>
      </c>
      <c r="L6296" s="1" t="s">
        <v>35</v>
      </c>
      <c r="M6296" s="86" t="s">
        <v>2438</v>
      </c>
      <c r="O6296" s="47" t="s">
        <v>40</v>
      </c>
      <c r="P6296" s="47" t="s">
        <v>46</v>
      </c>
      <c r="Q6296" s="14">
        <v>0.01</v>
      </c>
      <c r="R6296" s="143"/>
      <c r="S6296" s="47"/>
      <c r="T6296" s="6">
        <v>58070.141999999985</v>
      </c>
      <c r="U6296" s="6"/>
      <c r="V6296" s="6">
        <v>0</v>
      </c>
      <c r="W6296" s="6">
        <f t="shared" si="972"/>
        <v>58070.141999999985</v>
      </c>
      <c r="X6296" s="6">
        <f t="shared" si="973"/>
        <v>0</v>
      </c>
      <c r="Y6296" s="13">
        <f t="shared" si="976"/>
        <v>0</v>
      </c>
      <c r="Z6296" s="14">
        <v>0</v>
      </c>
      <c r="AA6296" s="6">
        <v>0</v>
      </c>
      <c r="AB6296" s="4">
        <f t="shared" si="977"/>
        <v>0</v>
      </c>
      <c r="AC6296" s="6">
        <f t="shared" si="975"/>
        <v>0</v>
      </c>
      <c r="AD6296" s="6">
        <v>0</v>
      </c>
      <c r="AE6296" s="14">
        <f>VLOOKUP(I6296,[2]媒体政策预估表!A:N,MATCH(O6296,[2]媒体政策预估表!$A$2:$M$2,0),0)</f>
        <v>0.09</v>
      </c>
      <c r="AF6296" s="6">
        <f t="shared" si="971"/>
        <v>0</v>
      </c>
      <c r="AG6296" s="14">
        <v>0.4</v>
      </c>
      <c r="AH6296" s="6">
        <f t="shared" si="974"/>
        <v>0</v>
      </c>
      <c r="AI6296" s="47"/>
      <c r="AJ6296" s="126" t="e">
        <v>#N/A</v>
      </c>
      <c r="AK6296" s="80">
        <f t="shared" si="978"/>
        <v>0</v>
      </c>
      <c r="AL6296" s="85"/>
      <c r="AM6296" s="85"/>
    </row>
    <row r="6297" spans="1:39" s="86" customFormat="1" ht="13.25" hidden="1" customHeight="1" x14ac:dyDescent="0.3">
      <c r="A6297" s="89" t="s">
        <v>3794</v>
      </c>
      <c r="B6297" s="86" t="s">
        <v>35</v>
      </c>
      <c r="C6297" s="86" t="s">
        <v>187</v>
      </c>
      <c r="D6297" s="86" t="s">
        <v>188</v>
      </c>
      <c r="E6297" s="86" t="s">
        <v>2460</v>
      </c>
      <c r="F6297" s="86" t="s">
        <v>2460</v>
      </c>
      <c r="G6297" s="86" t="s">
        <v>2460</v>
      </c>
      <c r="H6297" s="143">
        <v>237</v>
      </c>
      <c r="I6297" s="86" t="s">
        <v>2374</v>
      </c>
      <c r="J6297" s="1" t="s">
        <v>3322</v>
      </c>
      <c r="K6297" s="1" t="s">
        <v>3269</v>
      </c>
      <c r="L6297" s="1" t="s">
        <v>35</v>
      </c>
      <c r="M6297" s="86" t="s">
        <v>2438</v>
      </c>
      <c r="O6297" s="47" t="s">
        <v>40</v>
      </c>
      <c r="P6297" s="47" t="s">
        <v>46</v>
      </c>
      <c r="Q6297" s="14">
        <v>0.03</v>
      </c>
      <c r="R6297" s="143"/>
      <c r="S6297" s="47"/>
      <c r="T6297" s="6">
        <v>64050.65330780053</v>
      </c>
      <c r="U6297" s="6"/>
      <c r="V6297" s="6">
        <v>0</v>
      </c>
      <c r="W6297" s="6">
        <f t="shared" si="972"/>
        <v>64050.65330780053</v>
      </c>
      <c r="X6297" s="6">
        <f t="shared" si="973"/>
        <v>0</v>
      </c>
      <c r="Y6297" s="13">
        <f t="shared" si="976"/>
        <v>0</v>
      </c>
      <c r="Z6297" s="14">
        <v>0</v>
      </c>
      <c r="AA6297" s="6">
        <v>0</v>
      </c>
      <c r="AB6297" s="4">
        <f t="shared" si="977"/>
        <v>0</v>
      </c>
      <c r="AC6297" s="6">
        <f t="shared" si="975"/>
        <v>0</v>
      </c>
      <c r="AD6297" s="6">
        <v>0</v>
      </c>
      <c r="AE6297" s="14">
        <f>VLOOKUP(I6297,[2]媒体政策预估表!A:N,MATCH(O6297,[2]媒体政策预估表!$A$2:$M$2,0),0)</f>
        <v>0.09</v>
      </c>
      <c r="AF6297" s="6">
        <f t="shared" si="971"/>
        <v>0</v>
      </c>
      <c r="AG6297" s="14">
        <v>0.4</v>
      </c>
      <c r="AH6297" s="6">
        <f t="shared" si="974"/>
        <v>0</v>
      </c>
      <c r="AI6297" s="47"/>
      <c r="AJ6297" s="126" t="e">
        <v>#N/A</v>
      </c>
      <c r="AK6297" s="80">
        <f t="shared" si="978"/>
        <v>0</v>
      </c>
      <c r="AL6297" s="85"/>
      <c r="AM6297" s="85"/>
    </row>
    <row r="6298" spans="1:39" s="86" customFormat="1" ht="13.25" hidden="1" customHeight="1" x14ac:dyDescent="0.3">
      <c r="A6298" s="89" t="s">
        <v>3792</v>
      </c>
      <c r="B6298" s="86" t="s">
        <v>35</v>
      </c>
      <c r="C6298" s="86" t="s">
        <v>187</v>
      </c>
      <c r="D6298" s="86" t="s">
        <v>188</v>
      </c>
      <c r="E6298" s="86" t="s">
        <v>2460</v>
      </c>
      <c r="F6298" s="86" t="s">
        <v>2460</v>
      </c>
      <c r="G6298" s="86" t="s">
        <v>2460</v>
      </c>
      <c r="H6298" s="143">
        <v>237</v>
      </c>
      <c r="I6298" s="86" t="s">
        <v>2374</v>
      </c>
      <c r="J6298" s="1" t="s">
        <v>3322</v>
      </c>
      <c r="K6298" s="1" t="s">
        <v>3269</v>
      </c>
      <c r="L6298" s="1" t="s">
        <v>35</v>
      </c>
      <c r="M6298" s="86" t="s">
        <v>2438</v>
      </c>
      <c r="O6298" s="47" t="s">
        <v>40</v>
      </c>
      <c r="P6298" s="47" t="s">
        <v>41</v>
      </c>
      <c r="Q6298" s="14">
        <v>0</v>
      </c>
      <c r="R6298" s="143"/>
      <c r="S6298" s="47"/>
      <c r="T6298" s="6">
        <v>-75791.59</v>
      </c>
      <c r="U6298" s="6"/>
      <c r="V6298" s="6">
        <v>0</v>
      </c>
      <c r="W6298" s="6">
        <f t="shared" si="972"/>
        <v>-75791.59</v>
      </c>
      <c r="X6298" s="6">
        <f t="shared" si="973"/>
        <v>0</v>
      </c>
      <c r="Y6298" s="13">
        <f t="shared" si="976"/>
        <v>0</v>
      </c>
      <c r="Z6298" s="14">
        <v>0</v>
      </c>
      <c r="AA6298" s="6">
        <v>0</v>
      </c>
      <c r="AB6298" s="4">
        <f t="shared" si="977"/>
        <v>0</v>
      </c>
      <c r="AC6298" s="6">
        <f t="shared" si="975"/>
        <v>0</v>
      </c>
      <c r="AD6298" s="6">
        <v>0</v>
      </c>
      <c r="AE6298" s="14">
        <f>VLOOKUP(I6298,[2]媒体政策预估表!A:N,MATCH(O6298,[2]媒体政策预估表!$A$2:$M$2,0),0)</f>
        <v>0.09</v>
      </c>
      <c r="AF6298" s="6">
        <f t="shared" si="971"/>
        <v>0</v>
      </c>
      <c r="AG6298" s="14">
        <v>0.4</v>
      </c>
      <c r="AH6298" s="6">
        <f t="shared" si="974"/>
        <v>0</v>
      </c>
      <c r="AI6298" s="47"/>
      <c r="AJ6298" s="126" t="e">
        <v>#N/A</v>
      </c>
      <c r="AK6298" s="80">
        <f t="shared" si="978"/>
        <v>0</v>
      </c>
      <c r="AL6298" s="85"/>
      <c r="AM6298" s="85"/>
    </row>
    <row r="6299" spans="1:39" s="86" customFormat="1" ht="13.25" hidden="1" customHeight="1" x14ac:dyDescent="0.3">
      <c r="A6299" s="89" t="s">
        <v>3792</v>
      </c>
      <c r="B6299" s="86" t="s">
        <v>35</v>
      </c>
      <c r="C6299" s="86" t="s">
        <v>187</v>
      </c>
      <c r="D6299" s="86" t="s">
        <v>188</v>
      </c>
      <c r="E6299" s="86" t="s">
        <v>2514</v>
      </c>
      <c r="F6299" s="86" t="s">
        <v>2514</v>
      </c>
      <c r="G6299" s="86" t="s">
        <v>2514</v>
      </c>
      <c r="H6299" s="143">
        <v>237</v>
      </c>
      <c r="I6299" s="86" t="s">
        <v>2374</v>
      </c>
      <c r="J6299" s="1" t="s">
        <v>3322</v>
      </c>
      <c r="K6299" s="1" t="s">
        <v>3269</v>
      </c>
      <c r="L6299" s="1" t="s">
        <v>35</v>
      </c>
      <c r="M6299" s="86" t="s">
        <v>2438</v>
      </c>
      <c r="O6299" s="47" t="s">
        <v>45</v>
      </c>
      <c r="P6299" s="47" t="s">
        <v>46</v>
      </c>
      <c r="Q6299" s="14">
        <v>7.0000000000000007E-2</v>
      </c>
      <c r="R6299" s="143"/>
      <c r="S6299" s="47"/>
      <c r="T6299" s="6">
        <v>44543.499000000003</v>
      </c>
      <c r="U6299" s="6"/>
      <c r="V6299" s="6">
        <v>0</v>
      </c>
      <c r="W6299" s="6">
        <f t="shared" si="972"/>
        <v>44543.499000000003</v>
      </c>
      <c r="X6299" s="6">
        <f t="shared" si="973"/>
        <v>0</v>
      </c>
      <c r="Y6299" s="13">
        <f t="shared" si="976"/>
        <v>0</v>
      </c>
      <c r="Z6299" s="14">
        <v>0</v>
      </c>
      <c r="AA6299" s="6">
        <v>0</v>
      </c>
      <c r="AB6299" s="4">
        <f t="shared" si="977"/>
        <v>0</v>
      </c>
      <c r="AC6299" s="6">
        <f t="shared" si="975"/>
        <v>0</v>
      </c>
      <c r="AD6299" s="6">
        <v>0</v>
      </c>
      <c r="AE6299" s="14">
        <f>VLOOKUP(I6299,[2]媒体政策预估表!A:N,MATCH(O6299,[2]媒体政策预估表!$A$2:$M$2,0),0)</f>
        <v>7.0000000000000007E-2</v>
      </c>
      <c r="AF6299" s="6">
        <f t="shared" si="971"/>
        <v>0</v>
      </c>
      <c r="AG6299" s="14">
        <v>0.37</v>
      </c>
      <c r="AH6299" s="6">
        <f t="shared" si="974"/>
        <v>0</v>
      </c>
      <c r="AI6299" s="47"/>
      <c r="AJ6299" s="126" t="e">
        <v>#N/A</v>
      </c>
      <c r="AK6299" s="80">
        <f t="shared" si="978"/>
        <v>0</v>
      </c>
      <c r="AL6299" s="85"/>
      <c r="AM6299" s="85"/>
    </row>
    <row r="6300" spans="1:39" s="86" customFormat="1" ht="13.25" hidden="1" customHeight="1" x14ac:dyDescent="0.3">
      <c r="A6300" s="89" t="s">
        <v>3792</v>
      </c>
      <c r="B6300" s="86" t="s">
        <v>35</v>
      </c>
      <c r="C6300" s="86" t="s">
        <v>36</v>
      </c>
      <c r="D6300" s="86" t="s">
        <v>185</v>
      </c>
      <c r="E6300" s="86" t="s">
        <v>3702</v>
      </c>
      <c r="F6300" s="86" t="s">
        <v>3702</v>
      </c>
      <c r="G6300" s="86" t="s">
        <v>3702</v>
      </c>
      <c r="H6300" s="144">
        <v>237</v>
      </c>
      <c r="I6300" s="86" t="s">
        <v>2374</v>
      </c>
      <c r="J6300" s="1" t="s">
        <v>3322</v>
      </c>
      <c r="K6300" s="1" t="s">
        <v>3269</v>
      </c>
      <c r="L6300" s="1" t="s">
        <v>35</v>
      </c>
      <c r="M6300" s="86" t="s">
        <v>2515</v>
      </c>
      <c r="O6300" s="47" t="s">
        <v>45</v>
      </c>
      <c r="P6300" s="47" t="s">
        <v>46</v>
      </c>
      <c r="Q6300" s="14">
        <v>0.03</v>
      </c>
      <c r="R6300" s="143"/>
      <c r="S6300" s="47"/>
      <c r="T6300" s="6">
        <v>26945.29</v>
      </c>
      <c r="U6300" s="6"/>
      <c r="V6300" s="6">
        <v>8236.9000000000015</v>
      </c>
      <c r="W6300" s="6">
        <f t="shared" si="972"/>
        <v>18708.39</v>
      </c>
      <c r="X6300" s="6">
        <f t="shared" si="973"/>
        <v>7996.9902912621374</v>
      </c>
      <c r="Y6300" s="13">
        <f t="shared" si="976"/>
        <v>7996.9902912621374</v>
      </c>
      <c r="Z6300" s="14">
        <v>0</v>
      </c>
      <c r="AA6300" s="6">
        <v>0</v>
      </c>
      <c r="AB6300" s="4">
        <f t="shared" si="977"/>
        <v>7996.9902912621374</v>
      </c>
      <c r="AC6300" s="6">
        <f t="shared" si="975"/>
        <v>239.90970873786409</v>
      </c>
      <c r="AD6300" s="6">
        <v>0</v>
      </c>
      <c r="AE6300" s="14">
        <f>VLOOKUP(I6300,[2]媒体政策预估表!A:N,MATCH(O6300,[2]媒体政策预估表!$A$2:$M$2,0),0)</f>
        <v>7.0000000000000007E-2</v>
      </c>
      <c r="AF6300" s="6">
        <f t="shared" si="971"/>
        <v>0</v>
      </c>
      <c r="AG6300" s="14">
        <v>0</v>
      </c>
      <c r="AH6300" s="6">
        <f t="shared" si="974"/>
        <v>8236.9000000000015</v>
      </c>
      <c r="AI6300" s="47"/>
      <c r="AJ6300" s="126" t="e">
        <v>#N/A</v>
      </c>
      <c r="AK6300" s="80">
        <f t="shared" si="978"/>
        <v>0</v>
      </c>
      <c r="AL6300" s="85"/>
      <c r="AM6300" s="85"/>
    </row>
    <row r="6301" spans="1:39" s="86" customFormat="1" ht="13.25" hidden="1" customHeight="1" x14ac:dyDescent="0.3">
      <c r="A6301" s="89" t="s">
        <v>3792</v>
      </c>
      <c r="B6301" s="86" t="s">
        <v>35</v>
      </c>
      <c r="C6301" s="86" t="s">
        <v>47</v>
      </c>
      <c r="D6301" s="86" t="s">
        <v>63</v>
      </c>
      <c r="E6301" s="86" t="s">
        <v>2477</v>
      </c>
      <c r="F6301" s="86" t="s">
        <v>2516</v>
      </c>
      <c r="G6301" s="86" t="s">
        <v>2477</v>
      </c>
      <c r="H6301" s="143">
        <v>237</v>
      </c>
      <c r="I6301" s="86" t="s">
        <v>2374</v>
      </c>
      <c r="J6301" s="1" t="s">
        <v>3322</v>
      </c>
      <c r="K6301" s="1" t="s">
        <v>3269</v>
      </c>
      <c r="L6301" s="1" t="s">
        <v>35</v>
      </c>
      <c r="M6301" s="86" t="s">
        <v>2479</v>
      </c>
      <c r="O6301" s="47" t="s">
        <v>45</v>
      </c>
      <c r="P6301" s="47" t="s">
        <v>46</v>
      </c>
      <c r="Q6301" s="14">
        <v>0.05</v>
      </c>
      <c r="R6301" s="143"/>
      <c r="S6301" s="47"/>
      <c r="T6301" s="6">
        <v>0.63999999994848622</v>
      </c>
      <c r="U6301" s="6"/>
      <c r="V6301" s="6">
        <v>0</v>
      </c>
      <c r="W6301" s="6">
        <f t="shared" si="972"/>
        <v>0.63999999994848622</v>
      </c>
      <c r="X6301" s="6">
        <f t="shared" si="973"/>
        <v>0</v>
      </c>
      <c r="Y6301" s="13">
        <f t="shared" si="976"/>
        <v>0</v>
      </c>
      <c r="Z6301" s="14">
        <v>0</v>
      </c>
      <c r="AA6301" s="6">
        <v>0</v>
      </c>
      <c r="AB6301" s="4">
        <f t="shared" si="977"/>
        <v>0</v>
      </c>
      <c r="AC6301" s="6">
        <f t="shared" si="975"/>
        <v>0</v>
      </c>
      <c r="AD6301" s="6">
        <v>0</v>
      </c>
      <c r="AE6301" s="14">
        <f>VLOOKUP(I6301,[2]媒体政策预估表!A:N,MATCH(O6301,[2]媒体政策预估表!$A$2:$M$2,0),0)</f>
        <v>7.0000000000000007E-2</v>
      </c>
      <c r="AF6301" s="6">
        <f t="shared" si="971"/>
        <v>0</v>
      </c>
      <c r="AG6301" s="14">
        <v>0</v>
      </c>
      <c r="AH6301" s="6">
        <f t="shared" si="974"/>
        <v>0</v>
      </c>
      <c r="AI6301" s="47"/>
      <c r="AJ6301" s="126" t="e">
        <v>#N/A</v>
      </c>
      <c r="AK6301" s="80">
        <f t="shared" si="978"/>
        <v>0</v>
      </c>
      <c r="AL6301" s="85"/>
      <c r="AM6301" s="85"/>
    </row>
    <row r="6302" spans="1:39" s="86" customFormat="1" ht="13.25" hidden="1" customHeight="1" x14ac:dyDescent="0.3">
      <c r="A6302" s="89" t="s">
        <v>3794</v>
      </c>
      <c r="B6302" s="86" t="s">
        <v>35</v>
      </c>
      <c r="C6302" s="86" t="s">
        <v>65</v>
      </c>
      <c r="D6302" s="86" t="s">
        <v>66</v>
      </c>
      <c r="E6302" s="86" t="s">
        <v>132</v>
      </c>
      <c r="F6302" s="86" t="s">
        <v>132</v>
      </c>
      <c r="G6302" s="86" t="s">
        <v>132</v>
      </c>
      <c r="H6302" s="143">
        <v>237</v>
      </c>
      <c r="I6302" s="86" t="s">
        <v>2374</v>
      </c>
      <c r="J6302" s="1" t="s">
        <v>3322</v>
      </c>
      <c r="K6302" s="1" t="s">
        <v>3269</v>
      </c>
      <c r="L6302" s="1" t="s">
        <v>35</v>
      </c>
      <c r="M6302" s="86" t="s">
        <v>894</v>
      </c>
      <c r="O6302" s="47" t="s">
        <v>45</v>
      </c>
      <c r="P6302" s="47" t="s">
        <v>41</v>
      </c>
      <c r="Q6302" s="14">
        <v>0</v>
      </c>
      <c r="R6302" s="143"/>
      <c r="S6302" s="47"/>
      <c r="T6302" s="6">
        <v>-73.039199996477691</v>
      </c>
      <c r="U6302" s="6"/>
      <c r="V6302" s="6">
        <v>0</v>
      </c>
      <c r="W6302" s="6">
        <f t="shared" si="972"/>
        <v>-73.039199996477691</v>
      </c>
      <c r="X6302" s="6">
        <f t="shared" si="973"/>
        <v>0</v>
      </c>
      <c r="Y6302" s="13">
        <f t="shared" si="976"/>
        <v>0</v>
      </c>
      <c r="Z6302" s="14">
        <v>0</v>
      </c>
      <c r="AA6302" s="6">
        <v>0</v>
      </c>
      <c r="AB6302" s="4">
        <f t="shared" si="977"/>
        <v>0</v>
      </c>
      <c r="AC6302" s="6">
        <f t="shared" si="975"/>
        <v>0</v>
      </c>
      <c r="AD6302" s="6">
        <v>0</v>
      </c>
      <c r="AE6302" s="14">
        <f>VLOOKUP(I6302,[2]媒体政策预估表!A:N,MATCH(O6302,[2]媒体政策预估表!$A$2:$M$2,0),0)</f>
        <v>7.0000000000000007E-2</v>
      </c>
      <c r="AF6302" s="6">
        <f t="shared" si="971"/>
        <v>0</v>
      </c>
      <c r="AG6302" s="14">
        <v>0.24</v>
      </c>
      <c r="AH6302" s="6">
        <f t="shared" si="974"/>
        <v>0</v>
      </c>
      <c r="AI6302" s="47"/>
      <c r="AJ6302" s="126" t="e">
        <v>#N/A</v>
      </c>
      <c r="AK6302" s="80">
        <f t="shared" si="978"/>
        <v>0</v>
      </c>
      <c r="AL6302" s="85"/>
      <c r="AM6302" s="85"/>
    </row>
    <row r="6303" spans="1:39" s="86" customFormat="1" ht="13.25" hidden="1" customHeight="1" x14ac:dyDescent="0.3">
      <c r="A6303" s="89" t="s">
        <v>3794</v>
      </c>
      <c r="B6303" s="86" t="s">
        <v>35</v>
      </c>
      <c r="C6303" s="86" t="s">
        <v>187</v>
      </c>
      <c r="D6303" s="86" t="s">
        <v>188</v>
      </c>
      <c r="E6303" s="86" t="s">
        <v>280</v>
      </c>
      <c r="F6303" s="86" t="s">
        <v>280</v>
      </c>
      <c r="G6303" s="86" t="s">
        <v>280</v>
      </c>
      <c r="H6303" s="143">
        <v>237</v>
      </c>
      <c r="I6303" s="86" t="s">
        <v>2374</v>
      </c>
      <c r="J6303" s="1" t="s">
        <v>3322</v>
      </c>
      <c r="K6303" s="1" t="s">
        <v>3269</v>
      </c>
      <c r="L6303" s="1" t="s">
        <v>35</v>
      </c>
      <c r="M6303" s="86" t="s">
        <v>2438</v>
      </c>
      <c r="O6303" s="47" t="s">
        <v>40</v>
      </c>
      <c r="P6303" s="47" t="s">
        <v>46</v>
      </c>
      <c r="Q6303" s="14">
        <v>0.01</v>
      </c>
      <c r="R6303" s="143"/>
      <c r="S6303" s="47"/>
      <c r="T6303" s="6">
        <v>3.19999999992433E-2</v>
      </c>
      <c r="U6303" s="6"/>
      <c r="V6303" s="6">
        <v>0</v>
      </c>
      <c r="W6303" s="6">
        <f t="shared" si="972"/>
        <v>3.19999999992433E-2</v>
      </c>
      <c r="X6303" s="6">
        <f t="shared" si="973"/>
        <v>0</v>
      </c>
      <c r="Y6303" s="13">
        <f t="shared" si="976"/>
        <v>0</v>
      </c>
      <c r="Z6303" s="14">
        <v>0</v>
      </c>
      <c r="AA6303" s="6">
        <v>0</v>
      </c>
      <c r="AB6303" s="4">
        <f t="shared" si="977"/>
        <v>0</v>
      </c>
      <c r="AC6303" s="6">
        <f t="shared" si="975"/>
        <v>0</v>
      </c>
      <c r="AD6303" s="6">
        <v>0</v>
      </c>
      <c r="AE6303" s="14">
        <f>VLOOKUP(I6303,[2]媒体政策预估表!A:N,MATCH(O6303,[2]媒体政策预估表!$A$2:$M$2,0),0)</f>
        <v>0.09</v>
      </c>
      <c r="AF6303" s="6">
        <f t="shared" si="971"/>
        <v>0</v>
      </c>
      <c r="AG6303" s="14">
        <v>0.4</v>
      </c>
      <c r="AH6303" s="6">
        <f t="shared" si="974"/>
        <v>0</v>
      </c>
      <c r="AI6303" s="47"/>
      <c r="AJ6303" s="126" t="e">
        <v>#N/A</v>
      </c>
      <c r="AK6303" s="80">
        <f t="shared" si="978"/>
        <v>0</v>
      </c>
      <c r="AL6303" s="85"/>
      <c r="AM6303" s="85"/>
    </row>
    <row r="6304" spans="1:39" s="86" customFormat="1" ht="13.25" hidden="1" customHeight="1" x14ac:dyDescent="0.3">
      <c r="A6304" s="89" t="s">
        <v>3792</v>
      </c>
      <c r="B6304" s="86" t="s">
        <v>35</v>
      </c>
      <c r="C6304" s="86" t="s">
        <v>187</v>
      </c>
      <c r="D6304" s="86" t="s">
        <v>188</v>
      </c>
      <c r="E6304" s="86" t="s">
        <v>2517</v>
      </c>
      <c r="F6304" s="86" t="s">
        <v>2517</v>
      </c>
      <c r="G6304" s="86" t="s">
        <v>2517</v>
      </c>
      <c r="H6304" s="143">
        <v>237</v>
      </c>
      <c r="I6304" s="86" t="s">
        <v>2374</v>
      </c>
      <c r="J6304" s="1" t="s">
        <v>3322</v>
      </c>
      <c r="K6304" s="1" t="s">
        <v>3269</v>
      </c>
      <c r="L6304" s="1" t="s">
        <v>35</v>
      </c>
      <c r="M6304" s="86" t="s">
        <v>2438</v>
      </c>
      <c r="O6304" s="47" t="s">
        <v>40</v>
      </c>
      <c r="P6304" s="47" t="s">
        <v>46</v>
      </c>
      <c r="Q6304" s="14">
        <v>7.0000000000000007E-2</v>
      </c>
      <c r="R6304" s="143"/>
      <c r="S6304" s="47"/>
      <c r="T6304" s="6">
        <v>112948.92999999998</v>
      </c>
      <c r="U6304" s="6"/>
      <c r="V6304" s="6">
        <v>0</v>
      </c>
      <c r="W6304" s="6">
        <f t="shared" si="972"/>
        <v>112948.92999999998</v>
      </c>
      <c r="X6304" s="6">
        <f t="shared" si="973"/>
        <v>0</v>
      </c>
      <c r="Y6304" s="13">
        <f t="shared" si="976"/>
        <v>0</v>
      </c>
      <c r="Z6304" s="14">
        <v>0</v>
      </c>
      <c r="AA6304" s="6">
        <v>0</v>
      </c>
      <c r="AB6304" s="4">
        <f t="shared" si="977"/>
        <v>0</v>
      </c>
      <c r="AC6304" s="6">
        <f t="shared" si="975"/>
        <v>0</v>
      </c>
      <c r="AD6304" s="6">
        <v>0</v>
      </c>
      <c r="AE6304" s="14">
        <f>VLOOKUP(I6304,[2]媒体政策预估表!A:N,MATCH(O6304,[2]媒体政策预估表!$A$2:$M$2,0),0)</f>
        <v>0.09</v>
      </c>
      <c r="AF6304" s="6">
        <f t="shared" si="971"/>
        <v>0</v>
      </c>
      <c r="AG6304" s="14">
        <v>0.4</v>
      </c>
      <c r="AH6304" s="6">
        <f t="shared" si="974"/>
        <v>0</v>
      </c>
      <c r="AI6304" s="47"/>
      <c r="AJ6304" s="126" t="e">
        <v>#N/A</v>
      </c>
      <c r="AK6304" s="80">
        <f t="shared" si="978"/>
        <v>0</v>
      </c>
      <c r="AL6304" s="85"/>
      <c r="AM6304" s="85"/>
    </row>
    <row r="6305" spans="1:39" s="86" customFormat="1" ht="13.25" hidden="1" customHeight="1" x14ac:dyDescent="0.3">
      <c r="A6305" s="89" t="s">
        <v>3794</v>
      </c>
      <c r="B6305" s="86" t="s">
        <v>35</v>
      </c>
      <c r="C6305" s="86" t="s">
        <v>187</v>
      </c>
      <c r="D6305" s="86" t="s">
        <v>188</v>
      </c>
      <c r="E6305" s="86" t="s">
        <v>2504</v>
      </c>
      <c r="F6305" s="86" t="s">
        <v>2505</v>
      </c>
      <c r="G6305" s="86" t="s">
        <v>2504</v>
      </c>
      <c r="H6305" s="143">
        <v>237</v>
      </c>
      <c r="I6305" s="86" t="s">
        <v>2374</v>
      </c>
      <c r="J6305" s="1" t="s">
        <v>3322</v>
      </c>
      <c r="K6305" s="1" t="s">
        <v>3269</v>
      </c>
      <c r="L6305" s="1" t="s">
        <v>35</v>
      </c>
      <c r="M6305" s="86" t="s">
        <v>2504</v>
      </c>
      <c r="O6305" s="47" t="s">
        <v>45</v>
      </c>
      <c r="P6305" s="47" t="s">
        <v>46</v>
      </c>
      <c r="Q6305" s="14">
        <v>0.03</v>
      </c>
      <c r="R6305" s="143"/>
      <c r="S6305" s="47"/>
      <c r="T6305" s="6">
        <v>48080.9</v>
      </c>
      <c r="U6305" s="6"/>
      <c r="V6305" s="6">
        <v>0</v>
      </c>
      <c r="W6305" s="6">
        <f t="shared" si="972"/>
        <v>48080.9</v>
      </c>
      <c r="X6305" s="6">
        <f t="shared" si="973"/>
        <v>0</v>
      </c>
      <c r="Y6305" s="13">
        <f t="shared" si="976"/>
        <v>0</v>
      </c>
      <c r="Z6305" s="14">
        <v>0</v>
      </c>
      <c r="AA6305" s="6">
        <v>0</v>
      </c>
      <c r="AB6305" s="4">
        <f t="shared" si="977"/>
        <v>0</v>
      </c>
      <c r="AC6305" s="6">
        <f t="shared" si="975"/>
        <v>0</v>
      </c>
      <c r="AD6305" s="6">
        <v>0</v>
      </c>
      <c r="AE6305" s="14">
        <f>VLOOKUP(I6305,[2]媒体政策预估表!A:N,MATCH(O6305,[2]媒体政策预估表!$A$2:$M$2,0),0)</f>
        <v>7.0000000000000007E-2</v>
      </c>
      <c r="AF6305" s="6">
        <f t="shared" si="971"/>
        <v>0</v>
      </c>
      <c r="AG6305" s="14">
        <v>0.1</v>
      </c>
      <c r="AH6305" s="6">
        <f t="shared" si="974"/>
        <v>0</v>
      </c>
      <c r="AI6305" s="47"/>
      <c r="AJ6305" s="126" t="e">
        <v>#N/A</v>
      </c>
      <c r="AK6305" s="80">
        <f t="shared" si="978"/>
        <v>0</v>
      </c>
      <c r="AL6305" s="85"/>
      <c r="AM6305" s="85"/>
    </row>
    <row r="6306" spans="1:39" s="86" customFormat="1" ht="13.25" hidden="1" customHeight="1" x14ac:dyDescent="0.3">
      <c r="A6306" s="89" t="s">
        <v>3794</v>
      </c>
      <c r="B6306" s="86" t="s">
        <v>35</v>
      </c>
      <c r="C6306" s="86" t="s">
        <v>184</v>
      </c>
      <c r="D6306" s="86" t="s">
        <v>3849</v>
      </c>
      <c r="E6306" s="86" t="s">
        <v>2429</v>
      </c>
      <c r="F6306" s="86" t="s">
        <v>2429</v>
      </c>
      <c r="G6306" s="86" t="s">
        <v>2429</v>
      </c>
      <c r="H6306" s="143">
        <v>237</v>
      </c>
      <c r="I6306" s="86" t="s">
        <v>2374</v>
      </c>
      <c r="J6306" s="1" t="s">
        <v>3322</v>
      </c>
      <c r="K6306" s="1" t="s">
        <v>3269</v>
      </c>
      <c r="L6306" s="1" t="s">
        <v>35</v>
      </c>
      <c r="M6306" s="86" t="s">
        <v>2430</v>
      </c>
      <c r="O6306" s="47" t="s">
        <v>410</v>
      </c>
      <c r="P6306" s="47" t="s">
        <v>41</v>
      </c>
      <c r="Q6306" s="14">
        <v>0</v>
      </c>
      <c r="R6306" s="143"/>
      <c r="S6306" s="47"/>
      <c r="T6306" s="6">
        <v>0.56000000005587935</v>
      </c>
      <c r="U6306" s="6"/>
      <c r="V6306" s="6">
        <v>0</v>
      </c>
      <c r="W6306" s="6">
        <f t="shared" si="972"/>
        <v>0.56000000005587935</v>
      </c>
      <c r="X6306" s="6">
        <f t="shared" si="973"/>
        <v>0</v>
      </c>
      <c r="Y6306" s="13">
        <f t="shared" si="976"/>
        <v>0</v>
      </c>
      <c r="Z6306" s="14">
        <v>0</v>
      </c>
      <c r="AA6306" s="6">
        <v>0</v>
      </c>
      <c r="AB6306" s="4">
        <f t="shared" si="977"/>
        <v>0</v>
      </c>
      <c r="AC6306" s="6">
        <f t="shared" si="975"/>
        <v>0</v>
      </c>
      <c r="AD6306" s="6">
        <v>0</v>
      </c>
      <c r="AE6306" s="14">
        <f>VLOOKUP(I6306,[2]媒体政策预估表!A:N,MATCH(O6306,[2]媒体政策预估表!$A$2:$M$2,0),0)</f>
        <v>0</v>
      </c>
      <c r="AF6306" s="6">
        <f t="shared" si="971"/>
        <v>0</v>
      </c>
      <c r="AG6306" s="14">
        <v>0.06</v>
      </c>
      <c r="AH6306" s="6">
        <f t="shared" si="974"/>
        <v>0</v>
      </c>
      <c r="AI6306" s="47"/>
      <c r="AJ6306" s="126" t="e">
        <v>#N/A</v>
      </c>
      <c r="AK6306" s="80">
        <f t="shared" si="978"/>
        <v>0</v>
      </c>
      <c r="AL6306" s="85"/>
      <c r="AM6306" s="85"/>
    </row>
    <row r="6307" spans="1:39" s="86" customFormat="1" ht="13.25" hidden="1" customHeight="1" x14ac:dyDescent="0.3">
      <c r="A6307" s="89" t="s">
        <v>3792</v>
      </c>
      <c r="B6307" s="86" t="s">
        <v>35</v>
      </c>
      <c r="C6307" s="86" t="s">
        <v>65</v>
      </c>
      <c r="D6307" s="86" t="s">
        <v>66</v>
      </c>
      <c r="E6307" s="86" t="s">
        <v>2474</v>
      </c>
      <c r="F6307" s="86" t="s">
        <v>2520</v>
      </c>
      <c r="G6307" s="86" t="s">
        <v>2520</v>
      </c>
      <c r="H6307" s="144">
        <v>237</v>
      </c>
      <c r="I6307" s="86" t="s">
        <v>2374</v>
      </c>
      <c r="J6307" s="1" t="s">
        <v>3322</v>
      </c>
      <c r="K6307" s="1" t="s">
        <v>3269</v>
      </c>
      <c r="L6307" s="1" t="s">
        <v>35</v>
      </c>
      <c r="M6307" s="86" t="s">
        <v>2520</v>
      </c>
      <c r="O6307" s="47" t="s">
        <v>45</v>
      </c>
      <c r="P6307" s="47" t="s">
        <v>41</v>
      </c>
      <c r="Q6307" s="14">
        <v>0</v>
      </c>
      <c r="R6307" s="143"/>
      <c r="S6307" s="47"/>
      <c r="T6307" s="6">
        <v>43099.639999999992</v>
      </c>
      <c r="U6307" s="6"/>
      <c r="V6307" s="6">
        <v>5712.42</v>
      </c>
      <c r="W6307" s="6">
        <f t="shared" si="972"/>
        <v>37387.219999999994</v>
      </c>
      <c r="X6307" s="6">
        <f t="shared" si="973"/>
        <v>5712.42</v>
      </c>
      <c r="Y6307" s="13">
        <f t="shared" si="976"/>
        <v>0</v>
      </c>
      <c r="Z6307" s="14">
        <v>0</v>
      </c>
      <c r="AA6307" s="6">
        <v>0</v>
      </c>
      <c r="AB6307" s="4">
        <f t="shared" si="977"/>
        <v>5712.42</v>
      </c>
      <c r="AC6307" s="6">
        <f t="shared" si="975"/>
        <v>0</v>
      </c>
      <c r="AD6307" s="6">
        <v>5712.42</v>
      </c>
      <c r="AE6307" s="14">
        <f>VLOOKUP(I6307,[2]媒体政策预估表!A:N,MATCH(O6307,[2]媒体政策预估表!$A$2:$M$2,0),0)</f>
        <v>7.0000000000000007E-2</v>
      </c>
      <c r="AF6307" s="6">
        <f t="shared" si="971"/>
        <v>399.86940000000004</v>
      </c>
      <c r="AG6307" s="14">
        <v>0</v>
      </c>
      <c r="AH6307" s="6">
        <f t="shared" si="974"/>
        <v>5712.42</v>
      </c>
      <c r="AI6307" s="47"/>
      <c r="AJ6307" s="126" t="e">
        <v>#N/A</v>
      </c>
      <c r="AK6307" s="80">
        <f t="shared" si="978"/>
        <v>0</v>
      </c>
      <c r="AL6307" s="85"/>
      <c r="AM6307" s="85"/>
    </row>
    <row r="6308" spans="1:39" s="86" customFormat="1" ht="13.25" hidden="1" customHeight="1" x14ac:dyDescent="0.3">
      <c r="A6308" s="89" t="s">
        <v>3792</v>
      </c>
      <c r="B6308" s="86" t="s">
        <v>35</v>
      </c>
      <c r="C6308" s="86" t="s">
        <v>36</v>
      </c>
      <c r="D6308" s="86" t="s">
        <v>185</v>
      </c>
      <c r="E6308" s="86" t="s">
        <v>2393</v>
      </c>
      <c r="F6308" s="86" t="s">
        <v>2394</v>
      </c>
      <c r="G6308" s="86" t="s">
        <v>2393</v>
      </c>
      <c r="H6308" s="143">
        <v>237</v>
      </c>
      <c r="I6308" s="86" t="s">
        <v>2374</v>
      </c>
      <c r="J6308" s="1" t="s">
        <v>3322</v>
      </c>
      <c r="K6308" s="1" t="s">
        <v>3269</v>
      </c>
      <c r="L6308" s="1" t="s">
        <v>35</v>
      </c>
      <c r="M6308" s="86" t="s">
        <v>2396</v>
      </c>
      <c r="O6308" s="47" t="s">
        <v>40</v>
      </c>
      <c r="P6308" s="47" t="s">
        <v>46</v>
      </c>
      <c r="Q6308" s="14">
        <v>5.5E-2</v>
      </c>
      <c r="R6308" s="143"/>
      <c r="S6308" s="47"/>
      <c r="T6308" s="6">
        <v>52750</v>
      </c>
      <c r="U6308" s="6"/>
      <c r="V6308" s="6">
        <v>0</v>
      </c>
      <c r="W6308" s="6">
        <f t="shared" si="972"/>
        <v>52750</v>
      </c>
      <c r="X6308" s="6">
        <f t="shared" si="973"/>
        <v>0</v>
      </c>
      <c r="Y6308" s="13">
        <f t="shared" si="976"/>
        <v>0</v>
      </c>
      <c r="Z6308" s="14">
        <v>0</v>
      </c>
      <c r="AA6308" s="6">
        <v>0</v>
      </c>
      <c r="AB6308" s="4">
        <f t="shared" si="977"/>
        <v>0</v>
      </c>
      <c r="AC6308" s="6">
        <f t="shared" si="975"/>
        <v>0</v>
      </c>
      <c r="AD6308" s="6">
        <v>0</v>
      </c>
      <c r="AE6308" s="14">
        <f>VLOOKUP(I6308,[2]媒体政策预估表!A:N,MATCH(O6308,[2]媒体政策预估表!$A$2:$M$2,0),0)</f>
        <v>0.09</v>
      </c>
      <c r="AF6308" s="6">
        <f t="shared" ref="AF6308:AF6371" si="979">AD6308*AE6308</f>
        <v>0</v>
      </c>
      <c r="AG6308" s="14">
        <v>0</v>
      </c>
      <c r="AH6308" s="6">
        <f t="shared" si="974"/>
        <v>0</v>
      </c>
      <c r="AI6308" s="47"/>
      <c r="AJ6308" s="126" t="e">
        <v>#N/A</v>
      </c>
      <c r="AK6308" s="80">
        <f t="shared" si="978"/>
        <v>0</v>
      </c>
      <c r="AL6308" s="85"/>
      <c r="AM6308" s="85"/>
    </row>
    <row r="6309" spans="1:39" s="86" customFormat="1" ht="13.25" hidden="1" customHeight="1" x14ac:dyDescent="0.3">
      <c r="A6309" s="89" t="s">
        <v>3794</v>
      </c>
      <c r="B6309" s="86" t="s">
        <v>35</v>
      </c>
      <c r="C6309" s="86" t="s">
        <v>36</v>
      </c>
      <c r="D6309" s="86" t="s">
        <v>185</v>
      </c>
      <c r="E6309" s="86" t="s">
        <v>2418</v>
      </c>
      <c r="F6309" s="86" t="s">
        <v>2419</v>
      </c>
      <c r="G6309" s="86" t="s">
        <v>2418</v>
      </c>
      <c r="H6309" s="143">
        <v>237</v>
      </c>
      <c r="I6309" s="86" t="s">
        <v>2374</v>
      </c>
      <c r="J6309" s="1" t="s">
        <v>3322</v>
      </c>
      <c r="K6309" s="1" t="s">
        <v>3269</v>
      </c>
      <c r="L6309" s="1" t="s">
        <v>35</v>
      </c>
      <c r="M6309" s="86" t="s">
        <v>2420</v>
      </c>
      <c r="O6309" s="47" t="s">
        <v>410</v>
      </c>
      <c r="P6309" s="47" t="s">
        <v>46</v>
      </c>
      <c r="Q6309" s="14">
        <v>5.5E-2</v>
      </c>
      <c r="R6309" s="143"/>
      <c r="S6309" s="47"/>
      <c r="T6309" s="6">
        <v>-1129904.6889999984</v>
      </c>
      <c r="U6309" s="6"/>
      <c r="V6309" s="6">
        <v>0</v>
      </c>
      <c r="W6309" s="6">
        <f t="shared" si="972"/>
        <v>-1129904.6889999984</v>
      </c>
      <c r="X6309" s="6">
        <f t="shared" si="973"/>
        <v>0</v>
      </c>
      <c r="Y6309" s="13">
        <f t="shared" si="976"/>
        <v>0</v>
      </c>
      <c r="Z6309" s="14">
        <v>0</v>
      </c>
      <c r="AA6309" s="6">
        <v>0</v>
      </c>
      <c r="AB6309" s="4">
        <f t="shared" si="977"/>
        <v>0</v>
      </c>
      <c r="AC6309" s="6">
        <f t="shared" si="975"/>
        <v>0</v>
      </c>
      <c r="AD6309" s="6">
        <v>0</v>
      </c>
      <c r="AE6309" s="14">
        <f>VLOOKUP(I6309,[2]媒体政策预估表!A:N,MATCH(O6309,[2]媒体政策预估表!$A$2:$M$2,0),0)</f>
        <v>0</v>
      </c>
      <c r="AF6309" s="6">
        <f t="shared" si="979"/>
        <v>0</v>
      </c>
      <c r="AG6309" s="14">
        <v>0.3</v>
      </c>
      <c r="AH6309" s="6">
        <f t="shared" si="974"/>
        <v>0</v>
      </c>
      <c r="AI6309" s="47"/>
      <c r="AJ6309" s="126" t="e">
        <v>#N/A</v>
      </c>
      <c r="AK6309" s="80">
        <f t="shared" si="978"/>
        <v>0</v>
      </c>
      <c r="AL6309" s="85"/>
      <c r="AM6309" s="85"/>
    </row>
    <row r="6310" spans="1:39" s="86" customFormat="1" ht="13.25" hidden="1" customHeight="1" x14ac:dyDescent="0.3">
      <c r="A6310" s="89" t="s">
        <v>3794</v>
      </c>
      <c r="B6310" s="86" t="s">
        <v>35</v>
      </c>
      <c r="C6310" s="86" t="s">
        <v>65</v>
      </c>
      <c r="D6310" s="86" t="s">
        <v>66</v>
      </c>
      <c r="E6310" s="86" t="s">
        <v>132</v>
      </c>
      <c r="F6310" s="86" t="s">
        <v>132</v>
      </c>
      <c r="G6310" s="86" t="s">
        <v>132</v>
      </c>
      <c r="H6310" s="143">
        <v>237</v>
      </c>
      <c r="I6310" s="86" t="s">
        <v>2374</v>
      </c>
      <c r="J6310" s="1" t="s">
        <v>3322</v>
      </c>
      <c r="K6310" s="1" t="s">
        <v>3269</v>
      </c>
      <c r="L6310" s="1" t="s">
        <v>35</v>
      </c>
      <c r="M6310" s="86" t="s">
        <v>894</v>
      </c>
      <c r="O6310" s="47" t="s">
        <v>410</v>
      </c>
      <c r="P6310" s="47" t="s">
        <v>41</v>
      </c>
      <c r="Q6310" s="14">
        <v>0</v>
      </c>
      <c r="R6310" s="143"/>
      <c r="S6310" s="47"/>
      <c r="T6310" s="6">
        <v>39643.97159999999</v>
      </c>
      <c r="U6310" s="6"/>
      <c r="V6310" s="6">
        <v>0</v>
      </c>
      <c r="W6310" s="6">
        <f t="shared" si="972"/>
        <v>39643.97159999999</v>
      </c>
      <c r="X6310" s="6">
        <f t="shared" si="973"/>
        <v>0</v>
      </c>
      <c r="Y6310" s="13">
        <f t="shared" si="976"/>
        <v>0</v>
      </c>
      <c r="Z6310" s="14">
        <v>0</v>
      </c>
      <c r="AA6310" s="6">
        <v>0</v>
      </c>
      <c r="AB6310" s="4">
        <f t="shared" si="977"/>
        <v>0</v>
      </c>
      <c r="AC6310" s="6">
        <f t="shared" si="975"/>
        <v>0</v>
      </c>
      <c r="AD6310" s="6">
        <v>0</v>
      </c>
      <c r="AE6310" s="14">
        <f>VLOOKUP(I6310,[2]媒体政策预估表!A:N,MATCH(O6310,[2]媒体政策预估表!$A$2:$M$2,0),0)</f>
        <v>0</v>
      </c>
      <c r="AF6310" s="6">
        <f t="shared" si="979"/>
        <v>0</v>
      </c>
      <c r="AG6310" s="14">
        <v>0.24</v>
      </c>
      <c r="AH6310" s="6">
        <f t="shared" si="974"/>
        <v>0</v>
      </c>
      <c r="AI6310" s="47"/>
      <c r="AJ6310" s="126" t="e">
        <v>#N/A</v>
      </c>
      <c r="AK6310" s="80">
        <f t="shared" si="978"/>
        <v>0</v>
      </c>
      <c r="AL6310" s="85"/>
      <c r="AM6310" s="85"/>
    </row>
    <row r="6311" spans="1:39" s="86" customFormat="1" ht="13.25" hidden="1" customHeight="1" x14ac:dyDescent="0.3">
      <c r="A6311" s="89" t="s">
        <v>3792</v>
      </c>
      <c r="B6311" s="86" t="s">
        <v>35</v>
      </c>
      <c r="C6311" s="86" t="s">
        <v>144</v>
      </c>
      <c r="D6311" s="86" t="s">
        <v>145</v>
      </c>
      <c r="E6311" s="86" t="s">
        <v>2521</v>
      </c>
      <c r="F6311" s="86" t="s">
        <v>2521</v>
      </c>
      <c r="G6311" s="86" t="s">
        <v>2521</v>
      </c>
      <c r="H6311" s="143">
        <v>237</v>
      </c>
      <c r="I6311" s="86" t="s">
        <v>2374</v>
      </c>
      <c r="J6311" s="1" t="s">
        <v>3322</v>
      </c>
      <c r="K6311" s="1" t="s">
        <v>3269</v>
      </c>
      <c r="L6311" s="1" t="s">
        <v>35</v>
      </c>
      <c r="M6311" s="86" t="s">
        <v>2521</v>
      </c>
      <c r="O6311" s="47" t="s">
        <v>410</v>
      </c>
      <c r="P6311" s="47" t="s">
        <v>46</v>
      </c>
      <c r="Q6311" s="14">
        <v>0.03</v>
      </c>
      <c r="R6311" s="143"/>
      <c r="S6311" s="47"/>
      <c r="T6311" s="6">
        <v>1985.0600000000118</v>
      </c>
      <c r="U6311" s="6"/>
      <c r="V6311" s="6">
        <v>0</v>
      </c>
      <c r="W6311" s="6">
        <f t="shared" si="972"/>
        <v>1985.0600000000118</v>
      </c>
      <c r="X6311" s="6">
        <f t="shared" si="973"/>
        <v>0</v>
      </c>
      <c r="Y6311" s="13">
        <f t="shared" si="976"/>
        <v>0</v>
      </c>
      <c r="Z6311" s="14">
        <v>0</v>
      </c>
      <c r="AA6311" s="6">
        <v>0</v>
      </c>
      <c r="AB6311" s="4">
        <f t="shared" si="977"/>
        <v>0</v>
      </c>
      <c r="AC6311" s="6">
        <f t="shared" si="975"/>
        <v>0</v>
      </c>
      <c r="AD6311" s="6">
        <v>0</v>
      </c>
      <c r="AE6311" s="14">
        <f>VLOOKUP(I6311,[2]媒体政策预估表!A:N,MATCH(O6311,[2]媒体政策预估表!$A$2:$M$2,0),0)</f>
        <v>0</v>
      </c>
      <c r="AF6311" s="6">
        <f t="shared" si="979"/>
        <v>0</v>
      </c>
      <c r="AG6311" s="14">
        <v>0</v>
      </c>
      <c r="AH6311" s="6">
        <f t="shared" si="974"/>
        <v>0</v>
      </c>
      <c r="AI6311" s="47"/>
      <c r="AJ6311" s="126" t="e">
        <v>#N/A</v>
      </c>
      <c r="AK6311" s="80">
        <f t="shared" si="978"/>
        <v>0</v>
      </c>
      <c r="AL6311" s="85"/>
      <c r="AM6311" s="85"/>
    </row>
    <row r="6312" spans="1:39" s="86" customFormat="1" ht="13.25" hidden="1" customHeight="1" x14ac:dyDescent="0.3">
      <c r="A6312" s="89" t="s">
        <v>3794</v>
      </c>
      <c r="B6312" s="86" t="s">
        <v>35</v>
      </c>
      <c r="C6312" s="86" t="s">
        <v>144</v>
      </c>
      <c r="D6312" s="86" t="s">
        <v>145</v>
      </c>
      <c r="E6312" s="86" t="s">
        <v>565</v>
      </c>
      <c r="F6312" s="86" t="s">
        <v>565</v>
      </c>
      <c r="G6312" s="86" t="s">
        <v>565</v>
      </c>
      <c r="H6312" s="143">
        <v>237</v>
      </c>
      <c r="I6312" s="86" t="s">
        <v>2374</v>
      </c>
      <c r="J6312" s="1" t="s">
        <v>3322</v>
      </c>
      <c r="K6312" s="1" t="s">
        <v>3269</v>
      </c>
      <c r="L6312" s="1" t="s">
        <v>35</v>
      </c>
      <c r="M6312" s="86" t="s">
        <v>2433</v>
      </c>
      <c r="O6312" s="47" t="s">
        <v>40</v>
      </c>
      <c r="P6312" s="47" t="s">
        <v>46</v>
      </c>
      <c r="Q6312" s="14">
        <v>0.02</v>
      </c>
      <c r="R6312" s="143"/>
      <c r="S6312" s="47"/>
      <c r="T6312" s="6">
        <v>2999.9957999999997</v>
      </c>
      <c r="U6312" s="6"/>
      <c r="V6312" s="6">
        <v>0</v>
      </c>
      <c r="W6312" s="6">
        <f t="shared" si="972"/>
        <v>2999.9957999999997</v>
      </c>
      <c r="X6312" s="6">
        <f t="shared" si="973"/>
        <v>0</v>
      </c>
      <c r="Y6312" s="13">
        <f t="shared" si="976"/>
        <v>0</v>
      </c>
      <c r="Z6312" s="14">
        <v>0</v>
      </c>
      <c r="AA6312" s="6">
        <v>0</v>
      </c>
      <c r="AB6312" s="4">
        <f t="shared" si="977"/>
        <v>0</v>
      </c>
      <c r="AC6312" s="6">
        <f t="shared" si="975"/>
        <v>0</v>
      </c>
      <c r="AD6312" s="6">
        <v>0</v>
      </c>
      <c r="AE6312" s="14">
        <f>VLOOKUP(I6312,[2]媒体政策预估表!A:N,MATCH(O6312,[2]媒体政策预估表!$A$2:$M$2,0),0)</f>
        <v>0.09</v>
      </c>
      <c r="AF6312" s="6">
        <f t="shared" si="979"/>
        <v>0</v>
      </c>
      <c r="AG6312" s="14">
        <v>0.38</v>
      </c>
      <c r="AH6312" s="6">
        <f t="shared" si="974"/>
        <v>0</v>
      </c>
      <c r="AI6312" s="47"/>
      <c r="AJ6312" s="126" t="e">
        <v>#N/A</v>
      </c>
      <c r="AK6312" s="80">
        <f t="shared" si="978"/>
        <v>0</v>
      </c>
      <c r="AL6312" s="85"/>
      <c r="AM6312" s="85"/>
    </row>
    <row r="6313" spans="1:39" s="86" customFormat="1" ht="13.25" hidden="1" customHeight="1" x14ac:dyDescent="0.3">
      <c r="A6313" s="89" t="s">
        <v>3794</v>
      </c>
      <c r="B6313" s="86" t="s">
        <v>35</v>
      </c>
      <c r="C6313" s="86" t="s">
        <v>144</v>
      </c>
      <c r="D6313" s="86" t="s">
        <v>161</v>
      </c>
      <c r="E6313" s="86" t="s">
        <v>2522</v>
      </c>
      <c r="F6313" s="86" t="s">
        <v>2522</v>
      </c>
      <c r="G6313" s="86" t="s">
        <v>2522</v>
      </c>
      <c r="H6313" s="143">
        <v>237</v>
      </c>
      <c r="I6313" s="86" t="s">
        <v>2374</v>
      </c>
      <c r="J6313" s="1" t="s">
        <v>3322</v>
      </c>
      <c r="K6313" s="1" t="s">
        <v>3269</v>
      </c>
      <c r="L6313" s="1" t="s">
        <v>35</v>
      </c>
      <c r="M6313" s="86" t="s">
        <v>2433</v>
      </c>
      <c r="O6313" s="47" t="s">
        <v>45</v>
      </c>
      <c r="P6313" s="47" t="s">
        <v>46</v>
      </c>
      <c r="Q6313" s="14">
        <v>0.02</v>
      </c>
      <c r="R6313" s="143"/>
      <c r="S6313" s="47"/>
      <c r="T6313" s="6">
        <v>9265.39</v>
      </c>
      <c r="U6313" s="6"/>
      <c r="V6313" s="6">
        <v>0</v>
      </c>
      <c r="W6313" s="6">
        <f t="shared" ref="W6313:W6376" si="980">T6313+U6313-V6313</f>
        <v>9265.39</v>
      </c>
      <c r="X6313" s="6">
        <f t="shared" si="973"/>
        <v>0</v>
      </c>
      <c r="Y6313" s="13">
        <f t="shared" si="976"/>
        <v>0</v>
      </c>
      <c r="Z6313" s="14">
        <v>0</v>
      </c>
      <c r="AA6313" s="6">
        <v>0</v>
      </c>
      <c r="AB6313" s="4">
        <f t="shared" si="977"/>
        <v>0</v>
      </c>
      <c r="AC6313" s="6">
        <f t="shared" si="975"/>
        <v>0</v>
      </c>
      <c r="AD6313" s="6">
        <v>0</v>
      </c>
      <c r="AE6313" s="14">
        <f>VLOOKUP(I6313,[2]媒体政策预估表!A:N,MATCH(O6313,[2]媒体政策预估表!$A$2:$M$2,0),0)</f>
        <v>7.0000000000000007E-2</v>
      </c>
      <c r="AF6313" s="6">
        <f t="shared" si="979"/>
        <v>0</v>
      </c>
      <c r="AG6313" s="14">
        <v>0</v>
      </c>
      <c r="AH6313" s="6">
        <f t="shared" si="974"/>
        <v>0</v>
      </c>
      <c r="AI6313" s="47"/>
      <c r="AJ6313" s="126" t="e">
        <v>#N/A</v>
      </c>
      <c r="AK6313" s="80">
        <f t="shared" si="978"/>
        <v>0</v>
      </c>
      <c r="AL6313" s="85"/>
      <c r="AM6313" s="85"/>
    </row>
    <row r="6314" spans="1:39" s="86" customFormat="1" ht="13.25" hidden="1" customHeight="1" x14ac:dyDescent="0.3">
      <c r="A6314" s="89" t="s">
        <v>3794</v>
      </c>
      <c r="B6314" s="86" t="s">
        <v>35</v>
      </c>
      <c r="C6314" s="86" t="s">
        <v>144</v>
      </c>
      <c r="D6314" s="86" t="s">
        <v>161</v>
      </c>
      <c r="E6314" s="86" t="s">
        <v>1903</v>
      </c>
      <c r="F6314" s="86" t="s">
        <v>1903</v>
      </c>
      <c r="G6314" s="86" t="s">
        <v>1903</v>
      </c>
      <c r="H6314" s="143">
        <v>237</v>
      </c>
      <c r="I6314" s="86" t="s">
        <v>2374</v>
      </c>
      <c r="J6314" s="1" t="s">
        <v>3322</v>
      </c>
      <c r="K6314" s="1" t="s">
        <v>3269</v>
      </c>
      <c r="L6314" s="1" t="s">
        <v>35</v>
      </c>
      <c r="M6314" s="86" t="s">
        <v>2148</v>
      </c>
      <c r="O6314" s="47" t="s">
        <v>410</v>
      </c>
      <c r="P6314" s="47" t="s">
        <v>46</v>
      </c>
      <c r="Q6314" s="14">
        <v>0.03</v>
      </c>
      <c r="R6314" s="143"/>
      <c r="S6314" s="47"/>
      <c r="T6314" s="6">
        <v>-6085.3600000000006</v>
      </c>
      <c r="U6314" s="6"/>
      <c r="V6314" s="6">
        <v>0</v>
      </c>
      <c r="W6314" s="6">
        <f t="shared" si="980"/>
        <v>-6085.3600000000006</v>
      </c>
      <c r="X6314" s="6">
        <f t="shared" si="973"/>
        <v>0</v>
      </c>
      <c r="Y6314" s="13">
        <f t="shared" si="976"/>
        <v>0</v>
      </c>
      <c r="Z6314" s="14">
        <v>0</v>
      </c>
      <c r="AA6314" s="6">
        <v>0</v>
      </c>
      <c r="AB6314" s="4">
        <f t="shared" si="977"/>
        <v>0</v>
      </c>
      <c r="AC6314" s="6">
        <f t="shared" si="975"/>
        <v>0</v>
      </c>
      <c r="AD6314" s="6">
        <v>0</v>
      </c>
      <c r="AE6314" s="14">
        <f>VLOOKUP(I6314,[2]媒体政策预估表!A:N,MATCH(O6314,[2]媒体政策预估表!$A$2:$M$2,0),0)</f>
        <v>0</v>
      </c>
      <c r="AF6314" s="6">
        <f t="shared" si="979"/>
        <v>0</v>
      </c>
      <c r="AG6314" s="14">
        <v>0</v>
      </c>
      <c r="AH6314" s="6">
        <f t="shared" si="974"/>
        <v>0</v>
      </c>
      <c r="AI6314" s="47"/>
      <c r="AJ6314" s="126" t="e">
        <v>#N/A</v>
      </c>
      <c r="AK6314" s="80">
        <f t="shared" si="978"/>
        <v>0</v>
      </c>
      <c r="AL6314" s="85"/>
      <c r="AM6314" s="85"/>
    </row>
    <row r="6315" spans="1:39" s="86" customFormat="1" ht="13.25" hidden="1" customHeight="1" x14ac:dyDescent="0.3">
      <c r="A6315" s="89" t="s">
        <v>3792</v>
      </c>
      <c r="B6315" s="86" t="s">
        <v>35</v>
      </c>
      <c r="C6315" s="86" t="s">
        <v>59</v>
      </c>
      <c r="D6315" s="86" t="s">
        <v>60</v>
      </c>
      <c r="E6315" s="86" t="s">
        <v>2523</v>
      </c>
      <c r="F6315" s="86" t="s">
        <v>2523</v>
      </c>
      <c r="G6315" s="86" t="s">
        <v>2523</v>
      </c>
      <c r="H6315" s="143">
        <v>237</v>
      </c>
      <c r="I6315" s="86" t="s">
        <v>2374</v>
      </c>
      <c r="J6315" s="1" t="s">
        <v>3322</v>
      </c>
      <c r="K6315" s="1" t="s">
        <v>3269</v>
      </c>
      <c r="L6315" s="1" t="s">
        <v>35</v>
      </c>
      <c r="M6315" s="86" t="s">
        <v>2524</v>
      </c>
      <c r="O6315" s="47" t="s">
        <v>45</v>
      </c>
      <c r="P6315" s="47" t="s">
        <v>46</v>
      </c>
      <c r="Q6315" s="14">
        <v>0.04</v>
      </c>
      <c r="R6315" s="143"/>
      <c r="S6315" s="47"/>
      <c r="T6315" s="6">
        <v>583.78000000000009</v>
      </c>
      <c r="U6315" s="6"/>
      <c r="V6315" s="6">
        <v>0</v>
      </c>
      <c r="W6315" s="6">
        <f t="shared" si="980"/>
        <v>583.78000000000009</v>
      </c>
      <c r="X6315" s="6">
        <f t="shared" si="973"/>
        <v>0</v>
      </c>
      <c r="Y6315" s="13">
        <f t="shared" si="976"/>
        <v>0</v>
      </c>
      <c r="Z6315" s="14">
        <v>0</v>
      </c>
      <c r="AA6315" s="6">
        <v>0</v>
      </c>
      <c r="AB6315" s="4">
        <f t="shared" si="977"/>
        <v>0</v>
      </c>
      <c r="AC6315" s="6">
        <f t="shared" si="975"/>
        <v>0</v>
      </c>
      <c r="AD6315" s="6">
        <v>0</v>
      </c>
      <c r="AE6315" s="14">
        <f>VLOOKUP(I6315,[2]媒体政策预估表!A:N,MATCH(O6315,[2]媒体政策预估表!$A$2:$M$2,0),0)</f>
        <v>7.0000000000000007E-2</v>
      </c>
      <c r="AF6315" s="6">
        <f t="shared" si="979"/>
        <v>0</v>
      </c>
      <c r="AG6315" s="14">
        <v>0</v>
      </c>
      <c r="AH6315" s="6">
        <f t="shared" si="974"/>
        <v>0</v>
      </c>
      <c r="AI6315" s="47"/>
      <c r="AJ6315" s="126" t="e">
        <v>#N/A</v>
      </c>
      <c r="AK6315" s="80">
        <f t="shared" si="978"/>
        <v>0</v>
      </c>
      <c r="AL6315" s="85"/>
      <c r="AM6315" s="85"/>
    </row>
    <row r="6316" spans="1:39" s="86" customFormat="1" ht="13.25" hidden="1" customHeight="1" x14ac:dyDescent="0.3">
      <c r="A6316" s="89" t="s">
        <v>3794</v>
      </c>
      <c r="B6316" s="86" t="s">
        <v>35</v>
      </c>
      <c r="C6316" s="86" t="s">
        <v>59</v>
      </c>
      <c r="D6316" s="86" t="s">
        <v>60</v>
      </c>
      <c r="E6316" s="86" t="s">
        <v>2523</v>
      </c>
      <c r="F6316" s="86" t="s">
        <v>2523</v>
      </c>
      <c r="G6316" s="86" t="s">
        <v>2523</v>
      </c>
      <c r="H6316" s="143">
        <v>237</v>
      </c>
      <c r="I6316" s="86" t="s">
        <v>2374</v>
      </c>
      <c r="J6316" s="1" t="s">
        <v>3322</v>
      </c>
      <c r="K6316" s="1" t="s">
        <v>3269</v>
      </c>
      <c r="L6316" s="1" t="s">
        <v>35</v>
      </c>
      <c r="M6316" s="86" t="s">
        <v>2525</v>
      </c>
      <c r="O6316" s="47" t="s">
        <v>45</v>
      </c>
      <c r="P6316" s="47" t="s">
        <v>46</v>
      </c>
      <c r="Q6316" s="14">
        <v>0.04</v>
      </c>
      <c r="R6316" s="143"/>
      <c r="S6316" s="47"/>
      <c r="T6316" s="6">
        <v>535.6</v>
      </c>
      <c r="U6316" s="6"/>
      <c r="V6316" s="6">
        <v>0</v>
      </c>
      <c r="W6316" s="6">
        <f t="shared" si="980"/>
        <v>535.6</v>
      </c>
      <c r="X6316" s="6">
        <f t="shared" si="973"/>
        <v>0</v>
      </c>
      <c r="Y6316" s="13">
        <f t="shared" si="976"/>
        <v>0</v>
      </c>
      <c r="Z6316" s="14">
        <v>0</v>
      </c>
      <c r="AA6316" s="6">
        <v>0</v>
      </c>
      <c r="AB6316" s="4">
        <f t="shared" si="977"/>
        <v>0</v>
      </c>
      <c r="AC6316" s="6">
        <f t="shared" si="975"/>
        <v>0</v>
      </c>
      <c r="AD6316" s="6">
        <v>0</v>
      </c>
      <c r="AE6316" s="14">
        <f>VLOOKUP(I6316,[2]媒体政策预估表!A:N,MATCH(O6316,[2]媒体政策预估表!$A$2:$M$2,0),0)</f>
        <v>7.0000000000000007E-2</v>
      </c>
      <c r="AF6316" s="6">
        <f t="shared" si="979"/>
        <v>0</v>
      </c>
      <c r="AG6316" s="14">
        <v>0</v>
      </c>
      <c r="AH6316" s="6">
        <f t="shared" si="974"/>
        <v>0</v>
      </c>
      <c r="AI6316" s="47"/>
      <c r="AJ6316" s="126" t="e">
        <v>#N/A</v>
      </c>
      <c r="AK6316" s="80">
        <f t="shared" si="978"/>
        <v>0</v>
      </c>
      <c r="AL6316" s="85"/>
      <c r="AM6316" s="85"/>
    </row>
    <row r="6317" spans="1:39" s="86" customFormat="1" ht="13.25" hidden="1" customHeight="1" x14ac:dyDescent="0.3">
      <c r="A6317" s="89" t="s">
        <v>3792</v>
      </c>
      <c r="B6317" s="86" t="s">
        <v>35</v>
      </c>
      <c r="C6317" s="86" t="s">
        <v>59</v>
      </c>
      <c r="D6317" s="86" t="s">
        <v>60</v>
      </c>
      <c r="E6317" s="86" t="s">
        <v>2523</v>
      </c>
      <c r="F6317" s="86" t="s">
        <v>2523</v>
      </c>
      <c r="G6317" s="86" t="s">
        <v>2523</v>
      </c>
      <c r="H6317" s="143">
        <v>237</v>
      </c>
      <c r="I6317" s="86" t="s">
        <v>2374</v>
      </c>
      <c r="J6317" s="1" t="s">
        <v>3322</v>
      </c>
      <c r="K6317" s="1" t="s">
        <v>3269</v>
      </c>
      <c r="L6317" s="1" t="s">
        <v>35</v>
      </c>
      <c r="M6317" s="86" t="s">
        <v>2526</v>
      </c>
      <c r="O6317" s="47" t="s">
        <v>45</v>
      </c>
      <c r="P6317" s="47" t="s">
        <v>46</v>
      </c>
      <c r="Q6317" s="14">
        <v>0.04</v>
      </c>
      <c r="R6317" s="143"/>
      <c r="S6317" s="47"/>
      <c r="T6317" s="6">
        <v>1000</v>
      </c>
      <c r="U6317" s="6"/>
      <c r="V6317" s="6">
        <v>0</v>
      </c>
      <c r="W6317" s="6">
        <f t="shared" si="980"/>
        <v>1000</v>
      </c>
      <c r="X6317" s="6">
        <f t="shared" si="973"/>
        <v>0</v>
      </c>
      <c r="Y6317" s="13">
        <f t="shared" si="976"/>
        <v>0</v>
      </c>
      <c r="Z6317" s="14">
        <v>0</v>
      </c>
      <c r="AA6317" s="6">
        <v>0</v>
      </c>
      <c r="AB6317" s="4">
        <f t="shared" si="977"/>
        <v>0</v>
      </c>
      <c r="AC6317" s="6">
        <f t="shared" si="975"/>
        <v>0</v>
      </c>
      <c r="AD6317" s="6">
        <v>0</v>
      </c>
      <c r="AE6317" s="14">
        <f>VLOOKUP(I6317,[2]媒体政策预估表!A:N,MATCH(O6317,[2]媒体政策预估表!$A$2:$M$2,0),0)</f>
        <v>7.0000000000000007E-2</v>
      </c>
      <c r="AF6317" s="6">
        <f t="shared" si="979"/>
        <v>0</v>
      </c>
      <c r="AG6317" s="14">
        <v>0</v>
      </c>
      <c r="AH6317" s="6">
        <f t="shared" si="974"/>
        <v>0</v>
      </c>
      <c r="AI6317" s="47"/>
      <c r="AJ6317" s="126" t="e">
        <v>#N/A</v>
      </c>
      <c r="AK6317" s="80">
        <f t="shared" si="978"/>
        <v>0</v>
      </c>
      <c r="AL6317" s="85"/>
      <c r="AM6317" s="85"/>
    </row>
    <row r="6318" spans="1:39" s="86" customFormat="1" ht="13.25" hidden="1" customHeight="1" x14ac:dyDescent="0.3">
      <c r="A6318" s="89" t="s">
        <v>3794</v>
      </c>
      <c r="B6318" s="86" t="s">
        <v>35</v>
      </c>
      <c r="C6318" s="86" t="s">
        <v>59</v>
      </c>
      <c r="D6318" s="86" t="s">
        <v>60</v>
      </c>
      <c r="E6318" s="86" t="s">
        <v>2527</v>
      </c>
      <c r="F6318" s="86" t="s">
        <v>2528</v>
      </c>
      <c r="G6318" s="86" t="s">
        <v>2527</v>
      </c>
      <c r="H6318" s="143">
        <v>237</v>
      </c>
      <c r="I6318" s="86" t="s">
        <v>2374</v>
      </c>
      <c r="J6318" s="1" t="s">
        <v>3322</v>
      </c>
      <c r="K6318" s="1" t="s">
        <v>3269</v>
      </c>
      <c r="L6318" s="1" t="s">
        <v>35</v>
      </c>
      <c r="M6318" s="86" t="s">
        <v>2529</v>
      </c>
      <c r="O6318" s="47" t="s">
        <v>40</v>
      </c>
      <c r="P6318" s="47" t="s">
        <v>92</v>
      </c>
      <c r="Q6318" s="14">
        <v>0.92</v>
      </c>
      <c r="R6318" s="143"/>
      <c r="S6318" s="47"/>
      <c r="T6318" s="6">
        <v>160473.87</v>
      </c>
      <c r="U6318" s="6"/>
      <c r="V6318" s="6">
        <v>0</v>
      </c>
      <c r="W6318" s="6">
        <f t="shared" si="980"/>
        <v>160473.87</v>
      </c>
      <c r="X6318" s="6">
        <f t="shared" si="973"/>
        <v>0</v>
      </c>
      <c r="Y6318" s="13">
        <f t="shared" si="976"/>
        <v>0</v>
      </c>
      <c r="Z6318" s="14">
        <v>0</v>
      </c>
      <c r="AA6318" s="6">
        <v>0</v>
      </c>
      <c r="AB6318" s="4">
        <f t="shared" si="977"/>
        <v>0</v>
      </c>
      <c r="AC6318" s="6">
        <f t="shared" si="975"/>
        <v>0</v>
      </c>
      <c r="AD6318" s="6">
        <v>0</v>
      </c>
      <c r="AE6318" s="14">
        <f>VLOOKUP(I6318,[2]媒体政策预估表!A:N,MATCH(O6318,[2]媒体政策预估表!$A$2:$M$2,0),0)</f>
        <v>0.09</v>
      </c>
      <c r="AF6318" s="6">
        <f t="shared" si="979"/>
        <v>0</v>
      </c>
      <c r="AG6318" s="14">
        <v>0</v>
      </c>
      <c r="AH6318" s="6">
        <f t="shared" si="974"/>
        <v>0</v>
      </c>
      <c r="AI6318" s="47"/>
      <c r="AJ6318" s="126" t="e">
        <v>#N/A</v>
      </c>
      <c r="AK6318" s="80">
        <f t="shared" si="978"/>
        <v>0</v>
      </c>
      <c r="AL6318" s="85"/>
      <c r="AM6318" s="85"/>
    </row>
    <row r="6319" spans="1:39" s="86" customFormat="1" ht="13.25" hidden="1" customHeight="1" x14ac:dyDescent="0.3">
      <c r="A6319" s="89" t="s">
        <v>3792</v>
      </c>
      <c r="B6319" s="86" t="s">
        <v>35</v>
      </c>
      <c r="C6319" s="86" t="s">
        <v>65</v>
      </c>
      <c r="D6319" s="86" t="s">
        <v>66</v>
      </c>
      <c r="E6319" s="86" t="s">
        <v>2530</v>
      </c>
      <c r="F6319" s="86" t="s">
        <v>2530</v>
      </c>
      <c r="G6319" s="86" t="s">
        <v>2530</v>
      </c>
      <c r="H6319" s="143">
        <v>237</v>
      </c>
      <c r="I6319" s="86" t="s">
        <v>2374</v>
      </c>
      <c r="J6319" s="1" t="s">
        <v>3322</v>
      </c>
      <c r="K6319" s="1" t="s">
        <v>3269</v>
      </c>
      <c r="L6319" s="1" t="s">
        <v>35</v>
      </c>
      <c r="M6319" s="86" t="s">
        <v>2530</v>
      </c>
      <c r="O6319" s="47" t="s">
        <v>45</v>
      </c>
      <c r="P6319" s="47" t="s">
        <v>41</v>
      </c>
      <c r="Q6319" s="14">
        <v>0</v>
      </c>
      <c r="R6319" s="143"/>
      <c r="S6319" s="47"/>
      <c r="T6319" s="6">
        <v>65.160000000002583</v>
      </c>
      <c r="U6319" s="6"/>
      <c r="V6319" s="6">
        <v>0</v>
      </c>
      <c r="W6319" s="6">
        <f t="shared" si="980"/>
        <v>65.160000000002583</v>
      </c>
      <c r="X6319" s="6">
        <f t="shared" si="973"/>
        <v>0</v>
      </c>
      <c r="Y6319" s="13">
        <f t="shared" si="976"/>
        <v>0</v>
      </c>
      <c r="Z6319" s="14">
        <v>0</v>
      </c>
      <c r="AA6319" s="6">
        <v>0</v>
      </c>
      <c r="AB6319" s="4">
        <f t="shared" si="977"/>
        <v>0</v>
      </c>
      <c r="AC6319" s="6">
        <f t="shared" si="975"/>
        <v>0</v>
      </c>
      <c r="AD6319" s="6">
        <v>0</v>
      </c>
      <c r="AE6319" s="14">
        <f>VLOOKUP(I6319,[2]媒体政策预估表!A:N,MATCH(O6319,[2]媒体政策预估表!$A$2:$M$2,0),0)</f>
        <v>7.0000000000000007E-2</v>
      </c>
      <c r="AF6319" s="6">
        <f t="shared" si="979"/>
        <v>0</v>
      </c>
      <c r="AG6319" s="14">
        <v>0</v>
      </c>
      <c r="AH6319" s="6">
        <f t="shared" si="974"/>
        <v>0</v>
      </c>
      <c r="AI6319" s="47"/>
      <c r="AJ6319" s="126" t="e">
        <v>#N/A</v>
      </c>
      <c r="AK6319" s="80">
        <f t="shared" si="978"/>
        <v>0</v>
      </c>
      <c r="AL6319" s="85"/>
      <c r="AM6319" s="85"/>
    </row>
    <row r="6320" spans="1:39" s="86" customFormat="1" ht="13.25" hidden="1" customHeight="1" x14ac:dyDescent="0.3">
      <c r="A6320" s="89" t="s">
        <v>3794</v>
      </c>
      <c r="B6320" s="86" t="s">
        <v>35</v>
      </c>
      <c r="C6320" s="86" t="s">
        <v>65</v>
      </c>
      <c r="D6320" s="86" t="s">
        <v>122</v>
      </c>
      <c r="E6320" s="86" t="s">
        <v>1894</v>
      </c>
      <c r="F6320" s="86" t="s">
        <v>1894</v>
      </c>
      <c r="G6320" s="86" t="s">
        <v>1894</v>
      </c>
      <c r="H6320" s="143">
        <v>237</v>
      </c>
      <c r="I6320" s="86" t="s">
        <v>2374</v>
      </c>
      <c r="J6320" s="1" t="s">
        <v>3322</v>
      </c>
      <c r="K6320" s="1" t="s">
        <v>3269</v>
      </c>
      <c r="L6320" s="1" t="s">
        <v>35</v>
      </c>
      <c r="M6320" s="86" t="s">
        <v>1894</v>
      </c>
      <c r="O6320" s="47" t="s">
        <v>45</v>
      </c>
      <c r="P6320" s="47" t="s">
        <v>46</v>
      </c>
      <c r="Q6320" s="14">
        <v>1.0000000000000009E-2</v>
      </c>
      <c r="R6320" s="143"/>
      <c r="S6320" s="47"/>
      <c r="T6320" s="6">
        <v>8035.9300000000021</v>
      </c>
      <c r="U6320" s="6"/>
      <c r="V6320" s="6">
        <v>0</v>
      </c>
      <c r="W6320" s="6">
        <f t="shared" si="980"/>
        <v>8035.9300000000021</v>
      </c>
      <c r="X6320" s="6">
        <f t="shared" si="973"/>
        <v>0</v>
      </c>
      <c r="Y6320" s="13">
        <f t="shared" si="976"/>
        <v>0</v>
      </c>
      <c r="Z6320" s="14">
        <v>0</v>
      </c>
      <c r="AA6320" s="6">
        <v>0</v>
      </c>
      <c r="AB6320" s="4">
        <f t="shared" si="977"/>
        <v>0</v>
      </c>
      <c r="AC6320" s="6">
        <f t="shared" si="975"/>
        <v>0</v>
      </c>
      <c r="AD6320" s="6">
        <v>0</v>
      </c>
      <c r="AE6320" s="14">
        <f>VLOOKUP(I6320,[2]媒体政策预估表!A:N,MATCH(O6320,[2]媒体政策预估表!$A$2:$M$2,0),0)</f>
        <v>7.0000000000000007E-2</v>
      </c>
      <c r="AF6320" s="6">
        <f t="shared" si="979"/>
        <v>0</v>
      </c>
      <c r="AG6320" s="14">
        <v>0</v>
      </c>
      <c r="AH6320" s="6">
        <f t="shared" si="974"/>
        <v>0</v>
      </c>
      <c r="AI6320" s="47"/>
      <c r="AJ6320" s="126" t="e">
        <v>#N/A</v>
      </c>
      <c r="AK6320" s="80">
        <f t="shared" si="978"/>
        <v>0</v>
      </c>
      <c r="AL6320" s="85"/>
      <c r="AM6320" s="85"/>
    </row>
    <row r="6321" spans="1:39" s="86" customFormat="1" ht="13.25" hidden="1" customHeight="1" x14ac:dyDescent="0.3">
      <c r="A6321" s="89" t="s">
        <v>3792</v>
      </c>
      <c r="B6321" s="86" t="s">
        <v>35</v>
      </c>
      <c r="C6321" s="86" t="s">
        <v>65</v>
      </c>
      <c r="D6321" s="86" t="s">
        <v>125</v>
      </c>
      <c r="E6321" s="86" t="s">
        <v>2531</v>
      </c>
      <c r="F6321" s="86" t="s">
        <v>2531</v>
      </c>
      <c r="G6321" s="86" t="s">
        <v>2531</v>
      </c>
      <c r="H6321" s="143">
        <v>237</v>
      </c>
      <c r="I6321" s="86" t="s">
        <v>2374</v>
      </c>
      <c r="J6321" s="1" t="s">
        <v>3322</v>
      </c>
      <c r="K6321" s="1" t="s">
        <v>3269</v>
      </c>
      <c r="L6321" s="1" t="s">
        <v>35</v>
      </c>
      <c r="M6321" s="86" t="s">
        <v>2532</v>
      </c>
      <c r="O6321" s="47" t="s">
        <v>45</v>
      </c>
      <c r="P6321" s="47" t="s">
        <v>46</v>
      </c>
      <c r="Q6321" s="14">
        <v>0.03</v>
      </c>
      <c r="R6321" s="143"/>
      <c r="S6321" s="47"/>
      <c r="T6321" s="6">
        <v>6268.48</v>
      </c>
      <c r="U6321" s="6"/>
      <c r="V6321" s="6">
        <v>0</v>
      </c>
      <c r="W6321" s="6">
        <f t="shared" si="980"/>
        <v>6268.48</v>
      </c>
      <c r="X6321" s="6">
        <f t="shared" si="973"/>
        <v>0</v>
      </c>
      <c r="Y6321" s="13">
        <f t="shared" si="976"/>
        <v>0</v>
      </c>
      <c r="Z6321" s="14">
        <v>0</v>
      </c>
      <c r="AA6321" s="6">
        <v>0</v>
      </c>
      <c r="AB6321" s="4">
        <f t="shared" si="977"/>
        <v>0</v>
      </c>
      <c r="AC6321" s="6">
        <f t="shared" si="975"/>
        <v>0</v>
      </c>
      <c r="AD6321" s="6">
        <v>0</v>
      </c>
      <c r="AE6321" s="14">
        <f>VLOOKUP(I6321,[2]媒体政策预估表!A:N,MATCH(O6321,[2]媒体政策预估表!$A$2:$M$2,0),0)</f>
        <v>7.0000000000000007E-2</v>
      </c>
      <c r="AF6321" s="6">
        <f t="shared" si="979"/>
        <v>0</v>
      </c>
      <c r="AG6321" s="14">
        <v>0</v>
      </c>
      <c r="AH6321" s="6">
        <f t="shared" si="974"/>
        <v>0</v>
      </c>
      <c r="AI6321" s="47"/>
      <c r="AJ6321" s="126" t="e">
        <v>#N/A</v>
      </c>
      <c r="AK6321" s="80">
        <f t="shared" si="978"/>
        <v>0</v>
      </c>
      <c r="AL6321" s="85"/>
      <c r="AM6321" s="85"/>
    </row>
    <row r="6322" spans="1:39" s="86" customFormat="1" ht="13.25" hidden="1" customHeight="1" x14ac:dyDescent="0.3">
      <c r="A6322" s="89" t="s">
        <v>3792</v>
      </c>
      <c r="B6322" s="86" t="s">
        <v>35</v>
      </c>
      <c r="C6322" s="86" t="s">
        <v>47</v>
      </c>
      <c r="D6322" s="86" t="s">
        <v>878</v>
      </c>
      <c r="E6322" s="86" t="s">
        <v>2533</v>
      </c>
      <c r="F6322" s="86" t="s">
        <v>2534</v>
      </c>
      <c r="G6322" s="86" t="s">
        <v>2533</v>
      </c>
      <c r="H6322" s="143">
        <v>237</v>
      </c>
      <c r="I6322" s="86" t="s">
        <v>2374</v>
      </c>
      <c r="J6322" s="1" t="s">
        <v>3322</v>
      </c>
      <c r="K6322" s="1" t="s">
        <v>3269</v>
      </c>
      <c r="L6322" s="1" t="s">
        <v>35</v>
      </c>
      <c r="M6322" s="86" t="s">
        <v>2533</v>
      </c>
      <c r="O6322" s="47" t="s">
        <v>45</v>
      </c>
      <c r="P6322" s="47" t="s">
        <v>41</v>
      </c>
      <c r="Q6322" s="14">
        <v>0</v>
      </c>
      <c r="R6322" s="143"/>
      <c r="S6322" s="47"/>
      <c r="T6322" s="6">
        <v>2474.6900000000005</v>
      </c>
      <c r="U6322" s="6"/>
      <c r="V6322" s="6">
        <v>0</v>
      </c>
      <c r="W6322" s="6">
        <f t="shared" si="980"/>
        <v>2474.6900000000005</v>
      </c>
      <c r="X6322" s="6">
        <f t="shared" si="973"/>
        <v>0</v>
      </c>
      <c r="Y6322" s="13">
        <f t="shared" si="976"/>
        <v>0</v>
      </c>
      <c r="Z6322" s="14">
        <v>0</v>
      </c>
      <c r="AA6322" s="6">
        <v>0</v>
      </c>
      <c r="AB6322" s="4">
        <f t="shared" si="977"/>
        <v>0</v>
      </c>
      <c r="AC6322" s="6">
        <f t="shared" si="975"/>
        <v>0</v>
      </c>
      <c r="AD6322" s="6">
        <v>0</v>
      </c>
      <c r="AE6322" s="14">
        <f>VLOOKUP(I6322,[2]媒体政策预估表!A:N,MATCH(O6322,[2]媒体政策预估表!$A$2:$M$2,0),0)</f>
        <v>7.0000000000000007E-2</v>
      </c>
      <c r="AF6322" s="6">
        <f t="shared" si="979"/>
        <v>0</v>
      </c>
      <c r="AG6322" s="14">
        <v>0</v>
      </c>
      <c r="AH6322" s="6">
        <f t="shared" si="974"/>
        <v>0</v>
      </c>
      <c r="AI6322" s="47"/>
      <c r="AJ6322" s="126" t="e">
        <v>#N/A</v>
      </c>
      <c r="AK6322" s="80">
        <f t="shared" si="978"/>
        <v>0</v>
      </c>
      <c r="AL6322" s="85"/>
      <c r="AM6322" s="85"/>
    </row>
    <row r="6323" spans="1:39" s="86" customFormat="1" ht="13.25" hidden="1" customHeight="1" x14ac:dyDescent="0.3">
      <c r="A6323" s="89" t="s">
        <v>3794</v>
      </c>
      <c r="B6323" s="86" t="s">
        <v>35</v>
      </c>
      <c r="C6323" s="86" t="s">
        <v>184</v>
      </c>
      <c r="D6323" s="86" t="s">
        <v>54</v>
      </c>
      <c r="E6323" s="86" t="s">
        <v>2388</v>
      </c>
      <c r="F6323" s="86" t="s">
        <v>2509</v>
      </c>
      <c r="G6323" s="86" t="s">
        <v>2388</v>
      </c>
      <c r="H6323" s="143">
        <v>237</v>
      </c>
      <c r="I6323" s="86" t="s">
        <v>2374</v>
      </c>
      <c r="J6323" s="1" t="s">
        <v>3322</v>
      </c>
      <c r="K6323" s="1" t="s">
        <v>3269</v>
      </c>
      <c r="L6323" s="1" t="s">
        <v>35</v>
      </c>
      <c r="M6323" s="86" t="s">
        <v>2390</v>
      </c>
      <c r="O6323" s="47" t="s">
        <v>410</v>
      </c>
      <c r="P6323" s="47" t="s">
        <v>46</v>
      </c>
      <c r="Q6323" s="14">
        <v>0.06</v>
      </c>
      <c r="R6323" s="143"/>
      <c r="S6323" s="47"/>
      <c r="T6323" s="6">
        <v>63.465241378988139</v>
      </c>
      <c r="U6323" s="6"/>
      <c r="V6323" s="6">
        <v>0</v>
      </c>
      <c r="W6323" s="6">
        <f t="shared" si="980"/>
        <v>63.465241378988139</v>
      </c>
      <c r="X6323" s="6">
        <f t="shared" si="973"/>
        <v>0</v>
      </c>
      <c r="Y6323" s="13">
        <f t="shared" si="976"/>
        <v>0</v>
      </c>
      <c r="Z6323" s="14">
        <v>0</v>
      </c>
      <c r="AA6323" s="6">
        <v>0</v>
      </c>
      <c r="AB6323" s="4">
        <f t="shared" si="977"/>
        <v>0</v>
      </c>
      <c r="AC6323" s="6">
        <f t="shared" si="975"/>
        <v>0</v>
      </c>
      <c r="AD6323" s="6">
        <v>0</v>
      </c>
      <c r="AE6323" s="14">
        <f>VLOOKUP(I6323,[2]媒体政策预估表!A:N,MATCH(O6323,[2]媒体政策预估表!$A$2:$M$2,0),0)</f>
        <v>0</v>
      </c>
      <c r="AF6323" s="6">
        <f t="shared" si="979"/>
        <v>0</v>
      </c>
      <c r="AG6323" s="14">
        <v>0.3</v>
      </c>
      <c r="AH6323" s="6">
        <f t="shared" si="974"/>
        <v>0</v>
      </c>
      <c r="AI6323" s="47"/>
      <c r="AJ6323" s="126" t="e">
        <v>#N/A</v>
      </c>
      <c r="AK6323" s="80">
        <f t="shared" si="978"/>
        <v>0</v>
      </c>
      <c r="AL6323" s="85"/>
      <c r="AM6323" s="85"/>
    </row>
    <row r="6324" spans="1:39" s="86" customFormat="1" ht="13.25" hidden="1" customHeight="1" x14ac:dyDescent="0.3">
      <c r="A6324" s="89" t="s">
        <v>3794</v>
      </c>
      <c r="B6324" s="86" t="s">
        <v>35</v>
      </c>
      <c r="C6324" s="86" t="s">
        <v>184</v>
      </c>
      <c r="D6324" s="86" t="s">
        <v>54</v>
      </c>
      <c r="E6324" s="86" t="s">
        <v>2388</v>
      </c>
      <c r="F6324" s="86" t="s">
        <v>2510</v>
      </c>
      <c r="G6324" s="86" t="s">
        <v>2388</v>
      </c>
      <c r="H6324" s="143">
        <v>237</v>
      </c>
      <c r="I6324" s="86" t="s">
        <v>2374</v>
      </c>
      <c r="J6324" s="1" t="s">
        <v>3322</v>
      </c>
      <c r="K6324" s="1" t="s">
        <v>3269</v>
      </c>
      <c r="L6324" s="1" t="s">
        <v>35</v>
      </c>
      <c r="M6324" s="86" t="s">
        <v>2390</v>
      </c>
      <c r="O6324" s="47" t="s">
        <v>45</v>
      </c>
      <c r="P6324" s="47" t="s">
        <v>46</v>
      </c>
      <c r="Q6324" s="14">
        <v>5.2600000000000001E-2</v>
      </c>
      <c r="R6324" s="143"/>
      <c r="S6324" s="47"/>
      <c r="T6324" s="6">
        <v>20006157.745999996</v>
      </c>
      <c r="U6324" s="6"/>
      <c r="V6324" s="6">
        <v>0</v>
      </c>
      <c r="W6324" s="6">
        <f t="shared" si="980"/>
        <v>20006157.745999996</v>
      </c>
      <c r="X6324" s="6">
        <f t="shared" si="973"/>
        <v>0</v>
      </c>
      <c r="Y6324" s="13">
        <f t="shared" si="976"/>
        <v>0</v>
      </c>
      <c r="Z6324" s="14">
        <v>0</v>
      </c>
      <c r="AA6324" s="6">
        <v>0</v>
      </c>
      <c r="AB6324" s="4">
        <f t="shared" si="977"/>
        <v>0</v>
      </c>
      <c r="AC6324" s="6">
        <f t="shared" si="975"/>
        <v>0</v>
      </c>
      <c r="AD6324" s="6">
        <v>0</v>
      </c>
      <c r="AE6324" s="14">
        <f>VLOOKUP(I6324,[2]媒体政策预估表!A:N,MATCH(O6324,[2]媒体政策预估表!$A$2:$M$2,0),0)</f>
        <v>7.0000000000000007E-2</v>
      </c>
      <c r="AF6324" s="6">
        <f t="shared" si="979"/>
        <v>0</v>
      </c>
      <c r="AG6324" s="14">
        <v>0.3</v>
      </c>
      <c r="AH6324" s="6">
        <f t="shared" si="974"/>
        <v>0</v>
      </c>
      <c r="AI6324" s="47"/>
      <c r="AJ6324" s="126" t="e">
        <v>#N/A</v>
      </c>
      <c r="AK6324" s="80">
        <f t="shared" si="978"/>
        <v>0</v>
      </c>
      <c r="AL6324" s="85"/>
      <c r="AM6324" s="85"/>
    </row>
    <row r="6325" spans="1:39" s="86" customFormat="1" ht="13.25" hidden="1" customHeight="1" x14ac:dyDescent="0.3">
      <c r="A6325" s="89" t="s">
        <v>3794</v>
      </c>
      <c r="B6325" s="86" t="s">
        <v>35</v>
      </c>
      <c r="C6325" s="86" t="s">
        <v>184</v>
      </c>
      <c r="D6325" s="86" t="s">
        <v>54</v>
      </c>
      <c r="E6325" s="86" t="s">
        <v>2388</v>
      </c>
      <c r="F6325" s="86" t="s">
        <v>2389</v>
      </c>
      <c r="G6325" s="86" t="s">
        <v>2388</v>
      </c>
      <c r="H6325" s="143">
        <v>237</v>
      </c>
      <c r="I6325" s="86" t="s">
        <v>2374</v>
      </c>
      <c r="J6325" s="1" t="s">
        <v>3322</v>
      </c>
      <c r="K6325" s="1" t="s">
        <v>3269</v>
      </c>
      <c r="L6325" s="1" t="s">
        <v>35</v>
      </c>
      <c r="M6325" s="86" t="s">
        <v>2390</v>
      </c>
      <c r="O6325" s="47" t="s">
        <v>40</v>
      </c>
      <c r="P6325" s="47" t="s">
        <v>46</v>
      </c>
      <c r="Q6325" s="14">
        <v>5.2600000000000001E-2</v>
      </c>
      <c r="R6325" s="143"/>
      <c r="S6325" s="47"/>
      <c r="T6325" s="6">
        <v>-1044.9708000000101</v>
      </c>
      <c r="U6325" s="6"/>
      <c r="V6325" s="6">
        <v>0</v>
      </c>
      <c r="W6325" s="6">
        <f t="shared" si="980"/>
        <v>-1044.9708000000101</v>
      </c>
      <c r="X6325" s="6">
        <f t="shared" si="973"/>
        <v>0</v>
      </c>
      <c r="Y6325" s="13">
        <f t="shared" si="976"/>
        <v>0</v>
      </c>
      <c r="Z6325" s="14">
        <v>0</v>
      </c>
      <c r="AA6325" s="6">
        <v>0</v>
      </c>
      <c r="AB6325" s="4">
        <f t="shared" si="977"/>
        <v>0</v>
      </c>
      <c r="AC6325" s="6">
        <f t="shared" si="975"/>
        <v>0</v>
      </c>
      <c r="AD6325" s="6">
        <v>0</v>
      </c>
      <c r="AE6325" s="14">
        <f>VLOOKUP(I6325,[2]媒体政策预估表!A:N,MATCH(O6325,[2]媒体政策预估表!$A$2:$M$2,0),0)</f>
        <v>0.09</v>
      </c>
      <c r="AF6325" s="6">
        <f t="shared" si="979"/>
        <v>0</v>
      </c>
      <c r="AG6325" s="14">
        <v>0.36</v>
      </c>
      <c r="AH6325" s="6">
        <f t="shared" si="974"/>
        <v>0</v>
      </c>
      <c r="AI6325" s="47"/>
      <c r="AJ6325" s="126" t="e">
        <v>#N/A</v>
      </c>
      <c r="AK6325" s="80">
        <f t="shared" si="978"/>
        <v>0</v>
      </c>
      <c r="AL6325" s="85"/>
      <c r="AM6325" s="85"/>
    </row>
    <row r="6326" spans="1:39" s="86" customFormat="1" ht="13.25" hidden="1" customHeight="1" x14ac:dyDescent="0.3">
      <c r="A6326" s="89" t="s">
        <v>3794</v>
      </c>
      <c r="B6326" s="86" t="s">
        <v>35</v>
      </c>
      <c r="C6326" s="86" t="s">
        <v>36</v>
      </c>
      <c r="D6326" s="86" t="s">
        <v>185</v>
      </c>
      <c r="E6326" s="86" t="s">
        <v>2393</v>
      </c>
      <c r="F6326" s="86" t="s">
        <v>2394</v>
      </c>
      <c r="G6326" s="86" t="s">
        <v>2393</v>
      </c>
      <c r="H6326" s="143">
        <v>237</v>
      </c>
      <c r="I6326" s="86" t="s">
        <v>2374</v>
      </c>
      <c r="J6326" s="1" t="s">
        <v>3322</v>
      </c>
      <c r="K6326" s="1" t="s">
        <v>3269</v>
      </c>
      <c r="L6326" s="1" t="s">
        <v>35</v>
      </c>
      <c r="M6326" s="86" t="s">
        <v>2400</v>
      </c>
      <c r="O6326" s="47" t="s">
        <v>40</v>
      </c>
      <c r="P6326" s="47" t="s">
        <v>46</v>
      </c>
      <c r="Q6326" s="14">
        <v>5.5E-2</v>
      </c>
      <c r="R6326" s="143"/>
      <c r="S6326" s="47"/>
      <c r="T6326" s="6">
        <v>115138.81</v>
      </c>
      <c r="U6326" s="6"/>
      <c r="V6326" s="6">
        <v>0</v>
      </c>
      <c r="W6326" s="6">
        <f t="shared" si="980"/>
        <v>115138.81</v>
      </c>
      <c r="X6326" s="6">
        <f t="shared" si="973"/>
        <v>0</v>
      </c>
      <c r="Y6326" s="13">
        <f t="shared" si="976"/>
        <v>0</v>
      </c>
      <c r="Z6326" s="14">
        <v>0</v>
      </c>
      <c r="AA6326" s="6">
        <v>0</v>
      </c>
      <c r="AB6326" s="4">
        <f t="shared" si="977"/>
        <v>0</v>
      </c>
      <c r="AC6326" s="6">
        <f t="shared" si="975"/>
        <v>0</v>
      </c>
      <c r="AD6326" s="6">
        <v>0</v>
      </c>
      <c r="AE6326" s="14">
        <f>VLOOKUP(I6326,[2]媒体政策预估表!A:N,MATCH(O6326,[2]媒体政策预估表!$A$2:$M$2,0),0)</f>
        <v>0.09</v>
      </c>
      <c r="AF6326" s="6">
        <f t="shared" si="979"/>
        <v>0</v>
      </c>
      <c r="AG6326" s="14">
        <v>0</v>
      </c>
      <c r="AH6326" s="6">
        <f t="shared" si="974"/>
        <v>0</v>
      </c>
      <c r="AI6326" s="47"/>
      <c r="AJ6326" s="126" t="e">
        <v>#N/A</v>
      </c>
      <c r="AK6326" s="80">
        <f t="shared" si="978"/>
        <v>0</v>
      </c>
      <c r="AL6326" s="85"/>
      <c r="AM6326" s="85"/>
    </row>
    <row r="6327" spans="1:39" s="86" customFormat="1" ht="13.25" hidden="1" customHeight="1" x14ac:dyDescent="0.3">
      <c r="A6327" s="89" t="s">
        <v>3794</v>
      </c>
      <c r="B6327" s="86" t="s">
        <v>35</v>
      </c>
      <c r="C6327" s="86" t="s">
        <v>47</v>
      </c>
      <c r="D6327" s="86" t="s">
        <v>63</v>
      </c>
      <c r="E6327" s="86" t="s">
        <v>2418</v>
      </c>
      <c r="F6327" s="86" t="s">
        <v>2535</v>
      </c>
      <c r="G6327" s="86" t="s">
        <v>2418</v>
      </c>
      <c r="H6327" s="143">
        <v>237</v>
      </c>
      <c r="I6327" s="86" t="s">
        <v>2374</v>
      </c>
      <c r="J6327" s="1" t="s">
        <v>3322</v>
      </c>
      <c r="K6327" s="1" t="s">
        <v>3269</v>
      </c>
      <c r="L6327" s="1" t="s">
        <v>35</v>
      </c>
      <c r="M6327" s="86" t="s">
        <v>2420</v>
      </c>
      <c r="O6327" s="47" t="s">
        <v>410</v>
      </c>
      <c r="P6327" s="47" t="s">
        <v>46</v>
      </c>
      <c r="Q6327" s="14">
        <v>5.5E-2</v>
      </c>
      <c r="R6327" s="143"/>
      <c r="S6327" s="47"/>
      <c r="T6327" s="6">
        <v>-329218.61920002924</v>
      </c>
      <c r="U6327" s="6"/>
      <c r="V6327" s="6">
        <v>0</v>
      </c>
      <c r="W6327" s="6">
        <f t="shared" si="980"/>
        <v>-329218.61920002924</v>
      </c>
      <c r="X6327" s="6">
        <f t="shared" si="973"/>
        <v>0</v>
      </c>
      <c r="Y6327" s="13">
        <f t="shared" si="976"/>
        <v>0</v>
      </c>
      <c r="Z6327" s="14">
        <v>0</v>
      </c>
      <c r="AA6327" s="6">
        <v>0</v>
      </c>
      <c r="AB6327" s="4">
        <f t="shared" si="977"/>
        <v>0</v>
      </c>
      <c r="AC6327" s="6">
        <f t="shared" si="975"/>
        <v>0</v>
      </c>
      <c r="AD6327" s="6">
        <v>0</v>
      </c>
      <c r="AE6327" s="14">
        <f>VLOOKUP(I6327,[2]媒体政策预估表!A:N,MATCH(O6327,[2]媒体政策预估表!$A$2:$M$2,0),0)</f>
        <v>0</v>
      </c>
      <c r="AF6327" s="6">
        <f t="shared" si="979"/>
        <v>0</v>
      </c>
      <c r="AG6327" s="14">
        <v>0.12</v>
      </c>
      <c r="AH6327" s="6">
        <f t="shared" si="974"/>
        <v>0</v>
      </c>
      <c r="AI6327" s="47"/>
      <c r="AJ6327" s="126" t="e">
        <v>#N/A</v>
      </c>
      <c r="AK6327" s="80">
        <f t="shared" si="978"/>
        <v>0</v>
      </c>
      <c r="AL6327" s="85"/>
      <c r="AM6327" s="85"/>
    </row>
    <row r="6328" spans="1:39" s="86" customFormat="1" ht="13.25" hidden="1" customHeight="1" x14ac:dyDescent="0.3">
      <c r="A6328" s="89" t="s">
        <v>3792</v>
      </c>
      <c r="B6328" s="86" t="s">
        <v>35</v>
      </c>
      <c r="C6328" s="86" t="s">
        <v>144</v>
      </c>
      <c r="D6328" s="86" t="s">
        <v>145</v>
      </c>
      <c r="E6328" s="86" t="s">
        <v>2536</v>
      </c>
      <c r="F6328" s="86" t="s">
        <v>2536</v>
      </c>
      <c r="G6328" s="86" t="s">
        <v>2536</v>
      </c>
      <c r="H6328" s="143">
        <v>237</v>
      </c>
      <c r="I6328" s="86" t="s">
        <v>2374</v>
      </c>
      <c r="J6328" s="1" t="s">
        <v>3322</v>
      </c>
      <c r="K6328" s="1" t="s">
        <v>3269</v>
      </c>
      <c r="L6328" s="1" t="s">
        <v>35</v>
      </c>
      <c r="M6328" s="86" t="s">
        <v>2536</v>
      </c>
      <c r="O6328" s="47" t="s">
        <v>45</v>
      </c>
      <c r="P6328" s="47" t="s">
        <v>41</v>
      </c>
      <c r="Q6328" s="14">
        <v>0</v>
      </c>
      <c r="R6328" s="143"/>
      <c r="S6328" s="47"/>
      <c r="T6328" s="6">
        <v>-12128.130000000107</v>
      </c>
      <c r="U6328" s="6"/>
      <c r="V6328" s="6">
        <v>0</v>
      </c>
      <c r="W6328" s="6">
        <f t="shared" si="980"/>
        <v>-12128.130000000107</v>
      </c>
      <c r="X6328" s="6">
        <f t="shared" si="973"/>
        <v>0</v>
      </c>
      <c r="Y6328" s="13">
        <f t="shared" si="976"/>
        <v>0</v>
      </c>
      <c r="Z6328" s="14">
        <v>0</v>
      </c>
      <c r="AA6328" s="6">
        <v>0</v>
      </c>
      <c r="AB6328" s="4">
        <f t="shared" si="977"/>
        <v>0</v>
      </c>
      <c r="AC6328" s="6">
        <f t="shared" si="975"/>
        <v>0</v>
      </c>
      <c r="AD6328" s="6">
        <v>0</v>
      </c>
      <c r="AE6328" s="14">
        <f>VLOOKUP(I6328,[2]媒体政策预估表!A:N,MATCH(O6328,[2]媒体政策预估表!$A$2:$M$2,0),0)</f>
        <v>7.0000000000000007E-2</v>
      </c>
      <c r="AF6328" s="6">
        <f t="shared" si="979"/>
        <v>0</v>
      </c>
      <c r="AG6328" s="14">
        <v>0</v>
      </c>
      <c r="AH6328" s="6">
        <f t="shared" si="974"/>
        <v>0</v>
      </c>
      <c r="AI6328" s="47"/>
      <c r="AJ6328" s="126" t="e">
        <v>#N/A</v>
      </c>
      <c r="AK6328" s="80">
        <f t="shared" si="978"/>
        <v>0</v>
      </c>
      <c r="AL6328" s="85"/>
      <c r="AM6328" s="85"/>
    </row>
    <row r="6329" spans="1:39" s="86" customFormat="1" ht="13.25" hidden="1" customHeight="1" x14ac:dyDescent="0.3">
      <c r="A6329" s="89" t="s">
        <v>3792</v>
      </c>
      <c r="B6329" s="86" t="s">
        <v>35</v>
      </c>
      <c r="C6329" s="86" t="s">
        <v>144</v>
      </c>
      <c r="D6329" s="86" t="s">
        <v>145</v>
      </c>
      <c r="E6329" s="86" t="s">
        <v>2537</v>
      </c>
      <c r="F6329" s="86" t="s">
        <v>2537</v>
      </c>
      <c r="G6329" s="86" t="s">
        <v>2537</v>
      </c>
      <c r="H6329" s="143">
        <v>237</v>
      </c>
      <c r="I6329" s="86" t="s">
        <v>2374</v>
      </c>
      <c r="J6329" s="1" t="s">
        <v>3322</v>
      </c>
      <c r="K6329" s="1" t="s">
        <v>3269</v>
      </c>
      <c r="L6329" s="1" t="s">
        <v>35</v>
      </c>
      <c r="M6329" s="86" t="s">
        <v>2538</v>
      </c>
      <c r="O6329" s="47" t="s">
        <v>45</v>
      </c>
      <c r="P6329" s="47" t="s">
        <v>46</v>
      </c>
      <c r="Q6329" s="14">
        <v>0.02</v>
      </c>
      <c r="R6329" s="143"/>
      <c r="S6329" s="47"/>
      <c r="T6329" s="6">
        <v>5.6086000001450884</v>
      </c>
      <c r="U6329" s="6"/>
      <c r="V6329" s="6">
        <v>0</v>
      </c>
      <c r="W6329" s="6">
        <f t="shared" si="980"/>
        <v>5.6086000001450884</v>
      </c>
      <c r="X6329" s="6">
        <f t="shared" si="973"/>
        <v>0</v>
      </c>
      <c r="Y6329" s="13">
        <f t="shared" si="976"/>
        <v>0</v>
      </c>
      <c r="Z6329" s="14">
        <v>0</v>
      </c>
      <c r="AA6329" s="6">
        <v>0</v>
      </c>
      <c r="AB6329" s="4">
        <f t="shared" si="977"/>
        <v>0</v>
      </c>
      <c r="AC6329" s="6">
        <f t="shared" si="975"/>
        <v>0</v>
      </c>
      <c r="AD6329" s="6">
        <v>0</v>
      </c>
      <c r="AE6329" s="14">
        <f>VLOOKUP(I6329,[2]媒体政策预估表!A:N,MATCH(O6329,[2]媒体政策预估表!$A$2:$M$2,0),0)</f>
        <v>7.0000000000000007E-2</v>
      </c>
      <c r="AF6329" s="6">
        <f t="shared" si="979"/>
        <v>0</v>
      </c>
      <c r="AG6329" s="14">
        <v>0.02</v>
      </c>
      <c r="AH6329" s="6">
        <f t="shared" si="974"/>
        <v>0</v>
      </c>
      <c r="AI6329" s="47"/>
      <c r="AJ6329" s="126" t="e">
        <v>#N/A</v>
      </c>
      <c r="AK6329" s="80">
        <f t="shared" si="978"/>
        <v>0</v>
      </c>
      <c r="AL6329" s="85"/>
      <c r="AM6329" s="85"/>
    </row>
    <row r="6330" spans="1:39" s="86" customFormat="1" ht="13.25" hidden="1" customHeight="1" x14ac:dyDescent="0.3">
      <c r="A6330" s="89" t="s">
        <v>3794</v>
      </c>
      <c r="B6330" s="86" t="s">
        <v>35</v>
      </c>
      <c r="C6330" s="86" t="s">
        <v>144</v>
      </c>
      <c r="D6330" s="86" t="s">
        <v>152</v>
      </c>
      <c r="E6330" s="86" t="s">
        <v>2539</v>
      </c>
      <c r="F6330" s="86" t="s">
        <v>2539</v>
      </c>
      <c r="G6330" s="86" t="s">
        <v>2539</v>
      </c>
      <c r="H6330" s="143">
        <v>237</v>
      </c>
      <c r="I6330" s="86" t="s">
        <v>2374</v>
      </c>
      <c r="J6330" s="1" t="s">
        <v>3322</v>
      </c>
      <c r="K6330" s="1" t="s">
        <v>3269</v>
      </c>
      <c r="L6330" s="1" t="s">
        <v>35</v>
      </c>
      <c r="M6330" s="86" t="s">
        <v>2539</v>
      </c>
      <c r="O6330" s="47" t="s">
        <v>410</v>
      </c>
      <c r="P6330" s="47" t="s">
        <v>46</v>
      </c>
      <c r="Q6330" s="14">
        <v>0.02</v>
      </c>
      <c r="R6330" s="143"/>
      <c r="S6330" s="47"/>
      <c r="T6330" s="6">
        <v>22312.19</v>
      </c>
      <c r="U6330" s="6"/>
      <c r="V6330" s="6">
        <v>0</v>
      </c>
      <c r="W6330" s="6">
        <f t="shared" si="980"/>
        <v>22312.19</v>
      </c>
      <c r="X6330" s="6">
        <f t="shared" si="973"/>
        <v>0</v>
      </c>
      <c r="Y6330" s="13">
        <f t="shared" si="976"/>
        <v>0</v>
      </c>
      <c r="Z6330" s="14">
        <v>0</v>
      </c>
      <c r="AA6330" s="6">
        <v>0</v>
      </c>
      <c r="AB6330" s="4">
        <f t="shared" si="977"/>
        <v>0</v>
      </c>
      <c r="AC6330" s="6">
        <f t="shared" si="975"/>
        <v>0</v>
      </c>
      <c r="AD6330" s="6">
        <v>0</v>
      </c>
      <c r="AE6330" s="14">
        <f>VLOOKUP(I6330,[2]媒体政策预估表!A:N,MATCH(O6330,[2]媒体政策预估表!$A$2:$M$2,0),0)</f>
        <v>0</v>
      </c>
      <c r="AF6330" s="6">
        <f t="shared" si="979"/>
        <v>0</v>
      </c>
      <c r="AG6330" s="14">
        <v>0</v>
      </c>
      <c r="AH6330" s="6">
        <f t="shared" si="974"/>
        <v>0</v>
      </c>
      <c r="AI6330" s="47"/>
      <c r="AJ6330" s="126" t="e">
        <v>#N/A</v>
      </c>
      <c r="AK6330" s="80">
        <f t="shared" si="978"/>
        <v>0</v>
      </c>
      <c r="AL6330" s="85"/>
      <c r="AM6330" s="85"/>
    </row>
    <row r="6331" spans="1:39" s="86" customFormat="1" ht="13.25" hidden="1" customHeight="1" x14ac:dyDescent="0.3">
      <c r="A6331" s="89" t="s">
        <v>3794</v>
      </c>
      <c r="B6331" s="86" t="s">
        <v>35</v>
      </c>
      <c r="C6331" s="86" t="s">
        <v>144</v>
      </c>
      <c r="D6331" s="86" t="s">
        <v>152</v>
      </c>
      <c r="E6331" s="86" t="s">
        <v>2540</v>
      </c>
      <c r="F6331" s="86" t="s">
        <v>2541</v>
      </c>
      <c r="G6331" s="86" t="s">
        <v>2540</v>
      </c>
      <c r="H6331" s="143">
        <v>237</v>
      </c>
      <c r="I6331" s="86" t="s">
        <v>2374</v>
      </c>
      <c r="J6331" s="1" t="s">
        <v>3322</v>
      </c>
      <c r="K6331" s="1" t="s">
        <v>3269</v>
      </c>
      <c r="L6331" s="1" t="s">
        <v>35</v>
      </c>
      <c r="M6331" s="86" t="s">
        <v>2540</v>
      </c>
      <c r="O6331" s="47" t="s">
        <v>45</v>
      </c>
      <c r="P6331" s="47" t="s">
        <v>46</v>
      </c>
      <c r="Q6331" s="14">
        <v>0.02</v>
      </c>
      <c r="R6331" s="143"/>
      <c r="S6331" s="47"/>
      <c r="T6331" s="6">
        <v>6197.05</v>
      </c>
      <c r="U6331" s="6"/>
      <c r="V6331" s="6">
        <v>0</v>
      </c>
      <c r="W6331" s="6">
        <f t="shared" si="980"/>
        <v>6197.05</v>
      </c>
      <c r="X6331" s="6">
        <f t="shared" si="973"/>
        <v>0</v>
      </c>
      <c r="Y6331" s="13">
        <f t="shared" si="976"/>
        <v>0</v>
      </c>
      <c r="Z6331" s="14">
        <v>0</v>
      </c>
      <c r="AA6331" s="6">
        <v>0</v>
      </c>
      <c r="AB6331" s="4">
        <f t="shared" si="977"/>
        <v>0</v>
      </c>
      <c r="AC6331" s="6">
        <f t="shared" si="975"/>
        <v>0</v>
      </c>
      <c r="AD6331" s="6">
        <v>0</v>
      </c>
      <c r="AE6331" s="14">
        <f>VLOOKUP(I6331,[2]媒体政策预估表!A:N,MATCH(O6331,[2]媒体政策预估表!$A$2:$M$2,0),0)</f>
        <v>7.0000000000000007E-2</v>
      </c>
      <c r="AF6331" s="6">
        <f t="shared" si="979"/>
        <v>0</v>
      </c>
      <c r="AG6331" s="14">
        <v>0</v>
      </c>
      <c r="AH6331" s="6">
        <f t="shared" si="974"/>
        <v>0</v>
      </c>
      <c r="AI6331" s="47"/>
      <c r="AJ6331" s="126" t="e">
        <v>#N/A</v>
      </c>
      <c r="AK6331" s="80">
        <f t="shared" si="978"/>
        <v>0</v>
      </c>
      <c r="AL6331" s="85"/>
      <c r="AM6331" s="85"/>
    </row>
    <row r="6332" spans="1:39" s="86" customFormat="1" ht="13.25" hidden="1" customHeight="1" x14ac:dyDescent="0.3">
      <c r="A6332" s="89" t="s">
        <v>3794</v>
      </c>
      <c r="B6332" s="86" t="s">
        <v>35</v>
      </c>
      <c r="C6332" s="86" t="s">
        <v>144</v>
      </c>
      <c r="D6332" s="86" t="s">
        <v>161</v>
      </c>
      <c r="E6332" s="86" t="s">
        <v>2522</v>
      </c>
      <c r="F6332" s="86" t="s">
        <v>2522</v>
      </c>
      <c r="G6332" s="86" t="s">
        <v>2522</v>
      </c>
      <c r="H6332" s="143">
        <v>237</v>
      </c>
      <c r="I6332" s="86" t="s">
        <v>2374</v>
      </c>
      <c r="J6332" s="1" t="s">
        <v>3322</v>
      </c>
      <c r="K6332" s="1" t="s">
        <v>3269</v>
      </c>
      <c r="L6332" s="1" t="s">
        <v>35</v>
      </c>
      <c r="M6332" s="86" t="s">
        <v>2433</v>
      </c>
      <c r="O6332" s="47" t="s">
        <v>40</v>
      </c>
      <c r="P6332" s="47" t="s">
        <v>46</v>
      </c>
      <c r="Q6332" s="14">
        <v>0.02</v>
      </c>
      <c r="R6332" s="143"/>
      <c r="S6332" s="47"/>
      <c r="T6332" s="6">
        <v>13256.449999999999</v>
      </c>
      <c r="U6332" s="6"/>
      <c r="V6332" s="6">
        <v>0</v>
      </c>
      <c r="W6332" s="6">
        <f t="shared" si="980"/>
        <v>13256.449999999999</v>
      </c>
      <c r="X6332" s="6">
        <f t="shared" ref="X6332:X6381" si="981">IF(P6332="折扣",V6332*Q6332,IF(P6332="返现",V6332,V6332/(1+Q6332+AG6332)))</f>
        <v>0</v>
      </c>
      <c r="Y6332" s="13">
        <f t="shared" si="976"/>
        <v>0</v>
      </c>
      <c r="Z6332" s="14">
        <v>0</v>
      </c>
      <c r="AA6332" s="6">
        <v>0</v>
      </c>
      <c r="AB6332" s="4">
        <f t="shared" si="977"/>
        <v>0</v>
      </c>
      <c r="AC6332" s="6">
        <f t="shared" si="975"/>
        <v>0</v>
      </c>
      <c r="AD6332" s="6">
        <v>0</v>
      </c>
      <c r="AE6332" s="14">
        <f>VLOOKUP(I6332,[2]媒体政策预估表!A:N,MATCH(O6332,[2]媒体政策预估表!$A$2:$M$2,0),0)</f>
        <v>0.09</v>
      </c>
      <c r="AF6332" s="6">
        <f t="shared" si="979"/>
        <v>0</v>
      </c>
      <c r="AG6332" s="14">
        <v>0</v>
      </c>
      <c r="AH6332" s="6">
        <f t="shared" ref="AH6332:AH6382" si="982">V6332/(1+AG6332)</f>
        <v>0</v>
      </c>
      <c r="AI6332" s="47"/>
      <c r="AJ6332" s="126" t="e">
        <v>#N/A</v>
      </c>
      <c r="AK6332" s="80">
        <f t="shared" si="978"/>
        <v>0</v>
      </c>
      <c r="AL6332" s="85"/>
      <c r="AM6332" s="85"/>
    </row>
    <row r="6333" spans="1:39" s="86" customFormat="1" ht="13.25" hidden="1" customHeight="1" x14ac:dyDescent="0.3">
      <c r="A6333" s="89" t="s">
        <v>3794</v>
      </c>
      <c r="B6333" s="86" t="s">
        <v>35</v>
      </c>
      <c r="C6333" s="86" t="s">
        <v>144</v>
      </c>
      <c r="D6333" s="86" t="s">
        <v>161</v>
      </c>
      <c r="E6333" s="86" t="s">
        <v>2542</v>
      </c>
      <c r="F6333" s="86" t="s">
        <v>2542</v>
      </c>
      <c r="G6333" s="86" t="s">
        <v>2542</v>
      </c>
      <c r="H6333" s="143">
        <v>237</v>
      </c>
      <c r="I6333" s="86" t="s">
        <v>2374</v>
      </c>
      <c r="J6333" s="1" t="s">
        <v>3322</v>
      </c>
      <c r="K6333" s="1" t="s">
        <v>3269</v>
      </c>
      <c r="L6333" s="1" t="s">
        <v>35</v>
      </c>
      <c r="M6333" s="86" t="s">
        <v>2148</v>
      </c>
      <c r="O6333" s="47" t="s">
        <v>410</v>
      </c>
      <c r="P6333" s="47" t="s">
        <v>41</v>
      </c>
      <c r="Q6333" s="14">
        <v>0</v>
      </c>
      <c r="R6333" s="143"/>
      <c r="S6333" s="47"/>
      <c r="T6333" s="6">
        <v>58598.229999999996</v>
      </c>
      <c r="U6333" s="6"/>
      <c r="V6333" s="6">
        <v>0</v>
      </c>
      <c r="W6333" s="6">
        <f t="shared" si="980"/>
        <v>58598.229999999996</v>
      </c>
      <c r="X6333" s="6">
        <f t="shared" si="981"/>
        <v>0</v>
      </c>
      <c r="Y6333" s="13">
        <f t="shared" si="976"/>
        <v>0</v>
      </c>
      <c r="Z6333" s="14">
        <v>0</v>
      </c>
      <c r="AA6333" s="6">
        <v>0</v>
      </c>
      <c r="AB6333" s="4">
        <f t="shared" si="977"/>
        <v>0</v>
      </c>
      <c r="AC6333" s="6">
        <f t="shared" si="975"/>
        <v>0</v>
      </c>
      <c r="AD6333" s="6">
        <v>0</v>
      </c>
      <c r="AE6333" s="14">
        <f>VLOOKUP(I6333,[2]媒体政策预估表!A:N,MATCH(O6333,[2]媒体政策预估表!$A$2:$M$2,0),0)</f>
        <v>0</v>
      </c>
      <c r="AF6333" s="6">
        <f t="shared" si="979"/>
        <v>0</v>
      </c>
      <c r="AG6333" s="14">
        <v>0.02</v>
      </c>
      <c r="AH6333" s="6">
        <f t="shared" si="982"/>
        <v>0</v>
      </c>
      <c r="AI6333" s="47"/>
      <c r="AJ6333" s="126" t="e">
        <v>#N/A</v>
      </c>
      <c r="AK6333" s="80">
        <f t="shared" si="978"/>
        <v>0</v>
      </c>
      <c r="AL6333" s="85"/>
      <c r="AM6333" s="85"/>
    </row>
    <row r="6334" spans="1:39" s="86" customFormat="1" ht="13.25" hidden="1" customHeight="1" x14ac:dyDescent="0.3">
      <c r="A6334" s="89" t="s">
        <v>3794</v>
      </c>
      <c r="B6334" s="86" t="s">
        <v>35</v>
      </c>
      <c r="C6334" s="86" t="s">
        <v>164</v>
      </c>
      <c r="D6334" s="86" t="s">
        <v>174</v>
      </c>
      <c r="E6334" s="86" t="s">
        <v>2543</v>
      </c>
      <c r="F6334" s="86" t="s">
        <v>2544</v>
      </c>
      <c r="G6334" s="86" t="s">
        <v>2543</v>
      </c>
      <c r="H6334" s="143">
        <v>237</v>
      </c>
      <c r="I6334" s="86" t="s">
        <v>2374</v>
      </c>
      <c r="J6334" s="1" t="s">
        <v>3322</v>
      </c>
      <c r="K6334" s="1" t="s">
        <v>3269</v>
      </c>
      <c r="L6334" s="1" t="s">
        <v>35</v>
      </c>
      <c r="M6334" s="86" t="s">
        <v>2543</v>
      </c>
      <c r="O6334" s="47" t="s">
        <v>45</v>
      </c>
      <c r="P6334" s="47" t="s">
        <v>41</v>
      </c>
      <c r="Q6334" s="14">
        <v>0</v>
      </c>
      <c r="R6334" s="143"/>
      <c r="S6334" s="47"/>
      <c r="T6334" s="6">
        <v>26818.16</v>
      </c>
      <c r="U6334" s="6"/>
      <c r="V6334" s="6">
        <v>0</v>
      </c>
      <c r="W6334" s="6">
        <f t="shared" si="980"/>
        <v>26818.16</v>
      </c>
      <c r="X6334" s="6">
        <f t="shared" si="981"/>
        <v>0</v>
      </c>
      <c r="Y6334" s="13">
        <f t="shared" si="976"/>
        <v>0</v>
      </c>
      <c r="Z6334" s="14">
        <v>0</v>
      </c>
      <c r="AA6334" s="6">
        <v>0</v>
      </c>
      <c r="AB6334" s="4">
        <f t="shared" si="977"/>
        <v>0</v>
      </c>
      <c r="AC6334" s="6">
        <f t="shared" ref="AC6334:AC6397" si="983">IF(P6334="返现",X6334*Q6334,V6334-X6334)</f>
        <v>0</v>
      </c>
      <c r="AD6334" s="6">
        <v>0</v>
      </c>
      <c r="AE6334" s="14">
        <f>VLOOKUP(I6334,[2]媒体政策预估表!A:N,MATCH(O6334,[2]媒体政策预估表!$A$2:$M$2,0),0)</f>
        <v>7.0000000000000007E-2</v>
      </c>
      <c r="AF6334" s="6">
        <f t="shared" si="979"/>
        <v>0</v>
      </c>
      <c r="AG6334" s="14">
        <v>0</v>
      </c>
      <c r="AH6334" s="6">
        <f t="shared" si="982"/>
        <v>0</v>
      </c>
      <c r="AI6334" s="47"/>
      <c r="AJ6334" s="126" t="e">
        <v>#N/A</v>
      </c>
      <c r="AK6334" s="80">
        <f t="shared" si="978"/>
        <v>0</v>
      </c>
      <c r="AL6334" s="85"/>
      <c r="AM6334" s="85"/>
    </row>
    <row r="6335" spans="1:39" s="86" customFormat="1" ht="13.25" hidden="1" customHeight="1" x14ac:dyDescent="0.3">
      <c r="A6335" s="89" t="s">
        <v>3792</v>
      </c>
      <c r="B6335" s="86" t="s">
        <v>35</v>
      </c>
      <c r="C6335" s="86" t="s">
        <v>184</v>
      </c>
      <c r="D6335" s="86" t="s">
        <v>224</v>
      </c>
      <c r="E6335" s="86" t="s">
        <v>2545</v>
      </c>
      <c r="F6335" s="86" t="s">
        <v>2545</v>
      </c>
      <c r="G6335" s="86" t="s">
        <v>2545</v>
      </c>
      <c r="H6335" s="143">
        <v>237</v>
      </c>
      <c r="I6335" s="86" t="s">
        <v>2374</v>
      </c>
      <c r="J6335" s="1" t="s">
        <v>3322</v>
      </c>
      <c r="K6335" s="1" t="s">
        <v>3269</v>
      </c>
      <c r="L6335" s="1" t="s">
        <v>35</v>
      </c>
      <c r="M6335" s="86" t="s">
        <v>2545</v>
      </c>
      <c r="O6335" s="47" t="s">
        <v>410</v>
      </c>
      <c r="P6335" s="47" t="s">
        <v>46</v>
      </c>
      <c r="Q6335" s="14">
        <v>0.02</v>
      </c>
      <c r="R6335" s="143"/>
      <c r="S6335" s="47"/>
      <c r="T6335" s="6">
        <v>7020</v>
      </c>
      <c r="U6335" s="6"/>
      <c r="V6335" s="6">
        <v>0</v>
      </c>
      <c r="W6335" s="6">
        <f t="shared" si="980"/>
        <v>7020</v>
      </c>
      <c r="X6335" s="6">
        <f t="shared" si="981"/>
        <v>0</v>
      </c>
      <c r="Y6335" s="13">
        <f t="shared" si="976"/>
        <v>0</v>
      </c>
      <c r="Z6335" s="14">
        <v>0</v>
      </c>
      <c r="AA6335" s="6">
        <v>0</v>
      </c>
      <c r="AB6335" s="4">
        <f t="shared" si="977"/>
        <v>0</v>
      </c>
      <c r="AC6335" s="6">
        <f t="shared" si="983"/>
        <v>0</v>
      </c>
      <c r="AD6335" s="6">
        <v>0</v>
      </c>
      <c r="AE6335" s="14">
        <f>VLOOKUP(I6335,[2]媒体政策预估表!A:N,MATCH(O6335,[2]媒体政策预估表!$A$2:$M$2,0),0)</f>
        <v>0</v>
      </c>
      <c r="AF6335" s="6">
        <f t="shared" si="979"/>
        <v>0</v>
      </c>
      <c r="AG6335" s="14">
        <v>0</v>
      </c>
      <c r="AH6335" s="6">
        <f t="shared" si="982"/>
        <v>0</v>
      </c>
      <c r="AI6335" s="47"/>
      <c r="AJ6335" s="126" t="e">
        <v>#N/A</v>
      </c>
      <c r="AK6335" s="80">
        <f t="shared" si="978"/>
        <v>0</v>
      </c>
      <c r="AL6335" s="85"/>
      <c r="AM6335" s="85"/>
    </row>
    <row r="6336" spans="1:39" s="86" customFormat="1" ht="13.25" hidden="1" customHeight="1" x14ac:dyDescent="0.3">
      <c r="A6336" s="89" t="s">
        <v>3794</v>
      </c>
      <c r="B6336" s="86" t="s">
        <v>35</v>
      </c>
      <c r="C6336" s="86" t="s">
        <v>184</v>
      </c>
      <c r="D6336" s="86" t="s">
        <v>54</v>
      </c>
      <c r="E6336" s="86" t="s">
        <v>2546</v>
      </c>
      <c r="F6336" s="86" t="s">
        <v>2546</v>
      </c>
      <c r="G6336" s="86" t="s">
        <v>2546</v>
      </c>
      <c r="H6336" s="143">
        <v>237</v>
      </c>
      <c r="I6336" s="86" t="s">
        <v>2374</v>
      </c>
      <c r="J6336" s="1" t="s">
        <v>3322</v>
      </c>
      <c r="K6336" s="1" t="s">
        <v>3269</v>
      </c>
      <c r="L6336" s="1" t="s">
        <v>35</v>
      </c>
      <c r="M6336" s="86" t="s">
        <v>2546</v>
      </c>
      <c r="O6336" s="47" t="s">
        <v>45</v>
      </c>
      <c r="P6336" s="47" t="s">
        <v>41</v>
      </c>
      <c r="Q6336" s="14">
        <v>0</v>
      </c>
      <c r="R6336" s="143"/>
      <c r="S6336" s="47"/>
      <c r="T6336" s="6">
        <v>62133.369999999995</v>
      </c>
      <c r="U6336" s="6"/>
      <c r="V6336" s="6">
        <v>0</v>
      </c>
      <c r="W6336" s="6">
        <f t="shared" si="980"/>
        <v>62133.369999999995</v>
      </c>
      <c r="X6336" s="6">
        <f t="shared" si="981"/>
        <v>0</v>
      </c>
      <c r="Y6336" s="13">
        <f t="shared" si="976"/>
        <v>0</v>
      </c>
      <c r="Z6336" s="14">
        <v>0</v>
      </c>
      <c r="AA6336" s="6">
        <v>0</v>
      </c>
      <c r="AB6336" s="4">
        <f t="shared" si="977"/>
        <v>0</v>
      </c>
      <c r="AC6336" s="6">
        <f t="shared" si="983"/>
        <v>0</v>
      </c>
      <c r="AD6336" s="6">
        <v>0</v>
      </c>
      <c r="AE6336" s="14">
        <f>VLOOKUP(I6336,[2]媒体政策预估表!A:N,MATCH(O6336,[2]媒体政策预估表!$A$2:$M$2,0),0)</f>
        <v>7.0000000000000007E-2</v>
      </c>
      <c r="AF6336" s="6">
        <f t="shared" si="979"/>
        <v>0</v>
      </c>
      <c r="AG6336" s="14">
        <v>0</v>
      </c>
      <c r="AH6336" s="6">
        <f t="shared" si="982"/>
        <v>0</v>
      </c>
      <c r="AI6336" s="47"/>
      <c r="AJ6336" s="126" t="e">
        <v>#N/A</v>
      </c>
      <c r="AK6336" s="80">
        <f t="shared" si="978"/>
        <v>0</v>
      </c>
      <c r="AL6336" s="85"/>
      <c r="AM6336" s="85"/>
    </row>
    <row r="6337" spans="1:39" s="86" customFormat="1" ht="13.25" hidden="1" customHeight="1" x14ac:dyDescent="0.3">
      <c r="A6337" s="89" t="s">
        <v>3794</v>
      </c>
      <c r="B6337" s="86" t="s">
        <v>35</v>
      </c>
      <c r="C6337" s="86" t="s">
        <v>184</v>
      </c>
      <c r="D6337" s="86" t="s">
        <v>54</v>
      </c>
      <c r="E6337" s="86" t="s">
        <v>2546</v>
      </c>
      <c r="F6337" s="86" t="s">
        <v>2546</v>
      </c>
      <c r="G6337" s="86" t="s">
        <v>2546</v>
      </c>
      <c r="H6337" s="143">
        <v>237</v>
      </c>
      <c r="I6337" s="86" t="s">
        <v>2374</v>
      </c>
      <c r="J6337" s="1" t="s">
        <v>3322</v>
      </c>
      <c r="K6337" s="1" t="s">
        <v>3269</v>
      </c>
      <c r="L6337" s="1" t="s">
        <v>35</v>
      </c>
      <c r="M6337" s="86" t="s">
        <v>2546</v>
      </c>
      <c r="O6337" s="47" t="s">
        <v>40</v>
      </c>
      <c r="P6337" s="47" t="s">
        <v>41</v>
      </c>
      <c r="Q6337" s="14">
        <v>0</v>
      </c>
      <c r="R6337" s="143"/>
      <c r="S6337" s="47"/>
      <c r="T6337" s="6">
        <v>60000</v>
      </c>
      <c r="U6337" s="6"/>
      <c r="V6337" s="6">
        <v>0</v>
      </c>
      <c r="W6337" s="6">
        <f t="shared" si="980"/>
        <v>60000</v>
      </c>
      <c r="X6337" s="6">
        <f t="shared" si="981"/>
        <v>0</v>
      </c>
      <c r="Y6337" s="13">
        <f t="shared" si="976"/>
        <v>0</v>
      </c>
      <c r="Z6337" s="14">
        <v>0</v>
      </c>
      <c r="AA6337" s="6">
        <v>0</v>
      </c>
      <c r="AB6337" s="4">
        <f t="shared" si="977"/>
        <v>0</v>
      </c>
      <c r="AC6337" s="6">
        <f t="shared" si="983"/>
        <v>0</v>
      </c>
      <c r="AD6337" s="6">
        <v>0</v>
      </c>
      <c r="AE6337" s="14">
        <f>VLOOKUP(I6337,[2]媒体政策预估表!A:N,MATCH(O6337,[2]媒体政策预估表!$A$2:$M$2,0),0)</f>
        <v>0.09</v>
      </c>
      <c r="AF6337" s="6">
        <f t="shared" si="979"/>
        <v>0</v>
      </c>
      <c r="AG6337" s="14">
        <v>0</v>
      </c>
      <c r="AH6337" s="6">
        <f t="shared" si="982"/>
        <v>0</v>
      </c>
      <c r="AI6337" s="47"/>
      <c r="AJ6337" s="126" t="e">
        <v>#N/A</v>
      </c>
      <c r="AK6337" s="80">
        <f t="shared" si="978"/>
        <v>0</v>
      </c>
      <c r="AL6337" s="85"/>
      <c r="AM6337" s="85"/>
    </row>
    <row r="6338" spans="1:39" s="86" customFormat="1" ht="13.25" hidden="1" customHeight="1" x14ac:dyDescent="0.3">
      <c r="A6338" s="89" t="s">
        <v>3792</v>
      </c>
      <c r="B6338" s="86" t="s">
        <v>35</v>
      </c>
      <c r="C6338" s="86" t="s">
        <v>184</v>
      </c>
      <c r="D6338" s="86" t="s">
        <v>54</v>
      </c>
      <c r="E6338" s="86" t="s">
        <v>2547</v>
      </c>
      <c r="F6338" s="86" t="s">
        <v>2547</v>
      </c>
      <c r="G6338" s="86" t="s">
        <v>2547</v>
      </c>
      <c r="H6338" s="144">
        <v>237</v>
      </c>
      <c r="I6338" s="86" t="s">
        <v>2374</v>
      </c>
      <c r="J6338" s="1" t="s">
        <v>3322</v>
      </c>
      <c r="K6338" s="1" t="s">
        <v>3269</v>
      </c>
      <c r="L6338" s="1" t="s">
        <v>35</v>
      </c>
      <c r="M6338" s="86" t="s">
        <v>2472</v>
      </c>
      <c r="O6338" s="47" t="s">
        <v>45</v>
      </c>
      <c r="P6338" s="47" t="s">
        <v>46</v>
      </c>
      <c r="Q6338" s="14">
        <v>0.05</v>
      </c>
      <c r="R6338" s="143"/>
      <c r="S6338" s="47"/>
      <c r="T6338" s="6">
        <v>124154.45999999973</v>
      </c>
      <c r="U6338" s="6"/>
      <c r="V6338" s="6">
        <v>124154.45999999973</v>
      </c>
      <c r="W6338" s="6">
        <f t="shared" si="980"/>
        <v>0</v>
      </c>
      <c r="X6338" s="6">
        <f t="shared" si="981"/>
        <v>110852.19642857117</v>
      </c>
      <c r="Y6338" s="13">
        <f t="shared" si="976"/>
        <v>110852.19642857117</v>
      </c>
      <c r="Z6338" s="14">
        <v>0</v>
      </c>
      <c r="AA6338" s="6">
        <v>0</v>
      </c>
      <c r="AB6338" s="4">
        <f t="shared" si="977"/>
        <v>110852.19642857117</v>
      </c>
      <c r="AC6338" s="6">
        <f t="shared" si="983"/>
        <v>13302.263571428557</v>
      </c>
      <c r="AD6338" s="6">
        <v>0</v>
      </c>
      <c r="AE6338" s="14">
        <f>VLOOKUP(I6338,[2]媒体政策预估表!A:N,MATCH(O6338,[2]媒体政策预估表!$A$2:$M$2,0),0)</f>
        <v>7.0000000000000007E-2</v>
      </c>
      <c r="AF6338" s="6">
        <f t="shared" si="979"/>
        <v>0</v>
      </c>
      <c r="AG6338" s="14">
        <v>7.0000000000000007E-2</v>
      </c>
      <c r="AH6338" s="6">
        <f t="shared" si="982"/>
        <v>116032.20560747638</v>
      </c>
      <c r="AI6338" s="47"/>
      <c r="AJ6338" s="126" t="e">
        <v>#N/A</v>
      </c>
      <c r="AK6338" s="80">
        <f t="shared" si="978"/>
        <v>0</v>
      </c>
      <c r="AL6338" s="85"/>
      <c r="AM6338" s="85"/>
    </row>
    <row r="6339" spans="1:39" s="86" customFormat="1" ht="13.25" hidden="1" customHeight="1" x14ac:dyDescent="0.3">
      <c r="A6339" s="89" t="s">
        <v>3794</v>
      </c>
      <c r="B6339" s="86" t="s">
        <v>35</v>
      </c>
      <c r="C6339" s="86" t="s">
        <v>187</v>
      </c>
      <c r="D6339" s="86" t="s">
        <v>188</v>
      </c>
      <c r="E6339" s="86" t="s">
        <v>189</v>
      </c>
      <c r="F6339" s="86" t="s">
        <v>189</v>
      </c>
      <c r="G6339" s="86" t="s">
        <v>189</v>
      </c>
      <c r="H6339" s="143">
        <v>237</v>
      </c>
      <c r="I6339" s="86" t="s">
        <v>2374</v>
      </c>
      <c r="J6339" s="1" t="s">
        <v>3322</v>
      </c>
      <c r="K6339" s="1" t="s">
        <v>3269</v>
      </c>
      <c r="L6339" s="1" t="s">
        <v>35</v>
      </c>
      <c r="M6339" s="86" t="s">
        <v>2501</v>
      </c>
      <c r="O6339" s="47" t="s">
        <v>40</v>
      </c>
      <c r="P6339" s="47" t="s">
        <v>46</v>
      </c>
      <c r="Q6339" s="14">
        <v>0.09</v>
      </c>
      <c r="R6339" s="143"/>
      <c r="S6339" s="47"/>
      <c r="T6339" s="6">
        <v>-7433.9479452040014</v>
      </c>
      <c r="U6339" s="6"/>
      <c r="V6339" s="6">
        <v>0</v>
      </c>
      <c r="W6339" s="6">
        <f t="shared" si="980"/>
        <v>-7433.9479452040014</v>
      </c>
      <c r="X6339" s="6">
        <f t="shared" si="981"/>
        <v>0</v>
      </c>
      <c r="Y6339" s="13">
        <f t="shared" ref="Y6339:Y6402" si="984">IF(X6339-AD6339&lt;=0,0,IF(P6339="返现",MAX(X6339-AC6339-AD6339,0),MAX(X6339-AD6339)))</f>
        <v>0</v>
      </c>
      <c r="Z6339" s="14">
        <v>0</v>
      </c>
      <c r="AA6339" s="6">
        <v>0</v>
      </c>
      <c r="AB6339" s="4">
        <f t="shared" ref="AB6339:AB6402" si="985">X6339+AA6339</f>
        <v>0</v>
      </c>
      <c r="AC6339" s="6">
        <f t="shared" si="983"/>
        <v>0</v>
      </c>
      <c r="AD6339" s="6">
        <v>0</v>
      </c>
      <c r="AE6339" s="14">
        <f>VLOOKUP(I6339,[2]媒体政策预估表!A:N,MATCH(O6339,[2]媒体政策预估表!$A$2:$M$2,0),0)</f>
        <v>0.09</v>
      </c>
      <c r="AF6339" s="6">
        <f t="shared" si="979"/>
        <v>0</v>
      </c>
      <c r="AG6339" s="14">
        <v>0.46</v>
      </c>
      <c r="AH6339" s="6">
        <f t="shared" si="982"/>
        <v>0</v>
      </c>
      <c r="AI6339" s="47"/>
      <c r="AJ6339" s="126" t="e">
        <v>#N/A</v>
      </c>
      <c r="AK6339" s="80">
        <f t="shared" ref="AK6339:AK6402" si="986">X6339+AA6339-AB6339</f>
        <v>0</v>
      </c>
      <c r="AL6339" s="85"/>
      <c r="AM6339" s="85"/>
    </row>
    <row r="6340" spans="1:39" s="86" customFormat="1" ht="13.25" hidden="1" customHeight="1" x14ac:dyDescent="0.3">
      <c r="A6340" s="89" t="s">
        <v>3792</v>
      </c>
      <c r="B6340" s="86" t="s">
        <v>35</v>
      </c>
      <c r="C6340" s="86" t="s">
        <v>187</v>
      </c>
      <c r="D6340" s="86" t="s">
        <v>188</v>
      </c>
      <c r="E6340" s="86" t="s">
        <v>2548</v>
      </c>
      <c r="F6340" s="86" t="s">
        <v>2549</v>
      </c>
      <c r="G6340" s="86" t="s">
        <v>2548</v>
      </c>
      <c r="H6340" s="143">
        <v>237</v>
      </c>
      <c r="I6340" s="86" t="s">
        <v>2374</v>
      </c>
      <c r="J6340" s="1" t="s">
        <v>3322</v>
      </c>
      <c r="K6340" s="1" t="s">
        <v>3269</v>
      </c>
      <c r="L6340" s="1" t="s">
        <v>35</v>
      </c>
      <c r="M6340" s="86" t="s">
        <v>2548</v>
      </c>
      <c r="O6340" s="47" t="s">
        <v>40</v>
      </c>
      <c r="P6340" s="47" t="s">
        <v>46</v>
      </c>
      <c r="Q6340" s="14">
        <v>0.10879999999999999</v>
      </c>
      <c r="R6340" s="143"/>
      <c r="S6340" s="47"/>
      <c r="T6340" s="6">
        <v>468097.95999999996</v>
      </c>
      <c r="U6340" s="6"/>
      <c r="V6340" s="6">
        <v>0</v>
      </c>
      <c r="W6340" s="6">
        <f t="shared" si="980"/>
        <v>468097.95999999996</v>
      </c>
      <c r="X6340" s="6">
        <f t="shared" si="981"/>
        <v>0</v>
      </c>
      <c r="Y6340" s="13">
        <f t="shared" si="984"/>
        <v>0</v>
      </c>
      <c r="Z6340" s="14">
        <v>0</v>
      </c>
      <c r="AA6340" s="6">
        <v>0</v>
      </c>
      <c r="AB6340" s="4">
        <f t="shared" si="985"/>
        <v>0</v>
      </c>
      <c r="AC6340" s="6">
        <f t="shared" si="983"/>
        <v>0</v>
      </c>
      <c r="AD6340" s="6">
        <v>0</v>
      </c>
      <c r="AE6340" s="14">
        <f>VLOOKUP(I6340,[2]媒体政策预估表!A:N,MATCH(O6340,[2]媒体政策预估表!$A$2:$M$2,0),0)</f>
        <v>0.09</v>
      </c>
      <c r="AF6340" s="6">
        <f t="shared" si="979"/>
        <v>0</v>
      </c>
      <c r="AG6340" s="14">
        <v>0.36</v>
      </c>
      <c r="AH6340" s="6">
        <f t="shared" si="982"/>
        <v>0</v>
      </c>
      <c r="AI6340" s="47"/>
      <c r="AJ6340" s="126" t="e">
        <v>#N/A</v>
      </c>
      <c r="AK6340" s="80">
        <f t="shared" si="986"/>
        <v>0</v>
      </c>
      <c r="AL6340" s="85"/>
      <c r="AM6340" s="85"/>
    </row>
    <row r="6341" spans="1:39" s="86" customFormat="1" ht="13.25" hidden="1" customHeight="1" x14ac:dyDescent="0.3">
      <c r="A6341" s="89" t="s">
        <v>3792</v>
      </c>
      <c r="B6341" s="86" t="s">
        <v>35</v>
      </c>
      <c r="C6341" s="86" t="s">
        <v>187</v>
      </c>
      <c r="D6341" s="86" t="s">
        <v>188</v>
      </c>
      <c r="E6341" s="86" t="s">
        <v>2550</v>
      </c>
      <c r="F6341" s="86" t="s">
        <v>2550</v>
      </c>
      <c r="G6341" s="86" t="s">
        <v>2550</v>
      </c>
      <c r="H6341" s="143">
        <v>237</v>
      </c>
      <c r="I6341" s="86" t="s">
        <v>2374</v>
      </c>
      <c r="J6341" s="1" t="s">
        <v>3322</v>
      </c>
      <c r="K6341" s="1" t="s">
        <v>3269</v>
      </c>
      <c r="L6341" s="1" t="s">
        <v>35</v>
      </c>
      <c r="M6341" s="86" t="s">
        <v>2501</v>
      </c>
      <c r="O6341" s="47" t="s">
        <v>40</v>
      </c>
      <c r="P6341" s="47" t="s">
        <v>46</v>
      </c>
      <c r="Q6341" s="14">
        <v>0.12000000000000005</v>
      </c>
      <c r="R6341" s="143"/>
      <c r="S6341" s="47"/>
      <c r="T6341" s="6">
        <v>-21373.010720540897</v>
      </c>
      <c r="U6341" s="6"/>
      <c r="V6341" s="6">
        <v>0</v>
      </c>
      <c r="W6341" s="6">
        <f t="shared" si="980"/>
        <v>-21373.010720540897</v>
      </c>
      <c r="X6341" s="6">
        <f t="shared" si="981"/>
        <v>0</v>
      </c>
      <c r="Y6341" s="13">
        <f t="shared" si="984"/>
        <v>0</v>
      </c>
      <c r="Z6341" s="14">
        <v>0</v>
      </c>
      <c r="AA6341" s="6">
        <v>0</v>
      </c>
      <c r="AB6341" s="4">
        <f t="shared" si="985"/>
        <v>0</v>
      </c>
      <c r="AC6341" s="6">
        <f t="shared" si="983"/>
        <v>0</v>
      </c>
      <c r="AD6341" s="6">
        <v>0</v>
      </c>
      <c r="AE6341" s="14">
        <f>VLOOKUP(I6341,[2]媒体政策预估表!A:N,MATCH(O6341,[2]媒体政策预估表!$A$2:$M$2,0),0)</f>
        <v>0.09</v>
      </c>
      <c r="AF6341" s="6">
        <f t="shared" si="979"/>
        <v>0</v>
      </c>
      <c r="AG6341" s="14">
        <v>0.41</v>
      </c>
      <c r="AH6341" s="6">
        <f t="shared" si="982"/>
        <v>0</v>
      </c>
      <c r="AI6341" s="47"/>
      <c r="AJ6341" s="126" t="e">
        <v>#N/A</v>
      </c>
      <c r="AK6341" s="80">
        <f t="shared" si="986"/>
        <v>0</v>
      </c>
      <c r="AL6341" s="85"/>
      <c r="AM6341" s="85"/>
    </row>
    <row r="6342" spans="1:39" s="86" customFormat="1" ht="13.25" hidden="1" customHeight="1" x14ac:dyDescent="0.3">
      <c r="A6342" s="89" t="s">
        <v>3794</v>
      </c>
      <c r="B6342" s="86" t="s">
        <v>35</v>
      </c>
      <c r="C6342" s="86" t="s">
        <v>47</v>
      </c>
      <c r="D6342" s="86" t="s">
        <v>878</v>
      </c>
      <c r="E6342" s="86" t="s">
        <v>2551</v>
      </c>
      <c r="F6342" s="86" t="s">
        <v>2551</v>
      </c>
      <c r="G6342" s="86" t="s">
        <v>2551</v>
      </c>
      <c r="H6342" s="143">
        <v>237</v>
      </c>
      <c r="I6342" s="86" t="s">
        <v>2374</v>
      </c>
      <c r="J6342" s="1" t="s">
        <v>3322</v>
      </c>
      <c r="K6342" s="1" t="s">
        <v>3269</v>
      </c>
      <c r="L6342" s="1" t="s">
        <v>35</v>
      </c>
      <c r="M6342" s="86" t="s">
        <v>2552</v>
      </c>
      <c r="O6342" s="47" t="s">
        <v>40</v>
      </c>
      <c r="P6342" s="47" t="s">
        <v>46</v>
      </c>
      <c r="Q6342" s="14">
        <v>7.1999999999999995E-2</v>
      </c>
      <c r="R6342" s="143"/>
      <c r="S6342" s="47"/>
      <c r="T6342" s="6">
        <v>5350.3468000004286</v>
      </c>
      <c r="U6342" s="6"/>
      <c r="V6342" s="6">
        <v>0</v>
      </c>
      <c r="W6342" s="6">
        <f t="shared" si="980"/>
        <v>5350.3468000004286</v>
      </c>
      <c r="X6342" s="6">
        <f t="shared" si="981"/>
        <v>0</v>
      </c>
      <c r="Y6342" s="13">
        <f t="shared" si="984"/>
        <v>0</v>
      </c>
      <c r="Z6342" s="14">
        <v>0</v>
      </c>
      <c r="AA6342" s="6">
        <v>0</v>
      </c>
      <c r="AB6342" s="4">
        <f t="shared" si="985"/>
        <v>0</v>
      </c>
      <c r="AC6342" s="6">
        <f t="shared" si="983"/>
        <v>0</v>
      </c>
      <c r="AD6342" s="6">
        <v>0</v>
      </c>
      <c r="AE6342" s="14">
        <f>VLOOKUP(I6342,[2]媒体政策预估表!A:N,MATCH(O6342,[2]媒体政策预估表!$A$2:$M$2,0),0)</f>
        <v>0.09</v>
      </c>
      <c r="AF6342" s="6">
        <f t="shared" si="979"/>
        <v>0</v>
      </c>
      <c r="AG6342" s="14">
        <v>0.36</v>
      </c>
      <c r="AH6342" s="6">
        <f t="shared" si="982"/>
        <v>0</v>
      </c>
      <c r="AI6342" s="47"/>
      <c r="AJ6342" s="126" t="e">
        <v>#N/A</v>
      </c>
      <c r="AK6342" s="80">
        <f t="shared" si="986"/>
        <v>0</v>
      </c>
      <c r="AL6342" s="85"/>
      <c r="AM6342" s="85"/>
    </row>
    <row r="6343" spans="1:39" s="86" customFormat="1" ht="13.25" hidden="1" customHeight="1" x14ac:dyDescent="0.3">
      <c r="A6343" s="89" t="s">
        <v>3792</v>
      </c>
      <c r="B6343" s="86" t="s">
        <v>35</v>
      </c>
      <c r="C6343" s="86" t="s">
        <v>184</v>
      </c>
      <c r="D6343" s="86" t="s">
        <v>3849</v>
      </c>
      <c r="E6343" s="86" t="s">
        <v>538</v>
      </c>
      <c r="F6343" s="86" t="s">
        <v>538</v>
      </c>
      <c r="G6343" s="86" t="s">
        <v>538</v>
      </c>
      <c r="H6343" s="143">
        <v>237</v>
      </c>
      <c r="I6343" s="86" t="s">
        <v>2374</v>
      </c>
      <c r="J6343" s="1" t="s">
        <v>3322</v>
      </c>
      <c r="K6343" s="1" t="s">
        <v>3269</v>
      </c>
      <c r="L6343" s="1" t="s">
        <v>35</v>
      </c>
      <c r="M6343" s="86" t="s">
        <v>538</v>
      </c>
      <c r="O6343" s="47" t="s">
        <v>410</v>
      </c>
      <c r="P6343" s="47" t="s">
        <v>46</v>
      </c>
      <c r="Q6343" s="14">
        <v>0.03</v>
      </c>
      <c r="R6343" s="143"/>
      <c r="S6343" s="47"/>
      <c r="T6343" s="6">
        <v>63.648999999915986</v>
      </c>
      <c r="U6343" s="6"/>
      <c r="V6343" s="6">
        <v>0</v>
      </c>
      <c r="W6343" s="6">
        <f t="shared" si="980"/>
        <v>63.648999999915986</v>
      </c>
      <c r="X6343" s="6">
        <f t="shared" si="981"/>
        <v>0</v>
      </c>
      <c r="Y6343" s="13">
        <f t="shared" si="984"/>
        <v>0</v>
      </c>
      <c r="Z6343" s="14">
        <v>0</v>
      </c>
      <c r="AA6343" s="6">
        <v>0</v>
      </c>
      <c r="AB6343" s="4">
        <f t="shared" si="985"/>
        <v>0</v>
      </c>
      <c r="AC6343" s="6">
        <f t="shared" si="983"/>
        <v>0</v>
      </c>
      <c r="AD6343" s="6">
        <v>0</v>
      </c>
      <c r="AE6343" s="14">
        <f>VLOOKUP(I6343,[2]媒体政策预估表!A:N,MATCH(O6343,[2]媒体政策预估表!$A$2:$M$2,0),0)</f>
        <v>0</v>
      </c>
      <c r="AF6343" s="6">
        <f t="shared" si="979"/>
        <v>0</v>
      </c>
      <c r="AG6343" s="14">
        <v>0</v>
      </c>
      <c r="AH6343" s="6">
        <f t="shared" si="982"/>
        <v>0</v>
      </c>
      <c r="AI6343" s="47"/>
      <c r="AJ6343" s="126" t="e">
        <v>#N/A</v>
      </c>
      <c r="AK6343" s="80">
        <f t="shared" si="986"/>
        <v>0</v>
      </c>
      <c r="AL6343" s="85"/>
      <c r="AM6343" s="85"/>
    </row>
    <row r="6344" spans="1:39" s="86" customFormat="1" ht="13.25" hidden="1" customHeight="1" x14ac:dyDescent="0.3">
      <c r="A6344" s="89" t="s">
        <v>3794</v>
      </c>
      <c r="B6344" s="86" t="s">
        <v>35</v>
      </c>
      <c r="C6344" s="86" t="s">
        <v>187</v>
      </c>
      <c r="D6344" s="86" t="s">
        <v>188</v>
      </c>
      <c r="E6344" s="86" t="s">
        <v>2437</v>
      </c>
      <c r="F6344" s="86" t="s">
        <v>2437</v>
      </c>
      <c r="G6344" s="86" t="s">
        <v>2437</v>
      </c>
      <c r="H6344" s="143">
        <v>237</v>
      </c>
      <c r="I6344" s="86" t="s">
        <v>2374</v>
      </c>
      <c r="J6344" s="1" t="s">
        <v>3322</v>
      </c>
      <c r="K6344" s="1" t="s">
        <v>3269</v>
      </c>
      <c r="L6344" s="1" t="s">
        <v>35</v>
      </c>
      <c r="M6344" s="86" t="s">
        <v>2438</v>
      </c>
      <c r="O6344" s="47" t="s">
        <v>45</v>
      </c>
      <c r="P6344" s="47" t="s">
        <v>46</v>
      </c>
      <c r="Q6344" s="14">
        <v>0.01</v>
      </c>
      <c r="R6344" s="143"/>
      <c r="S6344" s="47"/>
      <c r="T6344" s="6">
        <v>27534.366300000002</v>
      </c>
      <c r="U6344" s="6"/>
      <c r="V6344" s="6">
        <v>0</v>
      </c>
      <c r="W6344" s="6">
        <f t="shared" si="980"/>
        <v>27534.366300000002</v>
      </c>
      <c r="X6344" s="6">
        <f t="shared" si="981"/>
        <v>0</v>
      </c>
      <c r="Y6344" s="13">
        <f t="shared" si="984"/>
        <v>0</v>
      </c>
      <c r="Z6344" s="14">
        <v>0</v>
      </c>
      <c r="AA6344" s="6">
        <v>0</v>
      </c>
      <c r="AB6344" s="4">
        <f t="shared" si="985"/>
        <v>0</v>
      </c>
      <c r="AC6344" s="6">
        <f t="shared" si="983"/>
        <v>0</v>
      </c>
      <c r="AD6344" s="6">
        <v>0</v>
      </c>
      <c r="AE6344" s="14">
        <f>VLOOKUP(I6344,[2]媒体政策预估表!A:N,MATCH(O6344,[2]媒体政策预估表!$A$2:$M$2,0),0)</f>
        <v>7.0000000000000007E-2</v>
      </c>
      <c r="AF6344" s="6">
        <f t="shared" si="979"/>
        <v>0</v>
      </c>
      <c r="AG6344" s="14">
        <v>0.37</v>
      </c>
      <c r="AH6344" s="6">
        <f t="shared" si="982"/>
        <v>0</v>
      </c>
      <c r="AI6344" s="47"/>
      <c r="AJ6344" s="126" t="e">
        <v>#N/A</v>
      </c>
      <c r="AK6344" s="80">
        <f t="shared" si="986"/>
        <v>0</v>
      </c>
      <c r="AL6344" s="85"/>
      <c r="AM6344" s="85"/>
    </row>
    <row r="6345" spans="1:39" s="86" customFormat="1" ht="13.25" hidden="1" customHeight="1" x14ac:dyDescent="0.3">
      <c r="A6345" s="89" t="s">
        <v>3792</v>
      </c>
      <c r="B6345" s="86" t="s">
        <v>35</v>
      </c>
      <c r="C6345" s="86" t="s">
        <v>187</v>
      </c>
      <c r="D6345" s="86" t="s">
        <v>188</v>
      </c>
      <c r="E6345" s="86" t="s">
        <v>285</v>
      </c>
      <c r="F6345" s="86" t="s">
        <v>286</v>
      </c>
      <c r="G6345" s="86" t="s">
        <v>285</v>
      </c>
      <c r="H6345" s="143">
        <v>237</v>
      </c>
      <c r="I6345" s="86" t="s">
        <v>2374</v>
      </c>
      <c r="J6345" s="1" t="s">
        <v>3322</v>
      </c>
      <c r="K6345" s="1" t="s">
        <v>3269</v>
      </c>
      <c r="L6345" s="1" t="s">
        <v>35</v>
      </c>
      <c r="M6345" s="86" t="s">
        <v>2438</v>
      </c>
      <c r="O6345" s="47" t="s">
        <v>40</v>
      </c>
      <c r="P6345" s="47" t="s">
        <v>46</v>
      </c>
      <c r="Q6345" s="14">
        <v>-0.05</v>
      </c>
      <c r="R6345" s="143"/>
      <c r="S6345" s="47"/>
      <c r="T6345" s="6">
        <v>12653.093999999999</v>
      </c>
      <c r="U6345" s="6"/>
      <c r="V6345" s="6">
        <v>0</v>
      </c>
      <c r="W6345" s="6">
        <f t="shared" si="980"/>
        <v>12653.093999999999</v>
      </c>
      <c r="X6345" s="6">
        <f t="shared" si="981"/>
        <v>0</v>
      </c>
      <c r="Y6345" s="13">
        <f t="shared" si="984"/>
        <v>0</v>
      </c>
      <c r="Z6345" s="14">
        <v>0</v>
      </c>
      <c r="AA6345" s="6">
        <v>0</v>
      </c>
      <c r="AB6345" s="4">
        <f t="shared" si="985"/>
        <v>0</v>
      </c>
      <c r="AC6345" s="6">
        <f t="shared" si="983"/>
        <v>0</v>
      </c>
      <c r="AD6345" s="6">
        <v>0</v>
      </c>
      <c r="AE6345" s="14">
        <f>VLOOKUP(I6345,[2]媒体政策预估表!A:N,MATCH(O6345,[2]媒体政策预估表!$A$2:$M$2,0),0)</f>
        <v>0.09</v>
      </c>
      <c r="AF6345" s="6">
        <f t="shared" si="979"/>
        <v>0</v>
      </c>
      <c r="AG6345" s="14">
        <v>0.4</v>
      </c>
      <c r="AH6345" s="6">
        <f t="shared" si="982"/>
        <v>0</v>
      </c>
      <c r="AI6345" s="47"/>
      <c r="AJ6345" s="126" t="e">
        <v>#N/A</v>
      </c>
      <c r="AK6345" s="80">
        <f t="shared" si="986"/>
        <v>0</v>
      </c>
      <c r="AL6345" s="85"/>
      <c r="AM6345" s="85"/>
    </row>
    <row r="6346" spans="1:39" s="86" customFormat="1" ht="13.25" hidden="1" customHeight="1" x14ac:dyDescent="0.3">
      <c r="A6346" s="89" t="s">
        <v>3794</v>
      </c>
      <c r="B6346" s="86" t="s">
        <v>35</v>
      </c>
      <c r="C6346" s="86" t="s">
        <v>187</v>
      </c>
      <c r="D6346" s="86" t="s">
        <v>188</v>
      </c>
      <c r="E6346" s="86" t="s">
        <v>279</v>
      </c>
      <c r="F6346" s="86" t="s">
        <v>279</v>
      </c>
      <c r="G6346" s="86" t="s">
        <v>279</v>
      </c>
      <c r="H6346" s="143">
        <v>237</v>
      </c>
      <c r="I6346" s="86" t="s">
        <v>2374</v>
      </c>
      <c r="J6346" s="1" t="s">
        <v>3322</v>
      </c>
      <c r="K6346" s="1" t="s">
        <v>3269</v>
      </c>
      <c r="L6346" s="1" t="s">
        <v>35</v>
      </c>
      <c r="M6346" s="86" t="s">
        <v>2438</v>
      </c>
      <c r="O6346" s="47" t="s">
        <v>40</v>
      </c>
      <c r="P6346" s="47" t="s">
        <v>46</v>
      </c>
      <c r="Q6346" s="14">
        <v>0.03</v>
      </c>
      <c r="R6346" s="143"/>
      <c r="S6346" s="47"/>
      <c r="T6346" s="6">
        <v>18486.165999999997</v>
      </c>
      <c r="U6346" s="6"/>
      <c r="V6346" s="6">
        <v>0</v>
      </c>
      <c r="W6346" s="6">
        <f t="shared" si="980"/>
        <v>18486.165999999997</v>
      </c>
      <c r="X6346" s="6">
        <f t="shared" si="981"/>
        <v>0</v>
      </c>
      <c r="Y6346" s="13">
        <f t="shared" si="984"/>
        <v>0</v>
      </c>
      <c r="Z6346" s="14">
        <v>0</v>
      </c>
      <c r="AA6346" s="6">
        <v>0</v>
      </c>
      <c r="AB6346" s="4">
        <f t="shared" si="985"/>
        <v>0</v>
      </c>
      <c r="AC6346" s="6">
        <f t="shared" si="983"/>
        <v>0</v>
      </c>
      <c r="AD6346" s="6">
        <v>0</v>
      </c>
      <c r="AE6346" s="14">
        <f>VLOOKUP(I6346,[2]媒体政策预估表!A:N,MATCH(O6346,[2]媒体政策预估表!$A$2:$M$2,0),0)</f>
        <v>0.09</v>
      </c>
      <c r="AF6346" s="6">
        <f t="shared" si="979"/>
        <v>0</v>
      </c>
      <c r="AG6346" s="14">
        <v>0.4</v>
      </c>
      <c r="AH6346" s="6">
        <f t="shared" si="982"/>
        <v>0</v>
      </c>
      <c r="AI6346" s="47"/>
      <c r="AJ6346" s="126" t="e">
        <v>#N/A</v>
      </c>
      <c r="AK6346" s="80">
        <f t="shared" si="986"/>
        <v>0</v>
      </c>
      <c r="AL6346" s="85"/>
      <c r="AM6346" s="85"/>
    </row>
    <row r="6347" spans="1:39" s="86" customFormat="1" ht="13.25" hidden="1" customHeight="1" x14ac:dyDescent="0.3">
      <c r="A6347" s="89" t="s">
        <v>3794</v>
      </c>
      <c r="B6347" s="86" t="s">
        <v>35</v>
      </c>
      <c r="C6347" s="86" t="s">
        <v>187</v>
      </c>
      <c r="D6347" s="86" t="s">
        <v>188</v>
      </c>
      <c r="E6347" s="86" t="s">
        <v>279</v>
      </c>
      <c r="F6347" s="86" t="s">
        <v>279</v>
      </c>
      <c r="G6347" s="86" t="s">
        <v>279</v>
      </c>
      <c r="H6347" s="143">
        <v>237</v>
      </c>
      <c r="I6347" s="86" t="s">
        <v>2374</v>
      </c>
      <c r="J6347" s="1" t="s">
        <v>3322</v>
      </c>
      <c r="K6347" s="1" t="s">
        <v>3269</v>
      </c>
      <c r="L6347" s="1" t="s">
        <v>35</v>
      </c>
      <c r="M6347" s="86" t="s">
        <v>2438</v>
      </c>
      <c r="O6347" s="47" t="s">
        <v>40</v>
      </c>
      <c r="P6347" s="47" t="s">
        <v>46</v>
      </c>
      <c r="Q6347" s="14">
        <v>0.04</v>
      </c>
      <c r="R6347" s="143"/>
      <c r="S6347" s="47"/>
      <c r="T6347" s="6">
        <v>71845.729027397349</v>
      </c>
      <c r="U6347" s="6"/>
      <c r="V6347" s="6">
        <v>0</v>
      </c>
      <c r="W6347" s="6">
        <f t="shared" si="980"/>
        <v>71845.729027397349</v>
      </c>
      <c r="X6347" s="6">
        <f t="shared" si="981"/>
        <v>0</v>
      </c>
      <c r="Y6347" s="13">
        <f t="shared" si="984"/>
        <v>0</v>
      </c>
      <c r="Z6347" s="14">
        <v>0</v>
      </c>
      <c r="AA6347" s="6">
        <v>0</v>
      </c>
      <c r="AB6347" s="4">
        <f t="shared" si="985"/>
        <v>0</v>
      </c>
      <c r="AC6347" s="6">
        <f t="shared" si="983"/>
        <v>0</v>
      </c>
      <c r="AD6347" s="6">
        <v>0</v>
      </c>
      <c r="AE6347" s="14">
        <f>VLOOKUP(I6347,[2]媒体政策预估表!A:N,MATCH(O6347,[2]媒体政策预估表!$A$2:$M$2,0),0)</f>
        <v>0.09</v>
      </c>
      <c r="AF6347" s="6">
        <f t="shared" si="979"/>
        <v>0</v>
      </c>
      <c r="AG6347" s="14">
        <v>0.46</v>
      </c>
      <c r="AH6347" s="6">
        <f t="shared" si="982"/>
        <v>0</v>
      </c>
      <c r="AI6347" s="47"/>
      <c r="AJ6347" s="126" t="e">
        <v>#N/A</v>
      </c>
      <c r="AK6347" s="80">
        <f t="shared" si="986"/>
        <v>0</v>
      </c>
      <c r="AL6347" s="85"/>
      <c r="AM6347" s="85"/>
    </row>
    <row r="6348" spans="1:39" s="86" customFormat="1" ht="13.25" hidden="1" customHeight="1" x14ac:dyDescent="0.3">
      <c r="A6348" s="89" t="s">
        <v>3794</v>
      </c>
      <c r="B6348" s="86" t="s">
        <v>35</v>
      </c>
      <c r="C6348" s="86" t="s">
        <v>187</v>
      </c>
      <c r="D6348" s="86" t="s">
        <v>188</v>
      </c>
      <c r="E6348" s="86" t="s">
        <v>279</v>
      </c>
      <c r="F6348" s="86" t="s">
        <v>279</v>
      </c>
      <c r="G6348" s="86" t="s">
        <v>279</v>
      </c>
      <c r="H6348" s="143">
        <v>237</v>
      </c>
      <c r="I6348" s="86" t="s">
        <v>2374</v>
      </c>
      <c r="J6348" s="1" t="s">
        <v>3322</v>
      </c>
      <c r="K6348" s="1" t="s">
        <v>3269</v>
      </c>
      <c r="L6348" s="1" t="s">
        <v>35</v>
      </c>
      <c r="M6348" s="86" t="s">
        <v>2438</v>
      </c>
      <c r="O6348" s="47" t="s">
        <v>40</v>
      </c>
      <c r="P6348" s="47" t="s">
        <v>46</v>
      </c>
      <c r="Q6348" s="14">
        <v>0.09</v>
      </c>
      <c r="R6348" s="143"/>
      <c r="S6348" s="47"/>
      <c r="T6348" s="6">
        <v>-44999.996399999996</v>
      </c>
      <c r="U6348" s="6"/>
      <c r="V6348" s="6">
        <v>0</v>
      </c>
      <c r="W6348" s="6">
        <f t="shared" si="980"/>
        <v>-44999.996399999996</v>
      </c>
      <c r="X6348" s="6">
        <f t="shared" si="981"/>
        <v>0</v>
      </c>
      <c r="Y6348" s="13">
        <f t="shared" si="984"/>
        <v>0</v>
      </c>
      <c r="Z6348" s="14">
        <v>0</v>
      </c>
      <c r="AA6348" s="6">
        <v>0</v>
      </c>
      <c r="AB6348" s="4">
        <f t="shared" si="985"/>
        <v>0</v>
      </c>
      <c r="AC6348" s="6">
        <f t="shared" si="983"/>
        <v>0</v>
      </c>
      <c r="AD6348" s="6">
        <v>0</v>
      </c>
      <c r="AE6348" s="14">
        <f>VLOOKUP(I6348,[2]媒体政策预估表!A:N,MATCH(O6348,[2]媒体政策预估表!$A$2:$M$2,0),0)</f>
        <v>0.09</v>
      </c>
      <c r="AF6348" s="6">
        <f t="shared" si="979"/>
        <v>0</v>
      </c>
      <c r="AG6348" s="14">
        <v>0.41</v>
      </c>
      <c r="AH6348" s="6">
        <f t="shared" si="982"/>
        <v>0</v>
      </c>
      <c r="AI6348" s="47"/>
      <c r="AJ6348" s="126" t="e">
        <v>#N/A</v>
      </c>
      <c r="AK6348" s="80">
        <f t="shared" si="986"/>
        <v>0</v>
      </c>
      <c r="AL6348" s="85"/>
      <c r="AM6348" s="85"/>
    </row>
    <row r="6349" spans="1:39" s="86" customFormat="1" ht="13.25" hidden="1" customHeight="1" x14ac:dyDescent="0.3">
      <c r="A6349" s="89" t="s">
        <v>3794</v>
      </c>
      <c r="B6349" s="86" t="s">
        <v>35</v>
      </c>
      <c r="C6349" s="86" t="s">
        <v>187</v>
      </c>
      <c r="D6349" s="86" t="s">
        <v>188</v>
      </c>
      <c r="E6349" s="86" t="s">
        <v>279</v>
      </c>
      <c r="F6349" s="86" t="s">
        <v>279</v>
      </c>
      <c r="G6349" s="86" t="s">
        <v>279</v>
      </c>
      <c r="H6349" s="143">
        <v>237</v>
      </c>
      <c r="I6349" s="86" t="s">
        <v>2374</v>
      </c>
      <c r="J6349" s="1" t="s">
        <v>3322</v>
      </c>
      <c r="K6349" s="1" t="s">
        <v>3269</v>
      </c>
      <c r="L6349" s="1" t="s">
        <v>35</v>
      </c>
      <c r="M6349" s="86" t="s">
        <v>2438</v>
      </c>
      <c r="O6349" s="47" t="s">
        <v>40</v>
      </c>
      <c r="P6349" s="47" t="s">
        <v>46</v>
      </c>
      <c r="Q6349" s="14">
        <v>0.09</v>
      </c>
      <c r="R6349" s="143"/>
      <c r="S6349" s="47"/>
      <c r="T6349" s="6">
        <v>-26845.720799999999</v>
      </c>
      <c r="U6349" s="6"/>
      <c r="V6349" s="6">
        <v>0</v>
      </c>
      <c r="W6349" s="6">
        <f t="shared" si="980"/>
        <v>-26845.720799999999</v>
      </c>
      <c r="X6349" s="6">
        <f t="shared" si="981"/>
        <v>0</v>
      </c>
      <c r="Y6349" s="13">
        <f t="shared" si="984"/>
        <v>0</v>
      </c>
      <c r="Z6349" s="14">
        <v>0</v>
      </c>
      <c r="AA6349" s="6">
        <v>0</v>
      </c>
      <c r="AB6349" s="4">
        <f t="shared" si="985"/>
        <v>0</v>
      </c>
      <c r="AC6349" s="6">
        <f t="shared" si="983"/>
        <v>0</v>
      </c>
      <c r="AD6349" s="6">
        <v>0</v>
      </c>
      <c r="AE6349" s="14">
        <f>VLOOKUP(I6349,[2]媒体政策预估表!A:N,MATCH(O6349,[2]媒体政策预估表!$A$2:$M$2,0),0)</f>
        <v>0.09</v>
      </c>
      <c r="AF6349" s="6">
        <f t="shared" si="979"/>
        <v>0</v>
      </c>
      <c r="AG6349" s="14">
        <v>0.46</v>
      </c>
      <c r="AH6349" s="6">
        <f t="shared" si="982"/>
        <v>0</v>
      </c>
      <c r="AI6349" s="47"/>
      <c r="AJ6349" s="126" t="e">
        <v>#N/A</v>
      </c>
      <c r="AK6349" s="80">
        <f t="shared" si="986"/>
        <v>0</v>
      </c>
      <c r="AL6349" s="85"/>
      <c r="AM6349" s="85"/>
    </row>
    <row r="6350" spans="1:39" s="86" customFormat="1" ht="13.25" hidden="1" customHeight="1" x14ac:dyDescent="0.3">
      <c r="A6350" s="89" t="s">
        <v>3794</v>
      </c>
      <c r="B6350" s="86" t="s">
        <v>35</v>
      </c>
      <c r="C6350" s="86" t="s">
        <v>187</v>
      </c>
      <c r="D6350" s="86" t="s">
        <v>188</v>
      </c>
      <c r="E6350" s="86" t="s">
        <v>2441</v>
      </c>
      <c r="F6350" s="86" t="s">
        <v>2441</v>
      </c>
      <c r="G6350" s="86" t="s">
        <v>2441</v>
      </c>
      <c r="H6350" s="143">
        <v>237</v>
      </c>
      <c r="I6350" s="86" t="s">
        <v>2374</v>
      </c>
      <c r="J6350" s="1" t="s">
        <v>3322</v>
      </c>
      <c r="K6350" s="1" t="s">
        <v>3269</v>
      </c>
      <c r="L6350" s="1" t="s">
        <v>35</v>
      </c>
      <c r="M6350" s="86" t="s">
        <v>2438</v>
      </c>
      <c r="O6350" s="47" t="s">
        <v>40</v>
      </c>
      <c r="P6350" s="47" t="s">
        <v>46</v>
      </c>
      <c r="Q6350" s="14">
        <v>0.01</v>
      </c>
      <c r="R6350" s="143"/>
      <c r="S6350" s="47"/>
      <c r="T6350" s="6">
        <v>52448.685070439948</v>
      </c>
      <c r="U6350" s="6"/>
      <c r="V6350" s="6">
        <v>0</v>
      </c>
      <c r="W6350" s="6">
        <f t="shared" si="980"/>
        <v>52448.685070439948</v>
      </c>
      <c r="X6350" s="6">
        <f t="shared" si="981"/>
        <v>0</v>
      </c>
      <c r="Y6350" s="13">
        <f t="shared" si="984"/>
        <v>0</v>
      </c>
      <c r="Z6350" s="14">
        <v>0</v>
      </c>
      <c r="AA6350" s="6">
        <v>0</v>
      </c>
      <c r="AB6350" s="4">
        <f t="shared" si="985"/>
        <v>0</v>
      </c>
      <c r="AC6350" s="6">
        <f t="shared" si="983"/>
        <v>0</v>
      </c>
      <c r="AD6350" s="6">
        <v>0</v>
      </c>
      <c r="AE6350" s="14">
        <f>VLOOKUP(I6350,[2]媒体政策预估表!A:N,MATCH(O6350,[2]媒体政策预估表!$A$2:$M$2,0),0)</f>
        <v>0.09</v>
      </c>
      <c r="AF6350" s="6">
        <f t="shared" si="979"/>
        <v>0</v>
      </c>
      <c r="AG6350" s="14">
        <v>0.4</v>
      </c>
      <c r="AH6350" s="6">
        <f t="shared" si="982"/>
        <v>0</v>
      </c>
      <c r="AI6350" s="47"/>
      <c r="AJ6350" s="126" t="e">
        <v>#N/A</v>
      </c>
      <c r="AK6350" s="80">
        <f t="shared" si="986"/>
        <v>0</v>
      </c>
      <c r="AL6350" s="85"/>
      <c r="AM6350" s="85"/>
    </row>
    <row r="6351" spans="1:39" s="86" customFormat="1" ht="13.25" hidden="1" customHeight="1" x14ac:dyDescent="0.3">
      <c r="A6351" s="89" t="s">
        <v>3792</v>
      </c>
      <c r="B6351" s="86" t="s">
        <v>35</v>
      </c>
      <c r="C6351" s="86" t="s">
        <v>187</v>
      </c>
      <c r="D6351" s="86" t="s">
        <v>188</v>
      </c>
      <c r="E6351" s="86" t="s">
        <v>248</v>
      </c>
      <c r="F6351" s="86" t="s">
        <v>248</v>
      </c>
      <c r="G6351" s="86" t="s">
        <v>248</v>
      </c>
      <c r="H6351" s="143">
        <v>237</v>
      </c>
      <c r="I6351" s="86" t="s">
        <v>2374</v>
      </c>
      <c r="J6351" s="1" t="s">
        <v>3322</v>
      </c>
      <c r="K6351" s="1" t="s">
        <v>3269</v>
      </c>
      <c r="L6351" s="1" t="s">
        <v>35</v>
      </c>
      <c r="M6351" s="86" t="s">
        <v>2438</v>
      </c>
      <c r="O6351" s="47" t="s">
        <v>40</v>
      </c>
      <c r="P6351" s="47" t="s">
        <v>41</v>
      </c>
      <c r="Q6351" s="14">
        <v>0</v>
      </c>
      <c r="R6351" s="143"/>
      <c r="S6351" s="47"/>
      <c r="T6351" s="6">
        <v>-1911.6150956944794</v>
      </c>
      <c r="U6351" s="6"/>
      <c r="V6351" s="6">
        <v>0</v>
      </c>
      <c r="W6351" s="6">
        <f t="shared" si="980"/>
        <v>-1911.6150956944794</v>
      </c>
      <c r="X6351" s="6">
        <f t="shared" si="981"/>
        <v>0</v>
      </c>
      <c r="Y6351" s="13">
        <f t="shared" si="984"/>
        <v>0</v>
      </c>
      <c r="Z6351" s="14">
        <v>0</v>
      </c>
      <c r="AA6351" s="6">
        <v>0</v>
      </c>
      <c r="AB6351" s="4">
        <f t="shared" si="985"/>
        <v>0</v>
      </c>
      <c r="AC6351" s="6">
        <f t="shared" si="983"/>
        <v>0</v>
      </c>
      <c r="AD6351" s="6">
        <v>0</v>
      </c>
      <c r="AE6351" s="14">
        <f>VLOOKUP(I6351,[2]媒体政策预估表!A:N,MATCH(O6351,[2]媒体政策预估表!$A$2:$M$2,0),0)</f>
        <v>0.09</v>
      </c>
      <c r="AF6351" s="6">
        <f t="shared" si="979"/>
        <v>0</v>
      </c>
      <c r="AG6351" s="14">
        <v>0.4</v>
      </c>
      <c r="AH6351" s="6">
        <f t="shared" si="982"/>
        <v>0</v>
      </c>
      <c r="AI6351" s="47"/>
      <c r="AJ6351" s="126" t="e">
        <v>#N/A</v>
      </c>
      <c r="AK6351" s="80">
        <f t="shared" si="986"/>
        <v>0</v>
      </c>
      <c r="AL6351" s="85"/>
      <c r="AM6351" s="85"/>
    </row>
    <row r="6352" spans="1:39" s="86" customFormat="1" ht="13.25" hidden="1" customHeight="1" x14ac:dyDescent="0.3">
      <c r="A6352" s="89" t="s">
        <v>3792</v>
      </c>
      <c r="B6352" s="86" t="s">
        <v>35</v>
      </c>
      <c r="C6352" s="86" t="s">
        <v>187</v>
      </c>
      <c r="D6352" s="86" t="s">
        <v>188</v>
      </c>
      <c r="E6352" s="86" t="s">
        <v>2553</v>
      </c>
      <c r="F6352" s="86" t="s">
        <v>2553</v>
      </c>
      <c r="G6352" s="86" t="s">
        <v>2553</v>
      </c>
      <c r="H6352" s="143">
        <v>237</v>
      </c>
      <c r="I6352" s="86" t="s">
        <v>2374</v>
      </c>
      <c r="J6352" s="1" t="s">
        <v>3322</v>
      </c>
      <c r="K6352" s="1" t="s">
        <v>3269</v>
      </c>
      <c r="L6352" s="1" t="s">
        <v>35</v>
      </c>
      <c r="M6352" s="86" t="s">
        <v>2438</v>
      </c>
      <c r="O6352" s="47" t="s">
        <v>40</v>
      </c>
      <c r="P6352" s="47" t="s">
        <v>46</v>
      </c>
      <c r="Q6352" s="14">
        <v>0.01</v>
      </c>
      <c r="R6352" s="143"/>
      <c r="S6352" s="47"/>
      <c r="T6352" s="6">
        <v>-1.2000000016996637E-2</v>
      </c>
      <c r="U6352" s="6"/>
      <c r="V6352" s="6">
        <v>0</v>
      </c>
      <c r="W6352" s="6">
        <f t="shared" si="980"/>
        <v>-1.2000000016996637E-2</v>
      </c>
      <c r="X6352" s="6">
        <f t="shared" si="981"/>
        <v>0</v>
      </c>
      <c r="Y6352" s="13">
        <f t="shared" si="984"/>
        <v>0</v>
      </c>
      <c r="Z6352" s="14">
        <v>0</v>
      </c>
      <c r="AA6352" s="6">
        <v>0</v>
      </c>
      <c r="AB6352" s="4">
        <f t="shared" si="985"/>
        <v>0</v>
      </c>
      <c r="AC6352" s="6">
        <f t="shared" si="983"/>
        <v>0</v>
      </c>
      <c r="AD6352" s="6">
        <v>0</v>
      </c>
      <c r="AE6352" s="14">
        <f>VLOOKUP(I6352,[2]媒体政策预估表!A:N,MATCH(O6352,[2]媒体政策预估表!$A$2:$M$2,0),0)</f>
        <v>0.09</v>
      </c>
      <c r="AF6352" s="6">
        <f t="shared" si="979"/>
        <v>0</v>
      </c>
      <c r="AG6352" s="14">
        <v>0.4</v>
      </c>
      <c r="AH6352" s="6">
        <f t="shared" si="982"/>
        <v>0</v>
      </c>
      <c r="AI6352" s="47"/>
      <c r="AJ6352" s="126" t="e">
        <v>#N/A</v>
      </c>
      <c r="AK6352" s="80">
        <f t="shared" si="986"/>
        <v>0</v>
      </c>
      <c r="AL6352" s="85"/>
      <c r="AM6352" s="85"/>
    </row>
    <row r="6353" spans="1:39" s="86" customFormat="1" ht="13.25" hidden="1" customHeight="1" x14ac:dyDescent="0.3">
      <c r="A6353" s="89" t="s">
        <v>3792</v>
      </c>
      <c r="B6353" s="86" t="s">
        <v>35</v>
      </c>
      <c r="C6353" s="86" t="s">
        <v>187</v>
      </c>
      <c r="D6353" s="86" t="s">
        <v>208</v>
      </c>
      <c r="E6353" s="86" t="s">
        <v>288</v>
      </c>
      <c r="F6353" s="86" t="s">
        <v>288</v>
      </c>
      <c r="G6353" s="86" t="s">
        <v>288</v>
      </c>
      <c r="H6353" s="143">
        <v>237</v>
      </c>
      <c r="I6353" s="86" t="s">
        <v>2374</v>
      </c>
      <c r="J6353" s="1" t="s">
        <v>3322</v>
      </c>
      <c r="K6353" s="1" t="s">
        <v>3269</v>
      </c>
      <c r="L6353" s="1" t="s">
        <v>35</v>
      </c>
      <c r="M6353" s="86" t="s">
        <v>2438</v>
      </c>
      <c r="O6353" s="47" t="s">
        <v>40</v>
      </c>
      <c r="P6353" s="47" t="s">
        <v>46</v>
      </c>
      <c r="Q6353" s="14">
        <v>-0.2</v>
      </c>
      <c r="R6353" s="143"/>
      <c r="S6353" s="47"/>
      <c r="T6353" s="6">
        <v>-5.9999999998012754E-3</v>
      </c>
      <c r="U6353" s="6"/>
      <c r="V6353" s="6">
        <v>0</v>
      </c>
      <c r="W6353" s="6">
        <f t="shared" si="980"/>
        <v>-5.9999999998012754E-3</v>
      </c>
      <c r="X6353" s="6">
        <f t="shared" si="981"/>
        <v>0</v>
      </c>
      <c r="Y6353" s="13">
        <f t="shared" si="984"/>
        <v>0</v>
      </c>
      <c r="Z6353" s="14">
        <v>0</v>
      </c>
      <c r="AA6353" s="6">
        <v>0</v>
      </c>
      <c r="AB6353" s="4">
        <f t="shared" si="985"/>
        <v>0</v>
      </c>
      <c r="AC6353" s="6">
        <f t="shared" si="983"/>
        <v>0</v>
      </c>
      <c r="AD6353" s="6">
        <v>0</v>
      </c>
      <c r="AE6353" s="14">
        <f>VLOOKUP(I6353,[2]媒体政策预估表!A:N,MATCH(O6353,[2]媒体政策预估表!$A$2:$M$2,0),0)</f>
        <v>0.09</v>
      </c>
      <c r="AF6353" s="6">
        <f t="shared" si="979"/>
        <v>0</v>
      </c>
      <c r="AG6353" s="14">
        <v>0.4</v>
      </c>
      <c r="AH6353" s="6">
        <f t="shared" si="982"/>
        <v>0</v>
      </c>
      <c r="AI6353" s="47"/>
      <c r="AJ6353" s="126" t="e">
        <v>#N/A</v>
      </c>
      <c r="AK6353" s="80">
        <f t="shared" si="986"/>
        <v>0</v>
      </c>
      <c r="AL6353" s="85"/>
      <c r="AM6353" s="85"/>
    </row>
    <row r="6354" spans="1:39" s="86" customFormat="1" ht="13.25" hidden="1" customHeight="1" x14ac:dyDescent="0.3">
      <c r="A6354" s="89" t="s">
        <v>3792</v>
      </c>
      <c r="B6354" s="86" t="s">
        <v>35</v>
      </c>
      <c r="C6354" s="86" t="s">
        <v>187</v>
      </c>
      <c r="D6354" s="86" t="s">
        <v>208</v>
      </c>
      <c r="E6354" s="86" t="s">
        <v>2554</v>
      </c>
      <c r="F6354" s="86" t="s">
        <v>2554</v>
      </c>
      <c r="G6354" s="86" t="s">
        <v>2554</v>
      </c>
      <c r="H6354" s="143">
        <v>237</v>
      </c>
      <c r="I6354" s="86" t="s">
        <v>2374</v>
      </c>
      <c r="J6354" s="1" t="s">
        <v>3322</v>
      </c>
      <c r="K6354" s="1" t="s">
        <v>3269</v>
      </c>
      <c r="L6354" s="1" t="s">
        <v>35</v>
      </c>
      <c r="M6354" s="86" t="s">
        <v>2438</v>
      </c>
      <c r="O6354" s="47" t="s">
        <v>40</v>
      </c>
      <c r="P6354" s="47" t="s">
        <v>46</v>
      </c>
      <c r="Q6354" s="14">
        <v>0.03</v>
      </c>
      <c r="R6354" s="143"/>
      <c r="S6354" s="47"/>
      <c r="T6354" s="6">
        <v>-13927.29027636251</v>
      </c>
      <c r="U6354" s="6"/>
      <c r="V6354" s="6">
        <v>0</v>
      </c>
      <c r="W6354" s="6">
        <f t="shared" si="980"/>
        <v>-13927.29027636251</v>
      </c>
      <c r="X6354" s="6">
        <f t="shared" si="981"/>
        <v>0</v>
      </c>
      <c r="Y6354" s="13">
        <f t="shared" si="984"/>
        <v>0</v>
      </c>
      <c r="Z6354" s="14">
        <v>0</v>
      </c>
      <c r="AA6354" s="6">
        <v>0</v>
      </c>
      <c r="AB6354" s="4">
        <f t="shared" si="985"/>
        <v>0</v>
      </c>
      <c r="AC6354" s="6">
        <f t="shared" si="983"/>
        <v>0</v>
      </c>
      <c r="AD6354" s="6">
        <v>0</v>
      </c>
      <c r="AE6354" s="14">
        <f>VLOOKUP(I6354,[2]媒体政策预估表!A:N,MATCH(O6354,[2]媒体政策预估表!$A$2:$M$2,0),0)</f>
        <v>0.09</v>
      </c>
      <c r="AF6354" s="6">
        <f t="shared" si="979"/>
        <v>0</v>
      </c>
      <c r="AG6354" s="14">
        <v>0.41</v>
      </c>
      <c r="AH6354" s="6">
        <f t="shared" si="982"/>
        <v>0</v>
      </c>
      <c r="AI6354" s="47"/>
      <c r="AJ6354" s="126" t="e">
        <v>#N/A</v>
      </c>
      <c r="AK6354" s="80">
        <f t="shared" si="986"/>
        <v>0</v>
      </c>
      <c r="AL6354" s="85"/>
      <c r="AM6354" s="85"/>
    </row>
    <row r="6355" spans="1:39" s="86" customFormat="1" ht="13.25" hidden="1" customHeight="1" x14ac:dyDescent="0.3">
      <c r="A6355" s="89" t="s">
        <v>3792</v>
      </c>
      <c r="B6355" s="86" t="s">
        <v>35</v>
      </c>
      <c r="C6355" s="86" t="s">
        <v>187</v>
      </c>
      <c r="D6355" s="86" t="s">
        <v>208</v>
      </c>
      <c r="E6355" s="86" t="s">
        <v>2554</v>
      </c>
      <c r="F6355" s="86" t="s">
        <v>2554</v>
      </c>
      <c r="G6355" s="86" t="s">
        <v>2554</v>
      </c>
      <c r="H6355" s="143">
        <v>237</v>
      </c>
      <c r="I6355" s="86" t="s">
        <v>2374</v>
      </c>
      <c r="J6355" s="1" t="s">
        <v>3322</v>
      </c>
      <c r="K6355" s="1" t="s">
        <v>3269</v>
      </c>
      <c r="L6355" s="1" t="s">
        <v>35</v>
      </c>
      <c r="M6355" s="86" t="s">
        <v>2438</v>
      </c>
      <c r="O6355" s="47" t="s">
        <v>40</v>
      </c>
      <c r="P6355" s="47" t="s">
        <v>41</v>
      </c>
      <c r="Q6355" s="14">
        <v>0</v>
      </c>
      <c r="R6355" s="143"/>
      <c r="S6355" s="47"/>
      <c r="T6355" s="6">
        <v>14000</v>
      </c>
      <c r="U6355" s="6"/>
      <c r="V6355" s="6">
        <v>0</v>
      </c>
      <c r="W6355" s="6">
        <f t="shared" si="980"/>
        <v>14000</v>
      </c>
      <c r="X6355" s="6">
        <f t="shared" si="981"/>
        <v>0</v>
      </c>
      <c r="Y6355" s="13">
        <f t="shared" si="984"/>
        <v>0</v>
      </c>
      <c r="Z6355" s="14">
        <v>0</v>
      </c>
      <c r="AA6355" s="6">
        <v>0</v>
      </c>
      <c r="AB6355" s="4">
        <f t="shared" si="985"/>
        <v>0</v>
      </c>
      <c r="AC6355" s="6">
        <f t="shared" si="983"/>
        <v>0</v>
      </c>
      <c r="AD6355" s="6">
        <v>0</v>
      </c>
      <c r="AE6355" s="14">
        <f>VLOOKUP(I6355,[2]媒体政策预估表!A:N,MATCH(O6355,[2]媒体政策预估表!$A$2:$M$2,0),0)</f>
        <v>0.09</v>
      </c>
      <c r="AF6355" s="6">
        <f t="shared" si="979"/>
        <v>0</v>
      </c>
      <c r="AG6355" s="14">
        <v>0.4</v>
      </c>
      <c r="AH6355" s="6">
        <f t="shared" si="982"/>
        <v>0</v>
      </c>
      <c r="AI6355" s="47"/>
      <c r="AJ6355" s="126" t="e">
        <v>#N/A</v>
      </c>
      <c r="AK6355" s="80">
        <f t="shared" si="986"/>
        <v>0</v>
      </c>
      <c r="AL6355" s="85"/>
      <c r="AM6355" s="85"/>
    </row>
    <row r="6356" spans="1:39" s="86" customFormat="1" ht="13.25" hidden="1" customHeight="1" x14ac:dyDescent="0.3">
      <c r="A6356" s="89" t="s">
        <v>3792</v>
      </c>
      <c r="B6356" s="86" t="s">
        <v>35</v>
      </c>
      <c r="C6356" s="86" t="s">
        <v>187</v>
      </c>
      <c r="D6356" s="86" t="s">
        <v>208</v>
      </c>
      <c r="E6356" s="86" t="s">
        <v>2555</v>
      </c>
      <c r="F6356" s="86" t="s">
        <v>2555</v>
      </c>
      <c r="G6356" s="86" t="s">
        <v>2555</v>
      </c>
      <c r="H6356" s="143">
        <v>237</v>
      </c>
      <c r="I6356" s="86" t="s">
        <v>2374</v>
      </c>
      <c r="J6356" s="1" t="s">
        <v>3322</v>
      </c>
      <c r="K6356" s="1" t="s">
        <v>3269</v>
      </c>
      <c r="L6356" s="1" t="s">
        <v>35</v>
      </c>
      <c r="M6356" s="86" t="s">
        <v>2438</v>
      </c>
      <c r="O6356" s="47" t="s">
        <v>40</v>
      </c>
      <c r="P6356" s="47" t="s">
        <v>41</v>
      </c>
      <c r="Q6356" s="14">
        <v>0</v>
      </c>
      <c r="R6356" s="143"/>
      <c r="S6356" s="47"/>
      <c r="T6356" s="6">
        <v>5139.170001367831</v>
      </c>
      <c r="U6356" s="6"/>
      <c r="V6356" s="6">
        <v>0</v>
      </c>
      <c r="W6356" s="6">
        <f t="shared" si="980"/>
        <v>5139.170001367831</v>
      </c>
      <c r="X6356" s="6">
        <f t="shared" si="981"/>
        <v>0</v>
      </c>
      <c r="Y6356" s="13">
        <f t="shared" si="984"/>
        <v>0</v>
      </c>
      <c r="Z6356" s="14">
        <v>0</v>
      </c>
      <c r="AA6356" s="6">
        <v>0</v>
      </c>
      <c r="AB6356" s="4">
        <f t="shared" si="985"/>
        <v>0</v>
      </c>
      <c r="AC6356" s="6">
        <f t="shared" si="983"/>
        <v>0</v>
      </c>
      <c r="AD6356" s="6">
        <v>0</v>
      </c>
      <c r="AE6356" s="14">
        <f>VLOOKUP(I6356,[2]媒体政策预估表!A:N,MATCH(O6356,[2]媒体政策预估表!$A$2:$M$2,0),0)</f>
        <v>0.09</v>
      </c>
      <c r="AF6356" s="6">
        <f t="shared" si="979"/>
        <v>0</v>
      </c>
      <c r="AG6356" s="14">
        <v>0.4</v>
      </c>
      <c r="AH6356" s="6">
        <f t="shared" si="982"/>
        <v>0</v>
      </c>
      <c r="AI6356" s="47"/>
      <c r="AJ6356" s="126" t="e">
        <v>#N/A</v>
      </c>
      <c r="AK6356" s="80">
        <f t="shared" si="986"/>
        <v>0</v>
      </c>
      <c r="AL6356" s="85"/>
      <c r="AM6356" s="85"/>
    </row>
    <row r="6357" spans="1:39" s="86" customFormat="1" ht="13.25" hidden="1" customHeight="1" x14ac:dyDescent="0.3">
      <c r="A6357" s="89" t="s">
        <v>3792</v>
      </c>
      <c r="B6357" s="86" t="s">
        <v>35</v>
      </c>
      <c r="C6357" s="86" t="s">
        <v>187</v>
      </c>
      <c r="D6357" s="86" t="s">
        <v>188</v>
      </c>
      <c r="E6357" s="86" t="s">
        <v>285</v>
      </c>
      <c r="F6357" s="86" t="s">
        <v>286</v>
      </c>
      <c r="G6357" s="86" t="s">
        <v>285</v>
      </c>
      <c r="H6357" s="143">
        <v>237</v>
      </c>
      <c r="I6357" s="86" t="s">
        <v>2374</v>
      </c>
      <c r="J6357" s="1" t="s">
        <v>3322</v>
      </c>
      <c r="K6357" s="1" t="s">
        <v>3269</v>
      </c>
      <c r="L6357" s="1" t="s">
        <v>35</v>
      </c>
      <c r="M6357" s="86" t="s">
        <v>2438</v>
      </c>
      <c r="O6357" s="47" t="s">
        <v>45</v>
      </c>
      <c r="P6357" s="47" t="s">
        <v>46</v>
      </c>
      <c r="Q6357" s="14">
        <v>-7.0000000000000007E-2</v>
      </c>
      <c r="R6357" s="143"/>
      <c r="S6357" s="47"/>
      <c r="T6357" s="6">
        <v>242.23590510948313</v>
      </c>
      <c r="U6357" s="6"/>
      <c r="V6357" s="6">
        <v>0</v>
      </c>
      <c r="W6357" s="6">
        <f t="shared" si="980"/>
        <v>242.23590510948313</v>
      </c>
      <c r="X6357" s="6">
        <f t="shared" si="981"/>
        <v>0</v>
      </c>
      <c r="Y6357" s="13">
        <f t="shared" si="984"/>
        <v>0</v>
      </c>
      <c r="Z6357" s="14">
        <v>0</v>
      </c>
      <c r="AA6357" s="6">
        <v>0</v>
      </c>
      <c r="AB6357" s="4">
        <f t="shared" si="985"/>
        <v>0</v>
      </c>
      <c r="AC6357" s="6">
        <f t="shared" si="983"/>
        <v>0</v>
      </c>
      <c r="AD6357" s="6">
        <v>0</v>
      </c>
      <c r="AE6357" s="14">
        <f>VLOOKUP(I6357,[2]媒体政策预估表!A:N,MATCH(O6357,[2]媒体政策预估表!$A$2:$M$2,0),0)</f>
        <v>7.0000000000000007E-2</v>
      </c>
      <c r="AF6357" s="6">
        <f t="shared" si="979"/>
        <v>0</v>
      </c>
      <c r="AG6357" s="14">
        <v>0.37</v>
      </c>
      <c r="AH6357" s="6">
        <f t="shared" si="982"/>
        <v>0</v>
      </c>
      <c r="AI6357" s="47"/>
      <c r="AJ6357" s="126" t="e">
        <v>#N/A</v>
      </c>
      <c r="AK6357" s="80">
        <f t="shared" si="986"/>
        <v>0</v>
      </c>
      <c r="AL6357" s="85"/>
      <c r="AM6357" s="85"/>
    </row>
    <row r="6358" spans="1:39" s="86" customFormat="1" ht="13.25" hidden="1" customHeight="1" x14ac:dyDescent="0.3">
      <c r="A6358" s="89" t="s">
        <v>3794</v>
      </c>
      <c r="B6358" s="86" t="s">
        <v>35</v>
      </c>
      <c r="C6358" s="86" t="s">
        <v>187</v>
      </c>
      <c r="D6358" s="86" t="s">
        <v>188</v>
      </c>
      <c r="E6358" s="86" t="s">
        <v>2556</v>
      </c>
      <c r="F6358" s="86" t="s">
        <v>2556</v>
      </c>
      <c r="G6358" s="86" t="s">
        <v>2556</v>
      </c>
      <c r="H6358" s="144">
        <v>237</v>
      </c>
      <c r="I6358" s="86" t="s">
        <v>2374</v>
      </c>
      <c r="J6358" s="1" t="s">
        <v>3322</v>
      </c>
      <c r="K6358" s="1" t="s">
        <v>3269</v>
      </c>
      <c r="L6358" s="1" t="s">
        <v>35</v>
      </c>
      <c r="M6358" s="86" t="s">
        <v>2438</v>
      </c>
      <c r="O6358" s="47" t="s">
        <v>40</v>
      </c>
      <c r="P6358" s="47" t="s">
        <v>46</v>
      </c>
      <c r="Q6358" s="14">
        <v>0.04</v>
      </c>
      <c r="R6358" s="143"/>
      <c r="S6358" s="47"/>
      <c r="T6358" s="6">
        <v>19461.83999999996</v>
      </c>
      <c r="U6358" s="6"/>
      <c r="V6358" s="6">
        <v>14500.000000000002</v>
      </c>
      <c r="W6358" s="6">
        <f t="shared" si="980"/>
        <v>4961.8399999999583</v>
      </c>
      <c r="X6358" s="6">
        <f t="shared" si="981"/>
        <v>10000.000000000002</v>
      </c>
      <c r="Y6358" s="13">
        <f t="shared" si="984"/>
        <v>0</v>
      </c>
      <c r="Z6358" s="14">
        <v>0</v>
      </c>
      <c r="AA6358" s="6">
        <v>0</v>
      </c>
      <c r="AB6358" s="4">
        <f t="shared" si="985"/>
        <v>10000.000000000002</v>
      </c>
      <c r="AC6358" s="6">
        <f t="shared" si="983"/>
        <v>4500</v>
      </c>
      <c r="AD6358" s="6">
        <v>10283.66</v>
      </c>
      <c r="AE6358" s="14">
        <f>VLOOKUP(I6358,[2]媒体政策预估表!A:N,MATCH(O6358,[2]媒体政策预估表!$A$2:$M$2,0),0)</f>
        <v>0.09</v>
      </c>
      <c r="AF6358" s="6">
        <f t="shared" si="979"/>
        <v>925.5293999999999</v>
      </c>
      <c r="AG6358" s="14">
        <v>0.41</v>
      </c>
      <c r="AH6358" s="6">
        <f t="shared" si="982"/>
        <v>10283.687943262414</v>
      </c>
      <c r="AI6358" s="47"/>
      <c r="AJ6358" s="126" t="e">
        <v>#N/A</v>
      </c>
      <c r="AK6358" s="80">
        <f t="shared" si="986"/>
        <v>0</v>
      </c>
      <c r="AL6358" s="85"/>
      <c r="AM6358" s="85"/>
    </row>
    <row r="6359" spans="1:39" s="86" customFormat="1" ht="13.25" hidden="1" customHeight="1" x14ac:dyDescent="0.3">
      <c r="A6359" s="89" t="s">
        <v>3794</v>
      </c>
      <c r="B6359" s="86" t="s">
        <v>35</v>
      </c>
      <c r="C6359" s="86" t="s">
        <v>187</v>
      </c>
      <c r="D6359" s="86" t="s">
        <v>188</v>
      </c>
      <c r="E6359" s="86" t="s">
        <v>266</v>
      </c>
      <c r="F6359" s="86" t="s">
        <v>266</v>
      </c>
      <c r="G6359" s="86" t="s">
        <v>266</v>
      </c>
      <c r="H6359" s="143">
        <v>237</v>
      </c>
      <c r="I6359" s="86" t="s">
        <v>2374</v>
      </c>
      <c r="J6359" s="1" t="s">
        <v>3322</v>
      </c>
      <c r="K6359" s="1" t="s">
        <v>3269</v>
      </c>
      <c r="L6359" s="1" t="s">
        <v>35</v>
      </c>
      <c r="M6359" s="86" t="s">
        <v>2438</v>
      </c>
      <c r="O6359" s="47" t="s">
        <v>40</v>
      </c>
      <c r="P6359" s="47" t="s">
        <v>46</v>
      </c>
      <c r="Q6359" s="14">
        <v>-0.06</v>
      </c>
      <c r="R6359" s="143"/>
      <c r="S6359" s="47"/>
      <c r="T6359" s="6">
        <v>13171.470704793706</v>
      </c>
      <c r="U6359" s="6"/>
      <c r="V6359" s="6">
        <v>0</v>
      </c>
      <c r="W6359" s="6">
        <f t="shared" si="980"/>
        <v>13171.470704793706</v>
      </c>
      <c r="X6359" s="6">
        <f t="shared" si="981"/>
        <v>0</v>
      </c>
      <c r="Y6359" s="13">
        <f t="shared" si="984"/>
        <v>0</v>
      </c>
      <c r="Z6359" s="14">
        <v>0</v>
      </c>
      <c r="AA6359" s="6">
        <v>0</v>
      </c>
      <c r="AB6359" s="4">
        <f t="shared" si="985"/>
        <v>0</v>
      </c>
      <c r="AC6359" s="6">
        <f t="shared" si="983"/>
        <v>0</v>
      </c>
      <c r="AD6359" s="6">
        <v>0</v>
      </c>
      <c r="AE6359" s="14">
        <f>VLOOKUP(I6359,[2]媒体政策预估表!A:N,MATCH(O6359,[2]媒体政策预估表!$A$2:$M$2,0),0)</f>
        <v>0.09</v>
      </c>
      <c r="AF6359" s="6">
        <f t="shared" si="979"/>
        <v>0</v>
      </c>
      <c r="AG6359" s="14">
        <v>0.46</v>
      </c>
      <c r="AH6359" s="6">
        <f t="shared" si="982"/>
        <v>0</v>
      </c>
      <c r="AI6359" s="47"/>
      <c r="AJ6359" s="126" t="e">
        <v>#N/A</v>
      </c>
      <c r="AK6359" s="80">
        <f t="shared" si="986"/>
        <v>0</v>
      </c>
      <c r="AL6359" s="85"/>
      <c r="AM6359" s="85"/>
    </row>
    <row r="6360" spans="1:39" s="86" customFormat="1" ht="13.25" hidden="1" customHeight="1" x14ac:dyDescent="0.3">
      <c r="A6360" s="89" t="s">
        <v>3792</v>
      </c>
      <c r="B6360" s="86" t="s">
        <v>35</v>
      </c>
      <c r="C6360" s="86" t="s">
        <v>187</v>
      </c>
      <c r="D6360" s="86" t="s">
        <v>188</v>
      </c>
      <c r="E6360" s="86" t="s">
        <v>189</v>
      </c>
      <c r="F6360" s="86" t="s">
        <v>2557</v>
      </c>
      <c r="G6360" s="86" t="s">
        <v>189</v>
      </c>
      <c r="H6360" s="143">
        <v>237</v>
      </c>
      <c r="I6360" s="86" t="s">
        <v>2374</v>
      </c>
      <c r="J6360" s="1" t="s">
        <v>3322</v>
      </c>
      <c r="K6360" s="1" t="s">
        <v>3269</v>
      </c>
      <c r="L6360" s="1" t="s">
        <v>35</v>
      </c>
      <c r="M6360" s="86" t="s">
        <v>2438</v>
      </c>
      <c r="O6360" s="47" t="s">
        <v>40</v>
      </c>
      <c r="P6360" s="47" t="s">
        <v>46</v>
      </c>
      <c r="Q6360" s="14">
        <v>0.11</v>
      </c>
      <c r="R6360" s="143"/>
      <c r="S6360" s="47"/>
      <c r="T6360" s="6">
        <v>-1997.87</v>
      </c>
      <c r="U6360" s="6"/>
      <c r="V6360" s="6">
        <v>0</v>
      </c>
      <c r="W6360" s="6">
        <f t="shared" si="980"/>
        <v>-1997.87</v>
      </c>
      <c r="X6360" s="6">
        <f t="shared" si="981"/>
        <v>0</v>
      </c>
      <c r="Y6360" s="13">
        <f t="shared" si="984"/>
        <v>0</v>
      </c>
      <c r="Z6360" s="14">
        <v>0</v>
      </c>
      <c r="AA6360" s="6">
        <v>0</v>
      </c>
      <c r="AB6360" s="4">
        <f t="shared" si="985"/>
        <v>0</v>
      </c>
      <c r="AC6360" s="6">
        <f t="shared" si="983"/>
        <v>0</v>
      </c>
      <c r="AD6360" s="6">
        <v>0</v>
      </c>
      <c r="AE6360" s="14">
        <f>VLOOKUP(I6360,[2]媒体政策预估表!A:N,MATCH(O6360,[2]媒体政策预估表!$A$2:$M$2,0),0)</f>
        <v>0.09</v>
      </c>
      <c r="AF6360" s="6">
        <f t="shared" si="979"/>
        <v>0</v>
      </c>
      <c r="AG6360" s="14">
        <v>0.46</v>
      </c>
      <c r="AH6360" s="6">
        <f t="shared" si="982"/>
        <v>0</v>
      </c>
      <c r="AI6360" s="47"/>
      <c r="AJ6360" s="126" t="e">
        <v>#N/A</v>
      </c>
      <c r="AK6360" s="80">
        <f t="shared" si="986"/>
        <v>0</v>
      </c>
      <c r="AL6360" s="85"/>
      <c r="AM6360" s="85"/>
    </row>
    <row r="6361" spans="1:39" s="86" customFormat="1" ht="13.25" hidden="1" customHeight="1" x14ac:dyDescent="0.3">
      <c r="A6361" s="89" t="s">
        <v>3792</v>
      </c>
      <c r="B6361" s="86" t="s">
        <v>35</v>
      </c>
      <c r="C6361" s="86" t="s">
        <v>187</v>
      </c>
      <c r="D6361" s="86" t="s">
        <v>188</v>
      </c>
      <c r="E6361" s="86" t="s">
        <v>2558</v>
      </c>
      <c r="F6361" s="86" t="s">
        <v>2558</v>
      </c>
      <c r="G6361" s="86" t="s">
        <v>2558</v>
      </c>
      <c r="H6361" s="143">
        <v>237</v>
      </c>
      <c r="I6361" s="86" t="s">
        <v>2374</v>
      </c>
      <c r="J6361" s="1" t="s">
        <v>3322</v>
      </c>
      <c r="K6361" s="1" t="s">
        <v>3269</v>
      </c>
      <c r="L6361" s="1" t="s">
        <v>35</v>
      </c>
      <c r="M6361" s="86" t="s">
        <v>2438</v>
      </c>
      <c r="O6361" s="47" t="s">
        <v>45</v>
      </c>
      <c r="P6361" s="47" t="s">
        <v>46</v>
      </c>
      <c r="Q6361" s="14">
        <v>0.03</v>
      </c>
      <c r="R6361" s="143"/>
      <c r="S6361" s="47"/>
      <c r="T6361" s="6">
        <v>124575.60023211583</v>
      </c>
      <c r="U6361" s="6"/>
      <c r="V6361" s="6">
        <v>0</v>
      </c>
      <c r="W6361" s="6">
        <f t="shared" si="980"/>
        <v>124575.60023211583</v>
      </c>
      <c r="X6361" s="6">
        <f t="shared" si="981"/>
        <v>0</v>
      </c>
      <c r="Y6361" s="13">
        <f t="shared" si="984"/>
        <v>0</v>
      </c>
      <c r="Z6361" s="14">
        <v>0</v>
      </c>
      <c r="AA6361" s="6">
        <v>0</v>
      </c>
      <c r="AB6361" s="4">
        <f t="shared" si="985"/>
        <v>0</v>
      </c>
      <c r="AC6361" s="6">
        <f t="shared" si="983"/>
        <v>0</v>
      </c>
      <c r="AD6361" s="6">
        <v>0</v>
      </c>
      <c r="AE6361" s="14">
        <f>VLOOKUP(I6361,[2]媒体政策预估表!A:N,MATCH(O6361,[2]媒体政策预估表!$A$2:$M$2,0),0)</f>
        <v>7.0000000000000007E-2</v>
      </c>
      <c r="AF6361" s="6">
        <f t="shared" si="979"/>
        <v>0</v>
      </c>
      <c r="AG6361" s="14">
        <v>0.37</v>
      </c>
      <c r="AH6361" s="6">
        <f t="shared" si="982"/>
        <v>0</v>
      </c>
      <c r="AI6361" s="47"/>
      <c r="AJ6361" s="126" t="e">
        <v>#N/A</v>
      </c>
      <c r="AK6361" s="80">
        <f t="shared" si="986"/>
        <v>0</v>
      </c>
      <c r="AL6361" s="85"/>
      <c r="AM6361" s="85"/>
    </row>
    <row r="6362" spans="1:39" s="86" customFormat="1" ht="13.25" hidden="1" customHeight="1" x14ac:dyDescent="0.3">
      <c r="A6362" s="89" t="s">
        <v>3794</v>
      </c>
      <c r="B6362" s="86" t="s">
        <v>35</v>
      </c>
      <c r="C6362" s="86" t="s">
        <v>187</v>
      </c>
      <c r="D6362" s="86" t="s">
        <v>188</v>
      </c>
      <c r="E6362" s="86" t="s">
        <v>279</v>
      </c>
      <c r="F6362" s="86" t="s">
        <v>279</v>
      </c>
      <c r="G6362" s="86" t="s">
        <v>279</v>
      </c>
      <c r="H6362" s="143">
        <v>237</v>
      </c>
      <c r="I6362" s="86" t="s">
        <v>2374</v>
      </c>
      <c r="J6362" s="1" t="s">
        <v>3322</v>
      </c>
      <c r="K6362" s="1" t="s">
        <v>3269</v>
      </c>
      <c r="L6362" s="1" t="s">
        <v>35</v>
      </c>
      <c r="M6362" s="86" t="s">
        <v>2438</v>
      </c>
      <c r="O6362" s="47" t="s">
        <v>45</v>
      </c>
      <c r="P6362" s="47" t="s">
        <v>46</v>
      </c>
      <c r="Q6362" s="14">
        <v>-2.0000000000000018E-2</v>
      </c>
      <c r="R6362" s="143"/>
      <c r="S6362" s="47"/>
      <c r="T6362" s="6">
        <v>12.659999999999901</v>
      </c>
      <c r="U6362" s="6"/>
      <c r="V6362" s="6">
        <v>0</v>
      </c>
      <c r="W6362" s="6">
        <f t="shared" si="980"/>
        <v>12.659999999999901</v>
      </c>
      <c r="X6362" s="6">
        <f t="shared" si="981"/>
        <v>0</v>
      </c>
      <c r="Y6362" s="13">
        <f t="shared" si="984"/>
        <v>0</v>
      </c>
      <c r="Z6362" s="14">
        <v>0</v>
      </c>
      <c r="AA6362" s="6">
        <v>0</v>
      </c>
      <c r="AB6362" s="4">
        <f t="shared" si="985"/>
        <v>0</v>
      </c>
      <c r="AC6362" s="6">
        <f t="shared" si="983"/>
        <v>0</v>
      </c>
      <c r="AD6362" s="6">
        <v>0</v>
      </c>
      <c r="AE6362" s="14">
        <f>VLOOKUP(I6362,[2]媒体政策预估表!A:N,MATCH(O6362,[2]媒体政策预估表!$A$2:$M$2,0),0)</f>
        <v>7.0000000000000007E-2</v>
      </c>
      <c r="AF6362" s="6">
        <f t="shared" si="979"/>
        <v>0</v>
      </c>
      <c r="AG6362" s="14">
        <v>0.37</v>
      </c>
      <c r="AH6362" s="6">
        <f t="shared" si="982"/>
        <v>0</v>
      </c>
      <c r="AI6362" s="47"/>
      <c r="AJ6362" s="126" t="e">
        <v>#N/A</v>
      </c>
      <c r="AK6362" s="80">
        <f t="shared" si="986"/>
        <v>0</v>
      </c>
      <c r="AL6362" s="85"/>
      <c r="AM6362" s="85"/>
    </row>
    <row r="6363" spans="1:39" s="86" customFormat="1" ht="13.25" hidden="1" customHeight="1" x14ac:dyDescent="0.3">
      <c r="A6363" s="89" t="s">
        <v>3794</v>
      </c>
      <c r="B6363" s="86" t="s">
        <v>35</v>
      </c>
      <c r="C6363" s="86" t="s">
        <v>187</v>
      </c>
      <c r="D6363" s="86" t="s">
        <v>188</v>
      </c>
      <c r="E6363" s="86" t="s">
        <v>2559</v>
      </c>
      <c r="F6363" s="86" t="s">
        <v>2559</v>
      </c>
      <c r="G6363" s="86" t="s">
        <v>2559</v>
      </c>
      <c r="H6363" s="143">
        <v>237</v>
      </c>
      <c r="I6363" s="86" t="s">
        <v>2374</v>
      </c>
      <c r="J6363" s="1" t="s">
        <v>3322</v>
      </c>
      <c r="K6363" s="1" t="s">
        <v>3269</v>
      </c>
      <c r="L6363" s="1" t="s">
        <v>35</v>
      </c>
      <c r="M6363" s="86" t="s">
        <v>2438</v>
      </c>
      <c r="O6363" s="47" t="s">
        <v>40</v>
      </c>
      <c r="P6363" s="47" t="s">
        <v>46</v>
      </c>
      <c r="Q6363" s="14">
        <v>0.09</v>
      </c>
      <c r="R6363" s="143"/>
      <c r="S6363" s="47"/>
      <c r="T6363" s="6">
        <v>77615.606438356161</v>
      </c>
      <c r="U6363" s="6"/>
      <c r="V6363" s="6">
        <v>0</v>
      </c>
      <c r="W6363" s="6">
        <f t="shared" si="980"/>
        <v>77615.606438356161</v>
      </c>
      <c r="X6363" s="6">
        <f t="shared" si="981"/>
        <v>0</v>
      </c>
      <c r="Y6363" s="13">
        <f t="shared" si="984"/>
        <v>0</v>
      </c>
      <c r="Z6363" s="14">
        <v>0</v>
      </c>
      <c r="AA6363" s="6">
        <v>0</v>
      </c>
      <c r="AB6363" s="4">
        <f t="shared" si="985"/>
        <v>0</v>
      </c>
      <c r="AC6363" s="6">
        <f t="shared" si="983"/>
        <v>0</v>
      </c>
      <c r="AD6363" s="6">
        <v>0</v>
      </c>
      <c r="AE6363" s="14">
        <f>VLOOKUP(I6363,[2]媒体政策预估表!A:N,MATCH(O6363,[2]媒体政策预估表!$A$2:$M$2,0),0)</f>
        <v>0.09</v>
      </c>
      <c r="AF6363" s="6">
        <f t="shared" si="979"/>
        <v>0</v>
      </c>
      <c r="AG6363" s="14">
        <v>0.46</v>
      </c>
      <c r="AH6363" s="6">
        <f t="shared" si="982"/>
        <v>0</v>
      </c>
      <c r="AI6363" s="47"/>
      <c r="AJ6363" s="126" t="e">
        <v>#N/A</v>
      </c>
      <c r="AK6363" s="80">
        <f t="shared" si="986"/>
        <v>0</v>
      </c>
      <c r="AL6363" s="85"/>
      <c r="AM6363" s="85"/>
    </row>
    <row r="6364" spans="1:39" s="86" customFormat="1" ht="13.25" hidden="1" customHeight="1" x14ac:dyDescent="0.3">
      <c r="A6364" s="89" t="s">
        <v>3794</v>
      </c>
      <c r="B6364" s="86" t="s">
        <v>35</v>
      </c>
      <c r="C6364" s="86" t="s">
        <v>187</v>
      </c>
      <c r="D6364" s="86" t="s">
        <v>188</v>
      </c>
      <c r="E6364" s="86" t="s">
        <v>2560</v>
      </c>
      <c r="F6364" s="86" t="s">
        <v>2560</v>
      </c>
      <c r="G6364" s="86" t="s">
        <v>2560</v>
      </c>
      <c r="H6364" s="143">
        <v>237</v>
      </c>
      <c r="I6364" s="86" t="s">
        <v>2374</v>
      </c>
      <c r="J6364" s="1" t="s">
        <v>3322</v>
      </c>
      <c r="K6364" s="1" t="s">
        <v>3269</v>
      </c>
      <c r="L6364" s="1" t="s">
        <v>35</v>
      </c>
      <c r="M6364" s="86" t="s">
        <v>2438</v>
      </c>
      <c r="O6364" s="47" t="s">
        <v>45</v>
      </c>
      <c r="P6364" s="47" t="s">
        <v>46</v>
      </c>
      <c r="Q6364" s="14">
        <v>0.03</v>
      </c>
      <c r="R6364" s="143"/>
      <c r="S6364" s="47"/>
      <c r="T6364" s="6">
        <v>2505.8718978102197</v>
      </c>
      <c r="U6364" s="6"/>
      <c r="V6364" s="6">
        <v>0</v>
      </c>
      <c r="W6364" s="6">
        <f t="shared" si="980"/>
        <v>2505.8718978102197</v>
      </c>
      <c r="X6364" s="6">
        <f t="shared" si="981"/>
        <v>0</v>
      </c>
      <c r="Y6364" s="13">
        <f t="shared" si="984"/>
        <v>0</v>
      </c>
      <c r="Z6364" s="14">
        <v>0</v>
      </c>
      <c r="AA6364" s="6">
        <v>0</v>
      </c>
      <c r="AB6364" s="4">
        <f t="shared" si="985"/>
        <v>0</v>
      </c>
      <c r="AC6364" s="6">
        <f t="shared" si="983"/>
        <v>0</v>
      </c>
      <c r="AD6364" s="6">
        <v>0</v>
      </c>
      <c r="AE6364" s="14">
        <f>VLOOKUP(I6364,[2]媒体政策预估表!A:N,MATCH(O6364,[2]媒体政策预估表!$A$2:$M$2,0),0)</f>
        <v>7.0000000000000007E-2</v>
      </c>
      <c r="AF6364" s="6">
        <f t="shared" si="979"/>
        <v>0</v>
      </c>
      <c r="AG6364" s="14">
        <v>0.37</v>
      </c>
      <c r="AH6364" s="6">
        <f t="shared" si="982"/>
        <v>0</v>
      </c>
      <c r="AI6364" s="47"/>
      <c r="AJ6364" s="126" t="e">
        <v>#N/A</v>
      </c>
      <c r="AK6364" s="80">
        <f t="shared" si="986"/>
        <v>0</v>
      </c>
      <c r="AL6364" s="85"/>
      <c r="AM6364" s="85"/>
    </row>
    <row r="6365" spans="1:39" s="86" customFormat="1" ht="13.25" hidden="1" customHeight="1" x14ac:dyDescent="0.3">
      <c r="A6365" s="89" t="s">
        <v>3792</v>
      </c>
      <c r="B6365" s="86" t="s">
        <v>35</v>
      </c>
      <c r="C6365" s="86" t="s">
        <v>187</v>
      </c>
      <c r="D6365" s="86" t="s">
        <v>188</v>
      </c>
      <c r="E6365" s="86" t="s">
        <v>248</v>
      </c>
      <c r="F6365" s="86" t="s">
        <v>248</v>
      </c>
      <c r="G6365" s="86" t="s">
        <v>248</v>
      </c>
      <c r="H6365" s="144">
        <v>237</v>
      </c>
      <c r="I6365" s="86" t="s">
        <v>2374</v>
      </c>
      <c r="J6365" s="1" t="s">
        <v>3322</v>
      </c>
      <c r="K6365" s="1" t="s">
        <v>3269</v>
      </c>
      <c r="L6365" s="1" t="s">
        <v>35</v>
      </c>
      <c r="M6365" s="86" t="s">
        <v>2438</v>
      </c>
      <c r="O6365" s="47" t="s">
        <v>45</v>
      </c>
      <c r="P6365" s="47" t="s">
        <v>46</v>
      </c>
      <c r="Q6365" s="14">
        <v>-2.0000000000000018E-2</v>
      </c>
      <c r="R6365" s="143"/>
      <c r="S6365" s="47"/>
      <c r="T6365" s="6">
        <v>45.723699999998644</v>
      </c>
      <c r="U6365" s="6"/>
      <c r="V6365" s="6">
        <v>45.723699999998644</v>
      </c>
      <c r="W6365" s="6">
        <f t="shared" si="980"/>
        <v>0</v>
      </c>
      <c r="X6365" s="6">
        <f t="shared" si="981"/>
        <v>33.869407407406399</v>
      </c>
      <c r="Y6365" s="13">
        <f t="shared" si="984"/>
        <v>33.869407407406399</v>
      </c>
      <c r="Z6365" s="14">
        <v>0</v>
      </c>
      <c r="AA6365" s="6">
        <v>0</v>
      </c>
      <c r="AB6365" s="4">
        <f t="shared" si="985"/>
        <v>33.869407407406399</v>
      </c>
      <c r="AC6365" s="6">
        <f t="shared" si="983"/>
        <v>11.854292592592245</v>
      </c>
      <c r="AD6365" s="6">
        <v>0</v>
      </c>
      <c r="AE6365" s="14">
        <f>VLOOKUP(I6365,[2]媒体政策预估表!A:N,MATCH(O6365,[2]媒体政策预估表!$A$2:$M$2,0),0)</f>
        <v>7.0000000000000007E-2</v>
      </c>
      <c r="AF6365" s="6">
        <f t="shared" si="979"/>
        <v>0</v>
      </c>
      <c r="AG6365" s="14">
        <v>0.37</v>
      </c>
      <c r="AH6365" s="6">
        <f t="shared" si="982"/>
        <v>33.374963503648644</v>
      </c>
      <c r="AI6365" s="47"/>
      <c r="AJ6365" s="126" t="e">
        <v>#N/A</v>
      </c>
      <c r="AK6365" s="80">
        <f t="shared" si="986"/>
        <v>0</v>
      </c>
      <c r="AL6365" s="85"/>
      <c r="AM6365" s="85"/>
    </row>
    <row r="6366" spans="1:39" s="86" customFormat="1" ht="13.25" hidden="1" customHeight="1" x14ac:dyDescent="0.3">
      <c r="A6366" s="89" t="s">
        <v>3794</v>
      </c>
      <c r="B6366" s="86" t="s">
        <v>35</v>
      </c>
      <c r="C6366" s="86" t="s">
        <v>187</v>
      </c>
      <c r="D6366" s="86" t="s">
        <v>188</v>
      </c>
      <c r="E6366" s="86" t="s">
        <v>248</v>
      </c>
      <c r="F6366" s="86" t="s">
        <v>248</v>
      </c>
      <c r="G6366" s="86" t="s">
        <v>248</v>
      </c>
      <c r="H6366" s="144">
        <v>237</v>
      </c>
      <c r="I6366" s="86" t="s">
        <v>2374</v>
      </c>
      <c r="J6366" s="1" t="s">
        <v>3322</v>
      </c>
      <c r="K6366" s="1" t="s">
        <v>3269</v>
      </c>
      <c r="L6366" s="1" t="s">
        <v>35</v>
      </c>
      <c r="M6366" s="86" t="s">
        <v>2438</v>
      </c>
      <c r="O6366" s="47" t="s">
        <v>45</v>
      </c>
      <c r="P6366" s="47" t="s">
        <v>46</v>
      </c>
      <c r="Q6366" s="14">
        <v>0.03</v>
      </c>
      <c r="R6366" s="143"/>
      <c r="S6366" s="47"/>
      <c r="T6366" s="6">
        <v>-49.886204379432456</v>
      </c>
      <c r="U6366" s="6"/>
      <c r="V6366" s="6">
        <v>-45.723699999998644</v>
      </c>
      <c r="W6366" s="6">
        <v>0</v>
      </c>
      <c r="X6366" s="6">
        <f t="shared" si="981"/>
        <v>-32.659785714284745</v>
      </c>
      <c r="Y6366" s="13">
        <f t="shared" si="984"/>
        <v>0</v>
      </c>
      <c r="Z6366" s="14">
        <v>0</v>
      </c>
      <c r="AA6366" s="6">
        <v>0</v>
      </c>
      <c r="AB6366" s="4">
        <f t="shared" si="985"/>
        <v>-32.659785714284745</v>
      </c>
      <c r="AC6366" s="6">
        <f t="shared" si="983"/>
        <v>-13.063914285713899</v>
      </c>
      <c r="AD6366" s="6">
        <v>0</v>
      </c>
      <c r="AE6366" s="14">
        <f>VLOOKUP(I6366,[2]媒体政策预估表!A:N,MATCH(O6366,[2]媒体政策预估表!$A$2:$M$2,0),0)</f>
        <v>7.0000000000000007E-2</v>
      </c>
      <c r="AF6366" s="6">
        <f t="shared" si="979"/>
        <v>0</v>
      </c>
      <c r="AG6366" s="14">
        <v>0.37</v>
      </c>
      <c r="AH6366" s="6">
        <f t="shared" si="982"/>
        <v>-33.374963503648644</v>
      </c>
      <c r="AI6366" s="47"/>
      <c r="AJ6366" s="126" t="e">
        <v>#N/A</v>
      </c>
      <c r="AK6366" s="80">
        <f t="shared" si="986"/>
        <v>0</v>
      </c>
      <c r="AL6366" s="85"/>
      <c r="AM6366" s="85"/>
    </row>
    <row r="6367" spans="1:39" s="86" customFormat="1" ht="13.25" hidden="1" customHeight="1" x14ac:dyDescent="0.3">
      <c r="A6367" s="89" t="s">
        <v>3792</v>
      </c>
      <c r="B6367" s="86" t="s">
        <v>35</v>
      </c>
      <c r="C6367" s="86" t="s">
        <v>187</v>
      </c>
      <c r="D6367" s="86" t="s">
        <v>188</v>
      </c>
      <c r="E6367" s="86" t="s">
        <v>2561</v>
      </c>
      <c r="F6367" s="86" t="s">
        <v>2561</v>
      </c>
      <c r="G6367" s="86" t="s">
        <v>2561</v>
      </c>
      <c r="H6367" s="143">
        <v>237</v>
      </c>
      <c r="I6367" s="86" t="s">
        <v>2374</v>
      </c>
      <c r="J6367" s="1" t="s">
        <v>3322</v>
      </c>
      <c r="K6367" s="1" t="s">
        <v>3269</v>
      </c>
      <c r="L6367" s="1" t="s">
        <v>35</v>
      </c>
      <c r="M6367" s="86" t="s">
        <v>2438</v>
      </c>
      <c r="O6367" s="47" t="s">
        <v>40</v>
      </c>
      <c r="P6367" s="47" t="s">
        <v>46</v>
      </c>
      <c r="Q6367" s="14">
        <v>0.04</v>
      </c>
      <c r="R6367" s="143"/>
      <c r="S6367" s="47"/>
      <c r="T6367" s="6">
        <v>0.05</v>
      </c>
      <c r="U6367" s="6"/>
      <c r="V6367" s="6">
        <v>0</v>
      </c>
      <c r="W6367" s="6">
        <f t="shared" si="980"/>
        <v>0.05</v>
      </c>
      <c r="X6367" s="6">
        <f t="shared" si="981"/>
        <v>0</v>
      </c>
      <c r="Y6367" s="13">
        <f t="shared" si="984"/>
        <v>0</v>
      </c>
      <c r="Z6367" s="14">
        <v>0</v>
      </c>
      <c r="AA6367" s="6">
        <v>0</v>
      </c>
      <c r="AB6367" s="4">
        <f t="shared" si="985"/>
        <v>0</v>
      </c>
      <c r="AC6367" s="6">
        <f t="shared" si="983"/>
        <v>0</v>
      </c>
      <c r="AD6367" s="6">
        <v>0</v>
      </c>
      <c r="AE6367" s="14">
        <f>VLOOKUP(I6367,[2]媒体政策预估表!A:N,MATCH(O6367,[2]媒体政策预估表!$A$2:$M$2,0),0)</f>
        <v>0.09</v>
      </c>
      <c r="AF6367" s="6">
        <f t="shared" si="979"/>
        <v>0</v>
      </c>
      <c r="AG6367" s="14">
        <v>0.41</v>
      </c>
      <c r="AH6367" s="6">
        <f t="shared" si="982"/>
        <v>0</v>
      </c>
      <c r="AI6367" s="47"/>
      <c r="AJ6367" s="126" t="e">
        <v>#N/A</v>
      </c>
      <c r="AK6367" s="80">
        <f t="shared" si="986"/>
        <v>0</v>
      </c>
      <c r="AL6367" s="85"/>
      <c r="AM6367" s="85"/>
    </row>
    <row r="6368" spans="1:39" s="86" customFormat="1" ht="13.25" hidden="1" customHeight="1" x14ac:dyDescent="0.3">
      <c r="A6368" s="89" t="s">
        <v>3794</v>
      </c>
      <c r="B6368" s="86" t="s">
        <v>35</v>
      </c>
      <c r="C6368" s="86" t="s">
        <v>187</v>
      </c>
      <c r="D6368" s="86" t="s">
        <v>188</v>
      </c>
      <c r="E6368" s="86" t="s">
        <v>2562</v>
      </c>
      <c r="F6368" s="86" t="s">
        <v>2562</v>
      </c>
      <c r="G6368" s="86" t="s">
        <v>2562</v>
      </c>
      <c r="H6368" s="143">
        <v>237</v>
      </c>
      <c r="I6368" s="86" t="s">
        <v>2374</v>
      </c>
      <c r="J6368" s="1" t="s">
        <v>3322</v>
      </c>
      <c r="K6368" s="1" t="s">
        <v>3269</v>
      </c>
      <c r="L6368" s="1" t="s">
        <v>35</v>
      </c>
      <c r="M6368" s="86" t="s">
        <v>2438</v>
      </c>
      <c r="O6368" s="47" t="s">
        <v>45</v>
      </c>
      <c r="P6368" s="47" t="s">
        <v>46</v>
      </c>
      <c r="Q6368" s="14">
        <v>0.03</v>
      </c>
      <c r="R6368" s="143"/>
      <c r="S6368" s="47"/>
      <c r="T6368" s="6">
        <v>27969.793795620441</v>
      </c>
      <c r="U6368" s="6"/>
      <c r="V6368" s="6">
        <v>0</v>
      </c>
      <c r="W6368" s="6">
        <f t="shared" si="980"/>
        <v>27969.793795620441</v>
      </c>
      <c r="X6368" s="6">
        <f t="shared" si="981"/>
        <v>0</v>
      </c>
      <c r="Y6368" s="13">
        <f t="shared" si="984"/>
        <v>0</v>
      </c>
      <c r="Z6368" s="14">
        <v>0</v>
      </c>
      <c r="AA6368" s="6">
        <v>0</v>
      </c>
      <c r="AB6368" s="4">
        <f t="shared" si="985"/>
        <v>0</v>
      </c>
      <c r="AC6368" s="6">
        <f t="shared" si="983"/>
        <v>0</v>
      </c>
      <c r="AD6368" s="6">
        <v>0</v>
      </c>
      <c r="AE6368" s="14">
        <f>VLOOKUP(I6368,[2]媒体政策预估表!A:N,MATCH(O6368,[2]媒体政策预估表!$A$2:$M$2,0),0)</f>
        <v>7.0000000000000007E-2</v>
      </c>
      <c r="AF6368" s="6">
        <f t="shared" si="979"/>
        <v>0</v>
      </c>
      <c r="AG6368" s="14">
        <v>0.37</v>
      </c>
      <c r="AH6368" s="6">
        <f t="shared" si="982"/>
        <v>0</v>
      </c>
      <c r="AI6368" s="47"/>
      <c r="AJ6368" s="126" t="e">
        <v>#N/A</v>
      </c>
      <c r="AK6368" s="80">
        <f t="shared" si="986"/>
        <v>0</v>
      </c>
      <c r="AL6368" s="85"/>
      <c r="AM6368" s="85"/>
    </row>
    <row r="6369" spans="1:39" s="86" customFormat="1" ht="13.25" hidden="1" customHeight="1" x14ac:dyDescent="0.3">
      <c r="A6369" s="89" t="s">
        <v>3792</v>
      </c>
      <c r="B6369" s="86" t="s">
        <v>35</v>
      </c>
      <c r="C6369" s="86" t="s">
        <v>187</v>
      </c>
      <c r="D6369" s="86" t="s">
        <v>208</v>
      </c>
      <c r="E6369" s="86" t="s">
        <v>2563</v>
      </c>
      <c r="F6369" s="86" t="s">
        <v>2563</v>
      </c>
      <c r="G6369" s="86" t="s">
        <v>2563</v>
      </c>
      <c r="H6369" s="143">
        <v>237</v>
      </c>
      <c r="I6369" s="86" t="s">
        <v>2374</v>
      </c>
      <c r="J6369" s="1" t="s">
        <v>3322</v>
      </c>
      <c r="K6369" s="1" t="s">
        <v>3269</v>
      </c>
      <c r="L6369" s="1" t="s">
        <v>35</v>
      </c>
      <c r="M6369" s="86" t="s">
        <v>2438</v>
      </c>
      <c r="O6369" s="47" t="s">
        <v>40</v>
      </c>
      <c r="P6369" s="47" t="s">
        <v>46</v>
      </c>
      <c r="Q6369" s="14">
        <v>0.01</v>
      </c>
      <c r="R6369" s="143"/>
      <c r="S6369" s="47"/>
      <c r="T6369" s="6">
        <v>-56746.807504651188</v>
      </c>
      <c r="U6369" s="6"/>
      <c r="V6369" s="6">
        <v>0</v>
      </c>
      <c r="W6369" s="6">
        <f t="shared" si="980"/>
        <v>-56746.807504651188</v>
      </c>
      <c r="X6369" s="6">
        <f t="shared" si="981"/>
        <v>0</v>
      </c>
      <c r="Y6369" s="13">
        <f t="shared" si="984"/>
        <v>0</v>
      </c>
      <c r="Z6369" s="14">
        <v>0</v>
      </c>
      <c r="AA6369" s="6">
        <v>0</v>
      </c>
      <c r="AB6369" s="4">
        <f t="shared" si="985"/>
        <v>0</v>
      </c>
      <c r="AC6369" s="6">
        <f t="shared" si="983"/>
        <v>0</v>
      </c>
      <c r="AD6369" s="6">
        <v>0</v>
      </c>
      <c r="AE6369" s="14">
        <f>VLOOKUP(I6369,[2]媒体政策预估表!A:N,MATCH(O6369,[2]媒体政策预估表!$A$2:$M$2,0),0)</f>
        <v>0.09</v>
      </c>
      <c r="AF6369" s="6">
        <f t="shared" si="979"/>
        <v>0</v>
      </c>
      <c r="AG6369" s="14">
        <v>0.4</v>
      </c>
      <c r="AH6369" s="6">
        <f t="shared" si="982"/>
        <v>0</v>
      </c>
      <c r="AI6369" s="47"/>
      <c r="AJ6369" s="126" t="e">
        <v>#N/A</v>
      </c>
      <c r="AK6369" s="80">
        <f t="shared" si="986"/>
        <v>0</v>
      </c>
      <c r="AL6369" s="85"/>
      <c r="AM6369" s="85"/>
    </row>
    <row r="6370" spans="1:39" s="86" customFormat="1" ht="13.25" hidden="1" customHeight="1" x14ac:dyDescent="0.3">
      <c r="A6370" s="89" t="s">
        <v>3792</v>
      </c>
      <c r="B6370" s="86" t="s">
        <v>35</v>
      </c>
      <c r="C6370" s="86" t="s">
        <v>187</v>
      </c>
      <c r="D6370" s="86" t="s">
        <v>208</v>
      </c>
      <c r="E6370" s="86" t="s">
        <v>2457</v>
      </c>
      <c r="F6370" s="86" t="s">
        <v>2457</v>
      </c>
      <c r="G6370" s="86" t="s">
        <v>2457</v>
      </c>
      <c r="H6370" s="143">
        <v>237</v>
      </c>
      <c r="I6370" s="86" t="s">
        <v>2374</v>
      </c>
      <c r="J6370" s="1" t="s">
        <v>3322</v>
      </c>
      <c r="K6370" s="1" t="s">
        <v>3269</v>
      </c>
      <c r="L6370" s="1" t="s">
        <v>35</v>
      </c>
      <c r="M6370" s="86" t="s">
        <v>2438</v>
      </c>
      <c r="O6370" s="47" t="s">
        <v>45</v>
      </c>
      <c r="P6370" s="47" t="s">
        <v>46</v>
      </c>
      <c r="Q6370" s="14">
        <v>-2.0000000000000018E-2</v>
      </c>
      <c r="R6370" s="143"/>
      <c r="S6370" s="47"/>
      <c r="T6370" s="6">
        <v>-3481.5356934388265</v>
      </c>
      <c r="U6370" s="6"/>
      <c r="V6370" s="6">
        <v>0</v>
      </c>
      <c r="W6370" s="6">
        <f t="shared" si="980"/>
        <v>-3481.5356934388265</v>
      </c>
      <c r="X6370" s="6">
        <f t="shared" si="981"/>
        <v>0</v>
      </c>
      <c r="Y6370" s="13">
        <f t="shared" si="984"/>
        <v>0</v>
      </c>
      <c r="Z6370" s="14">
        <v>0</v>
      </c>
      <c r="AA6370" s="6">
        <v>0</v>
      </c>
      <c r="AB6370" s="4">
        <f t="shared" si="985"/>
        <v>0</v>
      </c>
      <c r="AC6370" s="6">
        <f t="shared" si="983"/>
        <v>0</v>
      </c>
      <c r="AD6370" s="6">
        <v>0</v>
      </c>
      <c r="AE6370" s="14">
        <f>VLOOKUP(I6370,[2]媒体政策预估表!A:N,MATCH(O6370,[2]媒体政策预估表!$A$2:$M$2,0),0)</f>
        <v>7.0000000000000007E-2</v>
      </c>
      <c r="AF6370" s="6">
        <f t="shared" si="979"/>
        <v>0</v>
      </c>
      <c r="AG6370" s="14">
        <v>0.37</v>
      </c>
      <c r="AH6370" s="6">
        <f t="shared" si="982"/>
        <v>0</v>
      </c>
      <c r="AI6370" s="47"/>
      <c r="AJ6370" s="126" t="e">
        <v>#N/A</v>
      </c>
      <c r="AK6370" s="80">
        <f t="shared" si="986"/>
        <v>0</v>
      </c>
      <c r="AL6370" s="85"/>
      <c r="AM6370" s="85"/>
    </row>
    <row r="6371" spans="1:39" s="86" customFormat="1" ht="13.25" hidden="1" customHeight="1" x14ac:dyDescent="0.3">
      <c r="A6371" s="89" t="s">
        <v>3794</v>
      </c>
      <c r="B6371" s="86" t="s">
        <v>35</v>
      </c>
      <c r="C6371" s="86" t="s">
        <v>187</v>
      </c>
      <c r="D6371" s="86" t="s">
        <v>208</v>
      </c>
      <c r="E6371" s="86" t="s">
        <v>2564</v>
      </c>
      <c r="F6371" s="86" t="s">
        <v>2565</v>
      </c>
      <c r="G6371" s="86" t="s">
        <v>2564</v>
      </c>
      <c r="H6371" s="143">
        <v>237</v>
      </c>
      <c r="I6371" s="86" t="s">
        <v>2374</v>
      </c>
      <c r="J6371" s="1" t="s">
        <v>3322</v>
      </c>
      <c r="K6371" s="1" t="s">
        <v>3269</v>
      </c>
      <c r="L6371" s="1" t="s">
        <v>35</v>
      </c>
      <c r="M6371" s="86" t="s">
        <v>2438</v>
      </c>
      <c r="O6371" s="47" t="s">
        <v>40</v>
      </c>
      <c r="P6371" s="47" t="s">
        <v>46</v>
      </c>
      <c r="Q6371" s="14">
        <v>0.06</v>
      </c>
      <c r="R6371" s="143"/>
      <c r="S6371" s="47"/>
      <c r="T6371" s="6">
        <v>0.16800000070361421</v>
      </c>
      <c r="U6371" s="6"/>
      <c r="V6371" s="6">
        <v>0</v>
      </c>
      <c r="W6371" s="6">
        <f t="shared" si="980"/>
        <v>0.16800000070361421</v>
      </c>
      <c r="X6371" s="6">
        <f t="shared" si="981"/>
        <v>0</v>
      </c>
      <c r="Y6371" s="13">
        <f t="shared" si="984"/>
        <v>0</v>
      </c>
      <c r="Z6371" s="14">
        <v>0</v>
      </c>
      <c r="AA6371" s="6">
        <v>0</v>
      </c>
      <c r="AB6371" s="4">
        <f t="shared" si="985"/>
        <v>0</v>
      </c>
      <c r="AC6371" s="6">
        <f t="shared" si="983"/>
        <v>0</v>
      </c>
      <c r="AD6371" s="6">
        <v>0</v>
      </c>
      <c r="AE6371" s="14">
        <f>VLOOKUP(I6371,[2]媒体政策预估表!A:N,MATCH(O6371,[2]媒体政策预估表!$A$2:$M$2,0),0)</f>
        <v>0.09</v>
      </c>
      <c r="AF6371" s="6">
        <f t="shared" si="979"/>
        <v>0</v>
      </c>
      <c r="AG6371" s="14">
        <v>0.46</v>
      </c>
      <c r="AH6371" s="6">
        <f t="shared" si="982"/>
        <v>0</v>
      </c>
      <c r="AI6371" s="47"/>
      <c r="AJ6371" s="126" t="e">
        <v>#N/A</v>
      </c>
      <c r="AK6371" s="80">
        <f t="shared" si="986"/>
        <v>0</v>
      </c>
      <c r="AL6371" s="85"/>
      <c r="AM6371" s="85"/>
    </row>
    <row r="6372" spans="1:39" s="86" customFormat="1" ht="13.25" hidden="1" customHeight="1" x14ac:dyDescent="0.3">
      <c r="A6372" s="89" t="s">
        <v>3794</v>
      </c>
      <c r="B6372" s="86" t="s">
        <v>35</v>
      </c>
      <c r="C6372" s="86" t="s">
        <v>187</v>
      </c>
      <c r="D6372" s="86" t="s">
        <v>208</v>
      </c>
      <c r="E6372" s="86" t="s">
        <v>2461</v>
      </c>
      <c r="F6372" s="86" t="s">
        <v>2461</v>
      </c>
      <c r="G6372" s="86" t="s">
        <v>2461</v>
      </c>
      <c r="H6372" s="143">
        <v>237</v>
      </c>
      <c r="I6372" s="86" t="s">
        <v>2374</v>
      </c>
      <c r="J6372" s="1" t="s">
        <v>3322</v>
      </c>
      <c r="K6372" s="1" t="s">
        <v>3269</v>
      </c>
      <c r="L6372" s="1" t="s">
        <v>35</v>
      </c>
      <c r="M6372" s="86" t="s">
        <v>2438</v>
      </c>
      <c r="O6372" s="47" t="s">
        <v>40</v>
      </c>
      <c r="P6372" s="47" t="s">
        <v>46</v>
      </c>
      <c r="Q6372" s="14">
        <v>0.09</v>
      </c>
      <c r="R6372" s="143"/>
      <c r="S6372" s="47"/>
      <c r="T6372" s="6">
        <v>61137.986145203991</v>
      </c>
      <c r="U6372" s="6"/>
      <c r="V6372" s="6">
        <v>0</v>
      </c>
      <c r="W6372" s="6">
        <f t="shared" si="980"/>
        <v>61137.986145203991</v>
      </c>
      <c r="X6372" s="6">
        <f t="shared" si="981"/>
        <v>0</v>
      </c>
      <c r="Y6372" s="13">
        <f t="shared" si="984"/>
        <v>0</v>
      </c>
      <c r="Z6372" s="14">
        <v>0</v>
      </c>
      <c r="AA6372" s="6">
        <v>0</v>
      </c>
      <c r="AB6372" s="4">
        <f t="shared" si="985"/>
        <v>0</v>
      </c>
      <c r="AC6372" s="6">
        <f t="shared" si="983"/>
        <v>0</v>
      </c>
      <c r="AD6372" s="6">
        <v>0</v>
      </c>
      <c r="AE6372" s="14">
        <f>VLOOKUP(I6372,[2]媒体政策预估表!A:N,MATCH(O6372,[2]媒体政策预估表!$A$2:$M$2,0),0)</f>
        <v>0.09</v>
      </c>
      <c r="AF6372" s="6">
        <f t="shared" ref="AF6372:AF6435" si="987">AD6372*AE6372</f>
        <v>0</v>
      </c>
      <c r="AG6372" s="14">
        <v>0.46</v>
      </c>
      <c r="AH6372" s="6">
        <f t="shared" si="982"/>
        <v>0</v>
      </c>
      <c r="AI6372" s="47"/>
      <c r="AJ6372" s="126" t="e">
        <v>#N/A</v>
      </c>
      <c r="AK6372" s="80">
        <f t="shared" si="986"/>
        <v>0</v>
      </c>
      <c r="AL6372" s="85"/>
      <c r="AM6372" s="85"/>
    </row>
    <row r="6373" spans="1:39" s="86" customFormat="1" ht="13.25" hidden="1" customHeight="1" x14ac:dyDescent="0.3">
      <c r="A6373" s="89" t="s">
        <v>3794</v>
      </c>
      <c r="B6373" s="86" t="s">
        <v>35</v>
      </c>
      <c r="C6373" s="86" t="s">
        <v>187</v>
      </c>
      <c r="D6373" s="86" t="s">
        <v>208</v>
      </c>
      <c r="E6373" s="86" t="s">
        <v>2554</v>
      </c>
      <c r="F6373" s="86" t="s">
        <v>2554</v>
      </c>
      <c r="G6373" s="86" t="s">
        <v>2554</v>
      </c>
      <c r="H6373" s="143">
        <v>237</v>
      </c>
      <c r="I6373" s="86" t="s">
        <v>2374</v>
      </c>
      <c r="J6373" s="1" t="s">
        <v>3322</v>
      </c>
      <c r="K6373" s="1" t="s">
        <v>3269</v>
      </c>
      <c r="L6373" s="1" t="s">
        <v>35</v>
      </c>
      <c r="M6373" s="86" t="s">
        <v>2438</v>
      </c>
      <c r="O6373" s="47" t="s">
        <v>40</v>
      </c>
      <c r="P6373" s="47" t="s">
        <v>46</v>
      </c>
      <c r="Q6373" s="14">
        <v>-0.06</v>
      </c>
      <c r="R6373" s="143"/>
      <c r="S6373" s="47"/>
      <c r="T6373" s="6">
        <v>14000</v>
      </c>
      <c r="U6373" s="6"/>
      <c r="V6373" s="6">
        <v>0</v>
      </c>
      <c r="W6373" s="6">
        <f t="shared" si="980"/>
        <v>14000</v>
      </c>
      <c r="X6373" s="6">
        <f t="shared" si="981"/>
        <v>0</v>
      </c>
      <c r="Y6373" s="13">
        <f t="shared" si="984"/>
        <v>0</v>
      </c>
      <c r="Z6373" s="14">
        <v>0</v>
      </c>
      <c r="AA6373" s="6">
        <v>0</v>
      </c>
      <c r="AB6373" s="4">
        <f t="shared" si="985"/>
        <v>0</v>
      </c>
      <c r="AC6373" s="6">
        <f t="shared" si="983"/>
        <v>0</v>
      </c>
      <c r="AD6373" s="6">
        <v>0</v>
      </c>
      <c r="AE6373" s="14">
        <f>VLOOKUP(I6373,[2]媒体政策预估表!A:N,MATCH(O6373,[2]媒体政策预估表!$A$2:$M$2,0),0)</f>
        <v>0.09</v>
      </c>
      <c r="AF6373" s="6">
        <f t="shared" si="987"/>
        <v>0</v>
      </c>
      <c r="AG6373" s="14">
        <v>0.46</v>
      </c>
      <c r="AH6373" s="6">
        <f t="shared" si="982"/>
        <v>0</v>
      </c>
      <c r="AI6373" s="47"/>
      <c r="AJ6373" s="126" t="e">
        <v>#N/A</v>
      </c>
      <c r="AK6373" s="80">
        <f t="shared" si="986"/>
        <v>0</v>
      </c>
      <c r="AL6373" s="85"/>
      <c r="AM6373" s="85"/>
    </row>
    <row r="6374" spans="1:39" s="86" customFormat="1" ht="13.25" hidden="1" customHeight="1" x14ac:dyDescent="0.3">
      <c r="A6374" s="89" t="s">
        <v>3794</v>
      </c>
      <c r="B6374" s="86" t="s">
        <v>35</v>
      </c>
      <c r="C6374" s="86" t="s">
        <v>187</v>
      </c>
      <c r="D6374" s="86" t="s">
        <v>208</v>
      </c>
      <c r="E6374" s="86" t="s">
        <v>294</v>
      </c>
      <c r="F6374" s="86" t="s">
        <v>294</v>
      </c>
      <c r="G6374" s="86" t="s">
        <v>294</v>
      </c>
      <c r="H6374" s="143">
        <v>237</v>
      </c>
      <c r="I6374" s="86" t="s">
        <v>2374</v>
      </c>
      <c r="J6374" s="1" t="s">
        <v>3322</v>
      </c>
      <c r="K6374" s="1" t="s">
        <v>3269</v>
      </c>
      <c r="L6374" s="1" t="s">
        <v>35</v>
      </c>
      <c r="M6374" s="86" t="s">
        <v>2438</v>
      </c>
      <c r="O6374" s="47" t="s">
        <v>40</v>
      </c>
      <c r="P6374" s="47" t="s">
        <v>46</v>
      </c>
      <c r="Q6374" s="14">
        <v>0.06</v>
      </c>
      <c r="R6374" s="143"/>
      <c r="S6374" s="47"/>
      <c r="T6374" s="6">
        <v>22187.300465756074</v>
      </c>
      <c r="U6374" s="6"/>
      <c r="V6374" s="6">
        <v>0</v>
      </c>
      <c r="W6374" s="6">
        <f t="shared" si="980"/>
        <v>22187.300465756074</v>
      </c>
      <c r="X6374" s="6">
        <f t="shared" si="981"/>
        <v>0</v>
      </c>
      <c r="Y6374" s="13">
        <f t="shared" si="984"/>
        <v>0</v>
      </c>
      <c r="Z6374" s="14">
        <v>0</v>
      </c>
      <c r="AA6374" s="6">
        <v>0</v>
      </c>
      <c r="AB6374" s="4">
        <f t="shared" si="985"/>
        <v>0</v>
      </c>
      <c r="AC6374" s="6">
        <f t="shared" si="983"/>
        <v>0</v>
      </c>
      <c r="AD6374" s="6">
        <v>0</v>
      </c>
      <c r="AE6374" s="14">
        <f>VLOOKUP(I6374,[2]媒体政策预估表!A:N,MATCH(O6374,[2]媒体政策预估表!$A$2:$M$2,0),0)</f>
        <v>0.09</v>
      </c>
      <c r="AF6374" s="6">
        <f t="shared" si="987"/>
        <v>0</v>
      </c>
      <c r="AG6374" s="14">
        <v>0.46</v>
      </c>
      <c r="AH6374" s="6">
        <f t="shared" si="982"/>
        <v>0</v>
      </c>
      <c r="AI6374" s="47"/>
      <c r="AJ6374" s="126" t="e">
        <v>#N/A</v>
      </c>
      <c r="AK6374" s="80">
        <f t="shared" si="986"/>
        <v>0</v>
      </c>
      <c r="AL6374" s="85"/>
      <c r="AM6374" s="85"/>
    </row>
    <row r="6375" spans="1:39" s="86" customFormat="1" ht="13.25" hidden="1" customHeight="1" x14ac:dyDescent="0.3">
      <c r="A6375" s="89" t="s">
        <v>3792</v>
      </c>
      <c r="B6375" s="86" t="s">
        <v>35</v>
      </c>
      <c r="C6375" s="86" t="s">
        <v>187</v>
      </c>
      <c r="D6375" s="86" t="s">
        <v>208</v>
      </c>
      <c r="E6375" s="86" t="s">
        <v>2566</v>
      </c>
      <c r="F6375" s="86" t="s">
        <v>2566</v>
      </c>
      <c r="G6375" s="86" t="s">
        <v>2566</v>
      </c>
      <c r="H6375" s="143">
        <v>237</v>
      </c>
      <c r="I6375" s="86" t="s">
        <v>2374</v>
      </c>
      <c r="J6375" s="1" t="s">
        <v>3322</v>
      </c>
      <c r="K6375" s="1" t="s">
        <v>3269</v>
      </c>
      <c r="L6375" s="1" t="s">
        <v>35</v>
      </c>
      <c r="M6375" s="86" t="s">
        <v>2438</v>
      </c>
      <c r="O6375" s="47" t="s">
        <v>40</v>
      </c>
      <c r="P6375" s="47" t="s">
        <v>46</v>
      </c>
      <c r="Q6375" s="14">
        <v>0.09</v>
      </c>
      <c r="R6375" s="143"/>
      <c r="S6375" s="47"/>
      <c r="T6375" s="6">
        <v>4.0000000793952495E-2</v>
      </c>
      <c r="U6375" s="6"/>
      <c r="V6375" s="6">
        <v>0</v>
      </c>
      <c r="W6375" s="6">
        <f t="shared" si="980"/>
        <v>4.0000000793952495E-2</v>
      </c>
      <c r="X6375" s="6">
        <f t="shared" si="981"/>
        <v>0</v>
      </c>
      <c r="Y6375" s="13">
        <f t="shared" si="984"/>
        <v>0</v>
      </c>
      <c r="Z6375" s="14">
        <v>0</v>
      </c>
      <c r="AA6375" s="6">
        <v>0</v>
      </c>
      <c r="AB6375" s="4">
        <f t="shared" si="985"/>
        <v>0</v>
      </c>
      <c r="AC6375" s="6">
        <f t="shared" si="983"/>
        <v>0</v>
      </c>
      <c r="AD6375" s="6">
        <v>0</v>
      </c>
      <c r="AE6375" s="14">
        <f>VLOOKUP(I6375,[2]媒体政策预估表!A:N,MATCH(O6375,[2]媒体政策预估表!$A$2:$M$2,0),0)</f>
        <v>0.09</v>
      </c>
      <c r="AF6375" s="6">
        <f t="shared" si="987"/>
        <v>0</v>
      </c>
      <c r="AG6375" s="14">
        <v>0.46</v>
      </c>
      <c r="AH6375" s="6">
        <f t="shared" si="982"/>
        <v>0</v>
      </c>
      <c r="AI6375" s="47"/>
      <c r="AJ6375" s="126" t="e">
        <v>#N/A</v>
      </c>
      <c r="AK6375" s="80">
        <f t="shared" si="986"/>
        <v>0</v>
      </c>
      <c r="AL6375" s="85"/>
      <c r="AM6375" s="85"/>
    </row>
    <row r="6376" spans="1:39" s="86" customFormat="1" ht="13.25" hidden="1" customHeight="1" x14ac:dyDescent="0.3">
      <c r="A6376" s="89" t="s">
        <v>3792</v>
      </c>
      <c r="B6376" s="86" t="s">
        <v>35</v>
      </c>
      <c r="C6376" s="86" t="s">
        <v>164</v>
      </c>
      <c r="D6376" s="86" t="s">
        <v>169</v>
      </c>
      <c r="E6376" s="86" t="s">
        <v>2567</v>
      </c>
      <c r="F6376" s="86" t="s">
        <v>2568</v>
      </c>
      <c r="G6376" s="86" t="s">
        <v>2567</v>
      </c>
      <c r="H6376" s="143">
        <v>237</v>
      </c>
      <c r="I6376" s="86" t="s">
        <v>2374</v>
      </c>
      <c r="J6376" s="1" t="s">
        <v>3322</v>
      </c>
      <c r="K6376" s="1" t="s">
        <v>3269</v>
      </c>
      <c r="L6376" s="1" t="s">
        <v>35</v>
      </c>
      <c r="M6376" s="86" t="s">
        <v>2569</v>
      </c>
      <c r="O6376" s="47" t="s">
        <v>40</v>
      </c>
      <c r="P6376" s="47" t="s">
        <v>46</v>
      </c>
      <c r="Q6376" s="14">
        <v>4.1399999999999999E-2</v>
      </c>
      <c r="R6376" s="143"/>
      <c r="S6376" s="47"/>
      <c r="T6376" s="6">
        <v>-160156.09419999988</v>
      </c>
      <c r="U6376" s="6"/>
      <c r="V6376" s="6">
        <v>0</v>
      </c>
      <c r="W6376" s="6">
        <f t="shared" si="980"/>
        <v>-160156.09419999988</v>
      </c>
      <c r="X6376" s="6">
        <f t="shared" si="981"/>
        <v>0</v>
      </c>
      <c r="Y6376" s="13">
        <f t="shared" si="984"/>
        <v>0</v>
      </c>
      <c r="Z6376" s="14">
        <v>0</v>
      </c>
      <c r="AA6376" s="6">
        <v>0</v>
      </c>
      <c r="AB6376" s="4">
        <f t="shared" si="985"/>
        <v>0</v>
      </c>
      <c r="AC6376" s="6">
        <f t="shared" si="983"/>
        <v>0</v>
      </c>
      <c r="AD6376" s="6">
        <v>0</v>
      </c>
      <c r="AE6376" s="14">
        <f>VLOOKUP(I6376,[2]媒体政策预估表!A:N,MATCH(O6376,[2]媒体政策预估表!$A$2:$M$2,0),0)</f>
        <v>0.09</v>
      </c>
      <c r="AF6376" s="6">
        <f t="shared" si="987"/>
        <v>0</v>
      </c>
      <c r="AG6376" s="14">
        <v>0.38</v>
      </c>
      <c r="AH6376" s="6">
        <f t="shared" si="982"/>
        <v>0</v>
      </c>
      <c r="AI6376" s="47"/>
      <c r="AJ6376" s="126" t="e">
        <v>#N/A</v>
      </c>
      <c r="AK6376" s="80">
        <f t="shared" si="986"/>
        <v>0</v>
      </c>
      <c r="AL6376" s="85"/>
      <c r="AM6376" s="85"/>
    </row>
    <row r="6377" spans="1:39" s="86" customFormat="1" ht="13.25" hidden="1" customHeight="1" x14ac:dyDescent="0.3">
      <c r="A6377" s="89" t="s">
        <v>3794</v>
      </c>
      <c r="B6377" s="86" t="s">
        <v>35</v>
      </c>
      <c r="C6377" s="86" t="s">
        <v>164</v>
      </c>
      <c r="D6377" s="86" t="s">
        <v>169</v>
      </c>
      <c r="E6377" s="86" t="s">
        <v>2518</v>
      </c>
      <c r="F6377" s="86" t="s">
        <v>2518</v>
      </c>
      <c r="G6377" s="86" t="s">
        <v>2518</v>
      </c>
      <c r="H6377" s="143">
        <v>237</v>
      </c>
      <c r="I6377" s="86" t="s">
        <v>2374</v>
      </c>
      <c r="J6377" s="1" t="s">
        <v>3322</v>
      </c>
      <c r="K6377" s="1" t="s">
        <v>3269</v>
      </c>
      <c r="L6377" s="1" t="s">
        <v>35</v>
      </c>
      <c r="M6377" s="86" t="s">
        <v>2519</v>
      </c>
      <c r="O6377" s="47" t="s">
        <v>45</v>
      </c>
      <c r="P6377" s="47" t="s">
        <v>46</v>
      </c>
      <c r="Q6377" s="14">
        <v>3.8399999999999997E-2</v>
      </c>
      <c r="R6377" s="143"/>
      <c r="S6377" s="47"/>
      <c r="T6377" s="6">
        <v>-141796.72999999978</v>
      </c>
      <c r="U6377" s="6"/>
      <c r="V6377" s="6">
        <v>0</v>
      </c>
      <c r="W6377" s="6">
        <f t="shared" ref="W6377:W6382" si="988">T6377+U6377-V6377</f>
        <v>-141796.72999999978</v>
      </c>
      <c r="X6377" s="6">
        <f t="shared" si="981"/>
        <v>0</v>
      </c>
      <c r="Y6377" s="13">
        <f t="shared" si="984"/>
        <v>0</v>
      </c>
      <c r="Z6377" s="14">
        <v>0</v>
      </c>
      <c r="AA6377" s="6">
        <v>0</v>
      </c>
      <c r="AB6377" s="4">
        <f t="shared" si="985"/>
        <v>0</v>
      </c>
      <c r="AC6377" s="6">
        <f t="shared" si="983"/>
        <v>0</v>
      </c>
      <c r="AD6377" s="6">
        <v>0</v>
      </c>
      <c r="AE6377" s="14">
        <f>VLOOKUP(I6377,[2]媒体政策预估表!A:N,MATCH(O6377,[2]媒体政策预估表!$A$2:$M$2,0),0)</f>
        <v>7.0000000000000007E-2</v>
      </c>
      <c r="AF6377" s="6">
        <f t="shared" si="987"/>
        <v>0</v>
      </c>
      <c r="AG6377" s="14">
        <v>0.28000000000000003</v>
      </c>
      <c r="AH6377" s="6">
        <f t="shared" si="982"/>
        <v>0</v>
      </c>
      <c r="AI6377" s="47"/>
      <c r="AJ6377" s="126" t="e">
        <v>#N/A</v>
      </c>
      <c r="AK6377" s="80">
        <f t="shared" si="986"/>
        <v>0</v>
      </c>
      <c r="AL6377" s="85"/>
      <c r="AM6377" s="85"/>
    </row>
    <row r="6378" spans="1:39" s="86" customFormat="1" ht="13.25" hidden="1" customHeight="1" x14ac:dyDescent="0.3">
      <c r="A6378" s="89" t="s">
        <v>3794</v>
      </c>
      <c r="B6378" s="86" t="s">
        <v>35</v>
      </c>
      <c r="C6378" s="86" t="s">
        <v>47</v>
      </c>
      <c r="D6378" s="86" t="s">
        <v>48</v>
      </c>
      <c r="E6378" s="86" t="s">
        <v>3246</v>
      </c>
      <c r="F6378" s="86" t="s">
        <v>3246</v>
      </c>
      <c r="G6378" s="86" t="s">
        <v>3246</v>
      </c>
      <c r="H6378" s="143">
        <v>237</v>
      </c>
      <c r="I6378" s="86" t="s">
        <v>2374</v>
      </c>
      <c r="J6378" s="1" t="s">
        <v>3322</v>
      </c>
      <c r="K6378" s="1" t="s">
        <v>3269</v>
      </c>
      <c r="L6378" s="1" t="s">
        <v>35</v>
      </c>
      <c r="M6378" s="86" t="s">
        <v>2381</v>
      </c>
      <c r="O6378" s="47" t="s">
        <v>45</v>
      </c>
      <c r="P6378" s="47" t="s">
        <v>41</v>
      </c>
      <c r="Q6378" s="14">
        <v>0</v>
      </c>
      <c r="R6378" s="143"/>
      <c r="S6378" s="47"/>
      <c r="T6378" s="6">
        <v>1321.5999999999976</v>
      </c>
      <c r="U6378" s="6"/>
      <c r="V6378" s="6">
        <v>0</v>
      </c>
      <c r="W6378" s="6">
        <f t="shared" si="988"/>
        <v>1321.5999999999976</v>
      </c>
      <c r="X6378" s="6">
        <f t="shared" si="981"/>
        <v>0</v>
      </c>
      <c r="Y6378" s="13">
        <f t="shared" si="984"/>
        <v>0</v>
      </c>
      <c r="Z6378" s="14">
        <v>0</v>
      </c>
      <c r="AA6378" s="6">
        <v>0</v>
      </c>
      <c r="AB6378" s="4">
        <f t="shared" si="985"/>
        <v>0</v>
      </c>
      <c r="AC6378" s="6">
        <f t="shared" si="983"/>
        <v>0</v>
      </c>
      <c r="AD6378" s="6">
        <v>0</v>
      </c>
      <c r="AE6378" s="14">
        <f>VLOOKUP(I6378,[2]媒体政策预估表!A:N,MATCH(O6378,[2]媒体政策预估表!$A$2:$M$2,0),0)</f>
        <v>7.0000000000000007E-2</v>
      </c>
      <c r="AF6378" s="6">
        <f t="shared" si="987"/>
        <v>0</v>
      </c>
      <c r="AG6378" s="14">
        <v>0</v>
      </c>
      <c r="AH6378" s="6">
        <f t="shared" si="982"/>
        <v>0</v>
      </c>
      <c r="AI6378" s="47"/>
      <c r="AJ6378" s="126" t="e">
        <v>#N/A</v>
      </c>
      <c r="AK6378" s="80">
        <f t="shared" si="986"/>
        <v>0</v>
      </c>
      <c r="AL6378" s="85"/>
      <c r="AM6378" s="85"/>
    </row>
    <row r="6379" spans="1:39" s="86" customFormat="1" ht="13.25" hidden="1" customHeight="1" x14ac:dyDescent="0.3">
      <c r="A6379" s="89" t="s">
        <v>3794</v>
      </c>
      <c r="B6379" s="86" t="s">
        <v>35</v>
      </c>
      <c r="C6379" s="86" t="s">
        <v>36</v>
      </c>
      <c r="D6379" s="86" t="s">
        <v>185</v>
      </c>
      <c r="E6379" s="86" t="s">
        <v>2409</v>
      </c>
      <c r="F6379" s="86" t="s">
        <v>2415</v>
      </c>
      <c r="G6379" s="86" t="s">
        <v>2409</v>
      </c>
      <c r="H6379" s="143">
        <v>237</v>
      </c>
      <c r="I6379" s="86" t="s">
        <v>2374</v>
      </c>
      <c r="J6379" s="1" t="s">
        <v>3322</v>
      </c>
      <c r="K6379" s="1" t="s">
        <v>3269</v>
      </c>
      <c r="L6379" s="1" t="s">
        <v>35</v>
      </c>
      <c r="M6379" s="86" t="s">
        <v>2411</v>
      </c>
      <c r="O6379" s="47" t="s">
        <v>45</v>
      </c>
      <c r="P6379" s="47" t="s">
        <v>46</v>
      </c>
      <c r="Q6379" s="14">
        <v>5.5E-2</v>
      </c>
      <c r="R6379" s="143"/>
      <c r="S6379" s="47"/>
      <c r="T6379" s="6">
        <v>1727538.0879999995</v>
      </c>
      <c r="U6379" s="6"/>
      <c r="V6379" s="6">
        <v>0</v>
      </c>
      <c r="W6379" s="6">
        <f t="shared" si="988"/>
        <v>1727538.0879999995</v>
      </c>
      <c r="X6379" s="6">
        <f t="shared" si="981"/>
        <v>0</v>
      </c>
      <c r="Y6379" s="13">
        <f t="shared" si="984"/>
        <v>0</v>
      </c>
      <c r="Z6379" s="14">
        <v>0</v>
      </c>
      <c r="AA6379" s="6">
        <v>0</v>
      </c>
      <c r="AB6379" s="4">
        <f t="shared" si="985"/>
        <v>0</v>
      </c>
      <c r="AC6379" s="6">
        <f t="shared" si="983"/>
        <v>0</v>
      </c>
      <c r="AD6379" s="6">
        <v>0</v>
      </c>
      <c r="AE6379" s="14">
        <f>VLOOKUP(I6379,[2]媒体政策预估表!A:N,MATCH(O6379,[2]媒体政策预估表!$A$2:$M$2,0),0)</f>
        <v>7.0000000000000007E-2</v>
      </c>
      <c r="AF6379" s="6">
        <f t="shared" si="987"/>
        <v>0</v>
      </c>
      <c r="AG6379" s="14">
        <v>0.06</v>
      </c>
      <c r="AH6379" s="6">
        <f t="shared" si="982"/>
        <v>0</v>
      </c>
      <c r="AI6379" s="47"/>
      <c r="AJ6379" s="126" t="e">
        <v>#N/A</v>
      </c>
      <c r="AK6379" s="80">
        <f t="shared" si="986"/>
        <v>0</v>
      </c>
      <c r="AL6379" s="85"/>
      <c r="AM6379" s="85"/>
    </row>
    <row r="6380" spans="1:39" s="86" customFormat="1" ht="13.25" hidden="1" customHeight="1" x14ac:dyDescent="0.3">
      <c r="A6380" s="89" t="s">
        <v>3794</v>
      </c>
      <c r="B6380" s="86" t="s">
        <v>35</v>
      </c>
      <c r="C6380" s="86" t="s">
        <v>36</v>
      </c>
      <c r="D6380" s="86" t="s">
        <v>185</v>
      </c>
      <c r="E6380" s="86" t="s">
        <v>2393</v>
      </c>
      <c r="F6380" s="86" t="s">
        <v>2394</v>
      </c>
      <c r="G6380" s="86" t="s">
        <v>2393</v>
      </c>
      <c r="H6380" s="143">
        <v>237</v>
      </c>
      <c r="I6380" s="86" t="s">
        <v>2374</v>
      </c>
      <c r="J6380" s="1" t="s">
        <v>3322</v>
      </c>
      <c r="K6380" s="1" t="s">
        <v>3269</v>
      </c>
      <c r="L6380" s="1" t="s">
        <v>35</v>
      </c>
      <c r="M6380" s="86" t="s">
        <v>2395</v>
      </c>
      <c r="O6380" s="47" t="s">
        <v>40</v>
      </c>
      <c r="P6380" s="47" t="s">
        <v>46</v>
      </c>
      <c r="Q6380" s="14">
        <v>5.5E-2</v>
      </c>
      <c r="R6380" s="143"/>
      <c r="S6380" s="47"/>
      <c r="T6380" s="6">
        <v>48697.410000000011</v>
      </c>
      <c r="U6380" s="6"/>
      <c r="V6380" s="6">
        <v>0</v>
      </c>
      <c r="W6380" s="6">
        <f t="shared" si="988"/>
        <v>48697.410000000011</v>
      </c>
      <c r="X6380" s="6">
        <f t="shared" si="981"/>
        <v>0</v>
      </c>
      <c r="Y6380" s="13">
        <f t="shared" si="984"/>
        <v>0</v>
      </c>
      <c r="Z6380" s="14">
        <v>0</v>
      </c>
      <c r="AA6380" s="6">
        <v>0</v>
      </c>
      <c r="AB6380" s="4">
        <f t="shared" si="985"/>
        <v>0</v>
      </c>
      <c r="AC6380" s="6">
        <f t="shared" si="983"/>
        <v>0</v>
      </c>
      <c r="AD6380" s="6">
        <v>0</v>
      </c>
      <c r="AE6380" s="14">
        <f>VLOOKUP(I6380,[2]媒体政策预估表!A:N,MATCH(O6380,[2]媒体政策预估表!$A$2:$M$2,0),0)</f>
        <v>0.09</v>
      </c>
      <c r="AF6380" s="6">
        <f t="shared" si="987"/>
        <v>0</v>
      </c>
      <c r="AG6380" s="14">
        <v>0</v>
      </c>
      <c r="AH6380" s="6">
        <f t="shared" si="982"/>
        <v>0</v>
      </c>
      <c r="AI6380" s="47"/>
      <c r="AJ6380" s="126" t="e">
        <v>#N/A</v>
      </c>
      <c r="AK6380" s="80">
        <f t="shared" si="986"/>
        <v>0</v>
      </c>
      <c r="AL6380" s="85"/>
      <c r="AM6380" s="85"/>
    </row>
    <row r="6381" spans="1:39" s="86" customFormat="1" ht="13.25" hidden="1" customHeight="1" x14ac:dyDescent="0.3">
      <c r="A6381" s="89" t="s">
        <v>3792</v>
      </c>
      <c r="B6381" s="86" t="s">
        <v>35</v>
      </c>
      <c r="C6381" s="86" t="s">
        <v>36</v>
      </c>
      <c r="D6381" s="86" t="s">
        <v>185</v>
      </c>
      <c r="E6381" s="86" t="s">
        <v>2393</v>
      </c>
      <c r="F6381" s="86" t="s">
        <v>2398</v>
      </c>
      <c r="G6381" s="86" t="s">
        <v>2393</v>
      </c>
      <c r="H6381" s="143">
        <v>237</v>
      </c>
      <c r="I6381" s="86" t="s">
        <v>2374</v>
      </c>
      <c r="J6381" s="1" t="s">
        <v>3322</v>
      </c>
      <c r="K6381" s="1" t="s">
        <v>3269</v>
      </c>
      <c r="L6381" s="1" t="s">
        <v>35</v>
      </c>
      <c r="M6381" s="86" t="s">
        <v>2395</v>
      </c>
      <c r="O6381" s="47" t="s">
        <v>45</v>
      </c>
      <c r="P6381" s="47" t="s">
        <v>46</v>
      </c>
      <c r="Q6381" s="14">
        <v>5.5E-2</v>
      </c>
      <c r="R6381" s="143"/>
      <c r="S6381" s="47"/>
      <c r="T6381" s="6">
        <v>5438693.4020000007</v>
      </c>
      <c r="U6381" s="6"/>
      <c r="V6381" s="6">
        <v>0</v>
      </c>
      <c r="W6381" s="6">
        <f t="shared" si="988"/>
        <v>5438693.4020000007</v>
      </c>
      <c r="X6381" s="6">
        <f t="shared" si="981"/>
        <v>0</v>
      </c>
      <c r="Y6381" s="13">
        <f t="shared" si="984"/>
        <v>0</v>
      </c>
      <c r="Z6381" s="14">
        <v>0</v>
      </c>
      <c r="AA6381" s="6">
        <v>0</v>
      </c>
      <c r="AB6381" s="4">
        <f t="shared" si="985"/>
        <v>0</v>
      </c>
      <c r="AC6381" s="6">
        <f t="shared" si="983"/>
        <v>0</v>
      </c>
      <c r="AD6381" s="6">
        <v>0</v>
      </c>
      <c r="AE6381" s="14">
        <f>VLOOKUP(I6381,[2]媒体政策预估表!A:N,MATCH(O6381,[2]媒体政策预估表!$A$2:$M$2,0),0)</f>
        <v>7.0000000000000007E-2</v>
      </c>
      <c r="AF6381" s="6">
        <f t="shared" si="987"/>
        <v>0</v>
      </c>
      <c r="AG6381" s="14">
        <v>0.06</v>
      </c>
      <c r="AH6381" s="6">
        <f t="shared" si="982"/>
        <v>0</v>
      </c>
      <c r="AI6381" s="47"/>
      <c r="AJ6381" s="126" t="e">
        <v>#N/A</v>
      </c>
      <c r="AK6381" s="80">
        <f t="shared" si="986"/>
        <v>0</v>
      </c>
      <c r="AL6381" s="85"/>
      <c r="AM6381" s="85"/>
    </row>
    <row r="6382" spans="1:39" s="86" customFormat="1" ht="13.25" hidden="1" customHeight="1" x14ac:dyDescent="0.35">
      <c r="A6382" s="89" t="s">
        <v>3792</v>
      </c>
      <c r="B6382" s="86" t="s">
        <v>35</v>
      </c>
      <c r="C6382" s="86" t="s">
        <v>59</v>
      </c>
      <c r="D6382" s="86" t="s">
        <v>60</v>
      </c>
      <c r="E6382" s="86" t="s">
        <v>3917</v>
      </c>
      <c r="F6382" s="86" t="s">
        <v>3917</v>
      </c>
      <c r="G6382" s="86" t="s">
        <v>3917</v>
      </c>
      <c r="H6382" s="143">
        <v>237</v>
      </c>
      <c r="I6382" s="86" t="s">
        <v>2374</v>
      </c>
      <c r="J6382" s="1" t="s">
        <v>3322</v>
      </c>
      <c r="K6382" s="1" t="s">
        <v>3269</v>
      </c>
      <c r="L6382" s="1" t="s">
        <v>35</v>
      </c>
      <c r="M6382" s="86" t="s">
        <v>3917</v>
      </c>
      <c r="O6382" s="47" t="s">
        <v>40</v>
      </c>
      <c r="P6382" s="47" t="s">
        <v>41</v>
      </c>
      <c r="Q6382" s="14">
        <v>0</v>
      </c>
      <c r="R6382" s="143"/>
      <c r="S6382" s="47" t="s">
        <v>3918</v>
      </c>
      <c r="T6382" s="6">
        <v>0</v>
      </c>
      <c r="U6382" s="6">
        <v>1100</v>
      </c>
      <c r="V6382" s="6">
        <v>1100</v>
      </c>
      <c r="W6382" s="6">
        <f t="shared" si="988"/>
        <v>0</v>
      </c>
      <c r="X6382" s="6">
        <v>0</v>
      </c>
      <c r="Y6382" s="13">
        <f t="shared" si="984"/>
        <v>0</v>
      </c>
      <c r="Z6382" s="14">
        <v>0</v>
      </c>
      <c r="AA6382" s="6">
        <v>0</v>
      </c>
      <c r="AB6382" s="4">
        <f t="shared" si="985"/>
        <v>0</v>
      </c>
      <c r="AC6382" s="6">
        <f t="shared" si="983"/>
        <v>1100</v>
      </c>
      <c r="AD6382" s="6">
        <v>1100</v>
      </c>
      <c r="AE6382" s="14">
        <f>VLOOKUP(I6382,[2]媒体政策预估表!A:N,MATCH(O6382,[2]媒体政策预估表!$A$2:$M$2,0),0)</f>
        <v>0.09</v>
      </c>
      <c r="AF6382" s="6">
        <f t="shared" si="987"/>
        <v>99</v>
      </c>
      <c r="AG6382" s="14">
        <v>0</v>
      </c>
      <c r="AH6382" s="6">
        <f t="shared" si="982"/>
        <v>1100</v>
      </c>
      <c r="AI6382" s="100"/>
      <c r="AJ6382" s="126" t="e">
        <v>#N/A</v>
      </c>
      <c r="AK6382" s="80">
        <f t="shared" si="986"/>
        <v>0</v>
      </c>
      <c r="AL6382" s="85"/>
      <c r="AM6382" s="85"/>
    </row>
    <row r="6383" spans="1:39" s="86" customFormat="1" ht="13.25" hidden="1" customHeight="1" x14ac:dyDescent="0.3">
      <c r="A6383" s="89" t="s">
        <v>3794</v>
      </c>
      <c r="B6383" s="86" t="s">
        <v>35</v>
      </c>
      <c r="C6383" s="86" t="s">
        <v>59</v>
      </c>
      <c r="D6383" s="86" t="s">
        <v>60</v>
      </c>
      <c r="E6383" s="86" t="s">
        <v>220</v>
      </c>
      <c r="F6383" s="86" t="s">
        <v>344</v>
      </c>
      <c r="G6383" s="86" t="s">
        <v>220</v>
      </c>
      <c r="H6383" s="143">
        <v>229</v>
      </c>
      <c r="I6383" s="86" t="s">
        <v>3356</v>
      </c>
      <c r="J6383" s="47" t="s">
        <v>3326</v>
      </c>
      <c r="K6383" s="47" t="str">
        <f>N6383</f>
        <v>巨量引擎-一类</v>
      </c>
      <c r="L6383" s="47" t="s">
        <v>35</v>
      </c>
      <c r="N6383" s="86" t="s">
        <v>3707</v>
      </c>
      <c r="O6383" s="47" t="s">
        <v>45</v>
      </c>
      <c r="P6383" s="47" t="s">
        <v>92</v>
      </c>
      <c r="Q6383" s="14">
        <v>0.94</v>
      </c>
      <c r="R6383" s="143"/>
      <c r="S6383" s="47" t="s">
        <v>3919</v>
      </c>
      <c r="T6383" s="6">
        <v>0</v>
      </c>
      <c r="U6383" s="6">
        <v>1011892.92</v>
      </c>
      <c r="V6383" s="6">
        <v>1011892.92</v>
      </c>
      <c r="W6383" s="6">
        <f>T6383+U6383-V6383</f>
        <v>0</v>
      </c>
      <c r="X6383" s="6">
        <v>0</v>
      </c>
      <c r="Y6383" s="13">
        <f t="shared" si="984"/>
        <v>0</v>
      </c>
      <c r="Z6383" s="66">
        <v>0</v>
      </c>
      <c r="AA6383" s="6">
        <v>0</v>
      </c>
      <c r="AB6383" s="4">
        <f t="shared" si="985"/>
        <v>0</v>
      </c>
      <c r="AC6383" s="6">
        <f t="shared" si="983"/>
        <v>1011892.92</v>
      </c>
      <c r="AD6383" s="6">
        <f>V6383</f>
        <v>1011892.92</v>
      </c>
      <c r="AE6383" s="14">
        <v>0.06</v>
      </c>
      <c r="AF6383" s="6">
        <f t="shared" si="987"/>
        <v>60713.575199999999</v>
      </c>
      <c r="AG6383" s="14">
        <v>0</v>
      </c>
      <c r="AH6383" s="64">
        <f>V6383</f>
        <v>1011892.92</v>
      </c>
      <c r="AI6383" s="101"/>
      <c r="AJ6383" s="126" t="e">
        <v>#N/A</v>
      </c>
      <c r="AK6383" s="80">
        <f t="shared" si="986"/>
        <v>0</v>
      </c>
      <c r="AL6383" s="85"/>
      <c r="AM6383" s="85"/>
    </row>
    <row r="6384" spans="1:39" s="86" customFormat="1" ht="13.25" hidden="1" customHeight="1" x14ac:dyDescent="0.3">
      <c r="A6384" s="89" t="s">
        <v>3792</v>
      </c>
      <c r="B6384" s="86" t="s">
        <v>35</v>
      </c>
      <c r="C6384" s="86" t="s">
        <v>59</v>
      </c>
      <c r="D6384" s="86" t="s">
        <v>60</v>
      </c>
      <c r="E6384" s="86" t="s">
        <v>3920</v>
      </c>
      <c r="F6384" s="86" t="s">
        <v>3920</v>
      </c>
      <c r="G6384" s="86" t="s">
        <v>3920</v>
      </c>
      <c r="H6384" s="144">
        <v>229</v>
      </c>
      <c r="I6384" s="86" t="s">
        <v>3356</v>
      </c>
      <c r="J6384" s="47" t="s">
        <v>3326</v>
      </c>
      <c r="K6384" s="47" t="str">
        <f t="shared" ref="K6384:K6447" si="989">N6384</f>
        <v>巨量引擎-一类平台/电商</v>
      </c>
      <c r="L6384" s="47" t="s">
        <v>35</v>
      </c>
      <c r="N6384" s="86" t="s">
        <v>3718</v>
      </c>
      <c r="O6384" s="47" t="s">
        <v>45</v>
      </c>
      <c r="P6384" s="47" t="s">
        <v>75</v>
      </c>
      <c r="Q6384" s="14">
        <v>0.06</v>
      </c>
      <c r="R6384" s="143"/>
      <c r="S6384" s="47"/>
      <c r="T6384" s="6">
        <v>0</v>
      </c>
      <c r="U6384" s="6">
        <v>470000</v>
      </c>
      <c r="V6384" s="6">
        <v>446874.01000000042</v>
      </c>
      <c r="W6384" s="6">
        <f t="shared" ref="W6384:W6447" si="990">T6384+U6384-V6384</f>
        <v>23125.989999999583</v>
      </c>
      <c r="X6384" s="6">
        <f t="shared" ref="X6384:X6447" si="991">IF(P6384="折扣",V6384*Q6384,IF(P6384="返现",V6384,V6384/(1+Q6384)))</f>
        <v>446874.01000000042</v>
      </c>
      <c r="Y6384" s="13">
        <f t="shared" si="984"/>
        <v>0</v>
      </c>
      <c r="Z6384" s="66">
        <v>0</v>
      </c>
      <c r="AA6384" s="6">
        <v>0</v>
      </c>
      <c r="AB6384" s="4">
        <f t="shared" si="985"/>
        <v>446874.01000000042</v>
      </c>
      <c r="AC6384" s="6">
        <f t="shared" si="983"/>
        <v>26812.440600000024</v>
      </c>
      <c r="AD6384" s="6">
        <f t="shared" ref="AD6384:AD6447" si="992">V6384</f>
        <v>446874.01000000042</v>
      </c>
      <c r="AE6384" s="14">
        <v>0.06</v>
      </c>
      <c r="AF6384" s="6">
        <f t="shared" si="987"/>
        <v>26812.440600000024</v>
      </c>
      <c r="AG6384" s="14">
        <v>0</v>
      </c>
      <c r="AH6384" s="64">
        <f t="shared" ref="AH6384:AH6447" si="993">V6384</f>
        <v>446874.01000000042</v>
      </c>
      <c r="AJ6384" s="126" t="e">
        <v>#N/A</v>
      </c>
      <c r="AK6384" s="80">
        <f t="shared" si="986"/>
        <v>0</v>
      </c>
      <c r="AL6384" s="85"/>
      <c r="AM6384" s="85"/>
    </row>
    <row r="6385" spans="1:39" s="86" customFormat="1" ht="13.25" hidden="1" customHeight="1" x14ac:dyDescent="0.3">
      <c r="A6385" s="89" t="s">
        <v>3794</v>
      </c>
      <c r="B6385" s="86" t="s">
        <v>35</v>
      </c>
      <c r="C6385" s="86" t="s">
        <v>59</v>
      </c>
      <c r="D6385" s="86" t="s">
        <v>60</v>
      </c>
      <c r="E6385" s="86" t="s">
        <v>3921</v>
      </c>
      <c r="F6385" s="86" t="s">
        <v>3921</v>
      </c>
      <c r="G6385" s="86" t="s">
        <v>3921</v>
      </c>
      <c r="H6385" s="144">
        <v>229</v>
      </c>
      <c r="I6385" s="86" t="s">
        <v>3356</v>
      </c>
      <c r="J6385" s="47" t="s">
        <v>3326</v>
      </c>
      <c r="K6385" s="47" t="str">
        <f t="shared" si="989"/>
        <v>巨量引擎-三类</v>
      </c>
      <c r="L6385" s="47" t="s">
        <v>35</v>
      </c>
      <c r="N6385" s="86" t="s">
        <v>3712</v>
      </c>
      <c r="O6385" s="47" t="s">
        <v>45</v>
      </c>
      <c r="P6385" s="47" t="s">
        <v>75</v>
      </c>
      <c r="Q6385" s="14">
        <v>0.06</v>
      </c>
      <c r="R6385" s="143"/>
      <c r="S6385" s="47"/>
      <c r="T6385" s="6">
        <v>0</v>
      </c>
      <c r="U6385" s="6">
        <v>50500</v>
      </c>
      <c r="V6385" s="6">
        <v>27699.019999999997</v>
      </c>
      <c r="W6385" s="6">
        <f t="shared" si="990"/>
        <v>22800.980000000003</v>
      </c>
      <c r="X6385" s="6">
        <f t="shared" si="991"/>
        <v>27699.019999999997</v>
      </c>
      <c r="Y6385" s="13">
        <f t="shared" si="984"/>
        <v>0</v>
      </c>
      <c r="Z6385" s="66">
        <v>0</v>
      </c>
      <c r="AA6385" s="6">
        <v>0</v>
      </c>
      <c r="AB6385" s="4">
        <f t="shared" si="985"/>
        <v>27699.019999999997</v>
      </c>
      <c r="AC6385" s="6">
        <f t="shared" si="983"/>
        <v>1661.9411999999998</v>
      </c>
      <c r="AD6385" s="6">
        <f t="shared" si="992"/>
        <v>27699.019999999997</v>
      </c>
      <c r="AE6385" s="14">
        <v>0.06</v>
      </c>
      <c r="AF6385" s="6">
        <f t="shared" si="987"/>
        <v>1661.9411999999998</v>
      </c>
      <c r="AG6385" s="14">
        <v>0</v>
      </c>
      <c r="AH6385" s="64">
        <f t="shared" si="993"/>
        <v>27699.019999999997</v>
      </c>
      <c r="AJ6385" s="126" t="e">
        <v>#N/A</v>
      </c>
      <c r="AK6385" s="80">
        <f t="shared" si="986"/>
        <v>0</v>
      </c>
      <c r="AL6385" s="85"/>
      <c r="AM6385" s="85"/>
    </row>
    <row r="6386" spans="1:39" s="86" customFormat="1" ht="13.25" hidden="1" customHeight="1" x14ac:dyDescent="0.3">
      <c r="A6386" s="89" t="s">
        <v>3794</v>
      </c>
      <c r="B6386" s="86" t="s">
        <v>35</v>
      </c>
      <c r="C6386" s="86" t="s">
        <v>59</v>
      </c>
      <c r="D6386" s="86" t="s">
        <v>60</v>
      </c>
      <c r="E6386" s="86" t="s">
        <v>3922</v>
      </c>
      <c r="F6386" s="86" t="s">
        <v>3923</v>
      </c>
      <c r="G6386" s="86" t="s">
        <v>3922</v>
      </c>
      <c r="H6386" s="144">
        <v>229</v>
      </c>
      <c r="I6386" s="86" t="s">
        <v>3356</v>
      </c>
      <c r="J6386" s="47" t="s">
        <v>3326</v>
      </c>
      <c r="K6386" s="47" t="str">
        <f t="shared" si="989"/>
        <v>巨量引擎-一类</v>
      </c>
      <c r="L6386" s="47" t="s">
        <v>35</v>
      </c>
      <c r="N6386" s="86" t="s">
        <v>3707</v>
      </c>
      <c r="O6386" s="47" t="s">
        <v>45</v>
      </c>
      <c r="P6386" s="47" t="s">
        <v>75</v>
      </c>
      <c r="Q6386" s="14">
        <v>0.06</v>
      </c>
      <c r="R6386" s="143"/>
      <c r="S6386" s="47"/>
      <c r="T6386" s="6">
        <v>0</v>
      </c>
      <c r="U6386" s="6">
        <v>16240000</v>
      </c>
      <c r="V6386" s="6">
        <v>11916139.920000002</v>
      </c>
      <c r="W6386" s="6">
        <f t="shared" si="990"/>
        <v>4323860.0799999982</v>
      </c>
      <c r="X6386" s="6">
        <f t="shared" si="991"/>
        <v>11916139.920000002</v>
      </c>
      <c r="Y6386" s="13">
        <f t="shared" si="984"/>
        <v>0</v>
      </c>
      <c r="Z6386" s="66">
        <v>0</v>
      </c>
      <c r="AA6386" s="6">
        <v>0</v>
      </c>
      <c r="AB6386" s="4">
        <f t="shared" si="985"/>
        <v>11916139.920000002</v>
      </c>
      <c r="AC6386" s="6">
        <f t="shared" si="983"/>
        <v>714968.39520000003</v>
      </c>
      <c r="AD6386" s="6">
        <f t="shared" si="992"/>
        <v>11916139.920000002</v>
      </c>
      <c r="AE6386" s="14">
        <v>0.06</v>
      </c>
      <c r="AF6386" s="6">
        <f t="shared" si="987"/>
        <v>714968.39520000003</v>
      </c>
      <c r="AG6386" s="14">
        <v>0</v>
      </c>
      <c r="AH6386" s="64">
        <f t="shared" si="993"/>
        <v>11916139.920000002</v>
      </c>
      <c r="AJ6386" s="126" t="e">
        <v>#N/A</v>
      </c>
      <c r="AK6386" s="80">
        <f t="shared" si="986"/>
        <v>0</v>
      </c>
      <c r="AL6386" s="85"/>
      <c r="AM6386" s="85"/>
    </row>
    <row r="6387" spans="1:39" s="86" customFormat="1" ht="13.25" hidden="1" customHeight="1" x14ac:dyDescent="0.3">
      <c r="A6387" s="89" t="s">
        <v>3794</v>
      </c>
      <c r="B6387" s="86" t="s">
        <v>35</v>
      </c>
      <c r="C6387" s="86" t="s">
        <v>59</v>
      </c>
      <c r="D6387" s="86" t="s">
        <v>60</v>
      </c>
      <c r="E6387" s="86" t="s">
        <v>74</v>
      </c>
      <c r="F6387" s="86" t="s">
        <v>74</v>
      </c>
      <c r="G6387" s="86" t="s">
        <v>74</v>
      </c>
      <c r="H6387" s="144">
        <v>229</v>
      </c>
      <c r="I6387" s="86" t="s">
        <v>3356</v>
      </c>
      <c r="J6387" s="47" t="s">
        <v>3326</v>
      </c>
      <c r="K6387" s="47" t="str">
        <f t="shared" si="989"/>
        <v>巨量引擎-一类</v>
      </c>
      <c r="L6387" s="47" t="s">
        <v>35</v>
      </c>
      <c r="N6387" s="86" t="s">
        <v>3707</v>
      </c>
      <c r="O6387" s="47" t="s">
        <v>45</v>
      </c>
      <c r="P6387" s="47" t="s">
        <v>75</v>
      </c>
      <c r="Q6387" s="14">
        <v>0.06</v>
      </c>
      <c r="R6387" s="143"/>
      <c r="S6387" s="47"/>
      <c r="T6387" s="6">
        <v>1886321.0099999993</v>
      </c>
      <c r="U6387" s="6">
        <v>1000000</v>
      </c>
      <c r="V6387" s="6">
        <v>689374.8899999999</v>
      </c>
      <c r="W6387" s="6">
        <f t="shared" si="990"/>
        <v>2196946.1199999992</v>
      </c>
      <c r="X6387" s="6">
        <f t="shared" si="991"/>
        <v>689374.8899999999</v>
      </c>
      <c r="Y6387" s="13">
        <f t="shared" si="984"/>
        <v>0</v>
      </c>
      <c r="Z6387" s="66">
        <v>0</v>
      </c>
      <c r="AA6387" s="6">
        <v>0</v>
      </c>
      <c r="AB6387" s="4">
        <f t="shared" si="985"/>
        <v>689374.8899999999</v>
      </c>
      <c r="AC6387" s="6">
        <f t="shared" si="983"/>
        <v>41362.493399999992</v>
      </c>
      <c r="AD6387" s="6">
        <f t="shared" si="992"/>
        <v>689374.8899999999</v>
      </c>
      <c r="AE6387" s="14">
        <v>0.06</v>
      </c>
      <c r="AF6387" s="6">
        <f t="shared" si="987"/>
        <v>41362.493399999992</v>
      </c>
      <c r="AG6387" s="14">
        <v>0</v>
      </c>
      <c r="AH6387" s="64">
        <f t="shared" si="993"/>
        <v>689374.8899999999</v>
      </c>
      <c r="AJ6387" s="126" t="e">
        <v>#N/A</v>
      </c>
      <c r="AK6387" s="80">
        <f t="shared" si="986"/>
        <v>0</v>
      </c>
      <c r="AL6387" s="85"/>
      <c r="AM6387" s="85"/>
    </row>
    <row r="6388" spans="1:39" s="86" customFormat="1" ht="13.25" hidden="1" customHeight="1" x14ac:dyDescent="0.3">
      <c r="A6388" s="89" t="s">
        <v>3794</v>
      </c>
      <c r="B6388" s="86" t="s">
        <v>35</v>
      </c>
      <c r="C6388" s="86" t="s">
        <v>59</v>
      </c>
      <c r="D6388" s="86" t="s">
        <v>60</v>
      </c>
      <c r="E6388" s="86" t="s">
        <v>76</v>
      </c>
      <c r="F6388" s="86" t="s">
        <v>76</v>
      </c>
      <c r="G6388" s="86" t="s">
        <v>76</v>
      </c>
      <c r="H6388" s="144">
        <v>229</v>
      </c>
      <c r="I6388" s="86" t="s">
        <v>3356</v>
      </c>
      <c r="J6388" s="47" t="s">
        <v>3326</v>
      </c>
      <c r="K6388" s="47" t="str">
        <f t="shared" si="989"/>
        <v>巨量引擎-三类</v>
      </c>
      <c r="L6388" s="47" t="s">
        <v>35</v>
      </c>
      <c r="N6388" s="86" t="s">
        <v>3712</v>
      </c>
      <c r="O6388" s="47" t="s">
        <v>45</v>
      </c>
      <c r="P6388" s="47" t="s">
        <v>75</v>
      </c>
      <c r="Q6388" s="14">
        <v>0.06</v>
      </c>
      <c r="R6388" s="143"/>
      <c r="S6388" s="47"/>
      <c r="T6388" s="6">
        <v>193189.94000000012</v>
      </c>
      <c r="U6388" s="6">
        <v>81009.45</v>
      </c>
      <c r="V6388" s="6">
        <v>253541.36</v>
      </c>
      <c r="W6388" s="6">
        <f t="shared" si="990"/>
        <v>20658.030000000144</v>
      </c>
      <c r="X6388" s="6">
        <f t="shared" si="991"/>
        <v>253541.36</v>
      </c>
      <c r="Y6388" s="13">
        <f t="shared" si="984"/>
        <v>0</v>
      </c>
      <c r="Z6388" s="66">
        <v>0</v>
      </c>
      <c r="AA6388" s="6">
        <v>0</v>
      </c>
      <c r="AB6388" s="4">
        <f t="shared" si="985"/>
        <v>253541.36</v>
      </c>
      <c r="AC6388" s="6">
        <f t="shared" si="983"/>
        <v>15212.481599999999</v>
      </c>
      <c r="AD6388" s="6">
        <f t="shared" si="992"/>
        <v>253541.36</v>
      </c>
      <c r="AE6388" s="14">
        <v>0.06</v>
      </c>
      <c r="AF6388" s="6">
        <f t="shared" si="987"/>
        <v>15212.481599999999</v>
      </c>
      <c r="AG6388" s="14">
        <v>0</v>
      </c>
      <c r="AH6388" s="64">
        <f t="shared" si="993"/>
        <v>253541.36</v>
      </c>
      <c r="AJ6388" s="126" t="e">
        <v>#N/A</v>
      </c>
      <c r="AK6388" s="80">
        <f t="shared" si="986"/>
        <v>0</v>
      </c>
      <c r="AL6388" s="85"/>
      <c r="AM6388" s="85"/>
    </row>
    <row r="6389" spans="1:39" s="86" customFormat="1" ht="13.25" hidden="1" customHeight="1" x14ac:dyDescent="0.3">
      <c r="A6389" s="89" t="s">
        <v>3794</v>
      </c>
      <c r="B6389" s="86" t="s">
        <v>35</v>
      </c>
      <c r="C6389" s="86" t="s">
        <v>59</v>
      </c>
      <c r="D6389" s="86" t="s">
        <v>60</v>
      </c>
      <c r="E6389" s="86" t="s">
        <v>77</v>
      </c>
      <c r="F6389" s="86" t="s">
        <v>77</v>
      </c>
      <c r="G6389" s="86" t="s">
        <v>77</v>
      </c>
      <c r="H6389" s="144">
        <v>229</v>
      </c>
      <c r="I6389" s="86" t="s">
        <v>3356</v>
      </c>
      <c r="J6389" s="47" t="s">
        <v>3326</v>
      </c>
      <c r="K6389" s="47" t="str">
        <f t="shared" si="989"/>
        <v>巨量引擎-二类</v>
      </c>
      <c r="L6389" s="47" t="s">
        <v>35</v>
      </c>
      <c r="N6389" s="86" t="s">
        <v>3710</v>
      </c>
      <c r="O6389" s="47" t="s">
        <v>45</v>
      </c>
      <c r="P6389" s="47" t="s">
        <v>75</v>
      </c>
      <c r="Q6389" s="14">
        <v>0.06</v>
      </c>
      <c r="R6389" s="143"/>
      <c r="S6389" s="47"/>
      <c r="T6389" s="6">
        <v>6371757.7700000033</v>
      </c>
      <c r="U6389" s="6">
        <v>4000000</v>
      </c>
      <c r="V6389" s="6">
        <v>3887395.0199999996</v>
      </c>
      <c r="W6389" s="6">
        <f t="shared" si="990"/>
        <v>6484362.7500000037</v>
      </c>
      <c r="X6389" s="6">
        <f t="shared" si="991"/>
        <v>3887395.0199999996</v>
      </c>
      <c r="Y6389" s="13">
        <f t="shared" si="984"/>
        <v>0</v>
      </c>
      <c r="Z6389" s="66">
        <v>0</v>
      </c>
      <c r="AA6389" s="6">
        <v>0</v>
      </c>
      <c r="AB6389" s="4">
        <f t="shared" si="985"/>
        <v>3887395.0199999996</v>
      </c>
      <c r="AC6389" s="6">
        <f t="shared" si="983"/>
        <v>233243.70119999995</v>
      </c>
      <c r="AD6389" s="6">
        <f t="shared" si="992"/>
        <v>3887395.0199999996</v>
      </c>
      <c r="AE6389" s="14">
        <v>0.06</v>
      </c>
      <c r="AF6389" s="6">
        <f t="shared" si="987"/>
        <v>233243.70119999995</v>
      </c>
      <c r="AG6389" s="14">
        <v>0</v>
      </c>
      <c r="AH6389" s="64">
        <f t="shared" si="993"/>
        <v>3887395.0199999996</v>
      </c>
      <c r="AJ6389" s="126" t="e">
        <v>#N/A</v>
      </c>
      <c r="AK6389" s="80">
        <f t="shared" si="986"/>
        <v>0</v>
      </c>
      <c r="AL6389" s="85"/>
      <c r="AM6389" s="85"/>
    </row>
    <row r="6390" spans="1:39" s="86" customFormat="1" ht="13.25" hidden="1" customHeight="1" x14ac:dyDescent="0.3">
      <c r="A6390" s="89" t="s">
        <v>3794</v>
      </c>
      <c r="B6390" s="86" t="s">
        <v>35</v>
      </c>
      <c r="C6390" s="86" t="s">
        <v>59</v>
      </c>
      <c r="D6390" s="86" t="s">
        <v>60</v>
      </c>
      <c r="E6390" s="86" t="s">
        <v>257</v>
      </c>
      <c r="F6390" s="86" t="s">
        <v>257</v>
      </c>
      <c r="G6390" s="86" t="s">
        <v>257</v>
      </c>
      <c r="H6390" s="144">
        <v>229</v>
      </c>
      <c r="I6390" s="86" t="s">
        <v>3356</v>
      </c>
      <c r="J6390" s="47" t="s">
        <v>3326</v>
      </c>
      <c r="K6390" s="47" t="str">
        <f t="shared" si="989"/>
        <v>巨量引擎-二类</v>
      </c>
      <c r="L6390" s="47" t="s">
        <v>35</v>
      </c>
      <c r="N6390" s="86" t="s">
        <v>3710</v>
      </c>
      <c r="O6390" s="47" t="s">
        <v>45</v>
      </c>
      <c r="P6390" s="47" t="s">
        <v>75</v>
      </c>
      <c r="Q6390" s="14">
        <v>5.5E-2</v>
      </c>
      <c r="R6390" s="143"/>
      <c r="S6390" s="47"/>
      <c r="T6390" s="6">
        <v>0</v>
      </c>
      <c r="U6390" s="6">
        <v>1020000</v>
      </c>
      <c r="V6390" s="6">
        <v>61365.700000000004</v>
      </c>
      <c r="W6390" s="6">
        <f t="shared" si="990"/>
        <v>958634.3</v>
      </c>
      <c r="X6390" s="6">
        <f t="shared" si="991"/>
        <v>61365.700000000004</v>
      </c>
      <c r="Y6390" s="13">
        <f t="shared" si="984"/>
        <v>0</v>
      </c>
      <c r="Z6390" s="66">
        <v>0</v>
      </c>
      <c r="AA6390" s="6">
        <v>0</v>
      </c>
      <c r="AB6390" s="4">
        <f t="shared" si="985"/>
        <v>61365.700000000004</v>
      </c>
      <c r="AC6390" s="6">
        <f t="shared" si="983"/>
        <v>3375.1135000000004</v>
      </c>
      <c r="AD6390" s="6">
        <f t="shared" si="992"/>
        <v>61365.700000000004</v>
      </c>
      <c r="AE6390" s="14">
        <v>0.06</v>
      </c>
      <c r="AF6390" s="6">
        <f t="shared" si="987"/>
        <v>3681.942</v>
      </c>
      <c r="AG6390" s="14">
        <v>0</v>
      </c>
      <c r="AH6390" s="64">
        <f t="shared" si="993"/>
        <v>61365.700000000004</v>
      </c>
      <c r="AJ6390" s="126" t="e">
        <v>#N/A</v>
      </c>
      <c r="AK6390" s="80">
        <f t="shared" si="986"/>
        <v>0</v>
      </c>
      <c r="AL6390" s="85"/>
      <c r="AM6390" s="85"/>
    </row>
    <row r="6391" spans="1:39" s="86" customFormat="1" ht="13.25" hidden="1" customHeight="1" x14ac:dyDescent="0.3">
      <c r="A6391" s="89" t="s">
        <v>3794</v>
      </c>
      <c r="B6391" s="86" t="s">
        <v>35</v>
      </c>
      <c r="C6391" s="86" t="s">
        <v>59</v>
      </c>
      <c r="D6391" s="86" t="s">
        <v>60</v>
      </c>
      <c r="E6391" s="86" t="s">
        <v>78</v>
      </c>
      <c r="F6391" s="86" t="s">
        <v>79</v>
      </c>
      <c r="G6391" s="86" t="s">
        <v>78</v>
      </c>
      <c r="H6391" s="144">
        <v>229</v>
      </c>
      <c r="I6391" s="86" t="s">
        <v>3356</v>
      </c>
      <c r="J6391" s="47" t="s">
        <v>3326</v>
      </c>
      <c r="K6391" s="47" t="str">
        <f t="shared" si="989"/>
        <v>巨量引擎-游戏</v>
      </c>
      <c r="L6391" s="47" t="s">
        <v>35</v>
      </c>
      <c r="N6391" s="86" t="s">
        <v>3283</v>
      </c>
      <c r="O6391" s="47" t="s">
        <v>45</v>
      </c>
      <c r="P6391" s="47" t="s">
        <v>46</v>
      </c>
      <c r="Q6391" s="14">
        <v>0.06</v>
      </c>
      <c r="R6391" s="143"/>
      <c r="S6391" s="47"/>
      <c r="T6391" s="6">
        <v>2345560.1599999974</v>
      </c>
      <c r="U6391" s="6">
        <v>500000</v>
      </c>
      <c r="V6391" s="6">
        <v>2058744.1699999997</v>
      </c>
      <c r="W6391" s="6">
        <f t="shared" si="990"/>
        <v>786815.98999999766</v>
      </c>
      <c r="X6391" s="6">
        <f t="shared" si="991"/>
        <v>1942211.4811320752</v>
      </c>
      <c r="Y6391" s="13">
        <f t="shared" si="984"/>
        <v>0</v>
      </c>
      <c r="Z6391" s="66">
        <v>0</v>
      </c>
      <c r="AA6391" s="6">
        <v>0</v>
      </c>
      <c r="AB6391" s="4">
        <f t="shared" si="985"/>
        <v>1942211.4811320752</v>
      </c>
      <c r="AC6391" s="6">
        <f t="shared" si="983"/>
        <v>116532.6888679245</v>
      </c>
      <c r="AD6391" s="6">
        <f t="shared" si="992"/>
        <v>2058744.1699999997</v>
      </c>
      <c r="AE6391" s="14">
        <v>0.06</v>
      </c>
      <c r="AF6391" s="6">
        <f t="shared" si="987"/>
        <v>123524.65019999997</v>
      </c>
      <c r="AG6391" s="14">
        <v>0</v>
      </c>
      <c r="AH6391" s="64">
        <f t="shared" si="993"/>
        <v>2058744.1699999997</v>
      </c>
      <c r="AJ6391" s="126" t="e">
        <v>#N/A</v>
      </c>
      <c r="AK6391" s="80">
        <f t="shared" si="986"/>
        <v>0</v>
      </c>
      <c r="AL6391" s="85"/>
      <c r="AM6391" s="85"/>
    </row>
    <row r="6392" spans="1:39" s="86" customFormat="1" ht="13.25" hidden="1" customHeight="1" x14ac:dyDescent="0.3">
      <c r="A6392" s="89" t="s">
        <v>3794</v>
      </c>
      <c r="B6392" s="86" t="s">
        <v>35</v>
      </c>
      <c r="C6392" s="86" t="s">
        <v>59</v>
      </c>
      <c r="D6392" s="86" t="s">
        <v>60</v>
      </c>
      <c r="E6392" s="86" t="s">
        <v>78</v>
      </c>
      <c r="F6392" s="86" t="s">
        <v>81</v>
      </c>
      <c r="G6392" s="86" t="s">
        <v>78</v>
      </c>
      <c r="H6392" s="144">
        <v>229</v>
      </c>
      <c r="I6392" s="86" t="s">
        <v>3356</v>
      </c>
      <c r="J6392" s="47" t="s">
        <v>3326</v>
      </c>
      <c r="K6392" s="47" t="str">
        <f t="shared" si="989"/>
        <v>巨量引擎-二类</v>
      </c>
      <c r="L6392" s="47" t="s">
        <v>35</v>
      </c>
      <c r="N6392" s="86" t="s">
        <v>3710</v>
      </c>
      <c r="O6392" s="47" t="s">
        <v>45</v>
      </c>
      <c r="P6392" s="47" t="s">
        <v>46</v>
      </c>
      <c r="Q6392" s="14">
        <v>7.0000000000000007E-2</v>
      </c>
      <c r="R6392" s="143"/>
      <c r="S6392" s="47"/>
      <c r="T6392" s="6">
        <v>0</v>
      </c>
      <c r="U6392" s="6">
        <v>517081.17</v>
      </c>
      <c r="V6392" s="6">
        <v>89417.91</v>
      </c>
      <c r="W6392" s="6">
        <f t="shared" si="990"/>
        <v>427663.26</v>
      </c>
      <c r="X6392" s="6">
        <f t="shared" si="991"/>
        <v>83568.140186915887</v>
      </c>
      <c r="Y6392" s="13">
        <f t="shared" si="984"/>
        <v>0</v>
      </c>
      <c r="Z6392" s="66">
        <v>0</v>
      </c>
      <c r="AA6392" s="6">
        <v>0</v>
      </c>
      <c r="AB6392" s="4">
        <f t="shared" si="985"/>
        <v>83568.140186915887</v>
      </c>
      <c r="AC6392" s="6">
        <f t="shared" si="983"/>
        <v>5849.7698130841163</v>
      </c>
      <c r="AD6392" s="6">
        <f t="shared" si="992"/>
        <v>89417.91</v>
      </c>
      <c r="AE6392" s="14">
        <v>0.06</v>
      </c>
      <c r="AF6392" s="6">
        <f t="shared" si="987"/>
        <v>5365.0745999999999</v>
      </c>
      <c r="AG6392" s="14">
        <v>0</v>
      </c>
      <c r="AH6392" s="64">
        <f t="shared" si="993"/>
        <v>89417.91</v>
      </c>
      <c r="AJ6392" s="126" t="e">
        <v>#N/A</v>
      </c>
      <c r="AK6392" s="80">
        <f t="shared" si="986"/>
        <v>0</v>
      </c>
      <c r="AL6392" s="85"/>
      <c r="AM6392" s="85"/>
    </row>
    <row r="6393" spans="1:39" s="86" customFormat="1" ht="13.25" hidden="1" customHeight="1" x14ac:dyDescent="0.3">
      <c r="A6393" s="89" t="s">
        <v>3794</v>
      </c>
      <c r="B6393" s="86" t="s">
        <v>35</v>
      </c>
      <c r="C6393" s="86" t="s">
        <v>59</v>
      </c>
      <c r="D6393" s="86" t="s">
        <v>60</v>
      </c>
      <c r="E6393" s="86" t="s">
        <v>78</v>
      </c>
      <c r="F6393" s="86" t="s">
        <v>81</v>
      </c>
      <c r="G6393" s="86" t="s">
        <v>78</v>
      </c>
      <c r="H6393" s="144">
        <v>229</v>
      </c>
      <c r="I6393" s="86" t="s">
        <v>3356</v>
      </c>
      <c r="J6393" s="47" t="s">
        <v>3326</v>
      </c>
      <c r="K6393" s="47" t="str">
        <f t="shared" si="989"/>
        <v>巨量引擎-三类</v>
      </c>
      <c r="L6393" s="47" t="s">
        <v>35</v>
      </c>
      <c r="N6393" s="86" t="s">
        <v>3712</v>
      </c>
      <c r="O6393" s="47" t="s">
        <v>45</v>
      </c>
      <c r="P6393" s="47" t="s">
        <v>92</v>
      </c>
      <c r="Q6393" s="14">
        <v>0.93</v>
      </c>
      <c r="R6393" s="143"/>
      <c r="S6393" s="47"/>
      <c r="T6393" s="6">
        <v>44783.979999999989</v>
      </c>
      <c r="U6393" s="6">
        <v>-67081.17</v>
      </c>
      <c r="V6393" s="6">
        <v>1.3699999999999999</v>
      </c>
      <c r="W6393" s="6">
        <f t="shared" si="990"/>
        <v>-22298.560000000009</v>
      </c>
      <c r="X6393" s="6">
        <f t="shared" si="991"/>
        <v>1.2741</v>
      </c>
      <c r="Y6393" s="13">
        <f t="shared" si="984"/>
        <v>0</v>
      </c>
      <c r="Z6393" s="66">
        <v>0</v>
      </c>
      <c r="AA6393" s="6">
        <v>0</v>
      </c>
      <c r="AB6393" s="4">
        <f t="shared" si="985"/>
        <v>1.2741</v>
      </c>
      <c r="AC6393" s="6">
        <f t="shared" si="983"/>
        <v>9.5899999999999874E-2</v>
      </c>
      <c r="AD6393" s="6">
        <f t="shared" si="992"/>
        <v>1.3699999999999999</v>
      </c>
      <c r="AE6393" s="14">
        <v>0.06</v>
      </c>
      <c r="AF6393" s="6">
        <f t="shared" si="987"/>
        <v>8.2199999999999995E-2</v>
      </c>
      <c r="AG6393" s="14">
        <v>0</v>
      </c>
      <c r="AH6393" s="64">
        <f t="shared" si="993"/>
        <v>1.3699999999999999</v>
      </c>
      <c r="AJ6393" s="126" t="e">
        <v>#N/A</v>
      </c>
      <c r="AK6393" s="80">
        <f t="shared" si="986"/>
        <v>0</v>
      </c>
      <c r="AL6393" s="85"/>
      <c r="AM6393" s="85"/>
    </row>
    <row r="6394" spans="1:39" s="86" customFormat="1" ht="13.25" hidden="1" customHeight="1" x14ac:dyDescent="0.3">
      <c r="A6394" s="89" t="s">
        <v>3794</v>
      </c>
      <c r="B6394" s="86" t="s">
        <v>35</v>
      </c>
      <c r="C6394" s="86" t="s">
        <v>59</v>
      </c>
      <c r="D6394" s="86" t="s">
        <v>60</v>
      </c>
      <c r="E6394" s="86" t="s">
        <v>82</v>
      </c>
      <c r="F6394" s="86" t="s">
        <v>83</v>
      </c>
      <c r="G6394" s="86" t="s">
        <v>82</v>
      </c>
      <c r="H6394" s="144">
        <v>229</v>
      </c>
      <c r="I6394" s="86" t="s">
        <v>3356</v>
      </c>
      <c r="J6394" s="47" t="s">
        <v>3326</v>
      </c>
      <c r="K6394" s="47" t="str">
        <f t="shared" si="989"/>
        <v>巨量引擎-二类</v>
      </c>
      <c r="L6394" s="47" t="s">
        <v>35</v>
      </c>
      <c r="N6394" s="86" t="s">
        <v>3710</v>
      </c>
      <c r="O6394" s="47" t="s">
        <v>45</v>
      </c>
      <c r="P6394" s="47" t="s">
        <v>75</v>
      </c>
      <c r="Q6394" s="14">
        <v>0.06</v>
      </c>
      <c r="R6394" s="143"/>
      <c r="S6394" s="47"/>
      <c r="T6394" s="6">
        <v>1140112.2600000007</v>
      </c>
      <c r="U6394" s="6">
        <v>2500000</v>
      </c>
      <c r="V6394" s="6">
        <v>2345677.6</v>
      </c>
      <c r="W6394" s="6">
        <f t="shared" si="990"/>
        <v>1294434.6600000006</v>
      </c>
      <c r="X6394" s="6">
        <f t="shared" si="991"/>
        <v>2345677.6</v>
      </c>
      <c r="Y6394" s="13">
        <f t="shared" si="984"/>
        <v>0</v>
      </c>
      <c r="Z6394" s="66">
        <v>0</v>
      </c>
      <c r="AA6394" s="6">
        <v>0</v>
      </c>
      <c r="AB6394" s="4">
        <f t="shared" si="985"/>
        <v>2345677.6</v>
      </c>
      <c r="AC6394" s="6">
        <f t="shared" si="983"/>
        <v>140740.65599999999</v>
      </c>
      <c r="AD6394" s="6">
        <f t="shared" si="992"/>
        <v>2345677.6</v>
      </c>
      <c r="AE6394" s="14">
        <v>0.06</v>
      </c>
      <c r="AF6394" s="6">
        <f t="shared" si="987"/>
        <v>140740.65599999999</v>
      </c>
      <c r="AG6394" s="14">
        <v>0</v>
      </c>
      <c r="AH6394" s="64">
        <f t="shared" si="993"/>
        <v>2345677.6</v>
      </c>
      <c r="AJ6394" s="126" t="e">
        <v>#N/A</v>
      </c>
      <c r="AK6394" s="80">
        <f t="shared" si="986"/>
        <v>0</v>
      </c>
      <c r="AL6394" s="85"/>
      <c r="AM6394" s="85"/>
    </row>
    <row r="6395" spans="1:39" s="86" customFormat="1" ht="13.25" hidden="1" customHeight="1" x14ac:dyDescent="0.3">
      <c r="A6395" s="89" t="s">
        <v>3794</v>
      </c>
      <c r="B6395" s="86" t="s">
        <v>35</v>
      </c>
      <c r="C6395" s="86" t="s">
        <v>59</v>
      </c>
      <c r="D6395" s="86" t="s">
        <v>60</v>
      </c>
      <c r="E6395" s="86" t="s">
        <v>85</v>
      </c>
      <c r="F6395" s="86" t="s">
        <v>86</v>
      </c>
      <c r="G6395" s="86" t="s">
        <v>85</v>
      </c>
      <c r="H6395" s="143">
        <v>229</v>
      </c>
      <c r="I6395" s="86" t="s">
        <v>3356</v>
      </c>
      <c r="J6395" s="47" t="s">
        <v>3326</v>
      </c>
      <c r="K6395" s="47" t="str">
        <f t="shared" si="989"/>
        <v>巨量引擎-一类</v>
      </c>
      <c r="L6395" s="47" t="s">
        <v>35</v>
      </c>
      <c r="N6395" s="86" t="s">
        <v>3707</v>
      </c>
      <c r="O6395" s="47" t="s">
        <v>45</v>
      </c>
      <c r="P6395" s="47" t="s">
        <v>75</v>
      </c>
      <c r="Q6395" s="14">
        <v>0.03</v>
      </c>
      <c r="R6395" s="143"/>
      <c r="S6395" s="47"/>
      <c r="T6395" s="6">
        <v>0</v>
      </c>
      <c r="U6395" s="6">
        <v>1020000</v>
      </c>
      <c r="V6395" s="6">
        <v>0</v>
      </c>
      <c r="W6395" s="6">
        <f t="shared" si="990"/>
        <v>1020000</v>
      </c>
      <c r="X6395" s="6">
        <f t="shared" si="991"/>
        <v>0</v>
      </c>
      <c r="Y6395" s="13">
        <f t="shared" si="984"/>
        <v>0</v>
      </c>
      <c r="Z6395" s="66">
        <v>0</v>
      </c>
      <c r="AA6395" s="6">
        <v>0</v>
      </c>
      <c r="AB6395" s="4">
        <f t="shared" si="985"/>
        <v>0</v>
      </c>
      <c r="AC6395" s="6">
        <f t="shared" si="983"/>
        <v>0</v>
      </c>
      <c r="AD6395" s="6">
        <f t="shared" si="992"/>
        <v>0</v>
      </c>
      <c r="AE6395" s="14">
        <v>0.06</v>
      </c>
      <c r="AF6395" s="6">
        <f t="shared" si="987"/>
        <v>0</v>
      </c>
      <c r="AG6395" s="14">
        <v>0</v>
      </c>
      <c r="AH6395" s="64">
        <f t="shared" si="993"/>
        <v>0</v>
      </c>
      <c r="AJ6395" s="126" t="e">
        <v>#N/A</v>
      </c>
      <c r="AK6395" s="80">
        <f t="shared" si="986"/>
        <v>0</v>
      </c>
      <c r="AL6395" s="85"/>
      <c r="AM6395" s="85"/>
    </row>
    <row r="6396" spans="1:39" s="86" customFormat="1" ht="13.25" hidden="1" customHeight="1" x14ac:dyDescent="0.3">
      <c r="A6396" s="89" t="s">
        <v>3792</v>
      </c>
      <c r="B6396" s="86" t="s">
        <v>35</v>
      </c>
      <c r="C6396" s="86" t="s">
        <v>59</v>
      </c>
      <c r="D6396" s="86" t="s">
        <v>60</v>
      </c>
      <c r="E6396" s="86" t="s">
        <v>85</v>
      </c>
      <c r="F6396" s="86" t="s">
        <v>86</v>
      </c>
      <c r="G6396" s="86" t="s">
        <v>85</v>
      </c>
      <c r="H6396" s="144">
        <v>229</v>
      </c>
      <c r="I6396" s="86" t="s">
        <v>3356</v>
      </c>
      <c r="J6396" s="47" t="s">
        <v>3326</v>
      </c>
      <c r="K6396" s="47" t="str">
        <f t="shared" si="989"/>
        <v>巨量引擎-一类</v>
      </c>
      <c r="L6396" s="47" t="s">
        <v>35</v>
      </c>
      <c r="N6396" s="86" t="s">
        <v>3707</v>
      </c>
      <c r="O6396" s="47" t="s">
        <v>45</v>
      </c>
      <c r="P6396" s="47" t="s">
        <v>75</v>
      </c>
      <c r="Q6396" s="14">
        <v>0.06</v>
      </c>
      <c r="R6396" s="143"/>
      <c r="S6396" s="47"/>
      <c r="T6396" s="6">
        <v>5524391.6100000069</v>
      </c>
      <c r="U6396" s="6">
        <v>21009574.469999999</v>
      </c>
      <c r="V6396" s="6">
        <v>18943357.27</v>
      </c>
      <c r="W6396" s="6">
        <f t="shared" si="990"/>
        <v>7590608.8100000061</v>
      </c>
      <c r="X6396" s="6">
        <f t="shared" si="991"/>
        <v>18943357.27</v>
      </c>
      <c r="Y6396" s="13">
        <f t="shared" si="984"/>
        <v>0</v>
      </c>
      <c r="Z6396" s="66">
        <v>0</v>
      </c>
      <c r="AA6396" s="6">
        <v>0</v>
      </c>
      <c r="AB6396" s="4">
        <f t="shared" si="985"/>
        <v>18943357.27</v>
      </c>
      <c r="AC6396" s="6">
        <f t="shared" si="983"/>
        <v>1136601.4361999999</v>
      </c>
      <c r="AD6396" s="6">
        <f t="shared" si="992"/>
        <v>18943357.27</v>
      </c>
      <c r="AE6396" s="14">
        <v>0.06</v>
      </c>
      <c r="AF6396" s="6">
        <f t="shared" si="987"/>
        <v>1136601.4361999999</v>
      </c>
      <c r="AG6396" s="14">
        <v>0</v>
      </c>
      <c r="AH6396" s="64">
        <f t="shared" si="993"/>
        <v>18943357.27</v>
      </c>
      <c r="AJ6396" s="126" t="e">
        <v>#N/A</v>
      </c>
      <c r="AK6396" s="80">
        <f t="shared" si="986"/>
        <v>0</v>
      </c>
      <c r="AL6396" s="85"/>
      <c r="AM6396" s="85"/>
    </row>
    <row r="6397" spans="1:39" s="86" customFormat="1" ht="13.25" hidden="1" customHeight="1" x14ac:dyDescent="0.3">
      <c r="A6397" s="89" t="s">
        <v>3794</v>
      </c>
      <c r="B6397" s="86" t="s">
        <v>35</v>
      </c>
      <c r="C6397" s="86" t="s">
        <v>59</v>
      </c>
      <c r="D6397" s="86" t="s">
        <v>60</v>
      </c>
      <c r="E6397" s="86" t="s">
        <v>89</v>
      </c>
      <c r="F6397" s="86" t="s">
        <v>89</v>
      </c>
      <c r="G6397" s="86" t="s">
        <v>89</v>
      </c>
      <c r="H6397" s="144">
        <v>229</v>
      </c>
      <c r="I6397" s="86" t="s">
        <v>3356</v>
      </c>
      <c r="J6397" s="47" t="s">
        <v>3326</v>
      </c>
      <c r="K6397" s="47" t="str">
        <f t="shared" si="989"/>
        <v>巨量引擎-一类</v>
      </c>
      <c r="L6397" s="47" t="s">
        <v>35</v>
      </c>
      <c r="N6397" s="86" t="s">
        <v>3707</v>
      </c>
      <c r="O6397" s="47" t="s">
        <v>45</v>
      </c>
      <c r="P6397" s="47" t="s">
        <v>75</v>
      </c>
      <c r="Q6397" s="14">
        <v>0.06</v>
      </c>
      <c r="R6397" s="143"/>
      <c r="S6397" s="47"/>
      <c r="T6397" s="6">
        <v>4705725.6000000015</v>
      </c>
      <c r="U6397" s="6">
        <v>22530000</v>
      </c>
      <c r="V6397" s="6">
        <v>21140080.740000002</v>
      </c>
      <c r="W6397" s="6">
        <f t="shared" si="990"/>
        <v>6095644.8599999994</v>
      </c>
      <c r="X6397" s="6">
        <f t="shared" si="991"/>
        <v>21140080.740000002</v>
      </c>
      <c r="Y6397" s="13">
        <f t="shared" si="984"/>
        <v>0</v>
      </c>
      <c r="Z6397" s="66">
        <v>0</v>
      </c>
      <c r="AA6397" s="6">
        <v>0</v>
      </c>
      <c r="AB6397" s="4">
        <f t="shared" si="985"/>
        <v>21140080.740000002</v>
      </c>
      <c r="AC6397" s="6">
        <f t="shared" si="983"/>
        <v>1268404.8444000001</v>
      </c>
      <c r="AD6397" s="6">
        <f t="shared" si="992"/>
        <v>21140080.740000002</v>
      </c>
      <c r="AE6397" s="14">
        <v>0.06</v>
      </c>
      <c r="AF6397" s="6">
        <f t="shared" si="987"/>
        <v>1268404.8444000001</v>
      </c>
      <c r="AG6397" s="14">
        <v>0</v>
      </c>
      <c r="AH6397" s="64">
        <f t="shared" si="993"/>
        <v>21140080.740000002</v>
      </c>
      <c r="AJ6397" s="126" t="e">
        <v>#N/A</v>
      </c>
      <c r="AK6397" s="80">
        <f t="shared" si="986"/>
        <v>0</v>
      </c>
      <c r="AL6397" s="85"/>
      <c r="AM6397" s="85"/>
    </row>
    <row r="6398" spans="1:39" s="86" customFormat="1" ht="13.25" hidden="1" customHeight="1" x14ac:dyDescent="0.3">
      <c r="A6398" s="89" t="s">
        <v>3794</v>
      </c>
      <c r="B6398" s="86" t="s">
        <v>35</v>
      </c>
      <c r="C6398" s="86" t="s">
        <v>59</v>
      </c>
      <c r="D6398" s="86" t="s">
        <v>60</v>
      </c>
      <c r="E6398" s="86" t="s">
        <v>3924</v>
      </c>
      <c r="F6398" s="86" t="s">
        <v>3924</v>
      </c>
      <c r="G6398" s="86" t="s">
        <v>3924</v>
      </c>
      <c r="H6398" s="143">
        <v>229</v>
      </c>
      <c r="I6398" s="86" t="s">
        <v>3356</v>
      </c>
      <c r="J6398" s="47" t="s">
        <v>3326</v>
      </c>
      <c r="K6398" s="47" t="str">
        <f t="shared" si="989"/>
        <v>巨量引擎-一类</v>
      </c>
      <c r="L6398" s="47" t="s">
        <v>35</v>
      </c>
      <c r="N6398" s="86" t="s">
        <v>3707</v>
      </c>
      <c r="O6398" s="47" t="s">
        <v>45</v>
      </c>
      <c r="P6398" s="47" t="s">
        <v>92</v>
      </c>
      <c r="Q6398" s="14">
        <v>0.94</v>
      </c>
      <c r="R6398" s="143"/>
      <c r="S6398" s="47" t="s">
        <v>3925</v>
      </c>
      <c r="T6398" s="6">
        <v>0</v>
      </c>
      <c r="U6398" s="6">
        <v>1124241.33</v>
      </c>
      <c r="V6398" s="6">
        <v>1124241.33</v>
      </c>
      <c r="W6398" s="6">
        <f t="shared" si="990"/>
        <v>0</v>
      </c>
      <c r="X6398" s="6">
        <v>0</v>
      </c>
      <c r="Y6398" s="13">
        <f t="shared" si="984"/>
        <v>0</v>
      </c>
      <c r="Z6398" s="66">
        <v>0</v>
      </c>
      <c r="AA6398" s="6">
        <v>0</v>
      </c>
      <c r="AB6398" s="4">
        <f t="shared" si="985"/>
        <v>0</v>
      </c>
      <c r="AC6398" s="6">
        <f t="shared" ref="AC6398:AC6461" si="994">IF(P6398="返现",X6398*Q6398,V6398-X6398)</f>
        <v>1124241.33</v>
      </c>
      <c r="AD6398" s="6">
        <f t="shared" si="992"/>
        <v>1124241.33</v>
      </c>
      <c r="AE6398" s="14">
        <v>0.06</v>
      </c>
      <c r="AF6398" s="6">
        <f t="shared" si="987"/>
        <v>67454.479800000001</v>
      </c>
      <c r="AG6398" s="14">
        <v>0</v>
      </c>
      <c r="AH6398" s="64">
        <f t="shared" si="993"/>
        <v>1124241.33</v>
      </c>
      <c r="AJ6398" s="126" t="e">
        <v>#N/A</v>
      </c>
      <c r="AK6398" s="80">
        <f t="shared" si="986"/>
        <v>0</v>
      </c>
      <c r="AL6398" s="85"/>
      <c r="AM6398" s="85"/>
    </row>
    <row r="6399" spans="1:39" s="86" customFormat="1" ht="13.25" hidden="1" customHeight="1" x14ac:dyDescent="0.3">
      <c r="A6399" s="89" t="s">
        <v>3792</v>
      </c>
      <c r="B6399" s="86" t="s">
        <v>35</v>
      </c>
      <c r="C6399" s="86" t="s">
        <v>59</v>
      </c>
      <c r="D6399" s="86" t="s">
        <v>60</v>
      </c>
      <c r="E6399" s="86" t="s">
        <v>95</v>
      </c>
      <c r="F6399" s="86" t="s">
        <v>95</v>
      </c>
      <c r="G6399" s="86" t="s">
        <v>95</v>
      </c>
      <c r="H6399" s="144">
        <v>229</v>
      </c>
      <c r="I6399" s="86" t="s">
        <v>3356</v>
      </c>
      <c r="J6399" s="47" t="s">
        <v>3326</v>
      </c>
      <c r="K6399" s="47" t="str">
        <f t="shared" si="989"/>
        <v>巨量引擎-二类</v>
      </c>
      <c r="L6399" s="47" t="s">
        <v>35</v>
      </c>
      <c r="N6399" s="86" t="s">
        <v>3926</v>
      </c>
      <c r="O6399" s="47" t="s">
        <v>45</v>
      </c>
      <c r="P6399" s="47" t="s">
        <v>46</v>
      </c>
      <c r="Q6399" s="14">
        <v>0.05</v>
      </c>
      <c r="R6399" s="143"/>
      <c r="S6399" s="47"/>
      <c r="T6399" s="6">
        <v>2236009.5700000008</v>
      </c>
      <c r="U6399" s="6">
        <v>2488219.2799999998</v>
      </c>
      <c r="V6399" s="6">
        <v>716598.73</v>
      </c>
      <c r="W6399" s="6">
        <f t="shared" si="990"/>
        <v>4007630.1200000006</v>
      </c>
      <c r="X6399" s="6">
        <f t="shared" si="991"/>
        <v>682474.98095238092</v>
      </c>
      <c r="Y6399" s="13">
        <f t="shared" si="984"/>
        <v>0</v>
      </c>
      <c r="Z6399" s="66">
        <v>0</v>
      </c>
      <c r="AA6399" s="6">
        <v>0</v>
      </c>
      <c r="AB6399" s="4">
        <f t="shared" si="985"/>
        <v>682474.98095238092</v>
      </c>
      <c r="AC6399" s="6">
        <f t="shared" si="994"/>
        <v>34123.749047619058</v>
      </c>
      <c r="AD6399" s="6">
        <f t="shared" si="992"/>
        <v>716598.73</v>
      </c>
      <c r="AE6399" s="14">
        <v>0.06</v>
      </c>
      <c r="AF6399" s="6">
        <f t="shared" si="987"/>
        <v>42995.923799999997</v>
      </c>
      <c r="AG6399" s="14">
        <v>0</v>
      </c>
      <c r="AH6399" s="64">
        <f t="shared" si="993"/>
        <v>716598.73</v>
      </c>
      <c r="AJ6399" s="126" t="e">
        <v>#N/A</v>
      </c>
      <c r="AK6399" s="80">
        <f t="shared" si="986"/>
        <v>0</v>
      </c>
      <c r="AL6399" s="85"/>
      <c r="AM6399" s="85"/>
    </row>
    <row r="6400" spans="1:39" s="86" customFormat="1" ht="13.25" hidden="1" customHeight="1" x14ac:dyDescent="0.3">
      <c r="A6400" s="89" t="s">
        <v>3794</v>
      </c>
      <c r="B6400" s="86" t="s">
        <v>35</v>
      </c>
      <c r="C6400" s="86" t="s">
        <v>96</v>
      </c>
      <c r="D6400" s="86" t="s">
        <v>97</v>
      </c>
      <c r="E6400" s="86" t="s">
        <v>255</v>
      </c>
      <c r="F6400" s="86" t="s">
        <v>255</v>
      </c>
      <c r="G6400" s="86" t="s">
        <v>255</v>
      </c>
      <c r="H6400" s="143">
        <v>229</v>
      </c>
      <c r="I6400" s="86" t="s">
        <v>3356</v>
      </c>
      <c r="J6400" s="47" t="s">
        <v>3326</v>
      </c>
      <c r="K6400" s="47" t="str">
        <f t="shared" si="989"/>
        <v>巨量引擎-三类</v>
      </c>
      <c r="L6400" s="47" t="s">
        <v>35</v>
      </c>
      <c r="N6400" s="86" t="s">
        <v>3712</v>
      </c>
      <c r="O6400" s="47" t="s">
        <v>45</v>
      </c>
      <c r="P6400" s="47" t="s">
        <v>41</v>
      </c>
      <c r="Q6400" s="14">
        <v>0</v>
      </c>
      <c r="R6400" s="143"/>
      <c r="S6400" s="47" t="s">
        <v>3927</v>
      </c>
      <c r="T6400" s="6">
        <v>4620.6899999999914</v>
      </c>
      <c r="U6400" s="6">
        <v>-4077.75</v>
      </c>
      <c r="V6400" s="6">
        <v>542.94000000000005</v>
      </c>
      <c r="W6400" s="6">
        <f t="shared" si="990"/>
        <v>-8.6401996668428183E-12</v>
      </c>
      <c r="X6400" s="6">
        <v>0</v>
      </c>
      <c r="Y6400" s="13">
        <f t="shared" si="984"/>
        <v>0</v>
      </c>
      <c r="Z6400" s="66">
        <v>0</v>
      </c>
      <c r="AA6400" s="6">
        <v>0</v>
      </c>
      <c r="AB6400" s="4">
        <f t="shared" si="985"/>
        <v>0</v>
      </c>
      <c r="AC6400" s="6">
        <f t="shared" si="994"/>
        <v>542.94000000000005</v>
      </c>
      <c r="AD6400" s="6">
        <f t="shared" si="992"/>
        <v>542.94000000000005</v>
      </c>
      <c r="AE6400" s="14">
        <v>0.06</v>
      </c>
      <c r="AF6400" s="6">
        <f t="shared" si="987"/>
        <v>32.5764</v>
      </c>
      <c r="AG6400" s="14">
        <v>0</v>
      </c>
      <c r="AH6400" s="64">
        <f t="shared" si="993"/>
        <v>542.94000000000005</v>
      </c>
      <c r="AJ6400" s="126" t="e">
        <v>#N/A</v>
      </c>
      <c r="AK6400" s="80">
        <f t="shared" si="986"/>
        <v>0</v>
      </c>
      <c r="AL6400" s="85"/>
      <c r="AM6400" s="85"/>
    </row>
    <row r="6401" spans="1:39" s="86" customFormat="1" ht="13.25" hidden="1" customHeight="1" x14ac:dyDescent="0.3">
      <c r="A6401" s="89" t="s">
        <v>3794</v>
      </c>
      <c r="B6401" s="86" t="s">
        <v>35</v>
      </c>
      <c r="C6401" s="86" t="s">
        <v>96</v>
      </c>
      <c r="D6401" s="86" t="s">
        <v>97</v>
      </c>
      <c r="E6401" s="86" t="s">
        <v>98</v>
      </c>
      <c r="F6401" s="86" t="s">
        <v>98</v>
      </c>
      <c r="G6401" s="86" t="s">
        <v>98</v>
      </c>
      <c r="H6401" s="144">
        <v>229</v>
      </c>
      <c r="I6401" s="86" t="s">
        <v>3356</v>
      </c>
      <c r="J6401" s="47" t="s">
        <v>3326</v>
      </c>
      <c r="K6401" s="47" t="str">
        <f t="shared" si="989"/>
        <v>巨量引擎-三类</v>
      </c>
      <c r="L6401" s="47" t="s">
        <v>35</v>
      </c>
      <c r="N6401" s="86" t="s">
        <v>3712</v>
      </c>
      <c r="O6401" s="47" t="s">
        <v>45</v>
      </c>
      <c r="P6401" s="47" t="s">
        <v>41</v>
      </c>
      <c r="Q6401" s="14">
        <v>0</v>
      </c>
      <c r="R6401" s="143"/>
      <c r="S6401" s="47" t="s">
        <v>3928</v>
      </c>
      <c r="T6401" s="6">
        <v>24437.200000000004</v>
      </c>
      <c r="U6401" s="6">
        <v>40000</v>
      </c>
      <c r="V6401" s="6">
        <v>58661.719999999987</v>
      </c>
      <c r="W6401" s="6">
        <f t="shared" si="990"/>
        <v>5775.4800000000178</v>
      </c>
      <c r="X6401" s="6">
        <v>240000</v>
      </c>
      <c r="Y6401" s="13">
        <f t="shared" si="984"/>
        <v>181338.28000000003</v>
      </c>
      <c r="Z6401" s="66">
        <v>0</v>
      </c>
      <c r="AA6401" s="6">
        <v>0</v>
      </c>
      <c r="AB6401" s="4">
        <f t="shared" si="985"/>
        <v>240000</v>
      </c>
      <c r="AC6401" s="6">
        <f t="shared" si="994"/>
        <v>-181338.28000000003</v>
      </c>
      <c r="AD6401" s="6">
        <f t="shared" si="992"/>
        <v>58661.719999999987</v>
      </c>
      <c r="AE6401" s="14">
        <v>0.06</v>
      </c>
      <c r="AF6401" s="6">
        <f t="shared" si="987"/>
        <v>3519.703199999999</v>
      </c>
      <c r="AG6401" s="14">
        <v>0</v>
      </c>
      <c r="AH6401" s="64">
        <f t="shared" si="993"/>
        <v>58661.719999999987</v>
      </c>
      <c r="AJ6401" s="126" t="e">
        <v>#N/A</v>
      </c>
      <c r="AK6401" s="80">
        <f t="shared" si="986"/>
        <v>0</v>
      </c>
      <c r="AL6401" s="85"/>
      <c r="AM6401" s="85"/>
    </row>
    <row r="6402" spans="1:39" s="86" customFormat="1" ht="13.25" hidden="1" customHeight="1" x14ac:dyDescent="0.3">
      <c r="A6402" s="89" t="s">
        <v>3794</v>
      </c>
      <c r="B6402" s="86" t="s">
        <v>35</v>
      </c>
      <c r="C6402" s="86" t="s">
        <v>96</v>
      </c>
      <c r="D6402" s="86" t="s">
        <v>97</v>
      </c>
      <c r="E6402" s="86" t="s">
        <v>3929</v>
      </c>
      <c r="F6402" s="86" t="s">
        <v>3929</v>
      </c>
      <c r="G6402" s="86" t="s">
        <v>3929</v>
      </c>
      <c r="H6402" s="144">
        <v>229</v>
      </c>
      <c r="I6402" s="86" t="s">
        <v>3356</v>
      </c>
      <c r="J6402" s="47" t="s">
        <v>3326</v>
      </c>
      <c r="K6402" s="47" t="str">
        <f t="shared" si="989"/>
        <v>巨量引擎-三类</v>
      </c>
      <c r="L6402" s="47" t="s">
        <v>35</v>
      </c>
      <c r="N6402" s="86" t="s">
        <v>3712</v>
      </c>
      <c r="O6402" s="47" t="s">
        <v>45</v>
      </c>
      <c r="P6402" s="47" t="s">
        <v>41</v>
      </c>
      <c r="Q6402" s="14">
        <v>0</v>
      </c>
      <c r="R6402" s="143"/>
      <c r="S6402" s="47" t="s">
        <v>3927</v>
      </c>
      <c r="T6402" s="6">
        <v>0</v>
      </c>
      <c r="U6402" s="6">
        <v>20000</v>
      </c>
      <c r="V6402" s="6">
        <v>4586.83</v>
      </c>
      <c r="W6402" s="6">
        <f t="shared" si="990"/>
        <v>15413.17</v>
      </c>
      <c r="X6402" s="6">
        <v>165000</v>
      </c>
      <c r="Y6402" s="13">
        <f t="shared" si="984"/>
        <v>160413.17000000001</v>
      </c>
      <c r="Z6402" s="66">
        <v>0</v>
      </c>
      <c r="AA6402" s="6">
        <v>0</v>
      </c>
      <c r="AB6402" s="4">
        <f t="shared" si="985"/>
        <v>165000</v>
      </c>
      <c r="AC6402" s="6">
        <f t="shared" si="994"/>
        <v>-160413.17000000001</v>
      </c>
      <c r="AD6402" s="6">
        <f t="shared" si="992"/>
        <v>4586.83</v>
      </c>
      <c r="AE6402" s="14">
        <v>0.06</v>
      </c>
      <c r="AF6402" s="6">
        <f t="shared" si="987"/>
        <v>275.20979999999997</v>
      </c>
      <c r="AG6402" s="14">
        <v>0</v>
      </c>
      <c r="AH6402" s="64">
        <f t="shared" si="993"/>
        <v>4586.83</v>
      </c>
      <c r="AJ6402" s="126" t="e">
        <v>#N/A</v>
      </c>
      <c r="AK6402" s="80">
        <f t="shared" si="986"/>
        <v>0</v>
      </c>
      <c r="AL6402" s="85"/>
      <c r="AM6402" s="85"/>
    </row>
    <row r="6403" spans="1:39" s="86" customFormat="1" ht="13.25" hidden="1" customHeight="1" x14ac:dyDescent="0.3">
      <c r="A6403" s="89" t="s">
        <v>3794</v>
      </c>
      <c r="B6403" s="86" t="s">
        <v>35</v>
      </c>
      <c r="C6403" s="86" t="s">
        <v>36</v>
      </c>
      <c r="D6403" s="86" t="s">
        <v>185</v>
      </c>
      <c r="E6403" s="86" t="s">
        <v>134</v>
      </c>
      <c r="F6403" s="86" t="s">
        <v>135</v>
      </c>
      <c r="G6403" s="86" t="s">
        <v>134</v>
      </c>
      <c r="H6403" s="144">
        <v>229</v>
      </c>
      <c r="I6403" s="86" t="s">
        <v>3356</v>
      </c>
      <c r="J6403" s="47" t="s">
        <v>3326</v>
      </c>
      <c r="K6403" s="47" t="str">
        <f t="shared" si="989"/>
        <v>巨量引擎-一类</v>
      </c>
      <c r="L6403" s="47" t="s">
        <v>35</v>
      </c>
      <c r="N6403" s="86" t="s">
        <v>3707</v>
      </c>
      <c r="O6403" s="47" t="s">
        <v>45</v>
      </c>
      <c r="P6403" s="47" t="s">
        <v>41</v>
      </c>
      <c r="Q6403" s="14">
        <v>0</v>
      </c>
      <c r="R6403" s="143"/>
      <c r="S6403" s="47"/>
      <c r="T6403" s="6">
        <v>33728.27999999997</v>
      </c>
      <c r="U6403" s="6">
        <v>300000</v>
      </c>
      <c r="V6403" s="6">
        <v>175394.13</v>
      </c>
      <c r="W6403" s="6">
        <f t="shared" si="990"/>
        <v>158334.14999999997</v>
      </c>
      <c r="X6403" s="6">
        <f t="shared" si="991"/>
        <v>175394.13</v>
      </c>
      <c r="Y6403" s="13">
        <f t="shared" ref="Y6403:Y6466" si="995">IF(X6403-AD6403&lt;=0,0,IF(P6403="返现",MAX(X6403-AC6403-AD6403,0),MAX(X6403-AD6403)))</f>
        <v>0</v>
      </c>
      <c r="Z6403" s="66">
        <v>0</v>
      </c>
      <c r="AA6403" s="6">
        <v>0</v>
      </c>
      <c r="AB6403" s="4">
        <f t="shared" ref="AB6403:AB6466" si="996">X6403+AA6403</f>
        <v>175394.13</v>
      </c>
      <c r="AC6403" s="6">
        <f t="shared" si="994"/>
        <v>0</v>
      </c>
      <c r="AD6403" s="6">
        <f t="shared" si="992"/>
        <v>175394.13</v>
      </c>
      <c r="AE6403" s="14">
        <v>0.06</v>
      </c>
      <c r="AF6403" s="6">
        <f t="shared" si="987"/>
        <v>10523.647800000001</v>
      </c>
      <c r="AG6403" s="14">
        <v>0</v>
      </c>
      <c r="AH6403" s="64">
        <f t="shared" si="993"/>
        <v>175394.13</v>
      </c>
      <c r="AJ6403" s="126" t="e">
        <v>#N/A</v>
      </c>
      <c r="AK6403" s="80">
        <f t="shared" ref="AK6403:AK6466" si="997">X6403+AA6403-AB6403</f>
        <v>0</v>
      </c>
      <c r="AL6403" s="85"/>
      <c r="AM6403" s="85"/>
    </row>
    <row r="6404" spans="1:39" s="86" customFormat="1" ht="13.25" hidden="1" customHeight="1" x14ac:dyDescent="0.3">
      <c r="A6404" s="89" t="s">
        <v>3792</v>
      </c>
      <c r="B6404" s="86" t="s">
        <v>35</v>
      </c>
      <c r="C6404" s="86" t="s">
        <v>36</v>
      </c>
      <c r="D6404" s="86" t="s">
        <v>185</v>
      </c>
      <c r="E6404" s="86" t="s">
        <v>136</v>
      </c>
      <c r="F6404" s="86" t="s">
        <v>136</v>
      </c>
      <c r="G6404" s="86" t="s">
        <v>136</v>
      </c>
      <c r="H6404" s="144">
        <v>229</v>
      </c>
      <c r="I6404" s="86" t="s">
        <v>3356</v>
      </c>
      <c r="J6404" s="47" t="s">
        <v>3326</v>
      </c>
      <c r="K6404" s="47" t="str">
        <f t="shared" si="989"/>
        <v>巨量引擎-三类</v>
      </c>
      <c r="L6404" s="47" t="s">
        <v>35</v>
      </c>
      <c r="N6404" s="86" t="s">
        <v>3712</v>
      </c>
      <c r="O6404" s="47" t="s">
        <v>45</v>
      </c>
      <c r="P6404" s="47" t="s">
        <v>41</v>
      </c>
      <c r="Q6404" s="14">
        <v>0</v>
      </c>
      <c r="R6404" s="143"/>
      <c r="S6404" s="47"/>
      <c r="T6404" s="6">
        <v>241663.07</v>
      </c>
      <c r="U6404" s="6">
        <v>300000</v>
      </c>
      <c r="V6404" s="6">
        <v>219496.5</v>
      </c>
      <c r="W6404" s="6">
        <f t="shared" si="990"/>
        <v>322166.57000000007</v>
      </c>
      <c r="X6404" s="6">
        <f t="shared" si="991"/>
        <v>219496.5</v>
      </c>
      <c r="Y6404" s="13">
        <f t="shared" si="995"/>
        <v>0</v>
      </c>
      <c r="Z6404" s="66">
        <v>0</v>
      </c>
      <c r="AA6404" s="6">
        <v>0</v>
      </c>
      <c r="AB6404" s="4">
        <f t="shared" si="996"/>
        <v>219496.5</v>
      </c>
      <c r="AC6404" s="6">
        <f t="shared" si="994"/>
        <v>0</v>
      </c>
      <c r="AD6404" s="6">
        <f t="shared" si="992"/>
        <v>219496.5</v>
      </c>
      <c r="AE6404" s="14">
        <v>0.06</v>
      </c>
      <c r="AF6404" s="6">
        <f t="shared" si="987"/>
        <v>13169.789999999999</v>
      </c>
      <c r="AG6404" s="14">
        <v>0</v>
      </c>
      <c r="AH6404" s="64">
        <f t="shared" si="993"/>
        <v>219496.5</v>
      </c>
      <c r="AJ6404" s="126" t="e">
        <v>#N/A</v>
      </c>
      <c r="AK6404" s="80">
        <f t="shared" si="997"/>
        <v>0</v>
      </c>
      <c r="AL6404" s="85"/>
      <c r="AM6404" s="85"/>
    </row>
    <row r="6405" spans="1:39" s="86" customFormat="1" ht="13.25" hidden="1" customHeight="1" x14ac:dyDescent="0.3">
      <c r="A6405" s="89" t="s">
        <v>3794</v>
      </c>
      <c r="B6405" s="86" t="s">
        <v>35</v>
      </c>
      <c r="C6405" s="86" t="s">
        <v>36</v>
      </c>
      <c r="D6405" s="86" t="s">
        <v>185</v>
      </c>
      <c r="E6405" s="86" t="s">
        <v>3930</v>
      </c>
      <c r="F6405" s="86" t="s">
        <v>3931</v>
      </c>
      <c r="G6405" s="86" t="s">
        <v>3930</v>
      </c>
      <c r="H6405" s="144">
        <v>229</v>
      </c>
      <c r="I6405" s="86" t="s">
        <v>3356</v>
      </c>
      <c r="J6405" s="47" t="s">
        <v>3326</v>
      </c>
      <c r="K6405" s="47" t="str">
        <f t="shared" si="989"/>
        <v>巨量引擎-一类平台/电商</v>
      </c>
      <c r="L6405" s="47" t="s">
        <v>35</v>
      </c>
      <c r="N6405" s="86" t="s">
        <v>3718</v>
      </c>
      <c r="O6405" s="47" t="s">
        <v>45</v>
      </c>
      <c r="P6405" s="47" t="s">
        <v>46</v>
      </c>
      <c r="Q6405" s="14">
        <v>0.04</v>
      </c>
      <c r="R6405" s="143"/>
      <c r="S6405" s="47"/>
      <c r="T6405" s="6">
        <v>0</v>
      </c>
      <c r="U6405" s="6">
        <v>400000</v>
      </c>
      <c r="V6405" s="6">
        <v>67.569999999999993</v>
      </c>
      <c r="W6405" s="6">
        <f t="shared" si="990"/>
        <v>399932.43</v>
      </c>
      <c r="X6405" s="6">
        <f t="shared" si="991"/>
        <v>64.97115384615384</v>
      </c>
      <c r="Y6405" s="13">
        <f t="shared" si="995"/>
        <v>0</v>
      </c>
      <c r="Z6405" s="66">
        <v>0</v>
      </c>
      <c r="AA6405" s="6">
        <v>0</v>
      </c>
      <c r="AB6405" s="4">
        <f t="shared" si="996"/>
        <v>64.97115384615384</v>
      </c>
      <c r="AC6405" s="6">
        <f t="shared" si="994"/>
        <v>2.5988461538461536</v>
      </c>
      <c r="AD6405" s="6">
        <f t="shared" si="992"/>
        <v>67.569999999999993</v>
      </c>
      <c r="AE6405" s="14">
        <v>0.06</v>
      </c>
      <c r="AF6405" s="6">
        <f t="shared" si="987"/>
        <v>4.0541999999999998</v>
      </c>
      <c r="AG6405" s="14">
        <v>0</v>
      </c>
      <c r="AH6405" s="64">
        <f t="shared" si="993"/>
        <v>67.569999999999993</v>
      </c>
      <c r="AJ6405" s="126" t="e">
        <v>#N/A</v>
      </c>
      <c r="AK6405" s="80">
        <f t="shared" si="997"/>
        <v>0</v>
      </c>
      <c r="AL6405" s="85"/>
      <c r="AM6405" s="85"/>
    </row>
    <row r="6406" spans="1:39" s="86" customFormat="1" ht="13.25" hidden="1" customHeight="1" x14ac:dyDescent="0.3">
      <c r="A6406" s="89" t="s">
        <v>3794</v>
      </c>
      <c r="B6406" s="86" t="s">
        <v>35</v>
      </c>
      <c r="C6406" s="86" t="s">
        <v>36</v>
      </c>
      <c r="D6406" s="86" t="s">
        <v>185</v>
      </c>
      <c r="E6406" s="86" t="s">
        <v>138</v>
      </c>
      <c r="F6406" s="86" t="s">
        <v>139</v>
      </c>
      <c r="G6406" s="86" t="s">
        <v>138</v>
      </c>
      <c r="H6406" s="144">
        <v>229</v>
      </c>
      <c r="I6406" s="86" t="s">
        <v>3356</v>
      </c>
      <c r="J6406" s="47" t="s">
        <v>3326</v>
      </c>
      <c r="K6406" s="47" t="str">
        <f t="shared" si="989"/>
        <v>巨量引擎-一类</v>
      </c>
      <c r="L6406" s="47" t="s">
        <v>35</v>
      </c>
      <c r="N6406" s="86" t="s">
        <v>3707</v>
      </c>
      <c r="O6406" s="47" t="s">
        <v>45</v>
      </c>
      <c r="P6406" s="47" t="s">
        <v>41</v>
      </c>
      <c r="Q6406" s="14">
        <v>0</v>
      </c>
      <c r="R6406" s="143"/>
      <c r="S6406" s="47"/>
      <c r="T6406" s="6">
        <v>5075111.6399999969</v>
      </c>
      <c r="U6406" s="6">
        <v>3800000</v>
      </c>
      <c r="V6406" s="6">
        <v>6548372.9399999995</v>
      </c>
      <c r="W6406" s="6">
        <f t="shared" si="990"/>
        <v>2326738.6999999974</v>
      </c>
      <c r="X6406" s="6">
        <f t="shared" si="991"/>
        <v>6548372.9399999995</v>
      </c>
      <c r="Y6406" s="13">
        <f t="shared" si="995"/>
        <v>0</v>
      </c>
      <c r="Z6406" s="66">
        <v>0</v>
      </c>
      <c r="AA6406" s="6">
        <v>0</v>
      </c>
      <c r="AB6406" s="4">
        <f t="shared" si="996"/>
        <v>6548372.9399999995</v>
      </c>
      <c r="AC6406" s="6">
        <f t="shared" si="994"/>
        <v>0</v>
      </c>
      <c r="AD6406" s="6">
        <f t="shared" si="992"/>
        <v>6548372.9399999995</v>
      </c>
      <c r="AE6406" s="14">
        <v>0.06</v>
      </c>
      <c r="AF6406" s="6">
        <f t="shared" si="987"/>
        <v>392902.37639999995</v>
      </c>
      <c r="AG6406" s="14">
        <v>0</v>
      </c>
      <c r="AH6406" s="64">
        <f t="shared" si="993"/>
        <v>6548372.9399999995</v>
      </c>
      <c r="AJ6406" s="126" t="e">
        <v>#N/A</v>
      </c>
      <c r="AK6406" s="80">
        <f t="shared" si="997"/>
        <v>0</v>
      </c>
      <c r="AL6406" s="85"/>
      <c r="AM6406" s="85"/>
    </row>
    <row r="6407" spans="1:39" s="86" customFormat="1" ht="13.25" hidden="1" customHeight="1" x14ac:dyDescent="0.3">
      <c r="A6407" s="89" t="s">
        <v>3794</v>
      </c>
      <c r="B6407" s="86" t="s">
        <v>35</v>
      </c>
      <c r="C6407" s="86" t="s">
        <v>36</v>
      </c>
      <c r="D6407" s="86" t="s">
        <v>185</v>
      </c>
      <c r="E6407" s="86" t="s">
        <v>259</v>
      </c>
      <c r="F6407" s="86" t="s">
        <v>259</v>
      </c>
      <c r="G6407" s="86" t="s">
        <v>259</v>
      </c>
      <c r="H6407" s="144">
        <v>229</v>
      </c>
      <c r="I6407" s="86" t="s">
        <v>3356</v>
      </c>
      <c r="J6407" s="47" t="s">
        <v>3326</v>
      </c>
      <c r="K6407" s="47" t="str">
        <f t="shared" si="989"/>
        <v>巨量引擎-三类</v>
      </c>
      <c r="L6407" s="47" t="s">
        <v>35</v>
      </c>
      <c r="N6407" s="86" t="s">
        <v>3712</v>
      </c>
      <c r="O6407" s="47" t="s">
        <v>45</v>
      </c>
      <c r="P6407" s="47" t="s">
        <v>41</v>
      </c>
      <c r="Q6407" s="14">
        <v>0</v>
      </c>
      <c r="R6407" s="143"/>
      <c r="S6407" s="47"/>
      <c r="T6407" s="6">
        <v>8465.4799999999941</v>
      </c>
      <c r="U6407" s="6">
        <v>50000</v>
      </c>
      <c r="V6407" s="6">
        <v>2453.33</v>
      </c>
      <c r="W6407" s="6">
        <f t="shared" si="990"/>
        <v>56012.149999999994</v>
      </c>
      <c r="X6407" s="6">
        <f t="shared" si="991"/>
        <v>2453.33</v>
      </c>
      <c r="Y6407" s="13">
        <f t="shared" si="995"/>
        <v>0</v>
      </c>
      <c r="Z6407" s="66">
        <v>0</v>
      </c>
      <c r="AA6407" s="6">
        <v>0</v>
      </c>
      <c r="AB6407" s="4">
        <f t="shared" si="996"/>
        <v>2453.33</v>
      </c>
      <c r="AC6407" s="6">
        <f t="shared" si="994"/>
        <v>0</v>
      </c>
      <c r="AD6407" s="6">
        <f t="shared" si="992"/>
        <v>2453.33</v>
      </c>
      <c r="AE6407" s="14">
        <v>0.06</v>
      </c>
      <c r="AF6407" s="6">
        <f t="shared" si="987"/>
        <v>147.19979999999998</v>
      </c>
      <c r="AG6407" s="14">
        <v>0</v>
      </c>
      <c r="AH6407" s="64">
        <f t="shared" si="993"/>
        <v>2453.33</v>
      </c>
      <c r="AJ6407" s="126" t="e">
        <v>#N/A</v>
      </c>
      <c r="AK6407" s="80">
        <f t="shared" si="997"/>
        <v>0</v>
      </c>
      <c r="AL6407" s="85"/>
      <c r="AM6407" s="85"/>
    </row>
    <row r="6408" spans="1:39" s="86" customFormat="1" ht="13.25" hidden="1" customHeight="1" x14ac:dyDescent="0.3">
      <c r="A6408" s="89" t="s">
        <v>3794</v>
      </c>
      <c r="B6408" s="86" t="s">
        <v>35</v>
      </c>
      <c r="C6408" s="86" t="s">
        <v>36</v>
      </c>
      <c r="D6408" s="86" t="s">
        <v>185</v>
      </c>
      <c r="E6408" s="86" t="s">
        <v>186</v>
      </c>
      <c r="F6408" s="86" t="s">
        <v>186</v>
      </c>
      <c r="G6408" s="86" t="s">
        <v>186</v>
      </c>
      <c r="H6408" s="144">
        <v>229</v>
      </c>
      <c r="I6408" s="86" t="s">
        <v>3356</v>
      </c>
      <c r="J6408" s="47" t="s">
        <v>3326</v>
      </c>
      <c r="K6408" s="47" t="str">
        <f t="shared" si="989"/>
        <v>巨量引擎-三类</v>
      </c>
      <c r="L6408" s="47" t="s">
        <v>35</v>
      </c>
      <c r="N6408" s="86" t="s">
        <v>3712</v>
      </c>
      <c r="O6408" s="47" t="s">
        <v>45</v>
      </c>
      <c r="P6408" s="47" t="s">
        <v>46</v>
      </c>
      <c r="Q6408" s="14">
        <v>0.01</v>
      </c>
      <c r="R6408" s="143"/>
      <c r="S6408" s="47"/>
      <c r="T6408" s="6">
        <v>6897831.5900000017</v>
      </c>
      <c r="U6408" s="6">
        <v>10600000</v>
      </c>
      <c r="V6408" s="6">
        <v>13765389.020000005</v>
      </c>
      <c r="W6408" s="6">
        <f t="shared" si="990"/>
        <v>3732442.5699999984</v>
      </c>
      <c r="X6408" s="6">
        <f t="shared" si="991"/>
        <v>13629098.039603965</v>
      </c>
      <c r="Y6408" s="13">
        <f t="shared" si="995"/>
        <v>0</v>
      </c>
      <c r="Z6408" s="66">
        <v>0</v>
      </c>
      <c r="AA6408" s="6">
        <v>0</v>
      </c>
      <c r="AB6408" s="4">
        <f t="shared" si="996"/>
        <v>13629098.039603965</v>
      </c>
      <c r="AC6408" s="6">
        <f t="shared" si="994"/>
        <v>136290.98039603978</v>
      </c>
      <c r="AD6408" s="6">
        <f t="shared" si="992"/>
        <v>13765389.020000005</v>
      </c>
      <c r="AE6408" s="14">
        <v>0.06</v>
      </c>
      <c r="AF6408" s="6">
        <f t="shared" si="987"/>
        <v>825923.34120000026</v>
      </c>
      <c r="AG6408" s="14">
        <v>0</v>
      </c>
      <c r="AH6408" s="64">
        <f t="shared" si="993"/>
        <v>13765389.020000005</v>
      </c>
      <c r="AJ6408" s="126" t="e">
        <v>#N/A</v>
      </c>
      <c r="AK6408" s="80">
        <f t="shared" si="997"/>
        <v>0</v>
      </c>
      <c r="AL6408" s="85"/>
      <c r="AM6408" s="85"/>
    </row>
    <row r="6409" spans="1:39" s="86" customFormat="1" ht="13.25" hidden="1" customHeight="1" x14ac:dyDescent="0.3">
      <c r="A6409" s="89" t="s">
        <v>3794</v>
      </c>
      <c r="B6409" s="86" t="s">
        <v>35</v>
      </c>
      <c r="C6409" s="86" t="s">
        <v>36</v>
      </c>
      <c r="D6409" s="86" t="s">
        <v>185</v>
      </c>
      <c r="E6409" s="86" t="s">
        <v>3183</v>
      </c>
      <c r="F6409" s="86" t="s">
        <v>3183</v>
      </c>
      <c r="G6409" s="86" t="s">
        <v>3183</v>
      </c>
      <c r="H6409" s="144">
        <v>229</v>
      </c>
      <c r="I6409" s="86" t="s">
        <v>3356</v>
      </c>
      <c r="J6409" s="47" t="s">
        <v>3326</v>
      </c>
      <c r="K6409" s="47" t="str">
        <f t="shared" si="989"/>
        <v>巨量引擎-游戏</v>
      </c>
      <c r="L6409" s="47" t="s">
        <v>35</v>
      </c>
      <c r="N6409" s="86" t="s">
        <v>3283</v>
      </c>
      <c r="O6409" s="47" t="s">
        <v>45</v>
      </c>
      <c r="P6409" s="47" t="s">
        <v>46</v>
      </c>
      <c r="Q6409" s="14">
        <v>7.0000000000000007E-2</v>
      </c>
      <c r="R6409" s="143"/>
      <c r="S6409" s="47"/>
      <c r="T6409" s="6">
        <v>0</v>
      </c>
      <c r="U6409" s="6">
        <v>152068.44</v>
      </c>
      <c r="V6409" s="6">
        <v>132131.14999999997</v>
      </c>
      <c r="W6409" s="6">
        <f t="shared" si="990"/>
        <v>19937.290000000037</v>
      </c>
      <c r="X6409" s="6">
        <f t="shared" si="991"/>
        <v>123487.05607476631</v>
      </c>
      <c r="Y6409" s="13">
        <f t="shared" si="995"/>
        <v>0</v>
      </c>
      <c r="Z6409" s="66">
        <v>0</v>
      </c>
      <c r="AA6409" s="6">
        <v>0</v>
      </c>
      <c r="AB6409" s="4">
        <f t="shared" si="996"/>
        <v>123487.05607476631</v>
      </c>
      <c r="AC6409" s="6">
        <f t="shared" si="994"/>
        <v>8644.0939252336539</v>
      </c>
      <c r="AD6409" s="6">
        <f t="shared" si="992"/>
        <v>132131.14999999997</v>
      </c>
      <c r="AE6409" s="14">
        <v>0.06</v>
      </c>
      <c r="AF6409" s="6">
        <f t="shared" si="987"/>
        <v>7927.8689999999979</v>
      </c>
      <c r="AG6409" s="14">
        <v>0</v>
      </c>
      <c r="AH6409" s="64">
        <f t="shared" si="993"/>
        <v>132131.14999999997</v>
      </c>
      <c r="AJ6409" s="126" t="e">
        <v>#N/A</v>
      </c>
      <c r="AK6409" s="80">
        <f t="shared" si="997"/>
        <v>0</v>
      </c>
      <c r="AL6409" s="85"/>
      <c r="AM6409" s="85"/>
    </row>
    <row r="6410" spans="1:39" s="86" customFormat="1" ht="13.25" hidden="1" customHeight="1" x14ac:dyDescent="0.3">
      <c r="A6410" s="89" t="s">
        <v>3794</v>
      </c>
      <c r="B6410" s="86" t="s">
        <v>35</v>
      </c>
      <c r="C6410" s="86" t="s">
        <v>65</v>
      </c>
      <c r="D6410" s="86" t="s">
        <v>116</v>
      </c>
      <c r="E6410" s="86" t="s">
        <v>117</v>
      </c>
      <c r="F6410" s="86" t="s">
        <v>117</v>
      </c>
      <c r="G6410" s="86" t="s">
        <v>117</v>
      </c>
      <c r="H6410" s="144">
        <v>229</v>
      </c>
      <c r="I6410" s="86" t="s">
        <v>3356</v>
      </c>
      <c r="J6410" s="47" t="s">
        <v>3326</v>
      </c>
      <c r="K6410" s="47" t="str">
        <f t="shared" si="989"/>
        <v>巨量引擎-三类</v>
      </c>
      <c r="L6410" s="47" t="s">
        <v>35</v>
      </c>
      <c r="N6410" s="86" t="s">
        <v>3712</v>
      </c>
      <c r="O6410" s="47" t="s">
        <v>45</v>
      </c>
      <c r="P6410" s="47" t="s">
        <v>46</v>
      </c>
      <c r="Q6410" s="14">
        <v>0.06</v>
      </c>
      <c r="R6410" s="143"/>
      <c r="S6410" s="47"/>
      <c r="T6410" s="6">
        <v>265.52000000003318</v>
      </c>
      <c r="U6410" s="6">
        <v>230000</v>
      </c>
      <c r="V6410" s="6">
        <v>23449.360000000001</v>
      </c>
      <c r="W6410" s="6">
        <f t="shared" si="990"/>
        <v>206816.16000000003</v>
      </c>
      <c r="X6410" s="6">
        <f t="shared" si="991"/>
        <v>22122.037735849055</v>
      </c>
      <c r="Y6410" s="13">
        <f t="shared" si="995"/>
        <v>0</v>
      </c>
      <c r="Z6410" s="66">
        <v>0</v>
      </c>
      <c r="AA6410" s="6">
        <v>0</v>
      </c>
      <c r="AB6410" s="4">
        <f t="shared" si="996"/>
        <v>22122.037735849055</v>
      </c>
      <c r="AC6410" s="6">
        <f t="shared" si="994"/>
        <v>1327.3222641509456</v>
      </c>
      <c r="AD6410" s="6">
        <f t="shared" si="992"/>
        <v>23449.360000000001</v>
      </c>
      <c r="AE6410" s="14">
        <v>0.06</v>
      </c>
      <c r="AF6410" s="6">
        <f t="shared" si="987"/>
        <v>1406.9616000000001</v>
      </c>
      <c r="AG6410" s="14">
        <v>0</v>
      </c>
      <c r="AH6410" s="64">
        <f t="shared" si="993"/>
        <v>23449.360000000001</v>
      </c>
      <c r="AJ6410" s="126" t="e">
        <v>#N/A</v>
      </c>
      <c r="AK6410" s="80">
        <f t="shared" si="997"/>
        <v>0</v>
      </c>
      <c r="AL6410" s="85"/>
      <c r="AM6410" s="85"/>
    </row>
    <row r="6411" spans="1:39" s="86" customFormat="1" ht="13.25" hidden="1" customHeight="1" x14ac:dyDescent="0.3">
      <c r="A6411" s="89" t="s">
        <v>3794</v>
      </c>
      <c r="B6411" s="86" t="s">
        <v>35</v>
      </c>
      <c r="C6411" s="86" t="s">
        <v>65</v>
      </c>
      <c r="D6411" s="86" t="s">
        <v>66</v>
      </c>
      <c r="E6411" s="86" t="s">
        <v>229</v>
      </c>
      <c r="F6411" s="86" t="s">
        <v>229</v>
      </c>
      <c r="G6411" s="86" t="s">
        <v>229</v>
      </c>
      <c r="H6411" s="143">
        <v>229</v>
      </c>
      <c r="I6411" s="86" t="s">
        <v>3356</v>
      </c>
      <c r="J6411" s="47" t="s">
        <v>3326</v>
      </c>
      <c r="K6411" s="47">
        <f t="shared" si="989"/>
        <v>0</v>
      </c>
      <c r="L6411" s="47" t="s">
        <v>35</v>
      </c>
      <c r="O6411" s="47" t="s">
        <v>45</v>
      </c>
      <c r="P6411" s="47" t="s">
        <v>46</v>
      </c>
      <c r="Q6411" s="14">
        <v>0.05</v>
      </c>
      <c r="R6411" s="143"/>
      <c r="S6411" s="47"/>
      <c r="T6411" s="6">
        <v>109622.31000000046</v>
      </c>
      <c r="U6411" s="6">
        <v>-109622.31</v>
      </c>
      <c r="V6411" s="6">
        <v>0</v>
      </c>
      <c r="W6411" s="6">
        <f t="shared" si="990"/>
        <v>4.6566128730773926E-10</v>
      </c>
      <c r="X6411" s="6">
        <f t="shared" si="991"/>
        <v>0</v>
      </c>
      <c r="Y6411" s="13">
        <f t="shared" si="995"/>
        <v>0</v>
      </c>
      <c r="Z6411" s="66">
        <v>0</v>
      </c>
      <c r="AA6411" s="6">
        <v>0</v>
      </c>
      <c r="AB6411" s="4">
        <f t="shared" si="996"/>
        <v>0</v>
      </c>
      <c r="AC6411" s="6">
        <f t="shared" si="994"/>
        <v>0</v>
      </c>
      <c r="AD6411" s="6">
        <f t="shared" si="992"/>
        <v>0</v>
      </c>
      <c r="AE6411" s="14">
        <v>0.06</v>
      </c>
      <c r="AF6411" s="6">
        <f t="shared" si="987"/>
        <v>0</v>
      </c>
      <c r="AG6411" s="14">
        <v>0</v>
      </c>
      <c r="AH6411" s="64">
        <f t="shared" si="993"/>
        <v>0</v>
      </c>
      <c r="AJ6411" s="126" t="e">
        <v>#N/A</v>
      </c>
      <c r="AK6411" s="80">
        <f t="shared" si="997"/>
        <v>0</v>
      </c>
      <c r="AL6411" s="85"/>
      <c r="AM6411" s="85"/>
    </row>
    <row r="6412" spans="1:39" s="86" customFormat="1" ht="13.25" hidden="1" customHeight="1" x14ac:dyDescent="0.3">
      <c r="A6412" s="89" t="s">
        <v>3792</v>
      </c>
      <c r="B6412" s="86" t="s">
        <v>35</v>
      </c>
      <c r="C6412" s="86" t="s">
        <v>65</v>
      </c>
      <c r="D6412" s="86" t="s">
        <v>66</v>
      </c>
      <c r="E6412" s="86" t="s">
        <v>132</v>
      </c>
      <c r="F6412" s="86" t="s">
        <v>133</v>
      </c>
      <c r="G6412" s="86" t="s">
        <v>132</v>
      </c>
      <c r="H6412" s="144">
        <v>229</v>
      </c>
      <c r="I6412" s="86" t="s">
        <v>3356</v>
      </c>
      <c r="J6412" s="47" t="s">
        <v>3326</v>
      </c>
      <c r="K6412" s="47" t="str">
        <f t="shared" si="989"/>
        <v>巨量引擎-一类</v>
      </c>
      <c r="L6412" s="47" t="s">
        <v>35</v>
      </c>
      <c r="N6412" s="86" t="s">
        <v>3707</v>
      </c>
      <c r="O6412" s="47" t="s">
        <v>45</v>
      </c>
      <c r="P6412" s="47" t="s">
        <v>46</v>
      </c>
      <c r="Q6412" s="14">
        <v>1.4999999999999999E-2</v>
      </c>
      <c r="R6412" s="143"/>
      <c r="S6412" s="47"/>
      <c r="T6412" s="6">
        <v>5070883.620000001</v>
      </c>
      <c r="U6412" s="6">
        <v>16070000</v>
      </c>
      <c r="V6412" s="6">
        <v>15886422.43</v>
      </c>
      <c r="W6412" s="6">
        <f t="shared" si="990"/>
        <v>5254461.1900000013</v>
      </c>
      <c r="X6412" s="6">
        <f t="shared" si="991"/>
        <v>15651647.714285716</v>
      </c>
      <c r="Y6412" s="13">
        <f t="shared" si="995"/>
        <v>0</v>
      </c>
      <c r="Z6412" s="66">
        <v>0</v>
      </c>
      <c r="AA6412" s="6">
        <v>0</v>
      </c>
      <c r="AB6412" s="4">
        <f t="shared" si="996"/>
        <v>15651647.714285716</v>
      </c>
      <c r="AC6412" s="6">
        <f t="shared" si="994"/>
        <v>234774.71571428329</v>
      </c>
      <c r="AD6412" s="6">
        <f t="shared" si="992"/>
        <v>15886422.43</v>
      </c>
      <c r="AE6412" s="14">
        <v>0.06</v>
      </c>
      <c r="AF6412" s="6">
        <f t="shared" si="987"/>
        <v>953185.34579999989</v>
      </c>
      <c r="AG6412" s="14">
        <v>0</v>
      </c>
      <c r="AH6412" s="64">
        <f t="shared" si="993"/>
        <v>15886422.43</v>
      </c>
      <c r="AJ6412" s="126" t="e">
        <v>#N/A</v>
      </c>
      <c r="AK6412" s="80">
        <f t="shared" si="997"/>
        <v>0</v>
      </c>
      <c r="AL6412" s="85"/>
      <c r="AM6412" s="85"/>
    </row>
    <row r="6413" spans="1:39" s="86" customFormat="1" ht="13.25" hidden="1" customHeight="1" x14ac:dyDescent="0.3">
      <c r="A6413" s="89" t="s">
        <v>3794</v>
      </c>
      <c r="B6413" s="86" t="s">
        <v>35</v>
      </c>
      <c r="C6413" s="86" t="s">
        <v>65</v>
      </c>
      <c r="D6413" s="86" t="s">
        <v>66</v>
      </c>
      <c r="E6413" s="86" t="s">
        <v>276</v>
      </c>
      <c r="F6413" s="86" t="s">
        <v>277</v>
      </c>
      <c r="G6413" s="86" t="s">
        <v>276</v>
      </c>
      <c r="H6413" s="144">
        <v>229</v>
      </c>
      <c r="I6413" s="86" t="s">
        <v>3356</v>
      </c>
      <c r="J6413" s="47" t="s">
        <v>3326</v>
      </c>
      <c r="K6413" s="47" t="str">
        <f t="shared" si="989"/>
        <v>巨量引擎-二类</v>
      </c>
      <c r="L6413" s="47" t="s">
        <v>35</v>
      </c>
      <c r="N6413" s="86" t="s">
        <v>3710</v>
      </c>
      <c r="O6413" s="47" t="s">
        <v>45</v>
      </c>
      <c r="P6413" s="47" t="s">
        <v>46</v>
      </c>
      <c r="Q6413" s="14">
        <v>0.06</v>
      </c>
      <c r="R6413" s="143"/>
      <c r="S6413" s="47"/>
      <c r="T6413" s="6">
        <v>18524.310000000114</v>
      </c>
      <c r="U6413" s="6">
        <v>50000</v>
      </c>
      <c r="V6413" s="6">
        <v>66433.070000000022</v>
      </c>
      <c r="W6413" s="6">
        <f t="shared" si="990"/>
        <v>2091.2400000000926</v>
      </c>
      <c r="X6413" s="6">
        <f t="shared" si="991"/>
        <v>62672.707547169826</v>
      </c>
      <c r="Y6413" s="13">
        <f t="shared" si="995"/>
        <v>0</v>
      </c>
      <c r="Z6413" s="66">
        <v>0</v>
      </c>
      <c r="AA6413" s="6">
        <v>0</v>
      </c>
      <c r="AB6413" s="4">
        <f t="shared" si="996"/>
        <v>62672.707547169826</v>
      </c>
      <c r="AC6413" s="6">
        <f t="shared" si="994"/>
        <v>3760.3624528301953</v>
      </c>
      <c r="AD6413" s="6">
        <f t="shared" si="992"/>
        <v>66433.070000000022</v>
      </c>
      <c r="AE6413" s="14">
        <v>0.06</v>
      </c>
      <c r="AF6413" s="6">
        <f t="shared" si="987"/>
        <v>3985.9842000000012</v>
      </c>
      <c r="AG6413" s="14">
        <v>0</v>
      </c>
      <c r="AH6413" s="64">
        <f t="shared" si="993"/>
        <v>66433.070000000022</v>
      </c>
      <c r="AJ6413" s="126" t="e">
        <v>#N/A</v>
      </c>
      <c r="AK6413" s="80">
        <f t="shared" si="997"/>
        <v>0</v>
      </c>
      <c r="AL6413" s="85"/>
      <c r="AM6413" s="85"/>
    </row>
    <row r="6414" spans="1:39" s="86" customFormat="1" ht="13.25" hidden="1" customHeight="1" x14ac:dyDescent="0.3">
      <c r="A6414" s="89" t="s">
        <v>3794</v>
      </c>
      <c r="B6414" s="86" t="s">
        <v>35</v>
      </c>
      <c r="C6414" s="86" t="s">
        <v>65</v>
      </c>
      <c r="D6414" s="86" t="s">
        <v>66</v>
      </c>
      <c r="E6414" s="86" t="s">
        <v>120</v>
      </c>
      <c r="F6414" s="86" t="s">
        <v>120</v>
      </c>
      <c r="G6414" s="86" t="s">
        <v>120</v>
      </c>
      <c r="H6414" s="144">
        <v>229</v>
      </c>
      <c r="I6414" s="86" t="s">
        <v>3356</v>
      </c>
      <c r="J6414" s="47" t="s">
        <v>3326</v>
      </c>
      <c r="K6414" s="47" t="str">
        <f t="shared" si="989"/>
        <v>巨量引擎-三类</v>
      </c>
      <c r="L6414" s="47" t="s">
        <v>35</v>
      </c>
      <c r="N6414" s="86" t="s">
        <v>3712</v>
      </c>
      <c r="O6414" s="47" t="s">
        <v>45</v>
      </c>
      <c r="P6414" s="47" t="s">
        <v>41</v>
      </c>
      <c r="Q6414" s="14">
        <v>0</v>
      </c>
      <c r="R6414" s="143"/>
      <c r="S6414" s="47"/>
      <c r="T6414" s="6">
        <v>164197.99999999983</v>
      </c>
      <c r="U6414" s="6">
        <v>200000</v>
      </c>
      <c r="V6414" s="6">
        <v>229983.2999999999</v>
      </c>
      <c r="W6414" s="6">
        <f t="shared" si="990"/>
        <v>134214.69999999992</v>
      </c>
      <c r="X6414" s="6">
        <f t="shared" si="991"/>
        <v>229983.2999999999</v>
      </c>
      <c r="Y6414" s="13">
        <f t="shared" si="995"/>
        <v>0</v>
      </c>
      <c r="Z6414" s="66">
        <v>0</v>
      </c>
      <c r="AA6414" s="6">
        <v>0</v>
      </c>
      <c r="AB6414" s="4">
        <f t="shared" si="996"/>
        <v>229983.2999999999</v>
      </c>
      <c r="AC6414" s="6">
        <f t="shared" si="994"/>
        <v>0</v>
      </c>
      <c r="AD6414" s="6">
        <f t="shared" si="992"/>
        <v>229983.2999999999</v>
      </c>
      <c r="AE6414" s="14">
        <v>0.06</v>
      </c>
      <c r="AF6414" s="6">
        <f t="shared" si="987"/>
        <v>13798.997999999994</v>
      </c>
      <c r="AG6414" s="14">
        <v>0</v>
      </c>
      <c r="AH6414" s="64">
        <f t="shared" si="993"/>
        <v>229983.2999999999</v>
      </c>
      <c r="AJ6414" s="126" t="e">
        <v>#N/A</v>
      </c>
      <c r="AK6414" s="80">
        <f t="shared" si="997"/>
        <v>0</v>
      </c>
      <c r="AL6414" s="85"/>
      <c r="AM6414" s="85"/>
    </row>
    <row r="6415" spans="1:39" s="86" customFormat="1" ht="13.25" hidden="1" customHeight="1" x14ac:dyDescent="0.3">
      <c r="A6415" s="89" t="s">
        <v>3794</v>
      </c>
      <c r="B6415" s="86" t="s">
        <v>35</v>
      </c>
      <c r="C6415" s="86" t="s">
        <v>65</v>
      </c>
      <c r="D6415" s="86" t="s">
        <v>66</v>
      </c>
      <c r="E6415" s="86" t="s">
        <v>121</v>
      </c>
      <c r="F6415" s="86" t="s">
        <v>121</v>
      </c>
      <c r="G6415" s="86" t="s">
        <v>121</v>
      </c>
      <c r="H6415" s="144">
        <v>229</v>
      </c>
      <c r="I6415" s="86" t="s">
        <v>3356</v>
      </c>
      <c r="J6415" s="47" t="s">
        <v>3326</v>
      </c>
      <c r="K6415" s="47" t="str">
        <f t="shared" si="989"/>
        <v>巨量引擎-一类</v>
      </c>
      <c r="L6415" s="47" t="s">
        <v>35</v>
      </c>
      <c r="N6415" s="86" t="s">
        <v>3707</v>
      </c>
      <c r="O6415" s="47" t="s">
        <v>45</v>
      </c>
      <c r="P6415" s="47" t="s">
        <v>46</v>
      </c>
      <c r="Q6415" s="14">
        <v>0.03</v>
      </c>
      <c r="R6415" s="143"/>
      <c r="S6415" s="47"/>
      <c r="T6415" s="6">
        <v>3392440.5399999972</v>
      </c>
      <c r="U6415" s="6">
        <v>-8483537.0499999989</v>
      </c>
      <c r="V6415" s="6">
        <v>-5107325.2300000023</v>
      </c>
      <c r="W6415" s="6">
        <v>0</v>
      </c>
      <c r="X6415" s="6">
        <f t="shared" si="991"/>
        <v>-4958568.1844660211</v>
      </c>
      <c r="Y6415" s="13">
        <f t="shared" si="995"/>
        <v>148757.04553398117</v>
      </c>
      <c r="Z6415" s="66">
        <v>0</v>
      </c>
      <c r="AA6415" s="6">
        <v>0</v>
      </c>
      <c r="AB6415" s="4">
        <f t="shared" si="996"/>
        <v>-4958568.1844660211</v>
      </c>
      <c r="AC6415" s="6">
        <f t="shared" si="994"/>
        <v>-148757.04553398117</v>
      </c>
      <c r="AD6415" s="6">
        <f t="shared" si="992"/>
        <v>-5107325.2300000023</v>
      </c>
      <c r="AE6415" s="14">
        <v>0.06</v>
      </c>
      <c r="AF6415" s="6">
        <f t="shared" si="987"/>
        <v>-306439.51380000013</v>
      </c>
      <c r="AG6415" s="14">
        <v>0</v>
      </c>
      <c r="AH6415" s="64">
        <f t="shared" si="993"/>
        <v>-5107325.2300000023</v>
      </c>
      <c r="AJ6415" s="126" t="e">
        <v>#N/A</v>
      </c>
      <c r="AK6415" s="80">
        <f t="shared" si="997"/>
        <v>0</v>
      </c>
      <c r="AL6415" s="85"/>
      <c r="AM6415" s="85"/>
    </row>
    <row r="6416" spans="1:39" s="86" customFormat="1" ht="13.25" hidden="1" customHeight="1" x14ac:dyDescent="0.3">
      <c r="A6416" s="89" t="s">
        <v>3792</v>
      </c>
      <c r="B6416" s="86" t="s">
        <v>35</v>
      </c>
      <c r="C6416" s="86" t="s">
        <v>65</v>
      </c>
      <c r="D6416" s="86" t="s">
        <v>122</v>
      </c>
      <c r="E6416" s="86" t="s">
        <v>123</v>
      </c>
      <c r="F6416" s="86" t="s">
        <v>123</v>
      </c>
      <c r="G6416" s="86" t="s">
        <v>123</v>
      </c>
      <c r="H6416" s="144">
        <v>229</v>
      </c>
      <c r="I6416" s="86" t="s">
        <v>3356</v>
      </c>
      <c r="J6416" s="47" t="s">
        <v>3326</v>
      </c>
      <c r="K6416" s="47" t="str">
        <f t="shared" si="989"/>
        <v>巨量引擎-一类</v>
      </c>
      <c r="L6416" s="47" t="s">
        <v>35</v>
      </c>
      <c r="N6416" s="86" t="s">
        <v>3707</v>
      </c>
      <c r="O6416" s="47" t="s">
        <v>45</v>
      </c>
      <c r="P6416" s="47" t="s">
        <v>41</v>
      </c>
      <c r="Q6416" s="14">
        <v>0</v>
      </c>
      <c r="R6416" s="143"/>
      <c r="S6416" s="47"/>
      <c r="T6416" s="6">
        <v>1060554.7100000002</v>
      </c>
      <c r="U6416" s="6">
        <v>700000</v>
      </c>
      <c r="V6416" s="6">
        <v>607032.30000000005</v>
      </c>
      <c r="W6416" s="6">
        <f t="shared" si="990"/>
        <v>1153522.4100000001</v>
      </c>
      <c r="X6416" s="6">
        <f t="shared" si="991"/>
        <v>607032.30000000005</v>
      </c>
      <c r="Y6416" s="13">
        <f t="shared" si="995"/>
        <v>0</v>
      </c>
      <c r="Z6416" s="66">
        <v>0</v>
      </c>
      <c r="AA6416" s="6">
        <v>0</v>
      </c>
      <c r="AB6416" s="4">
        <f t="shared" si="996"/>
        <v>607032.30000000005</v>
      </c>
      <c r="AC6416" s="6">
        <f t="shared" si="994"/>
        <v>0</v>
      </c>
      <c r="AD6416" s="6">
        <f t="shared" si="992"/>
        <v>607032.30000000005</v>
      </c>
      <c r="AE6416" s="14">
        <v>0.06</v>
      </c>
      <c r="AF6416" s="6">
        <f t="shared" si="987"/>
        <v>36421.938000000002</v>
      </c>
      <c r="AG6416" s="14">
        <v>0</v>
      </c>
      <c r="AH6416" s="64">
        <f t="shared" si="993"/>
        <v>607032.30000000005</v>
      </c>
      <c r="AJ6416" s="126" t="e">
        <v>#N/A</v>
      </c>
      <c r="AK6416" s="80">
        <f t="shared" si="997"/>
        <v>0</v>
      </c>
      <c r="AL6416" s="85"/>
      <c r="AM6416" s="85"/>
    </row>
    <row r="6417" spans="1:39" s="86" customFormat="1" ht="13.25" hidden="1" customHeight="1" x14ac:dyDescent="0.3">
      <c r="A6417" s="89" t="s">
        <v>3792</v>
      </c>
      <c r="B6417" s="86" t="s">
        <v>35</v>
      </c>
      <c r="C6417" s="86" t="s">
        <v>65</v>
      </c>
      <c r="D6417" s="86" t="s">
        <v>1291</v>
      </c>
      <c r="E6417" s="86" t="s">
        <v>3614</v>
      </c>
      <c r="F6417" s="86" t="s">
        <v>3614</v>
      </c>
      <c r="G6417" s="86" t="s">
        <v>3614</v>
      </c>
      <c r="H6417" s="144">
        <v>229</v>
      </c>
      <c r="I6417" s="86" t="s">
        <v>3356</v>
      </c>
      <c r="J6417" s="47" t="s">
        <v>3326</v>
      </c>
      <c r="K6417" s="47" t="str">
        <f t="shared" si="989"/>
        <v>巨量引擎-三类</v>
      </c>
      <c r="L6417" s="47" t="s">
        <v>35</v>
      </c>
      <c r="N6417" s="86" t="s">
        <v>3712</v>
      </c>
      <c r="O6417" s="47" t="s">
        <v>45</v>
      </c>
      <c r="P6417" s="47" t="s">
        <v>46</v>
      </c>
      <c r="Q6417" s="14">
        <v>0.06</v>
      </c>
      <c r="R6417" s="143"/>
      <c r="S6417" s="47"/>
      <c r="T6417" s="6">
        <v>18240.89</v>
      </c>
      <c r="U6417" s="6">
        <v>1481.4699999999998</v>
      </c>
      <c r="V6417" s="6">
        <v>110.83</v>
      </c>
      <c r="W6417" s="6">
        <f t="shared" si="990"/>
        <v>19611.53</v>
      </c>
      <c r="X6417" s="6">
        <f t="shared" si="991"/>
        <v>104.5566037735849</v>
      </c>
      <c r="Y6417" s="13">
        <f t="shared" si="995"/>
        <v>0</v>
      </c>
      <c r="Z6417" s="66">
        <v>0</v>
      </c>
      <c r="AA6417" s="6">
        <v>0</v>
      </c>
      <c r="AB6417" s="4">
        <f t="shared" si="996"/>
        <v>104.5566037735849</v>
      </c>
      <c r="AC6417" s="6">
        <f t="shared" si="994"/>
        <v>6.2733962264151018</v>
      </c>
      <c r="AD6417" s="6">
        <f t="shared" si="992"/>
        <v>110.83</v>
      </c>
      <c r="AE6417" s="14">
        <v>0.06</v>
      </c>
      <c r="AF6417" s="6">
        <f t="shared" si="987"/>
        <v>6.6497999999999999</v>
      </c>
      <c r="AG6417" s="14">
        <v>0</v>
      </c>
      <c r="AH6417" s="64">
        <f t="shared" si="993"/>
        <v>110.83</v>
      </c>
      <c r="AJ6417" s="126" t="e">
        <v>#N/A</v>
      </c>
      <c r="AK6417" s="80">
        <f t="shared" si="997"/>
        <v>0</v>
      </c>
      <c r="AL6417" s="85"/>
      <c r="AM6417" s="85"/>
    </row>
    <row r="6418" spans="1:39" s="86" customFormat="1" ht="13.25" hidden="1" customHeight="1" x14ac:dyDescent="0.3">
      <c r="A6418" s="89" t="s">
        <v>3794</v>
      </c>
      <c r="B6418" s="86" t="s">
        <v>35</v>
      </c>
      <c r="C6418" s="86" t="s">
        <v>47</v>
      </c>
      <c r="D6418" s="86" t="s">
        <v>63</v>
      </c>
      <c r="E6418" s="86" t="s">
        <v>131</v>
      </c>
      <c r="F6418" s="86" t="s">
        <v>131</v>
      </c>
      <c r="G6418" s="86" t="s">
        <v>131</v>
      </c>
      <c r="H6418" s="144">
        <v>229</v>
      </c>
      <c r="I6418" s="86" t="s">
        <v>3356</v>
      </c>
      <c r="J6418" s="47" t="s">
        <v>3326</v>
      </c>
      <c r="K6418" s="47" t="str">
        <f t="shared" si="989"/>
        <v>巨量引擎-一类平台/电商</v>
      </c>
      <c r="L6418" s="47" t="s">
        <v>35</v>
      </c>
      <c r="N6418" s="86" t="s">
        <v>3718</v>
      </c>
      <c r="O6418" s="47" t="s">
        <v>45</v>
      </c>
      <c r="P6418" s="47" t="s">
        <v>41</v>
      </c>
      <c r="Q6418" s="14">
        <v>0</v>
      </c>
      <c r="R6418" s="143"/>
      <c r="S6418" s="47"/>
      <c r="T6418" s="6">
        <v>10209.099999999627</v>
      </c>
      <c r="U6418" s="6">
        <v>356000</v>
      </c>
      <c r="V6418" s="6">
        <v>356996.90999999963</v>
      </c>
      <c r="W6418" s="6">
        <v>0</v>
      </c>
      <c r="X6418" s="6">
        <f t="shared" si="991"/>
        <v>356996.90999999963</v>
      </c>
      <c r="Y6418" s="13">
        <f t="shared" si="995"/>
        <v>0</v>
      </c>
      <c r="Z6418" s="66">
        <v>0</v>
      </c>
      <c r="AA6418" s="6">
        <v>0</v>
      </c>
      <c r="AB6418" s="4">
        <f t="shared" si="996"/>
        <v>356996.90999999963</v>
      </c>
      <c r="AC6418" s="6">
        <f t="shared" si="994"/>
        <v>0</v>
      </c>
      <c r="AD6418" s="6">
        <f t="shared" si="992"/>
        <v>356996.90999999963</v>
      </c>
      <c r="AE6418" s="14">
        <v>0.06</v>
      </c>
      <c r="AF6418" s="6">
        <f t="shared" si="987"/>
        <v>21419.814599999976</v>
      </c>
      <c r="AG6418" s="14">
        <v>0</v>
      </c>
      <c r="AH6418" s="64">
        <f t="shared" si="993"/>
        <v>356996.90999999963</v>
      </c>
      <c r="AJ6418" s="126" t="e">
        <v>#N/A</v>
      </c>
      <c r="AK6418" s="80">
        <f t="shared" si="997"/>
        <v>0</v>
      </c>
      <c r="AL6418" s="85"/>
      <c r="AM6418" s="85"/>
    </row>
    <row r="6419" spans="1:39" s="86" customFormat="1" ht="13.25" hidden="1" customHeight="1" x14ac:dyDescent="0.3">
      <c r="A6419" s="89" t="s">
        <v>3794</v>
      </c>
      <c r="B6419" s="86" t="s">
        <v>35</v>
      </c>
      <c r="C6419" s="86" t="s">
        <v>144</v>
      </c>
      <c r="D6419" s="86" t="s">
        <v>145</v>
      </c>
      <c r="E6419" s="86" t="s">
        <v>146</v>
      </c>
      <c r="F6419" s="86" t="s">
        <v>146</v>
      </c>
      <c r="G6419" s="86" t="s">
        <v>146</v>
      </c>
      <c r="H6419" s="144">
        <v>229</v>
      </c>
      <c r="I6419" s="86" t="s">
        <v>3356</v>
      </c>
      <c r="J6419" s="47" t="s">
        <v>3326</v>
      </c>
      <c r="K6419" s="47" t="str">
        <f t="shared" si="989"/>
        <v>巨量引擎-三类</v>
      </c>
      <c r="L6419" s="47" t="s">
        <v>35</v>
      </c>
      <c r="N6419" s="86" t="s">
        <v>3712</v>
      </c>
      <c r="O6419" s="47" t="s">
        <v>45</v>
      </c>
      <c r="P6419" s="47" t="s">
        <v>41</v>
      </c>
      <c r="Q6419" s="14">
        <v>0</v>
      </c>
      <c r="R6419" s="143"/>
      <c r="S6419" s="47"/>
      <c r="T6419" s="6">
        <v>956688.85000000009</v>
      </c>
      <c r="U6419" s="6">
        <v>2940000</v>
      </c>
      <c r="V6419" s="6">
        <v>2699964.7899999996</v>
      </c>
      <c r="W6419" s="6">
        <f t="shared" si="990"/>
        <v>1196724.0600000005</v>
      </c>
      <c r="X6419" s="6">
        <f t="shared" si="991"/>
        <v>2699964.7899999996</v>
      </c>
      <c r="Y6419" s="13">
        <f t="shared" si="995"/>
        <v>0</v>
      </c>
      <c r="Z6419" s="66">
        <v>0</v>
      </c>
      <c r="AA6419" s="6">
        <v>0</v>
      </c>
      <c r="AB6419" s="4">
        <f t="shared" si="996"/>
        <v>2699964.7899999996</v>
      </c>
      <c r="AC6419" s="6">
        <f t="shared" si="994"/>
        <v>0</v>
      </c>
      <c r="AD6419" s="6">
        <f t="shared" si="992"/>
        <v>2699964.7899999996</v>
      </c>
      <c r="AE6419" s="14">
        <v>0.06</v>
      </c>
      <c r="AF6419" s="6">
        <f t="shared" si="987"/>
        <v>161997.88739999998</v>
      </c>
      <c r="AG6419" s="14">
        <v>0</v>
      </c>
      <c r="AH6419" s="64">
        <f t="shared" si="993"/>
        <v>2699964.7899999996</v>
      </c>
      <c r="AJ6419" s="126" t="e">
        <v>#N/A</v>
      </c>
      <c r="AK6419" s="80">
        <f t="shared" si="997"/>
        <v>0</v>
      </c>
      <c r="AL6419" s="85"/>
      <c r="AM6419" s="85"/>
    </row>
    <row r="6420" spans="1:39" s="86" customFormat="1" ht="13.25" hidden="1" customHeight="1" x14ac:dyDescent="0.3">
      <c r="A6420" s="89" t="s">
        <v>3794</v>
      </c>
      <c r="B6420" s="86" t="s">
        <v>35</v>
      </c>
      <c r="C6420" s="86" t="s">
        <v>144</v>
      </c>
      <c r="D6420" s="86" t="s">
        <v>145</v>
      </c>
      <c r="E6420" s="86" t="s">
        <v>3615</v>
      </c>
      <c r="F6420" s="86" t="s">
        <v>3615</v>
      </c>
      <c r="G6420" s="86" t="s">
        <v>3615</v>
      </c>
      <c r="H6420" s="144">
        <v>229</v>
      </c>
      <c r="I6420" s="86" t="s">
        <v>3356</v>
      </c>
      <c r="J6420" s="47" t="s">
        <v>3326</v>
      </c>
      <c r="K6420" s="47" t="str">
        <f t="shared" si="989"/>
        <v>巨量引擎-一类</v>
      </c>
      <c r="L6420" s="47" t="s">
        <v>35</v>
      </c>
      <c r="N6420" s="86" t="s">
        <v>3707</v>
      </c>
      <c r="O6420" s="47" t="s">
        <v>45</v>
      </c>
      <c r="P6420" s="47" t="s">
        <v>41</v>
      </c>
      <c r="Q6420" s="14">
        <v>0</v>
      </c>
      <c r="R6420" s="143"/>
      <c r="S6420" s="47"/>
      <c r="T6420" s="6">
        <v>275813.86</v>
      </c>
      <c r="U6420" s="6">
        <v>50000</v>
      </c>
      <c r="V6420" s="6">
        <v>15814.369999999999</v>
      </c>
      <c r="W6420" s="6">
        <f t="shared" si="990"/>
        <v>309999.49</v>
      </c>
      <c r="X6420" s="6">
        <f t="shared" si="991"/>
        <v>15814.369999999999</v>
      </c>
      <c r="Y6420" s="13">
        <f t="shared" si="995"/>
        <v>0</v>
      </c>
      <c r="Z6420" s="66">
        <v>0</v>
      </c>
      <c r="AA6420" s="6">
        <v>0</v>
      </c>
      <c r="AB6420" s="4">
        <f t="shared" si="996"/>
        <v>15814.369999999999</v>
      </c>
      <c r="AC6420" s="6">
        <f t="shared" si="994"/>
        <v>0</v>
      </c>
      <c r="AD6420" s="6">
        <f t="shared" si="992"/>
        <v>15814.369999999999</v>
      </c>
      <c r="AE6420" s="14">
        <v>0.06</v>
      </c>
      <c r="AF6420" s="6">
        <f t="shared" si="987"/>
        <v>948.86219999999992</v>
      </c>
      <c r="AG6420" s="14">
        <v>0</v>
      </c>
      <c r="AH6420" s="64">
        <f t="shared" si="993"/>
        <v>15814.369999999999</v>
      </c>
      <c r="AJ6420" s="126" t="e">
        <v>#N/A</v>
      </c>
      <c r="AK6420" s="80">
        <f t="shared" si="997"/>
        <v>0</v>
      </c>
      <c r="AL6420" s="85"/>
      <c r="AM6420" s="85"/>
    </row>
    <row r="6421" spans="1:39" s="86" customFormat="1" ht="13.25" hidden="1" customHeight="1" x14ac:dyDescent="0.3">
      <c r="A6421" s="89" t="s">
        <v>3794</v>
      </c>
      <c r="B6421" s="86" t="s">
        <v>35</v>
      </c>
      <c r="C6421" s="86" t="s">
        <v>144</v>
      </c>
      <c r="D6421" s="86" t="s">
        <v>145</v>
      </c>
      <c r="E6421" s="86" t="s">
        <v>147</v>
      </c>
      <c r="F6421" s="86" t="s">
        <v>148</v>
      </c>
      <c r="G6421" s="86" t="s">
        <v>147</v>
      </c>
      <c r="H6421" s="144">
        <v>229</v>
      </c>
      <c r="I6421" s="86" t="s">
        <v>3356</v>
      </c>
      <c r="J6421" s="47" t="s">
        <v>3326</v>
      </c>
      <c r="K6421" s="47" t="str">
        <f t="shared" si="989"/>
        <v>巨量引擎-一类</v>
      </c>
      <c r="L6421" s="47" t="s">
        <v>35</v>
      </c>
      <c r="N6421" s="86" t="s">
        <v>3707</v>
      </c>
      <c r="O6421" s="47" t="s">
        <v>45</v>
      </c>
      <c r="P6421" s="47" t="s">
        <v>41</v>
      </c>
      <c r="Q6421" s="14">
        <v>0</v>
      </c>
      <c r="R6421" s="143"/>
      <c r="S6421" s="47"/>
      <c r="T6421" s="6">
        <v>2662308.4400000023</v>
      </c>
      <c r="U6421" s="6">
        <v>8000000</v>
      </c>
      <c r="V6421" s="6">
        <v>6821894</v>
      </c>
      <c r="W6421" s="6">
        <f t="shared" si="990"/>
        <v>3840414.4400000013</v>
      </c>
      <c r="X6421" s="6">
        <f t="shared" si="991"/>
        <v>6821894</v>
      </c>
      <c r="Y6421" s="13">
        <f t="shared" si="995"/>
        <v>0</v>
      </c>
      <c r="Z6421" s="66">
        <v>0</v>
      </c>
      <c r="AA6421" s="6">
        <v>0</v>
      </c>
      <c r="AB6421" s="4">
        <f t="shared" si="996"/>
        <v>6821894</v>
      </c>
      <c r="AC6421" s="6">
        <f t="shared" si="994"/>
        <v>0</v>
      </c>
      <c r="AD6421" s="6">
        <f t="shared" si="992"/>
        <v>6821894</v>
      </c>
      <c r="AE6421" s="14">
        <v>0.06</v>
      </c>
      <c r="AF6421" s="6">
        <f t="shared" si="987"/>
        <v>409313.64</v>
      </c>
      <c r="AG6421" s="14">
        <v>0</v>
      </c>
      <c r="AH6421" s="64">
        <f t="shared" si="993"/>
        <v>6821894</v>
      </c>
      <c r="AJ6421" s="126" t="e">
        <v>#N/A</v>
      </c>
      <c r="AK6421" s="80">
        <f t="shared" si="997"/>
        <v>0</v>
      </c>
      <c r="AL6421" s="85"/>
      <c r="AM6421" s="85"/>
    </row>
    <row r="6422" spans="1:39" s="86" customFormat="1" ht="13.25" hidden="1" customHeight="1" x14ac:dyDescent="0.3">
      <c r="A6422" s="89" t="s">
        <v>3794</v>
      </c>
      <c r="B6422" s="86" t="s">
        <v>35</v>
      </c>
      <c r="C6422" s="86" t="s">
        <v>144</v>
      </c>
      <c r="D6422" s="86" t="s">
        <v>145</v>
      </c>
      <c r="E6422" s="86" t="s">
        <v>149</v>
      </c>
      <c r="F6422" s="86" t="s">
        <v>149</v>
      </c>
      <c r="G6422" s="86" t="s">
        <v>149</v>
      </c>
      <c r="H6422" s="143">
        <v>229</v>
      </c>
      <c r="I6422" s="86" t="s">
        <v>3356</v>
      </c>
      <c r="J6422" s="47" t="s">
        <v>3326</v>
      </c>
      <c r="K6422" s="47">
        <f t="shared" si="989"/>
        <v>0</v>
      </c>
      <c r="L6422" s="47" t="s">
        <v>35</v>
      </c>
      <c r="O6422" s="47" t="s">
        <v>45</v>
      </c>
      <c r="P6422" s="47" t="s">
        <v>41</v>
      </c>
      <c r="Q6422" s="14">
        <v>0</v>
      </c>
      <c r="R6422" s="143"/>
      <c r="S6422" s="47"/>
      <c r="T6422" s="6">
        <v>100000</v>
      </c>
      <c r="U6422" s="6">
        <v>-72603.19</v>
      </c>
      <c r="V6422" s="6">
        <v>0</v>
      </c>
      <c r="W6422" s="6">
        <f t="shared" si="990"/>
        <v>27396.809999999998</v>
      </c>
      <c r="X6422" s="6">
        <f t="shared" si="991"/>
        <v>0</v>
      </c>
      <c r="Y6422" s="13">
        <f t="shared" si="995"/>
        <v>0</v>
      </c>
      <c r="Z6422" s="66">
        <v>0</v>
      </c>
      <c r="AA6422" s="6">
        <v>0</v>
      </c>
      <c r="AB6422" s="4">
        <f t="shared" si="996"/>
        <v>0</v>
      </c>
      <c r="AC6422" s="6">
        <f t="shared" si="994"/>
        <v>0</v>
      </c>
      <c r="AD6422" s="6">
        <f t="shared" si="992"/>
        <v>0</v>
      </c>
      <c r="AE6422" s="14">
        <v>0.06</v>
      </c>
      <c r="AF6422" s="6">
        <f t="shared" si="987"/>
        <v>0</v>
      </c>
      <c r="AG6422" s="14">
        <v>0</v>
      </c>
      <c r="AH6422" s="64">
        <f t="shared" si="993"/>
        <v>0</v>
      </c>
      <c r="AJ6422" s="126" t="e">
        <v>#N/A</v>
      </c>
      <c r="AK6422" s="80">
        <f t="shared" si="997"/>
        <v>0</v>
      </c>
      <c r="AL6422" s="85"/>
      <c r="AM6422" s="85"/>
    </row>
    <row r="6423" spans="1:39" s="86" customFormat="1" ht="13.25" hidden="1" customHeight="1" x14ac:dyDescent="0.3">
      <c r="A6423" s="89" t="s">
        <v>3794</v>
      </c>
      <c r="B6423" s="86" t="s">
        <v>35</v>
      </c>
      <c r="C6423" s="86" t="s">
        <v>144</v>
      </c>
      <c r="D6423" s="86" t="s">
        <v>145</v>
      </c>
      <c r="E6423" s="86" t="s">
        <v>240</v>
      </c>
      <c r="F6423" s="86" t="s">
        <v>240</v>
      </c>
      <c r="G6423" s="86" t="s">
        <v>240</v>
      </c>
      <c r="H6423" s="143">
        <v>229</v>
      </c>
      <c r="I6423" s="86" t="s">
        <v>3356</v>
      </c>
      <c r="J6423" s="47" t="s">
        <v>3326</v>
      </c>
      <c r="K6423" s="47">
        <f t="shared" si="989"/>
        <v>0</v>
      </c>
      <c r="L6423" s="47" t="s">
        <v>35</v>
      </c>
      <c r="O6423" s="47" t="s">
        <v>45</v>
      </c>
      <c r="P6423" s="47" t="s">
        <v>41</v>
      </c>
      <c r="Q6423" s="14">
        <v>0</v>
      </c>
      <c r="R6423" s="143"/>
      <c r="S6423" s="47"/>
      <c r="T6423" s="6">
        <v>132865.17000000016</v>
      </c>
      <c r="U6423" s="6">
        <v>-132865.17000000001</v>
      </c>
      <c r="V6423" s="6">
        <v>0</v>
      </c>
      <c r="W6423" s="6">
        <f t="shared" si="990"/>
        <v>1.4551915228366852E-10</v>
      </c>
      <c r="X6423" s="6">
        <f t="shared" si="991"/>
        <v>0</v>
      </c>
      <c r="Y6423" s="13">
        <f t="shared" si="995"/>
        <v>0</v>
      </c>
      <c r="Z6423" s="66">
        <v>0</v>
      </c>
      <c r="AA6423" s="6">
        <v>0</v>
      </c>
      <c r="AB6423" s="4">
        <f t="shared" si="996"/>
        <v>0</v>
      </c>
      <c r="AC6423" s="6">
        <f t="shared" si="994"/>
        <v>0</v>
      </c>
      <c r="AD6423" s="6">
        <f t="shared" si="992"/>
        <v>0</v>
      </c>
      <c r="AE6423" s="14">
        <v>0.06</v>
      </c>
      <c r="AF6423" s="6">
        <f t="shared" si="987"/>
        <v>0</v>
      </c>
      <c r="AG6423" s="14">
        <v>0</v>
      </c>
      <c r="AH6423" s="64">
        <f t="shared" si="993"/>
        <v>0</v>
      </c>
      <c r="AJ6423" s="126" t="e">
        <v>#N/A</v>
      </c>
      <c r="AK6423" s="80">
        <f t="shared" si="997"/>
        <v>0</v>
      </c>
      <c r="AL6423" s="85"/>
      <c r="AM6423" s="85"/>
    </row>
    <row r="6424" spans="1:39" s="86" customFormat="1" ht="13.25" hidden="1" customHeight="1" x14ac:dyDescent="0.3">
      <c r="A6424" s="89" t="s">
        <v>3794</v>
      </c>
      <c r="B6424" s="86" t="s">
        <v>35</v>
      </c>
      <c r="C6424" s="86" t="s">
        <v>144</v>
      </c>
      <c r="D6424" s="86" t="s">
        <v>145</v>
      </c>
      <c r="E6424" s="86" t="s">
        <v>3125</v>
      </c>
      <c r="F6424" s="86" t="s">
        <v>3932</v>
      </c>
      <c r="G6424" s="86" t="s">
        <v>3125</v>
      </c>
      <c r="H6424" s="144">
        <v>229</v>
      </c>
      <c r="I6424" s="86" t="s">
        <v>3356</v>
      </c>
      <c r="J6424" s="47" t="s">
        <v>3326</v>
      </c>
      <c r="K6424" s="47" t="str">
        <f t="shared" si="989"/>
        <v>巨量引擎-一类</v>
      </c>
      <c r="L6424" s="47" t="s">
        <v>35</v>
      </c>
      <c r="N6424" s="86" t="s">
        <v>3707</v>
      </c>
      <c r="O6424" s="47" t="s">
        <v>45</v>
      </c>
      <c r="P6424" s="47" t="s">
        <v>41</v>
      </c>
      <c r="Q6424" s="14">
        <v>0</v>
      </c>
      <c r="R6424" s="143"/>
      <c r="S6424" s="47"/>
      <c r="T6424" s="6">
        <v>0</v>
      </c>
      <c r="U6424" s="6">
        <v>300000</v>
      </c>
      <c r="V6424" s="6">
        <v>89519.01</v>
      </c>
      <c r="W6424" s="6">
        <f t="shared" si="990"/>
        <v>210480.99</v>
      </c>
      <c r="X6424" s="6">
        <f t="shared" si="991"/>
        <v>89519.01</v>
      </c>
      <c r="Y6424" s="13">
        <f t="shared" si="995"/>
        <v>0</v>
      </c>
      <c r="Z6424" s="66">
        <v>0</v>
      </c>
      <c r="AA6424" s="6">
        <v>0</v>
      </c>
      <c r="AB6424" s="4">
        <f t="shared" si="996"/>
        <v>89519.01</v>
      </c>
      <c r="AC6424" s="6">
        <f t="shared" si="994"/>
        <v>0</v>
      </c>
      <c r="AD6424" s="6">
        <f t="shared" si="992"/>
        <v>89519.01</v>
      </c>
      <c r="AE6424" s="14">
        <v>0.06</v>
      </c>
      <c r="AF6424" s="6">
        <f t="shared" si="987"/>
        <v>5371.1405999999997</v>
      </c>
      <c r="AG6424" s="14">
        <v>0</v>
      </c>
      <c r="AH6424" s="64">
        <f t="shared" si="993"/>
        <v>89519.01</v>
      </c>
      <c r="AJ6424" s="126" t="e">
        <v>#N/A</v>
      </c>
      <c r="AK6424" s="80">
        <f t="shared" si="997"/>
        <v>0</v>
      </c>
      <c r="AL6424" s="85"/>
      <c r="AM6424" s="85"/>
    </row>
    <row r="6425" spans="1:39" s="86" customFormat="1" ht="13.25" hidden="1" customHeight="1" x14ac:dyDescent="0.3">
      <c r="A6425" s="89" t="s">
        <v>3794</v>
      </c>
      <c r="B6425" s="86" t="s">
        <v>35</v>
      </c>
      <c r="C6425" s="86" t="s">
        <v>144</v>
      </c>
      <c r="D6425" s="86" t="s">
        <v>145</v>
      </c>
      <c r="E6425" s="86" t="s">
        <v>150</v>
      </c>
      <c r="F6425" s="86" t="s">
        <v>151</v>
      </c>
      <c r="G6425" s="86" t="s">
        <v>150</v>
      </c>
      <c r="H6425" s="144">
        <v>229</v>
      </c>
      <c r="I6425" s="86" t="s">
        <v>3356</v>
      </c>
      <c r="J6425" s="47" t="s">
        <v>3326</v>
      </c>
      <c r="K6425" s="47" t="str">
        <f t="shared" si="989"/>
        <v>巨量引擎-三类</v>
      </c>
      <c r="L6425" s="47" t="s">
        <v>35</v>
      </c>
      <c r="N6425" s="86" t="s">
        <v>3712</v>
      </c>
      <c r="O6425" s="47" t="s">
        <v>45</v>
      </c>
      <c r="P6425" s="47" t="s">
        <v>41</v>
      </c>
      <c r="Q6425" s="14">
        <v>0</v>
      </c>
      <c r="R6425" s="143"/>
      <c r="S6425" s="47"/>
      <c r="T6425" s="6">
        <v>6945785.9699999988</v>
      </c>
      <c r="U6425" s="6">
        <v>26550000</v>
      </c>
      <c r="V6425" s="6">
        <v>26455793.569999997</v>
      </c>
      <c r="W6425" s="6">
        <f t="shared" si="990"/>
        <v>7039992.4000000022</v>
      </c>
      <c r="X6425" s="6">
        <f t="shared" si="991"/>
        <v>26455793.569999997</v>
      </c>
      <c r="Y6425" s="13">
        <f t="shared" si="995"/>
        <v>0</v>
      </c>
      <c r="Z6425" s="66">
        <v>0</v>
      </c>
      <c r="AA6425" s="6">
        <v>0</v>
      </c>
      <c r="AB6425" s="4">
        <f t="shared" si="996"/>
        <v>26455793.569999997</v>
      </c>
      <c r="AC6425" s="6">
        <f t="shared" si="994"/>
        <v>0</v>
      </c>
      <c r="AD6425" s="6">
        <f t="shared" si="992"/>
        <v>26455793.569999997</v>
      </c>
      <c r="AE6425" s="14">
        <v>0.06</v>
      </c>
      <c r="AF6425" s="6">
        <f t="shared" si="987"/>
        <v>1587347.6141999997</v>
      </c>
      <c r="AG6425" s="14">
        <v>0</v>
      </c>
      <c r="AH6425" s="64">
        <f t="shared" si="993"/>
        <v>26455793.569999997</v>
      </c>
      <c r="AJ6425" s="126" t="e">
        <v>#N/A</v>
      </c>
      <c r="AK6425" s="80">
        <f t="shared" si="997"/>
        <v>0</v>
      </c>
      <c r="AL6425" s="85"/>
      <c r="AM6425" s="85"/>
    </row>
    <row r="6426" spans="1:39" s="86" customFormat="1" ht="13.25" hidden="1" customHeight="1" x14ac:dyDescent="0.3">
      <c r="A6426" s="89" t="s">
        <v>3792</v>
      </c>
      <c r="B6426" s="86" t="s">
        <v>35</v>
      </c>
      <c r="C6426" s="86" t="s">
        <v>144</v>
      </c>
      <c r="D6426" s="86" t="s">
        <v>145</v>
      </c>
      <c r="E6426" s="86" t="s">
        <v>261</v>
      </c>
      <c r="F6426" s="86" t="s">
        <v>262</v>
      </c>
      <c r="G6426" s="86" t="s">
        <v>261</v>
      </c>
      <c r="H6426" s="143">
        <v>229</v>
      </c>
      <c r="I6426" s="86" t="s">
        <v>3356</v>
      </c>
      <c r="J6426" s="47" t="s">
        <v>3326</v>
      </c>
      <c r="K6426" s="47">
        <f t="shared" si="989"/>
        <v>0</v>
      </c>
      <c r="L6426" s="47" t="s">
        <v>35</v>
      </c>
      <c r="O6426" s="47" t="s">
        <v>45</v>
      </c>
      <c r="P6426" s="47" t="s">
        <v>41</v>
      </c>
      <c r="Q6426" s="14">
        <v>0</v>
      </c>
      <c r="R6426" s="143"/>
      <c r="S6426" s="47"/>
      <c r="T6426" s="6">
        <v>8069.9400000008573</v>
      </c>
      <c r="U6426" s="6">
        <v>-8069.94</v>
      </c>
      <c r="V6426" s="6">
        <v>0</v>
      </c>
      <c r="W6426" s="6">
        <f t="shared" si="990"/>
        <v>8.5765350377187133E-10</v>
      </c>
      <c r="X6426" s="6">
        <f t="shared" si="991"/>
        <v>0</v>
      </c>
      <c r="Y6426" s="13">
        <f t="shared" si="995"/>
        <v>0</v>
      </c>
      <c r="Z6426" s="66">
        <v>0</v>
      </c>
      <c r="AA6426" s="6">
        <v>0</v>
      </c>
      <c r="AB6426" s="4">
        <f t="shared" si="996"/>
        <v>0</v>
      </c>
      <c r="AC6426" s="6">
        <f t="shared" si="994"/>
        <v>0</v>
      </c>
      <c r="AD6426" s="6">
        <f t="shared" si="992"/>
        <v>0</v>
      </c>
      <c r="AE6426" s="14">
        <v>0.06</v>
      </c>
      <c r="AF6426" s="6">
        <f t="shared" si="987"/>
        <v>0</v>
      </c>
      <c r="AG6426" s="14">
        <v>0</v>
      </c>
      <c r="AH6426" s="64">
        <f t="shared" si="993"/>
        <v>0</v>
      </c>
      <c r="AJ6426" s="126" t="e">
        <v>#N/A</v>
      </c>
      <c r="AK6426" s="80">
        <f t="shared" si="997"/>
        <v>0</v>
      </c>
      <c r="AL6426" s="85"/>
      <c r="AM6426" s="85"/>
    </row>
    <row r="6427" spans="1:39" s="86" customFormat="1" ht="13.25" hidden="1" customHeight="1" x14ac:dyDescent="0.3">
      <c r="A6427" s="89" t="s">
        <v>3794</v>
      </c>
      <c r="B6427" s="86" t="s">
        <v>35</v>
      </c>
      <c r="C6427" s="86" t="s">
        <v>144</v>
      </c>
      <c r="D6427" s="86" t="s">
        <v>152</v>
      </c>
      <c r="E6427" s="86" t="s">
        <v>153</v>
      </c>
      <c r="F6427" s="86" t="s">
        <v>153</v>
      </c>
      <c r="G6427" s="86" t="s">
        <v>153</v>
      </c>
      <c r="H6427" s="144">
        <v>229</v>
      </c>
      <c r="I6427" s="86" t="s">
        <v>3356</v>
      </c>
      <c r="J6427" s="47" t="s">
        <v>3326</v>
      </c>
      <c r="K6427" s="47" t="str">
        <f t="shared" si="989"/>
        <v>巨量引擎-二类</v>
      </c>
      <c r="L6427" s="47" t="s">
        <v>35</v>
      </c>
      <c r="N6427" s="86" t="s">
        <v>3710</v>
      </c>
      <c r="O6427" s="47" t="s">
        <v>105</v>
      </c>
      <c r="P6427" s="47" t="s">
        <v>46</v>
      </c>
      <c r="Q6427" s="14">
        <v>0.05</v>
      </c>
      <c r="R6427" s="143"/>
      <c r="S6427" s="47"/>
      <c r="T6427" s="6">
        <v>207892.65999999997</v>
      </c>
      <c r="U6427" s="6">
        <v>22500</v>
      </c>
      <c r="V6427" s="6">
        <v>147911.67999999999</v>
      </c>
      <c r="W6427" s="6">
        <f t="shared" si="990"/>
        <v>82480.979999999981</v>
      </c>
      <c r="X6427" s="6">
        <f t="shared" si="991"/>
        <v>140868.26666666666</v>
      </c>
      <c r="Y6427" s="13">
        <f t="shared" si="995"/>
        <v>0</v>
      </c>
      <c r="Z6427" s="66">
        <v>0</v>
      </c>
      <c r="AA6427" s="6">
        <v>0</v>
      </c>
      <c r="AB6427" s="4">
        <f t="shared" si="996"/>
        <v>140868.26666666666</v>
      </c>
      <c r="AC6427" s="6">
        <f t="shared" si="994"/>
        <v>7043.4133333333302</v>
      </c>
      <c r="AD6427" s="6">
        <f t="shared" si="992"/>
        <v>147911.67999999999</v>
      </c>
      <c r="AE6427" s="14">
        <v>0.06</v>
      </c>
      <c r="AF6427" s="6">
        <f t="shared" si="987"/>
        <v>8874.7007999999987</v>
      </c>
      <c r="AG6427" s="14">
        <v>0</v>
      </c>
      <c r="AH6427" s="64">
        <f t="shared" si="993"/>
        <v>147911.67999999999</v>
      </c>
      <c r="AJ6427" s="126" t="e">
        <v>#N/A</v>
      </c>
      <c r="AK6427" s="80">
        <f t="shared" si="997"/>
        <v>0</v>
      </c>
      <c r="AL6427" s="85"/>
      <c r="AM6427" s="85"/>
    </row>
    <row r="6428" spans="1:39" s="86" customFormat="1" ht="13.25" hidden="1" customHeight="1" x14ac:dyDescent="0.3">
      <c r="A6428" s="89" t="s">
        <v>3794</v>
      </c>
      <c r="B6428" s="86" t="s">
        <v>35</v>
      </c>
      <c r="C6428" s="86" t="s">
        <v>144</v>
      </c>
      <c r="D6428" s="86" t="s">
        <v>152</v>
      </c>
      <c r="E6428" s="86" t="s">
        <v>155</v>
      </c>
      <c r="F6428" s="86" t="s">
        <v>155</v>
      </c>
      <c r="G6428" s="86" t="s">
        <v>155</v>
      </c>
      <c r="H6428" s="144">
        <v>229</v>
      </c>
      <c r="I6428" s="86" t="s">
        <v>3356</v>
      </c>
      <c r="J6428" s="47" t="s">
        <v>3326</v>
      </c>
      <c r="K6428" s="47" t="str">
        <f t="shared" si="989"/>
        <v>巨量引擎-一类</v>
      </c>
      <c r="L6428" s="47" t="s">
        <v>35</v>
      </c>
      <c r="N6428" s="86" t="s">
        <v>3933</v>
      </c>
      <c r="O6428" s="47" t="s">
        <v>45</v>
      </c>
      <c r="P6428" s="47" t="s">
        <v>46</v>
      </c>
      <c r="Q6428" s="14">
        <v>0.03</v>
      </c>
      <c r="R6428" s="143"/>
      <c r="S6428" s="47"/>
      <c r="T6428" s="6">
        <v>0</v>
      </c>
      <c r="U6428" s="6">
        <v>-6099.44</v>
      </c>
      <c r="V6428" s="6">
        <v>-6099.44</v>
      </c>
      <c r="W6428" s="6">
        <f t="shared" si="990"/>
        <v>0</v>
      </c>
      <c r="X6428" s="6">
        <f t="shared" si="991"/>
        <v>-5921.7864077669901</v>
      </c>
      <c r="Y6428" s="13">
        <f t="shared" si="995"/>
        <v>177.65359223300948</v>
      </c>
      <c r="Z6428" s="66">
        <v>0</v>
      </c>
      <c r="AA6428" s="6">
        <v>0</v>
      </c>
      <c r="AB6428" s="4">
        <f t="shared" si="996"/>
        <v>-5921.7864077669901</v>
      </c>
      <c r="AC6428" s="6">
        <f t="shared" si="994"/>
        <v>-177.65359223300948</v>
      </c>
      <c r="AD6428" s="6">
        <f t="shared" si="992"/>
        <v>-6099.44</v>
      </c>
      <c r="AE6428" s="14">
        <v>0.06</v>
      </c>
      <c r="AF6428" s="6">
        <f t="shared" si="987"/>
        <v>-365.96639999999996</v>
      </c>
      <c r="AG6428" s="14">
        <v>0</v>
      </c>
      <c r="AH6428" s="64">
        <f t="shared" si="993"/>
        <v>-6099.44</v>
      </c>
      <c r="AJ6428" s="126" t="e">
        <v>#N/A</v>
      </c>
      <c r="AK6428" s="80">
        <f t="shared" si="997"/>
        <v>0</v>
      </c>
      <c r="AL6428" s="85"/>
      <c r="AM6428" s="85"/>
    </row>
    <row r="6429" spans="1:39" s="86" customFormat="1" ht="13.25" hidden="1" customHeight="1" x14ac:dyDescent="0.3">
      <c r="A6429" s="89" t="s">
        <v>3794</v>
      </c>
      <c r="B6429" s="86" t="s">
        <v>35</v>
      </c>
      <c r="C6429" s="86" t="s">
        <v>144</v>
      </c>
      <c r="D6429" s="86" t="s">
        <v>152</v>
      </c>
      <c r="E6429" s="86" t="s">
        <v>155</v>
      </c>
      <c r="F6429" s="86" t="s">
        <v>155</v>
      </c>
      <c r="G6429" s="86" t="s">
        <v>155</v>
      </c>
      <c r="H6429" s="144">
        <v>229</v>
      </c>
      <c r="I6429" s="86" t="s">
        <v>3356</v>
      </c>
      <c r="J6429" s="47" t="s">
        <v>3326</v>
      </c>
      <c r="K6429" s="47" t="str">
        <f t="shared" si="989"/>
        <v>巨量引擎-一类</v>
      </c>
      <c r="L6429" s="47" t="s">
        <v>35</v>
      </c>
      <c r="N6429" s="86" t="s">
        <v>3933</v>
      </c>
      <c r="O6429" s="47" t="s">
        <v>45</v>
      </c>
      <c r="P6429" s="47" t="s">
        <v>41</v>
      </c>
      <c r="Q6429" s="14">
        <v>0</v>
      </c>
      <c r="R6429" s="143"/>
      <c r="S6429" s="47"/>
      <c r="T6429" s="6">
        <v>0</v>
      </c>
      <c r="U6429" s="6">
        <v>-36119.72</v>
      </c>
      <c r="V6429" s="6">
        <v>-36119.72</v>
      </c>
      <c r="W6429" s="6">
        <f t="shared" si="990"/>
        <v>0</v>
      </c>
      <c r="X6429" s="6">
        <f t="shared" si="991"/>
        <v>-36119.72</v>
      </c>
      <c r="Y6429" s="13">
        <f t="shared" si="995"/>
        <v>0</v>
      </c>
      <c r="Z6429" s="66">
        <v>0</v>
      </c>
      <c r="AA6429" s="6">
        <v>0</v>
      </c>
      <c r="AB6429" s="4">
        <f t="shared" si="996"/>
        <v>-36119.72</v>
      </c>
      <c r="AC6429" s="6">
        <f t="shared" si="994"/>
        <v>0</v>
      </c>
      <c r="AD6429" s="6">
        <f t="shared" si="992"/>
        <v>-36119.72</v>
      </c>
      <c r="AE6429" s="14">
        <v>0.06</v>
      </c>
      <c r="AF6429" s="6">
        <f t="shared" si="987"/>
        <v>-2167.1831999999999</v>
      </c>
      <c r="AG6429" s="14">
        <v>0</v>
      </c>
      <c r="AH6429" s="64">
        <f t="shared" si="993"/>
        <v>-36119.72</v>
      </c>
      <c r="AJ6429" s="126" t="e">
        <v>#N/A</v>
      </c>
      <c r="AK6429" s="80">
        <f t="shared" si="997"/>
        <v>0</v>
      </c>
      <c r="AL6429" s="85"/>
      <c r="AM6429" s="85"/>
    </row>
    <row r="6430" spans="1:39" s="86" customFormat="1" ht="13.25" hidden="1" customHeight="1" x14ac:dyDescent="0.3">
      <c r="A6430" s="89" t="s">
        <v>3794</v>
      </c>
      <c r="B6430" s="86" t="s">
        <v>35</v>
      </c>
      <c r="C6430" s="86" t="s">
        <v>144</v>
      </c>
      <c r="D6430" s="86" t="s">
        <v>152</v>
      </c>
      <c r="E6430" s="86" t="s">
        <v>157</v>
      </c>
      <c r="F6430" s="86" t="s">
        <v>157</v>
      </c>
      <c r="G6430" s="86" t="s">
        <v>157</v>
      </c>
      <c r="H6430" s="144">
        <v>229</v>
      </c>
      <c r="I6430" s="86" t="s">
        <v>3356</v>
      </c>
      <c r="J6430" s="47" t="s">
        <v>3326</v>
      </c>
      <c r="K6430" s="47" t="str">
        <f t="shared" si="989"/>
        <v>巨量引擎-三类</v>
      </c>
      <c r="L6430" s="47" t="s">
        <v>35</v>
      </c>
      <c r="N6430" s="86" t="s">
        <v>3712</v>
      </c>
      <c r="O6430" s="47" t="s">
        <v>45</v>
      </c>
      <c r="P6430" s="47" t="s">
        <v>41</v>
      </c>
      <c r="Q6430" s="14">
        <v>0</v>
      </c>
      <c r="R6430" s="143"/>
      <c r="S6430" s="47"/>
      <c r="T6430" s="6">
        <v>721225.55000000075</v>
      </c>
      <c r="U6430" s="6">
        <v>1480000</v>
      </c>
      <c r="V6430" s="6">
        <v>1600798.87</v>
      </c>
      <c r="W6430" s="6">
        <f t="shared" si="990"/>
        <v>600426.68000000063</v>
      </c>
      <c r="X6430" s="6">
        <f t="shared" si="991"/>
        <v>1600798.87</v>
      </c>
      <c r="Y6430" s="13">
        <f t="shared" si="995"/>
        <v>0</v>
      </c>
      <c r="Z6430" s="66">
        <v>0</v>
      </c>
      <c r="AA6430" s="6">
        <v>0</v>
      </c>
      <c r="AB6430" s="4">
        <f t="shared" si="996"/>
        <v>1600798.87</v>
      </c>
      <c r="AC6430" s="6">
        <f t="shared" si="994"/>
        <v>0</v>
      </c>
      <c r="AD6430" s="6">
        <f t="shared" si="992"/>
        <v>1600798.87</v>
      </c>
      <c r="AE6430" s="14">
        <v>0.06</v>
      </c>
      <c r="AF6430" s="6">
        <f t="shared" si="987"/>
        <v>96047.93220000001</v>
      </c>
      <c r="AG6430" s="14">
        <v>0</v>
      </c>
      <c r="AH6430" s="64">
        <f t="shared" si="993"/>
        <v>1600798.87</v>
      </c>
      <c r="AJ6430" s="126" t="e">
        <v>#N/A</v>
      </c>
      <c r="AK6430" s="80">
        <f t="shared" si="997"/>
        <v>0</v>
      </c>
      <c r="AL6430" s="85"/>
      <c r="AM6430" s="85"/>
    </row>
    <row r="6431" spans="1:39" s="86" customFormat="1" ht="13.25" hidden="1" customHeight="1" x14ac:dyDescent="0.3">
      <c r="A6431" s="89" t="s">
        <v>3794</v>
      </c>
      <c r="B6431" s="86" t="s">
        <v>35</v>
      </c>
      <c r="C6431" s="86" t="s">
        <v>144</v>
      </c>
      <c r="D6431" s="86" t="s">
        <v>152</v>
      </c>
      <c r="E6431" s="86" t="s">
        <v>159</v>
      </c>
      <c r="F6431" s="86" t="s">
        <v>159</v>
      </c>
      <c r="G6431" s="86" t="s">
        <v>159</v>
      </c>
      <c r="H6431" s="144">
        <v>229</v>
      </c>
      <c r="I6431" s="86" t="s">
        <v>3356</v>
      </c>
      <c r="J6431" s="47" t="s">
        <v>3326</v>
      </c>
      <c r="K6431" s="47" t="str">
        <f t="shared" si="989"/>
        <v>巨量引擎-三类</v>
      </c>
      <c r="L6431" s="47" t="s">
        <v>35</v>
      </c>
      <c r="N6431" s="86" t="s">
        <v>3712</v>
      </c>
      <c r="O6431" s="47" t="s">
        <v>45</v>
      </c>
      <c r="P6431" s="47" t="s">
        <v>41</v>
      </c>
      <c r="Q6431" s="14">
        <v>0</v>
      </c>
      <c r="R6431" s="143"/>
      <c r="S6431" s="47"/>
      <c r="T6431" s="6">
        <v>1862271.1500000022</v>
      </c>
      <c r="U6431" s="6">
        <v>3300000</v>
      </c>
      <c r="V6431" s="6">
        <v>3168034.2499999991</v>
      </c>
      <c r="W6431" s="6">
        <f t="shared" si="990"/>
        <v>1994236.9000000032</v>
      </c>
      <c r="X6431" s="6">
        <f t="shared" si="991"/>
        <v>3168034.2499999991</v>
      </c>
      <c r="Y6431" s="13">
        <f t="shared" si="995"/>
        <v>0</v>
      </c>
      <c r="Z6431" s="66">
        <v>0</v>
      </c>
      <c r="AA6431" s="6">
        <v>0</v>
      </c>
      <c r="AB6431" s="4">
        <f t="shared" si="996"/>
        <v>3168034.2499999991</v>
      </c>
      <c r="AC6431" s="6">
        <f t="shared" si="994"/>
        <v>0</v>
      </c>
      <c r="AD6431" s="6">
        <f t="shared" si="992"/>
        <v>3168034.2499999991</v>
      </c>
      <c r="AE6431" s="14">
        <v>0.06</v>
      </c>
      <c r="AF6431" s="6">
        <f t="shared" si="987"/>
        <v>190082.05499999993</v>
      </c>
      <c r="AG6431" s="14">
        <v>0</v>
      </c>
      <c r="AH6431" s="64">
        <f t="shared" si="993"/>
        <v>3168034.2499999991</v>
      </c>
      <c r="AJ6431" s="126" t="e">
        <v>#N/A</v>
      </c>
      <c r="AK6431" s="80">
        <f t="shared" si="997"/>
        <v>0</v>
      </c>
      <c r="AL6431" s="85"/>
      <c r="AM6431" s="85"/>
    </row>
    <row r="6432" spans="1:39" s="86" customFormat="1" ht="13.25" hidden="1" customHeight="1" x14ac:dyDescent="0.3">
      <c r="A6432" s="89" t="s">
        <v>3794</v>
      </c>
      <c r="B6432" s="86" t="s">
        <v>35</v>
      </c>
      <c r="C6432" s="86" t="s">
        <v>144</v>
      </c>
      <c r="D6432" s="86" t="s">
        <v>152</v>
      </c>
      <c r="E6432" s="86" t="s">
        <v>160</v>
      </c>
      <c r="F6432" s="86" t="s">
        <v>160</v>
      </c>
      <c r="G6432" s="86" t="s">
        <v>160</v>
      </c>
      <c r="H6432" s="143">
        <v>229</v>
      </c>
      <c r="I6432" s="86" t="s">
        <v>3356</v>
      </c>
      <c r="J6432" s="47" t="s">
        <v>3326</v>
      </c>
      <c r="K6432" s="47">
        <f t="shared" si="989"/>
        <v>0</v>
      </c>
      <c r="L6432" s="47" t="s">
        <v>35</v>
      </c>
      <c r="O6432" s="47" t="s">
        <v>45</v>
      </c>
      <c r="P6432" s="47" t="s">
        <v>41</v>
      </c>
      <c r="Q6432" s="14">
        <v>0</v>
      </c>
      <c r="R6432" s="143"/>
      <c r="S6432" s="47"/>
      <c r="T6432" s="6">
        <v>69393.119999999908</v>
      </c>
      <c r="U6432" s="6">
        <v>-69393.119999999995</v>
      </c>
      <c r="V6432" s="6">
        <v>0</v>
      </c>
      <c r="W6432" s="6">
        <f t="shared" si="990"/>
        <v>-8.7311491370201111E-11</v>
      </c>
      <c r="X6432" s="6">
        <f t="shared" si="991"/>
        <v>0</v>
      </c>
      <c r="Y6432" s="13">
        <f t="shared" si="995"/>
        <v>0</v>
      </c>
      <c r="Z6432" s="66">
        <v>0</v>
      </c>
      <c r="AA6432" s="6">
        <v>0</v>
      </c>
      <c r="AB6432" s="4">
        <f t="shared" si="996"/>
        <v>0</v>
      </c>
      <c r="AC6432" s="6">
        <f t="shared" si="994"/>
        <v>0</v>
      </c>
      <c r="AD6432" s="6">
        <f t="shared" si="992"/>
        <v>0</v>
      </c>
      <c r="AE6432" s="14">
        <v>0.06</v>
      </c>
      <c r="AF6432" s="6">
        <f t="shared" si="987"/>
        <v>0</v>
      </c>
      <c r="AG6432" s="14">
        <v>0</v>
      </c>
      <c r="AH6432" s="64">
        <f t="shared" si="993"/>
        <v>0</v>
      </c>
      <c r="AJ6432" s="126" t="e">
        <v>#N/A</v>
      </c>
      <c r="AK6432" s="80">
        <f t="shared" si="997"/>
        <v>0</v>
      </c>
      <c r="AL6432" s="85"/>
      <c r="AM6432" s="85"/>
    </row>
    <row r="6433" spans="1:39" s="86" customFormat="1" ht="13.25" hidden="1" customHeight="1" x14ac:dyDescent="0.3">
      <c r="A6433" s="89" t="s">
        <v>3794</v>
      </c>
      <c r="B6433" s="86" t="s">
        <v>35</v>
      </c>
      <c r="C6433" s="86" t="s">
        <v>144</v>
      </c>
      <c r="D6433" s="86" t="s">
        <v>161</v>
      </c>
      <c r="E6433" s="86" t="s">
        <v>162</v>
      </c>
      <c r="F6433" s="86" t="s">
        <v>162</v>
      </c>
      <c r="G6433" s="86" t="s">
        <v>162</v>
      </c>
      <c r="H6433" s="144">
        <v>229</v>
      </c>
      <c r="I6433" s="86" t="s">
        <v>3356</v>
      </c>
      <c r="J6433" s="47" t="s">
        <v>3326</v>
      </c>
      <c r="K6433" s="47" t="str">
        <f t="shared" si="989"/>
        <v>巨量引擎-一类</v>
      </c>
      <c r="L6433" s="47" t="s">
        <v>35</v>
      </c>
      <c r="N6433" s="86" t="s">
        <v>3707</v>
      </c>
      <c r="O6433" s="47" t="s">
        <v>45</v>
      </c>
      <c r="P6433" s="47" t="s">
        <v>41</v>
      </c>
      <c r="Q6433" s="14">
        <v>0</v>
      </c>
      <c r="R6433" s="143"/>
      <c r="S6433" s="47"/>
      <c r="T6433" s="6">
        <v>129772.34999999995</v>
      </c>
      <c r="U6433" s="6">
        <v>300000</v>
      </c>
      <c r="V6433" s="6">
        <v>241975.72</v>
      </c>
      <c r="W6433" s="6">
        <f t="shared" si="990"/>
        <v>187796.62999999998</v>
      </c>
      <c r="X6433" s="6">
        <f t="shared" si="991"/>
        <v>241975.72</v>
      </c>
      <c r="Y6433" s="13">
        <f t="shared" si="995"/>
        <v>0</v>
      </c>
      <c r="Z6433" s="66">
        <v>0</v>
      </c>
      <c r="AA6433" s="6">
        <v>0</v>
      </c>
      <c r="AB6433" s="4">
        <f t="shared" si="996"/>
        <v>241975.72</v>
      </c>
      <c r="AC6433" s="6">
        <f t="shared" si="994"/>
        <v>0</v>
      </c>
      <c r="AD6433" s="6">
        <f t="shared" si="992"/>
        <v>241975.72</v>
      </c>
      <c r="AE6433" s="14">
        <v>0.06</v>
      </c>
      <c r="AF6433" s="6">
        <f t="shared" si="987"/>
        <v>14518.5432</v>
      </c>
      <c r="AG6433" s="14">
        <v>0</v>
      </c>
      <c r="AH6433" s="64">
        <f t="shared" si="993"/>
        <v>241975.72</v>
      </c>
      <c r="AJ6433" s="126" t="e">
        <v>#N/A</v>
      </c>
      <c r="AK6433" s="80">
        <f t="shared" si="997"/>
        <v>0</v>
      </c>
      <c r="AL6433" s="85"/>
      <c r="AM6433" s="85"/>
    </row>
    <row r="6434" spans="1:39" s="86" customFormat="1" ht="13.25" hidden="1" customHeight="1" x14ac:dyDescent="0.3">
      <c r="A6434" s="89" t="s">
        <v>3794</v>
      </c>
      <c r="B6434" s="86" t="s">
        <v>35</v>
      </c>
      <c r="C6434" s="86" t="s">
        <v>144</v>
      </c>
      <c r="D6434" s="86" t="s">
        <v>161</v>
      </c>
      <c r="E6434" s="86" t="s">
        <v>163</v>
      </c>
      <c r="F6434" s="86" t="s">
        <v>163</v>
      </c>
      <c r="G6434" s="86" t="s">
        <v>163</v>
      </c>
      <c r="H6434" s="144">
        <v>229</v>
      </c>
      <c r="I6434" s="86" t="s">
        <v>3356</v>
      </c>
      <c r="J6434" s="47" t="s">
        <v>3326</v>
      </c>
      <c r="K6434" s="47" t="str">
        <f t="shared" si="989"/>
        <v>巨量引擎-三类</v>
      </c>
      <c r="L6434" s="47" t="s">
        <v>35</v>
      </c>
      <c r="N6434" s="86" t="s">
        <v>3712</v>
      </c>
      <c r="O6434" s="47" t="s">
        <v>45</v>
      </c>
      <c r="P6434" s="47" t="s">
        <v>41</v>
      </c>
      <c r="Q6434" s="14">
        <v>0</v>
      </c>
      <c r="R6434" s="143"/>
      <c r="S6434" s="47"/>
      <c r="T6434" s="6">
        <v>4089559.810000001</v>
      </c>
      <c r="U6434" s="6">
        <v>0</v>
      </c>
      <c r="V6434" s="6">
        <v>3159022.31</v>
      </c>
      <c r="W6434" s="6">
        <f t="shared" si="990"/>
        <v>930537.50000000093</v>
      </c>
      <c r="X6434" s="6">
        <f t="shared" si="991"/>
        <v>3159022.31</v>
      </c>
      <c r="Y6434" s="13">
        <f t="shared" si="995"/>
        <v>0</v>
      </c>
      <c r="Z6434" s="66">
        <v>0</v>
      </c>
      <c r="AA6434" s="6">
        <v>0</v>
      </c>
      <c r="AB6434" s="4">
        <f t="shared" si="996"/>
        <v>3159022.31</v>
      </c>
      <c r="AC6434" s="6">
        <f t="shared" si="994"/>
        <v>0</v>
      </c>
      <c r="AD6434" s="6">
        <f t="shared" si="992"/>
        <v>3159022.31</v>
      </c>
      <c r="AE6434" s="14">
        <v>0.06</v>
      </c>
      <c r="AF6434" s="6">
        <f t="shared" si="987"/>
        <v>189541.33859999999</v>
      </c>
      <c r="AG6434" s="14">
        <v>0</v>
      </c>
      <c r="AH6434" s="64">
        <f t="shared" si="993"/>
        <v>3159022.31</v>
      </c>
      <c r="AJ6434" s="126" t="e">
        <v>#N/A</v>
      </c>
      <c r="AK6434" s="80">
        <f t="shared" si="997"/>
        <v>0</v>
      </c>
      <c r="AL6434" s="85"/>
      <c r="AM6434" s="85"/>
    </row>
    <row r="6435" spans="1:39" s="86" customFormat="1" ht="13.25" hidden="1" customHeight="1" x14ac:dyDescent="0.3">
      <c r="A6435" s="89" t="s">
        <v>3794</v>
      </c>
      <c r="B6435" s="86" t="s">
        <v>35</v>
      </c>
      <c r="C6435" s="86" t="s">
        <v>164</v>
      </c>
      <c r="D6435" s="86" t="s">
        <v>3407</v>
      </c>
      <c r="E6435" s="86" t="s">
        <v>182</v>
      </c>
      <c r="F6435" s="86" t="s">
        <v>183</v>
      </c>
      <c r="G6435" s="86" t="s">
        <v>182</v>
      </c>
      <c r="H6435" s="144">
        <v>229</v>
      </c>
      <c r="I6435" s="86" t="s">
        <v>3356</v>
      </c>
      <c r="J6435" s="47" t="s">
        <v>3326</v>
      </c>
      <c r="K6435" s="47" t="str">
        <f t="shared" si="989"/>
        <v>巨量引擎-三类</v>
      </c>
      <c r="L6435" s="47" t="s">
        <v>35</v>
      </c>
      <c r="N6435" s="86" t="s">
        <v>3712</v>
      </c>
      <c r="O6435" s="47" t="s">
        <v>45</v>
      </c>
      <c r="P6435" s="47" t="s">
        <v>41</v>
      </c>
      <c r="Q6435" s="14">
        <v>0</v>
      </c>
      <c r="R6435" s="143"/>
      <c r="S6435" s="47"/>
      <c r="T6435" s="6">
        <v>132019.69999999972</v>
      </c>
      <c r="U6435" s="6">
        <v>165000</v>
      </c>
      <c r="V6435" s="6">
        <v>198668.36000000002</v>
      </c>
      <c r="W6435" s="6">
        <f t="shared" si="990"/>
        <v>98351.339999999705</v>
      </c>
      <c r="X6435" s="6">
        <f t="shared" si="991"/>
        <v>198668.36000000002</v>
      </c>
      <c r="Y6435" s="13">
        <f t="shared" si="995"/>
        <v>0</v>
      </c>
      <c r="Z6435" s="66">
        <v>0</v>
      </c>
      <c r="AA6435" s="6">
        <v>0</v>
      </c>
      <c r="AB6435" s="4">
        <f t="shared" si="996"/>
        <v>198668.36000000002</v>
      </c>
      <c r="AC6435" s="6">
        <f t="shared" si="994"/>
        <v>0</v>
      </c>
      <c r="AD6435" s="6">
        <f t="shared" si="992"/>
        <v>198668.36000000002</v>
      </c>
      <c r="AE6435" s="14">
        <v>0.06</v>
      </c>
      <c r="AF6435" s="6">
        <f t="shared" si="987"/>
        <v>11920.1016</v>
      </c>
      <c r="AG6435" s="14">
        <v>0</v>
      </c>
      <c r="AH6435" s="64">
        <f t="shared" si="993"/>
        <v>198668.36000000002</v>
      </c>
      <c r="AJ6435" s="126" t="e">
        <v>#N/A</v>
      </c>
      <c r="AK6435" s="80">
        <f t="shared" si="997"/>
        <v>0</v>
      </c>
      <c r="AL6435" s="85"/>
      <c r="AM6435" s="85"/>
    </row>
    <row r="6436" spans="1:39" s="86" customFormat="1" ht="13.25" hidden="1" customHeight="1" x14ac:dyDescent="0.3">
      <c r="A6436" s="89" t="s">
        <v>3794</v>
      </c>
      <c r="B6436" s="86" t="s">
        <v>35</v>
      </c>
      <c r="C6436" s="86" t="s">
        <v>164</v>
      </c>
      <c r="D6436" s="86" t="s">
        <v>305</v>
      </c>
      <c r="E6436" s="86" t="s">
        <v>128</v>
      </c>
      <c r="F6436" s="86" t="s">
        <v>128</v>
      </c>
      <c r="G6436" s="86" t="s">
        <v>128</v>
      </c>
      <c r="H6436" s="144">
        <v>229</v>
      </c>
      <c r="I6436" s="86" t="s">
        <v>3356</v>
      </c>
      <c r="J6436" s="47" t="s">
        <v>3326</v>
      </c>
      <c r="K6436" s="47" t="str">
        <f t="shared" si="989"/>
        <v>巨量引擎-二类</v>
      </c>
      <c r="L6436" s="47" t="s">
        <v>35</v>
      </c>
      <c r="N6436" s="86" t="s">
        <v>3710</v>
      </c>
      <c r="O6436" s="47" t="s">
        <v>45</v>
      </c>
      <c r="P6436" s="47" t="s">
        <v>92</v>
      </c>
      <c r="Q6436" s="14">
        <v>0.99</v>
      </c>
      <c r="R6436" s="143"/>
      <c r="S6436" s="47"/>
      <c r="T6436" s="6">
        <v>2891502.8000000035</v>
      </c>
      <c r="U6436" s="6">
        <v>10289995.460000001</v>
      </c>
      <c r="V6436" s="6">
        <v>8367350.2799999993</v>
      </c>
      <c r="W6436" s="6">
        <f t="shared" si="990"/>
        <v>4814147.980000006</v>
      </c>
      <c r="X6436" s="6">
        <f t="shared" si="991"/>
        <v>8283676.7771999994</v>
      </c>
      <c r="Y6436" s="13">
        <f t="shared" si="995"/>
        <v>0</v>
      </c>
      <c r="Z6436" s="66">
        <v>0</v>
      </c>
      <c r="AA6436" s="6">
        <v>0</v>
      </c>
      <c r="AB6436" s="4">
        <f t="shared" si="996"/>
        <v>8283676.7771999994</v>
      </c>
      <c r="AC6436" s="6">
        <f t="shared" si="994"/>
        <v>83673.5027999999</v>
      </c>
      <c r="AD6436" s="6">
        <f t="shared" si="992"/>
        <v>8367350.2799999993</v>
      </c>
      <c r="AE6436" s="14">
        <v>0.06</v>
      </c>
      <c r="AF6436" s="6">
        <f t="shared" ref="AF6436:AF6499" si="998">AD6436*AE6436</f>
        <v>502041.01679999992</v>
      </c>
      <c r="AG6436" s="14">
        <v>0</v>
      </c>
      <c r="AH6436" s="64">
        <f t="shared" si="993"/>
        <v>8367350.2799999993</v>
      </c>
      <c r="AJ6436" s="126" t="e">
        <v>#N/A</v>
      </c>
      <c r="AK6436" s="80">
        <f t="shared" si="997"/>
        <v>0</v>
      </c>
      <c r="AL6436" s="85"/>
      <c r="AM6436" s="85"/>
    </row>
    <row r="6437" spans="1:39" s="86" customFormat="1" ht="13.25" hidden="1" customHeight="1" x14ac:dyDescent="0.3">
      <c r="A6437" s="89" t="s">
        <v>3792</v>
      </c>
      <c r="B6437" s="86" t="s">
        <v>35</v>
      </c>
      <c r="C6437" s="86" t="s">
        <v>164</v>
      </c>
      <c r="D6437" s="86" t="s">
        <v>305</v>
      </c>
      <c r="E6437" s="86" t="s">
        <v>166</v>
      </c>
      <c r="F6437" s="86" t="s">
        <v>166</v>
      </c>
      <c r="G6437" s="86" t="s">
        <v>166</v>
      </c>
      <c r="H6437" s="144">
        <v>229</v>
      </c>
      <c r="I6437" s="86" t="s">
        <v>3356</v>
      </c>
      <c r="J6437" s="47" t="s">
        <v>3326</v>
      </c>
      <c r="K6437" s="47" t="str">
        <f t="shared" si="989"/>
        <v>巨量引擎-二类</v>
      </c>
      <c r="L6437" s="47" t="s">
        <v>35</v>
      </c>
      <c r="N6437" s="86" t="s">
        <v>3710</v>
      </c>
      <c r="O6437" s="47" t="s">
        <v>45</v>
      </c>
      <c r="P6437" s="47" t="s">
        <v>41</v>
      </c>
      <c r="Q6437" s="14">
        <v>0</v>
      </c>
      <c r="R6437" s="143"/>
      <c r="S6437" s="47"/>
      <c r="T6437" s="6">
        <v>419833.01999999897</v>
      </c>
      <c r="U6437" s="6">
        <v>1112685.7</v>
      </c>
      <c r="V6437" s="6">
        <v>1294216.6400000004</v>
      </c>
      <c r="W6437" s="6">
        <f t="shared" si="990"/>
        <v>238302.07999999844</v>
      </c>
      <c r="X6437" s="6">
        <f t="shared" si="991"/>
        <v>1294216.6400000004</v>
      </c>
      <c r="Y6437" s="13">
        <f t="shared" si="995"/>
        <v>0</v>
      </c>
      <c r="Z6437" s="66">
        <v>0</v>
      </c>
      <c r="AA6437" s="6">
        <v>0</v>
      </c>
      <c r="AB6437" s="4">
        <f t="shared" si="996"/>
        <v>1294216.6400000004</v>
      </c>
      <c r="AC6437" s="6">
        <f t="shared" si="994"/>
        <v>0</v>
      </c>
      <c r="AD6437" s="6">
        <f t="shared" si="992"/>
        <v>1294216.6400000004</v>
      </c>
      <c r="AE6437" s="14">
        <v>0.06</v>
      </c>
      <c r="AF6437" s="6">
        <f t="shared" si="998"/>
        <v>77652.998400000026</v>
      </c>
      <c r="AG6437" s="14">
        <v>0</v>
      </c>
      <c r="AH6437" s="64">
        <f t="shared" si="993"/>
        <v>1294216.6400000004</v>
      </c>
      <c r="AJ6437" s="126" t="e">
        <v>#N/A</v>
      </c>
      <c r="AK6437" s="80">
        <f t="shared" si="997"/>
        <v>0</v>
      </c>
      <c r="AL6437" s="85"/>
      <c r="AM6437" s="85"/>
    </row>
    <row r="6438" spans="1:39" s="86" customFormat="1" ht="13.25" hidden="1" customHeight="1" x14ac:dyDescent="0.3">
      <c r="A6438" s="89" t="s">
        <v>3794</v>
      </c>
      <c r="B6438" s="86" t="s">
        <v>35</v>
      </c>
      <c r="C6438" s="86" t="s">
        <v>164</v>
      </c>
      <c r="D6438" s="86" t="s">
        <v>305</v>
      </c>
      <c r="E6438" s="86" t="s">
        <v>166</v>
      </c>
      <c r="F6438" s="86" t="s">
        <v>245</v>
      </c>
      <c r="G6438" s="86" t="s">
        <v>166</v>
      </c>
      <c r="H6438" s="144">
        <v>229</v>
      </c>
      <c r="I6438" s="86" t="s">
        <v>3356</v>
      </c>
      <c r="J6438" s="47" t="s">
        <v>3326</v>
      </c>
      <c r="K6438" s="47" t="str">
        <f t="shared" si="989"/>
        <v>巨量引擎-二类</v>
      </c>
      <c r="L6438" s="47" t="s">
        <v>35</v>
      </c>
      <c r="N6438" s="86" t="s">
        <v>3710</v>
      </c>
      <c r="O6438" s="47" t="s">
        <v>45</v>
      </c>
      <c r="P6438" s="47" t="s">
        <v>46</v>
      </c>
      <c r="Q6438" s="14">
        <v>0.04</v>
      </c>
      <c r="R6438" s="143"/>
      <c r="S6438" s="47"/>
      <c r="T6438" s="6">
        <v>71722.78</v>
      </c>
      <c r="U6438" s="6">
        <v>224000</v>
      </c>
      <c r="V6438" s="6">
        <v>208948.59</v>
      </c>
      <c r="W6438" s="6">
        <f t="shared" si="990"/>
        <v>86774.190000000031</v>
      </c>
      <c r="X6438" s="6">
        <f t="shared" si="991"/>
        <v>200912.10576923075</v>
      </c>
      <c r="Y6438" s="13">
        <f t="shared" si="995"/>
        <v>0</v>
      </c>
      <c r="Z6438" s="66">
        <v>0</v>
      </c>
      <c r="AA6438" s="6">
        <v>0</v>
      </c>
      <c r="AB6438" s="4">
        <f t="shared" si="996"/>
        <v>200912.10576923075</v>
      </c>
      <c r="AC6438" s="6">
        <f t="shared" si="994"/>
        <v>8036.4842307692452</v>
      </c>
      <c r="AD6438" s="6">
        <f t="shared" si="992"/>
        <v>208948.59</v>
      </c>
      <c r="AE6438" s="14">
        <v>0.06</v>
      </c>
      <c r="AF6438" s="6">
        <f t="shared" si="998"/>
        <v>12536.9154</v>
      </c>
      <c r="AG6438" s="14">
        <v>0</v>
      </c>
      <c r="AH6438" s="64">
        <f t="shared" si="993"/>
        <v>208948.59</v>
      </c>
      <c r="AJ6438" s="126" t="e">
        <v>#N/A</v>
      </c>
      <c r="AK6438" s="80">
        <f t="shared" si="997"/>
        <v>0</v>
      </c>
      <c r="AL6438" s="85"/>
      <c r="AM6438" s="85"/>
    </row>
    <row r="6439" spans="1:39" s="86" customFormat="1" ht="13.25" hidden="1" customHeight="1" x14ac:dyDescent="0.3">
      <c r="A6439" s="89" t="s">
        <v>3794</v>
      </c>
      <c r="B6439" s="86" t="s">
        <v>35</v>
      </c>
      <c r="C6439" s="86" t="s">
        <v>164</v>
      </c>
      <c r="D6439" s="86" t="s">
        <v>305</v>
      </c>
      <c r="E6439" s="86" t="s">
        <v>3934</v>
      </c>
      <c r="F6439" s="86" t="s">
        <v>3935</v>
      </c>
      <c r="G6439" s="86" t="s">
        <v>3934</v>
      </c>
      <c r="H6439" s="144">
        <v>229</v>
      </c>
      <c r="I6439" s="86" t="s">
        <v>3356</v>
      </c>
      <c r="J6439" s="47" t="s">
        <v>3326</v>
      </c>
      <c r="K6439" s="47" t="str">
        <f t="shared" si="989"/>
        <v>巨量引擎-二类</v>
      </c>
      <c r="L6439" s="47" t="s">
        <v>35</v>
      </c>
      <c r="N6439" s="86" t="s">
        <v>3710</v>
      </c>
      <c r="O6439" s="47" t="s">
        <v>45</v>
      </c>
      <c r="P6439" s="47" t="s">
        <v>92</v>
      </c>
      <c r="Q6439" s="14">
        <v>0.99</v>
      </c>
      <c r="R6439" s="143"/>
      <c r="S6439" s="47"/>
      <c r="T6439" s="6">
        <v>0</v>
      </c>
      <c r="U6439" s="6">
        <v>2800000</v>
      </c>
      <c r="V6439" s="6">
        <v>1354563.1199999999</v>
      </c>
      <c r="W6439" s="6">
        <f t="shared" si="990"/>
        <v>1445436.8800000001</v>
      </c>
      <c r="X6439" s="6">
        <f t="shared" si="991"/>
        <v>1341017.4887999999</v>
      </c>
      <c r="Y6439" s="13">
        <f t="shared" si="995"/>
        <v>0</v>
      </c>
      <c r="Z6439" s="66">
        <v>0</v>
      </c>
      <c r="AA6439" s="6">
        <v>0</v>
      </c>
      <c r="AB6439" s="4">
        <f t="shared" si="996"/>
        <v>1341017.4887999999</v>
      </c>
      <c r="AC6439" s="6">
        <f t="shared" si="994"/>
        <v>13545.631199999945</v>
      </c>
      <c r="AD6439" s="6">
        <f t="shared" si="992"/>
        <v>1354563.1199999999</v>
      </c>
      <c r="AE6439" s="14">
        <v>0.06</v>
      </c>
      <c r="AF6439" s="6">
        <f t="shared" si="998"/>
        <v>81273.787199999992</v>
      </c>
      <c r="AG6439" s="14">
        <v>0</v>
      </c>
      <c r="AH6439" s="64">
        <f t="shared" si="993"/>
        <v>1354563.1199999999</v>
      </c>
      <c r="AJ6439" s="126" t="e">
        <v>#N/A</v>
      </c>
      <c r="AK6439" s="80">
        <f t="shared" si="997"/>
        <v>0</v>
      </c>
      <c r="AL6439" s="85"/>
      <c r="AM6439" s="85"/>
    </row>
    <row r="6440" spans="1:39" s="86" customFormat="1" ht="13.25" hidden="1" customHeight="1" x14ac:dyDescent="0.3">
      <c r="A6440" s="89" t="s">
        <v>3794</v>
      </c>
      <c r="B6440" s="86" t="s">
        <v>35</v>
      </c>
      <c r="C6440" s="86" t="s">
        <v>164</v>
      </c>
      <c r="D6440" s="86" t="s">
        <v>305</v>
      </c>
      <c r="E6440" s="86" t="s">
        <v>141</v>
      </c>
      <c r="F6440" s="86" t="s">
        <v>142</v>
      </c>
      <c r="G6440" s="86" t="s">
        <v>141</v>
      </c>
      <c r="H6440" s="143">
        <v>229</v>
      </c>
      <c r="I6440" s="86" t="s">
        <v>3356</v>
      </c>
      <c r="J6440" s="47" t="s">
        <v>3326</v>
      </c>
      <c r="K6440" s="47" t="str">
        <f t="shared" si="989"/>
        <v>巨量引擎-二类</v>
      </c>
      <c r="L6440" s="47" t="s">
        <v>35</v>
      </c>
      <c r="N6440" s="86" t="s">
        <v>3710</v>
      </c>
      <c r="O6440" s="47" t="s">
        <v>45</v>
      </c>
      <c r="P6440" s="47" t="s">
        <v>46</v>
      </c>
      <c r="Q6440" s="14">
        <v>0.01</v>
      </c>
      <c r="R6440" s="143"/>
      <c r="S6440" s="47"/>
      <c r="T6440" s="6">
        <v>1200001.9799999902</v>
      </c>
      <c r="U6440" s="6">
        <v>-1200000</v>
      </c>
      <c r="V6440" s="6">
        <v>0</v>
      </c>
      <c r="W6440" s="6">
        <f t="shared" si="990"/>
        <v>1.9799999902024865</v>
      </c>
      <c r="X6440" s="6">
        <f t="shared" si="991"/>
        <v>0</v>
      </c>
      <c r="Y6440" s="13">
        <f t="shared" si="995"/>
        <v>0</v>
      </c>
      <c r="Z6440" s="66">
        <v>0</v>
      </c>
      <c r="AA6440" s="6">
        <v>0</v>
      </c>
      <c r="AB6440" s="4">
        <f t="shared" si="996"/>
        <v>0</v>
      </c>
      <c r="AC6440" s="6">
        <f t="shared" si="994"/>
        <v>0</v>
      </c>
      <c r="AD6440" s="6">
        <f t="shared" si="992"/>
        <v>0</v>
      </c>
      <c r="AE6440" s="14">
        <v>0.06</v>
      </c>
      <c r="AF6440" s="6">
        <f t="shared" si="998"/>
        <v>0</v>
      </c>
      <c r="AG6440" s="14">
        <v>0</v>
      </c>
      <c r="AH6440" s="64">
        <f t="shared" si="993"/>
        <v>0</v>
      </c>
      <c r="AJ6440" s="126" t="e">
        <v>#N/A</v>
      </c>
      <c r="AK6440" s="80">
        <f t="shared" si="997"/>
        <v>0</v>
      </c>
      <c r="AL6440" s="85"/>
      <c r="AM6440" s="85"/>
    </row>
    <row r="6441" spans="1:39" s="86" customFormat="1" ht="13.25" hidden="1" customHeight="1" x14ac:dyDescent="0.3">
      <c r="A6441" s="89" t="s">
        <v>3794</v>
      </c>
      <c r="B6441" s="86" t="s">
        <v>35</v>
      </c>
      <c r="C6441" s="86" t="s">
        <v>164</v>
      </c>
      <c r="D6441" s="86" t="s">
        <v>169</v>
      </c>
      <c r="E6441" s="86" t="s">
        <v>170</v>
      </c>
      <c r="F6441" s="86" t="s">
        <v>170</v>
      </c>
      <c r="G6441" s="86" t="s">
        <v>170</v>
      </c>
      <c r="H6441" s="144">
        <v>229</v>
      </c>
      <c r="I6441" s="86" t="s">
        <v>3356</v>
      </c>
      <c r="J6441" s="47" t="s">
        <v>3326</v>
      </c>
      <c r="K6441" s="47" t="str">
        <f t="shared" si="989"/>
        <v>巨量引擎-二类</v>
      </c>
      <c r="L6441" s="47" t="s">
        <v>35</v>
      </c>
      <c r="N6441" s="86" t="s">
        <v>3710</v>
      </c>
      <c r="O6441" s="47" t="s">
        <v>45</v>
      </c>
      <c r="P6441" s="47" t="s">
        <v>75</v>
      </c>
      <c r="Q6441" s="14">
        <v>0.06</v>
      </c>
      <c r="R6441" s="143"/>
      <c r="S6441" s="47"/>
      <c r="T6441" s="6">
        <v>3762593.6599999825</v>
      </c>
      <c r="U6441" s="6">
        <v>-1094999.6400000001</v>
      </c>
      <c r="V6441" s="6">
        <v>1137915.2199999997</v>
      </c>
      <c r="W6441" s="6">
        <f t="shared" si="990"/>
        <v>1529678.7999999826</v>
      </c>
      <c r="X6441" s="6">
        <f t="shared" si="991"/>
        <v>1137915.2199999997</v>
      </c>
      <c r="Y6441" s="13">
        <f t="shared" si="995"/>
        <v>0</v>
      </c>
      <c r="Z6441" s="66">
        <v>0</v>
      </c>
      <c r="AA6441" s="6">
        <v>0</v>
      </c>
      <c r="AB6441" s="4">
        <f t="shared" si="996"/>
        <v>1137915.2199999997</v>
      </c>
      <c r="AC6441" s="6">
        <f t="shared" si="994"/>
        <v>68274.913199999981</v>
      </c>
      <c r="AD6441" s="6">
        <f t="shared" si="992"/>
        <v>1137915.2199999997</v>
      </c>
      <c r="AE6441" s="14">
        <v>0.06</v>
      </c>
      <c r="AF6441" s="6">
        <f t="shared" si="998"/>
        <v>68274.913199999981</v>
      </c>
      <c r="AG6441" s="14">
        <v>0</v>
      </c>
      <c r="AH6441" s="64">
        <f t="shared" si="993"/>
        <v>1137915.2199999997</v>
      </c>
      <c r="AJ6441" s="126" t="e">
        <v>#N/A</v>
      </c>
      <c r="AK6441" s="80">
        <f t="shared" si="997"/>
        <v>0</v>
      </c>
      <c r="AL6441" s="85"/>
      <c r="AM6441" s="85"/>
    </row>
    <row r="6442" spans="1:39" s="86" customFormat="1" ht="13.25" hidden="1" customHeight="1" x14ac:dyDescent="0.3">
      <c r="A6442" s="89" t="s">
        <v>3794</v>
      </c>
      <c r="B6442" s="86" t="s">
        <v>35</v>
      </c>
      <c r="C6442" s="86" t="s">
        <v>164</v>
      </c>
      <c r="D6442" s="86" t="s">
        <v>169</v>
      </c>
      <c r="E6442" s="86" t="s">
        <v>170</v>
      </c>
      <c r="F6442" s="86" t="s">
        <v>3936</v>
      </c>
      <c r="G6442" s="86" t="s">
        <v>170</v>
      </c>
      <c r="H6442" s="144">
        <v>229</v>
      </c>
      <c r="I6442" s="86" t="s">
        <v>3356</v>
      </c>
      <c r="J6442" s="47" t="s">
        <v>3326</v>
      </c>
      <c r="K6442" s="47" t="str">
        <f t="shared" si="989"/>
        <v>巨量引擎-二类</v>
      </c>
      <c r="L6442" s="47" t="s">
        <v>35</v>
      </c>
      <c r="N6442" s="86" t="s">
        <v>3710</v>
      </c>
      <c r="O6442" s="47" t="s">
        <v>45</v>
      </c>
      <c r="P6442" s="47" t="s">
        <v>46</v>
      </c>
      <c r="Q6442" s="14">
        <v>7.0000000000000007E-2</v>
      </c>
      <c r="R6442" s="143"/>
      <c r="S6442" s="47"/>
      <c r="T6442" s="6">
        <v>0</v>
      </c>
      <c r="U6442" s="6">
        <v>1850000</v>
      </c>
      <c r="V6442" s="6">
        <v>892020.55999999994</v>
      </c>
      <c r="W6442" s="6">
        <f t="shared" si="990"/>
        <v>957979.44000000006</v>
      </c>
      <c r="X6442" s="6">
        <f t="shared" si="991"/>
        <v>833664.07476635498</v>
      </c>
      <c r="Y6442" s="13">
        <f t="shared" si="995"/>
        <v>0</v>
      </c>
      <c r="Z6442" s="66">
        <v>0</v>
      </c>
      <c r="AA6442" s="6">
        <v>0</v>
      </c>
      <c r="AB6442" s="4">
        <f t="shared" si="996"/>
        <v>833664.07476635498</v>
      </c>
      <c r="AC6442" s="6">
        <f t="shared" si="994"/>
        <v>58356.485233644955</v>
      </c>
      <c r="AD6442" s="6">
        <f t="shared" si="992"/>
        <v>892020.55999999994</v>
      </c>
      <c r="AE6442" s="14">
        <v>0.06</v>
      </c>
      <c r="AF6442" s="6">
        <f t="shared" si="998"/>
        <v>53521.233599999992</v>
      </c>
      <c r="AG6442" s="14">
        <v>0</v>
      </c>
      <c r="AH6442" s="64">
        <f t="shared" si="993"/>
        <v>892020.55999999994</v>
      </c>
      <c r="AJ6442" s="126" t="e">
        <v>#N/A</v>
      </c>
      <c r="AK6442" s="80">
        <f t="shared" si="997"/>
        <v>0</v>
      </c>
      <c r="AL6442" s="85"/>
      <c r="AM6442" s="85"/>
    </row>
    <row r="6443" spans="1:39" s="86" customFormat="1" ht="13.25" hidden="1" customHeight="1" x14ac:dyDescent="0.3">
      <c r="A6443" s="89" t="s">
        <v>3794</v>
      </c>
      <c r="B6443" s="86" t="s">
        <v>35</v>
      </c>
      <c r="C6443" s="86" t="s">
        <v>164</v>
      </c>
      <c r="D6443" s="86" t="s">
        <v>169</v>
      </c>
      <c r="E6443" s="86" t="s">
        <v>170</v>
      </c>
      <c r="F6443" s="86" t="s">
        <v>171</v>
      </c>
      <c r="G6443" s="86" t="s">
        <v>170</v>
      </c>
      <c r="H6443" s="144">
        <v>229</v>
      </c>
      <c r="I6443" s="86" t="s">
        <v>3356</v>
      </c>
      <c r="J6443" s="47" t="s">
        <v>3326</v>
      </c>
      <c r="K6443" s="47" t="str">
        <f t="shared" si="989"/>
        <v>巨量引擎-二类</v>
      </c>
      <c r="L6443" s="47" t="s">
        <v>35</v>
      </c>
      <c r="N6443" s="86" t="s">
        <v>3710</v>
      </c>
      <c r="O6443" s="47" t="s">
        <v>45</v>
      </c>
      <c r="P6443" s="47" t="s">
        <v>75</v>
      </c>
      <c r="Q6443" s="14">
        <v>0.06</v>
      </c>
      <c r="R6443" s="143"/>
      <c r="S6443" s="47"/>
      <c r="T6443" s="6">
        <v>910341.3999999892</v>
      </c>
      <c r="U6443" s="6">
        <v>7336704.6299999999</v>
      </c>
      <c r="V6443" s="6">
        <v>5737714.6800000006</v>
      </c>
      <c r="W6443" s="6">
        <f t="shared" si="990"/>
        <v>2509331.3499999885</v>
      </c>
      <c r="X6443" s="6">
        <f t="shared" si="991"/>
        <v>5737714.6800000006</v>
      </c>
      <c r="Y6443" s="13">
        <f t="shared" si="995"/>
        <v>0</v>
      </c>
      <c r="Z6443" s="66">
        <v>0</v>
      </c>
      <c r="AA6443" s="6">
        <v>0</v>
      </c>
      <c r="AB6443" s="4">
        <f t="shared" si="996"/>
        <v>5737714.6800000006</v>
      </c>
      <c r="AC6443" s="6">
        <f t="shared" si="994"/>
        <v>344262.88080000004</v>
      </c>
      <c r="AD6443" s="6">
        <f t="shared" si="992"/>
        <v>5737714.6800000006</v>
      </c>
      <c r="AE6443" s="14">
        <v>0.06</v>
      </c>
      <c r="AF6443" s="6">
        <f t="shared" si="998"/>
        <v>344262.88080000004</v>
      </c>
      <c r="AG6443" s="14">
        <v>0</v>
      </c>
      <c r="AH6443" s="64">
        <f t="shared" si="993"/>
        <v>5737714.6800000006</v>
      </c>
      <c r="AJ6443" s="126" t="e">
        <v>#N/A</v>
      </c>
      <c r="AK6443" s="80">
        <f t="shared" si="997"/>
        <v>0</v>
      </c>
      <c r="AL6443" s="85"/>
      <c r="AM6443" s="85"/>
    </row>
    <row r="6444" spans="1:39" s="86" customFormat="1" ht="13.25" hidden="1" customHeight="1" x14ac:dyDescent="0.3">
      <c r="A6444" s="89" t="s">
        <v>3794</v>
      </c>
      <c r="B6444" s="86" t="s">
        <v>35</v>
      </c>
      <c r="C6444" s="86" t="s">
        <v>164</v>
      </c>
      <c r="D6444" s="86" t="s">
        <v>169</v>
      </c>
      <c r="E6444" s="86" t="s">
        <v>172</v>
      </c>
      <c r="F6444" s="86" t="s">
        <v>172</v>
      </c>
      <c r="G6444" s="86" t="s">
        <v>172</v>
      </c>
      <c r="H6444" s="144">
        <v>229</v>
      </c>
      <c r="I6444" s="86" t="s">
        <v>3356</v>
      </c>
      <c r="J6444" s="47" t="s">
        <v>3326</v>
      </c>
      <c r="K6444" s="47" t="str">
        <f t="shared" si="989"/>
        <v>巨量引擎-二类</v>
      </c>
      <c r="L6444" s="47" t="s">
        <v>35</v>
      </c>
      <c r="N6444" s="86" t="s">
        <v>3710</v>
      </c>
      <c r="O6444" s="47" t="s">
        <v>45</v>
      </c>
      <c r="P6444" s="47" t="s">
        <v>41</v>
      </c>
      <c r="Q6444" s="14">
        <v>0</v>
      </c>
      <c r="R6444" s="143"/>
      <c r="S6444" s="47" t="s">
        <v>3937</v>
      </c>
      <c r="T6444" s="6">
        <v>3498959.1100000003</v>
      </c>
      <c r="U6444" s="6">
        <v>8015.890000000014</v>
      </c>
      <c r="V6444" s="6">
        <v>617157.67999999993</v>
      </c>
      <c r="W6444" s="6">
        <f t="shared" si="990"/>
        <v>2889817.3200000003</v>
      </c>
      <c r="X6444" s="6">
        <f>V6444-8015.89</f>
        <v>609141.78999999992</v>
      </c>
      <c r="Y6444" s="13">
        <f t="shared" si="995"/>
        <v>0</v>
      </c>
      <c r="Z6444" s="66">
        <v>0</v>
      </c>
      <c r="AA6444" s="6">
        <v>0</v>
      </c>
      <c r="AB6444" s="4">
        <f t="shared" si="996"/>
        <v>609141.78999999992</v>
      </c>
      <c r="AC6444" s="6">
        <f t="shared" si="994"/>
        <v>8015.890000000014</v>
      </c>
      <c r="AD6444" s="6">
        <f t="shared" si="992"/>
        <v>617157.67999999993</v>
      </c>
      <c r="AE6444" s="14">
        <v>0.06</v>
      </c>
      <c r="AF6444" s="6">
        <f t="shared" si="998"/>
        <v>37029.460799999993</v>
      </c>
      <c r="AG6444" s="14">
        <v>0</v>
      </c>
      <c r="AH6444" s="64">
        <f t="shared" si="993"/>
        <v>617157.67999999993</v>
      </c>
      <c r="AJ6444" s="126" t="e">
        <v>#N/A</v>
      </c>
      <c r="AK6444" s="80">
        <f t="shared" si="997"/>
        <v>0</v>
      </c>
      <c r="AL6444" s="85"/>
      <c r="AM6444" s="85"/>
    </row>
    <row r="6445" spans="1:39" s="86" customFormat="1" ht="13.25" hidden="1" customHeight="1" x14ac:dyDescent="0.3">
      <c r="A6445" s="89" t="s">
        <v>3794</v>
      </c>
      <c r="B6445" s="86" t="s">
        <v>35</v>
      </c>
      <c r="C6445" s="86" t="s">
        <v>164</v>
      </c>
      <c r="D6445" s="86" t="s">
        <v>169</v>
      </c>
      <c r="E6445" s="86" t="s">
        <v>2436</v>
      </c>
      <c r="F6445" s="86" t="s">
        <v>3755</v>
      </c>
      <c r="G6445" s="86" t="s">
        <v>2436</v>
      </c>
      <c r="H6445" s="144">
        <v>229</v>
      </c>
      <c r="I6445" s="86" t="s">
        <v>3356</v>
      </c>
      <c r="J6445" s="47" t="s">
        <v>3326</v>
      </c>
      <c r="K6445" s="47" t="str">
        <f t="shared" si="989"/>
        <v>巨量引擎-一类</v>
      </c>
      <c r="L6445" s="47" t="s">
        <v>35</v>
      </c>
      <c r="N6445" s="86" t="s">
        <v>3707</v>
      </c>
      <c r="O6445" s="47" t="s">
        <v>45</v>
      </c>
      <c r="P6445" s="47" t="s">
        <v>41</v>
      </c>
      <c r="Q6445" s="14">
        <v>0</v>
      </c>
      <c r="R6445" s="143"/>
      <c r="S6445" s="47"/>
      <c r="T6445" s="6">
        <v>221460.03000000009</v>
      </c>
      <c r="U6445" s="6">
        <v>1650000</v>
      </c>
      <c r="V6445" s="6">
        <v>1316050.8</v>
      </c>
      <c r="W6445" s="6">
        <f t="shared" si="990"/>
        <v>555409.23</v>
      </c>
      <c r="X6445" s="6">
        <f t="shared" si="991"/>
        <v>1316050.8</v>
      </c>
      <c r="Y6445" s="13">
        <f t="shared" si="995"/>
        <v>0</v>
      </c>
      <c r="Z6445" s="66">
        <v>0</v>
      </c>
      <c r="AA6445" s="6">
        <v>0</v>
      </c>
      <c r="AB6445" s="4">
        <f t="shared" si="996"/>
        <v>1316050.8</v>
      </c>
      <c r="AC6445" s="6">
        <f t="shared" si="994"/>
        <v>0</v>
      </c>
      <c r="AD6445" s="6">
        <f t="shared" si="992"/>
        <v>1316050.8</v>
      </c>
      <c r="AE6445" s="14">
        <v>0.06</v>
      </c>
      <c r="AF6445" s="6">
        <f t="shared" si="998"/>
        <v>78963.047999999995</v>
      </c>
      <c r="AG6445" s="14">
        <v>0</v>
      </c>
      <c r="AH6445" s="64">
        <f t="shared" si="993"/>
        <v>1316050.8</v>
      </c>
      <c r="AJ6445" s="126" t="e">
        <v>#N/A</v>
      </c>
      <c r="AK6445" s="80">
        <f t="shared" si="997"/>
        <v>0</v>
      </c>
      <c r="AL6445" s="85"/>
      <c r="AM6445" s="85"/>
    </row>
    <row r="6446" spans="1:39" s="86" customFormat="1" ht="13.25" hidden="1" customHeight="1" x14ac:dyDescent="0.3">
      <c r="A6446" s="89" t="s">
        <v>3794</v>
      </c>
      <c r="B6446" s="86" t="s">
        <v>35</v>
      </c>
      <c r="C6446" s="86" t="s">
        <v>164</v>
      </c>
      <c r="D6446" s="86" t="s">
        <v>169</v>
      </c>
      <c r="E6446" s="86" t="s">
        <v>3616</v>
      </c>
      <c r="F6446" s="86" t="s">
        <v>3616</v>
      </c>
      <c r="G6446" s="86" t="s">
        <v>3616</v>
      </c>
      <c r="H6446" s="144">
        <v>229</v>
      </c>
      <c r="I6446" s="86" t="s">
        <v>3356</v>
      </c>
      <c r="J6446" s="47" t="s">
        <v>3326</v>
      </c>
      <c r="K6446" s="47" t="str">
        <f t="shared" si="989"/>
        <v>巨量引擎-一类</v>
      </c>
      <c r="L6446" s="47" t="s">
        <v>35</v>
      </c>
      <c r="N6446" s="86" t="s">
        <v>3707</v>
      </c>
      <c r="O6446" s="47" t="s">
        <v>45</v>
      </c>
      <c r="P6446" s="47" t="s">
        <v>46</v>
      </c>
      <c r="Q6446" s="14">
        <v>0.02</v>
      </c>
      <c r="R6446" s="143"/>
      <c r="S6446" s="47"/>
      <c r="T6446" s="6">
        <v>319900.67000000004</v>
      </c>
      <c r="U6446" s="6">
        <v>1010000</v>
      </c>
      <c r="V6446" s="6">
        <v>820503.52</v>
      </c>
      <c r="W6446" s="6">
        <f t="shared" si="990"/>
        <v>509397.14999999991</v>
      </c>
      <c r="X6446" s="6">
        <f t="shared" si="991"/>
        <v>804415.21568627446</v>
      </c>
      <c r="Y6446" s="13">
        <f t="shared" si="995"/>
        <v>0</v>
      </c>
      <c r="Z6446" s="66">
        <v>0</v>
      </c>
      <c r="AA6446" s="6">
        <v>0</v>
      </c>
      <c r="AB6446" s="4">
        <f t="shared" si="996"/>
        <v>804415.21568627446</v>
      </c>
      <c r="AC6446" s="6">
        <f t="shared" si="994"/>
        <v>16088.304313725559</v>
      </c>
      <c r="AD6446" s="6">
        <f t="shared" si="992"/>
        <v>820503.52</v>
      </c>
      <c r="AE6446" s="14">
        <v>0.06</v>
      </c>
      <c r="AF6446" s="6">
        <f t="shared" si="998"/>
        <v>49230.211199999998</v>
      </c>
      <c r="AG6446" s="14">
        <v>0</v>
      </c>
      <c r="AH6446" s="64">
        <f t="shared" si="993"/>
        <v>820503.52</v>
      </c>
      <c r="AJ6446" s="126" t="e">
        <v>#N/A</v>
      </c>
      <c r="AK6446" s="80">
        <f t="shared" si="997"/>
        <v>0</v>
      </c>
      <c r="AL6446" s="85"/>
      <c r="AM6446" s="85"/>
    </row>
    <row r="6447" spans="1:39" s="86" customFormat="1" ht="13.25" hidden="1" customHeight="1" x14ac:dyDescent="0.3">
      <c r="A6447" s="89" t="s">
        <v>3794</v>
      </c>
      <c r="B6447" s="86" t="s">
        <v>35</v>
      </c>
      <c r="C6447" s="86" t="s">
        <v>164</v>
      </c>
      <c r="D6447" s="86" t="s">
        <v>174</v>
      </c>
      <c r="E6447" s="86" t="s">
        <v>127</v>
      </c>
      <c r="F6447" s="86" t="s">
        <v>127</v>
      </c>
      <c r="G6447" s="86" t="s">
        <v>127</v>
      </c>
      <c r="H6447" s="144">
        <v>229</v>
      </c>
      <c r="I6447" s="86" t="s">
        <v>3356</v>
      </c>
      <c r="J6447" s="47" t="s">
        <v>3326</v>
      </c>
      <c r="K6447" s="47" t="str">
        <f t="shared" si="989"/>
        <v>巨量引擎-二类</v>
      </c>
      <c r="L6447" s="47" t="s">
        <v>35</v>
      </c>
      <c r="N6447" s="86" t="s">
        <v>3710</v>
      </c>
      <c r="O6447" s="47" t="s">
        <v>45</v>
      </c>
      <c r="P6447" s="47" t="s">
        <v>41</v>
      </c>
      <c r="Q6447" s="14">
        <v>0</v>
      </c>
      <c r="R6447" s="143"/>
      <c r="S6447" s="47"/>
      <c r="T6447" s="6">
        <v>2353639.3700000015</v>
      </c>
      <c r="U6447" s="6">
        <v>6400000</v>
      </c>
      <c r="V6447" s="6">
        <v>5958083.0500000007</v>
      </c>
      <c r="W6447" s="6">
        <f t="shared" si="990"/>
        <v>2795556.3200000003</v>
      </c>
      <c r="X6447" s="6">
        <f t="shared" si="991"/>
        <v>5958083.0500000007</v>
      </c>
      <c r="Y6447" s="13">
        <f t="shared" si="995"/>
        <v>0</v>
      </c>
      <c r="Z6447" s="66">
        <v>0</v>
      </c>
      <c r="AA6447" s="6">
        <v>0</v>
      </c>
      <c r="AB6447" s="4">
        <f t="shared" si="996"/>
        <v>5958083.0500000007</v>
      </c>
      <c r="AC6447" s="6">
        <f t="shared" si="994"/>
        <v>0</v>
      </c>
      <c r="AD6447" s="6">
        <f t="shared" si="992"/>
        <v>5958083.0500000007</v>
      </c>
      <c r="AE6447" s="14">
        <v>0.06</v>
      </c>
      <c r="AF6447" s="6">
        <f t="shared" si="998"/>
        <v>357484.98300000001</v>
      </c>
      <c r="AG6447" s="14">
        <v>0</v>
      </c>
      <c r="AH6447" s="64">
        <f t="shared" si="993"/>
        <v>5958083.0500000007</v>
      </c>
      <c r="AJ6447" s="126" t="e">
        <v>#N/A</v>
      </c>
      <c r="AK6447" s="80">
        <f t="shared" si="997"/>
        <v>0</v>
      </c>
      <c r="AL6447" s="85"/>
      <c r="AM6447" s="85"/>
    </row>
    <row r="6448" spans="1:39" s="86" customFormat="1" ht="13.25" hidden="1" customHeight="1" x14ac:dyDescent="0.3">
      <c r="A6448" s="89" t="s">
        <v>3794</v>
      </c>
      <c r="B6448" s="86" t="s">
        <v>35</v>
      </c>
      <c r="C6448" s="86" t="s">
        <v>164</v>
      </c>
      <c r="D6448" s="86" t="s">
        <v>174</v>
      </c>
      <c r="E6448" s="86" t="s">
        <v>1966</v>
      </c>
      <c r="F6448" s="86" t="s">
        <v>1966</v>
      </c>
      <c r="G6448" s="86" t="s">
        <v>1966</v>
      </c>
      <c r="H6448" s="144">
        <v>229</v>
      </c>
      <c r="I6448" s="86" t="s">
        <v>3356</v>
      </c>
      <c r="J6448" s="47" t="s">
        <v>3326</v>
      </c>
      <c r="K6448" s="47" t="str">
        <f t="shared" ref="K6448:K6511" si="999">N6448</f>
        <v>巨量引擎-三类</v>
      </c>
      <c r="L6448" s="47" t="s">
        <v>35</v>
      </c>
      <c r="N6448" s="86" t="s">
        <v>3712</v>
      </c>
      <c r="O6448" s="47" t="s">
        <v>45</v>
      </c>
      <c r="P6448" s="47" t="s">
        <v>46</v>
      </c>
      <c r="Q6448" s="14">
        <v>0.02</v>
      </c>
      <c r="R6448" s="143"/>
      <c r="S6448" s="47"/>
      <c r="T6448" s="6">
        <v>108680.88</v>
      </c>
      <c r="U6448" s="6">
        <v>1705000</v>
      </c>
      <c r="V6448" s="6">
        <v>763140.66999999993</v>
      </c>
      <c r="W6448" s="6">
        <f t="shared" ref="W6448:W6510" si="1000">T6448+U6448-V6448</f>
        <v>1050540.21</v>
      </c>
      <c r="X6448" s="6">
        <f t="shared" ref="X6448:X6511" si="1001">IF(P6448="折扣",V6448*Q6448,IF(P6448="返现",V6448,V6448/(1+Q6448)))</f>
        <v>748177.12745098036</v>
      </c>
      <c r="Y6448" s="13">
        <f t="shared" si="995"/>
        <v>0</v>
      </c>
      <c r="Z6448" s="66">
        <v>0</v>
      </c>
      <c r="AA6448" s="6">
        <v>0</v>
      </c>
      <c r="AB6448" s="4">
        <f t="shared" si="996"/>
        <v>748177.12745098036</v>
      </c>
      <c r="AC6448" s="6">
        <f t="shared" si="994"/>
        <v>14963.542549019563</v>
      </c>
      <c r="AD6448" s="6">
        <f t="shared" ref="AD6448:AD6511" si="1002">V6448</f>
        <v>763140.66999999993</v>
      </c>
      <c r="AE6448" s="14">
        <v>0.06</v>
      </c>
      <c r="AF6448" s="6">
        <f t="shared" si="998"/>
        <v>45788.440199999997</v>
      </c>
      <c r="AG6448" s="14">
        <v>0</v>
      </c>
      <c r="AH6448" s="64">
        <f t="shared" ref="AH6448:AH6511" si="1003">V6448</f>
        <v>763140.66999999993</v>
      </c>
      <c r="AJ6448" s="126" t="e">
        <v>#N/A</v>
      </c>
      <c r="AK6448" s="80">
        <f t="shared" si="997"/>
        <v>0</v>
      </c>
      <c r="AL6448" s="85"/>
      <c r="AM6448" s="85"/>
    </row>
    <row r="6449" spans="1:39" s="86" customFormat="1" ht="13.25" hidden="1" customHeight="1" x14ac:dyDescent="0.3">
      <c r="A6449" s="89" t="s">
        <v>3792</v>
      </c>
      <c r="B6449" s="86" t="s">
        <v>35</v>
      </c>
      <c r="C6449" s="86" t="s">
        <v>164</v>
      </c>
      <c r="D6449" s="86" t="s">
        <v>174</v>
      </c>
      <c r="E6449" s="86" t="s">
        <v>175</v>
      </c>
      <c r="F6449" s="86" t="s">
        <v>175</v>
      </c>
      <c r="G6449" s="86" t="s">
        <v>175</v>
      </c>
      <c r="H6449" s="144">
        <v>229</v>
      </c>
      <c r="I6449" s="86" t="s">
        <v>3356</v>
      </c>
      <c r="J6449" s="47" t="s">
        <v>3326</v>
      </c>
      <c r="K6449" s="47" t="str">
        <f t="shared" si="999"/>
        <v>巨量引擎-三类</v>
      </c>
      <c r="L6449" s="47" t="s">
        <v>35</v>
      </c>
      <c r="N6449" s="86" t="s">
        <v>3712</v>
      </c>
      <c r="O6449" s="47" t="s">
        <v>45</v>
      </c>
      <c r="P6449" s="47" t="s">
        <v>46</v>
      </c>
      <c r="Q6449" s="14">
        <v>0.02</v>
      </c>
      <c r="R6449" s="143"/>
      <c r="S6449" s="47"/>
      <c r="T6449" s="6">
        <v>0</v>
      </c>
      <c r="U6449" s="6">
        <v>26000</v>
      </c>
      <c r="V6449" s="6">
        <v>26000</v>
      </c>
      <c r="W6449" s="6">
        <f t="shared" si="1000"/>
        <v>0</v>
      </c>
      <c r="X6449" s="6">
        <f t="shared" si="1001"/>
        <v>25490.196078431371</v>
      </c>
      <c r="Y6449" s="13">
        <f t="shared" si="995"/>
        <v>0</v>
      </c>
      <c r="Z6449" s="66">
        <v>0</v>
      </c>
      <c r="AA6449" s="6">
        <v>0</v>
      </c>
      <c r="AB6449" s="4">
        <f t="shared" si="996"/>
        <v>25490.196078431371</v>
      </c>
      <c r="AC6449" s="6">
        <f t="shared" si="994"/>
        <v>509.80392156862945</v>
      </c>
      <c r="AD6449" s="6">
        <f t="shared" si="1002"/>
        <v>26000</v>
      </c>
      <c r="AE6449" s="14">
        <v>0.06</v>
      </c>
      <c r="AF6449" s="6">
        <f t="shared" si="998"/>
        <v>1560</v>
      </c>
      <c r="AG6449" s="14">
        <v>0</v>
      </c>
      <c r="AH6449" s="64">
        <f t="shared" si="1003"/>
        <v>26000</v>
      </c>
      <c r="AJ6449" s="126" t="e">
        <v>#N/A</v>
      </c>
      <c r="AK6449" s="80">
        <f t="shared" si="997"/>
        <v>0</v>
      </c>
      <c r="AL6449" s="85"/>
      <c r="AM6449" s="85"/>
    </row>
    <row r="6450" spans="1:39" s="86" customFormat="1" ht="13.25" hidden="1" customHeight="1" x14ac:dyDescent="0.3">
      <c r="A6450" s="89" t="s">
        <v>3792</v>
      </c>
      <c r="B6450" s="86" t="s">
        <v>35</v>
      </c>
      <c r="C6450" s="86" t="s">
        <v>164</v>
      </c>
      <c r="D6450" s="86" t="s">
        <v>174</v>
      </c>
      <c r="E6450" s="86" t="s">
        <v>176</v>
      </c>
      <c r="F6450" s="86" t="s">
        <v>176</v>
      </c>
      <c r="G6450" s="86" t="s">
        <v>176</v>
      </c>
      <c r="H6450" s="144">
        <v>229</v>
      </c>
      <c r="I6450" s="86" t="s">
        <v>3356</v>
      </c>
      <c r="J6450" s="47" t="s">
        <v>3326</v>
      </c>
      <c r="K6450" s="47" t="str">
        <f t="shared" si="999"/>
        <v>巨量引擎-二类</v>
      </c>
      <c r="L6450" s="47" t="s">
        <v>35</v>
      </c>
      <c r="N6450" s="86" t="s">
        <v>3710</v>
      </c>
      <c r="O6450" s="47" t="s">
        <v>45</v>
      </c>
      <c r="P6450" s="47" t="s">
        <v>46</v>
      </c>
      <c r="Q6450" s="14">
        <v>0.02</v>
      </c>
      <c r="R6450" s="143"/>
      <c r="S6450" s="47" t="s">
        <v>3938</v>
      </c>
      <c r="T6450" s="6">
        <v>0</v>
      </c>
      <c r="U6450" s="6">
        <v>447000</v>
      </c>
      <c r="V6450" s="6">
        <v>184.91</v>
      </c>
      <c r="W6450" s="6">
        <f t="shared" si="1000"/>
        <v>446815.09</v>
      </c>
      <c r="X6450" s="6">
        <f>(V6450-6000)/1.02</f>
        <v>-5701.0686274509808</v>
      </c>
      <c r="Y6450" s="13">
        <f t="shared" si="995"/>
        <v>0</v>
      </c>
      <c r="Z6450" s="66">
        <v>0</v>
      </c>
      <c r="AA6450" s="6">
        <v>0</v>
      </c>
      <c r="AB6450" s="4">
        <f t="shared" si="996"/>
        <v>-5701.0686274509808</v>
      </c>
      <c r="AC6450" s="6">
        <f t="shared" si="994"/>
        <v>5885.9786274509806</v>
      </c>
      <c r="AD6450" s="6">
        <f t="shared" si="1002"/>
        <v>184.91</v>
      </c>
      <c r="AE6450" s="14">
        <v>0.06</v>
      </c>
      <c r="AF6450" s="6">
        <f t="shared" si="998"/>
        <v>11.0946</v>
      </c>
      <c r="AG6450" s="14">
        <v>0</v>
      </c>
      <c r="AH6450" s="64">
        <f t="shared" si="1003"/>
        <v>184.91</v>
      </c>
      <c r="AJ6450" s="126" t="e">
        <v>#N/A</v>
      </c>
      <c r="AK6450" s="80">
        <f t="shared" si="997"/>
        <v>0</v>
      </c>
      <c r="AL6450" s="85"/>
      <c r="AM6450" s="85"/>
    </row>
    <row r="6451" spans="1:39" s="86" customFormat="1" ht="13.25" hidden="1" customHeight="1" x14ac:dyDescent="0.3">
      <c r="A6451" s="89" t="s">
        <v>3794</v>
      </c>
      <c r="B6451" s="86" t="s">
        <v>35</v>
      </c>
      <c r="C6451" s="86" t="s">
        <v>164</v>
      </c>
      <c r="D6451" s="86" t="s">
        <v>174</v>
      </c>
      <c r="E6451" s="86" t="s">
        <v>50</v>
      </c>
      <c r="F6451" s="86" t="s">
        <v>50</v>
      </c>
      <c r="G6451" s="86" t="s">
        <v>50</v>
      </c>
      <c r="H6451" s="144">
        <v>229</v>
      </c>
      <c r="I6451" s="86" t="s">
        <v>3356</v>
      </c>
      <c r="J6451" s="47" t="s">
        <v>3326</v>
      </c>
      <c r="K6451" s="47" t="str">
        <f t="shared" si="999"/>
        <v>巨量引擎-二类</v>
      </c>
      <c r="L6451" s="47" t="s">
        <v>35</v>
      </c>
      <c r="N6451" s="86" t="s">
        <v>3710</v>
      </c>
      <c r="O6451" s="47" t="s">
        <v>45</v>
      </c>
      <c r="P6451" s="47" t="s">
        <v>46</v>
      </c>
      <c r="Q6451" s="14">
        <v>0.01</v>
      </c>
      <c r="R6451" s="143"/>
      <c r="S6451" s="47"/>
      <c r="T6451" s="6">
        <v>4026629.8599999752</v>
      </c>
      <c r="U6451" s="6">
        <v>2969500.0100000002</v>
      </c>
      <c r="V6451" s="6">
        <v>390907.00999999995</v>
      </c>
      <c r="W6451" s="6">
        <f t="shared" si="1000"/>
        <v>6605222.8599999752</v>
      </c>
      <c r="X6451" s="6">
        <f t="shared" si="1001"/>
        <v>387036.64356435637</v>
      </c>
      <c r="Y6451" s="13">
        <f t="shared" si="995"/>
        <v>0</v>
      </c>
      <c r="Z6451" s="66">
        <v>0</v>
      </c>
      <c r="AA6451" s="6">
        <v>0</v>
      </c>
      <c r="AB6451" s="4">
        <f t="shared" si="996"/>
        <v>387036.64356435637</v>
      </c>
      <c r="AC6451" s="6">
        <f t="shared" si="994"/>
        <v>3870.3664356435766</v>
      </c>
      <c r="AD6451" s="6">
        <f t="shared" si="1002"/>
        <v>390907.00999999995</v>
      </c>
      <c r="AE6451" s="14">
        <v>0.06</v>
      </c>
      <c r="AF6451" s="6">
        <f t="shared" si="998"/>
        <v>23454.420599999998</v>
      </c>
      <c r="AG6451" s="14">
        <v>0</v>
      </c>
      <c r="AH6451" s="64">
        <f t="shared" si="1003"/>
        <v>390907.00999999995</v>
      </c>
      <c r="AJ6451" s="126" t="e">
        <v>#N/A</v>
      </c>
      <c r="AK6451" s="80">
        <f t="shared" si="997"/>
        <v>0</v>
      </c>
      <c r="AL6451" s="85"/>
      <c r="AM6451" s="85"/>
    </row>
    <row r="6452" spans="1:39" s="86" customFormat="1" ht="13.25" hidden="1" customHeight="1" x14ac:dyDescent="0.3">
      <c r="A6452" s="89" t="s">
        <v>3792</v>
      </c>
      <c r="B6452" s="86" t="s">
        <v>35</v>
      </c>
      <c r="C6452" s="86" t="s">
        <v>164</v>
      </c>
      <c r="D6452" s="86" t="s">
        <v>174</v>
      </c>
      <c r="E6452" s="86" t="s">
        <v>177</v>
      </c>
      <c r="F6452" s="86" t="s">
        <v>177</v>
      </c>
      <c r="G6452" s="86" t="s">
        <v>177</v>
      </c>
      <c r="H6452" s="144">
        <v>229</v>
      </c>
      <c r="I6452" s="86" t="s">
        <v>3356</v>
      </c>
      <c r="J6452" s="47" t="s">
        <v>3326</v>
      </c>
      <c r="K6452" s="47" t="str">
        <f t="shared" si="999"/>
        <v>巨量引擎-游戏</v>
      </c>
      <c r="L6452" s="47" t="s">
        <v>35</v>
      </c>
      <c r="N6452" s="86" t="s">
        <v>3283</v>
      </c>
      <c r="O6452" s="47" t="s">
        <v>45</v>
      </c>
      <c r="P6452" s="47" t="s">
        <v>41</v>
      </c>
      <c r="Q6452" s="14">
        <v>0</v>
      </c>
      <c r="R6452" s="143"/>
      <c r="S6452" s="47"/>
      <c r="T6452" s="6">
        <v>4330.8199999999852</v>
      </c>
      <c r="U6452" s="6">
        <v>10000</v>
      </c>
      <c r="V6452" s="6">
        <v>8381.2500000000018</v>
      </c>
      <c r="W6452" s="6">
        <f t="shared" si="1000"/>
        <v>5949.5699999999833</v>
      </c>
      <c r="X6452" s="6">
        <f t="shared" si="1001"/>
        <v>8381.2500000000018</v>
      </c>
      <c r="Y6452" s="13">
        <f t="shared" si="995"/>
        <v>0</v>
      </c>
      <c r="Z6452" s="66">
        <v>0</v>
      </c>
      <c r="AA6452" s="6">
        <v>0</v>
      </c>
      <c r="AB6452" s="4">
        <f t="shared" si="996"/>
        <v>8381.2500000000018</v>
      </c>
      <c r="AC6452" s="6">
        <f t="shared" si="994"/>
        <v>0</v>
      </c>
      <c r="AD6452" s="6">
        <f t="shared" si="1002"/>
        <v>8381.2500000000018</v>
      </c>
      <c r="AE6452" s="14">
        <v>0.06</v>
      </c>
      <c r="AF6452" s="6">
        <f t="shared" si="998"/>
        <v>502.87500000000011</v>
      </c>
      <c r="AG6452" s="14">
        <v>0</v>
      </c>
      <c r="AH6452" s="64">
        <f t="shared" si="1003"/>
        <v>8381.2500000000018</v>
      </c>
      <c r="AJ6452" s="126" t="e">
        <v>#N/A</v>
      </c>
      <c r="AK6452" s="80">
        <f t="shared" si="997"/>
        <v>0</v>
      </c>
      <c r="AL6452" s="85"/>
      <c r="AM6452" s="85"/>
    </row>
    <row r="6453" spans="1:39" s="86" customFormat="1" ht="13.25" hidden="1" customHeight="1" x14ac:dyDescent="0.3">
      <c r="A6453" s="89" t="s">
        <v>3794</v>
      </c>
      <c r="B6453" s="86" t="s">
        <v>35</v>
      </c>
      <c r="C6453" s="86" t="s">
        <v>164</v>
      </c>
      <c r="D6453" s="86" t="s">
        <v>174</v>
      </c>
      <c r="E6453" s="86" t="s">
        <v>178</v>
      </c>
      <c r="F6453" s="86" t="s">
        <v>179</v>
      </c>
      <c r="G6453" s="86" t="s">
        <v>178</v>
      </c>
      <c r="H6453" s="144">
        <v>229</v>
      </c>
      <c r="I6453" s="86" t="s">
        <v>3356</v>
      </c>
      <c r="J6453" s="47" t="s">
        <v>3326</v>
      </c>
      <c r="K6453" s="47" t="str">
        <f t="shared" si="999"/>
        <v>巨量引擎-游戏</v>
      </c>
      <c r="L6453" s="47" t="s">
        <v>35</v>
      </c>
      <c r="N6453" s="86" t="s">
        <v>3283</v>
      </c>
      <c r="O6453" s="47" t="s">
        <v>45</v>
      </c>
      <c r="P6453" s="47" t="s">
        <v>46</v>
      </c>
      <c r="Q6453" s="14">
        <v>0.03</v>
      </c>
      <c r="R6453" s="143"/>
      <c r="S6453" s="47"/>
      <c r="T6453" s="6">
        <v>-684291.13000000268</v>
      </c>
      <c r="U6453" s="6">
        <v>3396977.46</v>
      </c>
      <c r="V6453" s="6">
        <v>1116375.3599999996</v>
      </c>
      <c r="W6453" s="6">
        <f t="shared" si="1000"/>
        <v>1596310.9699999976</v>
      </c>
      <c r="X6453" s="6">
        <f t="shared" si="1001"/>
        <v>1083859.5728155335</v>
      </c>
      <c r="Y6453" s="13">
        <f t="shared" si="995"/>
        <v>0</v>
      </c>
      <c r="Z6453" s="66">
        <v>0</v>
      </c>
      <c r="AA6453" s="6">
        <v>0</v>
      </c>
      <c r="AB6453" s="4">
        <f t="shared" si="996"/>
        <v>1083859.5728155335</v>
      </c>
      <c r="AC6453" s="6">
        <f t="shared" si="994"/>
        <v>32515.787184466142</v>
      </c>
      <c r="AD6453" s="6">
        <f t="shared" si="1002"/>
        <v>1116375.3599999996</v>
      </c>
      <c r="AE6453" s="14">
        <v>0.06</v>
      </c>
      <c r="AF6453" s="6">
        <f t="shared" si="998"/>
        <v>66982.521599999978</v>
      </c>
      <c r="AG6453" s="14">
        <v>0</v>
      </c>
      <c r="AH6453" s="64">
        <f t="shared" si="1003"/>
        <v>1116375.3599999996</v>
      </c>
      <c r="AJ6453" s="126" t="e">
        <v>#N/A</v>
      </c>
      <c r="AK6453" s="80">
        <f t="shared" si="997"/>
        <v>0</v>
      </c>
      <c r="AL6453" s="85"/>
      <c r="AM6453" s="85"/>
    </row>
    <row r="6454" spans="1:39" s="86" customFormat="1" ht="13.25" hidden="1" customHeight="1" x14ac:dyDescent="0.3">
      <c r="A6454" s="89" t="s">
        <v>3794</v>
      </c>
      <c r="B6454" s="86" t="s">
        <v>35</v>
      </c>
      <c r="C6454" s="86" t="s">
        <v>164</v>
      </c>
      <c r="D6454" s="86" t="s">
        <v>174</v>
      </c>
      <c r="E6454" s="86" t="s">
        <v>178</v>
      </c>
      <c r="F6454" s="86" t="s">
        <v>179</v>
      </c>
      <c r="G6454" s="86" t="s">
        <v>178</v>
      </c>
      <c r="H6454" s="143">
        <v>229</v>
      </c>
      <c r="I6454" s="86" t="s">
        <v>3356</v>
      </c>
      <c r="J6454" s="47" t="s">
        <v>3326</v>
      </c>
      <c r="K6454" s="47" t="str">
        <f t="shared" si="999"/>
        <v>巨量引擎-游戏</v>
      </c>
      <c r="L6454" s="47" t="s">
        <v>35</v>
      </c>
      <c r="N6454" s="86" t="s">
        <v>3283</v>
      </c>
      <c r="O6454" s="47" t="s">
        <v>45</v>
      </c>
      <c r="P6454" s="47" t="s">
        <v>46</v>
      </c>
      <c r="Q6454" s="14">
        <v>0.05</v>
      </c>
      <c r="R6454" s="143"/>
      <c r="S6454" s="47"/>
      <c r="T6454" s="6">
        <v>3196977.4600000018</v>
      </c>
      <c r="U6454" s="6">
        <v>-3196977.46</v>
      </c>
      <c r="V6454" s="6">
        <v>0</v>
      </c>
      <c r="W6454" s="6">
        <f t="shared" si="1000"/>
        <v>1.862645149230957E-9</v>
      </c>
      <c r="X6454" s="6">
        <f t="shared" si="1001"/>
        <v>0</v>
      </c>
      <c r="Y6454" s="13">
        <f t="shared" si="995"/>
        <v>0</v>
      </c>
      <c r="Z6454" s="66">
        <v>0</v>
      </c>
      <c r="AA6454" s="6">
        <v>0</v>
      </c>
      <c r="AB6454" s="4">
        <f t="shared" si="996"/>
        <v>0</v>
      </c>
      <c r="AC6454" s="6">
        <f t="shared" si="994"/>
        <v>0</v>
      </c>
      <c r="AD6454" s="6">
        <f t="shared" si="1002"/>
        <v>0</v>
      </c>
      <c r="AE6454" s="14">
        <v>0.06</v>
      </c>
      <c r="AF6454" s="6">
        <f t="shared" si="998"/>
        <v>0</v>
      </c>
      <c r="AG6454" s="14">
        <v>0</v>
      </c>
      <c r="AH6454" s="64">
        <f t="shared" si="1003"/>
        <v>0</v>
      </c>
      <c r="AJ6454" s="126" t="e">
        <v>#N/A</v>
      </c>
      <c r="AK6454" s="80">
        <f t="shared" si="997"/>
        <v>0</v>
      </c>
      <c r="AL6454" s="85"/>
      <c r="AM6454" s="85"/>
    </row>
    <row r="6455" spans="1:39" s="86" customFormat="1" ht="13.25" hidden="1" customHeight="1" x14ac:dyDescent="0.3">
      <c r="A6455" s="89" t="s">
        <v>3794</v>
      </c>
      <c r="B6455" s="86" t="s">
        <v>35</v>
      </c>
      <c r="C6455" s="86" t="s">
        <v>164</v>
      </c>
      <c r="D6455" s="86" t="s">
        <v>174</v>
      </c>
      <c r="E6455" s="86" t="s">
        <v>180</v>
      </c>
      <c r="F6455" s="86" t="s">
        <v>180</v>
      </c>
      <c r="G6455" s="86" t="s">
        <v>180</v>
      </c>
      <c r="H6455" s="144">
        <v>229</v>
      </c>
      <c r="I6455" s="86" t="s">
        <v>3356</v>
      </c>
      <c r="J6455" s="47" t="s">
        <v>3326</v>
      </c>
      <c r="K6455" s="47" t="str">
        <f t="shared" si="999"/>
        <v>巨量引擎-三类</v>
      </c>
      <c r="L6455" s="47" t="s">
        <v>35</v>
      </c>
      <c r="N6455" s="86" t="s">
        <v>3939</v>
      </c>
      <c r="O6455" s="47" t="s">
        <v>45</v>
      </c>
      <c r="P6455" s="47" t="s">
        <v>46</v>
      </c>
      <c r="Q6455" s="14">
        <v>0.01</v>
      </c>
      <c r="R6455" s="143"/>
      <c r="S6455" s="47"/>
      <c r="T6455" s="6">
        <v>225070.30000000005</v>
      </c>
      <c r="U6455" s="6">
        <v>-200000</v>
      </c>
      <c r="V6455" s="6">
        <v>25069.990000000049</v>
      </c>
      <c r="W6455" s="6">
        <v>0</v>
      </c>
      <c r="X6455" s="6">
        <f t="shared" si="1001"/>
        <v>24821.77227722777</v>
      </c>
      <c r="Y6455" s="13">
        <f t="shared" si="995"/>
        <v>0</v>
      </c>
      <c r="Z6455" s="66">
        <v>0</v>
      </c>
      <c r="AA6455" s="6">
        <v>0</v>
      </c>
      <c r="AB6455" s="4">
        <f t="shared" si="996"/>
        <v>24821.77227722777</v>
      </c>
      <c r="AC6455" s="6">
        <f t="shared" si="994"/>
        <v>248.21772277227865</v>
      </c>
      <c r="AD6455" s="6">
        <f t="shared" si="1002"/>
        <v>25069.990000000049</v>
      </c>
      <c r="AE6455" s="14">
        <v>0.06</v>
      </c>
      <c r="AF6455" s="6">
        <f t="shared" si="998"/>
        <v>1504.1994000000029</v>
      </c>
      <c r="AG6455" s="14">
        <v>0</v>
      </c>
      <c r="AH6455" s="64">
        <f t="shared" si="1003"/>
        <v>25069.990000000049</v>
      </c>
      <c r="AJ6455" s="126" t="e">
        <v>#N/A</v>
      </c>
      <c r="AK6455" s="80">
        <f t="shared" si="997"/>
        <v>0</v>
      </c>
      <c r="AL6455" s="85"/>
      <c r="AM6455" s="85"/>
    </row>
    <row r="6456" spans="1:39" s="86" customFormat="1" ht="13.25" hidden="1" customHeight="1" x14ac:dyDescent="0.3">
      <c r="A6456" s="89" t="s">
        <v>3794</v>
      </c>
      <c r="B6456" s="86" t="s">
        <v>35</v>
      </c>
      <c r="C6456" s="86" t="s">
        <v>164</v>
      </c>
      <c r="D6456" s="86" t="s">
        <v>174</v>
      </c>
      <c r="E6456" s="86" t="s">
        <v>180</v>
      </c>
      <c r="F6456" s="86" t="s">
        <v>180</v>
      </c>
      <c r="G6456" s="86" t="s">
        <v>180</v>
      </c>
      <c r="H6456" s="144">
        <v>229</v>
      </c>
      <c r="I6456" s="86" t="s">
        <v>3356</v>
      </c>
      <c r="J6456" s="47" t="s">
        <v>3326</v>
      </c>
      <c r="K6456" s="47" t="str">
        <f t="shared" si="999"/>
        <v>巨量引擎-三类</v>
      </c>
      <c r="L6456" s="47" t="s">
        <v>35</v>
      </c>
      <c r="N6456" s="86" t="s">
        <v>3940</v>
      </c>
      <c r="O6456" s="47" t="s">
        <v>45</v>
      </c>
      <c r="P6456" s="47" t="s">
        <v>41</v>
      </c>
      <c r="Q6456" s="14">
        <v>0</v>
      </c>
      <c r="R6456" s="143"/>
      <c r="S6456" s="47"/>
      <c r="T6456" s="6">
        <v>0</v>
      </c>
      <c r="U6456" s="6">
        <v>-25069.99</v>
      </c>
      <c r="V6456" s="6">
        <v>-25069.99</v>
      </c>
      <c r="W6456" s="6">
        <f t="shared" si="1000"/>
        <v>0</v>
      </c>
      <c r="X6456" s="6">
        <f t="shared" si="1001"/>
        <v>-25069.99</v>
      </c>
      <c r="Y6456" s="13">
        <f t="shared" si="995"/>
        <v>0</v>
      </c>
      <c r="Z6456" s="66">
        <v>0</v>
      </c>
      <c r="AA6456" s="6">
        <v>0</v>
      </c>
      <c r="AB6456" s="4">
        <f t="shared" si="996"/>
        <v>-25069.99</v>
      </c>
      <c r="AC6456" s="6">
        <f t="shared" si="994"/>
        <v>0</v>
      </c>
      <c r="AD6456" s="6">
        <f t="shared" si="1002"/>
        <v>-25069.99</v>
      </c>
      <c r="AE6456" s="14">
        <v>0.06</v>
      </c>
      <c r="AF6456" s="6">
        <f t="shared" si="998"/>
        <v>-1504.1994</v>
      </c>
      <c r="AG6456" s="14">
        <v>0</v>
      </c>
      <c r="AH6456" s="64">
        <f t="shared" si="1003"/>
        <v>-25069.99</v>
      </c>
      <c r="AJ6456" s="126" t="e">
        <v>#N/A</v>
      </c>
      <c r="AK6456" s="80">
        <f t="shared" si="997"/>
        <v>0</v>
      </c>
      <c r="AL6456" s="85"/>
      <c r="AM6456" s="85"/>
    </row>
    <row r="6457" spans="1:39" s="86" customFormat="1" ht="13.25" hidden="1" customHeight="1" x14ac:dyDescent="0.3">
      <c r="A6457" s="89" t="s">
        <v>3792</v>
      </c>
      <c r="B6457" s="86" t="s">
        <v>35</v>
      </c>
      <c r="C6457" s="86" t="s">
        <v>184</v>
      </c>
      <c r="D6457" s="86" t="s">
        <v>224</v>
      </c>
      <c r="E6457" s="86" t="s">
        <v>310</v>
      </c>
      <c r="F6457" s="86" t="s">
        <v>310</v>
      </c>
      <c r="G6457" s="86" t="s">
        <v>310</v>
      </c>
      <c r="H6457" s="143">
        <v>229</v>
      </c>
      <c r="I6457" s="86" t="s">
        <v>3356</v>
      </c>
      <c r="J6457" s="47" t="s">
        <v>3326</v>
      </c>
      <c r="K6457" s="47">
        <f t="shared" si="999"/>
        <v>0</v>
      </c>
      <c r="L6457" s="47" t="s">
        <v>35</v>
      </c>
      <c r="O6457" s="47" t="s">
        <v>45</v>
      </c>
      <c r="P6457" s="47" t="s">
        <v>41</v>
      </c>
      <c r="Q6457" s="14">
        <v>0</v>
      </c>
      <c r="R6457" s="143"/>
      <c r="S6457" s="47"/>
      <c r="T6457" s="6">
        <v>593579.56000000006</v>
      </c>
      <c r="U6457" s="6">
        <v>-593579.56000000006</v>
      </c>
      <c r="V6457" s="6">
        <v>0</v>
      </c>
      <c r="W6457" s="6">
        <f t="shared" si="1000"/>
        <v>0</v>
      </c>
      <c r="X6457" s="6">
        <f t="shared" si="1001"/>
        <v>0</v>
      </c>
      <c r="Y6457" s="13">
        <f t="shared" si="995"/>
        <v>0</v>
      </c>
      <c r="Z6457" s="66">
        <v>0</v>
      </c>
      <c r="AA6457" s="6">
        <v>0</v>
      </c>
      <c r="AB6457" s="4">
        <f t="shared" si="996"/>
        <v>0</v>
      </c>
      <c r="AC6457" s="6">
        <f t="shared" si="994"/>
        <v>0</v>
      </c>
      <c r="AD6457" s="6">
        <f t="shared" si="1002"/>
        <v>0</v>
      </c>
      <c r="AE6457" s="14">
        <v>0.06</v>
      </c>
      <c r="AF6457" s="6">
        <f t="shared" si="998"/>
        <v>0</v>
      </c>
      <c r="AG6457" s="14">
        <v>0</v>
      </c>
      <c r="AH6457" s="64">
        <f t="shared" si="1003"/>
        <v>0</v>
      </c>
      <c r="AJ6457" s="126" t="e">
        <v>#N/A</v>
      </c>
      <c r="AK6457" s="80">
        <f t="shared" si="997"/>
        <v>0</v>
      </c>
      <c r="AL6457" s="85"/>
      <c r="AM6457" s="85"/>
    </row>
    <row r="6458" spans="1:39" s="86" customFormat="1" ht="13.25" hidden="1" customHeight="1" x14ac:dyDescent="0.3">
      <c r="A6458" s="89" t="s">
        <v>3792</v>
      </c>
      <c r="B6458" s="86" t="s">
        <v>35</v>
      </c>
      <c r="C6458" s="86" t="s">
        <v>184</v>
      </c>
      <c r="D6458" s="86" t="s">
        <v>224</v>
      </c>
      <c r="E6458" s="86" t="s">
        <v>1151</v>
      </c>
      <c r="F6458" s="86" t="s">
        <v>1151</v>
      </c>
      <c r="G6458" s="86" t="s">
        <v>1151</v>
      </c>
      <c r="H6458" s="144">
        <v>229</v>
      </c>
      <c r="I6458" s="86" t="s">
        <v>3356</v>
      </c>
      <c r="J6458" s="47" t="s">
        <v>3326</v>
      </c>
      <c r="K6458" s="47" t="str">
        <f t="shared" si="999"/>
        <v>巨量引擎-一类</v>
      </c>
      <c r="L6458" s="47" t="s">
        <v>35</v>
      </c>
      <c r="N6458" s="86" t="s">
        <v>3707</v>
      </c>
      <c r="O6458" s="47" t="s">
        <v>45</v>
      </c>
      <c r="P6458" s="47" t="s">
        <v>46</v>
      </c>
      <c r="Q6458" s="14">
        <v>0.02</v>
      </c>
      <c r="R6458" s="143"/>
      <c r="S6458" s="47"/>
      <c r="T6458" s="6">
        <v>0</v>
      </c>
      <c r="U6458" s="6">
        <v>100000</v>
      </c>
      <c r="V6458" s="6">
        <v>59775.839999999997</v>
      </c>
      <c r="W6458" s="6">
        <f t="shared" si="1000"/>
        <v>40224.160000000003</v>
      </c>
      <c r="X6458" s="6">
        <f t="shared" si="1001"/>
        <v>58603.76470588235</v>
      </c>
      <c r="Y6458" s="13">
        <f t="shared" si="995"/>
        <v>0</v>
      </c>
      <c r="Z6458" s="66">
        <v>0</v>
      </c>
      <c r="AA6458" s="6">
        <v>0</v>
      </c>
      <c r="AB6458" s="4">
        <f t="shared" si="996"/>
        <v>58603.76470588235</v>
      </c>
      <c r="AC6458" s="6">
        <f t="shared" si="994"/>
        <v>1172.075294117647</v>
      </c>
      <c r="AD6458" s="6">
        <f t="shared" si="1002"/>
        <v>59775.839999999997</v>
      </c>
      <c r="AE6458" s="14">
        <v>0.06</v>
      </c>
      <c r="AF6458" s="6">
        <f t="shared" si="998"/>
        <v>3586.5503999999996</v>
      </c>
      <c r="AG6458" s="14">
        <v>0</v>
      </c>
      <c r="AH6458" s="64">
        <f t="shared" si="1003"/>
        <v>59775.839999999997</v>
      </c>
      <c r="AJ6458" s="126" t="e">
        <v>#N/A</v>
      </c>
      <c r="AK6458" s="80">
        <f t="shared" si="997"/>
        <v>0</v>
      </c>
      <c r="AL6458" s="85"/>
      <c r="AM6458" s="85"/>
    </row>
    <row r="6459" spans="1:39" s="86" customFormat="1" ht="13.25" hidden="1" customHeight="1" x14ac:dyDescent="0.3">
      <c r="A6459" s="89" t="s">
        <v>3794</v>
      </c>
      <c r="B6459" s="86" t="s">
        <v>35</v>
      </c>
      <c r="C6459" s="86" t="s">
        <v>184</v>
      </c>
      <c r="D6459" s="86" t="s">
        <v>54</v>
      </c>
      <c r="E6459" s="86" t="s">
        <v>3610</v>
      </c>
      <c r="F6459" s="86" t="s">
        <v>3610</v>
      </c>
      <c r="G6459" s="86" t="s">
        <v>3610</v>
      </c>
      <c r="H6459" s="144">
        <v>229</v>
      </c>
      <c r="I6459" s="86" t="s">
        <v>3356</v>
      </c>
      <c r="J6459" s="47" t="s">
        <v>3326</v>
      </c>
      <c r="K6459" s="47" t="str">
        <f t="shared" si="999"/>
        <v>巨量引擎-一类平台/电商</v>
      </c>
      <c r="L6459" s="47" t="s">
        <v>35</v>
      </c>
      <c r="N6459" s="86" t="s">
        <v>3718</v>
      </c>
      <c r="O6459" s="47" t="s">
        <v>45</v>
      </c>
      <c r="P6459" s="47" t="s">
        <v>41</v>
      </c>
      <c r="Q6459" s="14">
        <v>0</v>
      </c>
      <c r="R6459" s="143"/>
      <c r="S6459" s="47"/>
      <c r="T6459" s="6">
        <v>2810000</v>
      </c>
      <c r="U6459" s="6">
        <v>3920000</v>
      </c>
      <c r="V6459" s="6">
        <v>4264637.370000001</v>
      </c>
      <c r="W6459" s="6">
        <f t="shared" si="1000"/>
        <v>2465362.629999999</v>
      </c>
      <c r="X6459" s="6">
        <f t="shared" si="1001"/>
        <v>4264637.370000001</v>
      </c>
      <c r="Y6459" s="13">
        <f t="shared" si="995"/>
        <v>0</v>
      </c>
      <c r="Z6459" s="66">
        <v>0</v>
      </c>
      <c r="AA6459" s="6">
        <v>0</v>
      </c>
      <c r="AB6459" s="4">
        <f t="shared" si="996"/>
        <v>4264637.370000001</v>
      </c>
      <c r="AC6459" s="6">
        <f t="shared" si="994"/>
        <v>0</v>
      </c>
      <c r="AD6459" s="6">
        <f t="shared" si="1002"/>
        <v>4264637.370000001</v>
      </c>
      <c r="AE6459" s="14">
        <v>0.06</v>
      </c>
      <c r="AF6459" s="6">
        <f t="shared" si="998"/>
        <v>255878.24220000007</v>
      </c>
      <c r="AG6459" s="14">
        <v>0</v>
      </c>
      <c r="AH6459" s="64">
        <f t="shared" si="1003"/>
        <v>4264637.370000001</v>
      </c>
      <c r="AJ6459" s="126" t="e">
        <v>#N/A</v>
      </c>
      <c r="AK6459" s="80">
        <f t="shared" si="997"/>
        <v>0</v>
      </c>
      <c r="AL6459" s="85"/>
      <c r="AM6459" s="85"/>
    </row>
    <row r="6460" spans="1:39" s="86" customFormat="1" ht="13.25" hidden="1" customHeight="1" x14ac:dyDescent="0.3">
      <c r="A6460" s="89" t="s">
        <v>3792</v>
      </c>
      <c r="B6460" s="86" t="s">
        <v>35</v>
      </c>
      <c r="C6460" s="86" t="s">
        <v>184</v>
      </c>
      <c r="D6460" s="86" t="s">
        <v>54</v>
      </c>
      <c r="E6460" s="86" t="s">
        <v>3941</v>
      </c>
      <c r="F6460" s="86" t="s">
        <v>101</v>
      </c>
      <c r="G6460" s="86" t="s">
        <v>101</v>
      </c>
      <c r="H6460" s="143">
        <v>229</v>
      </c>
      <c r="I6460" s="86" t="s">
        <v>3356</v>
      </c>
      <c r="J6460" s="47" t="s">
        <v>3326</v>
      </c>
      <c r="K6460" s="47">
        <f t="shared" si="999"/>
        <v>0</v>
      </c>
      <c r="L6460" s="47" t="s">
        <v>35</v>
      </c>
      <c r="O6460" s="47" t="s">
        <v>45</v>
      </c>
      <c r="P6460" s="47" t="s">
        <v>41</v>
      </c>
      <c r="Q6460" s="14">
        <v>0</v>
      </c>
      <c r="R6460" s="143"/>
      <c r="S6460" s="47"/>
      <c r="T6460" s="6">
        <v>1415513.27</v>
      </c>
      <c r="U6460" s="6">
        <v>-1407674.54</v>
      </c>
      <c r="V6460" s="6">
        <v>0</v>
      </c>
      <c r="W6460" s="6">
        <f t="shared" si="1000"/>
        <v>7838.7299999999814</v>
      </c>
      <c r="X6460" s="6">
        <f t="shared" si="1001"/>
        <v>0</v>
      </c>
      <c r="Y6460" s="13">
        <f t="shared" si="995"/>
        <v>0</v>
      </c>
      <c r="Z6460" s="66">
        <v>0</v>
      </c>
      <c r="AA6460" s="6">
        <v>0</v>
      </c>
      <c r="AB6460" s="4">
        <f t="shared" si="996"/>
        <v>0</v>
      </c>
      <c r="AC6460" s="6">
        <f t="shared" si="994"/>
        <v>0</v>
      </c>
      <c r="AD6460" s="6">
        <f t="shared" si="1002"/>
        <v>0</v>
      </c>
      <c r="AE6460" s="14">
        <v>0.06</v>
      </c>
      <c r="AF6460" s="6">
        <f t="shared" si="998"/>
        <v>0</v>
      </c>
      <c r="AG6460" s="14">
        <v>0</v>
      </c>
      <c r="AH6460" s="64">
        <f t="shared" si="1003"/>
        <v>0</v>
      </c>
      <c r="AJ6460" s="126" t="e">
        <v>#N/A</v>
      </c>
      <c r="AK6460" s="80">
        <f t="shared" si="997"/>
        <v>0</v>
      </c>
      <c r="AL6460" s="85"/>
      <c r="AM6460" s="85"/>
    </row>
    <row r="6461" spans="1:39" s="86" customFormat="1" ht="13.25" hidden="1" customHeight="1" x14ac:dyDescent="0.3">
      <c r="A6461" s="89" t="s">
        <v>3792</v>
      </c>
      <c r="B6461" s="86" t="s">
        <v>35</v>
      </c>
      <c r="C6461" s="86" t="s">
        <v>184</v>
      </c>
      <c r="D6461" s="86" t="s">
        <v>54</v>
      </c>
      <c r="E6461" s="86" t="s">
        <v>71</v>
      </c>
      <c r="F6461" s="86" t="s">
        <v>102</v>
      </c>
      <c r="G6461" s="86" t="s">
        <v>71</v>
      </c>
      <c r="H6461" s="144">
        <v>229</v>
      </c>
      <c r="I6461" s="86" t="s">
        <v>3356</v>
      </c>
      <c r="J6461" s="47" t="s">
        <v>3326</v>
      </c>
      <c r="K6461" s="47" t="str">
        <f t="shared" si="999"/>
        <v>巨量引擎-二类</v>
      </c>
      <c r="L6461" s="47" t="s">
        <v>35</v>
      </c>
      <c r="N6461" s="86" t="s">
        <v>3710</v>
      </c>
      <c r="O6461" s="47" t="s">
        <v>45</v>
      </c>
      <c r="P6461" s="47" t="s">
        <v>46</v>
      </c>
      <c r="Q6461" s="14">
        <v>5.6000000000000001E-2</v>
      </c>
      <c r="R6461" s="143"/>
      <c r="S6461" s="47"/>
      <c r="T6461" s="6">
        <v>4889890.2800000012</v>
      </c>
      <c r="U6461" s="6">
        <v>14370000</v>
      </c>
      <c r="V6461" s="6">
        <v>4132.22</v>
      </c>
      <c r="W6461" s="6">
        <f t="shared" si="1000"/>
        <v>19255758.060000002</v>
      </c>
      <c r="X6461" s="6">
        <f t="shared" si="1001"/>
        <v>3913.0871212121215</v>
      </c>
      <c r="Y6461" s="13">
        <f t="shared" si="995"/>
        <v>0</v>
      </c>
      <c r="Z6461" s="66">
        <v>0</v>
      </c>
      <c r="AA6461" s="6">
        <v>0</v>
      </c>
      <c r="AB6461" s="4">
        <f t="shared" si="996"/>
        <v>3913.0871212121215</v>
      </c>
      <c r="AC6461" s="6">
        <f t="shared" si="994"/>
        <v>219.13287878787878</v>
      </c>
      <c r="AD6461" s="6">
        <f t="shared" si="1002"/>
        <v>4132.22</v>
      </c>
      <c r="AE6461" s="14">
        <v>0.06</v>
      </c>
      <c r="AF6461" s="6">
        <f t="shared" si="998"/>
        <v>247.9332</v>
      </c>
      <c r="AG6461" s="14">
        <v>0</v>
      </c>
      <c r="AH6461" s="64">
        <f t="shared" si="1003"/>
        <v>4132.22</v>
      </c>
      <c r="AJ6461" s="126" t="e">
        <v>#N/A</v>
      </c>
      <c r="AK6461" s="80">
        <f t="shared" si="997"/>
        <v>0</v>
      </c>
      <c r="AL6461" s="85"/>
      <c r="AM6461" s="85"/>
    </row>
    <row r="6462" spans="1:39" s="86" customFormat="1" ht="13.25" hidden="1" customHeight="1" x14ac:dyDescent="0.3">
      <c r="A6462" s="89" t="s">
        <v>3792</v>
      </c>
      <c r="B6462" s="86" t="s">
        <v>35</v>
      </c>
      <c r="C6462" s="86" t="s">
        <v>184</v>
      </c>
      <c r="D6462" s="86" t="s">
        <v>54</v>
      </c>
      <c r="E6462" s="86" t="s">
        <v>103</v>
      </c>
      <c r="F6462" s="86" t="s">
        <v>104</v>
      </c>
      <c r="G6462" s="86" t="s">
        <v>103</v>
      </c>
      <c r="H6462" s="144">
        <v>229</v>
      </c>
      <c r="I6462" s="86" t="s">
        <v>3356</v>
      </c>
      <c r="J6462" s="47" t="s">
        <v>3326</v>
      </c>
      <c r="K6462" s="47" t="str">
        <f t="shared" si="999"/>
        <v>巨量引擎-一类平台/电商</v>
      </c>
      <c r="L6462" s="47" t="s">
        <v>35</v>
      </c>
      <c r="N6462" s="86" t="s">
        <v>3718</v>
      </c>
      <c r="O6462" s="47" t="s">
        <v>45</v>
      </c>
      <c r="P6462" s="47" t="s">
        <v>41</v>
      </c>
      <c r="Q6462" s="14">
        <v>0</v>
      </c>
      <c r="R6462" s="143"/>
      <c r="S6462" s="47"/>
      <c r="T6462" s="6">
        <v>4135155.3199999835</v>
      </c>
      <c r="U6462" s="6">
        <v>13465000</v>
      </c>
      <c r="V6462" s="6">
        <v>13524140.150000002</v>
      </c>
      <c r="W6462" s="6">
        <f t="shared" si="1000"/>
        <v>4076015.1699999832</v>
      </c>
      <c r="X6462" s="6">
        <f t="shared" si="1001"/>
        <v>13524140.150000002</v>
      </c>
      <c r="Y6462" s="13">
        <f t="shared" si="995"/>
        <v>0</v>
      </c>
      <c r="Z6462" s="66">
        <v>0</v>
      </c>
      <c r="AA6462" s="6">
        <v>0</v>
      </c>
      <c r="AB6462" s="4">
        <f t="shared" si="996"/>
        <v>13524140.150000002</v>
      </c>
      <c r="AC6462" s="6">
        <f t="shared" ref="AC6462:AC6525" si="1004">IF(P6462="返现",X6462*Q6462,V6462-X6462)</f>
        <v>0</v>
      </c>
      <c r="AD6462" s="6">
        <f t="shared" si="1002"/>
        <v>13524140.150000002</v>
      </c>
      <c r="AE6462" s="14">
        <v>0.06</v>
      </c>
      <c r="AF6462" s="6">
        <f t="shared" si="998"/>
        <v>811448.4090000001</v>
      </c>
      <c r="AG6462" s="14">
        <v>0</v>
      </c>
      <c r="AH6462" s="64">
        <f t="shared" si="1003"/>
        <v>13524140.150000002</v>
      </c>
      <c r="AJ6462" s="126" t="e">
        <v>#N/A</v>
      </c>
      <c r="AK6462" s="80">
        <f t="shared" si="997"/>
        <v>0</v>
      </c>
      <c r="AL6462" s="85"/>
      <c r="AM6462" s="85"/>
    </row>
    <row r="6463" spans="1:39" s="86" customFormat="1" ht="13.25" hidden="1" customHeight="1" x14ac:dyDescent="0.3">
      <c r="A6463" s="89" t="s">
        <v>3794</v>
      </c>
      <c r="B6463" s="86" t="s">
        <v>35</v>
      </c>
      <c r="C6463" s="86" t="s">
        <v>184</v>
      </c>
      <c r="D6463" s="86" t="s">
        <v>54</v>
      </c>
      <c r="E6463" s="86" t="s">
        <v>103</v>
      </c>
      <c r="F6463" s="86" t="s">
        <v>104</v>
      </c>
      <c r="G6463" s="86" t="s">
        <v>103</v>
      </c>
      <c r="H6463" s="144">
        <v>229</v>
      </c>
      <c r="I6463" s="86" t="s">
        <v>3356</v>
      </c>
      <c r="J6463" s="47" t="s">
        <v>3326</v>
      </c>
      <c r="K6463" s="47" t="str">
        <f t="shared" si="999"/>
        <v>巨量引擎-一类平台/电商</v>
      </c>
      <c r="L6463" s="47" t="s">
        <v>35</v>
      </c>
      <c r="N6463" s="86" t="s">
        <v>3718</v>
      </c>
      <c r="O6463" s="47" t="s">
        <v>105</v>
      </c>
      <c r="P6463" s="47" t="s">
        <v>41</v>
      </c>
      <c r="Q6463" s="14">
        <v>0</v>
      </c>
      <c r="R6463" s="143"/>
      <c r="S6463" s="47"/>
      <c r="T6463" s="6">
        <v>-481501.5</v>
      </c>
      <c r="U6463" s="6">
        <v>100000</v>
      </c>
      <c r="V6463" s="6">
        <v>1013373.51</v>
      </c>
      <c r="W6463" s="6">
        <f t="shared" si="1000"/>
        <v>-1394875.01</v>
      </c>
      <c r="X6463" s="6">
        <f t="shared" si="1001"/>
        <v>1013373.51</v>
      </c>
      <c r="Y6463" s="13">
        <f t="shared" si="995"/>
        <v>0</v>
      </c>
      <c r="Z6463" s="66">
        <v>0</v>
      </c>
      <c r="AA6463" s="6">
        <v>0</v>
      </c>
      <c r="AB6463" s="4">
        <f t="shared" si="996"/>
        <v>1013373.51</v>
      </c>
      <c r="AC6463" s="6">
        <f t="shared" si="1004"/>
        <v>0</v>
      </c>
      <c r="AD6463" s="6">
        <f t="shared" si="1002"/>
        <v>1013373.51</v>
      </c>
      <c r="AE6463" s="14">
        <v>0.06</v>
      </c>
      <c r="AF6463" s="6">
        <f t="shared" si="998"/>
        <v>60802.410599999996</v>
      </c>
      <c r="AG6463" s="14">
        <v>0</v>
      </c>
      <c r="AH6463" s="64">
        <f t="shared" si="1003"/>
        <v>1013373.51</v>
      </c>
      <c r="AJ6463" s="126" t="e">
        <v>#N/A</v>
      </c>
      <c r="AK6463" s="80">
        <f t="shared" si="997"/>
        <v>0</v>
      </c>
      <c r="AL6463" s="85"/>
      <c r="AM6463" s="85"/>
    </row>
    <row r="6464" spans="1:39" s="86" customFormat="1" ht="13.25" hidden="1" customHeight="1" x14ac:dyDescent="0.3">
      <c r="A6464" s="89" t="s">
        <v>3794</v>
      </c>
      <c r="B6464" s="86" t="s">
        <v>35</v>
      </c>
      <c r="C6464" s="86" t="s">
        <v>184</v>
      </c>
      <c r="D6464" s="86" t="s">
        <v>54</v>
      </c>
      <c r="E6464" s="86" t="s">
        <v>3611</v>
      </c>
      <c r="F6464" s="86" t="s">
        <v>3612</v>
      </c>
      <c r="G6464" s="86" t="s">
        <v>3611</v>
      </c>
      <c r="H6464" s="144">
        <v>229</v>
      </c>
      <c r="I6464" s="86" t="s">
        <v>3356</v>
      </c>
      <c r="J6464" s="47" t="s">
        <v>3326</v>
      </c>
      <c r="K6464" s="47" t="str">
        <f t="shared" si="999"/>
        <v>巨量引擎-一类平台/电商</v>
      </c>
      <c r="L6464" s="47" t="s">
        <v>35</v>
      </c>
      <c r="N6464" s="86" t="s">
        <v>3718</v>
      </c>
      <c r="O6464" s="47" t="s">
        <v>45</v>
      </c>
      <c r="P6464" s="47" t="s">
        <v>46</v>
      </c>
      <c r="Q6464" s="14">
        <v>5.6000000000000001E-2</v>
      </c>
      <c r="R6464" s="143"/>
      <c r="S6464" s="47"/>
      <c r="T6464" s="6">
        <v>411161.52</v>
      </c>
      <c r="U6464" s="6">
        <v>850080</v>
      </c>
      <c r="V6464" s="6">
        <v>467455.43</v>
      </c>
      <c r="W6464" s="6">
        <f t="shared" si="1000"/>
        <v>793786.09000000008</v>
      </c>
      <c r="X6464" s="6">
        <f t="shared" si="1001"/>
        <v>442666.12689393939</v>
      </c>
      <c r="Y6464" s="13">
        <f t="shared" si="995"/>
        <v>0</v>
      </c>
      <c r="Z6464" s="66">
        <v>0</v>
      </c>
      <c r="AA6464" s="6">
        <v>0</v>
      </c>
      <c r="AB6464" s="4">
        <f t="shared" si="996"/>
        <v>442666.12689393939</v>
      </c>
      <c r="AC6464" s="6">
        <f t="shared" si="1004"/>
        <v>24789.303106060601</v>
      </c>
      <c r="AD6464" s="6">
        <f t="shared" si="1002"/>
        <v>467455.43</v>
      </c>
      <c r="AE6464" s="14">
        <v>0.06</v>
      </c>
      <c r="AF6464" s="6">
        <f t="shared" si="998"/>
        <v>28047.325799999999</v>
      </c>
      <c r="AG6464" s="14">
        <v>0</v>
      </c>
      <c r="AH6464" s="64">
        <f t="shared" si="1003"/>
        <v>467455.43</v>
      </c>
      <c r="AJ6464" s="126" t="e">
        <v>#N/A</v>
      </c>
      <c r="AK6464" s="80">
        <f t="shared" si="997"/>
        <v>0</v>
      </c>
      <c r="AL6464" s="85"/>
      <c r="AM6464" s="85"/>
    </row>
    <row r="6465" spans="1:39" s="86" customFormat="1" ht="13.25" hidden="1" customHeight="1" x14ac:dyDescent="0.3">
      <c r="A6465" s="89" t="s">
        <v>3794</v>
      </c>
      <c r="B6465" s="86" t="s">
        <v>35</v>
      </c>
      <c r="C6465" s="86" t="s">
        <v>184</v>
      </c>
      <c r="D6465" s="86" t="s">
        <v>54</v>
      </c>
      <c r="E6465" s="86" t="s">
        <v>106</v>
      </c>
      <c r="F6465" s="86" t="s">
        <v>106</v>
      </c>
      <c r="G6465" s="86" t="s">
        <v>107</v>
      </c>
      <c r="H6465" s="144">
        <v>229</v>
      </c>
      <c r="I6465" s="86" t="s">
        <v>3356</v>
      </c>
      <c r="J6465" s="47" t="s">
        <v>3326</v>
      </c>
      <c r="K6465" s="47" t="str">
        <f t="shared" si="999"/>
        <v>巨量引擎-一类</v>
      </c>
      <c r="L6465" s="47" t="s">
        <v>35</v>
      </c>
      <c r="N6465" s="86" t="s">
        <v>3707</v>
      </c>
      <c r="O6465" s="47" t="s">
        <v>45</v>
      </c>
      <c r="P6465" s="47" t="s">
        <v>41</v>
      </c>
      <c r="Q6465" s="14">
        <v>0</v>
      </c>
      <c r="R6465" s="143"/>
      <c r="S6465" s="47"/>
      <c r="T6465" s="6">
        <v>818370.47000000067</v>
      </c>
      <c r="U6465" s="6">
        <v>3300000</v>
      </c>
      <c r="V6465" s="6">
        <v>2951794.96</v>
      </c>
      <c r="W6465" s="6">
        <f t="shared" si="1000"/>
        <v>1166575.5100000007</v>
      </c>
      <c r="X6465" s="6">
        <f t="shared" si="1001"/>
        <v>2951794.96</v>
      </c>
      <c r="Y6465" s="13">
        <f t="shared" si="995"/>
        <v>0</v>
      </c>
      <c r="Z6465" s="66">
        <v>0</v>
      </c>
      <c r="AA6465" s="6">
        <v>0</v>
      </c>
      <c r="AB6465" s="4">
        <f t="shared" si="996"/>
        <v>2951794.96</v>
      </c>
      <c r="AC6465" s="6">
        <f t="shared" si="1004"/>
        <v>0</v>
      </c>
      <c r="AD6465" s="6">
        <f t="shared" si="1002"/>
        <v>2951794.96</v>
      </c>
      <c r="AE6465" s="14">
        <v>0.06</v>
      </c>
      <c r="AF6465" s="6">
        <f t="shared" si="998"/>
        <v>177107.69759999998</v>
      </c>
      <c r="AG6465" s="14">
        <v>0</v>
      </c>
      <c r="AH6465" s="64">
        <f t="shared" si="1003"/>
        <v>2951794.96</v>
      </c>
      <c r="AJ6465" s="126" t="e">
        <v>#N/A</v>
      </c>
      <c r="AK6465" s="80">
        <f t="shared" si="997"/>
        <v>0</v>
      </c>
      <c r="AL6465" s="85"/>
      <c r="AM6465" s="85"/>
    </row>
    <row r="6466" spans="1:39" s="86" customFormat="1" ht="13.25" hidden="1" customHeight="1" x14ac:dyDescent="0.3">
      <c r="A6466" s="89" t="s">
        <v>3792</v>
      </c>
      <c r="B6466" s="86" t="s">
        <v>35</v>
      </c>
      <c r="C6466" s="86" t="s">
        <v>184</v>
      </c>
      <c r="D6466" s="86" t="s">
        <v>54</v>
      </c>
      <c r="E6466" s="86" t="s">
        <v>3942</v>
      </c>
      <c r="F6466" s="86" t="s">
        <v>3942</v>
      </c>
      <c r="G6466" s="86" t="s">
        <v>3942</v>
      </c>
      <c r="H6466" s="144">
        <v>229</v>
      </c>
      <c r="I6466" s="86" t="s">
        <v>3356</v>
      </c>
      <c r="J6466" s="47" t="s">
        <v>3326</v>
      </c>
      <c r="K6466" s="47" t="str">
        <f t="shared" si="999"/>
        <v>巨量引擎-一类</v>
      </c>
      <c r="L6466" s="47" t="s">
        <v>35</v>
      </c>
      <c r="N6466" s="86" t="s">
        <v>3707</v>
      </c>
      <c r="O6466" s="47" t="s">
        <v>105</v>
      </c>
      <c r="P6466" s="47" t="s">
        <v>41</v>
      </c>
      <c r="Q6466" s="14">
        <v>0</v>
      </c>
      <c r="R6466" s="143"/>
      <c r="S6466" s="47"/>
      <c r="T6466" s="6">
        <v>0</v>
      </c>
      <c r="U6466" s="6">
        <v>350000</v>
      </c>
      <c r="V6466" s="6">
        <v>95065.200000000012</v>
      </c>
      <c r="W6466" s="6">
        <f t="shared" si="1000"/>
        <v>254934.8</v>
      </c>
      <c r="X6466" s="6">
        <f t="shared" si="1001"/>
        <v>95065.200000000012</v>
      </c>
      <c r="Y6466" s="13">
        <f t="shared" si="995"/>
        <v>0</v>
      </c>
      <c r="Z6466" s="66">
        <v>0</v>
      </c>
      <c r="AA6466" s="6">
        <v>0</v>
      </c>
      <c r="AB6466" s="4">
        <f t="shared" si="996"/>
        <v>95065.200000000012</v>
      </c>
      <c r="AC6466" s="6">
        <f t="shared" si="1004"/>
        <v>0</v>
      </c>
      <c r="AD6466" s="6">
        <f t="shared" si="1002"/>
        <v>95065.200000000012</v>
      </c>
      <c r="AE6466" s="14">
        <v>0.06</v>
      </c>
      <c r="AF6466" s="6">
        <f t="shared" si="998"/>
        <v>5703.9120000000003</v>
      </c>
      <c r="AG6466" s="14">
        <v>0</v>
      </c>
      <c r="AH6466" s="64">
        <f t="shared" si="1003"/>
        <v>95065.200000000012</v>
      </c>
      <c r="AJ6466" s="126" t="e">
        <v>#N/A</v>
      </c>
      <c r="AK6466" s="80">
        <f t="shared" si="997"/>
        <v>0</v>
      </c>
      <c r="AL6466" s="85"/>
      <c r="AM6466" s="85"/>
    </row>
    <row r="6467" spans="1:39" s="86" customFormat="1" ht="13.25" hidden="1" customHeight="1" x14ac:dyDescent="0.3">
      <c r="A6467" s="89" t="s">
        <v>3792</v>
      </c>
      <c r="B6467" s="86" t="s">
        <v>35</v>
      </c>
      <c r="C6467" s="86" t="s">
        <v>184</v>
      </c>
      <c r="D6467" s="86" t="s">
        <v>54</v>
      </c>
      <c r="E6467" s="86" t="s">
        <v>2473</v>
      </c>
      <c r="F6467" s="86" t="s">
        <v>2473</v>
      </c>
      <c r="G6467" s="86" t="s">
        <v>2473</v>
      </c>
      <c r="H6467" s="144">
        <v>229</v>
      </c>
      <c r="I6467" s="86" t="s">
        <v>3356</v>
      </c>
      <c r="J6467" s="47" t="s">
        <v>3326</v>
      </c>
      <c r="K6467" s="47" t="str">
        <f t="shared" si="999"/>
        <v>巨量引擎-一类</v>
      </c>
      <c r="L6467" s="47" t="s">
        <v>35</v>
      </c>
      <c r="N6467" s="86" t="s">
        <v>3707</v>
      </c>
      <c r="O6467" s="47" t="s">
        <v>45</v>
      </c>
      <c r="P6467" s="47" t="s">
        <v>41</v>
      </c>
      <c r="Q6467" s="14">
        <v>0</v>
      </c>
      <c r="R6467" s="143"/>
      <c r="S6467" s="47"/>
      <c r="T6467" s="6">
        <v>0</v>
      </c>
      <c r="U6467" s="6">
        <v>100000</v>
      </c>
      <c r="V6467" s="6">
        <v>5236.26</v>
      </c>
      <c r="W6467" s="6">
        <f t="shared" si="1000"/>
        <v>94763.74</v>
      </c>
      <c r="X6467" s="6">
        <f t="shared" si="1001"/>
        <v>5236.26</v>
      </c>
      <c r="Y6467" s="13">
        <f t="shared" ref="Y6467:Y6530" si="1005">IF(X6467-AD6467&lt;=0,0,IF(P6467="返现",MAX(X6467-AC6467-AD6467,0),MAX(X6467-AD6467)))</f>
        <v>0</v>
      </c>
      <c r="Z6467" s="66">
        <v>0</v>
      </c>
      <c r="AA6467" s="6">
        <v>0</v>
      </c>
      <c r="AB6467" s="4">
        <f t="shared" ref="AB6467:AB6530" si="1006">X6467+AA6467</f>
        <v>5236.26</v>
      </c>
      <c r="AC6467" s="6">
        <f t="shared" si="1004"/>
        <v>0</v>
      </c>
      <c r="AD6467" s="6">
        <f t="shared" si="1002"/>
        <v>5236.26</v>
      </c>
      <c r="AE6467" s="14">
        <v>0.06</v>
      </c>
      <c r="AF6467" s="6">
        <f t="shared" si="998"/>
        <v>314.17559999999997</v>
      </c>
      <c r="AG6467" s="14">
        <v>0</v>
      </c>
      <c r="AH6467" s="64">
        <f t="shared" si="1003"/>
        <v>5236.26</v>
      </c>
      <c r="AJ6467" s="126" t="e">
        <v>#N/A</v>
      </c>
      <c r="AK6467" s="80">
        <f t="shared" ref="AK6467:AK6530" si="1007">X6467+AA6467-AB6467</f>
        <v>0</v>
      </c>
      <c r="AL6467" s="85"/>
      <c r="AM6467" s="85"/>
    </row>
    <row r="6468" spans="1:39" s="86" customFormat="1" ht="13.25" hidden="1" customHeight="1" x14ac:dyDescent="0.3">
      <c r="A6468" s="89" t="s">
        <v>3792</v>
      </c>
      <c r="B6468" s="86" t="s">
        <v>35</v>
      </c>
      <c r="C6468" s="86" t="s">
        <v>184</v>
      </c>
      <c r="D6468" s="86" t="s">
        <v>54</v>
      </c>
      <c r="E6468" s="86" t="s">
        <v>109</v>
      </c>
      <c r="F6468" s="86" t="s">
        <v>109</v>
      </c>
      <c r="G6468" s="86" t="s">
        <v>109</v>
      </c>
      <c r="H6468" s="144">
        <v>229</v>
      </c>
      <c r="I6468" s="86" t="s">
        <v>3356</v>
      </c>
      <c r="J6468" s="47" t="s">
        <v>3326</v>
      </c>
      <c r="K6468" s="47" t="str">
        <f t="shared" si="999"/>
        <v>巨量引擎-一类平台/电商</v>
      </c>
      <c r="L6468" s="47" t="s">
        <v>35</v>
      </c>
      <c r="N6468" s="86" t="s">
        <v>3718</v>
      </c>
      <c r="O6468" s="47" t="s">
        <v>45</v>
      </c>
      <c r="P6468" s="47" t="s">
        <v>41</v>
      </c>
      <c r="Q6468" s="14">
        <v>0</v>
      </c>
      <c r="R6468" s="143"/>
      <c r="S6468" s="47"/>
      <c r="T6468" s="6">
        <v>3420755.6099999957</v>
      </c>
      <c r="U6468" s="6">
        <v>14380000</v>
      </c>
      <c r="V6468" s="6">
        <v>13197589.759999998</v>
      </c>
      <c r="W6468" s="6">
        <f t="shared" si="1000"/>
        <v>4603165.8499999978</v>
      </c>
      <c r="X6468" s="6">
        <f t="shared" si="1001"/>
        <v>13197589.759999998</v>
      </c>
      <c r="Y6468" s="13">
        <f t="shared" si="1005"/>
        <v>0</v>
      </c>
      <c r="Z6468" s="66">
        <v>0</v>
      </c>
      <c r="AA6468" s="6">
        <v>0</v>
      </c>
      <c r="AB6468" s="4">
        <f t="shared" si="1006"/>
        <v>13197589.759999998</v>
      </c>
      <c r="AC6468" s="6">
        <f t="shared" si="1004"/>
        <v>0</v>
      </c>
      <c r="AD6468" s="6">
        <f t="shared" si="1002"/>
        <v>13197589.759999998</v>
      </c>
      <c r="AE6468" s="14">
        <v>0.06</v>
      </c>
      <c r="AF6468" s="6">
        <f t="shared" si="998"/>
        <v>791855.3855999998</v>
      </c>
      <c r="AG6468" s="14">
        <v>0</v>
      </c>
      <c r="AH6468" s="64">
        <f t="shared" si="1003"/>
        <v>13197589.759999998</v>
      </c>
      <c r="AJ6468" s="126" t="e">
        <v>#N/A</v>
      </c>
      <c r="AK6468" s="80">
        <f t="shared" si="1007"/>
        <v>0</v>
      </c>
      <c r="AL6468" s="85"/>
      <c r="AM6468" s="85"/>
    </row>
    <row r="6469" spans="1:39" s="86" customFormat="1" ht="13.25" hidden="1" customHeight="1" x14ac:dyDescent="0.3">
      <c r="A6469" s="89" t="s">
        <v>3794</v>
      </c>
      <c r="B6469" s="86" t="s">
        <v>35</v>
      </c>
      <c r="C6469" s="86" t="s">
        <v>184</v>
      </c>
      <c r="D6469" s="86" t="s">
        <v>54</v>
      </c>
      <c r="E6469" s="86" t="s">
        <v>109</v>
      </c>
      <c r="F6469" s="86" t="s">
        <v>109</v>
      </c>
      <c r="G6469" s="86" t="s">
        <v>109</v>
      </c>
      <c r="H6469" s="144">
        <v>229</v>
      </c>
      <c r="I6469" s="86" t="s">
        <v>3356</v>
      </c>
      <c r="J6469" s="47" t="s">
        <v>3326</v>
      </c>
      <c r="K6469" s="47" t="str">
        <f t="shared" si="999"/>
        <v>巨量引擎-一类平台/电商</v>
      </c>
      <c r="L6469" s="47" t="s">
        <v>35</v>
      </c>
      <c r="N6469" s="86" t="s">
        <v>3718</v>
      </c>
      <c r="O6469" s="47" t="s">
        <v>105</v>
      </c>
      <c r="P6469" s="47" t="s">
        <v>41</v>
      </c>
      <c r="Q6469" s="14">
        <v>0</v>
      </c>
      <c r="R6469" s="143"/>
      <c r="S6469" s="47"/>
      <c r="T6469" s="6">
        <v>-205138.01000000036</v>
      </c>
      <c r="U6469" s="6">
        <v>1435000</v>
      </c>
      <c r="V6469" s="6">
        <v>1493895.8399999999</v>
      </c>
      <c r="W6469" s="6">
        <f t="shared" si="1000"/>
        <v>-264033.85000000009</v>
      </c>
      <c r="X6469" s="6">
        <f t="shared" si="1001"/>
        <v>1493895.8399999999</v>
      </c>
      <c r="Y6469" s="13">
        <f t="shared" si="1005"/>
        <v>0</v>
      </c>
      <c r="Z6469" s="66">
        <v>0</v>
      </c>
      <c r="AA6469" s="6">
        <v>0</v>
      </c>
      <c r="AB6469" s="4">
        <f t="shared" si="1006"/>
        <v>1493895.8399999999</v>
      </c>
      <c r="AC6469" s="6">
        <f t="shared" si="1004"/>
        <v>0</v>
      </c>
      <c r="AD6469" s="6">
        <f t="shared" si="1002"/>
        <v>1493895.8399999999</v>
      </c>
      <c r="AE6469" s="14">
        <v>0.06</v>
      </c>
      <c r="AF6469" s="6">
        <f t="shared" si="998"/>
        <v>89633.75039999999</v>
      </c>
      <c r="AG6469" s="14">
        <v>0</v>
      </c>
      <c r="AH6469" s="64">
        <f t="shared" si="1003"/>
        <v>1493895.8399999999</v>
      </c>
      <c r="AJ6469" s="126" t="e">
        <v>#N/A</v>
      </c>
      <c r="AK6469" s="80">
        <f t="shared" si="1007"/>
        <v>0</v>
      </c>
      <c r="AL6469" s="85"/>
      <c r="AM6469" s="85"/>
    </row>
    <row r="6470" spans="1:39" s="86" customFormat="1" ht="13.25" hidden="1" customHeight="1" x14ac:dyDescent="0.3">
      <c r="A6470" s="89" t="s">
        <v>3794</v>
      </c>
      <c r="B6470" s="86" t="s">
        <v>35</v>
      </c>
      <c r="C6470" s="86" t="s">
        <v>184</v>
      </c>
      <c r="D6470" s="86" t="s">
        <v>54</v>
      </c>
      <c r="E6470" s="86" t="s">
        <v>265</v>
      </c>
      <c r="F6470" s="86" t="s">
        <v>265</v>
      </c>
      <c r="G6470" s="86" t="s">
        <v>265</v>
      </c>
      <c r="H6470" s="143">
        <v>229</v>
      </c>
      <c r="I6470" s="86" t="s">
        <v>3356</v>
      </c>
      <c r="J6470" s="47" t="s">
        <v>3326</v>
      </c>
      <c r="K6470" s="47">
        <f t="shared" si="999"/>
        <v>0</v>
      </c>
      <c r="L6470" s="47" t="s">
        <v>35</v>
      </c>
      <c r="O6470" s="47" t="s">
        <v>45</v>
      </c>
      <c r="P6470" s="47" t="s">
        <v>41</v>
      </c>
      <c r="Q6470" s="14">
        <v>0</v>
      </c>
      <c r="R6470" s="143"/>
      <c r="S6470" s="47"/>
      <c r="T6470" s="6">
        <v>147006.94999999969</v>
      </c>
      <c r="U6470" s="6">
        <v>-147006.95000000001</v>
      </c>
      <c r="V6470" s="6">
        <v>0</v>
      </c>
      <c r="W6470" s="6">
        <f t="shared" si="1000"/>
        <v>-3.2014213502407074E-10</v>
      </c>
      <c r="X6470" s="6">
        <f t="shared" si="1001"/>
        <v>0</v>
      </c>
      <c r="Y6470" s="13">
        <f t="shared" si="1005"/>
        <v>0</v>
      </c>
      <c r="Z6470" s="66">
        <v>0</v>
      </c>
      <c r="AA6470" s="6">
        <v>0</v>
      </c>
      <c r="AB6470" s="4">
        <f t="shared" si="1006"/>
        <v>0</v>
      </c>
      <c r="AC6470" s="6">
        <f t="shared" si="1004"/>
        <v>0</v>
      </c>
      <c r="AD6470" s="6">
        <f t="shared" si="1002"/>
        <v>0</v>
      </c>
      <c r="AE6470" s="14">
        <v>0.06</v>
      </c>
      <c r="AF6470" s="6">
        <f t="shared" si="998"/>
        <v>0</v>
      </c>
      <c r="AG6470" s="14">
        <v>0</v>
      </c>
      <c r="AH6470" s="64">
        <f t="shared" si="1003"/>
        <v>0</v>
      </c>
      <c r="AJ6470" s="126" t="e">
        <v>#N/A</v>
      </c>
      <c r="AK6470" s="80">
        <f t="shared" si="1007"/>
        <v>0</v>
      </c>
      <c r="AL6470" s="85"/>
      <c r="AM6470" s="85"/>
    </row>
    <row r="6471" spans="1:39" s="86" customFormat="1" ht="13.25" hidden="1" customHeight="1" x14ac:dyDescent="0.3">
      <c r="A6471" s="89" t="s">
        <v>3792</v>
      </c>
      <c r="B6471" s="86" t="s">
        <v>35</v>
      </c>
      <c r="C6471" s="86" t="s">
        <v>184</v>
      </c>
      <c r="D6471" s="86" t="s">
        <v>54</v>
      </c>
      <c r="E6471" s="86" t="s">
        <v>112</v>
      </c>
      <c r="F6471" s="86" t="s">
        <v>113</v>
      </c>
      <c r="G6471" s="86" t="s">
        <v>112</v>
      </c>
      <c r="H6471" s="144">
        <v>229</v>
      </c>
      <c r="I6471" s="86" t="s">
        <v>3356</v>
      </c>
      <c r="J6471" s="47" t="s">
        <v>3326</v>
      </c>
      <c r="K6471" s="47" t="str">
        <f t="shared" si="999"/>
        <v>巨量引擎-三类</v>
      </c>
      <c r="L6471" s="47" t="s">
        <v>35</v>
      </c>
      <c r="N6471" s="86" t="s">
        <v>3712</v>
      </c>
      <c r="O6471" s="47" t="s">
        <v>45</v>
      </c>
      <c r="P6471" s="47" t="s">
        <v>41</v>
      </c>
      <c r="Q6471" s="14">
        <v>0</v>
      </c>
      <c r="R6471" s="143"/>
      <c r="S6471" s="47"/>
      <c r="T6471" s="6">
        <v>56626.600000000006</v>
      </c>
      <c r="U6471" s="6">
        <v>50000</v>
      </c>
      <c r="V6471" s="6">
        <v>32881.789999999994</v>
      </c>
      <c r="W6471" s="6">
        <f t="shared" si="1000"/>
        <v>73744.810000000012</v>
      </c>
      <c r="X6471" s="6">
        <f t="shared" si="1001"/>
        <v>32881.789999999994</v>
      </c>
      <c r="Y6471" s="13">
        <f t="shared" si="1005"/>
        <v>0</v>
      </c>
      <c r="Z6471" s="66">
        <v>0</v>
      </c>
      <c r="AA6471" s="6">
        <v>0</v>
      </c>
      <c r="AB6471" s="4">
        <f t="shared" si="1006"/>
        <v>32881.789999999994</v>
      </c>
      <c r="AC6471" s="6">
        <f t="shared" si="1004"/>
        <v>0</v>
      </c>
      <c r="AD6471" s="6">
        <f t="shared" si="1002"/>
        <v>32881.789999999994</v>
      </c>
      <c r="AE6471" s="14">
        <v>0.06</v>
      </c>
      <c r="AF6471" s="6">
        <f t="shared" si="998"/>
        <v>1972.9073999999996</v>
      </c>
      <c r="AG6471" s="14">
        <v>0</v>
      </c>
      <c r="AH6471" s="64">
        <f t="shared" si="1003"/>
        <v>32881.789999999994</v>
      </c>
      <c r="AJ6471" s="126" t="e">
        <v>#N/A</v>
      </c>
      <c r="AK6471" s="80">
        <f t="shared" si="1007"/>
        <v>0</v>
      </c>
      <c r="AL6471" s="85"/>
      <c r="AM6471" s="85"/>
    </row>
    <row r="6472" spans="1:39" s="86" customFormat="1" ht="13.25" hidden="1" customHeight="1" x14ac:dyDescent="0.3">
      <c r="A6472" s="89" t="s">
        <v>3792</v>
      </c>
      <c r="B6472" s="86" t="s">
        <v>35</v>
      </c>
      <c r="C6472" s="86" t="s">
        <v>184</v>
      </c>
      <c r="D6472" s="86" t="s">
        <v>54</v>
      </c>
      <c r="E6472" s="86" t="s">
        <v>114</v>
      </c>
      <c r="F6472" s="86" t="s">
        <v>114</v>
      </c>
      <c r="G6472" s="86" t="s">
        <v>114</v>
      </c>
      <c r="H6472" s="144">
        <v>229</v>
      </c>
      <c r="I6472" s="86" t="s">
        <v>3356</v>
      </c>
      <c r="J6472" s="47" t="s">
        <v>3326</v>
      </c>
      <c r="K6472" s="47" t="str">
        <f t="shared" si="999"/>
        <v>巨量引擎-三类</v>
      </c>
      <c r="L6472" s="47" t="s">
        <v>35</v>
      </c>
      <c r="N6472" s="86" t="s">
        <v>3712</v>
      </c>
      <c r="O6472" s="47" t="s">
        <v>45</v>
      </c>
      <c r="P6472" s="47" t="s">
        <v>46</v>
      </c>
      <c r="Q6472" s="14">
        <v>0.02</v>
      </c>
      <c r="R6472" s="143"/>
      <c r="S6472" s="47"/>
      <c r="T6472" s="6">
        <v>273772.90000000002</v>
      </c>
      <c r="U6472" s="6">
        <v>420000</v>
      </c>
      <c r="V6472" s="6">
        <v>415232.7900000001</v>
      </c>
      <c r="W6472" s="6">
        <f t="shared" si="1000"/>
        <v>278540.10999999993</v>
      </c>
      <c r="X6472" s="6">
        <f t="shared" si="1001"/>
        <v>407090.97058823536</v>
      </c>
      <c r="Y6472" s="13">
        <f t="shared" si="1005"/>
        <v>0</v>
      </c>
      <c r="Z6472" s="66">
        <v>0</v>
      </c>
      <c r="AA6472" s="6">
        <v>0</v>
      </c>
      <c r="AB6472" s="4">
        <f t="shared" si="1006"/>
        <v>407090.97058823536</v>
      </c>
      <c r="AC6472" s="6">
        <f t="shared" si="1004"/>
        <v>8141.8194117647363</v>
      </c>
      <c r="AD6472" s="6">
        <f t="shared" si="1002"/>
        <v>415232.7900000001</v>
      </c>
      <c r="AE6472" s="14">
        <v>0.06</v>
      </c>
      <c r="AF6472" s="6">
        <f t="shared" si="998"/>
        <v>24913.967400000005</v>
      </c>
      <c r="AG6472" s="14">
        <v>0</v>
      </c>
      <c r="AH6472" s="64">
        <f t="shared" si="1003"/>
        <v>415232.7900000001</v>
      </c>
      <c r="AJ6472" s="126" t="e">
        <v>#N/A</v>
      </c>
      <c r="AK6472" s="80">
        <f t="shared" si="1007"/>
        <v>0</v>
      </c>
      <c r="AL6472" s="85"/>
      <c r="AM6472" s="85"/>
    </row>
    <row r="6473" spans="1:39" s="86" customFormat="1" ht="13.25" hidden="1" customHeight="1" x14ac:dyDescent="0.3">
      <c r="A6473" s="89" t="s">
        <v>3792</v>
      </c>
      <c r="B6473" s="86" t="s">
        <v>35</v>
      </c>
      <c r="C6473" s="86" t="s">
        <v>3857</v>
      </c>
      <c r="D6473" s="86" t="s">
        <v>3858</v>
      </c>
      <c r="E6473" s="86" t="s">
        <v>108</v>
      </c>
      <c r="F6473" s="86" t="s">
        <v>108</v>
      </c>
      <c r="G6473" s="86" t="s">
        <v>108</v>
      </c>
      <c r="H6473" s="144">
        <v>229</v>
      </c>
      <c r="I6473" s="86" t="s">
        <v>3356</v>
      </c>
      <c r="J6473" s="47" t="s">
        <v>3326</v>
      </c>
      <c r="K6473" s="47" t="str">
        <f t="shared" si="999"/>
        <v>巨量引擎-三类</v>
      </c>
      <c r="L6473" s="47" t="s">
        <v>35</v>
      </c>
      <c r="N6473" s="86" t="s">
        <v>3712</v>
      </c>
      <c r="O6473" s="47" t="s">
        <v>45</v>
      </c>
      <c r="P6473" s="47" t="s">
        <v>41</v>
      </c>
      <c r="Q6473" s="14">
        <v>0</v>
      </c>
      <c r="R6473" s="143"/>
      <c r="S6473" s="47"/>
      <c r="T6473" s="6">
        <v>1085917.2599999995</v>
      </c>
      <c r="U6473" s="6">
        <v>3038700</v>
      </c>
      <c r="V6473" s="6">
        <v>1721829.7400000002</v>
      </c>
      <c r="W6473" s="6">
        <f t="shared" si="1000"/>
        <v>2402787.5199999996</v>
      </c>
      <c r="X6473" s="6">
        <f t="shared" si="1001"/>
        <v>1721829.7400000002</v>
      </c>
      <c r="Y6473" s="13">
        <f t="shared" si="1005"/>
        <v>0</v>
      </c>
      <c r="Z6473" s="66">
        <v>0</v>
      </c>
      <c r="AA6473" s="6">
        <v>0</v>
      </c>
      <c r="AB6473" s="4">
        <f t="shared" si="1006"/>
        <v>1721829.7400000002</v>
      </c>
      <c r="AC6473" s="6">
        <f t="shared" si="1004"/>
        <v>0</v>
      </c>
      <c r="AD6473" s="6">
        <f t="shared" si="1002"/>
        <v>1721829.7400000002</v>
      </c>
      <c r="AE6473" s="14">
        <v>0.06</v>
      </c>
      <c r="AF6473" s="6">
        <f t="shared" si="998"/>
        <v>103309.7844</v>
      </c>
      <c r="AG6473" s="14">
        <v>0</v>
      </c>
      <c r="AH6473" s="64">
        <f t="shared" si="1003"/>
        <v>1721829.7400000002</v>
      </c>
      <c r="AJ6473" s="126" t="e">
        <v>#N/A</v>
      </c>
      <c r="AK6473" s="80">
        <f t="shared" si="1007"/>
        <v>0</v>
      </c>
      <c r="AL6473" s="85"/>
      <c r="AM6473" s="85"/>
    </row>
    <row r="6474" spans="1:39" s="86" customFormat="1" ht="13.25" hidden="1" customHeight="1" x14ac:dyDescent="0.3">
      <c r="A6474" s="89" t="s">
        <v>3794</v>
      </c>
      <c r="B6474" s="86" t="s">
        <v>35</v>
      </c>
      <c r="C6474" s="86" t="s">
        <v>3857</v>
      </c>
      <c r="D6474" s="86" t="s">
        <v>3858</v>
      </c>
      <c r="E6474" s="86" t="s">
        <v>110</v>
      </c>
      <c r="F6474" s="86" t="s">
        <v>110</v>
      </c>
      <c r="G6474" s="86" t="s">
        <v>110</v>
      </c>
      <c r="H6474" s="144">
        <v>229</v>
      </c>
      <c r="I6474" s="86" t="s">
        <v>3356</v>
      </c>
      <c r="J6474" s="47" t="s">
        <v>3326</v>
      </c>
      <c r="K6474" s="47" t="str">
        <f t="shared" si="999"/>
        <v>巨量引擎-三类</v>
      </c>
      <c r="L6474" s="47" t="s">
        <v>35</v>
      </c>
      <c r="N6474" s="86" t="s">
        <v>3712</v>
      </c>
      <c r="O6474" s="47" t="s">
        <v>45</v>
      </c>
      <c r="P6474" s="47" t="s">
        <v>41</v>
      </c>
      <c r="Q6474" s="14">
        <v>0</v>
      </c>
      <c r="R6474" s="143"/>
      <c r="S6474" s="47"/>
      <c r="T6474" s="6">
        <v>760786.9099999998</v>
      </c>
      <c r="U6474" s="6">
        <v>400000</v>
      </c>
      <c r="V6474" s="6">
        <v>607823.64000000013</v>
      </c>
      <c r="W6474" s="6">
        <f t="shared" si="1000"/>
        <v>552963.26999999955</v>
      </c>
      <c r="X6474" s="6">
        <f t="shared" si="1001"/>
        <v>607823.64000000013</v>
      </c>
      <c r="Y6474" s="13">
        <f t="shared" si="1005"/>
        <v>0</v>
      </c>
      <c r="Z6474" s="66">
        <v>0</v>
      </c>
      <c r="AA6474" s="6">
        <v>0</v>
      </c>
      <c r="AB6474" s="4">
        <f t="shared" si="1006"/>
        <v>607823.64000000013</v>
      </c>
      <c r="AC6474" s="6">
        <f t="shared" si="1004"/>
        <v>0</v>
      </c>
      <c r="AD6474" s="6">
        <f t="shared" si="1002"/>
        <v>607823.64000000013</v>
      </c>
      <c r="AE6474" s="14">
        <v>0.06</v>
      </c>
      <c r="AF6474" s="6">
        <f t="shared" si="998"/>
        <v>36469.41840000001</v>
      </c>
      <c r="AG6474" s="14">
        <v>0</v>
      </c>
      <c r="AH6474" s="64">
        <f t="shared" si="1003"/>
        <v>607823.64000000013</v>
      </c>
      <c r="AJ6474" s="126" t="e">
        <v>#N/A</v>
      </c>
      <c r="AK6474" s="80">
        <f t="shared" si="1007"/>
        <v>0</v>
      </c>
      <c r="AL6474" s="85"/>
      <c r="AM6474" s="85"/>
    </row>
    <row r="6475" spans="1:39" s="86" customFormat="1" ht="13.25" hidden="1" customHeight="1" x14ac:dyDescent="0.3">
      <c r="A6475" s="89" t="s">
        <v>3792</v>
      </c>
      <c r="B6475" s="86" t="s">
        <v>35</v>
      </c>
      <c r="C6475" s="86" t="s">
        <v>3857</v>
      </c>
      <c r="D6475" s="86" t="s">
        <v>3858</v>
      </c>
      <c r="E6475" s="86" t="s">
        <v>111</v>
      </c>
      <c r="F6475" s="86" t="s">
        <v>111</v>
      </c>
      <c r="G6475" s="86" t="s">
        <v>111</v>
      </c>
      <c r="H6475" s="144">
        <v>229</v>
      </c>
      <c r="I6475" s="86" t="s">
        <v>3356</v>
      </c>
      <c r="J6475" s="47" t="s">
        <v>3326</v>
      </c>
      <c r="K6475" s="47" t="str">
        <f t="shared" si="999"/>
        <v>巨量引擎-三类</v>
      </c>
      <c r="L6475" s="47" t="s">
        <v>35</v>
      </c>
      <c r="N6475" s="86" t="s">
        <v>3712</v>
      </c>
      <c r="O6475" s="47" t="s">
        <v>45</v>
      </c>
      <c r="P6475" s="47" t="s">
        <v>41</v>
      </c>
      <c r="Q6475" s="14">
        <v>0</v>
      </c>
      <c r="R6475" s="143"/>
      <c r="S6475" s="47"/>
      <c r="T6475" s="6">
        <v>65363.549999999988</v>
      </c>
      <c r="U6475" s="6">
        <v>400000</v>
      </c>
      <c r="V6475" s="6">
        <v>400808.30000000005</v>
      </c>
      <c r="W6475" s="6">
        <f t="shared" si="1000"/>
        <v>64555.249999999942</v>
      </c>
      <c r="X6475" s="6">
        <f t="shared" si="1001"/>
        <v>400808.30000000005</v>
      </c>
      <c r="Y6475" s="13">
        <f t="shared" si="1005"/>
        <v>0</v>
      </c>
      <c r="Z6475" s="66">
        <v>0</v>
      </c>
      <c r="AA6475" s="6">
        <v>0</v>
      </c>
      <c r="AB6475" s="4">
        <f t="shared" si="1006"/>
        <v>400808.30000000005</v>
      </c>
      <c r="AC6475" s="6">
        <f t="shared" si="1004"/>
        <v>0</v>
      </c>
      <c r="AD6475" s="6">
        <f t="shared" si="1002"/>
        <v>400808.30000000005</v>
      </c>
      <c r="AE6475" s="14">
        <v>0.06</v>
      </c>
      <c r="AF6475" s="6">
        <f t="shared" si="998"/>
        <v>24048.498000000003</v>
      </c>
      <c r="AG6475" s="14">
        <v>0</v>
      </c>
      <c r="AH6475" s="64">
        <f t="shared" si="1003"/>
        <v>400808.30000000005</v>
      </c>
      <c r="AJ6475" s="126" t="e">
        <v>#N/A</v>
      </c>
      <c r="AK6475" s="80">
        <f t="shared" si="1007"/>
        <v>0</v>
      </c>
      <c r="AL6475" s="85"/>
      <c r="AM6475" s="85"/>
    </row>
    <row r="6476" spans="1:39" s="86" customFormat="1" ht="13.25" hidden="1" customHeight="1" x14ac:dyDescent="0.3">
      <c r="A6476" s="89" t="s">
        <v>3794</v>
      </c>
      <c r="B6476" s="86" t="s">
        <v>35</v>
      </c>
      <c r="C6476" s="86" t="s">
        <v>187</v>
      </c>
      <c r="D6476" s="86" t="s">
        <v>188</v>
      </c>
      <c r="E6476" s="86" t="s">
        <v>3943</v>
      </c>
      <c r="F6476" s="86" t="s">
        <v>3943</v>
      </c>
      <c r="G6476" s="86" t="s">
        <v>3943</v>
      </c>
      <c r="H6476" s="144">
        <v>229</v>
      </c>
      <c r="I6476" s="86" t="s">
        <v>3356</v>
      </c>
      <c r="J6476" s="47" t="s">
        <v>3326</v>
      </c>
      <c r="K6476" s="47" t="str">
        <f t="shared" si="999"/>
        <v>巨量引擎-游戏</v>
      </c>
      <c r="L6476" s="47" t="s">
        <v>35</v>
      </c>
      <c r="N6476" s="86" t="s">
        <v>3283</v>
      </c>
      <c r="O6476" s="47" t="s">
        <v>45</v>
      </c>
      <c r="P6476" s="47" t="s">
        <v>46</v>
      </c>
      <c r="Q6476" s="14">
        <v>0.04</v>
      </c>
      <c r="R6476" s="143"/>
      <c r="S6476" s="47"/>
      <c r="T6476" s="6">
        <v>0</v>
      </c>
      <c r="U6476" s="6">
        <v>35360000</v>
      </c>
      <c r="V6476" s="6">
        <v>32444699.089999966</v>
      </c>
      <c r="W6476" s="6">
        <f t="shared" si="1000"/>
        <v>2915300.9100000337</v>
      </c>
      <c r="X6476" s="6">
        <f t="shared" si="1001"/>
        <v>31196826.04807689</v>
      </c>
      <c r="Y6476" s="13">
        <f t="shared" si="1005"/>
        <v>0</v>
      </c>
      <c r="Z6476" s="66">
        <v>0</v>
      </c>
      <c r="AA6476" s="6">
        <v>0</v>
      </c>
      <c r="AB6476" s="4">
        <f t="shared" si="1006"/>
        <v>31196826.04807689</v>
      </c>
      <c r="AC6476" s="6">
        <f t="shared" si="1004"/>
        <v>1247873.0419230759</v>
      </c>
      <c r="AD6476" s="6">
        <f t="shared" si="1002"/>
        <v>32444699.089999966</v>
      </c>
      <c r="AE6476" s="14">
        <v>0.06</v>
      </c>
      <c r="AF6476" s="6">
        <f t="shared" si="998"/>
        <v>1946681.945399998</v>
      </c>
      <c r="AG6476" s="14">
        <v>0</v>
      </c>
      <c r="AH6476" s="64">
        <f t="shared" si="1003"/>
        <v>32444699.089999966</v>
      </c>
      <c r="AJ6476" s="126" t="e">
        <v>#N/A</v>
      </c>
      <c r="AK6476" s="80">
        <f t="shared" si="1007"/>
        <v>0</v>
      </c>
      <c r="AL6476" s="85"/>
      <c r="AM6476" s="85"/>
    </row>
    <row r="6477" spans="1:39" s="86" customFormat="1" ht="13.25" hidden="1" customHeight="1" x14ac:dyDescent="0.3">
      <c r="A6477" s="89" t="s">
        <v>3794</v>
      </c>
      <c r="B6477" s="86" t="s">
        <v>35</v>
      </c>
      <c r="C6477" s="86" t="s">
        <v>187</v>
      </c>
      <c r="D6477" s="86" t="s">
        <v>188</v>
      </c>
      <c r="E6477" s="86" t="s">
        <v>189</v>
      </c>
      <c r="F6477" s="86" t="s">
        <v>189</v>
      </c>
      <c r="G6477" s="86" t="s">
        <v>189</v>
      </c>
      <c r="H6477" s="144">
        <v>229</v>
      </c>
      <c r="I6477" s="86" t="s">
        <v>3356</v>
      </c>
      <c r="J6477" s="47" t="s">
        <v>3326</v>
      </c>
      <c r="K6477" s="47" t="str">
        <f t="shared" si="999"/>
        <v>巨量引擎-游戏</v>
      </c>
      <c r="L6477" s="47" t="s">
        <v>35</v>
      </c>
      <c r="N6477" s="86" t="s">
        <v>3283</v>
      </c>
      <c r="O6477" s="47" t="s">
        <v>45</v>
      </c>
      <c r="P6477" s="47" t="s">
        <v>46</v>
      </c>
      <c r="Q6477" s="14">
        <v>0.03</v>
      </c>
      <c r="R6477" s="143"/>
      <c r="S6477" s="47"/>
      <c r="T6477" s="6">
        <v>693940.94000000053</v>
      </c>
      <c r="U6477" s="6">
        <v>267800</v>
      </c>
      <c r="V6477" s="6">
        <v>675721.66999999993</v>
      </c>
      <c r="W6477" s="6">
        <f t="shared" si="1000"/>
        <v>286019.2700000006</v>
      </c>
      <c r="X6477" s="6">
        <f t="shared" si="1001"/>
        <v>656040.45631067955</v>
      </c>
      <c r="Y6477" s="13">
        <f t="shared" si="1005"/>
        <v>0</v>
      </c>
      <c r="Z6477" s="66">
        <v>0</v>
      </c>
      <c r="AA6477" s="6">
        <v>0</v>
      </c>
      <c r="AB6477" s="4">
        <f t="shared" si="1006"/>
        <v>656040.45631067955</v>
      </c>
      <c r="AC6477" s="6">
        <f t="shared" si="1004"/>
        <v>19681.213689320371</v>
      </c>
      <c r="AD6477" s="6">
        <f t="shared" si="1002"/>
        <v>675721.66999999993</v>
      </c>
      <c r="AE6477" s="14">
        <v>0.06</v>
      </c>
      <c r="AF6477" s="6">
        <f t="shared" si="998"/>
        <v>40543.300199999991</v>
      </c>
      <c r="AG6477" s="14">
        <v>0</v>
      </c>
      <c r="AH6477" s="64">
        <f t="shared" si="1003"/>
        <v>675721.66999999993</v>
      </c>
      <c r="AJ6477" s="126" t="e">
        <v>#N/A</v>
      </c>
      <c r="AK6477" s="80">
        <f t="shared" si="1007"/>
        <v>0</v>
      </c>
      <c r="AL6477" s="85"/>
      <c r="AM6477" s="85"/>
    </row>
    <row r="6478" spans="1:39" s="86" customFormat="1" ht="13.25" hidden="1" customHeight="1" x14ac:dyDescent="0.3">
      <c r="A6478" s="89" t="s">
        <v>3792</v>
      </c>
      <c r="B6478" s="86" t="s">
        <v>35</v>
      </c>
      <c r="C6478" s="86" t="s">
        <v>187</v>
      </c>
      <c r="D6478" s="86" t="s">
        <v>188</v>
      </c>
      <c r="E6478" s="86" t="s">
        <v>191</v>
      </c>
      <c r="F6478" s="86" t="s">
        <v>191</v>
      </c>
      <c r="G6478" s="86" t="s">
        <v>191</v>
      </c>
      <c r="H6478" s="143">
        <v>229</v>
      </c>
      <c r="I6478" s="86" t="s">
        <v>3356</v>
      </c>
      <c r="J6478" s="47" t="s">
        <v>3326</v>
      </c>
      <c r="K6478" s="47" t="str">
        <f t="shared" si="999"/>
        <v>巨量引擎-游戏</v>
      </c>
      <c r="L6478" s="47" t="s">
        <v>35</v>
      </c>
      <c r="N6478" s="86" t="s">
        <v>3283</v>
      </c>
      <c r="O6478" s="47" t="s">
        <v>45</v>
      </c>
      <c r="P6478" s="47" t="s">
        <v>46</v>
      </c>
      <c r="Q6478" s="14">
        <v>0.03</v>
      </c>
      <c r="R6478" s="143"/>
      <c r="S6478" s="47"/>
      <c r="T6478" s="6">
        <v>87737.87999999999</v>
      </c>
      <c r="U6478" s="6">
        <v>-87578.9</v>
      </c>
      <c r="V6478" s="6">
        <v>0</v>
      </c>
      <c r="W6478" s="6">
        <v>0</v>
      </c>
      <c r="X6478" s="6">
        <f t="shared" si="1001"/>
        <v>0</v>
      </c>
      <c r="Y6478" s="13">
        <f t="shared" si="1005"/>
        <v>0</v>
      </c>
      <c r="Z6478" s="66">
        <v>0</v>
      </c>
      <c r="AA6478" s="6">
        <v>0</v>
      </c>
      <c r="AB6478" s="4">
        <f t="shared" si="1006"/>
        <v>0</v>
      </c>
      <c r="AC6478" s="6">
        <f t="shared" si="1004"/>
        <v>0</v>
      </c>
      <c r="AD6478" s="6">
        <f t="shared" si="1002"/>
        <v>0</v>
      </c>
      <c r="AE6478" s="14">
        <v>0.06</v>
      </c>
      <c r="AF6478" s="6">
        <f t="shared" si="998"/>
        <v>0</v>
      </c>
      <c r="AG6478" s="14">
        <v>0</v>
      </c>
      <c r="AH6478" s="64">
        <f t="shared" si="1003"/>
        <v>0</v>
      </c>
      <c r="AJ6478" s="126" t="e">
        <v>#N/A</v>
      </c>
      <c r="AK6478" s="80">
        <f t="shared" si="1007"/>
        <v>0</v>
      </c>
      <c r="AL6478" s="85"/>
      <c r="AM6478" s="85"/>
    </row>
    <row r="6479" spans="1:39" s="86" customFormat="1" ht="13.25" hidden="1" customHeight="1" x14ac:dyDescent="0.3">
      <c r="A6479" s="89" t="s">
        <v>3794</v>
      </c>
      <c r="B6479" s="86" t="s">
        <v>35</v>
      </c>
      <c r="C6479" s="86" t="s">
        <v>187</v>
      </c>
      <c r="D6479" s="86" t="s">
        <v>188</v>
      </c>
      <c r="E6479" s="86" t="s">
        <v>192</v>
      </c>
      <c r="F6479" s="86" t="s">
        <v>192</v>
      </c>
      <c r="G6479" s="86" t="s">
        <v>192</v>
      </c>
      <c r="H6479" s="144">
        <v>229</v>
      </c>
      <c r="I6479" s="86" t="s">
        <v>3356</v>
      </c>
      <c r="J6479" s="47" t="s">
        <v>3326</v>
      </c>
      <c r="K6479" s="47" t="str">
        <f t="shared" si="999"/>
        <v>巨量引擎-游戏</v>
      </c>
      <c r="L6479" s="47" t="s">
        <v>35</v>
      </c>
      <c r="N6479" s="86" t="s">
        <v>3283</v>
      </c>
      <c r="O6479" s="47" t="s">
        <v>45</v>
      </c>
      <c r="P6479" s="47" t="s">
        <v>46</v>
      </c>
      <c r="Q6479" s="14">
        <v>0.06</v>
      </c>
      <c r="R6479" s="143"/>
      <c r="S6479" s="47" t="s">
        <v>3944</v>
      </c>
      <c r="T6479" s="6">
        <v>12231574.519999981</v>
      </c>
      <c r="U6479" s="6">
        <v>3000000</v>
      </c>
      <c r="V6479" s="6">
        <v>10196964.659999989</v>
      </c>
      <c r="W6479" s="6">
        <f t="shared" si="1000"/>
        <v>5034609.859999992</v>
      </c>
      <c r="X6479" s="6">
        <f>IF(P6479="折扣",V6479*Q6479,IF(P6479="返现",V6479,V6479/(1+Q6479)))+30837.61</f>
        <v>9650615.5911320634</v>
      </c>
      <c r="Y6479" s="13">
        <f t="shared" si="1005"/>
        <v>0</v>
      </c>
      <c r="Z6479" s="66">
        <v>0</v>
      </c>
      <c r="AA6479" s="6">
        <v>0</v>
      </c>
      <c r="AB6479" s="4">
        <f t="shared" si="1006"/>
        <v>9650615.5911320634</v>
      </c>
      <c r="AC6479" s="6">
        <f t="shared" si="1004"/>
        <v>546349.06886792555</v>
      </c>
      <c r="AD6479" s="6">
        <f t="shared" si="1002"/>
        <v>10196964.659999989</v>
      </c>
      <c r="AE6479" s="14">
        <v>0.06</v>
      </c>
      <c r="AF6479" s="6">
        <f t="shared" si="998"/>
        <v>611817.87959999929</v>
      </c>
      <c r="AG6479" s="14">
        <v>0</v>
      </c>
      <c r="AH6479" s="64">
        <f t="shared" si="1003"/>
        <v>10196964.659999989</v>
      </c>
      <c r="AJ6479" s="126" t="e">
        <v>#N/A</v>
      </c>
      <c r="AK6479" s="80">
        <f t="shared" si="1007"/>
        <v>0</v>
      </c>
      <c r="AL6479" s="85"/>
      <c r="AM6479" s="85"/>
    </row>
    <row r="6480" spans="1:39" s="86" customFormat="1" ht="13.25" hidden="1" customHeight="1" x14ac:dyDescent="0.3">
      <c r="A6480" s="89" t="s">
        <v>3794</v>
      </c>
      <c r="B6480" s="86" t="s">
        <v>35</v>
      </c>
      <c r="C6480" s="86" t="s">
        <v>187</v>
      </c>
      <c r="D6480" s="86" t="s">
        <v>188</v>
      </c>
      <c r="E6480" s="86" t="s">
        <v>193</v>
      </c>
      <c r="F6480" s="86" t="s">
        <v>193</v>
      </c>
      <c r="G6480" s="86" t="s">
        <v>193</v>
      </c>
      <c r="H6480" s="144">
        <v>229</v>
      </c>
      <c r="I6480" s="86" t="s">
        <v>3356</v>
      </c>
      <c r="J6480" s="47" t="s">
        <v>3326</v>
      </c>
      <c r="K6480" s="47" t="str">
        <f t="shared" si="999"/>
        <v>巨量引擎-游戏</v>
      </c>
      <c r="L6480" s="47" t="s">
        <v>35</v>
      </c>
      <c r="N6480" s="86" t="s">
        <v>3283</v>
      </c>
      <c r="O6480" s="47" t="s">
        <v>45</v>
      </c>
      <c r="P6480" s="47" t="s">
        <v>46</v>
      </c>
      <c r="Q6480" s="14">
        <v>0.04</v>
      </c>
      <c r="R6480" s="143"/>
      <c r="S6480" s="47"/>
      <c r="T6480" s="6">
        <v>943576.8200000003</v>
      </c>
      <c r="U6480" s="6">
        <v>1352000</v>
      </c>
      <c r="V6480" s="6">
        <v>1644201.3200000003</v>
      </c>
      <c r="W6480" s="6">
        <f t="shared" si="1000"/>
        <v>651375.5</v>
      </c>
      <c r="X6480" s="6">
        <f t="shared" si="1001"/>
        <v>1580962.807692308</v>
      </c>
      <c r="Y6480" s="13">
        <f t="shared" si="1005"/>
        <v>0</v>
      </c>
      <c r="Z6480" s="66">
        <v>0</v>
      </c>
      <c r="AA6480" s="6">
        <v>0</v>
      </c>
      <c r="AB6480" s="4">
        <f t="shared" si="1006"/>
        <v>1580962.807692308</v>
      </c>
      <c r="AC6480" s="6">
        <f t="shared" si="1004"/>
        <v>63238.512307692319</v>
      </c>
      <c r="AD6480" s="6">
        <f t="shared" si="1002"/>
        <v>1644201.3200000003</v>
      </c>
      <c r="AE6480" s="14">
        <v>0.06</v>
      </c>
      <c r="AF6480" s="6">
        <f t="shared" si="998"/>
        <v>98652.079200000007</v>
      </c>
      <c r="AG6480" s="14">
        <v>0</v>
      </c>
      <c r="AH6480" s="64">
        <f t="shared" si="1003"/>
        <v>1644201.3200000003</v>
      </c>
      <c r="AJ6480" s="126" t="e">
        <v>#N/A</v>
      </c>
      <c r="AK6480" s="80">
        <f t="shared" si="1007"/>
        <v>0</v>
      </c>
      <c r="AL6480" s="85"/>
      <c r="AM6480" s="85"/>
    </row>
    <row r="6481" spans="1:39" s="86" customFormat="1" ht="13.25" hidden="1" customHeight="1" x14ac:dyDescent="0.3">
      <c r="A6481" s="89" t="s">
        <v>3794</v>
      </c>
      <c r="B6481" s="86" t="s">
        <v>35</v>
      </c>
      <c r="C6481" s="86" t="s">
        <v>187</v>
      </c>
      <c r="D6481" s="86" t="s">
        <v>188</v>
      </c>
      <c r="E6481" s="86" t="s">
        <v>3945</v>
      </c>
      <c r="F6481" s="86" t="s">
        <v>3945</v>
      </c>
      <c r="G6481" s="86" t="s">
        <v>3945</v>
      </c>
      <c r="H6481" s="144">
        <v>229</v>
      </c>
      <c r="I6481" s="86" t="s">
        <v>3356</v>
      </c>
      <c r="J6481" s="47" t="s">
        <v>3326</v>
      </c>
      <c r="K6481" s="47" t="str">
        <f t="shared" si="999"/>
        <v>巨量引擎-游戏</v>
      </c>
      <c r="L6481" s="47" t="s">
        <v>35</v>
      </c>
      <c r="N6481" s="86" t="s">
        <v>3283</v>
      </c>
      <c r="O6481" s="47" t="s">
        <v>45</v>
      </c>
      <c r="P6481" s="47" t="s">
        <v>46</v>
      </c>
      <c r="Q6481" s="14">
        <v>0.06</v>
      </c>
      <c r="R6481" s="143"/>
      <c r="S6481" s="47"/>
      <c r="T6481" s="6">
        <v>0</v>
      </c>
      <c r="U6481" s="6">
        <v>1254000</v>
      </c>
      <c r="V6481" s="6">
        <v>701022.46</v>
      </c>
      <c r="W6481" s="6">
        <f t="shared" si="1000"/>
        <v>552977.54</v>
      </c>
      <c r="X6481" s="6">
        <f t="shared" si="1001"/>
        <v>661341.94339622639</v>
      </c>
      <c r="Y6481" s="13">
        <f t="shared" si="1005"/>
        <v>0</v>
      </c>
      <c r="Z6481" s="66">
        <v>0</v>
      </c>
      <c r="AA6481" s="6">
        <v>0</v>
      </c>
      <c r="AB6481" s="4">
        <f t="shared" si="1006"/>
        <v>661341.94339622639</v>
      </c>
      <c r="AC6481" s="6">
        <f t="shared" si="1004"/>
        <v>39680.516603773576</v>
      </c>
      <c r="AD6481" s="6">
        <f t="shared" si="1002"/>
        <v>701022.46</v>
      </c>
      <c r="AE6481" s="14">
        <v>0.06</v>
      </c>
      <c r="AF6481" s="6">
        <f t="shared" si="998"/>
        <v>42061.347599999994</v>
      </c>
      <c r="AG6481" s="14">
        <v>0</v>
      </c>
      <c r="AH6481" s="64">
        <f t="shared" si="1003"/>
        <v>701022.46</v>
      </c>
      <c r="AJ6481" s="126" t="e">
        <v>#N/A</v>
      </c>
      <c r="AK6481" s="80">
        <f t="shared" si="1007"/>
        <v>0</v>
      </c>
      <c r="AL6481" s="85"/>
      <c r="AM6481" s="85"/>
    </row>
    <row r="6482" spans="1:39" s="86" customFormat="1" ht="13.25" hidden="1" customHeight="1" x14ac:dyDescent="0.3">
      <c r="A6482" s="89" t="s">
        <v>3794</v>
      </c>
      <c r="B6482" s="86" t="s">
        <v>35</v>
      </c>
      <c r="C6482" s="86" t="s">
        <v>187</v>
      </c>
      <c r="D6482" s="86" t="s">
        <v>188</v>
      </c>
      <c r="E6482" s="86" t="s">
        <v>195</v>
      </c>
      <c r="F6482" s="86" t="s">
        <v>195</v>
      </c>
      <c r="G6482" s="86" t="s">
        <v>195</v>
      </c>
      <c r="H6482" s="144">
        <v>229</v>
      </c>
      <c r="I6482" s="86" t="s">
        <v>3356</v>
      </c>
      <c r="J6482" s="47" t="s">
        <v>3326</v>
      </c>
      <c r="K6482" s="47" t="str">
        <f t="shared" si="999"/>
        <v>巨量引擎-游戏</v>
      </c>
      <c r="L6482" s="47" t="s">
        <v>35</v>
      </c>
      <c r="N6482" s="86" t="s">
        <v>3283</v>
      </c>
      <c r="O6482" s="47" t="s">
        <v>45</v>
      </c>
      <c r="P6482" s="47" t="s">
        <v>46</v>
      </c>
      <c r="Q6482" s="14">
        <v>0.03</v>
      </c>
      <c r="R6482" s="143"/>
      <c r="S6482" s="47" t="s">
        <v>3946</v>
      </c>
      <c r="T6482" s="6">
        <v>43.870000005699694</v>
      </c>
      <c r="U6482" s="6">
        <v>48116.390000000014</v>
      </c>
      <c r="V6482" s="6">
        <v>48116.389999999992</v>
      </c>
      <c r="W6482" s="6">
        <f t="shared" si="1000"/>
        <v>43.870000005721522</v>
      </c>
      <c r="X6482" s="6">
        <f>IF(P6482="折扣",V6482*Q6482,IF(P6482="返现",V6482,V6482/(1+Q6482)))+20958.54</f>
        <v>67673.481747572805</v>
      </c>
      <c r="Y6482" s="13">
        <f t="shared" si="1005"/>
        <v>19557.091747572813</v>
      </c>
      <c r="Z6482" s="66">
        <v>0</v>
      </c>
      <c r="AA6482" s="6">
        <v>0</v>
      </c>
      <c r="AB6482" s="4">
        <f t="shared" si="1006"/>
        <v>67673.481747572805</v>
      </c>
      <c r="AC6482" s="6">
        <f t="shared" si="1004"/>
        <v>-19557.091747572813</v>
      </c>
      <c r="AD6482" s="6">
        <f t="shared" si="1002"/>
        <v>48116.389999999992</v>
      </c>
      <c r="AE6482" s="14">
        <v>0.06</v>
      </c>
      <c r="AF6482" s="6">
        <f t="shared" si="998"/>
        <v>2886.9833999999996</v>
      </c>
      <c r="AG6482" s="14">
        <v>0</v>
      </c>
      <c r="AH6482" s="64">
        <f t="shared" si="1003"/>
        <v>48116.389999999992</v>
      </c>
      <c r="AJ6482" s="126" t="e">
        <v>#N/A</v>
      </c>
      <c r="AK6482" s="80">
        <f t="shared" si="1007"/>
        <v>0</v>
      </c>
      <c r="AL6482" s="85"/>
      <c r="AM6482" s="85"/>
    </row>
    <row r="6483" spans="1:39" s="86" customFormat="1" ht="13.25" hidden="1" customHeight="1" x14ac:dyDescent="0.3">
      <c r="A6483" s="89" t="s">
        <v>3794</v>
      </c>
      <c r="B6483" s="86" t="s">
        <v>35</v>
      </c>
      <c r="C6483" s="86" t="s">
        <v>187</v>
      </c>
      <c r="D6483" s="86" t="s">
        <v>188</v>
      </c>
      <c r="E6483" s="86" t="s">
        <v>198</v>
      </c>
      <c r="F6483" s="86" t="s">
        <v>198</v>
      </c>
      <c r="G6483" s="86" t="s">
        <v>198</v>
      </c>
      <c r="H6483" s="144">
        <v>229</v>
      </c>
      <c r="I6483" s="86" t="s">
        <v>3356</v>
      </c>
      <c r="J6483" s="47" t="s">
        <v>3326</v>
      </c>
      <c r="K6483" s="47" t="str">
        <f t="shared" si="999"/>
        <v>巨量引擎-游戏</v>
      </c>
      <c r="L6483" s="47" t="s">
        <v>35</v>
      </c>
      <c r="N6483" s="86" t="s">
        <v>3283</v>
      </c>
      <c r="O6483" s="47" t="s">
        <v>45</v>
      </c>
      <c r="P6483" s="47" t="s">
        <v>41</v>
      </c>
      <c r="Q6483" s="14">
        <v>0</v>
      </c>
      <c r="R6483" s="143"/>
      <c r="S6483" s="47"/>
      <c r="T6483" s="6">
        <v>85598.839999999618</v>
      </c>
      <c r="U6483" s="6">
        <v>230000</v>
      </c>
      <c r="V6483" s="6">
        <v>293060.27999999997</v>
      </c>
      <c r="W6483" s="6">
        <f t="shared" si="1000"/>
        <v>22538.559999999648</v>
      </c>
      <c r="X6483" s="6">
        <f t="shared" si="1001"/>
        <v>293060.27999999997</v>
      </c>
      <c r="Y6483" s="13">
        <f t="shared" si="1005"/>
        <v>0</v>
      </c>
      <c r="Z6483" s="66">
        <v>0</v>
      </c>
      <c r="AA6483" s="6">
        <v>0</v>
      </c>
      <c r="AB6483" s="4">
        <f t="shared" si="1006"/>
        <v>293060.27999999997</v>
      </c>
      <c r="AC6483" s="6">
        <f t="shared" si="1004"/>
        <v>0</v>
      </c>
      <c r="AD6483" s="6">
        <f t="shared" si="1002"/>
        <v>293060.27999999997</v>
      </c>
      <c r="AE6483" s="14">
        <v>0.06</v>
      </c>
      <c r="AF6483" s="6">
        <f t="shared" si="998"/>
        <v>17583.616799999996</v>
      </c>
      <c r="AG6483" s="14">
        <v>0</v>
      </c>
      <c r="AH6483" s="64">
        <f t="shared" si="1003"/>
        <v>293060.27999999997</v>
      </c>
      <c r="AJ6483" s="126" t="e">
        <v>#N/A</v>
      </c>
      <c r="AK6483" s="80">
        <f t="shared" si="1007"/>
        <v>0</v>
      </c>
      <c r="AL6483" s="85"/>
      <c r="AM6483" s="85"/>
    </row>
    <row r="6484" spans="1:39" s="86" customFormat="1" ht="13.25" hidden="1" customHeight="1" x14ac:dyDescent="0.3">
      <c r="A6484" s="89" t="s">
        <v>3792</v>
      </c>
      <c r="B6484" s="86" t="s">
        <v>35</v>
      </c>
      <c r="C6484" s="86" t="s">
        <v>187</v>
      </c>
      <c r="D6484" s="86" t="s">
        <v>188</v>
      </c>
      <c r="E6484" s="86" t="s">
        <v>199</v>
      </c>
      <c r="F6484" s="86" t="s">
        <v>199</v>
      </c>
      <c r="G6484" s="86" t="s">
        <v>199</v>
      </c>
      <c r="H6484" s="144">
        <v>229</v>
      </c>
      <c r="I6484" s="86" t="s">
        <v>3356</v>
      </c>
      <c r="J6484" s="47" t="s">
        <v>3326</v>
      </c>
      <c r="K6484" s="47" t="str">
        <f t="shared" si="999"/>
        <v>巨量引擎-游戏</v>
      </c>
      <c r="L6484" s="47" t="s">
        <v>35</v>
      </c>
      <c r="N6484" s="86" t="s">
        <v>3283</v>
      </c>
      <c r="O6484" s="47" t="s">
        <v>45</v>
      </c>
      <c r="P6484" s="47" t="s">
        <v>46</v>
      </c>
      <c r="Q6484" s="14">
        <v>0.02</v>
      </c>
      <c r="R6484" s="143"/>
      <c r="S6484" s="47" t="s">
        <v>3947</v>
      </c>
      <c r="T6484" s="6">
        <v>935253.32999999076</v>
      </c>
      <c r="U6484" s="6">
        <v>-878459.08</v>
      </c>
      <c r="V6484" s="6">
        <v>35353.979999999996</v>
      </c>
      <c r="W6484" s="6">
        <f t="shared" si="1000"/>
        <v>21440.269999990807</v>
      </c>
      <c r="X6484" s="6">
        <f>IF(P6484="折扣",V6484*Q6484,IF(P6484="返现",V6484,V6484/(1+Q6484)))+159463.29</f>
        <v>194124.05470588236</v>
      </c>
      <c r="Y6484" s="13">
        <f t="shared" si="1005"/>
        <v>158770.07470588235</v>
      </c>
      <c r="Z6484" s="66">
        <v>0</v>
      </c>
      <c r="AA6484" s="6">
        <v>0</v>
      </c>
      <c r="AB6484" s="4">
        <f t="shared" si="1006"/>
        <v>194124.05470588236</v>
      </c>
      <c r="AC6484" s="6">
        <f t="shared" si="1004"/>
        <v>-158770.07470588235</v>
      </c>
      <c r="AD6484" s="6">
        <f t="shared" si="1002"/>
        <v>35353.979999999996</v>
      </c>
      <c r="AE6484" s="14">
        <v>0.06</v>
      </c>
      <c r="AF6484" s="6">
        <f t="shared" si="998"/>
        <v>2121.2387999999996</v>
      </c>
      <c r="AG6484" s="14">
        <v>0</v>
      </c>
      <c r="AH6484" s="64">
        <f t="shared" si="1003"/>
        <v>35353.979999999996</v>
      </c>
      <c r="AJ6484" s="126" t="e">
        <v>#N/A</v>
      </c>
      <c r="AK6484" s="80">
        <f t="shared" si="1007"/>
        <v>0</v>
      </c>
      <c r="AL6484" s="85"/>
      <c r="AM6484" s="85"/>
    </row>
    <row r="6485" spans="1:39" s="86" customFormat="1" ht="13.25" hidden="1" customHeight="1" x14ac:dyDescent="0.3">
      <c r="A6485" s="89" t="s">
        <v>3792</v>
      </c>
      <c r="B6485" s="86" t="s">
        <v>35</v>
      </c>
      <c r="C6485" s="86" t="s">
        <v>187</v>
      </c>
      <c r="D6485" s="86" t="s">
        <v>188</v>
      </c>
      <c r="E6485" s="86" t="s">
        <v>202</v>
      </c>
      <c r="F6485" s="86" t="s">
        <v>202</v>
      </c>
      <c r="G6485" s="86" t="s">
        <v>202</v>
      </c>
      <c r="H6485" s="144">
        <v>229</v>
      </c>
      <c r="I6485" s="86" t="s">
        <v>3356</v>
      </c>
      <c r="J6485" s="47" t="s">
        <v>3326</v>
      </c>
      <c r="K6485" s="47" t="str">
        <f t="shared" si="999"/>
        <v>巨量引擎-游戏</v>
      </c>
      <c r="L6485" s="47" t="s">
        <v>35</v>
      </c>
      <c r="N6485" s="86" t="s">
        <v>3283</v>
      </c>
      <c r="O6485" s="47" t="s">
        <v>45</v>
      </c>
      <c r="P6485" s="47" t="s">
        <v>46</v>
      </c>
      <c r="Q6485" s="14">
        <v>0.04</v>
      </c>
      <c r="R6485" s="143"/>
      <c r="S6485" s="47" t="s">
        <v>3948</v>
      </c>
      <c r="T6485" s="6">
        <v>1547118.4000000115</v>
      </c>
      <c r="U6485" s="6">
        <v>3396157.37</v>
      </c>
      <c r="V6485" s="6">
        <v>3512783.3199999994</v>
      </c>
      <c r="W6485" s="6">
        <f t="shared" si="1000"/>
        <v>1430492.4500000123</v>
      </c>
      <c r="X6485" s="6">
        <f>IF(P6485="折扣",V6485*Q6485,IF(P6485="返现",V6485,V6485/(1+Q6485)))+87.45</f>
        <v>3377763.7192307687</v>
      </c>
      <c r="Y6485" s="13">
        <f t="shared" si="1005"/>
        <v>0</v>
      </c>
      <c r="Z6485" s="66">
        <v>0</v>
      </c>
      <c r="AA6485" s="6">
        <v>0</v>
      </c>
      <c r="AB6485" s="4">
        <f t="shared" si="1006"/>
        <v>3377763.7192307687</v>
      </c>
      <c r="AC6485" s="6">
        <f t="shared" si="1004"/>
        <v>135019.60076923063</v>
      </c>
      <c r="AD6485" s="6">
        <f t="shared" si="1002"/>
        <v>3512783.3199999994</v>
      </c>
      <c r="AE6485" s="14">
        <v>0.06</v>
      </c>
      <c r="AF6485" s="6">
        <f t="shared" si="998"/>
        <v>210766.99919999996</v>
      </c>
      <c r="AG6485" s="14">
        <v>0</v>
      </c>
      <c r="AH6485" s="64">
        <f t="shared" si="1003"/>
        <v>3512783.3199999994</v>
      </c>
      <c r="AJ6485" s="126" t="e">
        <v>#N/A</v>
      </c>
      <c r="AK6485" s="80">
        <f t="shared" si="1007"/>
        <v>0</v>
      </c>
      <c r="AL6485" s="85"/>
      <c r="AM6485" s="85"/>
    </row>
    <row r="6486" spans="1:39" s="86" customFormat="1" ht="13.25" hidden="1" customHeight="1" x14ac:dyDescent="0.3">
      <c r="A6486" s="89" t="s">
        <v>3792</v>
      </c>
      <c r="B6486" s="86" t="s">
        <v>35</v>
      </c>
      <c r="C6486" s="86" t="s">
        <v>187</v>
      </c>
      <c r="D6486" s="86" t="s">
        <v>188</v>
      </c>
      <c r="E6486" s="86" t="s">
        <v>202</v>
      </c>
      <c r="F6486" s="86" t="s">
        <v>202</v>
      </c>
      <c r="G6486" s="86" t="s">
        <v>202</v>
      </c>
      <c r="H6486" s="144">
        <v>229</v>
      </c>
      <c r="I6486" s="86" t="s">
        <v>3356</v>
      </c>
      <c r="J6486" s="47" t="s">
        <v>3326</v>
      </c>
      <c r="K6486" s="47" t="str">
        <f t="shared" si="999"/>
        <v>巨量引擎-游戏</v>
      </c>
      <c r="L6486" s="47" t="s">
        <v>35</v>
      </c>
      <c r="N6486" s="86" t="s">
        <v>3283</v>
      </c>
      <c r="O6486" s="47" t="s">
        <v>45</v>
      </c>
      <c r="P6486" s="47" t="s">
        <v>41</v>
      </c>
      <c r="Q6486" s="14">
        <v>0</v>
      </c>
      <c r="R6486" s="143"/>
      <c r="S6486" s="47"/>
      <c r="T6486" s="6">
        <v>1011685.4400000006</v>
      </c>
      <c r="U6486" s="6">
        <v>-2882313.25</v>
      </c>
      <c r="V6486" s="6">
        <v>-1870627.8099999994</v>
      </c>
      <c r="W6486" s="6">
        <f t="shared" si="1000"/>
        <v>0</v>
      </c>
      <c r="X6486" s="6">
        <f t="shared" si="1001"/>
        <v>-1870627.8099999994</v>
      </c>
      <c r="Y6486" s="13">
        <f t="shared" si="1005"/>
        <v>0</v>
      </c>
      <c r="Z6486" s="66">
        <v>0</v>
      </c>
      <c r="AA6486" s="6">
        <v>0</v>
      </c>
      <c r="AB6486" s="4">
        <f t="shared" si="1006"/>
        <v>-1870627.8099999994</v>
      </c>
      <c r="AC6486" s="6">
        <f t="shared" si="1004"/>
        <v>0</v>
      </c>
      <c r="AD6486" s="6">
        <f t="shared" si="1002"/>
        <v>-1870627.8099999994</v>
      </c>
      <c r="AE6486" s="14">
        <v>0.06</v>
      </c>
      <c r="AF6486" s="6">
        <f t="shared" si="998"/>
        <v>-112237.66859999996</v>
      </c>
      <c r="AG6486" s="14">
        <v>0</v>
      </c>
      <c r="AH6486" s="64">
        <f t="shared" si="1003"/>
        <v>-1870627.8099999994</v>
      </c>
      <c r="AJ6486" s="126" t="e">
        <v>#N/A</v>
      </c>
      <c r="AK6486" s="80">
        <f t="shared" si="1007"/>
        <v>0</v>
      </c>
      <c r="AL6486" s="85"/>
      <c r="AM6486" s="85"/>
    </row>
    <row r="6487" spans="1:39" s="86" customFormat="1" ht="13.25" hidden="1" customHeight="1" x14ac:dyDescent="0.3">
      <c r="A6487" s="89" t="s">
        <v>3794</v>
      </c>
      <c r="B6487" s="86" t="s">
        <v>35</v>
      </c>
      <c r="C6487" s="86" t="s">
        <v>187</v>
      </c>
      <c r="D6487" s="86" t="s">
        <v>188</v>
      </c>
      <c r="E6487" s="86" t="s">
        <v>204</v>
      </c>
      <c r="F6487" s="86" t="s">
        <v>204</v>
      </c>
      <c r="G6487" s="86" t="s">
        <v>204</v>
      </c>
      <c r="H6487" s="144">
        <v>229</v>
      </c>
      <c r="I6487" s="86" t="s">
        <v>3356</v>
      </c>
      <c r="J6487" s="47" t="s">
        <v>3326</v>
      </c>
      <c r="K6487" s="47" t="str">
        <f t="shared" si="999"/>
        <v>巨量引擎-游戏</v>
      </c>
      <c r="L6487" s="47" t="s">
        <v>35</v>
      </c>
      <c r="N6487" s="86" t="s">
        <v>3283</v>
      </c>
      <c r="O6487" s="47" t="s">
        <v>45</v>
      </c>
      <c r="P6487" s="47" t="s">
        <v>46</v>
      </c>
      <c r="Q6487" s="14">
        <v>0.03</v>
      </c>
      <c r="R6487" s="143"/>
      <c r="S6487" s="47"/>
      <c r="T6487" s="6">
        <v>256800.93999999997</v>
      </c>
      <c r="U6487" s="6">
        <v>678170.83</v>
      </c>
      <c r="V6487" s="6">
        <v>678170.83</v>
      </c>
      <c r="W6487" s="6">
        <f t="shared" si="1000"/>
        <v>256800.93999999994</v>
      </c>
      <c r="X6487" s="6">
        <f t="shared" si="1001"/>
        <v>658418.281553398</v>
      </c>
      <c r="Y6487" s="13">
        <f t="shared" si="1005"/>
        <v>0</v>
      </c>
      <c r="Z6487" s="66">
        <v>0</v>
      </c>
      <c r="AA6487" s="6">
        <v>0</v>
      </c>
      <c r="AB6487" s="4">
        <f t="shared" si="1006"/>
        <v>658418.281553398</v>
      </c>
      <c r="AC6487" s="6">
        <f t="shared" si="1004"/>
        <v>19752.548446601955</v>
      </c>
      <c r="AD6487" s="6">
        <f t="shared" si="1002"/>
        <v>678170.83</v>
      </c>
      <c r="AE6487" s="14">
        <v>0.06</v>
      </c>
      <c r="AF6487" s="6">
        <f t="shared" si="998"/>
        <v>40690.249799999998</v>
      </c>
      <c r="AG6487" s="14">
        <v>0</v>
      </c>
      <c r="AH6487" s="64">
        <f t="shared" si="1003"/>
        <v>678170.83</v>
      </c>
      <c r="AJ6487" s="126" t="e">
        <v>#N/A</v>
      </c>
      <c r="AK6487" s="80">
        <f t="shared" si="1007"/>
        <v>0</v>
      </c>
      <c r="AL6487" s="85"/>
      <c r="AM6487" s="85"/>
    </row>
    <row r="6488" spans="1:39" s="86" customFormat="1" ht="13.25" hidden="1" customHeight="1" x14ac:dyDescent="0.3">
      <c r="A6488" s="89" t="s">
        <v>3794</v>
      </c>
      <c r="B6488" s="86" t="s">
        <v>35</v>
      </c>
      <c r="C6488" s="86" t="s">
        <v>187</v>
      </c>
      <c r="D6488" s="86" t="s">
        <v>188</v>
      </c>
      <c r="E6488" s="86" t="s">
        <v>204</v>
      </c>
      <c r="F6488" s="86" t="s">
        <v>204</v>
      </c>
      <c r="G6488" s="86" t="s">
        <v>204</v>
      </c>
      <c r="H6488" s="144">
        <v>229</v>
      </c>
      <c r="I6488" s="86" t="s">
        <v>3356</v>
      </c>
      <c r="J6488" s="47" t="s">
        <v>3326</v>
      </c>
      <c r="K6488" s="47" t="str">
        <f t="shared" si="999"/>
        <v>巨量引擎-游戏</v>
      </c>
      <c r="L6488" s="47" t="s">
        <v>35</v>
      </c>
      <c r="N6488" s="86" t="s">
        <v>3283</v>
      </c>
      <c r="O6488" s="47" t="s">
        <v>45</v>
      </c>
      <c r="P6488" s="47" t="s">
        <v>41</v>
      </c>
      <c r="Q6488" s="14">
        <v>0</v>
      </c>
      <c r="R6488" s="143"/>
      <c r="S6488" s="47"/>
      <c r="T6488" s="6">
        <v>0</v>
      </c>
      <c r="U6488" s="6">
        <v>-678170.83</v>
      </c>
      <c r="V6488" s="6">
        <v>-678170.83</v>
      </c>
      <c r="W6488" s="6">
        <f t="shared" si="1000"/>
        <v>0</v>
      </c>
      <c r="X6488" s="6">
        <f t="shared" si="1001"/>
        <v>-678170.83</v>
      </c>
      <c r="Y6488" s="13">
        <f t="shared" si="1005"/>
        <v>0</v>
      </c>
      <c r="Z6488" s="66">
        <v>0</v>
      </c>
      <c r="AA6488" s="6">
        <v>0</v>
      </c>
      <c r="AB6488" s="4">
        <f t="shared" si="1006"/>
        <v>-678170.83</v>
      </c>
      <c r="AC6488" s="6">
        <f t="shared" si="1004"/>
        <v>0</v>
      </c>
      <c r="AD6488" s="6">
        <f t="shared" si="1002"/>
        <v>-678170.83</v>
      </c>
      <c r="AE6488" s="14">
        <v>0.06</v>
      </c>
      <c r="AF6488" s="6">
        <f t="shared" si="998"/>
        <v>-40690.249799999998</v>
      </c>
      <c r="AG6488" s="14">
        <v>0</v>
      </c>
      <c r="AH6488" s="64">
        <f t="shared" si="1003"/>
        <v>-678170.83</v>
      </c>
      <c r="AJ6488" s="126" t="e">
        <v>#N/A</v>
      </c>
      <c r="AK6488" s="80">
        <f t="shared" si="1007"/>
        <v>0</v>
      </c>
      <c r="AL6488" s="85"/>
      <c r="AM6488" s="85"/>
    </row>
    <row r="6489" spans="1:39" s="86" customFormat="1" ht="13.25" hidden="1" customHeight="1" x14ac:dyDescent="0.3">
      <c r="A6489" s="89" t="s">
        <v>3794</v>
      </c>
      <c r="B6489" s="86" t="s">
        <v>35</v>
      </c>
      <c r="C6489" s="86" t="s">
        <v>187</v>
      </c>
      <c r="D6489" s="86" t="s">
        <v>188</v>
      </c>
      <c r="E6489" s="86" t="s">
        <v>205</v>
      </c>
      <c r="F6489" s="86" t="s">
        <v>205</v>
      </c>
      <c r="G6489" s="86" t="s">
        <v>205</v>
      </c>
      <c r="H6489" s="144">
        <v>229</v>
      </c>
      <c r="I6489" s="86" t="s">
        <v>3356</v>
      </c>
      <c r="J6489" s="47" t="s">
        <v>3326</v>
      </c>
      <c r="K6489" s="47" t="str">
        <f t="shared" si="999"/>
        <v>巨量引擎-游戏</v>
      </c>
      <c r="L6489" s="47" t="s">
        <v>35</v>
      </c>
      <c r="N6489" s="86" t="s">
        <v>3283</v>
      </c>
      <c r="O6489" s="47" t="s">
        <v>45</v>
      </c>
      <c r="P6489" s="47" t="s">
        <v>46</v>
      </c>
      <c r="Q6489" s="14">
        <v>0.04</v>
      </c>
      <c r="R6489" s="143"/>
      <c r="S6489" s="47"/>
      <c r="T6489" s="6">
        <v>0</v>
      </c>
      <c r="U6489" s="6">
        <v>156000</v>
      </c>
      <c r="V6489" s="6">
        <v>155999.99999998324</v>
      </c>
      <c r="W6489" s="6">
        <v>0</v>
      </c>
      <c r="X6489" s="6">
        <f t="shared" si="1001"/>
        <v>149999.99999998388</v>
      </c>
      <c r="Y6489" s="13">
        <f t="shared" si="1005"/>
        <v>0</v>
      </c>
      <c r="Z6489" s="66">
        <v>0</v>
      </c>
      <c r="AA6489" s="6">
        <v>0</v>
      </c>
      <c r="AB6489" s="4">
        <f t="shared" si="1006"/>
        <v>149999.99999998388</v>
      </c>
      <c r="AC6489" s="6">
        <f t="shared" si="1004"/>
        <v>5999.9999999993597</v>
      </c>
      <c r="AD6489" s="6">
        <f t="shared" si="1002"/>
        <v>155999.99999998324</v>
      </c>
      <c r="AE6489" s="14">
        <v>0.06</v>
      </c>
      <c r="AF6489" s="6">
        <f t="shared" si="998"/>
        <v>9359.9999999989941</v>
      </c>
      <c r="AG6489" s="14">
        <v>0</v>
      </c>
      <c r="AH6489" s="64">
        <f t="shared" si="1003"/>
        <v>155999.99999998324</v>
      </c>
      <c r="AJ6489" s="126" t="e">
        <v>#N/A</v>
      </c>
      <c r="AK6489" s="80">
        <f t="shared" si="1007"/>
        <v>0</v>
      </c>
      <c r="AL6489" s="85"/>
      <c r="AM6489" s="85"/>
    </row>
    <row r="6490" spans="1:39" s="86" customFormat="1" ht="13.25" hidden="1" customHeight="1" x14ac:dyDescent="0.3">
      <c r="A6490" s="89" t="s">
        <v>3794</v>
      </c>
      <c r="B6490" s="86" t="s">
        <v>35</v>
      </c>
      <c r="C6490" s="86" t="s">
        <v>187</v>
      </c>
      <c r="D6490" s="86" t="s">
        <v>188</v>
      </c>
      <c r="E6490" s="86" t="s">
        <v>3949</v>
      </c>
      <c r="F6490" s="86" t="s">
        <v>3949</v>
      </c>
      <c r="G6490" s="86" t="s">
        <v>3949</v>
      </c>
      <c r="H6490" s="144">
        <v>229</v>
      </c>
      <c r="I6490" s="86" t="s">
        <v>3356</v>
      </c>
      <c r="J6490" s="47" t="s">
        <v>3326</v>
      </c>
      <c r="K6490" s="47" t="str">
        <f t="shared" si="999"/>
        <v>巨量引擎-游戏</v>
      </c>
      <c r="L6490" s="47" t="s">
        <v>35</v>
      </c>
      <c r="N6490" s="86" t="s">
        <v>3283</v>
      </c>
      <c r="O6490" s="47" t="s">
        <v>45</v>
      </c>
      <c r="P6490" s="47" t="s">
        <v>41</v>
      </c>
      <c r="Q6490" s="14">
        <v>0</v>
      </c>
      <c r="R6490" s="143"/>
      <c r="S6490" s="47"/>
      <c r="T6490" s="6">
        <v>0</v>
      </c>
      <c r="U6490" s="6">
        <v>100000</v>
      </c>
      <c r="V6490" s="6">
        <v>95793.32</v>
      </c>
      <c r="W6490" s="6">
        <f t="shared" si="1000"/>
        <v>4206.679999999993</v>
      </c>
      <c r="X6490" s="6">
        <f t="shared" si="1001"/>
        <v>95793.32</v>
      </c>
      <c r="Y6490" s="13">
        <f t="shared" si="1005"/>
        <v>0</v>
      </c>
      <c r="Z6490" s="66">
        <v>0</v>
      </c>
      <c r="AA6490" s="6">
        <v>0</v>
      </c>
      <c r="AB6490" s="4">
        <f t="shared" si="1006"/>
        <v>95793.32</v>
      </c>
      <c r="AC6490" s="6">
        <f t="shared" si="1004"/>
        <v>0</v>
      </c>
      <c r="AD6490" s="6">
        <f t="shared" si="1002"/>
        <v>95793.32</v>
      </c>
      <c r="AE6490" s="14">
        <v>0.06</v>
      </c>
      <c r="AF6490" s="6">
        <f t="shared" si="998"/>
        <v>5747.5992000000006</v>
      </c>
      <c r="AG6490" s="14">
        <v>0</v>
      </c>
      <c r="AH6490" s="64">
        <f t="shared" si="1003"/>
        <v>95793.32</v>
      </c>
      <c r="AJ6490" s="126" t="e">
        <v>#N/A</v>
      </c>
      <c r="AK6490" s="80">
        <f t="shared" si="1007"/>
        <v>0</v>
      </c>
      <c r="AL6490" s="85"/>
      <c r="AM6490" s="85"/>
    </row>
    <row r="6491" spans="1:39" s="86" customFormat="1" ht="13.25" hidden="1" customHeight="1" x14ac:dyDescent="0.3">
      <c r="A6491" s="89" t="s">
        <v>3794</v>
      </c>
      <c r="B6491" s="86" t="s">
        <v>35</v>
      </c>
      <c r="C6491" s="86" t="s">
        <v>187</v>
      </c>
      <c r="D6491" s="86" t="s">
        <v>208</v>
      </c>
      <c r="E6491" s="86" t="s">
        <v>210</v>
      </c>
      <c r="F6491" s="86" t="s">
        <v>210</v>
      </c>
      <c r="G6491" s="86" t="s">
        <v>210</v>
      </c>
      <c r="H6491" s="144">
        <v>229</v>
      </c>
      <c r="I6491" s="86" t="s">
        <v>3356</v>
      </c>
      <c r="J6491" s="47" t="s">
        <v>3326</v>
      </c>
      <c r="K6491" s="47" t="str">
        <f t="shared" si="999"/>
        <v>巨量引擎-游戏</v>
      </c>
      <c r="L6491" s="47" t="s">
        <v>35</v>
      </c>
      <c r="N6491" s="86" t="s">
        <v>3283</v>
      </c>
      <c r="O6491" s="47" t="s">
        <v>45</v>
      </c>
      <c r="P6491" s="47" t="s">
        <v>46</v>
      </c>
      <c r="Q6491" s="14">
        <v>0.03</v>
      </c>
      <c r="R6491" s="143"/>
      <c r="S6491" s="47" t="s">
        <v>3950</v>
      </c>
      <c r="T6491" s="6">
        <v>294632.21999999986</v>
      </c>
      <c r="U6491" s="6">
        <v>3594170.16</v>
      </c>
      <c r="V6491" s="6">
        <v>3351066.089999998</v>
      </c>
      <c r="W6491" s="6">
        <f t="shared" si="1000"/>
        <v>537736.2900000019</v>
      </c>
      <c r="X6491" s="6">
        <f>IF(P6491="折扣",V6491*Q6491,IF(P6491="返现",V6491,V6491/(1+Q6491)))+5368.78</f>
        <v>3258831.0033009686</v>
      </c>
      <c r="Y6491" s="13">
        <f t="shared" si="1005"/>
        <v>0</v>
      </c>
      <c r="Z6491" s="66">
        <v>0</v>
      </c>
      <c r="AA6491" s="6">
        <v>0</v>
      </c>
      <c r="AB6491" s="4">
        <f t="shared" si="1006"/>
        <v>3258831.0033009686</v>
      </c>
      <c r="AC6491" s="6">
        <f t="shared" si="1004"/>
        <v>92235.086699029431</v>
      </c>
      <c r="AD6491" s="6">
        <f t="shared" si="1002"/>
        <v>3351066.089999998</v>
      </c>
      <c r="AE6491" s="14">
        <v>0.06</v>
      </c>
      <c r="AF6491" s="6">
        <f t="shared" si="998"/>
        <v>201063.96539999987</v>
      </c>
      <c r="AG6491" s="14">
        <v>0</v>
      </c>
      <c r="AH6491" s="64">
        <f t="shared" si="1003"/>
        <v>3351066.089999998</v>
      </c>
      <c r="AJ6491" s="126" t="e">
        <v>#N/A</v>
      </c>
      <c r="AK6491" s="80">
        <f t="shared" si="1007"/>
        <v>0</v>
      </c>
      <c r="AL6491" s="85"/>
      <c r="AM6491" s="85"/>
    </row>
    <row r="6492" spans="1:39" s="86" customFormat="1" ht="13.25" hidden="1" customHeight="1" x14ac:dyDescent="0.3">
      <c r="A6492" s="89" t="s">
        <v>3792</v>
      </c>
      <c r="B6492" s="86" t="s">
        <v>35</v>
      </c>
      <c r="C6492" s="86" t="s">
        <v>187</v>
      </c>
      <c r="D6492" s="86" t="s">
        <v>208</v>
      </c>
      <c r="E6492" s="86" t="s">
        <v>2457</v>
      </c>
      <c r="F6492" s="86" t="s">
        <v>2457</v>
      </c>
      <c r="G6492" s="86" t="s">
        <v>2457</v>
      </c>
      <c r="H6492" s="144">
        <v>229</v>
      </c>
      <c r="I6492" s="86" t="s">
        <v>3356</v>
      </c>
      <c r="J6492" s="47" t="s">
        <v>3326</v>
      </c>
      <c r="K6492" s="47" t="str">
        <f t="shared" si="999"/>
        <v>巨量引擎-游戏</v>
      </c>
      <c r="L6492" s="47" t="s">
        <v>35</v>
      </c>
      <c r="N6492" s="86" t="s">
        <v>3283</v>
      </c>
      <c r="O6492" s="47" t="s">
        <v>45</v>
      </c>
      <c r="P6492" s="47" t="s">
        <v>46</v>
      </c>
      <c r="Q6492" s="14">
        <v>0.03</v>
      </c>
      <c r="R6492" s="143"/>
      <c r="S6492" s="47"/>
      <c r="T6492" s="6">
        <v>0</v>
      </c>
      <c r="U6492" s="6">
        <v>280855.98</v>
      </c>
      <c r="V6492" s="6">
        <v>280855.98000000004</v>
      </c>
      <c r="W6492" s="6">
        <f t="shared" si="1000"/>
        <v>0</v>
      </c>
      <c r="X6492" s="6">
        <f t="shared" si="1001"/>
        <v>272675.7087378641</v>
      </c>
      <c r="Y6492" s="13">
        <f t="shared" si="1005"/>
        <v>0</v>
      </c>
      <c r="Z6492" s="66">
        <v>0</v>
      </c>
      <c r="AA6492" s="6">
        <v>0</v>
      </c>
      <c r="AB6492" s="4">
        <f t="shared" si="1006"/>
        <v>272675.7087378641</v>
      </c>
      <c r="AC6492" s="6">
        <f t="shared" si="1004"/>
        <v>8180.2712621359387</v>
      </c>
      <c r="AD6492" s="6">
        <f t="shared" si="1002"/>
        <v>280855.98000000004</v>
      </c>
      <c r="AE6492" s="14">
        <v>0.06</v>
      </c>
      <c r="AF6492" s="6">
        <f t="shared" si="998"/>
        <v>16851.358800000002</v>
      </c>
      <c r="AG6492" s="14">
        <v>0</v>
      </c>
      <c r="AH6492" s="64">
        <f t="shared" si="1003"/>
        <v>280855.98000000004</v>
      </c>
      <c r="AJ6492" s="126" t="e">
        <v>#N/A</v>
      </c>
      <c r="AK6492" s="80">
        <f t="shared" si="1007"/>
        <v>0</v>
      </c>
      <c r="AL6492" s="85"/>
      <c r="AM6492" s="85"/>
    </row>
    <row r="6493" spans="1:39" s="86" customFormat="1" ht="13.25" hidden="1" customHeight="1" x14ac:dyDescent="0.3">
      <c r="A6493" s="89" t="s">
        <v>3794</v>
      </c>
      <c r="B6493" s="86" t="s">
        <v>35</v>
      </c>
      <c r="C6493" s="86" t="s">
        <v>187</v>
      </c>
      <c r="D6493" s="86" t="s">
        <v>208</v>
      </c>
      <c r="E6493" s="86" t="s">
        <v>211</v>
      </c>
      <c r="F6493" s="86" t="s">
        <v>211</v>
      </c>
      <c r="G6493" s="86" t="s">
        <v>211</v>
      </c>
      <c r="H6493" s="144">
        <v>229</v>
      </c>
      <c r="I6493" s="86" t="s">
        <v>3356</v>
      </c>
      <c r="J6493" s="47" t="s">
        <v>3326</v>
      </c>
      <c r="K6493" s="47" t="str">
        <f t="shared" si="999"/>
        <v>巨量引擎-游戏</v>
      </c>
      <c r="L6493" s="47" t="s">
        <v>35</v>
      </c>
      <c r="N6493" s="86" t="s">
        <v>3283</v>
      </c>
      <c r="O6493" s="47" t="s">
        <v>45</v>
      </c>
      <c r="P6493" s="47" t="s">
        <v>46</v>
      </c>
      <c r="Q6493" s="14">
        <v>0.04</v>
      </c>
      <c r="R6493" s="143"/>
      <c r="S6493" s="47"/>
      <c r="T6493" s="6">
        <v>0</v>
      </c>
      <c r="U6493" s="6">
        <v>2077828.17</v>
      </c>
      <c r="V6493" s="6">
        <v>875488.62999999989</v>
      </c>
      <c r="W6493" s="6">
        <f t="shared" si="1000"/>
        <v>1202339.54</v>
      </c>
      <c r="X6493" s="6">
        <f t="shared" si="1001"/>
        <v>841815.99038461526</v>
      </c>
      <c r="Y6493" s="13">
        <f t="shared" si="1005"/>
        <v>0</v>
      </c>
      <c r="Z6493" s="66">
        <v>0</v>
      </c>
      <c r="AA6493" s="6">
        <v>0</v>
      </c>
      <c r="AB6493" s="4">
        <f t="shared" si="1006"/>
        <v>841815.99038461526</v>
      </c>
      <c r="AC6493" s="6">
        <f t="shared" si="1004"/>
        <v>33672.639615384629</v>
      </c>
      <c r="AD6493" s="6">
        <f t="shared" si="1002"/>
        <v>875488.62999999989</v>
      </c>
      <c r="AE6493" s="14">
        <v>0.06</v>
      </c>
      <c r="AF6493" s="6">
        <f t="shared" si="998"/>
        <v>52529.31779999999</v>
      </c>
      <c r="AG6493" s="14">
        <v>0</v>
      </c>
      <c r="AH6493" s="64">
        <f t="shared" si="1003"/>
        <v>875488.62999999989</v>
      </c>
      <c r="AJ6493" s="126" t="e">
        <v>#N/A</v>
      </c>
      <c r="AK6493" s="80">
        <f t="shared" si="1007"/>
        <v>0</v>
      </c>
      <c r="AL6493" s="85"/>
      <c r="AM6493" s="85"/>
    </row>
    <row r="6494" spans="1:39" s="86" customFormat="1" ht="13.25" hidden="1" customHeight="1" x14ac:dyDescent="0.3">
      <c r="A6494" s="89" t="s">
        <v>3792</v>
      </c>
      <c r="B6494" s="86" t="s">
        <v>35</v>
      </c>
      <c r="C6494" s="86" t="s">
        <v>187</v>
      </c>
      <c r="D6494" s="86" t="s">
        <v>208</v>
      </c>
      <c r="E6494" s="86" t="s">
        <v>211</v>
      </c>
      <c r="F6494" s="86" t="s">
        <v>211</v>
      </c>
      <c r="G6494" s="86" t="s">
        <v>211</v>
      </c>
      <c r="H6494" s="144">
        <v>229</v>
      </c>
      <c r="I6494" s="86" t="s">
        <v>3356</v>
      </c>
      <c r="J6494" s="47" t="s">
        <v>3326</v>
      </c>
      <c r="K6494" s="47" t="str">
        <f t="shared" si="999"/>
        <v>巨量引擎-游戏</v>
      </c>
      <c r="L6494" s="47" t="s">
        <v>35</v>
      </c>
      <c r="N6494" s="86" t="s">
        <v>3283</v>
      </c>
      <c r="O6494" s="47" t="s">
        <v>45</v>
      </c>
      <c r="P6494" s="47" t="s">
        <v>46</v>
      </c>
      <c r="Q6494" s="14">
        <v>0.04</v>
      </c>
      <c r="R6494" s="143"/>
      <c r="S6494" s="47"/>
      <c r="T6494" s="6">
        <v>1037392.15</v>
      </c>
      <c r="U6494" s="6">
        <v>-1869828.17</v>
      </c>
      <c r="V6494" s="6">
        <v>-832436.0199999999</v>
      </c>
      <c r="W6494" s="6">
        <f t="shared" si="1000"/>
        <v>0</v>
      </c>
      <c r="X6494" s="6">
        <f t="shared" si="1001"/>
        <v>-800419.24999999988</v>
      </c>
      <c r="Y6494" s="13">
        <f t="shared" si="1005"/>
        <v>32016.770000000019</v>
      </c>
      <c r="Z6494" s="66">
        <v>0</v>
      </c>
      <c r="AA6494" s="6">
        <v>0</v>
      </c>
      <c r="AB6494" s="4">
        <f t="shared" si="1006"/>
        <v>-800419.24999999988</v>
      </c>
      <c r="AC6494" s="6">
        <f t="shared" si="1004"/>
        <v>-32016.770000000019</v>
      </c>
      <c r="AD6494" s="6">
        <f t="shared" si="1002"/>
        <v>-832436.0199999999</v>
      </c>
      <c r="AE6494" s="14">
        <v>0.06</v>
      </c>
      <c r="AF6494" s="6">
        <f t="shared" si="998"/>
        <v>-49946.161199999995</v>
      </c>
      <c r="AG6494" s="14">
        <v>0</v>
      </c>
      <c r="AH6494" s="64">
        <f t="shared" si="1003"/>
        <v>-832436.0199999999</v>
      </c>
      <c r="AJ6494" s="126" t="e">
        <v>#N/A</v>
      </c>
      <c r="AK6494" s="80">
        <f t="shared" si="1007"/>
        <v>0</v>
      </c>
      <c r="AL6494" s="85"/>
      <c r="AM6494" s="85"/>
    </row>
    <row r="6495" spans="1:39" s="86" customFormat="1" ht="13.25" hidden="1" customHeight="1" x14ac:dyDescent="0.3">
      <c r="A6495" s="89" t="s">
        <v>3792</v>
      </c>
      <c r="B6495" s="86" t="s">
        <v>35</v>
      </c>
      <c r="C6495" s="86" t="s">
        <v>187</v>
      </c>
      <c r="D6495" s="86" t="s">
        <v>208</v>
      </c>
      <c r="E6495" s="86" t="s">
        <v>212</v>
      </c>
      <c r="F6495" s="86" t="s">
        <v>212</v>
      </c>
      <c r="G6495" s="86" t="s">
        <v>212</v>
      </c>
      <c r="H6495" s="144">
        <v>229</v>
      </c>
      <c r="I6495" s="86" t="s">
        <v>3356</v>
      </c>
      <c r="J6495" s="47" t="s">
        <v>3326</v>
      </c>
      <c r="K6495" s="47" t="str">
        <f t="shared" si="999"/>
        <v>巨量引擎-游戏</v>
      </c>
      <c r="L6495" s="47" t="s">
        <v>35</v>
      </c>
      <c r="N6495" s="86" t="s">
        <v>3283</v>
      </c>
      <c r="O6495" s="47" t="s">
        <v>45</v>
      </c>
      <c r="P6495" s="47" t="s">
        <v>46</v>
      </c>
      <c r="Q6495" s="14">
        <v>0.04</v>
      </c>
      <c r="R6495" s="143"/>
      <c r="S6495" s="47" t="s">
        <v>3951</v>
      </c>
      <c r="T6495" s="6">
        <v>329816.90999999782</v>
      </c>
      <c r="U6495" s="6">
        <v>3288589.56</v>
      </c>
      <c r="V6495" s="6">
        <v>3138867.25</v>
      </c>
      <c r="W6495" s="6">
        <f t="shared" si="1000"/>
        <v>479539.21999999788</v>
      </c>
      <c r="X6495" s="6">
        <f>IF(P6495="折扣",V6495*Q6495,IF(P6495="返现",V6495,V6495/(1+Q6495)))+43148.4</f>
        <v>3061289.9865384614</v>
      </c>
      <c r="Y6495" s="13">
        <f t="shared" si="1005"/>
        <v>0</v>
      </c>
      <c r="Z6495" s="66">
        <v>0</v>
      </c>
      <c r="AA6495" s="6">
        <v>0</v>
      </c>
      <c r="AB6495" s="4">
        <f t="shared" si="1006"/>
        <v>3061289.9865384614</v>
      </c>
      <c r="AC6495" s="6">
        <f t="shared" si="1004"/>
        <v>77577.26346153859</v>
      </c>
      <c r="AD6495" s="6">
        <f t="shared" si="1002"/>
        <v>3138867.25</v>
      </c>
      <c r="AE6495" s="14">
        <v>0.06</v>
      </c>
      <c r="AF6495" s="6">
        <f t="shared" si="998"/>
        <v>188332.035</v>
      </c>
      <c r="AG6495" s="14">
        <v>0</v>
      </c>
      <c r="AH6495" s="64">
        <f t="shared" si="1003"/>
        <v>3138867.25</v>
      </c>
      <c r="AJ6495" s="126" t="e">
        <v>#N/A</v>
      </c>
      <c r="AK6495" s="80">
        <f t="shared" si="1007"/>
        <v>0</v>
      </c>
      <c r="AL6495" s="85"/>
      <c r="AM6495" s="85"/>
    </row>
    <row r="6496" spans="1:39" s="86" customFormat="1" ht="13.25" hidden="1" customHeight="1" x14ac:dyDescent="0.3">
      <c r="A6496" s="89" t="s">
        <v>3792</v>
      </c>
      <c r="B6496" s="86" t="s">
        <v>35</v>
      </c>
      <c r="C6496" s="86" t="s">
        <v>187</v>
      </c>
      <c r="D6496" s="86" t="s">
        <v>208</v>
      </c>
      <c r="E6496" s="86" t="s">
        <v>2462</v>
      </c>
      <c r="F6496" s="86" t="s">
        <v>2462</v>
      </c>
      <c r="G6496" s="86" t="s">
        <v>2462</v>
      </c>
      <c r="H6496" s="144">
        <v>229</v>
      </c>
      <c r="I6496" s="86" t="s">
        <v>3356</v>
      </c>
      <c r="J6496" s="47" t="s">
        <v>3326</v>
      </c>
      <c r="K6496" s="47" t="str">
        <f t="shared" si="999"/>
        <v>巨量引擎-游戏</v>
      </c>
      <c r="L6496" s="47" t="s">
        <v>35</v>
      </c>
      <c r="N6496" s="86" t="s">
        <v>3283</v>
      </c>
      <c r="O6496" s="47" t="s">
        <v>45</v>
      </c>
      <c r="P6496" s="47" t="s">
        <v>46</v>
      </c>
      <c r="Q6496" s="14">
        <v>0.06</v>
      </c>
      <c r="R6496" s="143"/>
      <c r="S6496" s="47"/>
      <c r="T6496" s="6">
        <v>0</v>
      </c>
      <c r="U6496" s="6">
        <v>583000</v>
      </c>
      <c r="V6496" s="6">
        <v>457326.04999999993</v>
      </c>
      <c r="W6496" s="6">
        <f t="shared" si="1000"/>
        <v>125673.95000000007</v>
      </c>
      <c r="X6496" s="6">
        <f t="shared" si="1001"/>
        <v>431439.66981132067</v>
      </c>
      <c r="Y6496" s="13">
        <f t="shared" si="1005"/>
        <v>0</v>
      </c>
      <c r="Z6496" s="66">
        <v>0</v>
      </c>
      <c r="AA6496" s="6">
        <v>0</v>
      </c>
      <c r="AB6496" s="4">
        <f t="shared" si="1006"/>
        <v>431439.66981132067</v>
      </c>
      <c r="AC6496" s="6">
        <f t="shared" si="1004"/>
        <v>25886.380188679264</v>
      </c>
      <c r="AD6496" s="6">
        <f t="shared" si="1002"/>
        <v>457326.04999999993</v>
      </c>
      <c r="AE6496" s="14">
        <v>0.06</v>
      </c>
      <c r="AF6496" s="6">
        <f t="shared" si="998"/>
        <v>27439.562999999995</v>
      </c>
      <c r="AG6496" s="14">
        <v>0</v>
      </c>
      <c r="AH6496" s="64">
        <f t="shared" si="1003"/>
        <v>457326.04999999993</v>
      </c>
      <c r="AJ6496" s="126" t="e">
        <v>#N/A</v>
      </c>
      <c r="AK6496" s="80">
        <f t="shared" si="1007"/>
        <v>0</v>
      </c>
      <c r="AL6496" s="85"/>
      <c r="AM6496" s="85"/>
    </row>
    <row r="6497" spans="1:39" s="86" customFormat="1" ht="13.25" hidden="1" customHeight="1" x14ac:dyDescent="0.3">
      <c r="A6497" s="89" t="s">
        <v>3794</v>
      </c>
      <c r="B6497" s="86" t="s">
        <v>35</v>
      </c>
      <c r="C6497" s="86" t="s">
        <v>187</v>
      </c>
      <c r="D6497" s="86" t="s">
        <v>208</v>
      </c>
      <c r="E6497" s="86" t="s">
        <v>252</v>
      </c>
      <c r="F6497" s="86" t="s">
        <v>252</v>
      </c>
      <c r="G6497" s="86" t="s">
        <v>252</v>
      </c>
      <c r="H6497" s="143">
        <v>229</v>
      </c>
      <c r="I6497" s="86" t="s">
        <v>3356</v>
      </c>
      <c r="J6497" s="47" t="s">
        <v>3326</v>
      </c>
      <c r="K6497" s="47" t="str">
        <f t="shared" si="999"/>
        <v>巨量引擎-游戏</v>
      </c>
      <c r="L6497" s="47" t="s">
        <v>35</v>
      </c>
      <c r="N6497" s="86" t="s">
        <v>3283</v>
      </c>
      <c r="O6497" s="47" t="s">
        <v>45</v>
      </c>
      <c r="P6497" s="47" t="s">
        <v>46</v>
      </c>
      <c r="Q6497" s="14">
        <v>0.03</v>
      </c>
      <c r="R6497" s="143"/>
      <c r="S6497" s="47"/>
      <c r="T6497" s="6">
        <v>242260.61999999976</v>
      </c>
      <c r="U6497" s="6">
        <v>-242237.52</v>
      </c>
      <c r="V6497" s="6">
        <v>0</v>
      </c>
      <c r="W6497" s="6">
        <f t="shared" si="1000"/>
        <v>23.09999999977299</v>
      </c>
      <c r="X6497" s="6">
        <f t="shared" si="1001"/>
        <v>0</v>
      </c>
      <c r="Y6497" s="13">
        <f t="shared" si="1005"/>
        <v>0</v>
      </c>
      <c r="Z6497" s="66">
        <v>0</v>
      </c>
      <c r="AA6497" s="6">
        <v>0</v>
      </c>
      <c r="AB6497" s="4">
        <f t="shared" si="1006"/>
        <v>0</v>
      </c>
      <c r="AC6497" s="6">
        <f t="shared" si="1004"/>
        <v>0</v>
      </c>
      <c r="AD6497" s="6">
        <f t="shared" si="1002"/>
        <v>0</v>
      </c>
      <c r="AE6497" s="14">
        <v>0.06</v>
      </c>
      <c r="AF6497" s="6">
        <f t="shared" si="998"/>
        <v>0</v>
      </c>
      <c r="AG6497" s="14">
        <v>0</v>
      </c>
      <c r="AH6497" s="64">
        <f t="shared" si="1003"/>
        <v>0</v>
      </c>
      <c r="AJ6497" s="126" t="e">
        <v>#N/A</v>
      </c>
      <c r="AK6497" s="80">
        <f t="shared" si="1007"/>
        <v>0</v>
      </c>
      <c r="AL6497" s="85"/>
      <c r="AM6497" s="85"/>
    </row>
    <row r="6498" spans="1:39" s="86" customFormat="1" ht="13.25" hidden="1" customHeight="1" x14ac:dyDescent="0.3">
      <c r="A6498" s="89" t="s">
        <v>3792</v>
      </c>
      <c r="B6498" s="86" t="s">
        <v>35</v>
      </c>
      <c r="C6498" s="86" t="s">
        <v>187</v>
      </c>
      <c r="D6498" s="86" t="s">
        <v>208</v>
      </c>
      <c r="E6498" s="86" t="s">
        <v>214</v>
      </c>
      <c r="F6498" s="86" t="s">
        <v>214</v>
      </c>
      <c r="G6498" s="86" t="s">
        <v>214</v>
      </c>
      <c r="H6498" s="144">
        <v>229</v>
      </c>
      <c r="I6498" s="86" t="s">
        <v>3356</v>
      </c>
      <c r="J6498" s="47" t="s">
        <v>3326</v>
      </c>
      <c r="K6498" s="47" t="str">
        <f t="shared" si="999"/>
        <v>巨量引擎-游戏</v>
      </c>
      <c r="L6498" s="47" t="s">
        <v>35</v>
      </c>
      <c r="N6498" s="86" t="s">
        <v>3283</v>
      </c>
      <c r="O6498" s="47" t="s">
        <v>45</v>
      </c>
      <c r="P6498" s="47" t="s">
        <v>41</v>
      </c>
      <c r="Q6498" s="14">
        <v>0</v>
      </c>
      <c r="R6498" s="143"/>
      <c r="S6498" s="47"/>
      <c r="T6498" s="6">
        <v>89212.05</v>
      </c>
      <c r="U6498" s="6">
        <v>-61001.14</v>
      </c>
      <c r="V6498" s="6">
        <v>20250.760000000009</v>
      </c>
      <c r="W6498" s="6">
        <f t="shared" si="1000"/>
        <v>7960.1499999999942</v>
      </c>
      <c r="X6498" s="6">
        <f t="shared" si="1001"/>
        <v>20250.760000000009</v>
      </c>
      <c r="Y6498" s="13">
        <f t="shared" si="1005"/>
        <v>0</v>
      </c>
      <c r="Z6498" s="66">
        <v>0</v>
      </c>
      <c r="AA6498" s="6">
        <v>0</v>
      </c>
      <c r="AB6498" s="4">
        <f t="shared" si="1006"/>
        <v>20250.760000000009</v>
      </c>
      <c r="AC6498" s="6">
        <f t="shared" si="1004"/>
        <v>0</v>
      </c>
      <c r="AD6498" s="6">
        <f t="shared" si="1002"/>
        <v>20250.760000000009</v>
      </c>
      <c r="AE6498" s="14">
        <v>0.06</v>
      </c>
      <c r="AF6498" s="6">
        <f t="shared" si="998"/>
        <v>1215.0456000000006</v>
      </c>
      <c r="AG6498" s="14">
        <v>0</v>
      </c>
      <c r="AH6498" s="64">
        <f t="shared" si="1003"/>
        <v>20250.760000000009</v>
      </c>
      <c r="AJ6498" s="126" t="e">
        <v>#N/A</v>
      </c>
      <c r="AK6498" s="80">
        <f t="shared" si="1007"/>
        <v>0</v>
      </c>
      <c r="AL6498" s="85"/>
      <c r="AM6498" s="85"/>
    </row>
    <row r="6499" spans="1:39" s="86" customFormat="1" ht="13.25" hidden="1" customHeight="1" x14ac:dyDescent="0.3">
      <c r="A6499" s="89" t="s">
        <v>3794</v>
      </c>
      <c r="B6499" s="86" t="s">
        <v>35</v>
      </c>
      <c r="C6499" s="86" t="s">
        <v>187</v>
      </c>
      <c r="D6499" s="86" t="s">
        <v>208</v>
      </c>
      <c r="E6499" s="86" t="s">
        <v>215</v>
      </c>
      <c r="F6499" s="86" t="s">
        <v>216</v>
      </c>
      <c r="G6499" s="86" t="s">
        <v>215</v>
      </c>
      <c r="H6499" s="144">
        <v>229</v>
      </c>
      <c r="I6499" s="86" t="s">
        <v>3356</v>
      </c>
      <c r="J6499" s="47" t="s">
        <v>3326</v>
      </c>
      <c r="K6499" s="47" t="str">
        <f t="shared" si="999"/>
        <v>巨量引擎-游戏</v>
      </c>
      <c r="L6499" s="47" t="s">
        <v>35</v>
      </c>
      <c r="N6499" s="86" t="s">
        <v>3283</v>
      </c>
      <c r="O6499" s="47" t="s">
        <v>45</v>
      </c>
      <c r="P6499" s="47" t="s">
        <v>46</v>
      </c>
      <c r="Q6499" s="14">
        <v>0.04</v>
      </c>
      <c r="R6499" s="143"/>
      <c r="S6499" s="47" t="s">
        <v>3952</v>
      </c>
      <c r="T6499" s="6">
        <v>1101003.799999997</v>
      </c>
      <c r="U6499" s="6">
        <v>560265.56999999983</v>
      </c>
      <c r="V6499" s="6">
        <v>1202852.3799999997</v>
      </c>
      <c r="W6499" s="6">
        <f t="shared" si="1000"/>
        <v>458416.9899999972</v>
      </c>
      <c r="X6499" s="6">
        <f>IF(P6499="折扣",V6499*Q6499,IF(P6499="返现",V6499,V6499/(1+Q6499)))+4997.17</f>
        <v>1161585.9969230765</v>
      </c>
      <c r="Y6499" s="13">
        <f t="shared" si="1005"/>
        <v>0</v>
      </c>
      <c r="Z6499" s="66">
        <v>0</v>
      </c>
      <c r="AA6499" s="6">
        <v>0</v>
      </c>
      <c r="AB6499" s="4">
        <f t="shared" si="1006"/>
        <v>1161585.9969230765</v>
      </c>
      <c r="AC6499" s="6">
        <f t="shared" si="1004"/>
        <v>41266.383076923201</v>
      </c>
      <c r="AD6499" s="6">
        <f t="shared" si="1002"/>
        <v>1202852.3799999997</v>
      </c>
      <c r="AE6499" s="14">
        <v>0.06</v>
      </c>
      <c r="AF6499" s="6">
        <f t="shared" si="998"/>
        <v>72171.142799999972</v>
      </c>
      <c r="AG6499" s="14">
        <v>0</v>
      </c>
      <c r="AH6499" s="64">
        <f t="shared" si="1003"/>
        <v>1202852.3799999997</v>
      </c>
      <c r="AJ6499" s="126" t="e">
        <v>#N/A</v>
      </c>
      <c r="AK6499" s="80">
        <f t="shared" si="1007"/>
        <v>0</v>
      </c>
      <c r="AL6499" s="85"/>
      <c r="AM6499" s="85"/>
    </row>
    <row r="6500" spans="1:39" s="86" customFormat="1" ht="13.25" hidden="1" customHeight="1" x14ac:dyDescent="0.3">
      <c r="A6500" s="89" t="s">
        <v>3794</v>
      </c>
      <c r="B6500" s="86" t="s">
        <v>35</v>
      </c>
      <c r="C6500" s="86" t="s">
        <v>187</v>
      </c>
      <c r="D6500" s="86" t="s">
        <v>208</v>
      </c>
      <c r="E6500" s="86" t="s">
        <v>218</v>
      </c>
      <c r="F6500" s="86" t="s">
        <v>218</v>
      </c>
      <c r="G6500" s="86" t="s">
        <v>218</v>
      </c>
      <c r="H6500" s="144">
        <v>229</v>
      </c>
      <c r="I6500" s="86" t="s">
        <v>3356</v>
      </c>
      <c r="J6500" s="47" t="s">
        <v>3326</v>
      </c>
      <c r="K6500" s="47" t="str">
        <f t="shared" si="999"/>
        <v>巨量引擎-一类</v>
      </c>
      <c r="L6500" s="47" t="s">
        <v>35</v>
      </c>
      <c r="N6500" s="86" t="s">
        <v>3707</v>
      </c>
      <c r="O6500" s="47" t="s">
        <v>45</v>
      </c>
      <c r="P6500" s="47" t="s">
        <v>46</v>
      </c>
      <c r="Q6500" s="14">
        <v>0.06</v>
      </c>
      <c r="R6500" s="143"/>
      <c r="S6500" s="47"/>
      <c r="T6500" s="6">
        <v>159817.04</v>
      </c>
      <c r="U6500" s="6">
        <v>243800</v>
      </c>
      <c r="V6500" s="6">
        <v>50282.979999999996</v>
      </c>
      <c r="W6500" s="6">
        <f t="shared" si="1000"/>
        <v>353334.06000000006</v>
      </c>
      <c r="X6500" s="6">
        <f t="shared" si="1001"/>
        <v>47436.773584905655</v>
      </c>
      <c r="Y6500" s="13">
        <f t="shared" si="1005"/>
        <v>0</v>
      </c>
      <c r="Z6500" s="66">
        <v>0</v>
      </c>
      <c r="AA6500" s="6">
        <v>0</v>
      </c>
      <c r="AB6500" s="4">
        <f t="shared" si="1006"/>
        <v>47436.773584905655</v>
      </c>
      <c r="AC6500" s="6">
        <f t="shared" si="1004"/>
        <v>2846.2064150943406</v>
      </c>
      <c r="AD6500" s="6">
        <f t="shared" si="1002"/>
        <v>50282.979999999996</v>
      </c>
      <c r="AE6500" s="14">
        <v>0.06</v>
      </c>
      <c r="AF6500" s="6">
        <f t="shared" ref="AF6500:AF6563" si="1008">AD6500*AE6500</f>
        <v>3016.9787999999999</v>
      </c>
      <c r="AG6500" s="14">
        <v>0</v>
      </c>
      <c r="AH6500" s="64">
        <f t="shared" si="1003"/>
        <v>50282.979999999996</v>
      </c>
      <c r="AJ6500" s="126" t="e">
        <v>#N/A</v>
      </c>
      <c r="AK6500" s="80">
        <f t="shared" si="1007"/>
        <v>0</v>
      </c>
      <c r="AL6500" s="85"/>
      <c r="AM6500" s="85"/>
    </row>
    <row r="6501" spans="1:39" s="86" customFormat="1" ht="13.25" hidden="1" customHeight="1" x14ac:dyDescent="0.3">
      <c r="A6501" s="89" t="s">
        <v>3794</v>
      </c>
      <c r="B6501" s="86" t="s">
        <v>35</v>
      </c>
      <c r="C6501" s="86" t="s">
        <v>187</v>
      </c>
      <c r="D6501" s="86" t="s">
        <v>208</v>
      </c>
      <c r="E6501" s="86" t="s">
        <v>2490</v>
      </c>
      <c r="F6501" s="86" t="s">
        <v>2490</v>
      </c>
      <c r="G6501" s="86" t="s">
        <v>2490</v>
      </c>
      <c r="H6501" s="144">
        <v>229</v>
      </c>
      <c r="I6501" s="86" t="s">
        <v>3356</v>
      </c>
      <c r="J6501" s="47" t="s">
        <v>3326</v>
      </c>
      <c r="K6501" s="47" t="str">
        <f t="shared" si="999"/>
        <v>巨量引擎-游戏</v>
      </c>
      <c r="L6501" s="47" t="s">
        <v>35</v>
      </c>
      <c r="N6501" s="86" t="s">
        <v>3283</v>
      </c>
      <c r="O6501" s="47" t="s">
        <v>45</v>
      </c>
      <c r="P6501" s="47" t="s">
        <v>46</v>
      </c>
      <c r="Q6501" s="14">
        <v>0.04</v>
      </c>
      <c r="R6501" s="143"/>
      <c r="S6501" s="47"/>
      <c r="T6501" s="6">
        <v>0</v>
      </c>
      <c r="U6501" s="6">
        <v>2700000</v>
      </c>
      <c r="V6501" s="6">
        <v>1667734.1999999997</v>
      </c>
      <c r="W6501" s="6">
        <f t="shared" si="1000"/>
        <v>1032265.8000000003</v>
      </c>
      <c r="X6501" s="6">
        <f t="shared" si="1001"/>
        <v>1603590.5769230765</v>
      </c>
      <c r="Y6501" s="13">
        <f t="shared" si="1005"/>
        <v>0</v>
      </c>
      <c r="Z6501" s="66">
        <v>0</v>
      </c>
      <c r="AA6501" s="6">
        <v>0</v>
      </c>
      <c r="AB6501" s="4">
        <f t="shared" si="1006"/>
        <v>1603590.5769230765</v>
      </c>
      <c r="AC6501" s="6">
        <f t="shared" si="1004"/>
        <v>64143.623076923192</v>
      </c>
      <c r="AD6501" s="6">
        <f t="shared" si="1002"/>
        <v>1667734.1999999997</v>
      </c>
      <c r="AE6501" s="14">
        <v>0.06</v>
      </c>
      <c r="AF6501" s="6">
        <f t="shared" si="1008"/>
        <v>100064.05199999998</v>
      </c>
      <c r="AG6501" s="14">
        <v>0</v>
      </c>
      <c r="AH6501" s="64">
        <f t="shared" si="1003"/>
        <v>1667734.1999999997</v>
      </c>
      <c r="AJ6501" s="126" t="e">
        <v>#N/A</v>
      </c>
      <c r="AK6501" s="80">
        <f t="shared" si="1007"/>
        <v>0</v>
      </c>
      <c r="AL6501" s="85"/>
      <c r="AM6501" s="85"/>
    </row>
    <row r="6502" spans="1:39" s="86" customFormat="1" ht="13.25" hidden="1" customHeight="1" x14ac:dyDescent="0.3">
      <c r="A6502" s="89" t="s">
        <v>3794</v>
      </c>
      <c r="B6502" s="86" t="s">
        <v>35</v>
      </c>
      <c r="C6502" s="86" t="s">
        <v>3857</v>
      </c>
      <c r="D6502" s="86" t="s">
        <v>3858</v>
      </c>
      <c r="E6502" s="86" t="s">
        <v>228</v>
      </c>
      <c r="F6502" s="86" t="s">
        <v>228</v>
      </c>
      <c r="G6502" s="86" t="s">
        <v>228</v>
      </c>
      <c r="H6502" s="144">
        <v>229</v>
      </c>
      <c r="I6502" s="86" t="s">
        <v>3356</v>
      </c>
      <c r="J6502" s="47" t="s">
        <v>3326</v>
      </c>
      <c r="K6502" s="47" t="str">
        <f t="shared" si="999"/>
        <v>巨量引擎-三类</v>
      </c>
      <c r="L6502" s="47" t="s">
        <v>35</v>
      </c>
      <c r="N6502" s="86" t="s">
        <v>3712</v>
      </c>
      <c r="O6502" s="47" t="s">
        <v>45</v>
      </c>
      <c r="P6502" s="47" t="s">
        <v>41</v>
      </c>
      <c r="Q6502" s="14">
        <v>0</v>
      </c>
      <c r="R6502" s="143"/>
      <c r="S6502" s="47"/>
      <c r="T6502" s="6">
        <v>241653.52000000014</v>
      </c>
      <c r="U6502" s="6"/>
      <c r="V6502" s="6">
        <v>115711.31999999999</v>
      </c>
      <c r="W6502" s="6">
        <f t="shared" si="1000"/>
        <v>125942.20000000014</v>
      </c>
      <c r="X6502" s="6">
        <f t="shared" si="1001"/>
        <v>115711.31999999999</v>
      </c>
      <c r="Y6502" s="13">
        <f t="shared" si="1005"/>
        <v>0</v>
      </c>
      <c r="Z6502" s="14">
        <v>0</v>
      </c>
      <c r="AA6502" s="6">
        <v>0</v>
      </c>
      <c r="AB6502" s="4">
        <f t="shared" si="1006"/>
        <v>115711.31999999999</v>
      </c>
      <c r="AC6502" s="6">
        <f t="shared" si="1004"/>
        <v>0</v>
      </c>
      <c r="AD6502" s="6">
        <f t="shared" si="1002"/>
        <v>115711.31999999999</v>
      </c>
      <c r="AE6502" s="14">
        <v>0.06</v>
      </c>
      <c r="AF6502" s="6">
        <f t="shared" si="1008"/>
        <v>6942.6791999999996</v>
      </c>
      <c r="AG6502" s="14">
        <v>0</v>
      </c>
      <c r="AH6502" s="64">
        <f t="shared" si="1003"/>
        <v>115711.31999999999</v>
      </c>
      <c r="AJ6502" s="126" t="e">
        <v>#N/A</v>
      </c>
      <c r="AK6502" s="80">
        <f t="shared" si="1007"/>
        <v>0</v>
      </c>
      <c r="AL6502" s="85"/>
      <c r="AM6502" s="85"/>
    </row>
    <row r="6503" spans="1:39" s="86" customFormat="1" ht="13.25" hidden="1" customHeight="1" x14ac:dyDescent="0.3">
      <c r="A6503" s="89" t="s">
        <v>3794</v>
      </c>
      <c r="B6503" s="86" t="s">
        <v>35</v>
      </c>
      <c r="C6503" s="86" t="s">
        <v>164</v>
      </c>
      <c r="D6503" s="86" t="s">
        <v>305</v>
      </c>
      <c r="E6503" s="86" t="s">
        <v>129</v>
      </c>
      <c r="F6503" s="86" t="s">
        <v>129</v>
      </c>
      <c r="G6503" s="86" t="s">
        <v>129</v>
      </c>
      <c r="H6503" s="143">
        <v>229</v>
      </c>
      <c r="I6503" s="86" t="s">
        <v>3356</v>
      </c>
      <c r="J6503" s="47" t="s">
        <v>3326</v>
      </c>
      <c r="K6503" s="47">
        <f t="shared" si="999"/>
        <v>0</v>
      </c>
      <c r="L6503" s="47" t="s">
        <v>35</v>
      </c>
      <c r="O6503" s="47" t="s">
        <v>45</v>
      </c>
      <c r="P6503" s="47" t="s">
        <v>92</v>
      </c>
      <c r="Q6503" s="14">
        <v>0.99</v>
      </c>
      <c r="R6503" s="143"/>
      <c r="S6503" s="47"/>
      <c r="T6503" s="6">
        <v>35194.040000004694</v>
      </c>
      <c r="U6503" s="6"/>
      <c r="V6503" s="6">
        <v>0</v>
      </c>
      <c r="W6503" s="6">
        <f t="shared" si="1000"/>
        <v>35194.040000004694</v>
      </c>
      <c r="X6503" s="6">
        <f t="shared" si="1001"/>
        <v>0</v>
      </c>
      <c r="Y6503" s="13">
        <f t="shared" si="1005"/>
        <v>0</v>
      </c>
      <c r="Z6503" s="14">
        <v>0</v>
      </c>
      <c r="AA6503" s="6">
        <v>0</v>
      </c>
      <c r="AB6503" s="4">
        <f t="shared" si="1006"/>
        <v>0</v>
      </c>
      <c r="AC6503" s="6">
        <f t="shared" si="1004"/>
        <v>0</v>
      </c>
      <c r="AD6503" s="6">
        <f t="shared" si="1002"/>
        <v>0</v>
      </c>
      <c r="AE6503" s="14">
        <v>0.06</v>
      </c>
      <c r="AF6503" s="6">
        <f t="shared" si="1008"/>
        <v>0</v>
      </c>
      <c r="AG6503" s="14">
        <v>0</v>
      </c>
      <c r="AH6503" s="64">
        <f t="shared" si="1003"/>
        <v>0</v>
      </c>
      <c r="AJ6503" s="126" t="e">
        <v>#N/A</v>
      </c>
      <c r="AK6503" s="80">
        <f t="shared" si="1007"/>
        <v>0</v>
      </c>
      <c r="AL6503" s="85"/>
      <c r="AM6503" s="85"/>
    </row>
    <row r="6504" spans="1:39" s="86" customFormat="1" ht="13.25" hidden="1" customHeight="1" x14ac:dyDescent="0.3">
      <c r="A6504" s="89" t="s">
        <v>3792</v>
      </c>
      <c r="B6504" s="86" t="s">
        <v>35</v>
      </c>
      <c r="C6504" s="86" t="s">
        <v>144</v>
      </c>
      <c r="D6504" s="86" t="s">
        <v>145</v>
      </c>
      <c r="E6504" s="86" t="s">
        <v>237</v>
      </c>
      <c r="F6504" s="86" t="s">
        <v>238</v>
      </c>
      <c r="G6504" s="86" t="s">
        <v>239</v>
      </c>
      <c r="H6504" s="143">
        <v>229</v>
      </c>
      <c r="I6504" s="86" t="s">
        <v>3356</v>
      </c>
      <c r="J6504" s="47" t="s">
        <v>3326</v>
      </c>
      <c r="K6504" s="47">
        <f t="shared" si="999"/>
        <v>0</v>
      </c>
      <c r="L6504" s="47" t="s">
        <v>35</v>
      </c>
      <c r="O6504" s="47" t="s">
        <v>45</v>
      </c>
      <c r="P6504" s="47" t="s">
        <v>41</v>
      </c>
      <c r="Q6504" s="14">
        <v>0</v>
      </c>
      <c r="R6504" s="143"/>
      <c r="S6504" s="47"/>
      <c r="T6504" s="6">
        <v>8775.6799999996874</v>
      </c>
      <c r="U6504" s="6"/>
      <c r="V6504" s="6">
        <v>0</v>
      </c>
      <c r="W6504" s="6">
        <f t="shared" si="1000"/>
        <v>8775.6799999996874</v>
      </c>
      <c r="X6504" s="6">
        <f t="shared" si="1001"/>
        <v>0</v>
      </c>
      <c r="Y6504" s="13">
        <f t="shared" si="1005"/>
        <v>0</v>
      </c>
      <c r="Z6504" s="14">
        <v>0</v>
      </c>
      <c r="AA6504" s="6">
        <v>0</v>
      </c>
      <c r="AB6504" s="4">
        <f t="shared" si="1006"/>
        <v>0</v>
      </c>
      <c r="AC6504" s="6">
        <f t="shared" si="1004"/>
        <v>0</v>
      </c>
      <c r="AD6504" s="6">
        <f t="shared" si="1002"/>
        <v>0</v>
      </c>
      <c r="AE6504" s="14">
        <v>0.06</v>
      </c>
      <c r="AF6504" s="6">
        <f t="shared" si="1008"/>
        <v>0</v>
      </c>
      <c r="AG6504" s="14">
        <v>0</v>
      </c>
      <c r="AH6504" s="64">
        <f t="shared" si="1003"/>
        <v>0</v>
      </c>
      <c r="AJ6504" s="126" t="e">
        <v>#N/A</v>
      </c>
      <c r="AK6504" s="80">
        <f t="shared" si="1007"/>
        <v>0</v>
      </c>
      <c r="AL6504" s="85"/>
      <c r="AM6504" s="85"/>
    </row>
    <row r="6505" spans="1:39" s="86" customFormat="1" ht="13.25" hidden="1" customHeight="1" x14ac:dyDescent="0.3">
      <c r="A6505" s="89" t="s">
        <v>3794</v>
      </c>
      <c r="B6505" s="86" t="s">
        <v>35</v>
      </c>
      <c r="C6505" s="86" t="s">
        <v>164</v>
      </c>
      <c r="D6505" s="86" t="s">
        <v>305</v>
      </c>
      <c r="E6505" s="86" t="s">
        <v>3542</v>
      </c>
      <c r="F6505" s="86" t="s">
        <v>3542</v>
      </c>
      <c r="G6505" s="86" t="s">
        <v>3542</v>
      </c>
      <c r="H6505" s="144">
        <v>229</v>
      </c>
      <c r="I6505" s="86" t="s">
        <v>3356</v>
      </c>
      <c r="J6505" s="47" t="s">
        <v>3326</v>
      </c>
      <c r="K6505" s="47" t="str">
        <f t="shared" si="999"/>
        <v>巨量引擎-一类</v>
      </c>
      <c r="L6505" s="47" t="s">
        <v>35</v>
      </c>
      <c r="N6505" s="86" t="s">
        <v>3707</v>
      </c>
      <c r="O6505" s="47" t="s">
        <v>45</v>
      </c>
      <c r="P6505" s="47" t="s">
        <v>41</v>
      </c>
      <c r="Q6505" s="14">
        <v>0</v>
      </c>
      <c r="R6505" s="143"/>
      <c r="S6505" s="47"/>
      <c r="T6505" s="6">
        <v>126319.22</v>
      </c>
      <c r="U6505" s="6"/>
      <c r="V6505" s="6">
        <v>34008.58</v>
      </c>
      <c r="W6505" s="6">
        <f t="shared" si="1000"/>
        <v>92310.64</v>
      </c>
      <c r="X6505" s="6">
        <f t="shared" si="1001"/>
        <v>34008.58</v>
      </c>
      <c r="Y6505" s="13">
        <f t="shared" si="1005"/>
        <v>0</v>
      </c>
      <c r="Z6505" s="14">
        <v>0</v>
      </c>
      <c r="AA6505" s="6">
        <v>0</v>
      </c>
      <c r="AB6505" s="4">
        <f t="shared" si="1006"/>
        <v>34008.58</v>
      </c>
      <c r="AC6505" s="6">
        <f t="shared" si="1004"/>
        <v>0</v>
      </c>
      <c r="AD6505" s="6">
        <f t="shared" si="1002"/>
        <v>34008.58</v>
      </c>
      <c r="AE6505" s="14">
        <v>0.06</v>
      </c>
      <c r="AF6505" s="6">
        <f t="shared" si="1008"/>
        <v>2040.5147999999999</v>
      </c>
      <c r="AG6505" s="14">
        <v>0</v>
      </c>
      <c r="AH6505" s="64">
        <f t="shared" si="1003"/>
        <v>34008.58</v>
      </c>
      <c r="AJ6505" s="126" t="e">
        <v>#N/A</v>
      </c>
      <c r="AK6505" s="80">
        <f t="shared" si="1007"/>
        <v>0</v>
      </c>
      <c r="AL6505" s="85"/>
      <c r="AM6505" s="85"/>
    </row>
    <row r="6506" spans="1:39" s="86" customFormat="1" ht="13.25" hidden="1" customHeight="1" x14ac:dyDescent="0.3">
      <c r="A6506" s="89" t="s">
        <v>3794</v>
      </c>
      <c r="B6506" s="86" t="s">
        <v>35</v>
      </c>
      <c r="C6506" s="86" t="s">
        <v>164</v>
      </c>
      <c r="D6506" s="86" t="s">
        <v>305</v>
      </c>
      <c r="E6506" s="86" t="s">
        <v>168</v>
      </c>
      <c r="F6506" s="86" t="s">
        <v>168</v>
      </c>
      <c r="G6506" s="86" t="s">
        <v>168</v>
      </c>
      <c r="H6506" s="143">
        <v>229</v>
      </c>
      <c r="I6506" s="86" t="s">
        <v>3356</v>
      </c>
      <c r="J6506" s="47" t="s">
        <v>3326</v>
      </c>
      <c r="K6506" s="47">
        <f t="shared" si="999"/>
        <v>0</v>
      </c>
      <c r="L6506" s="47" t="s">
        <v>35</v>
      </c>
      <c r="O6506" s="47" t="s">
        <v>45</v>
      </c>
      <c r="P6506" s="47" t="s">
        <v>41</v>
      </c>
      <c r="Q6506" s="14">
        <v>0</v>
      </c>
      <c r="R6506" s="143"/>
      <c r="S6506" s="47"/>
      <c r="T6506" s="6">
        <v>2641.6100000001898</v>
      </c>
      <c r="U6506" s="6"/>
      <c r="V6506" s="6">
        <v>0</v>
      </c>
      <c r="W6506" s="6">
        <f t="shared" si="1000"/>
        <v>2641.6100000001898</v>
      </c>
      <c r="X6506" s="6">
        <f t="shared" si="1001"/>
        <v>0</v>
      </c>
      <c r="Y6506" s="13">
        <f t="shared" si="1005"/>
        <v>0</v>
      </c>
      <c r="Z6506" s="14">
        <v>0</v>
      </c>
      <c r="AA6506" s="6">
        <v>0</v>
      </c>
      <c r="AB6506" s="4">
        <f t="shared" si="1006"/>
        <v>0</v>
      </c>
      <c r="AC6506" s="6">
        <f t="shared" si="1004"/>
        <v>0</v>
      </c>
      <c r="AD6506" s="6">
        <f t="shared" si="1002"/>
        <v>0</v>
      </c>
      <c r="AE6506" s="14">
        <v>0.06</v>
      </c>
      <c r="AF6506" s="6">
        <f t="shared" si="1008"/>
        <v>0</v>
      </c>
      <c r="AG6506" s="14">
        <v>0</v>
      </c>
      <c r="AH6506" s="64">
        <f t="shared" si="1003"/>
        <v>0</v>
      </c>
      <c r="AJ6506" s="126" t="e">
        <v>#N/A</v>
      </c>
      <c r="AK6506" s="80">
        <f t="shared" si="1007"/>
        <v>0</v>
      </c>
      <c r="AL6506" s="85"/>
      <c r="AM6506" s="85"/>
    </row>
    <row r="6507" spans="1:39" s="86" customFormat="1" ht="13.25" hidden="1" customHeight="1" x14ac:dyDescent="0.3">
      <c r="A6507" s="89" t="s">
        <v>3794</v>
      </c>
      <c r="B6507" s="86" t="s">
        <v>35</v>
      </c>
      <c r="C6507" s="86" t="s">
        <v>164</v>
      </c>
      <c r="D6507" s="86" t="s">
        <v>169</v>
      </c>
      <c r="E6507" s="86" t="s">
        <v>172</v>
      </c>
      <c r="F6507" s="86" t="s">
        <v>172</v>
      </c>
      <c r="G6507" s="86" t="s">
        <v>172</v>
      </c>
      <c r="H6507" s="143">
        <v>229</v>
      </c>
      <c r="I6507" s="86" t="s">
        <v>3356</v>
      </c>
      <c r="J6507" s="47" t="s">
        <v>3326</v>
      </c>
      <c r="K6507" s="47" t="str">
        <f t="shared" si="999"/>
        <v>巨量引擎-二类</v>
      </c>
      <c r="L6507" s="47" t="s">
        <v>35</v>
      </c>
      <c r="N6507" s="86" t="s">
        <v>3710</v>
      </c>
      <c r="O6507" s="47" t="s">
        <v>45</v>
      </c>
      <c r="P6507" s="47" t="s">
        <v>46</v>
      </c>
      <c r="Q6507" s="14">
        <v>0.02</v>
      </c>
      <c r="R6507" s="143"/>
      <c r="S6507" s="47"/>
      <c r="T6507" s="6">
        <v>2040681.1799999923</v>
      </c>
      <c r="U6507" s="6"/>
      <c r="V6507" s="6">
        <v>0</v>
      </c>
      <c r="W6507" s="6">
        <f t="shared" si="1000"/>
        <v>2040681.1799999923</v>
      </c>
      <c r="X6507" s="6">
        <f t="shared" si="1001"/>
        <v>0</v>
      </c>
      <c r="Y6507" s="13">
        <f t="shared" si="1005"/>
        <v>0</v>
      </c>
      <c r="Z6507" s="14">
        <v>0</v>
      </c>
      <c r="AA6507" s="6">
        <v>0</v>
      </c>
      <c r="AB6507" s="4">
        <f t="shared" si="1006"/>
        <v>0</v>
      </c>
      <c r="AC6507" s="6">
        <f t="shared" si="1004"/>
        <v>0</v>
      </c>
      <c r="AD6507" s="6">
        <f t="shared" si="1002"/>
        <v>0</v>
      </c>
      <c r="AE6507" s="14">
        <v>0.06</v>
      </c>
      <c r="AF6507" s="6">
        <f t="shared" si="1008"/>
        <v>0</v>
      </c>
      <c r="AG6507" s="14">
        <v>0</v>
      </c>
      <c r="AH6507" s="64">
        <f t="shared" si="1003"/>
        <v>0</v>
      </c>
      <c r="AJ6507" s="126" t="e">
        <v>#N/A</v>
      </c>
      <c r="AK6507" s="80">
        <f t="shared" si="1007"/>
        <v>0</v>
      </c>
      <c r="AL6507" s="85"/>
      <c r="AM6507" s="85"/>
    </row>
    <row r="6508" spans="1:39" s="86" customFormat="1" ht="13.25" hidden="1" customHeight="1" x14ac:dyDescent="0.3">
      <c r="A6508" s="89" t="s">
        <v>3794</v>
      </c>
      <c r="B6508" s="86" t="s">
        <v>35</v>
      </c>
      <c r="C6508" s="86" t="s">
        <v>187</v>
      </c>
      <c r="D6508" s="86" t="s">
        <v>188</v>
      </c>
      <c r="E6508" s="86" t="s">
        <v>190</v>
      </c>
      <c r="F6508" s="86" t="s">
        <v>190</v>
      </c>
      <c r="G6508" s="86" t="s">
        <v>190</v>
      </c>
      <c r="H6508" s="143">
        <v>229</v>
      </c>
      <c r="I6508" s="86" t="s">
        <v>3356</v>
      </c>
      <c r="J6508" s="47" t="s">
        <v>3326</v>
      </c>
      <c r="K6508" s="47" t="str">
        <f t="shared" si="999"/>
        <v>巨量引擎-游戏</v>
      </c>
      <c r="L6508" s="47" t="s">
        <v>35</v>
      </c>
      <c r="N6508" s="86" t="s">
        <v>3283</v>
      </c>
      <c r="O6508" s="47" t="s">
        <v>45</v>
      </c>
      <c r="P6508" s="47" t="s">
        <v>46</v>
      </c>
      <c r="Q6508" s="14">
        <v>0.06</v>
      </c>
      <c r="R6508" s="143"/>
      <c r="S6508" s="47"/>
      <c r="T6508" s="6">
        <v>298869.83999999997</v>
      </c>
      <c r="U6508" s="6"/>
      <c r="V6508" s="6">
        <v>0</v>
      </c>
      <c r="W6508" s="6">
        <f t="shared" si="1000"/>
        <v>298869.83999999997</v>
      </c>
      <c r="X6508" s="6">
        <f t="shared" si="1001"/>
        <v>0</v>
      </c>
      <c r="Y6508" s="13">
        <f t="shared" si="1005"/>
        <v>0</v>
      </c>
      <c r="Z6508" s="14">
        <v>0</v>
      </c>
      <c r="AA6508" s="6">
        <v>0</v>
      </c>
      <c r="AB6508" s="4">
        <f t="shared" si="1006"/>
        <v>0</v>
      </c>
      <c r="AC6508" s="6">
        <f t="shared" si="1004"/>
        <v>0</v>
      </c>
      <c r="AD6508" s="6">
        <f t="shared" si="1002"/>
        <v>0</v>
      </c>
      <c r="AE6508" s="14">
        <v>0.06</v>
      </c>
      <c r="AF6508" s="6">
        <f t="shared" si="1008"/>
        <v>0</v>
      </c>
      <c r="AG6508" s="14">
        <v>0</v>
      </c>
      <c r="AH6508" s="64">
        <f t="shared" si="1003"/>
        <v>0</v>
      </c>
      <c r="AJ6508" s="126" t="e">
        <v>#N/A</v>
      </c>
      <c r="AK6508" s="80">
        <f t="shared" si="1007"/>
        <v>0</v>
      </c>
      <c r="AL6508" s="85"/>
      <c r="AM6508" s="85"/>
    </row>
    <row r="6509" spans="1:39" s="86" customFormat="1" ht="13.25" hidden="1" customHeight="1" x14ac:dyDescent="0.3">
      <c r="A6509" s="89" t="s">
        <v>3794</v>
      </c>
      <c r="B6509" s="86" t="s">
        <v>35</v>
      </c>
      <c r="C6509" s="86" t="s">
        <v>187</v>
      </c>
      <c r="D6509" s="86" t="s">
        <v>188</v>
      </c>
      <c r="E6509" s="86" t="s">
        <v>267</v>
      </c>
      <c r="F6509" s="86" t="s">
        <v>267</v>
      </c>
      <c r="G6509" s="86" t="s">
        <v>267</v>
      </c>
      <c r="H6509" s="144">
        <v>229</v>
      </c>
      <c r="I6509" s="86" t="s">
        <v>3356</v>
      </c>
      <c r="J6509" s="47" t="s">
        <v>3326</v>
      </c>
      <c r="K6509" s="47" t="str">
        <f t="shared" si="999"/>
        <v>巨量引擎-游戏</v>
      </c>
      <c r="L6509" s="47" t="s">
        <v>35</v>
      </c>
      <c r="N6509" s="86" t="s">
        <v>3283</v>
      </c>
      <c r="O6509" s="47" t="s">
        <v>45</v>
      </c>
      <c r="P6509" s="47" t="s">
        <v>46</v>
      </c>
      <c r="Q6509" s="14">
        <v>0.04</v>
      </c>
      <c r="R6509" s="143"/>
      <c r="S6509" s="47"/>
      <c r="T6509" s="6">
        <v>750552.33999999927</v>
      </c>
      <c r="U6509" s="6"/>
      <c r="V6509" s="6">
        <v>249552.63999999998</v>
      </c>
      <c r="W6509" s="6">
        <f t="shared" si="1000"/>
        <v>500999.69999999925</v>
      </c>
      <c r="X6509" s="6">
        <f t="shared" si="1001"/>
        <v>239954.4615384615</v>
      </c>
      <c r="Y6509" s="13">
        <f t="shared" si="1005"/>
        <v>0</v>
      </c>
      <c r="Z6509" s="14">
        <v>0</v>
      </c>
      <c r="AA6509" s="6">
        <v>0</v>
      </c>
      <c r="AB6509" s="4">
        <f t="shared" si="1006"/>
        <v>239954.4615384615</v>
      </c>
      <c r="AC6509" s="6">
        <f t="shared" si="1004"/>
        <v>9598.1784615384822</v>
      </c>
      <c r="AD6509" s="6">
        <f t="shared" si="1002"/>
        <v>249552.63999999998</v>
      </c>
      <c r="AE6509" s="14">
        <v>0.06</v>
      </c>
      <c r="AF6509" s="6">
        <f t="shared" si="1008"/>
        <v>14973.158399999998</v>
      </c>
      <c r="AG6509" s="14">
        <v>0</v>
      </c>
      <c r="AH6509" s="64">
        <f t="shared" si="1003"/>
        <v>249552.63999999998</v>
      </c>
      <c r="AJ6509" s="126" t="e">
        <v>#N/A</v>
      </c>
      <c r="AK6509" s="80">
        <f t="shared" si="1007"/>
        <v>0</v>
      </c>
      <c r="AL6509" s="85"/>
      <c r="AM6509" s="85"/>
    </row>
    <row r="6510" spans="1:39" s="86" customFormat="1" ht="13.25" hidden="1" customHeight="1" x14ac:dyDescent="0.3">
      <c r="A6510" s="89" t="s">
        <v>3794</v>
      </c>
      <c r="B6510" s="86" t="s">
        <v>35</v>
      </c>
      <c r="C6510" s="86" t="s">
        <v>187</v>
      </c>
      <c r="D6510" s="86" t="s">
        <v>188</v>
      </c>
      <c r="E6510" s="86" t="s">
        <v>248</v>
      </c>
      <c r="F6510" s="86" t="s">
        <v>248</v>
      </c>
      <c r="G6510" s="86" t="s">
        <v>248</v>
      </c>
      <c r="H6510" s="144">
        <v>229</v>
      </c>
      <c r="I6510" s="86" t="s">
        <v>3356</v>
      </c>
      <c r="J6510" s="47" t="s">
        <v>3326</v>
      </c>
      <c r="K6510" s="47" t="str">
        <f t="shared" si="999"/>
        <v>巨量引擎-游戏</v>
      </c>
      <c r="L6510" s="47" t="s">
        <v>35</v>
      </c>
      <c r="N6510" s="86" t="s">
        <v>3283</v>
      </c>
      <c r="O6510" s="47" t="s">
        <v>45</v>
      </c>
      <c r="P6510" s="47" t="s">
        <v>41</v>
      </c>
      <c r="Q6510" s="14">
        <v>0</v>
      </c>
      <c r="R6510" s="143"/>
      <c r="S6510" s="47"/>
      <c r="T6510" s="6">
        <v>-15278.339999999982</v>
      </c>
      <c r="U6510" s="6"/>
      <c r="V6510" s="6">
        <v>-15278.339999999982</v>
      </c>
      <c r="W6510" s="6">
        <f t="shared" si="1000"/>
        <v>0</v>
      </c>
      <c r="X6510" s="6">
        <f t="shared" si="1001"/>
        <v>-15278.339999999982</v>
      </c>
      <c r="Y6510" s="13">
        <f t="shared" si="1005"/>
        <v>0</v>
      </c>
      <c r="Z6510" s="14">
        <v>0</v>
      </c>
      <c r="AA6510" s="6">
        <v>0</v>
      </c>
      <c r="AB6510" s="4">
        <f t="shared" si="1006"/>
        <v>-15278.339999999982</v>
      </c>
      <c r="AC6510" s="6">
        <f t="shared" si="1004"/>
        <v>0</v>
      </c>
      <c r="AD6510" s="6">
        <f t="shared" si="1002"/>
        <v>-15278.339999999982</v>
      </c>
      <c r="AE6510" s="14">
        <v>0.06</v>
      </c>
      <c r="AF6510" s="6">
        <f t="shared" si="1008"/>
        <v>-916.70039999999892</v>
      </c>
      <c r="AG6510" s="14">
        <v>0</v>
      </c>
      <c r="AH6510" s="64">
        <f t="shared" si="1003"/>
        <v>-15278.339999999982</v>
      </c>
      <c r="AJ6510" s="126" t="e">
        <v>#N/A</v>
      </c>
      <c r="AK6510" s="80">
        <f t="shared" si="1007"/>
        <v>0</v>
      </c>
      <c r="AL6510" s="85"/>
      <c r="AM6510" s="85"/>
    </row>
    <row r="6511" spans="1:39" s="86" customFormat="1" ht="13.25" hidden="1" customHeight="1" x14ac:dyDescent="0.3">
      <c r="A6511" s="89" t="s">
        <v>3794</v>
      </c>
      <c r="B6511" s="86" t="s">
        <v>35</v>
      </c>
      <c r="C6511" s="86" t="s">
        <v>187</v>
      </c>
      <c r="D6511" s="86" t="s">
        <v>188</v>
      </c>
      <c r="E6511" s="86" t="s">
        <v>205</v>
      </c>
      <c r="F6511" s="86" t="s">
        <v>205</v>
      </c>
      <c r="G6511" s="86" t="s">
        <v>205</v>
      </c>
      <c r="H6511" s="144">
        <v>229</v>
      </c>
      <c r="I6511" s="86" t="s">
        <v>3356</v>
      </c>
      <c r="J6511" s="47" t="s">
        <v>3326</v>
      </c>
      <c r="K6511" s="47" t="str">
        <f t="shared" si="999"/>
        <v>巨量引擎-游戏</v>
      </c>
      <c r="L6511" s="47" t="s">
        <v>35</v>
      </c>
      <c r="N6511" s="86" t="s">
        <v>3283</v>
      </c>
      <c r="O6511" s="47" t="s">
        <v>45</v>
      </c>
      <c r="P6511" s="47" t="s">
        <v>41</v>
      </c>
      <c r="Q6511" s="14">
        <v>0</v>
      </c>
      <c r="R6511" s="143"/>
      <c r="S6511" s="47"/>
      <c r="T6511" s="6">
        <v>1337434.8300000168</v>
      </c>
      <c r="U6511" s="6"/>
      <c r="V6511" s="6">
        <v>1326222.0800000168</v>
      </c>
      <c r="W6511" s="6">
        <v>0</v>
      </c>
      <c r="X6511" s="6">
        <f t="shared" si="1001"/>
        <v>1326222.0800000168</v>
      </c>
      <c r="Y6511" s="13">
        <f t="shared" si="1005"/>
        <v>0</v>
      </c>
      <c r="Z6511" s="14">
        <v>0</v>
      </c>
      <c r="AA6511" s="6">
        <v>0</v>
      </c>
      <c r="AB6511" s="4">
        <f t="shared" si="1006"/>
        <v>1326222.0800000168</v>
      </c>
      <c r="AC6511" s="6">
        <f t="shared" si="1004"/>
        <v>0</v>
      </c>
      <c r="AD6511" s="6">
        <f t="shared" si="1002"/>
        <v>1326222.0800000168</v>
      </c>
      <c r="AE6511" s="14">
        <v>0.06</v>
      </c>
      <c r="AF6511" s="6">
        <f t="shared" si="1008"/>
        <v>79573.324800001006</v>
      </c>
      <c r="AG6511" s="14">
        <v>0</v>
      </c>
      <c r="AH6511" s="64">
        <f t="shared" si="1003"/>
        <v>1326222.0800000168</v>
      </c>
      <c r="AJ6511" s="126" t="e">
        <v>#N/A</v>
      </c>
      <c r="AK6511" s="80">
        <f t="shared" si="1007"/>
        <v>0</v>
      </c>
      <c r="AL6511" s="85"/>
      <c r="AM6511" s="85"/>
    </row>
    <row r="6512" spans="1:39" s="86" customFormat="1" ht="13.25" hidden="1" customHeight="1" x14ac:dyDescent="0.3">
      <c r="A6512" s="89" t="s">
        <v>3792</v>
      </c>
      <c r="B6512" s="86" t="s">
        <v>35</v>
      </c>
      <c r="C6512" s="86" t="s">
        <v>187</v>
      </c>
      <c r="D6512" s="86" t="s">
        <v>188</v>
      </c>
      <c r="E6512" s="86" t="s">
        <v>3619</v>
      </c>
      <c r="F6512" s="86" t="s">
        <v>3619</v>
      </c>
      <c r="G6512" s="86" t="s">
        <v>3619</v>
      </c>
      <c r="H6512" s="144">
        <v>229</v>
      </c>
      <c r="I6512" s="86" t="s">
        <v>3356</v>
      </c>
      <c r="J6512" s="47" t="s">
        <v>3326</v>
      </c>
      <c r="K6512" s="47" t="str">
        <f t="shared" ref="K6512:K6574" si="1009">N6512</f>
        <v>巨量引擎-游戏</v>
      </c>
      <c r="L6512" s="47" t="s">
        <v>35</v>
      </c>
      <c r="N6512" s="86" t="s">
        <v>3283</v>
      </c>
      <c r="O6512" s="47" t="s">
        <v>45</v>
      </c>
      <c r="P6512" s="47" t="s">
        <v>46</v>
      </c>
      <c r="Q6512" s="14">
        <v>0.06</v>
      </c>
      <c r="R6512" s="143"/>
      <c r="S6512" s="47"/>
      <c r="T6512" s="6">
        <v>316493.08999999991</v>
      </c>
      <c r="U6512" s="6"/>
      <c r="V6512" s="6">
        <v>113773.28999999998</v>
      </c>
      <c r="W6512" s="6">
        <f t="shared" ref="W6512:W6575" si="1010">T6512+U6512-V6512</f>
        <v>202719.79999999993</v>
      </c>
      <c r="X6512" s="6">
        <f t="shared" ref="X6512:X6575" si="1011">IF(P6512="折扣",V6512*Q6512,IF(P6512="返现",V6512,V6512/(1+Q6512)))</f>
        <v>107333.29245283017</v>
      </c>
      <c r="Y6512" s="13">
        <f t="shared" si="1005"/>
        <v>0</v>
      </c>
      <c r="Z6512" s="14">
        <v>0</v>
      </c>
      <c r="AA6512" s="6">
        <v>0</v>
      </c>
      <c r="AB6512" s="4">
        <f t="shared" si="1006"/>
        <v>107333.29245283017</v>
      </c>
      <c r="AC6512" s="6">
        <f t="shared" si="1004"/>
        <v>6439.9975471698126</v>
      </c>
      <c r="AD6512" s="6">
        <f t="shared" ref="AD6512:AD6575" si="1012">V6512</f>
        <v>113773.28999999998</v>
      </c>
      <c r="AE6512" s="14">
        <v>0.06</v>
      </c>
      <c r="AF6512" s="6">
        <f t="shared" si="1008"/>
        <v>6826.3973999999989</v>
      </c>
      <c r="AG6512" s="14">
        <v>0</v>
      </c>
      <c r="AH6512" s="64">
        <f t="shared" ref="AH6512:AH6575" si="1013">V6512</f>
        <v>113773.28999999998</v>
      </c>
      <c r="AJ6512" s="126" t="e">
        <v>#N/A</v>
      </c>
      <c r="AK6512" s="80">
        <f t="shared" si="1007"/>
        <v>0</v>
      </c>
      <c r="AL6512" s="85"/>
      <c r="AM6512" s="85"/>
    </row>
    <row r="6513" spans="1:39" s="86" customFormat="1" ht="13.25" hidden="1" customHeight="1" x14ac:dyDescent="0.3">
      <c r="A6513" s="89" t="s">
        <v>3794</v>
      </c>
      <c r="B6513" s="86" t="s">
        <v>35</v>
      </c>
      <c r="C6513" s="86" t="s">
        <v>187</v>
      </c>
      <c r="D6513" s="86" t="s">
        <v>208</v>
      </c>
      <c r="E6513" s="86" t="s">
        <v>282</v>
      </c>
      <c r="F6513" s="86" t="s">
        <v>283</v>
      </c>
      <c r="G6513" s="86" t="s">
        <v>282</v>
      </c>
      <c r="H6513" s="143">
        <v>229</v>
      </c>
      <c r="I6513" s="86" t="s">
        <v>3356</v>
      </c>
      <c r="J6513" s="47" t="s">
        <v>3326</v>
      </c>
      <c r="K6513" s="47" t="str">
        <f t="shared" si="1009"/>
        <v>巨量引擎-游戏</v>
      </c>
      <c r="L6513" s="47" t="s">
        <v>35</v>
      </c>
      <c r="N6513" s="86" t="s">
        <v>3283</v>
      </c>
      <c r="O6513" s="47" t="s">
        <v>45</v>
      </c>
      <c r="P6513" s="47" t="s">
        <v>46</v>
      </c>
      <c r="Q6513" s="14">
        <v>0.06</v>
      </c>
      <c r="R6513" s="143"/>
      <c r="S6513" s="47"/>
      <c r="T6513" s="6">
        <v>5300</v>
      </c>
      <c r="U6513" s="6"/>
      <c r="V6513" s="6">
        <v>0</v>
      </c>
      <c r="W6513" s="6">
        <f t="shared" si="1010"/>
        <v>5300</v>
      </c>
      <c r="X6513" s="6">
        <f t="shared" si="1011"/>
        <v>0</v>
      </c>
      <c r="Y6513" s="13">
        <f t="shared" si="1005"/>
        <v>0</v>
      </c>
      <c r="Z6513" s="14">
        <v>0</v>
      </c>
      <c r="AA6513" s="6">
        <v>0</v>
      </c>
      <c r="AB6513" s="4">
        <f t="shared" si="1006"/>
        <v>0</v>
      </c>
      <c r="AC6513" s="6">
        <f t="shared" si="1004"/>
        <v>0</v>
      </c>
      <c r="AD6513" s="6">
        <f t="shared" si="1012"/>
        <v>0</v>
      </c>
      <c r="AE6513" s="14">
        <v>0.06</v>
      </c>
      <c r="AF6513" s="6">
        <f t="shared" si="1008"/>
        <v>0</v>
      </c>
      <c r="AG6513" s="14">
        <v>0</v>
      </c>
      <c r="AH6513" s="64">
        <f t="shared" si="1013"/>
        <v>0</v>
      </c>
      <c r="AJ6513" s="126" t="e">
        <v>#N/A</v>
      </c>
      <c r="AK6513" s="80">
        <f t="shared" si="1007"/>
        <v>0</v>
      </c>
      <c r="AL6513" s="85"/>
      <c r="AM6513" s="85"/>
    </row>
    <row r="6514" spans="1:39" s="86" customFormat="1" ht="13.25" hidden="1" customHeight="1" x14ac:dyDescent="0.3">
      <c r="A6514" s="89" t="s">
        <v>3792</v>
      </c>
      <c r="B6514" s="86" t="s">
        <v>35</v>
      </c>
      <c r="C6514" s="86" t="s">
        <v>187</v>
      </c>
      <c r="D6514" s="86" t="s">
        <v>208</v>
      </c>
      <c r="E6514" s="86" t="s">
        <v>3620</v>
      </c>
      <c r="F6514" s="86" t="s">
        <v>3953</v>
      </c>
      <c r="G6514" s="86" t="s">
        <v>3620</v>
      </c>
      <c r="H6514" s="144">
        <v>229</v>
      </c>
      <c r="I6514" s="86" t="s">
        <v>3356</v>
      </c>
      <c r="J6514" s="47" t="s">
        <v>3326</v>
      </c>
      <c r="K6514" s="47" t="str">
        <f t="shared" si="1009"/>
        <v>巨量引擎-游戏</v>
      </c>
      <c r="L6514" s="47" t="s">
        <v>35</v>
      </c>
      <c r="N6514" s="86" t="s">
        <v>3283</v>
      </c>
      <c r="O6514" s="47" t="s">
        <v>3954</v>
      </c>
      <c r="P6514" s="47" t="s">
        <v>46</v>
      </c>
      <c r="Q6514" s="14">
        <v>0.03</v>
      </c>
      <c r="R6514" s="143"/>
      <c r="S6514" s="47"/>
      <c r="T6514" s="6">
        <v>93610.49</v>
      </c>
      <c r="U6514" s="6"/>
      <c r="V6514" s="6">
        <v>16717.920000000002</v>
      </c>
      <c r="W6514" s="6">
        <f t="shared" si="1010"/>
        <v>76892.570000000007</v>
      </c>
      <c r="X6514" s="6">
        <f t="shared" si="1011"/>
        <v>16230.990291262136</v>
      </c>
      <c r="Y6514" s="13">
        <f t="shared" si="1005"/>
        <v>0</v>
      </c>
      <c r="Z6514" s="14">
        <v>0</v>
      </c>
      <c r="AA6514" s="6">
        <v>0</v>
      </c>
      <c r="AB6514" s="4">
        <f t="shared" si="1006"/>
        <v>16230.990291262136</v>
      </c>
      <c r="AC6514" s="6">
        <f t="shared" si="1004"/>
        <v>486.92970873786544</v>
      </c>
      <c r="AD6514" s="6">
        <f t="shared" si="1012"/>
        <v>16717.920000000002</v>
      </c>
      <c r="AE6514" s="14">
        <v>0.06</v>
      </c>
      <c r="AF6514" s="6">
        <f t="shared" si="1008"/>
        <v>1003.0752000000001</v>
      </c>
      <c r="AG6514" s="14">
        <v>0</v>
      </c>
      <c r="AH6514" s="64">
        <f t="shared" si="1013"/>
        <v>16717.920000000002</v>
      </c>
      <c r="AJ6514" s="126" t="e">
        <v>#N/A</v>
      </c>
      <c r="AK6514" s="80">
        <f t="shared" si="1007"/>
        <v>0</v>
      </c>
      <c r="AL6514" s="85"/>
      <c r="AM6514" s="85"/>
    </row>
    <row r="6515" spans="1:39" s="86" customFormat="1" ht="13.25" hidden="1" customHeight="1" x14ac:dyDescent="0.3">
      <c r="A6515" s="89" t="s">
        <v>3794</v>
      </c>
      <c r="B6515" s="86" t="s">
        <v>35</v>
      </c>
      <c r="C6515" s="86" t="s">
        <v>187</v>
      </c>
      <c r="D6515" s="86" t="s">
        <v>208</v>
      </c>
      <c r="E6515" s="86" t="s">
        <v>219</v>
      </c>
      <c r="F6515" s="86" t="s">
        <v>219</v>
      </c>
      <c r="G6515" s="86" t="s">
        <v>219</v>
      </c>
      <c r="H6515" s="143">
        <v>229</v>
      </c>
      <c r="I6515" s="86" t="s">
        <v>3356</v>
      </c>
      <c r="J6515" s="47" t="s">
        <v>3326</v>
      </c>
      <c r="K6515" s="47" t="str">
        <f t="shared" si="1009"/>
        <v>巨量引擎-游戏</v>
      </c>
      <c r="L6515" s="47" t="s">
        <v>35</v>
      </c>
      <c r="N6515" s="86" t="s">
        <v>3283</v>
      </c>
      <c r="O6515" s="47" t="s">
        <v>45</v>
      </c>
      <c r="P6515" s="47" t="s">
        <v>41</v>
      </c>
      <c r="Q6515" s="14">
        <v>0</v>
      </c>
      <c r="R6515" s="143"/>
      <c r="S6515" s="47"/>
      <c r="T6515" s="6">
        <v>587.92999999993481</v>
      </c>
      <c r="U6515" s="6"/>
      <c r="V6515" s="6">
        <v>0</v>
      </c>
      <c r="W6515" s="6">
        <f t="shared" si="1010"/>
        <v>587.92999999993481</v>
      </c>
      <c r="X6515" s="6">
        <f t="shared" si="1011"/>
        <v>0</v>
      </c>
      <c r="Y6515" s="13">
        <f t="shared" si="1005"/>
        <v>0</v>
      </c>
      <c r="Z6515" s="14">
        <v>0</v>
      </c>
      <c r="AA6515" s="6">
        <v>0</v>
      </c>
      <c r="AB6515" s="4">
        <f t="shared" si="1006"/>
        <v>0</v>
      </c>
      <c r="AC6515" s="6">
        <f t="shared" si="1004"/>
        <v>0</v>
      </c>
      <c r="AD6515" s="6">
        <f t="shared" si="1012"/>
        <v>0</v>
      </c>
      <c r="AE6515" s="14">
        <v>0.06</v>
      </c>
      <c r="AF6515" s="6">
        <f t="shared" si="1008"/>
        <v>0</v>
      </c>
      <c r="AG6515" s="14">
        <v>0</v>
      </c>
      <c r="AH6515" s="64">
        <f t="shared" si="1013"/>
        <v>0</v>
      </c>
      <c r="AJ6515" s="126" t="e">
        <v>#N/A</v>
      </c>
      <c r="AK6515" s="80">
        <f t="shared" si="1007"/>
        <v>0</v>
      </c>
      <c r="AL6515" s="85"/>
      <c r="AM6515" s="85"/>
    </row>
    <row r="6516" spans="1:39" s="86" customFormat="1" ht="13.25" hidden="1" customHeight="1" x14ac:dyDescent="0.3">
      <c r="A6516" s="89" t="s">
        <v>3794</v>
      </c>
      <c r="B6516" s="86" t="s">
        <v>35</v>
      </c>
      <c r="C6516" s="86" t="s">
        <v>59</v>
      </c>
      <c r="D6516" s="86" t="s">
        <v>60</v>
      </c>
      <c r="E6516" s="86" t="s">
        <v>93</v>
      </c>
      <c r="F6516" s="86" t="s">
        <v>94</v>
      </c>
      <c r="G6516" s="86" t="s">
        <v>93</v>
      </c>
      <c r="H6516" s="143">
        <v>229</v>
      </c>
      <c r="I6516" s="86" t="s">
        <v>3356</v>
      </c>
      <c r="J6516" s="47" t="s">
        <v>3326</v>
      </c>
      <c r="K6516" s="47">
        <f t="shared" si="1009"/>
        <v>0</v>
      </c>
      <c r="L6516" s="47" t="s">
        <v>35</v>
      </c>
      <c r="O6516" s="47" t="s">
        <v>45</v>
      </c>
      <c r="P6516" s="47" t="s">
        <v>46</v>
      </c>
      <c r="Q6516" s="14">
        <v>7.0000000000000007E-2</v>
      </c>
      <c r="R6516" s="143"/>
      <c r="S6516" s="47"/>
      <c r="T6516" s="6">
        <v>3774.0399999991059</v>
      </c>
      <c r="U6516" s="6"/>
      <c r="V6516" s="6">
        <v>0</v>
      </c>
      <c r="W6516" s="6">
        <f t="shared" si="1010"/>
        <v>3774.0399999991059</v>
      </c>
      <c r="X6516" s="6">
        <f t="shared" si="1011"/>
        <v>0</v>
      </c>
      <c r="Y6516" s="13">
        <f t="shared" si="1005"/>
        <v>0</v>
      </c>
      <c r="Z6516" s="14">
        <v>0</v>
      </c>
      <c r="AA6516" s="6">
        <v>0</v>
      </c>
      <c r="AB6516" s="4">
        <f t="shared" si="1006"/>
        <v>0</v>
      </c>
      <c r="AC6516" s="6">
        <f t="shared" si="1004"/>
        <v>0</v>
      </c>
      <c r="AD6516" s="6">
        <f t="shared" si="1012"/>
        <v>0</v>
      </c>
      <c r="AE6516" s="14">
        <v>0.06</v>
      </c>
      <c r="AF6516" s="6">
        <f t="shared" si="1008"/>
        <v>0</v>
      </c>
      <c r="AG6516" s="14">
        <v>0</v>
      </c>
      <c r="AH6516" s="64">
        <f t="shared" si="1013"/>
        <v>0</v>
      </c>
      <c r="AJ6516" s="126" t="e">
        <v>#N/A</v>
      </c>
      <c r="AK6516" s="80">
        <f t="shared" si="1007"/>
        <v>0</v>
      </c>
      <c r="AL6516" s="85"/>
      <c r="AM6516" s="85"/>
    </row>
    <row r="6517" spans="1:39" s="86" customFormat="1" ht="13.25" hidden="1" customHeight="1" x14ac:dyDescent="0.3">
      <c r="A6517" s="89" t="s">
        <v>3792</v>
      </c>
      <c r="B6517" s="86" t="s">
        <v>35</v>
      </c>
      <c r="C6517" s="86" t="s">
        <v>144</v>
      </c>
      <c r="D6517" s="86" t="s">
        <v>152</v>
      </c>
      <c r="E6517" s="86" t="s">
        <v>155</v>
      </c>
      <c r="F6517" s="86" t="s">
        <v>156</v>
      </c>
      <c r="G6517" s="86" t="s">
        <v>155</v>
      </c>
      <c r="H6517" s="144">
        <v>229</v>
      </c>
      <c r="I6517" s="86" t="s">
        <v>3356</v>
      </c>
      <c r="J6517" s="47" t="s">
        <v>3326</v>
      </c>
      <c r="K6517" s="47" t="str">
        <f t="shared" si="1009"/>
        <v>巨量引擎-一类</v>
      </c>
      <c r="L6517" s="47" t="s">
        <v>35</v>
      </c>
      <c r="N6517" s="86" t="s">
        <v>3955</v>
      </c>
      <c r="O6517" s="47" t="s">
        <v>45</v>
      </c>
      <c r="P6517" s="47" t="s">
        <v>46</v>
      </c>
      <c r="Q6517" s="14">
        <v>0.03</v>
      </c>
      <c r="R6517" s="143"/>
      <c r="S6517" s="47"/>
      <c r="T6517" s="6">
        <v>42219.16</v>
      </c>
      <c r="U6517" s="6"/>
      <c r="V6517" s="6">
        <v>42219.16</v>
      </c>
      <c r="W6517" s="6">
        <f t="shared" si="1010"/>
        <v>0</v>
      </c>
      <c r="X6517" s="6">
        <f t="shared" si="1011"/>
        <v>40989.475728155339</v>
      </c>
      <c r="Y6517" s="13">
        <f t="shared" si="1005"/>
        <v>0</v>
      </c>
      <c r="Z6517" s="14">
        <v>0</v>
      </c>
      <c r="AA6517" s="6">
        <v>0</v>
      </c>
      <c r="AB6517" s="4">
        <f t="shared" si="1006"/>
        <v>40989.475728155339</v>
      </c>
      <c r="AC6517" s="6">
        <f t="shared" si="1004"/>
        <v>1229.6842718446642</v>
      </c>
      <c r="AD6517" s="6">
        <f t="shared" si="1012"/>
        <v>42219.16</v>
      </c>
      <c r="AE6517" s="14">
        <v>0.06</v>
      </c>
      <c r="AF6517" s="6">
        <f t="shared" si="1008"/>
        <v>2533.1496000000002</v>
      </c>
      <c r="AG6517" s="14">
        <v>0</v>
      </c>
      <c r="AH6517" s="64">
        <f t="shared" si="1013"/>
        <v>42219.16</v>
      </c>
      <c r="AJ6517" s="126" t="e">
        <v>#N/A</v>
      </c>
      <c r="AK6517" s="80">
        <f t="shared" si="1007"/>
        <v>0</v>
      </c>
      <c r="AL6517" s="85"/>
      <c r="AM6517" s="85"/>
    </row>
    <row r="6518" spans="1:39" s="86" customFormat="1" ht="13.25" hidden="1" customHeight="1" x14ac:dyDescent="0.3">
      <c r="A6518" s="89" t="s">
        <v>3794</v>
      </c>
      <c r="B6518" s="86" t="s">
        <v>35</v>
      </c>
      <c r="C6518" s="86" t="s">
        <v>187</v>
      </c>
      <c r="D6518" s="86" t="s">
        <v>188</v>
      </c>
      <c r="E6518" s="86" t="s">
        <v>192</v>
      </c>
      <c r="F6518" s="86" t="s">
        <v>192</v>
      </c>
      <c r="G6518" s="86" t="s">
        <v>192</v>
      </c>
      <c r="H6518" s="143">
        <v>229</v>
      </c>
      <c r="I6518" s="86" t="s">
        <v>3356</v>
      </c>
      <c r="J6518" s="47" t="s">
        <v>3326</v>
      </c>
      <c r="K6518" s="47" t="str">
        <f t="shared" si="1009"/>
        <v>巨量引擎-游戏</v>
      </c>
      <c r="L6518" s="47" t="s">
        <v>35</v>
      </c>
      <c r="N6518" s="86" t="s">
        <v>3283</v>
      </c>
      <c r="O6518" s="47" t="s">
        <v>45</v>
      </c>
      <c r="P6518" s="47" t="s">
        <v>41</v>
      </c>
      <c r="Q6518" s="14">
        <v>0</v>
      </c>
      <c r="R6518" s="143"/>
      <c r="S6518" s="47"/>
      <c r="T6518" s="6">
        <v>8000000</v>
      </c>
      <c r="U6518" s="6"/>
      <c r="V6518" s="6">
        <v>0</v>
      </c>
      <c r="W6518" s="6">
        <f t="shared" si="1010"/>
        <v>8000000</v>
      </c>
      <c r="X6518" s="6">
        <f t="shared" si="1011"/>
        <v>0</v>
      </c>
      <c r="Y6518" s="13">
        <f t="shared" si="1005"/>
        <v>0</v>
      </c>
      <c r="Z6518" s="14">
        <v>0</v>
      </c>
      <c r="AA6518" s="6">
        <v>0</v>
      </c>
      <c r="AB6518" s="4">
        <f t="shared" si="1006"/>
        <v>0</v>
      </c>
      <c r="AC6518" s="6">
        <f t="shared" si="1004"/>
        <v>0</v>
      </c>
      <c r="AD6518" s="6">
        <f t="shared" si="1012"/>
        <v>0</v>
      </c>
      <c r="AE6518" s="14">
        <v>0.06</v>
      </c>
      <c r="AF6518" s="6">
        <f t="shared" si="1008"/>
        <v>0</v>
      </c>
      <c r="AG6518" s="14">
        <v>0</v>
      </c>
      <c r="AH6518" s="64">
        <f t="shared" si="1013"/>
        <v>0</v>
      </c>
      <c r="AJ6518" s="126" t="e">
        <v>#N/A</v>
      </c>
      <c r="AK6518" s="80">
        <f t="shared" si="1007"/>
        <v>0</v>
      </c>
      <c r="AL6518" s="85"/>
      <c r="AM6518" s="85"/>
    </row>
    <row r="6519" spans="1:39" s="86" customFormat="1" ht="13.25" hidden="1" customHeight="1" x14ac:dyDescent="0.3">
      <c r="A6519" s="89" t="s">
        <v>3794</v>
      </c>
      <c r="B6519" s="86" t="s">
        <v>35</v>
      </c>
      <c r="C6519" s="86" t="s">
        <v>187</v>
      </c>
      <c r="D6519" s="86" t="s">
        <v>188</v>
      </c>
      <c r="E6519" s="86" t="s">
        <v>201</v>
      </c>
      <c r="F6519" s="86" t="s">
        <v>201</v>
      </c>
      <c r="G6519" s="86" t="s">
        <v>201</v>
      </c>
      <c r="H6519" s="144">
        <v>229</v>
      </c>
      <c r="I6519" s="86" t="s">
        <v>3356</v>
      </c>
      <c r="J6519" s="47" t="s">
        <v>3326</v>
      </c>
      <c r="K6519" s="47" t="str">
        <f t="shared" si="1009"/>
        <v>巨量引擎-游戏</v>
      </c>
      <c r="L6519" s="47" t="s">
        <v>35</v>
      </c>
      <c r="N6519" s="86" t="s">
        <v>3283</v>
      </c>
      <c r="O6519" s="47" t="s">
        <v>45</v>
      </c>
      <c r="P6519" s="47" t="s">
        <v>41</v>
      </c>
      <c r="Q6519" s="14">
        <v>0</v>
      </c>
      <c r="R6519" s="143"/>
      <c r="S6519" s="47"/>
      <c r="T6519" s="6">
        <v>446083.05999999918</v>
      </c>
      <c r="U6519" s="6"/>
      <c r="V6519" s="6">
        <v>31074.809999999998</v>
      </c>
      <c r="W6519" s="6">
        <f t="shared" si="1010"/>
        <v>415008.24999999919</v>
      </c>
      <c r="X6519" s="6">
        <f t="shared" si="1011"/>
        <v>31074.809999999998</v>
      </c>
      <c r="Y6519" s="13">
        <f t="shared" si="1005"/>
        <v>0</v>
      </c>
      <c r="Z6519" s="14">
        <v>0</v>
      </c>
      <c r="AA6519" s="6">
        <v>0</v>
      </c>
      <c r="AB6519" s="4">
        <f t="shared" si="1006"/>
        <v>31074.809999999998</v>
      </c>
      <c r="AC6519" s="6">
        <f t="shared" si="1004"/>
        <v>0</v>
      </c>
      <c r="AD6519" s="6">
        <f t="shared" si="1012"/>
        <v>31074.809999999998</v>
      </c>
      <c r="AE6519" s="14">
        <v>0.06</v>
      </c>
      <c r="AF6519" s="6">
        <f t="shared" si="1008"/>
        <v>1864.4885999999997</v>
      </c>
      <c r="AG6519" s="14">
        <v>0</v>
      </c>
      <c r="AH6519" s="64">
        <f t="shared" si="1013"/>
        <v>31074.809999999998</v>
      </c>
      <c r="AJ6519" s="126" t="e">
        <v>#N/A</v>
      </c>
      <c r="AK6519" s="80">
        <f t="shared" si="1007"/>
        <v>0</v>
      </c>
      <c r="AL6519" s="85"/>
      <c r="AM6519" s="85"/>
    </row>
    <row r="6520" spans="1:39" s="86" customFormat="1" ht="13.25" hidden="1" customHeight="1" x14ac:dyDescent="0.3">
      <c r="A6520" s="89" t="s">
        <v>3792</v>
      </c>
      <c r="B6520" s="86" t="s">
        <v>35</v>
      </c>
      <c r="C6520" s="86" t="s">
        <v>187</v>
      </c>
      <c r="D6520" s="86" t="s">
        <v>188</v>
      </c>
      <c r="E6520" s="86" t="s">
        <v>206</v>
      </c>
      <c r="F6520" s="86" t="s">
        <v>206</v>
      </c>
      <c r="G6520" s="86" t="s">
        <v>206</v>
      </c>
      <c r="H6520" s="144">
        <v>229</v>
      </c>
      <c r="I6520" s="86" t="s">
        <v>3356</v>
      </c>
      <c r="J6520" s="47" t="s">
        <v>3326</v>
      </c>
      <c r="K6520" s="47" t="str">
        <f t="shared" si="1009"/>
        <v>巨量引擎-游戏</v>
      </c>
      <c r="L6520" s="47" t="s">
        <v>35</v>
      </c>
      <c r="N6520" s="86" t="s">
        <v>3283</v>
      </c>
      <c r="O6520" s="47" t="s">
        <v>45</v>
      </c>
      <c r="P6520" s="47" t="s">
        <v>41</v>
      </c>
      <c r="Q6520" s="14">
        <v>0</v>
      </c>
      <c r="R6520" s="143"/>
      <c r="S6520" s="47"/>
      <c r="T6520" s="6">
        <v>22910.700000005891</v>
      </c>
      <c r="U6520" s="6"/>
      <c r="V6520" s="6">
        <v>22910.69</v>
      </c>
      <c r="W6520" s="6">
        <f t="shared" si="1010"/>
        <v>1.0000005891924957E-2</v>
      </c>
      <c r="X6520" s="6">
        <f t="shared" si="1011"/>
        <v>22910.69</v>
      </c>
      <c r="Y6520" s="13">
        <f t="shared" si="1005"/>
        <v>0</v>
      </c>
      <c r="Z6520" s="14">
        <v>0</v>
      </c>
      <c r="AA6520" s="6">
        <v>0</v>
      </c>
      <c r="AB6520" s="4">
        <f t="shared" si="1006"/>
        <v>22910.69</v>
      </c>
      <c r="AC6520" s="6">
        <f t="shared" si="1004"/>
        <v>0</v>
      </c>
      <c r="AD6520" s="6">
        <f t="shared" si="1012"/>
        <v>22910.69</v>
      </c>
      <c r="AE6520" s="14">
        <v>0.06</v>
      </c>
      <c r="AF6520" s="6">
        <f t="shared" si="1008"/>
        <v>1374.6414</v>
      </c>
      <c r="AG6520" s="14">
        <v>0</v>
      </c>
      <c r="AH6520" s="64">
        <f t="shared" si="1013"/>
        <v>22910.69</v>
      </c>
      <c r="AJ6520" s="126" t="s">
        <v>4218</v>
      </c>
      <c r="AK6520" s="80">
        <f t="shared" si="1007"/>
        <v>0</v>
      </c>
      <c r="AL6520" s="150"/>
      <c r="AM6520" s="85"/>
    </row>
    <row r="6521" spans="1:39" s="86" customFormat="1" ht="13.25" hidden="1" customHeight="1" x14ac:dyDescent="0.3">
      <c r="A6521" s="89" t="s">
        <v>3794</v>
      </c>
      <c r="B6521" s="86" t="s">
        <v>35</v>
      </c>
      <c r="C6521" s="86" t="s">
        <v>187</v>
      </c>
      <c r="D6521" s="86" t="s">
        <v>208</v>
      </c>
      <c r="E6521" s="86" t="s">
        <v>213</v>
      </c>
      <c r="F6521" s="86" t="s">
        <v>213</v>
      </c>
      <c r="G6521" s="86" t="s">
        <v>213</v>
      </c>
      <c r="H6521" s="144">
        <v>229</v>
      </c>
      <c r="I6521" s="86" t="s">
        <v>3356</v>
      </c>
      <c r="J6521" s="47" t="s">
        <v>3326</v>
      </c>
      <c r="K6521" s="47" t="str">
        <f t="shared" si="1009"/>
        <v>巨量引擎-游戏</v>
      </c>
      <c r="L6521" s="47" t="s">
        <v>35</v>
      </c>
      <c r="N6521" s="86" t="s">
        <v>3283</v>
      </c>
      <c r="O6521" s="47" t="s">
        <v>45</v>
      </c>
      <c r="P6521" s="47" t="s">
        <v>41</v>
      </c>
      <c r="Q6521" s="14">
        <v>0</v>
      </c>
      <c r="R6521" s="143"/>
      <c r="S6521" s="47"/>
      <c r="T6521" s="6">
        <v>257739.59000000008</v>
      </c>
      <c r="U6521" s="6"/>
      <c r="V6521" s="6">
        <v>18624.23</v>
      </c>
      <c r="W6521" s="6">
        <f t="shared" si="1010"/>
        <v>239115.36000000007</v>
      </c>
      <c r="X6521" s="6">
        <f t="shared" si="1011"/>
        <v>18624.23</v>
      </c>
      <c r="Y6521" s="13">
        <f t="shared" si="1005"/>
        <v>0</v>
      </c>
      <c r="Z6521" s="14">
        <v>0</v>
      </c>
      <c r="AA6521" s="6">
        <v>0</v>
      </c>
      <c r="AB6521" s="4">
        <f t="shared" si="1006"/>
        <v>18624.23</v>
      </c>
      <c r="AC6521" s="6">
        <f t="shared" si="1004"/>
        <v>0</v>
      </c>
      <c r="AD6521" s="6">
        <f t="shared" si="1012"/>
        <v>18624.23</v>
      </c>
      <c r="AE6521" s="14">
        <v>0.06</v>
      </c>
      <c r="AF6521" s="6">
        <f t="shared" si="1008"/>
        <v>1117.4538</v>
      </c>
      <c r="AG6521" s="14">
        <v>0</v>
      </c>
      <c r="AH6521" s="64">
        <f t="shared" si="1013"/>
        <v>18624.23</v>
      </c>
      <c r="AJ6521" s="126" t="e">
        <v>#N/A</v>
      </c>
      <c r="AK6521" s="80">
        <f t="shared" si="1007"/>
        <v>0</v>
      </c>
      <c r="AL6521" s="85"/>
      <c r="AM6521" s="85"/>
    </row>
    <row r="6522" spans="1:39" s="86" customFormat="1" ht="13.25" hidden="1" customHeight="1" x14ac:dyDescent="0.3">
      <c r="A6522" s="89" t="s">
        <v>3794</v>
      </c>
      <c r="B6522" s="86" t="s">
        <v>35</v>
      </c>
      <c r="C6522" s="86" t="s">
        <v>59</v>
      </c>
      <c r="D6522" s="86" t="s">
        <v>60</v>
      </c>
      <c r="E6522" s="86" t="s">
        <v>222</v>
      </c>
      <c r="F6522" s="86" t="s">
        <v>223</v>
      </c>
      <c r="G6522" s="86" t="s">
        <v>222</v>
      </c>
      <c r="H6522" s="143">
        <v>229</v>
      </c>
      <c r="I6522" s="86" t="s">
        <v>3356</v>
      </c>
      <c r="J6522" s="47" t="s">
        <v>3326</v>
      </c>
      <c r="K6522" s="47">
        <f t="shared" si="1009"/>
        <v>0</v>
      </c>
      <c r="L6522" s="47" t="s">
        <v>35</v>
      </c>
      <c r="O6522" s="47" t="s">
        <v>45</v>
      </c>
      <c r="P6522" s="47" t="s">
        <v>41</v>
      </c>
      <c r="Q6522" s="14">
        <v>0</v>
      </c>
      <c r="R6522" s="143"/>
      <c r="S6522" s="47"/>
      <c r="T6522" s="6">
        <v>9989.83</v>
      </c>
      <c r="U6522" s="6"/>
      <c r="V6522" s="6">
        <v>0</v>
      </c>
      <c r="W6522" s="6">
        <f t="shared" si="1010"/>
        <v>9989.83</v>
      </c>
      <c r="X6522" s="6">
        <f t="shared" si="1011"/>
        <v>0</v>
      </c>
      <c r="Y6522" s="13">
        <f t="shared" si="1005"/>
        <v>0</v>
      </c>
      <c r="Z6522" s="14">
        <v>0</v>
      </c>
      <c r="AA6522" s="6">
        <v>0</v>
      </c>
      <c r="AB6522" s="4">
        <f t="shared" si="1006"/>
        <v>0</v>
      </c>
      <c r="AC6522" s="6">
        <f t="shared" si="1004"/>
        <v>0</v>
      </c>
      <c r="AD6522" s="6">
        <f t="shared" si="1012"/>
        <v>0</v>
      </c>
      <c r="AE6522" s="14">
        <v>0.06</v>
      </c>
      <c r="AF6522" s="6">
        <f t="shared" si="1008"/>
        <v>0</v>
      </c>
      <c r="AG6522" s="14">
        <v>0</v>
      </c>
      <c r="AH6522" s="64">
        <f t="shared" si="1013"/>
        <v>0</v>
      </c>
      <c r="AJ6522" s="126" t="e">
        <v>#N/A</v>
      </c>
      <c r="AK6522" s="80">
        <f t="shared" si="1007"/>
        <v>0</v>
      </c>
      <c r="AL6522" s="85"/>
      <c r="AM6522" s="85"/>
    </row>
    <row r="6523" spans="1:39" s="86" customFormat="1" ht="13.25" hidden="1" customHeight="1" x14ac:dyDescent="0.3">
      <c r="A6523" s="89" t="s">
        <v>3792</v>
      </c>
      <c r="B6523" s="86" t="s">
        <v>35</v>
      </c>
      <c r="C6523" s="86" t="s">
        <v>184</v>
      </c>
      <c r="D6523" s="86" t="s">
        <v>54</v>
      </c>
      <c r="E6523" s="86" t="s">
        <v>227</v>
      </c>
      <c r="F6523" s="86" t="s">
        <v>227</v>
      </c>
      <c r="G6523" s="86" t="s">
        <v>227</v>
      </c>
      <c r="H6523" s="143">
        <v>229</v>
      </c>
      <c r="I6523" s="86" t="s">
        <v>3356</v>
      </c>
      <c r="J6523" s="47" t="s">
        <v>3326</v>
      </c>
      <c r="K6523" s="47" t="str">
        <f t="shared" si="1009"/>
        <v>巨量引擎-三类</v>
      </c>
      <c r="L6523" s="47" t="s">
        <v>35</v>
      </c>
      <c r="N6523" s="86" t="s">
        <v>3712</v>
      </c>
      <c r="O6523" s="47" t="s">
        <v>45</v>
      </c>
      <c r="P6523" s="47" t="s">
        <v>41</v>
      </c>
      <c r="Q6523" s="14">
        <v>0</v>
      </c>
      <c r="R6523" s="143"/>
      <c r="S6523" s="47"/>
      <c r="T6523" s="6">
        <v>-871.09000000011292</v>
      </c>
      <c r="U6523" s="6"/>
      <c r="V6523" s="6">
        <v>0</v>
      </c>
      <c r="W6523" s="6">
        <f t="shared" si="1010"/>
        <v>-871.09000000011292</v>
      </c>
      <c r="X6523" s="6">
        <f t="shared" si="1011"/>
        <v>0</v>
      </c>
      <c r="Y6523" s="13">
        <f t="shared" si="1005"/>
        <v>0</v>
      </c>
      <c r="Z6523" s="14">
        <v>0</v>
      </c>
      <c r="AA6523" s="6">
        <v>0</v>
      </c>
      <c r="AB6523" s="4">
        <f t="shared" si="1006"/>
        <v>0</v>
      </c>
      <c r="AC6523" s="6">
        <f t="shared" si="1004"/>
        <v>0</v>
      </c>
      <c r="AD6523" s="6">
        <f t="shared" si="1012"/>
        <v>0</v>
      </c>
      <c r="AE6523" s="14">
        <v>0.06</v>
      </c>
      <c r="AF6523" s="6">
        <f t="shared" si="1008"/>
        <v>0</v>
      </c>
      <c r="AG6523" s="14">
        <v>0</v>
      </c>
      <c r="AH6523" s="64">
        <f t="shared" si="1013"/>
        <v>0</v>
      </c>
      <c r="AJ6523" s="126" t="e">
        <v>#N/A</v>
      </c>
      <c r="AK6523" s="80">
        <f t="shared" si="1007"/>
        <v>0</v>
      </c>
      <c r="AL6523" s="85"/>
      <c r="AM6523" s="85"/>
    </row>
    <row r="6524" spans="1:39" s="86" customFormat="1" ht="13.25" hidden="1" customHeight="1" x14ac:dyDescent="0.3">
      <c r="A6524" s="89" t="s">
        <v>3794</v>
      </c>
      <c r="B6524" s="86" t="s">
        <v>35</v>
      </c>
      <c r="C6524" s="86" t="s">
        <v>36</v>
      </c>
      <c r="D6524" s="86" t="s">
        <v>185</v>
      </c>
      <c r="E6524" s="86" t="s">
        <v>234</v>
      </c>
      <c r="F6524" s="86" t="s">
        <v>234</v>
      </c>
      <c r="G6524" s="86" t="s">
        <v>234</v>
      </c>
      <c r="H6524" s="143">
        <v>229</v>
      </c>
      <c r="I6524" s="86" t="s">
        <v>3356</v>
      </c>
      <c r="J6524" s="47" t="s">
        <v>3326</v>
      </c>
      <c r="K6524" s="47">
        <f t="shared" si="1009"/>
        <v>0</v>
      </c>
      <c r="L6524" s="47" t="s">
        <v>35</v>
      </c>
      <c r="O6524" s="47" t="s">
        <v>45</v>
      </c>
      <c r="P6524" s="47" t="s">
        <v>41</v>
      </c>
      <c r="Q6524" s="14">
        <v>0</v>
      </c>
      <c r="R6524" s="143"/>
      <c r="S6524" s="47"/>
      <c r="T6524" s="6">
        <v>3.5100000000020373</v>
      </c>
      <c r="U6524" s="6"/>
      <c r="V6524" s="6">
        <v>0</v>
      </c>
      <c r="W6524" s="6">
        <f t="shared" si="1010"/>
        <v>3.5100000000020373</v>
      </c>
      <c r="X6524" s="6">
        <f t="shared" si="1011"/>
        <v>0</v>
      </c>
      <c r="Y6524" s="13">
        <f t="shared" si="1005"/>
        <v>0</v>
      </c>
      <c r="Z6524" s="14">
        <v>0</v>
      </c>
      <c r="AA6524" s="6">
        <v>0</v>
      </c>
      <c r="AB6524" s="4">
        <f t="shared" si="1006"/>
        <v>0</v>
      </c>
      <c r="AC6524" s="6">
        <f t="shared" si="1004"/>
        <v>0</v>
      </c>
      <c r="AD6524" s="6">
        <f t="shared" si="1012"/>
        <v>0</v>
      </c>
      <c r="AE6524" s="14">
        <v>0.06</v>
      </c>
      <c r="AF6524" s="6">
        <f t="shared" si="1008"/>
        <v>0</v>
      </c>
      <c r="AG6524" s="14">
        <v>0</v>
      </c>
      <c r="AH6524" s="64">
        <f t="shared" si="1013"/>
        <v>0</v>
      </c>
      <c r="AJ6524" s="126" t="e">
        <v>#N/A</v>
      </c>
      <c r="AK6524" s="80">
        <f t="shared" si="1007"/>
        <v>0</v>
      </c>
      <c r="AL6524" s="85"/>
      <c r="AM6524" s="85"/>
    </row>
    <row r="6525" spans="1:39" s="86" customFormat="1" ht="13.25" hidden="1" customHeight="1" x14ac:dyDescent="0.3">
      <c r="A6525" s="89" t="s">
        <v>3792</v>
      </c>
      <c r="B6525" s="86" t="s">
        <v>35</v>
      </c>
      <c r="C6525" s="86" t="s">
        <v>36</v>
      </c>
      <c r="D6525" s="86" t="s">
        <v>185</v>
      </c>
      <c r="E6525" s="86" t="s">
        <v>225</v>
      </c>
      <c r="F6525" s="86" t="s">
        <v>235</v>
      </c>
      <c r="G6525" s="86" t="s">
        <v>225</v>
      </c>
      <c r="H6525" s="143">
        <v>229</v>
      </c>
      <c r="I6525" s="86" t="s">
        <v>3356</v>
      </c>
      <c r="J6525" s="47" t="s">
        <v>3326</v>
      </c>
      <c r="K6525" s="47">
        <f t="shared" si="1009"/>
        <v>0</v>
      </c>
      <c r="L6525" s="47" t="s">
        <v>35</v>
      </c>
      <c r="O6525" s="47" t="s">
        <v>45</v>
      </c>
      <c r="P6525" s="47" t="s">
        <v>46</v>
      </c>
      <c r="Q6525" s="14">
        <v>0.01</v>
      </c>
      <c r="R6525" s="143"/>
      <c r="S6525" s="47"/>
      <c r="T6525" s="6">
        <v>382494.92000000039</v>
      </c>
      <c r="U6525" s="6"/>
      <c r="V6525" s="6">
        <v>0</v>
      </c>
      <c r="W6525" s="6">
        <f t="shared" si="1010"/>
        <v>382494.92000000039</v>
      </c>
      <c r="X6525" s="6">
        <f t="shared" si="1011"/>
        <v>0</v>
      </c>
      <c r="Y6525" s="13">
        <f t="shared" si="1005"/>
        <v>0</v>
      </c>
      <c r="Z6525" s="14">
        <v>0</v>
      </c>
      <c r="AA6525" s="6">
        <v>0</v>
      </c>
      <c r="AB6525" s="4">
        <f t="shared" si="1006"/>
        <v>0</v>
      </c>
      <c r="AC6525" s="6">
        <f t="shared" si="1004"/>
        <v>0</v>
      </c>
      <c r="AD6525" s="6">
        <f t="shared" si="1012"/>
        <v>0</v>
      </c>
      <c r="AE6525" s="14">
        <v>0.06</v>
      </c>
      <c r="AF6525" s="6">
        <f t="shared" si="1008"/>
        <v>0</v>
      </c>
      <c r="AG6525" s="14">
        <v>0</v>
      </c>
      <c r="AH6525" s="64">
        <f t="shared" si="1013"/>
        <v>0</v>
      </c>
      <c r="AJ6525" s="126" t="e">
        <v>#N/A</v>
      </c>
      <c r="AK6525" s="80">
        <f t="shared" si="1007"/>
        <v>0</v>
      </c>
      <c r="AL6525" s="85"/>
      <c r="AM6525" s="85"/>
    </row>
    <row r="6526" spans="1:39" s="86" customFormat="1" ht="13.25" hidden="1" customHeight="1" x14ac:dyDescent="0.3">
      <c r="A6526" s="89" t="s">
        <v>3794</v>
      </c>
      <c r="B6526" s="86" t="s">
        <v>35</v>
      </c>
      <c r="C6526" s="86" t="s">
        <v>144</v>
      </c>
      <c r="D6526" s="86" t="s">
        <v>152</v>
      </c>
      <c r="E6526" s="86" t="s">
        <v>241</v>
      </c>
      <c r="F6526" s="86" t="s">
        <v>241</v>
      </c>
      <c r="G6526" s="86" t="s">
        <v>241</v>
      </c>
      <c r="H6526" s="143">
        <v>229</v>
      </c>
      <c r="I6526" s="86" t="s">
        <v>3356</v>
      </c>
      <c r="J6526" s="47" t="s">
        <v>3326</v>
      </c>
      <c r="K6526" s="47">
        <f t="shared" si="1009"/>
        <v>0</v>
      </c>
      <c r="L6526" s="47" t="s">
        <v>35</v>
      </c>
      <c r="O6526" s="47" t="s">
        <v>45</v>
      </c>
      <c r="P6526" s="47" t="s">
        <v>41</v>
      </c>
      <c r="Q6526" s="14">
        <v>0</v>
      </c>
      <c r="R6526" s="143"/>
      <c r="S6526" s="47"/>
      <c r="T6526" s="6">
        <v>31406.659999999996</v>
      </c>
      <c r="U6526" s="6"/>
      <c r="V6526" s="6">
        <v>0</v>
      </c>
      <c r="W6526" s="6">
        <f t="shared" si="1010"/>
        <v>31406.659999999996</v>
      </c>
      <c r="X6526" s="6">
        <f t="shared" si="1011"/>
        <v>0</v>
      </c>
      <c r="Y6526" s="13">
        <f t="shared" si="1005"/>
        <v>0</v>
      </c>
      <c r="Z6526" s="14">
        <v>0</v>
      </c>
      <c r="AA6526" s="6">
        <v>0</v>
      </c>
      <c r="AB6526" s="4">
        <f t="shared" si="1006"/>
        <v>0</v>
      </c>
      <c r="AC6526" s="6">
        <f t="shared" ref="AC6526:AC6589" si="1014">IF(P6526="返现",X6526*Q6526,V6526-X6526)</f>
        <v>0</v>
      </c>
      <c r="AD6526" s="6">
        <f t="shared" si="1012"/>
        <v>0</v>
      </c>
      <c r="AE6526" s="14">
        <v>0.06</v>
      </c>
      <c r="AF6526" s="6">
        <f t="shared" si="1008"/>
        <v>0</v>
      </c>
      <c r="AG6526" s="14">
        <v>0</v>
      </c>
      <c r="AH6526" s="64">
        <f t="shared" si="1013"/>
        <v>0</v>
      </c>
      <c r="AJ6526" s="126" t="e">
        <v>#N/A</v>
      </c>
      <c r="AK6526" s="80">
        <f t="shared" si="1007"/>
        <v>0</v>
      </c>
      <c r="AL6526" s="85"/>
      <c r="AM6526" s="85"/>
    </row>
    <row r="6527" spans="1:39" s="86" customFormat="1" ht="13.25" hidden="1" customHeight="1" x14ac:dyDescent="0.3">
      <c r="A6527" s="89" t="s">
        <v>3794</v>
      </c>
      <c r="B6527" s="86" t="s">
        <v>35</v>
      </c>
      <c r="C6527" s="86" t="s">
        <v>144</v>
      </c>
      <c r="D6527" s="86" t="s">
        <v>161</v>
      </c>
      <c r="E6527" s="86" t="s">
        <v>242</v>
      </c>
      <c r="F6527" s="86" t="s">
        <v>243</v>
      </c>
      <c r="G6527" s="86" t="s">
        <v>242</v>
      </c>
      <c r="H6527" s="143">
        <v>229</v>
      </c>
      <c r="I6527" s="86" t="s">
        <v>3356</v>
      </c>
      <c r="J6527" s="47" t="s">
        <v>3326</v>
      </c>
      <c r="K6527" s="47">
        <f t="shared" si="1009"/>
        <v>0</v>
      </c>
      <c r="L6527" s="47" t="s">
        <v>35</v>
      </c>
      <c r="O6527" s="47" t="s">
        <v>45</v>
      </c>
      <c r="P6527" s="47" t="s">
        <v>41</v>
      </c>
      <c r="Q6527" s="14">
        <v>0</v>
      </c>
      <c r="R6527" s="143"/>
      <c r="S6527" s="47"/>
      <c r="T6527" s="6">
        <v>15439.349999999999</v>
      </c>
      <c r="U6527" s="6"/>
      <c r="V6527" s="6">
        <v>0</v>
      </c>
      <c r="W6527" s="6">
        <f t="shared" si="1010"/>
        <v>15439.349999999999</v>
      </c>
      <c r="X6527" s="6">
        <f t="shared" si="1011"/>
        <v>0</v>
      </c>
      <c r="Y6527" s="13">
        <f t="shared" si="1005"/>
        <v>0</v>
      </c>
      <c r="Z6527" s="14">
        <v>0</v>
      </c>
      <c r="AA6527" s="6">
        <v>0</v>
      </c>
      <c r="AB6527" s="4">
        <f t="shared" si="1006"/>
        <v>0</v>
      </c>
      <c r="AC6527" s="6">
        <f t="shared" si="1014"/>
        <v>0</v>
      </c>
      <c r="AD6527" s="6">
        <f t="shared" si="1012"/>
        <v>0</v>
      </c>
      <c r="AE6527" s="14">
        <v>0.06</v>
      </c>
      <c r="AF6527" s="6">
        <f t="shared" si="1008"/>
        <v>0</v>
      </c>
      <c r="AG6527" s="14">
        <v>0</v>
      </c>
      <c r="AH6527" s="64">
        <f t="shared" si="1013"/>
        <v>0</v>
      </c>
      <c r="AJ6527" s="126" t="e">
        <v>#N/A</v>
      </c>
      <c r="AK6527" s="80">
        <f t="shared" si="1007"/>
        <v>0</v>
      </c>
      <c r="AL6527" s="85"/>
      <c r="AM6527" s="85"/>
    </row>
    <row r="6528" spans="1:39" s="86" customFormat="1" ht="13.25" hidden="1" customHeight="1" x14ac:dyDescent="0.3">
      <c r="A6528" s="89" t="s">
        <v>3794</v>
      </c>
      <c r="B6528" s="86" t="s">
        <v>35</v>
      </c>
      <c r="C6528" s="86" t="s">
        <v>144</v>
      </c>
      <c r="D6528" s="86" t="s">
        <v>161</v>
      </c>
      <c r="E6528" s="86" t="s">
        <v>244</v>
      </c>
      <c r="F6528" s="86" t="s">
        <v>244</v>
      </c>
      <c r="G6528" s="86" t="s">
        <v>244</v>
      </c>
      <c r="H6528" s="143">
        <v>229</v>
      </c>
      <c r="I6528" s="86" t="s">
        <v>3356</v>
      </c>
      <c r="J6528" s="47" t="s">
        <v>3326</v>
      </c>
      <c r="K6528" s="47">
        <f t="shared" si="1009"/>
        <v>0</v>
      </c>
      <c r="L6528" s="47" t="s">
        <v>35</v>
      </c>
      <c r="O6528" s="47" t="s">
        <v>45</v>
      </c>
      <c r="P6528" s="47" t="s">
        <v>46</v>
      </c>
      <c r="Q6528" s="14">
        <v>0.06</v>
      </c>
      <c r="R6528" s="143"/>
      <c r="S6528" s="47"/>
      <c r="T6528" s="6">
        <v>50000</v>
      </c>
      <c r="U6528" s="6"/>
      <c r="V6528" s="6">
        <v>0</v>
      </c>
      <c r="W6528" s="6">
        <f t="shared" si="1010"/>
        <v>50000</v>
      </c>
      <c r="X6528" s="6">
        <f t="shared" si="1011"/>
        <v>0</v>
      </c>
      <c r="Y6528" s="13">
        <f t="shared" si="1005"/>
        <v>0</v>
      </c>
      <c r="Z6528" s="14">
        <v>0</v>
      </c>
      <c r="AA6528" s="6">
        <v>0</v>
      </c>
      <c r="AB6528" s="4">
        <f t="shared" si="1006"/>
        <v>0</v>
      </c>
      <c r="AC6528" s="6">
        <f t="shared" si="1014"/>
        <v>0</v>
      </c>
      <c r="AD6528" s="6">
        <f t="shared" si="1012"/>
        <v>0</v>
      </c>
      <c r="AE6528" s="14">
        <v>0.06</v>
      </c>
      <c r="AF6528" s="6">
        <f t="shared" si="1008"/>
        <v>0</v>
      </c>
      <c r="AG6528" s="14">
        <v>0</v>
      </c>
      <c r="AH6528" s="64">
        <f t="shared" si="1013"/>
        <v>0</v>
      </c>
      <c r="AJ6528" s="126" t="e">
        <v>#N/A</v>
      </c>
      <c r="AK6528" s="80">
        <f t="shared" si="1007"/>
        <v>0</v>
      </c>
      <c r="AL6528" s="85"/>
      <c r="AM6528" s="85"/>
    </row>
    <row r="6529" spans="1:39" s="86" customFormat="1" ht="13.25" hidden="1" customHeight="1" x14ac:dyDescent="0.3">
      <c r="A6529" s="89" t="s">
        <v>3792</v>
      </c>
      <c r="B6529" s="86" t="s">
        <v>35</v>
      </c>
      <c r="C6529" s="86" t="s">
        <v>164</v>
      </c>
      <c r="D6529" s="86" t="s">
        <v>169</v>
      </c>
      <c r="E6529" s="86" t="s">
        <v>247</v>
      </c>
      <c r="F6529" s="86" t="s">
        <v>247</v>
      </c>
      <c r="G6529" s="86" t="s">
        <v>247</v>
      </c>
      <c r="H6529" s="143">
        <v>229</v>
      </c>
      <c r="I6529" s="86" t="s">
        <v>3356</v>
      </c>
      <c r="J6529" s="47" t="s">
        <v>3326</v>
      </c>
      <c r="K6529" s="47"/>
      <c r="L6529" s="47" t="s">
        <v>35</v>
      </c>
      <c r="O6529" s="47" t="s">
        <v>45</v>
      </c>
      <c r="P6529" s="47" t="s">
        <v>41</v>
      </c>
      <c r="Q6529" s="14">
        <v>0</v>
      </c>
      <c r="R6529" s="143"/>
      <c r="S6529" s="47"/>
      <c r="T6529" s="6">
        <v>626655.07999999996</v>
      </c>
      <c r="U6529" s="6"/>
      <c r="V6529" s="6">
        <v>0</v>
      </c>
      <c r="W6529" s="6">
        <f t="shared" si="1010"/>
        <v>626655.07999999996</v>
      </c>
      <c r="X6529" s="6">
        <f t="shared" si="1011"/>
        <v>0</v>
      </c>
      <c r="Y6529" s="13">
        <f t="shared" si="1005"/>
        <v>0</v>
      </c>
      <c r="Z6529" s="14">
        <v>0</v>
      </c>
      <c r="AA6529" s="6">
        <v>0</v>
      </c>
      <c r="AB6529" s="4">
        <f t="shared" si="1006"/>
        <v>0</v>
      </c>
      <c r="AC6529" s="6">
        <f t="shared" si="1014"/>
        <v>0</v>
      </c>
      <c r="AD6529" s="6">
        <f t="shared" si="1012"/>
        <v>0</v>
      </c>
      <c r="AE6529" s="14">
        <v>0.06</v>
      </c>
      <c r="AF6529" s="6">
        <f t="shared" si="1008"/>
        <v>0</v>
      </c>
      <c r="AG6529" s="14">
        <v>0</v>
      </c>
      <c r="AH6529" s="64">
        <f t="shared" si="1013"/>
        <v>0</v>
      </c>
      <c r="AJ6529" s="126" t="e">
        <v>#N/A</v>
      </c>
      <c r="AK6529" s="80">
        <f t="shared" si="1007"/>
        <v>0</v>
      </c>
      <c r="AL6529" s="85"/>
      <c r="AM6529" s="85"/>
    </row>
    <row r="6530" spans="1:39" s="86" customFormat="1" ht="13.25" hidden="1" customHeight="1" x14ac:dyDescent="0.3">
      <c r="A6530" s="89" t="s">
        <v>3794</v>
      </c>
      <c r="B6530" s="86" t="s">
        <v>35</v>
      </c>
      <c r="C6530" s="86" t="s">
        <v>187</v>
      </c>
      <c r="D6530" s="86" t="s">
        <v>188</v>
      </c>
      <c r="E6530" s="86" t="s">
        <v>248</v>
      </c>
      <c r="F6530" s="86" t="s">
        <v>248</v>
      </c>
      <c r="G6530" s="86" t="s">
        <v>248</v>
      </c>
      <c r="H6530" s="144">
        <v>229</v>
      </c>
      <c r="I6530" s="86" t="s">
        <v>3356</v>
      </c>
      <c r="J6530" s="47" t="s">
        <v>3326</v>
      </c>
      <c r="K6530" s="47" t="str">
        <f t="shared" si="1009"/>
        <v>巨量引擎-游戏</v>
      </c>
      <c r="L6530" s="47" t="s">
        <v>35</v>
      </c>
      <c r="N6530" s="86" t="s">
        <v>3283</v>
      </c>
      <c r="O6530" s="47" t="s">
        <v>45</v>
      </c>
      <c r="P6530" s="47" t="s">
        <v>46</v>
      </c>
      <c r="Q6530" s="14">
        <v>0.02</v>
      </c>
      <c r="R6530" s="143"/>
      <c r="S6530" s="47"/>
      <c r="T6530" s="6">
        <v>54957.919999999409</v>
      </c>
      <c r="U6530" s="6"/>
      <c r="V6530" s="6">
        <v>15278.339999999982</v>
      </c>
      <c r="W6530" s="6">
        <f t="shared" si="1010"/>
        <v>39679.579999999427</v>
      </c>
      <c r="X6530" s="6">
        <f t="shared" si="1011"/>
        <v>14978.764705882335</v>
      </c>
      <c r="Y6530" s="13">
        <f t="shared" si="1005"/>
        <v>0</v>
      </c>
      <c r="Z6530" s="14">
        <v>0</v>
      </c>
      <c r="AA6530" s="6">
        <v>0</v>
      </c>
      <c r="AB6530" s="4">
        <f t="shared" si="1006"/>
        <v>14978.764705882335</v>
      </c>
      <c r="AC6530" s="6">
        <f t="shared" si="1014"/>
        <v>299.57529411764699</v>
      </c>
      <c r="AD6530" s="6">
        <f t="shared" si="1012"/>
        <v>15278.339999999982</v>
      </c>
      <c r="AE6530" s="14">
        <v>0.06</v>
      </c>
      <c r="AF6530" s="6">
        <f t="shared" si="1008"/>
        <v>916.70039999999892</v>
      </c>
      <c r="AG6530" s="14">
        <v>0</v>
      </c>
      <c r="AH6530" s="64">
        <f t="shared" si="1013"/>
        <v>15278.339999999982</v>
      </c>
      <c r="AJ6530" s="126" t="e">
        <v>#N/A</v>
      </c>
      <c r="AK6530" s="80">
        <f t="shared" si="1007"/>
        <v>0</v>
      </c>
      <c r="AL6530" s="85"/>
      <c r="AM6530" s="85"/>
    </row>
    <row r="6531" spans="1:39" s="86" customFormat="1" ht="13.25" hidden="1" customHeight="1" x14ac:dyDescent="0.3">
      <c r="A6531" s="89" t="s">
        <v>3792</v>
      </c>
      <c r="B6531" s="86" t="s">
        <v>35</v>
      </c>
      <c r="C6531" s="86" t="s">
        <v>187</v>
      </c>
      <c r="D6531" s="86" t="s">
        <v>188</v>
      </c>
      <c r="E6531" s="86" t="s">
        <v>249</v>
      </c>
      <c r="F6531" s="86" t="s">
        <v>249</v>
      </c>
      <c r="G6531" s="86" t="s">
        <v>249</v>
      </c>
      <c r="H6531" s="144">
        <v>229</v>
      </c>
      <c r="I6531" s="86" t="s">
        <v>3356</v>
      </c>
      <c r="J6531" s="47" t="s">
        <v>3326</v>
      </c>
      <c r="K6531" s="47" t="str">
        <f t="shared" si="1009"/>
        <v>巨量引擎-游戏</v>
      </c>
      <c r="L6531" s="47" t="s">
        <v>35</v>
      </c>
      <c r="N6531" s="86" t="s">
        <v>3283</v>
      </c>
      <c r="O6531" s="47" t="s">
        <v>45</v>
      </c>
      <c r="P6531" s="47" t="s">
        <v>46</v>
      </c>
      <c r="Q6531" s="14">
        <v>0.06</v>
      </c>
      <c r="R6531" s="143"/>
      <c r="S6531" s="47"/>
      <c r="T6531" s="6">
        <v>493927.42999999929</v>
      </c>
      <c r="U6531" s="6"/>
      <c r="V6531" s="6">
        <v>130506.03</v>
      </c>
      <c r="W6531" s="6">
        <f t="shared" si="1010"/>
        <v>363421.39999999932</v>
      </c>
      <c r="X6531" s="6">
        <f t="shared" si="1011"/>
        <v>123118.89622641509</v>
      </c>
      <c r="Y6531" s="13">
        <f t="shared" ref="Y6531:Y6594" si="1015">IF(X6531-AD6531&lt;=0,0,IF(P6531="返现",MAX(X6531-AC6531-AD6531,0),MAX(X6531-AD6531)))</f>
        <v>0</v>
      </c>
      <c r="Z6531" s="14">
        <v>0</v>
      </c>
      <c r="AA6531" s="6">
        <v>0</v>
      </c>
      <c r="AB6531" s="4">
        <f t="shared" ref="AB6531:AB6594" si="1016">X6531+AA6531</f>
        <v>123118.89622641509</v>
      </c>
      <c r="AC6531" s="6">
        <f t="shared" si="1014"/>
        <v>7387.1337735849083</v>
      </c>
      <c r="AD6531" s="6">
        <f t="shared" si="1012"/>
        <v>130506.03</v>
      </c>
      <c r="AE6531" s="14">
        <v>0.06</v>
      </c>
      <c r="AF6531" s="6">
        <f t="shared" si="1008"/>
        <v>7830.3617999999997</v>
      </c>
      <c r="AG6531" s="14">
        <v>0</v>
      </c>
      <c r="AH6531" s="64">
        <f t="shared" si="1013"/>
        <v>130506.03</v>
      </c>
      <c r="AJ6531" s="126" t="e">
        <v>#N/A</v>
      </c>
      <c r="AK6531" s="80">
        <f t="shared" ref="AK6531:AK6594" si="1017">X6531+AA6531-AB6531</f>
        <v>0</v>
      </c>
      <c r="AL6531" s="85"/>
      <c r="AM6531" s="85"/>
    </row>
    <row r="6532" spans="1:39" s="86" customFormat="1" ht="13.25" hidden="1" customHeight="1" x14ac:dyDescent="0.3">
      <c r="A6532" s="89" t="s">
        <v>3794</v>
      </c>
      <c r="B6532" s="86" t="s">
        <v>35</v>
      </c>
      <c r="C6532" s="86" t="s">
        <v>187</v>
      </c>
      <c r="D6532" s="86" t="s">
        <v>208</v>
      </c>
      <c r="E6532" s="86" t="s">
        <v>250</v>
      </c>
      <c r="F6532" s="86" t="s">
        <v>250</v>
      </c>
      <c r="G6532" s="86" t="s">
        <v>250</v>
      </c>
      <c r="H6532" s="144">
        <v>229</v>
      </c>
      <c r="I6532" s="86" t="s">
        <v>3356</v>
      </c>
      <c r="J6532" s="47" t="s">
        <v>3326</v>
      </c>
      <c r="K6532" s="47" t="str">
        <f t="shared" si="1009"/>
        <v>巨量引擎-游戏</v>
      </c>
      <c r="L6532" s="47" t="s">
        <v>35</v>
      </c>
      <c r="N6532" s="86" t="s">
        <v>3283</v>
      </c>
      <c r="O6532" s="47" t="s">
        <v>45</v>
      </c>
      <c r="P6532" s="47" t="s">
        <v>46</v>
      </c>
      <c r="Q6532" s="14">
        <v>0.03</v>
      </c>
      <c r="R6532" s="143"/>
      <c r="S6532" s="47"/>
      <c r="T6532" s="6">
        <v>22003.579999999951</v>
      </c>
      <c r="U6532" s="6"/>
      <c r="V6532" s="6">
        <v>4049.5599999999995</v>
      </c>
      <c r="W6532" s="6">
        <f t="shared" si="1010"/>
        <v>17954.019999999953</v>
      </c>
      <c r="X6532" s="6">
        <f t="shared" si="1011"/>
        <v>3931.6116504854363</v>
      </c>
      <c r="Y6532" s="13">
        <f t="shared" si="1015"/>
        <v>0</v>
      </c>
      <c r="Z6532" s="14">
        <v>0</v>
      </c>
      <c r="AA6532" s="6">
        <v>0</v>
      </c>
      <c r="AB6532" s="4">
        <f t="shared" si="1016"/>
        <v>3931.6116504854363</v>
      </c>
      <c r="AC6532" s="6">
        <f t="shared" si="1014"/>
        <v>117.94834951456323</v>
      </c>
      <c r="AD6532" s="6">
        <f t="shared" si="1012"/>
        <v>4049.5599999999995</v>
      </c>
      <c r="AE6532" s="14">
        <v>0.06</v>
      </c>
      <c r="AF6532" s="6">
        <f t="shared" si="1008"/>
        <v>242.97359999999995</v>
      </c>
      <c r="AG6532" s="14">
        <v>0</v>
      </c>
      <c r="AH6532" s="64">
        <f t="shared" si="1013"/>
        <v>4049.5599999999995</v>
      </c>
      <c r="AJ6532" s="126" t="e">
        <v>#N/A</v>
      </c>
      <c r="AK6532" s="80">
        <f t="shared" si="1017"/>
        <v>0</v>
      </c>
      <c r="AL6532" s="85"/>
      <c r="AM6532" s="85"/>
    </row>
    <row r="6533" spans="1:39" s="86" customFormat="1" ht="13.25" hidden="1" customHeight="1" x14ac:dyDescent="0.3">
      <c r="A6533" s="89" t="s">
        <v>3794</v>
      </c>
      <c r="B6533" s="86" t="s">
        <v>35</v>
      </c>
      <c r="C6533" s="86" t="s">
        <v>59</v>
      </c>
      <c r="D6533" s="86" t="s">
        <v>60</v>
      </c>
      <c r="E6533" s="86" t="s">
        <v>257</v>
      </c>
      <c r="F6533" s="86" t="s">
        <v>257</v>
      </c>
      <c r="G6533" s="86" t="s">
        <v>257</v>
      </c>
      <c r="H6533" s="144">
        <v>229</v>
      </c>
      <c r="I6533" s="86" t="s">
        <v>3356</v>
      </c>
      <c r="J6533" s="47" t="s">
        <v>3326</v>
      </c>
      <c r="K6533" s="47" t="str">
        <f t="shared" si="1009"/>
        <v>巨量引擎-三类</v>
      </c>
      <c r="L6533" s="47" t="s">
        <v>35</v>
      </c>
      <c r="N6533" s="86" t="s">
        <v>3712</v>
      </c>
      <c r="O6533" s="47" t="s">
        <v>45</v>
      </c>
      <c r="P6533" s="47" t="s">
        <v>46</v>
      </c>
      <c r="Q6533" s="14">
        <v>0.06</v>
      </c>
      <c r="R6533" s="143"/>
      <c r="S6533" s="47"/>
      <c r="T6533" s="6">
        <v>1275.9200000000019</v>
      </c>
      <c r="U6533" s="6"/>
      <c r="V6533" s="6">
        <v>34573.500000000007</v>
      </c>
      <c r="W6533" s="6">
        <f t="shared" si="1010"/>
        <v>-33297.58</v>
      </c>
      <c r="X6533" s="6">
        <f t="shared" si="1011"/>
        <v>32616.50943396227</v>
      </c>
      <c r="Y6533" s="13">
        <f t="shared" si="1015"/>
        <v>0</v>
      </c>
      <c r="Z6533" s="14">
        <v>0</v>
      </c>
      <c r="AA6533" s="6">
        <v>0</v>
      </c>
      <c r="AB6533" s="4">
        <f t="shared" si="1016"/>
        <v>32616.50943396227</v>
      </c>
      <c r="AC6533" s="6">
        <f t="shared" si="1014"/>
        <v>1956.9905660377372</v>
      </c>
      <c r="AD6533" s="6">
        <f t="shared" si="1012"/>
        <v>34573.500000000007</v>
      </c>
      <c r="AE6533" s="14">
        <v>0.06</v>
      </c>
      <c r="AF6533" s="6">
        <f t="shared" si="1008"/>
        <v>2074.4100000000003</v>
      </c>
      <c r="AG6533" s="14">
        <v>0</v>
      </c>
      <c r="AH6533" s="64">
        <f t="shared" si="1013"/>
        <v>34573.500000000007</v>
      </c>
      <c r="AJ6533" s="126" t="e">
        <v>#N/A</v>
      </c>
      <c r="AK6533" s="80">
        <f t="shared" si="1017"/>
        <v>0</v>
      </c>
      <c r="AL6533" s="85"/>
      <c r="AM6533" s="85"/>
    </row>
    <row r="6534" spans="1:39" s="86" customFormat="1" ht="13.25" hidden="1" customHeight="1" x14ac:dyDescent="0.3">
      <c r="A6534" s="89" t="s">
        <v>3794</v>
      </c>
      <c r="B6534" s="86" t="s">
        <v>35</v>
      </c>
      <c r="C6534" s="86" t="s">
        <v>47</v>
      </c>
      <c r="D6534" s="86" t="s">
        <v>63</v>
      </c>
      <c r="E6534" s="86" t="s">
        <v>258</v>
      </c>
      <c r="F6534" s="86" t="s">
        <v>258</v>
      </c>
      <c r="G6534" s="86" t="s">
        <v>258</v>
      </c>
      <c r="H6534" s="143">
        <v>229</v>
      </c>
      <c r="I6534" s="86" t="s">
        <v>3356</v>
      </c>
      <c r="J6534" s="47" t="s">
        <v>3326</v>
      </c>
      <c r="K6534" s="47"/>
      <c r="L6534" s="47" t="s">
        <v>35</v>
      </c>
      <c r="O6534" s="47" t="s">
        <v>45</v>
      </c>
      <c r="P6534" s="47" t="s">
        <v>46</v>
      </c>
      <c r="Q6534" s="14">
        <v>0.03</v>
      </c>
      <c r="R6534" s="143"/>
      <c r="S6534" s="47"/>
      <c r="T6534" s="6">
        <v>13934.639999999985</v>
      </c>
      <c r="U6534" s="6"/>
      <c r="V6534" s="6">
        <v>0</v>
      </c>
      <c r="W6534" s="6">
        <f t="shared" si="1010"/>
        <v>13934.639999999985</v>
      </c>
      <c r="X6534" s="6">
        <f t="shared" si="1011"/>
        <v>0</v>
      </c>
      <c r="Y6534" s="13">
        <f t="shared" si="1015"/>
        <v>0</v>
      </c>
      <c r="Z6534" s="14">
        <v>0</v>
      </c>
      <c r="AA6534" s="6">
        <v>0</v>
      </c>
      <c r="AB6534" s="4">
        <f t="shared" si="1016"/>
        <v>0</v>
      </c>
      <c r="AC6534" s="6">
        <f t="shared" si="1014"/>
        <v>0</v>
      </c>
      <c r="AD6534" s="6">
        <f t="shared" si="1012"/>
        <v>0</v>
      </c>
      <c r="AE6534" s="14">
        <v>0.06</v>
      </c>
      <c r="AF6534" s="6">
        <f t="shared" si="1008"/>
        <v>0</v>
      </c>
      <c r="AG6534" s="14">
        <v>0</v>
      </c>
      <c r="AH6534" s="64">
        <f t="shared" si="1013"/>
        <v>0</v>
      </c>
      <c r="AJ6534" s="126" t="e">
        <v>#N/A</v>
      </c>
      <c r="AK6534" s="80">
        <f t="shared" si="1017"/>
        <v>0</v>
      </c>
      <c r="AL6534" s="85"/>
      <c r="AM6534" s="85"/>
    </row>
    <row r="6535" spans="1:39" s="86" customFormat="1" ht="13.25" hidden="1" customHeight="1" x14ac:dyDescent="0.3">
      <c r="A6535" s="89" t="s">
        <v>3794</v>
      </c>
      <c r="B6535" s="86" t="s">
        <v>35</v>
      </c>
      <c r="C6535" s="86" t="s">
        <v>164</v>
      </c>
      <c r="D6535" s="86" t="s">
        <v>174</v>
      </c>
      <c r="E6535" s="86" t="s">
        <v>50</v>
      </c>
      <c r="F6535" s="86" t="s">
        <v>260</v>
      </c>
      <c r="G6535" s="86" t="s">
        <v>50</v>
      </c>
      <c r="H6535" s="143">
        <v>229</v>
      </c>
      <c r="I6535" s="86" t="s">
        <v>3356</v>
      </c>
      <c r="J6535" s="47" t="s">
        <v>3326</v>
      </c>
      <c r="K6535" s="47"/>
      <c r="L6535" s="47" t="s">
        <v>35</v>
      </c>
      <c r="O6535" s="47" t="s">
        <v>105</v>
      </c>
      <c r="P6535" s="47" t="s">
        <v>46</v>
      </c>
      <c r="Q6535" s="14">
        <v>0.1</v>
      </c>
      <c r="R6535" s="143"/>
      <c r="S6535" s="47"/>
      <c r="T6535" s="6">
        <v>278207.93000000005</v>
      </c>
      <c r="U6535" s="6"/>
      <c r="V6535" s="6">
        <v>0</v>
      </c>
      <c r="W6535" s="6">
        <f t="shared" si="1010"/>
        <v>278207.93000000005</v>
      </c>
      <c r="X6535" s="6">
        <f t="shared" si="1011"/>
        <v>0</v>
      </c>
      <c r="Y6535" s="13">
        <f t="shared" si="1015"/>
        <v>0</v>
      </c>
      <c r="Z6535" s="14">
        <v>0</v>
      </c>
      <c r="AA6535" s="6">
        <v>0</v>
      </c>
      <c r="AB6535" s="4">
        <f t="shared" si="1016"/>
        <v>0</v>
      </c>
      <c r="AC6535" s="6">
        <f t="shared" si="1014"/>
        <v>0</v>
      </c>
      <c r="AD6535" s="6">
        <f t="shared" si="1012"/>
        <v>0</v>
      </c>
      <c r="AE6535" s="14">
        <v>0.06</v>
      </c>
      <c r="AF6535" s="6">
        <f t="shared" si="1008"/>
        <v>0</v>
      </c>
      <c r="AG6535" s="14">
        <v>0</v>
      </c>
      <c r="AH6535" s="64">
        <f t="shared" si="1013"/>
        <v>0</v>
      </c>
      <c r="AJ6535" s="126" t="e">
        <v>#N/A</v>
      </c>
      <c r="AK6535" s="80">
        <f t="shared" si="1017"/>
        <v>0</v>
      </c>
      <c r="AL6535" s="85"/>
      <c r="AM6535" s="85"/>
    </row>
    <row r="6536" spans="1:39" s="86" customFormat="1" ht="13.25" hidden="1" customHeight="1" x14ac:dyDescent="0.3">
      <c r="A6536" s="89" t="s">
        <v>3794</v>
      </c>
      <c r="B6536" s="86" t="s">
        <v>35</v>
      </c>
      <c r="C6536" s="86" t="s">
        <v>164</v>
      </c>
      <c r="D6536" s="86" t="s">
        <v>305</v>
      </c>
      <c r="E6536" s="86" t="s">
        <v>263</v>
      </c>
      <c r="F6536" s="86" t="s">
        <v>264</v>
      </c>
      <c r="G6536" s="86" t="s">
        <v>263</v>
      </c>
      <c r="H6536" s="143">
        <v>229</v>
      </c>
      <c r="I6536" s="86" t="s">
        <v>3356</v>
      </c>
      <c r="J6536" s="47" t="s">
        <v>3326</v>
      </c>
      <c r="K6536" s="47"/>
      <c r="L6536" s="47" t="s">
        <v>35</v>
      </c>
      <c r="O6536" s="47" t="s">
        <v>45</v>
      </c>
      <c r="P6536" s="47" t="s">
        <v>46</v>
      </c>
      <c r="Q6536" s="14">
        <v>0.02</v>
      </c>
      <c r="R6536" s="143"/>
      <c r="S6536" s="47"/>
      <c r="T6536" s="6">
        <v>45.889999999984866</v>
      </c>
      <c r="U6536" s="6"/>
      <c r="V6536" s="6">
        <v>0</v>
      </c>
      <c r="W6536" s="6">
        <f t="shared" si="1010"/>
        <v>45.889999999984866</v>
      </c>
      <c r="X6536" s="6">
        <f t="shared" si="1011"/>
        <v>0</v>
      </c>
      <c r="Y6536" s="13">
        <f t="shared" si="1015"/>
        <v>0</v>
      </c>
      <c r="Z6536" s="14">
        <v>0</v>
      </c>
      <c r="AA6536" s="6">
        <v>0</v>
      </c>
      <c r="AB6536" s="4">
        <f t="shared" si="1016"/>
        <v>0</v>
      </c>
      <c r="AC6536" s="6">
        <f t="shared" si="1014"/>
        <v>0</v>
      </c>
      <c r="AD6536" s="6">
        <f t="shared" si="1012"/>
        <v>0</v>
      </c>
      <c r="AE6536" s="14">
        <v>0.06</v>
      </c>
      <c r="AF6536" s="6">
        <f t="shared" si="1008"/>
        <v>0</v>
      </c>
      <c r="AG6536" s="14">
        <v>0</v>
      </c>
      <c r="AH6536" s="64">
        <f t="shared" si="1013"/>
        <v>0</v>
      </c>
      <c r="AJ6536" s="126" t="e">
        <v>#N/A</v>
      </c>
      <c r="AK6536" s="80">
        <f t="shared" si="1017"/>
        <v>0</v>
      </c>
      <c r="AL6536" s="85"/>
      <c r="AM6536" s="85"/>
    </row>
    <row r="6537" spans="1:39" s="86" customFormat="1" ht="13.25" hidden="1" customHeight="1" x14ac:dyDescent="0.3">
      <c r="A6537" s="89" t="s">
        <v>3794</v>
      </c>
      <c r="B6537" s="86" t="s">
        <v>35</v>
      </c>
      <c r="C6537" s="86" t="s">
        <v>187</v>
      </c>
      <c r="D6537" s="86" t="s">
        <v>188</v>
      </c>
      <c r="E6537" s="86" t="s">
        <v>266</v>
      </c>
      <c r="F6537" s="86" t="s">
        <v>266</v>
      </c>
      <c r="G6537" s="86" t="s">
        <v>266</v>
      </c>
      <c r="H6537" s="143">
        <v>229</v>
      </c>
      <c r="I6537" s="86" t="s">
        <v>3356</v>
      </c>
      <c r="J6537" s="47" t="s">
        <v>3326</v>
      </c>
      <c r="K6537" s="47" t="str">
        <f t="shared" si="1009"/>
        <v>巨量引擎-游戏</v>
      </c>
      <c r="L6537" s="47" t="s">
        <v>35</v>
      </c>
      <c r="N6537" s="86" t="s">
        <v>3283</v>
      </c>
      <c r="O6537" s="47" t="s">
        <v>45</v>
      </c>
      <c r="P6537" s="47" t="s">
        <v>46</v>
      </c>
      <c r="Q6537" s="14">
        <v>0.03</v>
      </c>
      <c r="R6537" s="143"/>
      <c r="S6537" s="47"/>
      <c r="T6537" s="6">
        <v>991.68000000002212</v>
      </c>
      <c r="U6537" s="6"/>
      <c r="V6537" s="6">
        <v>0</v>
      </c>
      <c r="W6537" s="6">
        <f t="shared" si="1010"/>
        <v>991.68000000002212</v>
      </c>
      <c r="X6537" s="6">
        <f t="shared" si="1011"/>
        <v>0</v>
      </c>
      <c r="Y6537" s="13">
        <f t="shared" si="1015"/>
        <v>0</v>
      </c>
      <c r="Z6537" s="14">
        <v>0</v>
      </c>
      <c r="AA6537" s="6">
        <v>0</v>
      </c>
      <c r="AB6537" s="4">
        <f t="shared" si="1016"/>
        <v>0</v>
      </c>
      <c r="AC6537" s="6">
        <f t="shared" si="1014"/>
        <v>0</v>
      </c>
      <c r="AD6537" s="6">
        <f t="shared" si="1012"/>
        <v>0</v>
      </c>
      <c r="AE6537" s="14">
        <v>0.06</v>
      </c>
      <c r="AF6537" s="6">
        <f t="shared" si="1008"/>
        <v>0</v>
      </c>
      <c r="AG6537" s="14">
        <v>0</v>
      </c>
      <c r="AH6537" s="64">
        <f t="shared" si="1013"/>
        <v>0</v>
      </c>
      <c r="AJ6537" s="126" t="e">
        <v>#N/A</v>
      </c>
      <c r="AK6537" s="80">
        <f t="shared" si="1017"/>
        <v>0</v>
      </c>
      <c r="AL6537" s="85"/>
      <c r="AM6537" s="85"/>
    </row>
    <row r="6538" spans="1:39" s="86" customFormat="1" ht="13.25" hidden="1" customHeight="1" x14ac:dyDescent="0.3">
      <c r="A6538" s="89" t="s">
        <v>3794</v>
      </c>
      <c r="B6538" s="86" t="s">
        <v>35</v>
      </c>
      <c r="C6538" s="86" t="s">
        <v>164</v>
      </c>
      <c r="D6538" s="86" t="s">
        <v>174</v>
      </c>
      <c r="E6538" s="86" t="s">
        <v>269</v>
      </c>
      <c r="F6538" s="86" t="s">
        <v>269</v>
      </c>
      <c r="G6538" s="86" t="s">
        <v>269</v>
      </c>
      <c r="H6538" s="143">
        <v>229</v>
      </c>
      <c r="I6538" s="86" t="s">
        <v>3356</v>
      </c>
      <c r="J6538" s="47" t="s">
        <v>3326</v>
      </c>
      <c r="K6538" s="47"/>
      <c r="L6538" s="47" t="s">
        <v>35</v>
      </c>
      <c r="O6538" s="47" t="s">
        <v>45</v>
      </c>
      <c r="P6538" s="47" t="s">
        <v>41</v>
      </c>
      <c r="Q6538" s="14">
        <v>0</v>
      </c>
      <c r="R6538" s="143"/>
      <c r="S6538" s="47"/>
      <c r="T6538" s="6">
        <v>11077.229999999978</v>
      </c>
      <c r="U6538" s="6"/>
      <c r="V6538" s="6">
        <v>0</v>
      </c>
      <c r="W6538" s="6">
        <f t="shared" si="1010"/>
        <v>11077.229999999978</v>
      </c>
      <c r="X6538" s="6">
        <f t="shared" si="1011"/>
        <v>0</v>
      </c>
      <c r="Y6538" s="13">
        <f t="shared" si="1015"/>
        <v>0</v>
      </c>
      <c r="Z6538" s="14">
        <v>0</v>
      </c>
      <c r="AA6538" s="6">
        <v>0</v>
      </c>
      <c r="AB6538" s="4">
        <f t="shared" si="1016"/>
        <v>0</v>
      </c>
      <c r="AC6538" s="6">
        <f t="shared" si="1014"/>
        <v>0</v>
      </c>
      <c r="AD6538" s="6">
        <f t="shared" si="1012"/>
        <v>0</v>
      </c>
      <c r="AE6538" s="14">
        <v>0.06</v>
      </c>
      <c r="AF6538" s="6">
        <f t="shared" si="1008"/>
        <v>0</v>
      </c>
      <c r="AG6538" s="14">
        <v>0</v>
      </c>
      <c r="AH6538" s="64">
        <f t="shared" si="1013"/>
        <v>0</v>
      </c>
      <c r="AJ6538" s="126" t="e">
        <v>#N/A</v>
      </c>
      <c r="AK6538" s="80">
        <f t="shared" si="1017"/>
        <v>0</v>
      </c>
      <c r="AL6538" s="85"/>
      <c r="AM6538" s="85"/>
    </row>
    <row r="6539" spans="1:39" s="86" customFormat="1" ht="13.25" hidden="1" customHeight="1" x14ac:dyDescent="0.3">
      <c r="A6539" s="89" t="s">
        <v>3794</v>
      </c>
      <c r="B6539" s="86" t="s">
        <v>35</v>
      </c>
      <c r="C6539" s="86" t="s">
        <v>184</v>
      </c>
      <c r="D6539" s="86" t="s">
        <v>224</v>
      </c>
      <c r="E6539" s="86" t="s">
        <v>270</v>
      </c>
      <c r="F6539" s="86" t="s">
        <v>270</v>
      </c>
      <c r="G6539" s="86" t="s">
        <v>270</v>
      </c>
      <c r="H6539" s="143">
        <v>229</v>
      </c>
      <c r="I6539" s="86" t="s">
        <v>3356</v>
      </c>
      <c r="J6539" s="47" t="s">
        <v>3326</v>
      </c>
      <c r="K6539" s="47"/>
      <c r="L6539" s="47" t="s">
        <v>35</v>
      </c>
      <c r="O6539" s="47" t="s">
        <v>45</v>
      </c>
      <c r="P6539" s="47" t="s">
        <v>41</v>
      </c>
      <c r="Q6539" s="14">
        <v>0</v>
      </c>
      <c r="R6539" s="143"/>
      <c r="S6539" s="47"/>
      <c r="T6539" s="6">
        <v>42453.569999999694</v>
      </c>
      <c r="U6539" s="6"/>
      <c r="V6539" s="6">
        <v>0</v>
      </c>
      <c r="W6539" s="6">
        <f t="shared" si="1010"/>
        <v>42453.569999999694</v>
      </c>
      <c r="X6539" s="6">
        <f t="shared" si="1011"/>
        <v>0</v>
      </c>
      <c r="Y6539" s="13">
        <f t="shared" si="1015"/>
        <v>0</v>
      </c>
      <c r="Z6539" s="14">
        <v>0</v>
      </c>
      <c r="AA6539" s="6">
        <v>0</v>
      </c>
      <c r="AB6539" s="4">
        <f t="shared" si="1016"/>
        <v>0</v>
      </c>
      <c r="AC6539" s="6">
        <f t="shared" si="1014"/>
        <v>0</v>
      </c>
      <c r="AD6539" s="6">
        <f t="shared" si="1012"/>
        <v>0</v>
      </c>
      <c r="AE6539" s="14">
        <v>0.06</v>
      </c>
      <c r="AF6539" s="6">
        <f t="shared" si="1008"/>
        <v>0</v>
      </c>
      <c r="AG6539" s="14">
        <v>0</v>
      </c>
      <c r="AH6539" s="64">
        <f t="shared" si="1013"/>
        <v>0</v>
      </c>
      <c r="AJ6539" s="126" t="e">
        <v>#N/A</v>
      </c>
      <c r="AK6539" s="80">
        <f t="shared" si="1017"/>
        <v>0</v>
      </c>
      <c r="AL6539" s="85"/>
      <c r="AM6539" s="85"/>
    </row>
    <row r="6540" spans="1:39" s="86" customFormat="1" ht="13.25" hidden="1" customHeight="1" x14ac:dyDescent="0.3">
      <c r="A6540" s="89" t="s">
        <v>3794</v>
      </c>
      <c r="B6540" s="86" t="s">
        <v>35</v>
      </c>
      <c r="C6540" s="86" t="s">
        <v>184</v>
      </c>
      <c r="D6540" s="86" t="s">
        <v>224</v>
      </c>
      <c r="E6540" s="86" t="s">
        <v>225</v>
      </c>
      <c r="F6540" s="86" t="s">
        <v>225</v>
      </c>
      <c r="G6540" s="86" t="s">
        <v>225</v>
      </c>
      <c r="H6540" s="143">
        <v>229</v>
      </c>
      <c r="I6540" s="86" t="s">
        <v>3356</v>
      </c>
      <c r="J6540" s="47" t="s">
        <v>3326</v>
      </c>
      <c r="K6540" s="47" t="str">
        <f t="shared" si="1009"/>
        <v>巨量引擎-一类</v>
      </c>
      <c r="L6540" s="47" t="s">
        <v>35</v>
      </c>
      <c r="N6540" s="86" t="s">
        <v>3707</v>
      </c>
      <c r="O6540" s="47" t="s">
        <v>45</v>
      </c>
      <c r="P6540" s="47" t="s">
        <v>46</v>
      </c>
      <c r="Q6540" s="14">
        <v>0.01</v>
      </c>
      <c r="R6540" s="143"/>
      <c r="S6540" s="47"/>
      <c r="T6540" s="6">
        <v>1093782.2599999995</v>
      </c>
      <c r="U6540" s="6"/>
      <c r="V6540" s="6">
        <v>0</v>
      </c>
      <c r="W6540" s="6">
        <f t="shared" si="1010"/>
        <v>1093782.2599999995</v>
      </c>
      <c r="X6540" s="6">
        <f t="shared" si="1011"/>
        <v>0</v>
      </c>
      <c r="Y6540" s="13">
        <f t="shared" si="1015"/>
        <v>0</v>
      </c>
      <c r="Z6540" s="14">
        <v>0</v>
      </c>
      <c r="AA6540" s="6">
        <v>0</v>
      </c>
      <c r="AB6540" s="4">
        <f t="shared" si="1016"/>
        <v>0</v>
      </c>
      <c r="AC6540" s="6">
        <f t="shared" si="1014"/>
        <v>0</v>
      </c>
      <c r="AD6540" s="6">
        <f t="shared" si="1012"/>
        <v>0</v>
      </c>
      <c r="AE6540" s="14">
        <v>0.06</v>
      </c>
      <c r="AF6540" s="6">
        <f t="shared" si="1008"/>
        <v>0</v>
      </c>
      <c r="AG6540" s="14">
        <v>0</v>
      </c>
      <c r="AH6540" s="64">
        <f t="shared" si="1013"/>
        <v>0</v>
      </c>
      <c r="AJ6540" s="126" t="e">
        <v>#N/A</v>
      </c>
      <c r="AK6540" s="80">
        <f t="shared" si="1017"/>
        <v>0</v>
      </c>
      <c r="AL6540" s="85"/>
      <c r="AM6540" s="85"/>
    </row>
    <row r="6541" spans="1:39" s="86" customFormat="1" ht="13.25" hidden="1" customHeight="1" x14ac:dyDescent="0.3">
      <c r="A6541" s="89" t="s">
        <v>3794</v>
      </c>
      <c r="B6541" s="86" t="s">
        <v>35</v>
      </c>
      <c r="C6541" s="86" t="s">
        <v>184</v>
      </c>
      <c r="D6541" s="86" t="s">
        <v>54</v>
      </c>
      <c r="E6541" s="86" t="s">
        <v>271</v>
      </c>
      <c r="F6541" s="86" t="s">
        <v>271</v>
      </c>
      <c r="G6541" s="86" t="s">
        <v>271</v>
      </c>
      <c r="H6541" s="143">
        <v>229</v>
      </c>
      <c r="I6541" s="86" t="s">
        <v>3356</v>
      </c>
      <c r="J6541" s="47" t="s">
        <v>3326</v>
      </c>
      <c r="K6541" s="47"/>
      <c r="L6541" s="47" t="s">
        <v>35</v>
      </c>
      <c r="O6541" s="47" t="s">
        <v>45</v>
      </c>
      <c r="P6541" s="47" t="s">
        <v>41</v>
      </c>
      <c r="Q6541" s="14">
        <v>0</v>
      </c>
      <c r="R6541" s="143"/>
      <c r="S6541" s="47"/>
      <c r="T6541" s="6">
        <v>36436.51</v>
      </c>
      <c r="U6541" s="6"/>
      <c r="V6541" s="6">
        <v>0</v>
      </c>
      <c r="W6541" s="6">
        <f t="shared" si="1010"/>
        <v>36436.51</v>
      </c>
      <c r="X6541" s="6">
        <f t="shared" si="1011"/>
        <v>0</v>
      </c>
      <c r="Y6541" s="13">
        <f t="shared" si="1015"/>
        <v>0</v>
      </c>
      <c r="Z6541" s="14">
        <v>0</v>
      </c>
      <c r="AA6541" s="6">
        <v>0</v>
      </c>
      <c r="AB6541" s="4">
        <f t="shared" si="1016"/>
        <v>0</v>
      </c>
      <c r="AC6541" s="6">
        <f t="shared" si="1014"/>
        <v>0</v>
      </c>
      <c r="AD6541" s="6">
        <f t="shared" si="1012"/>
        <v>0</v>
      </c>
      <c r="AE6541" s="14">
        <v>0.06</v>
      </c>
      <c r="AF6541" s="6">
        <f t="shared" si="1008"/>
        <v>0</v>
      </c>
      <c r="AG6541" s="14">
        <v>0</v>
      </c>
      <c r="AH6541" s="64">
        <f t="shared" si="1013"/>
        <v>0</v>
      </c>
      <c r="AJ6541" s="126" t="e">
        <v>#N/A</v>
      </c>
      <c r="AK6541" s="80">
        <f t="shared" si="1017"/>
        <v>0</v>
      </c>
      <c r="AL6541" s="85"/>
      <c r="AM6541" s="85"/>
    </row>
    <row r="6542" spans="1:39" s="86" customFormat="1" ht="13.25" hidden="1" customHeight="1" x14ac:dyDescent="0.3">
      <c r="A6542" s="89" t="s">
        <v>3794</v>
      </c>
      <c r="B6542" s="86" t="s">
        <v>35</v>
      </c>
      <c r="C6542" s="86" t="s">
        <v>184</v>
      </c>
      <c r="D6542" s="86" t="s">
        <v>54</v>
      </c>
      <c r="E6542" s="86" t="s">
        <v>272</v>
      </c>
      <c r="F6542" s="86" t="s">
        <v>272</v>
      </c>
      <c r="G6542" s="86" t="s">
        <v>272</v>
      </c>
      <c r="H6542" s="143">
        <v>229</v>
      </c>
      <c r="I6542" s="86" t="s">
        <v>3356</v>
      </c>
      <c r="J6542" s="47" t="s">
        <v>3326</v>
      </c>
      <c r="K6542" s="47"/>
      <c r="L6542" s="47" t="s">
        <v>35</v>
      </c>
      <c r="O6542" s="47" t="s">
        <v>45</v>
      </c>
      <c r="P6542" s="47" t="s">
        <v>41</v>
      </c>
      <c r="Q6542" s="14">
        <v>0</v>
      </c>
      <c r="R6542" s="143"/>
      <c r="S6542" s="47"/>
      <c r="T6542" s="6">
        <v>48801.06</v>
      </c>
      <c r="U6542" s="6"/>
      <c r="V6542" s="6">
        <v>0</v>
      </c>
      <c r="W6542" s="6">
        <f t="shared" si="1010"/>
        <v>48801.06</v>
      </c>
      <c r="X6542" s="6">
        <f t="shared" si="1011"/>
        <v>0</v>
      </c>
      <c r="Y6542" s="13">
        <f t="shared" si="1015"/>
        <v>0</v>
      </c>
      <c r="Z6542" s="14">
        <v>0</v>
      </c>
      <c r="AA6542" s="6">
        <v>0</v>
      </c>
      <c r="AB6542" s="4">
        <f t="shared" si="1016"/>
        <v>0</v>
      </c>
      <c r="AC6542" s="6">
        <f t="shared" si="1014"/>
        <v>0</v>
      </c>
      <c r="AD6542" s="6">
        <f t="shared" si="1012"/>
        <v>0</v>
      </c>
      <c r="AE6542" s="14">
        <v>0.06</v>
      </c>
      <c r="AF6542" s="6">
        <f t="shared" si="1008"/>
        <v>0</v>
      </c>
      <c r="AG6542" s="14">
        <v>0</v>
      </c>
      <c r="AH6542" s="64">
        <f t="shared" si="1013"/>
        <v>0</v>
      </c>
      <c r="AJ6542" s="126" t="e">
        <v>#N/A</v>
      </c>
      <c r="AK6542" s="80">
        <f t="shared" si="1017"/>
        <v>0</v>
      </c>
      <c r="AL6542" s="85"/>
      <c r="AM6542" s="85"/>
    </row>
    <row r="6543" spans="1:39" s="86" customFormat="1" ht="13.25" hidden="1" customHeight="1" x14ac:dyDescent="0.3">
      <c r="A6543" s="89" t="s">
        <v>3794</v>
      </c>
      <c r="B6543" s="86" t="s">
        <v>35</v>
      </c>
      <c r="C6543" s="86" t="s">
        <v>184</v>
      </c>
      <c r="D6543" s="86" t="s">
        <v>54</v>
      </c>
      <c r="E6543" s="86" t="s">
        <v>225</v>
      </c>
      <c r="F6543" s="86" t="s">
        <v>273</v>
      </c>
      <c r="G6543" s="86" t="s">
        <v>225</v>
      </c>
      <c r="H6543" s="143">
        <v>229</v>
      </c>
      <c r="I6543" s="86" t="s">
        <v>3356</v>
      </c>
      <c r="J6543" s="47" t="s">
        <v>3326</v>
      </c>
      <c r="K6543" s="47"/>
      <c r="L6543" s="47" t="s">
        <v>35</v>
      </c>
      <c r="O6543" s="47" t="s">
        <v>45</v>
      </c>
      <c r="P6543" s="47" t="s">
        <v>46</v>
      </c>
      <c r="Q6543" s="14">
        <v>0.01</v>
      </c>
      <c r="R6543" s="143"/>
      <c r="S6543" s="47"/>
      <c r="T6543" s="6">
        <v>190115.95</v>
      </c>
      <c r="U6543" s="6"/>
      <c r="V6543" s="6">
        <v>0</v>
      </c>
      <c r="W6543" s="6">
        <f t="shared" si="1010"/>
        <v>190115.95</v>
      </c>
      <c r="X6543" s="6">
        <f t="shared" si="1011"/>
        <v>0</v>
      </c>
      <c r="Y6543" s="13">
        <f t="shared" si="1015"/>
        <v>0</v>
      </c>
      <c r="Z6543" s="14">
        <v>0</v>
      </c>
      <c r="AA6543" s="6">
        <v>0</v>
      </c>
      <c r="AB6543" s="4">
        <f t="shared" si="1016"/>
        <v>0</v>
      </c>
      <c r="AC6543" s="6">
        <f t="shared" si="1014"/>
        <v>0</v>
      </c>
      <c r="AD6543" s="6">
        <f t="shared" si="1012"/>
        <v>0</v>
      </c>
      <c r="AE6543" s="14">
        <v>0.06</v>
      </c>
      <c r="AF6543" s="6">
        <f t="shared" si="1008"/>
        <v>0</v>
      </c>
      <c r="AG6543" s="14">
        <v>0</v>
      </c>
      <c r="AH6543" s="64">
        <f t="shared" si="1013"/>
        <v>0</v>
      </c>
      <c r="AJ6543" s="126" t="e">
        <v>#N/A</v>
      </c>
      <c r="AK6543" s="80">
        <f t="shared" si="1017"/>
        <v>0</v>
      </c>
      <c r="AL6543" s="85"/>
      <c r="AM6543" s="85"/>
    </row>
    <row r="6544" spans="1:39" s="86" customFormat="1" ht="13.25" hidden="1" customHeight="1" x14ac:dyDescent="0.3">
      <c r="A6544" s="89" t="s">
        <v>3794</v>
      </c>
      <c r="B6544" s="86" t="s">
        <v>35</v>
      </c>
      <c r="C6544" s="86" t="s">
        <v>184</v>
      </c>
      <c r="D6544" s="86" t="s">
        <v>54</v>
      </c>
      <c r="E6544" s="86" t="s">
        <v>274</v>
      </c>
      <c r="F6544" s="86" t="s">
        <v>274</v>
      </c>
      <c r="G6544" s="86" t="s">
        <v>274</v>
      </c>
      <c r="H6544" s="143">
        <v>229</v>
      </c>
      <c r="I6544" s="86" t="s">
        <v>3356</v>
      </c>
      <c r="J6544" s="47" t="s">
        <v>3326</v>
      </c>
      <c r="K6544" s="47"/>
      <c r="L6544" s="47" t="s">
        <v>35</v>
      </c>
      <c r="O6544" s="47" t="s">
        <v>45</v>
      </c>
      <c r="P6544" s="47" t="s">
        <v>41</v>
      </c>
      <c r="Q6544" s="14">
        <v>0</v>
      </c>
      <c r="R6544" s="143"/>
      <c r="S6544" s="47"/>
      <c r="T6544" s="6">
        <v>17494.22</v>
      </c>
      <c r="U6544" s="6"/>
      <c r="V6544" s="6">
        <v>0</v>
      </c>
      <c r="W6544" s="6">
        <f t="shared" si="1010"/>
        <v>17494.22</v>
      </c>
      <c r="X6544" s="6">
        <f t="shared" si="1011"/>
        <v>0</v>
      </c>
      <c r="Y6544" s="13">
        <f t="shared" si="1015"/>
        <v>0</v>
      </c>
      <c r="Z6544" s="14">
        <v>0</v>
      </c>
      <c r="AA6544" s="6">
        <v>0</v>
      </c>
      <c r="AB6544" s="4">
        <f t="shared" si="1016"/>
        <v>0</v>
      </c>
      <c r="AC6544" s="6">
        <f t="shared" si="1014"/>
        <v>0</v>
      </c>
      <c r="AD6544" s="6">
        <f t="shared" si="1012"/>
        <v>0</v>
      </c>
      <c r="AE6544" s="14">
        <v>0.06</v>
      </c>
      <c r="AF6544" s="6">
        <f t="shared" si="1008"/>
        <v>0</v>
      </c>
      <c r="AG6544" s="14">
        <v>0</v>
      </c>
      <c r="AH6544" s="64">
        <f t="shared" si="1013"/>
        <v>0</v>
      </c>
      <c r="AJ6544" s="126" t="e">
        <v>#N/A</v>
      </c>
      <c r="AK6544" s="80">
        <f t="shared" si="1017"/>
        <v>0</v>
      </c>
      <c r="AL6544" s="85"/>
      <c r="AM6544" s="85"/>
    </row>
    <row r="6545" spans="1:39" s="86" customFormat="1" ht="13.25" hidden="1" customHeight="1" x14ac:dyDescent="0.3">
      <c r="A6545" s="89" t="s">
        <v>3794</v>
      </c>
      <c r="B6545" s="86" t="s">
        <v>35</v>
      </c>
      <c r="C6545" s="86" t="s">
        <v>187</v>
      </c>
      <c r="D6545" s="86" t="s">
        <v>208</v>
      </c>
      <c r="E6545" s="86" t="s">
        <v>275</v>
      </c>
      <c r="F6545" s="86" t="s">
        <v>275</v>
      </c>
      <c r="G6545" s="86" t="s">
        <v>275</v>
      </c>
      <c r="H6545" s="143">
        <v>229</v>
      </c>
      <c r="I6545" s="86" t="s">
        <v>3356</v>
      </c>
      <c r="J6545" s="47" t="s">
        <v>3326</v>
      </c>
      <c r="K6545" s="47" t="str">
        <f t="shared" si="1009"/>
        <v>巨量引擎-游戏</v>
      </c>
      <c r="L6545" s="47" t="s">
        <v>35</v>
      </c>
      <c r="N6545" s="86" t="s">
        <v>3283</v>
      </c>
      <c r="O6545" s="47" t="s">
        <v>45</v>
      </c>
      <c r="P6545" s="47" t="s">
        <v>46</v>
      </c>
      <c r="Q6545" s="14">
        <v>0.02</v>
      </c>
      <c r="R6545" s="143"/>
      <c r="S6545" s="47"/>
      <c r="T6545" s="6">
        <v>60.99999999976626</v>
      </c>
      <c r="U6545" s="6"/>
      <c r="V6545" s="6">
        <v>0</v>
      </c>
      <c r="W6545" s="6">
        <f t="shared" si="1010"/>
        <v>60.99999999976626</v>
      </c>
      <c r="X6545" s="6">
        <f t="shared" si="1011"/>
        <v>0</v>
      </c>
      <c r="Y6545" s="13">
        <f t="shared" si="1015"/>
        <v>0</v>
      </c>
      <c r="Z6545" s="14">
        <v>0</v>
      </c>
      <c r="AA6545" s="6">
        <v>0</v>
      </c>
      <c r="AB6545" s="4">
        <f t="shared" si="1016"/>
        <v>0</v>
      </c>
      <c r="AC6545" s="6">
        <f t="shared" si="1014"/>
        <v>0</v>
      </c>
      <c r="AD6545" s="6">
        <f t="shared" si="1012"/>
        <v>0</v>
      </c>
      <c r="AE6545" s="14">
        <v>0.06</v>
      </c>
      <c r="AF6545" s="6">
        <f t="shared" si="1008"/>
        <v>0</v>
      </c>
      <c r="AG6545" s="14">
        <v>0</v>
      </c>
      <c r="AH6545" s="64">
        <f t="shared" si="1013"/>
        <v>0</v>
      </c>
      <c r="AJ6545" s="126" t="e">
        <v>#N/A</v>
      </c>
      <c r="AK6545" s="80">
        <f t="shared" si="1017"/>
        <v>0</v>
      </c>
      <c r="AL6545" s="85"/>
      <c r="AM6545" s="85"/>
    </row>
    <row r="6546" spans="1:39" s="86" customFormat="1" ht="13.25" hidden="1" customHeight="1" x14ac:dyDescent="0.3">
      <c r="A6546" s="89" t="s">
        <v>3794</v>
      </c>
      <c r="B6546" s="86" t="s">
        <v>35</v>
      </c>
      <c r="C6546" s="86" t="s">
        <v>3857</v>
      </c>
      <c r="D6546" s="86" t="s">
        <v>3858</v>
      </c>
      <c r="E6546" s="86" t="s">
        <v>278</v>
      </c>
      <c r="F6546" s="86" t="s">
        <v>278</v>
      </c>
      <c r="G6546" s="86" t="s">
        <v>278</v>
      </c>
      <c r="H6546" s="143">
        <v>229</v>
      </c>
      <c r="I6546" s="86" t="s">
        <v>3356</v>
      </c>
      <c r="J6546" s="47" t="s">
        <v>3326</v>
      </c>
      <c r="K6546" s="47"/>
      <c r="L6546" s="47" t="s">
        <v>35</v>
      </c>
      <c r="O6546" s="47" t="s">
        <v>45</v>
      </c>
      <c r="P6546" s="47" t="s">
        <v>46</v>
      </c>
      <c r="Q6546" s="14">
        <v>0.03</v>
      </c>
      <c r="R6546" s="143"/>
      <c r="S6546" s="47"/>
      <c r="T6546" s="6">
        <v>917.43000000001666</v>
      </c>
      <c r="U6546" s="6"/>
      <c r="V6546" s="6">
        <v>0</v>
      </c>
      <c r="W6546" s="6">
        <f t="shared" si="1010"/>
        <v>917.43000000001666</v>
      </c>
      <c r="X6546" s="6">
        <f t="shared" si="1011"/>
        <v>0</v>
      </c>
      <c r="Y6546" s="13">
        <f t="shared" si="1015"/>
        <v>0</v>
      </c>
      <c r="Z6546" s="14">
        <v>0</v>
      </c>
      <c r="AA6546" s="6">
        <v>0</v>
      </c>
      <c r="AB6546" s="4">
        <f t="shared" si="1016"/>
        <v>0</v>
      </c>
      <c r="AC6546" s="6">
        <f t="shared" si="1014"/>
        <v>0</v>
      </c>
      <c r="AD6546" s="6">
        <f t="shared" si="1012"/>
        <v>0</v>
      </c>
      <c r="AE6546" s="14">
        <v>0.06</v>
      </c>
      <c r="AF6546" s="6">
        <f t="shared" si="1008"/>
        <v>0</v>
      </c>
      <c r="AG6546" s="14">
        <v>0</v>
      </c>
      <c r="AH6546" s="64">
        <f t="shared" si="1013"/>
        <v>0</v>
      </c>
      <c r="AJ6546" s="126" t="e">
        <v>#N/A</v>
      </c>
      <c r="AK6546" s="80">
        <f t="shared" si="1017"/>
        <v>0</v>
      </c>
      <c r="AL6546" s="85"/>
      <c r="AM6546" s="85"/>
    </row>
    <row r="6547" spans="1:39" s="86" customFormat="1" ht="13.25" hidden="1" customHeight="1" x14ac:dyDescent="0.3">
      <c r="A6547" s="89" t="s">
        <v>3794</v>
      </c>
      <c r="B6547" s="86" t="s">
        <v>35</v>
      </c>
      <c r="C6547" s="86" t="s">
        <v>187</v>
      </c>
      <c r="D6547" s="86" t="s">
        <v>188</v>
      </c>
      <c r="E6547" s="86" t="s">
        <v>279</v>
      </c>
      <c r="F6547" s="86" t="s">
        <v>279</v>
      </c>
      <c r="G6547" s="86" t="s">
        <v>279</v>
      </c>
      <c r="H6547" s="143">
        <v>229</v>
      </c>
      <c r="I6547" s="86" t="s">
        <v>3356</v>
      </c>
      <c r="J6547" s="47" t="s">
        <v>3326</v>
      </c>
      <c r="K6547" s="47" t="str">
        <f t="shared" si="1009"/>
        <v>巨量引擎-游戏</v>
      </c>
      <c r="L6547" s="47" t="s">
        <v>35</v>
      </c>
      <c r="N6547" s="86" t="s">
        <v>3283</v>
      </c>
      <c r="O6547" s="47" t="s">
        <v>45</v>
      </c>
      <c r="P6547" s="47" t="s">
        <v>46</v>
      </c>
      <c r="Q6547" s="14">
        <v>0.03</v>
      </c>
      <c r="R6547" s="143"/>
      <c r="S6547" s="47"/>
      <c r="T6547" s="6">
        <v>21239.69999999979</v>
      </c>
      <c r="U6547" s="6"/>
      <c r="V6547" s="6">
        <v>0</v>
      </c>
      <c r="W6547" s="6">
        <f t="shared" si="1010"/>
        <v>21239.69999999979</v>
      </c>
      <c r="X6547" s="6">
        <f t="shared" si="1011"/>
        <v>0</v>
      </c>
      <c r="Y6547" s="13">
        <f t="shared" si="1015"/>
        <v>0</v>
      </c>
      <c r="Z6547" s="14">
        <v>0</v>
      </c>
      <c r="AA6547" s="6">
        <v>0</v>
      </c>
      <c r="AB6547" s="4">
        <f t="shared" si="1016"/>
        <v>0</v>
      </c>
      <c r="AC6547" s="6">
        <f t="shared" si="1014"/>
        <v>0</v>
      </c>
      <c r="AD6547" s="6">
        <f t="shared" si="1012"/>
        <v>0</v>
      </c>
      <c r="AE6547" s="14">
        <v>0.06</v>
      </c>
      <c r="AF6547" s="6">
        <f t="shared" si="1008"/>
        <v>0</v>
      </c>
      <c r="AG6547" s="14">
        <v>0</v>
      </c>
      <c r="AH6547" s="64">
        <f t="shared" si="1013"/>
        <v>0</v>
      </c>
      <c r="AJ6547" s="126" t="e">
        <v>#N/A</v>
      </c>
      <c r="AK6547" s="80">
        <f t="shared" si="1017"/>
        <v>0</v>
      </c>
      <c r="AL6547" s="85"/>
      <c r="AM6547" s="85"/>
    </row>
    <row r="6548" spans="1:39" s="86" customFormat="1" ht="13.25" hidden="1" customHeight="1" x14ac:dyDescent="0.3">
      <c r="A6548" s="89" t="s">
        <v>3794</v>
      </c>
      <c r="B6548" s="86" t="s">
        <v>35</v>
      </c>
      <c r="C6548" s="86" t="s">
        <v>187</v>
      </c>
      <c r="D6548" s="86" t="s">
        <v>188</v>
      </c>
      <c r="E6548" s="86" t="s">
        <v>280</v>
      </c>
      <c r="F6548" s="86" t="s">
        <v>280</v>
      </c>
      <c r="G6548" s="86" t="s">
        <v>280</v>
      </c>
      <c r="H6548" s="143">
        <v>229</v>
      </c>
      <c r="I6548" s="86" t="s">
        <v>3356</v>
      </c>
      <c r="J6548" s="47" t="s">
        <v>3326</v>
      </c>
      <c r="K6548" s="47" t="str">
        <f t="shared" si="1009"/>
        <v>巨量引擎-游戏</v>
      </c>
      <c r="L6548" s="47" t="s">
        <v>35</v>
      </c>
      <c r="N6548" s="86" t="s">
        <v>3283</v>
      </c>
      <c r="O6548" s="47" t="s">
        <v>45</v>
      </c>
      <c r="P6548" s="47" t="s">
        <v>46</v>
      </c>
      <c r="Q6548" s="14">
        <v>0.03</v>
      </c>
      <c r="R6548" s="143"/>
      <c r="S6548" s="47"/>
      <c r="T6548" s="6">
        <v>1864.210000000021</v>
      </c>
      <c r="U6548" s="6"/>
      <c r="V6548" s="6">
        <v>0</v>
      </c>
      <c r="W6548" s="6">
        <f t="shared" si="1010"/>
        <v>1864.210000000021</v>
      </c>
      <c r="X6548" s="6">
        <f t="shared" si="1011"/>
        <v>0</v>
      </c>
      <c r="Y6548" s="13">
        <f t="shared" si="1015"/>
        <v>0</v>
      </c>
      <c r="Z6548" s="14">
        <v>0</v>
      </c>
      <c r="AA6548" s="6">
        <v>0</v>
      </c>
      <c r="AB6548" s="4">
        <f t="shared" si="1016"/>
        <v>0</v>
      </c>
      <c r="AC6548" s="6">
        <f t="shared" si="1014"/>
        <v>0</v>
      </c>
      <c r="AD6548" s="6">
        <f t="shared" si="1012"/>
        <v>0</v>
      </c>
      <c r="AE6548" s="14">
        <v>0.06</v>
      </c>
      <c r="AF6548" s="6">
        <f t="shared" si="1008"/>
        <v>0</v>
      </c>
      <c r="AG6548" s="14">
        <v>0</v>
      </c>
      <c r="AH6548" s="64">
        <f t="shared" si="1013"/>
        <v>0</v>
      </c>
      <c r="AJ6548" s="126" t="e">
        <v>#N/A</v>
      </c>
      <c r="AK6548" s="80">
        <f t="shared" si="1017"/>
        <v>0</v>
      </c>
      <c r="AL6548" s="85"/>
      <c r="AM6548" s="85"/>
    </row>
    <row r="6549" spans="1:39" s="86" customFormat="1" ht="13.25" hidden="1" customHeight="1" x14ac:dyDescent="0.3">
      <c r="A6549" s="89" t="s">
        <v>3792</v>
      </c>
      <c r="B6549" s="86" t="s">
        <v>35</v>
      </c>
      <c r="C6549" s="86" t="s">
        <v>187</v>
      </c>
      <c r="D6549" s="86" t="s">
        <v>208</v>
      </c>
      <c r="E6549" s="86" t="s">
        <v>281</v>
      </c>
      <c r="F6549" s="86" t="s">
        <v>281</v>
      </c>
      <c r="G6549" s="86" t="s">
        <v>281</v>
      </c>
      <c r="H6549" s="143">
        <v>229</v>
      </c>
      <c r="I6549" s="86" t="s">
        <v>3356</v>
      </c>
      <c r="J6549" s="47" t="s">
        <v>3326</v>
      </c>
      <c r="K6549" s="47" t="str">
        <f t="shared" si="1009"/>
        <v>巨量引擎-游戏</v>
      </c>
      <c r="L6549" s="47" t="s">
        <v>35</v>
      </c>
      <c r="N6549" s="86" t="s">
        <v>3283</v>
      </c>
      <c r="O6549" s="47" t="s">
        <v>45</v>
      </c>
      <c r="P6549" s="47" t="s">
        <v>41</v>
      </c>
      <c r="Q6549" s="14">
        <v>0</v>
      </c>
      <c r="R6549" s="143"/>
      <c r="S6549" s="47"/>
      <c r="T6549" s="6">
        <v>11757.100000000022</v>
      </c>
      <c r="U6549" s="6"/>
      <c r="V6549" s="6">
        <v>0</v>
      </c>
      <c r="W6549" s="6">
        <f t="shared" si="1010"/>
        <v>11757.100000000022</v>
      </c>
      <c r="X6549" s="6">
        <f t="shared" si="1011"/>
        <v>0</v>
      </c>
      <c r="Y6549" s="13">
        <f t="shared" si="1015"/>
        <v>0</v>
      </c>
      <c r="Z6549" s="14">
        <v>0</v>
      </c>
      <c r="AA6549" s="6">
        <v>0</v>
      </c>
      <c r="AB6549" s="4">
        <f t="shared" si="1016"/>
        <v>0</v>
      </c>
      <c r="AC6549" s="6">
        <f t="shared" si="1014"/>
        <v>0</v>
      </c>
      <c r="AD6549" s="6">
        <f t="shared" si="1012"/>
        <v>0</v>
      </c>
      <c r="AE6549" s="14">
        <v>0.06</v>
      </c>
      <c r="AF6549" s="6">
        <f t="shared" si="1008"/>
        <v>0</v>
      </c>
      <c r="AG6549" s="14">
        <v>0</v>
      </c>
      <c r="AH6549" s="64">
        <f t="shared" si="1013"/>
        <v>0</v>
      </c>
      <c r="AJ6549" s="126" t="e">
        <v>#N/A</v>
      </c>
      <c r="AK6549" s="80">
        <f t="shared" si="1017"/>
        <v>0</v>
      </c>
      <c r="AL6549" s="85"/>
      <c r="AM6549" s="85"/>
    </row>
    <row r="6550" spans="1:39" s="86" customFormat="1" ht="13.25" hidden="1" customHeight="1" x14ac:dyDescent="0.3">
      <c r="A6550" s="89" t="s">
        <v>3794</v>
      </c>
      <c r="B6550" s="86" t="s">
        <v>35</v>
      </c>
      <c r="C6550" s="86" t="s">
        <v>187</v>
      </c>
      <c r="D6550" s="86" t="s">
        <v>208</v>
      </c>
      <c r="E6550" s="86" t="s">
        <v>282</v>
      </c>
      <c r="F6550" s="86" t="s">
        <v>283</v>
      </c>
      <c r="G6550" s="86" t="s">
        <v>282</v>
      </c>
      <c r="H6550" s="143">
        <v>229</v>
      </c>
      <c r="I6550" s="86" t="s">
        <v>3356</v>
      </c>
      <c r="J6550" s="47" t="s">
        <v>3326</v>
      </c>
      <c r="K6550" s="47" t="str">
        <f t="shared" si="1009"/>
        <v>巨量引擎-游戏</v>
      </c>
      <c r="L6550" s="47" t="s">
        <v>35</v>
      </c>
      <c r="N6550" s="86" t="s">
        <v>3283</v>
      </c>
      <c r="O6550" s="47" t="s">
        <v>45</v>
      </c>
      <c r="P6550" s="47" t="s">
        <v>46</v>
      </c>
      <c r="Q6550" s="14">
        <v>0.05</v>
      </c>
      <c r="R6550" s="143"/>
      <c r="S6550" s="47"/>
      <c r="T6550" s="6">
        <v>19827.220000000005</v>
      </c>
      <c r="U6550" s="6"/>
      <c r="V6550" s="6">
        <v>0</v>
      </c>
      <c r="W6550" s="6">
        <f t="shared" si="1010"/>
        <v>19827.220000000005</v>
      </c>
      <c r="X6550" s="6">
        <f t="shared" si="1011"/>
        <v>0</v>
      </c>
      <c r="Y6550" s="13">
        <f t="shared" si="1015"/>
        <v>0</v>
      </c>
      <c r="Z6550" s="14">
        <v>0</v>
      </c>
      <c r="AA6550" s="6">
        <v>0</v>
      </c>
      <c r="AB6550" s="4">
        <f t="shared" si="1016"/>
        <v>0</v>
      </c>
      <c r="AC6550" s="6">
        <f t="shared" si="1014"/>
        <v>0</v>
      </c>
      <c r="AD6550" s="6">
        <f t="shared" si="1012"/>
        <v>0</v>
      </c>
      <c r="AE6550" s="14">
        <v>0.06</v>
      </c>
      <c r="AF6550" s="6">
        <f t="shared" si="1008"/>
        <v>0</v>
      </c>
      <c r="AG6550" s="14">
        <v>0</v>
      </c>
      <c r="AH6550" s="64">
        <f t="shared" si="1013"/>
        <v>0</v>
      </c>
      <c r="AJ6550" s="126" t="e">
        <v>#N/A</v>
      </c>
      <c r="AK6550" s="80">
        <f t="shared" si="1017"/>
        <v>0</v>
      </c>
      <c r="AL6550" s="85"/>
      <c r="AM6550" s="85"/>
    </row>
    <row r="6551" spans="1:39" s="86" customFormat="1" ht="13.25" hidden="1" customHeight="1" x14ac:dyDescent="0.3">
      <c r="A6551" s="89" t="s">
        <v>3794</v>
      </c>
      <c r="B6551" s="86" t="s">
        <v>35</v>
      </c>
      <c r="C6551" s="86" t="s">
        <v>164</v>
      </c>
      <c r="D6551" s="86" t="s">
        <v>174</v>
      </c>
      <c r="E6551" s="86" t="s">
        <v>284</v>
      </c>
      <c r="F6551" s="86" t="s">
        <v>284</v>
      </c>
      <c r="G6551" s="86" t="s">
        <v>284</v>
      </c>
      <c r="H6551" s="143">
        <v>229</v>
      </c>
      <c r="I6551" s="86" t="s">
        <v>3356</v>
      </c>
      <c r="J6551" s="47" t="s">
        <v>3326</v>
      </c>
      <c r="K6551" s="47"/>
      <c r="L6551" s="47" t="s">
        <v>35</v>
      </c>
      <c r="O6551" s="47" t="s">
        <v>45</v>
      </c>
      <c r="P6551" s="47" t="s">
        <v>46</v>
      </c>
      <c r="Q6551" s="14">
        <v>0.04</v>
      </c>
      <c r="R6551" s="143"/>
      <c r="S6551" s="47"/>
      <c r="T6551" s="6">
        <v>8919.66</v>
      </c>
      <c r="U6551" s="6"/>
      <c r="V6551" s="6">
        <v>0</v>
      </c>
      <c r="W6551" s="6">
        <f t="shared" si="1010"/>
        <v>8919.66</v>
      </c>
      <c r="X6551" s="6">
        <f t="shared" si="1011"/>
        <v>0</v>
      </c>
      <c r="Y6551" s="13">
        <f t="shared" si="1015"/>
        <v>0</v>
      </c>
      <c r="Z6551" s="14">
        <v>0</v>
      </c>
      <c r="AA6551" s="6">
        <v>0</v>
      </c>
      <c r="AB6551" s="4">
        <f t="shared" si="1016"/>
        <v>0</v>
      </c>
      <c r="AC6551" s="6">
        <f t="shared" si="1014"/>
        <v>0</v>
      </c>
      <c r="AD6551" s="6">
        <f t="shared" si="1012"/>
        <v>0</v>
      </c>
      <c r="AE6551" s="14">
        <v>0.06</v>
      </c>
      <c r="AF6551" s="6">
        <f t="shared" si="1008"/>
        <v>0</v>
      </c>
      <c r="AG6551" s="14">
        <v>0</v>
      </c>
      <c r="AH6551" s="64">
        <f t="shared" si="1013"/>
        <v>0</v>
      </c>
      <c r="AJ6551" s="126" t="e">
        <v>#N/A</v>
      </c>
      <c r="AK6551" s="80">
        <f t="shared" si="1017"/>
        <v>0</v>
      </c>
      <c r="AL6551" s="85"/>
      <c r="AM6551" s="85"/>
    </row>
    <row r="6552" spans="1:39" s="86" customFormat="1" ht="13.25" hidden="1" customHeight="1" x14ac:dyDescent="0.3">
      <c r="A6552" s="89" t="s">
        <v>3794</v>
      </c>
      <c r="B6552" s="86" t="s">
        <v>35</v>
      </c>
      <c r="C6552" s="86" t="s">
        <v>187</v>
      </c>
      <c r="D6552" s="86" t="s">
        <v>188</v>
      </c>
      <c r="E6552" s="86" t="s">
        <v>285</v>
      </c>
      <c r="F6552" s="86" t="s">
        <v>286</v>
      </c>
      <c r="G6552" s="86" t="s">
        <v>285</v>
      </c>
      <c r="H6552" s="143">
        <v>229</v>
      </c>
      <c r="I6552" s="86" t="s">
        <v>3356</v>
      </c>
      <c r="J6552" s="47" t="s">
        <v>3326</v>
      </c>
      <c r="K6552" s="47" t="str">
        <f t="shared" si="1009"/>
        <v>巨量引擎-游戏</v>
      </c>
      <c r="L6552" s="47" t="s">
        <v>35</v>
      </c>
      <c r="N6552" s="86" t="s">
        <v>3283</v>
      </c>
      <c r="O6552" s="47" t="s">
        <v>45</v>
      </c>
      <c r="P6552" s="47" t="s">
        <v>41</v>
      </c>
      <c r="Q6552" s="14">
        <v>0</v>
      </c>
      <c r="R6552" s="143"/>
      <c r="S6552" s="47"/>
      <c r="T6552" s="6">
        <v>6840.6500000000015</v>
      </c>
      <c r="U6552" s="6"/>
      <c r="V6552" s="6">
        <v>0</v>
      </c>
      <c r="W6552" s="6">
        <f t="shared" si="1010"/>
        <v>6840.6500000000015</v>
      </c>
      <c r="X6552" s="6">
        <f t="shared" si="1011"/>
        <v>0</v>
      </c>
      <c r="Y6552" s="13">
        <f t="shared" si="1015"/>
        <v>0</v>
      </c>
      <c r="Z6552" s="14">
        <v>0</v>
      </c>
      <c r="AA6552" s="6">
        <v>0</v>
      </c>
      <c r="AB6552" s="4">
        <f t="shared" si="1016"/>
        <v>0</v>
      </c>
      <c r="AC6552" s="6">
        <f t="shared" si="1014"/>
        <v>0</v>
      </c>
      <c r="AD6552" s="6">
        <f t="shared" si="1012"/>
        <v>0</v>
      </c>
      <c r="AE6552" s="14">
        <v>0.06</v>
      </c>
      <c r="AF6552" s="6">
        <f t="shared" si="1008"/>
        <v>0</v>
      </c>
      <c r="AG6552" s="14">
        <v>0</v>
      </c>
      <c r="AH6552" s="64">
        <f t="shared" si="1013"/>
        <v>0</v>
      </c>
      <c r="AJ6552" s="126" t="e">
        <v>#N/A</v>
      </c>
      <c r="AK6552" s="80">
        <f t="shared" si="1017"/>
        <v>0</v>
      </c>
      <c r="AL6552" s="85"/>
      <c r="AM6552" s="85"/>
    </row>
    <row r="6553" spans="1:39" s="86" customFormat="1" ht="13.25" hidden="1" customHeight="1" x14ac:dyDescent="0.3">
      <c r="A6553" s="89" t="s">
        <v>3792</v>
      </c>
      <c r="B6553" s="86" t="s">
        <v>35</v>
      </c>
      <c r="C6553" s="86" t="s">
        <v>164</v>
      </c>
      <c r="D6553" s="86" t="s">
        <v>174</v>
      </c>
      <c r="E6553" s="86" t="s">
        <v>50</v>
      </c>
      <c r="F6553" s="86" t="s">
        <v>287</v>
      </c>
      <c r="G6553" s="86" t="s">
        <v>50</v>
      </c>
      <c r="H6553" s="143">
        <v>229</v>
      </c>
      <c r="I6553" s="86" t="s">
        <v>3356</v>
      </c>
      <c r="J6553" s="47" t="s">
        <v>3326</v>
      </c>
      <c r="K6553" s="47"/>
      <c r="L6553" s="47" t="s">
        <v>35</v>
      </c>
      <c r="O6553" s="47" t="s">
        <v>45</v>
      </c>
      <c r="P6553" s="47" t="s">
        <v>41</v>
      </c>
      <c r="Q6553" s="14">
        <v>0</v>
      </c>
      <c r="R6553" s="143"/>
      <c r="S6553" s="47"/>
      <c r="T6553" s="6">
        <v>52722.929999999978</v>
      </c>
      <c r="U6553" s="6"/>
      <c r="V6553" s="6">
        <v>0</v>
      </c>
      <c r="W6553" s="6">
        <f t="shared" si="1010"/>
        <v>52722.929999999978</v>
      </c>
      <c r="X6553" s="6">
        <f t="shared" si="1011"/>
        <v>0</v>
      </c>
      <c r="Y6553" s="13">
        <f t="shared" si="1015"/>
        <v>0</v>
      </c>
      <c r="Z6553" s="14">
        <v>0</v>
      </c>
      <c r="AA6553" s="6">
        <v>0</v>
      </c>
      <c r="AB6553" s="4">
        <f t="shared" si="1016"/>
        <v>0</v>
      </c>
      <c r="AC6553" s="6">
        <f t="shared" si="1014"/>
        <v>0</v>
      </c>
      <c r="AD6553" s="6">
        <f t="shared" si="1012"/>
        <v>0</v>
      </c>
      <c r="AE6553" s="14">
        <v>0.06</v>
      </c>
      <c r="AF6553" s="6">
        <f t="shared" si="1008"/>
        <v>0</v>
      </c>
      <c r="AG6553" s="14">
        <v>0</v>
      </c>
      <c r="AH6553" s="64">
        <f t="shared" si="1013"/>
        <v>0</v>
      </c>
      <c r="AJ6553" s="126" t="e">
        <v>#N/A</v>
      </c>
      <c r="AK6553" s="80">
        <f t="shared" si="1017"/>
        <v>0</v>
      </c>
      <c r="AL6553" s="85"/>
      <c r="AM6553" s="85"/>
    </row>
    <row r="6554" spans="1:39" s="86" customFormat="1" ht="13.25" hidden="1" customHeight="1" x14ac:dyDescent="0.3">
      <c r="A6554" s="89" t="s">
        <v>3794</v>
      </c>
      <c r="B6554" s="86" t="s">
        <v>35</v>
      </c>
      <c r="C6554" s="86" t="s">
        <v>187</v>
      </c>
      <c r="D6554" s="86" t="s">
        <v>208</v>
      </c>
      <c r="E6554" s="86" t="s">
        <v>288</v>
      </c>
      <c r="F6554" s="86" t="s">
        <v>288</v>
      </c>
      <c r="G6554" s="86" t="s">
        <v>288</v>
      </c>
      <c r="H6554" s="143">
        <v>229</v>
      </c>
      <c r="I6554" s="86" t="s">
        <v>3356</v>
      </c>
      <c r="J6554" s="47" t="s">
        <v>3326</v>
      </c>
      <c r="K6554" s="47" t="str">
        <f t="shared" si="1009"/>
        <v>巨量引擎-游戏</v>
      </c>
      <c r="L6554" s="47" t="s">
        <v>35</v>
      </c>
      <c r="N6554" s="86" t="s">
        <v>3283</v>
      </c>
      <c r="O6554" s="47" t="s">
        <v>45</v>
      </c>
      <c r="P6554" s="47" t="s">
        <v>41</v>
      </c>
      <c r="Q6554" s="14">
        <v>0</v>
      </c>
      <c r="R6554" s="143"/>
      <c r="S6554" s="47"/>
      <c r="T6554" s="6">
        <v>3138.33</v>
      </c>
      <c r="U6554" s="6"/>
      <c r="V6554" s="6">
        <v>0</v>
      </c>
      <c r="W6554" s="6">
        <f t="shared" si="1010"/>
        <v>3138.33</v>
      </c>
      <c r="X6554" s="6">
        <f t="shared" si="1011"/>
        <v>0</v>
      </c>
      <c r="Y6554" s="13">
        <f t="shared" si="1015"/>
        <v>0</v>
      </c>
      <c r="Z6554" s="14">
        <v>0</v>
      </c>
      <c r="AA6554" s="6">
        <v>0</v>
      </c>
      <c r="AB6554" s="4">
        <f t="shared" si="1016"/>
        <v>0</v>
      </c>
      <c r="AC6554" s="6">
        <f t="shared" si="1014"/>
        <v>0</v>
      </c>
      <c r="AD6554" s="6">
        <f t="shared" si="1012"/>
        <v>0</v>
      </c>
      <c r="AE6554" s="14">
        <v>0.06</v>
      </c>
      <c r="AF6554" s="6">
        <f t="shared" si="1008"/>
        <v>0</v>
      </c>
      <c r="AG6554" s="14">
        <v>0</v>
      </c>
      <c r="AH6554" s="64">
        <f t="shared" si="1013"/>
        <v>0</v>
      </c>
      <c r="AJ6554" s="126" t="e">
        <v>#N/A</v>
      </c>
      <c r="AK6554" s="80">
        <f t="shared" si="1017"/>
        <v>0</v>
      </c>
      <c r="AL6554" s="85"/>
      <c r="AM6554" s="85"/>
    </row>
    <row r="6555" spans="1:39" s="86" customFormat="1" ht="13.25" hidden="1" customHeight="1" x14ac:dyDescent="0.3">
      <c r="A6555" s="89" t="s">
        <v>3794</v>
      </c>
      <c r="B6555" s="86" t="s">
        <v>35</v>
      </c>
      <c r="C6555" s="86" t="s">
        <v>184</v>
      </c>
      <c r="D6555" s="86" t="s">
        <v>54</v>
      </c>
      <c r="E6555" s="86" t="s">
        <v>289</v>
      </c>
      <c r="F6555" s="86" t="s">
        <v>289</v>
      </c>
      <c r="G6555" s="86" t="s">
        <v>289</v>
      </c>
      <c r="H6555" s="143">
        <v>229</v>
      </c>
      <c r="I6555" s="86" t="s">
        <v>3356</v>
      </c>
      <c r="J6555" s="47" t="s">
        <v>3326</v>
      </c>
      <c r="K6555" s="47"/>
      <c r="L6555" s="47" t="s">
        <v>35</v>
      </c>
      <c r="O6555" s="47" t="s">
        <v>45</v>
      </c>
      <c r="P6555" s="47" t="s">
        <v>41</v>
      </c>
      <c r="Q6555" s="14">
        <v>0</v>
      </c>
      <c r="R6555" s="143"/>
      <c r="S6555" s="47"/>
      <c r="T6555" s="6">
        <v>0.1000000000349246</v>
      </c>
      <c r="U6555" s="6"/>
      <c r="V6555" s="6">
        <v>0</v>
      </c>
      <c r="W6555" s="6">
        <f t="shared" si="1010"/>
        <v>0.1000000000349246</v>
      </c>
      <c r="X6555" s="6">
        <f t="shared" si="1011"/>
        <v>0</v>
      </c>
      <c r="Y6555" s="13">
        <f t="shared" si="1015"/>
        <v>0</v>
      </c>
      <c r="Z6555" s="14">
        <v>0</v>
      </c>
      <c r="AA6555" s="6">
        <v>0</v>
      </c>
      <c r="AB6555" s="4">
        <f t="shared" si="1016"/>
        <v>0</v>
      </c>
      <c r="AC6555" s="6">
        <f t="shared" si="1014"/>
        <v>0</v>
      </c>
      <c r="AD6555" s="6">
        <f t="shared" si="1012"/>
        <v>0</v>
      </c>
      <c r="AE6555" s="14">
        <v>0.06</v>
      </c>
      <c r="AF6555" s="6">
        <f t="shared" si="1008"/>
        <v>0</v>
      </c>
      <c r="AG6555" s="14">
        <v>0</v>
      </c>
      <c r="AH6555" s="64">
        <f t="shared" si="1013"/>
        <v>0</v>
      </c>
      <c r="AJ6555" s="126" t="e">
        <v>#N/A</v>
      </c>
      <c r="AK6555" s="80">
        <f t="shared" si="1017"/>
        <v>0</v>
      </c>
      <c r="AL6555" s="85"/>
      <c r="AM6555" s="85"/>
    </row>
    <row r="6556" spans="1:39" s="86" customFormat="1" ht="13.25" hidden="1" customHeight="1" x14ac:dyDescent="0.3">
      <c r="A6556" s="89" t="s">
        <v>3794</v>
      </c>
      <c r="B6556" s="86" t="s">
        <v>35</v>
      </c>
      <c r="C6556" s="86" t="s">
        <v>184</v>
      </c>
      <c r="D6556" s="86" t="s">
        <v>54</v>
      </c>
      <c r="E6556" s="86" t="s">
        <v>290</v>
      </c>
      <c r="F6556" s="86" t="s">
        <v>290</v>
      </c>
      <c r="G6556" s="86" t="s">
        <v>290</v>
      </c>
      <c r="H6556" s="143">
        <v>229</v>
      </c>
      <c r="I6556" s="86" t="s">
        <v>3356</v>
      </c>
      <c r="J6556" s="47" t="s">
        <v>3326</v>
      </c>
      <c r="K6556" s="47"/>
      <c r="L6556" s="47" t="s">
        <v>35</v>
      </c>
      <c r="O6556" s="47" t="s">
        <v>45</v>
      </c>
      <c r="P6556" s="47" t="s">
        <v>41</v>
      </c>
      <c r="Q6556" s="14">
        <v>0</v>
      </c>
      <c r="R6556" s="143"/>
      <c r="S6556" s="47"/>
      <c r="T6556" s="6">
        <v>468.08000000000175</v>
      </c>
      <c r="U6556" s="6"/>
      <c r="V6556" s="6">
        <v>0</v>
      </c>
      <c r="W6556" s="6">
        <f t="shared" si="1010"/>
        <v>468.08000000000175</v>
      </c>
      <c r="X6556" s="6">
        <f t="shared" si="1011"/>
        <v>0</v>
      </c>
      <c r="Y6556" s="13">
        <f t="shared" si="1015"/>
        <v>0</v>
      </c>
      <c r="Z6556" s="14">
        <v>0</v>
      </c>
      <c r="AA6556" s="6">
        <v>0</v>
      </c>
      <c r="AB6556" s="4"/>
      <c r="AC6556" s="6">
        <f t="shared" si="1014"/>
        <v>0</v>
      </c>
      <c r="AD6556" s="6">
        <f t="shared" si="1012"/>
        <v>0</v>
      </c>
      <c r="AE6556" s="14">
        <v>0.06</v>
      </c>
      <c r="AF6556" s="6">
        <f t="shared" si="1008"/>
        <v>0</v>
      </c>
      <c r="AG6556" s="14">
        <v>0</v>
      </c>
      <c r="AH6556" s="64">
        <f t="shared" si="1013"/>
        <v>0</v>
      </c>
      <c r="AJ6556" s="126">
        <v>95</v>
      </c>
      <c r="AK6556" s="80">
        <f t="shared" si="1017"/>
        <v>0</v>
      </c>
      <c r="AL6556" s="85"/>
      <c r="AM6556" s="85"/>
    </row>
    <row r="6557" spans="1:39" s="86" customFormat="1" ht="13.25" hidden="1" customHeight="1" x14ac:dyDescent="0.3">
      <c r="A6557" s="89" t="s">
        <v>3792</v>
      </c>
      <c r="B6557" s="86" t="s">
        <v>35</v>
      </c>
      <c r="C6557" s="86" t="s">
        <v>184</v>
      </c>
      <c r="D6557" s="86" t="s">
        <v>54</v>
      </c>
      <c r="E6557" s="86" t="s">
        <v>291</v>
      </c>
      <c r="F6557" s="86" t="s">
        <v>292</v>
      </c>
      <c r="G6557" s="86" t="s">
        <v>291</v>
      </c>
      <c r="H6557" s="144">
        <v>229</v>
      </c>
      <c r="I6557" s="86" t="s">
        <v>3356</v>
      </c>
      <c r="J6557" s="47" t="s">
        <v>3326</v>
      </c>
      <c r="K6557" s="47" t="str">
        <f t="shared" si="1009"/>
        <v>巨量引擎-三类</v>
      </c>
      <c r="L6557" s="47" t="s">
        <v>35</v>
      </c>
      <c r="N6557" s="86" t="s">
        <v>3712</v>
      </c>
      <c r="O6557" s="47" t="s">
        <v>45</v>
      </c>
      <c r="P6557" s="47" t="s">
        <v>41</v>
      </c>
      <c r="Q6557" s="14">
        <v>0</v>
      </c>
      <c r="R6557" s="143"/>
      <c r="S6557" s="47"/>
      <c r="T6557" s="6">
        <v>16146.760000000018</v>
      </c>
      <c r="U6557" s="6"/>
      <c r="V6557" s="6">
        <v>16146.759999999998</v>
      </c>
      <c r="W6557" s="6">
        <f t="shared" si="1010"/>
        <v>2.0008883439004421E-11</v>
      </c>
      <c r="X6557" s="6">
        <f t="shared" si="1011"/>
        <v>16146.759999999998</v>
      </c>
      <c r="Y6557" s="13">
        <f t="shared" si="1015"/>
        <v>0</v>
      </c>
      <c r="Z6557" s="14">
        <v>0</v>
      </c>
      <c r="AA6557" s="6">
        <v>0</v>
      </c>
      <c r="AB6557" s="4">
        <f t="shared" si="1016"/>
        <v>16146.759999999998</v>
      </c>
      <c r="AC6557" s="6">
        <f t="shared" si="1014"/>
        <v>0</v>
      </c>
      <c r="AD6557" s="6">
        <f t="shared" si="1012"/>
        <v>16146.759999999998</v>
      </c>
      <c r="AE6557" s="14">
        <v>0.06</v>
      </c>
      <c r="AF6557" s="6">
        <f t="shared" si="1008"/>
        <v>968.80559999999991</v>
      </c>
      <c r="AG6557" s="14">
        <v>0</v>
      </c>
      <c r="AH6557" s="64">
        <f t="shared" si="1013"/>
        <v>16146.759999999998</v>
      </c>
      <c r="AJ6557" s="126" t="e">
        <v>#N/A</v>
      </c>
      <c r="AK6557" s="80">
        <f t="shared" si="1017"/>
        <v>0</v>
      </c>
      <c r="AL6557" s="85"/>
      <c r="AM6557" s="85"/>
    </row>
    <row r="6558" spans="1:39" s="86" customFormat="1" ht="13.25" hidden="1" customHeight="1" x14ac:dyDescent="0.3">
      <c r="A6558" s="89" t="s">
        <v>3794</v>
      </c>
      <c r="B6558" s="86" t="s">
        <v>35</v>
      </c>
      <c r="C6558" s="86" t="s">
        <v>187</v>
      </c>
      <c r="D6558" s="86" t="s">
        <v>208</v>
      </c>
      <c r="E6558" s="86" t="s">
        <v>294</v>
      </c>
      <c r="F6558" s="86" t="s">
        <v>294</v>
      </c>
      <c r="G6558" s="86" t="s">
        <v>294</v>
      </c>
      <c r="H6558" s="143">
        <v>229</v>
      </c>
      <c r="I6558" s="86" t="s">
        <v>3356</v>
      </c>
      <c r="J6558" s="47" t="s">
        <v>3326</v>
      </c>
      <c r="K6558" s="47" t="str">
        <f t="shared" si="1009"/>
        <v>巨量引擎-游戏</v>
      </c>
      <c r="L6558" s="47" t="s">
        <v>35</v>
      </c>
      <c r="N6558" s="86" t="s">
        <v>3283</v>
      </c>
      <c r="O6558" s="47" t="s">
        <v>45</v>
      </c>
      <c r="P6558" s="47" t="s">
        <v>41</v>
      </c>
      <c r="Q6558" s="14">
        <v>0</v>
      </c>
      <c r="R6558" s="143"/>
      <c r="S6558" s="47"/>
      <c r="T6558" s="6">
        <v>25609.800000000287</v>
      </c>
      <c r="U6558" s="6"/>
      <c r="V6558" s="6">
        <v>0</v>
      </c>
      <c r="W6558" s="6">
        <f t="shared" si="1010"/>
        <v>25609.800000000287</v>
      </c>
      <c r="X6558" s="6">
        <f t="shared" si="1011"/>
        <v>0</v>
      </c>
      <c r="Y6558" s="13">
        <f t="shared" si="1015"/>
        <v>0</v>
      </c>
      <c r="Z6558" s="14">
        <v>0</v>
      </c>
      <c r="AA6558" s="6">
        <v>0</v>
      </c>
      <c r="AB6558" s="4">
        <f t="shared" si="1016"/>
        <v>0</v>
      </c>
      <c r="AC6558" s="6">
        <f t="shared" si="1014"/>
        <v>0</v>
      </c>
      <c r="AD6558" s="6">
        <f t="shared" si="1012"/>
        <v>0</v>
      </c>
      <c r="AE6558" s="14">
        <v>0.06</v>
      </c>
      <c r="AF6558" s="6">
        <f t="shared" si="1008"/>
        <v>0</v>
      </c>
      <c r="AG6558" s="14">
        <v>0</v>
      </c>
      <c r="AH6558" s="64">
        <f t="shared" si="1013"/>
        <v>0</v>
      </c>
      <c r="AJ6558" s="126" t="e">
        <v>#N/A</v>
      </c>
      <c r="AK6558" s="80">
        <f t="shared" si="1017"/>
        <v>0</v>
      </c>
      <c r="AL6558" s="85"/>
      <c r="AM6558" s="85"/>
    </row>
    <row r="6559" spans="1:39" s="86" customFormat="1" ht="13.25" hidden="1" customHeight="1" x14ac:dyDescent="0.3">
      <c r="A6559" s="89" t="s">
        <v>3794</v>
      </c>
      <c r="B6559" s="86" t="s">
        <v>35</v>
      </c>
      <c r="C6559" s="86" t="s">
        <v>36</v>
      </c>
      <c r="D6559" s="86" t="s">
        <v>185</v>
      </c>
      <c r="E6559" s="86" t="s">
        <v>296</v>
      </c>
      <c r="F6559" s="86" t="s">
        <v>296</v>
      </c>
      <c r="G6559" s="86" t="s">
        <v>296</v>
      </c>
      <c r="H6559" s="143">
        <v>229</v>
      </c>
      <c r="I6559" s="86" t="s">
        <v>3356</v>
      </c>
      <c r="J6559" s="47" t="s">
        <v>3326</v>
      </c>
      <c r="K6559" s="47"/>
      <c r="L6559" s="47" t="s">
        <v>35</v>
      </c>
      <c r="O6559" s="47" t="s">
        <v>45</v>
      </c>
      <c r="P6559" s="47" t="s">
        <v>46</v>
      </c>
      <c r="Q6559" s="14">
        <v>0.03</v>
      </c>
      <c r="R6559" s="143"/>
      <c r="S6559" s="47"/>
      <c r="T6559" s="6">
        <v>6946.6599999999698</v>
      </c>
      <c r="U6559" s="6"/>
      <c r="V6559" s="6">
        <v>0</v>
      </c>
      <c r="W6559" s="6">
        <f t="shared" si="1010"/>
        <v>6946.6599999999698</v>
      </c>
      <c r="X6559" s="6">
        <f t="shared" si="1011"/>
        <v>0</v>
      </c>
      <c r="Y6559" s="13">
        <f t="shared" si="1015"/>
        <v>0</v>
      </c>
      <c r="Z6559" s="14">
        <v>0</v>
      </c>
      <c r="AA6559" s="6">
        <v>0</v>
      </c>
      <c r="AB6559" s="4">
        <f t="shared" si="1016"/>
        <v>0</v>
      </c>
      <c r="AC6559" s="6">
        <f t="shared" si="1014"/>
        <v>0</v>
      </c>
      <c r="AD6559" s="6">
        <f t="shared" si="1012"/>
        <v>0</v>
      </c>
      <c r="AE6559" s="14">
        <v>0.06</v>
      </c>
      <c r="AF6559" s="6">
        <f t="shared" si="1008"/>
        <v>0</v>
      </c>
      <c r="AG6559" s="14">
        <v>0</v>
      </c>
      <c r="AH6559" s="64">
        <f t="shared" si="1013"/>
        <v>0</v>
      </c>
      <c r="AJ6559" s="126" t="e">
        <v>#N/A</v>
      </c>
      <c r="AK6559" s="80">
        <f t="shared" si="1017"/>
        <v>0</v>
      </c>
      <c r="AL6559" s="85"/>
      <c r="AM6559" s="85"/>
    </row>
    <row r="6560" spans="1:39" s="86" customFormat="1" ht="13.25" hidden="1" customHeight="1" x14ac:dyDescent="0.3">
      <c r="A6560" s="89" t="s">
        <v>3794</v>
      </c>
      <c r="B6560" s="86" t="s">
        <v>35</v>
      </c>
      <c r="C6560" s="86" t="s">
        <v>36</v>
      </c>
      <c r="D6560" s="86" t="s">
        <v>185</v>
      </c>
      <c r="E6560" s="86" t="s">
        <v>297</v>
      </c>
      <c r="F6560" s="86" t="s">
        <v>297</v>
      </c>
      <c r="G6560" s="86" t="s">
        <v>297</v>
      </c>
      <c r="H6560" s="143">
        <v>229</v>
      </c>
      <c r="I6560" s="86" t="s">
        <v>3356</v>
      </c>
      <c r="J6560" s="47" t="s">
        <v>3326</v>
      </c>
      <c r="K6560" s="47"/>
      <c r="L6560" s="47" t="s">
        <v>35</v>
      </c>
      <c r="O6560" s="47" t="s">
        <v>45</v>
      </c>
      <c r="P6560" s="47" t="s">
        <v>46</v>
      </c>
      <c r="Q6560" s="14">
        <v>0.03</v>
      </c>
      <c r="R6560" s="143"/>
      <c r="S6560" s="47"/>
      <c r="T6560" s="6">
        <v>53361.72</v>
      </c>
      <c r="U6560" s="6"/>
      <c r="V6560" s="6">
        <v>0</v>
      </c>
      <c r="W6560" s="6">
        <f t="shared" si="1010"/>
        <v>53361.72</v>
      </c>
      <c r="X6560" s="6">
        <f t="shared" si="1011"/>
        <v>0</v>
      </c>
      <c r="Y6560" s="13">
        <f t="shared" si="1015"/>
        <v>0</v>
      </c>
      <c r="Z6560" s="14">
        <v>0</v>
      </c>
      <c r="AA6560" s="6">
        <v>0</v>
      </c>
      <c r="AB6560" s="4">
        <f t="shared" si="1016"/>
        <v>0</v>
      </c>
      <c r="AC6560" s="6">
        <f t="shared" si="1014"/>
        <v>0</v>
      </c>
      <c r="AD6560" s="6">
        <f t="shared" si="1012"/>
        <v>0</v>
      </c>
      <c r="AE6560" s="14">
        <v>0.06</v>
      </c>
      <c r="AF6560" s="6">
        <f t="shared" si="1008"/>
        <v>0</v>
      </c>
      <c r="AG6560" s="14">
        <v>0</v>
      </c>
      <c r="AH6560" s="64">
        <f t="shared" si="1013"/>
        <v>0</v>
      </c>
      <c r="AJ6560" s="126" t="e">
        <v>#N/A</v>
      </c>
      <c r="AK6560" s="80">
        <f t="shared" si="1017"/>
        <v>0</v>
      </c>
      <c r="AL6560" s="85"/>
      <c r="AM6560" s="85"/>
    </row>
    <row r="6561" spans="1:39" s="86" customFormat="1" ht="13.25" hidden="1" customHeight="1" x14ac:dyDescent="0.3">
      <c r="A6561" s="89" t="s">
        <v>3794</v>
      </c>
      <c r="B6561" s="86" t="s">
        <v>35</v>
      </c>
      <c r="C6561" s="86" t="s">
        <v>36</v>
      </c>
      <c r="D6561" s="86" t="s">
        <v>298</v>
      </c>
      <c r="E6561" s="86" t="s">
        <v>299</v>
      </c>
      <c r="F6561" s="86" t="s">
        <v>299</v>
      </c>
      <c r="G6561" s="86" t="s">
        <v>299</v>
      </c>
      <c r="H6561" s="143">
        <v>229</v>
      </c>
      <c r="I6561" s="86" t="s">
        <v>3356</v>
      </c>
      <c r="J6561" s="47" t="s">
        <v>3326</v>
      </c>
      <c r="K6561" s="47"/>
      <c r="L6561" s="47" t="s">
        <v>35</v>
      </c>
      <c r="O6561" s="47" t="s">
        <v>45</v>
      </c>
      <c r="P6561" s="47" t="s">
        <v>41</v>
      </c>
      <c r="Q6561" s="14">
        <v>0</v>
      </c>
      <c r="R6561" s="143"/>
      <c r="S6561" s="47"/>
      <c r="T6561" s="6">
        <v>1889.01999999999</v>
      </c>
      <c r="U6561" s="6"/>
      <c r="V6561" s="6">
        <v>0</v>
      </c>
      <c r="W6561" s="6">
        <f t="shared" si="1010"/>
        <v>1889.01999999999</v>
      </c>
      <c r="X6561" s="6">
        <f t="shared" si="1011"/>
        <v>0</v>
      </c>
      <c r="Y6561" s="13">
        <f t="shared" si="1015"/>
        <v>0</v>
      </c>
      <c r="Z6561" s="14">
        <v>0</v>
      </c>
      <c r="AA6561" s="6">
        <v>0</v>
      </c>
      <c r="AB6561" s="4">
        <f t="shared" si="1016"/>
        <v>0</v>
      </c>
      <c r="AC6561" s="6">
        <f t="shared" si="1014"/>
        <v>0</v>
      </c>
      <c r="AD6561" s="6">
        <f t="shared" si="1012"/>
        <v>0</v>
      </c>
      <c r="AE6561" s="14">
        <v>0.06</v>
      </c>
      <c r="AF6561" s="6">
        <f t="shared" si="1008"/>
        <v>0</v>
      </c>
      <c r="AG6561" s="14">
        <v>0</v>
      </c>
      <c r="AH6561" s="64">
        <f t="shared" si="1013"/>
        <v>0</v>
      </c>
      <c r="AJ6561" s="126" t="e">
        <v>#N/A</v>
      </c>
      <c r="AK6561" s="80">
        <f t="shared" si="1017"/>
        <v>0</v>
      </c>
      <c r="AL6561" s="85"/>
      <c r="AM6561" s="85"/>
    </row>
    <row r="6562" spans="1:39" s="86" customFormat="1" ht="13.25" hidden="1" customHeight="1" x14ac:dyDescent="0.3">
      <c r="A6562" s="89" t="s">
        <v>3792</v>
      </c>
      <c r="B6562" s="86" t="s">
        <v>35</v>
      </c>
      <c r="C6562" s="86" t="s">
        <v>65</v>
      </c>
      <c r="D6562" s="86" t="s">
        <v>66</v>
      </c>
      <c r="E6562" s="86" t="s">
        <v>300</v>
      </c>
      <c r="F6562" s="86" t="s">
        <v>300</v>
      </c>
      <c r="G6562" s="86" t="s">
        <v>300</v>
      </c>
      <c r="H6562" s="143">
        <v>229</v>
      </c>
      <c r="I6562" s="86" t="s">
        <v>3356</v>
      </c>
      <c r="J6562" s="47" t="s">
        <v>3326</v>
      </c>
      <c r="K6562" s="47"/>
      <c r="L6562" s="47" t="s">
        <v>35</v>
      </c>
      <c r="O6562" s="47" t="s">
        <v>45</v>
      </c>
      <c r="P6562" s="47" t="s">
        <v>41</v>
      </c>
      <c r="Q6562" s="14">
        <v>0</v>
      </c>
      <c r="R6562" s="143"/>
      <c r="S6562" s="47"/>
      <c r="T6562" s="6">
        <v>11492.549999999996</v>
      </c>
      <c r="U6562" s="6"/>
      <c r="V6562" s="6">
        <v>0</v>
      </c>
      <c r="W6562" s="6">
        <f t="shared" si="1010"/>
        <v>11492.549999999996</v>
      </c>
      <c r="X6562" s="6">
        <f t="shared" si="1011"/>
        <v>0</v>
      </c>
      <c r="Y6562" s="13">
        <f t="shared" si="1015"/>
        <v>0</v>
      </c>
      <c r="Z6562" s="14">
        <v>0</v>
      </c>
      <c r="AA6562" s="6">
        <v>0</v>
      </c>
      <c r="AB6562" s="4">
        <f t="shared" si="1016"/>
        <v>0</v>
      </c>
      <c r="AC6562" s="6">
        <f t="shared" si="1014"/>
        <v>0</v>
      </c>
      <c r="AD6562" s="6">
        <f t="shared" si="1012"/>
        <v>0</v>
      </c>
      <c r="AE6562" s="14">
        <v>0.06</v>
      </c>
      <c r="AF6562" s="6">
        <f t="shared" si="1008"/>
        <v>0</v>
      </c>
      <c r="AG6562" s="14">
        <v>0</v>
      </c>
      <c r="AH6562" s="64">
        <f t="shared" si="1013"/>
        <v>0</v>
      </c>
      <c r="AJ6562" s="126" t="e">
        <v>#N/A</v>
      </c>
      <c r="AK6562" s="80">
        <f t="shared" si="1017"/>
        <v>0</v>
      </c>
      <c r="AL6562" s="85"/>
      <c r="AM6562" s="85"/>
    </row>
    <row r="6563" spans="1:39" s="86" customFormat="1" ht="13.25" hidden="1" customHeight="1" x14ac:dyDescent="0.3">
      <c r="A6563" s="89" t="s">
        <v>3794</v>
      </c>
      <c r="B6563" s="86" t="s">
        <v>35</v>
      </c>
      <c r="C6563" s="86" t="s">
        <v>47</v>
      </c>
      <c r="D6563" s="86" t="s">
        <v>63</v>
      </c>
      <c r="E6563" s="86" t="s">
        <v>301</v>
      </c>
      <c r="F6563" s="86" t="s">
        <v>301</v>
      </c>
      <c r="G6563" s="86" t="s">
        <v>301</v>
      </c>
      <c r="H6563" s="143">
        <v>229</v>
      </c>
      <c r="I6563" s="86" t="s">
        <v>3356</v>
      </c>
      <c r="J6563" s="47" t="s">
        <v>3326</v>
      </c>
      <c r="K6563" s="47"/>
      <c r="L6563" s="47" t="s">
        <v>35</v>
      </c>
      <c r="O6563" s="47" t="s">
        <v>45</v>
      </c>
      <c r="P6563" s="47" t="s">
        <v>92</v>
      </c>
      <c r="Q6563" s="14">
        <v>0.97</v>
      </c>
      <c r="R6563" s="143"/>
      <c r="S6563" s="47"/>
      <c r="T6563" s="6">
        <v>0.60999999998603005</v>
      </c>
      <c r="U6563" s="6"/>
      <c r="V6563" s="6">
        <v>0</v>
      </c>
      <c r="W6563" s="6">
        <f t="shared" si="1010"/>
        <v>0.60999999998603005</v>
      </c>
      <c r="X6563" s="6">
        <f t="shared" si="1011"/>
        <v>0</v>
      </c>
      <c r="Y6563" s="13">
        <f t="shared" si="1015"/>
        <v>0</v>
      </c>
      <c r="Z6563" s="14">
        <v>0</v>
      </c>
      <c r="AA6563" s="6">
        <v>0</v>
      </c>
      <c r="AB6563" s="4">
        <f t="shared" si="1016"/>
        <v>0</v>
      </c>
      <c r="AC6563" s="6">
        <f t="shared" si="1014"/>
        <v>0</v>
      </c>
      <c r="AD6563" s="6">
        <f t="shared" si="1012"/>
        <v>0</v>
      </c>
      <c r="AE6563" s="14">
        <v>0.06</v>
      </c>
      <c r="AF6563" s="6">
        <f t="shared" si="1008"/>
        <v>0</v>
      </c>
      <c r="AG6563" s="14">
        <v>0</v>
      </c>
      <c r="AH6563" s="64">
        <f t="shared" si="1013"/>
        <v>0</v>
      </c>
      <c r="AJ6563" s="126" t="e">
        <v>#N/A</v>
      </c>
      <c r="AK6563" s="80">
        <f t="shared" si="1017"/>
        <v>0</v>
      </c>
      <c r="AL6563" s="85"/>
      <c r="AM6563" s="85"/>
    </row>
    <row r="6564" spans="1:39" s="86" customFormat="1" ht="13.25" hidden="1" customHeight="1" x14ac:dyDescent="0.3">
      <c r="A6564" s="89" t="s">
        <v>3792</v>
      </c>
      <c r="B6564" s="86" t="s">
        <v>35</v>
      </c>
      <c r="C6564" s="86" t="s">
        <v>47</v>
      </c>
      <c r="D6564" s="86" t="s">
        <v>48</v>
      </c>
      <c r="E6564" s="86" t="s">
        <v>302</v>
      </c>
      <c r="F6564" s="86" t="s">
        <v>302</v>
      </c>
      <c r="G6564" s="86" t="s">
        <v>302</v>
      </c>
      <c r="H6564" s="143">
        <v>229</v>
      </c>
      <c r="I6564" s="86" t="s">
        <v>3356</v>
      </c>
      <c r="J6564" s="47" t="s">
        <v>3326</v>
      </c>
      <c r="K6564" s="47"/>
      <c r="L6564" s="47" t="s">
        <v>35</v>
      </c>
      <c r="O6564" s="47" t="s">
        <v>45</v>
      </c>
      <c r="P6564" s="47" t="s">
        <v>46</v>
      </c>
      <c r="Q6564" s="14">
        <v>0.03</v>
      </c>
      <c r="R6564" s="143"/>
      <c r="S6564" s="47"/>
      <c r="T6564" s="6">
        <v>46636.04</v>
      </c>
      <c r="U6564" s="6"/>
      <c r="V6564" s="6">
        <v>0</v>
      </c>
      <c r="W6564" s="6">
        <f t="shared" si="1010"/>
        <v>46636.04</v>
      </c>
      <c r="X6564" s="6">
        <f t="shared" si="1011"/>
        <v>0</v>
      </c>
      <c r="Y6564" s="13">
        <f t="shared" si="1015"/>
        <v>0</v>
      </c>
      <c r="Z6564" s="14">
        <v>0</v>
      </c>
      <c r="AA6564" s="6">
        <v>0</v>
      </c>
      <c r="AB6564" s="4">
        <f t="shared" si="1016"/>
        <v>0</v>
      </c>
      <c r="AC6564" s="6">
        <f t="shared" si="1014"/>
        <v>0</v>
      </c>
      <c r="AD6564" s="6">
        <f t="shared" si="1012"/>
        <v>0</v>
      </c>
      <c r="AE6564" s="14">
        <v>0.06</v>
      </c>
      <c r="AF6564" s="6">
        <f t="shared" ref="AF6564:AF6627" si="1018">AD6564*AE6564</f>
        <v>0</v>
      </c>
      <c r="AG6564" s="14">
        <v>0</v>
      </c>
      <c r="AH6564" s="64">
        <f t="shared" si="1013"/>
        <v>0</v>
      </c>
      <c r="AJ6564" s="126" t="e">
        <v>#N/A</v>
      </c>
      <c r="AK6564" s="80">
        <f t="shared" si="1017"/>
        <v>0</v>
      </c>
      <c r="AL6564" s="85"/>
      <c r="AM6564" s="85"/>
    </row>
    <row r="6565" spans="1:39" s="86" customFormat="1" ht="13.25" hidden="1" customHeight="1" x14ac:dyDescent="0.3">
      <c r="A6565" s="89" t="s">
        <v>3794</v>
      </c>
      <c r="B6565" s="86" t="s">
        <v>35</v>
      </c>
      <c r="C6565" s="86" t="s">
        <v>144</v>
      </c>
      <c r="D6565" s="86" t="s">
        <v>303</v>
      </c>
      <c r="E6565" s="86" t="s">
        <v>304</v>
      </c>
      <c r="F6565" s="86" t="s">
        <v>304</v>
      </c>
      <c r="G6565" s="86" t="s">
        <v>304</v>
      </c>
      <c r="H6565" s="143">
        <v>229</v>
      </c>
      <c r="I6565" s="86" t="s">
        <v>3356</v>
      </c>
      <c r="J6565" s="47" t="s">
        <v>3326</v>
      </c>
      <c r="K6565" s="47"/>
      <c r="L6565" s="47" t="s">
        <v>35</v>
      </c>
      <c r="O6565" s="47" t="s">
        <v>45</v>
      </c>
      <c r="P6565" s="47" t="s">
        <v>46</v>
      </c>
      <c r="Q6565" s="14">
        <v>0.03</v>
      </c>
      <c r="R6565" s="143"/>
      <c r="S6565" s="47"/>
      <c r="T6565" s="6">
        <v>21919.17</v>
      </c>
      <c r="U6565" s="6"/>
      <c r="V6565" s="6">
        <v>0</v>
      </c>
      <c r="W6565" s="6">
        <f t="shared" si="1010"/>
        <v>21919.17</v>
      </c>
      <c r="X6565" s="6">
        <f t="shared" si="1011"/>
        <v>0</v>
      </c>
      <c r="Y6565" s="13">
        <f t="shared" si="1015"/>
        <v>0</v>
      </c>
      <c r="Z6565" s="14">
        <v>0</v>
      </c>
      <c r="AA6565" s="6">
        <v>0</v>
      </c>
      <c r="AB6565" s="4">
        <f t="shared" si="1016"/>
        <v>0</v>
      </c>
      <c r="AC6565" s="6">
        <f t="shared" si="1014"/>
        <v>0</v>
      </c>
      <c r="AD6565" s="6">
        <f t="shared" si="1012"/>
        <v>0</v>
      </c>
      <c r="AE6565" s="14">
        <v>0.06</v>
      </c>
      <c r="AF6565" s="6">
        <f t="shared" si="1018"/>
        <v>0</v>
      </c>
      <c r="AG6565" s="14">
        <v>0</v>
      </c>
      <c r="AH6565" s="64">
        <f t="shared" si="1013"/>
        <v>0</v>
      </c>
      <c r="AJ6565" s="126" t="e">
        <v>#N/A</v>
      </c>
      <c r="AK6565" s="80">
        <f t="shared" si="1017"/>
        <v>0</v>
      </c>
      <c r="AL6565" s="85"/>
      <c r="AM6565" s="85"/>
    </row>
    <row r="6566" spans="1:39" s="86" customFormat="1" ht="13.25" hidden="1" customHeight="1" x14ac:dyDescent="0.3">
      <c r="A6566" s="89" t="s">
        <v>3794</v>
      </c>
      <c r="B6566" s="86" t="s">
        <v>35</v>
      </c>
      <c r="C6566" s="86" t="s">
        <v>164</v>
      </c>
      <c r="D6566" s="86" t="s">
        <v>174</v>
      </c>
      <c r="E6566" s="86" t="s">
        <v>306</v>
      </c>
      <c r="F6566" s="86" t="s">
        <v>306</v>
      </c>
      <c r="G6566" s="86" t="s">
        <v>306</v>
      </c>
      <c r="H6566" s="143">
        <v>229</v>
      </c>
      <c r="I6566" s="86" t="s">
        <v>3356</v>
      </c>
      <c r="J6566" s="47" t="s">
        <v>3326</v>
      </c>
      <c r="K6566" s="47"/>
      <c r="L6566" s="47" t="s">
        <v>35</v>
      </c>
      <c r="O6566" s="47" t="s">
        <v>45</v>
      </c>
      <c r="P6566" s="47" t="s">
        <v>46</v>
      </c>
      <c r="Q6566" s="14">
        <v>0.03</v>
      </c>
      <c r="R6566" s="143"/>
      <c r="S6566" s="47"/>
      <c r="T6566" s="6">
        <v>18345.28</v>
      </c>
      <c r="U6566" s="6"/>
      <c r="V6566" s="6">
        <v>0</v>
      </c>
      <c r="W6566" s="6">
        <f t="shared" si="1010"/>
        <v>18345.28</v>
      </c>
      <c r="X6566" s="6">
        <f t="shared" si="1011"/>
        <v>0</v>
      </c>
      <c r="Y6566" s="13">
        <f t="shared" si="1015"/>
        <v>0</v>
      </c>
      <c r="Z6566" s="14">
        <v>0</v>
      </c>
      <c r="AA6566" s="6">
        <v>0</v>
      </c>
      <c r="AB6566" s="4">
        <f t="shared" si="1016"/>
        <v>0</v>
      </c>
      <c r="AC6566" s="6">
        <f t="shared" si="1014"/>
        <v>0</v>
      </c>
      <c r="AD6566" s="6">
        <f t="shared" si="1012"/>
        <v>0</v>
      </c>
      <c r="AE6566" s="14">
        <v>0.06</v>
      </c>
      <c r="AF6566" s="6">
        <f t="shared" si="1018"/>
        <v>0</v>
      </c>
      <c r="AG6566" s="14">
        <v>0</v>
      </c>
      <c r="AH6566" s="64">
        <f t="shared" si="1013"/>
        <v>0</v>
      </c>
      <c r="AJ6566" s="126" t="e">
        <v>#N/A</v>
      </c>
      <c r="AK6566" s="80">
        <f t="shared" si="1017"/>
        <v>0</v>
      </c>
      <c r="AL6566" s="85"/>
      <c r="AM6566" s="85"/>
    </row>
    <row r="6567" spans="1:39" s="86" customFormat="1" ht="13.25" hidden="1" customHeight="1" x14ac:dyDescent="0.3">
      <c r="A6567" s="89" t="s">
        <v>3794</v>
      </c>
      <c r="B6567" s="86" t="s">
        <v>35</v>
      </c>
      <c r="C6567" s="86" t="s">
        <v>164</v>
      </c>
      <c r="D6567" s="86" t="s">
        <v>174</v>
      </c>
      <c r="E6567" s="86" t="s">
        <v>239</v>
      </c>
      <c r="F6567" s="86" t="s">
        <v>308</v>
      </c>
      <c r="G6567" s="86" t="s">
        <v>239</v>
      </c>
      <c r="H6567" s="143">
        <v>229</v>
      </c>
      <c r="I6567" s="86" t="s">
        <v>3356</v>
      </c>
      <c r="J6567" s="47" t="s">
        <v>3326</v>
      </c>
      <c r="K6567" s="47"/>
      <c r="L6567" s="47" t="s">
        <v>35</v>
      </c>
      <c r="O6567" s="47" t="s">
        <v>45</v>
      </c>
      <c r="P6567" s="47" t="s">
        <v>41</v>
      </c>
      <c r="Q6567" s="14">
        <v>0</v>
      </c>
      <c r="R6567" s="143"/>
      <c r="S6567" s="47"/>
      <c r="T6567" s="6">
        <v>68719.03</v>
      </c>
      <c r="U6567" s="6"/>
      <c r="V6567" s="6">
        <v>0</v>
      </c>
      <c r="W6567" s="6">
        <f t="shared" si="1010"/>
        <v>68719.03</v>
      </c>
      <c r="X6567" s="6">
        <f t="shared" si="1011"/>
        <v>0</v>
      </c>
      <c r="Y6567" s="13">
        <f t="shared" si="1015"/>
        <v>0</v>
      </c>
      <c r="Z6567" s="14">
        <v>0</v>
      </c>
      <c r="AA6567" s="6">
        <v>0</v>
      </c>
      <c r="AB6567" s="4">
        <f t="shared" si="1016"/>
        <v>0</v>
      </c>
      <c r="AC6567" s="6">
        <f t="shared" si="1014"/>
        <v>0</v>
      </c>
      <c r="AD6567" s="6">
        <f t="shared" si="1012"/>
        <v>0</v>
      </c>
      <c r="AE6567" s="14">
        <v>0.06</v>
      </c>
      <c r="AF6567" s="6">
        <f t="shared" si="1018"/>
        <v>0</v>
      </c>
      <c r="AG6567" s="14">
        <v>0</v>
      </c>
      <c r="AH6567" s="64">
        <f t="shared" si="1013"/>
        <v>0</v>
      </c>
      <c r="AJ6567" s="126" t="e">
        <v>#N/A</v>
      </c>
      <c r="AK6567" s="80">
        <f t="shared" si="1017"/>
        <v>0</v>
      </c>
      <c r="AL6567" s="85"/>
      <c r="AM6567" s="85"/>
    </row>
    <row r="6568" spans="1:39" s="86" customFormat="1" ht="13.25" hidden="1" customHeight="1" x14ac:dyDescent="0.3">
      <c r="A6568" s="89" t="s">
        <v>3794</v>
      </c>
      <c r="B6568" s="86" t="s">
        <v>35</v>
      </c>
      <c r="C6568" s="86" t="s">
        <v>184</v>
      </c>
      <c r="D6568" s="86" t="s">
        <v>224</v>
      </c>
      <c r="E6568" s="86" t="s">
        <v>311</v>
      </c>
      <c r="F6568" s="86" t="s">
        <v>311</v>
      </c>
      <c r="G6568" s="86" t="s">
        <v>311</v>
      </c>
      <c r="H6568" s="143">
        <v>229</v>
      </c>
      <c r="I6568" s="86" t="s">
        <v>3356</v>
      </c>
      <c r="J6568" s="47" t="s">
        <v>3326</v>
      </c>
      <c r="K6568" s="47"/>
      <c r="L6568" s="47" t="s">
        <v>35</v>
      </c>
      <c r="O6568" s="47" t="s">
        <v>45</v>
      </c>
      <c r="P6568" s="47" t="s">
        <v>46</v>
      </c>
      <c r="Q6568" s="14">
        <v>0.03</v>
      </c>
      <c r="R6568" s="143"/>
      <c r="S6568" s="47"/>
      <c r="T6568" s="6">
        <v>1035.29</v>
      </c>
      <c r="U6568" s="6"/>
      <c r="V6568" s="6">
        <v>0</v>
      </c>
      <c r="W6568" s="6">
        <f t="shared" si="1010"/>
        <v>1035.29</v>
      </c>
      <c r="X6568" s="6">
        <f t="shared" si="1011"/>
        <v>0</v>
      </c>
      <c r="Y6568" s="13">
        <f t="shared" si="1015"/>
        <v>0</v>
      </c>
      <c r="Z6568" s="14">
        <v>0</v>
      </c>
      <c r="AA6568" s="6">
        <v>0</v>
      </c>
      <c r="AB6568" s="4"/>
      <c r="AC6568" s="6">
        <f t="shared" si="1014"/>
        <v>0</v>
      </c>
      <c r="AD6568" s="6">
        <f t="shared" si="1012"/>
        <v>0</v>
      </c>
      <c r="AE6568" s="14">
        <v>0.06</v>
      </c>
      <c r="AF6568" s="6">
        <f t="shared" si="1018"/>
        <v>0</v>
      </c>
      <c r="AG6568" s="14">
        <v>0</v>
      </c>
      <c r="AH6568" s="64">
        <f t="shared" si="1013"/>
        <v>0</v>
      </c>
      <c r="AJ6568" s="126">
        <v>47</v>
      </c>
      <c r="AK6568" s="80">
        <f t="shared" si="1017"/>
        <v>0</v>
      </c>
      <c r="AL6568" s="85"/>
      <c r="AM6568" s="85"/>
    </row>
    <row r="6569" spans="1:39" s="86" customFormat="1" ht="13.25" hidden="1" customHeight="1" x14ac:dyDescent="0.3">
      <c r="A6569" s="89" t="s">
        <v>3792</v>
      </c>
      <c r="B6569" s="86" t="s">
        <v>35</v>
      </c>
      <c r="C6569" s="86" t="s">
        <v>184</v>
      </c>
      <c r="D6569" s="86" t="s">
        <v>224</v>
      </c>
      <c r="E6569" s="86" t="s">
        <v>312</v>
      </c>
      <c r="F6569" s="86" t="s">
        <v>312</v>
      </c>
      <c r="G6569" s="86" t="s">
        <v>312</v>
      </c>
      <c r="H6569" s="143">
        <v>229</v>
      </c>
      <c r="I6569" s="86" t="s">
        <v>3356</v>
      </c>
      <c r="J6569" s="47" t="s">
        <v>3326</v>
      </c>
      <c r="K6569" s="47"/>
      <c r="L6569" s="47" t="s">
        <v>35</v>
      </c>
      <c r="O6569" s="47" t="s">
        <v>45</v>
      </c>
      <c r="P6569" s="47" t="s">
        <v>41</v>
      </c>
      <c r="Q6569" s="14">
        <v>0</v>
      </c>
      <c r="R6569" s="143"/>
      <c r="S6569" s="47"/>
      <c r="T6569" s="6">
        <v>3723.67</v>
      </c>
      <c r="U6569" s="6"/>
      <c r="V6569" s="6">
        <v>0</v>
      </c>
      <c r="W6569" s="6">
        <f t="shared" si="1010"/>
        <v>3723.67</v>
      </c>
      <c r="X6569" s="6">
        <f t="shared" si="1011"/>
        <v>0</v>
      </c>
      <c r="Y6569" s="13">
        <f t="shared" si="1015"/>
        <v>0</v>
      </c>
      <c r="Z6569" s="14">
        <v>0</v>
      </c>
      <c r="AA6569" s="6">
        <v>0</v>
      </c>
      <c r="AB6569" s="4"/>
      <c r="AC6569" s="6">
        <f t="shared" si="1014"/>
        <v>0</v>
      </c>
      <c r="AD6569" s="6">
        <f t="shared" si="1012"/>
        <v>0</v>
      </c>
      <c r="AE6569" s="14">
        <v>0.06</v>
      </c>
      <c r="AF6569" s="6">
        <f t="shared" si="1018"/>
        <v>0</v>
      </c>
      <c r="AG6569" s="14">
        <v>0</v>
      </c>
      <c r="AH6569" s="64">
        <f t="shared" si="1013"/>
        <v>0</v>
      </c>
      <c r="AJ6569" s="126">
        <v>48</v>
      </c>
      <c r="AK6569" s="80">
        <f t="shared" si="1017"/>
        <v>0</v>
      </c>
      <c r="AL6569" s="85"/>
      <c r="AM6569" s="85"/>
    </row>
    <row r="6570" spans="1:39" s="86" customFormat="1" ht="13.25" hidden="1" customHeight="1" x14ac:dyDescent="0.3">
      <c r="A6570" s="89" t="s">
        <v>3792</v>
      </c>
      <c r="B6570" s="86" t="s">
        <v>35</v>
      </c>
      <c r="C6570" s="86" t="s">
        <v>184</v>
      </c>
      <c r="D6570" s="86" t="s">
        <v>54</v>
      </c>
      <c r="E6570" s="86" t="s">
        <v>313</v>
      </c>
      <c r="F6570" s="86" t="s">
        <v>313</v>
      </c>
      <c r="G6570" s="86" t="s">
        <v>313</v>
      </c>
      <c r="H6570" s="143">
        <v>229</v>
      </c>
      <c r="I6570" s="86" t="s">
        <v>3356</v>
      </c>
      <c r="J6570" s="47" t="s">
        <v>3326</v>
      </c>
      <c r="K6570" s="47"/>
      <c r="L6570" s="47" t="s">
        <v>35</v>
      </c>
      <c r="O6570" s="47" t="s">
        <v>45</v>
      </c>
      <c r="P6570" s="47" t="s">
        <v>46</v>
      </c>
      <c r="Q6570" s="14">
        <v>0.03</v>
      </c>
      <c r="R6570" s="143"/>
      <c r="S6570" s="47"/>
      <c r="T6570" s="6">
        <v>9</v>
      </c>
      <c r="U6570" s="6"/>
      <c r="V6570" s="6">
        <v>0</v>
      </c>
      <c r="W6570" s="6">
        <f t="shared" si="1010"/>
        <v>9</v>
      </c>
      <c r="X6570" s="6">
        <f t="shared" si="1011"/>
        <v>0</v>
      </c>
      <c r="Y6570" s="13">
        <f t="shared" si="1015"/>
        <v>0</v>
      </c>
      <c r="Z6570" s="14">
        <v>0</v>
      </c>
      <c r="AA6570" s="6">
        <v>0</v>
      </c>
      <c r="AB6570" s="4">
        <f t="shared" si="1016"/>
        <v>0</v>
      </c>
      <c r="AC6570" s="6">
        <f t="shared" si="1014"/>
        <v>0</v>
      </c>
      <c r="AD6570" s="6">
        <f t="shared" si="1012"/>
        <v>0</v>
      </c>
      <c r="AE6570" s="14">
        <v>0.06</v>
      </c>
      <c r="AF6570" s="6">
        <f t="shared" si="1018"/>
        <v>0</v>
      </c>
      <c r="AG6570" s="14">
        <v>0</v>
      </c>
      <c r="AH6570" s="64">
        <f t="shared" si="1013"/>
        <v>0</v>
      </c>
      <c r="AJ6570" s="126" t="e">
        <v>#N/A</v>
      </c>
      <c r="AK6570" s="80">
        <f t="shared" si="1017"/>
        <v>0</v>
      </c>
      <c r="AL6570" s="85"/>
      <c r="AM6570" s="85"/>
    </row>
    <row r="6571" spans="1:39" s="86" customFormat="1" ht="13.25" hidden="1" customHeight="1" x14ac:dyDescent="0.3">
      <c r="A6571" s="89" t="s">
        <v>3792</v>
      </c>
      <c r="B6571" s="86" t="s">
        <v>35</v>
      </c>
      <c r="C6571" s="86" t="s">
        <v>187</v>
      </c>
      <c r="D6571" s="86" t="s">
        <v>188</v>
      </c>
      <c r="E6571" s="86" t="s">
        <v>314</v>
      </c>
      <c r="F6571" s="86" t="s">
        <v>314</v>
      </c>
      <c r="G6571" s="86" t="s">
        <v>314</v>
      </c>
      <c r="H6571" s="144">
        <v>229</v>
      </c>
      <c r="I6571" s="86" t="s">
        <v>3356</v>
      </c>
      <c r="J6571" s="47" t="s">
        <v>3326</v>
      </c>
      <c r="K6571" s="47" t="str">
        <f t="shared" si="1009"/>
        <v>巨量引擎-游戏</v>
      </c>
      <c r="L6571" s="47" t="s">
        <v>35</v>
      </c>
      <c r="N6571" s="86" t="s">
        <v>3283</v>
      </c>
      <c r="O6571" s="47" t="s">
        <v>45</v>
      </c>
      <c r="P6571" s="47" t="s">
        <v>46</v>
      </c>
      <c r="Q6571" s="14">
        <v>0.03</v>
      </c>
      <c r="R6571" s="143"/>
      <c r="S6571" s="47"/>
      <c r="T6571" s="6">
        <v>31038.160000000102</v>
      </c>
      <c r="U6571" s="6"/>
      <c r="V6571" s="6">
        <v>14354.539999999995</v>
      </c>
      <c r="W6571" s="6">
        <f t="shared" si="1010"/>
        <v>16683.620000000104</v>
      </c>
      <c r="X6571" s="6">
        <f t="shared" si="1011"/>
        <v>13936.446601941743</v>
      </c>
      <c r="Y6571" s="13">
        <f t="shared" si="1015"/>
        <v>0</v>
      </c>
      <c r="Z6571" s="14">
        <v>0</v>
      </c>
      <c r="AA6571" s="6">
        <v>0</v>
      </c>
      <c r="AB6571" s="4">
        <f t="shared" si="1016"/>
        <v>13936.446601941743</v>
      </c>
      <c r="AC6571" s="6">
        <f t="shared" si="1014"/>
        <v>418.09339805825221</v>
      </c>
      <c r="AD6571" s="6">
        <f t="shared" si="1012"/>
        <v>14354.539999999995</v>
      </c>
      <c r="AE6571" s="14">
        <v>0.06</v>
      </c>
      <c r="AF6571" s="6">
        <f t="shared" si="1018"/>
        <v>861.27239999999972</v>
      </c>
      <c r="AG6571" s="14">
        <v>0</v>
      </c>
      <c r="AH6571" s="64">
        <f t="shared" si="1013"/>
        <v>14354.539999999995</v>
      </c>
      <c r="AJ6571" s="126" t="e">
        <v>#N/A</v>
      </c>
      <c r="AK6571" s="80">
        <f t="shared" si="1017"/>
        <v>0</v>
      </c>
      <c r="AL6571" s="85"/>
      <c r="AM6571" s="85"/>
    </row>
    <row r="6572" spans="1:39" s="86" customFormat="1" ht="13.25" hidden="1" customHeight="1" x14ac:dyDescent="0.3">
      <c r="A6572" s="89" t="s">
        <v>3794</v>
      </c>
      <c r="B6572" s="86" t="s">
        <v>35</v>
      </c>
      <c r="C6572" s="86" t="s">
        <v>187</v>
      </c>
      <c r="D6572" s="86" t="s">
        <v>188</v>
      </c>
      <c r="E6572" s="86" t="s">
        <v>315</v>
      </c>
      <c r="F6572" s="86" t="s">
        <v>315</v>
      </c>
      <c r="G6572" s="86" t="s">
        <v>315</v>
      </c>
      <c r="H6572" s="143">
        <v>229</v>
      </c>
      <c r="I6572" s="86" t="s">
        <v>3356</v>
      </c>
      <c r="J6572" s="47" t="s">
        <v>3326</v>
      </c>
      <c r="K6572" s="47" t="str">
        <f t="shared" si="1009"/>
        <v>巨量引擎-游戏</v>
      </c>
      <c r="L6572" s="47" t="s">
        <v>35</v>
      </c>
      <c r="N6572" s="86" t="s">
        <v>3283</v>
      </c>
      <c r="O6572" s="47" t="s">
        <v>45</v>
      </c>
      <c r="P6572" s="47" t="s">
        <v>46</v>
      </c>
      <c r="Q6572" s="14">
        <v>0.05</v>
      </c>
      <c r="R6572" s="143"/>
      <c r="S6572" s="47"/>
      <c r="T6572" s="6">
        <v>1049.2</v>
      </c>
      <c r="U6572" s="6"/>
      <c r="V6572" s="6">
        <v>0</v>
      </c>
      <c r="W6572" s="6">
        <f t="shared" si="1010"/>
        <v>1049.2</v>
      </c>
      <c r="X6572" s="6">
        <f t="shared" si="1011"/>
        <v>0</v>
      </c>
      <c r="Y6572" s="13">
        <f t="shared" si="1015"/>
        <v>0</v>
      </c>
      <c r="Z6572" s="14">
        <v>0</v>
      </c>
      <c r="AA6572" s="6">
        <v>0</v>
      </c>
      <c r="AB6572" s="4">
        <f t="shared" si="1016"/>
        <v>0</v>
      </c>
      <c r="AC6572" s="6">
        <f t="shared" si="1014"/>
        <v>0</v>
      </c>
      <c r="AD6572" s="6">
        <f t="shared" si="1012"/>
        <v>0</v>
      </c>
      <c r="AE6572" s="14">
        <v>0.06</v>
      </c>
      <c r="AF6572" s="6">
        <f t="shared" si="1018"/>
        <v>0</v>
      </c>
      <c r="AG6572" s="14">
        <v>0</v>
      </c>
      <c r="AH6572" s="64">
        <f t="shared" si="1013"/>
        <v>0</v>
      </c>
      <c r="AJ6572" s="126" t="e">
        <v>#N/A</v>
      </c>
      <c r="AK6572" s="80">
        <f t="shared" si="1017"/>
        <v>0</v>
      </c>
      <c r="AL6572" s="85"/>
      <c r="AM6572" s="85"/>
    </row>
    <row r="6573" spans="1:39" s="86" customFormat="1" ht="13.25" hidden="1" customHeight="1" x14ac:dyDescent="0.3">
      <c r="A6573" s="89" t="s">
        <v>3792</v>
      </c>
      <c r="B6573" s="86" t="s">
        <v>35</v>
      </c>
      <c r="C6573" s="86" t="s">
        <v>187</v>
      </c>
      <c r="D6573" s="86" t="s">
        <v>208</v>
      </c>
      <c r="E6573" s="86" t="s">
        <v>316</v>
      </c>
      <c r="F6573" s="86" t="s">
        <v>316</v>
      </c>
      <c r="G6573" s="86" t="s">
        <v>316</v>
      </c>
      <c r="H6573" s="143">
        <v>229</v>
      </c>
      <c r="I6573" s="86" t="s">
        <v>3356</v>
      </c>
      <c r="J6573" s="47" t="s">
        <v>3326</v>
      </c>
      <c r="K6573" s="47" t="str">
        <f t="shared" si="1009"/>
        <v>巨量引擎-游戏</v>
      </c>
      <c r="L6573" s="47" t="s">
        <v>35</v>
      </c>
      <c r="N6573" s="86" t="s">
        <v>3283</v>
      </c>
      <c r="O6573" s="47" t="s">
        <v>45</v>
      </c>
      <c r="P6573" s="47" t="s">
        <v>46</v>
      </c>
      <c r="Q6573" s="14">
        <v>0.06</v>
      </c>
      <c r="R6573" s="143"/>
      <c r="S6573" s="47"/>
      <c r="T6573" s="6">
        <v>1446.59</v>
      </c>
      <c r="U6573" s="6"/>
      <c r="V6573" s="6">
        <v>0</v>
      </c>
      <c r="W6573" s="6">
        <f t="shared" si="1010"/>
        <v>1446.59</v>
      </c>
      <c r="X6573" s="6">
        <f t="shared" si="1011"/>
        <v>0</v>
      </c>
      <c r="Y6573" s="13">
        <f t="shared" si="1015"/>
        <v>0</v>
      </c>
      <c r="Z6573" s="14">
        <v>0</v>
      </c>
      <c r="AA6573" s="6">
        <v>0</v>
      </c>
      <c r="AB6573" s="4">
        <f t="shared" si="1016"/>
        <v>0</v>
      </c>
      <c r="AC6573" s="6">
        <f t="shared" si="1014"/>
        <v>0</v>
      </c>
      <c r="AD6573" s="6">
        <f t="shared" si="1012"/>
        <v>0</v>
      </c>
      <c r="AE6573" s="14">
        <v>0.06</v>
      </c>
      <c r="AF6573" s="6">
        <f t="shared" si="1018"/>
        <v>0</v>
      </c>
      <c r="AG6573" s="14">
        <v>0</v>
      </c>
      <c r="AH6573" s="64">
        <f t="shared" si="1013"/>
        <v>0</v>
      </c>
      <c r="AJ6573" s="126" t="e">
        <v>#N/A</v>
      </c>
      <c r="AK6573" s="80">
        <f t="shared" si="1017"/>
        <v>0</v>
      </c>
      <c r="AL6573" s="85"/>
      <c r="AM6573" s="85"/>
    </row>
    <row r="6574" spans="1:39" s="86" customFormat="1" ht="13.25" hidden="1" customHeight="1" x14ac:dyDescent="0.3">
      <c r="A6574" s="89" t="s">
        <v>3794</v>
      </c>
      <c r="B6574" s="86" t="s">
        <v>35</v>
      </c>
      <c r="C6574" s="86" t="s">
        <v>187</v>
      </c>
      <c r="D6574" s="86" t="s">
        <v>208</v>
      </c>
      <c r="E6574" s="86" t="s">
        <v>317</v>
      </c>
      <c r="F6574" s="86" t="s">
        <v>318</v>
      </c>
      <c r="G6574" s="86" t="s">
        <v>317</v>
      </c>
      <c r="H6574" s="144">
        <v>229</v>
      </c>
      <c r="I6574" s="86" t="s">
        <v>3356</v>
      </c>
      <c r="J6574" s="47" t="s">
        <v>3326</v>
      </c>
      <c r="K6574" s="47" t="str">
        <f t="shared" si="1009"/>
        <v>巨量引擎-游戏</v>
      </c>
      <c r="L6574" s="47" t="s">
        <v>35</v>
      </c>
      <c r="N6574" s="86" t="s">
        <v>3283</v>
      </c>
      <c r="O6574" s="47" t="s">
        <v>45</v>
      </c>
      <c r="P6574" s="47" t="s">
        <v>46</v>
      </c>
      <c r="Q6574" s="14">
        <v>0.04</v>
      </c>
      <c r="R6574" s="143"/>
      <c r="S6574" s="47"/>
      <c r="T6574" s="6">
        <v>7022.7599999999929</v>
      </c>
      <c r="U6574" s="6"/>
      <c r="V6574" s="6">
        <v>483.96</v>
      </c>
      <c r="W6574" s="6">
        <f t="shared" si="1010"/>
        <v>6538.7999999999929</v>
      </c>
      <c r="X6574" s="6">
        <f t="shared" si="1011"/>
        <v>465.34615384615381</v>
      </c>
      <c r="Y6574" s="13">
        <f t="shared" si="1015"/>
        <v>0</v>
      </c>
      <c r="Z6574" s="14">
        <v>0</v>
      </c>
      <c r="AA6574" s="6">
        <v>0</v>
      </c>
      <c r="AB6574" s="4">
        <f t="shared" si="1016"/>
        <v>465.34615384615381</v>
      </c>
      <c r="AC6574" s="6">
        <f t="shared" si="1014"/>
        <v>18.613846153846168</v>
      </c>
      <c r="AD6574" s="6">
        <f t="shared" si="1012"/>
        <v>483.96</v>
      </c>
      <c r="AE6574" s="14">
        <v>0.06</v>
      </c>
      <c r="AF6574" s="6">
        <f t="shared" si="1018"/>
        <v>29.037599999999998</v>
      </c>
      <c r="AG6574" s="14">
        <v>0</v>
      </c>
      <c r="AH6574" s="64">
        <f t="shared" si="1013"/>
        <v>483.96</v>
      </c>
      <c r="AJ6574" s="126" t="e">
        <v>#N/A</v>
      </c>
      <c r="AK6574" s="80">
        <f t="shared" si="1017"/>
        <v>0</v>
      </c>
      <c r="AL6574" s="85"/>
      <c r="AM6574" s="85"/>
    </row>
    <row r="6575" spans="1:39" s="86" customFormat="1" ht="13.25" hidden="1" customHeight="1" x14ac:dyDescent="0.3">
      <c r="A6575" s="89" t="s">
        <v>3794</v>
      </c>
      <c r="B6575" s="86" t="s">
        <v>319</v>
      </c>
      <c r="C6575" s="86" t="s">
        <v>184</v>
      </c>
      <c r="D6575" s="86" t="s">
        <v>320</v>
      </c>
      <c r="E6575" s="86" t="s">
        <v>321</v>
      </c>
      <c r="F6575" s="86" t="s">
        <v>322</v>
      </c>
      <c r="G6575" s="86" t="s">
        <v>323</v>
      </c>
      <c r="H6575" s="143">
        <v>229</v>
      </c>
      <c r="I6575" s="86" t="s">
        <v>3356</v>
      </c>
      <c r="J6575" s="47" t="s">
        <v>3326</v>
      </c>
      <c r="K6575" s="47"/>
      <c r="L6575" s="47" t="s">
        <v>35</v>
      </c>
      <c r="O6575" s="47" t="s">
        <v>45</v>
      </c>
      <c r="P6575" s="47" t="s">
        <v>46</v>
      </c>
      <c r="Q6575" s="14">
        <v>0.03</v>
      </c>
      <c r="R6575" s="143"/>
      <c r="S6575" s="47"/>
      <c r="T6575" s="6">
        <v>78.56</v>
      </c>
      <c r="U6575" s="6"/>
      <c r="V6575" s="6">
        <v>0</v>
      </c>
      <c r="W6575" s="6">
        <f t="shared" si="1010"/>
        <v>78.56</v>
      </c>
      <c r="X6575" s="6">
        <f t="shared" si="1011"/>
        <v>0</v>
      </c>
      <c r="Y6575" s="13">
        <f t="shared" si="1015"/>
        <v>0</v>
      </c>
      <c r="Z6575" s="14">
        <v>0</v>
      </c>
      <c r="AA6575" s="6">
        <v>0</v>
      </c>
      <c r="AB6575" s="4">
        <f t="shared" si="1016"/>
        <v>0</v>
      </c>
      <c r="AC6575" s="6">
        <f t="shared" si="1014"/>
        <v>0</v>
      </c>
      <c r="AD6575" s="6">
        <f t="shared" si="1012"/>
        <v>0</v>
      </c>
      <c r="AE6575" s="14">
        <v>0.06</v>
      </c>
      <c r="AF6575" s="6">
        <f t="shared" si="1018"/>
        <v>0</v>
      </c>
      <c r="AG6575" s="14">
        <v>0</v>
      </c>
      <c r="AH6575" s="64">
        <f t="shared" si="1013"/>
        <v>0</v>
      </c>
      <c r="AJ6575" s="126" t="e">
        <v>#N/A</v>
      </c>
      <c r="AK6575" s="80">
        <f t="shared" si="1017"/>
        <v>0</v>
      </c>
      <c r="AL6575" s="85"/>
      <c r="AM6575" s="85"/>
    </row>
    <row r="6576" spans="1:39" s="86" customFormat="1" ht="13.25" hidden="1" customHeight="1" x14ac:dyDescent="0.3">
      <c r="A6576" s="89" t="s">
        <v>3792</v>
      </c>
      <c r="B6576" s="86" t="s">
        <v>35</v>
      </c>
      <c r="C6576" s="86" t="s">
        <v>59</v>
      </c>
      <c r="D6576" s="86" t="s">
        <v>60</v>
      </c>
      <c r="E6576" s="86" t="s">
        <v>78</v>
      </c>
      <c r="F6576" s="86" t="s">
        <v>324</v>
      </c>
      <c r="G6576" s="86" t="s">
        <v>78</v>
      </c>
      <c r="H6576" s="143">
        <v>229</v>
      </c>
      <c r="I6576" s="86" t="s">
        <v>3356</v>
      </c>
      <c r="J6576" s="47" t="s">
        <v>3326</v>
      </c>
      <c r="K6576" s="47" t="str">
        <f t="shared" ref="K6576:K6639" si="1019">N6576</f>
        <v>巨量引擎-游戏</v>
      </c>
      <c r="L6576" s="47" t="s">
        <v>35</v>
      </c>
      <c r="N6576" s="86" t="s">
        <v>3283</v>
      </c>
      <c r="O6576" s="47" t="s">
        <v>45</v>
      </c>
      <c r="P6576" s="47" t="s">
        <v>46</v>
      </c>
      <c r="Q6576" s="14">
        <v>0.06</v>
      </c>
      <c r="R6576" s="143"/>
      <c r="S6576" s="47"/>
      <c r="T6576" s="6">
        <v>214992.03999999995</v>
      </c>
      <c r="U6576" s="6">
        <v>-214992.04</v>
      </c>
      <c r="V6576" s="6">
        <v>0</v>
      </c>
      <c r="W6576" s="6">
        <f t="shared" ref="W6576:W6639" si="1020">T6576+U6576-V6576</f>
        <v>-5.8207660913467407E-11</v>
      </c>
      <c r="X6576" s="6">
        <f t="shared" ref="X6576:X6639" si="1021">IF(P6576="折扣",V6576*Q6576,IF(P6576="返现",V6576,V6576/(1+Q6576)))</f>
        <v>0</v>
      </c>
      <c r="Y6576" s="13">
        <f t="shared" si="1015"/>
        <v>0</v>
      </c>
      <c r="Z6576" s="14">
        <v>0</v>
      </c>
      <c r="AA6576" s="6">
        <v>0</v>
      </c>
      <c r="AB6576" s="4">
        <f t="shared" si="1016"/>
        <v>0</v>
      </c>
      <c r="AC6576" s="6">
        <f t="shared" si="1014"/>
        <v>0</v>
      </c>
      <c r="AD6576" s="6">
        <f t="shared" ref="AD6576:AD6639" si="1022">V6576</f>
        <v>0</v>
      </c>
      <c r="AE6576" s="14">
        <v>0.06</v>
      </c>
      <c r="AF6576" s="6">
        <f t="shared" si="1018"/>
        <v>0</v>
      </c>
      <c r="AG6576" s="14">
        <v>0</v>
      </c>
      <c r="AH6576" s="64">
        <f t="shared" ref="AH6576:AH6639" si="1023">V6576</f>
        <v>0</v>
      </c>
      <c r="AJ6576" s="126" t="e">
        <v>#N/A</v>
      </c>
      <c r="AK6576" s="80">
        <f t="shared" si="1017"/>
        <v>0</v>
      </c>
      <c r="AL6576" s="85"/>
      <c r="AM6576" s="85"/>
    </row>
    <row r="6577" spans="1:39" s="86" customFormat="1" ht="13.25" hidden="1" customHeight="1" x14ac:dyDescent="0.3">
      <c r="A6577" s="89" t="s">
        <v>3794</v>
      </c>
      <c r="B6577" s="86" t="s">
        <v>35</v>
      </c>
      <c r="C6577" s="86" t="s">
        <v>59</v>
      </c>
      <c r="D6577" s="86" t="s">
        <v>60</v>
      </c>
      <c r="E6577" s="86" t="s">
        <v>78</v>
      </c>
      <c r="F6577" s="86" t="s">
        <v>325</v>
      </c>
      <c r="G6577" s="86" t="s">
        <v>78</v>
      </c>
      <c r="H6577" s="143">
        <v>229</v>
      </c>
      <c r="I6577" s="86" t="s">
        <v>3356</v>
      </c>
      <c r="J6577" s="47" t="s">
        <v>3326</v>
      </c>
      <c r="K6577" s="47" t="str">
        <f t="shared" si="1019"/>
        <v>巨量引擎-游戏</v>
      </c>
      <c r="L6577" s="47" t="s">
        <v>35</v>
      </c>
      <c r="N6577" s="86" t="s">
        <v>3283</v>
      </c>
      <c r="O6577" s="47" t="s">
        <v>45</v>
      </c>
      <c r="P6577" s="47" t="s">
        <v>41</v>
      </c>
      <c r="Q6577" s="14">
        <v>0</v>
      </c>
      <c r="R6577" s="143"/>
      <c r="S6577" s="47"/>
      <c r="T6577" s="6">
        <v>29636.910000000003</v>
      </c>
      <c r="U6577" s="6">
        <v>0</v>
      </c>
      <c r="V6577" s="6">
        <v>0</v>
      </c>
      <c r="W6577" s="6">
        <f t="shared" si="1020"/>
        <v>29636.910000000003</v>
      </c>
      <c r="X6577" s="6">
        <f t="shared" si="1021"/>
        <v>0</v>
      </c>
      <c r="Y6577" s="13">
        <f t="shared" si="1015"/>
        <v>0</v>
      </c>
      <c r="Z6577" s="14">
        <v>0</v>
      </c>
      <c r="AA6577" s="6">
        <v>0</v>
      </c>
      <c r="AB6577" s="4">
        <f t="shared" si="1016"/>
        <v>0</v>
      </c>
      <c r="AC6577" s="6">
        <f t="shared" si="1014"/>
        <v>0</v>
      </c>
      <c r="AD6577" s="6">
        <f t="shared" si="1022"/>
        <v>0</v>
      </c>
      <c r="AE6577" s="14">
        <v>0.06</v>
      </c>
      <c r="AF6577" s="6">
        <f t="shared" si="1018"/>
        <v>0</v>
      </c>
      <c r="AG6577" s="14">
        <v>0</v>
      </c>
      <c r="AH6577" s="64">
        <f t="shared" si="1023"/>
        <v>0</v>
      </c>
      <c r="AJ6577" s="126" t="e">
        <v>#N/A</v>
      </c>
      <c r="AK6577" s="80">
        <f t="shared" si="1017"/>
        <v>0</v>
      </c>
      <c r="AL6577" s="85"/>
      <c r="AM6577" s="85"/>
    </row>
    <row r="6578" spans="1:39" s="86" customFormat="1" ht="13.25" hidden="1" customHeight="1" x14ac:dyDescent="0.3">
      <c r="A6578" s="89" t="s">
        <v>3792</v>
      </c>
      <c r="B6578" s="86" t="s">
        <v>35</v>
      </c>
      <c r="C6578" s="86" t="s">
        <v>59</v>
      </c>
      <c r="D6578" s="86" t="s">
        <v>60</v>
      </c>
      <c r="E6578" s="86" t="s">
        <v>78</v>
      </c>
      <c r="F6578" s="86" t="s">
        <v>326</v>
      </c>
      <c r="G6578" s="86" t="s">
        <v>78</v>
      </c>
      <c r="H6578" s="143">
        <v>229</v>
      </c>
      <c r="I6578" s="86" t="s">
        <v>3356</v>
      </c>
      <c r="J6578" s="47" t="s">
        <v>3326</v>
      </c>
      <c r="K6578" s="47" t="str">
        <f t="shared" si="1019"/>
        <v>巨量引擎-游戏</v>
      </c>
      <c r="L6578" s="47" t="s">
        <v>35</v>
      </c>
      <c r="N6578" s="86" t="s">
        <v>3283</v>
      </c>
      <c r="O6578" s="47" t="s">
        <v>45</v>
      </c>
      <c r="P6578" s="47" t="s">
        <v>41</v>
      </c>
      <c r="Q6578" s="14">
        <v>0</v>
      </c>
      <c r="R6578" s="143"/>
      <c r="S6578" s="47"/>
      <c r="T6578" s="6">
        <v>37367.300000000003</v>
      </c>
      <c r="U6578" s="6">
        <v>0</v>
      </c>
      <c r="V6578" s="6">
        <v>0</v>
      </c>
      <c r="W6578" s="6">
        <f t="shared" si="1020"/>
        <v>37367.300000000003</v>
      </c>
      <c r="X6578" s="6">
        <f t="shared" si="1021"/>
        <v>0</v>
      </c>
      <c r="Y6578" s="13">
        <f t="shared" si="1015"/>
        <v>0</v>
      </c>
      <c r="Z6578" s="14">
        <v>0</v>
      </c>
      <c r="AA6578" s="6">
        <v>0</v>
      </c>
      <c r="AB6578" s="4">
        <f t="shared" si="1016"/>
        <v>0</v>
      </c>
      <c r="AC6578" s="6">
        <f t="shared" si="1014"/>
        <v>0</v>
      </c>
      <c r="AD6578" s="6">
        <f t="shared" si="1022"/>
        <v>0</v>
      </c>
      <c r="AE6578" s="14">
        <v>0.06</v>
      </c>
      <c r="AF6578" s="6">
        <f t="shared" si="1018"/>
        <v>0</v>
      </c>
      <c r="AG6578" s="14">
        <v>0</v>
      </c>
      <c r="AH6578" s="64">
        <f t="shared" si="1023"/>
        <v>0</v>
      </c>
      <c r="AJ6578" s="126" t="e">
        <v>#N/A</v>
      </c>
      <c r="AK6578" s="80">
        <f t="shared" si="1017"/>
        <v>0</v>
      </c>
      <c r="AL6578" s="85"/>
      <c r="AM6578" s="85"/>
    </row>
    <row r="6579" spans="1:39" s="86" customFormat="1" ht="13.25" hidden="1" customHeight="1" x14ac:dyDescent="0.3">
      <c r="A6579" s="89" t="s">
        <v>3794</v>
      </c>
      <c r="B6579" s="86" t="s">
        <v>35</v>
      </c>
      <c r="C6579" s="86" t="s">
        <v>59</v>
      </c>
      <c r="D6579" s="86" t="s">
        <v>60</v>
      </c>
      <c r="E6579" s="86" t="s">
        <v>327</v>
      </c>
      <c r="F6579" s="86" t="s">
        <v>328</v>
      </c>
      <c r="G6579" s="86" t="s">
        <v>327</v>
      </c>
      <c r="H6579" s="144">
        <v>229</v>
      </c>
      <c r="I6579" s="86" t="s">
        <v>3356</v>
      </c>
      <c r="J6579" s="47" t="s">
        <v>3326</v>
      </c>
      <c r="K6579" s="47" t="str">
        <f t="shared" si="1019"/>
        <v>巨量引擎-游戏</v>
      </c>
      <c r="L6579" s="47" t="s">
        <v>35</v>
      </c>
      <c r="N6579" s="86" t="s">
        <v>3283</v>
      </c>
      <c r="O6579" s="47" t="s">
        <v>45</v>
      </c>
      <c r="P6579" s="47" t="s">
        <v>75</v>
      </c>
      <c r="Q6579" s="14">
        <v>0.06</v>
      </c>
      <c r="R6579" s="143"/>
      <c r="S6579" s="47"/>
      <c r="T6579" s="6">
        <v>130234.35000000044</v>
      </c>
      <c r="U6579" s="6">
        <v>200000</v>
      </c>
      <c r="V6579" s="6">
        <v>129890.51</v>
      </c>
      <c r="W6579" s="6">
        <f t="shared" si="1020"/>
        <v>200343.84000000043</v>
      </c>
      <c r="X6579" s="6">
        <f t="shared" si="1021"/>
        <v>129890.51</v>
      </c>
      <c r="Y6579" s="13">
        <f t="shared" si="1015"/>
        <v>0</v>
      </c>
      <c r="Z6579" s="14">
        <v>0</v>
      </c>
      <c r="AA6579" s="6">
        <v>0</v>
      </c>
      <c r="AB6579" s="4">
        <f t="shared" si="1016"/>
        <v>129890.51</v>
      </c>
      <c r="AC6579" s="6">
        <f t="shared" si="1014"/>
        <v>7793.4305999999997</v>
      </c>
      <c r="AD6579" s="6">
        <f t="shared" si="1022"/>
        <v>129890.51</v>
      </c>
      <c r="AE6579" s="14">
        <v>0.06</v>
      </c>
      <c r="AF6579" s="6">
        <f t="shared" si="1018"/>
        <v>7793.4305999999997</v>
      </c>
      <c r="AG6579" s="14">
        <v>0</v>
      </c>
      <c r="AH6579" s="64">
        <f t="shared" si="1023"/>
        <v>129890.51</v>
      </c>
      <c r="AJ6579" s="126" t="e">
        <v>#N/A</v>
      </c>
      <c r="AK6579" s="80">
        <f t="shared" si="1017"/>
        <v>0</v>
      </c>
      <c r="AL6579" s="85"/>
      <c r="AM6579" s="85"/>
    </row>
    <row r="6580" spans="1:39" s="86" customFormat="1" ht="13.25" hidden="1" customHeight="1" x14ac:dyDescent="0.3">
      <c r="A6580" s="89" t="s">
        <v>3794</v>
      </c>
      <c r="B6580" s="86" t="s">
        <v>35</v>
      </c>
      <c r="C6580" s="86" t="s">
        <v>164</v>
      </c>
      <c r="D6580" s="86" t="s">
        <v>174</v>
      </c>
      <c r="E6580" s="86" t="s">
        <v>127</v>
      </c>
      <c r="F6580" s="86" t="s">
        <v>127</v>
      </c>
      <c r="G6580" s="86" t="s">
        <v>127</v>
      </c>
      <c r="H6580" s="144">
        <v>229</v>
      </c>
      <c r="I6580" s="86" t="s">
        <v>3356</v>
      </c>
      <c r="J6580" s="47" t="s">
        <v>3326</v>
      </c>
      <c r="K6580" s="47" t="str">
        <f t="shared" si="1019"/>
        <v>巨量引擎-二类</v>
      </c>
      <c r="L6580" s="47" t="s">
        <v>35</v>
      </c>
      <c r="N6580" s="86" t="s">
        <v>3710</v>
      </c>
      <c r="O6580" s="47" t="s">
        <v>105</v>
      </c>
      <c r="P6580" s="47" t="s">
        <v>41</v>
      </c>
      <c r="Q6580" s="14">
        <v>0</v>
      </c>
      <c r="R6580" s="143"/>
      <c r="S6580" s="47"/>
      <c r="T6580" s="6">
        <v>-1454061.91</v>
      </c>
      <c r="U6580" s="6"/>
      <c r="V6580" s="6">
        <v>310535.74000000005</v>
      </c>
      <c r="W6580" s="6">
        <f t="shared" si="1020"/>
        <v>-1764597.65</v>
      </c>
      <c r="X6580" s="6">
        <f t="shared" si="1021"/>
        <v>310535.74000000005</v>
      </c>
      <c r="Y6580" s="13">
        <f t="shared" si="1015"/>
        <v>0</v>
      </c>
      <c r="Z6580" s="14">
        <v>0</v>
      </c>
      <c r="AA6580" s="6">
        <v>0</v>
      </c>
      <c r="AB6580" s="4">
        <f t="shared" si="1016"/>
        <v>310535.74000000005</v>
      </c>
      <c r="AC6580" s="6">
        <f t="shared" si="1014"/>
        <v>0</v>
      </c>
      <c r="AD6580" s="6">
        <f t="shared" si="1022"/>
        <v>310535.74000000005</v>
      </c>
      <c r="AE6580" s="14">
        <v>0.06</v>
      </c>
      <c r="AF6580" s="6">
        <f t="shared" si="1018"/>
        <v>18632.144400000001</v>
      </c>
      <c r="AG6580" s="14">
        <v>0</v>
      </c>
      <c r="AH6580" s="64">
        <f t="shared" si="1023"/>
        <v>310535.74000000005</v>
      </c>
      <c r="AJ6580" s="126" t="e">
        <v>#N/A</v>
      </c>
      <c r="AK6580" s="80">
        <f t="shared" si="1017"/>
        <v>0</v>
      </c>
      <c r="AL6580" s="85"/>
      <c r="AM6580" s="85"/>
    </row>
    <row r="6581" spans="1:39" s="86" customFormat="1" ht="13.25" hidden="1" customHeight="1" x14ac:dyDescent="0.3">
      <c r="A6581" s="89" t="s">
        <v>3794</v>
      </c>
      <c r="B6581" s="86" t="s">
        <v>35</v>
      </c>
      <c r="C6581" s="86" t="s">
        <v>187</v>
      </c>
      <c r="D6581" s="86" t="s">
        <v>188</v>
      </c>
      <c r="E6581" s="86" t="s">
        <v>280</v>
      </c>
      <c r="F6581" s="86" t="s">
        <v>280</v>
      </c>
      <c r="G6581" s="86" t="s">
        <v>280</v>
      </c>
      <c r="H6581" s="143">
        <v>229</v>
      </c>
      <c r="I6581" s="86" t="s">
        <v>3356</v>
      </c>
      <c r="J6581" s="47" t="s">
        <v>3326</v>
      </c>
      <c r="K6581" s="47" t="str">
        <f t="shared" si="1019"/>
        <v>巨量引擎-游戏</v>
      </c>
      <c r="L6581" s="47" t="s">
        <v>35</v>
      </c>
      <c r="N6581" s="86" t="s">
        <v>3283</v>
      </c>
      <c r="O6581" s="47" t="s">
        <v>105</v>
      </c>
      <c r="P6581" s="47" t="s">
        <v>46</v>
      </c>
      <c r="Q6581" s="14">
        <v>0.03</v>
      </c>
      <c r="R6581" s="143"/>
      <c r="S6581" s="47"/>
      <c r="T6581" s="6">
        <v>-33.549999999999997</v>
      </c>
      <c r="U6581" s="6"/>
      <c r="V6581" s="6">
        <v>0</v>
      </c>
      <c r="W6581" s="6">
        <f t="shared" si="1020"/>
        <v>-33.549999999999997</v>
      </c>
      <c r="X6581" s="6">
        <f t="shared" si="1021"/>
        <v>0</v>
      </c>
      <c r="Y6581" s="13">
        <f t="shared" si="1015"/>
        <v>0</v>
      </c>
      <c r="Z6581" s="14">
        <v>0</v>
      </c>
      <c r="AA6581" s="6">
        <v>0</v>
      </c>
      <c r="AB6581" s="4">
        <f t="shared" si="1016"/>
        <v>0</v>
      </c>
      <c r="AC6581" s="6">
        <f t="shared" si="1014"/>
        <v>0</v>
      </c>
      <c r="AD6581" s="6">
        <f t="shared" si="1022"/>
        <v>0</v>
      </c>
      <c r="AE6581" s="14">
        <v>0.06</v>
      </c>
      <c r="AF6581" s="6">
        <f t="shared" si="1018"/>
        <v>0</v>
      </c>
      <c r="AG6581" s="14">
        <v>0</v>
      </c>
      <c r="AH6581" s="64">
        <f t="shared" si="1023"/>
        <v>0</v>
      </c>
      <c r="AJ6581" s="126" t="e">
        <v>#N/A</v>
      </c>
      <c r="AK6581" s="80">
        <f t="shared" si="1017"/>
        <v>0</v>
      </c>
      <c r="AL6581" s="85"/>
      <c r="AM6581" s="85"/>
    </row>
    <row r="6582" spans="1:39" s="86" customFormat="1" ht="13.25" hidden="1" customHeight="1" x14ac:dyDescent="0.3">
      <c r="A6582" s="89" t="s">
        <v>3792</v>
      </c>
      <c r="B6582" s="86" t="s">
        <v>35</v>
      </c>
      <c r="C6582" s="86" t="s">
        <v>59</v>
      </c>
      <c r="D6582" s="86" t="s">
        <v>60</v>
      </c>
      <c r="E6582" s="86" t="s">
        <v>78</v>
      </c>
      <c r="F6582" s="86" t="s">
        <v>330</v>
      </c>
      <c r="G6582" s="86" t="s">
        <v>78</v>
      </c>
      <c r="H6582" s="143">
        <v>229</v>
      </c>
      <c r="I6582" s="86" t="s">
        <v>3356</v>
      </c>
      <c r="J6582" s="47" t="s">
        <v>3326</v>
      </c>
      <c r="K6582" s="47" t="str">
        <f t="shared" si="1019"/>
        <v>巨量引擎-游戏</v>
      </c>
      <c r="L6582" s="47" t="s">
        <v>35</v>
      </c>
      <c r="N6582" s="86" t="s">
        <v>3283</v>
      </c>
      <c r="O6582" s="47" t="s">
        <v>45</v>
      </c>
      <c r="P6582" s="47" t="s">
        <v>46</v>
      </c>
      <c r="Q6582" s="14">
        <v>0.04</v>
      </c>
      <c r="R6582" s="143"/>
      <c r="S6582" s="47"/>
      <c r="T6582" s="6">
        <v>2.3759000013087643</v>
      </c>
      <c r="U6582" s="6">
        <v>0</v>
      </c>
      <c r="V6582" s="6">
        <v>0</v>
      </c>
      <c r="W6582" s="6">
        <f t="shared" si="1020"/>
        <v>2.3759000013087643</v>
      </c>
      <c r="X6582" s="6">
        <f t="shared" si="1021"/>
        <v>0</v>
      </c>
      <c r="Y6582" s="13">
        <f t="shared" si="1015"/>
        <v>0</v>
      </c>
      <c r="Z6582" s="14">
        <v>0</v>
      </c>
      <c r="AA6582" s="6">
        <v>0</v>
      </c>
      <c r="AB6582" s="4">
        <f t="shared" si="1016"/>
        <v>0</v>
      </c>
      <c r="AC6582" s="6">
        <f t="shared" si="1014"/>
        <v>0</v>
      </c>
      <c r="AD6582" s="6">
        <f t="shared" si="1022"/>
        <v>0</v>
      </c>
      <c r="AE6582" s="14">
        <v>0.06</v>
      </c>
      <c r="AF6582" s="6">
        <f t="shared" si="1018"/>
        <v>0</v>
      </c>
      <c r="AG6582" s="14">
        <v>0</v>
      </c>
      <c r="AH6582" s="64">
        <f t="shared" si="1023"/>
        <v>0</v>
      </c>
      <c r="AJ6582" s="126" t="e">
        <v>#N/A</v>
      </c>
      <c r="AK6582" s="80">
        <f t="shared" si="1017"/>
        <v>0</v>
      </c>
      <c r="AL6582" s="85"/>
      <c r="AM6582" s="85"/>
    </row>
    <row r="6583" spans="1:39" s="86" customFormat="1" ht="13.25" hidden="1" customHeight="1" x14ac:dyDescent="0.3">
      <c r="A6583" s="89" t="s">
        <v>3792</v>
      </c>
      <c r="B6583" s="86" t="s">
        <v>35</v>
      </c>
      <c r="C6583" s="86" t="s">
        <v>47</v>
      </c>
      <c r="D6583" s="86" t="s">
        <v>63</v>
      </c>
      <c r="E6583" s="86" t="s">
        <v>131</v>
      </c>
      <c r="F6583" s="86" t="s">
        <v>131</v>
      </c>
      <c r="G6583" s="86" t="s">
        <v>131</v>
      </c>
      <c r="H6583" s="143">
        <v>229</v>
      </c>
      <c r="I6583" s="86" t="s">
        <v>3356</v>
      </c>
      <c r="J6583" s="47" t="s">
        <v>3326</v>
      </c>
      <c r="K6583" s="47" t="str">
        <f t="shared" si="1019"/>
        <v>巨量引擎-一类平台/电商</v>
      </c>
      <c r="L6583" s="47" t="s">
        <v>35</v>
      </c>
      <c r="N6583" s="86" t="s">
        <v>3718</v>
      </c>
      <c r="O6583" s="47" t="s">
        <v>105</v>
      </c>
      <c r="P6583" s="47" t="s">
        <v>41</v>
      </c>
      <c r="Q6583" s="14">
        <v>0</v>
      </c>
      <c r="R6583" s="143"/>
      <c r="S6583" s="47"/>
      <c r="T6583" s="6">
        <v>-9212.19</v>
      </c>
      <c r="U6583" s="6"/>
      <c r="V6583" s="6">
        <v>0</v>
      </c>
      <c r="W6583" s="6">
        <v>0</v>
      </c>
      <c r="X6583" s="6">
        <f t="shared" si="1021"/>
        <v>0</v>
      </c>
      <c r="Y6583" s="13">
        <f t="shared" si="1015"/>
        <v>0</v>
      </c>
      <c r="Z6583" s="14">
        <v>0</v>
      </c>
      <c r="AA6583" s="6">
        <v>0</v>
      </c>
      <c r="AB6583" s="4">
        <f t="shared" si="1016"/>
        <v>0</v>
      </c>
      <c r="AC6583" s="6">
        <f t="shared" si="1014"/>
        <v>0</v>
      </c>
      <c r="AD6583" s="6">
        <f t="shared" si="1022"/>
        <v>0</v>
      </c>
      <c r="AE6583" s="14">
        <v>0.06</v>
      </c>
      <c r="AF6583" s="6">
        <f t="shared" si="1018"/>
        <v>0</v>
      </c>
      <c r="AG6583" s="14">
        <v>0</v>
      </c>
      <c r="AH6583" s="64">
        <f t="shared" si="1023"/>
        <v>0</v>
      </c>
      <c r="AJ6583" s="126" t="e">
        <v>#N/A</v>
      </c>
      <c r="AK6583" s="80">
        <f t="shared" si="1017"/>
        <v>0</v>
      </c>
      <c r="AL6583" s="85"/>
      <c r="AM6583" s="85"/>
    </row>
    <row r="6584" spans="1:39" s="86" customFormat="1" ht="13.25" hidden="1" customHeight="1" x14ac:dyDescent="0.3">
      <c r="A6584" s="89" t="s">
        <v>3794</v>
      </c>
      <c r="B6584" s="86" t="s">
        <v>35</v>
      </c>
      <c r="C6584" s="86" t="s">
        <v>59</v>
      </c>
      <c r="D6584" s="86" t="s">
        <v>60</v>
      </c>
      <c r="E6584" s="86" t="s">
        <v>78</v>
      </c>
      <c r="F6584" s="86" t="s">
        <v>335</v>
      </c>
      <c r="G6584" s="86" t="s">
        <v>78</v>
      </c>
      <c r="H6584" s="143">
        <v>229</v>
      </c>
      <c r="I6584" s="86" t="s">
        <v>3356</v>
      </c>
      <c r="J6584" s="47" t="s">
        <v>3326</v>
      </c>
      <c r="K6584" s="47" t="str">
        <f t="shared" si="1019"/>
        <v>巨量引擎-游戏</v>
      </c>
      <c r="L6584" s="47" t="s">
        <v>35</v>
      </c>
      <c r="N6584" s="86" t="s">
        <v>3283</v>
      </c>
      <c r="O6584" s="47" t="s">
        <v>45</v>
      </c>
      <c r="P6584" s="47" t="s">
        <v>46</v>
      </c>
      <c r="Q6584" s="14">
        <v>0.04</v>
      </c>
      <c r="R6584" s="143"/>
      <c r="S6584" s="47"/>
      <c r="T6584" s="6">
        <v>4131.2300000003597</v>
      </c>
      <c r="U6584" s="6">
        <v>0</v>
      </c>
      <c r="V6584" s="6">
        <v>0</v>
      </c>
      <c r="W6584" s="6">
        <f t="shared" si="1020"/>
        <v>4131.2300000003597</v>
      </c>
      <c r="X6584" s="6">
        <f t="shared" si="1021"/>
        <v>0</v>
      </c>
      <c r="Y6584" s="13">
        <f t="shared" si="1015"/>
        <v>0</v>
      </c>
      <c r="Z6584" s="14">
        <v>0</v>
      </c>
      <c r="AA6584" s="6">
        <v>0</v>
      </c>
      <c r="AB6584" s="4">
        <f t="shared" si="1016"/>
        <v>0</v>
      </c>
      <c r="AC6584" s="6">
        <f t="shared" si="1014"/>
        <v>0</v>
      </c>
      <c r="AD6584" s="6">
        <f t="shared" si="1022"/>
        <v>0</v>
      </c>
      <c r="AE6584" s="14">
        <v>0.06</v>
      </c>
      <c r="AF6584" s="6">
        <f t="shared" si="1018"/>
        <v>0</v>
      </c>
      <c r="AG6584" s="14">
        <v>0</v>
      </c>
      <c r="AH6584" s="64">
        <f t="shared" si="1023"/>
        <v>0</v>
      </c>
      <c r="AJ6584" s="126" t="e">
        <v>#N/A</v>
      </c>
      <c r="AK6584" s="80">
        <f t="shared" si="1017"/>
        <v>0</v>
      </c>
      <c r="AL6584" s="85"/>
      <c r="AM6584" s="85"/>
    </row>
    <row r="6585" spans="1:39" s="86" customFormat="1" ht="13.25" hidden="1" customHeight="1" x14ac:dyDescent="0.3">
      <c r="A6585" s="89" t="s">
        <v>3794</v>
      </c>
      <c r="B6585" s="86" t="s">
        <v>35</v>
      </c>
      <c r="C6585" s="86" t="s">
        <v>59</v>
      </c>
      <c r="D6585" s="86" t="s">
        <v>60</v>
      </c>
      <c r="E6585" s="86" t="s">
        <v>78</v>
      </c>
      <c r="F6585" s="86" t="s">
        <v>336</v>
      </c>
      <c r="G6585" s="86" t="s">
        <v>78</v>
      </c>
      <c r="H6585" s="143">
        <v>229</v>
      </c>
      <c r="I6585" s="86" t="s">
        <v>3356</v>
      </c>
      <c r="J6585" s="47" t="s">
        <v>3326</v>
      </c>
      <c r="K6585" s="47" t="str">
        <f t="shared" si="1019"/>
        <v>巨量引擎-游戏</v>
      </c>
      <c r="L6585" s="47" t="s">
        <v>35</v>
      </c>
      <c r="N6585" s="86" t="s">
        <v>3283</v>
      </c>
      <c r="O6585" s="47" t="s">
        <v>45</v>
      </c>
      <c r="P6585" s="47" t="s">
        <v>46</v>
      </c>
      <c r="Q6585" s="14">
        <v>0.03</v>
      </c>
      <c r="R6585" s="143"/>
      <c r="S6585" s="47"/>
      <c r="T6585" s="6">
        <v>-1.8500000000494765</v>
      </c>
      <c r="U6585" s="6">
        <v>0</v>
      </c>
      <c r="V6585" s="6">
        <v>0</v>
      </c>
      <c r="W6585" s="6">
        <f t="shared" si="1020"/>
        <v>-1.8500000000494765</v>
      </c>
      <c r="X6585" s="6">
        <f t="shared" si="1021"/>
        <v>0</v>
      </c>
      <c r="Y6585" s="13">
        <f t="shared" si="1015"/>
        <v>0</v>
      </c>
      <c r="Z6585" s="14">
        <v>0</v>
      </c>
      <c r="AA6585" s="6">
        <v>0</v>
      </c>
      <c r="AB6585" s="4">
        <f t="shared" si="1016"/>
        <v>0</v>
      </c>
      <c r="AC6585" s="6">
        <f t="shared" si="1014"/>
        <v>0</v>
      </c>
      <c r="AD6585" s="6">
        <f t="shared" si="1022"/>
        <v>0</v>
      </c>
      <c r="AE6585" s="14">
        <v>0.06</v>
      </c>
      <c r="AF6585" s="6">
        <f t="shared" si="1018"/>
        <v>0</v>
      </c>
      <c r="AG6585" s="14">
        <v>0</v>
      </c>
      <c r="AH6585" s="64">
        <f t="shared" si="1023"/>
        <v>0</v>
      </c>
      <c r="AJ6585" s="126" t="e">
        <v>#N/A</v>
      </c>
      <c r="AK6585" s="80">
        <f t="shared" si="1017"/>
        <v>0</v>
      </c>
      <c r="AL6585" s="85"/>
      <c r="AM6585" s="85"/>
    </row>
    <row r="6586" spans="1:39" s="86" customFormat="1" ht="13.25" hidden="1" customHeight="1" x14ac:dyDescent="0.3">
      <c r="A6586" s="89" t="s">
        <v>3794</v>
      </c>
      <c r="B6586" s="86" t="s">
        <v>35</v>
      </c>
      <c r="C6586" s="86" t="s">
        <v>59</v>
      </c>
      <c r="D6586" s="86" t="s">
        <v>60</v>
      </c>
      <c r="E6586" s="86" t="s">
        <v>78</v>
      </c>
      <c r="F6586" s="86" t="s">
        <v>337</v>
      </c>
      <c r="G6586" s="86" t="s">
        <v>78</v>
      </c>
      <c r="H6586" s="144">
        <v>229</v>
      </c>
      <c r="I6586" s="86" t="s">
        <v>3356</v>
      </c>
      <c r="J6586" s="47" t="s">
        <v>3326</v>
      </c>
      <c r="K6586" s="47" t="str">
        <f t="shared" si="1019"/>
        <v>巨量引擎-游戏</v>
      </c>
      <c r="L6586" s="47" t="s">
        <v>35</v>
      </c>
      <c r="N6586" s="86" t="s">
        <v>3283</v>
      </c>
      <c r="O6586" s="47" t="s">
        <v>45</v>
      </c>
      <c r="P6586" s="47" t="s">
        <v>46</v>
      </c>
      <c r="Q6586" s="14">
        <v>0.02</v>
      </c>
      <c r="R6586" s="143"/>
      <c r="S6586" s="47"/>
      <c r="T6586" s="6">
        <v>1022624.9299998828</v>
      </c>
      <c r="U6586" s="6">
        <v>0</v>
      </c>
      <c r="V6586" s="6">
        <v>548118.59</v>
      </c>
      <c r="W6586" s="6">
        <f t="shared" si="1020"/>
        <v>474506.33999988285</v>
      </c>
      <c r="X6586" s="6">
        <f t="shared" si="1021"/>
        <v>537371.16666666663</v>
      </c>
      <c r="Y6586" s="13">
        <f t="shared" si="1015"/>
        <v>0</v>
      </c>
      <c r="Z6586" s="14">
        <v>0</v>
      </c>
      <c r="AA6586" s="6">
        <v>0</v>
      </c>
      <c r="AB6586" s="4">
        <f t="shared" si="1016"/>
        <v>537371.16666666663</v>
      </c>
      <c r="AC6586" s="6">
        <f t="shared" si="1014"/>
        <v>10747.42333333334</v>
      </c>
      <c r="AD6586" s="6">
        <f t="shared" si="1022"/>
        <v>548118.59</v>
      </c>
      <c r="AE6586" s="14">
        <v>0.06</v>
      </c>
      <c r="AF6586" s="6">
        <f t="shared" si="1018"/>
        <v>32887.115399999995</v>
      </c>
      <c r="AG6586" s="14">
        <v>0</v>
      </c>
      <c r="AH6586" s="64">
        <f t="shared" si="1023"/>
        <v>548118.59</v>
      </c>
      <c r="AJ6586" s="126" t="e">
        <v>#N/A</v>
      </c>
      <c r="AK6586" s="80">
        <f t="shared" si="1017"/>
        <v>0</v>
      </c>
      <c r="AL6586" s="85"/>
      <c r="AM6586" s="85"/>
    </row>
    <row r="6587" spans="1:39" s="86" customFormat="1" ht="13.25" hidden="1" customHeight="1" x14ac:dyDescent="0.3">
      <c r="A6587" s="89" t="s">
        <v>3794</v>
      </c>
      <c r="B6587" s="86" t="s">
        <v>35</v>
      </c>
      <c r="C6587" s="86" t="s">
        <v>65</v>
      </c>
      <c r="D6587" s="86" t="s">
        <v>66</v>
      </c>
      <c r="E6587" s="86" t="s">
        <v>118</v>
      </c>
      <c r="F6587" s="86" t="s">
        <v>230</v>
      </c>
      <c r="G6587" s="86" t="s">
        <v>118</v>
      </c>
      <c r="H6587" s="143">
        <v>229</v>
      </c>
      <c r="I6587" s="86" t="s">
        <v>3356</v>
      </c>
      <c r="J6587" s="47" t="s">
        <v>3326</v>
      </c>
      <c r="K6587" s="47"/>
      <c r="L6587" s="47" t="s">
        <v>35</v>
      </c>
      <c r="O6587" s="47" t="s">
        <v>105</v>
      </c>
      <c r="P6587" s="47" t="s">
        <v>46</v>
      </c>
      <c r="Q6587" s="14">
        <v>0.03</v>
      </c>
      <c r="R6587" s="143"/>
      <c r="S6587" s="47"/>
      <c r="T6587" s="6">
        <v>172252.86999999997</v>
      </c>
      <c r="U6587" s="6"/>
      <c r="V6587" s="6">
        <v>0</v>
      </c>
      <c r="W6587" s="6">
        <f t="shared" si="1020"/>
        <v>172252.86999999997</v>
      </c>
      <c r="X6587" s="6">
        <f t="shared" si="1021"/>
        <v>0</v>
      </c>
      <c r="Y6587" s="13">
        <f t="shared" si="1015"/>
        <v>0</v>
      </c>
      <c r="Z6587" s="14">
        <v>0</v>
      </c>
      <c r="AA6587" s="6">
        <v>0</v>
      </c>
      <c r="AB6587" s="4">
        <f t="shared" si="1016"/>
        <v>0</v>
      </c>
      <c r="AC6587" s="6">
        <f t="shared" si="1014"/>
        <v>0</v>
      </c>
      <c r="AD6587" s="6">
        <f t="shared" si="1022"/>
        <v>0</v>
      </c>
      <c r="AE6587" s="14">
        <v>0.06</v>
      </c>
      <c r="AF6587" s="6">
        <f t="shared" si="1018"/>
        <v>0</v>
      </c>
      <c r="AG6587" s="14">
        <v>0</v>
      </c>
      <c r="AH6587" s="64">
        <f t="shared" si="1023"/>
        <v>0</v>
      </c>
      <c r="AJ6587" s="126" t="e">
        <v>#N/A</v>
      </c>
      <c r="AK6587" s="80">
        <f t="shared" si="1017"/>
        <v>0</v>
      </c>
      <c r="AL6587" s="85"/>
      <c r="AM6587" s="85"/>
    </row>
    <row r="6588" spans="1:39" s="86" customFormat="1" ht="13.25" hidden="1" customHeight="1" x14ac:dyDescent="0.3">
      <c r="A6588" s="89" t="s">
        <v>3794</v>
      </c>
      <c r="B6588" s="86" t="s">
        <v>35</v>
      </c>
      <c r="C6588" s="86" t="s">
        <v>144</v>
      </c>
      <c r="D6588" s="86" t="s">
        <v>152</v>
      </c>
      <c r="E6588" s="86" t="s">
        <v>157</v>
      </c>
      <c r="F6588" s="86" t="s">
        <v>157</v>
      </c>
      <c r="G6588" s="86" t="s">
        <v>157</v>
      </c>
      <c r="H6588" s="144">
        <v>229</v>
      </c>
      <c r="I6588" s="86" t="s">
        <v>3356</v>
      </c>
      <c r="J6588" s="47" t="s">
        <v>3326</v>
      </c>
      <c r="K6588" s="47" t="str">
        <f t="shared" si="1019"/>
        <v>巨量引擎-三类</v>
      </c>
      <c r="L6588" s="47" t="s">
        <v>35</v>
      </c>
      <c r="N6588" s="86" t="s">
        <v>3712</v>
      </c>
      <c r="O6588" s="47" t="s">
        <v>105</v>
      </c>
      <c r="P6588" s="47" t="s">
        <v>41</v>
      </c>
      <c r="Q6588" s="14">
        <v>0</v>
      </c>
      <c r="R6588" s="143"/>
      <c r="S6588" s="47"/>
      <c r="T6588" s="6">
        <v>-49057.849999999991</v>
      </c>
      <c r="U6588" s="6"/>
      <c r="V6588" s="6">
        <v>84961.609999999986</v>
      </c>
      <c r="W6588" s="6">
        <f t="shared" si="1020"/>
        <v>-134019.45999999996</v>
      </c>
      <c r="X6588" s="6">
        <f t="shared" si="1021"/>
        <v>84961.609999999986</v>
      </c>
      <c r="Y6588" s="13">
        <f t="shared" si="1015"/>
        <v>0</v>
      </c>
      <c r="Z6588" s="14">
        <v>0</v>
      </c>
      <c r="AA6588" s="6">
        <v>0</v>
      </c>
      <c r="AB6588" s="4">
        <f t="shared" si="1016"/>
        <v>84961.609999999986</v>
      </c>
      <c r="AC6588" s="6">
        <f t="shared" si="1014"/>
        <v>0</v>
      </c>
      <c r="AD6588" s="6">
        <f t="shared" si="1022"/>
        <v>84961.609999999986</v>
      </c>
      <c r="AE6588" s="14">
        <v>0.06</v>
      </c>
      <c r="AF6588" s="6">
        <f t="shared" si="1018"/>
        <v>5097.6965999999993</v>
      </c>
      <c r="AG6588" s="14">
        <v>0</v>
      </c>
      <c r="AH6588" s="64">
        <f t="shared" si="1023"/>
        <v>84961.609999999986</v>
      </c>
      <c r="AJ6588" s="126" t="e">
        <v>#N/A</v>
      </c>
      <c r="AK6588" s="80">
        <f t="shared" si="1017"/>
        <v>0</v>
      </c>
      <c r="AL6588" s="85"/>
      <c r="AM6588" s="85"/>
    </row>
    <row r="6589" spans="1:39" s="86" customFormat="1" ht="13.25" hidden="1" customHeight="1" x14ac:dyDescent="0.3">
      <c r="A6589" s="89" t="s">
        <v>3792</v>
      </c>
      <c r="B6589" s="86" t="s">
        <v>35</v>
      </c>
      <c r="C6589" s="86" t="s">
        <v>164</v>
      </c>
      <c r="D6589" s="86" t="s">
        <v>3407</v>
      </c>
      <c r="E6589" s="86" t="s">
        <v>182</v>
      </c>
      <c r="F6589" s="86" t="s">
        <v>183</v>
      </c>
      <c r="G6589" s="86" t="s">
        <v>182</v>
      </c>
      <c r="H6589" s="144">
        <v>229</v>
      </c>
      <c r="I6589" s="86" t="s">
        <v>3356</v>
      </c>
      <c r="J6589" s="47" t="s">
        <v>3326</v>
      </c>
      <c r="K6589" s="47" t="str">
        <f t="shared" si="1019"/>
        <v>巨量引擎-游戏</v>
      </c>
      <c r="L6589" s="47" t="s">
        <v>35</v>
      </c>
      <c r="N6589" s="86" t="s">
        <v>3283</v>
      </c>
      <c r="O6589" s="47" t="s">
        <v>3956</v>
      </c>
      <c r="P6589" s="47" t="s">
        <v>41</v>
      </c>
      <c r="Q6589" s="14">
        <v>0</v>
      </c>
      <c r="R6589" s="143"/>
      <c r="S6589" s="47"/>
      <c r="T6589" s="6">
        <v>-30453.61</v>
      </c>
      <c r="U6589" s="6"/>
      <c r="V6589" s="6">
        <v>6933.2699999999995</v>
      </c>
      <c r="W6589" s="6">
        <f t="shared" si="1020"/>
        <v>-37386.879999999997</v>
      </c>
      <c r="X6589" s="6">
        <f t="shared" si="1021"/>
        <v>6933.2699999999995</v>
      </c>
      <c r="Y6589" s="13">
        <f t="shared" si="1015"/>
        <v>0</v>
      </c>
      <c r="Z6589" s="14">
        <v>0</v>
      </c>
      <c r="AA6589" s="6">
        <v>0</v>
      </c>
      <c r="AB6589" s="4">
        <f t="shared" si="1016"/>
        <v>6933.2699999999995</v>
      </c>
      <c r="AC6589" s="6">
        <f t="shared" si="1014"/>
        <v>0</v>
      </c>
      <c r="AD6589" s="6">
        <f t="shared" si="1022"/>
        <v>6933.2699999999995</v>
      </c>
      <c r="AE6589" s="14">
        <v>0.06</v>
      </c>
      <c r="AF6589" s="6">
        <f t="shared" si="1018"/>
        <v>415.99619999999993</v>
      </c>
      <c r="AG6589" s="14">
        <v>0</v>
      </c>
      <c r="AH6589" s="64">
        <f t="shared" si="1023"/>
        <v>6933.2699999999995</v>
      </c>
      <c r="AJ6589" s="126" t="e">
        <v>#N/A</v>
      </c>
      <c r="AK6589" s="80">
        <f t="shared" si="1017"/>
        <v>0</v>
      </c>
      <c r="AL6589" s="85"/>
      <c r="AM6589" s="85"/>
    </row>
    <row r="6590" spans="1:39" s="86" customFormat="1" ht="13.25" hidden="1" customHeight="1" x14ac:dyDescent="0.3">
      <c r="A6590" s="89" t="s">
        <v>3794</v>
      </c>
      <c r="B6590" s="86" t="s">
        <v>35</v>
      </c>
      <c r="C6590" s="86" t="s">
        <v>36</v>
      </c>
      <c r="D6590" s="86" t="s">
        <v>185</v>
      </c>
      <c r="E6590" s="86" t="s">
        <v>259</v>
      </c>
      <c r="F6590" s="86" t="s">
        <v>259</v>
      </c>
      <c r="G6590" s="86" t="s">
        <v>259</v>
      </c>
      <c r="H6590" s="144">
        <v>229</v>
      </c>
      <c r="I6590" s="86" t="s">
        <v>3356</v>
      </c>
      <c r="J6590" s="47" t="s">
        <v>3326</v>
      </c>
      <c r="K6590" s="47" t="str">
        <f t="shared" si="1019"/>
        <v>巨量引擎-三类</v>
      </c>
      <c r="L6590" s="47" t="s">
        <v>35</v>
      </c>
      <c r="N6590" s="86" t="s">
        <v>3712</v>
      </c>
      <c r="O6590" s="47" t="s">
        <v>105</v>
      </c>
      <c r="P6590" s="47" t="s">
        <v>41</v>
      </c>
      <c r="Q6590" s="14">
        <v>0</v>
      </c>
      <c r="R6590" s="143"/>
      <c r="S6590" s="47"/>
      <c r="T6590" s="6">
        <v>-243.94</v>
      </c>
      <c r="U6590" s="6"/>
      <c r="V6590" s="6">
        <v>13.08</v>
      </c>
      <c r="W6590" s="6">
        <f t="shared" si="1020"/>
        <v>-257.02</v>
      </c>
      <c r="X6590" s="6">
        <f t="shared" si="1021"/>
        <v>13.08</v>
      </c>
      <c r="Y6590" s="13">
        <f t="shared" si="1015"/>
        <v>0</v>
      </c>
      <c r="Z6590" s="14">
        <v>0</v>
      </c>
      <c r="AA6590" s="6">
        <v>0</v>
      </c>
      <c r="AB6590" s="4">
        <f t="shared" si="1016"/>
        <v>13.08</v>
      </c>
      <c r="AC6590" s="6">
        <f t="shared" ref="AC6590:AC6653" si="1024">IF(P6590="返现",X6590*Q6590,V6590-X6590)</f>
        <v>0</v>
      </c>
      <c r="AD6590" s="6">
        <f t="shared" si="1022"/>
        <v>13.08</v>
      </c>
      <c r="AE6590" s="14">
        <v>0.06</v>
      </c>
      <c r="AF6590" s="6">
        <f t="shared" si="1018"/>
        <v>0.78479999999999994</v>
      </c>
      <c r="AG6590" s="14">
        <v>0</v>
      </c>
      <c r="AH6590" s="64">
        <f t="shared" si="1023"/>
        <v>13.08</v>
      </c>
      <c r="AJ6590" s="126" t="e">
        <v>#N/A</v>
      </c>
      <c r="AK6590" s="80">
        <f t="shared" si="1017"/>
        <v>0</v>
      </c>
      <c r="AL6590" s="85"/>
      <c r="AM6590" s="85"/>
    </row>
    <row r="6591" spans="1:39" s="86" customFormat="1" ht="13.25" hidden="1" customHeight="1" x14ac:dyDescent="0.3">
      <c r="A6591" s="89" t="s">
        <v>3794</v>
      </c>
      <c r="B6591" s="86" t="s">
        <v>35</v>
      </c>
      <c r="C6591" s="86" t="s">
        <v>184</v>
      </c>
      <c r="D6591" s="86" t="s">
        <v>54</v>
      </c>
      <c r="E6591" s="86" t="s">
        <v>71</v>
      </c>
      <c r="F6591" s="86" t="s">
        <v>102</v>
      </c>
      <c r="G6591" s="86" t="s">
        <v>71</v>
      </c>
      <c r="H6591" s="144">
        <v>229</v>
      </c>
      <c r="I6591" s="86" t="s">
        <v>3356</v>
      </c>
      <c r="J6591" s="47" t="s">
        <v>3326</v>
      </c>
      <c r="K6591" s="47" t="str">
        <f t="shared" si="1019"/>
        <v>巨量引擎-一类平台/电商</v>
      </c>
      <c r="L6591" s="47" t="s">
        <v>35</v>
      </c>
      <c r="N6591" s="86" t="s">
        <v>3718</v>
      </c>
      <c r="O6591" s="47" t="s">
        <v>105</v>
      </c>
      <c r="P6591" s="47" t="s">
        <v>46</v>
      </c>
      <c r="Q6591" s="14">
        <v>5.6000000000000001E-2</v>
      </c>
      <c r="R6591" s="143"/>
      <c r="S6591" s="47"/>
      <c r="T6591" s="6">
        <v>-4311.2900000000009</v>
      </c>
      <c r="U6591" s="6"/>
      <c r="V6591" s="6">
        <v>1428.32</v>
      </c>
      <c r="W6591" s="6">
        <f t="shared" si="1020"/>
        <v>-5739.6100000000006</v>
      </c>
      <c r="X6591" s="6">
        <f t="shared" si="1021"/>
        <v>1352.5757575757575</v>
      </c>
      <c r="Y6591" s="13">
        <f t="shared" si="1015"/>
        <v>0</v>
      </c>
      <c r="Z6591" s="14">
        <v>0</v>
      </c>
      <c r="AA6591" s="6">
        <v>0</v>
      </c>
      <c r="AB6591" s="4">
        <f t="shared" si="1016"/>
        <v>1352.5757575757575</v>
      </c>
      <c r="AC6591" s="6">
        <f t="shared" si="1024"/>
        <v>75.744242424242429</v>
      </c>
      <c r="AD6591" s="6">
        <f t="shared" si="1022"/>
        <v>1428.32</v>
      </c>
      <c r="AE6591" s="14">
        <v>0.06</v>
      </c>
      <c r="AF6591" s="6">
        <f t="shared" si="1018"/>
        <v>85.69919999999999</v>
      </c>
      <c r="AG6591" s="14">
        <v>0</v>
      </c>
      <c r="AH6591" s="64">
        <f t="shared" si="1023"/>
        <v>1428.32</v>
      </c>
      <c r="AJ6591" s="126" t="e">
        <v>#N/A</v>
      </c>
      <c r="AK6591" s="80">
        <f t="shared" si="1017"/>
        <v>0</v>
      </c>
      <c r="AL6591" s="85"/>
      <c r="AM6591" s="85"/>
    </row>
    <row r="6592" spans="1:39" s="86" customFormat="1" ht="13.25" hidden="1" customHeight="1" x14ac:dyDescent="0.3">
      <c r="A6592" s="89" t="s">
        <v>3794</v>
      </c>
      <c r="B6592" s="86" t="s">
        <v>35</v>
      </c>
      <c r="C6592" s="86" t="s">
        <v>59</v>
      </c>
      <c r="D6592" s="86" t="s">
        <v>60</v>
      </c>
      <c r="E6592" s="86" t="s">
        <v>78</v>
      </c>
      <c r="F6592" s="86" t="s">
        <v>336</v>
      </c>
      <c r="G6592" s="86" t="s">
        <v>78</v>
      </c>
      <c r="H6592" s="144">
        <v>229</v>
      </c>
      <c r="I6592" s="86" t="s">
        <v>3356</v>
      </c>
      <c r="J6592" s="47" t="s">
        <v>3326</v>
      </c>
      <c r="K6592" s="47" t="str">
        <f t="shared" si="1019"/>
        <v>巨量引擎-游戏</v>
      </c>
      <c r="L6592" s="47" t="s">
        <v>35</v>
      </c>
      <c r="N6592" s="86" t="s">
        <v>3283</v>
      </c>
      <c r="O6592" s="47" t="s">
        <v>45</v>
      </c>
      <c r="P6592" s="47" t="s">
        <v>46</v>
      </c>
      <c r="Q6592" s="14">
        <v>0.06</v>
      </c>
      <c r="R6592" s="143"/>
      <c r="S6592" s="47"/>
      <c r="T6592" s="6">
        <v>812077.52000000014</v>
      </c>
      <c r="U6592" s="6">
        <v>0</v>
      </c>
      <c r="V6592" s="6">
        <v>100300.5</v>
      </c>
      <c r="W6592" s="6">
        <f t="shared" si="1020"/>
        <v>711777.02000000014</v>
      </c>
      <c r="X6592" s="6">
        <f t="shared" si="1021"/>
        <v>94623.113207547169</v>
      </c>
      <c r="Y6592" s="13">
        <f t="shared" si="1015"/>
        <v>0</v>
      </c>
      <c r="Z6592" s="14">
        <v>0</v>
      </c>
      <c r="AA6592" s="6">
        <v>0</v>
      </c>
      <c r="AB6592" s="4">
        <f t="shared" si="1016"/>
        <v>94623.113207547169</v>
      </c>
      <c r="AC6592" s="6">
        <f t="shared" si="1024"/>
        <v>5677.3867924528313</v>
      </c>
      <c r="AD6592" s="6">
        <f t="shared" si="1022"/>
        <v>100300.5</v>
      </c>
      <c r="AE6592" s="14">
        <v>0.06</v>
      </c>
      <c r="AF6592" s="6">
        <f t="shared" si="1018"/>
        <v>6018.03</v>
      </c>
      <c r="AG6592" s="14">
        <v>0</v>
      </c>
      <c r="AH6592" s="64">
        <f t="shared" si="1023"/>
        <v>100300.5</v>
      </c>
      <c r="AJ6592" s="126" t="e">
        <v>#N/A</v>
      </c>
      <c r="AK6592" s="80">
        <f t="shared" si="1017"/>
        <v>0</v>
      </c>
      <c r="AL6592" s="85"/>
      <c r="AM6592" s="85"/>
    </row>
    <row r="6593" spans="1:39" s="86" customFormat="1" ht="13.25" hidden="1" customHeight="1" x14ac:dyDescent="0.3">
      <c r="A6593" s="89" t="s">
        <v>3794</v>
      </c>
      <c r="B6593" s="86" t="s">
        <v>35</v>
      </c>
      <c r="C6593" s="86" t="s">
        <v>59</v>
      </c>
      <c r="D6593" s="86" t="s">
        <v>60</v>
      </c>
      <c r="E6593" s="86" t="s">
        <v>78</v>
      </c>
      <c r="F6593" s="86" t="s">
        <v>3957</v>
      </c>
      <c r="G6593" s="86" t="s">
        <v>78</v>
      </c>
      <c r="H6593" s="144">
        <v>229</v>
      </c>
      <c r="I6593" s="86" t="s">
        <v>3356</v>
      </c>
      <c r="J6593" s="47" t="s">
        <v>3326</v>
      </c>
      <c r="K6593" s="47" t="str">
        <f t="shared" si="1019"/>
        <v>巨量引擎-游戏</v>
      </c>
      <c r="L6593" s="47" t="s">
        <v>35</v>
      </c>
      <c r="N6593" s="86" t="s">
        <v>3283</v>
      </c>
      <c r="O6593" s="47" t="s">
        <v>105</v>
      </c>
      <c r="P6593" s="47" t="s">
        <v>46</v>
      </c>
      <c r="Q6593" s="14">
        <v>0.06</v>
      </c>
      <c r="R6593" s="143"/>
      <c r="S6593" s="47"/>
      <c r="T6593" s="6">
        <v>0</v>
      </c>
      <c r="U6593" s="6">
        <v>0</v>
      </c>
      <c r="V6593" s="6">
        <v>1909.8899999999996</v>
      </c>
      <c r="W6593" s="6">
        <f t="shared" si="1020"/>
        <v>-1909.8899999999996</v>
      </c>
      <c r="X6593" s="6">
        <f t="shared" si="1021"/>
        <v>1801.7830188679241</v>
      </c>
      <c r="Y6593" s="13">
        <f t="shared" si="1015"/>
        <v>0</v>
      </c>
      <c r="Z6593" s="14">
        <v>0</v>
      </c>
      <c r="AA6593" s="6">
        <v>0</v>
      </c>
      <c r="AB6593" s="4">
        <f t="shared" si="1016"/>
        <v>1801.7830188679241</v>
      </c>
      <c r="AC6593" s="6">
        <f t="shared" si="1024"/>
        <v>108.10698113207559</v>
      </c>
      <c r="AD6593" s="6">
        <f t="shared" si="1022"/>
        <v>1909.8899999999996</v>
      </c>
      <c r="AE6593" s="14">
        <v>0.06</v>
      </c>
      <c r="AF6593" s="6">
        <f t="shared" si="1018"/>
        <v>114.59339999999997</v>
      </c>
      <c r="AG6593" s="14">
        <v>0</v>
      </c>
      <c r="AH6593" s="64">
        <f t="shared" si="1023"/>
        <v>1909.8899999999996</v>
      </c>
      <c r="AJ6593" s="126" t="e">
        <v>#N/A</v>
      </c>
      <c r="AK6593" s="80">
        <f t="shared" si="1017"/>
        <v>0</v>
      </c>
      <c r="AL6593" s="85"/>
      <c r="AM6593" s="85"/>
    </row>
    <row r="6594" spans="1:39" s="86" customFormat="1" ht="13.25" hidden="1" customHeight="1" x14ac:dyDescent="0.3">
      <c r="A6594" s="89" t="s">
        <v>3794</v>
      </c>
      <c r="B6594" s="86" t="s">
        <v>35</v>
      </c>
      <c r="C6594" s="86" t="s">
        <v>164</v>
      </c>
      <c r="D6594" s="86" t="s">
        <v>305</v>
      </c>
      <c r="E6594" s="86" t="s">
        <v>129</v>
      </c>
      <c r="F6594" s="86" t="s">
        <v>129</v>
      </c>
      <c r="G6594" s="86" t="s">
        <v>129</v>
      </c>
      <c r="H6594" s="143">
        <v>229</v>
      </c>
      <c r="I6594" s="86" t="s">
        <v>3356</v>
      </c>
      <c r="J6594" s="47" t="s">
        <v>3326</v>
      </c>
      <c r="K6594" s="47"/>
      <c r="L6594" s="47" t="s">
        <v>35</v>
      </c>
      <c r="O6594" s="47" t="s">
        <v>105</v>
      </c>
      <c r="P6594" s="47" t="s">
        <v>92</v>
      </c>
      <c r="Q6594" s="14">
        <v>0.99</v>
      </c>
      <c r="R6594" s="143"/>
      <c r="S6594" s="47"/>
      <c r="T6594" s="6">
        <v>-0.13</v>
      </c>
      <c r="U6594" s="6"/>
      <c r="V6594" s="6">
        <v>0</v>
      </c>
      <c r="W6594" s="6">
        <f t="shared" si="1020"/>
        <v>-0.13</v>
      </c>
      <c r="X6594" s="6">
        <f t="shared" si="1021"/>
        <v>0</v>
      </c>
      <c r="Y6594" s="13">
        <f t="shared" si="1015"/>
        <v>0</v>
      </c>
      <c r="Z6594" s="14">
        <v>0</v>
      </c>
      <c r="AA6594" s="6">
        <v>0</v>
      </c>
      <c r="AB6594" s="4">
        <f t="shared" si="1016"/>
        <v>0</v>
      </c>
      <c r="AC6594" s="6">
        <f t="shared" si="1024"/>
        <v>0</v>
      </c>
      <c r="AD6594" s="6">
        <f t="shared" si="1022"/>
        <v>0</v>
      </c>
      <c r="AE6594" s="14">
        <v>0.06</v>
      </c>
      <c r="AF6594" s="6">
        <f t="shared" si="1018"/>
        <v>0</v>
      </c>
      <c r="AG6594" s="14">
        <v>0</v>
      </c>
      <c r="AH6594" s="64">
        <f t="shared" si="1023"/>
        <v>0</v>
      </c>
      <c r="AJ6594" s="126" t="e">
        <v>#N/A</v>
      </c>
      <c r="AK6594" s="80">
        <f t="shared" si="1017"/>
        <v>0</v>
      </c>
      <c r="AL6594" s="85"/>
      <c r="AM6594" s="85"/>
    </row>
    <row r="6595" spans="1:39" s="86" customFormat="1" ht="13.25" hidden="1" customHeight="1" x14ac:dyDescent="0.3">
      <c r="A6595" s="89" t="s">
        <v>3792</v>
      </c>
      <c r="B6595" s="86" t="s">
        <v>35</v>
      </c>
      <c r="C6595" s="86" t="s">
        <v>164</v>
      </c>
      <c r="D6595" s="86" t="s">
        <v>169</v>
      </c>
      <c r="E6595" s="86" t="s">
        <v>172</v>
      </c>
      <c r="F6595" s="86" t="s">
        <v>172</v>
      </c>
      <c r="G6595" s="86" t="s">
        <v>172</v>
      </c>
      <c r="H6595" s="144">
        <v>229</v>
      </c>
      <c r="I6595" s="86" t="s">
        <v>3356</v>
      </c>
      <c r="J6595" s="47" t="s">
        <v>3326</v>
      </c>
      <c r="K6595" s="47" t="str">
        <f t="shared" si="1019"/>
        <v>巨量引擎-二类</v>
      </c>
      <c r="L6595" s="47" t="s">
        <v>35</v>
      </c>
      <c r="N6595" s="86" t="s">
        <v>3710</v>
      </c>
      <c r="O6595" s="47" t="s">
        <v>105</v>
      </c>
      <c r="P6595" s="47" t="s">
        <v>41</v>
      </c>
      <c r="Q6595" s="14">
        <v>0</v>
      </c>
      <c r="R6595" s="143"/>
      <c r="S6595" s="47"/>
      <c r="T6595" s="6">
        <v>-46787.660000000011</v>
      </c>
      <c r="U6595" s="6"/>
      <c r="V6595" s="6">
        <v>2079.14</v>
      </c>
      <c r="W6595" s="6">
        <f t="shared" si="1020"/>
        <v>-48866.80000000001</v>
      </c>
      <c r="X6595" s="6">
        <f t="shared" si="1021"/>
        <v>2079.14</v>
      </c>
      <c r="Y6595" s="13">
        <f t="shared" ref="Y6595:Y6658" si="1025">IF(X6595-AD6595&lt;=0,0,IF(P6595="返现",MAX(X6595-AC6595-AD6595,0),MAX(X6595-AD6595)))</f>
        <v>0</v>
      </c>
      <c r="Z6595" s="14">
        <v>0</v>
      </c>
      <c r="AA6595" s="6">
        <v>0</v>
      </c>
      <c r="AB6595" s="4">
        <f t="shared" ref="AB6595:AB6658" si="1026">X6595+AA6595</f>
        <v>2079.14</v>
      </c>
      <c r="AC6595" s="6">
        <f t="shared" si="1024"/>
        <v>0</v>
      </c>
      <c r="AD6595" s="6">
        <f t="shared" si="1022"/>
        <v>2079.14</v>
      </c>
      <c r="AE6595" s="14">
        <v>0.06</v>
      </c>
      <c r="AF6595" s="6">
        <f t="shared" si="1018"/>
        <v>124.74839999999999</v>
      </c>
      <c r="AG6595" s="14">
        <v>0</v>
      </c>
      <c r="AH6595" s="64">
        <f t="shared" si="1023"/>
        <v>2079.14</v>
      </c>
      <c r="AJ6595" s="126" t="e">
        <v>#N/A</v>
      </c>
      <c r="AK6595" s="80">
        <f t="shared" ref="AK6595:AK6658" si="1027">X6595+AA6595-AB6595</f>
        <v>0</v>
      </c>
      <c r="AL6595" s="85"/>
      <c r="AM6595" s="85"/>
    </row>
    <row r="6596" spans="1:39" s="86" customFormat="1" ht="13.25" hidden="1" customHeight="1" x14ac:dyDescent="0.3">
      <c r="A6596" s="89" t="s">
        <v>3792</v>
      </c>
      <c r="B6596" s="86" t="s">
        <v>35</v>
      </c>
      <c r="C6596" s="86" t="s">
        <v>164</v>
      </c>
      <c r="D6596" s="86" t="s">
        <v>169</v>
      </c>
      <c r="E6596" s="86" t="s">
        <v>170</v>
      </c>
      <c r="F6596" s="86" t="s">
        <v>170</v>
      </c>
      <c r="G6596" s="86" t="s">
        <v>170</v>
      </c>
      <c r="H6596" s="144">
        <v>229</v>
      </c>
      <c r="I6596" s="86" t="s">
        <v>3356</v>
      </c>
      <c r="J6596" s="47" t="s">
        <v>3326</v>
      </c>
      <c r="K6596" s="47" t="str">
        <f t="shared" si="1019"/>
        <v>巨量引擎-二类</v>
      </c>
      <c r="L6596" s="47" t="s">
        <v>35</v>
      </c>
      <c r="N6596" s="86" t="s">
        <v>3710</v>
      </c>
      <c r="O6596" s="47" t="s">
        <v>105</v>
      </c>
      <c r="P6596" s="47" t="s">
        <v>75</v>
      </c>
      <c r="Q6596" s="14">
        <v>0.06</v>
      </c>
      <c r="R6596" s="143"/>
      <c r="S6596" s="47"/>
      <c r="T6596" s="6">
        <v>-493273.3</v>
      </c>
      <c r="U6596" s="6"/>
      <c r="V6596" s="6">
        <v>31874.999999999996</v>
      </c>
      <c r="W6596" s="6">
        <f t="shared" si="1020"/>
        <v>-525148.29999999993</v>
      </c>
      <c r="X6596" s="6">
        <f t="shared" si="1021"/>
        <v>31874.999999999996</v>
      </c>
      <c r="Y6596" s="13">
        <f t="shared" si="1025"/>
        <v>0</v>
      </c>
      <c r="Z6596" s="14">
        <v>0</v>
      </c>
      <c r="AA6596" s="6">
        <v>0</v>
      </c>
      <c r="AB6596" s="4">
        <f t="shared" si="1026"/>
        <v>31874.999999999996</v>
      </c>
      <c r="AC6596" s="6">
        <f t="shared" si="1024"/>
        <v>1912.4999999999998</v>
      </c>
      <c r="AD6596" s="6">
        <f t="shared" si="1022"/>
        <v>31874.999999999996</v>
      </c>
      <c r="AE6596" s="14">
        <v>0.06</v>
      </c>
      <c r="AF6596" s="6">
        <f t="shared" si="1018"/>
        <v>1912.4999999999998</v>
      </c>
      <c r="AG6596" s="14">
        <v>0</v>
      </c>
      <c r="AH6596" s="64">
        <f t="shared" si="1023"/>
        <v>31874.999999999996</v>
      </c>
      <c r="AJ6596" s="126" t="e">
        <v>#N/A</v>
      </c>
      <c r="AK6596" s="80">
        <f t="shared" si="1027"/>
        <v>0</v>
      </c>
      <c r="AL6596" s="85"/>
      <c r="AM6596" s="85"/>
    </row>
    <row r="6597" spans="1:39" s="86" customFormat="1" ht="13.25" hidden="1" customHeight="1" x14ac:dyDescent="0.3">
      <c r="A6597" s="89" t="s">
        <v>3794</v>
      </c>
      <c r="B6597" s="86" t="s">
        <v>35</v>
      </c>
      <c r="C6597" s="86" t="s">
        <v>164</v>
      </c>
      <c r="D6597" s="86" t="s">
        <v>169</v>
      </c>
      <c r="E6597" s="86" t="s">
        <v>170</v>
      </c>
      <c r="F6597" s="86" t="s">
        <v>171</v>
      </c>
      <c r="G6597" s="86" t="s">
        <v>170</v>
      </c>
      <c r="H6597" s="144">
        <v>229</v>
      </c>
      <c r="I6597" s="86" t="s">
        <v>3356</v>
      </c>
      <c r="J6597" s="47" t="s">
        <v>3326</v>
      </c>
      <c r="K6597" s="47" t="str">
        <f t="shared" si="1019"/>
        <v>巨量引擎-二类</v>
      </c>
      <c r="L6597" s="47" t="s">
        <v>35</v>
      </c>
      <c r="N6597" s="86" t="s">
        <v>3710</v>
      </c>
      <c r="O6597" s="47" t="s">
        <v>105</v>
      </c>
      <c r="P6597" s="47" t="s">
        <v>75</v>
      </c>
      <c r="Q6597" s="14">
        <v>0.06</v>
      </c>
      <c r="R6597" s="143"/>
      <c r="S6597" s="47"/>
      <c r="T6597" s="6">
        <v>-284703.09000000003</v>
      </c>
      <c r="U6597" s="6"/>
      <c r="V6597" s="6">
        <v>13782.159999999998</v>
      </c>
      <c r="W6597" s="6">
        <f t="shared" si="1020"/>
        <v>-298485.25</v>
      </c>
      <c r="X6597" s="6">
        <f t="shared" si="1021"/>
        <v>13782.159999999998</v>
      </c>
      <c r="Y6597" s="13">
        <f t="shared" si="1025"/>
        <v>0</v>
      </c>
      <c r="Z6597" s="14">
        <v>0</v>
      </c>
      <c r="AA6597" s="6">
        <v>0</v>
      </c>
      <c r="AB6597" s="4">
        <f t="shared" si="1026"/>
        <v>13782.159999999998</v>
      </c>
      <c r="AC6597" s="6">
        <f t="shared" si="1024"/>
        <v>826.92959999999982</v>
      </c>
      <c r="AD6597" s="6">
        <f t="shared" si="1022"/>
        <v>13782.159999999998</v>
      </c>
      <c r="AE6597" s="14">
        <v>0.06</v>
      </c>
      <c r="AF6597" s="6">
        <f t="shared" si="1018"/>
        <v>826.92959999999982</v>
      </c>
      <c r="AG6597" s="14">
        <v>0</v>
      </c>
      <c r="AH6597" s="64">
        <f t="shared" si="1023"/>
        <v>13782.159999999998</v>
      </c>
      <c r="AJ6597" s="126" t="e">
        <v>#N/A</v>
      </c>
      <c r="AK6597" s="80">
        <f t="shared" si="1027"/>
        <v>0</v>
      </c>
      <c r="AL6597" s="85"/>
      <c r="AM6597" s="85"/>
    </row>
    <row r="6598" spans="1:39" s="86" customFormat="1" ht="13.25" hidden="1" customHeight="1" x14ac:dyDescent="0.3">
      <c r="A6598" s="89" t="s">
        <v>3794</v>
      </c>
      <c r="B6598" s="86" t="s">
        <v>35</v>
      </c>
      <c r="C6598" s="86" t="s">
        <v>59</v>
      </c>
      <c r="D6598" s="86" t="s">
        <v>60</v>
      </c>
      <c r="E6598" s="86" t="s">
        <v>93</v>
      </c>
      <c r="F6598" s="86" t="s">
        <v>94</v>
      </c>
      <c r="G6598" s="86" t="s">
        <v>93</v>
      </c>
      <c r="H6598" s="143">
        <v>229</v>
      </c>
      <c r="I6598" s="86" t="s">
        <v>3356</v>
      </c>
      <c r="J6598" s="47" t="s">
        <v>3326</v>
      </c>
      <c r="K6598" s="47"/>
      <c r="L6598" s="47" t="s">
        <v>35</v>
      </c>
      <c r="O6598" s="47" t="s">
        <v>105</v>
      </c>
      <c r="P6598" s="47" t="s">
        <v>46</v>
      </c>
      <c r="Q6598" s="14">
        <v>7.0000000000000007E-2</v>
      </c>
      <c r="R6598" s="143"/>
      <c r="S6598" s="47"/>
      <c r="T6598" s="6">
        <v>-1204.8900000000001</v>
      </c>
      <c r="U6598" s="6"/>
      <c r="V6598" s="6">
        <v>0</v>
      </c>
      <c r="W6598" s="6">
        <f t="shared" si="1020"/>
        <v>-1204.8900000000001</v>
      </c>
      <c r="X6598" s="6">
        <f t="shared" si="1021"/>
        <v>0</v>
      </c>
      <c r="Y6598" s="13">
        <f t="shared" si="1025"/>
        <v>0</v>
      </c>
      <c r="Z6598" s="14">
        <v>0</v>
      </c>
      <c r="AA6598" s="6">
        <v>0</v>
      </c>
      <c r="AB6598" s="4">
        <f t="shared" si="1026"/>
        <v>0</v>
      </c>
      <c r="AC6598" s="6">
        <f t="shared" si="1024"/>
        <v>0</v>
      </c>
      <c r="AD6598" s="6">
        <f t="shared" si="1022"/>
        <v>0</v>
      </c>
      <c r="AE6598" s="14">
        <v>0.06</v>
      </c>
      <c r="AF6598" s="6">
        <f t="shared" si="1018"/>
        <v>0</v>
      </c>
      <c r="AG6598" s="14">
        <v>0</v>
      </c>
      <c r="AH6598" s="64">
        <f t="shared" si="1023"/>
        <v>0</v>
      </c>
      <c r="AJ6598" s="126" t="e">
        <v>#N/A</v>
      </c>
      <c r="AK6598" s="80">
        <f t="shared" si="1027"/>
        <v>0</v>
      </c>
      <c r="AL6598" s="85"/>
      <c r="AM6598" s="85"/>
    </row>
    <row r="6599" spans="1:39" s="86" customFormat="1" ht="13.25" hidden="1" customHeight="1" x14ac:dyDescent="0.3">
      <c r="A6599" s="89" t="s">
        <v>3794</v>
      </c>
      <c r="B6599" s="86" t="s">
        <v>35</v>
      </c>
      <c r="C6599" s="86" t="s">
        <v>187</v>
      </c>
      <c r="D6599" s="86" t="s">
        <v>208</v>
      </c>
      <c r="E6599" s="86" t="s">
        <v>210</v>
      </c>
      <c r="F6599" s="86" t="s">
        <v>210</v>
      </c>
      <c r="G6599" s="86" t="s">
        <v>210</v>
      </c>
      <c r="H6599" s="144">
        <v>229</v>
      </c>
      <c r="I6599" s="86" t="s">
        <v>3356</v>
      </c>
      <c r="J6599" s="47" t="s">
        <v>3326</v>
      </c>
      <c r="K6599" s="47" t="str">
        <f t="shared" si="1019"/>
        <v>巨量引擎-游戏</v>
      </c>
      <c r="L6599" s="47" t="s">
        <v>35</v>
      </c>
      <c r="N6599" s="86" t="s">
        <v>3283</v>
      </c>
      <c r="O6599" s="47" t="s">
        <v>105</v>
      </c>
      <c r="P6599" s="47" t="s">
        <v>46</v>
      </c>
      <c r="Q6599" s="14">
        <v>0.03</v>
      </c>
      <c r="R6599" s="143"/>
      <c r="S6599" s="47"/>
      <c r="T6599" s="6">
        <v>-52.17</v>
      </c>
      <c r="U6599" s="6"/>
      <c r="V6599" s="6">
        <v>1336.78</v>
      </c>
      <c r="W6599" s="6">
        <f t="shared" si="1020"/>
        <v>-1388.95</v>
      </c>
      <c r="X6599" s="6">
        <f t="shared" si="1021"/>
        <v>1297.8446601941746</v>
      </c>
      <c r="Y6599" s="13">
        <f t="shared" si="1025"/>
        <v>0</v>
      </c>
      <c r="Z6599" s="14">
        <v>0</v>
      </c>
      <c r="AA6599" s="6">
        <v>0</v>
      </c>
      <c r="AB6599" s="4">
        <f t="shared" si="1026"/>
        <v>1297.8446601941746</v>
      </c>
      <c r="AC6599" s="6">
        <f t="shared" si="1024"/>
        <v>38.935339805825379</v>
      </c>
      <c r="AD6599" s="6">
        <f t="shared" si="1022"/>
        <v>1336.78</v>
      </c>
      <c r="AE6599" s="14">
        <v>0.06</v>
      </c>
      <c r="AF6599" s="6">
        <f t="shared" si="1018"/>
        <v>80.206800000000001</v>
      </c>
      <c r="AG6599" s="14">
        <v>0</v>
      </c>
      <c r="AH6599" s="64">
        <f t="shared" si="1023"/>
        <v>1336.78</v>
      </c>
      <c r="AJ6599" s="126" t="e">
        <v>#N/A</v>
      </c>
      <c r="AK6599" s="80">
        <f t="shared" si="1027"/>
        <v>0</v>
      </c>
      <c r="AL6599" s="85"/>
      <c r="AM6599" s="85"/>
    </row>
    <row r="6600" spans="1:39" s="86" customFormat="1" ht="13.25" hidden="1" customHeight="1" x14ac:dyDescent="0.3">
      <c r="A6600" s="89" t="s">
        <v>3794</v>
      </c>
      <c r="B6600" s="86" t="s">
        <v>35</v>
      </c>
      <c r="C6600" s="86" t="s">
        <v>187</v>
      </c>
      <c r="D6600" s="86" t="s">
        <v>188</v>
      </c>
      <c r="E6600" s="86" t="s">
        <v>192</v>
      </c>
      <c r="F6600" s="86" t="s">
        <v>192</v>
      </c>
      <c r="G6600" s="86" t="s">
        <v>192</v>
      </c>
      <c r="H6600" s="143">
        <v>229</v>
      </c>
      <c r="I6600" s="86" t="s">
        <v>3356</v>
      </c>
      <c r="J6600" s="47" t="s">
        <v>3326</v>
      </c>
      <c r="K6600" s="47" t="str">
        <f t="shared" si="1019"/>
        <v>巨量引擎-游戏</v>
      </c>
      <c r="L6600" s="47" t="s">
        <v>35</v>
      </c>
      <c r="N6600" s="86" t="s">
        <v>3283</v>
      </c>
      <c r="O6600" s="47" t="s">
        <v>105</v>
      </c>
      <c r="P6600" s="47" t="s">
        <v>46</v>
      </c>
      <c r="Q6600" s="14">
        <v>0.06</v>
      </c>
      <c r="R6600" s="143"/>
      <c r="S6600" s="47"/>
      <c r="T6600" s="6">
        <v>-37624.36</v>
      </c>
      <c r="U6600" s="6"/>
      <c r="V6600" s="6">
        <v>0</v>
      </c>
      <c r="W6600" s="6">
        <f t="shared" si="1020"/>
        <v>-37624.36</v>
      </c>
      <c r="X6600" s="6">
        <f t="shared" si="1021"/>
        <v>0</v>
      </c>
      <c r="Y6600" s="13">
        <f t="shared" si="1025"/>
        <v>0</v>
      </c>
      <c r="Z6600" s="14">
        <v>0</v>
      </c>
      <c r="AA6600" s="6">
        <v>0</v>
      </c>
      <c r="AB6600" s="4">
        <f t="shared" si="1026"/>
        <v>0</v>
      </c>
      <c r="AC6600" s="6">
        <f t="shared" si="1024"/>
        <v>0</v>
      </c>
      <c r="AD6600" s="6">
        <f t="shared" si="1022"/>
        <v>0</v>
      </c>
      <c r="AE6600" s="14">
        <v>0.06</v>
      </c>
      <c r="AF6600" s="6">
        <f t="shared" si="1018"/>
        <v>0</v>
      </c>
      <c r="AG6600" s="14">
        <v>0</v>
      </c>
      <c r="AH6600" s="64">
        <f t="shared" si="1023"/>
        <v>0</v>
      </c>
      <c r="AJ6600" s="126" t="e">
        <v>#N/A</v>
      </c>
      <c r="AK6600" s="80">
        <f t="shared" si="1027"/>
        <v>0</v>
      </c>
      <c r="AL6600" s="85"/>
      <c r="AM6600" s="85"/>
    </row>
    <row r="6601" spans="1:39" s="86" customFormat="1" ht="13.25" hidden="1" customHeight="1" x14ac:dyDescent="0.3">
      <c r="A6601" s="89" t="s">
        <v>3794</v>
      </c>
      <c r="B6601" s="86" t="s">
        <v>35</v>
      </c>
      <c r="C6601" s="86" t="s">
        <v>187</v>
      </c>
      <c r="D6601" s="86" t="s">
        <v>208</v>
      </c>
      <c r="E6601" s="86" t="s">
        <v>252</v>
      </c>
      <c r="F6601" s="86" t="s">
        <v>252</v>
      </c>
      <c r="G6601" s="86" t="s">
        <v>252</v>
      </c>
      <c r="H6601" s="143">
        <v>229</v>
      </c>
      <c r="I6601" s="86" t="s">
        <v>3356</v>
      </c>
      <c r="J6601" s="47" t="s">
        <v>3326</v>
      </c>
      <c r="K6601" s="47" t="str">
        <f t="shared" si="1019"/>
        <v>巨量引擎-游戏</v>
      </c>
      <c r="L6601" s="47" t="s">
        <v>35</v>
      </c>
      <c r="N6601" s="86" t="s">
        <v>3283</v>
      </c>
      <c r="O6601" s="47" t="s">
        <v>105</v>
      </c>
      <c r="P6601" s="47" t="s">
        <v>46</v>
      </c>
      <c r="Q6601" s="14">
        <v>0.03</v>
      </c>
      <c r="R6601" s="143"/>
      <c r="S6601" s="47"/>
      <c r="T6601" s="6">
        <v>-23.1</v>
      </c>
      <c r="U6601" s="6"/>
      <c r="V6601" s="6">
        <v>0</v>
      </c>
      <c r="W6601" s="6">
        <f t="shared" si="1020"/>
        <v>-23.1</v>
      </c>
      <c r="X6601" s="6">
        <f t="shared" si="1021"/>
        <v>0</v>
      </c>
      <c r="Y6601" s="13">
        <f t="shared" si="1025"/>
        <v>0</v>
      </c>
      <c r="Z6601" s="14">
        <v>0</v>
      </c>
      <c r="AA6601" s="6">
        <v>0</v>
      </c>
      <c r="AB6601" s="4">
        <f t="shared" si="1026"/>
        <v>0</v>
      </c>
      <c r="AC6601" s="6">
        <f t="shared" si="1024"/>
        <v>0</v>
      </c>
      <c r="AD6601" s="6">
        <f t="shared" si="1022"/>
        <v>0</v>
      </c>
      <c r="AE6601" s="14">
        <v>0.06</v>
      </c>
      <c r="AF6601" s="6">
        <f t="shared" si="1018"/>
        <v>0</v>
      </c>
      <c r="AG6601" s="14">
        <v>0</v>
      </c>
      <c r="AH6601" s="64">
        <f t="shared" si="1023"/>
        <v>0</v>
      </c>
      <c r="AJ6601" s="126" t="e">
        <v>#N/A</v>
      </c>
      <c r="AK6601" s="80">
        <f t="shared" si="1027"/>
        <v>0</v>
      </c>
      <c r="AL6601" s="85"/>
      <c r="AM6601" s="85"/>
    </row>
    <row r="6602" spans="1:39" s="86" customFormat="1" ht="13.25" hidden="1" customHeight="1" x14ac:dyDescent="0.3">
      <c r="A6602" s="89" t="s">
        <v>3792</v>
      </c>
      <c r="B6602" s="86" t="s">
        <v>35</v>
      </c>
      <c r="C6602" s="86" t="s">
        <v>187</v>
      </c>
      <c r="D6602" s="86" t="s">
        <v>208</v>
      </c>
      <c r="E6602" s="86" t="s">
        <v>250</v>
      </c>
      <c r="F6602" s="86" t="s">
        <v>250</v>
      </c>
      <c r="G6602" s="86" t="s">
        <v>250</v>
      </c>
      <c r="H6602" s="143">
        <v>229</v>
      </c>
      <c r="I6602" s="86" t="s">
        <v>3356</v>
      </c>
      <c r="J6602" s="47" t="s">
        <v>3326</v>
      </c>
      <c r="K6602" s="47" t="str">
        <f t="shared" si="1019"/>
        <v>巨量引擎-游戏</v>
      </c>
      <c r="L6602" s="47" t="s">
        <v>35</v>
      </c>
      <c r="N6602" s="86" t="s">
        <v>3283</v>
      </c>
      <c r="O6602" s="47" t="s">
        <v>105</v>
      </c>
      <c r="P6602" s="47" t="s">
        <v>46</v>
      </c>
      <c r="Q6602" s="14">
        <v>0.03</v>
      </c>
      <c r="R6602" s="143"/>
      <c r="S6602" s="47"/>
      <c r="T6602" s="6">
        <v>-17954.02</v>
      </c>
      <c r="U6602" s="6"/>
      <c r="V6602" s="6">
        <v>0</v>
      </c>
      <c r="W6602" s="6">
        <f t="shared" si="1020"/>
        <v>-17954.02</v>
      </c>
      <c r="X6602" s="6">
        <f t="shared" si="1021"/>
        <v>0</v>
      </c>
      <c r="Y6602" s="13">
        <f t="shared" si="1025"/>
        <v>0</v>
      </c>
      <c r="Z6602" s="14">
        <v>0</v>
      </c>
      <c r="AA6602" s="6">
        <v>0</v>
      </c>
      <c r="AB6602" s="4">
        <f t="shared" si="1026"/>
        <v>0</v>
      </c>
      <c r="AC6602" s="6">
        <f t="shared" si="1024"/>
        <v>0</v>
      </c>
      <c r="AD6602" s="6">
        <f t="shared" si="1022"/>
        <v>0</v>
      </c>
      <c r="AE6602" s="14">
        <v>0.06</v>
      </c>
      <c r="AF6602" s="6">
        <f t="shared" si="1018"/>
        <v>0</v>
      </c>
      <c r="AG6602" s="14">
        <v>0</v>
      </c>
      <c r="AH6602" s="64">
        <f t="shared" si="1023"/>
        <v>0</v>
      </c>
      <c r="AJ6602" s="126" t="e">
        <v>#N/A</v>
      </c>
      <c r="AK6602" s="80">
        <f t="shared" si="1027"/>
        <v>0</v>
      </c>
      <c r="AL6602" s="85"/>
      <c r="AM6602" s="85"/>
    </row>
    <row r="6603" spans="1:39" s="86" customFormat="1" ht="13.25" hidden="1" customHeight="1" x14ac:dyDescent="0.3">
      <c r="A6603" s="89" t="s">
        <v>3794</v>
      </c>
      <c r="B6603" s="86" t="s">
        <v>35</v>
      </c>
      <c r="C6603" s="86" t="s">
        <v>59</v>
      </c>
      <c r="D6603" s="86" t="s">
        <v>60</v>
      </c>
      <c r="E6603" s="86" t="s">
        <v>78</v>
      </c>
      <c r="F6603" s="86" t="s">
        <v>79</v>
      </c>
      <c r="G6603" s="86" t="s">
        <v>78</v>
      </c>
      <c r="H6603" s="144">
        <v>229</v>
      </c>
      <c r="I6603" s="86" t="s">
        <v>3356</v>
      </c>
      <c r="J6603" s="47" t="s">
        <v>3326</v>
      </c>
      <c r="K6603" s="47" t="str">
        <f t="shared" si="1019"/>
        <v>巨量引擎-游戏</v>
      </c>
      <c r="L6603" s="47" t="s">
        <v>35</v>
      </c>
      <c r="N6603" s="86" t="s">
        <v>3283</v>
      </c>
      <c r="O6603" s="47" t="s">
        <v>105</v>
      </c>
      <c r="P6603" s="47" t="s">
        <v>46</v>
      </c>
      <c r="Q6603" s="14">
        <v>0.06</v>
      </c>
      <c r="R6603" s="143"/>
      <c r="S6603" s="47"/>
      <c r="T6603" s="6">
        <v>-2554.35</v>
      </c>
      <c r="U6603" s="6"/>
      <c r="V6603" s="6">
        <v>4034.4300000000003</v>
      </c>
      <c r="W6603" s="6">
        <f t="shared" si="1020"/>
        <v>-6588.7800000000007</v>
      </c>
      <c r="X6603" s="6">
        <f t="shared" si="1021"/>
        <v>3806.066037735849</v>
      </c>
      <c r="Y6603" s="13">
        <f t="shared" si="1025"/>
        <v>0</v>
      </c>
      <c r="Z6603" s="14">
        <v>0</v>
      </c>
      <c r="AA6603" s="6">
        <v>0</v>
      </c>
      <c r="AB6603" s="4">
        <f t="shared" si="1026"/>
        <v>3806.066037735849</v>
      </c>
      <c r="AC6603" s="6">
        <f t="shared" si="1024"/>
        <v>228.36396226415127</v>
      </c>
      <c r="AD6603" s="6">
        <f t="shared" si="1022"/>
        <v>4034.4300000000003</v>
      </c>
      <c r="AE6603" s="14">
        <v>0.06</v>
      </c>
      <c r="AF6603" s="6">
        <f t="shared" si="1018"/>
        <v>242.0658</v>
      </c>
      <c r="AG6603" s="14">
        <v>0</v>
      </c>
      <c r="AH6603" s="64">
        <f t="shared" si="1023"/>
        <v>4034.4300000000003</v>
      </c>
      <c r="AJ6603" s="126" t="e">
        <v>#N/A</v>
      </c>
      <c r="AK6603" s="80">
        <f t="shared" si="1027"/>
        <v>0</v>
      </c>
      <c r="AL6603" s="85"/>
      <c r="AM6603" s="85"/>
    </row>
    <row r="6604" spans="1:39" s="86" customFormat="1" ht="13.25" hidden="1" customHeight="1" x14ac:dyDescent="0.3">
      <c r="A6604" s="89" t="s">
        <v>3794</v>
      </c>
      <c r="B6604" s="86" t="s">
        <v>35</v>
      </c>
      <c r="C6604" s="86" t="s">
        <v>187</v>
      </c>
      <c r="D6604" s="86" t="s">
        <v>188</v>
      </c>
      <c r="E6604" s="86" t="s">
        <v>201</v>
      </c>
      <c r="F6604" s="86" t="s">
        <v>201</v>
      </c>
      <c r="G6604" s="86" t="s">
        <v>201</v>
      </c>
      <c r="H6604" s="144">
        <v>229</v>
      </c>
      <c r="I6604" s="86" t="s">
        <v>3356</v>
      </c>
      <c r="J6604" s="47" t="s">
        <v>3326</v>
      </c>
      <c r="K6604" s="47" t="str">
        <f t="shared" si="1019"/>
        <v>巨量引擎-游戏</v>
      </c>
      <c r="L6604" s="47" t="s">
        <v>35</v>
      </c>
      <c r="N6604" s="86" t="s">
        <v>3283</v>
      </c>
      <c r="O6604" s="47" t="s">
        <v>105</v>
      </c>
      <c r="P6604" s="47" t="s">
        <v>46</v>
      </c>
      <c r="Q6604" s="14">
        <v>0.04</v>
      </c>
      <c r="R6604" s="143"/>
      <c r="S6604" s="47"/>
      <c r="T6604" s="6">
        <v>-12665.330000000002</v>
      </c>
      <c r="U6604" s="6"/>
      <c r="V6604" s="6">
        <v>941.05</v>
      </c>
      <c r="W6604" s="6">
        <f t="shared" si="1020"/>
        <v>-13606.380000000001</v>
      </c>
      <c r="X6604" s="6">
        <f t="shared" si="1021"/>
        <v>904.85576923076917</v>
      </c>
      <c r="Y6604" s="13">
        <f t="shared" si="1025"/>
        <v>0</v>
      </c>
      <c r="Z6604" s="14">
        <v>0</v>
      </c>
      <c r="AA6604" s="6">
        <v>0</v>
      </c>
      <c r="AB6604" s="4">
        <f t="shared" si="1026"/>
        <v>904.85576923076917</v>
      </c>
      <c r="AC6604" s="6">
        <f t="shared" si="1024"/>
        <v>36.194230769230785</v>
      </c>
      <c r="AD6604" s="6">
        <f t="shared" si="1022"/>
        <v>941.05</v>
      </c>
      <c r="AE6604" s="14">
        <v>0.06</v>
      </c>
      <c r="AF6604" s="6">
        <f t="shared" si="1018"/>
        <v>56.462999999999994</v>
      </c>
      <c r="AG6604" s="14">
        <v>0</v>
      </c>
      <c r="AH6604" s="64">
        <f t="shared" si="1023"/>
        <v>941.05</v>
      </c>
      <c r="AJ6604" s="126" t="e">
        <v>#N/A</v>
      </c>
      <c r="AK6604" s="80">
        <f t="shared" si="1027"/>
        <v>0</v>
      </c>
      <c r="AL6604" s="85"/>
      <c r="AM6604" s="85"/>
    </row>
    <row r="6605" spans="1:39" s="86" customFormat="1" ht="13.25" hidden="1" customHeight="1" x14ac:dyDescent="0.3">
      <c r="A6605" s="89" t="s">
        <v>3792</v>
      </c>
      <c r="B6605" s="86" t="s">
        <v>35</v>
      </c>
      <c r="C6605" s="86" t="s">
        <v>187</v>
      </c>
      <c r="D6605" s="86" t="s">
        <v>188</v>
      </c>
      <c r="E6605" s="86" t="s">
        <v>249</v>
      </c>
      <c r="F6605" s="86" t="s">
        <v>249</v>
      </c>
      <c r="G6605" s="86" t="s">
        <v>249</v>
      </c>
      <c r="H6605" s="143">
        <v>229</v>
      </c>
      <c r="I6605" s="86" t="s">
        <v>3356</v>
      </c>
      <c r="J6605" s="47" t="s">
        <v>3326</v>
      </c>
      <c r="K6605" s="47" t="str">
        <f t="shared" si="1019"/>
        <v>巨量引擎-游戏</v>
      </c>
      <c r="L6605" s="47" t="s">
        <v>35</v>
      </c>
      <c r="N6605" s="86" t="s">
        <v>3283</v>
      </c>
      <c r="O6605" s="47" t="s">
        <v>105</v>
      </c>
      <c r="P6605" s="47" t="s">
        <v>46</v>
      </c>
      <c r="Q6605" s="14">
        <v>0.06</v>
      </c>
      <c r="R6605" s="143"/>
      <c r="S6605" s="47"/>
      <c r="T6605" s="6">
        <v>-10334.340000000002</v>
      </c>
      <c r="U6605" s="6"/>
      <c r="V6605" s="6">
        <v>0</v>
      </c>
      <c r="W6605" s="6">
        <f t="shared" si="1020"/>
        <v>-10334.340000000002</v>
      </c>
      <c r="X6605" s="6">
        <f t="shared" si="1021"/>
        <v>0</v>
      </c>
      <c r="Y6605" s="13">
        <f t="shared" si="1025"/>
        <v>0</v>
      </c>
      <c r="Z6605" s="14">
        <v>0</v>
      </c>
      <c r="AA6605" s="6">
        <v>0</v>
      </c>
      <c r="AB6605" s="4">
        <f t="shared" si="1026"/>
        <v>0</v>
      </c>
      <c r="AC6605" s="6">
        <f t="shared" si="1024"/>
        <v>0</v>
      </c>
      <c r="AD6605" s="6">
        <f t="shared" si="1022"/>
        <v>0</v>
      </c>
      <c r="AE6605" s="14">
        <v>0.06</v>
      </c>
      <c r="AF6605" s="6">
        <f t="shared" si="1018"/>
        <v>0</v>
      </c>
      <c r="AG6605" s="14">
        <v>0</v>
      </c>
      <c r="AH6605" s="64">
        <f t="shared" si="1023"/>
        <v>0</v>
      </c>
      <c r="AJ6605" s="126" t="e">
        <v>#N/A</v>
      </c>
      <c r="AK6605" s="80">
        <f t="shared" si="1027"/>
        <v>0</v>
      </c>
      <c r="AL6605" s="85"/>
      <c r="AM6605" s="85"/>
    </row>
    <row r="6606" spans="1:39" s="86" customFormat="1" ht="13.25" hidden="1" customHeight="1" x14ac:dyDescent="0.3">
      <c r="A6606" s="89" t="s">
        <v>3794</v>
      </c>
      <c r="B6606" s="86" t="s">
        <v>35</v>
      </c>
      <c r="C6606" s="86" t="s">
        <v>144</v>
      </c>
      <c r="D6606" s="86" t="s">
        <v>145</v>
      </c>
      <c r="E6606" s="86" t="s">
        <v>150</v>
      </c>
      <c r="F6606" s="86" t="s">
        <v>151</v>
      </c>
      <c r="G6606" s="86" t="s">
        <v>150</v>
      </c>
      <c r="H6606" s="144">
        <v>229</v>
      </c>
      <c r="I6606" s="86" t="s">
        <v>3356</v>
      </c>
      <c r="J6606" s="47" t="s">
        <v>3326</v>
      </c>
      <c r="K6606" s="47" t="str">
        <f t="shared" si="1019"/>
        <v>巨量引擎-三类</v>
      </c>
      <c r="L6606" s="47" t="s">
        <v>35</v>
      </c>
      <c r="N6606" s="86" t="s">
        <v>3712</v>
      </c>
      <c r="O6606" s="47" t="s">
        <v>105</v>
      </c>
      <c r="P6606" s="47" t="s">
        <v>41</v>
      </c>
      <c r="Q6606" s="14">
        <v>0</v>
      </c>
      <c r="R6606" s="143"/>
      <c r="S6606" s="47"/>
      <c r="T6606" s="6">
        <v>-2712.79</v>
      </c>
      <c r="U6606" s="6"/>
      <c r="V6606" s="6">
        <v>4606.49</v>
      </c>
      <c r="W6606" s="6">
        <f t="shared" si="1020"/>
        <v>-7319.28</v>
      </c>
      <c r="X6606" s="6">
        <f t="shared" si="1021"/>
        <v>4606.49</v>
      </c>
      <c r="Y6606" s="13">
        <f t="shared" si="1025"/>
        <v>0</v>
      </c>
      <c r="Z6606" s="14">
        <v>0</v>
      </c>
      <c r="AA6606" s="6">
        <v>0</v>
      </c>
      <c r="AB6606" s="4">
        <f t="shared" si="1026"/>
        <v>4606.49</v>
      </c>
      <c r="AC6606" s="6">
        <f t="shared" si="1024"/>
        <v>0</v>
      </c>
      <c r="AD6606" s="6">
        <f t="shared" si="1022"/>
        <v>4606.49</v>
      </c>
      <c r="AE6606" s="14">
        <v>0.06</v>
      </c>
      <c r="AF6606" s="6">
        <f t="shared" si="1018"/>
        <v>276.38939999999997</v>
      </c>
      <c r="AG6606" s="14">
        <v>0</v>
      </c>
      <c r="AH6606" s="64">
        <f t="shared" si="1023"/>
        <v>4606.49</v>
      </c>
      <c r="AJ6606" s="126" t="e">
        <v>#N/A</v>
      </c>
      <c r="AK6606" s="80">
        <f t="shared" si="1027"/>
        <v>0</v>
      </c>
      <c r="AL6606" s="85"/>
      <c r="AM6606" s="85"/>
    </row>
    <row r="6607" spans="1:39" s="86" customFormat="1" ht="13.25" hidden="1" customHeight="1" x14ac:dyDescent="0.3">
      <c r="A6607" s="89" t="s">
        <v>3794</v>
      </c>
      <c r="B6607" s="86" t="s">
        <v>35</v>
      </c>
      <c r="C6607" s="86" t="s">
        <v>164</v>
      </c>
      <c r="D6607" s="86" t="s">
        <v>305</v>
      </c>
      <c r="E6607" s="86" t="s">
        <v>168</v>
      </c>
      <c r="F6607" s="86" t="s">
        <v>168</v>
      </c>
      <c r="G6607" s="86" t="s">
        <v>168</v>
      </c>
      <c r="H6607" s="143">
        <v>229</v>
      </c>
      <c r="I6607" s="86" t="s">
        <v>3356</v>
      </c>
      <c r="J6607" s="47" t="s">
        <v>3326</v>
      </c>
      <c r="K6607" s="47"/>
      <c r="L6607" s="47" t="s">
        <v>35</v>
      </c>
      <c r="O6607" s="47" t="s">
        <v>105</v>
      </c>
      <c r="P6607" s="47" t="s">
        <v>41</v>
      </c>
      <c r="Q6607" s="14">
        <v>0</v>
      </c>
      <c r="R6607" s="143"/>
      <c r="S6607" s="47"/>
      <c r="T6607" s="6">
        <v>-2641.61</v>
      </c>
      <c r="U6607" s="6"/>
      <c r="V6607" s="6">
        <v>0</v>
      </c>
      <c r="W6607" s="6">
        <f t="shared" si="1020"/>
        <v>-2641.61</v>
      </c>
      <c r="X6607" s="6">
        <f t="shared" si="1021"/>
        <v>0</v>
      </c>
      <c r="Y6607" s="13">
        <f t="shared" si="1025"/>
        <v>0</v>
      </c>
      <c r="Z6607" s="14">
        <v>0</v>
      </c>
      <c r="AA6607" s="6">
        <v>0</v>
      </c>
      <c r="AB6607" s="4">
        <f t="shared" si="1026"/>
        <v>0</v>
      </c>
      <c r="AC6607" s="6">
        <f t="shared" si="1024"/>
        <v>0</v>
      </c>
      <c r="AD6607" s="6">
        <f t="shared" si="1022"/>
        <v>0</v>
      </c>
      <c r="AE6607" s="14">
        <v>0.06</v>
      </c>
      <c r="AF6607" s="6">
        <f t="shared" si="1018"/>
        <v>0</v>
      </c>
      <c r="AG6607" s="14">
        <v>0</v>
      </c>
      <c r="AH6607" s="64">
        <f t="shared" si="1023"/>
        <v>0</v>
      </c>
      <c r="AJ6607" s="126" t="e">
        <v>#N/A</v>
      </c>
      <c r="AK6607" s="80">
        <f t="shared" si="1027"/>
        <v>0</v>
      </c>
      <c r="AL6607" s="85"/>
      <c r="AM6607" s="85"/>
    </row>
    <row r="6608" spans="1:39" s="86" customFormat="1" ht="13.25" hidden="1" customHeight="1" x14ac:dyDescent="0.3">
      <c r="A6608" s="89" t="s">
        <v>3792</v>
      </c>
      <c r="B6608" s="86" t="s">
        <v>35</v>
      </c>
      <c r="C6608" s="86" t="s">
        <v>164</v>
      </c>
      <c r="D6608" s="86" t="s">
        <v>174</v>
      </c>
      <c r="E6608" s="86" t="s">
        <v>50</v>
      </c>
      <c r="F6608" s="86" t="s">
        <v>50</v>
      </c>
      <c r="G6608" s="86" t="s">
        <v>50</v>
      </c>
      <c r="H6608" s="144">
        <v>229</v>
      </c>
      <c r="I6608" s="86" t="s">
        <v>3356</v>
      </c>
      <c r="J6608" s="47" t="s">
        <v>3326</v>
      </c>
      <c r="K6608" s="47" t="str">
        <f t="shared" si="1019"/>
        <v>巨量引擎-二类</v>
      </c>
      <c r="L6608" s="47" t="s">
        <v>35</v>
      </c>
      <c r="N6608" s="86" t="s">
        <v>3710</v>
      </c>
      <c r="O6608" s="47" t="s">
        <v>105</v>
      </c>
      <c r="P6608" s="47" t="s">
        <v>46</v>
      </c>
      <c r="Q6608" s="14">
        <v>0.01</v>
      </c>
      <c r="R6608" s="143"/>
      <c r="S6608" s="47"/>
      <c r="T6608" s="6">
        <v>-4146.54</v>
      </c>
      <c r="U6608" s="6"/>
      <c r="V6608" s="6">
        <v>92324.969999999972</v>
      </c>
      <c r="W6608" s="6">
        <f t="shared" si="1020"/>
        <v>-96471.509999999966</v>
      </c>
      <c r="X6608" s="6">
        <f t="shared" si="1021"/>
        <v>91410.861386138582</v>
      </c>
      <c r="Y6608" s="13">
        <f t="shared" si="1025"/>
        <v>0</v>
      </c>
      <c r="Z6608" s="14">
        <v>0</v>
      </c>
      <c r="AA6608" s="6">
        <v>0</v>
      </c>
      <c r="AB6608" s="4">
        <f t="shared" si="1026"/>
        <v>91410.861386138582</v>
      </c>
      <c r="AC6608" s="6">
        <f t="shared" si="1024"/>
        <v>914.10861386139004</v>
      </c>
      <c r="AD6608" s="6">
        <f t="shared" si="1022"/>
        <v>92324.969999999972</v>
      </c>
      <c r="AE6608" s="14">
        <v>0.06</v>
      </c>
      <c r="AF6608" s="6">
        <f t="shared" si="1018"/>
        <v>5539.4981999999982</v>
      </c>
      <c r="AG6608" s="14">
        <v>0</v>
      </c>
      <c r="AH6608" s="64">
        <f t="shared" si="1023"/>
        <v>92324.969999999972</v>
      </c>
      <c r="AJ6608" s="126" t="e">
        <v>#N/A</v>
      </c>
      <c r="AK6608" s="80">
        <f t="shared" si="1027"/>
        <v>0</v>
      </c>
      <c r="AL6608" s="85"/>
      <c r="AM6608" s="85"/>
    </row>
    <row r="6609" spans="1:39" s="86" customFormat="1" ht="13.25" hidden="1" customHeight="1" x14ac:dyDescent="0.3">
      <c r="A6609" s="89" t="s">
        <v>3794</v>
      </c>
      <c r="B6609" s="86" t="s">
        <v>35</v>
      </c>
      <c r="C6609" s="86" t="s">
        <v>184</v>
      </c>
      <c r="D6609" s="86" t="s">
        <v>54</v>
      </c>
      <c r="E6609" s="86" t="s">
        <v>106</v>
      </c>
      <c r="F6609" s="86" t="s">
        <v>106</v>
      </c>
      <c r="G6609" s="86" t="s">
        <v>107</v>
      </c>
      <c r="H6609" s="144">
        <v>229</v>
      </c>
      <c r="I6609" s="86" t="s">
        <v>3356</v>
      </c>
      <c r="J6609" s="47" t="s">
        <v>3326</v>
      </c>
      <c r="K6609" s="47" t="str">
        <f t="shared" si="1019"/>
        <v>巨量引擎-一类</v>
      </c>
      <c r="L6609" s="47" t="s">
        <v>35</v>
      </c>
      <c r="N6609" s="86" t="s">
        <v>3707</v>
      </c>
      <c r="O6609" s="47" t="s">
        <v>105</v>
      </c>
      <c r="P6609" s="47" t="s">
        <v>41</v>
      </c>
      <c r="Q6609" s="14">
        <v>0</v>
      </c>
      <c r="R6609" s="143"/>
      <c r="S6609" s="47"/>
      <c r="T6609" s="6">
        <v>-129.85000000000002</v>
      </c>
      <c r="U6609" s="6"/>
      <c r="V6609" s="6">
        <v>150.44000000000003</v>
      </c>
      <c r="W6609" s="6">
        <f t="shared" si="1020"/>
        <v>-280.29000000000008</v>
      </c>
      <c r="X6609" s="6">
        <f t="shared" si="1021"/>
        <v>150.44000000000003</v>
      </c>
      <c r="Y6609" s="13">
        <f t="shared" si="1025"/>
        <v>0</v>
      </c>
      <c r="Z6609" s="14">
        <v>0</v>
      </c>
      <c r="AA6609" s="6">
        <v>0</v>
      </c>
      <c r="AB6609" s="4">
        <f t="shared" si="1026"/>
        <v>150.44000000000003</v>
      </c>
      <c r="AC6609" s="6">
        <f t="shared" si="1024"/>
        <v>0</v>
      </c>
      <c r="AD6609" s="6">
        <f t="shared" si="1022"/>
        <v>150.44000000000003</v>
      </c>
      <c r="AE6609" s="14">
        <v>0.06</v>
      </c>
      <c r="AF6609" s="6">
        <f t="shared" si="1018"/>
        <v>9.0264000000000006</v>
      </c>
      <c r="AG6609" s="14">
        <v>0</v>
      </c>
      <c r="AH6609" s="64">
        <f t="shared" si="1023"/>
        <v>150.44000000000003</v>
      </c>
      <c r="AJ6609" s="126" t="e">
        <v>#N/A</v>
      </c>
      <c r="AK6609" s="80">
        <f t="shared" si="1027"/>
        <v>0</v>
      </c>
      <c r="AL6609" s="85"/>
      <c r="AM6609" s="85"/>
    </row>
    <row r="6610" spans="1:39" s="86" customFormat="1" ht="13.25" hidden="1" customHeight="1" x14ac:dyDescent="0.3">
      <c r="A6610" s="89" t="s">
        <v>3794</v>
      </c>
      <c r="B6610" s="86" t="s">
        <v>35</v>
      </c>
      <c r="C6610" s="86" t="s">
        <v>59</v>
      </c>
      <c r="D6610" s="86" t="s">
        <v>60</v>
      </c>
      <c r="E6610" s="86" t="s">
        <v>78</v>
      </c>
      <c r="F6610" s="86" t="s">
        <v>3625</v>
      </c>
      <c r="G6610" s="86" t="s">
        <v>78</v>
      </c>
      <c r="H6610" s="143">
        <v>229</v>
      </c>
      <c r="I6610" s="86" t="s">
        <v>3356</v>
      </c>
      <c r="J6610" s="47" t="s">
        <v>3326</v>
      </c>
      <c r="K6610" s="47" t="str">
        <f t="shared" si="1019"/>
        <v>巨量引擎-游戏</v>
      </c>
      <c r="L6610" s="47" t="s">
        <v>35</v>
      </c>
      <c r="N6610" s="86" t="s">
        <v>3283</v>
      </c>
      <c r="O6610" s="47" t="s">
        <v>45</v>
      </c>
      <c r="P6610" s="47" t="s">
        <v>46</v>
      </c>
      <c r="Q6610" s="14">
        <v>7.0000000000000007E-2</v>
      </c>
      <c r="R6610" s="143"/>
      <c r="S6610" s="47"/>
      <c r="T6610" s="6">
        <v>10000</v>
      </c>
      <c r="U6610" s="6">
        <v>0</v>
      </c>
      <c r="V6610" s="6">
        <v>0</v>
      </c>
      <c r="W6610" s="6">
        <f t="shared" si="1020"/>
        <v>10000</v>
      </c>
      <c r="X6610" s="6">
        <f t="shared" si="1021"/>
        <v>0</v>
      </c>
      <c r="Y6610" s="13">
        <f t="shared" si="1025"/>
        <v>0</v>
      </c>
      <c r="Z6610" s="14">
        <v>0</v>
      </c>
      <c r="AA6610" s="6">
        <v>0</v>
      </c>
      <c r="AB6610" s="4">
        <f t="shared" si="1026"/>
        <v>0</v>
      </c>
      <c r="AC6610" s="6">
        <f t="shared" si="1024"/>
        <v>0</v>
      </c>
      <c r="AD6610" s="6">
        <f t="shared" si="1022"/>
        <v>0</v>
      </c>
      <c r="AE6610" s="14">
        <v>0.06</v>
      </c>
      <c r="AF6610" s="6">
        <f t="shared" si="1018"/>
        <v>0</v>
      </c>
      <c r="AG6610" s="14">
        <v>0</v>
      </c>
      <c r="AH6610" s="64">
        <f t="shared" si="1023"/>
        <v>0</v>
      </c>
      <c r="AJ6610" s="126" t="e">
        <v>#N/A</v>
      </c>
      <c r="AK6610" s="80">
        <f t="shared" si="1027"/>
        <v>0</v>
      </c>
      <c r="AL6610" s="85"/>
      <c r="AM6610" s="85"/>
    </row>
    <row r="6611" spans="1:39" s="86" customFormat="1" ht="13.25" hidden="1" customHeight="1" x14ac:dyDescent="0.3">
      <c r="A6611" s="89" t="s">
        <v>3794</v>
      </c>
      <c r="B6611" s="86" t="s">
        <v>35</v>
      </c>
      <c r="C6611" s="86" t="s">
        <v>59</v>
      </c>
      <c r="D6611" s="86" t="s">
        <v>60</v>
      </c>
      <c r="E6611" s="86" t="s">
        <v>76</v>
      </c>
      <c r="F6611" s="86" t="s">
        <v>76</v>
      </c>
      <c r="G6611" s="86" t="s">
        <v>76</v>
      </c>
      <c r="H6611" s="144">
        <v>229</v>
      </c>
      <c r="I6611" s="86" t="s">
        <v>3356</v>
      </c>
      <c r="J6611" s="47" t="s">
        <v>3326</v>
      </c>
      <c r="K6611" s="47" t="str">
        <f t="shared" si="1019"/>
        <v>巨量引擎-三类</v>
      </c>
      <c r="L6611" s="47" t="s">
        <v>35</v>
      </c>
      <c r="N6611" s="86" t="s">
        <v>3712</v>
      </c>
      <c r="O6611" s="47" t="s">
        <v>105</v>
      </c>
      <c r="P6611" s="47" t="s">
        <v>75</v>
      </c>
      <c r="Q6611" s="14">
        <v>0.06</v>
      </c>
      <c r="R6611" s="143"/>
      <c r="S6611" s="47"/>
      <c r="T6611" s="6">
        <v>-18974.820000000003</v>
      </c>
      <c r="U6611" s="6"/>
      <c r="V6611" s="6">
        <v>1683.21</v>
      </c>
      <c r="W6611" s="6">
        <f t="shared" si="1020"/>
        <v>-20658.030000000002</v>
      </c>
      <c r="X6611" s="6">
        <f t="shared" si="1021"/>
        <v>1683.21</v>
      </c>
      <c r="Y6611" s="13">
        <f t="shared" si="1025"/>
        <v>0</v>
      </c>
      <c r="Z6611" s="14">
        <v>0</v>
      </c>
      <c r="AA6611" s="6">
        <v>0</v>
      </c>
      <c r="AB6611" s="4">
        <f t="shared" si="1026"/>
        <v>1683.21</v>
      </c>
      <c r="AC6611" s="6">
        <f t="shared" si="1024"/>
        <v>100.9926</v>
      </c>
      <c r="AD6611" s="6">
        <f t="shared" si="1022"/>
        <v>1683.21</v>
      </c>
      <c r="AE6611" s="14">
        <v>0.06</v>
      </c>
      <c r="AF6611" s="6">
        <f t="shared" si="1018"/>
        <v>100.9926</v>
      </c>
      <c r="AG6611" s="14">
        <v>0</v>
      </c>
      <c r="AH6611" s="64">
        <f t="shared" si="1023"/>
        <v>1683.21</v>
      </c>
      <c r="AJ6611" s="126" t="e">
        <v>#N/A</v>
      </c>
      <c r="AK6611" s="80">
        <f t="shared" si="1027"/>
        <v>0</v>
      </c>
      <c r="AL6611" s="85"/>
      <c r="AM6611" s="85"/>
    </row>
    <row r="6612" spans="1:39" s="86" customFormat="1" ht="13.25" hidden="1" customHeight="1" x14ac:dyDescent="0.3">
      <c r="A6612" s="89" t="s">
        <v>3794</v>
      </c>
      <c r="B6612" s="86" t="s">
        <v>35</v>
      </c>
      <c r="C6612" s="86" t="s">
        <v>59</v>
      </c>
      <c r="D6612" s="86" t="s">
        <v>60</v>
      </c>
      <c r="E6612" s="86" t="s">
        <v>77</v>
      </c>
      <c r="F6612" s="86" t="s">
        <v>77</v>
      </c>
      <c r="G6612" s="86" t="s">
        <v>77</v>
      </c>
      <c r="H6612" s="144">
        <v>229</v>
      </c>
      <c r="I6612" s="86" t="s">
        <v>3356</v>
      </c>
      <c r="J6612" s="47" t="s">
        <v>3326</v>
      </c>
      <c r="K6612" s="47" t="str">
        <f t="shared" si="1019"/>
        <v>巨量引擎-二类</v>
      </c>
      <c r="L6612" s="47" t="s">
        <v>35</v>
      </c>
      <c r="N6612" s="86" t="s">
        <v>3710</v>
      </c>
      <c r="O6612" s="47" t="s">
        <v>105</v>
      </c>
      <c r="P6612" s="47" t="s">
        <v>75</v>
      </c>
      <c r="Q6612" s="14">
        <v>0.06</v>
      </c>
      <c r="R6612" s="143"/>
      <c r="S6612" s="47"/>
      <c r="T6612" s="6">
        <v>-394401.72000000003</v>
      </c>
      <c r="U6612" s="6"/>
      <c r="V6612" s="6">
        <v>80935.799999999988</v>
      </c>
      <c r="W6612" s="6">
        <f t="shared" si="1020"/>
        <v>-475337.52</v>
      </c>
      <c r="X6612" s="6">
        <f t="shared" si="1021"/>
        <v>80935.799999999988</v>
      </c>
      <c r="Y6612" s="13">
        <f t="shared" si="1025"/>
        <v>0</v>
      </c>
      <c r="Z6612" s="14">
        <v>0</v>
      </c>
      <c r="AA6612" s="6">
        <v>0</v>
      </c>
      <c r="AB6612" s="4">
        <f t="shared" si="1026"/>
        <v>80935.799999999988</v>
      </c>
      <c r="AC6612" s="6">
        <f t="shared" si="1024"/>
        <v>4856.1479999999992</v>
      </c>
      <c r="AD6612" s="6">
        <f t="shared" si="1022"/>
        <v>80935.799999999988</v>
      </c>
      <c r="AE6612" s="14">
        <v>0.06</v>
      </c>
      <c r="AF6612" s="6">
        <f t="shared" si="1018"/>
        <v>4856.1479999999992</v>
      </c>
      <c r="AG6612" s="14">
        <v>0</v>
      </c>
      <c r="AH6612" s="64">
        <f t="shared" si="1023"/>
        <v>80935.799999999988</v>
      </c>
      <c r="AJ6612" s="126" t="e">
        <v>#N/A</v>
      </c>
      <c r="AK6612" s="80">
        <f t="shared" si="1027"/>
        <v>0</v>
      </c>
      <c r="AL6612" s="85"/>
      <c r="AM6612" s="85"/>
    </row>
    <row r="6613" spans="1:39" s="86" customFormat="1" ht="13.25" hidden="1" customHeight="1" x14ac:dyDescent="0.3">
      <c r="A6613" s="89" t="s">
        <v>3792</v>
      </c>
      <c r="B6613" s="86" t="s">
        <v>35</v>
      </c>
      <c r="C6613" s="86" t="s">
        <v>59</v>
      </c>
      <c r="D6613" s="86" t="s">
        <v>60</v>
      </c>
      <c r="E6613" s="86" t="s">
        <v>327</v>
      </c>
      <c r="F6613" s="86" t="s">
        <v>3626</v>
      </c>
      <c r="G6613" s="86" t="s">
        <v>327</v>
      </c>
      <c r="H6613" s="144">
        <v>229</v>
      </c>
      <c r="I6613" s="86" t="s">
        <v>3356</v>
      </c>
      <c r="J6613" s="47" t="s">
        <v>3326</v>
      </c>
      <c r="K6613" s="47" t="str">
        <f t="shared" si="1019"/>
        <v>巨量引擎-游戏</v>
      </c>
      <c r="L6613" s="47" t="s">
        <v>35</v>
      </c>
      <c r="N6613" s="86" t="s">
        <v>3283</v>
      </c>
      <c r="O6613" s="47" t="s">
        <v>105</v>
      </c>
      <c r="P6613" s="47" t="s">
        <v>75</v>
      </c>
      <c r="Q6613" s="14">
        <v>0.06</v>
      </c>
      <c r="R6613" s="143"/>
      <c r="S6613" s="47"/>
      <c r="T6613" s="6">
        <v>-14149.710000000001</v>
      </c>
      <c r="U6613" s="6">
        <v>0</v>
      </c>
      <c r="V6613" s="6">
        <v>922.65</v>
      </c>
      <c r="W6613" s="6">
        <f t="shared" si="1020"/>
        <v>-15072.36</v>
      </c>
      <c r="X6613" s="6">
        <f t="shared" si="1021"/>
        <v>922.65</v>
      </c>
      <c r="Y6613" s="13">
        <f t="shared" si="1025"/>
        <v>0</v>
      </c>
      <c r="Z6613" s="14">
        <v>0</v>
      </c>
      <c r="AA6613" s="6">
        <v>0</v>
      </c>
      <c r="AB6613" s="4">
        <f t="shared" si="1026"/>
        <v>922.65</v>
      </c>
      <c r="AC6613" s="6">
        <f t="shared" si="1024"/>
        <v>55.358999999999995</v>
      </c>
      <c r="AD6613" s="6">
        <f t="shared" si="1022"/>
        <v>922.65</v>
      </c>
      <c r="AE6613" s="14">
        <v>0.06</v>
      </c>
      <c r="AF6613" s="6">
        <f t="shared" si="1018"/>
        <v>55.358999999999995</v>
      </c>
      <c r="AG6613" s="14">
        <v>0</v>
      </c>
      <c r="AH6613" s="64">
        <f t="shared" si="1023"/>
        <v>922.65</v>
      </c>
      <c r="AJ6613" s="126" t="e">
        <v>#N/A</v>
      </c>
      <c r="AK6613" s="80">
        <f t="shared" si="1027"/>
        <v>0</v>
      </c>
      <c r="AL6613" s="85"/>
      <c r="AM6613" s="85"/>
    </row>
    <row r="6614" spans="1:39" s="86" customFormat="1" ht="13.25" hidden="1" customHeight="1" x14ac:dyDescent="0.3">
      <c r="A6614" s="89" t="s">
        <v>3794</v>
      </c>
      <c r="B6614" s="86" t="s">
        <v>35</v>
      </c>
      <c r="C6614" s="86" t="s">
        <v>59</v>
      </c>
      <c r="D6614" s="86" t="s">
        <v>60</v>
      </c>
      <c r="E6614" s="86" t="s">
        <v>3958</v>
      </c>
      <c r="F6614" s="86" t="s">
        <v>3959</v>
      </c>
      <c r="G6614" s="86" t="s">
        <v>356</v>
      </c>
      <c r="H6614" s="144">
        <v>229</v>
      </c>
      <c r="I6614" s="86" t="s">
        <v>3356</v>
      </c>
      <c r="J6614" s="47" t="s">
        <v>3326</v>
      </c>
      <c r="K6614" s="47" t="str">
        <f t="shared" si="1019"/>
        <v>巨量引擎-游戏</v>
      </c>
      <c r="L6614" s="47" t="s">
        <v>35</v>
      </c>
      <c r="N6614" s="86" t="s">
        <v>3283</v>
      </c>
      <c r="O6614" s="47" t="s">
        <v>105</v>
      </c>
      <c r="P6614" s="47" t="s">
        <v>75</v>
      </c>
      <c r="Q6614" s="14">
        <v>0.06</v>
      </c>
      <c r="R6614" s="143"/>
      <c r="S6614" s="47"/>
      <c r="T6614" s="6">
        <v>0</v>
      </c>
      <c r="U6614" s="6">
        <v>0</v>
      </c>
      <c r="V6614" s="6">
        <f>5998.55-19.39</f>
        <v>5979.16</v>
      </c>
      <c r="W6614" s="6">
        <f t="shared" si="1020"/>
        <v>-5979.16</v>
      </c>
      <c r="X6614" s="6">
        <f t="shared" si="1021"/>
        <v>5979.16</v>
      </c>
      <c r="Y6614" s="13">
        <f t="shared" si="1025"/>
        <v>0</v>
      </c>
      <c r="Z6614" s="14">
        <v>0</v>
      </c>
      <c r="AA6614" s="6">
        <v>0</v>
      </c>
      <c r="AB6614" s="4">
        <f t="shared" si="1026"/>
        <v>5979.16</v>
      </c>
      <c r="AC6614" s="6">
        <f t="shared" si="1024"/>
        <v>358.74959999999999</v>
      </c>
      <c r="AD6614" s="6">
        <f t="shared" si="1022"/>
        <v>5979.16</v>
      </c>
      <c r="AE6614" s="14">
        <v>0.06</v>
      </c>
      <c r="AF6614" s="6">
        <f t="shared" si="1018"/>
        <v>358.74959999999999</v>
      </c>
      <c r="AG6614" s="14">
        <v>0</v>
      </c>
      <c r="AH6614" s="64">
        <f t="shared" si="1023"/>
        <v>5979.16</v>
      </c>
      <c r="AJ6614" s="126" t="e">
        <v>#N/A</v>
      </c>
      <c r="AK6614" s="80">
        <f t="shared" si="1027"/>
        <v>0</v>
      </c>
      <c r="AL6614" s="85"/>
      <c r="AM6614" s="85"/>
    </row>
    <row r="6615" spans="1:39" s="86" customFormat="1" ht="13.25" hidden="1" customHeight="1" x14ac:dyDescent="0.3">
      <c r="A6615" s="89" t="s">
        <v>3794</v>
      </c>
      <c r="B6615" s="86" t="s">
        <v>35</v>
      </c>
      <c r="C6615" s="86" t="s">
        <v>59</v>
      </c>
      <c r="D6615" s="86" t="s">
        <v>60</v>
      </c>
      <c r="E6615" s="86" t="s">
        <v>78</v>
      </c>
      <c r="F6615" s="86" t="s">
        <v>337</v>
      </c>
      <c r="G6615" s="86" t="s">
        <v>78</v>
      </c>
      <c r="H6615" s="144">
        <v>229</v>
      </c>
      <c r="I6615" s="86" t="s">
        <v>3356</v>
      </c>
      <c r="J6615" s="47" t="s">
        <v>3326</v>
      </c>
      <c r="K6615" s="47" t="str">
        <f t="shared" si="1019"/>
        <v>巨量引擎-游戏</v>
      </c>
      <c r="L6615" s="47" t="s">
        <v>35</v>
      </c>
      <c r="N6615" s="86" t="s">
        <v>3283</v>
      </c>
      <c r="O6615" s="47" t="s">
        <v>105</v>
      </c>
      <c r="P6615" s="47" t="s">
        <v>46</v>
      </c>
      <c r="Q6615" s="14">
        <v>0.02</v>
      </c>
      <c r="R6615" s="143"/>
      <c r="S6615" s="47"/>
      <c r="T6615" s="6">
        <v>-1833.5199999999998</v>
      </c>
      <c r="U6615" s="6">
        <v>0</v>
      </c>
      <c r="V6615" s="6">
        <v>0.56000000000000005</v>
      </c>
      <c r="W6615" s="6">
        <f t="shared" si="1020"/>
        <v>-1834.0799999999997</v>
      </c>
      <c r="X6615" s="6">
        <f t="shared" si="1021"/>
        <v>0.5490196078431373</v>
      </c>
      <c r="Y6615" s="13">
        <f t="shared" si="1025"/>
        <v>0</v>
      </c>
      <c r="Z6615" s="14">
        <v>0</v>
      </c>
      <c r="AA6615" s="6">
        <v>0</v>
      </c>
      <c r="AB6615" s="4">
        <f t="shared" si="1026"/>
        <v>0.5490196078431373</v>
      </c>
      <c r="AC6615" s="6">
        <f t="shared" si="1024"/>
        <v>1.098039215686275E-2</v>
      </c>
      <c r="AD6615" s="6">
        <f t="shared" si="1022"/>
        <v>0.56000000000000005</v>
      </c>
      <c r="AE6615" s="14">
        <v>0.06</v>
      </c>
      <c r="AF6615" s="6">
        <f t="shared" si="1018"/>
        <v>3.3600000000000005E-2</v>
      </c>
      <c r="AG6615" s="14">
        <v>0</v>
      </c>
      <c r="AH6615" s="64">
        <f t="shared" si="1023"/>
        <v>0.56000000000000005</v>
      </c>
      <c r="AJ6615" s="126" t="e">
        <v>#N/A</v>
      </c>
      <c r="AK6615" s="80">
        <f t="shared" si="1027"/>
        <v>0</v>
      </c>
      <c r="AL6615" s="85"/>
      <c r="AM6615" s="85"/>
    </row>
    <row r="6616" spans="1:39" s="86" customFormat="1" ht="13.25" hidden="1" customHeight="1" x14ac:dyDescent="0.3">
      <c r="A6616" s="89" t="s">
        <v>3794</v>
      </c>
      <c r="B6616" s="86" t="s">
        <v>35</v>
      </c>
      <c r="C6616" s="86" t="s">
        <v>59</v>
      </c>
      <c r="D6616" s="86" t="s">
        <v>60</v>
      </c>
      <c r="E6616" s="86" t="s">
        <v>327</v>
      </c>
      <c r="F6616" s="86" t="s">
        <v>3628</v>
      </c>
      <c r="G6616" s="86" t="s">
        <v>327</v>
      </c>
      <c r="H6616" s="143">
        <v>229</v>
      </c>
      <c r="I6616" s="86" t="s">
        <v>3356</v>
      </c>
      <c r="J6616" s="47" t="s">
        <v>3326</v>
      </c>
      <c r="K6616" s="47" t="str">
        <f t="shared" si="1019"/>
        <v>巨量引擎-游戏</v>
      </c>
      <c r="L6616" s="47" t="s">
        <v>35</v>
      </c>
      <c r="N6616" s="86" t="s">
        <v>3283</v>
      </c>
      <c r="O6616" s="47" t="s">
        <v>105</v>
      </c>
      <c r="P6616" s="47" t="s">
        <v>75</v>
      </c>
      <c r="Q6616" s="14">
        <v>0.06</v>
      </c>
      <c r="R6616" s="143"/>
      <c r="S6616" s="47"/>
      <c r="T6616" s="6">
        <v>-236.93999999999997</v>
      </c>
      <c r="U6616" s="6">
        <v>0</v>
      </c>
      <c r="V6616" s="6">
        <v>0</v>
      </c>
      <c r="W6616" s="6">
        <f t="shared" si="1020"/>
        <v>-236.93999999999997</v>
      </c>
      <c r="X6616" s="6">
        <f t="shared" si="1021"/>
        <v>0</v>
      </c>
      <c r="Y6616" s="13">
        <f t="shared" si="1025"/>
        <v>0</v>
      </c>
      <c r="Z6616" s="14">
        <v>0</v>
      </c>
      <c r="AA6616" s="6">
        <v>0</v>
      </c>
      <c r="AB6616" s="4">
        <f t="shared" si="1026"/>
        <v>0</v>
      </c>
      <c r="AC6616" s="6">
        <f t="shared" si="1024"/>
        <v>0</v>
      </c>
      <c r="AD6616" s="6">
        <f t="shared" si="1022"/>
        <v>0</v>
      </c>
      <c r="AE6616" s="14">
        <v>0.06</v>
      </c>
      <c r="AF6616" s="6">
        <f t="shared" si="1018"/>
        <v>0</v>
      </c>
      <c r="AG6616" s="14">
        <v>0</v>
      </c>
      <c r="AH6616" s="64">
        <f t="shared" si="1023"/>
        <v>0</v>
      </c>
      <c r="AJ6616" s="126" t="e">
        <v>#N/A</v>
      </c>
      <c r="AK6616" s="80">
        <f t="shared" si="1027"/>
        <v>0</v>
      </c>
      <c r="AL6616" s="85"/>
      <c r="AM6616" s="85"/>
    </row>
    <row r="6617" spans="1:39" s="86" customFormat="1" ht="13.25" hidden="1" customHeight="1" x14ac:dyDescent="0.3">
      <c r="A6617" s="89" t="s">
        <v>3794</v>
      </c>
      <c r="B6617" s="86" t="s">
        <v>35</v>
      </c>
      <c r="C6617" s="86" t="s">
        <v>59</v>
      </c>
      <c r="D6617" s="86" t="s">
        <v>60</v>
      </c>
      <c r="E6617" s="86" t="s">
        <v>78</v>
      </c>
      <c r="F6617" s="86" t="s">
        <v>3629</v>
      </c>
      <c r="G6617" s="86" t="s">
        <v>78</v>
      </c>
      <c r="H6617" s="144">
        <v>229</v>
      </c>
      <c r="I6617" s="86" t="s">
        <v>3356</v>
      </c>
      <c r="J6617" s="47" t="s">
        <v>3326</v>
      </c>
      <c r="K6617" s="47" t="str">
        <f t="shared" si="1019"/>
        <v>巨量引擎-游戏</v>
      </c>
      <c r="L6617" s="47" t="s">
        <v>35</v>
      </c>
      <c r="N6617" s="86" t="s">
        <v>3283</v>
      </c>
      <c r="O6617" s="47" t="s">
        <v>45</v>
      </c>
      <c r="P6617" s="47" t="s">
        <v>46</v>
      </c>
      <c r="Q6617" s="14">
        <v>0.04</v>
      </c>
      <c r="R6617" s="143"/>
      <c r="S6617" s="47" t="s">
        <v>3960</v>
      </c>
      <c r="T6617" s="6">
        <v>11989696.459999986</v>
      </c>
      <c r="U6617" s="6">
        <v>11537709.02</v>
      </c>
      <c r="V6617" s="6">
        <v>19698012.24000001</v>
      </c>
      <c r="W6617" s="6">
        <f t="shared" si="1020"/>
        <v>3829393.239999976</v>
      </c>
      <c r="X6617" s="6">
        <f>IF(P6617="折扣",V6617*Q6617,IF(P6617="返现",V6617,V6617/(1+Q6617)))+2147.64</f>
        <v>18942544.024615392</v>
      </c>
      <c r="Y6617" s="13">
        <f t="shared" si="1025"/>
        <v>0</v>
      </c>
      <c r="Z6617" s="14">
        <v>0</v>
      </c>
      <c r="AA6617" s="6">
        <v>0</v>
      </c>
      <c r="AB6617" s="4">
        <f t="shared" si="1026"/>
        <v>18942544.024615392</v>
      </c>
      <c r="AC6617" s="6">
        <f t="shared" si="1024"/>
        <v>755468.21538461745</v>
      </c>
      <c r="AD6617" s="6">
        <f t="shared" si="1022"/>
        <v>19698012.24000001</v>
      </c>
      <c r="AE6617" s="14">
        <v>0.06</v>
      </c>
      <c r="AF6617" s="6">
        <f t="shared" si="1018"/>
        <v>1181880.7344000004</v>
      </c>
      <c r="AG6617" s="14">
        <v>0</v>
      </c>
      <c r="AH6617" s="64">
        <f t="shared" si="1023"/>
        <v>19698012.24000001</v>
      </c>
      <c r="AJ6617" s="126" t="e">
        <v>#N/A</v>
      </c>
      <c r="AK6617" s="80">
        <f t="shared" si="1027"/>
        <v>0</v>
      </c>
      <c r="AL6617" s="85"/>
      <c r="AM6617" s="85"/>
    </row>
    <row r="6618" spans="1:39" s="86" customFormat="1" ht="13.25" hidden="1" customHeight="1" x14ac:dyDescent="0.3">
      <c r="A6618" s="89" t="s">
        <v>3794</v>
      </c>
      <c r="B6618" s="86" t="s">
        <v>35</v>
      </c>
      <c r="C6618" s="86" t="s">
        <v>59</v>
      </c>
      <c r="D6618" s="86" t="s">
        <v>60</v>
      </c>
      <c r="E6618" s="86" t="s">
        <v>78</v>
      </c>
      <c r="F6618" s="86" t="s">
        <v>3629</v>
      </c>
      <c r="G6618" s="86" t="s">
        <v>78</v>
      </c>
      <c r="H6618" s="144">
        <v>229</v>
      </c>
      <c r="I6618" s="86" t="s">
        <v>3356</v>
      </c>
      <c r="J6618" s="47" t="s">
        <v>3326</v>
      </c>
      <c r="K6618" s="47" t="str">
        <f t="shared" si="1019"/>
        <v>巨量引擎-游戏</v>
      </c>
      <c r="L6618" s="47" t="s">
        <v>35</v>
      </c>
      <c r="N6618" s="86" t="s">
        <v>3283</v>
      </c>
      <c r="O6618" s="47" t="s">
        <v>105</v>
      </c>
      <c r="P6618" s="47" t="s">
        <v>46</v>
      </c>
      <c r="Q6618" s="14">
        <v>0.04</v>
      </c>
      <c r="R6618" s="143"/>
      <c r="S6618" s="47"/>
      <c r="T6618" s="6">
        <v>-73930.640000000014</v>
      </c>
      <c r="U6618" s="6">
        <v>0</v>
      </c>
      <c r="V6618" s="6">
        <v>116898.75000000003</v>
      </c>
      <c r="W6618" s="6">
        <f t="shared" si="1020"/>
        <v>-190829.39000000004</v>
      </c>
      <c r="X6618" s="6">
        <f t="shared" si="1021"/>
        <v>112402.64423076925</v>
      </c>
      <c r="Y6618" s="13">
        <f t="shared" si="1025"/>
        <v>0</v>
      </c>
      <c r="Z6618" s="14">
        <v>0</v>
      </c>
      <c r="AA6618" s="6">
        <v>0</v>
      </c>
      <c r="AB6618" s="4">
        <f t="shared" si="1026"/>
        <v>112402.64423076925</v>
      </c>
      <c r="AC6618" s="6">
        <f t="shared" si="1024"/>
        <v>4496.1057692307804</v>
      </c>
      <c r="AD6618" s="6">
        <f t="shared" si="1022"/>
        <v>116898.75000000003</v>
      </c>
      <c r="AE6618" s="14">
        <v>0.06</v>
      </c>
      <c r="AF6618" s="6">
        <f t="shared" si="1018"/>
        <v>7013.9250000000011</v>
      </c>
      <c r="AG6618" s="14">
        <v>0</v>
      </c>
      <c r="AH6618" s="64">
        <f t="shared" si="1023"/>
        <v>116898.75000000003</v>
      </c>
      <c r="AJ6618" s="126" t="e">
        <v>#N/A</v>
      </c>
      <c r="AK6618" s="80">
        <f t="shared" si="1027"/>
        <v>0</v>
      </c>
      <c r="AL6618" s="85"/>
      <c r="AM6618" s="85"/>
    </row>
    <row r="6619" spans="1:39" s="86" customFormat="1" ht="13.25" hidden="1" customHeight="1" x14ac:dyDescent="0.3">
      <c r="A6619" s="89" t="s">
        <v>3792</v>
      </c>
      <c r="B6619" s="86" t="s">
        <v>35</v>
      </c>
      <c r="C6619" s="86" t="s">
        <v>59</v>
      </c>
      <c r="D6619" s="86" t="s">
        <v>60</v>
      </c>
      <c r="E6619" s="86" t="s">
        <v>356</v>
      </c>
      <c r="F6619" s="86" t="s">
        <v>3630</v>
      </c>
      <c r="G6619" s="86" t="s">
        <v>356</v>
      </c>
      <c r="H6619" s="144">
        <v>229</v>
      </c>
      <c r="I6619" s="86" t="s">
        <v>3356</v>
      </c>
      <c r="J6619" s="47" t="s">
        <v>3326</v>
      </c>
      <c r="K6619" s="47" t="str">
        <f t="shared" si="1019"/>
        <v>巨量引擎-游戏</v>
      </c>
      <c r="L6619" s="47" t="s">
        <v>35</v>
      </c>
      <c r="N6619" s="86" t="s">
        <v>3283</v>
      </c>
      <c r="O6619" s="47" t="s">
        <v>45</v>
      </c>
      <c r="P6619" s="47" t="s">
        <v>75</v>
      </c>
      <c r="Q6619" s="14">
        <v>0.06</v>
      </c>
      <c r="R6619" s="143"/>
      <c r="S6619" s="47"/>
      <c r="T6619" s="6">
        <v>67610.64999999851</v>
      </c>
      <c r="U6619" s="6">
        <v>0</v>
      </c>
      <c r="V6619" s="6">
        <v>44552.86</v>
      </c>
      <c r="W6619" s="6">
        <f t="shared" si="1020"/>
        <v>23057.789999998509</v>
      </c>
      <c r="X6619" s="6">
        <f t="shared" si="1021"/>
        <v>44552.86</v>
      </c>
      <c r="Y6619" s="13">
        <f t="shared" si="1025"/>
        <v>0</v>
      </c>
      <c r="Z6619" s="14">
        <v>0</v>
      </c>
      <c r="AA6619" s="6">
        <v>0</v>
      </c>
      <c r="AB6619" s="4">
        <f t="shared" si="1026"/>
        <v>44552.86</v>
      </c>
      <c r="AC6619" s="6">
        <f t="shared" si="1024"/>
        <v>2673.1716000000001</v>
      </c>
      <c r="AD6619" s="6">
        <f t="shared" si="1022"/>
        <v>44552.86</v>
      </c>
      <c r="AE6619" s="14">
        <v>0.06</v>
      </c>
      <c r="AF6619" s="6">
        <f t="shared" si="1018"/>
        <v>2673.1716000000001</v>
      </c>
      <c r="AG6619" s="14">
        <v>0</v>
      </c>
      <c r="AH6619" s="64">
        <f t="shared" si="1023"/>
        <v>44552.86</v>
      </c>
      <c r="AJ6619" s="126" t="e">
        <v>#N/A</v>
      </c>
      <c r="AK6619" s="80">
        <f t="shared" si="1027"/>
        <v>0</v>
      </c>
      <c r="AL6619" s="85"/>
      <c r="AM6619" s="85"/>
    </row>
    <row r="6620" spans="1:39" s="86" customFormat="1" ht="13.25" hidden="1" customHeight="1" x14ac:dyDescent="0.3">
      <c r="A6620" s="89" t="s">
        <v>3794</v>
      </c>
      <c r="B6620" s="86" t="s">
        <v>35</v>
      </c>
      <c r="C6620" s="86" t="s">
        <v>59</v>
      </c>
      <c r="D6620" s="86" t="s">
        <v>60</v>
      </c>
      <c r="E6620" s="86" t="s">
        <v>3641</v>
      </c>
      <c r="F6620" s="86" t="s">
        <v>3961</v>
      </c>
      <c r="G6620" s="86" t="s">
        <v>3641</v>
      </c>
      <c r="H6620" s="144">
        <v>229</v>
      </c>
      <c r="I6620" s="86" t="s">
        <v>3356</v>
      </c>
      <c r="J6620" s="47" t="s">
        <v>3326</v>
      </c>
      <c r="K6620" s="47" t="str">
        <f t="shared" si="1019"/>
        <v>巨量引擎-游戏</v>
      </c>
      <c r="L6620" s="47" t="s">
        <v>35</v>
      </c>
      <c r="N6620" s="86" t="s">
        <v>3283</v>
      </c>
      <c r="O6620" s="47" t="s">
        <v>45</v>
      </c>
      <c r="P6620" s="47" t="s">
        <v>75</v>
      </c>
      <c r="Q6620" s="14">
        <v>0.06</v>
      </c>
      <c r="R6620" s="143"/>
      <c r="S6620" s="47"/>
      <c r="T6620" s="6">
        <v>-7885.48</v>
      </c>
      <c r="U6620" s="6">
        <v>0</v>
      </c>
      <c r="V6620" s="6">
        <v>21661.34</v>
      </c>
      <c r="W6620" s="6">
        <f t="shared" si="1020"/>
        <v>-29546.82</v>
      </c>
      <c r="X6620" s="6">
        <f t="shared" si="1021"/>
        <v>21661.34</v>
      </c>
      <c r="Y6620" s="13">
        <f t="shared" si="1025"/>
        <v>0</v>
      </c>
      <c r="Z6620" s="14">
        <v>0</v>
      </c>
      <c r="AA6620" s="6">
        <v>0</v>
      </c>
      <c r="AB6620" s="4">
        <f t="shared" si="1026"/>
        <v>21661.34</v>
      </c>
      <c r="AC6620" s="6">
        <f t="shared" si="1024"/>
        <v>1299.6804</v>
      </c>
      <c r="AD6620" s="6">
        <f t="shared" si="1022"/>
        <v>21661.34</v>
      </c>
      <c r="AE6620" s="14">
        <v>0.06</v>
      </c>
      <c r="AF6620" s="6">
        <f t="shared" si="1018"/>
        <v>1299.6804</v>
      </c>
      <c r="AG6620" s="14">
        <v>0</v>
      </c>
      <c r="AH6620" s="64">
        <f t="shared" si="1023"/>
        <v>21661.34</v>
      </c>
      <c r="AJ6620" s="126" t="e">
        <v>#N/A</v>
      </c>
      <c r="AK6620" s="80">
        <f t="shared" si="1027"/>
        <v>0</v>
      </c>
      <c r="AL6620" s="85"/>
      <c r="AM6620" s="85"/>
    </row>
    <row r="6621" spans="1:39" s="86" customFormat="1" ht="13.25" hidden="1" customHeight="1" x14ac:dyDescent="0.3">
      <c r="A6621" s="89" t="s">
        <v>3792</v>
      </c>
      <c r="B6621" s="86" t="s">
        <v>35</v>
      </c>
      <c r="C6621" s="86" t="s">
        <v>59</v>
      </c>
      <c r="D6621" s="86" t="s">
        <v>60</v>
      </c>
      <c r="E6621" s="86" t="s">
        <v>78</v>
      </c>
      <c r="F6621" s="86" t="s">
        <v>336</v>
      </c>
      <c r="G6621" s="86" t="s">
        <v>78</v>
      </c>
      <c r="H6621" s="144">
        <v>229</v>
      </c>
      <c r="I6621" s="86" t="s">
        <v>3356</v>
      </c>
      <c r="J6621" s="47" t="s">
        <v>3326</v>
      </c>
      <c r="K6621" s="47" t="str">
        <f t="shared" si="1019"/>
        <v>巨量引擎-游戏</v>
      </c>
      <c r="L6621" s="47" t="s">
        <v>35</v>
      </c>
      <c r="N6621" s="86" t="s">
        <v>3283</v>
      </c>
      <c r="O6621" s="47" t="s">
        <v>105</v>
      </c>
      <c r="P6621" s="47" t="s">
        <v>46</v>
      </c>
      <c r="Q6621" s="14">
        <v>0.06</v>
      </c>
      <c r="R6621" s="143"/>
      <c r="S6621" s="47"/>
      <c r="T6621" s="6">
        <v>-13427.689999999999</v>
      </c>
      <c r="U6621" s="6">
        <v>0</v>
      </c>
      <c r="V6621" s="6">
        <v>2770.99</v>
      </c>
      <c r="W6621" s="6">
        <f t="shared" si="1020"/>
        <v>-16198.679999999998</v>
      </c>
      <c r="X6621" s="6">
        <f t="shared" si="1021"/>
        <v>2614.1415094339618</v>
      </c>
      <c r="Y6621" s="13">
        <f t="shared" si="1025"/>
        <v>0</v>
      </c>
      <c r="Z6621" s="14">
        <v>0</v>
      </c>
      <c r="AA6621" s="6">
        <v>0</v>
      </c>
      <c r="AB6621" s="4">
        <f t="shared" si="1026"/>
        <v>2614.1415094339618</v>
      </c>
      <c r="AC6621" s="6">
        <f t="shared" si="1024"/>
        <v>156.84849056603798</v>
      </c>
      <c r="AD6621" s="6">
        <f t="shared" si="1022"/>
        <v>2770.99</v>
      </c>
      <c r="AE6621" s="14">
        <v>0.06</v>
      </c>
      <c r="AF6621" s="6">
        <f t="shared" si="1018"/>
        <v>166.25939999999997</v>
      </c>
      <c r="AG6621" s="14">
        <v>0</v>
      </c>
      <c r="AH6621" s="64">
        <f t="shared" si="1023"/>
        <v>2770.99</v>
      </c>
      <c r="AJ6621" s="126" t="e">
        <v>#N/A</v>
      </c>
      <c r="AK6621" s="80">
        <f t="shared" si="1027"/>
        <v>0</v>
      </c>
      <c r="AL6621" s="85"/>
      <c r="AM6621" s="85"/>
    </row>
    <row r="6622" spans="1:39" s="86" customFormat="1" ht="13.25" hidden="1" customHeight="1" x14ac:dyDescent="0.3">
      <c r="A6622" s="89" t="s">
        <v>3792</v>
      </c>
      <c r="B6622" s="86" t="s">
        <v>35</v>
      </c>
      <c r="C6622" s="86" t="s">
        <v>59</v>
      </c>
      <c r="D6622" s="86" t="s">
        <v>60</v>
      </c>
      <c r="E6622" s="86" t="s">
        <v>78</v>
      </c>
      <c r="F6622" s="86" t="s">
        <v>3633</v>
      </c>
      <c r="G6622" s="86" t="s">
        <v>78</v>
      </c>
      <c r="H6622" s="143">
        <v>229</v>
      </c>
      <c r="I6622" s="86" t="s">
        <v>3356</v>
      </c>
      <c r="J6622" s="47" t="s">
        <v>3326</v>
      </c>
      <c r="K6622" s="47" t="str">
        <f t="shared" si="1019"/>
        <v>巨量引擎-游戏</v>
      </c>
      <c r="L6622" s="47" t="s">
        <v>35</v>
      </c>
      <c r="N6622" s="86" t="s">
        <v>3283</v>
      </c>
      <c r="O6622" s="47" t="s">
        <v>45</v>
      </c>
      <c r="P6622" s="47" t="s">
        <v>3962</v>
      </c>
      <c r="Q6622" s="14">
        <v>0.06</v>
      </c>
      <c r="R6622" s="143"/>
      <c r="S6622" s="47"/>
      <c r="T6622" s="6">
        <v>560000</v>
      </c>
      <c r="U6622" s="6">
        <v>50000</v>
      </c>
      <c r="V6622" s="6">
        <v>0</v>
      </c>
      <c r="W6622" s="6">
        <f t="shared" si="1020"/>
        <v>610000</v>
      </c>
      <c r="X6622" s="6">
        <f t="shared" si="1021"/>
        <v>0</v>
      </c>
      <c r="Y6622" s="13">
        <f t="shared" si="1025"/>
        <v>0</v>
      </c>
      <c r="Z6622" s="14">
        <v>0</v>
      </c>
      <c r="AA6622" s="6">
        <v>0</v>
      </c>
      <c r="AB6622" s="4">
        <f t="shared" si="1026"/>
        <v>0</v>
      </c>
      <c r="AC6622" s="6">
        <f t="shared" si="1024"/>
        <v>0</v>
      </c>
      <c r="AD6622" s="6">
        <f t="shared" si="1022"/>
        <v>0</v>
      </c>
      <c r="AE6622" s="14">
        <v>0.06</v>
      </c>
      <c r="AF6622" s="6">
        <f t="shared" si="1018"/>
        <v>0</v>
      </c>
      <c r="AG6622" s="14">
        <v>0</v>
      </c>
      <c r="AH6622" s="64">
        <f t="shared" si="1023"/>
        <v>0</v>
      </c>
      <c r="AJ6622" s="126" t="e">
        <v>#N/A</v>
      </c>
      <c r="AK6622" s="80">
        <f t="shared" si="1027"/>
        <v>0</v>
      </c>
      <c r="AL6622" s="85"/>
      <c r="AM6622" s="85"/>
    </row>
    <row r="6623" spans="1:39" s="86" customFormat="1" ht="13.25" hidden="1" customHeight="1" x14ac:dyDescent="0.3">
      <c r="A6623" s="89" t="s">
        <v>3794</v>
      </c>
      <c r="B6623" s="86" t="s">
        <v>35</v>
      </c>
      <c r="C6623" s="86" t="s">
        <v>59</v>
      </c>
      <c r="D6623" s="86" t="s">
        <v>60</v>
      </c>
      <c r="E6623" s="86" t="s">
        <v>78</v>
      </c>
      <c r="F6623" s="86" t="s">
        <v>3634</v>
      </c>
      <c r="G6623" s="86" t="s">
        <v>78</v>
      </c>
      <c r="H6623" s="144">
        <v>229</v>
      </c>
      <c r="I6623" s="86" t="s">
        <v>3356</v>
      </c>
      <c r="J6623" s="47" t="s">
        <v>3326</v>
      </c>
      <c r="K6623" s="47" t="str">
        <f t="shared" si="1019"/>
        <v>巨量引擎-游戏</v>
      </c>
      <c r="L6623" s="47" t="s">
        <v>35</v>
      </c>
      <c r="N6623" s="86" t="s">
        <v>3283</v>
      </c>
      <c r="O6623" s="47" t="s">
        <v>45</v>
      </c>
      <c r="P6623" s="47" t="s">
        <v>46</v>
      </c>
      <c r="Q6623" s="14">
        <v>0.06</v>
      </c>
      <c r="R6623" s="143"/>
      <c r="S6623" s="47"/>
      <c r="T6623" s="6">
        <v>1966777.5500000007</v>
      </c>
      <c r="U6623" s="6">
        <v>-1378000</v>
      </c>
      <c r="V6623" s="6">
        <v>244758.80000000002</v>
      </c>
      <c r="W6623" s="6">
        <f t="shared" si="1020"/>
        <v>344018.7500000007</v>
      </c>
      <c r="X6623" s="6">
        <f t="shared" si="1021"/>
        <v>230904.52830188681</v>
      </c>
      <c r="Y6623" s="13">
        <f t="shared" si="1025"/>
        <v>0</v>
      </c>
      <c r="Z6623" s="14">
        <v>0</v>
      </c>
      <c r="AA6623" s="6">
        <v>0</v>
      </c>
      <c r="AB6623" s="4">
        <f t="shared" si="1026"/>
        <v>230904.52830188681</v>
      </c>
      <c r="AC6623" s="6">
        <f t="shared" si="1024"/>
        <v>13854.271698113211</v>
      </c>
      <c r="AD6623" s="6">
        <f t="shared" si="1022"/>
        <v>244758.80000000002</v>
      </c>
      <c r="AE6623" s="14">
        <v>0.06</v>
      </c>
      <c r="AF6623" s="6">
        <f t="shared" si="1018"/>
        <v>14685.528</v>
      </c>
      <c r="AG6623" s="14">
        <v>0</v>
      </c>
      <c r="AH6623" s="64">
        <f t="shared" si="1023"/>
        <v>244758.80000000002</v>
      </c>
      <c r="AJ6623" s="126" t="e">
        <v>#N/A</v>
      </c>
      <c r="AK6623" s="80">
        <f t="shared" si="1027"/>
        <v>0</v>
      </c>
      <c r="AL6623" s="85"/>
      <c r="AM6623" s="85"/>
    </row>
    <row r="6624" spans="1:39" s="86" customFormat="1" ht="13.25" hidden="1" customHeight="1" x14ac:dyDescent="0.3">
      <c r="A6624" s="89" t="s">
        <v>3794</v>
      </c>
      <c r="B6624" s="86" t="s">
        <v>35</v>
      </c>
      <c r="C6624" s="86" t="s">
        <v>59</v>
      </c>
      <c r="D6624" s="86" t="s">
        <v>60</v>
      </c>
      <c r="E6624" s="86" t="s">
        <v>78</v>
      </c>
      <c r="F6624" s="86" t="s">
        <v>3634</v>
      </c>
      <c r="G6624" s="86" t="s">
        <v>78</v>
      </c>
      <c r="H6624" s="144">
        <v>229</v>
      </c>
      <c r="I6624" s="86" t="s">
        <v>3356</v>
      </c>
      <c r="J6624" s="47" t="s">
        <v>3326</v>
      </c>
      <c r="K6624" s="47" t="str">
        <f t="shared" si="1019"/>
        <v>巨量引擎-游戏</v>
      </c>
      <c r="L6624" s="47" t="s">
        <v>35</v>
      </c>
      <c r="N6624" s="86" t="s">
        <v>3283</v>
      </c>
      <c r="O6624" s="47" t="s">
        <v>105</v>
      </c>
      <c r="P6624" s="47" t="s">
        <v>46</v>
      </c>
      <c r="Q6624" s="14">
        <v>0.06</v>
      </c>
      <c r="R6624" s="143"/>
      <c r="S6624" s="47"/>
      <c r="T6624" s="6">
        <v>-168983.21</v>
      </c>
      <c r="U6624" s="6">
        <v>0</v>
      </c>
      <c r="V6624" s="6">
        <v>8772.5799999999981</v>
      </c>
      <c r="W6624" s="6">
        <f t="shared" si="1020"/>
        <v>-177755.78999999998</v>
      </c>
      <c r="X6624" s="6">
        <f t="shared" si="1021"/>
        <v>8276.0188679245257</v>
      </c>
      <c r="Y6624" s="13">
        <f t="shared" si="1025"/>
        <v>0</v>
      </c>
      <c r="Z6624" s="14">
        <v>0</v>
      </c>
      <c r="AA6624" s="6">
        <v>0</v>
      </c>
      <c r="AB6624" s="4">
        <f t="shared" si="1026"/>
        <v>8276.0188679245257</v>
      </c>
      <c r="AC6624" s="6">
        <f t="shared" si="1024"/>
        <v>496.56113207547241</v>
      </c>
      <c r="AD6624" s="6">
        <f t="shared" si="1022"/>
        <v>8772.5799999999981</v>
      </c>
      <c r="AE6624" s="14">
        <v>0.06</v>
      </c>
      <c r="AF6624" s="6">
        <f t="shared" si="1018"/>
        <v>526.35479999999984</v>
      </c>
      <c r="AG6624" s="14">
        <v>0</v>
      </c>
      <c r="AH6624" s="64">
        <f t="shared" si="1023"/>
        <v>8772.5799999999981</v>
      </c>
      <c r="AJ6624" s="126" t="e">
        <v>#N/A</v>
      </c>
      <c r="AK6624" s="80">
        <f t="shared" si="1027"/>
        <v>0</v>
      </c>
      <c r="AL6624" s="85"/>
      <c r="AM6624" s="85"/>
    </row>
    <row r="6625" spans="1:39" s="86" customFormat="1" ht="13.25" hidden="1" customHeight="1" x14ac:dyDescent="0.3">
      <c r="A6625" s="89" t="s">
        <v>3792</v>
      </c>
      <c r="B6625" s="86" t="s">
        <v>35</v>
      </c>
      <c r="C6625" s="86" t="s">
        <v>59</v>
      </c>
      <c r="D6625" s="86" t="s">
        <v>60</v>
      </c>
      <c r="E6625" s="86" t="s">
        <v>82</v>
      </c>
      <c r="F6625" s="86" t="s">
        <v>83</v>
      </c>
      <c r="G6625" s="86" t="s">
        <v>82</v>
      </c>
      <c r="H6625" s="144">
        <v>229</v>
      </c>
      <c r="I6625" s="86" t="s">
        <v>3356</v>
      </c>
      <c r="J6625" s="47" t="s">
        <v>3326</v>
      </c>
      <c r="K6625" s="47" t="str">
        <f t="shared" si="1019"/>
        <v>巨量引擎-二类</v>
      </c>
      <c r="L6625" s="47" t="s">
        <v>35</v>
      </c>
      <c r="N6625" s="86" t="s">
        <v>3710</v>
      </c>
      <c r="O6625" s="47" t="s">
        <v>105</v>
      </c>
      <c r="P6625" s="47" t="s">
        <v>75</v>
      </c>
      <c r="Q6625" s="14">
        <v>0.06</v>
      </c>
      <c r="R6625" s="143"/>
      <c r="S6625" s="47"/>
      <c r="T6625" s="6">
        <v>-59150.23</v>
      </c>
      <c r="U6625" s="6"/>
      <c r="V6625" s="6">
        <v>3189.4900000000002</v>
      </c>
      <c r="W6625" s="6">
        <f t="shared" si="1020"/>
        <v>-62339.72</v>
      </c>
      <c r="X6625" s="6">
        <f t="shared" si="1021"/>
        <v>3189.4900000000002</v>
      </c>
      <c r="Y6625" s="13">
        <f t="shared" si="1025"/>
        <v>0</v>
      </c>
      <c r="Z6625" s="14">
        <v>0</v>
      </c>
      <c r="AA6625" s="6">
        <v>0</v>
      </c>
      <c r="AB6625" s="4">
        <f t="shared" si="1026"/>
        <v>3189.4900000000002</v>
      </c>
      <c r="AC6625" s="6">
        <f t="shared" si="1024"/>
        <v>191.36940000000001</v>
      </c>
      <c r="AD6625" s="6">
        <f t="shared" si="1022"/>
        <v>3189.4900000000002</v>
      </c>
      <c r="AE6625" s="14">
        <v>0.06</v>
      </c>
      <c r="AF6625" s="6">
        <f t="shared" si="1018"/>
        <v>191.36940000000001</v>
      </c>
      <c r="AG6625" s="14">
        <v>0</v>
      </c>
      <c r="AH6625" s="64">
        <f t="shared" si="1023"/>
        <v>3189.4900000000002</v>
      </c>
      <c r="AJ6625" s="126" t="e">
        <v>#N/A</v>
      </c>
      <c r="AK6625" s="80">
        <f t="shared" si="1027"/>
        <v>0</v>
      </c>
      <c r="AL6625" s="85"/>
      <c r="AM6625" s="85"/>
    </row>
    <row r="6626" spans="1:39" s="86" customFormat="1" ht="13.25" hidden="1" customHeight="1" x14ac:dyDescent="0.3">
      <c r="A6626" s="89" t="s">
        <v>3794</v>
      </c>
      <c r="B6626" s="86" t="s">
        <v>35</v>
      </c>
      <c r="C6626" s="86" t="s">
        <v>59</v>
      </c>
      <c r="D6626" s="86" t="s">
        <v>60</v>
      </c>
      <c r="E6626" s="86" t="s">
        <v>85</v>
      </c>
      <c r="F6626" s="86" t="s">
        <v>86</v>
      </c>
      <c r="G6626" s="86" t="s">
        <v>85</v>
      </c>
      <c r="H6626" s="144">
        <v>229</v>
      </c>
      <c r="I6626" s="86" t="s">
        <v>3356</v>
      </c>
      <c r="J6626" s="47" t="s">
        <v>3326</v>
      </c>
      <c r="K6626" s="47" t="str">
        <f t="shared" si="1019"/>
        <v>巨量引擎-一类</v>
      </c>
      <c r="L6626" s="47" t="s">
        <v>35</v>
      </c>
      <c r="N6626" s="86" t="s">
        <v>3707</v>
      </c>
      <c r="O6626" s="47" t="s">
        <v>105</v>
      </c>
      <c r="P6626" s="47" t="s">
        <v>75</v>
      </c>
      <c r="Q6626" s="14">
        <v>0.06</v>
      </c>
      <c r="R6626" s="143"/>
      <c r="S6626" s="47"/>
      <c r="T6626" s="6">
        <v>-264021.04000000004</v>
      </c>
      <c r="U6626" s="6"/>
      <c r="V6626" s="6">
        <v>545423.9700000002</v>
      </c>
      <c r="W6626" s="6">
        <f t="shared" si="1020"/>
        <v>-809445.01000000024</v>
      </c>
      <c r="X6626" s="6">
        <f t="shared" si="1021"/>
        <v>545423.9700000002</v>
      </c>
      <c r="Y6626" s="13">
        <f t="shared" si="1025"/>
        <v>0</v>
      </c>
      <c r="Z6626" s="14">
        <v>0</v>
      </c>
      <c r="AA6626" s="6">
        <v>0</v>
      </c>
      <c r="AB6626" s="4">
        <f t="shared" si="1026"/>
        <v>545423.9700000002</v>
      </c>
      <c r="AC6626" s="6">
        <f t="shared" si="1024"/>
        <v>32725.438200000011</v>
      </c>
      <c r="AD6626" s="6">
        <f t="shared" si="1022"/>
        <v>545423.9700000002</v>
      </c>
      <c r="AE6626" s="14">
        <v>0.06</v>
      </c>
      <c r="AF6626" s="6">
        <f t="shared" si="1018"/>
        <v>32725.438200000011</v>
      </c>
      <c r="AG6626" s="14">
        <v>0</v>
      </c>
      <c r="AH6626" s="64">
        <f t="shared" si="1023"/>
        <v>545423.9700000002</v>
      </c>
      <c r="AJ6626" s="126" t="e">
        <v>#N/A</v>
      </c>
      <c r="AK6626" s="80">
        <f t="shared" si="1027"/>
        <v>0</v>
      </c>
      <c r="AL6626" s="85"/>
      <c r="AM6626" s="85"/>
    </row>
    <row r="6627" spans="1:39" s="86" customFormat="1" ht="13.25" hidden="1" customHeight="1" x14ac:dyDescent="0.3">
      <c r="A6627" s="89" t="s">
        <v>3794</v>
      </c>
      <c r="B6627" s="86" t="s">
        <v>35</v>
      </c>
      <c r="C6627" s="86" t="s">
        <v>59</v>
      </c>
      <c r="D6627" s="86" t="s">
        <v>60</v>
      </c>
      <c r="E6627" s="86" t="s">
        <v>89</v>
      </c>
      <c r="F6627" s="86" t="s">
        <v>89</v>
      </c>
      <c r="G6627" s="86" t="s">
        <v>89</v>
      </c>
      <c r="H6627" s="144">
        <v>229</v>
      </c>
      <c r="I6627" s="86" t="s">
        <v>3356</v>
      </c>
      <c r="J6627" s="47" t="s">
        <v>3326</v>
      </c>
      <c r="K6627" s="47" t="str">
        <f t="shared" si="1019"/>
        <v>巨量引擎-一类</v>
      </c>
      <c r="L6627" s="47" t="s">
        <v>35</v>
      </c>
      <c r="N6627" s="86" t="s">
        <v>3707</v>
      </c>
      <c r="O6627" s="47" t="s">
        <v>105</v>
      </c>
      <c r="P6627" s="47" t="s">
        <v>75</v>
      </c>
      <c r="Q6627" s="14">
        <v>0.06</v>
      </c>
      <c r="R6627" s="143"/>
      <c r="S6627" s="47"/>
      <c r="T6627" s="6">
        <v>-40753.049999999996</v>
      </c>
      <c r="U6627" s="6"/>
      <c r="V6627" s="6">
        <v>120743.73000000001</v>
      </c>
      <c r="W6627" s="6">
        <f t="shared" si="1020"/>
        <v>-161496.78</v>
      </c>
      <c r="X6627" s="6">
        <f t="shared" si="1021"/>
        <v>120743.73000000001</v>
      </c>
      <c r="Y6627" s="13">
        <f t="shared" si="1025"/>
        <v>0</v>
      </c>
      <c r="Z6627" s="14">
        <v>0</v>
      </c>
      <c r="AA6627" s="6">
        <v>0</v>
      </c>
      <c r="AB6627" s="4">
        <f t="shared" si="1026"/>
        <v>120743.73000000001</v>
      </c>
      <c r="AC6627" s="6">
        <f t="shared" si="1024"/>
        <v>7244.6238000000003</v>
      </c>
      <c r="AD6627" s="6">
        <f t="shared" si="1022"/>
        <v>120743.73000000001</v>
      </c>
      <c r="AE6627" s="14">
        <v>0.06</v>
      </c>
      <c r="AF6627" s="6">
        <f t="shared" si="1018"/>
        <v>7244.6238000000003</v>
      </c>
      <c r="AG6627" s="14">
        <v>0</v>
      </c>
      <c r="AH6627" s="64">
        <f t="shared" si="1023"/>
        <v>120743.73000000001</v>
      </c>
      <c r="AJ6627" s="126" t="e">
        <v>#N/A</v>
      </c>
      <c r="AK6627" s="80">
        <f t="shared" si="1027"/>
        <v>0</v>
      </c>
      <c r="AL6627" s="85"/>
      <c r="AM6627" s="85"/>
    </row>
    <row r="6628" spans="1:39" s="86" customFormat="1" ht="13.25" hidden="1" customHeight="1" x14ac:dyDescent="0.3">
      <c r="A6628" s="89" t="s">
        <v>3794</v>
      </c>
      <c r="B6628" s="86" t="s">
        <v>35</v>
      </c>
      <c r="C6628" s="86" t="s">
        <v>59</v>
      </c>
      <c r="D6628" s="86" t="s">
        <v>60</v>
      </c>
      <c r="E6628" s="86" t="s">
        <v>95</v>
      </c>
      <c r="F6628" s="86" t="s">
        <v>95</v>
      </c>
      <c r="G6628" s="86" t="s">
        <v>95</v>
      </c>
      <c r="H6628" s="144">
        <v>229</v>
      </c>
      <c r="I6628" s="86" t="s">
        <v>3356</v>
      </c>
      <c r="J6628" s="47" t="s">
        <v>3326</v>
      </c>
      <c r="K6628" s="47" t="str">
        <f t="shared" si="1019"/>
        <v>巨量引擎-二类</v>
      </c>
      <c r="L6628" s="47" t="s">
        <v>35</v>
      </c>
      <c r="N6628" s="86" t="s">
        <v>3926</v>
      </c>
      <c r="O6628" s="47" t="s">
        <v>105</v>
      </c>
      <c r="P6628" s="47" t="s">
        <v>46</v>
      </c>
      <c r="Q6628" s="14">
        <v>0.05</v>
      </c>
      <c r="R6628" s="143"/>
      <c r="S6628" s="47"/>
      <c r="T6628" s="6">
        <v>-30601.860000000004</v>
      </c>
      <c r="U6628" s="6"/>
      <c r="V6628" s="6">
        <v>7303.7199999999984</v>
      </c>
      <c r="W6628" s="6">
        <f t="shared" si="1020"/>
        <v>-37905.58</v>
      </c>
      <c r="X6628" s="6">
        <f t="shared" si="1021"/>
        <v>6955.9238095238079</v>
      </c>
      <c r="Y6628" s="13">
        <f t="shared" si="1025"/>
        <v>0</v>
      </c>
      <c r="Z6628" s="14">
        <v>0</v>
      </c>
      <c r="AA6628" s="6">
        <v>0</v>
      </c>
      <c r="AB6628" s="4">
        <f t="shared" si="1026"/>
        <v>6955.9238095238079</v>
      </c>
      <c r="AC6628" s="6">
        <f t="shared" si="1024"/>
        <v>347.79619047619053</v>
      </c>
      <c r="AD6628" s="6">
        <f t="shared" si="1022"/>
        <v>7303.7199999999984</v>
      </c>
      <c r="AE6628" s="14">
        <v>0.06</v>
      </c>
      <c r="AF6628" s="6">
        <f t="shared" ref="AF6628:AF6691" si="1028">AD6628*AE6628</f>
        <v>438.22319999999991</v>
      </c>
      <c r="AG6628" s="14">
        <v>0</v>
      </c>
      <c r="AH6628" s="64">
        <f t="shared" si="1023"/>
        <v>7303.7199999999984</v>
      </c>
      <c r="AJ6628" s="126" t="e">
        <v>#N/A</v>
      </c>
      <c r="AK6628" s="80">
        <f t="shared" si="1027"/>
        <v>0</v>
      </c>
      <c r="AL6628" s="85"/>
      <c r="AM6628" s="85"/>
    </row>
    <row r="6629" spans="1:39" s="86" customFormat="1" ht="13.25" hidden="1" customHeight="1" x14ac:dyDescent="0.3">
      <c r="A6629" s="89" t="s">
        <v>3794</v>
      </c>
      <c r="B6629" s="86" t="s">
        <v>35</v>
      </c>
      <c r="C6629" s="86" t="s">
        <v>184</v>
      </c>
      <c r="D6629" s="86" t="s">
        <v>224</v>
      </c>
      <c r="E6629" s="86" t="s">
        <v>225</v>
      </c>
      <c r="F6629" s="86" t="s">
        <v>225</v>
      </c>
      <c r="G6629" s="86" t="s">
        <v>225</v>
      </c>
      <c r="H6629" s="143">
        <v>229</v>
      </c>
      <c r="I6629" s="86" t="s">
        <v>3356</v>
      </c>
      <c r="J6629" s="47" t="s">
        <v>3326</v>
      </c>
      <c r="K6629" s="47"/>
      <c r="L6629" s="47" t="s">
        <v>35</v>
      </c>
      <c r="O6629" s="47" t="s">
        <v>105</v>
      </c>
      <c r="P6629" s="47" t="s">
        <v>46</v>
      </c>
      <c r="Q6629" s="14">
        <v>0.01</v>
      </c>
      <c r="R6629" s="143"/>
      <c r="S6629" s="47"/>
      <c r="T6629" s="6">
        <v>-37.769999999999996</v>
      </c>
      <c r="U6629" s="6"/>
      <c r="V6629" s="6">
        <v>0</v>
      </c>
      <c r="W6629" s="6">
        <f t="shared" si="1020"/>
        <v>-37.769999999999996</v>
      </c>
      <c r="X6629" s="6">
        <f t="shared" si="1021"/>
        <v>0</v>
      </c>
      <c r="Y6629" s="13">
        <f t="shared" si="1025"/>
        <v>0</v>
      </c>
      <c r="Z6629" s="14">
        <v>0</v>
      </c>
      <c r="AA6629" s="6">
        <v>0</v>
      </c>
      <c r="AB6629" s="4">
        <f t="shared" si="1026"/>
        <v>0</v>
      </c>
      <c r="AC6629" s="6">
        <f t="shared" si="1024"/>
        <v>0</v>
      </c>
      <c r="AD6629" s="6">
        <f t="shared" si="1022"/>
        <v>0</v>
      </c>
      <c r="AE6629" s="14">
        <v>0.06</v>
      </c>
      <c r="AF6629" s="6">
        <f t="shared" si="1028"/>
        <v>0</v>
      </c>
      <c r="AG6629" s="14">
        <v>0</v>
      </c>
      <c r="AH6629" s="64">
        <f t="shared" si="1023"/>
        <v>0</v>
      </c>
      <c r="AJ6629" s="126" t="e">
        <v>#N/A</v>
      </c>
      <c r="AK6629" s="80">
        <f t="shared" si="1027"/>
        <v>0</v>
      </c>
      <c r="AL6629" s="85"/>
      <c r="AM6629" s="85"/>
    </row>
    <row r="6630" spans="1:39" s="86" customFormat="1" ht="13.25" hidden="1" customHeight="1" x14ac:dyDescent="0.3">
      <c r="A6630" s="89" t="s">
        <v>3794</v>
      </c>
      <c r="B6630" s="86" t="s">
        <v>35</v>
      </c>
      <c r="C6630" s="86" t="s">
        <v>184</v>
      </c>
      <c r="D6630" s="86" t="s">
        <v>54</v>
      </c>
      <c r="E6630" s="86" t="s">
        <v>101</v>
      </c>
      <c r="F6630" s="86" t="s">
        <v>101</v>
      </c>
      <c r="G6630" s="86" t="s">
        <v>101</v>
      </c>
      <c r="H6630" s="143">
        <v>229</v>
      </c>
      <c r="I6630" s="86" t="s">
        <v>3356</v>
      </c>
      <c r="J6630" s="47" t="s">
        <v>3326</v>
      </c>
      <c r="K6630" s="47"/>
      <c r="L6630" s="47" t="s">
        <v>35</v>
      </c>
      <c r="O6630" s="47" t="s">
        <v>105</v>
      </c>
      <c r="P6630" s="47" t="s">
        <v>41</v>
      </c>
      <c r="Q6630" s="14">
        <v>0</v>
      </c>
      <c r="R6630" s="143"/>
      <c r="S6630" s="47"/>
      <c r="T6630" s="6">
        <v>-7838.73</v>
      </c>
      <c r="U6630" s="6"/>
      <c r="V6630" s="6">
        <v>0</v>
      </c>
      <c r="W6630" s="6">
        <f t="shared" si="1020"/>
        <v>-7838.73</v>
      </c>
      <c r="X6630" s="6">
        <f t="shared" si="1021"/>
        <v>0</v>
      </c>
      <c r="Y6630" s="13">
        <f t="shared" si="1025"/>
        <v>0</v>
      </c>
      <c r="Z6630" s="14">
        <v>0</v>
      </c>
      <c r="AA6630" s="6">
        <v>0</v>
      </c>
      <c r="AB6630" s="4">
        <f t="shared" si="1026"/>
        <v>0</v>
      </c>
      <c r="AC6630" s="6">
        <f t="shared" si="1024"/>
        <v>0</v>
      </c>
      <c r="AD6630" s="6">
        <f t="shared" si="1022"/>
        <v>0</v>
      </c>
      <c r="AE6630" s="14">
        <v>0.06</v>
      </c>
      <c r="AF6630" s="6">
        <f t="shared" si="1028"/>
        <v>0</v>
      </c>
      <c r="AG6630" s="14">
        <v>0</v>
      </c>
      <c r="AH6630" s="64">
        <f t="shared" si="1023"/>
        <v>0</v>
      </c>
      <c r="AJ6630" s="126" t="e">
        <v>#N/A</v>
      </c>
      <c r="AK6630" s="80">
        <f t="shared" si="1027"/>
        <v>0</v>
      </c>
      <c r="AL6630" s="85"/>
      <c r="AM6630" s="85"/>
    </row>
    <row r="6631" spans="1:39" s="86" customFormat="1" ht="13.25" hidden="1" customHeight="1" x14ac:dyDescent="0.3">
      <c r="A6631" s="89" t="s">
        <v>3794</v>
      </c>
      <c r="B6631" s="86" t="s">
        <v>35</v>
      </c>
      <c r="C6631" s="86" t="s">
        <v>3857</v>
      </c>
      <c r="D6631" s="86" t="s">
        <v>3858</v>
      </c>
      <c r="E6631" s="86" t="s">
        <v>108</v>
      </c>
      <c r="F6631" s="86" t="s">
        <v>108</v>
      </c>
      <c r="G6631" s="86" t="s">
        <v>108</v>
      </c>
      <c r="H6631" s="144">
        <v>229</v>
      </c>
      <c r="I6631" s="86" t="s">
        <v>3356</v>
      </c>
      <c r="J6631" s="47" t="s">
        <v>3326</v>
      </c>
      <c r="K6631" s="47" t="str">
        <f t="shared" si="1019"/>
        <v>巨量引擎-三类</v>
      </c>
      <c r="L6631" s="47" t="s">
        <v>35</v>
      </c>
      <c r="N6631" s="86" t="s">
        <v>3712</v>
      </c>
      <c r="O6631" s="47" t="s">
        <v>105</v>
      </c>
      <c r="P6631" s="47" t="s">
        <v>41</v>
      </c>
      <c r="Q6631" s="14">
        <v>0</v>
      </c>
      <c r="R6631" s="143"/>
      <c r="S6631" s="47"/>
      <c r="T6631" s="6">
        <v>-6740.4699999999993</v>
      </c>
      <c r="U6631" s="6"/>
      <c r="V6631" s="6">
        <v>62823.21</v>
      </c>
      <c r="W6631" s="6">
        <f t="shared" si="1020"/>
        <v>-69563.679999999993</v>
      </c>
      <c r="X6631" s="6">
        <f t="shared" si="1021"/>
        <v>62823.21</v>
      </c>
      <c r="Y6631" s="13">
        <f t="shared" si="1025"/>
        <v>0</v>
      </c>
      <c r="Z6631" s="14">
        <v>0</v>
      </c>
      <c r="AA6631" s="6">
        <v>0</v>
      </c>
      <c r="AB6631" s="4">
        <f t="shared" si="1026"/>
        <v>62823.21</v>
      </c>
      <c r="AC6631" s="6">
        <f t="shared" si="1024"/>
        <v>0</v>
      </c>
      <c r="AD6631" s="6">
        <f t="shared" si="1022"/>
        <v>62823.21</v>
      </c>
      <c r="AE6631" s="14">
        <v>0.06</v>
      </c>
      <c r="AF6631" s="6">
        <f t="shared" si="1028"/>
        <v>3769.3925999999997</v>
      </c>
      <c r="AG6631" s="14">
        <v>0</v>
      </c>
      <c r="AH6631" s="64">
        <f t="shared" si="1023"/>
        <v>62823.21</v>
      </c>
      <c r="AJ6631" s="126" t="e">
        <v>#N/A</v>
      </c>
      <c r="AK6631" s="80">
        <f t="shared" si="1027"/>
        <v>0</v>
      </c>
      <c r="AL6631" s="85"/>
      <c r="AM6631" s="85"/>
    </row>
    <row r="6632" spans="1:39" s="86" customFormat="1" ht="13.25" hidden="1" customHeight="1" x14ac:dyDescent="0.3">
      <c r="A6632" s="89" t="s">
        <v>3794</v>
      </c>
      <c r="B6632" s="86" t="s">
        <v>35</v>
      </c>
      <c r="C6632" s="86" t="s">
        <v>3857</v>
      </c>
      <c r="D6632" s="86" t="s">
        <v>3858</v>
      </c>
      <c r="E6632" s="86" t="s">
        <v>228</v>
      </c>
      <c r="F6632" s="86" t="s">
        <v>228</v>
      </c>
      <c r="G6632" s="86" t="s">
        <v>228</v>
      </c>
      <c r="H6632" s="144">
        <v>229</v>
      </c>
      <c r="I6632" s="86" t="s">
        <v>3356</v>
      </c>
      <c r="J6632" s="47" t="s">
        <v>3326</v>
      </c>
      <c r="K6632" s="47" t="str">
        <f t="shared" si="1019"/>
        <v>巨量引擎-三类</v>
      </c>
      <c r="L6632" s="47" t="s">
        <v>35</v>
      </c>
      <c r="N6632" s="86" t="s">
        <v>3712</v>
      </c>
      <c r="O6632" s="47" t="s">
        <v>105</v>
      </c>
      <c r="P6632" s="47" t="s">
        <v>41</v>
      </c>
      <c r="Q6632" s="14">
        <v>0</v>
      </c>
      <c r="R6632" s="143"/>
      <c r="S6632" s="47"/>
      <c r="T6632" s="6">
        <v>-106.28000000000002</v>
      </c>
      <c r="U6632" s="6"/>
      <c r="V6632" s="6">
        <v>7.8</v>
      </c>
      <c r="W6632" s="6">
        <f t="shared" si="1020"/>
        <v>-114.08000000000001</v>
      </c>
      <c r="X6632" s="6">
        <f t="shared" si="1021"/>
        <v>7.8</v>
      </c>
      <c r="Y6632" s="13">
        <f t="shared" si="1025"/>
        <v>0</v>
      </c>
      <c r="Z6632" s="14">
        <v>0</v>
      </c>
      <c r="AA6632" s="6">
        <v>0</v>
      </c>
      <c r="AB6632" s="4">
        <f t="shared" si="1026"/>
        <v>7.8</v>
      </c>
      <c r="AC6632" s="6">
        <f t="shared" si="1024"/>
        <v>0</v>
      </c>
      <c r="AD6632" s="6">
        <f t="shared" si="1022"/>
        <v>7.8</v>
      </c>
      <c r="AE6632" s="14">
        <v>0.06</v>
      </c>
      <c r="AF6632" s="6">
        <f t="shared" si="1028"/>
        <v>0.46799999999999997</v>
      </c>
      <c r="AG6632" s="14">
        <v>0</v>
      </c>
      <c r="AH6632" s="64">
        <f t="shared" si="1023"/>
        <v>7.8</v>
      </c>
      <c r="AJ6632" s="126" t="e">
        <v>#N/A</v>
      </c>
      <c r="AK6632" s="80">
        <f t="shared" si="1027"/>
        <v>0</v>
      </c>
      <c r="AL6632" s="85"/>
      <c r="AM6632" s="85"/>
    </row>
    <row r="6633" spans="1:39" s="86" customFormat="1" ht="13.25" hidden="1" customHeight="1" x14ac:dyDescent="0.3">
      <c r="A6633" s="89" t="s">
        <v>3794</v>
      </c>
      <c r="B6633" s="86" t="s">
        <v>35</v>
      </c>
      <c r="C6633" s="86" t="s">
        <v>65</v>
      </c>
      <c r="D6633" s="86" t="s">
        <v>116</v>
      </c>
      <c r="E6633" s="86" t="s">
        <v>117</v>
      </c>
      <c r="F6633" s="86" t="s">
        <v>117</v>
      </c>
      <c r="G6633" s="86" t="s">
        <v>117</v>
      </c>
      <c r="H6633" s="144">
        <v>229</v>
      </c>
      <c r="I6633" s="86" t="s">
        <v>3356</v>
      </c>
      <c r="J6633" s="47" t="s">
        <v>3326</v>
      </c>
      <c r="K6633" s="47" t="str">
        <f t="shared" si="1019"/>
        <v>巨量引擎-三类</v>
      </c>
      <c r="L6633" s="47" t="s">
        <v>35</v>
      </c>
      <c r="N6633" s="86" t="s">
        <v>3712</v>
      </c>
      <c r="O6633" s="47" t="s">
        <v>105</v>
      </c>
      <c r="P6633" s="47" t="s">
        <v>46</v>
      </c>
      <c r="Q6633" s="14">
        <v>0.06</v>
      </c>
      <c r="R6633" s="143"/>
      <c r="S6633" s="47"/>
      <c r="T6633" s="6">
        <v>-265.52</v>
      </c>
      <c r="U6633" s="6"/>
      <c r="V6633" s="6">
        <v>243.95</v>
      </c>
      <c r="W6633" s="6">
        <f t="shared" si="1020"/>
        <v>-509.46999999999997</v>
      </c>
      <c r="X6633" s="6">
        <f t="shared" si="1021"/>
        <v>230.14150943396226</v>
      </c>
      <c r="Y6633" s="13">
        <f t="shared" si="1025"/>
        <v>0</v>
      </c>
      <c r="Z6633" s="14">
        <v>0</v>
      </c>
      <c r="AA6633" s="6">
        <v>0</v>
      </c>
      <c r="AB6633" s="4">
        <f t="shared" si="1026"/>
        <v>230.14150943396226</v>
      </c>
      <c r="AC6633" s="6">
        <f t="shared" si="1024"/>
        <v>13.808490566037733</v>
      </c>
      <c r="AD6633" s="6">
        <f t="shared" si="1022"/>
        <v>243.95</v>
      </c>
      <c r="AE6633" s="14">
        <v>0.06</v>
      </c>
      <c r="AF6633" s="6">
        <f t="shared" si="1028"/>
        <v>14.636999999999999</v>
      </c>
      <c r="AG6633" s="14">
        <v>0</v>
      </c>
      <c r="AH6633" s="64">
        <f t="shared" si="1023"/>
        <v>243.95</v>
      </c>
      <c r="AJ6633" s="126" t="e">
        <v>#N/A</v>
      </c>
      <c r="AK6633" s="80">
        <f t="shared" si="1027"/>
        <v>0</v>
      </c>
      <c r="AL6633" s="85"/>
      <c r="AM6633" s="85"/>
    </row>
    <row r="6634" spans="1:39" s="86" customFormat="1" ht="13.25" hidden="1" customHeight="1" x14ac:dyDescent="0.3">
      <c r="A6634" s="89" t="s">
        <v>3794</v>
      </c>
      <c r="B6634" s="86" t="s">
        <v>35</v>
      </c>
      <c r="C6634" s="86" t="s">
        <v>65</v>
      </c>
      <c r="D6634" s="86" t="s">
        <v>66</v>
      </c>
      <c r="E6634" s="86" t="s">
        <v>121</v>
      </c>
      <c r="F6634" s="86" t="s">
        <v>121</v>
      </c>
      <c r="G6634" s="86" t="s">
        <v>121</v>
      </c>
      <c r="H6634" s="143">
        <v>229</v>
      </c>
      <c r="I6634" s="86" t="s">
        <v>3356</v>
      </c>
      <c r="J6634" s="47" t="s">
        <v>3326</v>
      </c>
      <c r="K6634" s="47" t="str">
        <f t="shared" si="1019"/>
        <v>巨量引擎-一类</v>
      </c>
      <c r="L6634" s="47" t="s">
        <v>35</v>
      </c>
      <c r="N6634" s="86" t="s">
        <v>3707</v>
      </c>
      <c r="O6634" s="47" t="s">
        <v>105</v>
      </c>
      <c r="P6634" s="47" t="s">
        <v>46</v>
      </c>
      <c r="Q6634" s="14">
        <v>0.03</v>
      </c>
      <c r="R6634" s="143"/>
      <c r="S6634" s="47"/>
      <c r="T6634" s="6">
        <v>-16228.720000000001</v>
      </c>
      <c r="U6634" s="6"/>
      <c r="V6634" s="6"/>
      <c r="W6634" s="6">
        <v>0</v>
      </c>
      <c r="X6634" s="6">
        <f t="shared" si="1021"/>
        <v>0</v>
      </c>
      <c r="Y6634" s="13">
        <f t="shared" si="1025"/>
        <v>0</v>
      </c>
      <c r="Z6634" s="14">
        <v>0</v>
      </c>
      <c r="AA6634" s="6">
        <v>0</v>
      </c>
      <c r="AB6634" s="4">
        <f t="shared" si="1026"/>
        <v>0</v>
      </c>
      <c r="AC6634" s="6">
        <f t="shared" si="1024"/>
        <v>0</v>
      </c>
      <c r="AD6634" s="6">
        <f t="shared" si="1022"/>
        <v>0</v>
      </c>
      <c r="AE6634" s="14">
        <v>0.06</v>
      </c>
      <c r="AF6634" s="6">
        <f t="shared" si="1028"/>
        <v>0</v>
      </c>
      <c r="AG6634" s="14">
        <v>0</v>
      </c>
      <c r="AH6634" s="64">
        <f t="shared" si="1023"/>
        <v>0</v>
      </c>
      <c r="AJ6634" s="126" t="e">
        <v>#N/A</v>
      </c>
      <c r="AK6634" s="80">
        <f t="shared" si="1027"/>
        <v>0</v>
      </c>
      <c r="AL6634" s="85"/>
      <c r="AM6634" s="85"/>
    </row>
    <row r="6635" spans="1:39" s="86" customFormat="1" ht="13.25" hidden="1" customHeight="1" x14ac:dyDescent="0.3">
      <c r="A6635" s="89" t="s">
        <v>3792</v>
      </c>
      <c r="B6635" s="86" t="s">
        <v>35</v>
      </c>
      <c r="C6635" s="86" t="s">
        <v>65</v>
      </c>
      <c r="D6635" s="86" t="s">
        <v>66</v>
      </c>
      <c r="E6635" s="86" t="s">
        <v>276</v>
      </c>
      <c r="F6635" s="86" t="s">
        <v>277</v>
      </c>
      <c r="G6635" s="86" t="s">
        <v>276</v>
      </c>
      <c r="H6635" s="144">
        <v>229</v>
      </c>
      <c r="I6635" s="86" t="s">
        <v>3356</v>
      </c>
      <c r="J6635" s="47" t="s">
        <v>3326</v>
      </c>
      <c r="K6635" s="47" t="str">
        <f t="shared" si="1019"/>
        <v>巨量引擎-二类</v>
      </c>
      <c r="L6635" s="47" t="s">
        <v>35</v>
      </c>
      <c r="N6635" s="86" t="s">
        <v>3710</v>
      </c>
      <c r="O6635" s="47" t="s">
        <v>105</v>
      </c>
      <c r="P6635" s="47" t="s">
        <v>46</v>
      </c>
      <c r="Q6635" s="14">
        <v>0.06</v>
      </c>
      <c r="R6635" s="143"/>
      <c r="S6635" s="47"/>
      <c r="T6635" s="6">
        <v>-610.77999999999986</v>
      </c>
      <c r="U6635" s="6"/>
      <c r="V6635" s="6">
        <v>298.27999999999992</v>
      </c>
      <c r="W6635" s="6">
        <f t="shared" si="1020"/>
        <v>-909.05999999999972</v>
      </c>
      <c r="X6635" s="6">
        <f t="shared" si="1021"/>
        <v>281.39622641509425</v>
      </c>
      <c r="Y6635" s="13">
        <f t="shared" si="1025"/>
        <v>0</v>
      </c>
      <c r="Z6635" s="14">
        <v>0</v>
      </c>
      <c r="AA6635" s="6">
        <v>0</v>
      </c>
      <c r="AB6635" s="4">
        <f t="shared" si="1026"/>
        <v>281.39622641509425</v>
      </c>
      <c r="AC6635" s="6">
        <f t="shared" si="1024"/>
        <v>16.883773584905668</v>
      </c>
      <c r="AD6635" s="6">
        <f t="shared" si="1022"/>
        <v>298.27999999999992</v>
      </c>
      <c r="AE6635" s="14">
        <v>0.06</v>
      </c>
      <c r="AF6635" s="6">
        <f t="shared" si="1028"/>
        <v>17.896799999999995</v>
      </c>
      <c r="AG6635" s="14">
        <v>0</v>
      </c>
      <c r="AH6635" s="64">
        <f t="shared" si="1023"/>
        <v>298.27999999999992</v>
      </c>
      <c r="AJ6635" s="126" t="e">
        <v>#N/A</v>
      </c>
      <c r="AK6635" s="80">
        <f t="shared" si="1027"/>
        <v>0</v>
      </c>
      <c r="AL6635" s="85"/>
      <c r="AM6635" s="85"/>
    </row>
    <row r="6636" spans="1:39" s="86" customFormat="1" ht="13.25" hidden="1" customHeight="1" x14ac:dyDescent="0.3">
      <c r="A6636" s="89" t="s">
        <v>3794</v>
      </c>
      <c r="B6636" s="86" t="s">
        <v>35</v>
      </c>
      <c r="C6636" s="86" t="s">
        <v>164</v>
      </c>
      <c r="D6636" s="86" t="s">
        <v>305</v>
      </c>
      <c r="E6636" s="86" t="s">
        <v>128</v>
      </c>
      <c r="F6636" s="86" t="s">
        <v>128</v>
      </c>
      <c r="G6636" s="86" t="s">
        <v>128</v>
      </c>
      <c r="H6636" s="144">
        <v>229</v>
      </c>
      <c r="I6636" s="86" t="s">
        <v>3356</v>
      </c>
      <c r="J6636" s="47" t="s">
        <v>3326</v>
      </c>
      <c r="K6636" s="47" t="str">
        <f t="shared" si="1019"/>
        <v>巨量引擎-二类</v>
      </c>
      <c r="L6636" s="47" t="s">
        <v>35</v>
      </c>
      <c r="N6636" s="86" t="s">
        <v>3710</v>
      </c>
      <c r="O6636" s="47" t="s">
        <v>105</v>
      </c>
      <c r="P6636" s="47" t="s">
        <v>92</v>
      </c>
      <c r="Q6636" s="14">
        <v>0.99</v>
      </c>
      <c r="R6636" s="143"/>
      <c r="S6636" s="47"/>
      <c r="T6636" s="6">
        <v>-7354.72</v>
      </c>
      <c r="U6636" s="6"/>
      <c r="V6636" s="6">
        <v>2883.62</v>
      </c>
      <c r="W6636" s="6">
        <f t="shared" si="1020"/>
        <v>-10238.34</v>
      </c>
      <c r="X6636" s="6">
        <f t="shared" si="1021"/>
        <v>2854.7837999999997</v>
      </c>
      <c r="Y6636" s="13">
        <f t="shared" si="1025"/>
        <v>0</v>
      </c>
      <c r="Z6636" s="14">
        <v>0</v>
      </c>
      <c r="AA6636" s="6">
        <v>0</v>
      </c>
      <c r="AB6636" s="4">
        <f t="shared" si="1026"/>
        <v>2854.7837999999997</v>
      </c>
      <c r="AC6636" s="6">
        <f t="shared" si="1024"/>
        <v>28.83620000000019</v>
      </c>
      <c r="AD6636" s="6">
        <f t="shared" si="1022"/>
        <v>2883.62</v>
      </c>
      <c r="AE6636" s="14">
        <v>0.06</v>
      </c>
      <c r="AF6636" s="6">
        <f t="shared" si="1028"/>
        <v>173.01719999999997</v>
      </c>
      <c r="AG6636" s="14">
        <v>0</v>
      </c>
      <c r="AH6636" s="64">
        <f t="shared" si="1023"/>
        <v>2883.62</v>
      </c>
      <c r="AJ6636" s="126" t="e">
        <v>#N/A</v>
      </c>
      <c r="AK6636" s="80">
        <f t="shared" si="1027"/>
        <v>0</v>
      </c>
      <c r="AL6636" s="85"/>
      <c r="AM6636" s="85"/>
    </row>
    <row r="6637" spans="1:39" s="86" customFormat="1" ht="13.25" hidden="1" customHeight="1" x14ac:dyDescent="0.3">
      <c r="A6637" s="89" t="s">
        <v>3794</v>
      </c>
      <c r="B6637" s="86" t="s">
        <v>35</v>
      </c>
      <c r="C6637" s="86" t="s">
        <v>65</v>
      </c>
      <c r="D6637" s="86" t="s">
        <v>66</v>
      </c>
      <c r="E6637" s="86" t="s">
        <v>132</v>
      </c>
      <c r="F6637" s="86" t="s">
        <v>133</v>
      </c>
      <c r="G6637" s="86" t="s">
        <v>132</v>
      </c>
      <c r="H6637" s="144">
        <v>229</v>
      </c>
      <c r="I6637" s="86" t="s">
        <v>3356</v>
      </c>
      <c r="J6637" s="47" t="s">
        <v>3326</v>
      </c>
      <c r="K6637" s="47" t="str">
        <f t="shared" si="1019"/>
        <v>巨量引擎-一类</v>
      </c>
      <c r="L6637" s="47" t="s">
        <v>35</v>
      </c>
      <c r="N6637" s="86" t="s">
        <v>3707</v>
      </c>
      <c r="O6637" s="47" t="s">
        <v>105</v>
      </c>
      <c r="P6637" s="47" t="s">
        <v>46</v>
      </c>
      <c r="Q6637" s="14">
        <v>1.4999999999999999E-2</v>
      </c>
      <c r="R6637" s="143"/>
      <c r="S6637" s="47"/>
      <c r="T6637" s="6">
        <v>-3309.83</v>
      </c>
      <c r="U6637" s="6"/>
      <c r="V6637" s="6">
        <v>1017.95</v>
      </c>
      <c r="W6637" s="6">
        <f t="shared" si="1020"/>
        <v>-4327.78</v>
      </c>
      <c r="X6637" s="6">
        <f t="shared" si="1021"/>
        <v>1002.9064039408869</v>
      </c>
      <c r="Y6637" s="13">
        <f t="shared" si="1025"/>
        <v>0</v>
      </c>
      <c r="Z6637" s="14">
        <v>0</v>
      </c>
      <c r="AA6637" s="6">
        <v>0</v>
      </c>
      <c r="AB6637" s="4">
        <f t="shared" si="1026"/>
        <v>1002.9064039408869</v>
      </c>
      <c r="AC6637" s="6">
        <f t="shared" si="1024"/>
        <v>15.043596059113156</v>
      </c>
      <c r="AD6637" s="6">
        <f t="shared" si="1022"/>
        <v>1017.95</v>
      </c>
      <c r="AE6637" s="14">
        <v>0.06</v>
      </c>
      <c r="AF6637" s="6">
        <f t="shared" si="1028"/>
        <v>61.076999999999998</v>
      </c>
      <c r="AG6637" s="14">
        <v>0</v>
      </c>
      <c r="AH6637" s="64">
        <f t="shared" si="1023"/>
        <v>1017.95</v>
      </c>
      <c r="AJ6637" s="126" t="e">
        <v>#N/A</v>
      </c>
      <c r="AK6637" s="80">
        <f t="shared" si="1027"/>
        <v>0</v>
      </c>
      <c r="AL6637" s="85"/>
      <c r="AM6637" s="85"/>
    </row>
    <row r="6638" spans="1:39" s="86" customFormat="1" ht="13.25" hidden="1" customHeight="1" x14ac:dyDescent="0.3">
      <c r="A6638" s="89" t="s">
        <v>3794</v>
      </c>
      <c r="B6638" s="86" t="s">
        <v>35</v>
      </c>
      <c r="C6638" s="86" t="s">
        <v>36</v>
      </c>
      <c r="D6638" s="86" t="s">
        <v>185</v>
      </c>
      <c r="E6638" s="86" t="s">
        <v>136</v>
      </c>
      <c r="F6638" s="86" t="s">
        <v>136</v>
      </c>
      <c r="G6638" s="86" t="s">
        <v>136</v>
      </c>
      <c r="H6638" s="144">
        <v>229</v>
      </c>
      <c r="I6638" s="86" t="s">
        <v>3356</v>
      </c>
      <c r="J6638" s="47" t="s">
        <v>3326</v>
      </c>
      <c r="K6638" s="47" t="str">
        <f t="shared" si="1019"/>
        <v>巨量引擎-三类</v>
      </c>
      <c r="L6638" s="47" t="s">
        <v>35</v>
      </c>
      <c r="N6638" s="86" t="s">
        <v>3712</v>
      </c>
      <c r="O6638" s="47" t="s">
        <v>105</v>
      </c>
      <c r="P6638" s="47" t="s">
        <v>41</v>
      </c>
      <c r="Q6638" s="14">
        <v>0</v>
      </c>
      <c r="R6638" s="143"/>
      <c r="S6638" s="47"/>
      <c r="T6638" s="6">
        <v>-49.22</v>
      </c>
      <c r="U6638" s="6"/>
      <c r="V6638" s="6">
        <v>1516.4500000000003</v>
      </c>
      <c r="W6638" s="6">
        <f t="shared" si="1020"/>
        <v>-1565.6700000000003</v>
      </c>
      <c r="X6638" s="6">
        <f t="shared" si="1021"/>
        <v>1516.4500000000003</v>
      </c>
      <c r="Y6638" s="13">
        <f t="shared" si="1025"/>
        <v>0</v>
      </c>
      <c r="Z6638" s="14">
        <v>0</v>
      </c>
      <c r="AA6638" s="6">
        <v>0</v>
      </c>
      <c r="AB6638" s="4">
        <f t="shared" si="1026"/>
        <v>1516.4500000000003</v>
      </c>
      <c r="AC6638" s="6">
        <f t="shared" si="1024"/>
        <v>0</v>
      </c>
      <c r="AD6638" s="6">
        <f t="shared" si="1022"/>
        <v>1516.4500000000003</v>
      </c>
      <c r="AE6638" s="14">
        <v>0.06</v>
      </c>
      <c r="AF6638" s="6">
        <f t="shared" si="1028"/>
        <v>90.987000000000009</v>
      </c>
      <c r="AG6638" s="14">
        <v>0</v>
      </c>
      <c r="AH6638" s="64">
        <f t="shared" si="1023"/>
        <v>1516.4500000000003</v>
      </c>
      <c r="AJ6638" s="126" t="e">
        <v>#N/A</v>
      </c>
      <c r="AK6638" s="80">
        <f t="shared" si="1027"/>
        <v>0</v>
      </c>
      <c r="AL6638" s="85"/>
      <c r="AM6638" s="85"/>
    </row>
    <row r="6639" spans="1:39" s="86" customFormat="1" ht="13.25" hidden="1" customHeight="1" x14ac:dyDescent="0.3">
      <c r="A6639" s="89" t="s">
        <v>3792</v>
      </c>
      <c r="B6639" s="86" t="s">
        <v>35</v>
      </c>
      <c r="C6639" s="86" t="s">
        <v>36</v>
      </c>
      <c r="D6639" s="86" t="s">
        <v>185</v>
      </c>
      <c r="E6639" s="86" t="s">
        <v>138</v>
      </c>
      <c r="F6639" s="86" t="s">
        <v>139</v>
      </c>
      <c r="G6639" s="86" t="s">
        <v>138</v>
      </c>
      <c r="H6639" s="144">
        <v>229</v>
      </c>
      <c r="I6639" s="86" t="s">
        <v>3356</v>
      </c>
      <c r="J6639" s="47" t="s">
        <v>3326</v>
      </c>
      <c r="K6639" s="47" t="str">
        <f t="shared" si="1019"/>
        <v>巨量引擎-一类</v>
      </c>
      <c r="L6639" s="47" t="s">
        <v>35</v>
      </c>
      <c r="N6639" s="86" t="s">
        <v>3707</v>
      </c>
      <c r="O6639" s="47" t="s">
        <v>105</v>
      </c>
      <c r="P6639" s="47" t="s">
        <v>41</v>
      </c>
      <c r="Q6639" s="14">
        <v>0</v>
      </c>
      <c r="R6639" s="143"/>
      <c r="S6639" s="47"/>
      <c r="T6639" s="6">
        <v>-53768.97</v>
      </c>
      <c r="U6639" s="6"/>
      <c r="V6639" s="6">
        <v>10.620000000000001</v>
      </c>
      <c r="W6639" s="6">
        <f t="shared" si="1020"/>
        <v>-53779.590000000004</v>
      </c>
      <c r="X6639" s="6">
        <f t="shared" si="1021"/>
        <v>10.620000000000001</v>
      </c>
      <c r="Y6639" s="13">
        <f t="shared" si="1025"/>
        <v>0</v>
      </c>
      <c r="Z6639" s="14">
        <v>0</v>
      </c>
      <c r="AA6639" s="6">
        <v>0</v>
      </c>
      <c r="AB6639" s="4">
        <f t="shared" si="1026"/>
        <v>10.620000000000001</v>
      </c>
      <c r="AC6639" s="6">
        <f t="shared" si="1024"/>
        <v>0</v>
      </c>
      <c r="AD6639" s="6">
        <f t="shared" si="1022"/>
        <v>10.620000000000001</v>
      </c>
      <c r="AE6639" s="14">
        <v>0.06</v>
      </c>
      <c r="AF6639" s="6">
        <f t="shared" si="1028"/>
        <v>0.63719999999999999</v>
      </c>
      <c r="AG6639" s="14">
        <v>0</v>
      </c>
      <c r="AH6639" s="64">
        <f t="shared" si="1023"/>
        <v>10.620000000000001</v>
      </c>
      <c r="AJ6639" s="126" t="e">
        <v>#N/A</v>
      </c>
      <c r="AK6639" s="80">
        <f t="shared" si="1027"/>
        <v>0</v>
      </c>
      <c r="AL6639" s="85"/>
      <c r="AM6639" s="85"/>
    </row>
    <row r="6640" spans="1:39" s="86" customFormat="1" ht="13.25" hidden="1" customHeight="1" x14ac:dyDescent="0.3">
      <c r="A6640" s="89" t="s">
        <v>3794</v>
      </c>
      <c r="B6640" s="86" t="s">
        <v>35</v>
      </c>
      <c r="C6640" s="86" t="s">
        <v>164</v>
      </c>
      <c r="D6640" s="86" t="s">
        <v>305</v>
      </c>
      <c r="E6640" s="86" t="s">
        <v>141</v>
      </c>
      <c r="F6640" s="86" t="s">
        <v>142</v>
      </c>
      <c r="G6640" s="86" t="s">
        <v>141</v>
      </c>
      <c r="H6640" s="143">
        <v>229</v>
      </c>
      <c r="I6640" s="86" t="s">
        <v>3356</v>
      </c>
      <c r="J6640" s="47" t="s">
        <v>3326</v>
      </c>
      <c r="K6640" s="47"/>
      <c r="L6640" s="47" t="s">
        <v>35</v>
      </c>
      <c r="O6640" s="47" t="s">
        <v>105</v>
      </c>
      <c r="P6640" s="47" t="s">
        <v>46</v>
      </c>
      <c r="Q6640" s="14">
        <v>0.01</v>
      </c>
      <c r="R6640" s="143"/>
      <c r="S6640" s="47"/>
      <c r="T6640" s="6">
        <v>-1.98</v>
      </c>
      <c r="U6640" s="6"/>
      <c r="V6640" s="6">
        <v>0</v>
      </c>
      <c r="W6640" s="6">
        <f t="shared" ref="W6640:W6703" si="1029">T6640+U6640-V6640</f>
        <v>-1.98</v>
      </c>
      <c r="X6640" s="6">
        <f t="shared" ref="X6640:X6703" si="1030">IF(P6640="折扣",V6640*Q6640,IF(P6640="返现",V6640,V6640/(1+Q6640)))</f>
        <v>0</v>
      </c>
      <c r="Y6640" s="13">
        <f t="shared" si="1025"/>
        <v>0</v>
      </c>
      <c r="Z6640" s="14">
        <v>0</v>
      </c>
      <c r="AA6640" s="6">
        <v>0</v>
      </c>
      <c r="AB6640" s="4">
        <f t="shared" si="1026"/>
        <v>0</v>
      </c>
      <c r="AC6640" s="6">
        <f t="shared" si="1024"/>
        <v>0</v>
      </c>
      <c r="AD6640" s="6">
        <f t="shared" ref="AD6640:AD6703" si="1031">V6640</f>
        <v>0</v>
      </c>
      <c r="AE6640" s="14">
        <v>0.06</v>
      </c>
      <c r="AF6640" s="6">
        <f t="shared" si="1028"/>
        <v>0</v>
      </c>
      <c r="AG6640" s="14">
        <v>0</v>
      </c>
      <c r="AH6640" s="64">
        <f t="shared" ref="AH6640:AH6703" si="1032">V6640</f>
        <v>0</v>
      </c>
      <c r="AJ6640" s="126" t="e">
        <v>#N/A</v>
      </c>
      <c r="AK6640" s="80">
        <f t="shared" si="1027"/>
        <v>0</v>
      </c>
      <c r="AL6640" s="85"/>
      <c r="AM6640" s="85"/>
    </row>
    <row r="6641" spans="1:39" s="86" customFormat="1" ht="13.25" hidden="1" customHeight="1" x14ac:dyDescent="0.3">
      <c r="A6641" s="89" t="s">
        <v>3794</v>
      </c>
      <c r="B6641" s="86" t="s">
        <v>35</v>
      </c>
      <c r="C6641" s="86" t="s">
        <v>144</v>
      </c>
      <c r="D6641" s="86" t="s">
        <v>145</v>
      </c>
      <c r="E6641" s="86" t="s">
        <v>146</v>
      </c>
      <c r="F6641" s="86" t="s">
        <v>146</v>
      </c>
      <c r="G6641" s="86" t="s">
        <v>146</v>
      </c>
      <c r="H6641" s="144">
        <v>229</v>
      </c>
      <c r="I6641" s="86" t="s">
        <v>3356</v>
      </c>
      <c r="J6641" s="47" t="s">
        <v>3326</v>
      </c>
      <c r="K6641" s="47" t="str">
        <f t="shared" ref="K6641:K6703" si="1033">N6641</f>
        <v>巨量引擎-三类</v>
      </c>
      <c r="L6641" s="47" t="s">
        <v>35</v>
      </c>
      <c r="N6641" s="86" t="s">
        <v>3712</v>
      </c>
      <c r="O6641" s="47" t="s">
        <v>105</v>
      </c>
      <c r="P6641" s="47" t="s">
        <v>41</v>
      </c>
      <c r="Q6641" s="14">
        <v>0</v>
      </c>
      <c r="R6641" s="143"/>
      <c r="S6641" s="47"/>
      <c r="T6641" s="6">
        <v>-75.239999999999981</v>
      </c>
      <c r="U6641" s="6"/>
      <c r="V6641" s="6">
        <v>1343.4199999999998</v>
      </c>
      <c r="W6641" s="6">
        <f t="shared" si="1029"/>
        <v>-1418.6599999999999</v>
      </c>
      <c r="X6641" s="6">
        <f t="shared" si="1030"/>
        <v>1343.4199999999998</v>
      </c>
      <c r="Y6641" s="13">
        <f t="shared" si="1025"/>
        <v>0</v>
      </c>
      <c r="Z6641" s="14">
        <v>0</v>
      </c>
      <c r="AA6641" s="6">
        <v>0</v>
      </c>
      <c r="AB6641" s="4">
        <f t="shared" si="1026"/>
        <v>1343.4199999999998</v>
      </c>
      <c r="AC6641" s="6">
        <f t="shared" si="1024"/>
        <v>0</v>
      </c>
      <c r="AD6641" s="6">
        <f t="shared" si="1031"/>
        <v>1343.4199999999998</v>
      </c>
      <c r="AE6641" s="14">
        <v>0.06</v>
      </c>
      <c r="AF6641" s="6">
        <f t="shared" si="1028"/>
        <v>80.605199999999982</v>
      </c>
      <c r="AG6641" s="14">
        <v>0</v>
      </c>
      <c r="AH6641" s="64">
        <f t="shared" si="1032"/>
        <v>1343.4199999999998</v>
      </c>
      <c r="AJ6641" s="126" t="e">
        <v>#N/A</v>
      </c>
      <c r="AK6641" s="80">
        <f t="shared" si="1027"/>
        <v>0</v>
      </c>
      <c r="AL6641" s="85"/>
      <c r="AM6641" s="85"/>
    </row>
    <row r="6642" spans="1:39" s="86" customFormat="1" ht="13.25" hidden="1" customHeight="1" x14ac:dyDescent="0.3">
      <c r="A6642" s="89" t="s">
        <v>3794</v>
      </c>
      <c r="B6642" s="86" t="s">
        <v>35</v>
      </c>
      <c r="C6642" s="86" t="s">
        <v>144</v>
      </c>
      <c r="D6642" s="86" t="s">
        <v>152</v>
      </c>
      <c r="E6642" s="86" t="s">
        <v>241</v>
      </c>
      <c r="F6642" s="86" t="s">
        <v>241</v>
      </c>
      <c r="G6642" s="86" t="s">
        <v>241</v>
      </c>
      <c r="H6642" s="143">
        <v>229</v>
      </c>
      <c r="I6642" s="86" t="s">
        <v>3356</v>
      </c>
      <c r="J6642" s="47" t="s">
        <v>3326</v>
      </c>
      <c r="K6642" s="47"/>
      <c r="L6642" s="47" t="s">
        <v>35</v>
      </c>
      <c r="O6642" s="47" t="s">
        <v>105</v>
      </c>
      <c r="P6642" s="47" t="s">
        <v>41</v>
      </c>
      <c r="Q6642" s="14">
        <v>0</v>
      </c>
      <c r="R6642" s="143"/>
      <c r="S6642" s="47"/>
      <c r="T6642" s="6">
        <v>-238.92999999999998</v>
      </c>
      <c r="U6642" s="6"/>
      <c r="V6642" s="6">
        <v>0</v>
      </c>
      <c r="W6642" s="6">
        <f t="shared" si="1029"/>
        <v>-238.92999999999998</v>
      </c>
      <c r="X6642" s="6">
        <f t="shared" si="1030"/>
        <v>0</v>
      </c>
      <c r="Y6642" s="13">
        <f t="shared" si="1025"/>
        <v>0</v>
      </c>
      <c r="Z6642" s="14">
        <v>0</v>
      </c>
      <c r="AA6642" s="6">
        <v>0</v>
      </c>
      <c r="AB6642" s="4">
        <f t="shared" si="1026"/>
        <v>0</v>
      </c>
      <c r="AC6642" s="6">
        <f t="shared" si="1024"/>
        <v>0</v>
      </c>
      <c r="AD6642" s="6">
        <f t="shared" si="1031"/>
        <v>0</v>
      </c>
      <c r="AE6642" s="14">
        <v>0.06</v>
      </c>
      <c r="AF6642" s="6">
        <f t="shared" si="1028"/>
        <v>0</v>
      </c>
      <c r="AG6642" s="14">
        <v>0</v>
      </c>
      <c r="AH6642" s="64">
        <f t="shared" si="1032"/>
        <v>0</v>
      </c>
      <c r="AJ6642" s="126" t="e">
        <v>#N/A</v>
      </c>
      <c r="AK6642" s="80">
        <f t="shared" si="1027"/>
        <v>0</v>
      </c>
      <c r="AL6642" s="85"/>
      <c r="AM6642" s="85"/>
    </row>
    <row r="6643" spans="1:39" s="86" customFormat="1" ht="13.25" hidden="1" customHeight="1" x14ac:dyDescent="0.3">
      <c r="A6643" s="89" t="s">
        <v>3794</v>
      </c>
      <c r="B6643" s="86" t="s">
        <v>35</v>
      </c>
      <c r="C6643" s="86" t="s">
        <v>144</v>
      </c>
      <c r="D6643" s="86" t="s">
        <v>161</v>
      </c>
      <c r="E6643" s="86" t="s">
        <v>163</v>
      </c>
      <c r="F6643" s="86" t="s">
        <v>163</v>
      </c>
      <c r="G6643" s="86" t="s">
        <v>163</v>
      </c>
      <c r="H6643" s="144">
        <v>229</v>
      </c>
      <c r="I6643" s="86" t="s">
        <v>3356</v>
      </c>
      <c r="J6643" s="47" t="s">
        <v>3326</v>
      </c>
      <c r="K6643" s="47" t="str">
        <f t="shared" si="1033"/>
        <v>巨量引擎-三类</v>
      </c>
      <c r="L6643" s="47" t="s">
        <v>35</v>
      </c>
      <c r="N6643" s="86" t="s">
        <v>3712</v>
      </c>
      <c r="O6643" s="47" t="s">
        <v>105</v>
      </c>
      <c r="P6643" s="47" t="s">
        <v>41</v>
      </c>
      <c r="Q6643" s="14">
        <v>0</v>
      </c>
      <c r="R6643" s="143"/>
      <c r="S6643" s="47"/>
      <c r="T6643" s="6">
        <v>-405.03999999999996</v>
      </c>
      <c r="U6643" s="6"/>
      <c r="V6643" s="6">
        <v>3428.2799999999997</v>
      </c>
      <c r="W6643" s="6">
        <f t="shared" si="1029"/>
        <v>-3833.3199999999997</v>
      </c>
      <c r="X6643" s="6">
        <f t="shared" si="1030"/>
        <v>3428.2799999999997</v>
      </c>
      <c r="Y6643" s="13">
        <f t="shared" si="1025"/>
        <v>0</v>
      </c>
      <c r="Z6643" s="14">
        <v>0</v>
      </c>
      <c r="AA6643" s="6">
        <v>0</v>
      </c>
      <c r="AB6643" s="4">
        <f t="shared" si="1026"/>
        <v>3428.2799999999997</v>
      </c>
      <c r="AC6643" s="6">
        <f t="shared" si="1024"/>
        <v>0</v>
      </c>
      <c r="AD6643" s="6">
        <f t="shared" si="1031"/>
        <v>3428.2799999999997</v>
      </c>
      <c r="AE6643" s="14">
        <v>0.06</v>
      </c>
      <c r="AF6643" s="6">
        <f t="shared" si="1028"/>
        <v>205.69679999999997</v>
      </c>
      <c r="AG6643" s="14">
        <v>0</v>
      </c>
      <c r="AH6643" s="64">
        <f t="shared" si="1032"/>
        <v>3428.2799999999997</v>
      </c>
      <c r="AJ6643" s="126" t="e">
        <v>#N/A</v>
      </c>
      <c r="AK6643" s="80">
        <f t="shared" si="1027"/>
        <v>0</v>
      </c>
      <c r="AL6643" s="85"/>
      <c r="AM6643" s="85"/>
    </row>
    <row r="6644" spans="1:39" s="86" customFormat="1" ht="13.25" hidden="1" customHeight="1" x14ac:dyDescent="0.3">
      <c r="A6644" s="89" t="s">
        <v>3794</v>
      </c>
      <c r="B6644" s="86" t="s">
        <v>35</v>
      </c>
      <c r="C6644" s="86" t="s">
        <v>164</v>
      </c>
      <c r="D6644" s="86" t="s">
        <v>305</v>
      </c>
      <c r="E6644" s="86" t="s">
        <v>166</v>
      </c>
      <c r="F6644" s="86" t="s">
        <v>245</v>
      </c>
      <c r="G6644" s="86" t="s">
        <v>166</v>
      </c>
      <c r="H6644" s="144">
        <v>229</v>
      </c>
      <c r="I6644" s="86" t="s">
        <v>3356</v>
      </c>
      <c r="J6644" s="47" t="s">
        <v>3326</v>
      </c>
      <c r="K6644" s="47" t="str">
        <f t="shared" si="1033"/>
        <v>巨量引擎-二类</v>
      </c>
      <c r="L6644" s="47" t="s">
        <v>35</v>
      </c>
      <c r="N6644" s="86" t="s">
        <v>3710</v>
      </c>
      <c r="O6644" s="47" t="s">
        <v>105</v>
      </c>
      <c r="P6644" s="47" t="s">
        <v>46</v>
      </c>
      <c r="Q6644" s="14">
        <v>0.04</v>
      </c>
      <c r="R6644" s="143"/>
      <c r="S6644" s="47"/>
      <c r="T6644" s="6">
        <v>-9098.86</v>
      </c>
      <c r="U6644" s="6"/>
      <c r="V6644" s="6">
        <v>19387.57</v>
      </c>
      <c r="W6644" s="6">
        <f t="shared" si="1029"/>
        <v>-28486.43</v>
      </c>
      <c r="X6644" s="6">
        <f t="shared" si="1030"/>
        <v>18641.89423076923</v>
      </c>
      <c r="Y6644" s="13">
        <f t="shared" si="1025"/>
        <v>0</v>
      </c>
      <c r="Z6644" s="14">
        <v>0</v>
      </c>
      <c r="AA6644" s="6">
        <v>0</v>
      </c>
      <c r="AB6644" s="4">
        <f t="shared" si="1026"/>
        <v>18641.89423076923</v>
      </c>
      <c r="AC6644" s="6">
        <f t="shared" si="1024"/>
        <v>745.67576923076922</v>
      </c>
      <c r="AD6644" s="6">
        <f t="shared" si="1031"/>
        <v>19387.57</v>
      </c>
      <c r="AE6644" s="14">
        <v>0.06</v>
      </c>
      <c r="AF6644" s="6">
        <f t="shared" si="1028"/>
        <v>1163.2541999999999</v>
      </c>
      <c r="AG6644" s="14">
        <v>0</v>
      </c>
      <c r="AH6644" s="64">
        <f t="shared" si="1032"/>
        <v>19387.57</v>
      </c>
      <c r="AJ6644" s="126" t="e">
        <v>#N/A</v>
      </c>
      <c r="AK6644" s="80">
        <f t="shared" si="1027"/>
        <v>0</v>
      </c>
      <c r="AL6644" s="85"/>
      <c r="AM6644" s="85"/>
    </row>
    <row r="6645" spans="1:39" s="86" customFormat="1" ht="13.25" hidden="1" customHeight="1" x14ac:dyDescent="0.3">
      <c r="A6645" s="89" t="s">
        <v>3794</v>
      </c>
      <c r="B6645" s="86" t="s">
        <v>35</v>
      </c>
      <c r="C6645" s="86" t="s">
        <v>164</v>
      </c>
      <c r="D6645" s="86" t="s">
        <v>174</v>
      </c>
      <c r="E6645" s="86" t="s">
        <v>180</v>
      </c>
      <c r="F6645" s="86" t="s">
        <v>180</v>
      </c>
      <c r="G6645" s="86" t="s">
        <v>180</v>
      </c>
      <c r="H6645" s="143">
        <v>229</v>
      </c>
      <c r="I6645" s="86" t="s">
        <v>3356</v>
      </c>
      <c r="J6645" s="47" t="s">
        <v>3326</v>
      </c>
      <c r="K6645" s="47" t="str">
        <f t="shared" si="1033"/>
        <v>巨量引擎-三类</v>
      </c>
      <c r="L6645" s="47" t="s">
        <v>35</v>
      </c>
      <c r="N6645" s="86" t="s">
        <v>3940</v>
      </c>
      <c r="O6645" s="47" t="s">
        <v>105</v>
      </c>
      <c r="P6645" s="47" t="s">
        <v>46</v>
      </c>
      <c r="Q6645" s="14">
        <v>0.01</v>
      </c>
      <c r="R6645" s="143"/>
      <c r="S6645" s="47"/>
      <c r="T6645" s="6">
        <v>-0.31000000000000005</v>
      </c>
      <c r="U6645" s="6"/>
      <c r="V6645" s="6">
        <v>0</v>
      </c>
      <c r="W6645" s="6">
        <v>0</v>
      </c>
      <c r="X6645" s="6">
        <f t="shared" si="1030"/>
        <v>0</v>
      </c>
      <c r="Y6645" s="13">
        <f t="shared" si="1025"/>
        <v>0</v>
      </c>
      <c r="Z6645" s="14">
        <v>0</v>
      </c>
      <c r="AA6645" s="6">
        <v>0</v>
      </c>
      <c r="AB6645" s="4">
        <f t="shared" si="1026"/>
        <v>0</v>
      </c>
      <c r="AC6645" s="6">
        <f t="shared" si="1024"/>
        <v>0</v>
      </c>
      <c r="AD6645" s="6">
        <f t="shared" si="1031"/>
        <v>0</v>
      </c>
      <c r="AE6645" s="14">
        <v>0.06</v>
      </c>
      <c r="AF6645" s="6">
        <f t="shared" si="1028"/>
        <v>0</v>
      </c>
      <c r="AG6645" s="14">
        <v>0</v>
      </c>
      <c r="AH6645" s="64">
        <f t="shared" si="1032"/>
        <v>0</v>
      </c>
      <c r="AJ6645" s="126" t="e">
        <v>#N/A</v>
      </c>
      <c r="AK6645" s="80">
        <f t="shared" si="1027"/>
        <v>0</v>
      </c>
      <c r="AL6645" s="85"/>
      <c r="AM6645" s="85"/>
    </row>
    <row r="6646" spans="1:39" s="86" customFormat="1" ht="13.25" hidden="1" customHeight="1" x14ac:dyDescent="0.3">
      <c r="A6646" s="89" t="s">
        <v>3794</v>
      </c>
      <c r="B6646" s="86" t="s">
        <v>35</v>
      </c>
      <c r="C6646" s="86" t="s">
        <v>36</v>
      </c>
      <c r="D6646" s="86" t="s">
        <v>185</v>
      </c>
      <c r="E6646" s="86" t="s">
        <v>186</v>
      </c>
      <c r="F6646" s="86" t="s">
        <v>186</v>
      </c>
      <c r="G6646" s="86" t="s">
        <v>186</v>
      </c>
      <c r="H6646" s="143">
        <v>229</v>
      </c>
      <c r="I6646" s="86" t="s">
        <v>3356</v>
      </c>
      <c r="J6646" s="47" t="s">
        <v>3326</v>
      </c>
      <c r="K6646" s="47" t="str">
        <f t="shared" si="1033"/>
        <v>巨量引擎-三类</v>
      </c>
      <c r="L6646" s="47" t="s">
        <v>35</v>
      </c>
      <c r="N6646" s="86" t="s">
        <v>3712</v>
      </c>
      <c r="O6646" s="47" t="s">
        <v>105</v>
      </c>
      <c r="P6646" s="47" t="s">
        <v>46</v>
      </c>
      <c r="Q6646" s="14">
        <v>0.01</v>
      </c>
      <c r="R6646" s="143"/>
      <c r="S6646" s="47"/>
      <c r="T6646" s="6">
        <v>-11468.570000000002</v>
      </c>
      <c r="U6646" s="6"/>
      <c r="V6646" s="6">
        <v>0</v>
      </c>
      <c r="W6646" s="6">
        <f t="shared" si="1029"/>
        <v>-11468.570000000002</v>
      </c>
      <c r="X6646" s="6">
        <f t="shared" si="1030"/>
        <v>0</v>
      </c>
      <c r="Y6646" s="13">
        <f t="shared" si="1025"/>
        <v>0</v>
      </c>
      <c r="Z6646" s="14">
        <v>0</v>
      </c>
      <c r="AA6646" s="6">
        <v>0</v>
      </c>
      <c r="AB6646" s="4">
        <f t="shared" si="1026"/>
        <v>0</v>
      </c>
      <c r="AC6646" s="6">
        <f t="shared" si="1024"/>
        <v>0</v>
      </c>
      <c r="AD6646" s="6">
        <f t="shared" si="1031"/>
        <v>0</v>
      </c>
      <c r="AE6646" s="14">
        <v>0.06</v>
      </c>
      <c r="AF6646" s="6">
        <f t="shared" si="1028"/>
        <v>0</v>
      </c>
      <c r="AG6646" s="14">
        <v>0</v>
      </c>
      <c r="AH6646" s="64">
        <f t="shared" si="1032"/>
        <v>0</v>
      </c>
      <c r="AJ6646" s="126" t="e">
        <v>#N/A</v>
      </c>
      <c r="AK6646" s="80">
        <f t="shared" si="1027"/>
        <v>0</v>
      </c>
      <c r="AL6646" s="85"/>
      <c r="AM6646" s="85"/>
    </row>
    <row r="6647" spans="1:39" s="86" customFormat="1" ht="13.25" hidden="1" customHeight="1" x14ac:dyDescent="0.3">
      <c r="A6647" s="89" t="s">
        <v>3794</v>
      </c>
      <c r="B6647" s="86" t="s">
        <v>35</v>
      </c>
      <c r="C6647" s="86" t="s">
        <v>187</v>
      </c>
      <c r="D6647" s="86" t="s">
        <v>188</v>
      </c>
      <c r="E6647" s="86" t="s">
        <v>189</v>
      </c>
      <c r="F6647" s="86" t="s">
        <v>189</v>
      </c>
      <c r="G6647" s="86" t="s">
        <v>189</v>
      </c>
      <c r="H6647" s="144">
        <v>229</v>
      </c>
      <c r="I6647" s="86" t="s">
        <v>3356</v>
      </c>
      <c r="J6647" s="47" t="s">
        <v>3326</v>
      </c>
      <c r="K6647" s="47" t="str">
        <f t="shared" si="1033"/>
        <v>巨量引擎-游戏</v>
      </c>
      <c r="L6647" s="47" t="s">
        <v>35</v>
      </c>
      <c r="N6647" s="86" t="s">
        <v>3283</v>
      </c>
      <c r="O6647" s="47" t="s">
        <v>105</v>
      </c>
      <c r="P6647" s="47" t="s">
        <v>46</v>
      </c>
      <c r="Q6647" s="14">
        <v>0.03</v>
      </c>
      <c r="R6647" s="143"/>
      <c r="S6647" s="47"/>
      <c r="T6647" s="6">
        <v>-544.84</v>
      </c>
      <c r="U6647" s="6"/>
      <c r="V6647" s="6">
        <v>1115.7</v>
      </c>
      <c r="W6647" s="6">
        <f t="shared" si="1029"/>
        <v>-1660.54</v>
      </c>
      <c r="X6647" s="6">
        <f t="shared" si="1030"/>
        <v>1083.2038834951456</v>
      </c>
      <c r="Y6647" s="13">
        <f t="shared" si="1025"/>
        <v>0</v>
      </c>
      <c r="Z6647" s="14">
        <v>0</v>
      </c>
      <c r="AA6647" s="6">
        <v>0</v>
      </c>
      <c r="AB6647" s="4">
        <f t="shared" si="1026"/>
        <v>1083.2038834951456</v>
      </c>
      <c r="AC6647" s="6">
        <f t="shared" si="1024"/>
        <v>32.496116504854399</v>
      </c>
      <c r="AD6647" s="6">
        <f t="shared" si="1031"/>
        <v>1115.7</v>
      </c>
      <c r="AE6647" s="14">
        <v>0.06</v>
      </c>
      <c r="AF6647" s="6">
        <f t="shared" si="1028"/>
        <v>66.942000000000007</v>
      </c>
      <c r="AG6647" s="14">
        <v>0</v>
      </c>
      <c r="AH6647" s="64">
        <f t="shared" si="1032"/>
        <v>1115.7</v>
      </c>
      <c r="AJ6647" s="126" t="e">
        <v>#N/A</v>
      </c>
      <c r="AK6647" s="80">
        <f t="shared" si="1027"/>
        <v>0</v>
      </c>
      <c r="AL6647" s="85"/>
      <c r="AM6647" s="85"/>
    </row>
    <row r="6648" spans="1:39" s="86" customFormat="1" ht="13.25" hidden="1" customHeight="1" x14ac:dyDescent="0.3">
      <c r="A6648" s="89" t="s">
        <v>3794</v>
      </c>
      <c r="B6648" s="86" t="s">
        <v>35</v>
      </c>
      <c r="C6648" s="86" t="s">
        <v>187</v>
      </c>
      <c r="D6648" s="86" t="s">
        <v>188</v>
      </c>
      <c r="E6648" s="86" t="s">
        <v>191</v>
      </c>
      <c r="F6648" s="86" t="s">
        <v>191</v>
      </c>
      <c r="G6648" s="86" t="s">
        <v>191</v>
      </c>
      <c r="H6648" s="143">
        <v>229</v>
      </c>
      <c r="I6648" s="86" t="s">
        <v>3356</v>
      </c>
      <c r="J6648" s="47" t="s">
        <v>3326</v>
      </c>
      <c r="K6648" s="47" t="str">
        <f t="shared" si="1033"/>
        <v>巨量引擎-游戏</v>
      </c>
      <c r="L6648" s="47" t="s">
        <v>35</v>
      </c>
      <c r="N6648" s="86" t="s">
        <v>3283</v>
      </c>
      <c r="O6648" s="47" t="s">
        <v>105</v>
      </c>
      <c r="P6648" s="47" t="s">
        <v>46</v>
      </c>
      <c r="Q6648" s="14">
        <v>0.03</v>
      </c>
      <c r="R6648" s="143"/>
      <c r="S6648" s="47"/>
      <c r="T6648" s="6">
        <v>-158.97999999999999</v>
      </c>
      <c r="U6648" s="6"/>
      <c r="V6648" s="6">
        <v>0</v>
      </c>
      <c r="W6648" s="6">
        <v>0</v>
      </c>
      <c r="X6648" s="6">
        <f t="shared" si="1030"/>
        <v>0</v>
      </c>
      <c r="Y6648" s="13">
        <f t="shared" si="1025"/>
        <v>0</v>
      </c>
      <c r="Z6648" s="14">
        <v>0</v>
      </c>
      <c r="AA6648" s="6">
        <v>0</v>
      </c>
      <c r="AB6648" s="4">
        <f t="shared" si="1026"/>
        <v>0</v>
      </c>
      <c r="AC6648" s="6">
        <f t="shared" si="1024"/>
        <v>0</v>
      </c>
      <c r="AD6648" s="6">
        <f t="shared" si="1031"/>
        <v>0</v>
      </c>
      <c r="AE6648" s="14">
        <v>0.06</v>
      </c>
      <c r="AF6648" s="6">
        <f t="shared" si="1028"/>
        <v>0</v>
      </c>
      <c r="AG6648" s="14">
        <v>0</v>
      </c>
      <c r="AH6648" s="64">
        <f t="shared" si="1032"/>
        <v>0</v>
      </c>
      <c r="AJ6648" s="126" t="e">
        <v>#N/A</v>
      </c>
      <c r="AK6648" s="80">
        <f t="shared" si="1027"/>
        <v>0</v>
      </c>
      <c r="AL6648" s="85"/>
      <c r="AM6648" s="85"/>
    </row>
    <row r="6649" spans="1:39" s="86" customFormat="1" ht="13.25" hidden="1" customHeight="1" x14ac:dyDescent="0.3">
      <c r="A6649" s="89" t="s">
        <v>3794</v>
      </c>
      <c r="B6649" s="86" t="s">
        <v>35</v>
      </c>
      <c r="C6649" s="86" t="s">
        <v>187</v>
      </c>
      <c r="D6649" s="86" t="s">
        <v>188</v>
      </c>
      <c r="E6649" s="86" t="s">
        <v>193</v>
      </c>
      <c r="F6649" s="86" t="s">
        <v>193</v>
      </c>
      <c r="G6649" s="86" t="s">
        <v>193</v>
      </c>
      <c r="H6649" s="144">
        <v>229</v>
      </c>
      <c r="I6649" s="86" t="s">
        <v>3356</v>
      </c>
      <c r="J6649" s="47" t="s">
        <v>3326</v>
      </c>
      <c r="K6649" s="47" t="str">
        <f t="shared" si="1033"/>
        <v>巨量引擎-游戏</v>
      </c>
      <c r="L6649" s="47" t="s">
        <v>35</v>
      </c>
      <c r="N6649" s="86" t="s">
        <v>3283</v>
      </c>
      <c r="O6649" s="47" t="s">
        <v>105</v>
      </c>
      <c r="P6649" s="47" t="s">
        <v>46</v>
      </c>
      <c r="Q6649" s="14">
        <v>0.04</v>
      </c>
      <c r="R6649" s="143"/>
      <c r="S6649" s="47"/>
      <c r="T6649" s="6">
        <v>-37671.109999999993</v>
      </c>
      <c r="U6649" s="6"/>
      <c r="V6649" s="6">
        <v>11092.679999999997</v>
      </c>
      <c r="W6649" s="6">
        <f t="shared" si="1029"/>
        <v>-48763.789999999994</v>
      </c>
      <c r="X6649" s="6">
        <f t="shared" si="1030"/>
        <v>10666.038461538457</v>
      </c>
      <c r="Y6649" s="13">
        <f t="shared" si="1025"/>
        <v>0</v>
      </c>
      <c r="Z6649" s="14">
        <v>0</v>
      </c>
      <c r="AA6649" s="6">
        <v>0</v>
      </c>
      <c r="AB6649" s="4">
        <f t="shared" si="1026"/>
        <v>10666.038461538457</v>
      </c>
      <c r="AC6649" s="6">
        <f t="shared" si="1024"/>
        <v>426.64153846153931</v>
      </c>
      <c r="AD6649" s="6">
        <f t="shared" si="1031"/>
        <v>11092.679999999997</v>
      </c>
      <c r="AE6649" s="14">
        <v>0.06</v>
      </c>
      <c r="AF6649" s="6">
        <f t="shared" si="1028"/>
        <v>665.56079999999974</v>
      </c>
      <c r="AG6649" s="14">
        <v>0</v>
      </c>
      <c r="AH6649" s="64">
        <f t="shared" si="1032"/>
        <v>11092.679999999997</v>
      </c>
      <c r="AJ6649" s="126" t="e">
        <v>#N/A</v>
      </c>
      <c r="AK6649" s="80">
        <f t="shared" si="1027"/>
        <v>0</v>
      </c>
      <c r="AL6649" s="85"/>
      <c r="AM6649" s="85"/>
    </row>
    <row r="6650" spans="1:39" s="86" customFormat="1" ht="13.25" hidden="1" customHeight="1" x14ac:dyDescent="0.3">
      <c r="A6650" s="89" t="s">
        <v>3794</v>
      </c>
      <c r="B6650" s="86" t="s">
        <v>35</v>
      </c>
      <c r="C6650" s="86" t="s">
        <v>187</v>
      </c>
      <c r="D6650" s="86" t="s">
        <v>188</v>
      </c>
      <c r="E6650" s="86" t="s">
        <v>195</v>
      </c>
      <c r="F6650" s="86" t="s">
        <v>195</v>
      </c>
      <c r="G6650" s="86" t="s">
        <v>195</v>
      </c>
      <c r="H6650" s="143">
        <v>229</v>
      </c>
      <c r="I6650" s="86" t="s">
        <v>3356</v>
      </c>
      <c r="J6650" s="47" t="s">
        <v>3326</v>
      </c>
      <c r="K6650" s="47" t="str">
        <f t="shared" si="1033"/>
        <v>巨量引擎-游戏</v>
      </c>
      <c r="L6650" s="47" t="s">
        <v>35</v>
      </c>
      <c r="N6650" s="86" t="s">
        <v>3283</v>
      </c>
      <c r="O6650" s="47" t="s">
        <v>105</v>
      </c>
      <c r="P6650" s="47" t="s">
        <v>46</v>
      </c>
      <c r="Q6650" s="14">
        <v>0.03</v>
      </c>
      <c r="R6650" s="143"/>
      <c r="S6650" s="47"/>
      <c r="T6650" s="6">
        <v>-43.87</v>
      </c>
      <c r="U6650" s="6"/>
      <c r="V6650" s="6">
        <v>0</v>
      </c>
      <c r="W6650" s="6">
        <f t="shared" si="1029"/>
        <v>-43.87</v>
      </c>
      <c r="X6650" s="6">
        <f t="shared" si="1030"/>
        <v>0</v>
      </c>
      <c r="Y6650" s="13">
        <f t="shared" si="1025"/>
        <v>0</v>
      </c>
      <c r="Z6650" s="14">
        <v>0</v>
      </c>
      <c r="AA6650" s="6">
        <v>0</v>
      </c>
      <c r="AB6650" s="4">
        <f t="shared" si="1026"/>
        <v>0</v>
      </c>
      <c r="AC6650" s="6">
        <f t="shared" si="1024"/>
        <v>0</v>
      </c>
      <c r="AD6650" s="6">
        <f t="shared" si="1031"/>
        <v>0</v>
      </c>
      <c r="AE6650" s="14">
        <v>0.06</v>
      </c>
      <c r="AF6650" s="6">
        <f t="shared" si="1028"/>
        <v>0</v>
      </c>
      <c r="AG6650" s="14">
        <v>0</v>
      </c>
      <c r="AH6650" s="64">
        <f t="shared" si="1032"/>
        <v>0</v>
      </c>
      <c r="AJ6650" s="126" t="e">
        <v>#N/A</v>
      </c>
      <c r="AK6650" s="80">
        <f t="shared" si="1027"/>
        <v>0</v>
      </c>
      <c r="AL6650" s="85"/>
      <c r="AM6650" s="85"/>
    </row>
    <row r="6651" spans="1:39" s="86" customFormat="1" ht="13.25" hidden="1" customHeight="1" x14ac:dyDescent="0.3">
      <c r="A6651" s="89" t="s">
        <v>3794</v>
      </c>
      <c r="B6651" s="86" t="s">
        <v>35</v>
      </c>
      <c r="C6651" s="86" t="s">
        <v>187</v>
      </c>
      <c r="D6651" s="86" t="s">
        <v>188</v>
      </c>
      <c r="E6651" s="86" t="s">
        <v>198</v>
      </c>
      <c r="F6651" s="86" t="s">
        <v>198</v>
      </c>
      <c r="G6651" s="86" t="s">
        <v>198</v>
      </c>
      <c r="H6651" s="143">
        <v>229</v>
      </c>
      <c r="I6651" s="86" t="s">
        <v>3356</v>
      </c>
      <c r="J6651" s="47" t="s">
        <v>3326</v>
      </c>
      <c r="K6651" s="47" t="str">
        <f t="shared" si="1033"/>
        <v>巨量引擎-游戏</v>
      </c>
      <c r="L6651" s="47" t="s">
        <v>35</v>
      </c>
      <c r="N6651" s="86" t="s">
        <v>3283</v>
      </c>
      <c r="O6651" s="47" t="s">
        <v>105</v>
      </c>
      <c r="P6651" s="47" t="s">
        <v>41</v>
      </c>
      <c r="Q6651" s="14">
        <v>0</v>
      </c>
      <c r="R6651" s="143"/>
      <c r="S6651" s="47"/>
      <c r="T6651" s="6">
        <v>-651.94999999999993</v>
      </c>
      <c r="U6651" s="6"/>
      <c r="V6651" s="6">
        <v>0</v>
      </c>
      <c r="W6651" s="6">
        <f t="shared" si="1029"/>
        <v>-651.94999999999993</v>
      </c>
      <c r="X6651" s="6">
        <f t="shared" si="1030"/>
        <v>0</v>
      </c>
      <c r="Y6651" s="13">
        <f t="shared" si="1025"/>
        <v>0</v>
      </c>
      <c r="Z6651" s="14">
        <v>0</v>
      </c>
      <c r="AA6651" s="6">
        <v>0</v>
      </c>
      <c r="AB6651" s="4">
        <f t="shared" si="1026"/>
        <v>0</v>
      </c>
      <c r="AC6651" s="6">
        <f t="shared" si="1024"/>
        <v>0</v>
      </c>
      <c r="AD6651" s="6">
        <f t="shared" si="1031"/>
        <v>0</v>
      </c>
      <c r="AE6651" s="14">
        <v>0.06</v>
      </c>
      <c r="AF6651" s="6">
        <f t="shared" si="1028"/>
        <v>0</v>
      </c>
      <c r="AG6651" s="14">
        <v>0</v>
      </c>
      <c r="AH6651" s="64">
        <f t="shared" si="1032"/>
        <v>0</v>
      </c>
      <c r="AJ6651" s="126" t="e">
        <v>#N/A</v>
      </c>
      <c r="AK6651" s="80">
        <f t="shared" si="1027"/>
        <v>0</v>
      </c>
      <c r="AL6651" s="85"/>
      <c r="AM6651" s="85"/>
    </row>
    <row r="6652" spans="1:39" s="86" customFormat="1" ht="13.25" hidden="1" customHeight="1" x14ac:dyDescent="0.3">
      <c r="A6652" s="89" t="s">
        <v>3794</v>
      </c>
      <c r="B6652" s="86" t="s">
        <v>35</v>
      </c>
      <c r="C6652" s="86" t="s">
        <v>187</v>
      </c>
      <c r="D6652" s="86" t="s">
        <v>188</v>
      </c>
      <c r="E6652" s="86" t="s">
        <v>267</v>
      </c>
      <c r="F6652" s="86" t="s">
        <v>267</v>
      </c>
      <c r="G6652" s="86" t="s">
        <v>267</v>
      </c>
      <c r="H6652" s="144">
        <v>229</v>
      </c>
      <c r="I6652" s="86" t="s">
        <v>3356</v>
      </c>
      <c r="J6652" s="47" t="s">
        <v>3326</v>
      </c>
      <c r="K6652" s="47" t="str">
        <f t="shared" si="1033"/>
        <v>巨量引擎-游戏</v>
      </c>
      <c r="L6652" s="47" t="s">
        <v>35</v>
      </c>
      <c r="N6652" s="86" t="s">
        <v>3283</v>
      </c>
      <c r="O6652" s="47" t="s">
        <v>105</v>
      </c>
      <c r="P6652" s="47" t="s">
        <v>46</v>
      </c>
      <c r="Q6652" s="14">
        <v>0.04</v>
      </c>
      <c r="R6652" s="143"/>
      <c r="S6652" s="47"/>
      <c r="T6652" s="6">
        <v>-36609.19999999999</v>
      </c>
      <c r="U6652" s="6"/>
      <c r="V6652" s="6">
        <v>116.56</v>
      </c>
      <c r="W6652" s="6">
        <f t="shared" si="1029"/>
        <v>-36725.759999999987</v>
      </c>
      <c r="X6652" s="6">
        <f t="shared" si="1030"/>
        <v>112.07692307692308</v>
      </c>
      <c r="Y6652" s="13">
        <f t="shared" si="1025"/>
        <v>0</v>
      </c>
      <c r="Z6652" s="14">
        <v>0</v>
      </c>
      <c r="AA6652" s="6">
        <v>0</v>
      </c>
      <c r="AB6652" s="4">
        <f t="shared" si="1026"/>
        <v>112.07692307692308</v>
      </c>
      <c r="AC6652" s="6">
        <f t="shared" si="1024"/>
        <v>4.4830769230769221</v>
      </c>
      <c r="AD6652" s="6">
        <f t="shared" si="1031"/>
        <v>116.56</v>
      </c>
      <c r="AE6652" s="14">
        <v>0.06</v>
      </c>
      <c r="AF6652" s="6">
        <f t="shared" si="1028"/>
        <v>6.9935999999999998</v>
      </c>
      <c r="AG6652" s="14">
        <v>0</v>
      </c>
      <c r="AH6652" s="64">
        <f t="shared" si="1032"/>
        <v>116.56</v>
      </c>
      <c r="AJ6652" s="126" t="e">
        <v>#N/A</v>
      </c>
      <c r="AK6652" s="80">
        <f t="shared" si="1027"/>
        <v>0</v>
      </c>
      <c r="AL6652" s="85"/>
      <c r="AM6652" s="85"/>
    </row>
    <row r="6653" spans="1:39" s="86" customFormat="1" ht="13.25" hidden="1" customHeight="1" x14ac:dyDescent="0.3">
      <c r="A6653" s="89" t="s">
        <v>3794</v>
      </c>
      <c r="B6653" s="86" t="s">
        <v>35</v>
      </c>
      <c r="C6653" s="86" t="s">
        <v>187</v>
      </c>
      <c r="D6653" s="86" t="s">
        <v>188</v>
      </c>
      <c r="E6653" s="86" t="s">
        <v>202</v>
      </c>
      <c r="F6653" s="86" t="s">
        <v>202</v>
      </c>
      <c r="G6653" s="86" t="s">
        <v>202</v>
      </c>
      <c r="H6653" s="144">
        <v>229</v>
      </c>
      <c r="I6653" s="86" t="s">
        <v>3356</v>
      </c>
      <c r="J6653" s="47" t="s">
        <v>3326</v>
      </c>
      <c r="K6653" s="47" t="str">
        <f t="shared" si="1033"/>
        <v>巨量引擎-游戏</v>
      </c>
      <c r="L6653" s="47" t="s">
        <v>35</v>
      </c>
      <c r="N6653" s="86" t="s">
        <v>3283</v>
      </c>
      <c r="O6653" s="47" t="s">
        <v>105</v>
      </c>
      <c r="P6653" s="47" t="s">
        <v>46</v>
      </c>
      <c r="Q6653" s="14">
        <v>0.04</v>
      </c>
      <c r="R6653" s="143"/>
      <c r="S6653" s="47"/>
      <c r="T6653" s="6">
        <v>-3934.8300000000004</v>
      </c>
      <c r="U6653" s="6"/>
      <c r="V6653" s="6">
        <v>9147.07</v>
      </c>
      <c r="W6653" s="6">
        <f t="shared" si="1029"/>
        <v>-13081.9</v>
      </c>
      <c r="X6653" s="6">
        <f t="shared" si="1030"/>
        <v>8795.2596153846152</v>
      </c>
      <c r="Y6653" s="13">
        <f t="shared" si="1025"/>
        <v>0</v>
      </c>
      <c r="Z6653" s="14">
        <v>0</v>
      </c>
      <c r="AA6653" s="6">
        <v>0</v>
      </c>
      <c r="AB6653" s="4">
        <f t="shared" si="1026"/>
        <v>8795.2596153846152</v>
      </c>
      <c r="AC6653" s="6">
        <f t="shared" si="1024"/>
        <v>351.81038461538446</v>
      </c>
      <c r="AD6653" s="6">
        <f t="shared" si="1031"/>
        <v>9147.07</v>
      </c>
      <c r="AE6653" s="14">
        <v>0.06</v>
      </c>
      <c r="AF6653" s="6">
        <f t="shared" si="1028"/>
        <v>548.82420000000002</v>
      </c>
      <c r="AG6653" s="14">
        <v>0</v>
      </c>
      <c r="AH6653" s="64">
        <f t="shared" si="1032"/>
        <v>9147.07</v>
      </c>
      <c r="AJ6653" s="126" t="e">
        <v>#N/A</v>
      </c>
      <c r="AK6653" s="80">
        <f t="shared" si="1027"/>
        <v>0</v>
      </c>
      <c r="AL6653" s="85"/>
      <c r="AM6653" s="85"/>
    </row>
    <row r="6654" spans="1:39" s="86" customFormat="1" ht="13.25" hidden="1" customHeight="1" x14ac:dyDescent="0.3">
      <c r="A6654" s="89" t="s">
        <v>3794</v>
      </c>
      <c r="B6654" s="86" t="s">
        <v>35</v>
      </c>
      <c r="C6654" s="86" t="s">
        <v>187</v>
      </c>
      <c r="D6654" s="86" t="s">
        <v>188</v>
      </c>
      <c r="E6654" s="86" t="s">
        <v>204</v>
      </c>
      <c r="F6654" s="86" t="s">
        <v>204</v>
      </c>
      <c r="G6654" s="86" t="s">
        <v>204</v>
      </c>
      <c r="H6654" s="143">
        <v>229</v>
      </c>
      <c r="I6654" s="86" t="s">
        <v>3356</v>
      </c>
      <c r="J6654" s="47" t="s">
        <v>3326</v>
      </c>
      <c r="K6654" s="47" t="str">
        <f t="shared" si="1033"/>
        <v>巨量引擎-游戏</v>
      </c>
      <c r="L6654" s="47" t="s">
        <v>35</v>
      </c>
      <c r="N6654" s="86" t="s">
        <v>3283</v>
      </c>
      <c r="O6654" s="47" t="s">
        <v>105</v>
      </c>
      <c r="P6654" s="47" t="s">
        <v>46</v>
      </c>
      <c r="Q6654" s="14">
        <v>0.03</v>
      </c>
      <c r="R6654" s="143"/>
      <c r="S6654" s="47"/>
      <c r="T6654" s="6">
        <v>-819.37999999999988</v>
      </c>
      <c r="U6654" s="6"/>
      <c r="V6654" s="6">
        <v>0</v>
      </c>
      <c r="W6654" s="6">
        <f t="shared" si="1029"/>
        <v>-819.37999999999988</v>
      </c>
      <c r="X6654" s="6">
        <f t="shared" si="1030"/>
        <v>0</v>
      </c>
      <c r="Y6654" s="13">
        <f t="shared" si="1025"/>
        <v>0</v>
      </c>
      <c r="Z6654" s="14">
        <v>0</v>
      </c>
      <c r="AA6654" s="6">
        <v>0</v>
      </c>
      <c r="AB6654" s="4">
        <f t="shared" si="1026"/>
        <v>0</v>
      </c>
      <c r="AC6654" s="6">
        <f t="shared" ref="AC6654:AC6717" si="1034">IF(P6654="返现",X6654*Q6654,V6654-X6654)</f>
        <v>0</v>
      </c>
      <c r="AD6654" s="6">
        <f t="shared" si="1031"/>
        <v>0</v>
      </c>
      <c r="AE6654" s="14">
        <v>0.06</v>
      </c>
      <c r="AF6654" s="6">
        <f t="shared" si="1028"/>
        <v>0</v>
      </c>
      <c r="AG6654" s="14">
        <v>0</v>
      </c>
      <c r="AH6654" s="64">
        <f t="shared" si="1032"/>
        <v>0</v>
      </c>
      <c r="AJ6654" s="126" t="e">
        <v>#N/A</v>
      </c>
      <c r="AK6654" s="80">
        <f t="shared" si="1027"/>
        <v>0</v>
      </c>
      <c r="AL6654" s="85"/>
      <c r="AM6654" s="85"/>
    </row>
    <row r="6655" spans="1:39" s="86" customFormat="1" ht="13.25" hidden="1" customHeight="1" x14ac:dyDescent="0.3">
      <c r="A6655" s="89" t="s">
        <v>3794</v>
      </c>
      <c r="B6655" s="86" t="s">
        <v>35</v>
      </c>
      <c r="C6655" s="86" t="s">
        <v>187</v>
      </c>
      <c r="D6655" s="86" t="s">
        <v>188</v>
      </c>
      <c r="E6655" s="86" t="s">
        <v>205</v>
      </c>
      <c r="F6655" s="86" t="s">
        <v>205</v>
      </c>
      <c r="G6655" s="86" t="s">
        <v>205</v>
      </c>
      <c r="H6655" s="144">
        <v>229</v>
      </c>
      <c r="I6655" s="86" t="s">
        <v>3356</v>
      </c>
      <c r="J6655" s="47" t="s">
        <v>3326</v>
      </c>
      <c r="K6655" s="47" t="str">
        <f t="shared" si="1033"/>
        <v>巨量引擎-游戏</v>
      </c>
      <c r="L6655" s="47" t="s">
        <v>35</v>
      </c>
      <c r="N6655" s="86" t="s">
        <v>3283</v>
      </c>
      <c r="O6655" s="47" t="s">
        <v>105</v>
      </c>
      <c r="P6655" s="47" t="s">
        <v>41</v>
      </c>
      <c r="Q6655" s="14">
        <v>0</v>
      </c>
      <c r="R6655" s="143"/>
      <c r="S6655" s="47"/>
      <c r="T6655" s="6">
        <v>-5953.3700000000008</v>
      </c>
      <c r="U6655" s="6"/>
      <c r="V6655" s="6">
        <v>5259.380000000001</v>
      </c>
      <c r="W6655" s="6">
        <v>0</v>
      </c>
      <c r="X6655" s="6">
        <f t="shared" si="1030"/>
        <v>5259.380000000001</v>
      </c>
      <c r="Y6655" s="13">
        <f t="shared" si="1025"/>
        <v>0</v>
      </c>
      <c r="Z6655" s="14">
        <v>0</v>
      </c>
      <c r="AA6655" s="6">
        <v>0</v>
      </c>
      <c r="AB6655" s="4">
        <f t="shared" si="1026"/>
        <v>5259.380000000001</v>
      </c>
      <c r="AC6655" s="6">
        <f t="shared" si="1034"/>
        <v>0</v>
      </c>
      <c r="AD6655" s="6">
        <f t="shared" si="1031"/>
        <v>5259.380000000001</v>
      </c>
      <c r="AE6655" s="14">
        <v>0.06</v>
      </c>
      <c r="AF6655" s="6">
        <f t="shared" si="1028"/>
        <v>315.56280000000004</v>
      </c>
      <c r="AG6655" s="14">
        <v>0</v>
      </c>
      <c r="AH6655" s="64">
        <f t="shared" si="1032"/>
        <v>5259.380000000001</v>
      </c>
      <c r="AJ6655" s="126" t="e">
        <v>#N/A</v>
      </c>
      <c r="AK6655" s="80">
        <f t="shared" si="1027"/>
        <v>0</v>
      </c>
      <c r="AL6655" s="85"/>
      <c r="AM6655" s="85"/>
    </row>
    <row r="6656" spans="1:39" s="86" customFormat="1" ht="13.25" hidden="1" customHeight="1" x14ac:dyDescent="0.3">
      <c r="A6656" s="89" t="s">
        <v>3794</v>
      </c>
      <c r="B6656" s="86" t="s">
        <v>35</v>
      </c>
      <c r="C6656" s="86" t="s">
        <v>187</v>
      </c>
      <c r="D6656" s="86" t="s">
        <v>208</v>
      </c>
      <c r="E6656" s="86" t="s">
        <v>211</v>
      </c>
      <c r="F6656" s="86" t="s">
        <v>211</v>
      </c>
      <c r="G6656" s="86" t="s">
        <v>211</v>
      </c>
      <c r="H6656" s="143">
        <v>229</v>
      </c>
      <c r="I6656" s="86" t="s">
        <v>3356</v>
      </c>
      <c r="J6656" s="47" t="s">
        <v>3326</v>
      </c>
      <c r="K6656" s="47" t="str">
        <f t="shared" si="1033"/>
        <v>巨量引擎-游戏</v>
      </c>
      <c r="L6656" s="47" t="s">
        <v>35</v>
      </c>
      <c r="N6656" s="86" t="s">
        <v>3283</v>
      </c>
      <c r="O6656" s="47" t="s">
        <v>105</v>
      </c>
      <c r="P6656" s="47" t="s">
        <v>46</v>
      </c>
      <c r="Q6656" s="14">
        <v>0.04</v>
      </c>
      <c r="R6656" s="143"/>
      <c r="S6656" s="47"/>
      <c r="T6656" s="6">
        <v>0</v>
      </c>
      <c r="U6656" s="6"/>
      <c r="V6656" s="6">
        <v>0</v>
      </c>
      <c r="W6656" s="6">
        <f t="shared" si="1029"/>
        <v>0</v>
      </c>
      <c r="X6656" s="6">
        <f t="shared" si="1030"/>
        <v>0</v>
      </c>
      <c r="Y6656" s="13">
        <f t="shared" si="1025"/>
        <v>0</v>
      </c>
      <c r="Z6656" s="14">
        <v>0</v>
      </c>
      <c r="AA6656" s="6">
        <v>0</v>
      </c>
      <c r="AB6656" s="4">
        <f t="shared" si="1026"/>
        <v>0</v>
      </c>
      <c r="AC6656" s="6">
        <f t="shared" si="1034"/>
        <v>0</v>
      </c>
      <c r="AD6656" s="6">
        <f t="shared" si="1031"/>
        <v>0</v>
      </c>
      <c r="AE6656" s="14">
        <v>0.06</v>
      </c>
      <c r="AF6656" s="6">
        <f t="shared" si="1028"/>
        <v>0</v>
      </c>
      <c r="AG6656" s="14">
        <v>0</v>
      </c>
      <c r="AH6656" s="64">
        <f t="shared" si="1032"/>
        <v>0</v>
      </c>
      <c r="AJ6656" s="126" t="e">
        <v>#N/A</v>
      </c>
      <c r="AK6656" s="80">
        <f t="shared" si="1027"/>
        <v>0</v>
      </c>
      <c r="AL6656" s="85"/>
      <c r="AM6656" s="85"/>
    </row>
    <row r="6657" spans="1:39" s="86" customFormat="1" ht="13.25" hidden="1" customHeight="1" x14ac:dyDescent="0.3">
      <c r="A6657" s="89" t="s">
        <v>3794</v>
      </c>
      <c r="B6657" s="86" t="s">
        <v>35</v>
      </c>
      <c r="C6657" s="86" t="s">
        <v>187</v>
      </c>
      <c r="D6657" s="86" t="s">
        <v>208</v>
      </c>
      <c r="E6657" s="86" t="s">
        <v>212</v>
      </c>
      <c r="F6657" s="86" t="s">
        <v>212</v>
      </c>
      <c r="G6657" s="86" t="s">
        <v>212</v>
      </c>
      <c r="H6657" s="144">
        <v>229</v>
      </c>
      <c r="I6657" s="86" t="s">
        <v>3356</v>
      </c>
      <c r="J6657" s="47" t="s">
        <v>3326</v>
      </c>
      <c r="K6657" s="47" t="str">
        <f t="shared" si="1033"/>
        <v>巨量引擎-游戏</v>
      </c>
      <c r="L6657" s="47" t="s">
        <v>35</v>
      </c>
      <c r="N6657" s="86" t="s">
        <v>3283</v>
      </c>
      <c r="O6657" s="47" t="s">
        <v>105</v>
      </c>
      <c r="P6657" s="47" t="s">
        <v>46</v>
      </c>
      <c r="Q6657" s="14">
        <v>0.04</v>
      </c>
      <c r="R6657" s="143"/>
      <c r="S6657" s="47"/>
      <c r="T6657" s="6">
        <v>-49.050000000000004</v>
      </c>
      <c r="U6657" s="6"/>
      <c r="V6657" s="6">
        <v>53.959999999999994</v>
      </c>
      <c r="W6657" s="6">
        <f t="shared" si="1029"/>
        <v>-103.00999999999999</v>
      </c>
      <c r="X6657" s="6">
        <f t="shared" si="1030"/>
        <v>51.88461538461538</v>
      </c>
      <c r="Y6657" s="13">
        <f t="shared" si="1025"/>
        <v>0</v>
      </c>
      <c r="Z6657" s="14">
        <v>0</v>
      </c>
      <c r="AA6657" s="6">
        <v>0</v>
      </c>
      <c r="AB6657" s="4">
        <f t="shared" si="1026"/>
        <v>51.88461538461538</v>
      </c>
      <c r="AC6657" s="6">
        <f t="shared" si="1034"/>
        <v>2.0753846153846141</v>
      </c>
      <c r="AD6657" s="6">
        <f t="shared" si="1031"/>
        <v>53.959999999999994</v>
      </c>
      <c r="AE6657" s="14">
        <v>0.06</v>
      </c>
      <c r="AF6657" s="6">
        <f t="shared" si="1028"/>
        <v>3.2375999999999996</v>
      </c>
      <c r="AG6657" s="14">
        <v>0</v>
      </c>
      <c r="AH6657" s="64">
        <f t="shared" si="1032"/>
        <v>53.959999999999994</v>
      </c>
      <c r="AJ6657" s="126" t="e">
        <v>#N/A</v>
      </c>
      <c r="AK6657" s="80">
        <f t="shared" si="1027"/>
        <v>0</v>
      </c>
      <c r="AL6657" s="85"/>
      <c r="AM6657" s="85"/>
    </row>
    <row r="6658" spans="1:39" s="86" customFormat="1" ht="13.25" hidden="1" customHeight="1" x14ac:dyDescent="0.3">
      <c r="A6658" s="89" t="s">
        <v>3794</v>
      </c>
      <c r="B6658" s="86" t="s">
        <v>35</v>
      </c>
      <c r="C6658" s="86" t="s">
        <v>187</v>
      </c>
      <c r="D6658" s="86" t="s">
        <v>208</v>
      </c>
      <c r="E6658" s="86" t="s">
        <v>219</v>
      </c>
      <c r="F6658" s="86" t="s">
        <v>219</v>
      </c>
      <c r="G6658" s="86" t="s">
        <v>219</v>
      </c>
      <c r="H6658" s="143">
        <v>229</v>
      </c>
      <c r="I6658" s="86" t="s">
        <v>3356</v>
      </c>
      <c r="J6658" s="47" t="s">
        <v>3326</v>
      </c>
      <c r="K6658" s="47" t="str">
        <f t="shared" si="1033"/>
        <v>巨量引擎-游戏</v>
      </c>
      <c r="L6658" s="47" t="s">
        <v>35</v>
      </c>
      <c r="N6658" s="86" t="s">
        <v>3283</v>
      </c>
      <c r="O6658" s="47" t="s">
        <v>105</v>
      </c>
      <c r="P6658" s="47" t="s">
        <v>41</v>
      </c>
      <c r="Q6658" s="14">
        <v>0</v>
      </c>
      <c r="R6658" s="143"/>
      <c r="S6658" s="47"/>
      <c r="T6658" s="6">
        <v>-587.93000000000006</v>
      </c>
      <c r="U6658" s="6"/>
      <c r="V6658" s="6">
        <v>0</v>
      </c>
      <c r="W6658" s="6">
        <f t="shared" si="1029"/>
        <v>-587.93000000000006</v>
      </c>
      <c r="X6658" s="6">
        <f t="shared" si="1030"/>
        <v>0</v>
      </c>
      <c r="Y6658" s="13">
        <f t="shared" si="1025"/>
        <v>0</v>
      </c>
      <c r="Z6658" s="14">
        <v>0</v>
      </c>
      <c r="AA6658" s="6">
        <v>0</v>
      </c>
      <c r="AB6658" s="4">
        <f t="shared" si="1026"/>
        <v>0</v>
      </c>
      <c r="AC6658" s="6">
        <f t="shared" si="1034"/>
        <v>0</v>
      </c>
      <c r="AD6658" s="6">
        <f t="shared" si="1031"/>
        <v>0</v>
      </c>
      <c r="AE6658" s="14">
        <v>0.06</v>
      </c>
      <c r="AF6658" s="6">
        <f t="shared" si="1028"/>
        <v>0</v>
      </c>
      <c r="AG6658" s="14">
        <v>0</v>
      </c>
      <c r="AH6658" s="64">
        <f t="shared" si="1032"/>
        <v>0</v>
      </c>
      <c r="AJ6658" s="126" t="e">
        <v>#N/A</v>
      </c>
      <c r="AK6658" s="80">
        <f t="shared" si="1027"/>
        <v>0</v>
      </c>
      <c r="AL6658" s="85"/>
      <c r="AM6658" s="85"/>
    </row>
    <row r="6659" spans="1:39" s="86" customFormat="1" ht="13.25" hidden="1" customHeight="1" x14ac:dyDescent="0.3">
      <c r="A6659" s="89" t="s">
        <v>3794</v>
      </c>
      <c r="B6659" s="86" t="s">
        <v>35</v>
      </c>
      <c r="C6659" s="86" t="s">
        <v>59</v>
      </c>
      <c r="D6659" s="86" t="s">
        <v>60</v>
      </c>
      <c r="E6659" s="86" t="s">
        <v>327</v>
      </c>
      <c r="F6659" s="86" t="s">
        <v>3635</v>
      </c>
      <c r="G6659" s="86" t="s">
        <v>327</v>
      </c>
      <c r="H6659" s="144">
        <v>229</v>
      </c>
      <c r="I6659" s="86" t="s">
        <v>3356</v>
      </c>
      <c r="J6659" s="47" t="s">
        <v>3326</v>
      </c>
      <c r="K6659" s="47" t="str">
        <f t="shared" si="1033"/>
        <v>巨量引擎-游戏</v>
      </c>
      <c r="L6659" s="47" t="s">
        <v>35</v>
      </c>
      <c r="N6659" s="86" t="s">
        <v>3283</v>
      </c>
      <c r="O6659" s="47" t="s">
        <v>45</v>
      </c>
      <c r="P6659" s="47" t="s">
        <v>75</v>
      </c>
      <c r="Q6659" s="14">
        <v>0.06</v>
      </c>
      <c r="R6659" s="143"/>
      <c r="S6659" s="47" t="s">
        <v>3963</v>
      </c>
      <c r="T6659" s="6">
        <v>371481.79999999981</v>
      </c>
      <c r="U6659" s="6">
        <v>0</v>
      </c>
      <c r="V6659" s="6">
        <v>0</v>
      </c>
      <c r="W6659" s="6">
        <f t="shared" si="1029"/>
        <v>371481.79999999981</v>
      </c>
      <c r="X6659" s="6">
        <v>258945.55153846153</v>
      </c>
      <c r="Y6659" s="13">
        <f t="shared" ref="Y6659:Y6722" si="1035">IF(X6659-AD6659&lt;=0,0,IF(P6659="返现",MAX(X6659-AC6659-AD6659,0),MAX(X6659-AD6659)))</f>
        <v>243408.81844615383</v>
      </c>
      <c r="Z6659" s="14">
        <v>0</v>
      </c>
      <c r="AA6659" s="6">
        <v>0</v>
      </c>
      <c r="AB6659" s="4">
        <f t="shared" ref="AB6659:AB6722" si="1036">X6659+AA6659</f>
        <v>258945.55153846153</v>
      </c>
      <c r="AC6659" s="6">
        <f t="shared" si="1034"/>
        <v>15536.733092307692</v>
      </c>
      <c r="AD6659" s="6">
        <f t="shared" si="1031"/>
        <v>0</v>
      </c>
      <c r="AE6659" s="14">
        <v>0.06</v>
      </c>
      <c r="AF6659" s="6">
        <f t="shared" si="1028"/>
        <v>0</v>
      </c>
      <c r="AG6659" s="14">
        <v>0</v>
      </c>
      <c r="AH6659" s="64">
        <f t="shared" si="1032"/>
        <v>0</v>
      </c>
      <c r="AJ6659" s="126" t="e">
        <v>#N/A</v>
      </c>
      <c r="AK6659" s="80">
        <f t="shared" ref="AK6659:AK6722" si="1037">X6659+AA6659-AB6659</f>
        <v>0</v>
      </c>
      <c r="AL6659" s="85"/>
      <c r="AM6659" s="85"/>
    </row>
    <row r="6660" spans="1:39" s="86" customFormat="1" ht="13.25" hidden="1" customHeight="1" x14ac:dyDescent="0.3">
      <c r="A6660" s="89" t="s">
        <v>3794</v>
      </c>
      <c r="B6660" s="86" t="s">
        <v>35</v>
      </c>
      <c r="C6660" s="86" t="s">
        <v>59</v>
      </c>
      <c r="D6660" s="86" t="s">
        <v>60</v>
      </c>
      <c r="E6660" s="86" t="s">
        <v>327</v>
      </c>
      <c r="F6660" s="86" t="s">
        <v>3626</v>
      </c>
      <c r="G6660" s="86" t="s">
        <v>327</v>
      </c>
      <c r="H6660" s="144">
        <v>229</v>
      </c>
      <c r="I6660" s="86" t="s">
        <v>3356</v>
      </c>
      <c r="J6660" s="47" t="s">
        <v>3326</v>
      </c>
      <c r="K6660" s="47" t="str">
        <f t="shared" si="1033"/>
        <v>巨量引擎-游戏</v>
      </c>
      <c r="L6660" s="47" t="s">
        <v>35</v>
      </c>
      <c r="N6660" s="86" t="s">
        <v>3283</v>
      </c>
      <c r="O6660" s="47" t="s">
        <v>45</v>
      </c>
      <c r="P6660" s="47" t="s">
        <v>75</v>
      </c>
      <c r="Q6660" s="14">
        <v>0.06</v>
      </c>
      <c r="R6660" s="143"/>
      <c r="S6660" s="47"/>
      <c r="T6660" s="6">
        <v>743122.3800000021</v>
      </c>
      <c r="U6660" s="6">
        <v>0</v>
      </c>
      <c r="V6660" s="6">
        <v>170942.63999999998</v>
      </c>
      <c r="W6660" s="6">
        <f t="shared" si="1029"/>
        <v>572179.74000000209</v>
      </c>
      <c r="X6660" s="6">
        <f t="shared" si="1030"/>
        <v>170942.63999999998</v>
      </c>
      <c r="Y6660" s="13">
        <f t="shared" si="1035"/>
        <v>0</v>
      </c>
      <c r="Z6660" s="14">
        <v>0</v>
      </c>
      <c r="AA6660" s="6">
        <v>0</v>
      </c>
      <c r="AB6660" s="4">
        <f t="shared" si="1036"/>
        <v>170942.63999999998</v>
      </c>
      <c r="AC6660" s="6">
        <f t="shared" si="1034"/>
        <v>10256.558399999998</v>
      </c>
      <c r="AD6660" s="6">
        <f t="shared" si="1031"/>
        <v>170942.63999999998</v>
      </c>
      <c r="AE6660" s="14">
        <v>0.06</v>
      </c>
      <c r="AF6660" s="6">
        <f t="shared" si="1028"/>
        <v>10256.558399999998</v>
      </c>
      <c r="AG6660" s="14">
        <v>0</v>
      </c>
      <c r="AH6660" s="64">
        <f t="shared" si="1032"/>
        <v>170942.63999999998</v>
      </c>
      <c r="AJ6660" s="126" t="e">
        <v>#N/A</v>
      </c>
      <c r="AK6660" s="80">
        <f t="shared" si="1037"/>
        <v>0</v>
      </c>
      <c r="AL6660" s="85"/>
      <c r="AM6660" s="85"/>
    </row>
    <row r="6661" spans="1:39" s="86" customFormat="1" ht="13.25" hidden="1" customHeight="1" x14ac:dyDescent="0.3">
      <c r="A6661" s="89" t="s">
        <v>3794</v>
      </c>
      <c r="B6661" s="86" t="s">
        <v>35</v>
      </c>
      <c r="C6661" s="86" t="s">
        <v>59</v>
      </c>
      <c r="D6661" s="86" t="s">
        <v>60</v>
      </c>
      <c r="E6661" s="86" t="s">
        <v>327</v>
      </c>
      <c r="F6661" s="86" t="s">
        <v>3627</v>
      </c>
      <c r="G6661" s="86" t="s">
        <v>327</v>
      </c>
      <c r="H6661" s="144">
        <v>229</v>
      </c>
      <c r="I6661" s="86" t="s">
        <v>3356</v>
      </c>
      <c r="J6661" s="47" t="s">
        <v>3326</v>
      </c>
      <c r="K6661" s="47" t="str">
        <f t="shared" si="1033"/>
        <v>巨量引擎-游戏</v>
      </c>
      <c r="L6661" s="47" t="s">
        <v>35</v>
      </c>
      <c r="N6661" s="86" t="s">
        <v>3283</v>
      </c>
      <c r="O6661" s="47" t="s">
        <v>45</v>
      </c>
      <c r="P6661" s="47" t="s">
        <v>75</v>
      </c>
      <c r="Q6661" s="14">
        <v>0.06</v>
      </c>
      <c r="R6661" s="143"/>
      <c r="S6661" s="47"/>
      <c r="T6661" s="6">
        <v>560746.03999999538</v>
      </c>
      <c r="U6661" s="6">
        <v>0</v>
      </c>
      <c r="V6661" s="6">
        <v>560482.42000000004</v>
      </c>
      <c r="W6661" s="6">
        <f t="shared" si="1029"/>
        <v>263.61999999533873</v>
      </c>
      <c r="X6661" s="6">
        <f t="shared" si="1030"/>
        <v>560482.42000000004</v>
      </c>
      <c r="Y6661" s="13">
        <f t="shared" si="1035"/>
        <v>0</v>
      </c>
      <c r="Z6661" s="14">
        <v>0</v>
      </c>
      <c r="AA6661" s="6">
        <v>0</v>
      </c>
      <c r="AB6661" s="4">
        <f t="shared" si="1036"/>
        <v>560482.42000000004</v>
      </c>
      <c r="AC6661" s="6">
        <f t="shared" si="1034"/>
        <v>33628.945200000002</v>
      </c>
      <c r="AD6661" s="6">
        <f t="shared" si="1031"/>
        <v>560482.42000000004</v>
      </c>
      <c r="AE6661" s="14">
        <v>0.06</v>
      </c>
      <c r="AF6661" s="6">
        <f t="shared" si="1028"/>
        <v>33628.945200000002</v>
      </c>
      <c r="AG6661" s="14">
        <v>0</v>
      </c>
      <c r="AH6661" s="64">
        <f t="shared" si="1032"/>
        <v>560482.42000000004</v>
      </c>
      <c r="AJ6661" s="126" t="e">
        <v>#N/A</v>
      </c>
      <c r="AK6661" s="80">
        <f t="shared" si="1037"/>
        <v>0</v>
      </c>
      <c r="AL6661" s="85"/>
      <c r="AM6661" s="85"/>
    </row>
    <row r="6662" spans="1:39" s="86" customFormat="1" ht="13.25" hidden="1" customHeight="1" x14ac:dyDescent="0.3">
      <c r="A6662" s="89" t="s">
        <v>3794</v>
      </c>
      <c r="B6662" s="86" t="s">
        <v>35</v>
      </c>
      <c r="C6662" s="86" t="s">
        <v>59</v>
      </c>
      <c r="D6662" s="86" t="s">
        <v>60</v>
      </c>
      <c r="E6662" s="86" t="s">
        <v>327</v>
      </c>
      <c r="F6662" s="86" t="s">
        <v>3628</v>
      </c>
      <c r="G6662" s="86" t="s">
        <v>327</v>
      </c>
      <c r="H6662" s="144">
        <v>229</v>
      </c>
      <c r="I6662" s="86" t="s">
        <v>3356</v>
      </c>
      <c r="J6662" s="47" t="s">
        <v>3326</v>
      </c>
      <c r="K6662" s="47" t="str">
        <f t="shared" si="1033"/>
        <v>巨量引擎-游戏</v>
      </c>
      <c r="L6662" s="47" t="s">
        <v>35</v>
      </c>
      <c r="N6662" s="86" t="s">
        <v>3283</v>
      </c>
      <c r="O6662" s="47" t="s">
        <v>45</v>
      </c>
      <c r="P6662" s="47" t="s">
        <v>75</v>
      </c>
      <c r="Q6662" s="14">
        <v>0.06</v>
      </c>
      <c r="R6662" s="143"/>
      <c r="S6662" s="47"/>
      <c r="T6662" s="6">
        <v>1900544.2000000007</v>
      </c>
      <c r="U6662" s="6">
        <v>-208000</v>
      </c>
      <c r="V6662" s="6">
        <v>801169.41999999993</v>
      </c>
      <c r="W6662" s="6">
        <f t="shared" si="1029"/>
        <v>891374.78000000073</v>
      </c>
      <c r="X6662" s="6">
        <f t="shared" si="1030"/>
        <v>801169.41999999993</v>
      </c>
      <c r="Y6662" s="13">
        <f t="shared" si="1035"/>
        <v>0</v>
      </c>
      <c r="Z6662" s="14">
        <v>0</v>
      </c>
      <c r="AA6662" s="6">
        <v>0</v>
      </c>
      <c r="AB6662" s="4">
        <f t="shared" si="1036"/>
        <v>801169.41999999993</v>
      </c>
      <c r="AC6662" s="6">
        <f t="shared" si="1034"/>
        <v>48070.165199999996</v>
      </c>
      <c r="AD6662" s="6">
        <f t="shared" si="1031"/>
        <v>801169.41999999993</v>
      </c>
      <c r="AE6662" s="14">
        <v>0.06</v>
      </c>
      <c r="AF6662" s="6">
        <f t="shared" si="1028"/>
        <v>48070.165199999996</v>
      </c>
      <c r="AG6662" s="14">
        <v>0</v>
      </c>
      <c r="AH6662" s="64">
        <f t="shared" si="1032"/>
        <v>801169.41999999993</v>
      </c>
      <c r="AJ6662" s="126" t="e">
        <v>#N/A</v>
      </c>
      <c r="AK6662" s="80">
        <f t="shared" si="1037"/>
        <v>0</v>
      </c>
      <c r="AL6662" s="85"/>
      <c r="AM6662" s="85"/>
    </row>
    <row r="6663" spans="1:39" s="86" customFormat="1" ht="13.25" hidden="1" customHeight="1" x14ac:dyDescent="0.3">
      <c r="A6663" s="89" t="s">
        <v>3794</v>
      </c>
      <c r="B6663" s="86" t="s">
        <v>35</v>
      </c>
      <c r="C6663" s="86" t="s">
        <v>59</v>
      </c>
      <c r="D6663" s="86" t="s">
        <v>60</v>
      </c>
      <c r="E6663" s="86" t="s">
        <v>327</v>
      </c>
      <c r="F6663" s="86" t="s">
        <v>3624</v>
      </c>
      <c r="G6663" s="86" t="s">
        <v>327</v>
      </c>
      <c r="H6663" s="143">
        <v>229</v>
      </c>
      <c r="I6663" s="86" t="s">
        <v>3356</v>
      </c>
      <c r="J6663" s="47" t="s">
        <v>3326</v>
      </c>
      <c r="K6663" s="47" t="str">
        <f t="shared" si="1033"/>
        <v>巨量引擎-游戏</v>
      </c>
      <c r="L6663" s="47" t="s">
        <v>35</v>
      </c>
      <c r="N6663" s="86" t="s">
        <v>3283</v>
      </c>
      <c r="O6663" s="47" t="s">
        <v>45</v>
      </c>
      <c r="P6663" s="47" t="s">
        <v>75</v>
      </c>
      <c r="Q6663" s="14">
        <v>0.06</v>
      </c>
      <c r="R6663" s="143"/>
      <c r="S6663" s="47"/>
      <c r="T6663" s="6">
        <v>145051.34999999998</v>
      </c>
      <c r="U6663" s="6">
        <v>0</v>
      </c>
      <c r="V6663" s="6">
        <v>0</v>
      </c>
      <c r="W6663" s="6">
        <f t="shared" si="1029"/>
        <v>145051.34999999998</v>
      </c>
      <c r="X6663" s="6">
        <f t="shared" si="1030"/>
        <v>0</v>
      </c>
      <c r="Y6663" s="13">
        <f t="shared" si="1035"/>
        <v>0</v>
      </c>
      <c r="Z6663" s="14">
        <v>0</v>
      </c>
      <c r="AA6663" s="6">
        <v>0</v>
      </c>
      <c r="AB6663" s="4">
        <f t="shared" si="1036"/>
        <v>0</v>
      </c>
      <c r="AC6663" s="6">
        <f t="shared" si="1034"/>
        <v>0</v>
      </c>
      <c r="AD6663" s="6">
        <f t="shared" si="1031"/>
        <v>0</v>
      </c>
      <c r="AE6663" s="14">
        <v>0.06</v>
      </c>
      <c r="AF6663" s="6">
        <f t="shared" si="1028"/>
        <v>0</v>
      </c>
      <c r="AG6663" s="14">
        <v>0</v>
      </c>
      <c r="AH6663" s="64">
        <f t="shared" si="1032"/>
        <v>0</v>
      </c>
      <c r="AJ6663" s="126" t="e">
        <v>#N/A</v>
      </c>
      <c r="AK6663" s="80">
        <f t="shared" si="1037"/>
        <v>0</v>
      </c>
      <c r="AL6663" s="85"/>
      <c r="AM6663" s="85"/>
    </row>
    <row r="6664" spans="1:39" s="86" customFormat="1" ht="13.25" hidden="1" customHeight="1" x14ac:dyDescent="0.3">
      <c r="A6664" s="89" t="s">
        <v>3794</v>
      </c>
      <c r="B6664" s="86" t="s">
        <v>35</v>
      </c>
      <c r="C6664" s="86" t="s">
        <v>59</v>
      </c>
      <c r="D6664" s="86" t="s">
        <v>60</v>
      </c>
      <c r="E6664" s="86" t="s">
        <v>78</v>
      </c>
      <c r="F6664" s="86" t="s">
        <v>332</v>
      </c>
      <c r="G6664" s="86" t="s">
        <v>78</v>
      </c>
      <c r="H6664" s="144">
        <v>229</v>
      </c>
      <c r="I6664" s="86" t="s">
        <v>3356</v>
      </c>
      <c r="J6664" s="47" t="s">
        <v>3326</v>
      </c>
      <c r="K6664" s="47" t="str">
        <f t="shared" si="1033"/>
        <v>巨量引擎-游戏</v>
      </c>
      <c r="L6664" s="47" t="s">
        <v>35</v>
      </c>
      <c r="N6664" s="86" t="s">
        <v>3283</v>
      </c>
      <c r="O6664" s="47" t="s">
        <v>45</v>
      </c>
      <c r="P6664" s="47" t="s">
        <v>46</v>
      </c>
      <c r="Q6664" s="14">
        <v>0.04</v>
      </c>
      <c r="R6664" s="143"/>
      <c r="S6664" s="47"/>
      <c r="T6664" s="6">
        <v>1197854.069999997</v>
      </c>
      <c r="U6664" s="6">
        <v>0</v>
      </c>
      <c r="V6664" s="6">
        <v>979259.85000000033</v>
      </c>
      <c r="W6664" s="6">
        <f t="shared" si="1029"/>
        <v>218594.21999999671</v>
      </c>
      <c r="X6664" s="6">
        <f t="shared" si="1030"/>
        <v>941596.00961538486</v>
      </c>
      <c r="Y6664" s="13">
        <f t="shared" si="1035"/>
        <v>0</v>
      </c>
      <c r="Z6664" s="14">
        <v>0</v>
      </c>
      <c r="AA6664" s="6">
        <v>0</v>
      </c>
      <c r="AB6664" s="4">
        <f t="shared" si="1036"/>
        <v>941596.00961538486</v>
      </c>
      <c r="AC6664" s="6">
        <f t="shared" si="1034"/>
        <v>37663.840384615469</v>
      </c>
      <c r="AD6664" s="6">
        <f t="shared" si="1031"/>
        <v>979259.85000000033</v>
      </c>
      <c r="AE6664" s="14">
        <v>0.06</v>
      </c>
      <c r="AF6664" s="6">
        <f t="shared" si="1028"/>
        <v>58755.591000000015</v>
      </c>
      <c r="AG6664" s="14">
        <v>0</v>
      </c>
      <c r="AH6664" s="64">
        <f t="shared" si="1032"/>
        <v>979259.85000000033</v>
      </c>
      <c r="AJ6664" s="126" t="e">
        <v>#N/A</v>
      </c>
      <c r="AK6664" s="80">
        <f t="shared" si="1037"/>
        <v>0</v>
      </c>
      <c r="AL6664" s="85"/>
      <c r="AM6664" s="85"/>
    </row>
    <row r="6665" spans="1:39" s="86" customFormat="1" ht="13.25" hidden="1" customHeight="1" x14ac:dyDescent="0.3">
      <c r="A6665" s="89" t="s">
        <v>3794</v>
      </c>
      <c r="B6665" s="86" t="s">
        <v>35</v>
      </c>
      <c r="C6665" s="86" t="s">
        <v>59</v>
      </c>
      <c r="D6665" s="86" t="s">
        <v>60</v>
      </c>
      <c r="E6665" s="86" t="s">
        <v>77</v>
      </c>
      <c r="F6665" s="86" t="s">
        <v>77</v>
      </c>
      <c r="G6665" s="86" t="s">
        <v>77</v>
      </c>
      <c r="H6665" s="144">
        <v>229</v>
      </c>
      <c r="I6665" s="86" t="s">
        <v>3356</v>
      </c>
      <c r="J6665" s="47" t="s">
        <v>3326</v>
      </c>
      <c r="K6665" s="47" t="str">
        <f t="shared" si="1033"/>
        <v>巨量引擎-三类</v>
      </c>
      <c r="L6665" s="47" t="s">
        <v>35</v>
      </c>
      <c r="N6665" s="86" t="s">
        <v>3712</v>
      </c>
      <c r="O6665" s="47" t="s">
        <v>105</v>
      </c>
      <c r="P6665" s="47" t="s">
        <v>75</v>
      </c>
      <c r="Q6665" s="14">
        <v>0.06</v>
      </c>
      <c r="R6665" s="143"/>
      <c r="S6665" s="47"/>
      <c r="T6665" s="6">
        <v>-105392.83000000002</v>
      </c>
      <c r="U6665" s="6"/>
      <c r="V6665" s="6">
        <v>127902.78000000003</v>
      </c>
      <c r="W6665" s="6">
        <f t="shared" si="1029"/>
        <v>-233295.61000000004</v>
      </c>
      <c r="X6665" s="6">
        <f t="shared" si="1030"/>
        <v>127902.78000000003</v>
      </c>
      <c r="Y6665" s="13">
        <f t="shared" si="1035"/>
        <v>0</v>
      </c>
      <c r="Z6665" s="14">
        <v>0</v>
      </c>
      <c r="AA6665" s="6">
        <v>0</v>
      </c>
      <c r="AB6665" s="4">
        <f t="shared" si="1036"/>
        <v>127902.78000000003</v>
      </c>
      <c r="AC6665" s="6">
        <f t="shared" si="1034"/>
        <v>7674.1668000000018</v>
      </c>
      <c r="AD6665" s="6">
        <f t="shared" si="1031"/>
        <v>127902.78000000003</v>
      </c>
      <c r="AE6665" s="14">
        <v>0.06</v>
      </c>
      <c r="AF6665" s="6">
        <f t="shared" si="1028"/>
        <v>7674.1668000000018</v>
      </c>
      <c r="AG6665" s="14">
        <v>0</v>
      </c>
      <c r="AH6665" s="64">
        <f t="shared" si="1032"/>
        <v>127902.78000000003</v>
      </c>
      <c r="AJ6665" s="126" t="e">
        <v>#N/A</v>
      </c>
      <c r="AK6665" s="80">
        <f t="shared" si="1037"/>
        <v>0</v>
      </c>
      <c r="AL6665" s="85"/>
      <c r="AM6665" s="85"/>
    </row>
    <row r="6666" spans="1:39" s="86" customFormat="1" ht="13.25" hidden="1" customHeight="1" x14ac:dyDescent="0.3">
      <c r="A6666" s="89" t="s">
        <v>3794</v>
      </c>
      <c r="B6666" s="86" t="s">
        <v>35</v>
      </c>
      <c r="C6666" s="86" t="s">
        <v>164</v>
      </c>
      <c r="D6666" s="86" t="s">
        <v>305</v>
      </c>
      <c r="E6666" s="86" t="s">
        <v>166</v>
      </c>
      <c r="F6666" s="86" t="s">
        <v>166</v>
      </c>
      <c r="G6666" s="86" t="s">
        <v>166</v>
      </c>
      <c r="H6666" s="144">
        <v>229</v>
      </c>
      <c r="I6666" s="86" t="s">
        <v>3356</v>
      </c>
      <c r="J6666" s="47" t="s">
        <v>3326</v>
      </c>
      <c r="K6666" s="47" t="str">
        <f t="shared" si="1033"/>
        <v>巨量引擎-二类</v>
      </c>
      <c r="L6666" s="47" t="s">
        <v>35</v>
      </c>
      <c r="N6666" s="86" t="s">
        <v>3710</v>
      </c>
      <c r="O6666" s="47" t="s">
        <v>105</v>
      </c>
      <c r="P6666" s="47" t="s">
        <v>41</v>
      </c>
      <c r="Q6666" s="14">
        <v>0</v>
      </c>
      <c r="R6666" s="143"/>
      <c r="S6666" s="47"/>
      <c r="T6666" s="6">
        <v>-3174.94</v>
      </c>
      <c r="U6666" s="6"/>
      <c r="V6666" s="6">
        <v>18053.79</v>
      </c>
      <c r="W6666" s="6">
        <f t="shared" si="1029"/>
        <v>-21228.73</v>
      </c>
      <c r="X6666" s="6">
        <f t="shared" si="1030"/>
        <v>18053.79</v>
      </c>
      <c r="Y6666" s="13">
        <f t="shared" si="1035"/>
        <v>0</v>
      </c>
      <c r="Z6666" s="14">
        <v>0</v>
      </c>
      <c r="AA6666" s="6">
        <v>0</v>
      </c>
      <c r="AB6666" s="4">
        <f t="shared" si="1036"/>
        <v>18053.79</v>
      </c>
      <c r="AC6666" s="6">
        <f t="shared" si="1034"/>
        <v>0</v>
      </c>
      <c r="AD6666" s="6">
        <f t="shared" si="1031"/>
        <v>18053.79</v>
      </c>
      <c r="AE6666" s="14">
        <v>0.06</v>
      </c>
      <c r="AF6666" s="6">
        <f t="shared" si="1028"/>
        <v>1083.2274</v>
      </c>
      <c r="AG6666" s="14">
        <v>0</v>
      </c>
      <c r="AH6666" s="64">
        <f t="shared" si="1032"/>
        <v>18053.79</v>
      </c>
      <c r="AJ6666" s="126" t="e">
        <v>#N/A</v>
      </c>
      <c r="AK6666" s="80">
        <f t="shared" si="1037"/>
        <v>0</v>
      </c>
      <c r="AL6666" s="85"/>
      <c r="AM6666" s="85"/>
    </row>
    <row r="6667" spans="1:39" s="86" customFormat="1" ht="13.25" hidden="1" customHeight="1" x14ac:dyDescent="0.3">
      <c r="A6667" s="89" t="s">
        <v>3794</v>
      </c>
      <c r="B6667" s="86" t="s">
        <v>35</v>
      </c>
      <c r="C6667" s="86" t="s">
        <v>164</v>
      </c>
      <c r="D6667" s="86" t="s">
        <v>169</v>
      </c>
      <c r="E6667" s="86" t="s">
        <v>3616</v>
      </c>
      <c r="F6667" s="86" t="s">
        <v>3616</v>
      </c>
      <c r="G6667" s="86" t="s">
        <v>3616</v>
      </c>
      <c r="H6667" s="144">
        <v>229</v>
      </c>
      <c r="I6667" s="86" t="s">
        <v>3356</v>
      </c>
      <c r="J6667" s="47" t="s">
        <v>3326</v>
      </c>
      <c r="K6667" s="47" t="str">
        <f t="shared" si="1033"/>
        <v>巨量引擎-一类</v>
      </c>
      <c r="L6667" s="47" t="s">
        <v>35</v>
      </c>
      <c r="N6667" s="86" t="s">
        <v>3707</v>
      </c>
      <c r="O6667" s="47" t="s">
        <v>105</v>
      </c>
      <c r="P6667" s="47" t="s">
        <v>46</v>
      </c>
      <c r="Q6667" s="14">
        <v>0.02</v>
      </c>
      <c r="R6667" s="143"/>
      <c r="S6667" s="47"/>
      <c r="T6667" s="6">
        <v>-45.9</v>
      </c>
      <c r="U6667" s="6"/>
      <c r="V6667" s="6">
        <v>804.18</v>
      </c>
      <c r="W6667" s="6">
        <f t="shared" si="1029"/>
        <v>-850.07999999999993</v>
      </c>
      <c r="X6667" s="6">
        <f t="shared" si="1030"/>
        <v>788.41176470588232</v>
      </c>
      <c r="Y6667" s="13">
        <f t="shared" si="1035"/>
        <v>0</v>
      </c>
      <c r="Z6667" s="14">
        <v>0</v>
      </c>
      <c r="AA6667" s="6">
        <v>0</v>
      </c>
      <c r="AB6667" s="4">
        <f t="shared" si="1036"/>
        <v>788.41176470588232</v>
      </c>
      <c r="AC6667" s="6">
        <f t="shared" si="1034"/>
        <v>15.76823529411763</v>
      </c>
      <c r="AD6667" s="6">
        <f t="shared" si="1031"/>
        <v>804.18</v>
      </c>
      <c r="AE6667" s="14">
        <v>0.06</v>
      </c>
      <c r="AF6667" s="6">
        <f t="shared" si="1028"/>
        <v>48.250799999999998</v>
      </c>
      <c r="AG6667" s="14">
        <v>0</v>
      </c>
      <c r="AH6667" s="64">
        <f t="shared" si="1032"/>
        <v>804.18</v>
      </c>
      <c r="AJ6667" s="126" t="e">
        <v>#N/A</v>
      </c>
      <c r="AK6667" s="80">
        <f t="shared" si="1037"/>
        <v>0</v>
      </c>
      <c r="AL6667" s="85"/>
      <c r="AM6667" s="85"/>
    </row>
    <row r="6668" spans="1:39" s="86" customFormat="1" ht="13.25" hidden="1" customHeight="1" x14ac:dyDescent="0.3">
      <c r="A6668" s="89" t="s">
        <v>3794</v>
      </c>
      <c r="B6668" s="86" t="s">
        <v>35</v>
      </c>
      <c r="C6668" s="86" t="s">
        <v>184</v>
      </c>
      <c r="D6668" s="86" t="s">
        <v>54</v>
      </c>
      <c r="E6668" s="86" t="s">
        <v>112</v>
      </c>
      <c r="F6668" s="86" t="s">
        <v>113</v>
      </c>
      <c r="G6668" s="86" t="s">
        <v>112</v>
      </c>
      <c r="H6668" s="144">
        <v>229</v>
      </c>
      <c r="I6668" s="86" t="s">
        <v>3356</v>
      </c>
      <c r="J6668" s="47" t="s">
        <v>3326</v>
      </c>
      <c r="K6668" s="47" t="str">
        <f t="shared" si="1033"/>
        <v>巨量引擎-三类</v>
      </c>
      <c r="L6668" s="47" t="s">
        <v>35</v>
      </c>
      <c r="N6668" s="86" t="s">
        <v>3712</v>
      </c>
      <c r="O6668" s="47" t="s">
        <v>105</v>
      </c>
      <c r="P6668" s="47" t="s">
        <v>41</v>
      </c>
      <c r="Q6668" s="14">
        <v>0</v>
      </c>
      <c r="R6668" s="143"/>
      <c r="S6668" s="47"/>
      <c r="T6668" s="6">
        <v>-31.67</v>
      </c>
      <c r="U6668" s="6"/>
      <c r="V6668" s="6">
        <v>947.66999999999985</v>
      </c>
      <c r="W6668" s="6">
        <f t="shared" si="1029"/>
        <v>-979.3399999999998</v>
      </c>
      <c r="X6668" s="6">
        <f t="shared" si="1030"/>
        <v>947.66999999999985</v>
      </c>
      <c r="Y6668" s="13">
        <f t="shared" si="1035"/>
        <v>0</v>
      </c>
      <c r="Z6668" s="14">
        <v>0</v>
      </c>
      <c r="AA6668" s="6">
        <v>0</v>
      </c>
      <c r="AB6668" s="4">
        <f t="shared" si="1036"/>
        <v>947.66999999999985</v>
      </c>
      <c r="AC6668" s="6">
        <f t="shared" si="1034"/>
        <v>0</v>
      </c>
      <c r="AD6668" s="6">
        <f t="shared" si="1031"/>
        <v>947.66999999999985</v>
      </c>
      <c r="AE6668" s="14">
        <v>0.06</v>
      </c>
      <c r="AF6668" s="6">
        <f t="shared" si="1028"/>
        <v>56.860199999999992</v>
      </c>
      <c r="AG6668" s="14">
        <v>0</v>
      </c>
      <c r="AH6668" s="64">
        <f t="shared" si="1032"/>
        <v>947.66999999999985</v>
      </c>
      <c r="AJ6668" s="126" t="e">
        <v>#N/A</v>
      </c>
      <c r="AK6668" s="80">
        <f t="shared" si="1037"/>
        <v>0</v>
      </c>
      <c r="AL6668" s="85"/>
      <c r="AM6668" s="85"/>
    </row>
    <row r="6669" spans="1:39" s="86" customFormat="1" ht="13.25" hidden="1" customHeight="1" x14ac:dyDescent="0.3">
      <c r="A6669" s="89" t="s">
        <v>3794</v>
      </c>
      <c r="B6669" s="86" t="s">
        <v>35</v>
      </c>
      <c r="C6669" s="86" t="s">
        <v>184</v>
      </c>
      <c r="D6669" s="86" t="s">
        <v>54</v>
      </c>
      <c r="E6669" s="86" t="s">
        <v>3611</v>
      </c>
      <c r="F6669" s="86" t="s">
        <v>3612</v>
      </c>
      <c r="G6669" s="86" t="s">
        <v>3611</v>
      </c>
      <c r="H6669" s="144">
        <v>229</v>
      </c>
      <c r="I6669" s="86" t="s">
        <v>3356</v>
      </c>
      <c r="J6669" s="47" t="s">
        <v>3326</v>
      </c>
      <c r="K6669" s="47" t="str">
        <f t="shared" si="1033"/>
        <v>巨量引擎-一类平台/电商</v>
      </c>
      <c r="L6669" s="47" t="s">
        <v>35</v>
      </c>
      <c r="N6669" s="86" t="s">
        <v>3718</v>
      </c>
      <c r="O6669" s="47" t="s">
        <v>105</v>
      </c>
      <c r="P6669" s="47" t="s">
        <v>46</v>
      </c>
      <c r="Q6669" s="14">
        <v>5.6000000000000001E-2</v>
      </c>
      <c r="R6669" s="143"/>
      <c r="S6669" s="47"/>
      <c r="T6669" s="6">
        <v>-1239.69</v>
      </c>
      <c r="U6669" s="6"/>
      <c r="V6669" s="6">
        <v>1623.63</v>
      </c>
      <c r="W6669" s="6">
        <f t="shared" si="1029"/>
        <v>-2863.32</v>
      </c>
      <c r="X6669" s="6">
        <f t="shared" si="1030"/>
        <v>1537.528409090909</v>
      </c>
      <c r="Y6669" s="13">
        <f t="shared" si="1035"/>
        <v>0</v>
      </c>
      <c r="Z6669" s="14">
        <v>0</v>
      </c>
      <c r="AA6669" s="6">
        <v>0</v>
      </c>
      <c r="AB6669" s="4">
        <f t="shared" si="1036"/>
        <v>1537.528409090909</v>
      </c>
      <c r="AC6669" s="6">
        <f t="shared" si="1034"/>
        <v>86.101590909091101</v>
      </c>
      <c r="AD6669" s="6">
        <f t="shared" si="1031"/>
        <v>1623.63</v>
      </c>
      <c r="AE6669" s="14">
        <v>0.06</v>
      </c>
      <c r="AF6669" s="6">
        <f t="shared" si="1028"/>
        <v>97.4178</v>
      </c>
      <c r="AG6669" s="14">
        <v>0</v>
      </c>
      <c r="AH6669" s="64">
        <f t="shared" si="1032"/>
        <v>1623.63</v>
      </c>
      <c r="AJ6669" s="126" t="e">
        <v>#N/A</v>
      </c>
      <c r="AK6669" s="80">
        <f t="shared" si="1037"/>
        <v>0</v>
      </c>
      <c r="AL6669" s="85"/>
      <c r="AM6669" s="85"/>
    </row>
    <row r="6670" spans="1:39" s="86" customFormat="1" ht="13.25" hidden="1" customHeight="1" x14ac:dyDescent="0.3">
      <c r="A6670" s="89" t="s">
        <v>3794</v>
      </c>
      <c r="B6670" s="86" t="s">
        <v>35</v>
      </c>
      <c r="C6670" s="86" t="s">
        <v>59</v>
      </c>
      <c r="D6670" s="86" t="s">
        <v>60</v>
      </c>
      <c r="E6670" s="86" t="s">
        <v>85</v>
      </c>
      <c r="F6670" s="86" t="s">
        <v>86</v>
      </c>
      <c r="G6670" s="86" t="s">
        <v>85</v>
      </c>
      <c r="H6670" s="143">
        <v>229</v>
      </c>
      <c r="I6670" s="86" t="s">
        <v>3356</v>
      </c>
      <c r="J6670" s="47" t="s">
        <v>3326</v>
      </c>
      <c r="K6670" s="47" t="str">
        <f t="shared" si="1033"/>
        <v>巨量引擎-一类</v>
      </c>
      <c r="L6670" s="47" t="s">
        <v>35</v>
      </c>
      <c r="N6670" s="86" t="s">
        <v>3707</v>
      </c>
      <c r="O6670" s="47" t="s">
        <v>105</v>
      </c>
      <c r="P6670" s="47" t="s">
        <v>75</v>
      </c>
      <c r="Q6670" s="14">
        <v>0.06</v>
      </c>
      <c r="R6670" s="143"/>
      <c r="S6670" s="47"/>
      <c r="T6670" s="6">
        <v>-2461.2499999999995</v>
      </c>
      <c r="U6670" s="6"/>
      <c r="V6670" s="6">
        <v>0</v>
      </c>
      <c r="W6670" s="6">
        <f t="shared" si="1029"/>
        <v>-2461.2499999999995</v>
      </c>
      <c r="X6670" s="6">
        <f t="shared" si="1030"/>
        <v>0</v>
      </c>
      <c r="Y6670" s="13">
        <f t="shared" si="1035"/>
        <v>0</v>
      </c>
      <c r="Z6670" s="14">
        <v>0</v>
      </c>
      <c r="AA6670" s="6">
        <v>0</v>
      </c>
      <c r="AB6670" s="4">
        <f t="shared" si="1036"/>
        <v>0</v>
      </c>
      <c r="AC6670" s="6">
        <f t="shared" si="1034"/>
        <v>0</v>
      </c>
      <c r="AD6670" s="6">
        <f t="shared" si="1031"/>
        <v>0</v>
      </c>
      <c r="AE6670" s="14">
        <v>0.06</v>
      </c>
      <c r="AF6670" s="6">
        <f t="shared" si="1028"/>
        <v>0</v>
      </c>
      <c r="AG6670" s="14">
        <v>0</v>
      </c>
      <c r="AH6670" s="64">
        <f t="shared" si="1032"/>
        <v>0</v>
      </c>
      <c r="AJ6670" s="126" t="e">
        <v>#N/A</v>
      </c>
      <c r="AK6670" s="80">
        <f t="shared" si="1037"/>
        <v>0</v>
      </c>
      <c r="AL6670" s="85"/>
      <c r="AM6670" s="85"/>
    </row>
    <row r="6671" spans="1:39" s="86" customFormat="1" ht="13.25" hidden="1" customHeight="1" x14ac:dyDescent="0.3">
      <c r="A6671" s="89" t="s">
        <v>3794</v>
      </c>
      <c r="B6671" s="86" t="s">
        <v>35</v>
      </c>
      <c r="C6671" s="86" t="s">
        <v>59</v>
      </c>
      <c r="D6671" s="86" t="s">
        <v>60</v>
      </c>
      <c r="E6671" s="86" t="s">
        <v>327</v>
      </c>
      <c r="F6671" s="86" t="s">
        <v>328</v>
      </c>
      <c r="G6671" s="86" t="s">
        <v>327</v>
      </c>
      <c r="H6671" s="144">
        <v>229</v>
      </c>
      <c r="I6671" s="86" t="s">
        <v>3356</v>
      </c>
      <c r="J6671" s="47" t="s">
        <v>3326</v>
      </c>
      <c r="K6671" s="47" t="str">
        <f t="shared" si="1033"/>
        <v>巨量引擎-游戏</v>
      </c>
      <c r="L6671" s="47" t="s">
        <v>35</v>
      </c>
      <c r="N6671" s="86" t="s">
        <v>3283</v>
      </c>
      <c r="O6671" s="47" t="s">
        <v>105</v>
      </c>
      <c r="P6671" s="47" t="s">
        <v>75</v>
      </c>
      <c r="Q6671" s="14">
        <v>0.06</v>
      </c>
      <c r="R6671" s="143"/>
      <c r="S6671" s="47"/>
      <c r="T6671" s="6">
        <v>-608.4899999999999</v>
      </c>
      <c r="U6671" s="6">
        <v>0</v>
      </c>
      <c r="V6671" s="6">
        <v>333.25</v>
      </c>
      <c r="W6671" s="6">
        <f t="shared" si="1029"/>
        <v>-941.7399999999999</v>
      </c>
      <c r="X6671" s="6">
        <f t="shared" si="1030"/>
        <v>333.25</v>
      </c>
      <c r="Y6671" s="13">
        <f t="shared" si="1035"/>
        <v>0</v>
      </c>
      <c r="Z6671" s="14">
        <v>0</v>
      </c>
      <c r="AA6671" s="6">
        <v>0</v>
      </c>
      <c r="AB6671" s="4">
        <f t="shared" si="1036"/>
        <v>333.25</v>
      </c>
      <c r="AC6671" s="6">
        <f t="shared" si="1034"/>
        <v>19.995000000000001</v>
      </c>
      <c r="AD6671" s="6">
        <f t="shared" si="1031"/>
        <v>333.25</v>
      </c>
      <c r="AE6671" s="14">
        <v>0.06</v>
      </c>
      <c r="AF6671" s="6">
        <f t="shared" si="1028"/>
        <v>19.995000000000001</v>
      </c>
      <c r="AG6671" s="14">
        <v>0</v>
      </c>
      <c r="AH6671" s="64">
        <f t="shared" si="1032"/>
        <v>333.25</v>
      </c>
      <c r="AJ6671" s="126" t="e">
        <v>#N/A</v>
      </c>
      <c r="AK6671" s="80">
        <f t="shared" si="1037"/>
        <v>0</v>
      </c>
      <c r="AL6671" s="85"/>
      <c r="AM6671" s="85"/>
    </row>
    <row r="6672" spans="1:39" s="86" customFormat="1" ht="13.25" hidden="1" customHeight="1" x14ac:dyDescent="0.3">
      <c r="A6672" s="89" t="s">
        <v>3794</v>
      </c>
      <c r="B6672" s="86" t="s">
        <v>35</v>
      </c>
      <c r="C6672" s="86" t="s">
        <v>59</v>
      </c>
      <c r="D6672" s="86" t="s">
        <v>60</v>
      </c>
      <c r="E6672" s="86" t="s">
        <v>3641</v>
      </c>
      <c r="F6672" s="86" t="s">
        <v>3964</v>
      </c>
      <c r="G6672" s="86" t="s">
        <v>3641</v>
      </c>
      <c r="H6672" s="144">
        <v>229</v>
      </c>
      <c r="I6672" s="86" t="s">
        <v>3356</v>
      </c>
      <c r="J6672" s="47" t="s">
        <v>3326</v>
      </c>
      <c r="K6672" s="47" t="str">
        <f t="shared" si="1033"/>
        <v>巨量引擎-游戏</v>
      </c>
      <c r="L6672" s="47" t="s">
        <v>35</v>
      </c>
      <c r="N6672" s="86" t="s">
        <v>3283</v>
      </c>
      <c r="O6672" s="47" t="s">
        <v>45</v>
      </c>
      <c r="P6672" s="47" t="s">
        <v>75</v>
      </c>
      <c r="Q6672" s="14">
        <v>0.06</v>
      </c>
      <c r="R6672" s="143"/>
      <c r="S6672" s="47"/>
      <c r="T6672" s="6">
        <v>0</v>
      </c>
      <c r="U6672" s="6">
        <v>5114996.07</v>
      </c>
      <c r="V6672" s="6">
        <v>4720333.2299999995</v>
      </c>
      <c r="W6672" s="6">
        <f t="shared" si="1029"/>
        <v>394662.84000000078</v>
      </c>
      <c r="X6672" s="6">
        <f t="shared" si="1030"/>
        <v>4720333.2299999995</v>
      </c>
      <c r="Y6672" s="13">
        <f t="shared" si="1035"/>
        <v>0</v>
      </c>
      <c r="Z6672" s="14">
        <v>0</v>
      </c>
      <c r="AA6672" s="6">
        <v>0</v>
      </c>
      <c r="AB6672" s="4">
        <f t="shared" si="1036"/>
        <v>4720333.2299999995</v>
      </c>
      <c r="AC6672" s="6">
        <f t="shared" si="1034"/>
        <v>283219.99379999994</v>
      </c>
      <c r="AD6672" s="6">
        <f t="shared" si="1031"/>
        <v>4720333.2299999995</v>
      </c>
      <c r="AE6672" s="14">
        <v>0.06</v>
      </c>
      <c r="AF6672" s="6">
        <f t="shared" si="1028"/>
        <v>283219.99379999994</v>
      </c>
      <c r="AG6672" s="14">
        <v>0</v>
      </c>
      <c r="AH6672" s="64">
        <f t="shared" si="1032"/>
        <v>4720333.2299999995</v>
      </c>
      <c r="AJ6672" s="126" t="e">
        <v>#N/A</v>
      </c>
      <c r="AK6672" s="80">
        <f t="shared" si="1037"/>
        <v>0</v>
      </c>
      <c r="AL6672" s="85"/>
      <c r="AM6672" s="85"/>
    </row>
    <row r="6673" spans="1:39" s="86" customFormat="1" ht="13.25" hidden="1" customHeight="1" x14ac:dyDescent="0.3">
      <c r="A6673" s="89" t="s">
        <v>3794</v>
      </c>
      <c r="B6673" s="86" t="s">
        <v>35</v>
      </c>
      <c r="C6673" s="86" t="s">
        <v>59</v>
      </c>
      <c r="D6673" s="86" t="s">
        <v>60</v>
      </c>
      <c r="E6673" s="86" t="s">
        <v>95</v>
      </c>
      <c r="F6673" s="86" t="s">
        <v>95</v>
      </c>
      <c r="G6673" s="86" t="s">
        <v>95</v>
      </c>
      <c r="H6673" s="144">
        <v>229</v>
      </c>
      <c r="I6673" s="86" t="s">
        <v>3356</v>
      </c>
      <c r="J6673" s="47" t="s">
        <v>3326</v>
      </c>
      <c r="K6673" s="47" t="str">
        <f t="shared" si="1033"/>
        <v>巨量引擎-三类</v>
      </c>
      <c r="L6673" s="47" t="s">
        <v>35</v>
      </c>
      <c r="N6673" s="86" t="s">
        <v>3712</v>
      </c>
      <c r="O6673" s="47" t="s">
        <v>105</v>
      </c>
      <c r="P6673" s="47" t="s">
        <v>46</v>
      </c>
      <c r="Q6673" s="14">
        <v>0.05</v>
      </c>
      <c r="R6673" s="143"/>
      <c r="S6673" s="47"/>
      <c r="T6673" s="6">
        <v>-2794.1899999999996</v>
      </c>
      <c r="U6673" s="6"/>
      <c r="V6673" s="6">
        <v>5751.89</v>
      </c>
      <c r="W6673" s="6">
        <f t="shared" si="1029"/>
        <v>-8546.08</v>
      </c>
      <c r="X6673" s="6">
        <f t="shared" si="1030"/>
        <v>5477.9904761904763</v>
      </c>
      <c r="Y6673" s="13">
        <f t="shared" si="1035"/>
        <v>0</v>
      </c>
      <c r="Z6673" s="14">
        <v>0</v>
      </c>
      <c r="AA6673" s="6">
        <v>0</v>
      </c>
      <c r="AB6673" s="4">
        <f t="shared" si="1036"/>
        <v>5477.9904761904763</v>
      </c>
      <c r="AC6673" s="6">
        <f t="shared" si="1034"/>
        <v>273.899523809524</v>
      </c>
      <c r="AD6673" s="6">
        <f t="shared" si="1031"/>
        <v>5751.89</v>
      </c>
      <c r="AE6673" s="14">
        <v>0.06</v>
      </c>
      <c r="AF6673" s="6">
        <f t="shared" si="1028"/>
        <v>345.11340000000001</v>
      </c>
      <c r="AG6673" s="14">
        <v>0</v>
      </c>
      <c r="AH6673" s="64">
        <f t="shared" si="1032"/>
        <v>5751.89</v>
      </c>
      <c r="AJ6673" s="126" t="e">
        <v>#N/A</v>
      </c>
      <c r="AK6673" s="80">
        <f t="shared" si="1037"/>
        <v>0</v>
      </c>
      <c r="AL6673" s="85"/>
      <c r="AM6673" s="85"/>
    </row>
    <row r="6674" spans="1:39" s="86" customFormat="1" ht="13.25" hidden="1" customHeight="1" x14ac:dyDescent="0.3">
      <c r="A6674" s="89" t="s">
        <v>3794</v>
      </c>
      <c r="B6674" s="86" t="s">
        <v>35</v>
      </c>
      <c r="C6674" s="86" t="s">
        <v>144</v>
      </c>
      <c r="D6674" s="86" t="s">
        <v>152</v>
      </c>
      <c r="E6674" s="86" t="s">
        <v>159</v>
      </c>
      <c r="F6674" s="86" t="s">
        <v>159</v>
      </c>
      <c r="G6674" s="86" t="s">
        <v>159</v>
      </c>
      <c r="H6674" s="144">
        <v>229</v>
      </c>
      <c r="I6674" s="86" t="s">
        <v>3356</v>
      </c>
      <c r="J6674" s="47" t="s">
        <v>3326</v>
      </c>
      <c r="K6674" s="47" t="str">
        <f t="shared" si="1033"/>
        <v>巨量引擎-三类</v>
      </c>
      <c r="L6674" s="47" t="s">
        <v>35</v>
      </c>
      <c r="N6674" s="86" t="s">
        <v>3712</v>
      </c>
      <c r="O6674" s="47" t="s">
        <v>105</v>
      </c>
      <c r="P6674" s="47" t="s">
        <v>41</v>
      </c>
      <c r="Q6674" s="14">
        <v>0</v>
      </c>
      <c r="R6674" s="143"/>
      <c r="S6674" s="47"/>
      <c r="T6674" s="6">
        <v>-53060.590000000004</v>
      </c>
      <c r="U6674" s="6"/>
      <c r="V6674" s="6">
        <v>42306.47</v>
      </c>
      <c r="W6674" s="6">
        <f t="shared" si="1029"/>
        <v>-95367.06</v>
      </c>
      <c r="X6674" s="6">
        <f t="shared" si="1030"/>
        <v>42306.47</v>
      </c>
      <c r="Y6674" s="13">
        <f t="shared" si="1035"/>
        <v>0</v>
      </c>
      <c r="Z6674" s="14">
        <v>0</v>
      </c>
      <c r="AA6674" s="6">
        <v>0</v>
      </c>
      <c r="AB6674" s="4">
        <f t="shared" si="1036"/>
        <v>42306.47</v>
      </c>
      <c r="AC6674" s="6">
        <f t="shared" si="1034"/>
        <v>0</v>
      </c>
      <c r="AD6674" s="6">
        <f t="shared" si="1031"/>
        <v>42306.47</v>
      </c>
      <c r="AE6674" s="14">
        <v>0.06</v>
      </c>
      <c r="AF6674" s="6">
        <f t="shared" si="1028"/>
        <v>2538.3881999999999</v>
      </c>
      <c r="AG6674" s="14">
        <v>0</v>
      </c>
      <c r="AH6674" s="64">
        <f t="shared" si="1032"/>
        <v>42306.47</v>
      </c>
      <c r="AJ6674" s="126" t="e">
        <v>#N/A</v>
      </c>
      <c r="AK6674" s="80">
        <f t="shared" si="1037"/>
        <v>0</v>
      </c>
      <c r="AL6674" s="85"/>
      <c r="AM6674" s="85"/>
    </row>
    <row r="6675" spans="1:39" s="86" customFormat="1" ht="13.25" hidden="1" customHeight="1" x14ac:dyDescent="0.3">
      <c r="A6675" s="89" t="s">
        <v>3794</v>
      </c>
      <c r="B6675" s="86" t="s">
        <v>35</v>
      </c>
      <c r="C6675" s="86" t="s">
        <v>187</v>
      </c>
      <c r="D6675" s="86" t="s">
        <v>188</v>
      </c>
      <c r="E6675" s="86" t="s">
        <v>279</v>
      </c>
      <c r="F6675" s="86" t="s">
        <v>279</v>
      </c>
      <c r="G6675" s="86" t="s">
        <v>279</v>
      </c>
      <c r="H6675" s="143">
        <v>229</v>
      </c>
      <c r="I6675" s="86" t="s">
        <v>3356</v>
      </c>
      <c r="J6675" s="47" t="s">
        <v>3326</v>
      </c>
      <c r="K6675" s="47" t="str">
        <f t="shared" si="1033"/>
        <v>巨量引擎-游戏</v>
      </c>
      <c r="L6675" s="47" t="s">
        <v>35</v>
      </c>
      <c r="N6675" s="86" t="s">
        <v>3283</v>
      </c>
      <c r="O6675" s="47" t="s">
        <v>105</v>
      </c>
      <c r="P6675" s="47" t="s">
        <v>46</v>
      </c>
      <c r="Q6675" s="14">
        <v>0.03</v>
      </c>
      <c r="R6675" s="143"/>
      <c r="S6675" s="47"/>
      <c r="T6675" s="6">
        <v>-72.55</v>
      </c>
      <c r="U6675" s="6"/>
      <c r="V6675" s="6">
        <v>0</v>
      </c>
      <c r="W6675" s="6">
        <f t="shared" si="1029"/>
        <v>-72.55</v>
      </c>
      <c r="X6675" s="6">
        <f t="shared" si="1030"/>
        <v>0</v>
      </c>
      <c r="Y6675" s="13">
        <f t="shared" si="1035"/>
        <v>0</v>
      </c>
      <c r="Z6675" s="14">
        <v>0</v>
      </c>
      <c r="AA6675" s="6">
        <v>0</v>
      </c>
      <c r="AB6675" s="4">
        <f t="shared" si="1036"/>
        <v>0</v>
      </c>
      <c r="AC6675" s="6">
        <f t="shared" si="1034"/>
        <v>0</v>
      </c>
      <c r="AD6675" s="6">
        <f t="shared" si="1031"/>
        <v>0</v>
      </c>
      <c r="AE6675" s="14">
        <v>0.06</v>
      </c>
      <c r="AF6675" s="6">
        <f t="shared" si="1028"/>
        <v>0</v>
      </c>
      <c r="AG6675" s="14">
        <v>0</v>
      </c>
      <c r="AH6675" s="64">
        <f t="shared" si="1032"/>
        <v>0</v>
      </c>
      <c r="AJ6675" s="126" t="e">
        <v>#N/A</v>
      </c>
      <c r="AK6675" s="80">
        <f t="shared" si="1037"/>
        <v>0</v>
      </c>
      <c r="AL6675" s="85"/>
      <c r="AM6675" s="85"/>
    </row>
    <row r="6676" spans="1:39" s="86" customFormat="1" ht="13.25" hidden="1" customHeight="1" x14ac:dyDescent="0.3">
      <c r="A6676" s="89" t="s">
        <v>3794</v>
      </c>
      <c r="B6676" s="86" t="s">
        <v>35</v>
      </c>
      <c r="C6676" s="86" t="s">
        <v>144</v>
      </c>
      <c r="D6676" s="86" t="s">
        <v>161</v>
      </c>
      <c r="E6676" s="86" t="s">
        <v>162</v>
      </c>
      <c r="F6676" s="86" t="s">
        <v>162</v>
      </c>
      <c r="G6676" s="86" t="s">
        <v>162</v>
      </c>
      <c r="H6676" s="144">
        <v>229</v>
      </c>
      <c r="I6676" s="86" t="s">
        <v>3356</v>
      </c>
      <c r="J6676" s="47" t="s">
        <v>3326</v>
      </c>
      <c r="K6676" s="47" t="str">
        <f t="shared" si="1033"/>
        <v>巨量引擎-一类</v>
      </c>
      <c r="L6676" s="47" t="s">
        <v>35</v>
      </c>
      <c r="N6676" s="86" t="s">
        <v>3707</v>
      </c>
      <c r="O6676" s="47" t="s">
        <v>105</v>
      </c>
      <c r="P6676" s="47" t="s">
        <v>41</v>
      </c>
      <c r="Q6676" s="14">
        <v>0</v>
      </c>
      <c r="R6676" s="143"/>
      <c r="S6676" s="47"/>
      <c r="T6676" s="6">
        <v>-6645.8000000000011</v>
      </c>
      <c r="U6676" s="6"/>
      <c r="V6676" s="6">
        <v>4557.7899999999981</v>
      </c>
      <c r="W6676" s="6">
        <f t="shared" si="1029"/>
        <v>-11203.59</v>
      </c>
      <c r="X6676" s="6">
        <f t="shared" si="1030"/>
        <v>4557.7899999999981</v>
      </c>
      <c r="Y6676" s="13">
        <f t="shared" si="1035"/>
        <v>0</v>
      </c>
      <c r="Z6676" s="14">
        <v>0</v>
      </c>
      <c r="AA6676" s="6">
        <v>0</v>
      </c>
      <c r="AB6676" s="4">
        <f t="shared" si="1036"/>
        <v>4557.7899999999981</v>
      </c>
      <c r="AC6676" s="6">
        <f t="shared" si="1034"/>
        <v>0</v>
      </c>
      <c r="AD6676" s="6">
        <f t="shared" si="1031"/>
        <v>4557.7899999999981</v>
      </c>
      <c r="AE6676" s="14">
        <v>0.06</v>
      </c>
      <c r="AF6676" s="6">
        <f t="shared" si="1028"/>
        <v>273.46739999999988</v>
      </c>
      <c r="AG6676" s="14">
        <v>0</v>
      </c>
      <c r="AH6676" s="64">
        <f t="shared" si="1032"/>
        <v>4557.7899999999981</v>
      </c>
      <c r="AJ6676" s="126" t="e">
        <v>#N/A</v>
      </c>
      <c r="AK6676" s="80">
        <f t="shared" si="1037"/>
        <v>0</v>
      </c>
      <c r="AL6676" s="85"/>
      <c r="AM6676" s="85"/>
    </row>
    <row r="6677" spans="1:39" s="86" customFormat="1" ht="13.25" hidden="1" customHeight="1" x14ac:dyDescent="0.3">
      <c r="A6677" s="89" t="s">
        <v>3794</v>
      </c>
      <c r="B6677" s="86" t="s">
        <v>35</v>
      </c>
      <c r="C6677" s="86" t="s">
        <v>187</v>
      </c>
      <c r="D6677" s="86" t="s">
        <v>208</v>
      </c>
      <c r="E6677" s="86" t="s">
        <v>218</v>
      </c>
      <c r="F6677" s="86" t="s">
        <v>218</v>
      </c>
      <c r="G6677" s="86" t="s">
        <v>218</v>
      </c>
      <c r="H6677" s="144">
        <v>229</v>
      </c>
      <c r="I6677" s="86" t="s">
        <v>3356</v>
      </c>
      <c r="J6677" s="47" t="s">
        <v>3326</v>
      </c>
      <c r="K6677" s="47" t="str">
        <f t="shared" si="1033"/>
        <v>巨量引擎-游戏</v>
      </c>
      <c r="L6677" s="47" t="s">
        <v>35</v>
      </c>
      <c r="N6677" s="86" t="s">
        <v>3283</v>
      </c>
      <c r="O6677" s="47" t="s">
        <v>105</v>
      </c>
      <c r="P6677" s="47" t="s">
        <v>46</v>
      </c>
      <c r="Q6677" s="14">
        <v>0.06</v>
      </c>
      <c r="R6677" s="143"/>
      <c r="S6677" s="47"/>
      <c r="T6677" s="6">
        <v>-154.71</v>
      </c>
      <c r="U6677" s="6"/>
      <c r="V6677" s="6">
        <f>104.07+19.39</f>
        <v>123.46</v>
      </c>
      <c r="W6677" s="6">
        <f t="shared" si="1029"/>
        <v>-278.17</v>
      </c>
      <c r="X6677" s="6">
        <f t="shared" si="1030"/>
        <v>116.47169811320754</v>
      </c>
      <c r="Y6677" s="13">
        <f t="shared" si="1035"/>
        <v>0</v>
      </c>
      <c r="Z6677" s="14">
        <v>0</v>
      </c>
      <c r="AA6677" s="6">
        <v>0</v>
      </c>
      <c r="AB6677" s="4">
        <f t="shared" si="1036"/>
        <v>116.47169811320754</v>
      </c>
      <c r="AC6677" s="6">
        <f t="shared" si="1034"/>
        <v>6.9883018867924562</v>
      </c>
      <c r="AD6677" s="6">
        <f t="shared" si="1031"/>
        <v>123.46</v>
      </c>
      <c r="AE6677" s="14">
        <v>0.06</v>
      </c>
      <c r="AF6677" s="6">
        <f t="shared" si="1028"/>
        <v>7.4075999999999995</v>
      </c>
      <c r="AG6677" s="14">
        <v>0</v>
      </c>
      <c r="AH6677" s="64">
        <f t="shared" si="1032"/>
        <v>123.46</v>
      </c>
      <c r="AJ6677" s="126" t="e">
        <v>#N/A</v>
      </c>
      <c r="AK6677" s="80">
        <f t="shared" si="1037"/>
        <v>0</v>
      </c>
      <c r="AL6677" s="85"/>
      <c r="AM6677" s="85"/>
    </row>
    <row r="6678" spans="1:39" s="86" customFormat="1" ht="13.25" hidden="1" customHeight="1" x14ac:dyDescent="0.3">
      <c r="A6678" s="89" t="s">
        <v>3794</v>
      </c>
      <c r="B6678" s="86" t="s">
        <v>35</v>
      </c>
      <c r="C6678" s="86" t="s">
        <v>187</v>
      </c>
      <c r="D6678" s="86" t="s">
        <v>188</v>
      </c>
      <c r="E6678" s="86" t="s">
        <v>199</v>
      </c>
      <c r="F6678" s="86" t="s">
        <v>199</v>
      </c>
      <c r="G6678" s="86" t="s">
        <v>199</v>
      </c>
      <c r="H6678" s="143">
        <v>229</v>
      </c>
      <c r="I6678" s="86" t="s">
        <v>3356</v>
      </c>
      <c r="J6678" s="47" t="s">
        <v>3326</v>
      </c>
      <c r="K6678" s="47" t="str">
        <f t="shared" si="1033"/>
        <v>巨量引擎-游戏</v>
      </c>
      <c r="L6678" s="47" t="s">
        <v>35</v>
      </c>
      <c r="N6678" s="86" t="s">
        <v>3283</v>
      </c>
      <c r="O6678" s="47" t="s">
        <v>105</v>
      </c>
      <c r="P6678" s="47" t="s">
        <v>46</v>
      </c>
      <c r="Q6678" s="14">
        <v>0.02</v>
      </c>
      <c r="R6678" s="143"/>
      <c r="S6678" s="47"/>
      <c r="T6678" s="6">
        <v>-95.47</v>
      </c>
      <c r="U6678" s="6"/>
      <c r="V6678" s="6">
        <v>0</v>
      </c>
      <c r="W6678" s="6">
        <f t="shared" si="1029"/>
        <v>-95.47</v>
      </c>
      <c r="X6678" s="6">
        <f t="shared" si="1030"/>
        <v>0</v>
      </c>
      <c r="Y6678" s="13">
        <f t="shared" si="1035"/>
        <v>0</v>
      </c>
      <c r="Z6678" s="14">
        <v>0</v>
      </c>
      <c r="AA6678" s="6">
        <v>0</v>
      </c>
      <c r="AB6678" s="4">
        <f t="shared" si="1036"/>
        <v>0</v>
      </c>
      <c r="AC6678" s="6">
        <f t="shared" si="1034"/>
        <v>0</v>
      </c>
      <c r="AD6678" s="6">
        <f t="shared" si="1031"/>
        <v>0</v>
      </c>
      <c r="AE6678" s="14">
        <v>0.06</v>
      </c>
      <c r="AF6678" s="6">
        <f t="shared" si="1028"/>
        <v>0</v>
      </c>
      <c r="AG6678" s="14">
        <v>0</v>
      </c>
      <c r="AH6678" s="64">
        <f t="shared" si="1032"/>
        <v>0</v>
      </c>
      <c r="AJ6678" s="126" t="e">
        <v>#N/A</v>
      </c>
      <c r="AK6678" s="80">
        <f t="shared" si="1037"/>
        <v>0</v>
      </c>
      <c r="AL6678" s="85"/>
      <c r="AM6678" s="85"/>
    </row>
    <row r="6679" spans="1:39" s="86" customFormat="1" ht="13.25" hidden="1" customHeight="1" x14ac:dyDescent="0.3">
      <c r="A6679" s="89" t="s">
        <v>3794</v>
      </c>
      <c r="B6679" s="86" t="s">
        <v>35</v>
      </c>
      <c r="C6679" s="86" t="s">
        <v>144</v>
      </c>
      <c r="D6679" s="86" t="s">
        <v>145</v>
      </c>
      <c r="E6679" s="86" t="s">
        <v>147</v>
      </c>
      <c r="F6679" s="86" t="s">
        <v>148</v>
      </c>
      <c r="G6679" s="86" t="s">
        <v>147</v>
      </c>
      <c r="H6679" s="144">
        <v>229</v>
      </c>
      <c r="I6679" s="86" t="s">
        <v>3356</v>
      </c>
      <c r="J6679" s="47" t="s">
        <v>3326</v>
      </c>
      <c r="K6679" s="47" t="str">
        <f t="shared" si="1033"/>
        <v>巨量引擎-一类</v>
      </c>
      <c r="L6679" s="47" t="s">
        <v>35</v>
      </c>
      <c r="N6679" s="86" t="s">
        <v>3707</v>
      </c>
      <c r="O6679" s="47" t="s">
        <v>105</v>
      </c>
      <c r="P6679" s="47" t="s">
        <v>41</v>
      </c>
      <c r="Q6679" s="14">
        <v>0</v>
      </c>
      <c r="R6679" s="143"/>
      <c r="S6679" s="47"/>
      <c r="T6679" s="6">
        <v>-69464.759999999995</v>
      </c>
      <c r="U6679" s="6"/>
      <c r="V6679" s="6">
        <v>117004.4</v>
      </c>
      <c r="W6679" s="6">
        <f t="shared" si="1029"/>
        <v>-186469.15999999997</v>
      </c>
      <c r="X6679" s="6">
        <f t="shared" si="1030"/>
        <v>117004.4</v>
      </c>
      <c r="Y6679" s="13">
        <f t="shared" si="1035"/>
        <v>0</v>
      </c>
      <c r="Z6679" s="14">
        <v>0</v>
      </c>
      <c r="AA6679" s="6">
        <v>0</v>
      </c>
      <c r="AB6679" s="4">
        <f t="shared" si="1036"/>
        <v>117004.4</v>
      </c>
      <c r="AC6679" s="6">
        <f t="shared" si="1034"/>
        <v>0</v>
      </c>
      <c r="AD6679" s="6">
        <f t="shared" si="1031"/>
        <v>117004.4</v>
      </c>
      <c r="AE6679" s="14">
        <v>0.06</v>
      </c>
      <c r="AF6679" s="6">
        <f t="shared" si="1028"/>
        <v>7020.2639999999992</v>
      </c>
      <c r="AG6679" s="14">
        <v>0</v>
      </c>
      <c r="AH6679" s="64">
        <f t="shared" si="1032"/>
        <v>117004.4</v>
      </c>
      <c r="AJ6679" s="126" t="e">
        <v>#N/A</v>
      </c>
      <c r="AK6679" s="80">
        <f t="shared" si="1037"/>
        <v>0</v>
      </c>
      <c r="AL6679" s="85"/>
      <c r="AM6679" s="85"/>
    </row>
    <row r="6680" spans="1:39" s="86" customFormat="1" ht="13.25" hidden="1" customHeight="1" x14ac:dyDescent="0.3">
      <c r="A6680" s="89" t="s">
        <v>3794</v>
      </c>
      <c r="B6680" s="86" t="s">
        <v>35</v>
      </c>
      <c r="C6680" s="86" t="s">
        <v>65</v>
      </c>
      <c r="D6680" s="86" t="s">
        <v>1291</v>
      </c>
      <c r="E6680" s="86" t="s">
        <v>3614</v>
      </c>
      <c r="F6680" s="86" t="s">
        <v>3614</v>
      </c>
      <c r="G6680" s="86" t="s">
        <v>3614</v>
      </c>
      <c r="H6680" s="144">
        <v>229</v>
      </c>
      <c r="I6680" s="86" t="s">
        <v>3356</v>
      </c>
      <c r="J6680" s="47" t="s">
        <v>3326</v>
      </c>
      <c r="K6680" s="47" t="str">
        <f t="shared" si="1033"/>
        <v>巨量引擎-三类</v>
      </c>
      <c r="L6680" s="47" t="s">
        <v>35</v>
      </c>
      <c r="N6680" s="86" t="s">
        <v>3712</v>
      </c>
      <c r="O6680" s="47" t="s">
        <v>105</v>
      </c>
      <c r="P6680" s="47" t="s">
        <v>46</v>
      </c>
      <c r="Q6680" s="14">
        <v>0.06</v>
      </c>
      <c r="R6680" s="143"/>
      <c r="S6680" s="47"/>
      <c r="T6680" s="6">
        <v>-0.46</v>
      </c>
      <c r="U6680" s="6"/>
      <c r="V6680" s="6">
        <v>0.38</v>
      </c>
      <c r="W6680" s="6">
        <f t="shared" si="1029"/>
        <v>-0.84000000000000008</v>
      </c>
      <c r="X6680" s="6">
        <f t="shared" si="1030"/>
        <v>0.35849056603773582</v>
      </c>
      <c r="Y6680" s="13">
        <f t="shared" si="1035"/>
        <v>0</v>
      </c>
      <c r="Z6680" s="14">
        <v>0</v>
      </c>
      <c r="AA6680" s="6">
        <v>0</v>
      </c>
      <c r="AB6680" s="4">
        <f t="shared" si="1036"/>
        <v>0.35849056603773582</v>
      </c>
      <c r="AC6680" s="6">
        <f t="shared" si="1034"/>
        <v>2.1509433962264179E-2</v>
      </c>
      <c r="AD6680" s="6">
        <f t="shared" si="1031"/>
        <v>0.38</v>
      </c>
      <c r="AE6680" s="14">
        <v>0.06</v>
      </c>
      <c r="AF6680" s="6">
        <f t="shared" si="1028"/>
        <v>2.2800000000000001E-2</v>
      </c>
      <c r="AG6680" s="14">
        <v>0</v>
      </c>
      <c r="AH6680" s="64">
        <f t="shared" si="1032"/>
        <v>0.38</v>
      </c>
      <c r="AJ6680" s="126" t="e">
        <v>#N/A</v>
      </c>
      <c r="AK6680" s="80">
        <f t="shared" si="1037"/>
        <v>0</v>
      </c>
      <c r="AL6680" s="85"/>
      <c r="AM6680" s="85"/>
    </row>
    <row r="6681" spans="1:39" s="86" customFormat="1" ht="13.25" hidden="1" customHeight="1" x14ac:dyDescent="0.3">
      <c r="A6681" s="89" t="s">
        <v>3794</v>
      </c>
      <c r="B6681" s="86" t="s">
        <v>35</v>
      </c>
      <c r="C6681" s="86" t="s">
        <v>3857</v>
      </c>
      <c r="D6681" s="86" t="s">
        <v>3858</v>
      </c>
      <c r="E6681" s="86" t="s">
        <v>110</v>
      </c>
      <c r="F6681" s="86" t="s">
        <v>110</v>
      </c>
      <c r="G6681" s="86" t="s">
        <v>110</v>
      </c>
      <c r="H6681" s="144">
        <v>229</v>
      </c>
      <c r="I6681" s="86" t="s">
        <v>3356</v>
      </c>
      <c r="J6681" s="47" t="s">
        <v>3326</v>
      </c>
      <c r="K6681" s="47" t="str">
        <f t="shared" si="1033"/>
        <v>巨量引擎-三类</v>
      </c>
      <c r="L6681" s="47" t="s">
        <v>35</v>
      </c>
      <c r="N6681" s="86" t="s">
        <v>3712</v>
      </c>
      <c r="O6681" s="47" t="s">
        <v>105</v>
      </c>
      <c r="P6681" s="47" t="s">
        <v>41</v>
      </c>
      <c r="Q6681" s="14">
        <v>0</v>
      </c>
      <c r="R6681" s="143"/>
      <c r="S6681" s="47"/>
      <c r="T6681" s="6">
        <v>-11743.239999999998</v>
      </c>
      <c r="U6681" s="6"/>
      <c r="V6681" s="6">
        <v>202811.69999999992</v>
      </c>
      <c r="W6681" s="6">
        <f t="shared" si="1029"/>
        <v>-214554.93999999992</v>
      </c>
      <c r="X6681" s="6">
        <f t="shared" si="1030"/>
        <v>202811.69999999992</v>
      </c>
      <c r="Y6681" s="13">
        <f t="shared" si="1035"/>
        <v>0</v>
      </c>
      <c r="Z6681" s="14">
        <v>0</v>
      </c>
      <c r="AA6681" s="6">
        <v>0</v>
      </c>
      <c r="AB6681" s="4">
        <f t="shared" si="1036"/>
        <v>202811.69999999992</v>
      </c>
      <c r="AC6681" s="6">
        <f t="shared" si="1034"/>
        <v>0</v>
      </c>
      <c r="AD6681" s="6">
        <f t="shared" si="1031"/>
        <v>202811.69999999992</v>
      </c>
      <c r="AE6681" s="14">
        <v>0.06</v>
      </c>
      <c r="AF6681" s="6">
        <f t="shared" si="1028"/>
        <v>12168.701999999996</v>
      </c>
      <c r="AG6681" s="14">
        <v>0</v>
      </c>
      <c r="AH6681" s="64">
        <f t="shared" si="1032"/>
        <v>202811.69999999992</v>
      </c>
      <c r="AJ6681" s="126" t="e">
        <v>#N/A</v>
      </c>
      <c r="AK6681" s="80">
        <f t="shared" si="1037"/>
        <v>0</v>
      </c>
      <c r="AL6681" s="85"/>
      <c r="AM6681" s="85"/>
    </row>
    <row r="6682" spans="1:39" s="86" customFormat="1" ht="13.25" hidden="1" customHeight="1" x14ac:dyDescent="0.3">
      <c r="A6682" s="89" t="s">
        <v>3794</v>
      </c>
      <c r="B6682" s="86" t="s">
        <v>35</v>
      </c>
      <c r="C6682" s="86" t="s">
        <v>164</v>
      </c>
      <c r="D6682" s="86" t="s">
        <v>305</v>
      </c>
      <c r="E6682" s="86" t="s">
        <v>263</v>
      </c>
      <c r="F6682" s="86" t="s">
        <v>264</v>
      </c>
      <c r="G6682" s="86" t="s">
        <v>263</v>
      </c>
      <c r="H6682" s="143">
        <v>229</v>
      </c>
      <c r="I6682" s="86" t="s">
        <v>3356</v>
      </c>
      <c r="J6682" s="47" t="s">
        <v>3326</v>
      </c>
      <c r="K6682" s="47"/>
      <c r="L6682" s="47" t="s">
        <v>35</v>
      </c>
      <c r="O6682" s="47" t="s">
        <v>105</v>
      </c>
      <c r="P6682" s="47" t="s">
        <v>46</v>
      </c>
      <c r="Q6682" s="14">
        <v>0.02</v>
      </c>
      <c r="R6682" s="143"/>
      <c r="S6682" s="47"/>
      <c r="T6682" s="6">
        <v>-45.89</v>
      </c>
      <c r="U6682" s="6"/>
      <c r="V6682" s="6">
        <v>0</v>
      </c>
      <c r="W6682" s="6">
        <f t="shared" si="1029"/>
        <v>-45.89</v>
      </c>
      <c r="X6682" s="6">
        <f t="shared" si="1030"/>
        <v>0</v>
      </c>
      <c r="Y6682" s="13">
        <f t="shared" si="1035"/>
        <v>0</v>
      </c>
      <c r="Z6682" s="14">
        <v>0</v>
      </c>
      <c r="AA6682" s="6">
        <v>0</v>
      </c>
      <c r="AB6682" s="4">
        <f t="shared" si="1036"/>
        <v>0</v>
      </c>
      <c r="AC6682" s="6">
        <f t="shared" si="1034"/>
        <v>0</v>
      </c>
      <c r="AD6682" s="6">
        <f t="shared" si="1031"/>
        <v>0</v>
      </c>
      <c r="AE6682" s="14">
        <v>0.06</v>
      </c>
      <c r="AF6682" s="6">
        <f t="shared" si="1028"/>
        <v>0</v>
      </c>
      <c r="AG6682" s="14">
        <v>0</v>
      </c>
      <c r="AH6682" s="64">
        <f t="shared" si="1032"/>
        <v>0</v>
      </c>
      <c r="AJ6682" s="126" t="e">
        <v>#N/A</v>
      </c>
      <c r="AK6682" s="80">
        <f t="shared" si="1037"/>
        <v>0</v>
      </c>
      <c r="AL6682" s="85"/>
      <c r="AM6682" s="85"/>
    </row>
    <row r="6683" spans="1:39" s="86" customFormat="1" ht="13.25" hidden="1" customHeight="1" x14ac:dyDescent="0.3">
      <c r="A6683" s="89" t="s">
        <v>3794</v>
      </c>
      <c r="B6683" s="86" t="s">
        <v>35</v>
      </c>
      <c r="C6683" s="86" t="s">
        <v>164</v>
      </c>
      <c r="D6683" s="86" t="s">
        <v>305</v>
      </c>
      <c r="E6683" s="86" t="s">
        <v>3542</v>
      </c>
      <c r="F6683" s="86" t="s">
        <v>3542</v>
      </c>
      <c r="G6683" s="86" t="s">
        <v>3542</v>
      </c>
      <c r="H6683" s="144">
        <v>229</v>
      </c>
      <c r="I6683" s="86" t="s">
        <v>3356</v>
      </c>
      <c r="J6683" s="47" t="s">
        <v>3326</v>
      </c>
      <c r="K6683" s="47" t="str">
        <f t="shared" si="1033"/>
        <v>巨量引擎-一类</v>
      </c>
      <c r="L6683" s="47" t="s">
        <v>35</v>
      </c>
      <c r="N6683" s="86" t="s">
        <v>3707</v>
      </c>
      <c r="O6683" s="47" t="s">
        <v>105</v>
      </c>
      <c r="P6683" s="47" t="s">
        <v>41</v>
      </c>
      <c r="Q6683" s="14">
        <v>0</v>
      </c>
      <c r="R6683" s="143"/>
      <c r="S6683" s="47"/>
      <c r="T6683" s="6">
        <v>-1329.79</v>
      </c>
      <c r="U6683" s="6"/>
      <c r="V6683" s="6">
        <v>122.23</v>
      </c>
      <c r="W6683" s="6">
        <f t="shared" si="1029"/>
        <v>-1452.02</v>
      </c>
      <c r="X6683" s="6">
        <f t="shared" si="1030"/>
        <v>122.23</v>
      </c>
      <c r="Y6683" s="13">
        <f t="shared" si="1035"/>
        <v>0</v>
      </c>
      <c r="Z6683" s="14">
        <v>0</v>
      </c>
      <c r="AA6683" s="6">
        <v>0</v>
      </c>
      <c r="AB6683" s="4">
        <f t="shared" si="1036"/>
        <v>122.23</v>
      </c>
      <c r="AC6683" s="6">
        <f t="shared" si="1034"/>
        <v>0</v>
      </c>
      <c r="AD6683" s="6">
        <f t="shared" si="1031"/>
        <v>122.23</v>
      </c>
      <c r="AE6683" s="14">
        <v>0.06</v>
      </c>
      <c r="AF6683" s="6">
        <f t="shared" si="1028"/>
        <v>7.3338000000000001</v>
      </c>
      <c r="AG6683" s="14">
        <v>0</v>
      </c>
      <c r="AH6683" s="64">
        <f t="shared" si="1032"/>
        <v>122.23</v>
      </c>
      <c r="AJ6683" s="126" t="e">
        <v>#N/A</v>
      </c>
      <c r="AK6683" s="80">
        <f t="shared" si="1037"/>
        <v>0</v>
      </c>
      <c r="AL6683" s="85"/>
      <c r="AM6683" s="85"/>
    </row>
    <row r="6684" spans="1:39" s="86" customFormat="1" ht="13.25" hidden="1" customHeight="1" x14ac:dyDescent="0.3">
      <c r="A6684" s="89" t="s">
        <v>3794</v>
      </c>
      <c r="B6684" s="86" t="s">
        <v>35</v>
      </c>
      <c r="C6684" s="86" t="s">
        <v>164</v>
      </c>
      <c r="D6684" s="86" t="s">
        <v>174</v>
      </c>
      <c r="E6684" s="86" t="s">
        <v>50</v>
      </c>
      <c r="F6684" s="86" t="s">
        <v>50</v>
      </c>
      <c r="G6684" s="86" t="s">
        <v>50</v>
      </c>
      <c r="H6684" s="144">
        <v>229</v>
      </c>
      <c r="I6684" s="86" t="s">
        <v>3356</v>
      </c>
      <c r="J6684" s="47" t="s">
        <v>3326</v>
      </c>
      <c r="K6684" s="47" t="str">
        <f t="shared" si="1033"/>
        <v>巨量引擎-一类</v>
      </c>
      <c r="L6684" s="47" t="s">
        <v>35</v>
      </c>
      <c r="N6684" s="86" t="s">
        <v>3965</v>
      </c>
      <c r="O6684" s="47" t="s">
        <v>105</v>
      </c>
      <c r="P6684" s="47" t="s">
        <v>46</v>
      </c>
      <c r="Q6684" s="14">
        <v>0.01</v>
      </c>
      <c r="R6684" s="143"/>
      <c r="S6684" s="47"/>
      <c r="T6684" s="6">
        <v>-20.47</v>
      </c>
      <c r="U6684" s="6"/>
      <c r="V6684" s="6">
        <v>5233.51</v>
      </c>
      <c r="W6684" s="6">
        <f t="shared" si="1029"/>
        <v>-5253.9800000000005</v>
      </c>
      <c r="X6684" s="6">
        <f t="shared" si="1030"/>
        <v>5181.6930693069307</v>
      </c>
      <c r="Y6684" s="13">
        <f t="shared" si="1035"/>
        <v>0</v>
      </c>
      <c r="Z6684" s="14">
        <v>0</v>
      </c>
      <c r="AA6684" s="6">
        <v>0</v>
      </c>
      <c r="AB6684" s="4">
        <f t="shared" si="1036"/>
        <v>5181.6930693069307</v>
      </c>
      <c r="AC6684" s="6">
        <f t="shared" si="1034"/>
        <v>51.81693069306948</v>
      </c>
      <c r="AD6684" s="6">
        <f t="shared" si="1031"/>
        <v>5233.51</v>
      </c>
      <c r="AE6684" s="14">
        <v>0.06</v>
      </c>
      <c r="AF6684" s="6">
        <f t="shared" si="1028"/>
        <v>314.01060000000001</v>
      </c>
      <c r="AG6684" s="14">
        <v>0</v>
      </c>
      <c r="AH6684" s="64">
        <f t="shared" si="1032"/>
        <v>5233.51</v>
      </c>
      <c r="AJ6684" s="126" t="e">
        <v>#N/A</v>
      </c>
      <c r="AK6684" s="80">
        <f t="shared" si="1037"/>
        <v>0</v>
      </c>
      <c r="AL6684" s="85"/>
      <c r="AM6684" s="85"/>
    </row>
    <row r="6685" spans="1:39" s="86" customFormat="1" ht="13.25" hidden="1" customHeight="1" x14ac:dyDescent="0.3">
      <c r="A6685" s="89" t="s">
        <v>3794</v>
      </c>
      <c r="B6685" s="86" t="s">
        <v>35</v>
      </c>
      <c r="C6685" s="86" t="s">
        <v>187</v>
      </c>
      <c r="D6685" s="86" t="s">
        <v>188</v>
      </c>
      <c r="E6685" s="86" t="s">
        <v>3619</v>
      </c>
      <c r="F6685" s="86" t="s">
        <v>3619</v>
      </c>
      <c r="G6685" s="86" t="s">
        <v>3619</v>
      </c>
      <c r="H6685" s="144">
        <v>229</v>
      </c>
      <c r="I6685" s="86" t="s">
        <v>3356</v>
      </c>
      <c r="J6685" s="47" t="s">
        <v>3326</v>
      </c>
      <c r="K6685" s="47" t="str">
        <f t="shared" si="1033"/>
        <v>巨量引擎-游戏</v>
      </c>
      <c r="L6685" s="47" t="s">
        <v>35</v>
      </c>
      <c r="N6685" s="86" t="s">
        <v>3283</v>
      </c>
      <c r="O6685" s="47" t="s">
        <v>105</v>
      </c>
      <c r="P6685" s="47" t="s">
        <v>46</v>
      </c>
      <c r="Q6685" s="14">
        <v>0.06</v>
      </c>
      <c r="R6685" s="143"/>
      <c r="S6685" s="47"/>
      <c r="T6685" s="6">
        <v>-16661.750000000004</v>
      </c>
      <c r="U6685" s="6"/>
      <c r="V6685" s="6">
        <v>12994.99</v>
      </c>
      <c r="W6685" s="6">
        <f t="shared" si="1029"/>
        <v>-29656.740000000005</v>
      </c>
      <c r="X6685" s="6">
        <f t="shared" si="1030"/>
        <v>12259.424528301886</v>
      </c>
      <c r="Y6685" s="13">
        <f t="shared" si="1035"/>
        <v>0</v>
      </c>
      <c r="Z6685" s="14">
        <v>0</v>
      </c>
      <c r="AA6685" s="6">
        <v>0</v>
      </c>
      <c r="AB6685" s="4">
        <f t="shared" si="1036"/>
        <v>12259.424528301886</v>
      </c>
      <c r="AC6685" s="6">
        <f t="shared" si="1034"/>
        <v>735.56547169811347</v>
      </c>
      <c r="AD6685" s="6">
        <f t="shared" si="1031"/>
        <v>12994.99</v>
      </c>
      <c r="AE6685" s="14">
        <v>0.06</v>
      </c>
      <c r="AF6685" s="6">
        <f t="shared" si="1028"/>
        <v>779.69939999999997</v>
      </c>
      <c r="AG6685" s="14">
        <v>0</v>
      </c>
      <c r="AH6685" s="64">
        <f t="shared" si="1032"/>
        <v>12994.99</v>
      </c>
      <c r="AJ6685" s="126" t="e">
        <v>#N/A</v>
      </c>
      <c r="AK6685" s="80">
        <f t="shared" si="1037"/>
        <v>0</v>
      </c>
      <c r="AL6685" s="85"/>
      <c r="AM6685" s="85"/>
    </row>
    <row r="6686" spans="1:39" s="86" customFormat="1" ht="13.25" hidden="1" customHeight="1" x14ac:dyDescent="0.3">
      <c r="A6686" s="89" t="s">
        <v>3794</v>
      </c>
      <c r="B6686" s="86" t="s">
        <v>35</v>
      </c>
      <c r="C6686" s="86" t="s">
        <v>59</v>
      </c>
      <c r="D6686" s="86" t="s">
        <v>60</v>
      </c>
      <c r="E6686" s="86" t="s">
        <v>78</v>
      </c>
      <c r="F6686" s="86" t="s">
        <v>329</v>
      </c>
      <c r="G6686" s="86" t="s">
        <v>78</v>
      </c>
      <c r="H6686" s="144">
        <v>229</v>
      </c>
      <c r="I6686" s="86" t="s">
        <v>3356</v>
      </c>
      <c r="J6686" s="47" t="s">
        <v>3326</v>
      </c>
      <c r="K6686" s="47" t="str">
        <f t="shared" si="1033"/>
        <v>巨量引擎-游戏</v>
      </c>
      <c r="L6686" s="47" t="s">
        <v>35</v>
      </c>
      <c r="N6686" s="86" t="s">
        <v>3283</v>
      </c>
      <c r="O6686" s="47" t="s">
        <v>45</v>
      </c>
      <c r="P6686" s="47" t="s">
        <v>46</v>
      </c>
      <c r="Q6686" s="14">
        <v>0.04</v>
      </c>
      <c r="R6686" s="143"/>
      <c r="S6686" s="47"/>
      <c r="T6686" s="6">
        <v>465629.33000000566</v>
      </c>
      <c r="U6686" s="6">
        <v>0</v>
      </c>
      <c r="V6686" s="6">
        <v>464312.57</v>
      </c>
      <c r="W6686" s="6">
        <f t="shared" si="1029"/>
        <v>1316.7600000056555</v>
      </c>
      <c r="X6686" s="6">
        <f t="shared" si="1030"/>
        <v>446454.39423076925</v>
      </c>
      <c r="Y6686" s="13">
        <f t="shared" si="1035"/>
        <v>0</v>
      </c>
      <c r="Z6686" s="14">
        <v>0</v>
      </c>
      <c r="AA6686" s="6">
        <v>0</v>
      </c>
      <c r="AB6686" s="4">
        <f t="shared" si="1036"/>
        <v>446454.39423076925</v>
      </c>
      <c r="AC6686" s="6">
        <f t="shared" si="1034"/>
        <v>17858.175769230758</v>
      </c>
      <c r="AD6686" s="6">
        <f t="shared" si="1031"/>
        <v>464312.57</v>
      </c>
      <c r="AE6686" s="14">
        <v>0.06</v>
      </c>
      <c r="AF6686" s="6">
        <f t="shared" si="1028"/>
        <v>27858.754199999999</v>
      </c>
      <c r="AG6686" s="14">
        <v>0</v>
      </c>
      <c r="AH6686" s="64">
        <f t="shared" si="1032"/>
        <v>464312.57</v>
      </c>
      <c r="AJ6686" s="126" t="e">
        <v>#N/A</v>
      </c>
      <c r="AK6686" s="80">
        <f t="shared" si="1037"/>
        <v>0</v>
      </c>
      <c r="AL6686" s="85"/>
      <c r="AM6686" s="85"/>
    </row>
    <row r="6687" spans="1:39" s="86" customFormat="1" ht="13.25" hidden="1" customHeight="1" x14ac:dyDescent="0.3">
      <c r="A6687" s="89" t="s">
        <v>3794</v>
      </c>
      <c r="B6687" s="86" t="s">
        <v>35</v>
      </c>
      <c r="C6687" s="86" t="s">
        <v>59</v>
      </c>
      <c r="D6687" s="86" t="s">
        <v>60</v>
      </c>
      <c r="E6687" s="86" t="s">
        <v>78</v>
      </c>
      <c r="F6687" s="86" t="s">
        <v>333</v>
      </c>
      <c r="G6687" s="86" t="s">
        <v>78</v>
      </c>
      <c r="H6687" s="144">
        <v>229</v>
      </c>
      <c r="I6687" s="86" t="s">
        <v>3356</v>
      </c>
      <c r="J6687" s="47" t="s">
        <v>3326</v>
      </c>
      <c r="K6687" s="47" t="str">
        <f t="shared" si="1033"/>
        <v>巨量引擎-游戏</v>
      </c>
      <c r="L6687" s="47" t="s">
        <v>35</v>
      </c>
      <c r="N6687" s="86" t="s">
        <v>3283</v>
      </c>
      <c r="O6687" s="47" t="s">
        <v>45</v>
      </c>
      <c r="P6687" s="47" t="s">
        <v>41</v>
      </c>
      <c r="Q6687" s="14">
        <v>0</v>
      </c>
      <c r="R6687" s="143"/>
      <c r="S6687" s="47"/>
      <c r="T6687" s="6">
        <v>555899.79999999888</v>
      </c>
      <c r="U6687" s="6">
        <v>0</v>
      </c>
      <c r="V6687" s="6">
        <v>181460.71000000002</v>
      </c>
      <c r="W6687" s="6">
        <f t="shared" si="1029"/>
        <v>374439.08999999886</v>
      </c>
      <c r="X6687" s="6">
        <f t="shared" si="1030"/>
        <v>181460.71000000002</v>
      </c>
      <c r="Y6687" s="13">
        <f t="shared" si="1035"/>
        <v>0</v>
      </c>
      <c r="Z6687" s="14">
        <v>0</v>
      </c>
      <c r="AA6687" s="6">
        <v>0</v>
      </c>
      <c r="AB6687" s="4">
        <f t="shared" si="1036"/>
        <v>181460.71000000002</v>
      </c>
      <c r="AC6687" s="6">
        <f t="shared" si="1034"/>
        <v>0</v>
      </c>
      <c r="AD6687" s="6">
        <f t="shared" si="1031"/>
        <v>181460.71000000002</v>
      </c>
      <c r="AE6687" s="14">
        <v>0.06</v>
      </c>
      <c r="AF6687" s="6">
        <f t="shared" si="1028"/>
        <v>10887.642600000001</v>
      </c>
      <c r="AG6687" s="14">
        <v>0</v>
      </c>
      <c r="AH6687" s="64">
        <f t="shared" si="1032"/>
        <v>181460.71000000002</v>
      </c>
      <c r="AJ6687" s="126" t="e">
        <v>#N/A</v>
      </c>
      <c r="AK6687" s="80">
        <f t="shared" si="1037"/>
        <v>0</v>
      </c>
      <c r="AL6687" s="85"/>
      <c r="AM6687" s="85"/>
    </row>
    <row r="6688" spans="1:39" s="86" customFormat="1" ht="13.25" hidden="1" customHeight="1" x14ac:dyDescent="0.3">
      <c r="A6688" s="89" t="s">
        <v>3794</v>
      </c>
      <c r="B6688" s="86" t="s">
        <v>35</v>
      </c>
      <c r="C6688" s="86" t="s">
        <v>59</v>
      </c>
      <c r="D6688" s="86" t="s">
        <v>60</v>
      </c>
      <c r="E6688" s="86" t="s">
        <v>405</v>
      </c>
      <c r="F6688" s="86" t="s">
        <v>3966</v>
      </c>
      <c r="G6688" s="86" t="s">
        <v>405</v>
      </c>
      <c r="H6688" s="144">
        <v>229</v>
      </c>
      <c r="I6688" s="86" t="s">
        <v>3356</v>
      </c>
      <c r="J6688" s="47" t="s">
        <v>3326</v>
      </c>
      <c r="K6688" s="47" t="str">
        <f t="shared" si="1033"/>
        <v>巨量引擎-游戏</v>
      </c>
      <c r="L6688" s="47" t="s">
        <v>35</v>
      </c>
      <c r="N6688" s="86" t="s">
        <v>3283</v>
      </c>
      <c r="O6688" s="47" t="s">
        <v>45</v>
      </c>
      <c r="P6688" s="47" t="s">
        <v>75</v>
      </c>
      <c r="Q6688" s="14">
        <v>0.06</v>
      </c>
      <c r="R6688" s="143"/>
      <c r="S6688" s="47" t="s">
        <v>3967</v>
      </c>
      <c r="T6688" s="6">
        <v>9428667.5600000005</v>
      </c>
      <c r="U6688" s="6">
        <v>0</v>
      </c>
      <c r="V6688" s="6">
        <v>651481.19999999925</v>
      </c>
      <c r="W6688" s="6">
        <f t="shared" si="1029"/>
        <v>8777186.3600000013</v>
      </c>
      <c r="X6688" s="6">
        <f>IF(P6688="折扣",V6688*Q6688,IF(P6688="返现",V6688,V6688/(1+Q6688)))+232236.59</f>
        <v>883717.78999999922</v>
      </c>
      <c r="Y6688" s="13">
        <f t="shared" si="1035"/>
        <v>179213.52260000003</v>
      </c>
      <c r="Z6688" s="14">
        <v>0</v>
      </c>
      <c r="AA6688" s="6">
        <v>0</v>
      </c>
      <c r="AB6688" s="4">
        <f t="shared" si="1036"/>
        <v>883717.78999999922</v>
      </c>
      <c r="AC6688" s="6">
        <f t="shared" si="1034"/>
        <v>53023.067399999949</v>
      </c>
      <c r="AD6688" s="6">
        <f t="shared" si="1031"/>
        <v>651481.19999999925</v>
      </c>
      <c r="AE6688" s="14">
        <v>0.06</v>
      </c>
      <c r="AF6688" s="6">
        <f t="shared" si="1028"/>
        <v>39088.871999999952</v>
      </c>
      <c r="AG6688" s="14">
        <v>0</v>
      </c>
      <c r="AH6688" s="64">
        <f t="shared" si="1032"/>
        <v>651481.19999999925</v>
      </c>
      <c r="AJ6688" s="126" t="e">
        <v>#N/A</v>
      </c>
      <c r="AK6688" s="80">
        <f t="shared" si="1037"/>
        <v>0</v>
      </c>
      <c r="AL6688" s="85"/>
      <c r="AM6688" s="85"/>
    </row>
    <row r="6689" spans="1:39" s="86" customFormat="1" ht="13.25" hidden="1" customHeight="1" x14ac:dyDescent="0.3">
      <c r="A6689" s="89" t="s">
        <v>3794</v>
      </c>
      <c r="B6689" s="86" t="s">
        <v>35</v>
      </c>
      <c r="C6689" s="86" t="s">
        <v>59</v>
      </c>
      <c r="D6689" s="86" t="s">
        <v>60</v>
      </c>
      <c r="E6689" s="86" t="s">
        <v>3641</v>
      </c>
      <c r="F6689" s="86" t="s">
        <v>3961</v>
      </c>
      <c r="G6689" s="86" t="s">
        <v>3641</v>
      </c>
      <c r="H6689" s="143">
        <v>229</v>
      </c>
      <c r="I6689" s="86" t="s">
        <v>3356</v>
      </c>
      <c r="J6689" s="47" t="s">
        <v>3326</v>
      </c>
      <c r="K6689" s="47" t="str">
        <f t="shared" si="1033"/>
        <v>巨量引擎-游戏</v>
      </c>
      <c r="L6689" s="47" t="s">
        <v>35</v>
      </c>
      <c r="N6689" s="86" t="s">
        <v>3283</v>
      </c>
      <c r="O6689" s="47" t="s">
        <v>45</v>
      </c>
      <c r="P6689" s="47" t="s">
        <v>75</v>
      </c>
      <c r="Q6689" s="14">
        <v>0.06</v>
      </c>
      <c r="R6689" s="143"/>
      <c r="S6689" s="47"/>
      <c r="T6689" s="6">
        <v>31826.240000000224</v>
      </c>
      <c r="U6689" s="6">
        <v>0</v>
      </c>
      <c r="V6689" s="6">
        <v>0</v>
      </c>
      <c r="W6689" s="6">
        <f t="shared" si="1029"/>
        <v>31826.240000000224</v>
      </c>
      <c r="X6689" s="6">
        <f t="shared" si="1030"/>
        <v>0</v>
      </c>
      <c r="Y6689" s="13">
        <f t="shared" si="1035"/>
        <v>0</v>
      </c>
      <c r="Z6689" s="14">
        <v>0</v>
      </c>
      <c r="AA6689" s="6">
        <v>0</v>
      </c>
      <c r="AB6689" s="4">
        <f t="shared" si="1036"/>
        <v>0</v>
      </c>
      <c r="AC6689" s="6">
        <f t="shared" si="1034"/>
        <v>0</v>
      </c>
      <c r="AD6689" s="6">
        <f t="shared" si="1031"/>
        <v>0</v>
      </c>
      <c r="AE6689" s="14">
        <v>0.06</v>
      </c>
      <c r="AF6689" s="6">
        <f t="shared" si="1028"/>
        <v>0</v>
      </c>
      <c r="AG6689" s="14">
        <v>0</v>
      </c>
      <c r="AH6689" s="64">
        <f t="shared" si="1032"/>
        <v>0</v>
      </c>
      <c r="AJ6689" s="126" t="e">
        <v>#N/A</v>
      </c>
      <c r="AK6689" s="80">
        <f t="shared" si="1037"/>
        <v>0</v>
      </c>
      <c r="AL6689" s="85"/>
      <c r="AM6689" s="85"/>
    </row>
    <row r="6690" spans="1:39" s="86" customFormat="1" ht="13.25" hidden="1" customHeight="1" x14ac:dyDescent="0.3">
      <c r="A6690" s="89" t="s">
        <v>3794</v>
      </c>
      <c r="B6690" s="86" t="s">
        <v>35</v>
      </c>
      <c r="C6690" s="86" t="s">
        <v>59</v>
      </c>
      <c r="D6690" s="86" t="s">
        <v>60</v>
      </c>
      <c r="E6690" s="86" t="s">
        <v>78</v>
      </c>
      <c r="F6690" s="86" t="s">
        <v>338</v>
      </c>
      <c r="G6690" s="86" t="s">
        <v>78</v>
      </c>
      <c r="H6690" s="143">
        <v>229</v>
      </c>
      <c r="I6690" s="86" t="s">
        <v>3356</v>
      </c>
      <c r="J6690" s="47" t="s">
        <v>3326</v>
      </c>
      <c r="K6690" s="47" t="str">
        <f t="shared" si="1033"/>
        <v>巨量引擎-游戏</v>
      </c>
      <c r="L6690" s="47" t="s">
        <v>35</v>
      </c>
      <c r="N6690" s="86" t="s">
        <v>3283</v>
      </c>
      <c r="O6690" s="47" t="s">
        <v>45</v>
      </c>
      <c r="P6690" s="47" t="s">
        <v>46</v>
      </c>
      <c r="Q6690" s="14">
        <v>0.03</v>
      </c>
      <c r="R6690" s="143"/>
      <c r="S6690" s="47"/>
      <c r="T6690" s="6">
        <v>2.139999997918494</v>
      </c>
      <c r="U6690" s="6">
        <v>0</v>
      </c>
      <c r="V6690" s="6">
        <v>0</v>
      </c>
      <c r="W6690" s="6">
        <f t="shared" si="1029"/>
        <v>2.139999997918494</v>
      </c>
      <c r="X6690" s="6">
        <f t="shared" si="1030"/>
        <v>0</v>
      </c>
      <c r="Y6690" s="13">
        <f t="shared" si="1035"/>
        <v>0</v>
      </c>
      <c r="Z6690" s="14">
        <v>0</v>
      </c>
      <c r="AA6690" s="6">
        <v>0</v>
      </c>
      <c r="AB6690" s="4">
        <f t="shared" si="1036"/>
        <v>0</v>
      </c>
      <c r="AC6690" s="6">
        <f t="shared" si="1034"/>
        <v>0</v>
      </c>
      <c r="AD6690" s="6">
        <f t="shared" si="1031"/>
        <v>0</v>
      </c>
      <c r="AE6690" s="14">
        <v>0.06</v>
      </c>
      <c r="AF6690" s="6">
        <f t="shared" si="1028"/>
        <v>0</v>
      </c>
      <c r="AG6690" s="14">
        <v>0</v>
      </c>
      <c r="AH6690" s="64">
        <f t="shared" si="1032"/>
        <v>0</v>
      </c>
      <c r="AJ6690" s="126" t="e">
        <v>#N/A</v>
      </c>
      <c r="AK6690" s="80">
        <f t="shared" si="1037"/>
        <v>0</v>
      </c>
      <c r="AL6690" s="85"/>
      <c r="AM6690" s="85"/>
    </row>
    <row r="6691" spans="1:39" s="86" customFormat="1" ht="13.25" hidden="1" customHeight="1" x14ac:dyDescent="0.3">
      <c r="A6691" s="89" t="s">
        <v>3794</v>
      </c>
      <c r="B6691" s="86" t="s">
        <v>35</v>
      </c>
      <c r="C6691" s="86" t="s">
        <v>59</v>
      </c>
      <c r="D6691" s="86" t="s">
        <v>60</v>
      </c>
      <c r="E6691" s="86" t="s">
        <v>78</v>
      </c>
      <c r="F6691" s="86" t="s">
        <v>331</v>
      </c>
      <c r="G6691" s="86" t="s">
        <v>78</v>
      </c>
      <c r="H6691" s="143">
        <v>229</v>
      </c>
      <c r="I6691" s="86" t="s">
        <v>3356</v>
      </c>
      <c r="J6691" s="47" t="s">
        <v>3326</v>
      </c>
      <c r="K6691" s="47" t="str">
        <f t="shared" si="1033"/>
        <v>巨量引擎-游戏</v>
      </c>
      <c r="L6691" s="47" t="s">
        <v>35</v>
      </c>
      <c r="N6691" s="86" t="s">
        <v>3283</v>
      </c>
      <c r="O6691" s="47" t="s">
        <v>45</v>
      </c>
      <c r="P6691" s="47" t="s">
        <v>46</v>
      </c>
      <c r="Q6691" s="14">
        <v>0.04</v>
      </c>
      <c r="R6691" s="143"/>
      <c r="S6691" s="47"/>
      <c r="T6691" s="6">
        <v>7.2899999745932291</v>
      </c>
      <c r="U6691" s="6">
        <v>0</v>
      </c>
      <c r="V6691" s="6">
        <v>0</v>
      </c>
      <c r="W6691" s="6">
        <f t="shared" si="1029"/>
        <v>7.2899999745932291</v>
      </c>
      <c r="X6691" s="6">
        <f t="shared" si="1030"/>
        <v>0</v>
      </c>
      <c r="Y6691" s="13">
        <f t="shared" si="1035"/>
        <v>0</v>
      </c>
      <c r="Z6691" s="14">
        <v>0</v>
      </c>
      <c r="AA6691" s="6">
        <v>0</v>
      </c>
      <c r="AB6691" s="4">
        <f t="shared" si="1036"/>
        <v>0</v>
      </c>
      <c r="AC6691" s="6">
        <f t="shared" si="1034"/>
        <v>0</v>
      </c>
      <c r="AD6691" s="6">
        <f t="shared" si="1031"/>
        <v>0</v>
      </c>
      <c r="AE6691" s="14">
        <v>0.06</v>
      </c>
      <c r="AF6691" s="6">
        <f t="shared" si="1028"/>
        <v>0</v>
      </c>
      <c r="AG6691" s="14">
        <v>0</v>
      </c>
      <c r="AH6691" s="64">
        <f t="shared" si="1032"/>
        <v>0</v>
      </c>
      <c r="AJ6691" s="126" t="e">
        <v>#N/A</v>
      </c>
      <c r="AK6691" s="80">
        <f t="shared" si="1037"/>
        <v>0</v>
      </c>
      <c r="AL6691" s="85"/>
      <c r="AM6691" s="85"/>
    </row>
    <row r="6692" spans="1:39" s="86" customFormat="1" ht="13.25" hidden="1" customHeight="1" x14ac:dyDescent="0.3">
      <c r="A6692" s="89" t="s">
        <v>3794</v>
      </c>
      <c r="B6692" s="86" t="s">
        <v>35</v>
      </c>
      <c r="C6692" s="86" t="s">
        <v>59</v>
      </c>
      <c r="D6692" s="86" t="s">
        <v>60</v>
      </c>
      <c r="E6692" s="86" t="s">
        <v>78</v>
      </c>
      <c r="F6692" s="86" t="s">
        <v>334</v>
      </c>
      <c r="G6692" s="86" t="s">
        <v>78</v>
      </c>
      <c r="H6692" s="144">
        <v>229</v>
      </c>
      <c r="I6692" s="86" t="s">
        <v>3356</v>
      </c>
      <c r="J6692" s="47" t="s">
        <v>3326</v>
      </c>
      <c r="K6692" s="47" t="str">
        <f t="shared" si="1033"/>
        <v>巨量引擎-游戏</v>
      </c>
      <c r="L6692" s="47" t="s">
        <v>35</v>
      </c>
      <c r="N6692" s="86" t="s">
        <v>3283</v>
      </c>
      <c r="O6692" s="47" t="s">
        <v>45</v>
      </c>
      <c r="P6692" s="47" t="s">
        <v>46</v>
      </c>
      <c r="Q6692" s="14">
        <v>0.04</v>
      </c>
      <c r="R6692" s="143"/>
      <c r="S6692" s="47"/>
      <c r="T6692" s="6">
        <v>49828.080000001471</v>
      </c>
      <c r="U6692" s="6">
        <v>0</v>
      </c>
      <c r="V6692" s="6">
        <v>49668.43</v>
      </c>
      <c r="W6692" s="6">
        <f t="shared" si="1029"/>
        <v>159.6500000014712</v>
      </c>
      <c r="X6692" s="6">
        <f t="shared" si="1030"/>
        <v>47758.105769230766</v>
      </c>
      <c r="Y6692" s="13">
        <f t="shared" si="1035"/>
        <v>0</v>
      </c>
      <c r="Z6692" s="14">
        <v>0</v>
      </c>
      <c r="AA6692" s="6">
        <v>0</v>
      </c>
      <c r="AB6692" s="4">
        <f t="shared" si="1036"/>
        <v>47758.105769230766</v>
      </c>
      <c r="AC6692" s="6">
        <f t="shared" si="1034"/>
        <v>1910.3242307692344</v>
      </c>
      <c r="AD6692" s="6">
        <f t="shared" si="1031"/>
        <v>49668.43</v>
      </c>
      <c r="AE6692" s="14">
        <v>0.06</v>
      </c>
      <c r="AF6692" s="6">
        <f t="shared" ref="AF6692:AF6755" si="1038">AD6692*AE6692</f>
        <v>2980.1057999999998</v>
      </c>
      <c r="AG6692" s="14">
        <v>0</v>
      </c>
      <c r="AH6692" s="64">
        <f t="shared" si="1032"/>
        <v>49668.43</v>
      </c>
      <c r="AJ6692" s="126" t="e">
        <v>#N/A</v>
      </c>
      <c r="AK6692" s="80">
        <f t="shared" si="1037"/>
        <v>0</v>
      </c>
      <c r="AL6692" s="85"/>
      <c r="AM6692" s="85"/>
    </row>
    <row r="6693" spans="1:39" s="86" customFormat="1" ht="13.25" hidden="1" customHeight="1" x14ac:dyDescent="0.3">
      <c r="A6693" s="89" t="s">
        <v>3794</v>
      </c>
      <c r="B6693" s="86" t="s">
        <v>35</v>
      </c>
      <c r="C6693" s="86" t="s">
        <v>59</v>
      </c>
      <c r="D6693" s="86" t="s">
        <v>60</v>
      </c>
      <c r="E6693" s="86" t="s">
        <v>78</v>
      </c>
      <c r="F6693" s="86" t="s">
        <v>3957</v>
      </c>
      <c r="G6693" s="86" t="s">
        <v>78</v>
      </c>
      <c r="H6693" s="144">
        <v>229</v>
      </c>
      <c r="I6693" s="86" t="s">
        <v>3356</v>
      </c>
      <c r="J6693" s="47" t="s">
        <v>3326</v>
      </c>
      <c r="K6693" s="47" t="str">
        <f t="shared" si="1033"/>
        <v>巨量引擎-游戏</v>
      </c>
      <c r="L6693" s="47" t="s">
        <v>35</v>
      </c>
      <c r="N6693" s="86" t="s">
        <v>3283</v>
      </c>
      <c r="O6693" s="47" t="s">
        <v>45</v>
      </c>
      <c r="P6693" s="47" t="s">
        <v>46</v>
      </c>
      <c r="Q6693" s="14">
        <v>0.06</v>
      </c>
      <c r="R6693" s="143"/>
      <c r="S6693" s="47"/>
      <c r="T6693" s="6">
        <v>8.950000000108048</v>
      </c>
      <c r="U6693" s="6">
        <v>879800</v>
      </c>
      <c r="V6693" s="6">
        <v>773769.12999999989</v>
      </c>
      <c r="W6693" s="6">
        <f t="shared" si="1029"/>
        <v>106039.82000000018</v>
      </c>
      <c r="X6693" s="6">
        <f t="shared" si="1030"/>
        <v>729970.87735849037</v>
      </c>
      <c r="Y6693" s="13">
        <f t="shared" si="1035"/>
        <v>0</v>
      </c>
      <c r="Z6693" s="14">
        <v>0</v>
      </c>
      <c r="AA6693" s="6">
        <v>0</v>
      </c>
      <c r="AB6693" s="4">
        <f t="shared" si="1036"/>
        <v>729970.87735849037</v>
      </c>
      <c r="AC6693" s="6">
        <f t="shared" si="1034"/>
        <v>43798.25264150952</v>
      </c>
      <c r="AD6693" s="6">
        <f t="shared" si="1031"/>
        <v>773769.12999999989</v>
      </c>
      <c r="AE6693" s="14">
        <v>0.06</v>
      </c>
      <c r="AF6693" s="6">
        <f t="shared" si="1038"/>
        <v>46426.147799999992</v>
      </c>
      <c r="AG6693" s="14">
        <v>0</v>
      </c>
      <c r="AH6693" s="64">
        <f t="shared" si="1032"/>
        <v>773769.12999999989</v>
      </c>
      <c r="AJ6693" s="126" t="e">
        <v>#N/A</v>
      </c>
      <c r="AK6693" s="80">
        <f t="shared" si="1037"/>
        <v>0</v>
      </c>
      <c r="AL6693" s="85"/>
      <c r="AM6693" s="85"/>
    </row>
    <row r="6694" spans="1:39" s="86" customFormat="1" ht="13.25" hidden="1" customHeight="1" x14ac:dyDescent="0.3">
      <c r="A6694" s="89" t="s">
        <v>3794</v>
      </c>
      <c r="B6694" s="86" t="s">
        <v>35</v>
      </c>
      <c r="C6694" s="86" t="s">
        <v>59</v>
      </c>
      <c r="D6694" s="86" t="s">
        <v>60</v>
      </c>
      <c r="E6694" s="86" t="s">
        <v>356</v>
      </c>
      <c r="F6694" s="86" t="s">
        <v>3630</v>
      </c>
      <c r="G6694" s="86" t="s">
        <v>356</v>
      </c>
      <c r="H6694" s="143">
        <v>229</v>
      </c>
      <c r="I6694" s="86" t="s">
        <v>3356</v>
      </c>
      <c r="J6694" s="47" t="s">
        <v>3326</v>
      </c>
      <c r="K6694" s="47" t="str">
        <f t="shared" si="1033"/>
        <v>巨量引擎-游戏</v>
      </c>
      <c r="L6694" s="47" t="s">
        <v>35</v>
      </c>
      <c r="N6694" s="86" t="s">
        <v>3283</v>
      </c>
      <c r="O6694" s="47" t="s">
        <v>105</v>
      </c>
      <c r="P6694" s="47" t="s">
        <v>75</v>
      </c>
      <c r="Q6694" s="14">
        <v>0.06</v>
      </c>
      <c r="R6694" s="143"/>
      <c r="S6694" s="47"/>
      <c r="T6694" s="6">
        <v>-21307.22</v>
      </c>
      <c r="U6694" s="6">
        <v>0</v>
      </c>
      <c r="V6694" s="6">
        <v>0</v>
      </c>
      <c r="W6694" s="6">
        <f t="shared" si="1029"/>
        <v>-21307.22</v>
      </c>
      <c r="X6694" s="6">
        <f t="shared" si="1030"/>
        <v>0</v>
      </c>
      <c r="Y6694" s="13">
        <f t="shared" si="1035"/>
        <v>0</v>
      </c>
      <c r="Z6694" s="14">
        <v>0</v>
      </c>
      <c r="AA6694" s="6">
        <v>0</v>
      </c>
      <c r="AB6694" s="4">
        <f t="shared" si="1036"/>
        <v>0</v>
      </c>
      <c r="AC6694" s="6">
        <f t="shared" si="1034"/>
        <v>0</v>
      </c>
      <c r="AD6694" s="6">
        <f t="shared" si="1031"/>
        <v>0</v>
      </c>
      <c r="AE6694" s="14">
        <v>0.06</v>
      </c>
      <c r="AF6694" s="6">
        <f t="shared" si="1038"/>
        <v>0</v>
      </c>
      <c r="AG6694" s="14">
        <v>0</v>
      </c>
      <c r="AH6694" s="64">
        <f t="shared" si="1032"/>
        <v>0</v>
      </c>
      <c r="AJ6694" s="126" t="e">
        <v>#N/A</v>
      </c>
      <c r="AK6694" s="80">
        <f t="shared" si="1037"/>
        <v>0</v>
      </c>
      <c r="AL6694" s="85"/>
      <c r="AM6694" s="85"/>
    </row>
    <row r="6695" spans="1:39" s="86" customFormat="1" ht="13.25" hidden="1" customHeight="1" x14ac:dyDescent="0.3">
      <c r="A6695" s="89" t="s">
        <v>3794</v>
      </c>
      <c r="B6695" s="86" t="s">
        <v>35</v>
      </c>
      <c r="C6695" s="86" t="s">
        <v>59</v>
      </c>
      <c r="D6695" s="86" t="s">
        <v>60</v>
      </c>
      <c r="E6695" s="86" t="s">
        <v>3968</v>
      </c>
      <c r="F6695" s="86" t="s">
        <v>3969</v>
      </c>
      <c r="G6695" s="86" t="s">
        <v>78</v>
      </c>
      <c r="H6695" s="144">
        <v>229</v>
      </c>
      <c r="I6695" s="86" t="s">
        <v>3356</v>
      </c>
      <c r="J6695" s="47" t="s">
        <v>3326</v>
      </c>
      <c r="K6695" s="47" t="str">
        <f t="shared" si="1033"/>
        <v>巨量引擎-游戏</v>
      </c>
      <c r="L6695" s="47" t="s">
        <v>35</v>
      </c>
      <c r="N6695" s="86" t="s">
        <v>3283</v>
      </c>
      <c r="O6695" s="47" t="s">
        <v>105</v>
      </c>
      <c r="P6695" s="47" t="s">
        <v>3962</v>
      </c>
      <c r="Q6695" s="14">
        <v>7.0000000000000007E-2</v>
      </c>
      <c r="R6695" s="143"/>
      <c r="S6695" s="47"/>
      <c r="T6695" s="6">
        <v>0</v>
      </c>
      <c r="U6695" s="6">
        <v>0</v>
      </c>
      <c r="V6695" s="6">
        <v>7226.8399999999983</v>
      </c>
      <c r="W6695" s="6">
        <f t="shared" si="1029"/>
        <v>-7226.8399999999983</v>
      </c>
      <c r="X6695" s="6">
        <f t="shared" si="1030"/>
        <v>6754.056074766353</v>
      </c>
      <c r="Y6695" s="13">
        <f t="shared" si="1035"/>
        <v>0</v>
      </c>
      <c r="Z6695" s="14">
        <v>0</v>
      </c>
      <c r="AA6695" s="6">
        <v>0</v>
      </c>
      <c r="AB6695" s="4">
        <f t="shared" si="1036"/>
        <v>6754.056074766353</v>
      </c>
      <c r="AC6695" s="6">
        <f t="shared" si="1034"/>
        <v>472.78392523364528</v>
      </c>
      <c r="AD6695" s="6">
        <f t="shared" si="1031"/>
        <v>7226.8399999999983</v>
      </c>
      <c r="AE6695" s="14">
        <v>0.06</v>
      </c>
      <c r="AF6695" s="6">
        <f t="shared" si="1038"/>
        <v>433.61039999999986</v>
      </c>
      <c r="AG6695" s="14">
        <v>0</v>
      </c>
      <c r="AH6695" s="64">
        <f t="shared" si="1032"/>
        <v>7226.8399999999983</v>
      </c>
      <c r="AJ6695" s="126" t="e">
        <v>#N/A</v>
      </c>
      <c r="AK6695" s="80">
        <f t="shared" si="1037"/>
        <v>0</v>
      </c>
      <c r="AL6695" s="85"/>
      <c r="AM6695" s="85"/>
    </row>
    <row r="6696" spans="1:39" s="86" customFormat="1" ht="13.25" hidden="1" customHeight="1" x14ac:dyDescent="0.3">
      <c r="A6696" s="89" t="s">
        <v>3794</v>
      </c>
      <c r="B6696" s="86" t="s">
        <v>35</v>
      </c>
      <c r="C6696" s="86" t="s">
        <v>59</v>
      </c>
      <c r="D6696" s="86" t="s">
        <v>60</v>
      </c>
      <c r="E6696" s="86" t="s">
        <v>82</v>
      </c>
      <c r="F6696" s="86" t="s">
        <v>83</v>
      </c>
      <c r="G6696" s="86" t="s">
        <v>82</v>
      </c>
      <c r="H6696" s="143">
        <v>229</v>
      </c>
      <c r="I6696" s="86" t="s">
        <v>3356</v>
      </c>
      <c r="J6696" s="47" t="s">
        <v>3326</v>
      </c>
      <c r="K6696" s="47" t="str">
        <f t="shared" si="1033"/>
        <v>巨量引擎-一类</v>
      </c>
      <c r="L6696" s="47" t="s">
        <v>35</v>
      </c>
      <c r="N6696" s="86" t="s">
        <v>3707</v>
      </c>
      <c r="O6696" s="47" t="s">
        <v>105</v>
      </c>
      <c r="P6696" s="47" t="s">
        <v>75</v>
      </c>
      <c r="Q6696" s="14">
        <v>0.06</v>
      </c>
      <c r="R6696" s="143"/>
      <c r="S6696" s="47"/>
      <c r="T6696" s="6">
        <v>-52.21999999999997</v>
      </c>
      <c r="U6696" s="6"/>
      <c r="V6696" s="6">
        <v>0</v>
      </c>
      <c r="W6696" s="6">
        <f t="shared" si="1029"/>
        <v>-52.21999999999997</v>
      </c>
      <c r="X6696" s="6">
        <f t="shared" si="1030"/>
        <v>0</v>
      </c>
      <c r="Y6696" s="13">
        <f t="shared" si="1035"/>
        <v>0</v>
      </c>
      <c r="Z6696" s="14">
        <v>0</v>
      </c>
      <c r="AA6696" s="6">
        <v>0</v>
      </c>
      <c r="AB6696" s="4">
        <f t="shared" si="1036"/>
        <v>0</v>
      </c>
      <c r="AC6696" s="6">
        <f t="shared" si="1034"/>
        <v>0</v>
      </c>
      <c r="AD6696" s="6">
        <f t="shared" si="1031"/>
        <v>0</v>
      </c>
      <c r="AE6696" s="14">
        <v>0.06</v>
      </c>
      <c r="AF6696" s="6">
        <f t="shared" si="1038"/>
        <v>0</v>
      </c>
      <c r="AG6696" s="14">
        <v>0</v>
      </c>
      <c r="AH6696" s="64">
        <f t="shared" si="1032"/>
        <v>0</v>
      </c>
      <c r="AJ6696" s="126" t="e">
        <v>#N/A</v>
      </c>
      <c r="AK6696" s="80">
        <f t="shared" si="1037"/>
        <v>0</v>
      </c>
      <c r="AL6696" s="85"/>
      <c r="AM6696" s="85"/>
    </row>
    <row r="6697" spans="1:39" s="86" customFormat="1" ht="13.25" hidden="1" customHeight="1" x14ac:dyDescent="0.3">
      <c r="A6697" s="89" t="s">
        <v>3794</v>
      </c>
      <c r="B6697" s="86" t="s">
        <v>35</v>
      </c>
      <c r="C6697" s="86" t="s">
        <v>59</v>
      </c>
      <c r="D6697" s="86" t="s">
        <v>60</v>
      </c>
      <c r="E6697" s="86" t="s">
        <v>95</v>
      </c>
      <c r="F6697" s="86" t="s">
        <v>95</v>
      </c>
      <c r="G6697" s="86" t="s">
        <v>95</v>
      </c>
      <c r="H6697" s="144">
        <v>229</v>
      </c>
      <c r="I6697" s="86" t="s">
        <v>3356</v>
      </c>
      <c r="J6697" s="47" t="s">
        <v>3326</v>
      </c>
      <c r="K6697" s="47" t="str">
        <f t="shared" si="1033"/>
        <v>巨量引擎-一类</v>
      </c>
      <c r="L6697" s="47" t="s">
        <v>35</v>
      </c>
      <c r="N6697" s="86" t="s">
        <v>3707</v>
      </c>
      <c r="O6697" s="47" t="s">
        <v>105</v>
      </c>
      <c r="P6697" s="47" t="s">
        <v>46</v>
      </c>
      <c r="Q6697" s="14">
        <v>0.05</v>
      </c>
      <c r="R6697" s="143"/>
      <c r="S6697" s="47"/>
      <c r="T6697" s="6">
        <v>-22099.919999999998</v>
      </c>
      <c r="U6697" s="6"/>
      <c r="V6697" s="6">
        <v>249140.87000000002</v>
      </c>
      <c r="W6697" s="6">
        <f t="shared" si="1029"/>
        <v>-271240.79000000004</v>
      </c>
      <c r="X6697" s="6">
        <f t="shared" si="1030"/>
        <v>237277.01904761905</v>
      </c>
      <c r="Y6697" s="13">
        <f t="shared" si="1035"/>
        <v>0</v>
      </c>
      <c r="Z6697" s="14">
        <v>0</v>
      </c>
      <c r="AA6697" s="6">
        <v>0</v>
      </c>
      <c r="AB6697" s="4">
        <f t="shared" si="1036"/>
        <v>237277.01904761905</v>
      </c>
      <c r="AC6697" s="6">
        <f t="shared" si="1034"/>
        <v>11863.850952380977</v>
      </c>
      <c r="AD6697" s="6">
        <f t="shared" si="1031"/>
        <v>249140.87000000002</v>
      </c>
      <c r="AE6697" s="14">
        <v>0.06</v>
      </c>
      <c r="AF6697" s="6">
        <f t="shared" si="1038"/>
        <v>14948.452200000002</v>
      </c>
      <c r="AG6697" s="14">
        <v>0</v>
      </c>
      <c r="AH6697" s="64">
        <f t="shared" si="1032"/>
        <v>249140.87000000002</v>
      </c>
      <c r="AJ6697" s="126" t="e">
        <v>#N/A</v>
      </c>
      <c r="AK6697" s="80">
        <f t="shared" si="1037"/>
        <v>0</v>
      </c>
      <c r="AL6697" s="85"/>
      <c r="AM6697" s="85"/>
    </row>
    <row r="6698" spans="1:39" s="86" customFormat="1" ht="13.25" hidden="1" customHeight="1" x14ac:dyDescent="0.3">
      <c r="A6698" s="89" t="s">
        <v>3794</v>
      </c>
      <c r="B6698" s="86" t="s">
        <v>35</v>
      </c>
      <c r="C6698" s="86" t="s">
        <v>59</v>
      </c>
      <c r="D6698" s="86" t="s">
        <v>60</v>
      </c>
      <c r="E6698" s="86" t="s">
        <v>95</v>
      </c>
      <c r="F6698" s="86" t="s">
        <v>95</v>
      </c>
      <c r="G6698" s="86" t="s">
        <v>95</v>
      </c>
      <c r="H6698" s="144">
        <v>229</v>
      </c>
      <c r="I6698" s="86" t="s">
        <v>3356</v>
      </c>
      <c r="J6698" s="47" t="s">
        <v>3326</v>
      </c>
      <c r="K6698" s="47" t="str">
        <f t="shared" si="1033"/>
        <v>巨量引擎-一类平台/电商</v>
      </c>
      <c r="L6698" s="47" t="s">
        <v>35</v>
      </c>
      <c r="N6698" s="86" t="s">
        <v>3718</v>
      </c>
      <c r="O6698" s="47" t="s">
        <v>105</v>
      </c>
      <c r="P6698" s="47" t="s">
        <v>46</v>
      </c>
      <c r="Q6698" s="14">
        <v>0.05</v>
      </c>
      <c r="R6698" s="143"/>
      <c r="S6698" s="47"/>
      <c r="T6698" s="6">
        <v>-813.14</v>
      </c>
      <c r="U6698" s="6"/>
      <c r="V6698" s="6">
        <v>228.4</v>
      </c>
      <c r="W6698" s="6">
        <f t="shared" si="1029"/>
        <v>-1041.54</v>
      </c>
      <c r="X6698" s="6">
        <f t="shared" si="1030"/>
        <v>217.52380952380952</v>
      </c>
      <c r="Y6698" s="13">
        <f t="shared" si="1035"/>
        <v>0</v>
      </c>
      <c r="Z6698" s="14">
        <v>0</v>
      </c>
      <c r="AA6698" s="6">
        <v>0</v>
      </c>
      <c r="AB6698" s="4">
        <f t="shared" si="1036"/>
        <v>217.52380952380952</v>
      </c>
      <c r="AC6698" s="6">
        <f t="shared" si="1034"/>
        <v>10.876190476190487</v>
      </c>
      <c r="AD6698" s="6">
        <f t="shared" si="1031"/>
        <v>228.4</v>
      </c>
      <c r="AE6698" s="14">
        <v>0.06</v>
      </c>
      <c r="AF6698" s="6">
        <f t="shared" si="1038"/>
        <v>13.704000000000001</v>
      </c>
      <c r="AG6698" s="14">
        <v>0</v>
      </c>
      <c r="AH6698" s="64">
        <f t="shared" si="1032"/>
        <v>228.4</v>
      </c>
      <c r="AJ6698" s="126" t="e">
        <v>#N/A</v>
      </c>
      <c r="AK6698" s="80">
        <f t="shared" si="1037"/>
        <v>0</v>
      </c>
      <c r="AL6698" s="85"/>
      <c r="AM6698" s="85"/>
    </row>
    <row r="6699" spans="1:39" s="86" customFormat="1" ht="13.25" hidden="1" customHeight="1" x14ac:dyDescent="0.3">
      <c r="A6699" s="89" t="s">
        <v>3794</v>
      </c>
      <c r="B6699" s="86" t="s">
        <v>35</v>
      </c>
      <c r="C6699" s="86" t="s">
        <v>59</v>
      </c>
      <c r="D6699" s="86" t="s">
        <v>60</v>
      </c>
      <c r="E6699" s="86" t="s">
        <v>95</v>
      </c>
      <c r="F6699" s="86" t="s">
        <v>95</v>
      </c>
      <c r="G6699" s="86" t="s">
        <v>95</v>
      </c>
      <c r="H6699" s="144">
        <v>229</v>
      </c>
      <c r="I6699" s="86" t="s">
        <v>3356</v>
      </c>
      <c r="J6699" s="47" t="s">
        <v>3326</v>
      </c>
      <c r="K6699" s="47" t="str">
        <f t="shared" si="1033"/>
        <v>巨量引擎-三类</v>
      </c>
      <c r="L6699" s="47" t="s">
        <v>35</v>
      </c>
      <c r="N6699" s="86" t="s">
        <v>3712</v>
      </c>
      <c r="O6699" s="47" t="s">
        <v>45</v>
      </c>
      <c r="P6699" s="47" t="s">
        <v>46</v>
      </c>
      <c r="Q6699" s="14">
        <v>0.05</v>
      </c>
      <c r="R6699" s="143"/>
      <c r="S6699" s="47"/>
      <c r="T6699" s="6">
        <v>0</v>
      </c>
      <c r="U6699" s="6">
        <v>0</v>
      </c>
      <c r="V6699" s="6">
        <v>401064.92999999993</v>
      </c>
      <c r="W6699" s="6">
        <f t="shared" si="1029"/>
        <v>-401064.92999999993</v>
      </c>
      <c r="X6699" s="6">
        <f t="shared" si="1030"/>
        <v>381966.59999999992</v>
      </c>
      <c r="Y6699" s="13">
        <f t="shared" si="1035"/>
        <v>0</v>
      </c>
      <c r="Z6699" s="66">
        <v>0</v>
      </c>
      <c r="AA6699" s="6">
        <v>0</v>
      </c>
      <c r="AB6699" s="4">
        <f t="shared" si="1036"/>
        <v>381966.59999999992</v>
      </c>
      <c r="AC6699" s="6">
        <f t="shared" si="1034"/>
        <v>19098.330000000016</v>
      </c>
      <c r="AD6699" s="6">
        <f t="shared" si="1031"/>
        <v>401064.92999999993</v>
      </c>
      <c r="AE6699" s="14">
        <v>0.06</v>
      </c>
      <c r="AF6699" s="6">
        <f t="shared" si="1038"/>
        <v>24063.895799999995</v>
      </c>
      <c r="AG6699" s="14">
        <v>0</v>
      </c>
      <c r="AH6699" s="64">
        <f t="shared" si="1032"/>
        <v>401064.92999999993</v>
      </c>
      <c r="AJ6699" s="126" t="e">
        <v>#N/A</v>
      </c>
      <c r="AK6699" s="80">
        <f t="shared" si="1037"/>
        <v>0</v>
      </c>
      <c r="AL6699" s="85"/>
      <c r="AM6699" s="85"/>
    </row>
    <row r="6700" spans="1:39" s="86" customFormat="1" ht="13.25" hidden="1" customHeight="1" x14ac:dyDescent="0.3">
      <c r="A6700" s="89" t="s">
        <v>3794</v>
      </c>
      <c r="B6700" s="86" t="s">
        <v>35</v>
      </c>
      <c r="C6700" s="86" t="s">
        <v>59</v>
      </c>
      <c r="D6700" s="86" t="s">
        <v>60</v>
      </c>
      <c r="E6700" s="86" t="s">
        <v>95</v>
      </c>
      <c r="F6700" s="86" t="s">
        <v>95</v>
      </c>
      <c r="G6700" s="86" t="s">
        <v>95</v>
      </c>
      <c r="H6700" s="144">
        <v>229</v>
      </c>
      <c r="I6700" s="86" t="s">
        <v>3356</v>
      </c>
      <c r="J6700" s="47" t="s">
        <v>3326</v>
      </c>
      <c r="K6700" s="47" t="str">
        <f t="shared" si="1033"/>
        <v>巨量引擎-一类</v>
      </c>
      <c r="L6700" s="47" t="s">
        <v>35</v>
      </c>
      <c r="N6700" s="86" t="s">
        <v>3707</v>
      </c>
      <c r="O6700" s="47" t="s">
        <v>45</v>
      </c>
      <c r="P6700" s="47" t="s">
        <v>46</v>
      </c>
      <c r="Q6700" s="14">
        <v>0.05</v>
      </c>
      <c r="R6700" s="143"/>
      <c r="S6700" s="47"/>
      <c r="T6700" s="6">
        <v>0</v>
      </c>
      <c r="U6700" s="6">
        <v>0</v>
      </c>
      <c r="V6700" s="6">
        <v>1295839.52</v>
      </c>
      <c r="W6700" s="6">
        <f t="shared" si="1029"/>
        <v>-1295839.52</v>
      </c>
      <c r="X6700" s="6">
        <f t="shared" si="1030"/>
        <v>1234132.8761904761</v>
      </c>
      <c r="Y6700" s="13">
        <f t="shared" si="1035"/>
        <v>0</v>
      </c>
      <c r="Z6700" s="66">
        <v>0</v>
      </c>
      <c r="AA6700" s="6">
        <v>0</v>
      </c>
      <c r="AB6700" s="4">
        <f t="shared" si="1036"/>
        <v>1234132.8761904761</v>
      </c>
      <c r="AC6700" s="6">
        <f t="shared" si="1034"/>
        <v>61706.643809523899</v>
      </c>
      <c r="AD6700" s="6">
        <f t="shared" si="1031"/>
        <v>1295839.52</v>
      </c>
      <c r="AE6700" s="14">
        <v>0.06</v>
      </c>
      <c r="AF6700" s="6">
        <f t="shared" si="1038"/>
        <v>77750.371199999994</v>
      </c>
      <c r="AG6700" s="14">
        <v>0</v>
      </c>
      <c r="AH6700" s="64">
        <f t="shared" si="1032"/>
        <v>1295839.52</v>
      </c>
      <c r="AJ6700" s="126" t="e">
        <v>#N/A</v>
      </c>
      <c r="AK6700" s="80">
        <f t="shared" si="1037"/>
        <v>0</v>
      </c>
      <c r="AL6700" s="85"/>
      <c r="AM6700" s="85"/>
    </row>
    <row r="6701" spans="1:39" s="86" customFormat="1" ht="13.25" hidden="1" customHeight="1" x14ac:dyDescent="0.3">
      <c r="A6701" s="89" t="s">
        <v>3794</v>
      </c>
      <c r="B6701" s="86" t="s">
        <v>35</v>
      </c>
      <c r="C6701" s="86" t="s">
        <v>59</v>
      </c>
      <c r="D6701" s="86" t="s">
        <v>60</v>
      </c>
      <c r="E6701" s="86" t="s">
        <v>95</v>
      </c>
      <c r="F6701" s="86" t="s">
        <v>95</v>
      </c>
      <c r="G6701" s="86" t="s">
        <v>95</v>
      </c>
      <c r="H6701" s="144">
        <v>229</v>
      </c>
      <c r="I6701" s="86" t="s">
        <v>3356</v>
      </c>
      <c r="J6701" s="47" t="s">
        <v>3326</v>
      </c>
      <c r="K6701" s="47" t="str">
        <f t="shared" si="1033"/>
        <v>巨量引擎-一类平台/电商</v>
      </c>
      <c r="L6701" s="47" t="s">
        <v>35</v>
      </c>
      <c r="N6701" s="86" t="s">
        <v>3718</v>
      </c>
      <c r="O6701" s="47" t="s">
        <v>45</v>
      </c>
      <c r="P6701" s="47" t="s">
        <v>46</v>
      </c>
      <c r="Q6701" s="14">
        <v>0.05</v>
      </c>
      <c r="R6701" s="143"/>
      <c r="S6701" s="47"/>
      <c r="T6701" s="6">
        <v>0</v>
      </c>
      <c r="U6701" s="6">
        <v>0</v>
      </c>
      <c r="V6701" s="6">
        <v>6127.24</v>
      </c>
      <c r="W6701" s="6">
        <f t="shared" si="1029"/>
        <v>-6127.24</v>
      </c>
      <c r="X6701" s="6">
        <f t="shared" si="1030"/>
        <v>5835.4666666666662</v>
      </c>
      <c r="Y6701" s="13">
        <f t="shared" si="1035"/>
        <v>0</v>
      </c>
      <c r="Z6701" s="66">
        <v>0</v>
      </c>
      <c r="AA6701" s="6">
        <v>0</v>
      </c>
      <c r="AB6701" s="4">
        <f t="shared" si="1036"/>
        <v>5835.4666666666662</v>
      </c>
      <c r="AC6701" s="6">
        <f t="shared" si="1034"/>
        <v>291.77333333333354</v>
      </c>
      <c r="AD6701" s="6">
        <f t="shared" si="1031"/>
        <v>6127.24</v>
      </c>
      <c r="AE6701" s="14">
        <v>0.06</v>
      </c>
      <c r="AF6701" s="6">
        <f t="shared" si="1038"/>
        <v>367.63439999999997</v>
      </c>
      <c r="AG6701" s="14">
        <v>0</v>
      </c>
      <c r="AH6701" s="64">
        <f t="shared" si="1032"/>
        <v>6127.24</v>
      </c>
      <c r="AJ6701" s="126" t="e">
        <v>#N/A</v>
      </c>
      <c r="AK6701" s="80">
        <f t="shared" si="1037"/>
        <v>0</v>
      </c>
      <c r="AL6701" s="85"/>
      <c r="AM6701" s="85"/>
    </row>
    <row r="6702" spans="1:39" s="86" customFormat="1" ht="13.25" hidden="1" customHeight="1" x14ac:dyDescent="0.3">
      <c r="A6702" s="89" t="s">
        <v>3794</v>
      </c>
      <c r="B6702" s="86" t="s">
        <v>35</v>
      </c>
      <c r="C6702" s="86" t="s">
        <v>59</v>
      </c>
      <c r="D6702" s="86" t="s">
        <v>60</v>
      </c>
      <c r="E6702" s="86" t="s">
        <v>78</v>
      </c>
      <c r="F6702" s="86" t="s">
        <v>81</v>
      </c>
      <c r="G6702" s="86" t="s">
        <v>78</v>
      </c>
      <c r="H6702" s="144">
        <v>229</v>
      </c>
      <c r="I6702" s="86" t="s">
        <v>3356</v>
      </c>
      <c r="J6702" s="47" t="s">
        <v>3326</v>
      </c>
      <c r="K6702" s="47" t="str">
        <f t="shared" si="1033"/>
        <v>巨量引擎-一类</v>
      </c>
      <c r="L6702" s="47" t="s">
        <v>35</v>
      </c>
      <c r="N6702" s="86" t="s">
        <v>3707</v>
      </c>
      <c r="O6702" s="47" t="s">
        <v>45</v>
      </c>
      <c r="P6702" s="47" t="s">
        <v>92</v>
      </c>
      <c r="Q6702" s="14">
        <v>0.93</v>
      </c>
      <c r="R6702" s="143"/>
      <c r="S6702" s="47"/>
      <c r="T6702" s="6">
        <v>0</v>
      </c>
      <c r="U6702" s="6">
        <v>0</v>
      </c>
      <c r="V6702" s="6">
        <v>0.08</v>
      </c>
      <c r="W6702" s="6">
        <f t="shared" si="1029"/>
        <v>-0.08</v>
      </c>
      <c r="X6702" s="6">
        <f t="shared" si="1030"/>
        <v>7.4400000000000008E-2</v>
      </c>
      <c r="Y6702" s="13">
        <f t="shared" si="1035"/>
        <v>0</v>
      </c>
      <c r="Z6702" s="66">
        <v>0</v>
      </c>
      <c r="AA6702" s="6">
        <v>0</v>
      </c>
      <c r="AB6702" s="4">
        <f t="shared" si="1036"/>
        <v>7.4400000000000008E-2</v>
      </c>
      <c r="AC6702" s="6">
        <f t="shared" si="1034"/>
        <v>5.5999999999999939E-3</v>
      </c>
      <c r="AD6702" s="6">
        <f t="shared" si="1031"/>
        <v>0.08</v>
      </c>
      <c r="AE6702" s="14">
        <v>0.06</v>
      </c>
      <c r="AF6702" s="6">
        <f t="shared" si="1038"/>
        <v>4.7999999999999996E-3</v>
      </c>
      <c r="AG6702" s="14">
        <v>0</v>
      </c>
      <c r="AH6702" s="64">
        <f t="shared" si="1032"/>
        <v>0.08</v>
      </c>
      <c r="AJ6702" s="126" t="e">
        <v>#N/A</v>
      </c>
      <c r="AK6702" s="80">
        <f t="shared" si="1037"/>
        <v>0</v>
      </c>
      <c r="AL6702" s="85"/>
      <c r="AM6702" s="85"/>
    </row>
    <row r="6703" spans="1:39" s="86" customFormat="1" ht="13.25" hidden="1" customHeight="1" x14ac:dyDescent="0.3">
      <c r="A6703" s="89" t="s">
        <v>3794</v>
      </c>
      <c r="B6703" s="86" t="s">
        <v>35</v>
      </c>
      <c r="C6703" s="86" t="s">
        <v>59</v>
      </c>
      <c r="D6703" s="86" t="s">
        <v>60</v>
      </c>
      <c r="E6703" s="86" t="s">
        <v>78</v>
      </c>
      <c r="F6703" s="86" t="s">
        <v>81</v>
      </c>
      <c r="G6703" s="86" t="s">
        <v>78</v>
      </c>
      <c r="H6703" s="144">
        <v>229</v>
      </c>
      <c r="I6703" s="86" t="s">
        <v>3356</v>
      </c>
      <c r="J6703" s="47" t="s">
        <v>3326</v>
      </c>
      <c r="K6703" s="47" t="str">
        <f t="shared" si="1033"/>
        <v>巨量引擎-一类平台/电商</v>
      </c>
      <c r="L6703" s="47" t="s">
        <v>35</v>
      </c>
      <c r="N6703" s="86" t="s">
        <v>3718</v>
      </c>
      <c r="O6703" s="47" t="s">
        <v>45</v>
      </c>
      <c r="P6703" s="47" t="s">
        <v>92</v>
      </c>
      <c r="Q6703" s="14">
        <v>0.93</v>
      </c>
      <c r="R6703" s="143"/>
      <c r="S6703" s="47"/>
      <c r="T6703" s="6">
        <v>0</v>
      </c>
      <c r="U6703" s="6">
        <v>0</v>
      </c>
      <c r="V6703" s="6">
        <v>35775.129999999997</v>
      </c>
      <c r="W6703" s="6">
        <f t="shared" si="1029"/>
        <v>-35775.129999999997</v>
      </c>
      <c r="X6703" s="6">
        <f t="shared" si="1030"/>
        <v>33270.870900000002</v>
      </c>
      <c r="Y6703" s="13">
        <f t="shared" si="1035"/>
        <v>0</v>
      </c>
      <c r="Z6703" s="66">
        <v>0</v>
      </c>
      <c r="AA6703" s="6">
        <v>0</v>
      </c>
      <c r="AB6703" s="4">
        <f t="shared" si="1036"/>
        <v>33270.870900000002</v>
      </c>
      <c r="AC6703" s="6">
        <f t="shared" si="1034"/>
        <v>2504.2590999999957</v>
      </c>
      <c r="AD6703" s="6">
        <f t="shared" si="1031"/>
        <v>35775.129999999997</v>
      </c>
      <c r="AE6703" s="14">
        <v>0.06</v>
      </c>
      <c r="AF6703" s="6">
        <f t="shared" si="1038"/>
        <v>2146.5077999999999</v>
      </c>
      <c r="AG6703" s="14">
        <v>0</v>
      </c>
      <c r="AH6703" s="64">
        <f t="shared" si="1032"/>
        <v>35775.129999999997</v>
      </c>
      <c r="AJ6703" s="126" t="e">
        <v>#N/A</v>
      </c>
      <c r="AK6703" s="80">
        <f t="shared" si="1037"/>
        <v>0</v>
      </c>
      <c r="AL6703" s="85"/>
      <c r="AM6703" s="85"/>
    </row>
    <row r="6704" spans="1:39" s="86" customFormat="1" ht="13.25" hidden="1" customHeight="1" x14ac:dyDescent="0.3">
      <c r="A6704" s="89" t="s">
        <v>3794</v>
      </c>
      <c r="B6704" s="86" t="s">
        <v>35</v>
      </c>
      <c r="C6704" s="86" t="s">
        <v>59</v>
      </c>
      <c r="D6704" s="86" t="s">
        <v>60</v>
      </c>
      <c r="E6704" s="86" t="s">
        <v>77</v>
      </c>
      <c r="F6704" s="86" t="s">
        <v>77</v>
      </c>
      <c r="G6704" s="86" t="s">
        <v>77</v>
      </c>
      <c r="H6704" s="144">
        <v>229</v>
      </c>
      <c r="I6704" s="86" t="s">
        <v>3356</v>
      </c>
      <c r="J6704" s="47" t="s">
        <v>3326</v>
      </c>
      <c r="K6704" s="47" t="str">
        <f t="shared" ref="K6704:K6733" si="1039">N6704</f>
        <v>巨量引擎-三类</v>
      </c>
      <c r="L6704" s="47" t="s">
        <v>35</v>
      </c>
      <c r="N6704" s="86" t="s">
        <v>3712</v>
      </c>
      <c r="O6704" s="47" t="s">
        <v>45</v>
      </c>
      <c r="P6704" s="47" t="s">
        <v>75</v>
      </c>
      <c r="Q6704" s="14">
        <v>0.06</v>
      </c>
      <c r="R6704" s="143"/>
      <c r="S6704" s="47"/>
      <c r="T6704" s="6">
        <v>0</v>
      </c>
      <c r="U6704" s="6">
        <v>0</v>
      </c>
      <c r="V6704" s="6">
        <v>2704025.81</v>
      </c>
      <c r="W6704" s="6">
        <f t="shared" ref="W6704:W6767" si="1040">T6704+U6704-V6704</f>
        <v>-2704025.81</v>
      </c>
      <c r="X6704" s="6">
        <f t="shared" ref="X6704:X6767" si="1041">IF(P6704="折扣",V6704*Q6704,IF(P6704="返现",V6704,V6704/(1+Q6704)))</f>
        <v>2704025.81</v>
      </c>
      <c r="Y6704" s="13">
        <f t="shared" si="1035"/>
        <v>0</v>
      </c>
      <c r="Z6704" s="66">
        <v>0</v>
      </c>
      <c r="AA6704" s="6">
        <v>0</v>
      </c>
      <c r="AB6704" s="4">
        <f t="shared" si="1036"/>
        <v>2704025.81</v>
      </c>
      <c r="AC6704" s="6">
        <f t="shared" si="1034"/>
        <v>162241.54860000001</v>
      </c>
      <c r="AD6704" s="6">
        <f t="shared" ref="AD6704:AD6733" si="1042">V6704</f>
        <v>2704025.81</v>
      </c>
      <c r="AE6704" s="14">
        <v>0.06</v>
      </c>
      <c r="AF6704" s="6">
        <f t="shared" si="1038"/>
        <v>162241.54860000001</v>
      </c>
      <c r="AG6704" s="14">
        <v>0</v>
      </c>
      <c r="AH6704" s="64">
        <f t="shared" ref="AH6704:AH6733" si="1043">V6704</f>
        <v>2704025.81</v>
      </c>
      <c r="AJ6704" s="126" t="e">
        <v>#N/A</v>
      </c>
      <c r="AK6704" s="80">
        <f t="shared" si="1037"/>
        <v>0</v>
      </c>
      <c r="AL6704" s="85"/>
      <c r="AM6704" s="85"/>
    </row>
    <row r="6705" spans="1:39" s="86" customFormat="1" ht="13.25" hidden="1" customHeight="1" x14ac:dyDescent="0.3">
      <c r="A6705" s="89" t="s">
        <v>3805</v>
      </c>
      <c r="B6705" s="86" t="s">
        <v>35</v>
      </c>
      <c r="C6705" s="86" t="s">
        <v>184</v>
      </c>
      <c r="D6705" s="86" t="s">
        <v>54</v>
      </c>
      <c r="E6705" s="86" t="s">
        <v>71</v>
      </c>
      <c r="F6705" s="86" t="s">
        <v>102</v>
      </c>
      <c r="G6705" s="86" t="s">
        <v>71</v>
      </c>
      <c r="H6705" s="144">
        <v>229</v>
      </c>
      <c r="I6705" s="86" t="s">
        <v>3356</v>
      </c>
      <c r="J6705" s="47" t="s">
        <v>3326</v>
      </c>
      <c r="K6705" s="47" t="str">
        <f t="shared" si="1039"/>
        <v>巨量引擎-一类平台/电商</v>
      </c>
      <c r="L6705" s="47" t="s">
        <v>35</v>
      </c>
      <c r="N6705" s="86" t="s">
        <v>3718</v>
      </c>
      <c r="O6705" s="47" t="s">
        <v>45</v>
      </c>
      <c r="P6705" s="47" t="s">
        <v>46</v>
      </c>
      <c r="Q6705" s="14">
        <v>5.6000000000000001E-2</v>
      </c>
      <c r="R6705" s="143"/>
      <c r="S6705" s="47" t="s">
        <v>3350</v>
      </c>
      <c r="T6705" s="6">
        <v>0</v>
      </c>
      <c r="U6705" s="6">
        <v>0</v>
      </c>
      <c r="V6705" s="6">
        <v>13477169.910000002</v>
      </c>
      <c r="W6705" s="6">
        <f t="shared" si="1040"/>
        <v>-13477169.910000002</v>
      </c>
      <c r="X6705" s="6">
        <f>IF(P6705="折扣",V6705*Q6705,IF(P6705="返现",V6705,V6705/(1+Q6705)))+164244.19</f>
        <v>12926715.69568182</v>
      </c>
      <c r="Y6705" s="13">
        <f t="shared" si="1035"/>
        <v>0</v>
      </c>
      <c r="Z6705" s="66">
        <v>0</v>
      </c>
      <c r="AA6705" s="6">
        <v>0</v>
      </c>
      <c r="AB6705" s="4">
        <f t="shared" si="1036"/>
        <v>12926715.69568182</v>
      </c>
      <c r="AC6705" s="6">
        <f t="shared" si="1034"/>
        <v>550454.21431818232</v>
      </c>
      <c r="AD6705" s="6">
        <f t="shared" si="1042"/>
        <v>13477169.910000002</v>
      </c>
      <c r="AE6705" s="14">
        <v>0.06</v>
      </c>
      <c r="AF6705" s="6">
        <f t="shared" si="1038"/>
        <v>808630.19460000005</v>
      </c>
      <c r="AG6705" s="14">
        <v>0</v>
      </c>
      <c r="AH6705" s="64">
        <f t="shared" si="1043"/>
        <v>13477169.910000002</v>
      </c>
      <c r="AJ6705" s="126" t="e">
        <v>#N/A</v>
      </c>
      <c r="AK6705" s="80">
        <f t="shared" si="1037"/>
        <v>0</v>
      </c>
      <c r="AL6705" s="85"/>
      <c r="AM6705" s="85"/>
    </row>
    <row r="6706" spans="1:39" s="86" customFormat="1" ht="13.25" hidden="1" customHeight="1" x14ac:dyDescent="0.3">
      <c r="A6706" s="89" t="s">
        <v>3805</v>
      </c>
      <c r="B6706" s="86" t="s">
        <v>35</v>
      </c>
      <c r="C6706" s="86" t="s">
        <v>59</v>
      </c>
      <c r="D6706" s="86" t="s">
        <v>60</v>
      </c>
      <c r="E6706" s="86" t="s">
        <v>82</v>
      </c>
      <c r="F6706" s="86" t="s">
        <v>83</v>
      </c>
      <c r="G6706" s="86" t="s">
        <v>82</v>
      </c>
      <c r="H6706" s="143">
        <v>229</v>
      </c>
      <c r="I6706" s="86" t="s">
        <v>3356</v>
      </c>
      <c r="J6706" s="47" t="s">
        <v>3326</v>
      </c>
      <c r="K6706" s="47" t="str">
        <f t="shared" si="1039"/>
        <v>巨量引擎-一类</v>
      </c>
      <c r="L6706" s="47" t="s">
        <v>35</v>
      </c>
      <c r="N6706" s="86" t="s">
        <v>3707</v>
      </c>
      <c r="O6706" s="47" t="s">
        <v>45</v>
      </c>
      <c r="P6706" s="47" t="s">
        <v>75</v>
      </c>
      <c r="Q6706" s="14">
        <v>0.06</v>
      </c>
      <c r="R6706" s="143"/>
      <c r="S6706" s="47"/>
      <c r="T6706" s="6">
        <v>0</v>
      </c>
      <c r="U6706" s="6">
        <v>0</v>
      </c>
      <c r="V6706" s="6">
        <v>0</v>
      </c>
      <c r="W6706" s="6">
        <f t="shared" si="1040"/>
        <v>0</v>
      </c>
      <c r="X6706" s="6">
        <f t="shared" si="1041"/>
        <v>0</v>
      </c>
      <c r="Y6706" s="13">
        <f t="shared" si="1035"/>
        <v>0</v>
      </c>
      <c r="Z6706" s="66">
        <v>0</v>
      </c>
      <c r="AA6706" s="6">
        <v>0</v>
      </c>
      <c r="AB6706" s="4">
        <f t="shared" si="1036"/>
        <v>0</v>
      </c>
      <c r="AC6706" s="6">
        <f t="shared" si="1034"/>
        <v>0</v>
      </c>
      <c r="AD6706" s="6">
        <f t="shared" si="1042"/>
        <v>0</v>
      </c>
      <c r="AE6706" s="14">
        <v>0.06</v>
      </c>
      <c r="AF6706" s="6">
        <f t="shared" si="1038"/>
        <v>0</v>
      </c>
      <c r="AG6706" s="14">
        <v>0</v>
      </c>
      <c r="AH6706" s="64">
        <f t="shared" si="1043"/>
        <v>0</v>
      </c>
      <c r="AJ6706" s="126" t="e">
        <v>#N/A</v>
      </c>
      <c r="AK6706" s="80">
        <f t="shared" si="1037"/>
        <v>0</v>
      </c>
      <c r="AL6706" s="85"/>
      <c r="AM6706" s="85"/>
    </row>
    <row r="6707" spans="1:39" s="86" customFormat="1" ht="13.25" hidden="1" customHeight="1" x14ac:dyDescent="0.3">
      <c r="A6707" s="89" t="s">
        <v>3805</v>
      </c>
      <c r="B6707" s="86" t="s">
        <v>35</v>
      </c>
      <c r="C6707" s="86" t="s">
        <v>65</v>
      </c>
      <c r="D6707" s="86" t="s">
        <v>116</v>
      </c>
      <c r="E6707" s="86" t="s">
        <v>117</v>
      </c>
      <c r="F6707" s="86" t="s">
        <v>117</v>
      </c>
      <c r="G6707" s="86" t="s">
        <v>117</v>
      </c>
      <c r="H6707" s="144">
        <v>229</v>
      </c>
      <c r="I6707" s="86" t="s">
        <v>3356</v>
      </c>
      <c r="J6707" s="47" t="s">
        <v>3326</v>
      </c>
      <c r="K6707" s="47" t="str">
        <f t="shared" si="1039"/>
        <v>巨量引擎-游戏</v>
      </c>
      <c r="L6707" s="47" t="s">
        <v>35</v>
      </c>
      <c r="N6707" s="86" t="s">
        <v>3283</v>
      </c>
      <c r="O6707" s="47" t="s">
        <v>45</v>
      </c>
      <c r="P6707" s="47" t="s">
        <v>46</v>
      </c>
      <c r="Q6707" s="14">
        <v>0.06</v>
      </c>
      <c r="R6707" s="143"/>
      <c r="S6707" s="47"/>
      <c r="T6707" s="6">
        <v>0</v>
      </c>
      <c r="U6707" s="6">
        <v>0</v>
      </c>
      <c r="V6707" s="6">
        <v>70210.73</v>
      </c>
      <c r="W6707" s="6">
        <f t="shared" si="1040"/>
        <v>-70210.73</v>
      </c>
      <c r="X6707" s="6">
        <f t="shared" si="1041"/>
        <v>66236.537735849051</v>
      </c>
      <c r="Y6707" s="13">
        <f t="shared" si="1035"/>
        <v>0</v>
      </c>
      <c r="Z6707" s="66">
        <v>0</v>
      </c>
      <c r="AA6707" s="6">
        <v>0</v>
      </c>
      <c r="AB6707" s="4">
        <f t="shared" si="1036"/>
        <v>66236.537735849051</v>
      </c>
      <c r="AC6707" s="6">
        <f t="shared" si="1034"/>
        <v>3974.1922641509445</v>
      </c>
      <c r="AD6707" s="6">
        <f t="shared" si="1042"/>
        <v>70210.73</v>
      </c>
      <c r="AE6707" s="14">
        <v>0.06</v>
      </c>
      <c r="AF6707" s="6">
        <f t="shared" si="1038"/>
        <v>4212.6437999999998</v>
      </c>
      <c r="AG6707" s="14">
        <v>0</v>
      </c>
      <c r="AH6707" s="64">
        <f t="shared" si="1043"/>
        <v>70210.73</v>
      </c>
      <c r="AJ6707" s="126" t="e">
        <v>#N/A</v>
      </c>
      <c r="AK6707" s="80">
        <f t="shared" si="1037"/>
        <v>0</v>
      </c>
      <c r="AL6707" s="85"/>
      <c r="AM6707" s="85"/>
    </row>
    <row r="6708" spans="1:39" s="86" customFormat="1" ht="13.25" hidden="1" customHeight="1" x14ac:dyDescent="0.3">
      <c r="A6708" s="89" t="s">
        <v>3805</v>
      </c>
      <c r="B6708" s="86" t="s">
        <v>35</v>
      </c>
      <c r="C6708" s="86" t="s">
        <v>65</v>
      </c>
      <c r="D6708" s="86" t="s">
        <v>116</v>
      </c>
      <c r="E6708" s="86" t="s">
        <v>117</v>
      </c>
      <c r="F6708" s="86" t="s">
        <v>117</v>
      </c>
      <c r="G6708" s="86" t="s">
        <v>117</v>
      </c>
      <c r="H6708" s="144">
        <v>229</v>
      </c>
      <c r="I6708" s="86" t="s">
        <v>3356</v>
      </c>
      <c r="J6708" s="47" t="s">
        <v>3326</v>
      </c>
      <c r="K6708" s="47" t="str">
        <f t="shared" si="1039"/>
        <v>巨量引擎-游戏</v>
      </c>
      <c r="L6708" s="47" t="s">
        <v>35</v>
      </c>
      <c r="N6708" s="86" t="s">
        <v>3283</v>
      </c>
      <c r="O6708" s="47" t="s">
        <v>105</v>
      </c>
      <c r="P6708" s="47" t="s">
        <v>46</v>
      </c>
      <c r="Q6708" s="14">
        <v>0.06</v>
      </c>
      <c r="R6708" s="143"/>
      <c r="S6708" s="47"/>
      <c r="T6708" s="6">
        <v>0</v>
      </c>
      <c r="U6708" s="6"/>
      <c r="V6708" s="6">
        <v>204.29999999999998</v>
      </c>
      <c r="W6708" s="6">
        <f t="shared" si="1040"/>
        <v>-204.29999999999998</v>
      </c>
      <c r="X6708" s="6">
        <f t="shared" si="1041"/>
        <v>192.73584905660374</v>
      </c>
      <c r="Y6708" s="13">
        <f t="shared" si="1035"/>
        <v>0</v>
      </c>
      <c r="Z6708" s="14">
        <v>0</v>
      </c>
      <c r="AA6708" s="6">
        <v>0</v>
      </c>
      <c r="AB6708" s="4">
        <f t="shared" si="1036"/>
        <v>192.73584905660374</v>
      </c>
      <c r="AC6708" s="6">
        <f t="shared" si="1034"/>
        <v>11.564150943396243</v>
      </c>
      <c r="AD6708" s="6">
        <f t="shared" si="1042"/>
        <v>204.29999999999998</v>
      </c>
      <c r="AE6708" s="14">
        <v>0.06</v>
      </c>
      <c r="AF6708" s="6">
        <f t="shared" si="1038"/>
        <v>12.257999999999999</v>
      </c>
      <c r="AG6708" s="14">
        <v>0</v>
      </c>
      <c r="AH6708" s="64">
        <f t="shared" si="1043"/>
        <v>204.29999999999998</v>
      </c>
      <c r="AJ6708" s="126" t="e">
        <v>#N/A</v>
      </c>
      <c r="AK6708" s="80">
        <f t="shared" si="1037"/>
        <v>0</v>
      </c>
      <c r="AL6708" s="85"/>
      <c r="AM6708" s="85"/>
    </row>
    <row r="6709" spans="1:39" s="86" customFormat="1" ht="13.25" hidden="1" customHeight="1" x14ac:dyDescent="0.3">
      <c r="A6709" s="89" t="s">
        <v>3805</v>
      </c>
      <c r="B6709" s="86" t="s">
        <v>35</v>
      </c>
      <c r="C6709" s="86" t="s">
        <v>187</v>
      </c>
      <c r="D6709" s="86" t="s">
        <v>208</v>
      </c>
      <c r="E6709" s="86" t="s">
        <v>218</v>
      </c>
      <c r="F6709" s="86" t="s">
        <v>218</v>
      </c>
      <c r="G6709" s="86" t="s">
        <v>218</v>
      </c>
      <c r="H6709" s="144">
        <v>229</v>
      </c>
      <c r="I6709" s="86" t="s">
        <v>3356</v>
      </c>
      <c r="J6709" s="47" t="s">
        <v>3326</v>
      </c>
      <c r="K6709" s="47" t="str">
        <f t="shared" si="1039"/>
        <v>巨量引擎-游戏</v>
      </c>
      <c r="L6709" s="47" t="s">
        <v>35</v>
      </c>
      <c r="N6709" s="86" t="s">
        <v>3283</v>
      </c>
      <c r="O6709" s="47" t="s">
        <v>45</v>
      </c>
      <c r="P6709" s="47" t="s">
        <v>46</v>
      </c>
      <c r="Q6709" s="14">
        <v>0.06</v>
      </c>
      <c r="R6709" s="143"/>
      <c r="S6709" s="47"/>
      <c r="T6709" s="6">
        <v>0</v>
      </c>
      <c r="U6709" s="6">
        <v>0</v>
      </c>
      <c r="V6709" s="6">
        <v>256339.99</v>
      </c>
      <c r="W6709" s="6">
        <f t="shared" si="1040"/>
        <v>-256339.99</v>
      </c>
      <c r="X6709" s="6">
        <f t="shared" si="1041"/>
        <v>241830.17924528301</v>
      </c>
      <c r="Y6709" s="13">
        <f t="shared" si="1035"/>
        <v>0</v>
      </c>
      <c r="Z6709" s="66">
        <v>0</v>
      </c>
      <c r="AA6709" s="6">
        <v>0</v>
      </c>
      <c r="AB6709" s="4">
        <f t="shared" si="1036"/>
        <v>241830.17924528301</v>
      </c>
      <c r="AC6709" s="6">
        <f t="shared" si="1034"/>
        <v>14509.810754716978</v>
      </c>
      <c r="AD6709" s="6">
        <f t="shared" si="1042"/>
        <v>256339.99</v>
      </c>
      <c r="AE6709" s="14">
        <v>0.06</v>
      </c>
      <c r="AF6709" s="6">
        <f t="shared" si="1038"/>
        <v>15380.399399999998</v>
      </c>
      <c r="AG6709" s="14">
        <v>0</v>
      </c>
      <c r="AH6709" s="64">
        <f t="shared" si="1043"/>
        <v>256339.99</v>
      </c>
      <c r="AJ6709" s="126" t="e">
        <v>#N/A</v>
      </c>
      <c r="AK6709" s="80">
        <f t="shared" si="1037"/>
        <v>0</v>
      </c>
      <c r="AL6709" s="85"/>
      <c r="AM6709" s="85"/>
    </row>
    <row r="6710" spans="1:39" s="86" customFormat="1" ht="13.25" hidden="1" customHeight="1" x14ac:dyDescent="0.3">
      <c r="A6710" s="89" t="s">
        <v>3805</v>
      </c>
      <c r="B6710" s="86" t="s">
        <v>35</v>
      </c>
      <c r="C6710" s="86" t="s">
        <v>164</v>
      </c>
      <c r="D6710" s="86" t="s">
        <v>174</v>
      </c>
      <c r="E6710" s="86" t="s">
        <v>50</v>
      </c>
      <c r="F6710" s="86" t="s">
        <v>50</v>
      </c>
      <c r="G6710" s="86" t="s">
        <v>50</v>
      </c>
      <c r="H6710" s="144">
        <v>229</v>
      </c>
      <c r="I6710" s="86" t="s">
        <v>3356</v>
      </c>
      <c r="J6710" s="47" t="s">
        <v>3326</v>
      </c>
      <c r="K6710" s="47" t="str">
        <f t="shared" si="1039"/>
        <v>巨量引擎-一类</v>
      </c>
      <c r="L6710" s="47" t="s">
        <v>35</v>
      </c>
      <c r="N6710" s="86" t="s">
        <v>3708</v>
      </c>
      <c r="O6710" s="47" t="s">
        <v>45</v>
      </c>
      <c r="P6710" s="47" t="s">
        <v>46</v>
      </c>
      <c r="Q6710" s="14">
        <v>0.01</v>
      </c>
      <c r="R6710" s="143"/>
      <c r="S6710" s="47"/>
      <c r="T6710" s="6">
        <v>0</v>
      </c>
      <c r="U6710" s="6">
        <v>0</v>
      </c>
      <c r="V6710" s="6">
        <v>2472393.06</v>
      </c>
      <c r="W6710" s="6">
        <f t="shared" si="1040"/>
        <v>-2472393.06</v>
      </c>
      <c r="X6710" s="6">
        <f t="shared" si="1041"/>
        <v>2447913.9207920791</v>
      </c>
      <c r="Y6710" s="13">
        <f t="shared" si="1035"/>
        <v>0</v>
      </c>
      <c r="Z6710" s="66">
        <v>0</v>
      </c>
      <c r="AA6710" s="6">
        <v>0</v>
      </c>
      <c r="AB6710" s="4">
        <f t="shared" si="1036"/>
        <v>2447913.9207920791</v>
      </c>
      <c r="AC6710" s="6">
        <f t="shared" si="1034"/>
        <v>24479.139207920991</v>
      </c>
      <c r="AD6710" s="6">
        <f t="shared" si="1042"/>
        <v>2472393.06</v>
      </c>
      <c r="AE6710" s="14">
        <v>0.06</v>
      </c>
      <c r="AF6710" s="6">
        <f t="shared" si="1038"/>
        <v>148343.58359999998</v>
      </c>
      <c r="AG6710" s="14">
        <v>0</v>
      </c>
      <c r="AH6710" s="64">
        <f t="shared" si="1043"/>
        <v>2472393.06</v>
      </c>
      <c r="AJ6710" s="126" t="e">
        <v>#N/A</v>
      </c>
      <c r="AK6710" s="80">
        <f t="shared" si="1037"/>
        <v>0</v>
      </c>
      <c r="AL6710" s="85"/>
      <c r="AM6710" s="85"/>
    </row>
    <row r="6711" spans="1:39" s="86" customFormat="1" ht="13.25" hidden="1" customHeight="1" x14ac:dyDescent="0.3">
      <c r="A6711" s="89" t="s">
        <v>3805</v>
      </c>
      <c r="B6711" s="86" t="s">
        <v>35</v>
      </c>
      <c r="C6711" s="86" t="s">
        <v>59</v>
      </c>
      <c r="D6711" s="86" t="s">
        <v>60</v>
      </c>
      <c r="E6711" s="86" t="s">
        <v>3920</v>
      </c>
      <c r="F6711" s="86" t="s">
        <v>3920</v>
      </c>
      <c r="G6711" s="86" t="s">
        <v>3920</v>
      </c>
      <c r="H6711" s="144">
        <v>229</v>
      </c>
      <c r="I6711" s="86" t="s">
        <v>3356</v>
      </c>
      <c r="J6711" s="47" t="s">
        <v>3326</v>
      </c>
      <c r="K6711" s="47" t="str">
        <f t="shared" si="1039"/>
        <v>巨量引擎-一类平台/电商</v>
      </c>
      <c r="L6711" s="47" t="s">
        <v>35</v>
      </c>
      <c r="N6711" s="86" t="s">
        <v>3718</v>
      </c>
      <c r="O6711" s="47" t="s">
        <v>105</v>
      </c>
      <c r="P6711" s="47" t="s">
        <v>75</v>
      </c>
      <c r="Q6711" s="14">
        <v>0.06</v>
      </c>
      <c r="R6711" s="143"/>
      <c r="S6711" s="47"/>
      <c r="T6711" s="6">
        <v>0</v>
      </c>
      <c r="U6711" s="6">
        <v>0</v>
      </c>
      <c r="V6711" s="6">
        <v>2070.5800000000004</v>
      </c>
      <c r="W6711" s="6">
        <f t="shared" si="1040"/>
        <v>-2070.5800000000004</v>
      </c>
      <c r="X6711" s="6">
        <f t="shared" si="1041"/>
        <v>2070.5800000000004</v>
      </c>
      <c r="Y6711" s="13">
        <f t="shared" si="1035"/>
        <v>0</v>
      </c>
      <c r="Z6711" s="66">
        <v>0</v>
      </c>
      <c r="AA6711" s="6">
        <v>0</v>
      </c>
      <c r="AB6711" s="4">
        <f t="shared" si="1036"/>
        <v>2070.5800000000004</v>
      </c>
      <c r="AC6711" s="6">
        <f t="shared" si="1034"/>
        <v>124.23480000000002</v>
      </c>
      <c r="AD6711" s="6">
        <f t="shared" si="1042"/>
        <v>2070.5800000000004</v>
      </c>
      <c r="AE6711" s="14">
        <v>0.06</v>
      </c>
      <c r="AF6711" s="6">
        <f t="shared" si="1038"/>
        <v>124.23480000000002</v>
      </c>
      <c r="AG6711" s="14">
        <v>0</v>
      </c>
      <c r="AH6711" s="64">
        <f t="shared" si="1043"/>
        <v>2070.5800000000004</v>
      </c>
      <c r="AJ6711" s="126" t="e">
        <v>#N/A</v>
      </c>
      <c r="AK6711" s="80">
        <f t="shared" si="1037"/>
        <v>0</v>
      </c>
      <c r="AL6711" s="85"/>
      <c r="AM6711" s="85"/>
    </row>
    <row r="6712" spans="1:39" s="86" customFormat="1" ht="13.25" hidden="1" customHeight="1" x14ac:dyDescent="0.3">
      <c r="A6712" s="89" t="s">
        <v>3805</v>
      </c>
      <c r="B6712" s="86" t="s">
        <v>35</v>
      </c>
      <c r="C6712" s="86" t="s">
        <v>59</v>
      </c>
      <c r="D6712" s="86" t="s">
        <v>60</v>
      </c>
      <c r="E6712" s="86" t="s">
        <v>3922</v>
      </c>
      <c r="F6712" s="86" t="s">
        <v>3922</v>
      </c>
      <c r="G6712" s="86" t="s">
        <v>3922</v>
      </c>
      <c r="H6712" s="144">
        <v>229</v>
      </c>
      <c r="I6712" s="86" t="s">
        <v>3356</v>
      </c>
      <c r="J6712" s="47" t="s">
        <v>3326</v>
      </c>
      <c r="K6712" s="47" t="str">
        <f t="shared" si="1039"/>
        <v>巨量引擎-一类</v>
      </c>
      <c r="L6712" s="47" t="s">
        <v>35</v>
      </c>
      <c r="N6712" s="86" t="s">
        <v>3707</v>
      </c>
      <c r="O6712" s="47" t="s">
        <v>105</v>
      </c>
      <c r="P6712" s="47" t="s">
        <v>75</v>
      </c>
      <c r="Q6712" s="14">
        <v>0.06</v>
      </c>
      <c r="R6712" s="143"/>
      <c r="S6712" s="47"/>
      <c r="T6712" s="6">
        <v>0</v>
      </c>
      <c r="U6712" s="6">
        <v>0</v>
      </c>
      <c r="V6712" s="6">
        <v>118913.2</v>
      </c>
      <c r="W6712" s="6">
        <f t="shared" si="1040"/>
        <v>-118913.2</v>
      </c>
      <c r="X6712" s="6">
        <f t="shared" si="1041"/>
        <v>118913.2</v>
      </c>
      <c r="Y6712" s="13">
        <f t="shared" si="1035"/>
        <v>0</v>
      </c>
      <c r="Z6712" s="66">
        <v>0</v>
      </c>
      <c r="AA6712" s="6">
        <v>0</v>
      </c>
      <c r="AB6712" s="4">
        <f t="shared" si="1036"/>
        <v>118913.2</v>
      </c>
      <c r="AC6712" s="6">
        <f t="shared" si="1034"/>
        <v>7134.7919999999995</v>
      </c>
      <c r="AD6712" s="6">
        <f t="shared" si="1042"/>
        <v>118913.2</v>
      </c>
      <c r="AE6712" s="14">
        <v>0.06</v>
      </c>
      <c r="AF6712" s="6">
        <f t="shared" si="1038"/>
        <v>7134.7919999999995</v>
      </c>
      <c r="AG6712" s="14">
        <v>0</v>
      </c>
      <c r="AH6712" s="64">
        <f t="shared" si="1043"/>
        <v>118913.2</v>
      </c>
      <c r="AJ6712" s="126" t="e">
        <v>#N/A</v>
      </c>
      <c r="AK6712" s="80">
        <f t="shared" si="1037"/>
        <v>0</v>
      </c>
      <c r="AL6712" s="85"/>
      <c r="AM6712" s="85"/>
    </row>
    <row r="6713" spans="1:39" s="86" customFormat="1" ht="13.25" hidden="1" customHeight="1" x14ac:dyDescent="0.3">
      <c r="A6713" s="89" t="s">
        <v>3805</v>
      </c>
      <c r="B6713" s="86" t="s">
        <v>35</v>
      </c>
      <c r="C6713" s="86" t="s">
        <v>164</v>
      </c>
      <c r="D6713" s="86" t="s">
        <v>174</v>
      </c>
      <c r="E6713" s="86" t="s">
        <v>1966</v>
      </c>
      <c r="F6713" s="86" t="s">
        <v>1966</v>
      </c>
      <c r="G6713" s="86" t="s">
        <v>1966</v>
      </c>
      <c r="H6713" s="144">
        <v>229</v>
      </c>
      <c r="I6713" s="86" t="s">
        <v>3356</v>
      </c>
      <c r="J6713" s="47" t="s">
        <v>3326</v>
      </c>
      <c r="K6713" s="47" t="str">
        <f t="shared" si="1039"/>
        <v>巨量引擎-三类</v>
      </c>
      <c r="L6713" s="47" t="s">
        <v>35</v>
      </c>
      <c r="N6713" s="86" t="s">
        <v>3712</v>
      </c>
      <c r="O6713" s="47" t="s">
        <v>105</v>
      </c>
      <c r="P6713" s="47" t="s">
        <v>46</v>
      </c>
      <c r="Q6713" s="14">
        <v>0.02</v>
      </c>
      <c r="R6713" s="143"/>
      <c r="S6713" s="47"/>
      <c r="T6713" s="6">
        <v>0</v>
      </c>
      <c r="U6713" s="6">
        <v>0</v>
      </c>
      <c r="V6713" s="6">
        <v>5037.2599999999993</v>
      </c>
      <c r="W6713" s="6">
        <f t="shared" si="1040"/>
        <v>-5037.2599999999993</v>
      </c>
      <c r="X6713" s="6">
        <f t="shared" si="1041"/>
        <v>4938.4901960784309</v>
      </c>
      <c r="Y6713" s="13">
        <f t="shared" si="1035"/>
        <v>0</v>
      </c>
      <c r="Z6713" s="66">
        <v>0</v>
      </c>
      <c r="AA6713" s="6">
        <v>0</v>
      </c>
      <c r="AB6713" s="4">
        <f t="shared" si="1036"/>
        <v>4938.4901960784309</v>
      </c>
      <c r="AC6713" s="6">
        <f t="shared" si="1034"/>
        <v>98.769803921568382</v>
      </c>
      <c r="AD6713" s="6">
        <f t="shared" si="1042"/>
        <v>5037.2599999999993</v>
      </c>
      <c r="AE6713" s="14">
        <v>0.06</v>
      </c>
      <c r="AF6713" s="6">
        <f t="shared" si="1038"/>
        <v>302.23559999999992</v>
      </c>
      <c r="AG6713" s="14">
        <v>0</v>
      </c>
      <c r="AH6713" s="64">
        <f t="shared" si="1043"/>
        <v>5037.2599999999993</v>
      </c>
      <c r="AJ6713" s="126" t="e">
        <v>#N/A</v>
      </c>
      <c r="AK6713" s="80">
        <f t="shared" si="1037"/>
        <v>0</v>
      </c>
      <c r="AL6713" s="85"/>
      <c r="AM6713" s="85"/>
    </row>
    <row r="6714" spans="1:39" s="86" customFormat="1" ht="13.25" hidden="1" customHeight="1" x14ac:dyDescent="0.3">
      <c r="A6714" s="89" t="s">
        <v>3805</v>
      </c>
      <c r="B6714" s="86" t="s">
        <v>35</v>
      </c>
      <c r="C6714" s="86" t="s">
        <v>184</v>
      </c>
      <c r="D6714" s="86" t="s">
        <v>54</v>
      </c>
      <c r="E6714" s="86" t="s">
        <v>3610</v>
      </c>
      <c r="F6714" s="86" t="s">
        <v>3610</v>
      </c>
      <c r="G6714" s="86" t="s">
        <v>3610</v>
      </c>
      <c r="H6714" s="144">
        <v>229</v>
      </c>
      <c r="I6714" s="86" t="s">
        <v>3356</v>
      </c>
      <c r="J6714" s="47" t="s">
        <v>3326</v>
      </c>
      <c r="K6714" s="47" t="str">
        <f t="shared" si="1039"/>
        <v>巨量引擎-一类平台/电商</v>
      </c>
      <c r="L6714" s="47" t="s">
        <v>35</v>
      </c>
      <c r="N6714" s="86" t="s">
        <v>3718</v>
      </c>
      <c r="O6714" s="47" t="s">
        <v>105</v>
      </c>
      <c r="P6714" s="47" t="s">
        <v>41</v>
      </c>
      <c r="Q6714" s="14">
        <v>0</v>
      </c>
      <c r="R6714" s="143"/>
      <c r="S6714" s="47"/>
      <c r="T6714" s="6">
        <v>0</v>
      </c>
      <c r="U6714" s="6">
        <v>0</v>
      </c>
      <c r="V6714" s="6">
        <v>21.99</v>
      </c>
      <c r="W6714" s="6">
        <f t="shared" si="1040"/>
        <v>-21.99</v>
      </c>
      <c r="X6714" s="6">
        <f t="shared" si="1041"/>
        <v>21.99</v>
      </c>
      <c r="Y6714" s="13">
        <f t="shared" si="1035"/>
        <v>0</v>
      </c>
      <c r="Z6714" s="66">
        <v>0</v>
      </c>
      <c r="AA6714" s="6">
        <v>0</v>
      </c>
      <c r="AB6714" s="4">
        <f t="shared" si="1036"/>
        <v>21.99</v>
      </c>
      <c r="AC6714" s="6">
        <f t="shared" si="1034"/>
        <v>0</v>
      </c>
      <c r="AD6714" s="6">
        <f t="shared" si="1042"/>
        <v>21.99</v>
      </c>
      <c r="AE6714" s="14">
        <v>0.06</v>
      </c>
      <c r="AF6714" s="6">
        <f t="shared" si="1038"/>
        <v>1.3193999999999999</v>
      </c>
      <c r="AG6714" s="14">
        <v>0</v>
      </c>
      <c r="AH6714" s="64">
        <f t="shared" si="1043"/>
        <v>21.99</v>
      </c>
      <c r="AJ6714" s="126" t="e">
        <v>#N/A</v>
      </c>
      <c r="AK6714" s="80">
        <f t="shared" si="1037"/>
        <v>0</v>
      </c>
      <c r="AL6714" s="85"/>
      <c r="AM6714" s="85"/>
    </row>
    <row r="6715" spans="1:39" s="86" customFormat="1" ht="13.25" hidden="1" customHeight="1" x14ac:dyDescent="0.3">
      <c r="A6715" s="89" t="s">
        <v>3805</v>
      </c>
      <c r="B6715" s="86" t="s">
        <v>35</v>
      </c>
      <c r="C6715" s="86" t="s">
        <v>59</v>
      </c>
      <c r="D6715" s="86" t="s">
        <v>60</v>
      </c>
      <c r="E6715" s="86" t="s">
        <v>77</v>
      </c>
      <c r="F6715" s="86" t="s">
        <v>77</v>
      </c>
      <c r="G6715" s="86" t="s">
        <v>77</v>
      </c>
      <c r="H6715" s="144">
        <v>229</v>
      </c>
      <c r="I6715" s="86" t="s">
        <v>3356</v>
      </c>
      <c r="J6715" s="47" t="s">
        <v>3326</v>
      </c>
      <c r="K6715" s="47" t="str">
        <f t="shared" si="1039"/>
        <v>巨量引擎-三类</v>
      </c>
      <c r="L6715" s="47" t="s">
        <v>35</v>
      </c>
      <c r="N6715" s="86" t="s">
        <v>3712</v>
      </c>
      <c r="O6715" s="47" t="s">
        <v>105</v>
      </c>
      <c r="P6715" s="47" t="s">
        <v>75</v>
      </c>
      <c r="Q6715" s="14">
        <v>0.06</v>
      </c>
      <c r="R6715" s="143"/>
      <c r="S6715" s="47"/>
      <c r="T6715" s="6">
        <v>0</v>
      </c>
      <c r="U6715" s="6">
        <v>0</v>
      </c>
      <c r="V6715" s="6">
        <v>50501.490000000005</v>
      </c>
      <c r="W6715" s="6">
        <f t="shared" si="1040"/>
        <v>-50501.490000000005</v>
      </c>
      <c r="X6715" s="6">
        <f t="shared" si="1041"/>
        <v>50501.490000000005</v>
      </c>
      <c r="Y6715" s="13">
        <f t="shared" si="1035"/>
        <v>0</v>
      </c>
      <c r="Z6715" s="66">
        <v>0</v>
      </c>
      <c r="AA6715" s="6">
        <v>0</v>
      </c>
      <c r="AB6715" s="4">
        <f t="shared" si="1036"/>
        <v>50501.490000000005</v>
      </c>
      <c r="AC6715" s="6">
        <f t="shared" si="1034"/>
        <v>3030.0894000000003</v>
      </c>
      <c r="AD6715" s="6">
        <f t="shared" si="1042"/>
        <v>50501.490000000005</v>
      </c>
      <c r="AE6715" s="14">
        <v>0.06</v>
      </c>
      <c r="AF6715" s="6">
        <f t="shared" si="1038"/>
        <v>3030.0894000000003</v>
      </c>
      <c r="AG6715" s="14">
        <v>0</v>
      </c>
      <c r="AH6715" s="64">
        <f t="shared" si="1043"/>
        <v>50501.490000000005</v>
      </c>
      <c r="AJ6715" s="126" t="e">
        <v>#N/A</v>
      </c>
      <c r="AK6715" s="80">
        <f t="shared" si="1037"/>
        <v>0</v>
      </c>
      <c r="AL6715" s="85"/>
      <c r="AM6715" s="85"/>
    </row>
    <row r="6716" spans="1:39" s="86" customFormat="1" ht="13.25" hidden="1" customHeight="1" x14ac:dyDescent="0.3">
      <c r="A6716" s="89" t="s">
        <v>3805</v>
      </c>
      <c r="B6716" s="86" t="s">
        <v>35</v>
      </c>
      <c r="C6716" s="86" t="s">
        <v>59</v>
      </c>
      <c r="D6716" s="86" t="s">
        <v>60</v>
      </c>
      <c r="E6716" s="86" t="s">
        <v>257</v>
      </c>
      <c r="F6716" s="86" t="s">
        <v>257</v>
      </c>
      <c r="G6716" s="86" t="s">
        <v>257</v>
      </c>
      <c r="H6716" s="144">
        <v>229</v>
      </c>
      <c r="I6716" s="86" t="s">
        <v>3356</v>
      </c>
      <c r="J6716" s="47" t="s">
        <v>3326</v>
      </c>
      <c r="K6716" s="47" t="str">
        <f t="shared" si="1039"/>
        <v>巨量引擎-三类</v>
      </c>
      <c r="L6716" s="47" t="s">
        <v>35</v>
      </c>
      <c r="N6716" s="86" t="s">
        <v>3712</v>
      </c>
      <c r="O6716" s="47" t="s">
        <v>105</v>
      </c>
      <c r="P6716" s="47" t="s">
        <v>75</v>
      </c>
      <c r="Q6716" s="14">
        <v>5.5E-2</v>
      </c>
      <c r="R6716" s="143"/>
      <c r="S6716" s="47"/>
      <c r="T6716" s="6">
        <v>0</v>
      </c>
      <c r="U6716" s="6">
        <v>0</v>
      </c>
      <c r="V6716" s="6">
        <v>19.32</v>
      </c>
      <c r="W6716" s="6">
        <f t="shared" si="1040"/>
        <v>-19.32</v>
      </c>
      <c r="X6716" s="6">
        <f t="shared" si="1041"/>
        <v>19.32</v>
      </c>
      <c r="Y6716" s="13">
        <f t="shared" si="1035"/>
        <v>0</v>
      </c>
      <c r="Z6716" s="66">
        <v>0</v>
      </c>
      <c r="AA6716" s="6">
        <v>0</v>
      </c>
      <c r="AB6716" s="4">
        <f t="shared" si="1036"/>
        <v>19.32</v>
      </c>
      <c r="AC6716" s="6">
        <f t="shared" si="1034"/>
        <v>1.0626</v>
      </c>
      <c r="AD6716" s="6">
        <f t="shared" si="1042"/>
        <v>19.32</v>
      </c>
      <c r="AE6716" s="14">
        <v>0.06</v>
      </c>
      <c r="AF6716" s="6">
        <f t="shared" si="1038"/>
        <v>1.1592</v>
      </c>
      <c r="AG6716" s="14">
        <v>0</v>
      </c>
      <c r="AH6716" s="64">
        <f t="shared" si="1043"/>
        <v>19.32</v>
      </c>
      <c r="AJ6716" s="126" t="e">
        <v>#N/A</v>
      </c>
      <c r="AK6716" s="80">
        <f t="shared" si="1037"/>
        <v>0</v>
      </c>
      <c r="AL6716" s="85"/>
      <c r="AM6716" s="85"/>
    </row>
    <row r="6717" spans="1:39" s="86" customFormat="1" ht="13.25" hidden="1" customHeight="1" x14ac:dyDescent="0.3">
      <c r="A6717" s="89" t="s">
        <v>3805</v>
      </c>
      <c r="B6717" s="86" t="s">
        <v>35</v>
      </c>
      <c r="C6717" s="86" t="s">
        <v>59</v>
      </c>
      <c r="D6717" s="86" t="s">
        <v>60</v>
      </c>
      <c r="E6717" s="86" t="s">
        <v>78</v>
      </c>
      <c r="F6717" s="86" t="s">
        <v>332</v>
      </c>
      <c r="G6717" s="86" t="s">
        <v>78</v>
      </c>
      <c r="H6717" s="144">
        <v>229</v>
      </c>
      <c r="I6717" s="86" t="s">
        <v>3356</v>
      </c>
      <c r="J6717" s="47" t="s">
        <v>3326</v>
      </c>
      <c r="K6717" s="47" t="str">
        <f t="shared" si="1039"/>
        <v>巨量引擎-游戏</v>
      </c>
      <c r="L6717" s="47" t="s">
        <v>35</v>
      </c>
      <c r="N6717" s="86" t="s">
        <v>3283</v>
      </c>
      <c r="O6717" s="47" t="s">
        <v>105</v>
      </c>
      <c r="P6717" s="47" t="s">
        <v>46</v>
      </c>
      <c r="Q6717" s="14">
        <v>0.04</v>
      </c>
      <c r="R6717" s="143"/>
      <c r="S6717" s="47"/>
      <c r="T6717" s="6">
        <v>0</v>
      </c>
      <c r="U6717" s="6">
        <v>0</v>
      </c>
      <c r="V6717" s="6">
        <v>216673.27000000002</v>
      </c>
      <c r="W6717" s="6">
        <f t="shared" si="1040"/>
        <v>-216673.27000000002</v>
      </c>
      <c r="X6717" s="6">
        <f t="shared" si="1041"/>
        <v>208339.68269230772</v>
      </c>
      <c r="Y6717" s="13">
        <f t="shared" si="1035"/>
        <v>0</v>
      </c>
      <c r="Z6717" s="66">
        <v>0</v>
      </c>
      <c r="AA6717" s="6">
        <v>0</v>
      </c>
      <c r="AB6717" s="4">
        <f t="shared" si="1036"/>
        <v>208339.68269230772</v>
      </c>
      <c r="AC6717" s="6">
        <f t="shared" si="1034"/>
        <v>8333.5873076923017</v>
      </c>
      <c r="AD6717" s="6">
        <f t="shared" si="1042"/>
        <v>216673.27000000002</v>
      </c>
      <c r="AE6717" s="14">
        <v>0.06</v>
      </c>
      <c r="AF6717" s="6">
        <f t="shared" si="1038"/>
        <v>13000.396200000001</v>
      </c>
      <c r="AG6717" s="14">
        <v>0</v>
      </c>
      <c r="AH6717" s="64">
        <f t="shared" si="1043"/>
        <v>216673.27000000002</v>
      </c>
      <c r="AJ6717" s="126" t="e">
        <v>#N/A</v>
      </c>
      <c r="AK6717" s="80">
        <f t="shared" si="1037"/>
        <v>0</v>
      </c>
      <c r="AL6717" s="85"/>
      <c r="AM6717" s="85"/>
    </row>
    <row r="6718" spans="1:39" s="86" customFormat="1" ht="13.25" hidden="1" customHeight="1" x14ac:dyDescent="0.3">
      <c r="A6718" s="89" t="s">
        <v>3805</v>
      </c>
      <c r="B6718" s="86" t="s">
        <v>35</v>
      </c>
      <c r="C6718" s="86" t="s">
        <v>59</v>
      </c>
      <c r="D6718" s="86" t="s">
        <v>60</v>
      </c>
      <c r="E6718" s="86" t="s">
        <v>3641</v>
      </c>
      <c r="F6718" s="86" t="s">
        <v>3970</v>
      </c>
      <c r="G6718" s="86" t="s">
        <v>3641</v>
      </c>
      <c r="H6718" s="144">
        <v>229</v>
      </c>
      <c r="I6718" s="86" t="s">
        <v>3356</v>
      </c>
      <c r="J6718" s="47" t="s">
        <v>3326</v>
      </c>
      <c r="K6718" s="47" t="str">
        <f t="shared" si="1039"/>
        <v>巨量引擎-游戏</v>
      </c>
      <c r="L6718" s="47" t="s">
        <v>35</v>
      </c>
      <c r="N6718" s="86" t="s">
        <v>3283</v>
      </c>
      <c r="O6718" s="47" t="s">
        <v>105</v>
      </c>
      <c r="P6718" s="47" t="s">
        <v>75</v>
      </c>
      <c r="Q6718" s="14">
        <v>0.06</v>
      </c>
      <c r="R6718" s="143"/>
      <c r="S6718" s="47"/>
      <c r="T6718" s="6">
        <v>0</v>
      </c>
      <c r="U6718" s="6">
        <v>0</v>
      </c>
      <c r="V6718" s="6">
        <v>1514.7699999999998</v>
      </c>
      <c r="W6718" s="6">
        <f t="shared" si="1040"/>
        <v>-1514.7699999999998</v>
      </c>
      <c r="X6718" s="6">
        <f t="shared" si="1041"/>
        <v>1514.7699999999998</v>
      </c>
      <c r="Y6718" s="13">
        <f t="shared" si="1035"/>
        <v>0</v>
      </c>
      <c r="Z6718" s="66">
        <v>0</v>
      </c>
      <c r="AA6718" s="6">
        <v>0</v>
      </c>
      <c r="AB6718" s="4">
        <f t="shared" si="1036"/>
        <v>1514.7699999999998</v>
      </c>
      <c r="AC6718" s="6">
        <f t="shared" ref="AC6718:AC6781" si="1044">IF(P6718="返现",X6718*Q6718,V6718-X6718)</f>
        <v>90.886199999999988</v>
      </c>
      <c r="AD6718" s="6">
        <f t="shared" si="1042"/>
        <v>1514.7699999999998</v>
      </c>
      <c r="AE6718" s="14">
        <v>0.06</v>
      </c>
      <c r="AF6718" s="6">
        <f t="shared" si="1038"/>
        <v>90.886199999999988</v>
      </c>
      <c r="AG6718" s="14">
        <v>0</v>
      </c>
      <c r="AH6718" s="64">
        <f t="shared" si="1043"/>
        <v>1514.7699999999998</v>
      </c>
      <c r="AJ6718" s="126" t="e">
        <v>#N/A</v>
      </c>
      <c r="AK6718" s="80">
        <f t="shared" si="1037"/>
        <v>0</v>
      </c>
      <c r="AL6718" s="85"/>
      <c r="AM6718" s="85"/>
    </row>
    <row r="6719" spans="1:39" s="86" customFormat="1" ht="13.25" hidden="1" customHeight="1" x14ac:dyDescent="0.3">
      <c r="A6719" s="89" t="s">
        <v>3805</v>
      </c>
      <c r="B6719" s="86" t="s">
        <v>35</v>
      </c>
      <c r="C6719" s="86" t="s">
        <v>187</v>
      </c>
      <c r="D6719" s="86" t="s">
        <v>188</v>
      </c>
      <c r="E6719" s="86" t="s">
        <v>3943</v>
      </c>
      <c r="F6719" s="86" t="s">
        <v>3943</v>
      </c>
      <c r="G6719" s="86" t="s">
        <v>3943</v>
      </c>
      <c r="H6719" s="144">
        <v>229</v>
      </c>
      <c r="I6719" s="86" t="s">
        <v>3356</v>
      </c>
      <c r="J6719" s="47" t="s">
        <v>3326</v>
      </c>
      <c r="K6719" s="47" t="str">
        <f t="shared" si="1039"/>
        <v>巨量引擎-游戏</v>
      </c>
      <c r="L6719" s="47" t="s">
        <v>35</v>
      </c>
      <c r="N6719" s="86" t="s">
        <v>3283</v>
      </c>
      <c r="O6719" s="47" t="s">
        <v>105</v>
      </c>
      <c r="P6719" s="47" t="s">
        <v>46</v>
      </c>
      <c r="Q6719" s="14">
        <v>0.04</v>
      </c>
      <c r="R6719" s="143"/>
      <c r="S6719" s="47"/>
      <c r="T6719" s="6">
        <v>0</v>
      </c>
      <c r="U6719" s="6">
        <v>0</v>
      </c>
      <c r="V6719" s="6">
        <v>275866.79000000004</v>
      </c>
      <c r="W6719" s="6">
        <f t="shared" si="1040"/>
        <v>-275866.79000000004</v>
      </c>
      <c r="X6719" s="6">
        <f t="shared" si="1041"/>
        <v>265256.52884615387</v>
      </c>
      <c r="Y6719" s="13">
        <f t="shared" si="1035"/>
        <v>0</v>
      </c>
      <c r="Z6719" s="66">
        <v>0</v>
      </c>
      <c r="AA6719" s="6">
        <v>0</v>
      </c>
      <c r="AB6719" s="4">
        <f t="shared" si="1036"/>
        <v>265256.52884615387</v>
      </c>
      <c r="AC6719" s="6">
        <f t="shared" si="1044"/>
        <v>10610.261153846164</v>
      </c>
      <c r="AD6719" s="6">
        <f t="shared" si="1042"/>
        <v>275866.79000000004</v>
      </c>
      <c r="AE6719" s="14">
        <v>0.06</v>
      </c>
      <c r="AF6719" s="6">
        <f t="shared" si="1038"/>
        <v>16552.007400000002</v>
      </c>
      <c r="AG6719" s="14">
        <v>0</v>
      </c>
      <c r="AH6719" s="64">
        <f t="shared" si="1043"/>
        <v>275866.79000000004</v>
      </c>
      <c r="AJ6719" s="126" t="e">
        <v>#N/A</v>
      </c>
      <c r="AK6719" s="80">
        <f t="shared" si="1037"/>
        <v>0</v>
      </c>
      <c r="AL6719" s="85"/>
      <c r="AM6719" s="85"/>
    </row>
    <row r="6720" spans="1:39" s="86" customFormat="1" ht="13.25" hidden="1" customHeight="1" x14ac:dyDescent="0.3">
      <c r="A6720" s="89" t="s">
        <v>3805</v>
      </c>
      <c r="B6720" s="86" t="s">
        <v>35</v>
      </c>
      <c r="C6720" s="86" t="s">
        <v>164</v>
      </c>
      <c r="D6720" s="86" t="s">
        <v>169</v>
      </c>
      <c r="E6720" s="86" t="s">
        <v>170</v>
      </c>
      <c r="F6720" s="86" t="s">
        <v>3936</v>
      </c>
      <c r="G6720" s="86" t="s">
        <v>170</v>
      </c>
      <c r="H6720" s="144">
        <v>229</v>
      </c>
      <c r="I6720" s="86" t="s">
        <v>3356</v>
      </c>
      <c r="J6720" s="47" t="s">
        <v>3326</v>
      </c>
      <c r="K6720" s="47" t="str">
        <f t="shared" si="1039"/>
        <v>巨量引擎-二类</v>
      </c>
      <c r="L6720" s="47" t="s">
        <v>35</v>
      </c>
      <c r="N6720" s="86" t="s">
        <v>3710</v>
      </c>
      <c r="O6720" s="47" t="s">
        <v>105</v>
      </c>
      <c r="P6720" s="47" t="s">
        <v>46</v>
      </c>
      <c r="Q6720" s="14">
        <v>7.0000000000000007E-2</v>
      </c>
      <c r="R6720" s="143"/>
      <c r="S6720" s="47"/>
      <c r="T6720" s="6">
        <v>0</v>
      </c>
      <c r="U6720" s="6">
        <v>0</v>
      </c>
      <c r="V6720" s="6">
        <v>2538.9499999999998</v>
      </c>
      <c r="W6720" s="6">
        <f t="shared" si="1040"/>
        <v>-2538.9499999999998</v>
      </c>
      <c r="X6720" s="6">
        <f t="shared" si="1041"/>
        <v>2372.8504672897193</v>
      </c>
      <c r="Y6720" s="13">
        <f t="shared" si="1035"/>
        <v>0</v>
      </c>
      <c r="Z6720" s="66">
        <v>0</v>
      </c>
      <c r="AA6720" s="6">
        <v>0</v>
      </c>
      <c r="AB6720" s="4">
        <f t="shared" si="1036"/>
        <v>2372.8504672897193</v>
      </c>
      <c r="AC6720" s="6">
        <f t="shared" si="1044"/>
        <v>166.09953271028053</v>
      </c>
      <c r="AD6720" s="6">
        <f t="shared" si="1042"/>
        <v>2538.9499999999998</v>
      </c>
      <c r="AE6720" s="14">
        <v>0.06</v>
      </c>
      <c r="AF6720" s="6">
        <f t="shared" si="1038"/>
        <v>152.33699999999999</v>
      </c>
      <c r="AG6720" s="14">
        <v>0</v>
      </c>
      <c r="AH6720" s="64">
        <f t="shared" si="1043"/>
        <v>2538.9499999999998</v>
      </c>
      <c r="AJ6720" s="126" t="e">
        <v>#N/A</v>
      </c>
      <c r="AK6720" s="80">
        <f t="shared" si="1037"/>
        <v>0</v>
      </c>
      <c r="AL6720" s="85"/>
      <c r="AM6720" s="85"/>
    </row>
    <row r="6721" spans="1:39" s="86" customFormat="1" ht="13.25" hidden="1" customHeight="1" x14ac:dyDescent="0.3">
      <c r="A6721" s="89" t="s">
        <v>3805</v>
      </c>
      <c r="B6721" s="86" t="s">
        <v>35</v>
      </c>
      <c r="C6721" s="86" t="s">
        <v>36</v>
      </c>
      <c r="D6721" s="86" t="s">
        <v>185</v>
      </c>
      <c r="E6721" s="86" t="s">
        <v>134</v>
      </c>
      <c r="F6721" s="86" t="s">
        <v>135</v>
      </c>
      <c r="G6721" s="86" t="s">
        <v>134</v>
      </c>
      <c r="H6721" s="144">
        <v>229</v>
      </c>
      <c r="I6721" s="86" t="s">
        <v>3356</v>
      </c>
      <c r="J6721" s="47" t="s">
        <v>3326</v>
      </c>
      <c r="K6721" s="47" t="str">
        <f t="shared" si="1039"/>
        <v>巨量引擎-一类</v>
      </c>
      <c r="L6721" s="47" t="s">
        <v>35</v>
      </c>
      <c r="N6721" s="86" t="s">
        <v>3707</v>
      </c>
      <c r="O6721" s="47" t="s">
        <v>105</v>
      </c>
      <c r="P6721" s="47" t="s">
        <v>41</v>
      </c>
      <c r="Q6721" s="14">
        <v>0</v>
      </c>
      <c r="R6721" s="143"/>
      <c r="S6721" s="47"/>
      <c r="T6721" s="6">
        <v>0</v>
      </c>
      <c r="U6721" s="6">
        <v>0</v>
      </c>
      <c r="V6721" s="6">
        <v>5.129999999999999</v>
      </c>
      <c r="W6721" s="6">
        <f t="shared" si="1040"/>
        <v>-5.129999999999999</v>
      </c>
      <c r="X6721" s="6">
        <f t="shared" si="1041"/>
        <v>5.129999999999999</v>
      </c>
      <c r="Y6721" s="13">
        <f t="shared" si="1035"/>
        <v>0</v>
      </c>
      <c r="Z6721" s="66">
        <v>0</v>
      </c>
      <c r="AA6721" s="6">
        <v>0</v>
      </c>
      <c r="AB6721" s="4">
        <f t="shared" si="1036"/>
        <v>5.129999999999999</v>
      </c>
      <c r="AC6721" s="6">
        <f t="shared" si="1044"/>
        <v>0</v>
      </c>
      <c r="AD6721" s="6">
        <f t="shared" si="1042"/>
        <v>5.129999999999999</v>
      </c>
      <c r="AE6721" s="14">
        <v>0.06</v>
      </c>
      <c r="AF6721" s="6">
        <f t="shared" si="1038"/>
        <v>0.30779999999999991</v>
      </c>
      <c r="AG6721" s="14">
        <v>0</v>
      </c>
      <c r="AH6721" s="64">
        <f t="shared" si="1043"/>
        <v>5.129999999999999</v>
      </c>
      <c r="AJ6721" s="126" t="e">
        <v>#N/A</v>
      </c>
      <c r="AK6721" s="80">
        <f t="shared" si="1037"/>
        <v>0</v>
      </c>
      <c r="AL6721" s="85"/>
      <c r="AM6721" s="85"/>
    </row>
    <row r="6722" spans="1:39" s="86" customFormat="1" ht="13.25" hidden="1" customHeight="1" x14ac:dyDescent="0.3">
      <c r="A6722" s="89" t="s">
        <v>3805</v>
      </c>
      <c r="B6722" s="86" t="s">
        <v>35</v>
      </c>
      <c r="C6722" s="86" t="s">
        <v>187</v>
      </c>
      <c r="D6722" s="86" t="s">
        <v>188</v>
      </c>
      <c r="E6722" s="86" t="s">
        <v>314</v>
      </c>
      <c r="F6722" s="86" t="s">
        <v>314</v>
      </c>
      <c r="G6722" s="86" t="s">
        <v>314</v>
      </c>
      <c r="H6722" s="144">
        <v>229</v>
      </c>
      <c r="I6722" s="86" t="s">
        <v>3356</v>
      </c>
      <c r="J6722" s="47" t="s">
        <v>3326</v>
      </c>
      <c r="K6722" s="47" t="str">
        <f t="shared" si="1039"/>
        <v>巨量引擎-游戏</v>
      </c>
      <c r="L6722" s="47" t="s">
        <v>35</v>
      </c>
      <c r="N6722" s="86" t="s">
        <v>3283</v>
      </c>
      <c r="O6722" s="47" t="s">
        <v>105</v>
      </c>
      <c r="P6722" s="47" t="s">
        <v>46</v>
      </c>
      <c r="Q6722" s="14">
        <v>0.03</v>
      </c>
      <c r="R6722" s="143"/>
      <c r="S6722" s="47"/>
      <c r="T6722" s="6">
        <v>0</v>
      </c>
      <c r="U6722" s="6">
        <v>0</v>
      </c>
      <c r="V6722" s="6">
        <v>175.27</v>
      </c>
      <c r="W6722" s="6">
        <f t="shared" si="1040"/>
        <v>-175.27</v>
      </c>
      <c r="X6722" s="6">
        <f t="shared" si="1041"/>
        <v>170.16504854368932</v>
      </c>
      <c r="Y6722" s="13">
        <f t="shared" si="1035"/>
        <v>0</v>
      </c>
      <c r="Z6722" s="66">
        <v>0</v>
      </c>
      <c r="AA6722" s="6">
        <v>0</v>
      </c>
      <c r="AB6722" s="4">
        <f t="shared" si="1036"/>
        <v>170.16504854368932</v>
      </c>
      <c r="AC6722" s="6">
        <f t="shared" si="1044"/>
        <v>5.1049514563106868</v>
      </c>
      <c r="AD6722" s="6">
        <f t="shared" si="1042"/>
        <v>175.27</v>
      </c>
      <c r="AE6722" s="14">
        <v>0.06</v>
      </c>
      <c r="AF6722" s="6">
        <f t="shared" si="1038"/>
        <v>10.5162</v>
      </c>
      <c r="AG6722" s="14">
        <v>0</v>
      </c>
      <c r="AH6722" s="64">
        <f t="shared" si="1043"/>
        <v>175.27</v>
      </c>
      <c r="AJ6722" s="126" t="e">
        <v>#N/A</v>
      </c>
      <c r="AK6722" s="80">
        <f t="shared" si="1037"/>
        <v>0</v>
      </c>
      <c r="AL6722" s="85"/>
      <c r="AM6722" s="85"/>
    </row>
    <row r="6723" spans="1:39" s="86" customFormat="1" ht="13.25" hidden="1" customHeight="1" x14ac:dyDescent="0.3">
      <c r="A6723" s="89" t="s">
        <v>3805</v>
      </c>
      <c r="B6723" s="86" t="s">
        <v>35</v>
      </c>
      <c r="C6723" s="86" t="s">
        <v>187</v>
      </c>
      <c r="D6723" s="86" t="s">
        <v>188</v>
      </c>
      <c r="E6723" s="86" t="s">
        <v>3945</v>
      </c>
      <c r="F6723" s="86" t="s">
        <v>3945</v>
      </c>
      <c r="G6723" s="86" t="s">
        <v>3945</v>
      </c>
      <c r="H6723" s="144">
        <v>229</v>
      </c>
      <c r="I6723" s="86" t="s">
        <v>3356</v>
      </c>
      <c r="J6723" s="47" t="s">
        <v>3326</v>
      </c>
      <c r="K6723" s="47" t="str">
        <f t="shared" si="1039"/>
        <v>巨量引擎-游戏</v>
      </c>
      <c r="L6723" s="47" t="s">
        <v>35</v>
      </c>
      <c r="N6723" s="86" t="s">
        <v>3283</v>
      </c>
      <c r="O6723" s="47" t="s">
        <v>105</v>
      </c>
      <c r="P6723" s="47" t="s">
        <v>46</v>
      </c>
      <c r="Q6723" s="14">
        <v>0.06</v>
      </c>
      <c r="R6723" s="143"/>
      <c r="S6723" s="47"/>
      <c r="T6723" s="6">
        <v>0</v>
      </c>
      <c r="U6723" s="6">
        <v>0</v>
      </c>
      <c r="V6723" s="6">
        <v>67538.98</v>
      </c>
      <c r="W6723" s="6">
        <f t="shared" si="1040"/>
        <v>-67538.98</v>
      </c>
      <c r="X6723" s="6">
        <f t="shared" si="1041"/>
        <v>63716.018867924518</v>
      </c>
      <c r="Y6723" s="13">
        <f t="shared" ref="Y6723:Y6786" si="1045">IF(X6723-AD6723&lt;=0,0,IF(P6723="返现",MAX(X6723-AC6723-AD6723,0),MAX(X6723-AD6723)))</f>
        <v>0</v>
      </c>
      <c r="Z6723" s="66">
        <v>0</v>
      </c>
      <c r="AA6723" s="6">
        <v>0</v>
      </c>
      <c r="AB6723" s="4">
        <f t="shared" ref="AB6723:AB6786" si="1046">X6723+AA6723</f>
        <v>63716.018867924518</v>
      </c>
      <c r="AC6723" s="6">
        <f t="shared" si="1044"/>
        <v>3822.9611320754775</v>
      </c>
      <c r="AD6723" s="6">
        <f t="shared" si="1042"/>
        <v>67538.98</v>
      </c>
      <c r="AE6723" s="14">
        <v>0.06</v>
      </c>
      <c r="AF6723" s="6">
        <f t="shared" si="1038"/>
        <v>4052.3387999999995</v>
      </c>
      <c r="AG6723" s="14">
        <v>0</v>
      </c>
      <c r="AH6723" s="64">
        <f t="shared" si="1043"/>
        <v>67538.98</v>
      </c>
      <c r="AJ6723" s="126" t="e">
        <v>#N/A</v>
      </c>
      <c r="AK6723" s="80">
        <f t="shared" ref="AK6723:AK6786" si="1047">X6723+AA6723-AB6723</f>
        <v>0</v>
      </c>
      <c r="AL6723" s="85"/>
      <c r="AM6723" s="85"/>
    </row>
    <row r="6724" spans="1:39" s="86" customFormat="1" ht="13.25" hidden="1" customHeight="1" x14ac:dyDescent="0.3">
      <c r="A6724" s="89" t="s">
        <v>3805</v>
      </c>
      <c r="B6724" s="86" t="s">
        <v>35</v>
      </c>
      <c r="C6724" s="86" t="s">
        <v>187</v>
      </c>
      <c r="D6724" s="86" t="s">
        <v>208</v>
      </c>
      <c r="E6724" s="86" t="s">
        <v>2462</v>
      </c>
      <c r="F6724" s="86" t="s">
        <v>2462</v>
      </c>
      <c r="G6724" s="86" t="s">
        <v>2462</v>
      </c>
      <c r="H6724" s="144">
        <v>229</v>
      </c>
      <c r="I6724" s="86" t="s">
        <v>3356</v>
      </c>
      <c r="J6724" s="47" t="s">
        <v>3326</v>
      </c>
      <c r="K6724" s="47" t="str">
        <f t="shared" si="1039"/>
        <v>巨量引擎-游戏</v>
      </c>
      <c r="L6724" s="47" t="s">
        <v>35</v>
      </c>
      <c r="N6724" s="86" t="s">
        <v>3283</v>
      </c>
      <c r="O6724" s="47" t="s">
        <v>105</v>
      </c>
      <c r="P6724" s="47" t="s">
        <v>46</v>
      </c>
      <c r="Q6724" s="14">
        <v>0.06</v>
      </c>
      <c r="R6724" s="143"/>
      <c r="S6724" s="47"/>
      <c r="T6724" s="6">
        <v>0</v>
      </c>
      <c r="U6724" s="6">
        <v>0</v>
      </c>
      <c r="V6724" s="6">
        <v>2127.5700000000002</v>
      </c>
      <c r="W6724" s="6">
        <f t="shared" si="1040"/>
        <v>-2127.5700000000002</v>
      </c>
      <c r="X6724" s="6">
        <f t="shared" si="1041"/>
        <v>2007.1415094339623</v>
      </c>
      <c r="Y6724" s="13">
        <f t="shared" si="1045"/>
        <v>0</v>
      </c>
      <c r="Z6724" s="66">
        <v>0</v>
      </c>
      <c r="AA6724" s="6">
        <v>0</v>
      </c>
      <c r="AB6724" s="4">
        <f t="shared" si="1046"/>
        <v>2007.1415094339623</v>
      </c>
      <c r="AC6724" s="6">
        <f t="shared" si="1044"/>
        <v>120.42849056603791</v>
      </c>
      <c r="AD6724" s="6">
        <f t="shared" si="1042"/>
        <v>2127.5700000000002</v>
      </c>
      <c r="AE6724" s="14">
        <v>0.06</v>
      </c>
      <c r="AF6724" s="6">
        <f t="shared" si="1038"/>
        <v>127.6542</v>
      </c>
      <c r="AG6724" s="14">
        <v>0</v>
      </c>
      <c r="AH6724" s="64">
        <f t="shared" si="1043"/>
        <v>2127.5700000000002</v>
      </c>
      <c r="AJ6724" s="126" t="e">
        <v>#N/A</v>
      </c>
      <c r="AK6724" s="80">
        <f t="shared" si="1047"/>
        <v>0</v>
      </c>
      <c r="AL6724" s="85"/>
      <c r="AM6724" s="85"/>
    </row>
    <row r="6725" spans="1:39" s="86" customFormat="1" ht="13.25" hidden="1" customHeight="1" x14ac:dyDescent="0.3">
      <c r="A6725" s="89" t="s">
        <v>3805</v>
      </c>
      <c r="B6725" s="86" t="s">
        <v>35</v>
      </c>
      <c r="C6725" s="86" t="s">
        <v>164</v>
      </c>
      <c r="D6725" s="86" t="s">
        <v>174</v>
      </c>
      <c r="E6725" s="86" t="s">
        <v>176</v>
      </c>
      <c r="F6725" s="86" t="s">
        <v>176</v>
      </c>
      <c r="G6725" s="86" t="s">
        <v>176</v>
      </c>
      <c r="H6725" s="144">
        <v>229</v>
      </c>
      <c r="I6725" s="86" t="s">
        <v>3356</v>
      </c>
      <c r="J6725" s="47" t="s">
        <v>3326</v>
      </c>
      <c r="K6725" s="47" t="str">
        <f t="shared" si="1039"/>
        <v>巨量引擎-二类</v>
      </c>
      <c r="L6725" s="47" t="s">
        <v>35</v>
      </c>
      <c r="N6725" s="86" t="s">
        <v>3710</v>
      </c>
      <c r="O6725" s="47" t="s">
        <v>105</v>
      </c>
      <c r="P6725" s="47" t="s">
        <v>46</v>
      </c>
      <c r="Q6725" s="14">
        <v>0.02</v>
      </c>
      <c r="R6725" s="143"/>
      <c r="S6725" s="47"/>
      <c r="T6725" s="6">
        <v>0</v>
      </c>
      <c r="U6725" s="6">
        <v>0</v>
      </c>
      <c r="V6725" s="6">
        <v>0.01</v>
      </c>
      <c r="W6725" s="6">
        <f t="shared" si="1040"/>
        <v>-0.01</v>
      </c>
      <c r="X6725" s="6">
        <f t="shared" si="1041"/>
        <v>9.8039215686274508E-3</v>
      </c>
      <c r="Y6725" s="13">
        <f t="shared" si="1045"/>
        <v>0</v>
      </c>
      <c r="Z6725" s="66">
        <v>0</v>
      </c>
      <c r="AA6725" s="6">
        <v>0</v>
      </c>
      <c r="AB6725" s="4">
        <f t="shared" si="1046"/>
        <v>9.8039215686274508E-3</v>
      </c>
      <c r="AC6725" s="6">
        <f t="shared" si="1044"/>
        <v>1.9607843137254936E-4</v>
      </c>
      <c r="AD6725" s="6">
        <f t="shared" si="1042"/>
        <v>0.01</v>
      </c>
      <c r="AE6725" s="14">
        <v>0.06</v>
      </c>
      <c r="AF6725" s="6">
        <f t="shared" si="1038"/>
        <v>5.9999999999999995E-4</v>
      </c>
      <c r="AG6725" s="14">
        <v>0</v>
      </c>
      <c r="AH6725" s="64">
        <f t="shared" si="1043"/>
        <v>0.01</v>
      </c>
      <c r="AJ6725" s="126" t="e">
        <v>#N/A</v>
      </c>
      <c r="AK6725" s="80">
        <f t="shared" si="1047"/>
        <v>0</v>
      </c>
      <c r="AL6725" s="85"/>
      <c r="AM6725" s="85"/>
    </row>
    <row r="6726" spans="1:39" s="86" customFormat="1" ht="13.25" hidden="1" customHeight="1" x14ac:dyDescent="0.3">
      <c r="A6726" s="89" t="s">
        <v>3805</v>
      </c>
      <c r="B6726" s="86" t="s">
        <v>35</v>
      </c>
      <c r="C6726" s="86" t="s">
        <v>184</v>
      </c>
      <c r="D6726" s="86" t="s">
        <v>54</v>
      </c>
      <c r="E6726" s="86" t="s">
        <v>114</v>
      </c>
      <c r="F6726" s="86" t="s">
        <v>114</v>
      </c>
      <c r="G6726" s="86" t="s">
        <v>114</v>
      </c>
      <c r="H6726" s="144">
        <v>229</v>
      </c>
      <c r="I6726" s="86" t="s">
        <v>3356</v>
      </c>
      <c r="J6726" s="47" t="s">
        <v>3326</v>
      </c>
      <c r="K6726" s="47" t="str">
        <f t="shared" si="1039"/>
        <v>巨量引擎-三类</v>
      </c>
      <c r="L6726" s="47" t="s">
        <v>35</v>
      </c>
      <c r="N6726" s="86" t="s">
        <v>3712</v>
      </c>
      <c r="O6726" s="47" t="s">
        <v>105</v>
      </c>
      <c r="P6726" s="47" t="s">
        <v>46</v>
      </c>
      <c r="Q6726" s="14">
        <v>0.02</v>
      </c>
      <c r="R6726" s="143"/>
      <c r="S6726" s="47"/>
      <c r="T6726" s="6">
        <v>0</v>
      </c>
      <c r="U6726" s="6">
        <v>0</v>
      </c>
      <c r="V6726" s="6">
        <v>58.78</v>
      </c>
      <c r="W6726" s="6">
        <f t="shared" si="1040"/>
        <v>-58.78</v>
      </c>
      <c r="X6726" s="6">
        <f t="shared" si="1041"/>
        <v>57.627450980392155</v>
      </c>
      <c r="Y6726" s="13">
        <f t="shared" si="1045"/>
        <v>0</v>
      </c>
      <c r="Z6726" s="66">
        <v>0</v>
      </c>
      <c r="AA6726" s="6">
        <v>0</v>
      </c>
      <c r="AB6726" s="4">
        <f t="shared" si="1046"/>
        <v>57.627450980392155</v>
      </c>
      <c r="AC6726" s="6">
        <f t="shared" si="1044"/>
        <v>1.1525490196078465</v>
      </c>
      <c r="AD6726" s="6">
        <f t="shared" si="1042"/>
        <v>58.78</v>
      </c>
      <c r="AE6726" s="14">
        <v>0.06</v>
      </c>
      <c r="AF6726" s="6">
        <f t="shared" si="1038"/>
        <v>3.5268000000000002</v>
      </c>
      <c r="AG6726" s="14">
        <v>0</v>
      </c>
      <c r="AH6726" s="64">
        <f t="shared" si="1043"/>
        <v>58.78</v>
      </c>
      <c r="AJ6726" s="126" t="e">
        <v>#N/A</v>
      </c>
      <c r="AK6726" s="80">
        <f t="shared" si="1047"/>
        <v>0</v>
      </c>
      <c r="AL6726" s="85"/>
      <c r="AM6726" s="85"/>
    </row>
    <row r="6727" spans="1:39" s="86" customFormat="1" ht="13.25" hidden="1" customHeight="1" x14ac:dyDescent="0.3">
      <c r="A6727" s="89" t="s">
        <v>3805</v>
      </c>
      <c r="B6727" s="86" t="s">
        <v>35</v>
      </c>
      <c r="C6727" s="86" t="s">
        <v>187</v>
      </c>
      <c r="D6727" s="86" t="s">
        <v>188</v>
      </c>
      <c r="E6727" s="86" t="s">
        <v>3949</v>
      </c>
      <c r="F6727" s="86" t="s">
        <v>3949</v>
      </c>
      <c r="G6727" s="86" t="s">
        <v>3949</v>
      </c>
      <c r="H6727" s="144">
        <v>229</v>
      </c>
      <c r="I6727" s="86" t="s">
        <v>3356</v>
      </c>
      <c r="J6727" s="47" t="s">
        <v>3326</v>
      </c>
      <c r="K6727" s="47" t="str">
        <f t="shared" si="1039"/>
        <v>巨量引擎-游戏</v>
      </c>
      <c r="L6727" s="47" t="s">
        <v>35</v>
      </c>
      <c r="N6727" s="86" t="s">
        <v>3283</v>
      </c>
      <c r="O6727" s="47" t="s">
        <v>105</v>
      </c>
      <c r="P6727" s="47" t="s">
        <v>41</v>
      </c>
      <c r="Q6727" s="14">
        <v>0</v>
      </c>
      <c r="R6727" s="143"/>
      <c r="S6727" s="47"/>
      <c r="T6727" s="6">
        <v>0</v>
      </c>
      <c r="U6727" s="6">
        <v>0</v>
      </c>
      <c r="V6727" s="6">
        <v>62.260000000000005</v>
      </c>
      <c r="W6727" s="6">
        <f t="shared" si="1040"/>
        <v>-62.260000000000005</v>
      </c>
      <c r="X6727" s="6">
        <f t="shared" si="1041"/>
        <v>62.260000000000005</v>
      </c>
      <c r="Y6727" s="13">
        <f t="shared" si="1045"/>
        <v>0</v>
      </c>
      <c r="Z6727" s="66">
        <v>0</v>
      </c>
      <c r="AA6727" s="6">
        <v>0</v>
      </c>
      <c r="AB6727" s="4">
        <f t="shared" si="1046"/>
        <v>62.260000000000005</v>
      </c>
      <c r="AC6727" s="6">
        <f t="shared" si="1044"/>
        <v>0</v>
      </c>
      <c r="AD6727" s="6">
        <f t="shared" si="1042"/>
        <v>62.260000000000005</v>
      </c>
      <c r="AE6727" s="14">
        <v>0.06</v>
      </c>
      <c r="AF6727" s="6">
        <f t="shared" si="1038"/>
        <v>3.7356000000000003</v>
      </c>
      <c r="AG6727" s="14">
        <v>0</v>
      </c>
      <c r="AH6727" s="64">
        <f t="shared" si="1043"/>
        <v>62.260000000000005</v>
      </c>
      <c r="AJ6727" s="126" t="e">
        <v>#N/A</v>
      </c>
      <c r="AK6727" s="80">
        <f t="shared" si="1047"/>
        <v>0</v>
      </c>
      <c r="AL6727" s="85"/>
      <c r="AM6727" s="85"/>
    </row>
    <row r="6728" spans="1:39" s="86" customFormat="1" ht="13.25" hidden="1" customHeight="1" x14ac:dyDescent="0.3">
      <c r="A6728" s="89" t="s">
        <v>3805</v>
      </c>
      <c r="B6728" s="86" t="s">
        <v>35</v>
      </c>
      <c r="C6728" s="86" t="s">
        <v>187</v>
      </c>
      <c r="D6728" s="86" t="s">
        <v>208</v>
      </c>
      <c r="E6728" s="86" t="s">
        <v>2490</v>
      </c>
      <c r="F6728" s="86" t="s">
        <v>2490</v>
      </c>
      <c r="G6728" s="86" t="s">
        <v>2490</v>
      </c>
      <c r="H6728" s="144">
        <v>229</v>
      </c>
      <c r="I6728" s="86" t="s">
        <v>3356</v>
      </c>
      <c r="J6728" s="47" t="s">
        <v>3326</v>
      </c>
      <c r="K6728" s="47" t="str">
        <f t="shared" si="1039"/>
        <v>巨量引擎-游戏</v>
      </c>
      <c r="L6728" s="47" t="s">
        <v>35</v>
      </c>
      <c r="N6728" s="86" t="s">
        <v>3283</v>
      </c>
      <c r="O6728" s="47" t="s">
        <v>105</v>
      </c>
      <c r="P6728" s="47" t="s">
        <v>46</v>
      </c>
      <c r="Q6728" s="14">
        <v>0.04</v>
      </c>
      <c r="R6728" s="143"/>
      <c r="S6728" s="47"/>
      <c r="T6728" s="6">
        <v>0</v>
      </c>
      <c r="U6728" s="6">
        <v>0</v>
      </c>
      <c r="V6728" s="6">
        <v>354.75</v>
      </c>
      <c r="W6728" s="6">
        <f t="shared" si="1040"/>
        <v>-354.75</v>
      </c>
      <c r="X6728" s="6">
        <f t="shared" si="1041"/>
        <v>341.10576923076923</v>
      </c>
      <c r="Y6728" s="13">
        <f t="shared" si="1045"/>
        <v>0</v>
      </c>
      <c r="Z6728" s="66">
        <v>0</v>
      </c>
      <c r="AA6728" s="6">
        <v>0</v>
      </c>
      <c r="AB6728" s="4">
        <f t="shared" si="1046"/>
        <v>341.10576923076923</v>
      </c>
      <c r="AC6728" s="6">
        <f t="shared" si="1044"/>
        <v>13.644230769230774</v>
      </c>
      <c r="AD6728" s="6">
        <f t="shared" si="1042"/>
        <v>354.75</v>
      </c>
      <c r="AE6728" s="14">
        <v>0.06</v>
      </c>
      <c r="AF6728" s="6">
        <f t="shared" si="1038"/>
        <v>21.285</v>
      </c>
      <c r="AG6728" s="14">
        <v>0</v>
      </c>
      <c r="AH6728" s="64">
        <f t="shared" si="1043"/>
        <v>354.75</v>
      </c>
      <c r="AJ6728" s="126" t="e">
        <v>#N/A</v>
      </c>
      <c r="AK6728" s="80">
        <f t="shared" si="1047"/>
        <v>0</v>
      </c>
      <c r="AL6728" s="85"/>
      <c r="AM6728" s="85"/>
    </row>
    <row r="6729" spans="1:39" s="86" customFormat="1" ht="13.25" hidden="1" customHeight="1" x14ac:dyDescent="0.3">
      <c r="A6729" s="89" t="s">
        <v>3805</v>
      </c>
      <c r="B6729" s="86" t="s">
        <v>35</v>
      </c>
      <c r="C6729" s="86" t="s">
        <v>59</v>
      </c>
      <c r="D6729" s="86" t="s">
        <v>60</v>
      </c>
      <c r="E6729" s="86" t="s">
        <v>3971</v>
      </c>
      <c r="F6729" s="86" t="s">
        <v>3972</v>
      </c>
      <c r="G6729" s="86" t="s">
        <v>356</v>
      </c>
      <c r="H6729" s="144">
        <v>229</v>
      </c>
      <c r="I6729" s="86" t="s">
        <v>3356</v>
      </c>
      <c r="J6729" s="47" t="s">
        <v>3326</v>
      </c>
      <c r="K6729" s="47" t="str">
        <f t="shared" si="1039"/>
        <v>巨量引擎-游戏</v>
      </c>
      <c r="L6729" s="47" t="s">
        <v>35</v>
      </c>
      <c r="N6729" s="86" t="s">
        <v>3283</v>
      </c>
      <c r="O6729" s="47" t="s">
        <v>45</v>
      </c>
      <c r="P6729" s="47" t="s">
        <v>3667</v>
      </c>
      <c r="Q6729" s="14">
        <v>0.06</v>
      </c>
      <c r="R6729" s="143"/>
      <c r="S6729" s="47"/>
      <c r="T6729" s="6">
        <v>0</v>
      </c>
      <c r="U6729" s="6">
        <v>1196000</v>
      </c>
      <c r="V6729" s="6">
        <v>203010.49999999977</v>
      </c>
      <c r="W6729" s="6">
        <f t="shared" si="1040"/>
        <v>992989.50000000023</v>
      </c>
      <c r="X6729" s="6">
        <f t="shared" si="1041"/>
        <v>203010.49999999977</v>
      </c>
      <c r="Y6729" s="13">
        <f t="shared" si="1045"/>
        <v>0</v>
      </c>
      <c r="Z6729" s="66">
        <v>0</v>
      </c>
      <c r="AA6729" s="6">
        <v>0</v>
      </c>
      <c r="AB6729" s="4">
        <f t="shared" si="1046"/>
        <v>203010.49999999977</v>
      </c>
      <c r="AC6729" s="6">
        <f t="shared" si="1044"/>
        <v>12180.629999999986</v>
      </c>
      <c r="AD6729" s="6">
        <f t="shared" si="1042"/>
        <v>203010.49999999977</v>
      </c>
      <c r="AE6729" s="14">
        <v>0.06</v>
      </c>
      <c r="AF6729" s="6">
        <f t="shared" si="1038"/>
        <v>12180.629999999986</v>
      </c>
      <c r="AG6729" s="14">
        <v>0</v>
      </c>
      <c r="AH6729" s="64">
        <f t="shared" si="1043"/>
        <v>203010.49999999977</v>
      </c>
      <c r="AJ6729" s="126" t="e">
        <v>#N/A</v>
      </c>
      <c r="AK6729" s="80">
        <f t="shared" si="1047"/>
        <v>0</v>
      </c>
      <c r="AL6729" s="85"/>
      <c r="AM6729" s="85"/>
    </row>
    <row r="6730" spans="1:39" s="86" customFormat="1" ht="13.25" hidden="1" customHeight="1" x14ac:dyDescent="0.3">
      <c r="A6730" s="89" t="s">
        <v>3805</v>
      </c>
      <c r="B6730" s="86" t="s">
        <v>35</v>
      </c>
      <c r="C6730" s="86" t="s">
        <v>59</v>
      </c>
      <c r="D6730" s="86" t="s">
        <v>60</v>
      </c>
      <c r="E6730" s="86" t="s">
        <v>3971</v>
      </c>
      <c r="F6730" s="86" t="s">
        <v>3973</v>
      </c>
      <c r="G6730" s="86" t="s">
        <v>356</v>
      </c>
      <c r="H6730" s="144">
        <v>229</v>
      </c>
      <c r="I6730" s="86" t="s">
        <v>3356</v>
      </c>
      <c r="J6730" s="47" t="s">
        <v>3326</v>
      </c>
      <c r="K6730" s="47" t="str">
        <f t="shared" si="1039"/>
        <v>巨量引擎-游戏</v>
      </c>
      <c r="L6730" s="47" t="s">
        <v>35</v>
      </c>
      <c r="N6730" s="86" t="s">
        <v>3283</v>
      </c>
      <c r="O6730" s="47" t="s">
        <v>45</v>
      </c>
      <c r="P6730" s="47" t="s">
        <v>75</v>
      </c>
      <c r="Q6730" s="14">
        <v>0.06</v>
      </c>
      <c r="R6730" s="143"/>
      <c r="S6730" s="47"/>
      <c r="T6730" s="6">
        <v>0</v>
      </c>
      <c r="U6730" s="6">
        <v>1984858.04</v>
      </c>
      <c r="V6730" s="6">
        <v>1979149.79</v>
      </c>
      <c r="W6730" s="6">
        <f t="shared" si="1040"/>
        <v>5708.25</v>
      </c>
      <c r="X6730" s="6">
        <f t="shared" si="1041"/>
        <v>1979149.79</v>
      </c>
      <c r="Y6730" s="13">
        <f t="shared" si="1045"/>
        <v>0</v>
      </c>
      <c r="Z6730" s="14">
        <v>0</v>
      </c>
      <c r="AA6730" s="6">
        <v>0</v>
      </c>
      <c r="AB6730" s="4">
        <f t="shared" si="1046"/>
        <v>1979149.79</v>
      </c>
      <c r="AC6730" s="6">
        <f t="shared" si="1044"/>
        <v>118748.9874</v>
      </c>
      <c r="AD6730" s="6">
        <f t="shared" si="1042"/>
        <v>1979149.79</v>
      </c>
      <c r="AE6730" s="14">
        <v>0.06</v>
      </c>
      <c r="AF6730" s="6">
        <f t="shared" si="1038"/>
        <v>118748.9874</v>
      </c>
      <c r="AG6730" s="14">
        <v>0</v>
      </c>
      <c r="AH6730" s="64">
        <f t="shared" si="1043"/>
        <v>1979149.79</v>
      </c>
      <c r="AJ6730" s="126" t="e">
        <v>#N/A</v>
      </c>
      <c r="AK6730" s="80">
        <f t="shared" si="1047"/>
        <v>0</v>
      </c>
      <c r="AL6730" s="85"/>
      <c r="AM6730" s="85"/>
    </row>
    <row r="6731" spans="1:39" s="86" customFormat="1" ht="13.25" hidden="1" customHeight="1" x14ac:dyDescent="0.3">
      <c r="A6731" s="89" t="s">
        <v>3805</v>
      </c>
      <c r="B6731" s="86" t="s">
        <v>35</v>
      </c>
      <c r="C6731" s="86" t="s">
        <v>59</v>
      </c>
      <c r="D6731" s="86" t="s">
        <v>60</v>
      </c>
      <c r="E6731" s="86" t="s">
        <v>3971</v>
      </c>
      <c r="F6731" s="86" t="s">
        <v>3974</v>
      </c>
      <c r="G6731" s="86" t="s">
        <v>356</v>
      </c>
      <c r="H6731" s="143">
        <v>229</v>
      </c>
      <c r="I6731" s="86" t="s">
        <v>3356</v>
      </c>
      <c r="J6731" s="47" t="s">
        <v>3326</v>
      </c>
      <c r="K6731" s="47" t="str">
        <f t="shared" si="1039"/>
        <v>巨量引擎-游戏</v>
      </c>
      <c r="L6731" s="47" t="s">
        <v>35</v>
      </c>
      <c r="N6731" s="86" t="s">
        <v>3283</v>
      </c>
      <c r="O6731" s="47" t="s">
        <v>45</v>
      </c>
      <c r="P6731" s="47" t="s">
        <v>3667</v>
      </c>
      <c r="Q6731" s="14">
        <v>0.06</v>
      </c>
      <c r="R6731" s="143"/>
      <c r="S6731" s="47"/>
      <c r="T6731" s="6">
        <v>0</v>
      </c>
      <c r="U6731" s="6">
        <v>1530000</v>
      </c>
      <c r="V6731" s="6">
        <v>0</v>
      </c>
      <c r="W6731" s="6">
        <f t="shared" si="1040"/>
        <v>1530000</v>
      </c>
      <c r="X6731" s="6">
        <f t="shared" si="1041"/>
        <v>0</v>
      </c>
      <c r="Y6731" s="13">
        <f t="shared" si="1045"/>
        <v>0</v>
      </c>
      <c r="Z6731" s="14">
        <v>0</v>
      </c>
      <c r="AA6731" s="6">
        <v>0</v>
      </c>
      <c r="AB6731" s="4">
        <f t="shared" si="1046"/>
        <v>0</v>
      </c>
      <c r="AC6731" s="6">
        <f t="shared" si="1044"/>
        <v>0</v>
      </c>
      <c r="AD6731" s="6">
        <f t="shared" si="1042"/>
        <v>0</v>
      </c>
      <c r="AE6731" s="14">
        <v>0.06</v>
      </c>
      <c r="AF6731" s="6">
        <f t="shared" si="1038"/>
        <v>0</v>
      </c>
      <c r="AG6731" s="14">
        <v>0</v>
      </c>
      <c r="AH6731" s="64">
        <f t="shared" si="1043"/>
        <v>0</v>
      </c>
      <c r="AJ6731" s="126" t="e">
        <v>#N/A</v>
      </c>
      <c r="AK6731" s="80">
        <f t="shared" si="1047"/>
        <v>0</v>
      </c>
      <c r="AL6731" s="85"/>
      <c r="AM6731" s="85"/>
    </row>
    <row r="6732" spans="1:39" s="86" customFormat="1" ht="13.25" hidden="1" customHeight="1" x14ac:dyDescent="0.3">
      <c r="A6732" s="89" t="s">
        <v>3805</v>
      </c>
      <c r="B6732" s="86" t="s">
        <v>35</v>
      </c>
      <c r="C6732" s="86" t="s">
        <v>59</v>
      </c>
      <c r="D6732" s="86" t="s">
        <v>60</v>
      </c>
      <c r="E6732" s="86" t="s">
        <v>3975</v>
      </c>
      <c r="F6732" s="86" t="s">
        <v>3976</v>
      </c>
      <c r="G6732" s="86" t="s">
        <v>327</v>
      </c>
      <c r="H6732" s="143">
        <v>229</v>
      </c>
      <c r="I6732" s="86" t="s">
        <v>3356</v>
      </c>
      <c r="J6732" s="47" t="s">
        <v>3326</v>
      </c>
      <c r="K6732" s="47" t="str">
        <f t="shared" si="1039"/>
        <v>巨量引擎-游戏</v>
      </c>
      <c r="L6732" s="47" t="s">
        <v>35</v>
      </c>
      <c r="N6732" s="86" t="s">
        <v>3283</v>
      </c>
      <c r="O6732" s="47" t="s">
        <v>45</v>
      </c>
      <c r="P6732" s="47" t="s">
        <v>3667</v>
      </c>
      <c r="Q6732" s="14">
        <v>0.06</v>
      </c>
      <c r="R6732" s="143"/>
      <c r="S6732" s="47"/>
      <c r="T6732" s="6">
        <v>0</v>
      </c>
      <c r="U6732" s="6">
        <v>4062290.98</v>
      </c>
      <c r="V6732" s="6">
        <v>0</v>
      </c>
      <c r="W6732" s="6">
        <f t="shared" si="1040"/>
        <v>4062290.98</v>
      </c>
      <c r="X6732" s="6">
        <f t="shared" si="1041"/>
        <v>0</v>
      </c>
      <c r="Y6732" s="13">
        <f t="shared" si="1045"/>
        <v>0</v>
      </c>
      <c r="Z6732" s="14">
        <v>0</v>
      </c>
      <c r="AA6732" s="6">
        <v>0</v>
      </c>
      <c r="AB6732" s="4">
        <f t="shared" si="1046"/>
        <v>0</v>
      </c>
      <c r="AC6732" s="6">
        <f t="shared" si="1044"/>
        <v>0</v>
      </c>
      <c r="AD6732" s="6">
        <f t="shared" si="1042"/>
        <v>0</v>
      </c>
      <c r="AE6732" s="14">
        <v>0.06</v>
      </c>
      <c r="AF6732" s="6">
        <f t="shared" si="1038"/>
        <v>0</v>
      </c>
      <c r="AG6732" s="14">
        <v>0</v>
      </c>
      <c r="AH6732" s="64">
        <f t="shared" si="1043"/>
        <v>0</v>
      </c>
      <c r="AJ6732" s="126" t="e">
        <v>#N/A</v>
      </c>
      <c r="AK6732" s="80">
        <f t="shared" si="1047"/>
        <v>0</v>
      </c>
      <c r="AL6732" s="85"/>
      <c r="AM6732" s="85"/>
    </row>
    <row r="6733" spans="1:39" s="86" customFormat="1" ht="13.25" hidden="1" customHeight="1" x14ac:dyDescent="0.3">
      <c r="A6733" s="89" t="s">
        <v>3805</v>
      </c>
      <c r="B6733" s="86" t="s">
        <v>35</v>
      </c>
      <c r="C6733" s="86" t="s">
        <v>59</v>
      </c>
      <c r="D6733" s="86" t="s">
        <v>60</v>
      </c>
      <c r="E6733" s="86" t="s">
        <v>3247</v>
      </c>
      <c r="F6733" s="86" t="s">
        <v>3977</v>
      </c>
      <c r="G6733" s="86" t="s">
        <v>78</v>
      </c>
      <c r="H6733" s="144">
        <v>229</v>
      </c>
      <c r="I6733" s="86" t="s">
        <v>3356</v>
      </c>
      <c r="J6733" s="47" t="s">
        <v>3326</v>
      </c>
      <c r="K6733" s="47" t="str">
        <f t="shared" si="1039"/>
        <v>巨量引擎-游戏</v>
      </c>
      <c r="L6733" s="47" t="s">
        <v>35</v>
      </c>
      <c r="N6733" s="86" t="s">
        <v>3283</v>
      </c>
      <c r="O6733" s="47" t="s">
        <v>45</v>
      </c>
      <c r="P6733" s="47" t="s">
        <v>3645</v>
      </c>
      <c r="Q6733" s="14">
        <v>7.0000000000000007E-2</v>
      </c>
      <c r="R6733" s="143"/>
      <c r="S6733" s="47"/>
      <c r="T6733" s="6">
        <v>0</v>
      </c>
      <c r="U6733" s="6">
        <v>29438910</v>
      </c>
      <c r="V6733" s="6">
        <v>29426721.150000002</v>
      </c>
      <c r="W6733" s="6">
        <f t="shared" si="1040"/>
        <v>12188.849999997765</v>
      </c>
      <c r="X6733" s="6">
        <f t="shared" si="1041"/>
        <v>27501608.551401868</v>
      </c>
      <c r="Y6733" s="13">
        <f t="shared" si="1045"/>
        <v>0</v>
      </c>
      <c r="Z6733" s="14">
        <v>0</v>
      </c>
      <c r="AA6733" s="6">
        <v>0</v>
      </c>
      <c r="AB6733" s="4">
        <f t="shared" si="1046"/>
        <v>27501608.551401868</v>
      </c>
      <c r="AC6733" s="6">
        <f t="shared" si="1044"/>
        <v>1925112.5985981338</v>
      </c>
      <c r="AD6733" s="6">
        <f t="shared" si="1042"/>
        <v>29426721.150000002</v>
      </c>
      <c r="AE6733" s="14">
        <v>0.06</v>
      </c>
      <c r="AF6733" s="6">
        <f t="shared" si="1038"/>
        <v>1765603.2690000001</v>
      </c>
      <c r="AG6733" s="14">
        <v>0</v>
      </c>
      <c r="AH6733" s="64">
        <f t="shared" si="1043"/>
        <v>29426721.150000002</v>
      </c>
      <c r="AJ6733" s="126" t="e">
        <v>#N/A</v>
      </c>
      <c r="AK6733" s="80">
        <f t="shared" si="1047"/>
        <v>0</v>
      </c>
      <c r="AL6733" s="85"/>
      <c r="AM6733" s="85"/>
    </row>
    <row r="6734" spans="1:39" s="86" customFormat="1" ht="13.25" hidden="1" customHeight="1" x14ac:dyDescent="0.3">
      <c r="A6734" s="89" t="s">
        <v>3805</v>
      </c>
      <c r="B6734" s="86" t="s">
        <v>35</v>
      </c>
      <c r="C6734" s="86" t="s">
        <v>59</v>
      </c>
      <c r="D6734" s="86" t="s">
        <v>60</v>
      </c>
      <c r="E6734" s="86" t="s">
        <v>2570</v>
      </c>
      <c r="F6734" s="86" t="s">
        <v>2571</v>
      </c>
      <c r="G6734" s="86" t="s">
        <v>2570</v>
      </c>
      <c r="H6734" s="144">
        <v>72</v>
      </c>
      <c r="I6734" s="86" t="s">
        <v>2572</v>
      </c>
      <c r="J6734" s="1" t="s">
        <v>3327</v>
      </c>
      <c r="K6734" s="1" t="s">
        <v>3284</v>
      </c>
      <c r="L6734" s="1" t="s">
        <v>35</v>
      </c>
      <c r="M6734" s="86" t="s">
        <v>3431</v>
      </c>
      <c r="O6734" s="47" t="s">
        <v>410</v>
      </c>
      <c r="P6734" s="47" t="s">
        <v>41</v>
      </c>
      <c r="Q6734" s="14">
        <v>0</v>
      </c>
      <c r="R6734" s="143">
        <v>600000916</v>
      </c>
      <c r="S6734" s="47"/>
      <c r="T6734" s="6">
        <v>2503230.9500000011</v>
      </c>
      <c r="U6734" s="6">
        <v>8363500</v>
      </c>
      <c r="V6734" s="6">
        <v>7514229.6600000001</v>
      </c>
      <c r="W6734" s="6">
        <f t="shared" si="1040"/>
        <v>3352501.290000001</v>
      </c>
      <c r="X6734" s="6">
        <f t="shared" si="1041"/>
        <v>7514229.6600000001</v>
      </c>
      <c r="Y6734" s="13">
        <f t="shared" si="1045"/>
        <v>0</v>
      </c>
      <c r="Z6734" s="66">
        <v>0</v>
      </c>
      <c r="AA6734" s="6">
        <v>0</v>
      </c>
      <c r="AB6734" s="4">
        <f t="shared" si="1046"/>
        <v>7514229.6600000001</v>
      </c>
      <c r="AC6734" s="6">
        <f t="shared" si="1044"/>
        <v>0</v>
      </c>
      <c r="AD6734" s="6">
        <f>V6734</f>
        <v>7514229.6600000001</v>
      </c>
      <c r="AE6734" s="14">
        <f>VLOOKUP(I6734,[2]媒体政策预估表!A:N,MATCH(O6734,[2]媒体政策预估表!$A$2:$M$2,0),0)</f>
        <v>0</v>
      </c>
      <c r="AF6734" s="6">
        <f t="shared" si="1038"/>
        <v>0</v>
      </c>
      <c r="AG6734" s="14">
        <v>0</v>
      </c>
      <c r="AH6734" s="64">
        <f>V6734</f>
        <v>7514229.6600000001</v>
      </c>
      <c r="AJ6734" s="126" t="e">
        <v>#N/A</v>
      </c>
      <c r="AK6734" s="80">
        <f t="shared" si="1047"/>
        <v>0</v>
      </c>
      <c r="AL6734" s="85"/>
      <c r="AM6734" s="85"/>
    </row>
    <row r="6735" spans="1:39" s="86" customFormat="1" ht="13.25" hidden="1" customHeight="1" x14ac:dyDescent="0.3">
      <c r="A6735" s="89" t="s">
        <v>3978</v>
      </c>
      <c r="B6735" s="86" t="s">
        <v>35</v>
      </c>
      <c r="C6735" s="86" t="s">
        <v>59</v>
      </c>
      <c r="D6735" s="86" t="s">
        <v>60</v>
      </c>
      <c r="E6735" s="86" t="s">
        <v>77</v>
      </c>
      <c r="F6735" s="86" t="s">
        <v>77</v>
      </c>
      <c r="G6735" s="86" t="s">
        <v>77</v>
      </c>
      <c r="H6735" s="144">
        <v>72</v>
      </c>
      <c r="I6735" s="86" t="s">
        <v>2572</v>
      </c>
      <c r="J6735" s="1" t="s">
        <v>3327</v>
      </c>
      <c r="K6735" s="1" t="s">
        <v>3284</v>
      </c>
      <c r="L6735" s="1" t="s">
        <v>35</v>
      </c>
      <c r="M6735" s="86" t="s">
        <v>307</v>
      </c>
      <c r="O6735" s="47" t="s">
        <v>410</v>
      </c>
      <c r="P6735" s="47" t="s">
        <v>41</v>
      </c>
      <c r="Q6735" s="14">
        <v>0</v>
      </c>
      <c r="R6735" s="143">
        <v>400003931</v>
      </c>
      <c r="S6735" s="47"/>
      <c r="T6735" s="6">
        <v>3326675.9800000009</v>
      </c>
      <c r="U6735" s="6">
        <v>2000000</v>
      </c>
      <c r="V6735" s="6">
        <v>1903205.18</v>
      </c>
      <c r="W6735" s="6">
        <f t="shared" si="1040"/>
        <v>3423470.8000000007</v>
      </c>
      <c r="X6735" s="6">
        <f t="shared" si="1041"/>
        <v>1903205.18</v>
      </c>
      <c r="Y6735" s="13">
        <f t="shared" si="1045"/>
        <v>0</v>
      </c>
      <c r="Z6735" s="66">
        <v>0</v>
      </c>
      <c r="AA6735" s="6">
        <v>0</v>
      </c>
      <c r="AB6735" s="4">
        <f t="shared" si="1046"/>
        <v>1903205.18</v>
      </c>
      <c r="AC6735" s="6">
        <f t="shared" si="1044"/>
        <v>0</v>
      </c>
      <c r="AD6735" s="6">
        <f t="shared" ref="AD6735:AD6798" si="1048">V6735</f>
        <v>1903205.18</v>
      </c>
      <c r="AE6735" s="14">
        <f>VLOOKUP(I6735,[2]媒体政策预估表!A:N,MATCH(O6735,[2]媒体政策预估表!$A$2:$M$2,0),0)</f>
        <v>0</v>
      </c>
      <c r="AF6735" s="6">
        <f t="shared" si="1038"/>
        <v>0</v>
      </c>
      <c r="AG6735" s="14">
        <v>0</v>
      </c>
      <c r="AH6735" s="64">
        <f t="shared" ref="AH6735:AH6798" si="1049">V6735</f>
        <v>1903205.18</v>
      </c>
      <c r="AJ6735" s="126" t="e">
        <v>#N/A</v>
      </c>
      <c r="AK6735" s="80">
        <f t="shared" si="1047"/>
        <v>0</v>
      </c>
      <c r="AL6735" s="85"/>
      <c r="AM6735" s="85"/>
    </row>
    <row r="6736" spans="1:39" s="86" customFormat="1" ht="13.25" hidden="1" customHeight="1" x14ac:dyDescent="0.3">
      <c r="A6736" s="89" t="s">
        <v>3792</v>
      </c>
      <c r="B6736" s="86" t="s">
        <v>35</v>
      </c>
      <c r="C6736" s="86" t="s">
        <v>59</v>
      </c>
      <c r="D6736" s="86" t="s">
        <v>60</v>
      </c>
      <c r="E6736" s="86" t="s">
        <v>2588</v>
      </c>
      <c r="F6736" s="86" t="s">
        <v>2588</v>
      </c>
      <c r="G6736" s="86" t="s">
        <v>2588</v>
      </c>
      <c r="H6736" s="144">
        <v>72</v>
      </c>
      <c r="I6736" s="86" t="s">
        <v>2572</v>
      </c>
      <c r="J6736" s="1" t="s">
        <v>3327</v>
      </c>
      <c r="K6736" s="1" t="s">
        <v>3284</v>
      </c>
      <c r="L6736" s="1" t="s">
        <v>35</v>
      </c>
      <c r="M6736" s="86" t="s">
        <v>896</v>
      </c>
      <c r="O6736" s="47" t="s">
        <v>410</v>
      </c>
      <c r="P6736" s="47" t="s">
        <v>41</v>
      </c>
      <c r="Q6736" s="14">
        <v>0</v>
      </c>
      <c r="R6736" s="143">
        <v>600000916</v>
      </c>
      <c r="S6736" s="47"/>
      <c r="T6736" s="6">
        <v>0</v>
      </c>
      <c r="U6736" s="6">
        <v>323490</v>
      </c>
      <c r="V6736" s="6">
        <v>323490</v>
      </c>
      <c r="W6736" s="6">
        <f t="shared" si="1040"/>
        <v>0</v>
      </c>
      <c r="X6736" s="6">
        <f t="shared" si="1041"/>
        <v>323490</v>
      </c>
      <c r="Y6736" s="13">
        <f t="shared" si="1045"/>
        <v>0</v>
      </c>
      <c r="Z6736" s="66">
        <v>0</v>
      </c>
      <c r="AA6736" s="6">
        <v>0</v>
      </c>
      <c r="AB6736" s="4">
        <f t="shared" si="1046"/>
        <v>323490</v>
      </c>
      <c r="AC6736" s="6">
        <f t="shared" si="1044"/>
        <v>0</v>
      </c>
      <c r="AD6736" s="6">
        <f t="shared" si="1048"/>
        <v>323490</v>
      </c>
      <c r="AE6736" s="14">
        <f>VLOOKUP(I6736,[2]媒体政策预估表!A:N,MATCH(O6736,[2]媒体政策预估表!$A$2:$M$2,0),0)</f>
        <v>0</v>
      </c>
      <c r="AF6736" s="6">
        <f t="shared" si="1038"/>
        <v>0</v>
      </c>
      <c r="AG6736" s="14">
        <v>0</v>
      </c>
      <c r="AH6736" s="64">
        <f t="shared" si="1049"/>
        <v>323490</v>
      </c>
      <c r="AJ6736" s="126" t="e">
        <v>#N/A</v>
      </c>
      <c r="AK6736" s="80">
        <f t="shared" si="1047"/>
        <v>0</v>
      </c>
      <c r="AL6736" s="85"/>
      <c r="AM6736" s="85"/>
    </row>
    <row r="6737" spans="1:39" s="86" customFormat="1" ht="13.25" hidden="1" customHeight="1" x14ac:dyDescent="0.3">
      <c r="A6737" s="89" t="s">
        <v>3978</v>
      </c>
      <c r="B6737" s="86" t="s">
        <v>35</v>
      </c>
      <c r="C6737" s="86" t="s">
        <v>59</v>
      </c>
      <c r="D6737" s="86" t="s">
        <v>60</v>
      </c>
      <c r="E6737" s="86" t="s">
        <v>3434</v>
      </c>
      <c r="F6737" s="86" t="s">
        <v>3434</v>
      </c>
      <c r="G6737" s="86" t="s">
        <v>3434</v>
      </c>
      <c r="H6737" s="144">
        <v>72</v>
      </c>
      <c r="I6737" s="86" t="s">
        <v>2572</v>
      </c>
      <c r="J6737" s="1" t="s">
        <v>3327</v>
      </c>
      <c r="K6737" s="1" t="s">
        <v>3284</v>
      </c>
      <c r="L6737" s="1" t="s">
        <v>35</v>
      </c>
      <c r="M6737" s="86" t="s">
        <v>896</v>
      </c>
      <c r="O6737" s="47" t="s">
        <v>410</v>
      </c>
      <c r="P6737" s="47" t="s">
        <v>41</v>
      </c>
      <c r="Q6737" s="14">
        <v>0</v>
      </c>
      <c r="R6737" s="143">
        <v>600000916</v>
      </c>
      <c r="S6737" s="47"/>
      <c r="T6737" s="6">
        <v>0</v>
      </c>
      <c r="U6737" s="6">
        <v>39970</v>
      </c>
      <c r="V6737" s="6">
        <v>39970</v>
      </c>
      <c r="W6737" s="6">
        <f t="shared" si="1040"/>
        <v>0</v>
      </c>
      <c r="X6737" s="6">
        <f t="shared" si="1041"/>
        <v>39970</v>
      </c>
      <c r="Y6737" s="13">
        <f t="shared" si="1045"/>
        <v>0</v>
      </c>
      <c r="Z6737" s="66">
        <v>0</v>
      </c>
      <c r="AA6737" s="6">
        <v>0</v>
      </c>
      <c r="AB6737" s="4">
        <f t="shared" si="1046"/>
        <v>39970</v>
      </c>
      <c r="AC6737" s="6">
        <f t="shared" si="1044"/>
        <v>0</v>
      </c>
      <c r="AD6737" s="6">
        <f t="shared" si="1048"/>
        <v>39970</v>
      </c>
      <c r="AE6737" s="14">
        <f>VLOOKUP(I6737,[2]媒体政策预估表!A:N,MATCH(O6737,[2]媒体政策预估表!$A$2:$M$2,0),0)</f>
        <v>0</v>
      </c>
      <c r="AF6737" s="6">
        <f t="shared" si="1038"/>
        <v>0</v>
      </c>
      <c r="AG6737" s="14">
        <v>0</v>
      </c>
      <c r="AH6737" s="64">
        <f t="shared" si="1049"/>
        <v>39970</v>
      </c>
      <c r="AJ6737" s="126" t="e">
        <v>#N/A</v>
      </c>
      <c r="AK6737" s="80">
        <f t="shared" si="1047"/>
        <v>0</v>
      </c>
      <c r="AL6737" s="85"/>
      <c r="AM6737" s="85"/>
    </row>
    <row r="6738" spans="1:39" s="86" customFormat="1" ht="13.25" hidden="1" customHeight="1" x14ac:dyDescent="0.3">
      <c r="A6738" s="89" t="s">
        <v>3978</v>
      </c>
      <c r="B6738" s="86" t="s">
        <v>35</v>
      </c>
      <c r="C6738" s="86" t="s">
        <v>36</v>
      </c>
      <c r="D6738" s="86" t="s">
        <v>185</v>
      </c>
      <c r="E6738" s="86" t="s">
        <v>186</v>
      </c>
      <c r="F6738" s="86" t="s">
        <v>186</v>
      </c>
      <c r="G6738" s="86" t="s">
        <v>186</v>
      </c>
      <c r="H6738" s="144">
        <v>72</v>
      </c>
      <c r="I6738" s="86" t="s">
        <v>2572</v>
      </c>
      <c r="J6738" s="1" t="s">
        <v>3327</v>
      </c>
      <c r="K6738" s="1" t="s">
        <v>3284</v>
      </c>
      <c r="L6738" s="1" t="s">
        <v>35</v>
      </c>
      <c r="M6738" s="86" t="s">
        <v>2584</v>
      </c>
      <c r="O6738" s="47" t="s">
        <v>410</v>
      </c>
      <c r="P6738" s="47" t="s">
        <v>41</v>
      </c>
      <c r="Q6738" s="14">
        <v>0</v>
      </c>
      <c r="R6738" s="143">
        <v>400002932</v>
      </c>
      <c r="S6738" s="47"/>
      <c r="T6738" s="6">
        <v>4181563.970000003</v>
      </c>
      <c r="U6738" s="6">
        <v>-4181199.52</v>
      </c>
      <c r="V6738" s="6">
        <v>364.45</v>
      </c>
      <c r="W6738" s="6">
        <f t="shared" si="1040"/>
        <v>2.9802436074533034E-9</v>
      </c>
      <c r="X6738" s="6">
        <f t="shared" si="1041"/>
        <v>364.45</v>
      </c>
      <c r="Y6738" s="13">
        <f t="shared" si="1045"/>
        <v>0</v>
      </c>
      <c r="Z6738" s="66">
        <v>0</v>
      </c>
      <c r="AA6738" s="6">
        <v>0</v>
      </c>
      <c r="AB6738" s="4">
        <f t="shared" si="1046"/>
        <v>364.45</v>
      </c>
      <c r="AC6738" s="6">
        <f t="shared" si="1044"/>
        <v>0</v>
      </c>
      <c r="AD6738" s="6">
        <f t="shared" si="1048"/>
        <v>364.45</v>
      </c>
      <c r="AE6738" s="14">
        <f>VLOOKUP(I6738,[2]媒体政策预估表!A:N,MATCH(O6738,[2]媒体政策预估表!$A$2:$M$2,0),0)</f>
        <v>0</v>
      </c>
      <c r="AF6738" s="6">
        <f t="shared" si="1038"/>
        <v>0</v>
      </c>
      <c r="AG6738" s="14">
        <v>0</v>
      </c>
      <c r="AH6738" s="64">
        <f t="shared" si="1049"/>
        <v>364.45</v>
      </c>
      <c r="AJ6738" s="126" t="e">
        <v>#N/A</v>
      </c>
      <c r="AK6738" s="80">
        <f t="shared" si="1047"/>
        <v>0</v>
      </c>
      <c r="AL6738" s="85"/>
      <c r="AM6738" s="85"/>
    </row>
    <row r="6739" spans="1:39" s="86" customFormat="1" ht="13.25" hidden="1" customHeight="1" x14ac:dyDescent="0.3">
      <c r="A6739" s="89" t="s">
        <v>3792</v>
      </c>
      <c r="B6739" s="86" t="s">
        <v>35</v>
      </c>
      <c r="C6739" s="86" t="s">
        <v>65</v>
      </c>
      <c r="D6739" s="86" t="s">
        <v>125</v>
      </c>
      <c r="E6739" s="86" t="s">
        <v>2579</v>
      </c>
      <c r="F6739" s="86" t="s">
        <v>2579</v>
      </c>
      <c r="G6739" s="86" t="s">
        <v>2579</v>
      </c>
      <c r="H6739" s="144">
        <v>72</v>
      </c>
      <c r="I6739" s="86" t="s">
        <v>2572</v>
      </c>
      <c r="J6739" s="1" t="s">
        <v>3327</v>
      </c>
      <c r="K6739" s="1" t="s">
        <v>3284</v>
      </c>
      <c r="L6739" s="1" t="s">
        <v>35</v>
      </c>
      <c r="M6739" s="86" t="s">
        <v>2579</v>
      </c>
      <c r="O6739" s="47" t="s">
        <v>410</v>
      </c>
      <c r="P6739" s="47" t="s">
        <v>41</v>
      </c>
      <c r="Q6739" s="14">
        <v>0</v>
      </c>
      <c r="R6739" s="143">
        <v>600001287</v>
      </c>
      <c r="S6739" s="47"/>
      <c r="T6739" s="6">
        <v>156562.95000000001</v>
      </c>
      <c r="U6739" s="6">
        <v>77669.899999999994</v>
      </c>
      <c r="V6739" s="6">
        <v>86343.87</v>
      </c>
      <c r="W6739" s="6">
        <f t="shared" si="1040"/>
        <v>147888.98000000001</v>
      </c>
      <c r="X6739" s="6">
        <f t="shared" si="1041"/>
        <v>86343.87</v>
      </c>
      <c r="Y6739" s="13">
        <f t="shared" si="1045"/>
        <v>0</v>
      </c>
      <c r="Z6739" s="66">
        <v>0.03</v>
      </c>
      <c r="AA6739" s="6">
        <f>X6739*Z6739</f>
        <v>2590.3160999999996</v>
      </c>
      <c r="AB6739" s="4">
        <f t="shared" si="1046"/>
        <v>88934.186099999992</v>
      </c>
      <c r="AC6739" s="6">
        <f t="shared" si="1044"/>
        <v>0</v>
      </c>
      <c r="AD6739" s="6">
        <f t="shared" si="1048"/>
        <v>86343.87</v>
      </c>
      <c r="AE6739" s="14">
        <f>VLOOKUP(I6739,[2]媒体政策预估表!A:N,MATCH(O6739,[2]媒体政策预估表!$A$2:$M$2,0),0)</f>
        <v>0</v>
      </c>
      <c r="AF6739" s="6">
        <f t="shared" si="1038"/>
        <v>0</v>
      </c>
      <c r="AG6739" s="14">
        <v>0</v>
      </c>
      <c r="AH6739" s="64">
        <f t="shared" si="1049"/>
        <v>86343.87</v>
      </c>
      <c r="AJ6739" s="126" t="e">
        <v>#N/A</v>
      </c>
      <c r="AK6739" s="80">
        <f t="shared" si="1047"/>
        <v>0</v>
      </c>
      <c r="AL6739" s="85"/>
      <c r="AM6739" s="85"/>
    </row>
    <row r="6740" spans="1:39" s="86" customFormat="1" ht="13.25" hidden="1" customHeight="1" x14ac:dyDescent="0.3">
      <c r="A6740" s="89" t="s">
        <v>3978</v>
      </c>
      <c r="B6740" s="86" t="s">
        <v>35</v>
      </c>
      <c r="C6740" s="86" t="s">
        <v>65</v>
      </c>
      <c r="D6740" s="86" t="s">
        <v>125</v>
      </c>
      <c r="E6740" s="86" t="s">
        <v>2579</v>
      </c>
      <c r="F6740" s="86" t="s">
        <v>2579</v>
      </c>
      <c r="G6740" s="86" t="s">
        <v>2579</v>
      </c>
      <c r="H6740" s="144">
        <v>72</v>
      </c>
      <c r="I6740" s="86" t="s">
        <v>2572</v>
      </c>
      <c r="J6740" s="1" t="s">
        <v>3327</v>
      </c>
      <c r="K6740" s="1" t="s">
        <v>3284</v>
      </c>
      <c r="L6740" s="1" t="s">
        <v>35</v>
      </c>
      <c r="M6740" s="86" t="s">
        <v>2580</v>
      </c>
      <c r="O6740" s="47" t="s">
        <v>410</v>
      </c>
      <c r="P6740" s="47" t="s">
        <v>41</v>
      </c>
      <c r="Q6740" s="14">
        <v>0</v>
      </c>
      <c r="R6740" s="143">
        <v>600004415</v>
      </c>
      <c r="S6740" s="47"/>
      <c r="T6740" s="6">
        <v>48649.539999999979</v>
      </c>
      <c r="U6740" s="6">
        <v>194174.76</v>
      </c>
      <c r="V6740" s="6">
        <v>132076.57999999999</v>
      </c>
      <c r="W6740" s="6">
        <f t="shared" si="1040"/>
        <v>110747.72</v>
      </c>
      <c r="X6740" s="6">
        <f t="shared" si="1041"/>
        <v>132076.57999999999</v>
      </c>
      <c r="Y6740" s="13">
        <f t="shared" si="1045"/>
        <v>0</v>
      </c>
      <c r="Z6740" s="66">
        <v>0.03</v>
      </c>
      <c r="AA6740" s="6">
        <f t="shared" ref="AA6740:AA6741" si="1050">X6740*Z6740</f>
        <v>3962.2973999999995</v>
      </c>
      <c r="AB6740" s="4">
        <f t="shared" si="1046"/>
        <v>136038.8774</v>
      </c>
      <c r="AC6740" s="6">
        <f t="shared" si="1044"/>
        <v>0</v>
      </c>
      <c r="AD6740" s="6">
        <f t="shared" si="1048"/>
        <v>132076.57999999999</v>
      </c>
      <c r="AE6740" s="14">
        <f>VLOOKUP(I6740,[2]媒体政策预估表!A:N,MATCH(O6740,[2]媒体政策预估表!$A$2:$M$2,0),0)</f>
        <v>0</v>
      </c>
      <c r="AF6740" s="6">
        <f t="shared" si="1038"/>
        <v>0</v>
      </c>
      <c r="AG6740" s="14">
        <v>0</v>
      </c>
      <c r="AH6740" s="64">
        <f t="shared" si="1049"/>
        <v>132076.57999999999</v>
      </c>
      <c r="AJ6740" s="126" t="e">
        <v>#N/A</v>
      </c>
      <c r="AK6740" s="80">
        <f t="shared" si="1047"/>
        <v>0</v>
      </c>
      <c r="AL6740" s="85"/>
      <c r="AM6740" s="85"/>
    </row>
    <row r="6741" spans="1:39" s="86" customFormat="1" ht="13.25" hidden="1" customHeight="1" x14ac:dyDescent="0.3">
      <c r="A6741" s="89" t="s">
        <v>3792</v>
      </c>
      <c r="B6741" s="86" t="s">
        <v>35</v>
      </c>
      <c r="C6741" s="86" t="s">
        <v>65</v>
      </c>
      <c r="D6741" s="86" t="s">
        <v>1291</v>
      </c>
      <c r="E6741" s="86" t="s">
        <v>3433</v>
      </c>
      <c r="F6741" s="86" t="s">
        <v>3433</v>
      </c>
      <c r="G6741" s="86" t="s">
        <v>3433</v>
      </c>
      <c r="H6741" s="144">
        <v>72</v>
      </c>
      <c r="I6741" s="86" t="s">
        <v>2572</v>
      </c>
      <c r="J6741" s="1" t="s">
        <v>3327</v>
      </c>
      <c r="K6741" s="1" t="s">
        <v>3284</v>
      </c>
      <c r="L6741" s="1" t="s">
        <v>35</v>
      </c>
      <c r="M6741" s="86" t="s">
        <v>3433</v>
      </c>
      <c r="O6741" s="47" t="s">
        <v>410</v>
      </c>
      <c r="P6741" s="47" t="s">
        <v>41</v>
      </c>
      <c r="Q6741" s="14">
        <v>0</v>
      </c>
      <c r="R6741" s="143">
        <v>600004856</v>
      </c>
      <c r="S6741" s="47"/>
      <c r="T6741" s="6">
        <v>19417.48</v>
      </c>
      <c r="U6741" s="6">
        <v>9708.74</v>
      </c>
      <c r="V6741" s="6">
        <v>17917.830000000002</v>
      </c>
      <c r="W6741" s="6">
        <f t="shared" si="1040"/>
        <v>11208.39</v>
      </c>
      <c r="X6741" s="6">
        <f t="shared" si="1041"/>
        <v>17917.830000000002</v>
      </c>
      <c r="Y6741" s="13">
        <f t="shared" si="1045"/>
        <v>0</v>
      </c>
      <c r="Z6741" s="66">
        <v>0.03</v>
      </c>
      <c r="AA6741" s="6">
        <f t="shared" si="1050"/>
        <v>537.53489999999999</v>
      </c>
      <c r="AB6741" s="4">
        <f t="shared" si="1046"/>
        <v>18455.3649</v>
      </c>
      <c r="AC6741" s="6">
        <f t="shared" si="1044"/>
        <v>0</v>
      </c>
      <c r="AD6741" s="6">
        <f t="shared" si="1048"/>
        <v>17917.830000000002</v>
      </c>
      <c r="AE6741" s="14">
        <f>VLOOKUP(I6741,[2]媒体政策预估表!A:N,MATCH(O6741,[2]媒体政策预估表!$A$2:$M$2,0),0)</f>
        <v>0</v>
      </c>
      <c r="AF6741" s="6">
        <f t="shared" si="1038"/>
        <v>0</v>
      </c>
      <c r="AG6741" s="14">
        <v>0</v>
      </c>
      <c r="AH6741" s="64">
        <f t="shared" si="1049"/>
        <v>17917.830000000002</v>
      </c>
      <c r="AJ6741" s="126" t="e">
        <v>#N/A</v>
      </c>
      <c r="AK6741" s="80">
        <f t="shared" si="1047"/>
        <v>0</v>
      </c>
      <c r="AL6741" s="85"/>
      <c r="AM6741" s="85"/>
    </row>
    <row r="6742" spans="1:39" s="86" customFormat="1" ht="13.25" hidden="1" customHeight="1" x14ac:dyDescent="0.3">
      <c r="A6742" s="89" t="s">
        <v>3978</v>
      </c>
      <c r="B6742" s="86" t="s">
        <v>35</v>
      </c>
      <c r="C6742" s="86" t="s">
        <v>144</v>
      </c>
      <c r="D6742" s="86" t="s">
        <v>145</v>
      </c>
      <c r="E6742" s="86" t="s">
        <v>1457</v>
      </c>
      <c r="F6742" s="86" t="s">
        <v>1458</v>
      </c>
      <c r="G6742" s="86" t="s">
        <v>1457</v>
      </c>
      <c r="H6742" s="144">
        <v>72</v>
      </c>
      <c r="I6742" s="86" t="s">
        <v>2572</v>
      </c>
      <c r="J6742" s="1" t="s">
        <v>3327</v>
      </c>
      <c r="K6742" s="1" t="s">
        <v>3284</v>
      </c>
      <c r="L6742" s="1" t="s">
        <v>35</v>
      </c>
      <c r="M6742" s="86" t="s">
        <v>1457</v>
      </c>
      <c r="O6742" s="47" t="s">
        <v>410</v>
      </c>
      <c r="P6742" s="47" t="s">
        <v>41</v>
      </c>
      <c r="Q6742" s="14">
        <v>0</v>
      </c>
      <c r="R6742" s="143">
        <v>400002162</v>
      </c>
      <c r="S6742" s="47"/>
      <c r="T6742" s="6">
        <v>13175.779999999995</v>
      </c>
      <c r="U6742" s="6">
        <v>38000</v>
      </c>
      <c r="V6742" s="6">
        <v>29773.83</v>
      </c>
      <c r="W6742" s="6">
        <f t="shared" si="1040"/>
        <v>21401.949999999997</v>
      </c>
      <c r="X6742" s="6">
        <f t="shared" si="1041"/>
        <v>29773.83</v>
      </c>
      <c r="Y6742" s="13">
        <f t="shared" si="1045"/>
        <v>0</v>
      </c>
      <c r="Z6742" s="66">
        <v>0.05</v>
      </c>
      <c r="AA6742" s="6">
        <f>X6742/(1-Z6742)*Z6742</f>
        <v>1567.0436842105264</v>
      </c>
      <c r="AB6742" s="4">
        <f t="shared" si="1046"/>
        <v>31340.873684210528</v>
      </c>
      <c r="AC6742" s="6">
        <f t="shared" si="1044"/>
        <v>0</v>
      </c>
      <c r="AD6742" s="6">
        <f t="shared" si="1048"/>
        <v>29773.83</v>
      </c>
      <c r="AE6742" s="14">
        <f>VLOOKUP(I6742,[2]媒体政策预估表!A:N,MATCH(O6742,[2]媒体政策预估表!$A$2:$M$2,0),0)</f>
        <v>0</v>
      </c>
      <c r="AF6742" s="6">
        <f t="shared" si="1038"/>
        <v>0</v>
      </c>
      <c r="AG6742" s="14">
        <v>0</v>
      </c>
      <c r="AH6742" s="64">
        <f t="shared" si="1049"/>
        <v>29773.83</v>
      </c>
      <c r="AJ6742" s="126" t="e">
        <v>#N/A</v>
      </c>
      <c r="AK6742" s="80">
        <f t="shared" si="1047"/>
        <v>0</v>
      </c>
      <c r="AL6742" s="85"/>
      <c r="AM6742" s="85"/>
    </row>
    <row r="6743" spans="1:39" s="86" customFormat="1" ht="13.25" hidden="1" customHeight="1" x14ac:dyDescent="0.3">
      <c r="A6743" s="89" t="s">
        <v>3978</v>
      </c>
      <c r="B6743" s="86" t="s">
        <v>35</v>
      </c>
      <c r="C6743" s="86" t="s">
        <v>144</v>
      </c>
      <c r="D6743" s="86" t="s">
        <v>152</v>
      </c>
      <c r="E6743" s="86" t="s">
        <v>1468</v>
      </c>
      <c r="F6743" s="86" t="s">
        <v>1468</v>
      </c>
      <c r="G6743" s="86" t="s">
        <v>1468</v>
      </c>
      <c r="H6743" s="144">
        <v>72</v>
      </c>
      <c r="I6743" s="86" t="s">
        <v>2572</v>
      </c>
      <c r="J6743" s="1" t="s">
        <v>3327</v>
      </c>
      <c r="K6743" s="1" t="s">
        <v>3284</v>
      </c>
      <c r="L6743" s="1" t="s">
        <v>35</v>
      </c>
      <c r="M6743" s="86" t="s">
        <v>1468</v>
      </c>
      <c r="O6743" s="47" t="s">
        <v>410</v>
      </c>
      <c r="P6743" s="47" t="s">
        <v>41</v>
      </c>
      <c r="Q6743" s="14">
        <v>0</v>
      </c>
      <c r="R6743" s="143">
        <v>300000554</v>
      </c>
      <c r="S6743" s="47"/>
      <c r="T6743" s="6">
        <v>113861.02000000005</v>
      </c>
      <c r="U6743" s="6">
        <v>100000</v>
      </c>
      <c r="V6743" s="6">
        <v>112574.99</v>
      </c>
      <c r="W6743" s="6">
        <f t="shared" si="1040"/>
        <v>101286.03000000004</v>
      </c>
      <c r="X6743" s="6">
        <f t="shared" si="1041"/>
        <v>112574.99</v>
      </c>
      <c r="Y6743" s="13">
        <f t="shared" si="1045"/>
        <v>0</v>
      </c>
      <c r="Z6743" s="66">
        <v>0.03</v>
      </c>
      <c r="AA6743" s="6">
        <f t="shared" ref="AA6743:AA6744" si="1051">X6743*Z6743</f>
        <v>3377.2496999999998</v>
      </c>
      <c r="AB6743" s="4">
        <f t="shared" si="1046"/>
        <v>115952.23970000001</v>
      </c>
      <c r="AC6743" s="6">
        <f t="shared" si="1044"/>
        <v>0</v>
      </c>
      <c r="AD6743" s="6">
        <f t="shared" si="1048"/>
        <v>112574.99</v>
      </c>
      <c r="AE6743" s="14">
        <f>VLOOKUP(I6743,[2]媒体政策预估表!A:N,MATCH(O6743,[2]媒体政策预估表!$A$2:$M$2,0),0)</f>
        <v>0</v>
      </c>
      <c r="AF6743" s="6">
        <f t="shared" si="1038"/>
        <v>0</v>
      </c>
      <c r="AG6743" s="14">
        <v>0</v>
      </c>
      <c r="AH6743" s="64">
        <f t="shared" si="1049"/>
        <v>112574.99</v>
      </c>
      <c r="AJ6743" s="126" t="e">
        <v>#N/A</v>
      </c>
      <c r="AK6743" s="80">
        <f t="shared" si="1047"/>
        <v>0</v>
      </c>
      <c r="AL6743" s="85"/>
      <c r="AM6743" s="85"/>
    </row>
    <row r="6744" spans="1:39" s="86" customFormat="1" ht="13.25" hidden="1" customHeight="1" x14ac:dyDescent="0.3">
      <c r="A6744" s="89" t="s">
        <v>3978</v>
      </c>
      <c r="B6744" s="86" t="s">
        <v>35</v>
      </c>
      <c r="C6744" s="86" t="s">
        <v>144</v>
      </c>
      <c r="D6744" s="86" t="s">
        <v>161</v>
      </c>
      <c r="E6744" s="86" t="s">
        <v>3979</v>
      </c>
      <c r="F6744" s="86" t="s">
        <v>3980</v>
      </c>
      <c r="G6744" s="86" t="s">
        <v>3979</v>
      </c>
      <c r="H6744" s="144">
        <v>72</v>
      </c>
      <c r="I6744" s="86" t="s">
        <v>2572</v>
      </c>
      <c r="J6744" s="1" t="s">
        <v>3327</v>
      </c>
      <c r="K6744" s="1" t="s">
        <v>3284</v>
      </c>
      <c r="L6744" s="1" t="s">
        <v>35</v>
      </c>
      <c r="M6744" s="86" t="s">
        <v>3979</v>
      </c>
      <c r="O6744" s="47" t="s">
        <v>410</v>
      </c>
      <c r="P6744" s="47" t="s">
        <v>41</v>
      </c>
      <c r="Q6744" s="14">
        <v>0</v>
      </c>
      <c r="R6744" s="143">
        <v>600005275</v>
      </c>
      <c r="S6744" s="47"/>
      <c r="T6744" s="6">
        <v>0</v>
      </c>
      <c r="U6744" s="6">
        <v>30000</v>
      </c>
      <c r="V6744" s="6">
        <v>1729.5</v>
      </c>
      <c r="W6744" s="6">
        <f t="shared" si="1040"/>
        <v>28270.5</v>
      </c>
      <c r="X6744" s="6">
        <f t="shared" si="1041"/>
        <v>1729.5</v>
      </c>
      <c r="Y6744" s="13">
        <f t="shared" si="1045"/>
        <v>0</v>
      </c>
      <c r="Z6744" s="66">
        <v>0.03</v>
      </c>
      <c r="AA6744" s="6">
        <f t="shared" si="1051"/>
        <v>51.884999999999998</v>
      </c>
      <c r="AB6744" s="4">
        <f t="shared" si="1046"/>
        <v>1781.385</v>
      </c>
      <c r="AC6744" s="6">
        <f t="shared" si="1044"/>
        <v>0</v>
      </c>
      <c r="AD6744" s="6">
        <f t="shared" si="1048"/>
        <v>1729.5</v>
      </c>
      <c r="AE6744" s="14">
        <f>VLOOKUP(I6744,[2]媒体政策预估表!A:N,MATCH(O6744,[2]媒体政策预估表!$A$2:$M$2,0),0)</f>
        <v>0</v>
      </c>
      <c r="AF6744" s="6">
        <f t="shared" si="1038"/>
        <v>0</v>
      </c>
      <c r="AG6744" s="14">
        <v>0</v>
      </c>
      <c r="AH6744" s="64">
        <f t="shared" si="1049"/>
        <v>1729.5</v>
      </c>
      <c r="AJ6744" s="126" t="e">
        <v>#N/A</v>
      </c>
      <c r="AK6744" s="80">
        <f t="shared" si="1047"/>
        <v>0</v>
      </c>
      <c r="AL6744" s="85"/>
      <c r="AM6744" s="85"/>
    </row>
    <row r="6745" spans="1:39" s="86" customFormat="1" ht="13.25" hidden="1" customHeight="1" x14ac:dyDescent="0.3">
      <c r="A6745" s="89" t="s">
        <v>3978</v>
      </c>
      <c r="B6745" s="86" t="s">
        <v>35</v>
      </c>
      <c r="C6745" s="86" t="s">
        <v>164</v>
      </c>
      <c r="D6745" s="86" t="s">
        <v>305</v>
      </c>
      <c r="E6745" s="86" t="s">
        <v>1570</v>
      </c>
      <c r="F6745" s="86" t="s">
        <v>1570</v>
      </c>
      <c r="G6745" s="86" t="s">
        <v>1570</v>
      </c>
      <c r="H6745" s="143">
        <v>72</v>
      </c>
      <c r="I6745" s="86" t="s">
        <v>2572</v>
      </c>
      <c r="J6745" s="1" t="s">
        <v>3327</v>
      </c>
      <c r="K6745" s="1" t="s">
        <v>3284</v>
      </c>
      <c r="L6745" s="1" t="s">
        <v>35</v>
      </c>
      <c r="M6745" s="86" t="s">
        <v>1570</v>
      </c>
      <c r="O6745" s="47" t="s">
        <v>410</v>
      </c>
      <c r="P6745" s="47" t="s">
        <v>41</v>
      </c>
      <c r="Q6745" s="14">
        <v>0</v>
      </c>
      <c r="R6745" s="143">
        <v>600005323</v>
      </c>
      <c r="S6745" s="47"/>
      <c r="T6745" s="6">
        <v>0</v>
      </c>
      <c r="U6745" s="6">
        <v>4850</v>
      </c>
      <c r="V6745" s="6">
        <v>0</v>
      </c>
      <c r="W6745" s="6">
        <f t="shared" si="1040"/>
        <v>4850</v>
      </c>
      <c r="X6745" s="6">
        <f t="shared" si="1041"/>
        <v>0</v>
      </c>
      <c r="Y6745" s="13">
        <f t="shared" si="1045"/>
        <v>0</v>
      </c>
      <c r="Z6745" s="66">
        <v>0.03</v>
      </c>
      <c r="AA6745" s="6">
        <f>X6745/(1-Z6745)*Z6745</f>
        <v>0</v>
      </c>
      <c r="AB6745" s="4">
        <f t="shared" si="1046"/>
        <v>0</v>
      </c>
      <c r="AC6745" s="6">
        <f t="shared" si="1044"/>
        <v>0</v>
      </c>
      <c r="AD6745" s="6">
        <f t="shared" si="1048"/>
        <v>0</v>
      </c>
      <c r="AE6745" s="14">
        <f>VLOOKUP(I6745,[2]媒体政策预估表!A:N,MATCH(O6745,[2]媒体政策预估表!$A$2:$M$2,0),0)</f>
        <v>0</v>
      </c>
      <c r="AF6745" s="6">
        <f t="shared" si="1038"/>
        <v>0</v>
      </c>
      <c r="AG6745" s="14">
        <v>0</v>
      </c>
      <c r="AH6745" s="64">
        <f t="shared" si="1049"/>
        <v>0</v>
      </c>
      <c r="AJ6745" s="126" t="e">
        <v>#N/A</v>
      </c>
      <c r="AK6745" s="80">
        <f t="shared" si="1047"/>
        <v>0</v>
      </c>
      <c r="AL6745" s="85"/>
      <c r="AM6745" s="85"/>
    </row>
    <row r="6746" spans="1:39" s="86" customFormat="1" ht="13.25" hidden="1" customHeight="1" x14ac:dyDescent="0.3">
      <c r="A6746" s="89" t="s">
        <v>3978</v>
      </c>
      <c r="B6746" s="86" t="s">
        <v>35</v>
      </c>
      <c r="C6746" s="86" t="s">
        <v>164</v>
      </c>
      <c r="D6746" s="86" t="s">
        <v>174</v>
      </c>
      <c r="E6746" s="86" t="s">
        <v>2072</v>
      </c>
      <c r="F6746" s="86" t="s">
        <v>2072</v>
      </c>
      <c r="G6746" s="86" t="s">
        <v>2072</v>
      </c>
      <c r="H6746" s="144">
        <v>72</v>
      </c>
      <c r="I6746" s="86" t="s">
        <v>2572</v>
      </c>
      <c r="J6746" s="1" t="s">
        <v>3327</v>
      </c>
      <c r="K6746" s="1" t="s">
        <v>3284</v>
      </c>
      <c r="L6746" s="1" t="s">
        <v>35</v>
      </c>
      <c r="M6746" s="86" t="s">
        <v>3981</v>
      </c>
      <c r="O6746" s="47" t="s">
        <v>410</v>
      </c>
      <c r="P6746" s="47" t="s">
        <v>41</v>
      </c>
      <c r="Q6746" s="14">
        <v>0</v>
      </c>
      <c r="R6746" s="143">
        <v>600005195</v>
      </c>
      <c r="S6746" s="47"/>
      <c r="T6746" s="6">
        <v>0</v>
      </c>
      <c r="U6746" s="6">
        <v>70000</v>
      </c>
      <c r="V6746" s="6">
        <v>44792.4</v>
      </c>
      <c r="W6746" s="6">
        <f t="shared" si="1040"/>
        <v>25207.599999999999</v>
      </c>
      <c r="X6746" s="6">
        <f t="shared" si="1041"/>
        <v>44792.4</v>
      </c>
      <c r="Y6746" s="13">
        <f t="shared" si="1045"/>
        <v>0</v>
      </c>
      <c r="Z6746" s="66">
        <v>0</v>
      </c>
      <c r="AA6746" s="6">
        <v>0</v>
      </c>
      <c r="AB6746" s="4">
        <f t="shared" si="1046"/>
        <v>44792.4</v>
      </c>
      <c r="AC6746" s="6">
        <f t="shared" si="1044"/>
        <v>0</v>
      </c>
      <c r="AD6746" s="6">
        <f t="shared" si="1048"/>
        <v>44792.4</v>
      </c>
      <c r="AE6746" s="14">
        <f>VLOOKUP(I6746,[2]媒体政策预估表!A:N,MATCH(O6746,[2]媒体政策预估表!$A$2:$M$2,0),0)</f>
        <v>0</v>
      </c>
      <c r="AF6746" s="6">
        <f t="shared" si="1038"/>
        <v>0</v>
      </c>
      <c r="AG6746" s="14">
        <v>0</v>
      </c>
      <c r="AH6746" s="64">
        <f t="shared" si="1049"/>
        <v>44792.4</v>
      </c>
      <c r="AJ6746" s="126" t="e">
        <v>#N/A</v>
      </c>
      <c r="AK6746" s="80">
        <f t="shared" si="1047"/>
        <v>0</v>
      </c>
      <c r="AL6746" s="85"/>
      <c r="AM6746" s="85"/>
    </row>
    <row r="6747" spans="1:39" s="86" customFormat="1" ht="13.25" hidden="1" customHeight="1" x14ac:dyDescent="0.3">
      <c r="A6747" s="89" t="s">
        <v>3978</v>
      </c>
      <c r="B6747" s="86" t="s">
        <v>35</v>
      </c>
      <c r="C6747" s="86" t="s">
        <v>164</v>
      </c>
      <c r="D6747" s="86" t="s">
        <v>174</v>
      </c>
      <c r="E6747" s="86" t="s">
        <v>1777</v>
      </c>
      <c r="F6747" s="86" t="s">
        <v>1777</v>
      </c>
      <c r="G6747" s="86" t="s">
        <v>1777</v>
      </c>
      <c r="H6747" s="144">
        <v>72</v>
      </c>
      <c r="I6747" s="86" t="s">
        <v>2572</v>
      </c>
      <c r="J6747" s="1" t="s">
        <v>3327</v>
      </c>
      <c r="K6747" s="1" t="s">
        <v>3284</v>
      </c>
      <c r="L6747" s="1" t="s">
        <v>35</v>
      </c>
      <c r="M6747" s="86" t="s">
        <v>1778</v>
      </c>
      <c r="O6747" s="47" t="s">
        <v>410</v>
      </c>
      <c r="P6747" s="47" t="s">
        <v>41</v>
      </c>
      <c r="Q6747" s="14">
        <v>0</v>
      </c>
      <c r="R6747" s="143">
        <v>600005080</v>
      </c>
      <c r="S6747" s="47"/>
      <c r="T6747" s="6">
        <v>0</v>
      </c>
      <c r="U6747" s="6">
        <v>20000</v>
      </c>
      <c r="V6747" s="6">
        <v>11700.85</v>
      </c>
      <c r="W6747" s="6">
        <f t="shared" si="1040"/>
        <v>8299.15</v>
      </c>
      <c r="X6747" s="6">
        <f t="shared" si="1041"/>
        <v>11700.85</v>
      </c>
      <c r="Y6747" s="13">
        <f t="shared" si="1045"/>
        <v>0</v>
      </c>
      <c r="Z6747" s="66">
        <v>0</v>
      </c>
      <c r="AA6747" s="6">
        <v>0</v>
      </c>
      <c r="AB6747" s="4">
        <f t="shared" si="1046"/>
        <v>11700.85</v>
      </c>
      <c r="AC6747" s="6">
        <f t="shared" si="1044"/>
        <v>0</v>
      </c>
      <c r="AD6747" s="6">
        <f t="shared" si="1048"/>
        <v>11700.85</v>
      </c>
      <c r="AE6747" s="14">
        <f>VLOOKUP(I6747,[2]媒体政策预估表!A:N,MATCH(O6747,[2]媒体政策预估表!$A$2:$M$2,0),0)</f>
        <v>0</v>
      </c>
      <c r="AF6747" s="6">
        <f t="shared" si="1038"/>
        <v>0</v>
      </c>
      <c r="AG6747" s="14">
        <v>0</v>
      </c>
      <c r="AH6747" s="64">
        <f t="shared" si="1049"/>
        <v>11700.85</v>
      </c>
      <c r="AJ6747" s="126" t="e">
        <v>#N/A</v>
      </c>
      <c r="AK6747" s="80">
        <f t="shared" si="1047"/>
        <v>0</v>
      </c>
      <c r="AL6747" s="85"/>
      <c r="AM6747" s="85"/>
    </row>
    <row r="6748" spans="1:39" s="86" customFormat="1" ht="13.25" hidden="1" customHeight="1" x14ac:dyDescent="0.3">
      <c r="A6748" s="89" t="s">
        <v>3792</v>
      </c>
      <c r="B6748" s="86" t="s">
        <v>35</v>
      </c>
      <c r="C6748" s="86" t="s">
        <v>164</v>
      </c>
      <c r="D6748" s="86" t="s">
        <v>174</v>
      </c>
      <c r="E6748" s="86" t="s">
        <v>1777</v>
      </c>
      <c r="F6748" s="86" t="s">
        <v>1777</v>
      </c>
      <c r="G6748" s="86" t="s">
        <v>1777</v>
      </c>
      <c r="H6748" s="144">
        <v>72</v>
      </c>
      <c r="I6748" s="86" t="s">
        <v>2572</v>
      </c>
      <c r="J6748" s="1" t="s">
        <v>3327</v>
      </c>
      <c r="K6748" s="1" t="s">
        <v>3284</v>
      </c>
      <c r="L6748" s="1" t="s">
        <v>35</v>
      </c>
      <c r="M6748" s="86" t="s">
        <v>3982</v>
      </c>
      <c r="O6748" s="47" t="s">
        <v>410</v>
      </c>
      <c r="P6748" s="47" t="s">
        <v>41</v>
      </c>
      <c r="Q6748" s="14">
        <v>0</v>
      </c>
      <c r="R6748" s="143">
        <v>600005142</v>
      </c>
      <c r="S6748" s="47"/>
      <c r="T6748" s="6">
        <v>0</v>
      </c>
      <c r="U6748" s="6">
        <v>10000</v>
      </c>
      <c r="V6748" s="6">
        <v>9931.6</v>
      </c>
      <c r="W6748" s="6">
        <f t="shared" si="1040"/>
        <v>68.399999999999636</v>
      </c>
      <c r="X6748" s="6">
        <f t="shared" si="1041"/>
        <v>9931.6</v>
      </c>
      <c r="Y6748" s="13">
        <f t="shared" si="1045"/>
        <v>0</v>
      </c>
      <c r="Z6748" s="66">
        <v>0</v>
      </c>
      <c r="AA6748" s="6">
        <v>0</v>
      </c>
      <c r="AB6748" s="4">
        <f t="shared" si="1046"/>
        <v>9931.6</v>
      </c>
      <c r="AC6748" s="6">
        <f t="shared" si="1044"/>
        <v>0</v>
      </c>
      <c r="AD6748" s="6">
        <f t="shared" si="1048"/>
        <v>9931.6</v>
      </c>
      <c r="AE6748" s="14">
        <f>VLOOKUP(I6748,[2]媒体政策预估表!A:N,MATCH(O6748,[2]媒体政策预估表!$A$2:$M$2,0),0)</f>
        <v>0</v>
      </c>
      <c r="AF6748" s="6">
        <f t="shared" si="1038"/>
        <v>0</v>
      </c>
      <c r="AG6748" s="14">
        <v>0</v>
      </c>
      <c r="AH6748" s="64">
        <f t="shared" si="1049"/>
        <v>9931.6</v>
      </c>
      <c r="AJ6748" s="126" t="e">
        <v>#N/A</v>
      </c>
      <c r="AK6748" s="80">
        <f t="shared" si="1047"/>
        <v>0</v>
      </c>
      <c r="AL6748" s="85"/>
      <c r="AM6748" s="85"/>
    </row>
    <row r="6749" spans="1:39" s="86" customFormat="1" ht="13.25" hidden="1" customHeight="1" x14ac:dyDescent="0.3">
      <c r="A6749" s="89" t="s">
        <v>3792</v>
      </c>
      <c r="B6749" s="86" t="s">
        <v>35</v>
      </c>
      <c r="C6749" s="86" t="s">
        <v>184</v>
      </c>
      <c r="D6749" s="86" t="s">
        <v>54</v>
      </c>
      <c r="E6749" s="86" t="s">
        <v>1200</v>
      </c>
      <c r="F6749" s="86" t="s">
        <v>1201</v>
      </c>
      <c r="G6749" s="86" t="s">
        <v>1200</v>
      </c>
      <c r="H6749" s="144">
        <v>72</v>
      </c>
      <c r="I6749" s="86" t="s">
        <v>2572</v>
      </c>
      <c r="J6749" s="1" t="s">
        <v>3327</v>
      </c>
      <c r="K6749" s="1" t="s">
        <v>3284</v>
      </c>
      <c r="L6749" s="1" t="s">
        <v>35</v>
      </c>
      <c r="M6749" s="86" t="s">
        <v>1200</v>
      </c>
      <c r="O6749" s="47" t="s">
        <v>410</v>
      </c>
      <c r="P6749" s="47" t="s">
        <v>41</v>
      </c>
      <c r="Q6749" s="14">
        <v>0</v>
      </c>
      <c r="R6749" s="143">
        <v>600001337</v>
      </c>
      <c r="S6749" s="47"/>
      <c r="T6749" s="6">
        <v>14047.679999999978</v>
      </c>
      <c r="U6749" s="6">
        <v>75000</v>
      </c>
      <c r="V6749" s="6">
        <v>77212.86</v>
      </c>
      <c r="W6749" s="6">
        <f t="shared" si="1040"/>
        <v>11834.819999999978</v>
      </c>
      <c r="X6749" s="6">
        <f t="shared" si="1041"/>
        <v>77212.86</v>
      </c>
      <c r="Y6749" s="13">
        <f t="shared" si="1045"/>
        <v>0</v>
      </c>
      <c r="Z6749" s="66">
        <v>0</v>
      </c>
      <c r="AA6749" s="6">
        <v>0</v>
      </c>
      <c r="AB6749" s="4">
        <f t="shared" si="1046"/>
        <v>77212.86</v>
      </c>
      <c r="AC6749" s="6">
        <f t="shared" si="1044"/>
        <v>0</v>
      </c>
      <c r="AD6749" s="6">
        <f t="shared" si="1048"/>
        <v>77212.86</v>
      </c>
      <c r="AE6749" s="14">
        <f>VLOOKUP(I6749,[2]媒体政策预估表!A:N,MATCH(O6749,[2]媒体政策预估表!$A$2:$M$2,0),0)</f>
        <v>0</v>
      </c>
      <c r="AF6749" s="6">
        <f t="shared" si="1038"/>
        <v>0</v>
      </c>
      <c r="AG6749" s="14">
        <v>0</v>
      </c>
      <c r="AH6749" s="64">
        <f t="shared" si="1049"/>
        <v>77212.86</v>
      </c>
      <c r="AJ6749" s="126" t="e">
        <v>#N/A</v>
      </c>
      <c r="AK6749" s="80">
        <f t="shared" si="1047"/>
        <v>0</v>
      </c>
      <c r="AL6749" s="85"/>
      <c r="AM6749" s="85"/>
    </row>
    <row r="6750" spans="1:39" s="86" customFormat="1" ht="13.25" hidden="1" customHeight="1" x14ac:dyDescent="0.3">
      <c r="A6750" s="89" t="s">
        <v>3792</v>
      </c>
      <c r="B6750" s="86" t="s">
        <v>35</v>
      </c>
      <c r="C6750" s="86" t="s">
        <v>184</v>
      </c>
      <c r="D6750" s="86" t="s">
        <v>54</v>
      </c>
      <c r="E6750" s="86" t="s">
        <v>55</v>
      </c>
      <c r="F6750" s="86" t="s">
        <v>55</v>
      </c>
      <c r="G6750" s="86" t="s">
        <v>55</v>
      </c>
      <c r="H6750" s="144">
        <v>72</v>
      </c>
      <c r="I6750" s="86" t="s">
        <v>2572</v>
      </c>
      <c r="J6750" s="1" t="s">
        <v>3327</v>
      </c>
      <c r="K6750" s="1" t="s">
        <v>3284</v>
      </c>
      <c r="L6750" s="1" t="s">
        <v>35</v>
      </c>
      <c r="M6750" s="86" t="s">
        <v>3432</v>
      </c>
      <c r="O6750" s="47" t="s">
        <v>410</v>
      </c>
      <c r="P6750" s="47" t="s">
        <v>41</v>
      </c>
      <c r="Q6750" s="14">
        <v>0</v>
      </c>
      <c r="R6750" s="143">
        <v>600005044</v>
      </c>
      <c r="S6750" s="47"/>
      <c r="T6750" s="6">
        <v>78338.36</v>
      </c>
      <c r="U6750" s="6">
        <v>-100000</v>
      </c>
      <c r="V6750" s="6">
        <v>-21661.64</v>
      </c>
      <c r="W6750" s="6">
        <f t="shared" si="1040"/>
        <v>0</v>
      </c>
      <c r="X6750" s="6">
        <f t="shared" si="1041"/>
        <v>-21661.64</v>
      </c>
      <c r="Y6750" s="13">
        <f t="shared" si="1045"/>
        <v>0</v>
      </c>
      <c r="Z6750" s="66">
        <v>0.03</v>
      </c>
      <c r="AA6750" s="6">
        <f t="shared" ref="AA6750:AA6753" si="1052">X6750*Z6750</f>
        <v>-649.8492</v>
      </c>
      <c r="AB6750" s="4">
        <f t="shared" si="1046"/>
        <v>-22311.4892</v>
      </c>
      <c r="AC6750" s="6">
        <f t="shared" si="1044"/>
        <v>0</v>
      </c>
      <c r="AD6750" s="6">
        <f t="shared" si="1048"/>
        <v>-21661.64</v>
      </c>
      <c r="AE6750" s="14">
        <f>VLOOKUP(I6750,[2]媒体政策预估表!A:N,MATCH(O6750,[2]媒体政策预估表!$A$2:$M$2,0),0)</f>
        <v>0</v>
      </c>
      <c r="AF6750" s="6">
        <f t="shared" si="1038"/>
        <v>0</v>
      </c>
      <c r="AG6750" s="14">
        <v>0</v>
      </c>
      <c r="AH6750" s="64">
        <f t="shared" si="1049"/>
        <v>-21661.64</v>
      </c>
      <c r="AJ6750" s="126" t="e">
        <v>#N/A</v>
      </c>
      <c r="AK6750" s="80">
        <f t="shared" si="1047"/>
        <v>0</v>
      </c>
      <c r="AL6750" s="85"/>
      <c r="AM6750" s="85"/>
    </row>
    <row r="6751" spans="1:39" s="86" customFormat="1" ht="13.25" hidden="1" customHeight="1" x14ac:dyDescent="0.3">
      <c r="A6751" s="89" t="s">
        <v>3978</v>
      </c>
      <c r="B6751" s="86" t="s">
        <v>35</v>
      </c>
      <c r="C6751" s="86" t="s">
        <v>184</v>
      </c>
      <c r="D6751" s="86" t="s">
        <v>54</v>
      </c>
      <c r="E6751" s="86" t="s">
        <v>55</v>
      </c>
      <c r="F6751" s="86" t="s">
        <v>55</v>
      </c>
      <c r="G6751" s="86" t="s">
        <v>55</v>
      </c>
      <c r="H6751" s="143">
        <v>216</v>
      </c>
      <c r="I6751" s="86" t="s">
        <v>39</v>
      </c>
      <c r="J6751" s="47" t="s">
        <v>3323</v>
      </c>
      <c r="K6751" s="47" t="s">
        <v>3766</v>
      </c>
      <c r="L6751" s="47" t="s">
        <v>35</v>
      </c>
      <c r="M6751" s="86" t="s">
        <v>3432</v>
      </c>
      <c r="O6751" s="47" t="s">
        <v>40</v>
      </c>
      <c r="P6751" s="47" t="s">
        <v>41</v>
      </c>
      <c r="Q6751" s="14">
        <v>0</v>
      </c>
      <c r="R6751" s="143">
        <v>2000101098</v>
      </c>
      <c r="S6751" s="47"/>
      <c r="T6751" s="6">
        <v>0</v>
      </c>
      <c r="U6751" s="6">
        <v>0</v>
      </c>
      <c r="V6751" s="6"/>
      <c r="W6751" s="6">
        <f t="shared" si="1040"/>
        <v>0</v>
      </c>
      <c r="X6751" s="6">
        <f t="shared" si="1041"/>
        <v>0</v>
      </c>
      <c r="Y6751" s="13">
        <f t="shared" si="1045"/>
        <v>0</v>
      </c>
      <c r="Z6751" s="66">
        <v>0.03</v>
      </c>
      <c r="AA6751" s="6">
        <f t="shared" si="1052"/>
        <v>0</v>
      </c>
      <c r="AB6751" s="4">
        <f t="shared" si="1046"/>
        <v>0</v>
      </c>
      <c r="AC6751" s="6">
        <f t="shared" si="1044"/>
        <v>0</v>
      </c>
      <c r="AD6751" s="6">
        <f t="shared" si="1048"/>
        <v>0</v>
      </c>
      <c r="AE6751" s="14">
        <f>VLOOKUP(I6751,[2]媒体政策预估表!A:N,MATCH(O6751,[2]媒体政策预估表!$A$2:$M$2,0),0)</f>
        <v>0.06</v>
      </c>
      <c r="AF6751" s="6">
        <f t="shared" si="1038"/>
        <v>0</v>
      </c>
      <c r="AG6751" s="14">
        <v>0</v>
      </c>
      <c r="AH6751" s="64">
        <f t="shared" si="1049"/>
        <v>0</v>
      </c>
      <c r="AJ6751" s="126" t="e">
        <v>#N/A</v>
      </c>
      <c r="AK6751" s="80">
        <f t="shared" si="1047"/>
        <v>0</v>
      </c>
      <c r="AL6751" s="85"/>
      <c r="AM6751" s="85"/>
    </row>
    <row r="6752" spans="1:39" s="86" customFormat="1" ht="13.25" hidden="1" customHeight="1" x14ac:dyDescent="0.3">
      <c r="A6752" s="89" t="s">
        <v>3978</v>
      </c>
      <c r="B6752" s="86" t="s">
        <v>35</v>
      </c>
      <c r="C6752" s="86" t="s">
        <v>184</v>
      </c>
      <c r="D6752" s="86" t="s">
        <v>54</v>
      </c>
      <c r="E6752" s="86" t="s">
        <v>3983</v>
      </c>
      <c r="F6752" s="86" t="s">
        <v>3984</v>
      </c>
      <c r="G6752" s="86" t="s">
        <v>3983</v>
      </c>
      <c r="H6752" s="144">
        <v>72</v>
      </c>
      <c r="I6752" s="86" t="s">
        <v>2572</v>
      </c>
      <c r="J6752" s="1" t="s">
        <v>3327</v>
      </c>
      <c r="K6752" s="1" t="s">
        <v>3284</v>
      </c>
      <c r="L6752" s="1" t="s">
        <v>35</v>
      </c>
      <c r="M6752" s="86" t="s">
        <v>3432</v>
      </c>
      <c r="O6752" s="47" t="s">
        <v>410</v>
      </c>
      <c r="P6752" s="47" t="s">
        <v>41</v>
      </c>
      <c r="Q6752" s="14">
        <v>0</v>
      </c>
      <c r="R6752" s="143">
        <v>600005044</v>
      </c>
      <c r="S6752" s="47"/>
      <c r="T6752" s="6">
        <v>0</v>
      </c>
      <c r="U6752" s="6">
        <v>1100000</v>
      </c>
      <c r="V6752" s="6">
        <v>871908.57000000007</v>
      </c>
      <c r="W6752" s="6">
        <f t="shared" si="1040"/>
        <v>228091.42999999993</v>
      </c>
      <c r="X6752" s="6">
        <f t="shared" si="1041"/>
        <v>871908.57000000007</v>
      </c>
      <c r="Y6752" s="13">
        <f t="shared" si="1045"/>
        <v>0</v>
      </c>
      <c r="Z6752" s="66">
        <v>0.03</v>
      </c>
      <c r="AA6752" s="6">
        <f t="shared" si="1052"/>
        <v>26157.257100000003</v>
      </c>
      <c r="AB6752" s="4">
        <f t="shared" si="1046"/>
        <v>898065.82710000011</v>
      </c>
      <c r="AC6752" s="6">
        <f t="shared" si="1044"/>
        <v>0</v>
      </c>
      <c r="AD6752" s="6">
        <f t="shared" si="1048"/>
        <v>871908.57000000007</v>
      </c>
      <c r="AE6752" s="14">
        <f>VLOOKUP(I6752,[2]媒体政策预估表!A:N,MATCH(O6752,[2]媒体政策预估表!$A$2:$M$2,0),0)</f>
        <v>0</v>
      </c>
      <c r="AF6752" s="6">
        <f t="shared" si="1038"/>
        <v>0</v>
      </c>
      <c r="AG6752" s="14">
        <v>0</v>
      </c>
      <c r="AH6752" s="64">
        <f t="shared" si="1049"/>
        <v>871908.57000000007</v>
      </c>
      <c r="AJ6752" s="126" t="e">
        <v>#N/A</v>
      </c>
      <c r="AK6752" s="80">
        <f t="shared" si="1047"/>
        <v>0</v>
      </c>
      <c r="AL6752" s="85"/>
      <c r="AM6752" s="85"/>
    </row>
    <row r="6753" spans="1:39" s="86" customFormat="1" ht="13.25" hidden="1" customHeight="1" x14ac:dyDescent="0.3">
      <c r="A6753" s="89" t="s">
        <v>3978</v>
      </c>
      <c r="B6753" s="86" t="s">
        <v>35</v>
      </c>
      <c r="C6753" s="86" t="s">
        <v>184</v>
      </c>
      <c r="D6753" s="86" t="s">
        <v>54</v>
      </c>
      <c r="E6753" s="86" t="s">
        <v>3983</v>
      </c>
      <c r="F6753" s="86" t="s">
        <v>3984</v>
      </c>
      <c r="G6753" s="86" t="s">
        <v>3983</v>
      </c>
      <c r="H6753" s="144">
        <v>216</v>
      </c>
      <c r="I6753" s="86" t="s">
        <v>39</v>
      </c>
      <c r="J6753" s="47" t="s">
        <v>3323</v>
      </c>
      <c r="K6753" s="47" t="s">
        <v>3766</v>
      </c>
      <c r="L6753" s="47" t="s">
        <v>35</v>
      </c>
      <c r="M6753" s="86" t="s">
        <v>3432</v>
      </c>
      <c r="O6753" s="47" t="s">
        <v>40</v>
      </c>
      <c r="P6753" s="47" t="s">
        <v>41</v>
      </c>
      <c r="Q6753" s="14">
        <v>0</v>
      </c>
      <c r="R6753" s="143">
        <v>2000101098</v>
      </c>
      <c r="S6753" s="47"/>
      <c r="T6753" s="6">
        <v>0</v>
      </c>
      <c r="U6753" s="6">
        <v>450000</v>
      </c>
      <c r="V6753" s="6">
        <v>347382.16</v>
      </c>
      <c r="W6753" s="6">
        <f t="shared" si="1040"/>
        <v>102617.84000000003</v>
      </c>
      <c r="X6753" s="6">
        <f t="shared" si="1041"/>
        <v>347382.16</v>
      </c>
      <c r="Y6753" s="13">
        <f t="shared" si="1045"/>
        <v>0</v>
      </c>
      <c r="Z6753" s="66">
        <v>0.03</v>
      </c>
      <c r="AA6753" s="6">
        <f t="shared" si="1052"/>
        <v>10421.4648</v>
      </c>
      <c r="AB6753" s="4">
        <f t="shared" si="1046"/>
        <v>357803.62479999999</v>
      </c>
      <c r="AC6753" s="6">
        <f t="shared" si="1044"/>
        <v>0</v>
      </c>
      <c r="AD6753" s="6">
        <f t="shared" si="1048"/>
        <v>347382.16</v>
      </c>
      <c r="AE6753" s="14">
        <f>VLOOKUP(I6753,[2]媒体政策预估表!A:N,MATCH(O6753,[2]媒体政策预估表!$A$2:$M$2,0),0)</f>
        <v>0.06</v>
      </c>
      <c r="AF6753" s="6">
        <f t="shared" si="1038"/>
        <v>20842.929599999999</v>
      </c>
      <c r="AG6753" s="14">
        <v>0</v>
      </c>
      <c r="AH6753" s="64">
        <f t="shared" si="1049"/>
        <v>347382.16</v>
      </c>
      <c r="AJ6753" s="126" t="e">
        <v>#N/A</v>
      </c>
      <c r="AK6753" s="80">
        <f t="shared" si="1047"/>
        <v>0</v>
      </c>
      <c r="AL6753" s="85"/>
      <c r="AM6753" s="85"/>
    </row>
    <row r="6754" spans="1:39" s="86" customFormat="1" ht="13.25" hidden="1" customHeight="1" x14ac:dyDescent="0.3">
      <c r="A6754" s="89" t="s">
        <v>3978</v>
      </c>
      <c r="B6754" s="86" t="s">
        <v>35</v>
      </c>
      <c r="C6754" s="86" t="s">
        <v>184</v>
      </c>
      <c r="D6754" s="86" t="s">
        <v>37</v>
      </c>
      <c r="E6754" s="86" t="s">
        <v>2578</v>
      </c>
      <c r="F6754" s="86" t="s">
        <v>2578</v>
      </c>
      <c r="G6754" s="86" t="s">
        <v>2578</v>
      </c>
      <c r="H6754" s="144">
        <v>72</v>
      </c>
      <c r="I6754" s="86" t="s">
        <v>2572</v>
      </c>
      <c r="J6754" s="1" t="s">
        <v>3327</v>
      </c>
      <c r="K6754" s="1" t="s">
        <v>3284</v>
      </c>
      <c r="L6754" s="1" t="s">
        <v>35</v>
      </c>
      <c r="M6754" s="86" t="s">
        <v>2578</v>
      </c>
      <c r="O6754" s="47" t="s">
        <v>410</v>
      </c>
      <c r="P6754" s="47" t="s">
        <v>41</v>
      </c>
      <c r="Q6754" s="14">
        <v>0</v>
      </c>
      <c r="R6754" s="143">
        <v>400002075</v>
      </c>
      <c r="S6754" s="47"/>
      <c r="T6754" s="6">
        <v>21502.340000000004</v>
      </c>
      <c r="U6754" s="6">
        <v>40000</v>
      </c>
      <c r="V6754" s="6">
        <v>49379.96</v>
      </c>
      <c r="W6754" s="6">
        <f t="shared" si="1040"/>
        <v>12122.380000000005</v>
      </c>
      <c r="X6754" s="6">
        <f t="shared" si="1041"/>
        <v>49379.96</v>
      </c>
      <c r="Y6754" s="13">
        <f t="shared" si="1045"/>
        <v>0</v>
      </c>
      <c r="Z6754" s="66">
        <v>0</v>
      </c>
      <c r="AA6754" s="6">
        <v>0</v>
      </c>
      <c r="AB6754" s="4">
        <f t="shared" si="1046"/>
        <v>49379.96</v>
      </c>
      <c r="AC6754" s="6">
        <f t="shared" si="1044"/>
        <v>0</v>
      </c>
      <c r="AD6754" s="6">
        <f t="shared" si="1048"/>
        <v>49379.96</v>
      </c>
      <c r="AE6754" s="14">
        <f>VLOOKUP(I6754,[2]媒体政策预估表!A:N,MATCH(O6754,[2]媒体政策预估表!$A$2:$M$2,0),0)</f>
        <v>0</v>
      </c>
      <c r="AF6754" s="6">
        <f t="shared" si="1038"/>
        <v>0</v>
      </c>
      <c r="AG6754" s="14">
        <v>0</v>
      </c>
      <c r="AH6754" s="64">
        <f t="shared" si="1049"/>
        <v>49379.96</v>
      </c>
      <c r="AJ6754" s="126" t="e">
        <v>#N/A</v>
      </c>
      <c r="AK6754" s="80">
        <f t="shared" si="1047"/>
        <v>0</v>
      </c>
      <c r="AL6754" s="85"/>
      <c r="AM6754" s="85"/>
    </row>
    <row r="6755" spans="1:39" s="86" customFormat="1" ht="13.25" hidden="1" customHeight="1" x14ac:dyDescent="0.3">
      <c r="A6755" s="89" t="s">
        <v>3978</v>
      </c>
      <c r="B6755" s="86" t="s">
        <v>35</v>
      </c>
      <c r="C6755" s="86" t="s">
        <v>184</v>
      </c>
      <c r="D6755" s="86" t="s">
        <v>37</v>
      </c>
      <c r="E6755" s="86" t="s">
        <v>1870</v>
      </c>
      <c r="F6755" s="86" t="s">
        <v>1871</v>
      </c>
      <c r="G6755" s="86" t="s">
        <v>1870</v>
      </c>
      <c r="H6755" s="144">
        <v>72</v>
      </c>
      <c r="I6755" s="86" t="s">
        <v>2572</v>
      </c>
      <c r="J6755" s="1" t="s">
        <v>3327</v>
      </c>
      <c r="K6755" s="1" t="s">
        <v>3284</v>
      </c>
      <c r="L6755" s="1" t="s">
        <v>35</v>
      </c>
      <c r="M6755" s="86" t="s">
        <v>1870</v>
      </c>
      <c r="O6755" s="47" t="s">
        <v>410</v>
      </c>
      <c r="P6755" s="47" t="s">
        <v>41</v>
      </c>
      <c r="Q6755" s="14">
        <v>0</v>
      </c>
      <c r="R6755" s="143">
        <v>100000139</v>
      </c>
      <c r="S6755" s="47"/>
      <c r="T6755" s="6">
        <v>21840.949999999983</v>
      </c>
      <c r="U6755" s="6">
        <v>100000</v>
      </c>
      <c r="V6755" s="6">
        <v>103610.39</v>
      </c>
      <c r="W6755" s="6">
        <f t="shared" si="1040"/>
        <v>18230.559999999983</v>
      </c>
      <c r="X6755" s="6">
        <f t="shared" si="1041"/>
        <v>103610.39</v>
      </c>
      <c r="Y6755" s="13">
        <f t="shared" si="1045"/>
        <v>0</v>
      </c>
      <c r="Z6755" s="66">
        <v>0</v>
      </c>
      <c r="AA6755" s="6">
        <v>0</v>
      </c>
      <c r="AB6755" s="4">
        <f t="shared" si="1046"/>
        <v>103610.39</v>
      </c>
      <c r="AC6755" s="6">
        <f t="shared" si="1044"/>
        <v>0</v>
      </c>
      <c r="AD6755" s="6">
        <f t="shared" si="1048"/>
        <v>103610.39</v>
      </c>
      <c r="AE6755" s="14">
        <f>VLOOKUP(I6755,[2]媒体政策预估表!A:N,MATCH(O6755,[2]媒体政策预估表!$A$2:$M$2,0),0)</f>
        <v>0</v>
      </c>
      <c r="AF6755" s="6">
        <f t="shared" si="1038"/>
        <v>0</v>
      </c>
      <c r="AG6755" s="14">
        <v>0</v>
      </c>
      <c r="AH6755" s="64">
        <f t="shared" si="1049"/>
        <v>103610.39</v>
      </c>
      <c r="AJ6755" s="126" t="e">
        <v>#N/A</v>
      </c>
      <c r="AK6755" s="80">
        <f t="shared" si="1047"/>
        <v>0</v>
      </c>
      <c r="AL6755" s="85"/>
      <c r="AM6755" s="85"/>
    </row>
    <row r="6756" spans="1:39" s="86" customFormat="1" ht="13.25" hidden="1" customHeight="1" x14ac:dyDescent="0.3">
      <c r="A6756" s="89" t="s">
        <v>3978</v>
      </c>
      <c r="B6756" s="86" t="s">
        <v>35</v>
      </c>
      <c r="C6756" s="86" t="s">
        <v>184</v>
      </c>
      <c r="D6756" s="86" t="s">
        <v>3849</v>
      </c>
      <c r="E6756" s="86" t="s">
        <v>540</v>
      </c>
      <c r="F6756" s="86" t="s">
        <v>541</v>
      </c>
      <c r="G6756" s="86" t="s">
        <v>540</v>
      </c>
      <c r="H6756" s="144">
        <v>72</v>
      </c>
      <c r="I6756" s="86" t="s">
        <v>2572</v>
      </c>
      <c r="J6756" s="1" t="s">
        <v>3327</v>
      </c>
      <c r="K6756" s="1" t="s">
        <v>3284</v>
      </c>
      <c r="L6756" s="1" t="s">
        <v>35</v>
      </c>
      <c r="M6756" s="86" t="s">
        <v>3985</v>
      </c>
      <c r="O6756" s="47" t="s">
        <v>410</v>
      </c>
      <c r="P6756" s="47" t="s">
        <v>41</v>
      </c>
      <c r="Q6756" s="14">
        <v>0</v>
      </c>
      <c r="R6756" s="143">
        <v>600005143</v>
      </c>
      <c r="S6756" s="47"/>
      <c r="T6756" s="6">
        <v>0</v>
      </c>
      <c r="U6756" s="6">
        <v>100000</v>
      </c>
      <c r="V6756" s="6">
        <v>42122.19</v>
      </c>
      <c r="W6756" s="6">
        <f t="shared" si="1040"/>
        <v>57877.81</v>
      </c>
      <c r="X6756" s="6">
        <f t="shared" si="1041"/>
        <v>42122.19</v>
      </c>
      <c r="Y6756" s="13">
        <f t="shared" si="1045"/>
        <v>0</v>
      </c>
      <c r="Z6756" s="66">
        <v>0</v>
      </c>
      <c r="AA6756" s="6">
        <v>0</v>
      </c>
      <c r="AB6756" s="4">
        <f t="shared" si="1046"/>
        <v>42122.19</v>
      </c>
      <c r="AC6756" s="6">
        <f t="shared" si="1044"/>
        <v>0</v>
      </c>
      <c r="AD6756" s="6">
        <f t="shared" si="1048"/>
        <v>42122.19</v>
      </c>
      <c r="AE6756" s="14">
        <f>VLOOKUP(I6756,[2]媒体政策预估表!A:N,MATCH(O6756,[2]媒体政策预估表!$A$2:$M$2,0),0)</f>
        <v>0</v>
      </c>
      <c r="AF6756" s="6">
        <f t="shared" ref="AF6756:AF6819" si="1053">AD6756*AE6756</f>
        <v>0</v>
      </c>
      <c r="AG6756" s="14">
        <v>0</v>
      </c>
      <c r="AH6756" s="64">
        <f t="shared" si="1049"/>
        <v>42122.19</v>
      </c>
      <c r="AJ6756" s="126" t="e">
        <v>#N/A</v>
      </c>
      <c r="AK6756" s="80">
        <f t="shared" si="1047"/>
        <v>0</v>
      </c>
      <c r="AL6756" s="85"/>
      <c r="AM6756" s="85"/>
    </row>
    <row r="6757" spans="1:39" s="86" customFormat="1" ht="13.25" hidden="1" customHeight="1" x14ac:dyDescent="0.3">
      <c r="A6757" s="89" t="s">
        <v>3978</v>
      </c>
      <c r="B6757" s="86" t="s">
        <v>35</v>
      </c>
      <c r="C6757" s="86" t="s">
        <v>184</v>
      </c>
      <c r="D6757" s="86" t="s">
        <v>3849</v>
      </c>
      <c r="E6757" s="86" t="s">
        <v>2581</v>
      </c>
      <c r="F6757" s="86" t="s">
        <v>2581</v>
      </c>
      <c r="G6757" s="86" t="s">
        <v>2581</v>
      </c>
      <c r="H6757" s="144">
        <v>72</v>
      </c>
      <c r="I6757" s="86" t="s">
        <v>2572</v>
      </c>
      <c r="J6757" s="1" t="s">
        <v>3327</v>
      </c>
      <c r="K6757" s="1" t="s">
        <v>3284</v>
      </c>
      <c r="L6757" s="1" t="s">
        <v>35</v>
      </c>
      <c r="M6757" s="86" t="s">
        <v>70</v>
      </c>
      <c r="O6757" s="47" t="s">
        <v>410</v>
      </c>
      <c r="P6757" s="47" t="s">
        <v>41</v>
      </c>
      <c r="Q6757" s="14">
        <v>0</v>
      </c>
      <c r="R6757" s="143">
        <v>400001058</v>
      </c>
      <c r="S6757" s="47"/>
      <c r="T6757" s="6">
        <v>100258.00999999995</v>
      </c>
      <c r="U6757" s="6">
        <v>700000</v>
      </c>
      <c r="V6757" s="6">
        <v>612468.26</v>
      </c>
      <c r="W6757" s="6">
        <f t="shared" si="1040"/>
        <v>187789.75</v>
      </c>
      <c r="X6757" s="6">
        <f t="shared" si="1041"/>
        <v>612468.26</v>
      </c>
      <c r="Y6757" s="13">
        <f t="shared" si="1045"/>
        <v>0</v>
      </c>
      <c r="Z6757" s="66">
        <v>0.03</v>
      </c>
      <c r="AA6757" s="6">
        <f>X6757*Z6757</f>
        <v>18374.0478</v>
      </c>
      <c r="AB6757" s="4">
        <f t="shared" si="1046"/>
        <v>630842.30780000007</v>
      </c>
      <c r="AC6757" s="6">
        <f t="shared" si="1044"/>
        <v>0</v>
      </c>
      <c r="AD6757" s="6">
        <f t="shared" si="1048"/>
        <v>612468.26</v>
      </c>
      <c r="AE6757" s="14">
        <f>VLOOKUP(I6757,[2]媒体政策预估表!A:N,MATCH(O6757,[2]媒体政策预估表!$A$2:$M$2,0),0)</f>
        <v>0</v>
      </c>
      <c r="AF6757" s="6">
        <f t="shared" si="1053"/>
        <v>0</v>
      </c>
      <c r="AG6757" s="14">
        <v>0</v>
      </c>
      <c r="AH6757" s="64">
        <f t="shared" si="1049"/>
        <v>612468.26</v>
      </c>
      <c r="AJ6757" s="126" t="e">
        <v>#N/A</v>
      </c>
      <c r="AK6757" s="80">
        <f t="shared" si="1047"/>
        <v>0</v>
      </c>
      <c r="AL6757" s="85"/>
      <c r="AM6757" s="85"/>
    </row>
    <row r="6758" spans="1:39" s="86" customFormat="1" ht="13.25" hidden="1" customHeight="1" x14ac:dyDescent="0.3">
      <c r="A6758" s="89" t="s">
        <v>3792</v>
      </c>
      <c r="B6758" s="86" t="s">
        <v>35</v>
      </c>
      <c r="C6758" s="86" t="s">
        <v>184</v>
      </c>
      <c r="D6758" s="86" t="s">
        <v>3849</v>
      </c>
      <c r="E6758" s="86" t="s">
        <v>49</v>
      </c>
      <c r="F6758" s="86" t="s">
        <v>49</v>
      </c>
      <c r="G6758" s="86" t="s">
        <v>49</v>
      </c>
      <c r="H6758" s="144">
        <v>72</v>
      </c>
      <c r="I6758" s="86" t="s">
        <v>2572</v>
      </c>
      <c r="J6758" s="1" t="s">
        <v>3327</v>
      </c>
      <c r="K6758" s="1" t="s">
        <v>3284</v>
      </c>
      <c r="L6758" s="1" t="s">
        <v>35</v>
      </c>
      <c r="M6758" s="86" t="s">
        <v>49</v>
      </c>
      <c r="O6758" s="47" t="s">
        <v>410</v>
      </c>
      <c r="P6758" s="47" t="s">
        <v>41</v>
      </c>
      <c r="Q6758" s="14">
        <v>0</v>
      </c>
      <c r="R6758" s="143">
        <v>100000504</v>
      </c>
      <c r="S6758" s="47"/>
      <c r="T6758" s="6">
        <v>12932.49000000002</v>
      </c>
      <c r="U6758" s="6">
        <v>120000</v>
      </c>
      <c r="V6758" s="6">
        <v>110198.43</v>
      </c>
      <c r="W6758" s="6">
        <f t="shared" si="1040"/>
        <v>22734.060000000027</v>
      </c>
      <c r="X6758" s="6">
        <f t="shared" si="1041"/>
        <v>110198.43</v>
      </c>
      <c r="Y6758" s="13">
        <f t="shared" si="1045"/>
        <v>0</v>
      </c>
      <c r="Z6758" s="66">
        <v>0</v>
      </c>
      <c r="AA6758" s="6">
        <v>0</v>
      </c>
      <c r="AB6758" s="4">
        <f t="shared" si="1046"/>
        <v>110198.43</v>
      </c>
      <c r="AC6758" s="6">
        <f t="shared" si="1044"/>
        <v>0</v>
      </c>
      <c r="AD6758" s="6">
        <f t="shared" si="1048"/>
        <v>110198.43</v>
      </c>
      <c r="AE6758" s="14">
        <f>VLOOKUP(I6758,[2]媒体政策预估表!A:N,MATCH(O6758,[2]媒体政策预估表!$A$2:$M$2,0),0)</f>
        <v>0</v>
      </c>
      <c r="AF6758" s="6">
        <f t="shared" si="1053"/>
        <v>0</v>
      </c>
      <c r="AG6758" s="14">
        <v>0</v>
      </c>
      <c r="AH6758" s="64">
        <f t="shared" si="1049"/>
        <v>110198.43</v>
      </c>
      <c r="AJ6758" s="126" t="e">
        <v>#N/A</v>
      </c>
      <c r="AK6758" s="80">
        <f t="shared" si="1047"/>
        <v>0</v>
      </c>
      <c r="AL6758" s="85"/>
      <c r="AM6758" s="85"/>
    </row>
    <row r="6759" spans="1:39" s="86" customFormat="1" ht="13.25" hidden="1" customHeight="1" x14ac:dyDescent="0.3">
      <c r="A6759" s="89" t="s">
        <v>3978</v>
      </c>
      <c r="B6759" s="86" t="s">
        <v>701</v>
      </c>
      <c r="C6759" s="86" t="s">
        <v>65</v>
      </c>
      <c r="D6759" s="86" t="s">
        <v>122</v>
      </c>
      <c r="E6759" s="86" t="s">
        <v>702</v>
      </c>
      <c r="F6759" s="86" t="s">
        <v>703</v>
      </c>
      <c r="G6759" s="86" t="s">
        <v>704</v>
      </c>
      <c r="H6759" s="144">
        <v>72</v>
      </c>
      <c r="I6759" s="86" t="s">
        <v>2572</v>
      </c>
      <c r="J6759" s="1" t="s">
        <v>3327</v>
      </c>
      <c r="K6759" s="1" t="s">
        <v>3284</v>
      </c>
      <c r="L6759" s="1" t="s">
        <v>35</v>
      </c>
      <c r="M6759" s="86" t="s">
        <v>702</v>
      </c>
      <c r="O6759" s="47" t="s">
        <v>410</v>
      </c>
      <c r="P6759" s="47" t="s">
        <v>41</v>
      </c>
      <c r="Q6759" s="14">
        <v>0</v>
      </c>
      <c r="R6759" s="143">
        <v>400001033</v>
      </c>
      <c r="S6759" s="47"/>
      <c r="T6759" s="6">
        <v>43230.900000000023</v>
      </c>
      <c r="U6759" s="6">
        <v>576699.03</v>
      </c>
      <c r="V6759" s="6">
        <v>568249.93999999994</v>
      </c>
      <c r="W6759" s="6">
        <f t="shared" si="1040"/>
        <v>51679.990000000107</v>
      </c>
      <c r="X6759" s="6">
        <f t="shared" si="1041"/>
        <v>568249.93999999994</v>
      </c>
      <c r="Y6759" s="13">
        <f t="shared" si="1045"/>
        <v>0</v>
      </c>
      <c r="Z6759" s="66">
        <v>0.03</v>
      </c>
      <c r="AA6759" s="6">
        <f t="shared" ref="AA6759:AA6760" si="1054">X6759*Z6759</f>
        <v>17047.498199999998</v>
      </c>
      <c r="AB6759" s="4">
        <f t="shared" si="1046"/>
        <v>585297.43819999998</v>
      </c>
      <c r="AC6759" s="6">
        <f t="shared" si="1044"/>
        <v>0</v>
      </c>
      <c r="AD6759" s="6">
        <f t="shared" si="1048"/>
        <v>568249.93999999994</v>
      </c>
      <c r="AE6759" s="14">
        <f>VLOOKUP(I6759,[2]媒体政策预估表!A:N,MATCH(O6759,[2]媒体政策预估表!$A$2:$M$2,0),0)</f>
        <v>0</v>
      </c>
      <c r="AF6759" s="6">
        <f t="shared" si="1053"/>
        <v>0</v>
      </c>
      <c r="AG6759" s="14">
        <v>0</v>
      </c>
      <c r="AH6759" s="64">
        <f t="shared" si="1049"/>
        <v>568249.93999999994</v>
      </c>
      <c r="AJ6759" s="126" t="e">
        <v>#N/A</v>
      </c>
      <c r="AK6759" s="80">
        <f t="shared" si="1047"/>
        <v>0</v>
      </c>
      <c r="AL6759" s="85"/>
      <c r="AM6759" s="85"/>
    </row>
    <row r="6760" spans="1:39" s="86" customFormat="1" ht="13.25" hidden="1" customHeight="1" x14ac:dyDescent="0.3">
      <c r="A6760" s="89" t="s">
        <v>3792</v>
      </c>
      <c r="B6760" s="86" t="s">
        <v>35</v>
      </c>
      <c r="C6760" s="86" t="s">
        <v>184</v>
      </c>
      <c r="D6760" s="86" t="s">
        <v>37</v>
      </c>
      <c r="E6760" s="86" t="s">
        <v>38</v>
      </c>
      <c r="F6760" s="86" t="s">
        <v>38</v>
      </c>
      <c r="G6760" s="86" t="s">
        <v>38</v>
      </c>
      <c r="H6760" s="143">
        <v>216</v>
      </c>
      <c r="I6760" s="86" t="s">
        <v>39</v>
      </c>
      <c r="J6760" s="47" t="s">
        <v>3323</v>
      </c>
      <c r="K6760" s="47" t="s">
        <v>3766</v>
      </c>
      <c r="L6760" s="47" t="s">
        <v>35</v>
      </c>
      <c r="M6760" s="86" t="s">
        <v>38</v>
      </c>
      <c r="O6760" s="47" t="s">
        <v>40</v>
      </c>
      <c r="P6760" s="14" t="s">
        <v>41</v>
      </c>
      <c r="Q6760" s="14">
        <v>0</v>
      </c>
      <c r="R6760" s="143">
        <v>1000000850</v>
      </c>
      <c r="S6760" s="47"/>
      <c r="T6760" s="6">
        <v>-5559.39</v>
      </c>
      <c r="U6760" s="6"/>
      <c r="V6760" s="6"/>
      <c r="W6760" s="6">
        <f t="shared" si="1040"/>
        <v>-5559.39</v>
      </c>
      <c r="X6760" s="6">
        <f t="shared" si="1041"/>
        <v>0</v>
      </c>
      <c r="Y6760" s="13">
        <f t="shared" si="1045"/>
        <v>0</v>
      </c>
      <c r="Z6760" s="14">
        <v>0.02</v>
      </c>
      <c r="AA6760" s="6">
        <f t="shared" si="1054"/>
        <v>0</v>
      </c>
      <c r="AB6760" s="4">
        <f t="shared" si="1046"/>
        <v>0</v>
      </c>
      <c r="AC6760" s="6">
        <f t="shared" si="1044"/>
        <v>0</v>
      </c>
      <c r="AD6760" s="6">
        <f t="shared" si="1048"/>
        <v>0</v>
      </c>
      <c r="AE6760" s="14">
        <f>VLOOKUP(I6760,[2]媒体政策预估表!A:N,MATCH(O6760,[2]媒体政策预估表!$A$2:$M$2,0),0)</f>
        <v>0.06</v>
      </c>
      <c r="AF6760" s="6">
        <f t="shared" si="1053"/>
        <v>0</v>
      </c>
      <c r="AG6760" s="14">
        <v>0</v>
      </c>
      <c r="AH6760" s="64">
        <f t="shared" si="1049"/>
        <v>0</v>
      </c>
      <c r="AJ6760" s="126" t="e">
        <v>#N/A</v>
      </c>
      <c r="AK6760" s="80">
        <f t="shared" si="1047"/>
        <v>0</v>
      </c>
      <c r="AL6760" s="85"/>
      <c r="AM6760" s="85"/>
    </row>
    <row r="6761" spans="1:39" s="86" customFormat="1" ht="13.25" hidden="1" customHeight="1" x14ac:dyDescent="0.3">
      <c r="A6761" s="89" t="s">
        <v>3978</v>
      </c>
      <c r="B6761" s="86" t="s">
        <v>35</v>
      </c>
      <c r="C6761" s="86" t="s">
        <v>184</v>
      </c>
      <c r="D6761" s="86" t="s">
        <v>3849</v>
      </c>
      <c r="E6761" s="86" t="s">
        <v>49</v>
      </c>
      <c r="F6761" s="86" t="s">
        <v>49</v>
      </c>
      <c r="G6761" s="86" t="s">
        <v>49</v>
      </c>
      <c r="H6761" s="143">
        <v>216</v>
      </c>
      <c r="I6761" s="86" t="s">
        <v>39</v>
      </c>
      <c r="J6761" s="47" t="s">
        <v>3323</v>
      </c>
      <c r="K6761" s="47" t="s">
        <v>3766</v>
      </c>
      <c r="L6761" s="47" t="s">
        <v>35</v>
      </c>
      <c r="M6761" s="86" t="s">
        <v>49</v>
      </c>
      <c r="O6761" s="47" t="s">
        <v>40</v>
      </c>
      <c r="P6761" s="14" t="s">
        <v>41</v>
      </c>
      <c r="Q6761" s="14">
        <v>0</v>
      </c>
      <c r="R6761" s="143">
        <v>2000100879</v>
      </c>
      <c r="S6761" s="47"/>
      <c r="T6761" s="6">
        <v>9.9999999994988542E-3</v>
      </c>
      <c r="U6761" s="6"/>
      <c r="V6761" s="6"/>
      <c r="W6761" s="6">
        <f t="shared" si="1040"/>
        <v>9.9999999994988542E-3</v>
      </c>
      <c r="X6761" s="6">
        <f t="shared" si="1041"/>
        <v>0</v>
      </c>
      <c r="Y6761" s="13">
        <f t="shared" si="1045"/>
        <v>0</v>
      </c>
      <c r="Z6761" s="14">
        <v>0</v>
      </c>
      <c r="AA6761" s="6">
        <v>0</v>
      </c>
      <c r="AB6761" s="4">
        <f t="shared" si="1046"/>
        <v>0</v>
      </c>
      <c r="AC6761" s="6">
        <f t="shared" si="1044"/>
        <v>0</v>
      </c>
      <c r="AD6761" s="6">
        <f t="shared" si="1048"/>
        <v>0</v>
      </c>
      <c r="AE6761" s="14">
        <f>VLOOKUP(I6761,[2]媒体政策预估表!A:N,MATCH(O6761,[2]媒体政策预估表!$A$2:$M$2,0),0)</f>
        <v>0.06</v>
      </c>
      <c r="AF6761" s="6">
        <f t="shared" si="1053"/>
        <v>0</v>
      </c>
      <c r="AG6761" s="14">
        <v>0</v>
      </c>
      <c r="AH6761" s="64">
        <f t="shared" si="1049"/>
        <v>0</v>
      </c>
      <c r="AJ6761" s="126" t="e">
        <v>#N/A</v>
      </c>
      <c r="AK6761" s="80">
        <f t="shared" si="1047"/>
        <v>0</v>
      </c>
      <c r="AL6761" s="85"/>
      <c r="AM6761" s="85"/>
    </row>
    <row r="6762" spans="1:39" s="86" customFormat="1" ht="13.25" hidden="1" customHeight="1" x14ac:dyDescent="0.3">
      <c r="A6762" s="89" t="s">
        <v>3978</v>
      </c>
      <c r="B6762" s="86" t="s">
        <v>35</v>
      </c>
      <c r="C6762" s="86" t="s">
        <v>184</v>
      </c>
      <c r="D6762" s="86" t="s">
        <v>54</v>
      </c>
      <c r="E6762" s="86" t="s">
        <v>55</v>
      </c>
      <c r="F6762" s="86" t="s">
        <v>55</v>
      </c>
      <c r="G6762" s="86" t="s">
        <v>55</v>
      </c>
      <c r="H6762" s="143">
        <v>216</v>
      </c>
      <c r="I6762" s="86" t="s">
        <v>39</v>
      </c>
      <c r="J6762" s="47" t="s">
        <v>3323</v>
      </c>
      <c r="K6762" s="47" t="s">
        <v>3766</v>
      </c>
      <c r="L6762" s="47" t="s">
        <v>35</v>
      </c>
      <c r="M6762" s="86" t="s">
        <v>55</v>
      </c>
      <c r="O6762" s="47" t="s">
        <v>56</v>
      </c>
      <c r="P6762" s="14" t="s">
        <v>41</v>
      </c>
      <c r="Q6762" s="14">
        <v>0</v>
      </c>
      <c r="R6762" s="143">
        <v>1000000947</v>
      </c>
      <c r="S6762" s="47"/>
      <c r="T6762" s="6">
        <v>1698653.26229</v>
      </c>
      <c r="U6762" s="6"/>
      <c r="V6762" s="6"/>
      <c r="W6762" s="6">
        <f t="shared" si="1040"/>
        <v>1698653.26229</v>
      </c>
      <c r="X6762" s="6">
        <f t="shared" si="1041"/>
        <v>0</v>
      </c>
      <c r="Y6762" s="13">
        <f t="shared" si="1045"/>
        <v>0</v>
      </c>
      <c r="Z6762" s="14">
        <v>0</v>
      </c>
      <c r="AA6762" s="6">
        <v>0</v>
      </c>
      <c r="AB6762" s="4">
        <f t="shared" si="1046"/>
        <v>0</v>
      </c>
      <c r="AC6762" s="6">
        <f t="shared" si="1044"/>
        <v>0</v>
      </c>
      <c r="AD6762" s="6">
        <f t="shared" si="1048"/>
        <v>0</v>
      </c>
      <c r="AE6762" s="14">
        <f>VLOOKUP(I6762,[2]媒体政策预估表!A:N,MATCH(O6762,[2]媒体政策预估表!$A$2:$M$2,0),0)</f>
        <v>0</v>
      </c>
      <c r="AF6762" s="6">
        <f t="shared" si="1053"/>
        <v>0</v>
      </c>
      <c r="AG6762" s="14">
        <v>0</v>
      </c>
      <c r="AH6762" s="64">
        <f t="shared" si="1049"/>
        <v>0</v>
      </c>
      <c r="AJ6762" s="126" t="e">
        <v>#N/A</v>
      </c>
      <c r="AK6762" s="80">
        <f t="shared" si="1047"/>
        <v>0</v>
      </c>
      <c r="AL6762" s="85"/>
      <c r="AM6762" s="85"/>
    </row>
    <row r="6763" spans="1:39" s="86" customFormat="1" ht="13.25" hidden="1" customHeight="1" x14ac:dyDescent="0.3">
      <c r="A6763" s="89" t="s">
        <v>3978</v>
      </c>
      <c r="B6763" s="86" t="s">
        <v>35</v>
      </c>
      <c r="C6763" s="86" t="s">
        <v>184</v>
      </c>
      <c r="D6763" s="86" t="s">
        <v>37</v>
      </c>
      <c r="E6763" s="86" t="s">
        <v>57</v>
      </c>
      <c r="F6763" s="86" t="s">
        <v>58</v>
      </c>
      <c r="G6763" s="86" t="s">
        <v>57</v>
      </c>
      <c r="H6763" s="143">
        <v>216</v>
      </c>
      <c r="I6763" s="86" t="s">
        <v>39</v>
      </c>
      <c r="J6763" s="47" t="s">
        <v>3323</v>
      </c>
      <c r="K6763" s="47" t="s">
        <v>3766</v>
      </c>
      <c r="L6763" s="47" t="s">
        <v>35</v>
      </c>
      <c r="M6763" s="86" t="s">
        <v>57</v>
      </c>
      <c r="O6763" s="47" t="s">
        <v>40</v>
      </c>
      <c r="P6763" s="14" t="s">
        <v>46</v>
      </c>
      <c r="Q6763" s="14">
        <v>0.03</v>
      </c>
      <c r="R6763" s="143">
        <v>2000100456</v>
      </c>
      <c r="S6763" s="47"/>
      <c r="T6763" s="6">
        <v>1.0000000000218279E-2</v>
      </c>
      <c r="U6763" s="6"/>
      <c r="V6763" s="6"/>
      <c r="W6763" s="6">
        <f t="shared" si="1040"/>
        <v>1.0000000000218279E-2</v>
      </c>
      <c r="X6763" s="6">
        <f t="shared" si="1041"/>
        <v>0</v>
      </c>
      <c r="Y6763" s="13">
        <f t="shared" si="1045"/>
        <v>0</v>
      </c>
      <c r="Z6763" s="14">
        <v>0</v>
      </c>
      <c r="AA6763" s="6">
        <v>0</v>
      </c>
      <c r="AB6763" s="4">
        <f t="shared" si="1046"/>
        <v>0</v>
      </c>
      <c r="AC6763" s="6">
        <f t="shared" si="1044"/>
        <v>0</v>
      </c>
      <c r="AD6763" s="6">
        <f t="shared" si="1048"/>
        <v>0</v>
      </c>
      <c r="AE6763" s="14">
        <f>VLOOKUP(I6763,[2]媒体政策预估表!A:N,MATCH(O6763,[2]媒体政策预估表!$A$2:$M$2,0),0)</f>
        <v>0.06</v>
      </c>
      <c r="AF6763" s="6">
        <f t="shared" si="1053"/>
        <v>0</v>
      </c>
      <c r="AG6763" s="14">
        <v>0</v>
      </c>
      <c r="AH6763" s="64">
        <f t="shared" si="1049"/>
        <v>0</v>
      </c>
      <c r="AJ6763" s="126" t="e">
        <v>#N/A</v>
      </c>
      <c r="AK6763" s="80">
        <f t="shared" si="1047"/>
        <v>0</v>
      </c>
      <c r="AL6763" s="85"/>
      <c r="AM6763" s="85"/>
    </row>
    <row r="6764" spans="1:39" s="86" customFormat="1" ht="13.25" hidden="1" customHeight="1" x14ac:dyDescent="0.3">
      <c r="A6764" s="89" t="s">
        <v>3792</v>
      </c>
      <c r="B6764" s="86" t="s">
        <v>35</v>
      </c>
      <c r="C6764" s="86" t="s">
        <v>59</v>
      </c>
      <c r="D6764" s="86" t="s">
        <v>60</v>
      </c>
      <c r="E6764" s="86" t="s">
        <v>61</v>
      </c>
      <c r="F6764" s="86" t="s">
        <v>62</v>
      </c>
      <c r="G6764" s="86" t="s">
        <v>61</v>
      </c>
      <c r="H6764" s="143">
        <v>216</v>
      </c>
      <c r="I6764" s="86" t="s">
        <v>39</v>
      </c>
      <c r="J6764" s="47" t="s">
        <v>3323</v>
      </c>
      <c r="K6764" s="47" t="s">
        <v>3766</v>
      </c>
      <c r="L6764" s="47" t="s">
        <v>35</v>
      </c>
      <c r="M6764" s="86" t="s">
        <v>61</v>
      </c>
      <c r="O6764" s="47" t="s">
        <v>40</v>
      </c>
      <c r="P6764" s="14" t="s">
        <v>41</v>
      </c>
      <c r="Q6764" s="14">
        <v>0</v>
      </c>
      <c r="R6764" s="143">
        <v>1100000117</v>
      </c>
      <c r="S6764" s="47"/>
      <c r="T6764" s="6">
        <v>7284.76</v>
      </c>
      <c r="U6764" s="6"/>
      <c r="V6764" s="6"/>
      <c r="W6764" s="6">
        <f t="shared" si="1040"/>
        <v>7284.76</v>
      </c>
      <c r="X6764" s="6">
        <f t="shared" si="1041"/>
        <v>0</v>
      </c>
      <c r="Y6764" s="13">
        <f t="shared" si="1045"/>
        <v>0</v>
      </c>
      <c r="Z6764" s="14">
        <v>0</v>
      </c>
      <c r="AA6764" s="6">
        <v>0</v>
      </c>
      <c r="AB6764" s="4">
        <f t="shared" si="1046"/>
        <v>0</v>
      </c>
      <c r="AC6764" s="6">
        <f t="shared" si="1044"/>
        <v>0</v>
      </c>
      <c r="AD6764" s="6">
        <f t="shared" si="1048"/>
        <v>0</v>
      </c>
      <c r="AE6764" s="14">
        <f>VLOOKUP(I6764,[2]媒体政策预估表!A:N,MATCH(O6764,[2]媒体政策预估表!$A$2:$M$2,0),0)</f>
        <v>0.06</v>
      </c>
      <c r="AF6764" s="6">
        <f t="shared" si="1053"/>
        <v>0</v>
      </c>
      <c r="AG6764" s="14">
        <v>0</v>
      </c>
      <c r="AH6764" s="64">
        <f t="shared" si="1049"/>
        <v>0</v>
      </c>
      <c r="AJ6764" s="126" t="e">
        <v>#N/A</v>
      </c>
      <c r="AK6764" s="80">
        <f t="shared" si="1047"/>
        <v>0</v>
      </c>
      <c r="AL6764" s="85"/>
      <c r="AM6764" s="85"/>
    </row>
    <row r="6765" spans="1:39" s="86" customFormat="1" ht="13.25" hidden="1" customHeight="1" x14ac:dyDescent="0.3">
      <c r="A6765" s="89" t="s">
        <v>3978</v>
      </c>
      <c r="B6765" s="86" t="s">
        <v>35</v>
      </c>
      <c r="C6765" s="86" t="s">
        <v>59</v>
      </c>
      <c r="D6765" s="86" t="s">
        <v>60</v>
      </c>
      <c r="E6765" s="86" t="s">
        <v>61</v>
      </c>
      <c r="F6765" s="86" t="s">
        <v>62</v>
      </c>
      <c r="G6765" s="86" t="s">
        <v>61</v>
      </c>
      <c r="H6765" s="143">
        <v>216</v>
      </c>
      <c r="I6765" s="86" t="s">
        <v>39</v>
      </c>
      <c r="J6765" s="47" t="s">
        <v>3323</v>
      </c>
      <c r="K6765" s="47" t="s">
        <v>3766</v>
      </c>
      <c r="L6765" s="47" t="s">
        <v>35</v>
      </c>
      <c r="M6765" s="86" t="s">
        <v>61</v>
      </c>
      <c r="O6765" s="47" t="s">
        <v>56</v>
      </c>
      <c r="P6765" s="14" t="s">
        <v>41</v>
      </c>
      <c r="Q6765" s="14">
        <v>0</v>
      </c>
      <c r="R6765" s="143">
        <v>1100000117</v>
      </c>
      <c r="S6765" s="47"/>
      <c r="T6765" s="6">
        <v>-7203.2599999999984</v>
      </c>
      <c r="U6765" s="6"/>
      <c r="V6765" s="6"/>
      <c r="W6765" s="6">
        <f t="shared" si="1040"/>
        <v>-7203.2599999999984</v>
      </c>
      <c r="X6765" s="6">
        <f t="shared" si="1041"/>
        <v>0</v>
      </c>
      <c r="Y6765" s="13">
        <f t="shared" si="1045"/>
        <v>0</v>
      </c>
      <c r="Z6765" s="14">
        <v>0</v>
      </c>
      <c r="AA6765" s="6">
        <v>0</v>
      </c>
      <c r="AB6765" s="4">
        <f t="shared" si="1046"/>
        <v>0</v>
      </c>
      <c r="AC6765" s="6">
        <f t="shared" si="1044"/>
        <v>0</v>
      </c>
      <c r="AD6765" s="6">
        <f t="shared" si="1048"/>
        <v>0</v>
      </c>
      <c r="AE6765" s="14">
        <f>VLOOKUP(I6765,[2]媒体政策预估表!A:N,MATCH(O6765,[2]媒体政策预估表!$A$2:$M$2,0),0)</f>
        <v>0</v>
      </c>
      <c r="AF6765" s="6">
        <f t="shared" si="1053"/>
        <v>0</v>
      </c>
      <c r="AG6765" s="14">
        <v>0</v>
      </c>
      <c r="AH6765" s="64">
        <f t="shared" si="1049"/>
        <v>0</v>
      </c>
      <c r="AJ6765" s="126" t="e">
        <v>#N/A</v>
      </c>
      <c r="AK6765" s="80">
        <f t="shared" si="1047"/>
        <v>0</v>
      </c>
      <c r="AL6765" s="85"/>
      <c r="AM6765" s="85"/>
    </row>
    <row r="6766" spans="1:39" s="86" customFormat="1" ht="13.25" hidden="1" customHeight="1" x14ac:dyDescent="0.3">
      <c r="A6766" s="89" t="s">
        <v>3978</v>
      </c>
      <c r="B6766" s="86" t="s">
        <v>35</v>
      </c>
      <c r="C6766" s="86" t="s">
        <v>184</v>
      </c>
      <c r="D6766" s="86" t="s">
        <v>37</v>
      </c>
      <c r="E6766" s="86" t="s">
        <v>38</v>
      </c>
      <c r="F6766" s="86" t="s">
        <v>38</v>
      </c>
      <c r="G6766" s="86" t="s">
        <v>38</v>
      </c>
      <c r="H6766" s="143">
        <v>216</v>
      </c>
      <c r="I6766" s="86" t="s">
        <v>39</v>
      </c>
      <c r="J6766" s="47" t="s">
        <v>3323</v>
      </c>
      <c r="K6766" s="47" t="s">
        <v>3766</v>
      </c>
      <c r="L6766" s="47" t="s">
        <v>35</v>
      </c>
      <c r="M6766" s="86" t="s">
        <v>38</v>
      </c>
      <c r="O6766" s="47" t="s">
        <v>56</v>
      </c>
      <c r="P6766" s="14" t="s">
        <v>41</v>
      </c>
      <c r="Q6766" s="14">
        <v>0</v>
      </c>
      <c r="R6766" s="143">
        <v>1000000850</v>
      </c>
      <c r="S6766" s="47"/>
      <c r="T6766" s="6">
        <v>25818.397659999999</v>
      </c>
      <c r="U6766" s="6"/>
      <c r="V6766" s="6"/>
      <c r="W6766" s="6">
        <f t="shared" si="1040"/>
        <v>25818.397659999999</v>
      </c>
      <c r="X6766" s="6">
        <f t="shared" si="1041"/>
        <v>0</v>
      </c>
      <c r="Y6766" s="13">
        <f t="shared" si="1045"/>
        <v>0</v>
      </c>
      <c r="Z6766" s="14">
        <v>0.02</v>
      </c>
      <c r="AA6766" s="6">
        <f>X6766*Z6766</f>
        <v>0</v>
      </c>
      <c r="AB6766" s="4">
        <f t="shared" si="1046"/>
        <v>0</v>
      </c>
      <c r="AC6766" s="6">
        <f t="shared" si="1044"/>
        <v>0</v>
      </c>
      <c r="AD6766" s="6">
        <f t="shared" si="1048"/>
        <v>0</v>
      </c>
      <c r="AE6766" s="14">
        <f>VLOOKUP(I6766,[2]媒体政策预估表!A:N,MATCH(O6766,[2]媒体政策预估表!$A$2:$M$2,0),0)</f>
        <v>0</v>
      </c>
      <c r="AF6766" s="6">
        <f t="shared" si="1053"/>
        <v>0</v>
      </c>
      <c r="AG6766" s="14">
        <v>0</v>
      </c>
      <c r="AH6766" s="64">
        <f t="shared" si="1049"/>
        <v>0</v>
      </c>
      <c r="AJ6766" s="126" t="e">
        <v>#N/A</v>
      </c>
      <c r="AK6766" s="80">
        <f t="shared" si="1047"/>
        <v>0</v>
      </c>
      <c r="AL6766" s="85"/>
      <c r="AM6766" s="85"/>
    </row>
    <row r="6767" spans="1:39" s="86" customFormat="1" ht="13.25" hidden="1" customHeight="1" x14ac:dyDescent="0.3">
      <c r="A6767" s="89" t="s">
        <v>3978</v>
      </c>
      <c r="B6767" s="86" t="s">
        <v>35</v>
      </c>
      <c r="C6767" s="86" t="s">
        <v>47</v>
      </c>
      <c r="D6767" s="86" t="s">
        <v>63</v>
      </c>
      <c r="E6767" s="86" t="s">
        <v>64</v>
      </c>
      <c r="F6767" s="86" t="s">
        <v>64</v>
      </c>
      <c r="G6767" s="86" t="s">
        <v>64</v>
      </c>
      <c r="H6767" s="143">
        <v>216</v>
      </c>
      <c r="I6767" s="86" t="s">
        <v>39</v>
      </c>
      <c r="J6767" s="47" t="s">
        <v>3323</v>
      </c>
      <c r="K6767" s="47" t="s">
        <v>3766</v>
      </c>
      <c r="L6767" s="47" t="s">
        <v>35</v>
      </c>
      <c r="M6767" s="86" t="s">
        <v>64</v>
      </c>
      <c r="O6767" s="47" t="s">
        <v>40</v>
      </c>
      <c r="P6767" s="14" t="s">
        <v>41</v>
      </c>
      <c r="Q6767" s="14">
        <v>0</v>
      </c>
      <c r="R6767" s="143">
        <v>1000000800</v>
      </c>
      <c r="S6767" s="47"/>
      <c r="T6767" s="6">
        <v>1137087.5482300001</v>
      </c>
      <c r="U6767" s="6"/>
      <c r="V6767" s="6"/>
      <c r="W6767" s="6">
        <f t="shared" si="1040"/>
        <v>1137087.5482300001</v>
      </c>
      <c r="X6767" s="6">
        <f t="shared" si="1041"/>
        <v>0</v>
      </c>
      <c r="Y6767" s="13">
        <f t="shared" si="1045"/>
        <v>0</v>
      </c>
      <c r="Z6767" s="14">
        <v>0</v>
      </c>
      <c r="AA6767" s="6">
        <v>0</v>
      </c>
      <c r="AB6767" s="4">
        <f t="shared" si="1046"/>
        <v>0</v>
      </c>
      <c r="AC6767" s="6">
        <f t="shared" si="1044"/>
        <v>0</v>
      </c>
      <c r="AD6767" s="6">
        <f t="shared" si="1048"/>
        <v>0</v>
      </c>
      <c r="AE6767" s="14">
        <f>VLOOKUP(I6767,[2]媒体政策预估表!A:N,MATCH(O6767,[2]媒体政策预估表!$A$2:$M$2,0),0)</f>
        <v>0.06</v>
      </c>
      <c r="AF6767" s="6">
        <f t="shared" si="1053"/>
        <v>0</v>
      </c>
      <c r="AG6767" s="14">
        <v>0</v>
      </c>
      <c r="AH6767" s="64">
        <f t="shared" si="1049"/>
        <v>0</v>
      </c>
      <c r="AJ6767" s="126" t="e">
        <v>#N/A</v>
      </c>
      <c r="AK6767" s="80">
        <f t="shared" si="1047"/>
        <v>0</v>
      </c>
      <c r="AL6767" s="85"/>
      <c r="AM6767" s="85"/>
    </row>
    <row r="6768" spans="1:39" s="86" customFormat="1" ht="13.25" hidden="1" customHeight="1" x14ac:dyDescent="0.3">
      <c r="A6768" s="89" t="s">
        <v>3978</v>
      </c>
      <c r="B6768" s="86" t="s">
        <v>35</v>
      </c>
      <c r="C6768" s="86" t="s">
        <v>47</v>
      </c>
      <c r="D6768" s="86" t="s">
        <v>63</v>
      </c>
      <c r="E6768" s="86" t="s">
        <v>64</v>
      </c>
      <c r="F6768" s="86" t="s">
        <v>64</v>
      </c>
      <c r="G6768" s="86" t="s">
        <v>64</v>
      </c>
      <c r="H6768" s="143">
        <v>216</v>
      </c>
      <c r="I6768" s="86" t="s">
        <v>39</v>
      </c>
      <c r="J6768" s="47" t="s">
        <v>3323</v>
      </c>
      <c r="K6768" s="47" t="s">
        <v>3766</v>
      </c>
      <c r="L6768" s="47" t="s">
        <v>35</v>
      </c>
      <c r="M6768" s="86" t="s">
        <v>64</v>
      </c>
      <c r="O6768" s="47" t="s">
        <v>56</v>
      </c>
      <c r="P6768" s="14" t="s">
        <v>41</v>
      </c>
      <c r="Q6768" s="14">
        <v>0</v>
      </c>
      <c r="R6768" s="143">
        <v>1000000800</v>
      </c>
      <c r="S6768" s="47"/>
      <c r="T6768" s="6">
        <v>-1135040.31</v>
      </c>
      <c r="U6768" s="6"/>
      <c r="V6768" s="6"/>
      <c r="W6768" s="6">
        <f t="shared" ref="W6768:W6831" si="1055">T6768+U6768-V6768</f>
        <v>-1135040.31</v>
      </c>
      <c r="X6768" s="6">
        <f t="shared" ref="X6768:X6831" si="1056">IF(P6768="折扣",V6768*Q6768,IF(P6768="返现",V6768,V6768/(1+Q6768)))</f>
        <v>0</v>
      </c>
      <c r="Y6768" s="13">
        <f t="shared" si="1045"/>
        <v>0</v>
      </c>
      <c r="Z6768" s="14">
        <v>0</v>
      </c>
      <c r="AA6768" s="6">
        <v>0</v>
      </c>
      <c r="AB6768" s="4">
        <f t="shared" si="1046"/>
        <v>0</v>
      </c>
      <c r="AC6768" s="6">
        <f t="shared" si="1044"/>
        <v>0</v>
      </c>
      <c r="AD6768" s="6">
        <f t="shared" si="1048"/>
        <v>0</v>
      </c>
      <c r="AE6768" s="14">
        <f>VLOOKUP(I6768,[2]媒体政策预估表!A:N,MATCH(O6768,[2]媒体政策预估表!$A$2:$M$2,0),0)</f>
        <v>0</v>
      </c>
      <c r="AF6768" s="6">
        <f t="shared" si="1053"/>
        <v>0</v>
      </c>
      <c r="AG6768" s="14">
        <v>0</v>
      </c>
      <c r="AH6768" s="64">
        <f t="shared" si="1049"/>
        <v>0</v>
      </c>
      <c r="AJ6768" s="126" t="e">
        <v>#N/A</v>
      </c>
      <c r="AK6768" s="80">
        <f t="shared" si="1047"/>
        <v>0</v>
      </c>
      <c r="AL6768" s="85"/>
      <c r="AM6768" s="85"/>
    </row>
    <row r="6769" spans="1:39" s="86" customFormat="1" ht="13.25" hidden="1" customHeight="1" x14ac:dyDescent="0.3">
      <c r="A6769" s="89" t="s">
        <v>3978</v>
      </c>
      <c r="B6769" s="86" t="s">
        <v>35</v>
      </c>
      <c r="C6769" s="86" t="s">
        <v>184</v>
      </c>
      <c r="D6769" s="86" t="s">
        <v>54</v>
      </c>
      <c r="E6769" s="86" t="s">
        <v>55</v>
      </c>
      <c r="F6769" s="86" t="s">
        <v>55</v>
      </c>
      <c r="G6769" s="86" t="s">
        <v>55</v>
      </c>
      <c r="H6769" s="143">
        <v>216</v>
      </c>
      <c r="I6769" s="86" t="s">
        <v>39</v>
      </c>
      <c r="J6769" s="47" t="s">
        <v>3323</v>
      </c>
      <c r="K6769" s="47" t="s">
        <v>3766</v>
      </c>
      <c r="L6769" s="47" t="s">
        <v>35</v>
      </c>
      <c r="M6769" s="86" t="s">
        <v>55</v>
      </c>
      <c r="O6769" s="47" t="s">
        <v>40</v>
      </c>
      <c r="P6769" s="14" t="s">
        <v>41</v>
      </c>
      <c r="Q6769" s="14">
        <v>0</v>
      </c>
      <c r="R6769" s="143">
        <v>1000000947</v>
      </c>
      <c r="S6769" s="47"/>
      <c r="T6769" s="6">
        <v>-1697896.06</v>
      </c>
      <c r="U6769" s="6"/>
      <c r="V6769" s="6"/>
      <c r="W6769" s="6">
        <f t="shared" si="1055"/>
        <v>-1697896.06</v>
      </c>
      <c r="X6769" s="6">
        <f t="shared" si="1056"/>
        <v>0</v>
      </c>
      <c r="Y6769" s="13">
        <f t="shared" si="1045"/>
        <v>0</v>
      </c>
      <c r="Z6769" s="14">
        <v>0</v>
      </c>
      <c r="AA6769" s="6">
        <v>0</v>
      </c>
      <c r="AB6769" s="4">
        <f t="shared" si="1046"/>
        <v>0</v>
      </c>
      <c r="AC6769" s="6">
        <f t="shared" si="1044"/>
        <v>0</v>
      </c>
      <c r="AD6769" s="6">
        <f t="shared" si="1048"/>
        <v>0</v>
      </c>
      <c r="AE6769" s="14">
        <f>VLOOKUP(I6769,[2]媒体政策预估表!A:N,MATCH(O6769,[2]媒体政策预估表!$A$2:$M$2,0),0)</f>
        <v>0.06</v>
      </c>
      <c r="AF6769" s="6">
        <f t="shared" si="1053"/>
        <v>0</v>
      </c>
      <c r="AG6769" s="14">
        <v>0</v>
      </c>
      <c r="AH6769" s="64">
        <f t="shared" si="1049"/>
        <v>0</v>
      </c>
      <c r="AJ6769" s="126" t="e">
        <v>#N/A</v>
      </c>
      <c r="AK6769" s="80">
        <f t="shared" si="1047"/>
        <v>0</v>
      </c>
      <c r="AL6769" s="85"/>
      <c r="AM6769" s="85"/>
    </row>
    <row r="6770" spans="1:39" s="86" customFormat="1" ht="13.25" hidden="1" customHeight="1" x14ac:dyDescent="0.3">
      <c r="A6770" s="89" t="s">
        <v>3978</v>
      </c>
      <c r="B6770" s="86" t="s">
        <v>35</v>
      </c>
      <c r="C6770" s="86" t="s">
        <v>65</v>
      </c>
      <c r="D6770" s="86" t="s">
        <v>66</v>
      </c>
      <c r="E6770" s="86" t="s">
        <v>67</v>
      </c>
      <c r="F6770" s="86" t="s">
        <v>67</v>
      </c>
      <c r="G6770" s="86" t="s">
        <v>67</v>
      </c>
      <c r="H6770" s="143">
        <v>216</v>
      </c>
      <c r="I6770" s="86" t="s">
        <v>39</v>
      </c>
      <c r="J6770" s="47" t="s">
        <v>3323</v>
      </c>
      <c r="K6770" s="47" t="s">
        <v>3766</v>
      </c>
      <c r="L6770" s="47" t="s">
        <v>35</v>
      </c>
      <c r="M6770" s="86" t="s">
        <v>68</v>
      </c>
      <c r="O6770" s="47" t="s">
        <v>40</v>
      </c>
      <c r="P6770" s="14" t="s">
        <v>46</v>
      </c>
      <c r="Q6770" s="14">
        <v>0.02</v>
      </c>
      <c r="R6770" s="143">
        <v>1000000598</v>
      </c>
      <c r="S6770" s="47"/>
      <c r="T6770" s="6">
        <v>986.86000000000104</v>
      </c>
      <c r="U6770" s="6"/>
      <c r="V6770" s="6"/>
      <c r="W6770" s="6">
        <f t="shared" si="1055"/>
        <v>986.86000000000104</v>
      </c>
      <c r="X6770" s="6">
        <f t="shared" si="1056"/>
        <v>0</v>
      </c>
      <c r="Y6770" s="13">
        <f t="shared" si="1045"/>
        <v>0</v>
      </c>
      <c r="Z6770" s="14">
        <v>0</v>
      </c>
      <c r="AA6770" s="6">
        <v>0</v>
      </c>
      <c r="AB6770" s="4">
        <f t="shared" si="1046"/>
        <v>0</v>
      </c>
      <c r="AC6770" s="6">
        <f t="shared" si="1044"/>
        <v>0</v>
      </c>
      <c r="AD6770" s="6">
        <f t="shared" si="1048"/>
        <v>0</v>
      </c>
      <c r="AE6770" s="14">
        <f>VLOOKUP(I6770,[2]媒体政策预估表!A:N,MATCH(O6770,[2]媒体政策预估表!$A$2:$M$2,0),0)</f>
        <v>0.06</v>
      </c>
      <c r="AF6770" s="6">
        <f t="shared" si="1053"/>
        <v>0</v>
      </c>
      <c r="AG6770" s="14">
        <v>0</v>
      </c>
      <c r="AH6770" s="64">
        <f t="shared" si="1049"/>
        <v>0</v>
      </c>
      <c r="AJ6770" s="126" t="e">
        <v>#N/A</v>
      </c>
      <c r="AK6770" s="80">
        <f t="shared" si="1047"/>
        <v>0</v>
      </c>
      <c r="AL6770" s="85"/>
      <c r="AM6770" s="85"/>
    </row>
    <row r="6771" spans="1:39" s="86" customFormat="1" ht="13.25" hidden="1" customHeight="1" x14ac:dyDescent="0.3">
      <c r="A6771" s="89" t="s">
        <v>3978</v>
      </c>
      <c r="B6771" s="86" t="s">
        <v>35</v>
      </c>
      <c r="C6771" s="86" t="s">
        <v>184</v>
      </c>
      <c r="D6771" s="86" t="s">
        <v>3849</v>
      </c>
      <c r="E6771" s="86" t="s">
        <v>69</v>
      </c>
      <c r="F6771" s="86" t="s">
        <v>69</v>
      </c>
      <c r="G6771" s="86" t="s">
        <v>69</v>
      </c>
      <c r="H6771" s="143">
        <v>216</v>
      </c>
      <c r="I6771" s="86" t="s">
        <v>39</v>
      </c>
      <c r="J6771" s="47" t="s">
        <v>3323</v>
      </c>
      <c r="K6771" s="47" t="s">
        <v>3766</v>
      </c>
      <c r="L6771" s="47" t="s">
        <v>35</v>
      </c>
      <c r="M6771" s="86" t="s">
        <v>70</v>
      </c>
      <c r="O6771" s="47" t="s">
        <v>56</v>
      </c>
      <c r="P6771" s="14" t="s">
        <v>41</v>
      </c>
      <c r="Q6771" s="14">
        <v>0</v>
      </c>
      <c r="R6771" s="143">
        <v>1000000633</v>
      </c>
      <c r="S6771" s="47"/>
      <c r="T6771" s="6">
        <v>145.4</v>
      </c>
      <c r="U6771" s="6"/>
      <c r="V6771" s="6"/>
      <c r="W6771" s="6">
        <f t="shared" si="1055"/>
        <v>145.4</v>
      </c>
      <c r="X6771" s="6">
        <f t="shared" si="1056"/>
        <v>0</v>
      </c>
      <c r="Y6771" s="13">
        <f t="shared" si="1045"/>
        <v>0</v>
      </c>
      <c r="Z6771" s="14">
        <v>0</v>
      </c>
      <c r="AA6771" s="6">
        <v>0</v>
      </c>
      <c r="AB6771" s="4">
        <f t="shared" si="1046"/>
        <v>0</v>
      </c>
      <c r="AC6771" s="6">
        <f t="shared" si="1044"/>
        <v>0</v>
      </c>
      <c r="AD6771" s="6">
        <f t="shared" si="1048"/>
        <v>0</v>
      </c>
      <c r="AE6771" s="14">
        <f>VLOOKUP(I6771,[2]媒体政策预估表!A:N,MATCH(O6771,[2]媒体政策预估表!$A$2:$M$2,0),0)</f>
        <v>0</v>
      </c>
      <c r="AF6771" s="6">
        <f t="shared" si="1053"/>
        <v>0</v>
      </c>
      <c r="AG6771" s="14">
        <v>0</v>
      </c>
      <c r="AH6771" s="64">
        <f t="shared" si="1049"/>
        <v>0</v>
      </c>
      <c r="AJ6771" s="126" t="e">
        <v>#N/A</v>
      </c>
      <c r="AK6771" s="80">
        <f t="shared" si="1047"/>
        <v>0</v>
      </c>
      <c r="AL6771" s="85"/>
      <c r="AM6771" s="85"/>
    </row>
    <row r="6772" spans="1:39" s="86" customFormat="1" ht="13.25" hidden="1" customHeight="1" x14ac:dyDescent="0.3">
      <c r="A6772" s="89" t="s">
        <v>3978</v>
      </c>
      <c r="B6772" s="86" t="s">
        <v>35</v>
      </c>
      <c r="C6772" s="86" t="s">
        <v>184</v>
      </c>
      <c r="D6772" s="86" t="s">
        <v>54</v>
      </c>
      <c r="E6772" s="86" t="s">
        <v>71</v>
      </c>
      <c r="F6772" s="86" t="s">
        <v>72</v>
      </c>
      <c r="G6772" s="86" t="s">
        <v>71</v>
      </c>
      <c r="H6772" s="143">
        <v>216</v>
      </c>
      <c r="I6772" s="86" t="s">
        <v>39</v>
      </c>
      <c r="J6772" s="47" t="s">
        <v>3323</v>
      </c>
      <c r="K6772" s="47" t="s">
        <v>3766</v>
      </c>
      <c r="L6772" s="47" t="s">
        <v>35</v>
      </c>
      <c r="M6772" s="86" t="s">
        <v>73</v>
      </c>
      <c r="O6772" s="47" t="s">
        <v>40</v>
      </c>
      <c r="P6772" s="14" t="s">
        <v>41</v>
      </c>
      <c r="Q6772" s="14">
        <v>0</v>
      </c>
      <c r="R6772" s="143">
        <v>1000000208</v>
      </c>
      <c r="S6772" s="47"/>
      <c r="T6772" s="6">
        <v>57356.7</v>
      </c>
      <c r="U6772" s="6"/>
      <c r="V6772" s="6"/>
      <c r="W6772" s="6">
        <f t="shared" si="1055"/>
        <v>57356.7</v>
      </c>
      <c r="X6772" s="6">
        <f t="shared" si="1056"/>
        <v>0</v>
      </c>
      <c r="Y6772" s="13">
        <f t="shared" si="1045"/>
        <v>0</v>
      </c>
      <c r="Z6772" s="14">
        <v>5.5E-2</v>
      </c>
      <c r="AA6772" s="6">
        <f>X6772*Z6772</f>
        <v>0</v>
      </c>
      <c r="AB6772" s="4">
        <f t="shared" si="1046"/>
        <v>0</v>
      </c>
      <c r="AC6772" s="6">
        <f t="shared" si="1044"/>
        <v>0</v>
      </c>
      <c r="AD6772" s="6">
        <f t="shared" si="1048"/>
        <v>0</v>
      </c>
      <c r="AE6772" s="14">
        <f>VLOOKUP(I6772,[2]媒体政策预估表!A:N,MATCH(O6772,[2]媒体政策预估表!$A$2:$M$2,0),0)</f>
        <v>0.06</v>
      </c>
      <c r="AF6772" s="6">
        <f t="shared" si="1053"/>
        <v>0</v>
      </c>
      <c r="AG6772" s="14">
        <v>0</v>
      </c>
      <c r="AH6772" s="64">
        <f t="shared" si="1049"/>
        <v>0</v>
      </c>
      <c r="AJ6772" s="126" t="e">
        <v>#N/A</v>
      </c>
      <c r="AK6772" s="80">
        <f t="shared" si="1047"/>
        <v>0</v>
      </c>
      <c r="AL6772" s="85"/>
      <c r="AM6772" s="85"/>
    </row>
    <row r="6773" spans="1:39" s="86" customFormat="1" ht="13.25" hidden="1" customHeight="1" x14ac:dyDescent="0.3">
      <c r="A6773" s="89" t="s">
        <v>3792</v>
      </c>
      <c r="B6773" s="86" t="s">
        <v>35</v>
      </c>
      <c r="C6773" s="86" t="s">
        <v>59</v>
      </c>
      <c r="D6773" s="86" t="s">
        <v>60</v>
      </c>
      <c r="E6773" s="86" t="s">
        <v>77</v>
      </c>
      <c r="F6773" s="86" t="s">
        <v>77</v>
      </c>
      <c r="G6773" s="86" t="s">
        <v>77</v>
      </c>
      <c r="H6773" s="144">
        <v>72</v>
      </c>
      <c r="I6773" s="86" t="s">
        <v>2572</v>
      </c>
      <c r="J6773" s="1" t="s">
        <v>3327</v>
      </c>
      <c r="K6773" s="1" t="s">
        <v>3284</v>
      </c>
      <c r="L6773" s="1" t="s">
        <v>35</v>
      </c>
      <c r="M6773" s="86" t="s">
        <v>2573</v>
      </c>
      <c r="O6773" s="47" t="s">
        <v>410</v>
      </c>
      <c r="P6773" s="14" t="s">
        <v>41</v>
      </c>
      <c r="Q6773" s="14">
        <v>0</v>
      </c>
      <c r="R6773" s="143">
        <v>400002591</v>
      </c>
      <c r="S6773" s="47"/>
      <c r="T6773" s="6">
        <v>112682.45999999993</v>
      </c>
      <c r="U6773" s="6"/>
      <c r="V6773" s="6">
        <v>96115.85</v>
      </c>
      <c r="W6773" s="6">
        <f t="shared" si="1055"/>
        <v>16566.609999999928</v>
      </c>
      <c r="X6773" s="6">
        <f t="shared" si="1056"/>
        <v>96115.85</v>
      </c>
      <c r="Y6773" s="13">
        <f t="shared" si="1045"/>
        <v>0</v>
      </c>
      <c r="Z6773" s="14">
        <v>0</v>
      </c>
      <c r="AA6773" s="6">
        <v>0</v>
      </c>
      <c r="AB6773" s="4">
        <f t="shared" si="1046"/>
        <v>96115.85</v>
      </c>
      <c r="AC6773" s="6">
        <f t="shared" si="1044"/>
        <v>0</v>
      </c>
      <c r="AD6773" s="6">
        <f t="shared" si="1048"/>
        <v>96115.85</v>
      </c>
      <c r="AE6773" s="14">
        <f>VLOOKUP(I6773,[2]媒体政策预估表!A:N,MATCH(O6773,[2]媒体政策预估表!$A$2:$M$2,0),0)</f>
        <v>0</v>
      </c>
      <c r="AF6773" s="6">
        <f t="shared" si="1053"/>
        <v>0</v>
      </c>
      <c r="AG6773" s="14">
        <v>0</v>
      </c>
      <c r="AH6773" s="64">
        <f t="shared" si="1049"/>
        <v>96115.85</v>
      </c>
      <c r="AJ6773" s="126" t="e">
        <v>#N/A</v>
      </c>
      <c r="AK6773" s="80">
        <f t="shared" si="1047"/>
        <v>0</v>
      </c>
      <c r="AL6773" s="85"/>
      <c r="AM6773" s="85"/>
    </row>
    <row r="6774" spans="1:39" s="86" customFormat="1" ht="13.25" hidden="1" customHeight="1" x14ac:dyDescent="0.3">
      <c r="A6774" s="89" t="s">
        <v>3978</v>
      </c>
      <c r="B6774" s="86" t="s">
        <v>35</v>
      </c>
      <c r="C6774" s="86" t="s">
        <v>184</v>
      </c>
      <c r="D6774" s="86" t="s">
        <v>224</v>
      </c>
      <c r="E6774" s="86" t="s">
        <v>2575</v>
      </c>
      <c r="F6774" s="86" t="s">
        <v>2575</v>
      </c>
      <c r="G6774" s="86" t="s">
        <v>2575</v>
      </c>
      <c r="H6774" s="144">
        <v>72</v>
      </c>
      <c r="I6774" s="86" t="s">
        <v>2572</v>
      </c>
      <c r="J6774" s="1" t="s">
        <v>3327</v>
      </c>
      <c r="K6774" s="1" t="s">
        <v>3284</v>
      </c>
      <c r="L6774" s="1" t="s">
        <v>35</v>
      </c>
      <c r="M6774" s="86" t="s">
        <v>2576</v>
      </c>
      <c r="O6774" s="47" t="s">
        <v>410</v>
      </c>
      <c r="P6774" s="14" t="s">
        <v>41</v>
      </c>
      <c r="Q6774" s="14">
        <v>0</v>
      </c>
      <c r="R6774" s="143">
        <v>400003494</v>
      </c>
      <c r="S6774" s="47"/>
      <c r="T6774" s="6">
        <v>199.36000000000081</v>
      </c>
      <c r="U6774" s="6"/>
      <c r="V6774" s="6">
        <v>1.9</v>
      </c>
      <c r="W6774" s="6">
        <f t="shared" si="1055"/>
        <v>197.4600000000008</v>
      </c>
      <c r="X6774" s="6">
        <f t="shared" si="1056"/>
        <v>1.9</v>
      </c>
      <c r="Y6774" s="13">
        <f t="shared" si="1045"/>
        <v>0</v>
      </c>
      <c r="Z6774" s="14">
        <v>0.03</v>
      </c>
      <c r="AA6774" s="6">
        <f t="shared" ref="AA6774:AA6777" si="1057">X6774*Z6774</f>
        <v>5.6999999999999995E-2</v>
      </c>
      <c r="AB6774" s="4">
        <f t="shared" si="1046"/>
        <v>1.9569999999999999</v>
      </c>
      <c r="AC6774" s="6">
        <f t="shared" si="1044"/>
        <v>0</v>
      </c>
      <c r="AD6774" s="6">
        <f t="shared" si="1048"/>
        <v>1.9</v>
      </c>
      <c r="AE6774" s="14">
        <f>VLOOKUP(I6774,[2]媒体政策预估表!A:N,MATCH(O6774,[2]媒体政策预估表!$A$2:$M$2,0),0)</f>
        <v>0</v>
      </c>
      <c r="AF6774" s="6">
        <f t="shared" si="1053"/>
        <v>0</v>
      </c>
      <c r="AG6774" s="14">
        <v>0</v>
      </c>
      <c r="AH6774" s="64">
        <f t="shared" si="1049"/>
        <v>1.9</v>
      </c>
      <c r="AJ6774" s="126" t="e">
        <v>#N/A</v>
      </c>
      <c r="AK6774" s="80">
        <f t="shared" si="1047"/>
        <v>0</v>
      </c>
      <c r="AL6774" s="85"/>
      <c r="AM6774" s="85"/>
    </row>
    <row r="6775" spans="1:39" s="86" customFormat="1" ht="13.25" hidden="1" customHeight="1" x14ac:dyDescent="0.3">
      <c r="A6775" s="89" t="s">
        <v>3978</v>
      </c>
      <c r="B6775" s="86" t="s">
        <v>35</v>
      </c>
      <c r="C6775" s="86" t="s">
        <v>184</v>
      </c>
      <c r="D6775" s="86" t="s">
        <v>54</v>
      </c>
      <c r="E6775" s="86" t="s">
        <v>71</v>
      </c>
      <c r="F6775" s="86" t="s">
        <v>71</v>
      </c>
      <c r="G6775" s="86" t="s">
        <v>71</v>
      </c>
      <c r="H6775" s="143">
        <v>72</v>
      </c>
      <c r="I6775" s="86" t="s">
        <v>2572</v>
      </c>
      <c r="J6775" s="1" t="s">
        <v>3327</v>
      </c>
      <c r="K6775" s="1" t="s">
        <v>3284</v>
      </c>
      <c r="L6775" s="1" t="s">
        <v>35</v>
      </c>
      <c r="M6775" s="86" t="s">
        <v>2577</v>
      </c>
      <c r="O6775" s="47" t="s">
        <v>410</v>
      </c>
      <c r="P6775" s="14" t="s">
        <v>41</v>
      </c>
      <c r="Q6775" s="14">
        <v>0</v>
      </c>
      <c r="R6775" s="143">
        <v>600001435</v>
      </c>
      <c r="S6775" s="47"/>
      <c r="T6775" s="6">
        <v>-611.86999999856835</v>
      </c>
      <c r="U6775" s="6"/>
      <c r="V6775" s="6">
        <v>0</v>
      </c>
      <c r="W6775" s="6">
        <f t="shared" si="1055"/>
        <v>-611.86999999856835</v>
      </c>
      <c r="X6775" s="6">
        <f t="shared" si="1056"/>
        <v>0</v>
      </c>
      <c r="Y6775" s="13">
        <f t="shared" si="1045"/>
        <v>0</v>
      </c>
      <c r="Z6775" s="14">
        <v>5.5E-2</v>
      </c>
      <c r="AA6775" s="6">
        <f t="shared" si="1057"/>
        <v>0</v>
      </c>
      <c r="AB6775" s="4">
        <f t="shared" si="1046"/>
        <v>0</v>
      </c>
      <c r="AC6775" s="6">
        <f t="shared" si="1044"/>
        <v>0</v>
      </c>
      <c r="AD6775" s="6">
        <f t="shared" si="1048"/>
        <v>0</v>
      </c>
      <c r="AE6775" s="14">
        <f>VLOOKUP(I6775,[2]媒体政策预估表!A:N,MATCH(O6775,[2]媒体政策预估表!$A$2:$M$2,0),0)</f>
        <v>0</v>
      </c>
      <c r="AF6775" s="6">
        <f t="shared" si="1053"/>
        <v>0</v>
      </c>
      <c r="AG6775" s="14">
        <v>0</v>
      </c>
      <c r="AH6775" s="64">
        <f t="shared" si="1049"/>
        <v>0</v>
      </c>
      <c r="AJ6775" s="126" t="e">
        <v>#N/A</v>
      </c>
      <c r="AK6775" s="80">
        <f t="shared" si="1047"/>
        <v>0</v>
      </c>
      <c r="AL6775" s="85"/>
      <c r="AM6775" s="85"/>
    </row>
    <row r="6776" spans="1:39" s="86" customFormat="1" ht="13.25" hidden="1" customHeight="1" x14ac:dyDescent="0.3">
      <c r="A6776" s="89" t="s">
        <v>3792</v>
      </c>
      <c r="B6776" s="86" t="s">
        <v>35</v>
      </c>
      <c r="C6776" s="86" t="s">
        <v>184</v>
      </c>
      <c r="D6776" s="86" t="s">
        <v>54</v>
      </c>
      <c r="E6776" s="86" t="s">
        <v>71</v>
      </c>
      <c r="F6776" s="86" t="s">
        <v>71</v>
      </c>
      <c r="G6776" s="86" t="s">
        <v>71</v>
      </c>
      <c r="H6776" s="143">
        <v>72</v>
      </c>
      <c r="I6776" s="86" t="s">
        <v>2572</v>
      </c>
      <c r="J6776" s="1" t="s">
        <v>3327</v>
      </c>
      <c r="K6776" s="1" t="s">
        <v>3284</v>
      </c>
      <c r="L6776" s="1" t="s">
        <v>35</v>
      </c>
      <c r="M6776" s="86" t="s">
        <v>73</v>
      </c>
      <c r="O6776" s="47" t="s">
        <v>410</v>
      </c>
      <c r="P6776" s="14" t="s">
        <v>41</v>
      </c>
      <c r="Q6776" s="14">
        <v>0</v>
      </c>
      <c r="R6776" s="143">
        <v>600001390</v>
      </c>
      <c r="S6776" s="47"/>
      <c r="T6776" s="6">
        <v>515545.09999999567</v>
      </c>
      <c r="U6776" s="6"/>
      <c r="V6776" s="6">
        <v>0</v>
      </c>
      <c r="W6776" s="6">
        <f t="shared" si="1055"/>
        <v>515545.09999999567</v>
      </c>
      <c r="X6776" s="6">
        <f t="shared" si="1056"/>
        <v>0</v>
      </c>
      <c r="Y6776" s="13">
        <f t="shared" si="1045"/>
        <v>0</v>
      </c>
      <c r="Z6776" s="14">
        <v>5.5E-2</v>
      </c>
      <c r="AA6776" s="6">
        <f t="shared" si="1057"/>
        <v>0</v>
      </c>
      <c r="AB6776" s="4">
        <f t="shared" si="1046"/>
        <v>0</v>
      </c>
      <c r="AC6776" s="6">
        <f t="shared" si="1044"/>
        <v>0</v>
      </c>
      <c r="AD6776" s="6">
        <f t="shared" si="1048"/>
        <v>0</v>
      </c>
      <c r="AE6776" s="14">
        <f>VLOOKUP(I6776,[2]媒体政策预估表!A:N,MATCH(O6776,[2]媒体政策预估表!$A$2:$M$2,0),0)</f>
        <v>0</v>
      </c>
      <c r="AF6776" s="6">
        <f t="shared" si="1053"/>
        <v>0</v>
      </c>
      <c r="AG6776" s="14">
        <v>0</v>
      </c>
      <c r="AH6776" s="64">
        <f t="shared" si="1049"/>
        <v>0</v>
      </c>
      <c r="AJ6776" s="126" t="e">
        <v>#N/A</v>
      </c>
      <c r="AK6776" s="80">
        <f t="shared" si="1047"/>
        <v>0</v>
      </c>
      <c r="AL6776" s="85"/>
      <c r="AM6776" s="85"/>
    </row>
    <row r="6777" spans="1:39" s="86" customFormat="1" ht="13.25" hidden="1" customHeight="1" x14ac:dyDescent="0.3">
      <c r="A6777" s="89" t="s">
        <v>3978</v>
      </c>
      <c r="B6777" s="86" t="s">
        <v>35</v>
      </c>
      <c r="C6777" s="86" t="s">
        <v>164</v>
      </c>
      <c r="D6777" s="86" t="s">
        <v>305</v>
      </c>
      <c r="E6777" s="86" t="s">
        <v>1554</v>
      </c>
      <c r="F6777" s="86" t="s">
        <v>1555</v>
      </c>
      <c r="G6777" s="86" t="s">
        <v>1554</v>
      </c>
      <c r="H6777" s="144">
        <v>72</v>
      </c>
      <c r="I6777" s="86" t="s">
        <v>2572</v>
      </c>
      <c r="J6777" s="1" t="s">
        <v>3327</v>
      </c>
      <c r="K6777" s="1" t="s">
        <v>3284</v>
      </c>
      <c r="L6777" s="1" t="s">
        <v>35</v>
      </c>
      <c r="M6777" s="86" t="s">
        <v>1554</v>
      </c>
      <c r="O6777" s="47" t="s">
        <v>410</v>
      </c>
      <c r="P6777" s="14" t="s">
        <v>41</v>
      </c>
      <c r="Q6777" s="14">
        <v>0</v>
      </c>
      <c r="R6777" s="143">
        <v>400003597</v>
      </c>
      <c r="S6777" s="47"/>
      <c r="T6777" s="6">
        <v>249213.60000000003</v>
      </c>
      <c r="U6777" s="6"/>
      <c r="V6777" s="6">
        <v>85795</v>
      </c>
      <c r="W6777" s="6">
        <f t="shared" si="1055"/>
        <v>163418.60000000003</v>
      </c>
      <c r="X6777" s="6">
        <f t="shared" si="1056"/>
        <v>85795</v>
      </c>
      <c r="Y6777" s="13">
        <f t="shared" si="1045"/>
        <v>0</v>
      </c>
      <c r="Z6777" s="14">
        <v>0.03</v>
      </c>
      <c r="AA6777" s="6">
        <f t="shared" si="1057"/>
        <v>2573.85</v>
      </c>
      <c r="AB6777" s="4">
        <f t="shared" si="1046"/>
        <v>88368.85</v>
      </c>
      <c r="AC6777" s="6">
        <f t="shared" si="1044"/>
        <v>0</v>
      </c>
      <c r="AD6777" s="6">
        <f t="shared" si="1048"/>
        <v>85795</v>
      </c>
      <c r="AE6777" s="14">
        <f>VLOOKUP(I6777,[2]媒体政策预估表!A:N,MATCH(O6777,[2]媒体政策预估表!$A$2:$M$2,0),0)</f>
        <v>0</v>
      </c>
      <c r="AF6777" s="6">
        <f t="shared" si="1053"/>
        <v>0</v>
      </c>
      <c r="AG6777" s="14">
        <v>0</v>
      </c>
      <c r="AH6777" s="64">
        <f t="shared" si="1049"/>
        <v>85795</v>
      </c>
      <c r="AJ6777" s="126" t="e">
        <v>#N/A</v>
      </c>
      <c r="AK6777" s="80">
        <f t="shared" si="1047"/>
        <v>0</v>
      </c>
      <c r="AL6777" s="85"/>
      <c r="AM6777" s="85"/>
    </row>
    <row r="6778" spans="1:39" s="86" customFormat="1" ht="13.25" hidden="1" customHeight="1" x14ac:dyDescent="0.3">
      <c r="A6778" s="89" t="s">
        <v>3978</v>
      </c>
      <c r="B6778" s="86" t="s">
        <v>35</v>
      </c>
      <c r="C6778" s="86" t="s">
        <v>164</v>
      </c>
      <c r="D6778" s="86" t="s">
        <v>174</v>
      </c>
      <c r="E6778" s="86" t="s">
        <v>1969</v>
      </c>
      <c r="F6778" s="86" t="s">
        <v>1969</v>
      </c>
      <c r="G6778" s="86" t="s">
        <v>1969</v>
      </c>
      <c r="H6778" s="144">
        <v>72</v>
      </c>
      <c r="I6778" s="86" t="s">
        <v>2572</v>
      </c>
      <c r="J6778" s="1" t="s">
        <v>3327</v>
      </c>
      <c r="K6778" s="1" t="s">
        <v>3284</v>
      </c>
      <c r="L6778" s="1" t="s">
        <v>35</v>
      </c>
      <c r="M6778" s="86" t="s">
        <v>1971</v>
      </c>
      <c r="O6778" s="47" t="s">
        <v>410</v>
      </c>
      <c r="P6778" s="14" t="s">
        <v>41</v>
      </c>
      <c r="Q6778" s="14">
        <v>0</v>
      </c>
      <c r="R6778" s="143">
        <v>400002651</v>
      </c>
      <c r="S6778" s="47"/>
      <c r="T6778" s="6">
        <v>16893.330000000016</v>
      </c>
      <c r="U6778" s="6"/>
      <c r="V6778" s="6">
        <v>16846.79</v>
      </c>
      <c r="W6778" s="6">
        <f t="shared" si="1055"/>
        <v>46.540000000015425</v>
      </c>
      <c r="X6778" s="6">
        <f t="shared" si="1056"/>
        <v>16846.79</v>
      </c>
      <c r="Y6778" s="13">
        <f t="shared" si="1045"/>
        <v>0</v>
      </c>
      <c r="Z6778" s="14">
        <v>0</v>
      </c>
      <c r="AA6778" s="6">
        <v>0</v>
      </c>
      <c r="AB6778" s="4">
        <f t="shared" si="1046"/>
        <v>16846.79</v>
      </c>
      <c r="AC6778" s="6">
        <f t="shared" si="1044"/>
        <v>0</v>
      </c>
      <c r="AD6778" s="6">
        <f t="shared" si="1048"/>
        <v>16846.79</v>
      </c>
      <c r="AE6778" s="14">
        <f>VLOOKUP(I6778,[2]媒体政策预估表!A:N,MATCH(O6778,[2]媒体政策预估表!$A$2:$M$2,0),0)</f>
        <v>0</v>
      </c>
      <c r="AF6778" s="6">
        <f t="shared" si="1053"/>
        <v>0</v>
      </c>
      <c r="AG6778" s="14">
        <v>0</v>
      </c>
      <c r="AH6778" s="64">
        <f t="shared" si="1049"/>
        <v>16846.79</v>
      </c>
      <c r="AJ6778" s="126" t="e">
        <v>#N/A</v>
      </c>
      <c r="AK6778" s="80">
        <f t="shared" si="1047"/>
        <v>0</v>
      </c>
      <c r="AL6778" s="85"/>
      <c r="AM6778" s="85"/>
    </row>
    <row r="6779" spans="1:39" s="86" customFormat="1" ht="13.25" hidden="1" customHeight="1" x14ac:dyDescent="0.3">
      <c r="A6779" s="89" t="s">
        <v>3978</v>
      </c>
      <c r="B6779" s="86" t="s">
        <v>35</v>
      </c>
      <c r="C6779" s="86" t="s">
        <v>65</v>
      </c>
      <c r="D6779" s="86" t="s">
        <v>66</v>
      </c>
      <c r="E6779" s="86" t="s">
        <v>713</v>
      </c>
      <c r="F6779" s="86" t="s">
        <v>713</v>
      </c>
      <c r="G6779" s="86" t="s">
        <v>713</v>
      </c>
      <c r="H6779" s="143">
        <v>72</v>
      </c>
      <c r="I6779" s="86" t="s">
        <v>2572</v>
      </c>
      <c r="J6779" s="1" t="s">
        <v>3327</v>
      </c>
      <c r="K6779" s="1" t="s">
        <v>3284</v>
      </c>
      <c r="L6779" s="1" t="s">
        <v>35</v>
      </c>
      <c r="M6779" s="86" t="s">
        <v>1874</v>
      </c>
      <c r="O6779" s="47" t="s">
        <v>410</v>
      </c>
      <c r="P6779" s="14" t="s">
        <v>41</v>
      </c>
      <c r="Q6779" s="14">
        <v>0</v>
      </c>
      <c r="R6779" s="143">
        <v>600004428</v>
      </c>
      <c r="S6779" s="47"/>
      <c r="T6779" s="6">
        <v>9708.74</v>
      </c>
      <c r="U6779" s="6"/>
      <c r="V6779" s="6">
        <v>0</v>
      </c>
      <c r="W6779" s="6">
        <f t="shared" si="1055"/>
        <v>9708.74</v>
      </c>
      <c r="X6779" s="6">
        <f t="shared" si="1056"/>
        <v>0</v>
      </c>
      <c r="Y6779" s="13">
        <f t="shared" si="1045"/>
        <v>0</v>
      </c>
      <c r="Z6779" s="14">
        <v>0.03</v>
      </c>
      <c r="AA6779" s="6">
        <f>X6779*Z6779</f>
        <v>0</v>
      </c>
      <c r="AB6779" s="4">
        <f t="shared" si="1046"/>
        <v>0</v>
      </c>
      <c r="AC6779" s="6">
        <f t="shared" si="1044"/>
        <v>0</v>
      </c>
      <c r="AD6779" s="6">
        <f t="shared" si="1048"/>
        <v>0</v>
      </c>
      <c r="AE6779" s="14">
        <f>VLOOKUP(I6779,[2]媒体政策预估表!A:N,MATCH(O6779,[2]媒体政策预估表!$A$2:$M$2,0),0)</f>
        <v>0</v>
      </c>
      <c r="AF6779" s="6">
        <f t="shared" si="1053"/>
        <v>0</v>
      </c>
      <c r="AG6779" s="14">
        <v>0</v>
      </c>
      <c r="AH6779" s="64">
        <f t="shared" si="1049"/>
        <v>0</v>
      </c>
      <c r="AJ6779" s="126" t="e">
        <v>#N/A</v>
      </c>
      <c r="AK6779" s="80">
        <f t="shared" si="1047"/>
        <v>0</v>
      </c>
      <c r="AL6779" s="85"/>
      <c r="AM6779" s="85"/>
    </row>
    <row r="6780" spans="1:39" s="86" customFormat="1" ht="13.25" hidden="1" customHeight="1" x14ac:dyDescent="0.3">
      <c r="A6780" s="89" t="s">
        <v>3978</v>
      </c>
      <c r="B6780" s="86" t="s">
        <v>35</v>
      </c>
      <c r="C6780" s="86" t="s">
        <v>184</v>
      </c>
      <c r="D6780" s="86" t="s">
        <v>3849</v>
      </c>
      <c r="E6780" s="86" t="s">
        <v>1349</v>
      </c>
      <c r="F6780" s="86" t="s">
        <v>2586</v>
      </c>
      <c r="G6780" s="86" t="s">
        <v>1349</v>
      </c>
      <c r="H6780" s="143">
        <v>72</v>
      </c>
      <c r="I6780" s="86" t="s">
        <v>2572</v>
      </c>
      <c r="J6780" s="1" t="s">
        <v>3327</v>
      </c>
      <c r="K6780" s="1" t="s">
        <v>3284</v>
      </c>
      <c r="L6780" s="1" t="s">
        <v>35</v>
      </c>
      <c r="M6780" s="86" t="s">
        <v>627</v>
      </c>
      <c r="O6780" s="47" t="s">
        <v>410</v>
      </c>
      <c r="P6780" s="14" t="s">
        <v>41</v>
      </c>
      <c r="Q6780" s="14">
        <v>0</v>
      </c>
      <c r="R6780" s="143">
        <v>100000508</v>
      </c>
      <c r="S6780" s="47"/>
      <c r="T6780" s="6">
        <v>894593.3899999999</v>
      </c>
      <c r="U6780" s="6"/>
      <c r="V6780" s="6">
        <v>0</v>
      </c>
      <c r="W6780" s="6">
        <f t="shared" si="1055"/>
        <v>894593.3899999999</v>
      </c>
      <c r="X6780" s="6">
        <f t="shared" si="1056"/>
        <v>0</v>
      </c>
      <c r="Y6780" s="13">
        <f t="shared" si="1045"/>
        <v>0</v>
      </c>
      <c r="Z6780" s="14">
        <v>0</v>
      </c>
      <c r="AA6780" s="6">
        <v>0</v>
      </c>
      <c r="AB6780" s="4">
        <f t="shared" si="1046"/>
        <v>0</v>
      </c>
      <c r="AC6780" s="6">
        <f t="shared" si="1044"/>
        <v>0</v>
      </c>
      <c r="AD6780" s="6">
        <f t="shared" si="1048"/>
        <v>0</v>
      </c>
      <c r="AE6780" s="14">
        <f>VLOOKUP(I6780,[2]媒体政策预估表!A:N,MATCH(O6780,[2]媒体政策预估表!$A$2:$M$2,0),0)</f>
        <v>0</v>
      </c>
      <c r="AF6780" s="6">
        <f t="shared" si="1053"/>
        <v>0</v>
      </c>
      <c r="AG6780" s="14">
        <v>0</v>
      </c>
      <c r="AH6780" s="64">
        <f t="shared" si="1049"/>
        <v>0</v>
      </c>
      <c r="AJ6780" s="126" t="e">
        <v>#N/A</v>
      </c>
      <c r="AK6780" s="80">
        <f t="shared" si="1047"/>
        <v>0</v>
      </c>
      <c r="AL6780" s="85"/>
      <c r="AM6780" s="85"/>
    </row>
    <row r="6781" spans="1:39" s="86" customFormat="1" ht="13.25" hidden="1" customHeight="1" x14ac:dyDescent="0.3">
      <c r="A6781" s="89" t="s">
        <v>3792</v>
      </c>
      <c r="B6781" s="86" t="s">
        <v>35</v>
      </c>
      <c r="C6781" s="86" t="s">
        <v>164</v>
      </c>
      <c r="D6781" s="86" t="s">
        <v>3407</v>
      </c>
      <c r="E6781" s="86" t="s">
        <v>2587</v>
      </c>
      <c r="F6781" s="86" t="s">
        <v>2587</v>
      </c>
      <c r="G6781" s="86" t="s">
        <v>2587</v>
      </c>
      <c r="H6781" s="143">
        <v>72</v>
      </c>
      <c r="I6781" s="86" t="s">
        <v>2572</v>
      </c>
      <c r="J6781" s="1" t="s">
        <v>3327</v>
      </c>
      <c r="K6781" s="1" t="s">
        <v>3284</v>
      </c>
      <c r="L6781" s="1" t="s">
        <v>35</v>
      </c>
      <c r="M6781" s="86" t="s">
        <v>2587</v>
      </c>
      <c r="O6781" s="47" t="s">
        <v>410</v>
      </c>
      <c r="P6781" s="14" t="s">
        <v>41</v>
      </c>
      <c r="Q6781" s="14">
        <v>0</v>
      </c>
      <c r="R6781" s="143">
        <v>600004278</v>
      </c>
      <c r="S6781" s="47"/>
      <c r="T6781" s="6">
        <v>8290.2999999999993</v>
      </c>
      <c r="U6781" s="6"/>
      <c r="V6781" s="6">
        <v>0</v>
      </c>
      <c r="W6781" s="6">
        <f t="shared" si="1055"/>
        <v>8290.2999999999993</v>
      </c>
      <c r="X6781" s="6">
        <f t="shared" si="1056"/>
        <v>0</v>
      </c>
      <c r="Y6781" s="13">
        <f t="shared" si="1045"/>
        <v>0</v>
      </c>
      <c r="Z6781" s="14">
        <v>0.02</v>
      </c>
      <c r="AA6781" s="6">
        <f>X6781/(1-Z6781)*Z6781</f>
        <v>0</v>
      </c>
      <c r="AB6781" s="4">
        <f t="shared" si="1046"/>
        <v>0</v>
      </c>
      <c r="AC6781" s="6">
        <f t="shared" si="1044"/>
        <v>0</v>
      </c>
      <c r="AD6781" s="6">
        <f t="shared" si="1048"/>
        <v>0</v>
      </c>
      <c r="AE6781" s="14">
        <f>VLOOKUP(I6781,[2]媒体政策预估表!A:N,MATCH(O6781,[2]媒体政策预估表!$A$2:$M$2,0),0)</f>
        <v>0</v>
      </c>
      <c r="AF6781" s="6">
        <f t="shared" si="1053"/>
        <v>0</v>
      </c>
      <c r="AG6781" s="14">
        <v>0</v>
      </c>
      <c r="AH6781" s="64">
        <f t="shared" si="1049"/>
        <v>0</v>
      </c>
      <c r="AJ6781" s="126" t="e">
        <v>#N/A</v>
      </c>
      <c r="AK6781" s="80">
        <f t="shared" si="1047"/>
        <v>0</v>
      </c>
      <c r="AL6781" s="85"/>
      <c r="AM6781" s="85"/>
    </row>
    <row r="6782" spans="1:39" s="86" customFormat="1" ht="13.25" hidden="1" customHeight="1" x14ac:dyDescent="0.3">
      <c r="A6782" s="89" t="s">
        <v>3978</v>
      </c>
      <c r="B6782" s="86" t="s">
        <v>35</v>
      </c>
      <c r="C6782" s="86" t="s">
        <v>59</v>
      </c>
      <c r="D6782" s="86" t="s">
        <v>60</v>
      </c>
      <c r="E6782" s="86" t="s">
        <v>2588</v>
      </c>
      <c r="F6782" s="86" t="s">
        <v>2588</v>
      </c>
      <c r="G6782" s="86" t="s">
        <v>2588</v>
      </c>
      <c r="H6782" s="143">
        <v>72</v>
      </c>
      <c r="I6782" s="86" t="s">
        <v>2572</v>
      </c>
      <c r="J6782" s="1" t="s">
        <v>3327</v>
      </c>
      <c r="K6782" s="1" t="s">
        <v>3284</v>
      </c>
      <c r="L6782" s="1" t="s">
        <v>35</v>
      </c>
      <c r="M6782" s="86" t="s">
        <v>2169</v>
      </c>
      <c r="O6782" s="47" t="s">
        <v>410</v>
      </c>
      <c r="P6782" s="14" t="s">
        <v>41</v>
      </c>
      <c r="Q6782" s="14">
        <v>0</v>
      </c>
      <c r="R6782" s="143">
        <v>600000829</v>
      </c>
      <c r="S6782" s="47"/>
      <c r="T6782" s="6">
        <v>37743.599999999627</v>
      </c>
      <c r="U6782" s="6"/>
      <c r="V6782" s="6">
        <v>0</v>
      </c>
      <c r="W6782" s="6">
        <f t="shared" si="1055"/>
        <v>37743.599999999627</v>
      </c>
      <c r="X6782" s="6">
        <f t="shared" si="1056"/>
        <v>0</v>
      </c>
      <c r="Y6782" s="13">
        <f t="shared" si="1045"/>
        <v>0</v>
      </c>
      <c r="Z6782" s="14">
        <v>0</v>
      </c>
      <c r="AA6782" s="6">
        <v>0</v>
      </c>
      <c r="AB6782" s="4">
        <f t="shared" si="1046"/>
        <v>0</v>
      </c>
      <c r="AC6782" s="6">
        <f t="shared" ref="AC6782:AC6845" si="1058">IF(P6782="返现",X6782*Q6782,V6782-X6782)</f>
        <v>0</v>
      </c>
      <c r="AD6782" s="6">
        <f t="shared" si="1048"/>
        <v>0</v>
      </c>
      <c r="AE6782" s="14">
        <f>VLOOKUP(I6782,[2]媒体政策预估表!A:N,MATCH(O6782,[2]媒体政策预估表!$A$2:$M$2,0),0)</f>
        <v>0</v>
      </c>
      <c r="AF6782" s="6">
        <f t="shared" si="1053"/>
        <v>0</v>
      </c>
      <c r="AG6782" s="14">
        <v>0</v>
      </c>
      <c r="AH6782" s="64">
        <f t="shared" si="1049"/>
        <v>0</v>
      </c>
      <c r="AJ6782" s="126" t="e">
        <v>#N/A</v>
      </c>
      <c r="AK6782" s="80">
        <f t="shared" si="1047"/>
        <v>0</v>
      </c>
      <c r="AL6782" s="85"/>
      <c r="AM6782" s="85"/>
    </row>
    <row r="6783" spans="1:39" s="86" customFormat="1" ht="13.25" hidden="1" customHeight="1" x14ac:dyDescent="0.3">
      <c r="A6783" s="89" t="s">
        <v>3792</v>
      </c>
      <c r="B6783" s="86" t="s">
        <v>35</v>
      </c>
      <c r="C6783" s="86" t="s">
        <v>184</v>
      </c>
      <c r="D6783" s="86" t="s">
        <v>54</v>
      </c>
      <c r="E6783" s="86" t="s">
        <v>2589</v>
      </c>
      <c r="F6783" s="86" t="s">
        <v>2589</v>
      </c>
      <c r="G6783" s="86" t="s">
        <v>2589</v>
      </c>
      <c r="H6783" s="143">
        <v>72</v>
      </c>
      <c r="I6783" s="86" t="s">
        <v>2572</v>
      </c>
      <c r="J6783" s="1" t="s">
        <v>3327</v>
      </c>
      <c r="K6783" s="1" t="s">
        <v>3284</v>
      </c>
      <c r="L6783" s="1" t="s">
        <v>35</v>
      </c>
      <c r="M6783" s="86" t="s">
        <v>2590</v>
      </c>
      <c r="O6783" s="47" t="s">
        <v>410</v>
      </c>
      <c r="P6783" s="14" t="s">
        <v>41</v>
      </c>
      <c r="Q6783" s="14">
        <v>0</v>
      </c>
      <c r="R6783" s="143">
        <v>100000057</v>
      </c>
      <c r="S6783" s="47"/>
      <c r="T6783" s="6">
        <v>27042.07</v>
      </c>
      <c r="U6783" s="6"/>
      <c r="V6783" s="6">
        <v>0</v>
      </c>
      <c r="W6783" s="6">
        <f t="shared" si="1055"/>
        <v>27042.07</v>
      </c>
      <c r="X6783" s="6">
        <f t="shared" si="1056"/>
        <v>0</v>
      </c>
      <c r="Y6783" s="13">
        <f t="shared" si="1045"/>
        <v>0</v>
      </c>
      <c r="Z6783" s="14">
        <v>0.02</v>
      </c>
      <c r="AA6783" s="6">
        <f>X6783*Z6783</f>
        <v>0</v>
      </c>
      <c r="AB6783" s="4">
        <f t="shared" si="1046"/>
        <v>0</v>
      </c>
      <c r="AC6783" s="6">
        <f t="shared" si="1058"/>
        <v>0</v>
      </c>
      <c r="AD6783" s="6">
        <f t="shared" si="1048"/>
        <v>0</v>
      </c>
      <c r="AE6783" s="14">
        <f>VLOOKUP(I6783,[2]媒体政策预估表!A:N,MATCH(O6783,[2]媒体政策预估表!$A$2:$M$2,0),0)</f>
        <v>0</v>
      </c>
      <c r="AF6783" s="6">
        <f t="shared" si="1053"/>
        <v>0</v>
      </c>
      <c r="AG6783" s="14">
        <v>0</v>
      </c>
      <c r="AH6783" s="64">
        <f t="shared" si="1049"/>
        <v>0</v>
      </c>
      <c r="AJ6783" s="126" t="e">
        <v>#N/A</v>
      </c>
      <c r="AK6783" s="80">
        <f t="shared" si="1047"/>
        <v>0</v>
      </c>
      <c r="AL6783" s="85"/>
      <c r="AM6783" s="85"/>
    </row>
    <row r="6784" spans="1:39" s="86" customFormat="1" ht="13.25" hidden="1" customHeight="1" x14ac:dyDescent="0.3">
      <c r="A6784" s="89" t="s">
        <v>3978</v>
      </c>
      <c r="B6784" s="86" t="s">
        <v>35</v>
      </c>
      <c r="C6784" s="86" t="s">
        <v>184</v>
      </c>
      <c r="D6784" s="86" t="s">
        <v>37</v>
      </c>
      <c r="E6784" s="86" t="s">
        <v>285</v>
      </c>
      <c r="F6784" s="86" t="s">
        <v>460</v>
      </c>
      <c r="G6784" s="86" t="s">
        <v>285</v>
      </c>
      <c r="H6784" s="143">
        <v>72</v>
      </c>
      <c r="I6784" s="86" t="s">
        <v>2572</v>
      </c>
      <c r="J6784" s="1" t="s">
        <v>3327</v>
      </c>
      <c r="K6784" s="1" t="s">
        <v>3284</v>
      </c>
      <c r="L6784" s="1" t="s">
        <v>35</v>
      </c>
      <c r="M6784" s="86" t="s">
        <v>285</v>
      </c>
      <c r="O6784" s="47" t="s">
        <v>410</v>
      </c>
      <c r="P6784" s="14" t="s">
        <v>41</v>
      </c>
      <c r="Q6784" s="14">
        <v>0</v>
      </c>
      <c r="R6784" s="143">
        <v>300000857</v>
      </c>
      <c r="S6784" s="47"/>
      <c r="T6784" s="6">
        <v>2.4699999999955082</v>
      </c>
      <c r="U6784" s="6"/>
      <c r="V6784" s="6">
        <v>0</v>
      </c>
      <c r="W6784" s="6">
        <f t="shared" si="1055"/>
        <v>2.4699999999955082</v>
      </c>
      <c r="X6784" s="6">
        <f t="shared" si="1056"/>
        <v>0</v>
      </c>
      <c r="Y6784" s="13">
        <f t="shared" si="1045"/>
        <v>0</v>
      </c>
      <c r="Z6784" s="14">
        <v>0</v>
      </c>
      <c r="AA6784" s="6">
        <v>0</v>
      </c>
      <c r="AB6784" s="4">
        <f t="shared" si="1046"/>
        <v>0</v>
      </c>
      <c r="AC6784" s="6">
        <f t="shared" si="1058"/>
        <v>0</v>
      </c>
      <c r="AD6784" s="6">
        <f t="shared" si="1048"/>
        <v>0</v>
      </c>
      <c r="AE6784" s="14">
        <f>VLOOKUP(I6784,[2]媒体政策预估表!A:N,MATCH(O6784,[2]媒体政策预估表!$A$2:$M$2,0),0)</f>
        <v>0</v>
      </c>
      <c r="AF6784" s="6">
        <f t="shared" si="1053"/>
        <v>0</v>
      </c>
      <c r="AG6784" s="14">
        <v>0</v>
      </c>
      <c r="AH6784" s="64">
        <f t="shared" si="1049"/>
        <v>0</v>
      </c>
      <c r="AJ6784" s="126" t="e">
        <v>#N/A</v>
      </c>
      <c r="AK6784" s="80">
        <f t="shared" si="1047"/>
        <v>0</v>
      </c>
      <c r="AL6784" s="85"/>
      <c r="AM6784" s="85"/>
    </row>
    <row r="6785" spans="1:39" s="86" customFormat="1" ht="13.25" hidden="1" customHeight="1" x14ac:dyDescent="0.3">
      <c r="A6785" s="89" t="s">
        <v>3978</v>
      </c>
      <c r="B6785" s="86" t="s">
        <v>35</v>
      </c>
      <c r="C6785" s="86" t="s">
        <v>65</v>
      </c>
      <c r="D6785" s="86" t="s">
        <v>125</v>
      </c>
      <c r="E6785" s="86" t="s">
        <v>2591</v>
      </c>
      <c r="F6785" s="86" t="s">
        <v>2591</v>
      </c>
      <c r="G6785" s="86" t="s">
        <v>2591</v>
      </c>
      <c r="H6785" s="143">
        <v>72</v>
      </c>
      <c r="I6785" s="86" t="s">
        <v>2572</v>
      </c>
      <c r="J6785" s="1" t="s">
        <v>3327</v>
      </c>
      <c r="K6785" s="1" t="s">
        <v>3284</v>
      </c>
      <c r="L6785" s="1" t="s">
        <v>35</v>
      </c>
      <c r="M6785" s="86" t="s">
        <v>2592</v>
      </c>
      <c r="O6785" s="47" t="s">
        <v>410</v>
      </c>
      <c r="P6785" s="14" t="s">
        <v>41</v>
      </c>
      <c r="Q6785" s="14">
        <v>0</v>
      </c>
      <c r="R6785" s="143">
        <v>400004008</v>
      </c>
      <c r="S6785" s="47"/>
      <c r="T6785" s="6">
        <v>70.369999999999891</v>
      </c>
      <c r="U6785" s="6"/>
      <c r="V6785" s="6">
        <v>0</v>
      </c>
      <c r="W6785" s="6">
        <f t="shared" si="1055"/>
        <v>70.369999999999891</v>
      </c>
      <c r="X6785" s="6">
        <f t="shared" si="1056"/>
        <v>0</v>
      </c>
      <c r="Y6785" s="13">
        <f t="shared" si="1045"/>
        <v>0</v>
      </c>
      <c r="Z6785" s="14">
        <v>0.03</v>
      </c>
      <c r="AA6785" s="6">
        <f>X6785*Z6785</f>
        <v>0</v>
      </c>
      <c r="AB6785" s="4">
        <f t="shared" si="1046"/>
        <v>0</v>
      </c>
      <c r="AC6785" s="6">
        <f t="shared" si="1058"/>
        <v>0</v>
      </c>
      <c r="AD6785" s="6">
        <f t="shared" si="1048"/>
        <v>0</v>
      </c>
      <c r="AE6785" s="14">
        <f>VLOOKUP(I6785,[2]媒体政策预估表!A:N,MATCH(O6785,[2]媒体政策预估表!$A$2:$M$2,0),0)</f>
        <v>0</v>
      </c>
      <c r="AF6785" s="6">
        <f t="shared" si="1053"/>
        <v>0</v>
      </c>
      <c r="AG6785" s="14">
        <v>0</v>
      </c>
      <c r="AH6785" s="64">
        <f t="shared" si="1049"/>
        <v>0</v>
      </c>
      <c r="AJ6785" s="126" t="e">
        <v>#N/A</v>
      </c>
      <c r="AK6785" s="80">
        <f t="shared" si="1047"/>
        <v>0</v>
      </c>
      <c r="AL6785" s="85"/>
      <c r="AM6785" s="85"/>
    </row>
    <row r="6786" spans="1:39" s="86" customFormat="1" ht="13.25" hidden="1" customHeight="1" x14ac:dyDescent="0.3">
      <c r="A6786" s="89" t="s">
        <v>3978</v>
      </c>
      <c r="B6786" s="86" t="s">
        <v>35</v>
      </c>
      <c r="C6786" s="86" t="s">
        <v>144</v>
      </c>
      <c r="D6786" s="86" t="s">
        <v>152</v>
      </c>
      <c r="E6786" s="86" t="s">
        <v>2050</v>
      </c>
      <c r="F6786" s="86" t="s">
        <v>2050</v>
      </c>
      <c r="G6786" s="86" t="s">
        <v>2050</v>
      </c>
      <c r="H6786" s="143">
        <v>72</v>
      </c>
      <c r="I6786" s="86" t="s">
        <v>2572</v>
      </c>
      <c r="J6786" s="1" t="s">
        <v>3327</v>
      </c>
      <c r="K6786" s="1" t="s">
        <v>3284</v>
      </c>
      <c r="L6786" s="1" t="s">
        <v>35</v>
      </c>
      <c r="M6786" s="86" t="s">
        <v>2050</v>
      </c>
      <c r="O6786" s="47" t="s">
        <v>410</v>
      </c>
      <c r="P6786" s="14" t="s">
        <v>41</v>
      </c>
      <c r="Q6786" s="14">
        <v>0</v>
      </c>
      <c r="R6786" s="143">
        <v>400001643</v>
      </c>
      <c r="S6786" s="47"/>
      <c r="T6786" s="6">
        <v>63847.100000000006</v>
      </c>
      <c r="U6786" s="6"/>
      <c r="V6786" s="6">
        <v>0</v>
      </c>
      <c r="W6786" s="6">
        <f t="shared" si="1055"/>
        <v>63847.100000000006</v>
      </c>
      <c r="X6786" s="6">
        <f t="shared" si="1056"/>
        <v>0</v>
      </c>
      <c r="Y6786" s="13">
        <f t="shared" si="1045"/>
        <v>0</v>
      </c>
      <c r="Z6786" s="14">
        <v>0.03</v>
      </c>
      <c r="AA6786" s="6">
        <f>X6786/(1-Z6786)*Z6786</f>
        <v>0</v>
      </c>
      <c r="AB6786" s="4">
        <f t="shared" si="1046"/>
        <v>0</v>
      </c>
      <c r="AC6786" s="6">
        <f t="shared" si="1058"/>
        <v>0</v>
      </c>
      <c r="AD6786" s="6">
        <f t="shared" si="1048"/>
        <v>0</v>
      </c>
      <c r="AE6786" s="14">
        <f>VLOOKUP(I6786,[2]媒体政策预估表!A:N,MATCH(O6786,[2]媒体政策预估表!$A$2:$M$2,0),0)</f>
        <v>0</v>
      </c>
      <c r="AF6786" s="6">
        <f t="shared" si="1053"/>
        <v>0</v>
      </c>
      <c r="AG6786" s="14">
        <v>0</v>
      </c>
      <c r="AH6786" s="64">
        <f t="shared" si="1049"/>
        <v>0</v>
      </c>
      <c r="AJ6786" s="126" t="e">
        <v>#N/A</v>
      </c>
      <c r="AK6786" s="80">
        <f t="shared" si="1047"/>
        <v>0</v>
      </c>
      <c r="AL6786" s="85"/>
      <c r="AM6786" s="85"/>
    </row>
    <row r="6787" spans="1:39" s="86" customFormat="1" ht="13.25" hidden="1" customHeight="1" x14ac:dyDescent="0.3">
      <c r="A6787" s="89" t="s">
        <v>3978</v>
      </c>
      <c r="B6787" s="86" t="s">
        <v>35</v>
      </c>
      <c r="C6787" s="86" t="s">
        <v>184</v>
      </c>
      <c r="D6787" s="86" t="s">
        <v>224</v>
      </c>
      <c r="E6787" s="86" t="s">
        <v>2593</v>
      </c>
      <c r="F6787" s="86" t="s">
        <v>2593</v>
      </c>
      <c r="G6787" s="86" t="s">
        <v>2593</v>
      </c>
      <c r="H6787" s="144">
        <v>72</v>
      </c>
      <c r="I6787" s="86" t="s">
        <v>2572</v>
      </c>
      <c r="J6787" s="1" t="s">
        <v>3327</v>
      </c>
      <c r="K6787" s="1" t="s">
        <v>3284</v>
      </c>
      <c r="L6787" s="1" t="s">
        <v>35</v>
      </c>
      <c r="M6787" s="86" t="s">
        <v>2593</v>
      </c>
      <c r="O6787" s="47" t="s">
        <v>410</v>
      </c>
      <c r="P6787" s="14" t="s">
        <v>41</v>
      </c>
      <c r="Q6787" s="14">
        <v>0</v>
      </c>
      <c r="R6787" s="143">
        <v>400003715</v>
      </c>
      <c r="S6787" s="47"/>
      <c r="T6787" s="6">
        <v>77.179999999999552</v>
      </c>
      <c r="U6787" s="6"/>
      <c r="V6787" s="6">
        <v>24.14</v>
      </c>
      <c r="W6787" s="6">
        <f t="shared" si="1055"/>
        <v>53.039999999999552</v>
      </c>
      <c r="X6787" s="6">
        <f t="shared" si="1056"/>
        <v>24.14</v>
      </c>
      <c r="Y6787" s="13">
        <f t="shared" ref="Y6787:Y6850" si="1059">IF(X6787-AD6787&lt;=0,0,IF(P6787="返现",MAX(X6787-AC6787-AD6787,0),MAX(X6787-AD6787)))</f>
        <v>0</v>
      </c>
      <c r="Z6787" s="14">
        <v>0.05</v>
      </c>
      <c r="AA6787" s="6">
        <f t="shared" ref="AA6787:AA6788" si="1060">X6787*Z6787</f>
        <v>1.2070000000000001</v>
      </c>
      <c r="AB6787" s="4">
        <f t="shared" ref="AB6787:AB6850" si="1061">X6787+AA6787</f>
        <v>25.347000000000001</v>
      </c>
      <c r="AC6787" s="6">
        <f t="shared" si="1058"/>
        <v>0</v>
      </c>
      <c r="AD6787" s="6">
        <f t="shared" si="1048"/>
        <v>24.14</v>
      </c>
      <c r="AE6787" s="14">
        <f>VLOOKUP(I6787,[2]媒体政策预估表!A:N,MATCH(O6787,[2]媒体政策预估表!$A$2:$M$2,0),0)</f>
        <v>0</v>
      </c>
      <c r="AF6787" s="6">
        <f t="shared" si="1053"/>
        <v>0</v>
      </c>
      <c r="AG6787" s="14">
        <v>0</v>
      </c>
      <c r="AH6787" s="64">
        <f t="shared" si="1049"/>
        <v>24.14</v>
      </c>
      <c r="AJ6787" s="126" t="e">
        <v>#N/A</v>
      </c>
      <c r="AK6787" s="80">
        <f t="shared" ref="AK6787:AK6850" si="1062">X6787+AA6787-AB6787</f>
        <v>0</v>
      </c>
      <c r="AL6787" s="85"/>
      <c r="AM6787" s="85"/>
    </row>
    <row r="6788" spans="1:39" s="86" customFormat="1" ht="13.25" hidden="1" customHeight="1" x14ac:dyDescent="0.3">
      <c r="A6788" s="89" t="s">
        <v>3978</v>
      </c>
      <c r="B6788" s="86" t="s">
        <v>35</v>
      </c>
      <c r="C6788" s="86" t="s">
        <v>164</v>
      </c>
      <c r="D6788" s="86" t="s">
        <v>305</v>
      </c>
      <c r="E6788" s="86" t="s">
        <v>619</v>
      </c>
      <c r="F6788" s="86" t="s">
        <v>620</v>
      </c>
      <c r="G6788" s="86" t="s">
        <v>619</v>
      </c>
      <c r="H6788" s="143">
        <v>72</v>
      </c>
      <c r="I6788" s="86" t="s">
        <v>2572</v>
      </c>
      <c r="J6788" s="1" t="s">
        <v>3327</v>
      </c>
      <c r="K6788" s="1" t="s">
        <v>3284</v>
      </c>
      <c r="L6788" s="1" t="s">
        <v>35</v>
      </c>
      <c r="M6788" s="86" t="s">
        <v>619</v>
      </c>
      <c r="O6788" s="47" t="s">
        <v>410</v>
      </c>
      <c r="P6788" s="14" t="s">
        <v>41</v>
      </c>
      <c r="Q6788" s="14">
        <v>0</v>
      </c>
      <c r="R6788" s="143">
        <v>400003413</v>
      </c>
      <c r="S6788" s="47"/>
      <c r="T6788" s="6">
        <v>5786.369999999999</v>
      </c>
      <c r="U6788" s="6"/>
      <c r="V6788" s="6">
        <v>0</v>
      </c>
      <c r="W6788" s="6">
        <f t="shared" si="1055"/>
        <v>5786.369999999999</v>
      </c>
      <c r="X6788" s="6">
        <f t="shared" si="1056"/>
        <v>0</v>
      </c>
      <c r="Y6788" s="13">
        <f t="shared" si="1059"/>
        <v>0</v>
      </c>
      <c r="Z6788" s="14">
        <v>0.03</v>
      </c>
      <c r="AA6788" s="6">
        <f t="shared" si="1060"/>
        <v>0</v>
      </c>
      <c r="AB6788" s="4">
        <f t="shared" si="1061"/>
        <v>0</v>
      </c>
      <c r="AC6788" s="6">
        <f t="shared" si="1058"/>
        <v>0</v>
      </c>
      <c r="AD6788" s="6">
        <f t="shared" si="1048"/>
        <v>0</v>
      </c>
      <c r="AE6788" s="14">
        <f>VLOOKUP(I6788,[2]媒体政策预估表!A:N,MATCH(O6788,[2]媒体政策预估表!$A$2:$M$2,0),0)</f>
        <v>0</v>
      </c>
      <c r="AF6788" s="6">
        <f t="shared" si="1053"/>
        <v>0</v>
      </c>
      <c r="AG6788" s="14">
        <v>0</v>
      </c>
      <c r="AH6788" s="64">
        <f t="shared" si="1049"/>
        <v>0</v>
      </c>
      <c r="AJ6788" s="126" t="e">
        <v>#N/A</v>
      </c>
      <c r="AK6788" s="80">
        <f t="shared" si="1062"/>
        <v>0</v>
      </c>
      <c r="AL6788" s="85"/>
      <c r="AM6788" s="85"/>
    </row>
    <row r="6789" spans="1:39" s="86" customFormat="1" ht="13.25" hidden="1" customHeight="1" x14ac:dyDescent="0.3">
      <c r="A6789" s="89" t="s">
        <v>3978</v>
      </c>
      <c r="B6789" s="86" t="s">
        <v>35</v>
      </c>
      <c r="C6789" s="86" t="s">
        <v>184</v>
      </c>
      <c r="D6789" s="86" t="s">
        <v>3849</v>
      </c>
      <c r="E6789" s="86" t="s">
        <v>521</v>
      </c>
      <c r="F6789" s="86" t="s">
        <v>522</v>
      </c>
      <c r="G6789" s="86" t="s">
        <v>521</v>
      </c>
      <c r="H6789" s="143">
        <v>72</v>
      </c>
      <c r="I6789" s="86" t="s">
        <v>2572</v>
      </c>
      <c r="J6789" s="1" t="s">
        <v>3327</v>
      </c>
      <c r="K6789" s="1" t="s">
        <v>3284</v>
      </c>
      <c r="L6789" s="1" t="s">
        <v>35</v>
      </c>
      <c r="M6789" s="86" t="s">
        <v>521</v>
      </c>
      <c r="O6789" s="47" t="s">
        <v>410</v>
      </c>
      <c r="P6789" s="14" t="s">
        <v>41</v>
      </c>
      <c r="Q6789" s="14">
        <v>0</v>
      </c>
      <c r="R6789" s="143">
        <v>600001131</v>
      </c>
      <c r="S6789" s="47"/>
      <c r="T6789" s="6">
        <v>-9.7999999999956344</v>
      </c>
      <c r="U6789" s="6"/>
      <c r="V6789" s="6">
        <v>0</v>
      </c>
      <c r="W6789" s="6">
        <f t="shared" si="1055"/>
        <v>-9.7999999999956344</v>
      </c>
      <c r="X6789" s="6">
        <f t="shared" si="1056"/>
        <v>0</v>
      </c>
      <c r="Y6789" s="13">
        <f t="shared" si="1059"/>
        <v>0</v>
      </c>
      <c r="Z6789" s="14">
        <v>0</v>
      </c>
      <c r="AA6789" s="6">
        <v>0</v>
      </c>
      <c r="AB6789" s="4">
        <f t="shared" si="1061"/>
        <v>0</v>
      </c>
      <c r="AC6789" s="6">
        <f t="shared" si="1058"/>
        <v>0</v>
      </c>
      <c r="AD6789" s="6">
        <f t="shared" si="1048"/>
        <v>0</v>
      </c>
      <c r="AE6789" s="14">
        <f>VLOOKUP(I6789,[2]媒体政策预估表!A:N,MATCH(O6789,[2]媒体政策预估表!$A$2:$M$2,0),0)</f>
        <v>0</v>
      </c>
      <c r="AF6789" s="6">
        <f t="shared" si="1053"/>
        <v>0</v>
      </c>
      <c r="AG6789" s="14">
        <v>0</v>
      </c>
      <c r="AH6789" s="64">
        <f t="shared" si="1049"/>
        <v>0</v>
      </c>
      <c r="AJ6789" s="126" t="e">
        <v>#N/A</v>
      </c>
      <c r="AK6789" s="80">
        <f t="shared" si="1062"/>
        <v>0</v>
      </c>
      <c r="AL6789" s="85"/>
      <c r="AM6789" s="85"/>
    </row>
    <row r="6790" spans="1:39" s="86" customFormat="1" ht="13.25" hidden="1" customHeight="1" x14ac:dyDescent="0.3">
      <c r="A6790" s="89" t="s">
        <v>3792</v>
      </c>
      <c r="B6790" s="86" t="s">
        <v>35</v>
      </c>
      <c r="C6790" s="86" t="s">
        <v>164</v>
      </c>
      <c r="D6790" s="86" t="s">
        <v>305</v>
      </c>
      <c r="E6790" s="86" t="s">
        <v>1949</v>
      </c>
      <c r="F6790" s="86" t="s">
        <v>1949</v>
      </c>
      <c r="G6790" s="86" t="s">
        <v>1949</v>
      </c>
      <c r="H6790" s="143">
        <v>72</v>
      </c>
      <c r="I6790" s="86" t="s">
        <v>2572</v>
      </c>
      <c r="J6790" s="1" t="s">
        <v>3327</v>
      </c>
      <c r="K6790" s="1" t="s">
        <v>3284</v>
      </c>
      <c r="L6790" s="1" t="s">
        <v>35</v>
      </c>
      <c r="M6790" s="86" t="s">
        <v>1950</v>
      </c>
      <c r="O6790" s="47" t="s">
        <v>410</v>
      </c>
      <c r="P6790" s="14" t="s">
        <v>41</v>
      </c>
      <c r="Q6790" s="14">
        <v>0</v>
      </c>
      <c r="R6790" s="143">
        <v>400003507</v>
      </c>
      <c r="S6790" s="47"/>
      <c r="T6790" s="6">
        <v>149.69999999999982</v>
      </c>
      <c r="U6790" s="6"/>
      <c r="V6790" s="6">
        <v>0</v>
      </c>
      <c r="W6790" s="6">
        <f t="shared" si="1055"/>
        <v>149.69999999999982</v>
      </c>
      <c r="X6790" s="6">
        <f t="shared" si="1056"/>
        <v>0</v>
      </c>
      <c r="Y6790" s="13">
        <f t="shared" si="1059"/>
        <v>0</v>
      </c>
      <c r="Z6790" s="14">
        <v>0.01</v>
      </c>
      <c r="AA6790" s="6">
        <f>X6790*Z6790</f>
        <v>0</v>
      </c>
      <c r="AB6790" s="4">
        <f t="shared" si="1061"/>
        <v>0</v>
      </c>
      <c r="AC6790" s="6">
        <f t="shared" si="1058"/>
        <v>0</v>
      </c>
      <c r="AD6790" s="6">
        <f t="shared" si="1048"/>
        <v>0</v>
      </c>
      <c r="AE6790" s="14">
        <f>VLOOKUP(I6790,[2]媒体政策预估表!A:N,MATCH(O6790,[2]媒体政策预估表!$A$2:$M$2,0),0)</f>
        <v>0</v>
      </c>
      <c r="AF6790" s="6">
        <f t="shared" si="1053"/>
        <v>0</v>
      </c>
      <c r="AG6790" s="14">
        <v>0</v>
      </c>
      <c r="AH6790" s="64">
        <f t="shared" si="1049"/>
        <v>0</v>
      </c>
      <c r="AJ6790" s="126" t="e">
        <v>#N/A</v>
      </c>
      <c r="AK6790" s="80">
        <f t="shared" si="1062"/>
        <v>0</v>
      </c>
      <c r="AL6790" s="85"/>
      <c r="AM6790" s="85"/>
    </row>
    <row r="6791" spans="1:39" s="86" customFormat="1" ht="13.25" hidden="1" customHeight="1" x14ac:dyDescent="0.3">
      <c r="A6791" s="89" t="s">
        <v>3978</v>
      </c>
      <c r="B6791" s="86" t="s">
        <v>35</v>
      </c>
      <c r="C6791" s="86" t="s">
        <v>59</v>
      </c>
      <c r="D6791" s="86" t="s">
        <v>60</v>
      </c>
      <c r="E6791" s="86" t="s">
        <v>2594</v>
      </c>
      <c r="F6791" s="86" t="s">
        <v>2595</v>
      </c>
      <c r="G6791" s="86" t="s">
        <v>2594</v>
      </c>
      <c r="H6791" s="143">
        <v>72</v>
      </c>
      <c r="I6791" s="86" t="s">
        <v>2572</v>
      </c>
      <c r="J6791" s="1" t="s">
        <v>3327</v>
      </c>
      <c r="K6791" s="1" t="s">
        <v>3284</v>
      </c>
      <c r="L6791" s="1" t="s">
        <v>35</v>
      </c>
      <c r="M6791" s="86" t="s">
        <v>786</v>
      </c>
      <c r="O6791" s="47" t="s">
        <v>410</v>
      </c>
      <c r="P6791" s="14" t="s">
        <v>41</v>
      </c>
      <c r="Q6791" s="14">
        <v>0</v>
      </c>
      <c r="R6791" s="143">
        <v>300000545</v>
      </c>
      <c r="S6791" s="47"/>
      <c r="T6791" s="6">
        <v>36329.809999999983</v>
      </c>
      <c r="U6791" s="6"/>
      <c r="V6791" s="6">
        <v>0</v>
      </c>
      <c r="W6791" s="6">
        <f t="shared" si="1055"/>
        <v>36329.809999999983</v>
      </c>
      <c r="X6791" s="6">
        <f t="shared" si="1056"/>
        <v>0</v>
      </c>
      <c r="Y6791" s="13">
        <f t="shared" si="1059"/>
        <v>0</v>
      </c>
      <c r="Z6791" s="14">
        <v>0</v>
      </c>
      <c r="AA6791" s="6">
        <v>0</v>
      </c>
      <c r="AB6791" s="4">
        <f t="shared" si="1061"/>
        <v>0</v>
      </c>
      <c r="AC6791" s="6">
        <f t="shared" si="1058"/>
        <v>0</v>
      </c>
      <c r="AD6791" s="6">
        <f t="shared" si="1048"/>
        <v>0</v>
      </c>
      <c r="AE6791" s="14">
        <f>VLOOKUP(I6791,[2]媒体政策预估表!A:N,MATCH(O6791,[2]媒体政策预估表!$A$2:$M$2,0),0)</f>
        <v>0</v>
      </c>
      <c r="AF6791" s="6">
        <f t="shared" si="1053"/>
        <v>0</v>
      </c>
      <c r="AG6791" s="14">
        <v>0</v>
      </c>
      <c r="AH6791" s="64">
        <f t="shared" si="1049"/>
        <v>0</v>
      </c>
      <c r="AJ6791" s="126" t="e">
        <v>#N/A</v>
      </c>
      <c r="AK6791" s="80">
        <f t="shared" si="1062"/>
        <v>0</v>
      </c>
      <c r="AL6791" s="85"/>
      <c r="AM6791" s="85"/>
    </row>
    <row r="6792" spans="1:39" s="86" customFormat="1" ht="13.25" hidden="1" customHeight="1" x14ac:dyDescent="0.3">
      <c r="A6792" s="89" t="s">
        <v>3978</v>
      </c>
      <c r="B6792" s="86" t="s">
        <v>35</v>
      </c>
      <c r="C6792" s="86" t="s">
        <v>59</v>
      </c>
      <c r="D6792" s="86" t="s">
        <v>60</v>
      </c>
      <c r="E6792" s="86" t="s">
        <v>2596</v>
      </c>
      <c r="F6792" s="86" t="s">
        <v>2596</v>
      </c>
      <c r="G6792" s="86" t="s">
        <v>2596</v>
      </c>
      <c r="H6792" s="143">
        <v>72</v>
      </c>
      <c r="I6792" s="86" t="s">
        <v>2572</v>
      </c>
      <c r="J6792" s="1" t="s">
        <v>3327</v>
      </c>
      <c r="K6792" s="1" t="s">
        <v>3284</v>
      </c>
      <c r="L6792" s="1" t="s">
        <v>35</v>
      </c>
      <c r="M6792" s="86" t="s">
        <v>2597</v>
      </c>
      <c r="O6792" s="47" t="s">
        <v>410</v>
      </c>
      <c r="P6792" s="14" t="s">
        <v>41</v>
      </c>
      <c r="Q6792" s="14">
        <v>0</v>
      </c>
      <c r="R6792" s="143">
        <v>300000674</v>
      </c>
      <c r="S6792" s="47"/>
      <c r="T6792" s="6">
        <v>12099.5</v>
      </c>
      <c r="U6792" s="6"/>
      <c r="V6792" s="6">
        <v>0</v>
      </c>
      <c r="W6792" s="6">
        <f t="shared" si="1055"/>
        <v>12099.5</v>
      </c>
      <c r="X6792" s="6">
        <f t="shared" si="1056"/>
        <v>0</v>
      </c>
      <c r="Y6792" s="13">
        <f t="shared" si="1059"/>
        <v>0</v>
      </c>
      <c r="Z6792" s="14">
        <v>0</v>
      </c>
      <c r="AA6792" s="6">
        <v>0</v>
      </c>
      <c r="AB6792" s="4">
        <f t="shared" si="1061"/>
        <v>0</v>
      </c>
      <c r="AC6792" s="6">
        <f t="shared" si="1058"/>
        <v>0</v>
      </c>
      <c r="AD6792" s="6">
        <f t="shared" si="1048"/>
        <v>0</v>
      </c>
      <c r="AE6792" s="14">
        <f>VLOOKUP(I6792,[2]媒体政策预估表!A:N,MATCH(O6792,[2]媒体政策预估表!$A$2:$M$2,0),0)</f>
        <v>0</v>
      </c>
      <c r="AF6792" s="6">
        <f t="shared" si="1053"/>
        <v>0</v>
      </c>
      <c r="AG6792" s="14">
        <v>0</v>
      </c>
      <c r="AH6792" s="64">
        <f t="shared" si="1049"/>
        <v>0</v>
      </c>
      <c r="AJ6792" s="126" t="e">
        <v>#N/A</v>
      </c>
      <c r="AK6792" s="80">
        <f t="shared" si="1062"/>
        <v>0</v>
      </c>
      <c r="AL6792" s="85"/>
      <c r="AM6792" s="85"/>
    </row>
    <row r="6793" spans="1:39" s="86" customFormat="1" ht="13.25" hidden="1" customHeight="1" x14ac:dyDescent="0.3">
      <c r="A6793" s="89" t="s">
        <v>3978</v>
      </c>
      <c r="B6793" s="86" t="s">
        <v>35</v>
      </c>
      <c r="C6793" s="86" t="s">
        <v>59</v>
      </c>
      <c r="D6793" s="86" t="s">
        <v>60</v>
      </c>
      <c r="E6793" s="86" t="s">
        <v>2596</v>
      </c>
      <c r="F6793" s="86" t="s">
        <v>2596</v>
      </c>
      <c r="G6793" s="86" t="s">
        <v>2596</v>
      </c>
      <c r="H6793" s="143">
        <v>72</v>
      </c>
      <c r="I6793" s="86" t="s">
        <v>2572</v>
      </c>
      <c r="J6793" s="1" t="s">
        <v>3327</v>
      </c>
      <c r="K6793" s="1" t="s">
        <v>3284</v>
      </c>
      <c r="L6793" s="1" t="s">
        <v>35</v>
      </c>
      <c r="M6793" s="86" t="s">
        <v>2598</v>
      </c>
      <c r="O6793" s="47" t="s">
        <v>410</v>
      </c>
      <c r="P6793" s="14" t="s">
        <v>41</v>
      </c>
      <c r="Q6793" s="14">
        <v>0</v>
      </c>
      <c r="R6793" s="143">
        <v>600001427</v>
      </c>
      <c r="S6793" s="47"/>
      <c r="T6793" s="6">
        <v>451</v>
      </c>
      <c r="U6793" s="6"/>
      <c r="V6793" s="6">
        <v>0</v>
      </c>
      <c r="W6793" s="6">
        <f t="shared" si="1055"/>
        <v>451</v>
      </c>
      <c r="X6793" s="6">
        <f t="shared" si="1056"/>
        <v>0</v>
      </c>
      <c r="Y6793" s="13">
        <f t="shared" si="1059"/>
        <v>0</v>
      </c>
      <c r="Z6793" s="14">
        <v>0</v>
      </c>
      <c r="AA6793" s="6">
        <v>0</v>
      </c>
      <c r="AB6793" s="4">
        <f t="shared" si="1061"/>
        <v>0</v>
      </c>
      <c r="AC6793" s="6">
        <f t="shared" si="1058"/>
        <v>0</v>
      </c>
      <c r="AD6793" s="6">
        <f t="shared" si="1048"/>
        <v>0</v>
      </c>
      <c r="AE6793" s="14">
        <f>VLOOKUP(I6793,[2]媒体政策预估表!A:N,MATCH(O6793,[2]媒体政策预估表!$A$2:$M$2,0),0)</f>
        <v>0</v>
      </c>
      <c r="AF6793" s="6">
        <f t="shared" si="1053"/>
        <v>0</v>
      </c>
      <c r="AG6793" s="14">
        <v>0</v>
      </c>
      <c r="AH6793" s="64">
        <f t="shared" si="1049"/>
        <v>0</v>
      </c>
      <c r="AJ6793" s="126" t="e">
        <v>#N/A</v>
      </c>
      <c r="AK6793" s="80">
        <f t="shared" si="1062"/>
        <v>0</v>
      </c>
      <c r="AL6793" s="85"/>
      <c r="AM6793" s="85"/>
    </row>
    <row r="6794" spans="1:39" s="86" customFormat="1" ht="13.25" hidden="1" customHeight="1" x14ac:dyDescent="0.3">
      <c r="A6794" s="89" t="s">
        <v>3792</v>
      </c>
      <c r="B6794" s="86" t="s">
        <v>35</v>
      </c>
      <c r="C6794" s="86" t="s">
        <v>59</v>
      </c>
      <c r="D6794" s="86" t="s">
        <v>60</v>
      </c>
      <c r="E6794" s="86" t="s">
        <v>2596</v>
      </c>
      <c r="F6794" s="86" t="s">
        <v>2596</v>
      </c>
      <c r="G6794" s="86" t="s">
        <v>2596</v>
      </c>
      <c r="H6794" s="143">
        <v>72</v>
      </c>
      <c r="I6794" s="86" t="s">
        <v>2572</v>
      </c>
      <c r="J6794" s="1" t="s">
        <v>3327</v>
      </c>
      <c r="K6794" s="1" t="s">
        <v>3284</v>
      </c>
      <c r="L6794" s="1" t="s">
        <v>35</v>
      </c>
      <c r="M6794" s="86" t="s">
        <v>2599</v>
      </c>
      <c r="O6794" s="47" t="s">
        <v>410</v>
      </c>
      <c r="P6794" s="14" t="s">
        <v>41</v>
      </c>
      <c r="Q6794" s="14">
        <v>0</v>
      </c>
      <c r="R6794" s="143">
        <v>300000630</v>
      </c>
      <c r="S6794" s="47"/>
      <c r="T6794" s="6">
        <v>10988.1</v>
      </c>
      <c r="U6794" s="6"/>
      <c r="V6794" s="6">
        <v>0</v>
      </c>
      <c r="W6794" s="6">
        <f t="shared" si="1055"/>
        <v>10988.1</v>
      </c>
      <c r="X6794" s="6">
        <f t="shared" si="1056"/>
        <v>0</v>
      </c>
      <c r="Y6794" s="13">
        <f t="shared" si="1059"/>
        <v>0</v>
      </c>
      <c r="Z6794" s="14">
        <v>0</v>
      </c>
      <c r="AA6794" s="6">
        <v>0</v>
      </c>
      <c r="AB6794" s="4">
        <f t="shared" si="1061"/>
        <v>0</v>
      </c>
      <c r="AC6794" s="6">
        <f t="shared" si="1058"/>
        <v>0</v>
      </c>
      <c r="AD6794" s="6">
        <f t="shared" si="1048"/>
        <v>0</v>
      </c>
      <c r="AE6794" s="14">
        <f>VLOOKUP(I6794,[2]媒体政策预估表!A:N,MATCH(O6794,[2]媒体政策预估表!$A$2:$M$2,0),0)</f>
        <v>0</v>
      </c>
      <c r="AF6794" s="6">
        <f t="shared" si="1053"/>
        <v>0</v>
      </c>
      <c r="AG6794" s="14">
        <v>0</v>
      </c>
      <c r="AH6794" s="64">
        <f t="shared" si="1049"/>
        <v>0</v>
      </c>
      <c r="AJ6794" s="126" t="e">
        <v>#N/A</v>
      </c>
      <c r="AK6794" s="80">
        <f t="shared" si="1062"/>
        <v>0</v>
      </c>
      <c r="AL6794" s="85"/>
      <c r="AM6794" s="85"/>
    </row>
    <row r="6795" spans="1:39" s="86" customFormat="1" ht="13.25" hidden="1" customHeight="1" x14ac:dyDescent="0.3">
      <c r="A6795" s="89" t="s">
        <v>3792</v>
      </c>
      <c r="B6795" s="86" t="s">
        <v>35</v>
      </c>
      <c r="C6795" s="86" t="s">
        <v>59</v>
      </c>
      <c r="D6795" s="86" t="s">
        <v>60</v>
      </c>
      <c r="E6795" s="86" t="s">
        <v>2275</v>
      </c>
      <c r="F6795" s="86" t="s">
        <v>2275</v>
      </c>
      <c r="G6795" s="86" t="s">
        <v>2275</v>
      </c>
      <c r="H6795" s="143">
        <v>72</v>
      </c>
      <c r="I6795" s="86" t="s">
        <v>2572</v>
      </c>
      <c r="J6795" s="1" t="s">
        <v>3327</v>
      </c>
      <c r="K6795" s="1" t="s">
        <v>3284</v>
      </c>
      <c r="L6795" s="1" t="s">
        <v>35</v>
      </c>
      <c r="M6795" s="86" t="s">
        <v>1461</v>
      </c>
      <c r="O6795" s="47" t="s">
        <v>410</v>
      </c>
      <c r="P6795" s="14" t="s">
        <v>41</v>
      </c>
      <c r="Q6795" s="14">
        <v>0</v>
      </c>
      <c r="R6795" s="143">
        <v>400001450</v>
      </c>
      <c r="S6795" s="47"/>
      <c r="T6795" s="6">
        <v>144.20000000000201</v>
      </c>
      <c r="U6795" s="6"/>
      <c r="V6795" s="6">
        <v>0</v>
      </c>
      <c r="W6795" s="6">
        <f t="shared" si="1055"/>
        <v>144.20000000000201</v>
      </c>
      <c r="X6795" s="6">
        <f t="shared" si="1056"/>
        <v>0</v>
      </c>
      <c r="Y6795" s="13">
        <f t="shared" si="1059"/>
        <v>0</v>
      </c>
      <c r="Z6795" s="14">
        <v>0</v>
      </c>
      <c r="AA6795" s="6">
        <v>0</v>
      </c>
      <c r="AB6795" s="4">
        <f t="shared" si="1061"/>
        <v>0</v>
      </c>
      <c r="AC6795" s="6">
        <f t="shared" si="1058"/>
        <v>0</v>
      </c>
      <c r="AD6795" s="6">
        <f t="shared" si="1048"/>
        <v>0</v>
      </c>
      <c r="AE6795" s="14">
        <f>VLOOKUP(I6795,[2]媒体政策预估表!A:N,MATCH(O6795,[2]媒体政策预估表!$A$2:$M$2,0),0)</f>
        <v>0</v>
      </c>
      <c r="AF6795" s="6">
        <f t="shared" si="1053"/>
        <v>0</v>
      </c>
      <c r="AG6795" s="14">
        <v>0</v>
      </c>
      <c r="AH6795" s="64">
        <f t="shared" si="1049"/>
        <v>0</v>
      </c>
      <c r="AJ6795" s="126" t="e">
        <v>#N/A</v>
      </c>
      <c r="AK6795" s="80">
        <f t="shared" si="1062"/>
        <v>0</v>
      </c>
      <c r="AL6795" s="85"/>
      <c r="AM6795" s="85"/>
    </row>
    <row r="6796" spans="1:39" s="86" customFormat="1" ht="13.25" hidden="1" customHeight="1" x14ac:dyDescent="0.3">
      <c r="A6796" s="89" t="s">
        <v>3978</v>
      </c>
      <c r="B6796" s="86" t="s">
        <v>35</v>
      </c>
      <c r="C6796" s="86" t="s">
        <v>59</v>
      </c>
      <c r="D6796" s="86" t="s">
        <v>60</v>
      </c>
      <c r="E6796" s="86" t="s">
        <v>2600</v>
      </c>
      <c r="F6796" s="86" t="s">
        <v>2600</v>
      </c>
      <c r="G6796" s="86" t="s">
        <v>2600</v>
      </c>
      <c r="H6796" s="143">
        <v>72</v>
      </c>
      <c r="I6796" s="86" t="s">
        <v>2572</v>
      </c>
      <c r="J6796" s="1" t="s">
        <v>3327</v>
      </c>
      <c r="K6796" s="1" t="s">
        <v>3284</v>
      </c>
      <c r="L6796" s="1" t="s">
        <v>35</v>
      </c>
      <c r="M6796" s="86" t="s">
        <v>778</v>
      </c>
      <c r="O6796" s="47" t="s">
        <v>410</v>
      </c>
      <c r="P6796" s="14" t="s">
        <v>41</v>
      </c>
      <c r="Q6796" s="14">
        <v>0</v>
      </c>
      <c r="R6796" s="143">
        <v>600001323</v>
      </c>
      <c r="S6796" s="47"/>
      <c r="T6796" s="6">
        <v>-3747.9499999999925</v>
      </c>
      <c r="U6796" s="6"/>
      <c r="V6796" s="6">
        <v>0</v>
      </c>
      <c r="W6796" s="6">
        <f t="shared" si="1055"/>
        <v>-3747.9499999999925</v>
      </c>
      <c r="X6796" s="6">
        <f t="shared" si="1056"/>
        <v>0</v>
      </c>
      <c r="Y6796" s="13">
        <f t="shared" si="1059"/>
        <v>0</v>
      </c>
      <c r="Z6796" s="14">
        <v>0</v>
      </c>
      <c r="AA6796" s="6">
        <v>0</v>
      </c>
      <c r="AB6796" s="4">
        <f t="shared" si="1061"/>
        <v>0</v>
      </c>
      <c r="AC6796" s="6">
        <f t="shared" si="1058"/>
        <v>0</v>
      </c>
      <c r="AD6796" s="6">
        <f t="shared" si="1048"/>
        <v>0</v>
      </c>
      <c r="AE6796" s="14">
        <f>VLOOKUP(I6796,[2]媒体政策预估表!A:N,MATCH(O6796,[2]媒体政策预估表!$A$2:$M$2,0),0)</f>
        <v>0</v>
      </c>
      <c r="AF6796" s="6">
        <f t="shared" si="1053"/>
        <v>0</v>
      </c>
      <c r="AG6796" s="14">
        <v>0</v>
      </c>
      <c r="AH6796" s="64">
        <f t="shared" si="1049"/>
        <v>0</v>
      </c>
      <c r="AJ6796" s="126" t="e">
        <v>#N/A</v>
      </c>
      <c r="AK6796" s="80">
        <f t="shared" si="1062"/>
        <v>0</v>
      </c>
      <c r="AL6796" s="85"/>
      <c r="AM6796" s="85"/>
    </row>
    <row r="6797" spans="1:39" s="86" customFormat="1" ht="13.25" hidden="1" customHeight="1" x14ac:dyDescent="0.3">
      <c r="A6797" s="89" t="s">
        <v>3978</v>
      </c>
      <c r="B6797" s="86" t="s">
        <v>35</v>
      </c>
      <c r="C6797" s="86" t="s">
        <v>164</v>
      </c>
      <c r="D6797" s="86" t="s">
        <v>3407</v>
      </c>
      <c r="E6797" s="86" t="s">
        <v>2602</v>
      </c>
      <c r="F6797" s="86" t="s">
        <v>2602</v>
      </c>
      <c r="G6797" s="86" t="s">
        <v>2602</v>
      </c>
      <c r="H6797" s="143">
        <v>72</v>
      </c>
      <c r="I6797" s="86" t="s">
        <v>2572</v>
      </c>
      <c r="J6797" s="1" t="s">
        <v>3327</v>
      </c>
      <c r="K6797" s="1" t="s">
        <v>3284</v>
      </c>
      <c r="L6797" s="1" t="s">
        <v>35</v>
      </c>
      <c r="M6797" s="86" t="s">
        <v>2603</v>
      </c>
      <c r="O6797" s="47" t="s">
        <v>410</v>
      </c>
      <c r="P6797" s="14" t="s">
        <v>41</v>
      </c>
      <c r="Q6797" s="14">
        <v>0</v>
      </c>
      <c r="R6797" s="143">
        <v>400002312</v>
      </c>
      <c r="S6797" s="47"/>
      <c r="T6797" s="6">
        <v>20003.5</v>
      </c>
      <c r="U6797" s="6"/>
      <c r="V6797" s="6">
        <v>0</v>
      </c>
      <c r="W6797" s="6">
        <f t="shared" si="1055"/>
        <v>20003.5</v>
      </c>
      <c r="X6797" s="6">
        <f t="shared" si="1056"/>
        <v>0</v>
      </c>
      <c r="Y6797" s="13">
        <f t="shared" si="1059"/>
        <v>0</v>
      </c>
      <c r="Z6797" s="14">
        <v>0.01</v>
      </c>
      <c r="AA6797" s="6">
        <f>X6797*Z6797</f>
        <v>0</v>
      </c>
      <c r="AB6797" s="4">
        <f t="shared" si="1061"/>
        <v>0</v>
      </c>
      <c r="AC6797" s="6">
        <f t="shared" si="1058"/>
        <v>0</v>
      </c>
      <c r="AD6797" s="6">
        <f t="shared" si="1048"/>
        <v>0</v>
      </c>
      <c r="AE6797" s="14">
        <f>VLOOKUP(I6797,[2]媒体政策预估表!A:N,MATCH(O6797,[2]媒体政策预估表!$A$2:$M$2,0),0)</f>
        <v>0</v>
      </c>
      <c r="AF6797" s="6">
        <f t="shared" si="1053"/>
        <v>0</v>
      </c>
      <c r="AG6797" s="14">
        <v>0</v>
      </c>
      <c r="AH6797" s="64">
        <f t="shared" si="1049"/>
        <v>0</v>
      </c>
      <c r="AJ6797" s="126" t="e">
        <v>#N/A</v>
      </c>
      <c r="AK6797" s="80">
        <f t="shared" si="1062"/>
        <v>0</v>
      </c>
      <c r="AL6797" s="85"/>
      <c r="AM6797" s="85"/>
    </row>
    <row r="6798" spans="1:39" s="86" customFormat="1" ht="13.25" hidden="1" customHeight="1" x14ac:dyDescent="0.3">
      <c r="A6798" s="89" t="s">
        <v>3978</v>
      </c>
      <c r="B6798" s="86" t="s">
        <v>35</v>
      </c>
      <c r="C6798" s="86" t="s">
        <v>164</v>
      </c>
      <c r="D6798" s="86" t="s">
        <v>174</v>
      </c>
      <c r="E6798" s="86" t="s">
        <v>1966</v>
      </c>
      <c r="F6798" s="86" t="s">
        <v>1966</v>
      </c>
      <c r="G6798" s="86" t="s">
        <v>1966</v>
      </c>
      <c r="H6798" s="143">
        <v>72</v>
      </c>
      <c r="I6798" s="86" t="s">
        <v>2572</v>
      </c>
      <c r="J6798" s="1" t="s">
        <v>3327</v>
      </c>
      <c r="K6798" s="1" t="s">
        <v>3284</v>
      </c>
      <c r="L6798" s="1" t="s">
        <v>35</v>
      </c>
      <c r="M6798" s="86" t="s">
        <v>2604</v>
      </c>
      <c r="O6798" s="47" t="s">
        <v>410</v>
      </c>
      <c r="P6798" s="14" t="s">
        <v>41</v>
      </c>
      <c r="Q6798" s="14">
        <v>0</v>
      </c>
      <c r="R6798" s="143">
        <v>600000828</v>
      </c>
      <c r="S6798" s="47"/>
      <c r="T6798" s="6">
        <v>74654.09</v>
      </c>
      <c r="U6798" s="6"/>
      <c r="V6798" s="6">
        <v>0</v>
      </c>
      <c r="W6798" s="6">
        <f t="shared" si="1055"/>
        <v>74654.09</v>
      </c>
      <c r="X6798" s="6">
        <f t="shared" si="1056"/>
        <v>0</v>
      </c>
      <c r="Y6798" s="13">
        <f t="shared" si="1059"/>
        <v>0</v>
      </c>
      <c r="Z6798" s="14">
        <v>0</v>
      </c>
      <c r="AA6798" s="6">
        <v>0</v>
      </c>
      <c r="AB6798" s="4">
        <f t="shared" si="1061"/>
        <v>0</v>
      </c>
      <c r="AC6798" s="6">
        <f t="shared" si="1058"/>
        <v>0</v>
      </c>
      <c r="AD6798" s="6">
        <f t="shared" si="1048"/>
        <v>0</v>
      </c>
      <c r="AE6798" s="14">
        <f>VLOOKUP(I6798,[2]媒体政策预估表!A:N,MATCH(O6798,[2]媒体政策预估表!$A$2:$M$2,0),0)</f>
        <v>0</v>
      </c>
      <c r="AF6798" s="6">
        <f t="shared" si="1053"/>
        <v>0</v>
      </c>
      <c r="AG6798" s="14">
        <v>0</v>
      </c>
      <c r="AH6798" s="64">
        <f t="shared" si="1049"/>
        <v>0</v>
      </c>
      <c r="AJ6798" s="126" t="e">
        <v>#N/A</v>
      </c>
      <c r="AK6798" s="80">
        <f t="shared" si="1062"/>
        <v>0</v>
      </c>
      <c r="AL6798" s="85"/>
      <c r="AM6798" s="85"/>
    </row>
    <row r="6799" spans="1:39" s="86" customFormat="1" ht="13.25" hidden="1" customHeight="1" x14ac:dyDescent="0.3">
      <c r="A6799" s="89" t="s">
        <v>3978</v>
      </c>
      <c r="B6799" s="86" t="s">
        <v>35</v>
      </c>
      <c r="C6799" s="86" t="s">
        <v>36</v>
      </c>
      <c r="D6799" s="86" t="s">
        <v>185</v>
      </c>
      <c r="E6799" s="86" t="s">
        <v>2605</v>
      </c>
      <c r="F6799" s="86" t="s">
        <v>2605</v>
      </c>
      <c r="G6799" s="86" t="s">
        <v>2605</v>
      </c>
      <c r="H6799" s="143">
        <v>72</v>
      </c>
      <c r="I6799" s="86" t="s">
        <v>2572</v>
      </c>
      <c r="J6799" s="1" t="s">
        <v>3327</v>
      </c>
      <c r="K6799" s="1" t="s">
        <v>3284</v>
      </c>
      <c r="L6799" s="1" t="s">
        <v>35</v>
      </c>
      <c r="M6799" s="86" t="s">
        <v>2605</v>
      </c>
      <c r="O6799" s="47" t="s">
        <v>410</v>
      </c>
      <c r="P6799" s="14" t="s">
        <v>41</v>
      </c>
      <c r="Q6799" s="14">
        <v>0</v>
      </c>
      <c r="R6799" s="143">
        <v>400001040</v>
      </c>
      <c r="S6799" s="47"/>
      <c r="T6799" s="6">
        <v>-62.87</v>
      </c>
      <c r="U6799" s="6"/>
      <c r="V6799" s="6">
        <v>0</v>
      </c>
      <c r="W6799" s="6">
        <f t="shared" si="1055"/>
        <v>-62.87</v>
      </c>
      <c r="X6799" s="6">
        <f t="shared" si="1056"/>
        <v>0</v>
      </c>
      <c r="Y6799" s="13">
        <f t="shared" si="1059"/>
        <v>0</v>
      </c>
      <c r="Z6799" s="14">
        <v>0</v>
      </c>
      <c r="AA6799" s="6">
        <v>0</v>
      </c>
      <c r="AB6799" s="4">
        <f t="shared" si="1061"/>
        <v>0</v>
      </c>
      <c r="AC6799" s="6">
        <f t="shared" si="1058"/>
        <v>0</v>
      </c>
      <c r="AD6799" s="6">
        <f t="shared" ref="AD6799:AD6856" si="1063">V6799</f>
        <v>0</v>
      </c>
      <c r="AE6799" s="14">
        <f>VLOOKUP(I6799,[2]媒体政策预估表!A:N,MATCH(O6799,[2]媒体政策预估表!$A$2:$M$2,0),0)</f>
        <v>0</v>
      </c>
      <c r="AF6799" s="6">
        <f t="shared" si="1053"/>
        <v>0</v>
      </c>
      <c r="AG6799" s="14">
        <v>0</v>
      </c>
      <c r="AH6799" s="64">
        <f t="shared" ref="AH6799:AH6856" si="1064">V6799</f>
        <v>0</v>
      </c>
      <c r="AJ6799" s="126" t="e">
        <v>#N/A</v>
      </c>
      <c r="AK6799" s="80">
        <f t="shared" si="1062"/>
        <v>0</v>
      </c>
      <c r="AL6799" s="85"/>
      <c r="AM6799" s="85"/>
    </row>
    <row r="6800" spans="1:39" s="86" customFormat="1" ht="13.25" hidden="1" customHeight="1" x14ac:dyDescent="0.3">
      <c r="A6800" s="89" t="s">
        <v>3792</v>
      </c>
      <c r="B6800" s="86" t="s">
        <v>35</v>
      </c>
      <c r="C6800" s="86" t="s">
        <v>36</v>
      </c>
      <c r="D6800" s="86" t="s">
        <v>185</v>
      </c>
      <c r="E6800" s="86" t="s">
        <v>2606</v>
      </c>
      <c r="F6800" s="86" t="s">
        <v>2606</v>
      </c>
      <c r="G6800" s="86" t="s">
        <v>2606</v>
      </c>
      <c r="H6800" s="143">
        <v>72</v>
      </c>
      <c r="I6800" s="86" t="s">
        <v>2572</v>
      </c>
      <c r="J6800" s="1" t="s">
        <v>3327</v>
      </c>
      <c r="K6800" s="1" t="s">
        <v>3284</v>
      </c>
      <c r="L6800" s="1" t="s">
        <v>35</v>
      </c>
      <c r="M6800" s="86" t="s">
        <v>2606</v>
      </c>
      <c r="O6800" s="47" t="s">
        <v>410</v>
      </c>
      <c r="P6800" s="14" t="s">
        <v>41</v>
      </c>
      <c r="Q6800" s="14">
        <v>0</v>
      </c>
      <c r="R6800" s="143">
        <v>600001031</v>
      </c>
      <c r="S6800" s="47"/>
      <c r="T6800" s="6">
        <v>-81.099999999976703</v>
      </c>
      <c r="U6800" s="6"/>
      <c r="V6800" s="6">
        <v>0</v>
      </c>
      <c r="W6800" s="6">
        <f t="shared" si="1055"/>
        <v>-81.099999999976703</v>
      </c>
      <c r="X6800" s="6">
        <f t="shared" si="1056"/>
        <v>0</v>
      </c>
      <c r="Y6800" s="13">
        <f t="shared" si="1059"/>
        <v>0</v>
      </c>
      <c r="Z6800" s="14">
        <v>0</v>
      </c>
      <c r="AA6800" s="6">
        <v>0</v>
      </c>
      <c r="AB6800" s="4">
        <f t="shared" si="1061"/>
        <v>0</v>
      </c>
      <c r="AC6800" s="6">
        <f t="shared" si="1058"/>
        <v>0</v>
      </c>
      <c r="AD6800" s="6">
        <f t="shared" si="1063"/>
        <v>0</v>
      </c>
      <c r="AE6800" s="14">
        <f>VLOOKUP(I6800,[2]媒体政策预估表!A:N,MATCH(O6800,[2]媒体政策预估表!$A$2:$M$2,0),0)</f>
        <v>0</v>
      </c>
      <c r="AF6800" s="6">
        <f t="shared" si="1053"/>
        <v>0</v>
      </c>
      <c r="AG6800" s="14">
        <v>0</v>
      </c>
      <c r="AH6800" s="64">
        <f t="shared" si="1064"/>
        <v>0</v>
      </c>
      <c r="AJ6800" s="126" t="e">
        <v>#N/A</v>
      </c>
      <c r="AK6800" s="80">
        <f t="shared" si="1062"/>
        <v>0</v>
      </c>
      <c r="AL6800" s="85"/>
      <c r="AM6800" s="85"/>
    </row>
    <row r="6801" spans="1:39" s="86" customFormat="1" ht="13.25" hidden="1" customHeight="1" x14ac:dyDescent="0.3">
      <c r="A6801" s="89" t="s">
        <v>3978</v>
      </c>
      <c r="B6801" s="86" t="s">
        <v>35</v>
      </c>
      <c r="C6801" s="86" t="s">
        <v>36</v>
      </c>
      <c r="D6801" s="86" t="s">
        <v>185</v>
      </c>
      <c r="E6801" s="86" t="s">
        <v>2607</v>
      </c>
      <c r="F6801" s="86" t="s">
        <v>2607</v>
      </c>
      <c r="G6801" s="86" t="s">
        <v>2607</v>
      </c>
      <c r="H6801" s="143">
        <v>72</v>
      </c>
      <c r="I6801" s="86" t="s">
        <v>2572</v>
      </c>
      <c r="J6801" s="1" t="s">
        <v>3327</v>
      </c>
      <c r="K6801" s="1" t="s">
        <v>3284</v>
      </c>
      <c r="L6801" s="1" t="s">
        <v>35</v>
      </c>
      <c r="M6801" s="86" t="s">
        <v>2607</v>
      </c>
      <c r="O6801" s="47" t="s">
        <v>410</v>
      </c>
      <c r="P6801" s="14" t="s">
        <v>41</v>
      </c>
      <c r="Q6801" s="14">
        <v>0</v>
      </c>
      <c r="R6801" s="143">
        <v>400001865</v>
      </c>
      <c r="S6801" s="47"/>
      <c r="T6801" s="6">
        <v>199.9</v>
      </c>
      <c r="U6801" s="6"/>
      <c r="V6801" s="6">
        <v>0</v>
      </c>
      <c r="W6801" s="6">
        <f t="shared" si="1055"/>
        <v>199.9</v>
      </c>
      <c r="X6801" s="6">
        <f t="shared" si="1056"/>
        <v>0</v>
      </c>
      <c r="Y6801" s="13">
        <f t="shared" si="1059"/>
        <v>0</v>
      </c>
      <c r="Z6801" s="14">
        <v>0.03</v>
      </c>
      <c r="AA6801" s="6">
        <f>X6801/(1-Z6801)*Z6801</f>
        <v>0</v>
      </c>
      <c r="AB6801" s="4">
        <f t="shared" si="1061"/>
        <v>0</v>
      </c>
      <c r="AC6801" s="6">
        <f t="shared" si="1058"/>
        <v>0</v>
      </c>
      <c r="AD6801" s="6">
        <f t="shared" si="1063"/>
        <v>0</v>
      </c>
      <c r="AE6801" s="14">
        <f>VLOOKUP(I6801,[2]媒体政策预估表!A:N,MATCH(O6801,[2]媒体政策预估表!$A$2:$M$2,0),0)</f>
        <v>0</v>
      </c>
      <c r="AF6801" s="6">
        <f t="shared" si="1053"/>
        <v>0</v>
      </c>
      <c r="AG6801" s="14">
        <v>0</v>
      </c>
      <c r="AH6801" s="64">
        <f t="shared" si="1064"/>
        <v>0</v>
      </c>
      <c r="AJ6801" s="126" t="e">
        <v>#N/A</v>
      </c>
      <c r="AK6801" s="80">
        <f t="shared" si="1062"/>
        <v>0</v>
      </c>
      <c r="AL6801" s="85"/>
      <c r="AM6801" s="85"/>
    </row>
    <row r="6802" spans="1:39" s="86" customFormat="1" ht="13.25" hidden="1" customHeight="1" x14ac:dyDescent="0.3">
      <c r="A6802" s="89" t="s">
        <v>3792</v>
      </c>
      <c r="B6802" s="86" t="s">
        <v>35</v>
      </c>
      <c r="C6802" s="86" t="s">
        <v>36</v>
      </c>
      <c r="D6802" s="86" t="s">
        <v>185</v>
      </c>
      <c r="E6802" s="86" t="s">
        <v>2608</v>
      </c>
      <c r="F6802" s="86" t="s">
        <v>2608</v>
      </c>
      <c r="G6802" s="86" t="s">
        <v>2608</v>
      </c>
      <c r="H6802" s="143">
        <v>72</v>
      </c>
      <c r="I6802" s="86" t="s">
        <v>2572</v>
      </c>
      <c r="J6802" s="1" t="s">
        <v>3327</v>
      </c>
      <c r="K6802" s="1" t="s">
        <v>3284</v>
      </c>
      <c r="L6802" s="1" t="s">
        <v>35</v>
      </c>
      <c r="M6802" s="86" t="s">
        <v>2609</v>
      </c>
      <c r="O6802" s="47" t="s">
        <v>410</v>
      </c>
      <c r="P6802" s="14" t="s">
        <v>41</v>
      </c>
      <c r="Q6802" s="14">
        <v>0</v>
      </c>
      <c r="R6802" s="143">
        <v>400001707</v>
      </c>
      <c r="S6802" s="47"/>
      <c r="T6802" s="6">
        <v>4.5</v>
      </c>
      <c r="U6802" s="6"/>
      <c r="V6802" s="6">
        <v>0</v>
      </c>
      <c r="W6802" s="6">
        <f t="shared" si="1055"/>
        <v>4.5</v>
      </c>
      <c r="X6802" s="6">
        <f t="shared" si="1056"/>
        <v>0</v>
      </c>
      <c r="Y6802" s="13">
        <f t="shared" si="1059"/>
        <v>0</v>
      </c>
      <c r="Z6802" s="14">
        <v>0</v>
      </c>
      <c r="AA6802" s="6">
        <v>0</v>
      </c>
      <c r="AB6802" s="4">
        <f t="shared" si="1061"/>
        <v>0</v>
      </c>
      <c r="AC6802" s="6">
        <f t="shared" si="1058"/>
        <v>0</v>
      </c>
      <c r="AD6802" s="6">
        <f t="shared" si="1063"/>
        <v>0</v>
      </c>
      <c r="AE6802" s="14">
        <f>VLOOKUP(I6802,[2]媒体政策预估表!A:N,MATCH(O6802,[2]媒体政策预估表!$A$2:$M$2,0),0)</f>
        <v>0</v>
      </c>
      <c r="AF6802" s="6">
        <f t="shared" si="1053"/>
        <v>0</v>
      </c>
      <c r="AG6802" s="14">
        <v>0</v>
      </c>
      <c r="AH6802" s="64">
        <f t="shared" si="1064"/>
        <v>0</v>
      </c>
      <c r="AJ6802" s="126" t="e">
        <v>#N/A</v>
      </c>
      <c r="AK6802" s="80">
        <f t="shared" si="1062"/>
        <v>0</v>
      </c>
      <c r="AL6802" s="85"/>
      <c r="AM6802" s="85"/>
    </row>
    <row r="6803" spans="1:39" s="86" customFormat="1" ht="13.25" hidden="1" customHeight="1" x14ac:dyDescent="0.3">
      <c r="A6803" s="89" t="s">
        <v>3792</v>
      </c>
      <c r="B6803" s="86" t="s">
        <v>35</v>
      </c>
      <c r="C6803" s="86" t="s">
        <v>36</v>
      </c>
      <c r="D6803" s="86" t="s">
        <v>185</v>
      </c>
      <c r="E6803" s="86" t="s">
        <v>2610</v>
      </c>
      <c r="F6803" s="86" t="s">
        <v>2610</v>
      </c>
      <c r="G6803" s="86" t="s">
        <v>2610</v>
      </c>
      <c r="H6803" s="143">
        <v>72</v>
      </c>
      <c r="I6803" s="86" t="s">
        <v>2572</v>
      </c>
      <c r="J6803" s="1" t="s">
        <v>3327</v>
      </c>
      <c r="K6803" s="1" t="s">
        <v>3284</v>
      </c>
      <c r="L6803" s="1" t="s">
        <v>35</v>
      </c>
      <c r="M6803" s="86" t="s">
        <v>2610</v>
      </c>
      <c r="O6803" s="47" t="s">
        <v>410</v>
      </c>
      <c r="P6803" s="14" t="s">
        <v>41</v>
      </c>
      <c r="Q6803" s="14">
        <v>0</v>
      </c>
      <c r="R6803" s="143">
        <v>100000130</v>
      </c>
      <c r="S6803" s="47"/>
      <c r="T6803" s="6">
        <v>150.11000000000101</v>
      </c>
      <c r="U6803" s="6"/>
      <c r="V6803" s="6">
        <v>0</v>
      </c>
      <c r="W6803" s="6">
        <f t="shared" si="1055"/>
        <v>150.11000000000101</v>
      </c>
      <c r="X6803" s="6">
        <f t="shared" si="1056"/>
        <v>0</v>
      </c>
      <c r="Y6803" s="13">
        <f t="shared" si="1059"/>
        <v>0</v>
      </c>
      <c r="Z6803" s="14">
        <v>0</v>
      </c>
      <c r="AA6803" s="6">
        <v>0</v>
      </c>
      <c r="AB6803" s="4">
        <f t="shared" si="1061"/>
        <v>0</v>
      </c>
      <c r="AC6803" s="6">
        <f t="shared" si="1058"/>
        <v>0</v>
      </c>
      <c r="AD6803" s="6">
        <f t="shared" si="1063"/>
        <v>0</v>
      </c>
      <c r="AE6803" s="14">
        <f>VLOOKUP(I6803,[2]媒体政策预估表!A:N,MATCH(O6803,[2]媒体政策预估表!$A$2:$M$2,0),0)</f>
        <v>0</v>
      </c>
      <c r="AF6803" s="6">
        <f t="shared" si="1053"/>
        <v>0</v>
      </c>
      <c r="AG6803" s="14">
        <v>0</v>
      </c>
      <c r="AH6803" s="64">
        <f t="shared" si="1064"/>
        <v>0</v>
      </c>
      <c r="AJ6803" s="126" t="e">
        <v>#N/A</v>
      </c>
      <c r="AK6803" s="80">
        <f t="shared" si="1062"/>
        <v>0</v>
      </c>
      <c r="AL6803" s="85"/>
      <c r="AM6803" s="85"/>
    </row>
    <row r="6804" spans="1:39" s="86" customFormat="1" ht="13.25" hidden="1" customHeight="1" x14ac:dyDescent="0.3">
      <c r="A6804" s="89" t="s">
        <v>3792</v>
      </c>
      <c r="B6804" s="86" t="s">
        <v>35</v>
      </c>
      <c r="C6804" s="86" t="s">
        <v>36</v>
      </c>
      <c r="D6804" s="86" t="s">
        <v>185</v>
      </c>
      <c r="E6804" s="86" t="s">
        <v>2611</v>
      </c>
      <c r="F6804" s="86" t="s">
        <v>2611</v>
      </c>
      <c r="G6804" s="86" t="s">
        <v>2611</v>
      </c>
      <c r="H6804" s="143">
        <v>72</v>
      </c>
      <c r="I6804" s="86" t="s">
        <v>2572</v>
      </c>
      <c r="J6804" s="1" t="s">
        <v>3327</v>
      </c>
      <c r="K6804" s="1" t="s">
        <v>3284</v>
      </c>
      <c r="L6804" s="1" t="s">
        <v>35</v>
      </c>
      <c r="M6804" s="86" t="s">
        <v>2611</v>
      </c>
      <c r="O6804" s="47" t="s">
        <v>410</v>
      </c>
      <c r="P6804" s="14" t="s">
        <v>41</v>
      </c>
      <c r="Q6804" s="14">
        <v>0</v>
      </c>
      <c r="R6804" s="143">
        <v>400001159</v>
      </c>
      <c r="S6804" s="47"/>
      <c r="T6804" s="6">
        <v>0.22999999999999701</v>
      </c>
      <c r="U6804" s="6"/>
      <c r="V6804" s="6">
        <v>0</v>
      </c>
      <c r="W6804" s="6">
        <f t="shared" si="1055"/>
        <v>0.22999999999999701</v>
      </c>
      <c r="X6804" s="6">
        <f t="shared" si="1056"/>
        <v>0</v>
      </c>
      <c r="Y6804" s="13">
        <f t="shared" si="1059"/>
        <v>0</v>
      </c>
      <c r="Z6804" s="14">
        <v>0</v>
      </c>
      <c r="AA6804" s="6">
        <v>0</v>
      </c>
      <c r="AB6804" s="4">
        <f t="shared" si="1061"/>
        <v>0</v>
      </c>
      <c r="AC6804" s="6">
        <f t="shared" si="1058"/>
        <v>0</v>
      </c>
      <c r="AD6804" s="6">
        <f t="shared" si="1063"/>
        <v>0</v>
      </c>
      <c r="AE6804" s="14">
        <f>VLOOKUP(I6804,[2]媒体政策预估表!A:N,MATCH(O6804,[2]媒体政策预估表!$A$2:$M$2,0),0)</f>
        <v>0</v>
      </c>
      <c r="AF6804" s="6">
        <f t="shared" si="1053"/>
        <v>0</v>
      </c>
      <c r="AG6804" s="14">
        <v>0</v>
      </c>
      <c r="AH6804" s="64">
        <f t="shared" si="1064"/>
        <v>0</v>
      </c>
      <c r="AJ6804" s="126" t="e">
        <v>#N/A</v>
      </c>
      <c r="AK6804" s="80">
        <f t="shared" si="1062"/>
        <v>0</v>
      </c>
      <c r="AL6804" s="85"/>
      <c r="AM6804" s="85"/>
    </row>
    <row r="6805" spans="1:39" s="86" customFormat="1" ht="13.25" hidden="1" customHeight="1" x14ac:dyDescent="0.3">
      <c r="A6805" s="89" t="s">
        <v>3792</v>
      </c>
      <c r="B6805" s="86" t="s">
        <v>35</v>
      </c>
      <c r="C6805" s="86" t="s">
        <v>164</v>
      </c>
      <c r="D6805" s="86" t="s">
        <v>174</v>
      </c>
      <c r="E6805" s="86" t="s">
        <v>2012</v>
      </c>
      <c r="F6805" s="86" t="s">
        <v>2612</v>
      </c>
      <c r="G6805" s="86" t="s">
        <v>2012</v>
      </c>
      <c r="H6805" s="143">
        <v>72</v>
      </c>
      <c r="I6805" s="86" t="s">
        <v>2572</v>
      </c>
      <c r="J6805" s="1" t="s">
        <v>3327</v>
      </c>
      <c r="K6805" s="1" t="s">
        <v>3284</v>
      </c>
      <c r="L6805" s="1" t="s">
        <v>35</v>
      </c>
      <c r="M6805" s="86" t="s">
        <v>2012</v>
      </c>
      <c r="O6805" s="47" t="s">
        <v>410</v>
      </c>
      <c r="P6805" s="14" t="s">
        <v>41</v>
      </c>
      <c r="Q6805" s="14">
        <v>0</v>
      </c>
      <c r="R6805" s="143">
        <v>600001350</v>
      </c>
      <c r="S6805" s="47"/>
      <c r="T6805" s="6">
        <v>-13.600000000002201</v>
      </c>
      <c r="U6805" s="6"/>
      <c r="V6805" s="6">
        <v>0</v>
      </c>
      <c r="W6805" s="6">
        <f t="shared" si="1055"/>
        <v>-13.600000000002201</v>
      </c>
      <c r="X6805" s="6">
        <f t="shared" si="1056"/>
        <v>0</v>
      </c>
      <c r="Y6805" s="13">
        <f t="shared" si="1059"/>
        <v>0</v>
      </c>
      <c r="Z6805" s="14">
        <v>0</v>
      </c>
      <c r="AA6805" s="6">
        <v>0</v>
      </c>
      <c r="AB6805" s="4">
        <f t="shared" si="1061"/>
        <v>0</v>
      </c>
      <c r="AC6805" s="6">
        <f t="shared" si="1058"/>
        <v>0</v>
      </c>
      <c r="AD6805" s="6">
        <f t="shared" si="1063"/>
        <v>0</v>
      </c>
      <c r="AE6805" s="14">
        <f>VLOOKUP(I6805,[2]媒体政策预估表!A:N,MATCH(O6805,[2]媒体政策预估表!$A$2:$M$2,0),0)</f>
        <v>0</v>
      </c>
      <c r="AF6805" s="6">
        <f t="shared" si="1053"/>
        <v>0</v>
      </c>
      <c r="AG6805" s="14">
        <v>0</v>
      </c>
      <c r="AH6805" s="64">
        <f t="shared" si="1064"/>
        <v>0</v>
      </c>
      <c r="AJ6805" s="126" t="e">
        <v>#N/A</v>
      </c>
      <c r="AK6805" s="80">
        <f t="shared" si="1062"/>
        <v>0</v>
      </c>
      <c r="AL6805" s="85"/>
      <c r="AM6805" s="85"/>
    </row>
    <row r="6806" spans="1:39" s="86" customFormat="1" ht="13.25" hidden="1" customHeight="1" x14ac:dyDescent="0.3">
      <c r="A6806" s="89" t="s">
        <v>3792</v>
      </c>
      <c r="B6806" s="86" t="s">
        <v>35</v>
      </c>
      <c r="C6806" s="86" t="s">
        <v>36</v>
      </c>
      <c r="D6806" s="86" t="s">
        <v>185</v>
      </c>
      <c r="E6806" s="86" t="s">
        <v>2613</v>
      </c>
      <c r="F6806" s="86" t="s">
        <v>2613</v>
      </c>
      <c r="G6806" s="86" t="s">
        <v>2613</v>
      </c>
      <c r="H6806" s="143">
        <v>72</v>
      </c>
      <c r="I6806" s="86" t="s">
        <v>2572</v>
      </c>
      <c r="J6806" s="1" t="s">
        <v>3327</v>
      </c>
      <c r="K6806" s="1" t="s">
        <v>3284</v>
      </c>
      <c r="L6806" s="1" t="s">
        <v>35</v>
      </c>
      <c r="M6806" s="86" t="s">
        <v>2613</v>
      </c>
      <c r="O6806" s="47" t="s">
        <v>410</v>
      </c>
      <c r="P6806" s="14" t="s">
        <v>41</v>
      </c>
      <c r="Q6806" s="14">
        <v>0</v>
      </c>
      <c r="R6806" s="143">
        <v>300000519</v>
      </c>
      <c r="S6806" s="47"/>
      <c r="T6806" s="6">
        <v>-13.100000000000399</v>
      </c>
      <c r="U6806" s="6"/>
      <c r="V6806" s="6">
        <v>0</v>
      </c>
      <c r="W6806" s="6">
        <f t="shared" si="1055"/>
        <v>-13.100000000000399</v>
      </c>
      <c r="X6806" s="6">
        <f t="shared" si="1056"/>
        <v>0</v>
      </c>
      <c r="Y6806" s="13">
        <f t="shared" si="1059"/>
        <v>0</v>
      </c>
      <c r="Z6806" s="14">
        <v>0</v>
      </c>
      <c r="AA6806" s="6">
        <v>0</v>
      </c>
      <c r="AB6806" s="4">
        <f t="shared" si="1061"/>
        <v>0</v>
      </c>
      <c r="AC6806" s="6">
        <f t="shared" si="1058"/>
        <v>0</v>
      </c>
      <c r="AD6806" s="6">
        <f t="shared" si="1063"/>
        <v>0</v>
      </c>
      <c r="AE6806" s="14">
        <f>VLOOKUP(I6806,[2]媒体政策预估表!A:N,MATCH(O6806,[2]媒体政策预估表!$A$2:$M$2,0),0)</f>
        <v>0</v>
      </c>
      <c r="AF6806" s="6">
        <f t="shared" si="1053"/>
        <v>0</v>
      </c>
      <c r="AG6806" s="14">
        <v>0</v>
      </c>
      <c r="AH6806" s="64">
        <f t="shared" si="1064"/>
        <v>0</v>
      </c>
      <c r="AJ6806" s="126" t="e">
        <v>#N/A</v>
      </c>
      <c r="AK6806" s="80">
        <f t="shared" si="1062"/>
        <v>0</v>
      </c>
      <c r="AL6806" s="85"/>
      <c r="AM6806" s="85"/>
    </row>
    <row r="6807" spans="1:39" s="86" customFormat="1" ht="13.25" hidden="1" customHeight="1" x14ac:dyDescent="0.3">
      <c r="A6807" s="89" t="s">
        <v>3978</v>
      </c>
      <c r="B6807" s="86" t="s">
        <v>35</v>
      </c>
      <c r="C6807" s="86" t="s">
        <v>47</v>
      </c>
      <c r="D6807" s="86" t="s">
        <v>48</v>
      </c>
      <c r="E6807" s="86" t="s">
        <v>1349</v>
      </c>
      <c r="F6807" s="86" t="s">
        <v>2614</v>
      </c>
      <c r="G6807" s="86" t="s">
        <v>1349</v>
      </c>
      <c r="H6807" s="143">
        <v>72</v>
      </c>
      <c r="I6807" s="86" t="s">
        <v>2572</v>
      </c>
      <c r="J6807" s="1" t="s">
        <v>3327</v>
      </c>
      <c r="K6807" s="1" t="s">
        <v>3284</v>
      </c>
      <c r="L6807" s="1" t="s">
        <v>35</v>
      </c>
      <c r="M6807" s="86" t="s">
        <v>2615</v>
      </c>
      <c r="O6807" s="47" t="s">
        <v>56</v>
      </c>
      <c r="P6807" s="14" t="s">
        <v>41</v>
      </c>
      <c r="Q6807" s="14">
        <v>0</v>
      </c>
      <c r="R6807" s="143">
        <v>600000781</v>
      </c>
      <c r="S6807" s="47"/>
      <c r="T6807" s="6">
        <v>5.7</v>
      </c>
      <c r="U6807" s="6"/>
      <c r="V6807" s="6">
        <v>0</v>
      </c>
      <c r="W6807" s="6">
        <f t="shared" si="1055"/>
        <v>5.7</v>
      </c>
      <c r="X6807" s="6">
        <f t="shared" si="1056"/>
        <v>0</v>
      </c>
      <c r="Y6807" s="13">
        <f t="shared" si="1059"/>
        <v>0</v>
      </c>
      <c r="Z6807" s="14">
        <v>0</v>
      </c>
      <c r="AA6807" s="6">
        <v>0</v>
      </c>
      <c r="AB6807" s="4">
        <f t="shared" si="1061"/>
        <v>0</v>
      </c>
      <c r="AC6807" s="6">
        <f t="shared" si="1058"/>
        <v>0</v>
      </c>
      <c r="AD6807" s="6">
        <f t="shared" si="1063"/>
        <v>0</v>
      </c>
      <c r="AE6807" s="14">
        <f>VLOOKUP(I6807,[2]媒体政策预估表!A:N,MATCH(O6807,[2]媒体政策预估表!$A$2:$M$2,0),0)</f>
        <v>0</v>
      </c>
      <c r="AF6807" s="6">
        <f t="shared" si="1053"/>
        <v>0</v>
      </c>
      <c r="AG6807" s="14">
        <v>0</v>
      </c>
      <c r="AH6807" s="64">
        <f t="shared" si="1064"/>
        <v>0</v>
      </c>
      <c r="AJ6807" s="126" t="e">
        <v>#N/A</v>
      </c>
      <c r="AK6807" s="80">
        <f t="shared" si="1062"/>
        <v>0</v>
      </c>
      <c r="AL6807" s="85"/>
      <c r="AM6807" s="85"/>
    </row>
    <row r="6808" spans="1:39" s="86" customFormat="1" ht="13.25" hidden="1" customHeight="1" x14ac:dyDescent="0.3">
      <c r="A6808" s="89" t="s">
        <v>3978</v>
      </c>
      <c r="B6808" s="86" t="s">
        <v>35</v>
      </c>
      <c r="C6808" s="86" t="s">
        <v>47</v>
      </c>
      <c r="D6808" s="86" t="s">
        <v>48</v>
      </c>
      <c r="E6808" s="86" t="s">
        <v>1349</v>
      </c>
      <c r="F6808" s="86" t="s">
        <v>2614</v>
      </c>
      <c r="G6808" s="86" t="s">
        <v>1349</v>
      </c>
      <c r="H6808" s="143">
        <v>72</v>
      </c>
      <c r="I6808" s="86" t="s">
        <v>2572</v>
      </c>
      <c r="J6808" s="1" t="s">
        <v>3327</v>
      </c>
      <c r="K6808" s="1" t="s">
        <v>3284</v>
      </c>
      <c r="L6808" s="1" t="s">
        <v>35</v>
      </c>
      <c r="M6808" s="86" t="s">
        <v>1349</v>
      </c>
      <c r="O6808" s="47" t="s">
        <v>410</v>
      </c>
      <c r="P6808" s="14" t="s">
        <v>41</v>
      </c>
      <c r="Q6808" s="14">
        <v>0</v>
      </c>
      <c r="R6808" s="143">
        <v>600000781</v>
      </c>
      <c r="S6808" s="47"/>
      <c r="T6808" s="6">
        <v>-72.400000000000006</v>
      </c>
      <c r="U6808" s="6"/>
      <c r="V6808" s="6">
        <v>0</v>
      </c>
      <c r="W6808" s="6">
        <f t="shared" si="1055"/>
        <v>-72.400000000000006</v>
      </c>
      <c r="X6808" s="6">
        <f t="shared" si="1056"/>
        <v>0</v>
      </c>
      <c r="Y6808" s="13">
        <f t="shared" si="1059"/>
        <v>0</v>
      </c>
      <c r="Z6808" s="14">
        <v>0</v>
      </c>
      <c r="AA6808" s="6">
        <v>0</v>
      </c>
      <c r="AB6808" s="4">
        <f t="shared" si="1061"/>
        <v>0</v>
      </c>
      <c r="AC6808" s="6">
        <f t="shared" si="1058"/>
        <v>0</v>
      </c>
      <c r="AD6808" s="6">
        <f t="shared" si="1063"/>
        <v>0</v>
      </c>
      <c r="AE6808" s="14">
        <f>VLOOKUP(I6808,[2]媒体政策预估表!A:N,MATCH(O6808,[2]媒体政策预估表!$A$2:$M$2,0),0)</f>
        <v>0</v>
      </c>
      <c r="AF6808" s="6">
        <f t="shared" si="1053"/>
        <v>0</v>
      </c>
      <c r="AG6808" s="14">
        <v>0</v>
      </c>
      <c r="AH6808" s="64">
        <f t="shared" si="1064"/>
        <v>0</v>
      </c>
      <c r="AJ6808" s="126" t="e">
        <v>#N/A</v>
      </c>
      <c r="AK6808" s="80">
        <f t="shared" si="1062"/>
        <v>0</v>
      </c>
      <c r="AL6808" s="85"/>
      <c r="AM6808" s="85"/>
    </row>
    <row r="6809" spans="1:39" s="86" customFormat="1" ht="13.25" hidden="1" customHeight="1" x14ac:dyDescent="0.3">
      <c r="A6809" s="89" t="s">
        <v>3792</v>
      </c>
      <c r="B6809" s="86" t="s">
        <v>35</v>
      </c>
      <c r="C6809" s="86" t="s">
        <v>36</v>
      </c>
      <c r="D6809" s="86" t="s">
        <v>298</v>
      </c>
      <c r="E6809" s="86" t="s">
        <v>2616</v>
      </c>
      <c r="F6809" s="86" t="s">
        <v>2616</v>
      </c>
      <c r="G6809" s="86" t="s">
        <v>2616</v>
      </c>
      <c r="H6809" s="143">
        <v>72</v>
      </c>
      <c r="I6809" s="86" t="s">
        <v>2572</v>
      </c>
      <c r="J6809" s="1" t="s">
        <v>3327</v>
      </c>
      <c r="K6809" s="1" t="s">
        <v>3284</v>
      </c>
      <c r="L6809" s="1" t="s">
        <v>35</v>
      </c>
      <c r="M6809" s="86" t="s">
        <v>2617</v>
      </c>
      <c r="O6809" s="47" t="s">
        <v>410</v>
      </c>
      <c r="P6809" s="14" t="s">
        <v>41</v>
      </c>
      <c r="Q6809" s="14">
        <v>0</v>
      </c>
      <c r="R6809" s="143">
        <v>600001184</v>
      </c>
      <c r="S6809" s="47"/>
      <c r="T6809" s="6">
        <v>99918.34</v>
      </c>
      <c r="U6809" s="6"/>
      <c r="V6809" s="6">
        <v>0</v>
      </c>
      <c r="W6809" s="6">
        <f t="shared" si="1055"/>
        <v>99918.34</v>
      </c>
      <c r="X6809" s="6">
        <f t="shared" si="1056"/>
        <v>0</v>
      </c>
      <c r="Y6809" s="13">
        <f t="shared" si="1059"/>
        <v>0</v>
      </c>
      <c r="Z6809" s="14">
        <v>0</v>
      </c>
      <c r="AA6809" s="6">
        <v>0</v>
      </c>
      <c r="AB6809" s="4">
        <f t="shared" si="1061"/>
        <v>0</v>
      </c>
      <c r="AC6809" s="6">
        <f t="shared" si="1058"/>
        <v>0</v>
      </c>
      <c r="AD6809" s="6">
        <f t="shared" si="1063"/>
        <v>0</v>
      </c>
      <c r="AE6809" s="14">
        <f>VLOOKUP(I6809,[2]媒体政策预估表!A:N,MATCH(O6809,[2]媒体政策预估表!$A$2:$M$2,0),0)</f>
        <v>0</v>
      </c>
      <c r="AF6809" s="6">
        <f t="shared" si="1053"/>
        <v>0</v>
      </c>
      <c r="AG6809" s="14">
        <v>0</v>
      </c>
      <c r="AH6809" s="64">
        <f t="shared" si="1064"/>
        <v>0</v>
      </c>
      <c r="AJ6809" s="126" t="e">
        <v>#N/A</v>
      </c>
      <c r="AK6809" s="80">
        <f t="shared" si="1062"/>
        <v>0</v>
      </c>
      <c r="AL6809" s="85"/>
      <c r="AM6809" s="85"/>
    </row>
    <row r="6810" spans="1:39" s="86" customFormat="1" ht="13.25" hidden="1" customHeight="1" x14ac:dyDescent="0.3">
      <c r="A6810" s="89" t="s">
        <v>3792</v>
      </c>
      <c r="B6810" s="86" t="s">
        <v>35</v>
      </c>
      <c r="C6810" s="86" t="s">
        <v>184</v>
      </c>
      <c r="D6810" s="86" t="s">
        <v>54</v>
      </c>
      <c r="E6810" s="86" t="s">
        <v>55</v>
      </c>
      <c r="F6810" s="86" t="s">
        <v>55</v>
      </c>
      <c r="G6810" s="86" t="s">
        <v>55</v>
      </c>
      <c r="H6810" s="143">
        <v>72</v>
      </c>
      <c r="I6810" s="86" t="s">
        <v>2572</v>
      </c>
      <c r="J6810" s="1" t="s">
        <v>3327</v>
      </c>
      <c r="K6810" s="1" t="s">
        <v>3284</v>
      </c>
      <c r="L6810" s="1" t="s">
        <v>35</v>
      </c>
      <c r="M6810" s="86" t="s">
        <v>55</v>
      </c>
      <c r="O6810" s="47" t="s">
        <v>410</v>
      </c>
      <c r="P6810" s="14" t="s">
        <v>41</v>
      </c>
      <c r="Q6810" s="14">
        <v>0</v>
      </c>
      <c r="R6810" s="143">
        <v>600000861</v>
      </c>
      <c r="S6810" s="47"/>
      <c r="T6810" s="6">
        <v>99116.210000000196</v>
      </c>
      <c r="U6810" s="6"/>
      <c r="V6810" s="6">
        <v>0</v>
      </c>
      <c r="W6810" s="6">
        <f t="shared" si="1055"/>
        <v>99116.210000000196</v>
      </c>
      <c r="X6810" s="6">
        <f t="shared" si="1056"/>
        <v>0</v>
      </c>
      <c r="Y6810" s="13">
        <f t="shared" si="1059"/>
        <v>0</v>
      </c>
      <c r="Z6810" s="14">
        <v>0</v>
      </c>
      <c r="AA6810" s="6">
        <v>0</v>
      </c>
      <c r="AB6810" s="4">
        <f t="shared" si="1061"/>
        <v>0</v>
      </c>
      <c r="AC6810" s="6">
        <f t="shared" si="1058"/>
        <v>0</v>
      </c>
      <c r="AD6810" s="6">
        <f t="shared" si="1063"/>
        <v>0</v>
      </c>
      <c r="AE6810" s="14">
        <f>VLOOKUP(I6810,[2]媒体政策预估表!A:N,MATCH(O6810,[2]媒体政策预估表!$A$2:$M$2,0),0)</f>
        <v>0</v>
      </c>
      <c r="AF6810" s="6">
        <f t="shared" si="1053"/>
        <v>0</v>
      </c>
      <c r="AG6810" s="14">
        <v>0</v>
      </c>
      <c r="AH6810" s="64">
        <f t="shared" si="1064"/>
        <v>0</v>
      </c>
      <c r="AJ6810" s="126" t="e">
        <v>#N/A</v>
      </c>
      <c r="AK6810" s="80">
        <f t="shared" si="1062"/>
        <v>0</v>
      </c>
      <c r="AL6810" s="85"/>
      <c r="AM6810" s="85"/>
    </row>
    <row r="6811" spans="1:39" s="86" customFormat="1" ht="13.25" hidden="1" customHeight="1" x14ac:dyDescent="0.3">
      <c r="A6811" s="89" t="s">
        <v>3792</v>
      </c>
      <c r="B6811" s="86" t="s">
        <v>35</v>
      </c>
      <c r="C6811" s="86" t="s">
        <v>65</v>
      </c>
      <c r="D6811" s="86" t="s">
        <v>66</v>
      </c>
      <c r="E6811" s="86" t="s">
        <v>869</v>
      </c>
      <c r="F6811" s="86" t="s">
        <v>869</v>
      </c>
      <c r="G6811" s="86" t="s">
        <v>869</v>
      </c>
      <c r="H6811" s="143">
        <v>72</v>
      </c>
      <c r="I6811" s="86" t="s">
        <v>2572</v>
      </c>
      <c r="J6811" s="1" t="s">
        <v>3327</v>
      </c>
      <c r="K6811" s="1" t="s">
        <v>3284</v>
      </c>
      <c r="L6811" s="1" t="s">
        <v>35</v>
      </c>
      <c r="M6811" s="86" t="s">
        <v>869</v>
      </c>
      <c r="O6811" s="47" t="s">
        <v>410</v>
      </c>
      <c r="P6811" s="14" t="s">
        <v>41</v>
      </c>
      <c r="Q6811" s="14">
        <v>0</v>
      </c>
      <c r="R6811" s="143">
        <v>600000804</v>
      </c>
      <c r="S6811" s="47"/>
      <c r="T6811" s="6">
        <v>128.87999999991007</v>
      </c>
      <c r="U6811" s="6"/>
      <c r="V6811" s="6">
        <v>0</v>
      </c>
      <c r="W6811" s="6">
        <f t="shared" si="1055"/>
        <v>128.87999999991007</v>
      </c>
      <c r="X6811" s="6">
        <f t="shared" si="1056"/>
        <v>0</v>
      </c>
      <c r="Y6811" s="13">
        <f t="shared" si="1059"/>
        <v>0</v>
      </c>
      <c r="Z6811" s="14">
        <v>0</v>
      </c>
      <c r="AA6811" s="6">
        <v>0</v>
      </c>
      <c r="AB6811" s="4">
        <f t="shared" si="1061"/>
        <v>0</v>
      </c>
      <c r="AC6811" s="6">
        <f t="shared" si="1058"/>
        <v>0</v>
      </c>
      <c r="AD6811" s="6">
        <f t="shared" si="1063"/>
        <v>0</v>
      </c>
      <c r="AE6811" s="14">
        <f>VLOOKUP(I6811,[2]媒体政策预估表!A:N,MATCH(O6811,[2]媒体政策预估表!$A$2:$M$2,0),0)</f>
        <v>0</v>
      </c>
      <c r="AF6811" s="6">
        <f t="shared" si="1053"/>
        <v>0</v>
      </c>
      <c r="AG6811" s="14">
        <v>0</v>
      </c>
      <c r="AH6811" s="64">
        <f t="shared" si="1064"/>
        <v>0</v>
      </c>
      <c r="AJ6811" s="126" t="e">
        <v>#N/A</v>
      </c>
      <c r="AK6811" s="80">
        <f t="shared" si="1062"/>
        <v>0</v>
      </c>
      <c r="AL6811" s="85"/>
      <c r="AM6811" s="85"/>
    </row>
    <row r="6812" spans="1:39" s="86" customFormat="1" ht="13.25" hidden="1" customHeight="1" x14ac:dyDescent="0.3">
      <c r="A6812" s="89" t="s">
        <v>3978</v>
      </c>
      <c r="B6812" s="86" t="s">
        <v>35</v>
      </c>
      <c r="C6812" s="86" t="s">
        <v>65</v>
      </c>
      <c r="D6812" s="86" t="s">
        <v>66</v>
      </c>
      <c r="E6812" s="86" t="s">
        <v>1889</v>
      </c>
      <c r="F6812" s="86" t="s">
        <v>1889</v>
      </c>
      <c r="G6812" s="86" t="s">
        <v>1889</v>
      </c>
      <c r="H6812" s="143">
        <v>72</v>
      </c>
      <c r="I6812" s="86" t="s">
        <v>2572</v>
      </c>
      <c r="J6812" s="1" t="s">
        <v>3327</v>
      </c>
      <c r="K6812" s="1" t="s">
        <v>3284</v>
      </c>
      <c r="L6812" s="1" t="s">
        <v>35</v>
      </c>
      <c r="M6812" s="86" t="s">
        <v>2618</v>
      </c>
      <c r="O6812" s="47" t="s">
        <v>410</v>
      </c>
      <c r="P6812" s="14" t="s">
        <v>41</v>
      </c>
      <c r="Q6812" s="14">
        <v>0</v>
      </c>
      <c r="R6812" s="143">
        <v>300000971</v>
      </c>
      <c r="S6812" s="47"/>
      <c r="T6812" s="6">
        <v>17294.249999999956</v>
      </c>
      <c r="U6812" s="6"/>
      <c r="V6812" s="6">
        <v>0</v>
      </c>
      <c r="W6812" s="6">
        <f t="shared" si="1055"/>
        <v>17294.249999999956</v>
      </c>
      <c r="X6812" s="6">
        <f t="shared" si="1056"/>
        <v>0</v>
      </c>
      <c r="Y6812" s="13">
        <f t="shared" si="1059"/>
        <v>0</v>
      </c>
      <c r="Z6812" s="14">
        <v>0.03</v>
      </c>
      <c r="AA6812" s="6">
        <f>X6812*Z6812</f>
        <v>0</v>
      </c>
      <c r="AB6812" s="4">
        <f t="shared" si="1061"/>
        <v>0</v>
      </c>
      <c r="AC6812" s="6">
        <f t="shared" si="1058"/>
        <v>0</v>
      </c>
      <c r="AD6812" s="6">
        <f t="shared" si="1063"/>
        <v>0</v>
      </c>
      <c r="AE6812" s="14">
        <f>VLOOKUP(I6812,[2]媒体政策预估表!A:N,MATCH(O6812,[2]媒体政策预估表!$A$2:$M$2,0),0)</f>
        <v>0</v>
      </c>
      <c r="AF6812" s="6">
        <f t="shared" si="1053"/>
        <v>0</v>
      </c>
      <c r="AG6812" s="14">
        <v>0</v>
      </c>
      <c r="AH6812" s="64">
        <f t="shared" si="1064"/>
        <v>0</v>
      </c>
      <c r="AJ6812" s="126" t="e">
        <v>#N/A</v>
      </c>
      <c r="AK6812" s="80">
        <f t="shared" si="1062"/>
        <v>0</v>
      </c>
      <c r="AL6812" s="85"/>
      <c r="AM6812" s="85"/>
    </row>
    <row r="6813" spans="1:39" s="86" customFormat="1" ht="13.25" hidden="1" customHeight="1" x14ac:dyDescent="0.3">
      <c r="A6813" s="89" t="s">
        <v>3792</v>
      </c>
      <c r="B6813" s="86" t="s">
        <v>35</v>
      </c>
      <c r="C6813" s="86" t="s">
        <v>65</v>
      </c>
      <c r="D6813" s="86" t="s">
        <v>66</v>
      </c>
      <c r="E6813" s="86" t="s">
        <v>2619</v>
      </c>
      <c r="F6813" s="86" t="s">
        <v>2619</v>
      </c>
      <c r="G6813" s="86" t="s">
        <v>2619</v>
      </c>
      <c r="H6813" s="143">
        <v>72</v>
      </c>
      <c r="I6813" s="86" t="s">
        <v>2572</v>
      </c>
      <c r="J6813" s="1" t="s">
        <v>3327</v>
      </c>
      <c r="K6813" s="1" t="s">
        <v>3284</v>
      </c>
      <c r="L6813" s="1" t="s">
        <v>35</v>
      </c>
      <c r="M6813" s="86" t="s">
        <v>2620</v>
      </c>
      <c r="O6813" s="47" t="s">
        <v>410</v>
      </c>
      <c r="P6813" s="14" t="s">
        <v>41</v>
      </c>
      <c r="Q6813" s="14">
        <v>0</v>
      </c>
      <c r="R6813" s="143">
        <v>600001325</v>
      </c>
      <c r="S6813" s="47"/>
      <c r="T6813" s="6">
        <v>-99.199999999998894</v>
      </c>
      <c r="U6813" s="6"/>
      <c r="V6813" s="6">
        <v>0</v>
      </c>
      <c r="W6813" s="6">
        <f t="shared" si="1055"/>
        <v>-99.199999999998894</v>
      </c>
      <c r="X6813" s="6">
        <f t="shared" si="1056"/>
        <v>0</v>
      </c>
      <c r="Y6813" s="13">
        <f t="shared" si="1059"/>
        <v>0</v>
      </c>
      <c r="Z6813" s="14">
        <v>0</v>
      </c>
      <c r="AA6813" s="6">
        <v>0</v>
      </c>
      <c r="AB6813" s="4">
        <f t="shared" si="1061"/>
        <v>0</v>
      </c>
      <c r="AC6813" s="6">
        <f t="shared" si="1058"/>
        <v>0</v>
      </c>
      <c r="AD6813" s="6">
        <f t="shared" si="1063"/>
        <v>0</v>
      </c>
      <c r="AE6813" s="14">
        <f>VLOOKUP(I6813,[2]媒体政策预估表!A:N,MATCH(O6813,[2]媒体政策预估表!$A$2:$M$2,0),0)</f>
        <v>0</v>
      </c>
      <c r="AF6813" s="6">
        <f t="shared" si="1053"/>
        <v>0</v>
      </c>
      <c r="AG6813" s="14">
        <v>0</v>
      </c>
      <c r="AH6813" s="64">
        <f t="shared" si="1064"/>
        <v>0</v>
      </c>
      <c r="AJ6813" s="126" t="e">
        <v>#N/A</v>
      </c>
      <c r="AK6813" s="80">
        <f t="shared" si="1062"/>
        <v>0</v>
      </c>
      <c r="AL6813" s="85"/>
      <c r="AM6813" s="85"/>
    </row>
    <row r="6814" spans="1:39" s="86" customFormat="1" ht="13.25" hidden="1" customHeight="1" x14ac:dyDescent="0.3">
      <c r="A6814" s="89" t="s">
        <v>3978</v>
      </c>
      <c r="B6814" s="86" t="s">
        <v>35</v>
      </c>
      <c r="C6814" s="86" t="s">
        <v>65</v>
      </c>
      <c r="D6814" s="86" t="s">
        <v>122</v>
      </c>
      <c r="E6814" s="86" t="s">
        <v>2621</v>
      </c>
      <c r="F6814" s="86" t="s">
        <v>2622</v>
      </c>
      <c r="G6814" s="86" t="s">
        <v>2621</v>
      </c>
      <c r="H6814" s="143">
        <v>72</v>
      </c>
      <c r="I6814" s="86" t="s">
        <v>2572</v>
      </c>
      <c r="J6814" s="1" t="s">
        <v>3327</v>
      </c>
      <c r="K6814" s="1" t="s">
        <v>3284</v>
      </c>
      <c r="L6814" s="1" t="s">
        <v>35</v>
      </c>
      <c r="M6814" s="86" t="s">
        <v>2623</v>
      </c>
      <c r="O6814" s="47" t="s">
        <v>410</v>
      </c>
      <c r="P6814" s="14" t="s">
        <v>41</v>
      </c>
      <c r="Q6814" s="14">
        <v>0</v>
      </c>
      <c r="R6814" s="143">
        <v>300000959</v>
      </c>
      <c r="S6814" s="47"/>
      <c r="T6814" s="6">
        <v>-46.4</v>
      </c>
      <c r="U6814" s="6"/>
      <c r="V6814" s="6">
        <v>0</v>
      </c>
      <c r="W6814" s="6">
        <f t="shared" si="1055"/>
        <v>-46.4</v>
      </c>
      <c r="X6814" s="6">
        <f t="shared" si="1056"/>
        <v>0</v>
      </c>
      <c r="Y6814" s="13">
        <f t="shared" si="1059"/>
        <v>0</v>
      </c>
      <c r="Z6814" s="14">
        <v>0</v>
      </c>
      <c r="AA6814" s="6">
        <v>0</v>
      </c>
      <c r="AB6814" s="4">
        <f t="shared" si="1061"/>
        <v>0</v>
      </c>
      <c r="AC6814" s="6">
        <f t="shared" si="1058"/>
        <v>0</v>
      </c>
      <c r="AD6814" s="6">
        <f t="shared" si="1063"/>
        <v>0</v>
      </c>
      <c r="AE6814" s="14">
        <f>VLOOKUP(I6814,[2]媒体政策预估表!A:N,MATCH(O6814,[2]媒体政策预估表!$A$2:$M$2,0),0)</f>
        <v>0</v>
      </c>
      <c r="AF6814" s="6">
        <f t="shared" si="1053"/>
        <v>0</v>
      </c>
      <c r="AG6814" s="14">
        <v>0</v>
      </c>
      <c r="AH6814" s="64">
        <f t="shared" si="1064"/>
        <v>0</v>
      </c>
      <c r="AJ6814" s="126" t="e">
        <v>#N/A</v>
      </c>
      <c r="AK6814" s="80">
        <f t="shared" si="1062"/>
        <v>0</v>
      </c>
      <c r="AL6814" s="85"/>
      <c r="AM6814" s="85"/>
    </row>
    <row r="6815" spans="1:39" s="86" customFormat="1" ht="13.25" hidden="1" customHeight="1" x14ac:dyDescent="0.3">
      <c r="A6815" s="89" t="s">
        <v>3978</v>
      </c>
      <c r="B6815" s="86" t="s">
        <v>35</v>
      </c>
      <c r="C6815" s="86" t="s">
        <v>65</v>
      </c>
      <c r="D6815" s="86" t="s">
        <v>66</v>
      </c>
      <c r="E6815" s="86" t="s">
        <v>1907</v>
      </c>
      <c r="F6815" s="86" t="s">
        <v>1908</v>
      </c>
      <c r="G6815" s="86" t="s">
        <v>1907</v>
      </c>
      <c r="H6815" s="143">
        <v>72</v>
      </c>
      <c r="I6815" s="86" t="s">
        <v>2572</v>
      </c>
      <c r="J6815" s="1" t="s">
        <v>3327</v>
      </c>
      <c r="K6815" s="1" t="s">
        <v>3284</v>
      </c>
      <c r="L6815" s="1" t="s">
        <v>35</v>
      </c>
      <c r="M6815" s="86" t="s">
        <v>1907</v>
      </c>
      <c r="O6815" s="47" t="s">
        <v>410</v>
      </c>
      <c r="P6815" s="14" t="s">
        <v>41</v>
      </c>
      <c r="Q6815" s="14">
        <v>0</v>
      </c>
      <c r="R6815" s="143">
        <v>100000334</v>
      </c>
      <c r="S6815" s="47"/>
      <c r="T6815" s="6">
        <v>-68.149999999979627</v>
      </c>
      <c r="U6815" s="6"/>
      <c r="V6815" s="6">
        <v>0</v>
      </c>
      <c r="W6815" s="6">
        <f t="shared" si="1055"/>
        <v>-68.149999999979627</v>
      </c>
      <c r="X6815" s="6">
        <f t="shared" si="1056"/>
        <v>0</v>
      </c>
      <c r="Y6815" s="13">
        <f t="shared" si="1059"/>
        <v>0</v>
      </c>
      <c r="Z6815" s="14">
        <v>0</v>
      </c>
      <c r="AA6815" s="6">
        <v>0</v>
      </c>
      <c r="AB6815" s="4">
        <f t="shared" si="1061"/>
        <v>0</v>
      </c>
      <c r="AC6815" s="6">
        <f t="shared" si="1058"/>
        <v>0</v>
      </c>
      <c r="AD6815" s="6">
        <f t="shared" si="1063"/>
        <v>0</v>
      </c>
      <c r="AE6815" s="14">
        <f>VLOOKUP(I6815,[2]媒体政策预估表!A:N,MATCH(O6815,[2]媒体政策预估表!$A$2:$M$2,0),0)</f>
        <v>0</v>
      </c>
      <c r="AF6815" s="6">
        <f t="shared" si="1053"/>
        <v>0</v>
      </c>
      <c r="AG6815" s="14">
        <v>0</v>
      </c>
      <c r="AH6815" s="64">
        <f t="shared" si="1064"/>
        <v>0</v>
      </c>
      <c r="AJ6815" s="126" t="e">
        <v>#N/A</v>
      </c>
      <c r="AK6815" s="80">
        <f t="shared" si="1062"/>
        <v>0</v>
      </c>
      <c r="AL6815" s="85"/>
      <c r="AM6815" s="85"/>
    </row>
    <row r="6816" spans="1:39" s="86" customFormat="1" ht="13.25" hidden="1" customHeight="1" x14ac:dyDescent="0.3">
      <c r="A6816" s="89" t="s">
        <v>3978</v>
      </c>
      <c r="B6816" s="86" t="s">
        <v>35</v>
      </c>
      <c r="C6816" s="86" t="s">
        <v>65</v>
      </c>
      <c r="D6816" s="86" t="s">
        <v>66</v>
      </c>
      <c r="E6816" s="86" t="s">
        <v>2624</v>
      </c>
      <c r="F6816" s="86" t="s">
        <v>2624</v>
      </c>
      <c r="G6816" s="86" t="s">
        <v>2625</v>
      </c>
      <c r="H6816" s="143">
        <v>72</v>
      </c>
      <c r="I6816" s="86" t="s">
        <v>2572</v>
      </c>
      <c r="J6816" s="1" t="s">
        <v>3327</v>
      </c>
      <c r="K6816" s="1" t="s">
        <v>3284</v>
      </c>
      <c r="L6816" s="1" t="s">
        <v>35</v>
      </c>
      <c r="M6816" s="86" t="s">
        <v>2625</v>
      </c>
      <c r="O6816" s="47" t="s">
        <v>410</v>
      </c>
      <c r="P6816" s="14" t="s">
        <v>41</v>
      </c>
      <c r="Q6816" s="14">
        <v>0</v>
      </c>
      <c r="R6816" s="143">
        <v>100000113</v>
      </c>
      <c r="S6816" s="47"/>
      <c r="T6816" s="6">
        <v>-13.999999999994801</v>
      </c>
      <c r="U6816" s="6"/>
      <c r="V6816" s="6">
        <v>0</v>
      </c>
      <c r="W6816" s="6">
        <f t="shared" si="1055"/>
        <v>-13.999999999994801</v>
      </c>
      <c r="X6816" s="6">
        <f t="shared" si="1056"/>
        <v>0</v>
      </c>
      <c r="Y6816" s="13">
        <f t="shared" si="1059"/>
        <v>0</v>
      </c>
      <c r="Z6816" s="14">
        <v>0</v>
      </c>
      <c r="AA6816" s="6">
        <v>0</v>
      </c>
      <c r="AB6816" s="4">
        <f t="shared" si="1061"/>
        <v>0</v>
      </c>
      <c r="AC6816" s="6">
        <f t="shared" si="1058"/>
        <v>0</v>
      </c>
      <c r="AD6816" s="6">
        <f t="shared" si="1063"/>
        <v>0</v>
      </c>
      <c r="AE6816" s="14">
        <f>VLOOKUP(I6816,[2]媒体政策预估表!A:N,MATCH(O6816,[2]媒体政策预估表!$A$2:$M$2,0),0)</f>
        <v>0</v>
      </c>
      <c r="AF6816" s="6">
        <f t="shared" si="1053"/>
        <v>0</v>
      </c>
      <c r="AG6816" s="14">
        <v>0</v>
      </c>
      <c r="AH6816" s="64">
        <f t="shared" si="1064"/>
        <v>0</v>
      </c>
      <c r="AJ6816" s="126" t="e">
        <v>#N/A</v>
      </c>
      <c r="AK6816" s="80">
        <f t="shared" si="1062"/>
        <v>0</v>
      </c>
      <c r="AL6816" s="85"/>
      <c r="AM6816" s="85"/>
    </row>
    <row r="6817" spans="1:39" s="86" customFormat="1" ht="13.25" hidden="1" customHeight="1" x14ac:dyDescent="0.3">
      <c r="A6817" s="89" t="s">
        <v>3978</v>
      </c>
      <c r="B6817" s="86" t="s">
        <v>35</v>
      </c>
      <c r="C6817" s="86" t="s">
        <v>65</v>
      </c>
      <c r="D6817" s="86" t="s">
        <v>66</v>
      </c>
      <c r="E6817" s="86" t="s">
        <v>2626</v>
      </c>
      <c r="F6817" s="86" t="s">
        <v>2626</v>
      </c>
      <c r="G6817" s="86" t="s">
        <v>2626</v>
      </c>
      <c r="H6817" s="143">
        <v>72</v>
      </c>
      <c r="I6817" s="86" t="s">
        <v>2572</v>
      </c>
      <c r="J6817" s="1" t="s">
        <v>3327</v>
      </c>
      <c r="K6817" s="1" t="s">
        <v>3284</v>
      </c>
      <c r="L6817" s="1" t="s">
        <v>35</v>
      </c>
      <c r="M6817" s="86" t="s">
        <v>2626</v>
      </c>
      <c r="O6817" s="47" t="s">
        <v>410</v>
      </c>
      <c r="P6817" s="14" t="s">
        <v>41</v>
      </c>
      <c r="Q6817" s="14">
        <v>0</v>
      </c>
      <c r="R6817" s="143">
        <v>400003343</v>
      </c>
      <c r="S6817" s="47"/>
      <c r="T6817" s="6">
        <v>12687.279999999999</v>
      </c>
      <c r="U6817" s="6"/>
      <c r="V6817" s="6">
        <v>0</v>
      </c>
      <c r="W6817" s="6">
        <f t="shared" si="1055"/>
        <v>12687.279999999999</v>
      </c>
      <c r="X6817" s="6">
        <f t="shared" si="1056"/>
        <v>0</v>
      </c>
      <c r="Y6817" s="13">
        <f t="shared" si="1059"/>
        <v>0</v>
      </c>
      <c r="Z6817" s="14">
        <v>0.03</v>
      </c>
      <c r="AA6817" s="6">
        <f>X6817*Z6817</f>
        <v>0</v>
      </c>
      <c r="AB6817" s="4">
        <f t="shared" si="1061"/>
        <v>0</v>
      </c>
      <c r="AC6817" s="6">
        <f t="shared" si="1058"/>
        <v>0</v>
      </c>
      <c r="AD6817" s="6">
        <f t="shared" si="1063"/>
        <v>0</v>
      </c>
      <c r="AE6817" s="14">
        <f>VLOOKUP(I6817,[2]媒体政策预估表!A:N,MATCH(O6817,[2]媒体政策预估表!$A$2:$M$2,0),0)</f>
        <v>0</v>
      </c>
      <c r="AF6817" s="6">
        <f t="shared" si="1053"/>
        <v>0</v>
      </c>
      <c r="AG6817" s="14">
        <v>0</v>
      </c>
      <c r="AH6817" s="64">
        <f t="shared" si="1064"/>
        <v>0</v>
      </c>
      <c r="AJ6817" s="126" t="e">
        <v>#N/A</v>
      </c>
      <c r="AK6817" s="80">
        <f t="shared" si="1062"/>
        <v>0</v>
      </c>
      <c r="AL6817" s="85"/>
      <c r="AM6817" s="85"/>
    </row>
    <row r="6818" spans="1:39" s="86" customFormat="1" ht="13.25" hidden="1" customHeight="1" x14ac:dyDescent="0.3">
      <c r="A6818" s="89" t="s">
        <v>3978</v>
      </c>
      <c r="B6818" s="86" t="s">
        <v>35</v>
      </c>
      <c r="C6818" s="86" t="s">
        <v>47</v>
      </c>
      <c r="D6818" s="86" t="s">
        <v>1317</v>
      </c>
      <c r="E6818" s="86" t="s">
        <v>2627</v>
      </c>
      <c r="F6818" s="86" t="s">
        <v>2627</v>
      </c>
      <c r="G6818" s="86" t="s">
        <v>2627</v>
      </c>
      <c r="H6818" s="143">
        <v>72</v>
      </c>
      <c r="I6818" s="86" t="s">
        <v>2572</v>
      </c>
      <c r="J6818" s="1" t="s">
        <v>3327</v>
      </c>
      <c r="K6818" s="1" t="s">
        <v>3284</v>
      </c>
      <c r="L6818" s="1" t="s">
        <v>35</v>
      </c>
      <c r="M6818" s="86" t="s">
        <v>2627</v>
      </c>
      <c r="O6818" s="47" t="s">
        <v>410</v>
      </c>
      <c r="P6818" s="14" t="s">
        <v>41</v>
      </c>
      <c r="Q6818" s="14">
        <v>0</v>
      </c>
      <c r="R6818" s="143">
        <v>400001931</v>
      </c>
      <c r="S6818" s="47"/>
      <c r="T6818" s="6">
        <v>0.23999999999980259</v>
      </c>
      <c r="U6818" s="6"/>
      <c r="V6818" s="6">
        <v>0</v>
      </c>
      <c r="W6818" s="6">
        <f t="shared" si="1055"/>
        <v>0.23999999999980259</v>
      </c>
      <c r="X6818" s="6">
        <f t="shared" si="1056"/>
        <v>0</v>
      </c>
      <c r="Y6818" s="13">
        <f t="shared" si="1059"/>
        <v>0</v>
      </c>
      <c r="Z6818" s="14">
        <v>0</v>
      </c>
      <c r="AA6818" s="6">
        <v>0</v>
      </c>
      <c r="AB6818" s="4">
        <f t="shared" si="1061"/>
        <v>0</v>
      </c>
      <c r="AC6818" s="6">
        <f t="shared" si="1058"/>
        <v>0</v>
      </c>
      <c r="AD6818" s="6">
        <f t="shared" si="1063"/>
        <v>0</v>
      </c>
      <c r="AE6818" s="14">
        <f>VLOOKUP(I6818,[2]媒体政策预估表!A:N,MATCH(O6818,[2]媒体政策预估表!$A$2:$M$2,0),0)</f>
        <v>0</v>
      </c>
      <c r="AF6818" s="6">
        <f t="shared" si="1053"/>
        <v>0</v>
      </c>
      <c r="AG6818" s="14">
        <v>0</v>
      </c>
      <c r="AH6818" s="64">
        <f t="shared" si="1064"/>
        <v>0</v>
      </c>
      <c r="AJ6818" s="126" t="e">
        <v>#N/A</v>
      </c>
      <c r="AK6818" s="80">
        <f t="shared" si="1062"/>
        <v>0</v>
      </c>
      <c r="AL6818" s="85"/>
      <c r="AM6818" s="85"/>
    </row>
    <row r="6819" spans="1:39" s="86" customFormat="1" ht="13.25" hidden="1" customHeight="1" x14ac:dyDescent="0.3">
      <c r="A6819" s="89" t="s">
        <v>3978</v>
      </c>
      <c r="B6819" s="86" t="s">
        <v>35</v>
      </c>
      <c r="C6819" s="86" t="s">
        <v>47</v>
      </c>
      <c r="D6819" s="86" t="s">
        <v>63</v>
      </c>
      <c r="E6819" s="86" t="s">
        <v>2628</v>
      </c>
      <c r="F6819" s="86" t="s">
        <v>2629</v>
      </c>
      <c r="G6819" s="86" t="s">
        <v>2629</v>
      </c>
      <c r="H6819" s="143">
        <v>72</v>
      </c>
      <c r="I6819" s="86" t="s">
        <v>2572</v>
      </c>
      <c r="J6819" s="1" t="s">
        <v>3327</v>
      </c>
      <c r="K6819" s="1" t="s">
        <v>3284</v>
      </c>
      <c r="L6819" s="1" t="s">
        <v>35</v>
      </c>
      <c r="M6819" s="86" t="s">
        <v>2630</v>
      </c>
      <c r="O6819" s="47" t="s">
        <v>410</v>
      </c>
      <c r="P6819" s="14" t="s">
        <v>41</v>
      </c>
      <c r="Q6819" s="14">
        <v>0</v>
      </c>
      <c r="R6819" s="143">
        <v>600000772</v>
      </c>
      <c r="S6819" s="47"/>
      <c r="T6819" s="6">
        <v>61.2</v>
      </c>
      <c r="U6819" s="6"/>
      <c r="V6819" s="6">
        <v>0</v>
      </c>
      <c r="W6819" s="6">
        <f t="shared" si="1055"/>
        <v>61.2</v>
      </c>
      <c r="X6819" s="6">
        <f t="shared" si="1056"/>
        <v>0</v>
      </c>
      <c r="Y6819" s="13">
        <f t="shared" si="1059"/>
        <v>0</v>
      </c>
      <c r="Z6819" s="14">
        <v>0</v>
      </c>
      <c r="AA6819" s="6">
        <v>0</v>
      </c>
      <c r="AB6819" s="4">
        <f t="shared" si="1061"/>
        <v>0</v>
      </c>
      <c r="AC6819" s="6">
        <f t="shared" si="1058"/>
        <v>0</v>
      </c>
      <c r="AD6819" s="6">
        <f t="shared" si="1063"/>
        <v>0</v>
      </c>
      <c r="AE6819" s="14">
        <f>VLOOKUP(I6819,[2]媒体政策预估表!A:N,MATCH(O6819,[2]媒体政策预估表!$A$2:$M$2,0),0)</f>
        <v>0</v>
      </c>
      <c r="AF6819" s="6">
        <f t="shared" si="1053"/>
        <v>0</v>
      </c>
      <c r="AG6819" s="14">
        <v>0</v>
      </c>
      <c r="AH6819" s="64">
        <f t="shared" si="1064"/>
        <v>0</v>
      </c>
      <c r="AJ6819" s="126" t="e">
        <v>#N/A</v>
      </c>
      <c r="AK6819" s="80">
        <f t="shared" si="1062"/>
        <v>0</v>
      </c>
      <c r="AL6819" s="85"/>
      <c r="AM6819" s="85"/>
    </row>
    <row r="6820" spans="1:39" s="86" customFormat="1" ht="13.25" hidden="1" customHeight="1" x14ac:dyDescent="0.3">
      <c r="A6820" s="89" t="s">
        <v>3978</v>
      </c>
      <c r="B6820" s="86" t="s">
        <v>35</v>
      </c>
      <c r="C6820" s="86" t="s">
        <v>47</v>
      </c>
      <c r="D6820" s="86" t="s">
        <v>63</v>
      </c>
      <c r="E6820" s="86" t="s">
        <v>2631</v>
      </c>
      <c r="F6820" s="86" t="s">
        <v>2631</v>
      </c>
      <c r="G6820" s="86" t="s">
        <v>2631</v>
      </c>
      <c r="H6820" s="143">
        <v>72</v>
      </c>
      <c r="I6820" s="86" t="s">
        <v>2572</v>
      </c>
      <c r="J6820" s="1" t="s">
        <v>3327</v>
      </c>
      <c r="K6820" s="1" t="s">
        <v>3284</v>
      </c>
      <c r="L6820" s="1" t="s">
        <v>35</v>
      </c>
      <c r="M6820" s="86" t="s">
        <v>2631</v>
      </c>
      <c r="O6820" s="47" t="s">
        <v>410</v>
      </c>
      <c r="P6820" s="14" t="s">
        <v>41</v>
      </c>
      <c r="Q6820" s="14">
        <v>0</v>
      </c>
      <c r="R6820" s="143">
        <v>600001058</v>
      </c>
      <c r="S6820" s="47"/>
      <c r="T6820" s="6">
        <v>996</v>
      </c>
      <c r="U6820" s="6"/>
      <c r="V6820" s="6">
        <v>0</v>
      </c>
      <c r="W6820" s="6">
        <f t="shared" si="1055"/>
        <v>996</v>
      </c>
      <c r="X6820" s="6">
        <f t="shared" si="1056"/>
        <v>0</v>
      </c>
      <c r="Y6820" s="13">
        <f t="shared" si="1059"/>
        <v>0</v>
      </c>
      <c r="Z6820" s="14">
        <v>0</v>
      </c>
      <c r="AA6820" s="6">
        <v>0</v>
      </c>
      <c r="AB6820" s="4">
        <f t="shared" si="1061"/>
        <v>0</v>
      </c>
      <c r="AC6820" s="6">
        <f t="shared" si="1058"/>
        <v>0</v>
      </c>
      <c r="AD6820" s="6">
        <f t="shared" si="1063"/>
        <v>0</v>
      </c>
      <c r="AE6820" s="14">
        <f>VLOOKUP(I6820,[2]媒体政策预估表!A:N,MATCH(O6820,[2]媒体政策预估表!$A$2:$M$2,0),0)</f>
        <v>0</v>
      </c>
      <c r="AF6820" s="6">
        <f t="shared" ref="AF6820:AF6883" si="1065">AD6820*AE6820</f>
        <v>0</v>
      </c>
      <c r="AG6820" s="14">
        <v>0</v>
      </c>
      <c r="AH6820" s="64">
        <f t="shared" si="1064"/>
        <v>0</v>
      </c>
      <c r="AJ6820" s="126" t="e">
        <v>#N/A</v>
      </c>
      <c r="AK6820" s="80">
        <f t="shared" si="1062"/>
        <v>0</v>
      </c>
      <c r="AL6820" s="85"/>
      <c r="AM6820" s="85"/>
    </row>
    <row r="6821" spans="1:39" s="86" customFormat="1" ht="13.25" hidden="1" customHeight="1" x14ac:dyDescent="0.3">
      <c r="A6821" s="89" t="s">
        <v>3792</v>
      </c>
      <c r="B6821" s="86" t="s">
        <v>35</v>
      </c>
      <c r="C6821" s="86" t="s">
        <v>47</v>
      </c>
      <c r="D6821" s="86" t="s">
        <v>48</v>
      </c>
      <c r="E6821" s="86" t="s">
        <v>2632</v>
      </c>
      <c r="F6821" s="86" t="s">
        <v>2633</v>
      </c>
      <c r="G6821" s="86" t="s">
        <v>2633</v>
      </c>
      <c r="H6821" s="143">
        <v>72</v>
      </c>
      <c r="I6821" s="86" t="s">
        <v>2572</v>
      </c>
      <c r="J6821" s="1" t="s">
        <v>3327</v>
      </c>
      <c r="K6821" s="1" t="s">
        <v>3284</v>
      </c>
      <c r="L6821" s="1" t="s">
        <v>35</v>
      </c>
      <c r="M6821" s="86" t="s">
        <v>2634</v>
      </c>
      <c r="O6821" s="47" t="s">
        <v>410</v>
      </c>
      <c r="P6821" s="14" t="s">
        <v>41</v>
      </c>
      <c r="Q6821" s="14">
        <v>0</v>
      </c>
      <c r="R6821" s="143">
        <v>600001140</v>
      </c>
      <c r="S6821" s="47"/>
      <c r="T6821" s="6">
        <v>92388.24</v>
      </c>
      <c r="U6821" s="6"/>
      <c r="V6821" s="6">
        <v>0</v>
      </c>
      <c r="W6821" s="6">
        <f t="shared" si="1055"/>
        <v>92388.24</v>
      </c>
      <c r="X6821" s="6">
        <f t="shared" si="1056"/>
        <v>0</v>
      </c>
      <c r="Y6821" s="13">
        <f t="shared" si="1059"/>
        <v>0</v>
      </c>
      <c r="Z6821" s="14">
        <v>0</v>
      </c>
      <c r="AA6821" s="6">
        <v>0</v>
      </c>
      <c r="AB6821" s="4">
        <f t="shared" si="1061"/>
        <v>0</v>
      </c>
      <c r="AC6821" s="6">
        <f t="shared" si="1058"/>
        <v>0</v>
      </c>
      <c r="AD6821" s="6">
        <f t="shared" si="1063"/>
        <v>0</v>
      </c>
      <c r="AE6821" s="14">
        <f>VLOOKUP(I6821,[2]媒体政策预估表!A:N,MATCH(O6821,[2]媒体政策预估表!$A$2:$M$2,0),0)</f>
        <v>0</v>
      </c>
      <c r="AF6821" s="6">
        <f t="shared" si="1065"/>
        <v>0</v>
      </c>
      <c r="AG6821" s="14">
        <v>0</v>
      </c>
      <c r="AH6821" s="64">
        <f t="shared" si="1064"/>
        <v>0</v>
      </c>
      <c r="AJ6821" s="126" t="e">
        <v>#N/A</v>
      </c>
      <c r="AK6821" s="80">
        <f t="shared" si="1062"/>
        <v>0</v>
      </c>
      <c r="AL6821" s="85"/>
      <c r="AM6821" s="85"/>
    </row>
    <row r="6822" spans="1:39" s="86" customFormat="1" ht="13.25" hidden="1" customHeight="1" x14ac:dyDescent="0.3">
      <c r="A6822" s="89" t="s">
        <v>3978</v>
      </c>
      <c r="B6822" s="86" t="s">
        <v>35</v>
      </c>
      <c r="C6822" s="86" t="s">
        <v>184</v>
      </c>
      <c r="D6822" s="86" t="s">
        <v>3849</v>
      </c>
      <c r="E6822" s="86" t="s">
        <v>1356</v>
      </c>
      <c r="F6822" s="86" t="s">
        <v>1356</v>
      </c>
      <c r="G6822" s="86" t="s">
        <v>1356</v>
      </c>
      <c r="H6822" s="143">
        <v>72</v>
      </c>
      <c r="I6822" s="86" t="s">
        <v>2572</v>
      </c>
      <c r="J6822" s="1" t="s">
        <v>3327</v>
      </c>
      <c r="K6822" s="1" t="s">
        <v>3284</v>
      </c>
      <c r="L6822" s="1" t="s">
        <v>35</v>
      </c>
      <c r="M6822" s="86" t="s">
        <v>2635</v>
      </c>
      <c r="O6822" s="47" t="s">
        <v>410</v>
      </c>
      <c r="P6822" s="14" t="s">
        <v>41</v>
      </c>
      <c r="Q6822" s="14">
        <v>0</v>
      </c>
      <c r="R6822" s="143">
        <v>400002196</v>
      </c>
      <c r="S6822" s="47"/>
      <c r="T6822" s="6">
        <v>184.29999999999899</v>
      </c>
      <c r="U6822" s="6"/>
      <c r="V6822" s="6">
        <v>0</v>
      </c>
      <c r="W6822" s="6">
        <f t="shared" si="1055"/>
        <v>184.29999999999899</v>
      </c>
      <c r="X6822" s="6">
        <f t="shared" si="1056"/>
        <v>0</v>
      </c>
      <c r="Y6822" s="13">
        <f t="shared" si="1059"/>
        <v>0</v>
      </c>
      <c r="Z6822" s="14">
        <v>0</v>
      </c>
      <c r="AA6822" s="6">
        <v>0</v>
      </c>
      <c r="AB6822" s="4">
        <f t="shared" si="1061"/>
        <v>0</v>
      </c>
      <c r="AC6822" s="6">
        <f t="shared" si="1058"/>
        <v>0</v>
      </c>
      <c r="AD6822" s="6">
        <f t="shared" si="1063"/>
        <v>0</v>
      </c>
      <c r="AE6822" s="14">
        <f>VLOOKUP(I6822,[2]媒体政策预估表!A:N,MATCH(O6822,[2]媒体政策预估表!$A$2:$M$2,0),0)</f>
        <v>0</v>
      </c>
      <c r="AF6822" s="6">
        <f t="shared" si="1065"/>
        <v>0</v>
      </c>
      <c r="AG6822" s="14">
        <v>0</v>
      </c>
      <c r="AH6822" s="64">
        <f t="shared" si="1064"/>
        <v>0</v>
      </c>
      <c r="AJ6822" s="126" t="e">
        <v>#N/A</v>
      </c>
      <c r="AK6822" s="80">
        <f t="shared" si="1062"/>
        <v>0</v>
      </c>
      <c r="AL6822" s="85"/>
      <c r="AM6822" s="85"/>
    </row>
    <row r="6823" spans="1:39" s="86" customFormat="1" ht="13.25" hidden="1" customHeight="1" x14ac:dyDescent="0.3">
      <c r="A6823" s="89" t="s">
        <v>3978</v>
      </c>
      <c r="B6823" s="86" t="s">
        <v>35</v>
      </c>
      <c r="C6823" s="86" t="s">
        <v>47</v>
      </c>
      <c r="D6823" s="86" t="s">
        <v>48</v>
      </c>
      <c r="E6823" s="86" t="s">
        <v>2636</v>
      </c>
      <c r="F6823" s="86" t="s">
        <v>2636</v>
      </c>
      <c r="G6823" s="86" t="s">
        <v>2636</v>
      </c>
      <c r="H6823" s="143">
        <v>72</v>
      </c>
      <c r="I6823" s="86" t="s">
        <v>2572</v>
      </c>
      <c r="J6823" s="1" t="s">
        <v>3327</v>
      </c>
      <c r="K6823" s="1" t="s">
        <v>3284</v>
      </c>
      <c r="L6823" s="1" t="s">
        <v>35</v>
      </c>
      <c r="M6823" s="86" t="s">
        <v>2637</v>
      </c>
      <c r="O6823" s="47" t="s">
        <v>410</v>
      </c>
      <c r="P6823" s="14" t="s">
        <v>41</v>
      </c>
      <c r="Q6823" s="14">
        <v>0</v>
      </c>
      <c r="R6823" s="143">
        <v>400001884</v>
      </c>
      <c r="S6823" s="47"/>
      <c r="T6823" s="6">
        <v>21.840000000000099</v>
      </c>
      <c r="U6823" s="6"/>
      <c r="V6823" s="6">
        <v>0</v>
      </c>
      <c r="W6823" s="6">
        <f t="shared" si="1055"/>
        <v>21.840000000000099</v>
      </c>
      <c r="X6823" s="6">
        <f t="shared" si="1056"/>
        <v>0</v>
      </c>
      <c r="Y6823" s="13">
        <f t="shared" si="1059"/>
        <v>0</v>
      </c>
      <c r="Z6823" s="14">
        <v>0</v>
      </c>
      <c r="AA6823" s="6">
        <v>0</v>
      </c>
      <c r="AB6823" s="4">
        <f t="shared" si="1061"/>
        <v>0</v>
      </c>
      <c r="AC6823" s="6">
        <f t="shared" si="1058"/>
        <v>0</v>
      </c>
      <c r="AD6823" s="6">
        <f t="shared" si="1063"/>
        <v>0</v>
      </c>
      <c r="AE6823" s="14">
        <f>VLOOKUP(I6823,[2]媒体政策预估表!A:N,MATCH(O6823,[2]媒体政策预估表!$A$2:$M$2,0),0)</f>
        <v>0</v>
      </c>
      <c r="AF6823" s="6">
        <f t="shared" si="1065"/>
        <v>0</v>
      </c>
      <c r="AG6823" s="14">
        <v>0</v>
      </c>
      <c r="AH6823" s="64">
        <f t="shared" si="1064"/>
        <v>0</v>
      </c>
      <c r="AJ6823" s="126" t="e">
        <v>#N/A</v>
      </c>
      <c r="AK6823" s="80">
        <f t="shared" si="1062"/>
        <v>0</v>
      </c>
      <c r="AL6823" s="85"/>
      <c r="AM6823" s="85"/>
    </row>
    <row r="6824" spans="1:39" s="86" customFormat="1" ht="13.25" hidden="1" customHeight="1" x14ac:dyDescent="0.3">
      <c r="A6824" s="89" t="s">
        <v>3978</v>
      </c>
      <c r="B6824" s="86" t="s">
        <v>35</v>
      </c>
      <c r="C6824" s="86" t="s">
        <v>47</v>
      </c>
      <c r="D6824" s="86" t="s">
        <v>48</v>
      </c>
      <c r="E6824" s="86" t="s">
        <v>2636</v>
      </c>
      <c r="F6824" s="86" t="s">
        <v>2636</v>
      </c>
      <c r="G6824" s="86" t="s">
        <v>2636</v>
      </c>
      <c r="H6824" s="143">
        <v>72</v>
      </c>
      <c r="I6824" s="86" t="s">
        <v>2572</v>
      </c>
      <c r="J6824" s="1" t="s">
        <v>3327</v>
      </c>
      <c r="K6824" s="1" t="s">
        <v>3284</v>
      </c>
      <c r="L6824" s="1" t="s">
        <v>35</v>
      </c>
      <c r="M6824" s="86" t="s">
        <v>2638</v>
      </c>
      <c r="O6824" s="47" t="s">
        <v>410</v>
      </c>
      <c r="P6824" s="14" t="s">
        <v>41</v>
      </c>
      <c r="Q6824" s="14">
        <v>0</v>
      </c>
      <c r="R6824" s="143">
        <v>300000512</v>
      </c>
      <c r="S6824" s="47"/>
      <c r="T6824" s="6">
        <v>-18.219999999999299</v>
      </c>
      <c r="U6824" s="6"/>
      <c r="V6824" s="6">
        <v>0</v>
      </c>
      <c r="W6824" s="6">
        <f t="shared" si="1055"/>
        <v>-18.219999999999299</v>
      </c>
      <c r="X6824" s="6">
        <f t="shared" si="1056"/>
        <v>0</v>
      </c>
      <c r="Y6824" s="13">
        <f t="shared" si="1059"/>
        <v>0</v>
      </c>
      <c r="Z6824" s="14">
        <v>0</v>
      </c>
      <c r="AA6824" s="6">
        <v>0</v>
      </c>
      <c r="AB6824" s="4">
        <f t="shared" si="1061"/>
        <v>0</v>
      </c>
      <c r="AC6824" s="6">
        <f t="shared" si="1058"/>
        <v>0</v>
      </c>
      <c r="AD6824" s="6">
        <f t="shared" si="1063"/>
        <v>0</v>
      </c>
      <c r="AE6824" s="14">
        <f>VLOOKUP(I6824,[2]媒体政策预估表!A:N,MATCH(O6824,[2]媒体政策预估表!$A$2:$M$2,0),0)</f>
        <v>0</v>
      </c>
      <c r="AF6824" s="6">
        <f t="shared" si="1065"/>
        <v>0</v>
      </c>
      <c r="AG6824" s="14">
        <v>0</v>
      </c>
      <c r="AH6824" s="64">
        <f t="shared" si="1064"/>
        <v>0</v>
      </c>
      <c r="AJ6824" s="126" t="e">
        <v>#N/A</v>
      </c>
      <c r="AK6824" s="80">
        <f t="shared" si="1062"/>
        <v>0</v>
      </c>
      <c r="AL6824" s="85"/>
      <c r="AM6824" s="85"/>
    </row>
    <row r="6825" spans="1:39" s="86" customFormat="1" ht="13.25" hidden="1" customHeight="1" x14ac:dyDescent="0.3">
      <c r="A6825" s="89" t="s">
        <v>3792</v>
      </c>
      <c r="B6825" s="86" t="s">
        <v>35</v>
      </c>
      <c r="C6825" s="86" t="s">
        <v>184</v>
      </c>
      <c r="D6825" s="86" t="s">
        <v>3849</v>
      </c>
      <c r="E6825" s="86" t="s">
        <v>1366</v>
      </c>
      <c r="F6825" s="86" t="s">
        <v>1367</v>
      </c>
      <c r="G6825" s="86" t="s">
        <v>1366</v>
      </c>
      <c r="H6825" s="143">
        <v>72</v>
      </c>
      <c r="I6825" s="86" t="s">
        <v>2572</v>
      </c>
      <c r="J6825" s="1" t="s">
        <v>3327</v>
      </c>
      <c r="K6825" s="1" t="s">
        <v>3284</v>
      </c>
      <c r="L6825" s="1" t="s">
        <v>35</v>
      </c>
      <c r="M6825" s="86" t="s">
        <v>1366</v>
      </c>
      <c r="O6825" s="47" t="s">
        <v>410</v>
      </c>
      <c r="P6825" s="14" t="s">
        <v>41</v>
      </c>
      <c r="Q6825" s="14">
        <v>0</v>
      </c>
      <c r="R6825" s="143">
        <v>600001457</v>
      </c>
      <c r="S6825" s="47"/>
      <c r="T6825" s="6">
        <v>-11.5199999998986</v>
      </c>
      <c r="U6825" s="6"/>
      <c r="V6825" s="6">
        <v>0</v>
      </c>
      <c r="W6825" s="6">
        <f t="shared" si="1055"/>
        <v>-11.5199999998986</v>
      </c>
      <c r="X6825" s="6">
        <f t="shared" si="1056"/>
        <v>0</v>
      </c>
      <c r="Y6825" s="13">
        <f t="shared" si="1059"/>
        <v>0</v>
      </c>
      <c r="Z6825" s="14">
        <v>0</v>
      </c>
      <c r="AA6825" s="6">
        <v>0</v>
      </c>
      <c r="AB6825" s="4">
        <f t="shared" si="1061"/>
        <v>0</v>
      </c>
      <c r="AC6825" s="6">
        <f t="shared" si="1058"/>
        <v>0</v>
      </c>
      <c r="AD6825" s="6">
        <f t="shared" si="1063"/>
        <v>0</v>
      </c>
      <c r="AE6825" s="14">
        <f>VLOOKUP(I6825,[2]媒体政策预估表!A:N,MATCH(O6825,[2]媒体政策预估表!$A$2:$M$2,0),0)</f>
        <v>0</v>
      </c>
      <c r="AF6825" s="6">
        <f t="shared" si="1065"/>
        <v>0</v>
      </c>
      <c r="AG6825" s="14">
        <v>0</v>
      </c>
      <c r="AH6825" s="64">
        <f t="shared" si="1064"/>
        <v>0</v>
      </c>
      <c r="AJ6825" s="126" t="e">
        <v>#N/A</v>
      </c>
      <c r="AK6825" s="80">
        <f t="shared" si="1062"/>
        <v>0</v>
      </c>
      <c r="AL6825" s="85"/>
      <c r="AM6825" s="85"/>
    </row>
    <row r="6826" spans="1:39" s="86" customFormat="1" ht="13.25" hidden="1" customHeight="1" x14ac:dyDescent="0.3">
      <c r="A6826" s="89" t="s">
        <v>3792</v>
      </c>
      <c r="B6826" s="86" t="s">
        <v>35</v>
      </c>
      <c r="C6826" s="86" t="s">
        <v>164</v>
      </c>
      <c r="D6826" s="86" t="s">
        <v>174</v>
      </c>
      <c r="E6826" s="86" t="s">
        <v>50</v>
      </c>
      <c r="F6826" s="86" t="s">
        <v>50</v>
      </c>
      <c r="G6826" s="86" t="s">
        <v>50</v>
      </c>
      <c r="H6826" s="143">
        <v>72</v>
      </c>
      <c r="I6826" s="86" t="s">
        <v>2572</v>
      </c>
      <c r="J6826" s="1" t="s">
        <v>3327</v>
      </c>
      <c r="K6826" s="1" t="s">
        <v>3284</v>
      </c>
      <c r="L6826" s="1" t="s">
        <v>35</v>
      </c>
      <c r="M6826" s="86" t="s">
        <v>50</v>
      </c>
      <c r="O6826" s="47" t="s">
        <v>410</v>
      </c>
      <c r="P6826" s="14" t="s">
        <v>41</v>
      </c>
      <c r="Q6826" s="14">
        <v>0</v>
      </c>
      <c r="R6826" s="143">
        <v>600000929</v>
      </c>
      <c r="S6826" s="47"/>
      <c r="T6826" s="6">
        <v>-102.17</v>
      </c>
      <c r="U6826" s="6"/>
      <c r="V6826" s="6">
        <v>0</v>
      </c>
      <c r="W6826" s="6">
        <f t="shared" si="1055"/>
        <v>-102.17</v>
      </c>
      <c r="X6826" s="6">
        <f t="shared" si="1056"/>
        <v>0</v>
      </c>
      <c r="Y6826" s="13">
        <f t="shared" si="1059"/>
        <v>0</v>
      </c>
      <c r="Z6826" s="14">
        <v>0</v>
      </c>
      <c r="AA6826" s="6">
        <v>0</v>
      </c>
      <c r="AB6826" s="4">
        <f t="shared" si="1061"/>
        <v>0</v>
      </c>
      <c r="AC6826" s="6">
        <f t="shared" si="1058"/>
        <v>0</v>
      </c>
      <c r="AD6826" s="6">
        <f t="shared" si="1063"/>
        <v>0</v>
      </c>
      <c r="AE6826" s="14">
        <f>VLOOKUP(I6826,[2]媒体政策预估表!A:N,MATCH(O6826,[2]媒体政策预估表!$A$2:$M$2,0),0)</f>
        <v>0</v>
      </c>
      <c r="AF6826" s="6">
        <f t="shared" si="1065"/>
        <v>0</v>
      </c>
      <c r="AG6826" s="14">
        <v>0</v>
      </c>
      <c r="AH6826" s="64">
        <f t="shared" si="1064"/>
        <v>0</v>
      </c>
      <c r="AJ6826" s="126" t="e">
        <v>#N/A</v>
      </c>
      <c r="AK6826" s="80">
        <f t="shared" si="1062"/>
        <v>0</v>
      </c>
      <c r="AL6826" s="85"/>
      <c r="AM6826" s="85"/>
    </row>
    <row r="6827" spans="1:39" s="86" customFormat="1" ht="13.25" hidden="1" customHeight="1" x14ac:dyDescent="0.3">
      <c r="A6827" s="89" t="s">
        <v>3978</v>
      </c>
      <c r="B6827" s="86" t="s">
        <v>35</v>
      </c>
      <c r="C6827" s="86" t="s">
        <v>47</v>
      </c>
      <c r="D6827" s="86" t="s">
        <v>48</v>
      </c>
      <c r="E6827" s="86" t="s">
        <v>2639</v>
      </c>
      <c r="F6827" s="86" t="s">
        <v>2639</v>
      </c>
      <c r="G6827" s="86" t="s">
        <v>2639</v>
      </c>
      <c r="H6827" s="143">
        <v>72</v>
      </c>
      <c r="I6827" s="86" t="s">
        <v>2572</v>
      </c>
      <c r="J6827" s="1" t="s">
        <v>3327</v>
      </c>
      <c r="K6827" s="1" t="s">
        <v>3284</v>
      </c>
      <c r="L6827" s="1" t="s">
        <v>35</v>
      </c>
      <c r="M6827" s="86" t="s">
        <v>2640</v>
      </c>
      <c r="O6827" s="47" t="s">
        <v>410</v>
      </c>
      <c r="P6827" s="14" t="s">
        <v>41</v>
      </c>
      <c r="Q6827" s="14">
        <v>0</v>
      </c>
      <c r="R6827" s="143">
        <v>400001697</v>
      </c>
      <c r="S6827" s="47"/>
      <c r="T6827" s="6">
        <v>19624.8</v>
      </c>
      <c r="U6827" s="6"/>
      <c r="V6827" s="6">
        <v>0</v>
      </c>
      <c r="W6827" s="6">
        <f t="shared" si="1055"/>
        <v>19624.8</v>
      </c>
      <c r="X6827" s="6">
        <f t="shared" si="1056"/>
        <v>0</v>
      </c>
      <c r="Y6827" s="13">
        <f t="shared" si="1059"/>
        <v>0</v>
      </c>
      <c r="Z6827" s="14">
        <v>0</v>
      </c>
      <c r="AA6827" s="6">
        <v>0</v>
      </c>
      <c r="AB6827" s="4">
        <f t="shared" si="1061"/>
        <v>0</v>
      </c>
      <c r="AC6827" s="6">
        <f t="shared" si="1058"/>
        <v>0</v>
      </c>
      <c r="AD6827" s="6">
        <f t="shared" si="1063"/>
        <v>0</v>
      </c>
      <c r="AE6827" s="14">
        <f>VLOOKUP(I6827,[2]媒体政策预估表!A:N,MATCH(O6827,[2]媒体政策预估表!$A$2:$M$2,0),0)</f>
        <v>0</v>
      </c>
      <c r="AF6827" s="6">
        <f t="shared" si="1065"/>
        <v>0</v>
      </c>
      <c r="AG6827" s="14">
        <v>0</v>
      </c>
      <c r="AH6827" s="64">
        <f t="shared" si="1064"/>
        <v>0</v>
      </c>
      <c r="AJ6827" s="126" t="e">
        <v>#N/A</v>
      </c>
      <c r="AK6827" s="80">
        <f t="shared" si="1062"/>
        <v>0</v>
      </c>
      <c r="AL6827" s="85"/>
      <c r="AM6827" s="85"/>
    </row>
    <row r="6828" spans="1:39" s="86" customFormat="1" ht="13.25" hidden="1" customHeight="1" x14ac:dyDescent="0.3">
      <c r="A6828" s="89" t="s">
        <v>3978</v>
      </c>
      <c r="B6828" s="86" t="s">
        <v>35</v>
      </c>
      <c r="C6828" s="86" t="s">
        <v>144</v>
      </c>
      <c r="D6828" s="86" t="s">
        <v>145</v>
      </c>
      <c r="E6828" s="86" t="s">
        <v>2641</v>
      </c>
      <c r="F6828" s="86" t="s">
        <v>2641</v>
      </c>
      <c r="G6828" s="86" t="s">
        <v>2641</v>
      </c>
      <c r="H6828" s="143">
        <v>72</v>
      </c>
      <c r="I6828" s="86" t="s">
        <v>2572</v>
      </c>
      <c r="J6828" s="1" t="s">
        <v>3327</v>
      </c>
      <c r="K6828" s="1" t="s">
        <v>3284</v>
      </c>
      <c r="L6828" s="1" t="s">
        <v>35</v>
      </c>
      <c r="M6828" s="86" t="s">
        <v>2641</v>
      </c>
      <c r="O6828" s="47" t="s">
        <v>410</v>
      </c>
      <c r="P6828" s="14" t="s">
        <v>41</v>
      </c>
      <c r="Q6828" s="14">
        <v>0</v>
      </c>
      <c r="R6828" s="143">
        <v>100000156</v>
      </c>
      <c r="S6828" s="47"/>
      <c r="T6828" s="6">
        <v>-11.9000000000015</v>
      </c>
      <c r="U6828" s="6"/>
      <c r="V6828" s="6">
        <v>0</v>
      </c>
      <c r="W6828" s="6">
        <f t="shared" si="1055"/>
        <v>-11.9000000000015</v>
      </c>
      <c r="X6828" s="6">
        <f t="shared" si="1056"/>
        <v>0</v>
      </c>
      <c r="Y6828" s="13">
        <f t="shared" si="1059"/>
        <v>0</v>
      </c>
      <c r="Z6828" s="14">
        <v>0</v>
      </c>
      <c r="AA6828" s="6">
        <v>0</v>
      </c>
      <c r="AB6828" s="4">
        <f t="shared" si="1061"/>
        <v>0</v>
      </c>
      <c r="AC6828" s="6">
        <f t="shared" si="1058"/>
        <v>0</v>
      </c>
      <c r="AD6828" s="6">
        <f t="shared" si="1063"/>
        <v>0</v>
      </c>
      <c r="AE6828" s="14">
        <f>VLOOKUP(I6828,[2]媒体政策预估表!A:N,MATCH(O6828,[2]媒体政策预估表!$A$2:$M$2,0),0)</f>
        <v>0</v>
      </c>
      <c r="AF6828" s="6">
        <f t="shared" si="1065"/>
        <v>0</v>
      </c>
      <c r="AG6828" s="14">
        <v>0</v>
      </c>
      <c r="AH6828" s="64">
        <f t="shared" si="1064"/>
        <v>0</v>
      </c>
      <c r="AJ6828" s="126" t="e">
        <v>#N/A</v>
      </c>
      <c r="AK6828" s="80">
        <f t="shared" si="1062"/>
        <v>0</v>
      </c>
      <c r="AL6828" s="85"/>
      <c r="AM6828" s="85"/>
    </row>
    <row r="6829" spans="1:39" s="86" customFormat="1" ht="13.25" hidden="1" customHeight="1" x14ac:dyDescent="0.3">
      <c r="A6829" s="89" t="s">
        <v>3978</v>
      </c>
      <c r="B6829" s="86" t="s">
        <v>35</v>
      </c>
      <c r="C6829" s="86" t="s">
        <v>144</v>
      </c>
      <c r="D6829" s="86" t="s">
        <v>152</v>
      </c>
      <c r="E6829" s="86" t="s">
        <v>2642</v>
      </c>
      <c r="F6829" s="86" t="s">
        <v>2642</v>
      </c>
      <c r="G6829" s="86" t="s">
        <v>2642</v>
      </c>
      <c r="H6829" s="143">
        <v>72</v>
      </c>
      <c r="I6829" s="86" t="s">
        <v>2572</v>
      </c>
      <c r="J6829" s="1" t="s">
        <v>3327</v>
      </c>
      <c r="K6829" s="1" t="s">
        <v>3284</v>
      </c>
      <c r="L6829" s="1" t="s">
        <v>35</v>
      </c>
      <c r="M6829" s="86" t="s">
        <v>2642</v>
      </c>
      <c r="O6829" s="47" t="s">
        <v>410</v>
      </c>
      <c r="P6829" s="14" t="s">
        <v>41</v>
      </c>
      <c r="Q6829" s="14">
        <v>0</v>
      </c>
      <c r="R6829" s="143">
        <v>300000911</v>
      </c>
      <c r="S6829" s="47"/>
      <c r="T6829" s="6">
        <v>1633.6</v>
      </c>
      <c r="U6829" s="6"/>
      <c r="V6829" s="6">
        <v>0</v>
      </c>
      <c r="W6829" s="6">
        <f t="shared" si="1055"/>
        <v>1633.6</v>
      </c>
      <c r="X6829" s="6">
        <f t="shared" si="1056"/>
        <v>0</v>
      </c>
      <c r="Y6829" s="13">
        <f t="shared" si="1059"/>
        <v>0</v>
      </c>
      <c r="Z6829" s="14">
        <v>0</v>
      </c>
      <c r="AA6829" s="6">
        <v>0</v>
      </c>
      <c r="AB6829" s="4">
        <f t="shared" si="1061"/>
        <v>0</v>
      </c>
      <c r="AC6829" s="6">
        <f t="shared" si="1058"/>
        <v>0</v>
      </c>
      <c r="AD6829" s="6">
        <f t="shared" si="1063"/>
        <v>0</v>
      </c>
      <c r="AE6829" s="14">
        <f>VLOOKUP(I6829,[2]媒体政策预估表!A:N,MATCH(O6829,[2]媒体政策预估表!$A$2:$M$2,0),0)</f>
        <v>0</v>
      </c>
      <c r="AF6829" s="6">
        <f t="shared" si="1065"/>
        <v>0</v>
      </c>
      <c r="AG6829" s="14">
        <v>0</v>
      </c>
      <c r="AH6829" s="64">
        <f t="shared" si="1064"/>
        <v>0</v>
      </c>
      <c r="AJ6829" s="126" t="e">
        <v>#N/A</v>
      </c>
      <c r="AK6829" s="80">
        <f t="shared" si="1062"/>
        <v>0</v>
      </c>
      <c r="AL6829" s="85"/>
      <c r="AM6829" s="85"/>
    </row>
    <row r="6830" spans="1:39" s="86" customFormat="1" ht="13.25" hidden="1" customHeight="1" x14ac:dyDescent="0.3">
      <c r="A6830" s="89" t="s">
        <v>3978</v>
      </c>
      <c r="B6830" s="86" t="s">
        <v>35</v>
      </c>
      <c r="C6830" s="86" t="s">
        <v>144</v>
      </c>
      <c r="D6830" s="86" t="s">
        <v>152</v>
      </c>
      <c r="E6830" s="86" t="s">
        <v>2643</v>
      </c>
      <c r="F6830" s="86" t="s">
        <v>2643</v>
      </c>
      <c r="G6830" s="86" t="s">
        <v>2643</v>
      </c>
      <c r="H6830" s="143">
        <v>72</v>
      </c>
      <c r="I6830" s="86" t="s">
        <v>2572</v>
      </c>
      <c r="J6830" s="1" t="s">
        <v>3327</v>
      </c>
      <c r="K6830" s="1" t="s">
        <v>3284</v>
      </c>
      <c r="L6830" s="1" t="s">
        <v>35</v>
      </c>
      <c r="M6830" s="86" t="s">
        <v>2644</v>
      </c>
      <c r="O6830" s="47" t="s">
        <v>410</v>
      </c>
      <c r="P6830" s="14" t="s">
        <v>41</v>
      </c>
      <c r="Q6830" s="14">
        <v>0</v>
      </c>
      <c r="R6830" s="143">
        <v>400002819</v>
      </c>
      <c r="S6830" s="47"/>
      <c r="T6830" s="6">
        <v>154.28000000000975</v>
      </c>
      <c r="U6830" s="6"/>
      <c r="V6830" s="6">
        <v>0</v>
      </c>
      <c r="W6830" s="6">
        <f t="shared" si="1055"/>
        <v>154.28000000000975</v>
      </c>
      <c r="X6830" s="6">
        <f t="shared" si="1056"/>
        <v>0</v>
      </c>
      <c r="Y6830" s="13">
        <f t="shared" si="1059"/>
        <v>0</v>
      </c>
      <c r="Z6830" s="14">
        <v>0.01</v>
      </c>
      <c r="AA6830" s="6">
        <f>X6830/(1-Z6830)*Z6830</f>
        <v>0</v>
      </c>
      <c r="AB6830" s="4">
        <f t="shared" si="1061"/>
        <v>0</v>
      </c>
      <c r="AC6830" s="6">
        <f t="shared" si="1058"/>
        <v>0</v>
      </c>
      <c r="AD6830" s="6">
        <f t="shared" si="1063"/>
        <v>0</v>
      </c>
      <c r="AE6830" s="14">
        <f>VLOOKUP(I6830,[2]媒体政策预估表!A:N,MATCH(O6830,[2]媒体政策预估表!$A$2:$M$2,0),0)</f>
        <v>0</v>
      </c>
      <c r="AF6830" s="6">
        <f t="shared" si="1065"/>
        <v>0</v>
      </c>
      <c r="AG6830" s="14">
        <v>0</v>
      </c>
      <c r="AH6830" s="64">
        <f t="shared" si="1064"/>
        <v>0</v>
      </c>
      <c r="AJ6830" s="126" t="e">
        <v>#N/A</v>
      </c>
      <c r="AK6830" s="80">
        <f t="shared" si="1062"/>
        <v>0</v>
      </c>
      <c r="AL6830" s="85"/>
      <c r="AM6830" s="85"/>
    </row>
    <row r="6831" spans="1:39" s="86" customFormat="1" ht="13.25" hidden="1" customHeight="1" x14ac:dyDescent="0.3">
      <c r="A6831" s="89" t="s">
        <v>3792</v>
      </c>
      <c r="B6831" s="86" t="s">
        <v>35</v>
      </c>
      <c r="C6831" s="86" t="s">
        <v>164</v>
      </c>
      <c r="D6831" s="86" t="s">
        <v>174</v>
      </c>
      <c r="E6831" s="86" t="s">
        <v>1964</v>
      </c>
      <c r="F6831" s="86" t="s">
        <v>1964</v>
      </c>
      <c r="G6831" s="86" t="s">
        <v>1964</v>
      </c>
      <c r="H6831" s="143">
        <v>72</v>
      </c>
      <c r="I6831" s="86" t="s">
        <v>2572</v>
      </c>
      <c r="J6831" s="1" t="s">
        <v>3327</v>
      </c>
      <c r="K6831" s="1" t="s">
        <v>3284</v>
      </c>
      <c r="L6831" s="1" t="s">
        <v>35</v>
      </c>
      <c r="M6831" s="86" t="s">
        <v>1964</v>
      </c>
      <c r="O6831" s="47" t="s">
        <v>410</v>
      </c>
      <c r="P6831" s="14" t="s">
        <v>41</v>
      </c>
      <c r="Q6831" s="14">
        <v>0</v>
      </c>
      <c r="R6831" s="143">
        <v>400001249</v>
      </c>
      <c r="S6831" s="47"/>
      <c r="T6831" s="6">
        <v>2639.8</v>
      </c>
      <c r="U6831" s="6"/>
      <c r="V6831" s="6">
        <v>0</v>
      </c>
      <c r="W6831" s="6">
        <f t="shared" si="1055"/>
        <v>2639.8</v>
      </c>
      <c r="X6831" s="6">
        <f t="shared" si="1056"/>
        <v>0</v>
      </c>
      <c r="Y6831" s="13">
        <f t="shared" si="1059"/>
        <v>0</v>
      </c>
      <c r="Z6831" s="14">
        <v>0</v>
      </c>
      <c r="AA6831" s="6">
        <v>0</v>
      </c>
      <c r="AB6831" s="4">
        <f t="shared" si="1061"/>
        <v>0</v>
      </c>
      <c r="AC6831" s="6">
        <f t="shared" si="1058"/>
        <v>0</v>
      </c>
      <c r="AD6831" s="6">
        <f t="shared" si="1063"/>
        <v>0</v>
      </c>
      <c r="AE6831" s="14">
        <f>VLOOKUP(I6831,[2]媒体政策预估表!A:N,MATCH(O6831,[2]媒体政策预估表!$A$2:$M$2,0),0)</f>
        <v>0</v>
      </c>
      <c r="AF6831" s="6">
        <f t="shared" si="1065"/>
        <v>0</v>
      </c>
      <c r="AG6831" s="14">
        <v>0</v>
      </c>
      <c r="AH6831" s="64">
        <f t="shared" si="1064"/>
        <v>0</v>
      </c>
      <c r="AJ6831" s="126" t="e">
        <v>#N/A</v>
      </c>
      <c r="AK6831" s="80">
        <f t="shared" si="1062"/>
        <v>0</v>
      </c>
      <c r="AL6831" s="85"/>
      <c r="AM6831" s="85"/>
    </row>
    <row r="6832" spans="1:39" s="86" customFormat="1" ht="13.25" hidden="1" customHeight="1" x14ac:dyDescent="0.3">
      <c r="A6832" s="89" t="s">
        <v>3792</v>
      </c>
      <c r="B6832" s="86" t="s">
        <v>35</v>
      </c>
      <c r="C6832" s="86" t="s">
        <v>164</v>
      </c>
      <c r="D6832" s="86" t="s">
        <v>174</v>
      </c>
      <c r="E6832" s="86" t="s">
        <v>2645</v>
      </c>
      <c r="F6832" s="86" t="s">
        <v>2645</v>
      </c>
      <c r="G6832" s="86" t="s">
        <v>2645</v>
      </c>
      <c r="H6832" s="143">
        <v>72</v>
      </c>
      <c r="I6832" s="86" t="s">
        <v>2572</v>
      </c>
      <c r="J6832" s="1" t="s">
        <v>3327</v>
      </c>
      <c r="K6832" s="1" t="s">
        <v>3284</v>
      </c>
      <c r="L6832" s="1" t="s">
        <v>35</v>
      </c>
      <c r="M6832" s="86" t="s">
        <v>2645</v>
      </c>
      <c r="O6832" s="47" t="s">
        <v>410</v>
      </c>
      <c r="P6832" s="14" t="s">
        <v>41</v>
      </c>
      <c r="Q6832" s="14">
        <v>0</v>
      </c>
      <c r="R6832" s="143">
        <v>400002642</v>
      </c>
      <c r="S6832" s="47"/>
      <c r="T6832" s="6">
        <v>7.0000000000000298E-2</v>
      </c>
      <c r="U6832" s="6"/>
      <c r="V6832" s="6">
        <v>0</v>
      </c>
      <c r="W6832" s="6">
        <f t="shared" ref="W6832:W6895" si="1066">T6832+U6832-V6832</f>
        <v>7.0000000000000298E-2</v>
      </c>
      <c r="X6832" s="6">
        <f t="shared" ref="X6832:X6895" si="1067">IF(P6832="折扣",V6832*Q6832,IF(P6832="返现",V6832,V6832/(1+Q6832)))</f>
        <v>0</v>
      </c>
      <c r="Y6832" s="13">
        <f t="shared" si="1059"/>
        <v>0</v>
      </c>
      <c r="Z6832" s="14">
        <v>0</v>
      </c>
      <c r="AA6832" s="6">
        <v>0</v>
      </c>
      <c r="AB6832" s="4"/>
      <c r="AC6832" s="6">
        <f t="shared" si="1058"/>
        <v>0</v>
      </c>
      <c r="AD6832" s="6">
        <f t="shared" si="1063"/>
        <v>0</v>
      </c>
      <c r="AE6832" s="14">
        <f>VLOOKUP(I6832,[2]媒体政策预估表!A:N,MATCH(O6832,[2]媒体政策预估表!$A$2:$M$2,0),0)</f>
        <v>0</v>
      </c>
      <c r="AF6832" s="6">
        <f t="shared" si="1065"/>
        <v>0</v>
      </c>
      <c r="AG6832" s="14">
        <v>0</v>
      </c>
      <c r="AH6832" s="64">
        <f t="shared" si="1064"/>
        <v>0</v>
      </c>
      <c r="AJ6832" s="126">
        <v>45</v>
      </c>
      <c r="AK6832" s="80">
        <f t="shared" si="1062"/>
        <v>0</v>
      </c>
      <c r="AL6832" s="85"/>
      <c r="AM6832" s="85"/>
    </row>
    <row r="6833" spans="1:39" s="86" customFormat="1" ht="13.25" hidden="1" customHeight="1" x14ac:dyDescent="0.3">
      <c r="A6833" s="89" t="s">
        <v>3978</v>
      </c>
      <c r="B6833" s="86" t="s">
        <v>35</v>
      </c>
      <c r="C6833" s="86" t="s">
        <v>164</v>
      </c>
      <c r="D6833" s="86" t="s">
        <v>174</v>
      </c>
      <c r="E6833" s="86" t="s">
        <v>2646</v>
      </c>
      <c r="F6833" s="86" t="s">
        <v>2646</v>
      </c>
      <c r="G6833" s="86" t="s">
        <v>2646</v>
      </c>
      <c r="H6833" s="143">
        <v>72</v>
      </c>
      <c r="I6833" s="86" t="s">
        <v>2572</v>
      </c>
      <c r="J6833" s="1" t="s">
        <v>3327</v>
      </c>
      <c r="K6833" s="1" t="s">
        <v>3284</v>
      </c>
      <c r="L6833" s="1" t="s">
        <v>35</v>
      </c>
      <c r="M6833" s="86" t="s">
        <v>2646</v>
      </c>
      <c r="O6833" s="47" t="s">
        <v>410</v>
      </c>
      <c r="P6833" s="14" t="s">
        <v>41</v>
      </c>
      <c r="Q6833" s="14">
        <v>0</v>
      </c>
      <c r="R6833" s="143">
        <v>400002411</v>
      </c>
      <c r="S6833" s="47"/>
      <c r="T6833" s="6">
        <v>136.5</v>
      </c>
      <c r="U6833" s="6"/>
      <c r="V6833" s="6">
        <v>0</v>
      </c>
      <c r="W6833" s="6">
        <f t="shared" si="1066"/>
        <v>136.5</v>
      </c>
      <c r="X6833" s="6">
        <f t="shared" si="1067"/>
        <v>0</v>
      </c>
      <c r="Y6833" s="13">
        <f t="shared" si="1059"/>
        <v>0</v>
      </c>
      <c r="Z6833" s="14">
        <v>0</v>
      </c>
      <c r="AA6833" s="6">
        <v>0</v>
      </c>
      <c r="AB6833" s="4">
        <f t="shared" si="1061"/>
        <v>0</v>
      </c>
      <c r="AC6833" s="6">
        <f t="shared" si="1058"/>
        <v>0</v>
      </c>
      <c r="AD6833" s="6">
        <f t="shared" si="1063"/>
        <v>0</v>
      </c>
      <c r="AE6833" s="14">
        <f>VLOOKUP(I6833,[2]媒体政策预估表!A:N,MATCH(O6833,[2]媒体政策预估表!$A$2:$M$2,0),0)</f>
        <v>0</v>
      </c>
      <c r="AF6833" s="6">
        <f t="shared" si="1065"/>
        <v>0</v>
      </c>
      <c r="AG6833" s="14">
        <v>0</v>
      </c>
      <c r="AH6833" s="64">
        <f t="shared" si="1064"/>
        <v>0</v>
      </c>
      <c r="AJ6833" s="126" t="e">
        <v>#N/A</v>
      </c>
      <c r="AK6833" s="80">
        <f t="shared" si="1062"/>
        <v>0</v>
      </c>
      <c r="AL6833" s="85"/>
      <c r="AM6833" s="85"/>
    </row>
    <row r="6834" spans="1:39" s="86" customFormat="1" ht="13.25" hidden="1" customHeight="1" x14ac:dyDescent="0.3">
      <c r="A6834" s="89" t="s">
        <v>3978</v>
      </c>
      <c r="B6834" s="86" t="s">
        <v>35</v>
      </c>
      <c r="C6834" s="86" t="s">
        <v>164</v>
      </c>
      <c r="D6834" s="86" t="s">
        <v>174</v>
      </c>
      <c r="E6834" s="86" t="s">
        <v>2228</v>
      </c>
      <c r="F6834" s="86" t="s">
        <v>2228</v>
      </c>
      <c r="G6834" s="86" t="s">
        <v>2228</v>
      </c>
      <c r="H6834" s="143">
        <v>72</v>
      </c>
      <c r="I6834" s="86" t="s">
        <v>2572</v>
      </c>
      <c r="J6834" s="1" t="s">
        <v>3327</v>
      </c>
      <c r="K6834" s="1" t="s">
        <v>3284</v>
      </c>
      <c r="L6834" s="1" t="s">
        <v>35</v>
      </c>
      <c r="M6834" s="86" t="s">
        <v>2228</v>
      </c>
      <c r="O6834" s="47" t="s">
        <v>410</v>
      </c>
      <c r="P6834" s="14" t="s">
        <v>41</v>
      </c>
      <c r="Q6834" s="14">
        <v>0</v>
      </c>
      <c r="R6834" s="143">
        <v>400001333</v>
      </c>
      <c r="S6834" s="47"/>
      <c r="T6834" s="6">
        <v>6500.6</v>
      </c>
      <c r="U6834" s="6"/>
      <c r="V6834" s="6">
        <v>0</v>
      </c>
      <c r="W6834" s="6">
        <f t="shared" si="1066"/>
        <v>6500.6</v>
      </c>
      <c r="X6834" s="6">
        <f t="shared" si="1067"/>
        <v>0</v>
      </c>
      <c r="Y6834" s="13">
        <f t="shared" si="1059"/>
        <v>0</v>
      </c>
      <c r="Z6834" s="14">
        <v>0.03</v>
      </c>
      <c r="AA6834" s="6">
        <f>X6834/(1-Z6834)*Z6834</f>
        <v>0</v>
      </c>
      <c r="AB6834" s="4">
        <f t="shared" si="1061"/>
        <v>0</v>
      </c>
      <c r="AC6834" s="6">
        <f t="shared" si="1058"/>
        <v>0</v>
      </c>
      <c r="AD6834" s="6">
        <f t="shared" si="1063"/>
        <v>0</v>
      </c>
      <c r="AE6834" s="14">
        <f>VLOOKUP(I6834,[2]媒体政策预估表!A:N,MATCH(O6834,[2]媒体政策预估表!$A$2:$M$2,0),0)</f>
        <v>0</v>
      </c>
      <c r="AF6834" s="6">
        <f t="shared" si="1065"/>
        <v>0</v>
      </c>
      <c r="AG6834" s="14">
        <v>0</v>
      </c>
      <c r="AH6834" s="64">
        <f t="shared" si="1064"/>
        <v>0</v>
      </c>
      <c r="AJ6834" s="126" t="e">
        <v>#N/A</v>
      </c>
      <c r="AK6834" s="80">
        <f t="shared" si="1062"/>
        <v>0</v>
      </c>
      <c r="AL6834" s="85"/>
      <c r="AM6834" s="85"/>
    </row>
    <row r="6835" spans="1:39" s="86" customFormat="1" ht="13.25" hidden="1" customHeight="1" x14ac:dyDescent="0.3">
      <c r="A6835" s="89" t="s">
        <v>3792</v>
      </c>
      <c r="B6835" s="86" t="s">
        <v>35</v>
      </c>
      <c r="C6835" s="86" t="s">
        <v>164</v>
      </c>
      <c r="D6835" s="86" t="s">
        <v>169</v>
      </c>
      <c r="E6835" s="86" t="s">
        <v>2648</v>
      </c>
      <c r="F6835" s="86" t="s">
        <v>2648</v>
      </c>
      <c r="G6835" s="86" t="s">
        <v>2648</v>
      </c>
      <c r="H6835" s="144">
        <v>72</v>
      </c>
      <c r="I6835" s="86" t="s">
        <v>2572</v>
      </c>
      <c r="J6835" s="1" t="s">
        <v>3327</v>
      </c>
      <c r="K6835" s="1" t="s">
        <v>3284</v>
      </c>
      <c r="L6835" s="1" t="s">
        <v>35</v>
      </c>
      <c r="M6835" s="86" t="s">
        <v>2648</v>
      </c>
      <c r="O6835" s="47" t="s">
        <v>410</v>
      </c>
      <c r="P6835" s="14" t="s">
        <v>41</v>
      </c>
      <c r="Q6835" s="14">
        <v>0</v>
      </c>
      <c r="R6835" s="143">
        <v>400002128</v>
      </c>
      <c r="S6835" s="47"/>
      <c r="T6835" s="6">
        <v>98</v>
      </c>
      <c r="U6835" s="6"/>
      <c r="V6835" s="6">
        <v>11</v>
      </c>
      <c r="W6835" s="6">
        <f t="shared" si="1066"/>
        <v>87</v>
      </c>
      <c r="X6835" s="6">
        <f t="shared" si="1067"/>
        <v>11</v>
      </c>
      <c r="Y6835" s="13">
        <f t="shared" si="1059"/>
        <v>0</v>
      </c>
      <c r="Z6835" s="14">
        <v>0.03</v>
      </c>
      <c r="AA6835" s="6">
        <f>X6835*Z6835</f>
        <v>0.32999999999999996</v>
      </c>
      <c r="AB6835" s="4">
        <f t="shared" si="1061"/>
        <v>11.33</v>
      </c>
      <c r="AC6835" s="6">
        <f t="shared" si="1058"/>
        <v>0</v>
      </c>
      <c r="AD6835" s="6">
        <f t="shared" si="1063"/>
        <v>11</v>
      </c>
      <c r="AE6835" s="14">
        <f>VLOOKUP(I6835,[2]媒体政策预估表!A:N,MATCH(O6835,[2]媒体政策预估表!$A$2:$M$2,0),0)</f>
        <v>0</v>
      </c>
      <c r="AF6835" s="6">
        <f t="shared" si="1065"/>
        <v>0</v>
      </c>
      <c r="AG6835" s="14">
        <v>0</v>
      </c>
      <c r="AH6835" s="64">
        <f t="shared" si="1064"/>
        <v>11</v>
      </c>
      <c r="AJ6835" s="126" t="e">
        <v>#N/A</v>
      </c>
      <c r="AK6835" s="80">
        <f t="shared" si="1062"/>
        <v>0</v>
      </c>
      <c r="AL6835" s="85"/>
      <c r="AM6835" s="85"/>
    </row>
    <row r="6836" spans="1:39" s="86" customFormat="1" ht="13.25" hidden="1" customHeight="1" x14ac:dyDescent="0.3">
      <c r="A6836" s="89" t="s">
        <v>3792</v>
      </c>
      <c r="B6836" s="86" t="s">
        <v>35</v>
      </c>
      <c r="C6836" s="86" t="s">
        <v>164</v>
      </c>
      <c r="D6836" s="86" t="s">
        <v>169</v>
      </c>
      <c r="E6836" s="86" t="s">
        <v>1952</v>
      </c>
      <c r="F6836" s="86" t="s">
        <v>1952</v>
      </c>
      <c r="G6836" s="86" t="s">
        <v>1952</v>
      </c>
      <c r="H6836" s="143">
        <v>72</v>
      </c>
      <c r="I6836" s="86" t="s">
        <v>2572</v>
      </c>
      <c r="J6836" s="1" t="s">
        <v>3327</v>
      </c>
      <c r="K6836" s="1" t="s">
        <v>3284</v>
      </c>
      <c r="L6836" s="1" t="s">
        <v>35</v>
      </c>
      <c r="M6836" s="86" t="s">
        <v>1952</v>
      </c>
      <c r="O6836" s="47" t="s">
        <v>410</v>
      </c>
      <c r="P6836" s="14" t="s">
        <v>41</v>
      </c>
      <c r="Q6836" s="14">
        <v>0</v>
      </c>
      <c r="R6836" s="143">
        <v>100000026</v>
      </c>
      <c r="S6836" s="47"/>
      <c r="T6836" s="6">
        <v>-4</v>
      </c>
      <c r="U6836" s="6"/>
      <c r="V6836" s="6">
        <v>0</v>
      </c>
      <c r="W6836" s="6">
        <f t="shared" si="1066"/>
        <v>-4</v>
      </c>
      <c r="X6836" s="6">
        <f t="shared" si="1067"/>
        <v>0</v>
      </c>
      <c r="Y6836" s="13">
        <f t="shared" si="1059"/>
        <v>0</v>
      </c>
      <c r="Z6836" s="14">
        <v>0</v>
      </c>
      <c r="AA6836" s="6">
        <v>0</v>
      </c>
      <c r="AB6836" s="4">
        <f t="shared" si="1061"/>
        <v>0</v>
      </c>
      <c r="AC6836" s="6">
        <f t="shared" si="1058"/>
        <v>0</v>
      </c>
      <c r="AD6836" s="6">
        <f t="shared" si="1063"/>
        <v>0</v>
      </c>
      <c r="AE6836" s="14">
        <f>VLOOKUP(I6836,[2]媒体政策预估表!A:N,MATCH(O6836,[2]媒体政策预估表!$A$2:$M$2,0),0)</f>
        <v>0</v>
      </c>
      <c r="AF6836" s="6">
        <f t="shared" si="1065"/>
        <v>0</v>
      </c>
      <c r="AG6836" s="14">
        <v>0</v>
      </c>
      <c r="AH6836" s="64">
        <f t="shared" si="1064"/>
        <v>0</v>
      </c>
      <c r="AJ6836" s="126" t="e">
        <v>#N/A</v>
      </c>
      <c r="AK6836" s="80">
        <f t="shared" si="1062"/>
        <v>0</v>
      </c>
      <c r="AL6836" s="85"/>
      <c r="AM6836" s="85"/>
    </row>
    <row r="6837" spans="1:39" s="86" customFormat="1" ht="13.25" hidden="1" customHeight="1" x14ac:dyDescent="0.3">
      <c r="A6837" s="89" t="s">
        <v>3978</v>
      </c>
      <c r="B6837" s="86" t="s">
        <v>35</v>
      </c>
      <c r="C6837" s="86" t="s">
        <v>164</v>
      </c>
      <c r="D6837" s="86" t="s">
        <v>169</v>
      </c>
      <c r="E6837" s="86" t="s">
        <v>2649</v>
      </c>
      <c r="F6837" s="86" t="s">
        <v>2649</v>
      </c>
      <c r="G6837" s="86" t="s">
        <v>2649</v>
      </c>
      <c r="H6837" s="143">
        <v>72</v>
      </c>
      <c r="I6837" s="86" t="s">
        <v>2572</v>
      </c>
      <c r="J6837" s="1" t="s">
        <v>3327</v>
      </c>
      <c r="K6837" s="1" t="s">
        <v>3284</v>
      </c>
      <c r="L6837" s="1" t="s">
        <v>35</v>
      </c>
      <c r="M6837" s="86" t="s">
        <v>2650</v>
      </c>
      <c r="O6837" s="47" t="s">
        <v>410</v>
      </c>
      <c r="P6837" s="14" t="s">
        <v>41</v>
      </c>
      <c r="Q6837" s="14">
        <v>0</v>
      </c>
      <c r="R6837" s="143">
        <v>300000648</v>
      </c>
      <c r="S6837" s="47"/>
      <c r="T6837" s="6">
        <v>-23.1999999999998</v>
      </c>
      <c r="U6837" s="6"/>
      <c r="V6837" s="6">
        <v>0</v>
      </c>
      <c r="W6837" s="6">
        <f t="shared" si="1066"/>
        <v>-23.1999999999998</v>
      </c>
      <c r="X6837" s="6">
        <f t="shared" si="1067"/>
        <v>0</v>
      </c>
      <c r="Y6837" s="13">
        <f t="shared" si="1059"/>
        <v>0</v>
      </c>
      <c r="Z6837" s="14">
        <v>0</v>
      </c>
      <c r="AA6837" s="6">
        <v>0</v>
      </c>
      <c r="AB6837" s="4">
        <f t="shared" si="1061"/>
        <v>0</v>
      </c>
      <c r="AC6837" s="6">
        <f t="shared" si="1058"/>
        <v>0</v>
      </c>
      <c r="AD6837" s="6">
        <f t="shared" si="1063"/>
        <v>0</v>
      </c>
      <c r="AE6837" s="14">
        <f>VLOOKUP(I6837,[2]媒体政策预估表!A:N,MATCH(O6837,[2]媒体政策预估表!$A$2:$M$2,0),0)</f>
        <v>0</v>
      </c>
      <c r="AF6837" s="6">
        <f t="shared" si="1065"/>
        <v>0</v>
      </c>
      <c r="AG6837" s="14">
        <v>0</v>
      </c>
      <c r="AH6837" s="64">
        <f t="shared" si="1064"/>
        <v>0</v>
      </c>
      <c r="AJ6837" s="126" t="e">
        <v>#N/A</v>
      </c>
      <c r="AK6837" s="80">
        <f t="shared" si="1062"/>
        <v>0</v>
      </c>
      <c r="AL6837" s="85"/>
      <c r="AM6837" s="85"/>
    </row>
    <row r="6838" spans="1:39" s="86" customFormat="1" ht="13.25" hidden="1" customHeight="1" x14ac:dyDescent="0.3">
      <c r="A6838" s="89" t="s">
        <v>3978</v>
      </c>
      <c r="B6838" s="86" t="s">
        <v>35</v>
      </c>
      <c r="C6838" s="86" t="s">
        <v>164</v>
      </c>
      <c r="D6838" s="86" t="s">
        <v>174</v>
      </c>
      <c r="E6838" s="86" t="s">
        <v>2651</v>
      </c>
      <c r="F6838" s="86" t="s">
        <v>2652</v>
      </c>
      <c r="G6838" s="86" t="s">
        <v>2652</v>
      </c>
      <c r="H6838" s="143">
        <v>72</v>
      </c>
      <c r="I6838" s="86" t="s">
        <v>2572</v>
      </c>
      <c r="J6838" s="1" t="s">
        <v>3327</v>
      </c>
      <c r="K6838" s="1" t="s">
        <v>3284</v>
      </c>
      <c r="L6838" s="1" t="s">
        <v>35</v>
      </c>
      <c r="M6838" s="86" t="s">
        <v>2652</v>
      </c>
      <c r="O6838" s="47" t="s">
        <v>410</v>
      </c>
      <c r="P6838" s="14" t="s">
        <v>41</v>
      </c>
      <c r="Q6838" s="14">
        <v>0</v>
      </c>
      <c r="R6838" s="143">
        <v>600001215</v>
      </c>
      <c r="S6838" s="47"/>
      <c r="T6838" s="6">
        <v>5.4</v>
      </c>
      <c r="U6838" s="6"/>
      <c r="V6838" s="6">
        <v>0</v>
      </c>
      <c r="W6838" s="6">
        <f t="shared" si="1066"/>
        <v>5.4</v>
      </c>
      <c r="X6838" s="6">
        <f t="shared" si="1067"/>
        <v>0</v>
      </c>
      <c r="Y6838" s="13">
        <f t="shared" si="1059"/>
        <v>0</v>
      </c>
      <c r="Z6838" s="14">
        <v>0</v>
      </c>
      <c r="AA6838" s="6">
        <v>0</v>
      </c>
      <c r="AB6838" s="4">
        <f t="shared" si="1061"/>
        <v>0</v>
      </c>
      <c r="AC6838" s="6">
        <f t="shared" si="1058"/>
        <v>0</v>
      </c>
      <c r="AD6838" s="6">
        <f t="shared" si="1063"/>
        <v>0</v>
      </c>
      <c r="AE6838" s="14">
        <f>VLOOKUP(I6838,[2]媒体政策预估表!A:N,MATCH(O6838,[2]媒体政策预估表!$A$2:$M$2,0),0)</f>
        <v>0</v>
      </c>
      <c r="AF6838" s="6">
        <f t="shared" si="1065"/>
        <v>0</v>
      </c>
      <c r="AG6838" s="14">
        <v>0</v>
      </c>
      <c r="AH6838" s="64">
        <f t="shared" si="1064"/>
        <v>0</v>
      </c>
      <c r="AJ6838" s="126" t="e">
        <v>#N/A</v>
      </c>
      <c r="AK6838" s="80">
        <f t="shared" si="1062"/>
        <v>0</v>
      </c>
      <c r="AL6838" s="85"/>
      <c r="AM6838" s="85"/>
    </row>
    <row r="6839" spans="1:39" s="86" customFormat="1" ht="13.25" hidden="1" customHeight="1" x14ac:dyDescent="0.3">
      <c r="A6839" s="89" t="s">
        <v>3792</v>
      </c>
      <c r="B6839" s="86" t="s">
        <v>35</v>
      </c>
      <c r="C6839" s="86" t="s">
        <v>164</v>
      </c>
      <c r="D6839" s="86" t="s">
        <v>174</v>
      </c>
      <c r="E6839" s="86" t="s">
        <v>2360</v>
      </c>
      <c r="F6839" s="86" t="s">
        <v>2360</v>
      </c>
      <c r="G6839" s="86" t="s">
        <v>2360</v>
      </c>
      <c r="H6839" s="143">
        <v>72</v>
      </c>
      <c r="I6839" s="86" t="s">
        <v>2572</v>
      </c>
      <c r="J6839" s="1" t="s">
        <v>3327</v>
      </c>
      <c r="K6839" s="1" t="s">
        <v>3284</v>
      </c>
      <c r="L6839" s="1" t="s">
        <v>35</v>
      </c>
      <c r="M6839" s="86" t="s">
        <v>2653</v>
      </c>
      <c r="O6839" s="47" t="s">
        <v>410</v>
      </c>
      <c r="P6839" s="14" t="s">
        <v>41</v>
      </c>
      <c r="Q6839" s="14">
        <v>0</v>
      </c>
      <c r="R6839" s="143">
        <v>600001346</v>
      </c>
      <c r="S6839" s="47"/>
      <c r="T6839" s="6">
        <v>7992.7</v>
      </c>
      <c r="U6839" s="6"/>
      <c r="V6839" s="6">
        <v>0</v>
      </c>
      <c r="W6839" s="6">
        <f t="shared" si="1066"/>
        <v>7992.7</v>
      </c>
      <c r="X6839" s="6">
        <f t="shared" si="1067"/>
        <v>0</v>
      </c>
      <c r="Y6839" s="13">
        <f t="shared" si="1059"/>
        <v>0</v>
      </c>
      <c r="Z6839" s="14">
        <v>0</v>
      </c>
      <c r="AA6839" s="6">
        <v>0</v>
      </c>
      <c r="AB6839" s="4">
        <f t="shared" si="1061"/>
        <v>0</v>
      </c>
      <c r="AC6839" s="6">
        <f t="shared" si="1058"/>
        <v>0</v>
      </c>
      <c r="AD6839" s="6">
        <f t="shared" si="1063"/>
        <v>0</v>
      </c>
      <c r="AE6839" s="14">
        <f>VLOOKUP(I6839,[2]媒体政策预估表!A:N,MATCH(O6839,[2]媒体政策预估表!$A$2:$M$2,0),0)</f>
        <v>0</v>
      </c>
      <c r="AF6839" s="6">
        <f t="shared" si="1065"/>
        <v>0</v>
      </c>
      <c r="AG6839" s="14">
        <v>0</v>
      </c>
      <c r="AH6839" s="64">
        <f t="shared" si="1064"/>
        <v>0</v>
      </c>
      <c r="AJ6839" s="126" t="e">
        <v>#N/A</v>
      </c>
      <c r="AK6839" s="80">
        <f t="shared" si="1062"/>
        <v>0</v>
      </c>
      <c r="AL6839" s="85"/>
      <c r="AM6839" s="85"/>
    </row>
    <row r="6840" spans="1:39" s="86" customFormat="1" ht="13.25" hidden="1" customHeight="1" x14ac:dyDescent="0.3">
      <c r="A6840" s="89" t="s">
        <v>3978</v>
      </c>
      <c r="B6840" s="86" t="s">
        <v>35</v>
      </c>
      <c r="C6840" s="86" t="s">
        <v>164</v>
      </c>
      <c r="D6840" s="86" t="s">
        <v>174</v>
      </c>
      <c r="E6840" s="86" t="s">
        <v>2654</v>
      </c>
      <c r="F6840" s="86" t="s">
        <v>2654</v>
      </c>
      <c r="G6840" s="86" t="s">
        <v>2654</v>
      </c>
      <c r="H6840" s="143">
        <v>72</v>
      </c>
      <c r="I6840" s="86" t="s">
        <v>2572</v>
      </c>
      <c r="J6840" s="1" t="s">
        <v>3327</v>
      </c>
      <c r="K6840" s="1" t="s">
        <v>3284</v>
      </c>
      <c r="L6840" s="1" t="s">
        <v>35</v>
      </c>
      <c r="M6840" s="86" t="s">
        <v>2655</v>
      </c>
      <c r="O6840" s="47" t="s">
        <v>410</v>
      </c>
      <c r="P6840" s="14" t="s">
        <v>41</v>
      </c>
      <c r="Q6840" s="14">
        <v>0</v>
      </c>
      <c r="R6840" s="143">
        <v>400001039</v>
      </c>
      <c r="S6840" s="47"/>
      <c r="T6840" s="6">
        <v>-5</v>
      </c>
      <c r="U6840" s="6"/>
      <c r="V6840" s="6">
        <v>0</v>
      </c>
      <c r="W6840" s="6">
        <f t="shared" si="1066"/>
        <v>-5</v>
      </c>
      <c r="X6840" s="6">
        <f t="shared" si="1067"/>
        <v>0</v>
      </c>
      <c r="Y6840" s="13">
        <f t="shared" si="1059"/>
        <v>0</v>
      </c>
      <c r="Z6840" s="14">
        <v>0</v>
      </c>
      <c r="AA6840" s="6">
        <v>0</v>
      </c>
      <c r="AB6840" s="4">
        <f t="shared" si="1061"/>
        <v>0</v>
      </c>
      <c r="AC6840" s="6">
        <f t="shared" si="1058"/>
        <v>0</v>
      </c>
      <c r="AD6840" s="6">
        <f t="shared" si="1063"/>
        <v>0</v>
      </c>
      <c r="AE6840" s="14">
        <f>VLOOKUP(I6840,[2]媒体政策预估表!A:N,MATCH(O6840,[2]媒体政策预估表!$A$2:$M$2,0),0)</f>
        <v>0</v>
      </c>
      <c r="AF6840" s="6">
        <f t="shared" si="1065"/>
        <v>0</v>
      </c>
      <c r="AG6840" s="14">
        <v>0</v>
      </c>
      <c r="AH6840" s="64">
        <f t="shared" si="1064"/>
        <v>0</v>
      </c>
      <c r="AJ6840" s="126" t="e">
        <v>#N/A</v>
      </c>
      <c r="AK6840" s="80">
        <f t="shared" si="1062"/>
        <v>0</v>
      </c>
      <c r="AL6840" s="85"/>
      <c r="AM6840" s="85"/>
    </row>
    <row r="6841" spans="1:39" s="86" customFormat="1" ht="13.25" hidden="1" customHeight="1" x14ac:dyDescent="0.3">
      <c r="A6841" s="89" t="s">
        <v>3978</v>
      </c>
      <c r="B6841" s="86" t="s">
        <v>35</v>
      </c>
      <c r="C6841" s="86" t="s">
        <v>164</v>
      </c>
      <c r="D6841" s="86" t="s">
        <v>3407</v>
      </c>
      <c r="E6841" s="86" t="s">
        <v>2656</v>
      </c>
      <c r="F6841" s="86" t="s">
        <v>2656</v>
      </c>
      <c r="G6841" s="86" t="s">
        <v>2656</v>
      </c>
      <c r="H6841" s="143">
        <v>72</v>
      </c>
      <c r="I6841" s="86" t="s">
        <v>2572</v>
      </c>
      <c r="J6841" s="1" t="s">
        <v>3327</v>
      </c>
      <c r="K6841" s="1" t="s">
        <v>3284</v>
      </c>
      <c r="L6841" s="1" t="s">
        <v>35</v>
      </c>
      <c r="M6841" s="86" t="s">
        <v>2656</v>
      </c>
      <c r="O6841" s="47" t="s">
        <v>410</v>
      </c>
      <c r="P6841" s="14" t="s">
        <v>41</v>
      </c>
      <c r="Q6841" s="14">
        <v>0</v>
      </c>
      <c r="R6841" s="143">
        <v>300000775</v>
      </c>
      <c r="S6841" s="47"/>
      <c r="T6841" s="6">
        <v>676.6</v>
      </c>
      <c r="U6841" s="6"/>
      <c r="V6841" s="6">
        <v>0</v>
      </c>
      <c r="W6841" s="6">
        <f t="shared" si="1066"/>
        <v>676.6</v>
      </c>
      <c r="X6841" s="6">
        <f t="shared" si="1067"/>
        <v>0</v>
      </c>
      <c r="Y6841" s="13">
        <f t="shared" si="1059"/>
        <v>0</v>
      </c>
      <c r="Z6841" s="14">
        <v>0</v>
      </c>
      <c r="AA6841" s="6">
        <v>0</v>
      </c>
      <c r="AB6841" s="4">
        <f t="shared" si="1061"/>
        <v>0</v>
      </c>
      <c r="AC6841" s="6">
        <f t="shared" si="1058"/>
        <v>0</v>
      </c>
      <c r="AD6841" s="6">
        <f t="shared" si="1063"/>
        <v>0</v>
      </c>
      <c r="AE6841" s="14">
        <f>VLOOKUP(I6841,[2]媒体政策预估表!A:N,MATCH(O6841,[2]媒体政策预估表!$A$2:$M$2,0),0)</f>
        <v>0</v>
      </c>
      <c r="AF6841" s="6">
        <f t="shared" si="1065"/>
        <v>0</v>
      </c>
      <c r="AG6841" s="14">
        <v>0</v>
      </c>
      <c r="AH6841" s="64">
        <f t="shared" si="1064"/>
        <v>0</v>
      </c>
      <c r="AJ6841" s="126" t="e">
        <v>#N/A</v>
      </c>
      <c r="AK6841" s="80">
        <f t="shared" si="1062"/>
        <v>0</v>
      </c>
      <c r="AL6841" s="85"/>
      <c r="AM6841" s="85"/>
    </row>
    <row r="6842" spans="1:39" s="86" customFormat="1" ht="13.25" hidden="1" customHeight="1" x14ac:dyDescent="0.3">
      <c r="A6842" s="89" t="s">
        <v>3978</v>
      </c>
      <c r="B6842" s="86" t="s">
        <v>35</v>
      </c>
      <c r="C6842" s="86" t="s">
        <v>184</v>
      </c>
      <c r="D6842" s="86" t="s">
        <v>961</v>
      </c>
      <c r="E6842" s="86" t="s">
        <v>2657</v>
      </c>
      <c r="F6842" s="86" t="s">
        <v>2658</v>
      </c>
      <c r="G6842" s="86" t="s">
        <v>2658</v>
      </c>
      <c r="H6842" s="143">
        <v>72</v>
      </c>
      <c r="I6842" s="86" t="s">
        <v>2572</v>
      </c>
      <c r="J6842" s="1" t="s">
        <v>3327</v>
      </c>
      <c r="K6842" s="1" t="s">
        <v>3284</v>
      </c>
      <c r="L6842" s="1" t="s">
        <v>35</v>
      </c>
      <c r="M6842" s="86" t="s">
        <v>2658</v>
      </c>
      <c r="O6842" s="47" t="s">
        <v>410</v>
      </c>
      <c r="P6842" s="14" t="s">
        <v>41</v>
      </c>
      <c r="Q6842" s="14">
        <v>0</v>
      </c>
      <c r="R6842" s="143">
        <v>600001437</v>
      </c>
      <c r="S6842" s="47"/>
      <c r="T6842" s="6">
        <v>46.04</v>
      </c>
      <c r="U6842" s="6"/>
      <c r="V6842" s="6">
        <v>0</v>
      </c>
      <c r="W6842" s="6">
        <f t="shared" si="1066"/>
        <v>46.04</v>
      </c>
      <c r="X6842" s="6">
        <f t="shared" si="1067"/>
        <v>0</v>
      </c>
      <c r="Y6842" s="13">
        <f t="shared" si="1059"/>
        <v>0</v>
      </c>
      <c r="Z6842" s="14">
        <v>0</v>
      </c>
      <c r="AA6842" s="6">
        <v>0</v>
      </c>
      <c r="AB6842" s="4">
        <f t="shared" si="1061"/>
        <v>0</v>
      </c>
      <c r="AC6842" s="6">
        <f t="shared" si="1058"/>
        <v>0</v>
      </c>
      <c r="AD6842" s="6">
        <f t="shared" si="1063"/>
        <v>0</v>
      </c>
      <c r="AE6842" s="14">
        <f>VLOOKUP(I6842,[2]媒体政策预估表!A:N,MATCH(O6842,[2]媒体政策预估表!$A$2:$M$2,0),0)</f>
        <v>0</v>
      </c>
      <c r="AF6842" s="6">
        <f t="shared" si="1065"/>
        <v>0</v>
      </c>
      <c r="AG6842" s="14">
        <v>0</v>
      </c>
      <c r="AH6842" s="64">
        <f t="shared" si="1064"/>
        <v>0</v>
      </c>
      <c r="AJ6842" s="126" t="e">
        <v>#N/A</v>
      </c>
      <c r="AK6842" s="80">
        <f t="shared" si="1062"/>
        <v>0</v>
      </c>
      <c r="AL6842" s="85"/>
      <c r="AM6842" s="85"/>
    </row>
    <row r="6843" spans="1:39" s="86" customFormat="1" ht="13.25" hidden="1" customHeight="1" x14ac:dyDescent="0.3">
      <c r="A6843" s="89" t="s">
        <v>3792</v>
      </c>
      <c r="B6843" s="86" t="s">
        <v>35</v>
      </c>
      <c r="C6843" s="86" t="s">
        <v>184</v>
      </c>
      <c r="D6843" s="86" t="s">
        <v>224</v>
      </c>
      <c r="E6843" s="86" t="s">
        <v>962</v>
      </c>
      <c r="F6843" s="86" t="s">
        <v>962</v>
      </c>
      <c r="G6843" s="86" t="s">
        <v>962</v>
      </c>
      <c r="H6843" s="143">
        <v>72</v>
      </c>
      <c r="I6843" s="86" t="s">
        <v>2572</v>
      </c>
      <c r="J6843" s="1" t="s">
        <v>3327</v>
      </c>
      <c r="K6843" s="1" t="s">
        <v>3284</v>
      </c>
      <c r="L6843" s="1" t="s">
        <v>35</v>
      </c>
      <c r="M6843" s="86" t="s">
        <v>962</v>
      </c>
      <c r="O6843" s="47" t="s">
        <v>410</v>
      </c>
      <c r="P6843" s="14" t="s">
        <v>41</v>
      </c>
      <c r="Q6843" s="14">
        <v>0</v>
      </c>
      <c r="R6843" s="143">
        <v>400001353</v>
      </c>
      <c r="S6843" s="47"/>
      <c r="T6843" s="6">
        <v>15624.1</v>
      </c>
      <c r="U6843" s="6"/>
      <c r="V6843" s="6">
        <v>0</v>
      </c>
      <c r="W6843" s="6">
        <f t="shared" si="1066"/>
        <v>15624.1</v>
      </c>
      <c r="X6843" s="6">
        <f t="shared" si="1067"/>
        <v>0</v>
      </c>
      <c r="Y6843" s="13">
        <f t="shared" si="1059"/>
        <v>0</v>
      </c>
      <c r="Z6843" s="14">
        <v>0</v>
      </c>
      <c r="AA6843" s="6">
        <v>0</v>
      </c>
      <c r="AB6843" s="4">
        <f t="shared" si="1061"/>
        <v>0</v>
      </c>
      <c r="AC6843" s="6">
        <f t="shared" si="1058"/>
        <v>0</v>
      </c>
      <c r="AD6843" s="6">
        <f t="shared" si="1063"/>
        <v>0</v>
      </c>
      <c r="AE6843" s="14">
        <f>VLOOKUP(I6843,[2]媒体政策预估表!A:N,MATCH(O6843,[2]媒体政策预估表!$A$2:$M$2,0),0)</f>
        <v>0</v>
      </c>
      <c r="AF6843" s="6">
        <f t="shared" si="1065"/>
        <v>0</v>
      </c>
      <c r="AG6843" s="14">
        <v>0</v>
      </c>
      <c r="AH6843" s="64">
        <f t="shared" si="1064"/>
        <v>0</v>
      </c>
      <c r="AJ6843" s="126" t="e">
        <v>#N/A</v>
      </c>
      <c r="AK6843" s="80">
        <f t="shared" si="1062"/>
        <v>0</v>
      </c>
      <c r="AL6843" s="85"/>
      <c r="AM6843" s="85"/>
    </row>
    <row r="6844" spans="1:39" s="86" customFormat="1" ht="13.25" hidden="1" customHeight="1" x14ac:dyDescent="0.3">
      <c r="A6844" s="89" t="s">
        <v>3792</v>
      </c>
      <c r="B6844" s="86" t="s">
        <v>35</v>
      </c>
      <c r="C6844" s="86" t="s">
        <v>184</v>
      </c>
      <c r="D6844" s="86" t="s">
        <v>961</v>
      </c>
      <c r="E6844" s="86" t="s">
        <v>2283</v>
      </c>
      <c r="F6844" s="86" t="s">
        <v>2283</v>
      </c>
      <c r="G6844" s="86" t="s">
        <v>2283</v>
      </c>
      <c r="H6844" s="143">
        <v>72</v>
      </c>
      <c r="I6844" s="86" t="s">
        <v>2572</v>
      </c>
      <c r="J6844" s="1" t="s">
        <v>3327</v>
      </c>
      <c r="K6844" s="1" t="s">
        <v>3284</v>
      </c>
      <c r="L6844" s="1" t="s">
        <v>35</v>
      </c>
      <c r="M6844" s="86" t="s">
        <v>2283</v>
      </c>
      <c r="O6844" s="47" t="s">
        <v>410</v>
      </c>
      <c r="P6844" s="14" t="s">
        <v>41</v>
      </c>
      <c r="Q6844" s="14">
        <v>0</v>
      </c>
      <c r="R6844" s="143">
        <v>400001320</v>
      </c>
      <c r="S6844" s="47"/>
      <c r="T6844" s="6">
        <v>105.94999999999982</v>
      </c>
      <c r="U6844" s="6"/>
      <c r="V6844" s="6">
        <v>0</v>
      </c>
      <c r="W6844" s="6">
        <f t="shared" si="1066"/>
        <v>105.94999999999982</v>
      </c>
      <c r="X6844" s="6">
        <f t="shared" si="1067"/>
        <v>0</v>
      </c>
      <c r="Y6844" s="13">
        <f t="shared" si="1059"/>
        <v>0</v>
      </c>
      <c r="Z6844" s="14">
        <v>0</v>
      </c>
      <c r="AA6844" s="6">
        <v>0</v>
      </c>
      <c r="AB6844" s="4">
        <f t="shared" si="1061"/>
        <v>0</v>
      </c>
      <c r="AC6844" s="6">
        <f t="shared" si="1058"/>
        <v>0</v>
      </c>
      <c r="AD6844" s="6">
        <f t="shared" si="1063"/>
        <v>0</v>
      </c>
      <c r="AE6844" s="14">
        <f>VLOOKUP(I6844,[2]媒体政策预估表!A:N,MATCH(O6844,[2]媒体政策预估表!$A$2:$M$2,0),0)</f>
        <v>0</v>
      </c>
      <c r="AF6844" s="6">
        <f t="shared" si="1065"/>
        <v>0</v>
      </c>
      <c r="AG6844" s="14">
        <v>0</v>
      </c>
      <c r="AH6844" s="64">
        <f t="shared" si="1064"/>
        <v>0</v>
      </c>
      <c r="AJ6844" s="126" t="e">
        <v>#N/A</v>
      </c>
      <c r="AK6844" s="80">
        <f t="shared" si="1062"/>
        <v>0</v>
      </c>
      <c r="AL6844" s="85"/>
      <c r="AM6844" s="85"/>
    </row>
    <row r="6845" spans="1:39" s="86" customFormat="1" ht="13.25" hidden="1" customHeight="1" x14ac:dyDescent="0.3">
      <c r="A6845" s="89" t="s">
        <v>3978</v>
      </c>
      <c r="B6845" s="86" t="s">
        <v>35</v>
      </c>
      <c r="C6845" s="86" t="s">
        <v>184</v>
      </c>
      <c r="D6845" s="86" t="s">
        <v>224</v>
      </c>
      <c r="E6845" s="86" t="s">
        <v>2659</v>
      </c>
      <c r="F6845" s="86" t="s">
        <v>2659</v>
      </c>
      <c r="G6845" s="86" t="s">
        <v>2659</v>
      </c>
      <c r="H6845" s="143">
        <v>72</v>
      </c>
      <c r="I6845" s="86" t="s">
        <v>2572</v>
      </c>
      <c r="J6845" s="1" t="s">
        <v>3327</v>
      </c>
      <c r="K6845" s="1" t="s">
        <v>3284</v>
      </c>
      <c r="L6845" s="1" t="s">
        <v>35</v>
      </c>
      <c r="M6845" s="86" t="s">
        <v>2660</v>
      </c>
      <c r="O6845" s="47" t="s">
        <v>410</v>
      </c>
      <c r="P6845" s="14" t="s">
        <v>41</v>
      </c>
      <c r="Q6845" s="14">
        <v>0</v>
      </c>
      <c r="R6845" s="143">
        <v>400001250</v>
      </c>
      <c r="S6845" s="47"/>
      <c r="T6845" s="6">
        <v>691.69999999999982</v>
      </c>
      <c r="U6845" s="6"/>
      <c r="V6845" s="6">
        <v>0</v>
      </c>
      <c r="W6845" s="6">
        <f t="shared" si="1066"/>
        <v>691.69999999999982</v>
      </c>
      <c r="X6845" s="6">
        <f t="shared" si="1067"/>
        <v>0</v>
      </c>
      <c r="Y6845" s="13">
        <f t="shared" si="1059"/>
        <v>0</v>
      </c>
      <c r="Z6845" s="14">
        <v>0.05</v>
      </c>
      <c r="AA6845" s="6">
        <f t="shared" ref="AA6845:AA6847" si="1068">X6845*Z6845</f>
        <v>0</v>
      </c>
      <c r="AB6845" s="4">
        <f t="shared" si="1061"/>
        <v>0</v>
      </c>
      <c r="AC6845" s="6">
        <f t="shared" si="1058"/>
        <v>0</v>
      </c>
      <c r="AD6845" s="6">
        <f t="shared" si="1063"/>
        <v>0</v>
      </c>
      <c r="AE6845" s="14">
        <f>VLOOKUP(I6845,[2]媒体政策预估表!A:N,MATCH(O6845,[2]媒体政策预估表!$A$2:$M$2,0),0)</f>
        <v>0</v>
      </c>
      <c r="AF6845" s="6">
        <f t="shared" si="1065"/>
        <v>0</v>
      </c>
      <c r="AG6845" s="14">
        <v>0</v>
      </c>
      <c r="AH6845" s="64">
        <f t="shared" si="1064"/>
        <v>0</v>
      </c>
      <c r="AJ6845" s="126" t="e">
        <v>#N/A</v>
      </c>
      <c r="AK6845" s="80">
        <f t="shared" si="1062"/>
        <v>0</v>
      </c>
      <c r="AL6845" s="85"/>
      <c r="AM6845" s="85"/>
    </row>
    <row r="6846" spans="1:39" s="86" customFormat="1" ht="13.25" hidden="1" customHeight="1" x14ac:dyDescent="0.3">
      <c r="A6846" s="89" t="s">
        <v>3792</v>
      </c>
      <c r="B6846" s="86" t="s">
        <v>35</v>
      </c>
      <c r="C6846" s="86" t="s">
        <v>184</v>
      </c>
      <c r="D6846" s="86" t="s">
        <v>224</v>
      </c>
      <c r="E6846" s="86" t="s">
        <v>2661</v>
      </c>
      <c r="F6846" s="86" t="s">
        <v>2662</v>
      </c>
      <c r="G6846" s="86" t="s">
        <v>2661</v>
      </c>
      <c r="H6846" s="143">
        <v>72</v>
      </c>
      <c r="I6846" s="86" t="s">
        <v>2572</v>
      </c>
      <c r="J6846" s="1" t="s">
        <v>3327</v>
      </c>
      <c r="K6846" s="1" t="s">
        <v>3284</v>
      </c>
      <c r="L6846" s="1" t="s">
        <v>35</v>
      </c>
      <c r="M6846" s="86" t="s">
        <v>2663</v>
      </c>
      <c r="O6846" s="47" t="s">
        <v>410</v>
      </c>
      <c r="P6846" s="14" t="s">
        <v>41</v>
      </c>
      <c r="Q6846" s="14">
        <v>0</v>
      </c>
      <c r="R6846" s="143">
        <v>400001948</v>
      </c>
      <c r="S6846" s="47"/>
      <c r="T6846" s="6">
        <v>20000</v>
      </c>
      <c r="U6846" s="6"/>
      <c r="V6846" s="6">
        <v>0</v>
      </c>
      <c r="W6846" s="6">
        <f t="shared" si="1066"/>
        <v>20000</v>
      </c>
      <c r="X6846" s="6">
        <f t="shared" si="1067"/>
        <v>0</v>
      </c>
      <c r="Y6846" s="13">
        <f t="shared" si="1059"/>
        <v>0</v>
      </c>
      <c r="Z6846" s="14">
        <v>0.03</v>
      </c>
      <c r="AA6846" s="6">
        <f t="shared" si="1068"/>
        <v>0</v>
      </c>
      <c r="AB6846" s="4">
        <f t="shared" si="1061"/>
        <v>0</v>
      </c>
      <c r="AC6846" s="6">
        <f t="shared" ref="AC6846:AC6909" si="1069">IF(P6846="返现",X6846*Q6846,V6846-X6846)</f>
        <v>0</v>
      </c>
      <c r="AD6846" s="6">
        <f t="shared" si="1063"/>
        <v>0</v>
      </c>
      <c r="AE6846" s="14">
        <f>VLOOKUP(I6846,[2]媒体政策预估表!A:N,MATCH(O6846,[2]媒体政策预估表!$A$2:$M$2,0),0)</f>
        <v>0</v>
      </c>
      <c r="AF6846" s="6">
        <f t="shared" si="1065"/>
        <v>0</v>
      </c>
      <c r="AG6846" s="14">
        <v>0</v>
      </c>
      <c r="AH6846" s="64">
        <f t="shared" si="1064"/>
        <v>0</v>
      </c>
      <c r="AJ6846" s="126" t="e">
        <v>#N/A</v>
      </c>
      <c r="AK6846" s="80">
        <f t="shared" si="1062"/>
        <v>0</v>
      </c>
      <c r="AL6846" s="85"/>
      <c r="AM6846" s="85"/>
    </row>
    <row r="6847" spans="1:39" s="86" customFormat="1" ht="13.25" hidden="1" customHeight="1" x14ac:dyDescent="0.3">
      <c r="A6847" s="89" t="s">
        <v>3978</v>
      </c>
      <c r="B6847" s="86" t="s">
        <v>35</v>
      </c>
      <c r="C6847" s="86" t="s">
        <v>184</v>
      </c>
      <c r="D6847" s="86" t="s">
        <v>224</v>
      </c>
      <c r="E6847" s="86" t="s">
        <v>2664</v>
      </c>
      <c r="F6847" s="86" t="s">
        <v>2664</v>
      </c>
      <c r="G6847" s="86" t="s">
        <v>2664</v>
      </c>
      <c r="H6847" s="143">
        <v>72</v>
      </c>
      <c r="I6847" s="86" t="s">
        <v>2572</v>
      </c>
      <c r="J6847" s="1" t="s">
        <v>3327</v>
      </c>
      <c r="K6847" s="1" t="s">
        <v>3284</v>
      </c>
      <c r="L6847" s="1" t="s">
        <v>35</v>
      </c>
      <c r="M6847" s="86" t="s">
        <v>2664</v>
      </c>
      <c r="O6847" s="47" t="s">
        <v>410</v>
      </c>
      <c r="P6847" s="14" t="s">
        <v>41</v>
      </c>
      <c r="Q6847" s="14">
        <v>0</v>
      </c>
      <c r="R6847" s="143">
        <v>400002177</v>
      </c>
      <c r="S6847" s="47"/>
      <c r="T6847" s="6">
        <v>12</v>
      </c>
      <c r="U6847" s="6"/>
      <c r="V6847" s="6">
        <v>0</v>
      </c>
      <c r="W6847" s="6">
        <f t="shared" si="1066"/>
        <v>12</v>
      </c>
      <c r="X6847" s="6">
        <f t="shared" si="1067"/>
        <v>0</v>
      </c>
      <c r="Y6847" s="13">
        <f t="shared" si="1059"/>
        <v>0</v>
      </c>
      <c r="Z6847" s="14">
        <v>0.02</v>
      </c>
      <c r="AA6847" s="6">
        <f t="shared" si="1068"/>
        <v>0</v>
      </c>
      <c r="AB6847" s="4">
        <f t="shared" si="1061"/>
        <v>0</v>
      </c>
      <c r="AC6847" s="6">
        <f t="shared" si="1069"/>
        <v>0</v>
      </c>
      <c r="AD6847" s="6">
        <f t="shared" si="1063"/>
        <v>0</v>
      </c>
      <c r="AE6847" s="14">
        <f>VLOOKUP(I6847,[2]媒体政策预估表!A:N,MATCH(O6847,[2]媒体政策预估表!$A$2:$M$2,0),0)</f>
        <v>0</v>
      </c>
      <c r="AF6847" s="6">
        <f t="shared" si="1065"/>
        <v>0</v>
      </c>
      <c r="AG6847" s="14">
        <v>0</v>
      </c>
      <c r="AH6847" s="64">
        <f t="shared" si="1064"/>
        <v>0</v>
      </c>
      <c r="AJ6847" s="126" t="e">
        <v>#N/A</v>
      </c>
      <c r="AK6847" s="80">
        <f t="shared" si="1062"/>
        <v>0</v>
      </c>
      <c r="AL6847" s="85"/>
      <c r="AM6847" s="85"/>
    </row>
    <row r="6848" spans="1:39" s="86" customFormat="1" ht="13.25" hidden="1" customHeight="1" x14ac:dyDescent="0.3">
      <c r="A6848" s="89" t="s">
        <v>3978</v>
      </c>
      <c r="B6848" s="86" t="s">
        <v>35</v>
      </c>
      <c r="C6848" s="86" t="s">
        <v>184</v>
      </c>
      <c r="D6848" s="86" t="s">
        <v>2325</v>
      </c>
      <c r="E6848" s="86" t="s">
        <v>2665</v>
      </c>
      <c r="F6848" s="86" t="s">
        <v>2666</v>
      </c>
      <c r="G6848" s="86" t="s">
        <v>2665</v>
      </c>
      <c r="H6848" s="143">
        <v>72</v>
      </c>
      <c r="I6848" s="86" t="s">
        <v>2572</v>
      </c>
      <c r="J6848" s="1" t="s">
        <v>3327</v>
      </c>
      <c r="K6848" s="1" t="s">
        <v>3284</v>
      </c>
      <c r="L6848" s="1" t="s">
        <v>35</v>
      </c>
      <c r="M6848" s="86" t="s">
        <v>2665</v>
      </c>
      <c r="O6848" s="47" t="s">
        <v>410</v>
      </c>
      <c r="P6848" s="14" t="s">
        <v>41</v>
      </c>
      <c r="Q6848" s="14">
        <v>0</v>
      </c>
      <c r="R6848" s="143">
        <v>300000800</v>
      </c>
      <c r="S6848" s="47"/>
      <c r="T6848" s="6">
        <v>-32</v>
      </c>
      <c r="U6848" s="6"/>
      <c r="V6848" s="6">
        <v>0</v>
      </c>
      <c r="W6848" s="6">
        <f t="shared" si="1066"/>
        <v>-32</v>
      </c>
      <c r="X6848" s="6">
        <f t="shared" si="1067"/>
        <v>0</v>
      </c>
      <c r="Y6848" s="13">
        <f t="shared" si="1059"/>
        <v>0</v>
      </c>
      <c r="Z6848" s="14">
        <v>0</v>
      </c>
      <c r="AA6848" s="6">
        <v>0</v>
      </c>
      <c r="AB6848" s="4">
        <f t="shared" si="1061"/>
        <v>0</v>
      </c>
      <c r="AC6848" s="6">
        <f t="shared" si="1069"/>
        <v>0</v>
      </c>
      <c r="AD6848" s="6">
        <f t="shared" si="1063"/>
        <v>0</v>
      </c>
      <c r="AE6848" s="14">
        <f>VLOOKUP(I6848,[2]媒体政策预估表!A:N,MATCH(O6848,[2]媒体政策预估表!$A$2:$M$2,0),0)</f>
        <v>0</v>
      </c>
      <c r="AF6848" s="6">
        <f t="shared" si="1065"/>
        <v>0</v>
      </c>
      <c r="AG6848" s="14">
        <v>0</v>
      </c>
      <c r="AH6848" s="64">
        <f t="shared" si="1064"/>
        <v>0</v>
      </c>
      <c r="AJ6848" s="126" t="e">
        <v>#N/A</v>
      </c>
      <c r="AK6848" s="80">
        <f t="shared" si="1062"/>
        <v>0</v>
      </c>
      <c r="AL6848" s="85"/>
      <c r="AM6848" s="85"/>
    </row>
    <row r="6849" spans="1:39" s="86" customFormat="1" ht="13.25" hidden="1" customHeight="1" x14ac:dyDescent="0.3">
      <c r="A6849" s="89" t="s">
        <v>3792</v>
      </c>
      <c r="B6849" s="86" t="s">
        <v>35</v>
      </c>
      <c r="C6849" s="86" t="s">
        <v>184</v>
      </c>
      <c r="D6849" s="86" t="s">
        <v>54</v>
      </c>
      <c r="E6849" s="86" t="s">
        <v>416</v>
      </c>
      <c r="F6849" s="86" t="s">
        <v>416</v>
      </c>
      <c r="G6849" s="86" t="s">
        <v>416</v>
      </c>
      <c r="H6849" s="143">
        <v>72</v>
      </c>
      <c r="I6849" s="86" t="s">
        <v>2572</v>
      </c>
      <c r="J6849" s="1" t="s">
        <v>3327</v>
      </c>
      <c r="K6849" s="1" t="s">
        <v>3284</v>
      </c>
      <c r="L6849" s="1" t="s">
        <v>35</v>
      </c>
      <c r="M6849" s="86" t="s">
        <v>416</v>
      </c>
      <c r="O6849" s="47" t="s">
        <v>410</v>
      </c>
      <c r="P6849" s="14" t="s">
        <v>46</v>
      </c>
      <c r="Q6849" s="14">
        <v>0.01</v>
      </c>
      <c r="R6849" s="143">
        <v>600001252</v>
      </c>
      <c r="S6849" s="47"/>
      <c r="T6849" s="6">
        <v>43.76</v>
      </c>
      <c r="U6849" s="6"/>
      <c r="V6849" s="6">
        <v>0</v>
      </c>
      <c r="W6849" s="6">
        <f t="shared" si="1066"/>
        <v>43.76</v>
      </c>
      <c r="X6849" s="6">
        <f t="shared" si="1067"/>
        <v>0</v>
      </c>
      <c r="Y6849" s="13">
        <f t="shared" si="1059"/>
        <v>0</v>
      </c>
      <c r="Z6849" s="14">
        <v>0</v>
      </c>
      <c r="AA6849" s="6">
        <v>0</v>
      </c>
      <c r="AB6849" s="4">
        <f t="shared" si="1061"/>
        <v>0</v>
      </c>
      <c r="AC6849" s="6">
        <f t="shared" si="1069"/>
        <v>0</v>
      </c>
      <c r="AD6849" s="6">
        <f t="shared" si="1063"/>
        <v>0</v>
      </c>
      <c r="AE6849" s="14">
        <f>VLOOKUP(I6849,[2]媒体政策预估表!A:N,MATCH(O6849,[2]媒体政策预估表!$A$2:$M$2,0),0)</f>
        <v>0</v>
      </c>
      <c r="AF6849" s="6">
        <f t="shared" si="1065"/>
        <v>0</v>
      </c>
      <c r="AG6849" s="14">
        <v>0</v>
      </c>
      <c r="AH6849" s="64">
        <f t="shared" si="1064"/>
        <v>0</v>
      </c>
      <c r="AJ6849" s="126" t="e">
        <v>#N/A</v>
      </c>
      <c r="AK6849" s="80">
        <f t="shared" si="1062"/>
        <v>0</v>
      </c>
      <c r="AL6849" s="85"/>
      <c r="AM6849" s="85"/>
    </row>
    <row r="6850" spans="1:39" s="86" customFormat="1" ht="13.25" hidden="1" customHeight="1" x14ac:dyDescent="0.3">
      <c r="A6850" s="89" t="s">
        <v>3792</v>
      </c>
      <c r="B6850" s="86" t="s">
        <v>35</v>
      </c>
      <c r="C6850" s="86" t="s">
        <v>184</v>
      </c>
      <c r="D6850" s="86" t="s">
        <v>54</v>
      </c>
      <c r="E6850" s="86" t="s">
        <v>71</v>
      </c>
      <c r="F6850" s="86" t="s">
        <v>71</v>
      </c>
      <c r="G6850" s="86" t="s">
        <v>71</v>
      </c>
      <c r="H6850" s="143">
        <v>72</v>
      </c>
      <c r="I6850" s="86" t="s">
        <v>2572</v>
      </c>
      <c r="J6850" s="1" t="s">
        <v>3327</v>
      </c>
      <c r="K6850" s="1" t="s">
        <v>3284</v>
      </c>
      <c r="L6850" s="1" t="s">
        <v>35</v>
      </c>
      <c r="M6850" s="86" t="s">
        <v>2577</v>
      </c>
      <c r="O6850" s="47" t="s">
        <v>56</v>
      </c>
      <c r="P6850" s="14" t="s">
        <v>41</v>
      </c>
      <c r="Q6850" s="14">
        <v>0</v>
      </c>
      <c r="R6850" s="143">
        <v>600001435</v>
      </c>
      <c r="S6850" s="47"/>
      <c r="T6850" s="6">
        <v>28038</v>
      </c>
      <c r="U6850" s="6"/>
      <c r="V6850" s="6">
        <v>0</v>
      </c>
      <c r="W6850" s="6">
        <f t="shared" si="1066"/>
        <v>28038</v>
      </c>
      <c r="X6850" s="6">
        <f t="shared" si="1067"/>
        <v>0</v>
      </c>
      <c r="Y6850" s="13">
        <f t="shared" si="1059"/>
        <v>0</v>
      </c>
      <c r="Z6850" s="14">
        <v>0</v>
      </c>
      <c r="AA6850" s="6">
        <v>0</v>
      </c>
      <c r="AB6850" s="4">
        <f t="shared" si="1061"/>
        <v>0</v>
      </c>
      <c r="AC6850" s="6">
        <f t="shared" si="1069"/>
        <v>0</v>
      </c>
      <c r="AD6850" s="6">
        <f t="shared" si="1063"/>
        <v>0</v>
      </c>
      <c r="AE6850" s="14">
        <f>VLOOKUP(I6850,[2]媒体政策预估表!A:N,MATCH(O6850,[2]媒体政策预估表!$A$2:$M$2,0),0)</f>
        <v>0</v>
      </c>
      <c r="AF6850" s="6">
        <f t="shared" si="1065"/>
        <v>0</v>
      </c>
      <c r="AG6850" s="14">
        <v>0</v>
      </c>
      <c r="AH6850" s="64">
        <f t="shared" si="1064"/>
        <v>0</v>
      </c>
      <c r="AJ6850" s="126" t="e">
        <v>#N/A</v>
      </c>
      <c r="AK6850" s="80">
        <f t="shared" si="1062"/>
        <v>0</v>
      </c>
      <c r="AL6850" s="85"/>
      <c r="AM6850" s="85"/>
    </row>
    <row r="6851" spans="1:39" s="86" customFormat="1" ht="13.25" hidden="1" customHeight="1" x14ac:dyDescent="0.3">
      <c r="A6851" s="89" t="s">
        <v>3978</v>
      </c>
      <c r="B6851" s="86" t="s">
        <v>35</v>
      </c>
      <c r="C6851" s="86" t="s">
        <v>184</v>
      </c>
      <c r="D6851" s="86" t="s">
        <v>54</v>
      </c>
      <c r="E6851" s="86" t="s">
        <v>2667</v>
      </c>
      <c r="F6851" s="86" t="s">
        <v>2667</v>
      </c>
      <c r="G6851" s="86" t="s">
        <v>2667</v>
      </c>
      <c r="H6851" s="143">
        <v>72</v>
      </c>
      <c r="I6851" s="86" t="s">
        <v>2572</v>
      </c>
      <c r="J6851" s="1" t="s">
        <v>3327</v>
      </c>
      <c r="K6851" s="1" t="s">
        <v>3284</v>
      </c>
      <c r="L6851" s="1" t="s">
        <v>35</v>
      </c>
      <c r="M6851" s="86" t="s">
        <v>2668</v>
      </c>
      <c r="O6851" s="47" t="s">
        <v>410</v>
      </c>
      <c r="P6851" s="14" t="s">
        <v>41</v>
      </c>
      <c r="Q6851" s="14">
        <v>0</v>
      </c>
      <c r="R6851" s="143">
        <v>400002015</v>
      </c>
      <c r="S6851" s="47"/>
      <c r="T6851" s="6">
        <v>6846.43</v>
      </c>
      <c r="U6851" s="6"/>
      <c r="V6851" s="6">
        <v>0</v>
      </c>
      <c r="W6851" s="6">
        <f t="shared" si="1066"/>
        <v>6846.43</v>
      </c>
      <c r="X6851" s="6">
        <f t="shared" si="1067"/>
        <v>0</v>
      </c>
      <c r="Y6851" s="13">
        <f t="shared" ref="Y6851:Y6914" si="1070">IF(X6851-AD6851&lt;=0,0,IF(P6851="返现",MAX(X6851-AC6851-AD6851,0),MAX(X6851-AD6851)))</f>
        <v>0</v>
      </c>
      <c r="Z6851" s="14">
        <v>0.02</v>
      </c>
      <c r="AA6851" s="6">
        <f>X6851*Z6851</f>
        <v>0</v>
      </c>
      <c r="AB6851" s="4">
        <f t="shared" ref="AB6851:AB6914" si="1071">X6851+AA6851</f>
        <v>0</v>
      </c>
      <c r="AC6851" s="6">
        <f t="shared" si="1069"/>
        <v>0</v>
      </c>
      <c r="AD6851" s="6">
        <f t="shared" si="1063"/>
        <v>0</v>
      </c>
      <c r="AE6851" s="14">
        <f>VLOOKUP(I6851,[2]媒体政策预估表!A:N,MATCH(O6851,[2]媒体政策预估表!$A$2:$M$2,0),0)</f>
        <v>0</v>
      </c>
      <c r="AF6851" s="6">
        <f t="shared" si="1065"/>
        <v>0</v>
      </c>
      <c r="AG6851" s="14">
        <v>0</v>
      </c>
      <c r="AH6851" s="64">
        <f t="shared" si="1064"/>
        <v>0</v>
      </c>
      <c r="AJ6851" s="126" t="e">
        <v>#N/A</v>
      </c>
      <c r="AK6851" s="80">
        <f t="shared" ref="AK6851:AK6914" si="1072">X6851+AA6851-AB6851</f>
        <v>0</v>
      </c>
      <c r="AL6851" s="85"/>
      <c r="AM6851" s="85"/>
    </row>
    <row r="6852" spans="1:39" s="86" customFormat="1" ht="13.25" hidden="1" customHeight="1" x14ac:dyDescent="0.3">
      <c r="A6852" s="89" t="s">
        <v>3792</v>
      </c>
      <c r="B6852" s="86" t="s">
        <v>35</v>
      </c>
      <c r="C6852" s="86" t="s">
        <v>184</v>
      </c>
      <c r="D6852" s="86" t="s">
        <v>54</v>
      </c>
      <c r="E6852" s="86" t="s">
        <v>2330</v>
      </c>
      <c r="F6852" s="86" t="s">
        <v>2330</v>
      </c>
      <c r="G6852" s="86" t="s">
        <v>2330</v>
      </c>
      <c r="H6852" s="143">
        <v>72</v>
      </c>
      <c r="I6852" s="86" t="s">
        <v>2572</v>
      </c>
      <c r="J6852" s="1" t="s">
        <v>3327</v>
      </c>
      <c r="K6852" s="1" t="s">
        <v>3284</v>
      </c>
      <c r="L6852" s="1" t="s">
        <v>35</v>
      </c>
      <c r="M6852" s="86" t="s">
        <v>2331</v>
      </c>
      <c r="O6852" s="47" t="s">
        <v>410</v>
      </c>
      <c r="P6852" s="14" t="s">
        <v>41</v>
      </c>
      <c r="Q6852" s="14">
        <v>0</v>
      </c>
      <c r="R6852" s="143">
        <v>400002786</v>
      </c>
      <c r="S6852" s="47"/>
      <c r="T6852" s="6">
        <v>10000</v>
      </c>
      <c r="U6852" s="6"/>
      <c r="V6852" s="6">
        <v>0</v>
      </c>
      <c r="W6852" s="6">
        <f t="shared" si="1066"/>
        <v>10000</v>
      </c>
      <c r="X6852" s="6">
        <f t="shared" si="1067"/>
        <v>0</v>
      </c>
      <c r="Y6852" s="13">
        <f t="shared" si="1070"/>
        <v>0</v>
      </c>
      <c r="Z6852" s="14">
        <v>0</v>
      </c>
      <c r="AA6852" s="6">
        <v>0</v>
      </c>
      <c r="AB6852" s="4">
        <f t="shared" si="1071"/>
        <v>0</v>
      </c>
      <c r="AC6852" s="6">
        <f t="shared" si="1069"/>
        <v>0</v>
      </c>
      <c r="AD6852" s="6">
        <f t="shared" si="1063"/>
        <v>0</v>
      </c>
      <c r="AE6852" s="14">
        <f>VLOOKUP(I6852,[2]媒体政策预估表!A:N,MATCH(O6852,[2]媒体政策预估表!$A$2:$M$2,0),0)</f>
        <v>0</v>
      </c>
      <c r="AF6852" s="6">
        <f t="shared" si="1065"/>
        <v>0</v>
      </c>
      <c r="AG6852" s="14">
        <v>0</v>
      </c>
      <c r="AH6852" s="64">
        <f t="shared" si="1064"/>
        <v>0</v>
      </c>
      <c r="AJ6852" s="126" t="e">
        <v>#N/A</v>
      </c>
      <c r="AK6852" s="80">
        <f t="shared" si="1072"/>
        <v>0</v>
      </c>
      <c r="AL6852" s="85"/>
      <c r="AM6852" s="85"/>
    </row>
    <row r="6853" spans="1:39" s="86" customFormat="1" ht="13.25" hidden="1" customHeight="1" x14ac:dyDescent="0.3">
      <c r="A6853" s="89" t="s">
        <v>3978</v>
      </c>
      <c r="B6853" s="86" t="s">
        <v>35</v>
      </c>
      <c r="C6853" s="86" t="s">
        <v>184</v>
      </c>
      <c r="D6853" s="86" t="s">
        <v>54</v>
      </c>
      <c r="E6853" s="86" t="s">
        <v>2669</v>
      </c>
      <c r="F6853" s="86" t="s">
        <v>2669</v>
      </c>
      <c r="G6853" s="86" t="s">
        <v>2669</v>
      </c>
      <c r="H6853" s="143">
        <v>72</v>
      </c>
      <c r="I6853" s="86" t="s">
        <v>2572</v>
      </c>
      <c r="J6853" s="1" t="s">
        <v>3327</v>
      </c>
      <c r="K6853" s="1" t="s">
        <v>3284</v>
      </c>
      <c r="L6853" s="1" t="s">
        <v>35</v>
      </c>
      <c r="M6853" s="86" t="s">
        <v>2670</v>
      </c>
      <c r="O6853" s="47" t="s">
        <v>410</v>
      </c>
      <c r="P6853" s="14" t="s">
        <v>41</v>
      </c>
      <c r="Q6853" s="14">
        <v>0</v>
      </c>
      <c r="R6853" s="143">
        <v>600001076</v>
      </c>
      <c r="S6853" s="47"/>
      <c r="T6853" s="6">
        <v>35484</v>
      </c>
      <c r="U6853" s="6"/>
      <c r="V6853" s="6">
        <v>0</v>
      </c>
      <c r="W6853" s="6">
        <f t="shared" si="1066"/>
        <v>35484</v>
      </c>
      <c r="X6853" s="6">
        <f t="shared" si="1067"/>
        <v>0</v>
      </c>
      <c r="Y6853" s="13">
        <f t="shared" si="1070"/>
        <v>0</v>
      </c>
      <c r="Z6853" s="14">
        <v>0</v>
      </c>
      <c r="AA6853" s="6">
        <v>0</v>
      </c>
      <c r="AB6853" s="4">
        <f t="shared" si="1071"/>
        <v>0</v>
      </c>
      <c r="AC6853" s="6">
        <f t="shared" si="1069"/>
        <v>0</v>
      </c>
      <c r="AD6853" s="6">
        <f t="shared" si="1063"/>
        <v>0</v>
      </c>
      <c r="AE6853" s="14">
        <f>VLOOKUP(I6853,[2]媒体政策预估表!A:N,MATCH(O6853,[2]媒体政策预估表!$A$2:$M$2,0),0)</f>
        <v>0</v>
      </c>
      <c r="AF6853" s="6">
        <f t="shared" si="1065"/>
        <v>0</v>
      </c>
      <c r="AG6853" s="14">
        <v>0</v>
      </c>
      <c r="AH6853" s="64">
        <f t="shared" si="1064"/>
        <v>0</v>
      </c>
      <c r="AJ6853" s="126" t="e">
        <v>#N/A</v>
      </c>
      <c r="AK6853" s="80">
        <f t="shared" si="1072"/>
        <v>0</v>
      </c>
      <c r="AL6853" s="85"/>
      <c r="AM6853" s="85"/>
    </row>
    <row r="6854" spans="1:39" s="86" customFormat="1" ht="13.25" hidden="1" customHeight="1" x14ac:dyDescent="0.3">
      <c r="A6854" s="89" t="s">
        <v>3978</v>
      </c>
      <c r="B6854" s="86" t="s">
        <v>35</v>
      </c>
      <c r="C6854" s="86" t="s">
        <v>184</v>
      </c>
      <c r="D6854" s="86" t="s">
        <v>54</v>
      </c>
      <c r="E6854" s="86" t="s">
        <v>2671</v>
      </c>
      <c r="F6854" s="86" t="s">
        <v>2672</v>
      </c>
      <c r="G6854" s="86" t="s">
        <v>2671</v>
      </c>
      <c r="H6854" s="143">
        <v>72</v>
      </c>
      <c r="I6854" s="86" t="s">
        <v>2572</v>
      </c>
      <c r="J6854" s="1" t="s">
        <v>3327</v>
      </c>
      <c r="K6854" s="1" t="s">
        <v>3284</v>
      </c>
      <c r="L6854" s="1" t="s">
        <v>35</v>
      </c>
      <c r="M6854" s="86" t="s">
        <v>2670</v>
      </c>
      <c r="O6854" s="47" t="s">
        <v>410</v>
      </c>
      <c r="P6854" s="14" t="s">
        <v>41</v>
      </c>
      <c r="Q6854" s="14">
        <v>0</v>
      </c>
      <c r="R6854" s="143">
        <v>600001076</v>
      </c>
      <c r="S6854" s="47"/>
      <c r="T6854" s="6">
        <v>400000</v>
      </c>
      <c r="U6854" s="6"/>
      <c r="V6854" s="6">
        <v>0</v>
      </c>
      <c r="W6854" s="6">
        <f t="shared" si="1066"/>
        <v>400000</v>
      </c>
      <c r="X6854" s="6">
        <f t="shared" si="1067"/>
        <v>0</v>
      </c>
      <c r="Y6854" s="13">
        <f t="shared" si="1070"/>
        <v>0</v>
      </c>
      <c r="Z6854" s="14">
        <v>0</v>
      </c>
      <c r="AA6854" s="6">
        <v>0</v>
      </c>
      <c r="AB6854" s="4">
        <f t="shared" si="1071"/>
        <v>0</v>
      </c>
      <c r="AC6854" s="6">
        <f t="shared" si="1069"/>
        <v>0</v>
      </c>
      <c r="AD6854" s="6">
        <f t="shared" si="1063"/>
        <v>0</v>
      </c>
      <c r="AE6854" s="14">
        <f>VLOOKUP(I6854,[2]媒体政策预估表!A:N,MATCH(O6854,[2]媒体政策预估表!$A$2:$M$2,0),0)</f>
        <v>0</v>
      </c>
      <c r="AF6854" s="6">
        <f t="shared" si="1065"/>
        <v>0</v>
      </c>
      <c r="AG6854" s="14">
        <v>0</v>
      </c>
      <c r="AH6854" s="64">
        <f t="shared" si="1064"/>
        <v>0</v>
      </c>
      <c r="AJ6854" s="126" t="e">
        <v>#N/A</v>
      </c>
      <c r="AK6854" s="80">
        <f t="shared" si="1072"/>
        <v>0</v>
      </c>
      <c r="AL6854" s="85"/>
      <c r="AM6854" s="85"/>
    </row>
    <row r="6855" spans="1:39" s="86" customFormat="1" ht="13.25" hidden="1" customHeight="1" x14ac:dyDescent="0.3">
      <c r="A6855" s="89" t="s">
        <v>3792</v>
      </c>
      <c r="B6855" s="86" t="s">
        <v>319</v>
      </c>
      <c r="C6855" s="86" t="s">
        <v>65</v>
      </c>
      <c r="D6855" s="86" t="s">
        <v>66</v>
      </c>
      <c r="E6855" s="86" t="s">
        <v>2673</v>
      </c>
      <c r="F6855" s="86" t="s">
        <v>2674</v>
      </c>
      <c r="G6855" s="86" t="s">
        <v>1020</v>
      </c>
      <c r="H6855" s="143">
        <v>72</v>
      </c>
      <c r="I6855" s="86" t="s">
        <v>2572</v>
      </c>
      <c r="J6855" s="1" t="s">
        <v>3327</v>
      </c>
      <c r="K6855" s="1" t="s">
        <v>3284</v>
      </c>
      <c r="L6855" s="1" t="s">
        <v>35</v>
      </c>
      <c r="M6855" s="86" t="s">
        <v>2675</v>
      </c>
      <c r="O6855" s="47" t="s">
        <v>410</v>
      </c>
      <c r="P6855" s="14" t="s">
        <v>41</v>
      </c>
      <c r="Q6855" s="14">
        <v>0</v>
      </c>
      <c r="R6855" s="143">
        <v>600001168</v>
      </c>
      <c r="S6855" s="47"/>
      <c r="T6855" s="6">
        <v>10</v>
      </c>
      <c r="U6855" s="6"/>
      <c r="V6855" s="6">
        <v>0</v>
      </c>
      <c r="W6855" s="6">
        <f t="shared" si="1066"/>
        <v>10</v>
      </c>
      <c r="X6855" s="6">
        <f t="shared" si="1067"/>
        <v>0</v>
      </c>
      <c r="Y6855" s="13">
        <f t="shared" si="1070"/>
        <v>0</v>
      </c>
      <c r="Z6855" s="14">
        <v>0</v>
      </c>
      <c r="AA6855" s="6">
        <v>0</v>
      </c>
      <c r="AB6855" s="4">
        <f t="shared" si="1071"/>
        <v>0</v>
      </c>
      <c r="AC6855" s="6">
        <f t="shared" si="1069"/>
        <v>0</v>
      </c>
      <c r="AD6855" s="6">
        <f t="shared" si="1063"/>
        <v>0</v>
      </c>
      <c r="AE6855" s="14">
        <f>VLOOKUP(I6855,[2]媒体政策预估表!A:N,MATCH(O6855,[2]媒体政策预估表!$A$2:$M$2,0),0)</f>
        <v>0</v>
      </c>
      <c r="AF6855" s="6">
        <f t="shared" si="1065"/>
        <v>0</v>
      </c>
      <c r="AG6855" s="14">
        <v>0</v>
      </c>
      <c r="AH6855" s="64">
        <f t="shared" si="1064"/>
        <v>0</v>
      </c>
      <c r="AJ6855" s="126" t="e">
        <v>#N/A</v>
      </c>
      <c r="AK6855" s="80">
        <f t="shared" si="1072"/>
        <v>0</v>
      </c>
      <c r="AL6855" s="85"/>
      <c r="AM6855" s="85"/>
    </row>
    <row r="6856" spans="1:39" s="86" customFormat="1" ht="13.25" hidden="1" customHeight="1" x14ac:dyDescent="0.3">
      <c r="A6856" s="89" t="s">
        <v>3978</v>
      </c>
      <c r="B6856" s="86" t="s">
        <v>319</v>
      </c>
      <c r="C6856" s="86" t="s">
        <v>184</v>
      </c>
      <c r="D6856" s="86" t="s">
        <v>54</v>
      </c>
      <c r="E6856" s="86" t="s">
        <v>2676</v>
      </c>
      <c r="F6856" s="86" t="s">
        <v>2677</v>
      </c>
      <c r="G6856" s="86" t="s">
        <v>323</v>
      </c>
      <c r="H6856" s="143">
        <v>72</v>
      </c>
      <c r="I6856" s="86" t="s">
        <v>2572</v>
      </c>
      <c r="J6856" s="1" t="s">
        <v>3327</v>
      </c>
      <c r="K6856" s="1" t="s">
        <v>3284</v>
      </c>
      <c r="L6856" s="1" t="s">
        <v>35</v>
      </c>
      <c r="M6856" s="86" t="s">
        <v>2676</v>
      </c>
      <c r="O6856" s="47" t="s">
        <v>410</v>
      </c>
      <c r="P6856" s="14" t="s">
        <v>41</v>
      </c>
      <c r="Q6856" s="14">
        <v>0</v>
      </c>
      <c r="R6856" s="143">
        <v>600001250</v>
      </c>
      <c r="S6856" s="47"/>
      <c r="T6856" s="6">
        <v>148.93</v>
      </c>
      <c r="U6856" s="6"/>
      <c r="V6856" s="6">
        <v>0</v>
      </c>
      <c r="W6856" s="6">
        <f t="shared" si="1066"/>
        <v>148.93</v>
      </c>
      <c r="X6856" s="6">
        <f t="shared" si="1067"/>
        <v>0</v>
      </c>
      <c r="Y6856" s="13">
        <f t="shared" si="1070"/>
        <v>0</v>
      </c>
      <c r="Z6856" s="14">
        <v>0</v>
      </c>
      <c r="AA6856" s="6">
        <v>0</v>
      </c>
      <c r="AB6856" s="4">
        <f t="shared" si="1071"/>
        <v>0</v>
      </c>
      <c r="AC6856" s="6">
        <f t="shared" si="1069"/>
        <v>0</v>
      </c>
      <c r="AD6856" s="6">
        <f t="shared" si="1063"/>
        <v>0</v>
      </c>
      <c r="AE6856" s="14">
        <f>VLOOKUP(I6856,[2]媒体政策预估表!A:N,MATCH(O6856,[2]媒体政策预估表!$A$2:$M$2,0),0)</f>
        <v>0</v>
      </c>
      <c r="AF6856" s="6">
        <f t="shared" si="1065"/>
        <v>0</v>
      </c>
      <c r="AG6856" s="14">
        <v>0</v>
      </c>
      <c r="AH6856" s="64">
        <f t="shared" si="1064"/>
        <v>0</v>
      </c>
      <c r="AJ6856" s="126" t="e">
        <v>#N/A</v>
      </c>
      <c r="AK6856" s="80">
        <f t="shared" si="1072"/>
        <v>0</v>
      </c>
      <c r="AL6856" s="85"/>
      <c r="AM6856" s="85"/>
    </row>
    <row r="6857" spans="1:39" s="86" customFormat="1" ht="13.25" hidden="1" customHeight="1" x14ac:dyDescent="0.3">
      <c r="A6857" s="89" t="s">
        <v>3792</v>
      </c>
      <c r="B6857" s="86" t="s">
        <v>35</v>
      </c>
      <c r="C6857" s="86" t="s">
        <v>36</v>
      </c>
      <c r="D6857" s="86" t="s">
        <v>185</v>
      </c>
      <c r="E6857" s="86" t="s">
        <v>2409</v>
      </c>
      <c r="F6857" s="86" t="s">
        <v>2682</v>
      </c>
      <c r="G6857" s="86" t="s">
        <v>2409</v>
      </c>
      <c r="H6857" s="144">
        <v>301</v>
      </c>
      <c r="I6857" s="86" t="s">
        <v>2680</v>
      </c>
      <c r="J6857" s="1" t="s">
        <v>3323</v>
      </c>
      <c r="K6857" s="1" t="s">
        <v>3285</v>
      </c>
      <c r="L6857" s="1" t="s">
        <v>35</v>
      </c>
      <c r="M6857" s="86" t="s">
        <v>3986</v>
      </c>
      <c r="O6857" s="47" t="s">
        <v>45</v>
      </c>
      <c r="P6857" s="47" t="s">
        <v>46</v>
      </c>
      <c r="Q6857" s="14">
        <v>0.15</v>
      </c>
      <c r="R6857" s="143">
        <v>44483</v>
      </c>
      <c r="S6857" s="47"/>
      <c r="T6857" s="6">
        <v>0</v>
      </c>
      <c r="U6857" s="6">
        <v>146086.95000000001</v>
      </c>
      <c r="V6857" s="6">
        <v>118436.94</v>
      </c>
      <c r="W6857" s="6">
        <f t="shared" si="1066"/>
        <v>27650.010000000009</v>
      </c>
      <c r="X6857" s="6">
        <f t="shared" si="1067"/>
        <v>102988.64347826088</v>
      </c>
      <c r="Y6857" s="13">
        <f t="shared" si="1070"/>
        <v>0</v>
      </c>
      <c r="Z6857" s="14">
        <v>0</v>
      </c>
      <c r="AA6857" s="6">
        <v>0</v>
      </c>
      <c r="AB6857" s="4">
        <f t="shared" si="1071"/>
        <v>102988.64347826088</v>
      </c>
      <c r="AC6857" s="6">
        <f t="shared" si="1069"/>
        <v>15448.296521739117</v>
      </c>
      <c r="AD6857" s="6">
        <v>118436.94</v>
      </c>
      <c r="AE6857" s="14">
        <f>VLOOKUP(I6857,[2]媒体政策预估表!A:N,MATCH(O6857,[2]媒体政策预估表!$A$2:$M$2,0),0)</f>
        <v>0.1</v>
      </c>
      <c r="AF6857" s="6">
        <f t="shared" si="1065"/>
        <v>11843.694000000001</v>
      </c>
      <c r="AG6857" s="14">
        <v>0.15</v>
      </c>
      <c r="AH6857" s="6">
        <f>V6857/(1+AG6857)</f>
        <v>102988.64347826088</v>
      </c>
      <c r="AJ6857" s="126" t="e">
        <v>#N/A</v>
      </c>
      <c r="AK6857" s="80">
        <f t="shared" si="1072"/>
        <v>0</v>
      </c>
      <c r="AL6857" s="85"/>
      <c r="AM6857" s="85"/>
    </row>
    <row r="6858" spans="1:39" s="86" customFormat="1" ht="13.25" hidden="1" customHeight="1" x14ac:dyDescent="0.3">
      <c r="A6858" s="89" t="s">
        <v>3978</v>
      </c>
      <c r="B6858" s="86" t="s">
        <v>35</v>
      </c>
      <c r="C6858" s="86" t="s">
        <v>36</v>
      </c>
      <c r="D6858" s="86" t="s">
        <v>185</v>
      </c>
      <c r="E6858" s="86" t="s">
        <v>2409</v>
      </c>
      <c r="F6858" s="86" t="s">
        <v>2682</v>
      </c>
      <c r="G6858" s="86" t="s">
        <v>2409</v>
      </c>
      <c r="H6858" s="144">
        <v>301</v>
      </c>
      <c r="I6858" s="86" t="s">
        <v>2680</v>
      </c>
      <c r="J6858" s="1" t="s">
        <v>3323</v>
      </c>
      <c r="K6858" s="1" t="s">
        <v>3285</v>
      </c>
      <c r="L6858" s="1" t="s">
        <v>35</v>
      </c>
      <c r="M6858" s="86" t="s">
        <v>3987</v>
      </c>
      <c r="O6858" s="47" t="s">
        <v>45</v>
      </c>
      <c r="P6858" s="47" t="s">
        <v>46</v>
      </c>
      <c r="Q6858" s="14">
        <v>0.15</v>
      </c>
      <c r="R6858" s="143">
        <v>45662</v>
      </c>
      <c r="S6858" s="47"/>
      <c r="T6858" s="6">
        <v>0</v>
      </c>
      <c r="U6858" s="6">
        <v>10000</v>
      </c>
      <c r="V6858" s="6">
        <v>1000.08</v>
      </c>
      <c r="W6858" s="6">
        <f t="shared" si="1066"/>
        <v>8999.92</v>
      </c>
      <c r="X6858" s="6">
        <f t="shared" si="1067"/>
        <v>869.63478260869579</v>
      </c>
      <c r="Y6858" s="13">
        <f t="shared" si="1070"/>
        <v>0</v>
      </c>
      <c r="Z6858" s="14">
        <v>0</v>
      </c>
      <c r="AA6858" s="6">
        <v>0</v>
      </c>
      <c r="AB6858" s="4">
        <f t="shared" si="1071"/>
        <v>869.63478260869579</v>
      </c>
      <c r="AC6858" s="6">
        <f t="shared" si="1069"/>
        <v>130.44521739130425</v>
      </c>
      <c r="AD6858" s="6">
        <v>1000.08</v>
      </c>
      <c r="AE6858" s="14">
        <f>VLOOKUP(I6858,[2]媒体政策预估表!A:N,MATCH(O6858,[2]媒体政策预估表!$A$2:$M$2,0),0)</f>
        <v>0.1</v>
      </c>
      <c r="AF6858" s="6">
        <f t="shared" si="1065"/>
        <v>100.00800000000001</v>
      </c>
      <c r="AG6858" s="14">
        <v>0.15</v>
      </c>
      <c r="AH6858" s="6">
        <f t="shared" ref="AH6858:AH6879" si="1073">V6858/(1+AG6858)</f>
        <v>869.63478260869579</v>
      </c>
      <c r="AJ6858" s="126" t="e">
        <v>#N/A</v>
      </c>
      <c r="AK6858" s="80">
        <f t="shared" si="1072"/>
        <v>0</v>
      </c>
      <c r="AL6858" s="85"/>
      <c r="AM6858" s="85"/>
    </row>
    <row r="6859" spans="1:39" s="86" customFormat="1" ht="13.25" hidden="1" customHeight="1" x14ac:dyDescent="0.3">
      <c r="A6859" s="89" t="s">
        <v>3792</v>
      </c>
      <c r="B6859" s="86" t="s">
        <v>35</v>
      </c>
      <c r="C6859" s="86" t="s">
        <v>36</v>
      </c>
      <c r="D6859" s="86" t="s">
        <v>185</v>
      </c>
      <c r="E6859" s="86" t="s">
        <v>2409</v>
      </c>
      <c r="F6859" s="86" t="s">
        <v>2682</v>
      </c>
      <c r="G6859" s="86" t="s">
        <v>2409</v>
      </c>
      <c r="H6859" s="144">
        <v>301</v>
      </c>
      <c r="I6859" s="86" t="s">
        <v>2680</v>
      </c>
      <c r="J6859" s="1" t="s">
        <v>3323</v>
      </c>
      <c r="K6859" s="1" t="s">
        <v>3285</v>
      </c>
      <c r="L6859" s="1" t="s">
        <v>35</v>
      </c>
      <c r="M6859" s="86" t="s">
        <v>3988</v>
      </c>
      <c r="O6859" s="47" t="s">
        <v>45</v>
      </c>
      <c r="P6859" s="47" t="s">
        <v>46</v>
      </c>
      <c r="Q6859" s="14">
        <v>0.15</v>
      </c>
      <c r="R6859" s="143">
        <v>41208</v>
      </c>
      <c r="S6859" s="47"/>
      <c r="T6859" s="6">
        <v>0</v>
      </c>
      <c r="U6859" s="6">
        <v>100000</v>
      </c>
      <c r="V6859" s="6">
        <v>68315.27</v>
      </c>
      <c r="W6859" s="6">
        <f t="shared" si="1066"/>
        <v>31684.729999999996</v>
      </c>
      <c r="X6859" s="6">
        <f t="shared" si="1067"/>
        <v>59404.582608695659</v>
      </c>
      <c r="Y6859" s="13">
        <f t="shared" si="1070"/>
        <v>0</v>
      </c>
      <c r="Z6859" s="14">
        <v>0</v>
      </c>
      <c r="AA6859" s="6">
        <v>0</v>
      </c>
      <c r="AB6859" s="4">
        <f t="shared" si="1071"/>
        <v>59404.582608695659</v>
      </c>
      <c r="AC6859" s="6">
        <f t="shared" si="1069"/>
        <v>8910.6873913043455</v>
      </c>
      <c r="AD6859" s="6">
        <v>68315.27</v>
      </c>
      <c r="AE6859" s="14">
        <f>VLOOKUP(I6859,[2]媒体政策预估表!A:N,MATCH(O6859,[2]媒体政策预估表!$A$2:$M$2,0),0)</f>
        <v>0.1</v>
      </c>
      <c r="AF6859" s="6">
        <f t="shared" si="1065"/>
        <v>6831.527000000001</v>
      </c>
      <c r="AG6859" s="14">
        <v>0.15</v>
      </c>
      <c r="AH6859" s="6">
        <f t="shared" si="1073"/>
        <v>59404.582608695659</v>
      </c>
      <c r="AJ6859" s="126" t="e">
        <v>#N/A</v>
      </c>
      <c r="AK6859" s="80">
        <f t="shared" si="1072"/>
        <v>0</v>
      </c>
      <c r="AL6859" s="85"/>
      <c r="AM6859" s="85"/>
    </row>
    <row r="6860" spans="1:39" s="86" customFormat="1" ht="13.25" hidden="1" customHeight="1" x14ac:dyDescent="0.3">
      <c r="A6860" s="89" t="s">
        <v>3792</v>
      </c>
      <c r="B6860" s="86" t="s">
        <v>35</v>
      </c>
      <c r="C6860" s="86" t="s">
        <v>36</v>
      </c>
      <c r="D6860" s="86" t="s">
        <v>185</v>
      </c>
      <c r="E6860" s="86" t="s">
        <v>2409</v>
      </c>
      <c r="F6860" s="86" t="s">
        <v>2682</v>
      </c>
      <c r="G6860" s="86" t="s">
        <v>2409</v>
      </c>
      <c r="H6860" s="144">
        <v>301</v>
      </c>
      <c r="I6860" s="86" t="s">
        <v>2680</v>
      </c>
      <c r="J6860" s="1" t="s">
        <v>3323</v>
      </c>
      <c r="K6860" s="1" t="s">
        <v>3285</v>
      </c>
      <c r="L6860" s="1" t="s">
        <v>35</v>
      </c>
      <c r="M6860" s="86" t="s">
        <v>3989</v>
      </c>
      <c r="O6860" s="47" t="s">
        <v>45</v>
      </c>
      <c r="P6860" s="47" t="s">
        <v>46</v>
      </c>
      <c r="Q6860" s="14">
        <v>0.15</v>
      </c>
      <c r="R6860" s="143">
        <v>44754</v>
      </c>
      <c r="S6860" s="47"/>
      <c r="T6860" s="6">
        <v>0</v>
      </c>
      <c r="U6860" s="6">
        <v>150000</v>
      </c>
      <c r="V6860" s="6">
        <v>45608</v>
      </c>
      <c r="W6860" s="6">
        <f t="shared" si="1066"/>
        <v>104392</v>
      </c>
      <c r="X6860" s="6">
        <f t="shared" si="1067"/>
        <v>39659.130434782615</v>
      </c>
      <c r="Y6860" s="13">
        <f t="shared" si="1070"/>
        <v>0</v>
      </c>
      <c r="Z6860" s="14">
        <v>0</v>
      </c>
      <c r="AA6860" s="6">
        <v>0</v>
      </c>
      <c r="AB6860" s="4">
        <f t="shared" si="1071"/>
        <v>39659.130434782615</v>
      </c>
      <c r="AC6860" s="6">
        <f t="shared" si="1069"/>
        <v>5948.8695652173847</v>
      </c>
      <c r="AD6860" s="6">
        <v>45608</v>
      </c>
      <c r="AE6860" s="14">
        <f>VLOOKUP(I6860,[2]媒体政策预估表!A:N,MATCH(O6860,[2]媒体政策预估表!$A$2:$M$2,0),0)</f>
        <v>0.1</v>
      </c>
      <c r="AF6860" s="6">
        <f t="shared" si="1065"/>
        <v>4560.8</v>
      </c>
      <c r="AG6860" s="14">
        <v>0.15</v>
      </c>
      <c r="AH6860" s="6">
        <f t="shared" si="1073"/>
        <v>39659.130434782615</v>
      </c>
      <c r="AJ6860" s="126" t="e">
        <v>#N/A</v>
      </c>
      <c r="AK6860" s="80">
        <f t="shared" si="1072"/>
        <v>0</v>
      </c>
      <c r="AL6860" s="85"/>
      <c r="AM6860" s="85"/>
    </row>
    <row r="6861" spans="1:39" s="86" customFormat="1" ht="13.25" hidden="1" customHeight="1" x14ac:dyDescent="0.3">
      <c r="A6861" s="89" t="s">
        <v>3792</v>
      </c>
      <c r="B6861" s="86" t="s">
        <v>35</v>
      </c>
      <c r="C6861" s="86" t="s">
        <v>36</v>
      </c>
      <c r="D6861" s="86" t="s">
        <v>185</v>
      </c>
      <c r="E6861" s="86" t="s">
        <v>2409</v>
      </c>
      <c r="F6861" s="86" t="s">
        <v>2682</v>
      </c>
      <c r="G6861" s="86" t="s">
        <v>2409</v>
      </c>
      <c r="H6861" s="143">
        <v>301</v>
      </c>
      <c r="I6861" s="86" t="s">
        <v>2680</v>
      </c>
      <c r="J6861" s="1" t="s">
        <v>3323</v>
      </c>
      <c r="K6861" s="1" t="s">
        <v>3285</v>
      </c>
      <c r="L6861" s="1" t="s">
        <v>35</v>
      </c>
      <c r="M6861" s="86" t="s">
        <v>2684</v>
      </c>
      <c r="O6861" s="47" t="s">
        <v>45</v>
      </c>
      <c r="P6861" s="47" t="s">
        <v>46</v>
      </c>
      <c r="Q6861" s="14">
        <v>0.15</v>
      </c>
      <c r="R6861" s="143">
        <v>41245</v>
      </c>
      <c r="S6861" s="47"/>
      <c r="T6861" s="6">
        <v>106144.81999999995</v>
      </c>
      <c r="U6861" s="6">
        <v>-92173.91</v>
      </c>
      <c r="V6861" s="6">
        <v>0</v>
      </c>
      <c r="W6861" s="6">
        <f t="shared" si="1066"/>
        <v>13970.909999999945</v>
      </c>
      <c r="X6861" s="6">
        <f t="shared" si="1067"/>
        <v>0</v>
      </c>
      <c r="Y6861" s="13">
        <f t="shared" si="1070"/>
        <v>0</v>
      </c>
      <c r="Z6861" s="14">
        <v>0</v>
      </c>
      <c r="AA6861" s="6">
        <v>0</v>
      </c>
      <c r="AB6861" s="4">
        <f t="shared" si="1071"/>
        <v>0</v>
      </c>
      <c r="AC6861" s="6">
        <f t="shared" si="1069"/>
        <v>0</v>
      </c>
      <c r="AD6861" s="6">
        <v>0</v>
      </c>
      <c r="AE6861" s="14">
        <f>VLOOKUP(I6861,[2]媒体政策预估表!A:N,MATCH(O6861,[2]媒体政策预估表!$A$2:$M$2,0),0)</f>
        <v>0.1</v>
      </c>
      <c r="AF6861" s="6">
        <f t="shared" si="1065"/>
        <v>0</v>
      </c>
      <c r="AG6861" s="14">
        <v>0.15</v>
      </c>
      <c r="AH6861" s="6">
        <f t="shared" si="1073"/>
        <v>0</v>
      </c>
      <c r="AJ6861" s="126" t="e">
        <v>#N/A</v>
      </c>
      <c r="AK6861" s="80">
        <f t="shared" si="1072"/>
        <v>0</v>
      </c>
      <c r="AL6861" s="85"/>
      <c r="AM6861" s="85"/>
    </row>
    <row r="6862" spans="1:39" s="86" customFormat="1" ht="13.25" hidden="1" customHeight="1" x14ac:dyDescent="0.3">
      <c r="A6862" s="89" t="s">
        <v>3978</v>
      </c>
      <c r="B6862" s="86" t="s">
        <v>35</v>
      </c>
      <c r="C6862" s="86" t="s">
        <v>36</v>
      </c>
      <c r="D6862" s="86" t="s">
        <v>185</v>
      </c>
      <c r="E6862" s="86" t="s">
        <v>2409</v>
      </c>
      <c r="F6862" s="86" t="s">
        <v>2682</v>
      </c>
      <c r="G6862" s="86" t="s">
        <v>2409</v>
      </c>
      <c r="H6862" s="144">
        <v>301</v>
      </c>
      <c r="I6862" s="86" t="s">
        <v>2680</v>
      </c>
      <c r="J6862" s="1" t="s">
        <v>3323</v>
      </c>
      <c r="K6862" s="1" t="s">
        <v>3285</v>
      </c>
      <c r="L6862" s="1" t="s">
        <v>35</v>
      </c>
      <c r="M6862" s="86" t="s">
        <v>3990</v>
      </c>
      <c r="O6862" s="47" t="s">
        <v>45</v>
      </c>
      <c r="P6862" s="47" t="s">
        <v>46</v>
      </c>
      <c r="Q6862" s="14">
        <v>0.15</v>
      </c>
      <c r="R6862" s="143">
        <v>44574</v>
      </c>
      <c r="S6862" s="47"/>
      <c r="T6862" s="6">
        <v>0</v>
      </c>
      <c r="U6862" s="6">
        <v>146086.96</v>
      </c>
      <c r="V6862" s="6">
        <v>96343.74</v>
      </c>
      <c r="W6862" s="6">
        <f t="shared" si="1066"/>
        <v>49743.219999999987</v>
      </c>
      <c r="X6862" s="6">
        <f t="shared" si="1067"/>
        <v>83777.165217391317</v>
      </c>
      <c r="Y6862" s="13">
        <f t="shared" si="1070"/>
        <v>0</v>
      </c>
      <c r="Z6862" s="14">
        <v>0</v>
      </c>
      <c r="AA6862" s="6">
        <v>0</v>
      </c>
      <c r="AB6862" s="4">
        <f t="shared" si="1071"/>
        <v>83777.165217391317</v>
      </c>
      <c r="AC6862" s="6">
        <f t="shared" si="1069"/>
        <v>12566.574782608688</v>
      </c>
      <c r="AD6862" s="6">
        <v>96343.74</v>
      </c>
      <c r="AE6862" s="14">
        <f>VLOOKUP(I6862,[2]媒体政策预估表!A:N,MATCH(O6862,[2]媒体政策预估表!$A$2:$M$2,0),0)</f>
        <v>0.1</v>
      </c>
      <c r="AF6862" s="6">
        <f t="shared" si="1065"/>
        <v>9634.3740000000016</v>
      </c>
      <c r="AG6862" s="14">
        <v>0.15</v>
      </c>
      <c r="AH6862" s="6">
        <f t="shared" si="1073"/>
        <v>83777.165217391317</v>
      </c>
      <c r="AJ6862" s="126" t="e">
        <v>#N/A</v>
      </c>
      <c r="AK6862" s="80">
        <f t="shared" si="1072"/>
        <v>0</v>
      </c>
      <c r="AL6862" s="85"/>
      <c r="AM6862" s="85"/>
    </row>
    <row r="6863" spans="1:39" s="86" customFormat="1" ht="13.25" hidden="1" customHeight="1" x14ac:dyDescent="0.3">
      <c r="A6863" s="89" t="s">
        <v>3978</v>
      </c>
      <c r="B6863" s="86" t="s">
        <v>35</v>
      </c>
      <c r="C6863" s="86" t="s">
        <v>36</v>
      </c>
      <c r="D6863" s="86" t="s">
        <v>185</v>
      </c>
      <c r="E6863" s="86" t="s">
        <v>2418</v>
      </c>
      <c r="F6863" s="86" t="s">
        <v>2685</v>
      </c>
      <c r="G6863" s="86" t="s">
        <v>2418</v>
      </c>
      <c r="H6863" s="143">
        <v>301</v>
      </c>
      <c r="I6863" s="86" t="s">
        <v>2680</v>
      </c>
      <c r="J6863" s="1" t="s">
        <v>3323</v>
      </c>
      <c r="K6863" s="1" t="s">
        <v>3285</v>
      </c>
      <c r="L6863" s="1" t="s">
        <v>35</v>
      </c>
      <c r="M6863" s="86" t="s">
        <v>2420</v>
      </c>
      <c r="O6863" s="47" t="s">
        <v>45</v>
      </c>
      <c r="P6863" s="47" t="s">
        <v>46</v>
      </c>
      <c r="Q6863" s="14">
        <v>0.15</v>
      </c>
      <c r="R6863" s="143">
        <v>30706</v>
      </c>
      <c r="S6863" s="47"/>
      <c r="T6863" s="6">
        <v>577631.91199999966</v>
      </c>
      <c r="U6863" s="6">
        <v>-434782.61</v>
      </c>
      <c r="V6863" s="6">
        <v>0</v>
      </c>
      <c r="W6863" s="6">
        <f t="shared" si="1066"/>
        <v>142849.30199999968</v>
      </c>
      <c r="X6863" s="6">
        <f t="shared" si="1067"/>
        <v>0</v>
      </c>
      <c r="Y6863" s="13">
        <f t="shared" si="1070"/>
        <v>0</v>
      </c>
      <c r="Z6863" s="14">
        <v>0</v>
      </c>
      <c r="AA6863" s="6">
        <v>0</v>
      </c>
      <c r="AB6863" s="4">
        <f t="shared" si="1071"/>
        <v>0</v>
      </c>
      <c r="AC6863" s="6">
        <f t="shared" si="1069"/>
        <v>0</v>
      </c>
      <c r="AD6863" s="6">
        <v>0</v>
      </c>
      <c r="AE6863" s="14">
        <f>VLOOKUP(I6863,[2]媒体政策预估表!A:N,MATCH(O6863,[2]媒体政策预估表!$A$2:$M$2,0),0)</f>
        <v>0.1</v>
      </c>
      <c r="AF6863" s="6">
        <f t="shared" si="1065"/>
        <v>0</v>
      </c>
      <c r="AG6863" s="14">
        <v>0.15</v>
      </c>
      <c r="AH6863" s="6">
        <f t="shared" si="1073"/>
        <v>0</v>
      </c>
      <c r="AJ6863" s="126" t="e">
        <v>#N/A</v>
      </c>
      <c r="AK6863" s="80">
        <f t="shared" si="1072"/>
        <v>0</v>
      </c>
      <c r="AL6863" s="85"/>
      <c r="AM6863" s="85"/>
    </row>
    <row r="6864" spans="1:39" s="86" customFormat="1" ht="13.25" hidden="1" customHeight="1" x14ac:dyDescent="0.3">
      <c r="A6864" s="89" t="s">
        <v>3978</v>
      </c>
      <c r="B6864" s="86" t="s">
        <v>35</v>
      </c>
      <c r="C6864" s="86" t="s">
        <v>65</v>
      </c>
      <c r="D6864" s="86" t="s">
        <v>66</v>
      </c>
      <c r="E6864" s="86" t="s">
        <v>2678</v>
      </c>
      <c r="F6864" s="86" t="s">
        <v>2679</v>
      </c>
      <c r="G6864" s="86" t="s">
        <v>2678</v>
      </c>
      <c r="H6864" s="144">
        <v>301</v>
      </c>
      <c r="I6864" s="86" t="s">
        <v>2680</v>
      </c>
      <c r="J6864" s="1" t="s">
        <v>3323</v>
      </c>
      <c r="K6864" s="1" t="s">
        <v>3285</v>
      </c>
      <c r="L6864" s="1" t="s">
        <v>35</v>
      </c>
      <c r="M6864" s="86" t="s">
        <v>2681</v>
      </c>
      <c r="O6864" s="47" t="s">
        <v>45</v>
      </c>
      <c r="P6864" s="47" t="s">
        <v>46</v>
      </c>
      <c r="Q6864" s="14">
        <v>0.1</v>
      </c>
      <c r="R6864" s="143">
        <v>42254</v>
      </c>
      <c r="S6864" s="47"/>
      <c r="T6864" s="6">
        <v>5999.9984999999997</v>
      </c>
      <c r="U6864" s="6">
        <v>76521.739999999991</v>
      </c>
      <c r="V6864" s="6">
        <v>39769.817999999999</v>
      </c>
      <c r="W6864" s="6">
        <f t="shared" si="1066"/>
        <v>42751.920499999993</v>
      </c>
      <c r="X6864" s="6">
        <f t="shared" si="1067"/>
        <v>36154.379999999997</v>
      </c>
      <c r="Y6864" s="13">
        <f t="shared" si="1070"/>
        <v>4875.7899999999972</v>
      </c>
      <c r="Z6864" s="14">
        <v>0</v>
      </c>
      <c r="AA6864" s="6">
        <v>0</v>
      </c>
      <c r="AB6864" s="4">
        <f t="shared" si="1071"/>
        <v>36154.379999999997</v>
      </c>
      <c r="AC6864" s="6">
        <f t="shared" si="1069"/>
        <v>3615.4380000000019</v>
      </c>
      <c r="AD6864" s="6">
        <v>31278.59</v>
      </c>
      <c r="AE6864" s="14">
        <f>VLOOKUP(I6864,[2]媒体政策预估表!A:N,MATCH(O6864,[2]媒体政策预估表!$A$2:$M$2,0),0)</f>
        <v>0.1</v>
      </c>
      <c r="AF6864" s="6">
        <f t="shared" si="1065"/>
        <v>3127.8590000000004</v>
      </c>
      <c r="AG6864" s="14">
        <v>0.15</v>
      </c>
      <c r="AH6864" s="6">
        <f t="shared" si="1073"/>
        <v>34582.450434782608</v>
      </c>
      <c r="AJ6864" s="126" t="e">
        <v>#N/A</v>
      </c>
      <c r="AK6864" s="80">
        <f t="shared" si="1072"/>
        <v>0</v>
      </c>
      <c r="AL6864" s="85"/>
      <c r="AM6864" s="85"/>
    </row>
    <row r="6865" spans="1:39" s="86" customFormat="1" ht="13.25" hidden="1" customHeight="1" x14ac:dyDescent="0.3">
      <c r="A6865" s="89" t="s">
        <v>3792</v>
      </c>
      <c r="B6865" s="86" t="s">
        <v>35</v>
      </c>
      <c r="C6865" s="86" t="s">
        <v>144</v>
      </c>
      <c r="D6865" s="86" t="s">
        <v>152</v>
      </c>
      <c r="E6865" s="86" t="s">
        <v>159</v>
      </c>
      <c r="F6865" s="86" t="s">
        <v>159</v>
      </c>
      <c r="G6865" s="86" t="s">
        <v>159</v>
      </c>
      <c r="H6865" s="144">
        <v>301</v>
      </c>
      <c r="I6865" s="86" t="s">
        <v>2680</v>
      </c>
      <c r="J6865" s="1" t="s">
        <v>3323</v>
      </c>
      <c r="K6865" s="1" t="s">
        <v>3285</v>
      </c>
      <c r="L6865" s="1" t="s">
        <v>35</v>
      </c>
      <c r="M6865" s="86" t="s">
        <v>159</v>
      </c>
      <c r="O6865" s="47" t="s">
        <v>45</v>
      </c>
      <c r="P6865" s="47" t="s">
        <v>46</v>
      </c>
      <c r="Q6865" s="14">
        <v>0.05</v>
      </c>
      <c r="R6865" s="143">
        <v>43623</v>
      </c>
      <c r="S6865" s="47"/>
      <c r="T6865" s="6">
        <v>11011.534999999996</v>
      </c>
      <c r="U6865" s="6">
        <v>136956.51</v>
      </c>
      <c r="V6865" s="6">
        <v>122517.32</v>
      </c>
      <c r="W6865" s="6">
        <f t="shared" si="1066"/>
        <v>25450.725000000006</v>
      </c>
      <c r="X6865" s="6">
        <f t="shared" si="1067"/>
        <v>116683.1619047619</v>
      </c>
      <c r="Y6865" s="13">
        <f t="shared" si="1070"/>
        <v>0</v>
      </c>
      <c r="Z6865" s="14">
        <v>0</v>
      </c>
      <c r="AA6865" s="6">
        <v>0</v>
      </c>
      <c r="AB6865" s="4">
        <f t="shared" si="1071"/>
        <v>116683.1619047619</v>
      </c>
      <c r="AC6865" s="6">
        <f t="shared" si="1069"/>
        <v>5834.1580952381046</v>
      </c>
      <c r="AD6865" s="6">
        <v>122517.32</v>
      </c>
      <c r="AE6865" s="14">
        <f>VLOOKUP(I6865,[2]媒体政策预估表!A:N,MATCH(O6865,[2]媒体政策预估表!$A$2:$M$2,0),0)</f>
        <v>0.1</v>
      </c>
      <c r="AF6865" s="6">
        <f t="shared" si="1065"/>
        <v>12251.732000000002</v>
      </c>
      <c r="AG6865" s="14">
        <v>0.15</v>
      </c>
      <c r="AH6865" s="6">
        <f t="shared" si="1073"/>
        <v>106536.80000000002</v>
      </c>
      <c r="AJ6865" s="126" t="e">
        <v>#N/A</v>
      </c>
      <c r="AK6865" s="80">
        <f t="shared" si="1072"/>
        <v>0</v>
      </c>
      <c r="AL6865" s="85"/>
      <c r="AM6865" s="85"/>
    </row>
    <row r="6866" spans="1:39" s="86" customFormat="1" ht="13.25" hidden="1" customHeight="1" x14ac:dyDescent="0.3">
      <c r="A6866" s="89" t="s">
        <v>3792</v>
      </c>
      <c r="B6866" s="86" t="s">
        <v>35</v>
      </c>
      <c r="C6866" s="86" t="s">
        <v>36</v>
      </c>
      <c r="D6866" s="86" t="s">
        <v>185</v>
      </c>
      <c r="E6866" s="86" t="s">
        <v>2409</v>
      </c>
      <c r="F6866" s="86" t="s">
        <v>2682</v>
      </c>
      <c r="G6866" s="86" t="s">
        <v>2409</v>
      </c>
      <c r="H6866" s="144">
        <v>301</v>
      </c>
      <c r="I6866" s="86" t="s">
        <v>2680</v>
      </c>
      <c r="J6866" s="1" t="s">
        <v>3323</v>
      </c>
      <c r="K6866" s="1" t="s">
        <v>3285</v>
      </c>
      <c r="L6866" s="1" t="s">
        <v>35</v>
      </c>
      <c r="M6866" s="86" t="s">
        <v>2683</v>
      </c>
      <c r="O6866" s="47" t="s">
        <v>45</v>
      </c>
      <c r="P6866" s="47" t="s">
        <v>46</v>
      </c>
      <c r="Q6866" s="14">
        <v>0.15</v>
      </c>
      <c r="R6866" s="143">
        <v>40388</v>
      </c>
      <c r="S6866" s="47"/>
      <c r="T6866" s="6">
        <v>2125427.7089999998</v>
      </c>
      <c r="U6866" s="6"/>
      <c r="V6866" s="6">
        <v>343433.07</v>
      </c>
      <c r="W6866" s="6">
        <f t="shared" si="1066"/>
        <v>1781994.6389999997</v>
      </c>
      <c r="X6866" s="6">
        <f t="shared" si="1067"/>
        <v>298637.45217391307</v>
      </c>
      <c r="Y6866" s="13">
        <f t="shared" si="1070"/>
        <v>0</v>
      </c>
      <c r="Z6866" s="14">
        <v>0</v>
      </c>
      <c r="AA6866" s="6">
        <v>0</v>
      </c>
      <c r="AB6866" s="4">
        <f t="shared" si="1071"/>
        <v>298637.45217391307</v>
      </c>
      <c r="AC6866" s="6">
        <f t="shared" si="1069"/>
        <v>44795.617826086935</v>
      </c>
      <c r="AD6866" s="6">
        <v>343433.07</v>
      </c>
      <c r="AE6866" s="14">
        <f>VLOOKUP(I6866,[2]媒体政策预估表!A:N,MATCH(O6866,[2]媒体政策预估表!$A$2:$M$2,0),0)</f>
        <v>0.1</v>
      </c>
      <c r="AF6866" s="6">
        <f t="shared" si="1065"/>
        <v>34343.307000000001</v>
      </c>
      <c r="AG6866" s="14">
        <v>0.15</v>
      </c>
      <c r="AH6866" s="6">
        <f t="shared" si="1073"/>
        <v>298637.45217391307</v>
      </c>
      <c r="AJ6866" s="126" t="e">
        <v>#N/A</v>
      </c>
      <c r="AK6866" s="80">
        <f t="shared" si="1072"/>
        <v>0</v>
      </c>
      <c r="AL6866" s="85"/>
      <c r="AM6866" s="85"/>
    </row>
    <row r="6867" spans="1:39" s="86" customFormat="1" ht="13.25" hidden="1" customHeight="1" x14ac:dyDescent="0.3">
      <c r="A6867" s="89" t="s">
        <v>3978</v>
      </c>
      <c r="B6867" s="86" t="s">
        <v>35</v>
      </c>
      <c r="C6867" s="86" t="s">
        <v>65</v>
      </c>
      <c r="D6867" s="86" t="s">
        <v>66</v>
      </c>
      <c r="E6867" s="86" t="s">
        <v>2678</v>
      </c>
      <c r="F6867" s="86" t="s">
        <v>2679</v>
      </c>
      <c r="G6867" s="86" t="s">
        <v>2678</v>
      </c>
      <c r="H6867" s="144">
        <v>301</v>
      </c>
      <c r="I6867" s="86" t="s">
        <v>2680</v>
      </c>
      <c r="J6867" s="1" t="s">
        <v>3323</v>
      </c>
      <c r="K6867" s="1" t="s">
        <v>3285</v>
      </c>
      <c r="L6867" s="1" t="s">
        <v>35</v>
      </c>
      <c r="M6867" s="86" t="s">
        <v>2681</v>
      </c>
      <c r="O6867" s="47" t="s">
        <v>45</v>
      </c>
      <c r="P6867" s="47" t="s">
        <v>41</v>
      </c>
      <c r="Q6867" s="14">
        <v>0</v>
      </c>
      <c r="R6867" s="143">
        <v>42254</v>
      </c>
      <c r="S6867" s="47"/>
      <c r="T6867" s="6">
        <v>7216.6319999999978</v>
      </c>
      <c r="U6867" s="6"/>
      <c r="V6867" s="6">
        <v>7216.6319999999978</v>
      </c>
      <c r="W6867" s="6">
        <f t="shared" si="1066"/>
        <v>0</v>
      </c>
      <c r="X6867" s="6">
        <f t="shared" si="1067"/>
        <v>7216.6319999999978</v>
      </c>
      <c r="Y6867" s="13">
        <f t="shared" si="1070"/>
        <v>7216.6319999999978</v>
      </c>
      <c r="Z6867" s="14">
        <v>0</v>
      </c>
      <c r="AA6867" s="6">
        <v>0</v>
      </c>
      <c r="AB6867" s="4">
        <f t="shared" si="1071"/>
        <v>7216.6319999999978</v>
      </c>
      <c r="AC6867" s="6">
        <f t="shared" si="1069"/>
        <v>0</v>
      </c>
      <c r="AD6867" s="6">
        <v>0</v>
      </c>
      <c r="AE6867" s="14">
        <f>VLOOKUP(I6867,[2]媒体政策预估表!A:N,MATCH(O6867,[2]媒体政策预估表!$A$2:$M$2,0),0)</f>
        <v>0.1</v>
      </c>
      <c r="AF6867" s="6">
        <f t="shared" si="1065"/>
        <v>0</v>
      </c>
      <c r="AG6867" s="14">
        <v>0.15</v>
      </c>
      <c r="AH6867" s="6">
        <f t="shared" si="1073"/>
        <v>6275.3321739130424</v>
      </c>
      <c r="AJ6867" s="126" t="e">
        <v>#N/A</v>
      </c>
      <c r="AK6867" s="80">
        <f t="shared" si="1072"/>
        <v>0</v>
      </c>
      <c r="AL6867" s="85"/>
      <c r="AM6867" s="85"/>
    </row>
    <row r="6868" spans="1:39" s="86" customFormat="1" ht="13.25" hidden="1" customHeight="1" x14ac:dyDescent="0.3">
      <c r="A6868" s="89" t="s">
        <v>3978</v>
      </c>
      <c r="B6868" s="86" t="s">
        <v>35</v>
      </c>
      <c r="C6868" s="86" t="s">
        <v>36</v>
      </c>
      <c r="D6868" s="86" t="s">
        <v>185</v>
      </c>
      <c r="E6868" s="86" t="s">
        <v>2418</v>
      </c>
      <c r="F6868" s="86" t="s">
        <v>2685</v>
      </c>
      <c r="G6868" s="86" t="s">
        <v>2418</v>
      </c>
      <c r="H6868" s="143">
        <v>301</v>
      </c>
      <c r="I6868" s="86" t="s">
        <v>2680</v>
      </c>
      <c r="J6868" s="1" t="s">
        <v>3323</v>
      </c>
      <c r="K6868" s="1" t="s">
        <v>3285</v>
      </c>
      <c r="L6868" s="1" t="s">
        <v>35</v>
      </c>
      <c r="M6868" s="86" t="s">
        <v>2686</v>
      </c>
      <c r="O6868" s="47" t="s">
        <v>45</v>
      </c>
      <c r="P6868" s="47" t="s">
        <v>46</v>
      </c>
      <c r="Q6868" s="14">
        <v>0.15</v>
      </c>
      <c r="R6868" s="143">
        <v>32605</v>
      </c>
      <c r="S6868" s="47"/>
      <c r="T6868" s="6">
        <v>41153.254499999981</v>
      </c>
      <c r="U6868" s="6"/>
      <c r="V6868" s="6">
        <v>0</v>
      </c>
      <c r="W6868" s="6">
        <f t="shared" si="1066"/>
        <v>41153.254499999981</v>
      </c>
      <c r="X6868" s="6">
        <f t="shared" si="1067"/>
        <v>0</v>
      </c>
      <c r="Y6868" s="13">
        <f t="shared" si="1070"/>
        <v>0</v>
      </c>
      <c r="Z6868" s="14">
        <v>0</v>
      </c>
      <c r="AA6868" s="6">
        <v>0</v>
      </c>
      <c r="AB6868" s="4">
        <f t="shared" si="1071"/>
        <v>0</v>
      </c>
      <c r="AC6868" s="6">
        <f t="shared" si="1069"/>
        <v>0</v>
      </c>
      <c r="AD6868" s="6">
        <v>0</v>
      </c>
      <c r="AE6868" s="14">
        <f>VLOOKUP(I6868,[2]媒体政策预估表!A:N,MATCH(O6868,[2]媒体政策预估表!$A$2:$M$2,0),0)</f>
        <v>0.1</v>
      </c>
      <c r="AF6868" s="6">
        <f t="shared" si="1065"/>
        <v>0</v>
      </c>
      <c r="AG6868" s="14">
        <v>0.15</v>
      </c>
      <c r="AH6868" s="6">
        <f t="shared" si="1073"/>
        <v>0</v>
      </c>
      <c r="AJ6868" s="126" t="e">
        <v>#N/A</v>
      </c>
      <c r="AK6868" s="80">
        <f t="shared" si="1072"/>
        <v>0</v>
      </c>
      <c r="AL6868" s="85"/>
      <c r="AM6868" s="85"/>
    </row>
    <row r="6869" spans="1:39" s="86" customFormat="1" ht="13.25" hidden="1" customHeight="1" x14ac:dyDescent="0.3">
      <c r="A6869" s="89" t="s">
        <v>3978</v>
      </c>
      <c r="B6869" s="86" t="s">
        <v>35</v>
      </c>
      <c r="C6869" s="86" t="s">
        <v>36</v>
      </c>
      <c r="D6869" s="86" t="s">
        <v>185</v>
      </c>
      <c r="E6869" s="86" t="s">
        <v>2409</v>
      </c>
      <c r="F6869" s="86" t="s">
        <v>2682</v>
      </c>
      <c r="G6869" s="86" t="s">
        <v>2409</v>
      </c>
      <c r="H6869" s="143">
        <v>301</v>
      </c>
      <c r="I6869" s="86" t="s">
        <v>2680</v>
      </c>
      <c r="J6869" s="1" t="s">
        <v>3323</v>
      </c>
      <c r="K6869" s="1" t="s">
        <v>3285</v>
      </c>
      <c r="L6869" s="1" t="s">
        <v>35</v>
      </c>
      <c r="M6869" s="86" t="s">
        <v>2687</v>
      </c>
      <c r="O6869" s="47" t="s">
        <v>45</v>
      </c>
      <c r="P6869" s="47" t="s">
        <v>46</v>
      </c>
      <c r="Q6869" s="14">
        <v>0.15</v>
      </c>
      <c r="R6869" s="143">
        <v>34670</v>
      </c>
      <c r="S6869" s="47"/>
      <c r="T6869" s="6">
        <v>45000.331500000029</v>
      </c>
      <c r="U6869" s="6"/>
      <c r="V6869" s="6">
        <v>0</v>
      </c>
      <c r="W6869" s="6">
        <f t="shared" si="1066"/>
        <v>45000.331500000029</v>
      </c>
      <c r="X6869" s="6">
        <f t="shared" si="1067"/>
        <v>0</v>
      </c>
      <c r="Y6869" s="13">
        <f t="shared" si="1070"/>
        <v>0</v>
      </c>
      <c r="Z6869" s="14">
        <v>0</v>
      </c>
      <c r="AA6869" s="6">
        <v>0</v>
      </c>
      <c r="AB6869" s="4">
        <f t="shared" si="1071"/>
        <v>0</v>
      </c>
      <c r="AC6869" s="6">
        <f t="shared" si="1069"/>
        <v>0</v>
      </c>
      <c r="AD6869" s="6">
        <v>0</v>
      </c>
      <c r="AE6869" s="14">
        <f>VLOOKUP(I6869,[2]媒体政策预估表!A:N,MATCH(O6869,[2]媒体政策预估表!$A$2:$M$2,0),0)</f>
        <v>0.1</v>
      </c>
      <c r="AF6869" s="6">
        <f t="shared" si="1065"/>
        <v>0</v>
      </c>
      <c r="AG6869" s="14">
        <v>0.15</v>
      </c>
      <c r="AH6869" s="6">
        <f t="shared" si="1073"/>
        <v>0</v>
      </c>
      <c r="AJ6869" s="126" t="e">
        <v>#N/A</v>
      </c>
      <c r="AK6869" s="80">
        <f t="shared" si="1072"/>
        <v>0</v>
      </c>
      <c r="AL6869" s="85"/>
      <c r="AM6869" s="85"/>
    </row>
    <row r="6870" spans="1:39" s="86" customFormat="1" ht="13.25" hidden="1" customHeight="1" x14ac:dyDescent="0.3">
      <c r="A6870" s="89" t="s">
        <v>3978</v>
      </c>
      <c r="B6870" s="86" t="s">
        <v>35</v>
      </c>
      <c r="C6870" s="86" t="s">
        <v>36</v>
      </c>
      <c r="D6870" s="86" t="s">
        <v>185</v>
      </c>
      <c r="E6870" s="86" t="s">
        <v>2409</v>
      </c>
      <c r="F6870" s="86" t="s">
        <v>2682</v>
      </c>
      <c r="G6870" s="86" t="s">
        <v>2409</v>
      </c>
      <c r="H6870" s="143">
        <v>301</v>
      </c>
      <c r="I6870" s="86" t="s">
        <v>2680</v>
      </c>
      <c r="J6870" s="1" t="s">
        <v>3323</v>
      </c>
      <c r="K6870" s="1" t="s">
        <v>3285</v>
      </c>
      <c r="L6870" s="1" t="s">
        <v>35</v>
      </c>
      <c r="M6870" s="86" t="s">
        <v>2688</v>
      </c>
      <c r="O6870" s="47" t="s">
        <v>45</v>
      </c>
      <c r="P6870" s="47" t="s">
        <v>46</v>
      </c>
      <c r="Q6870" s="14">
        <v>0.15</v>
      </c>
      <c r="R6870" s="143">
        <v>39284</v>
      </c>
      <c r="S6870" s="47"/>
      <c r="T6870" s="6">
        <v>-0.48100000011618249</v>
      </c>
      <c r="U6870" s="6"/>
      <c r="V6870" s="6">
        <v>0</v>
      </c>
      <c r="W6870" s="6">
        <f t="shared" si="1066"/>
        <v>-0.48100000011618249</v>
      </c>
      <c r="X6870" s="6">
        <f t="shared" si="1067"/>
        <v>0</v>
      </c>
      <c r="Y6870" s="13">
        <f t="shared" si="1070"/>
        <v>0</v>
      </c>
      <c r="Z6870" s="14">
        <v>0</v>
      </c>
      <c r="AA6870" s="6">
        <v>0</v>
      </c>
      <c r="AB6870" s="4">
        <f t="shared" si="1071"/>
        <v>0</v>
      </c>
      <c r="AC6870" s="6">
        <f t="shared" si="1069"/>
        <v>0</v>
      </c>
      <c r="AD6870" s="6">
        <v>0</v>
      </c>
      <c r="AE6870" s="14">
        <f>VLOOKUP(I6870,[2]媒体政策预估表!A:N,MATCH(O6870,[2]媒体政策预估表!$A$2:$M$2,0),0)</f>
        <v>0.1</v>
      </c>
      <c r="AF6870" s="6">
        <f t="shared" si="1065"/>
        <v>0</v>
      </c>
      <c r="AG6870" s="14">
        <v>0.15</v>
      </c>
      <c r="AH6870" s="6">
        <f t="shared" si="1073"/>
        <v>0</v>
      </c>
      <c r="AJ6870" s="126" t="e">
        <v>#N/A</v>
      </c>
      <c r="AK6870" s="80">
        <f t="shared" si="1072"/>
        <v>0</v>
      </c>
      <c r="AL6870" s="85"/>
      <c r="AM6870" s="85"/>
    </row>
    <row r="6871" spans="1:39" s="86" customFormat="1" ht="13.25" hidden="1" customHeight="1" x14ac:dyDescent="0.3">
      <c r="A6871" s="89" t="s">
        <v>3978</v>
      </c>
      <c r="B6871" s="86" t="s">
        <v>35</v>
      </c>
      <c r="C6871" s="86" t="s">
        <v>144</v>
      </c>
      <c r="D6871" s="86" t="s">
        <v>145</v>
      </c>
      <c r="E6871" s="86" t="s">
        <v>2689</v>
      </c>
      <c r="F6871" s="86" t="s">
        <v>2689</v>
      </c>
      <c r="G6871" s="86" t="s">
        <v>2689</v>
      </c>
      <c r="H6871" s="143">
        <v>301</v>
      </c>
      <c r="I6871" s="86" t="s">
        <v>2680</v>
      </c>
      <c r="J6871" s="1" t="s">
        <v>3323</v>
      </c>
      <c r="K6871" s="1" t="s">
        <v>3285</v>
      </c>
      <c r="L6871" s="1" t="s">
        <v>35</v>
      </c>
      <c r="M6871" s="86" t="s">
        <v>2689</v>
      </c>
      <c r="O6871" s="47" t="s">
        <v>45</v>
      </c>
      <c r="P6871" s="47" t="s">
        <v>46</v>
      </c>
      <c r="Q6871" s="14">
        <v>0.12</v>
      </c>
      <c r="R6871" s="143">
        <v>10656</v>
      </c>
      <c r="S6871" s="47"/>
      <c r="T6871" s="6">
        <v>675.27800000000207</v>
      </c>
      <c r="U6871" s="6"/>
      <c r="V6871" s="6">
        <v>0</v>
      </c>
      <c r="W6871" s="6">
        <f t="shared" si="1066"/>
        <v>675.27800000000207</v>
      </c>
      <c r="X6871" s="6">
        <f t="shared" si="1067"/>
        <v>0</v>
      </c>
      <c r="Y6871" s="13">
        <f t="shared" si="1070"/>
        <v>0</v>
      </c>
      <c r="Z6871" s="14">
        <v>0</v>
      </c>
      <c r="AA6871" s="6">
        <v>0</v>
      </c>
      <c r="AB6871" s="4">
        <f t="shared" si="1071"/>
        <v>0</v>
      </c>
      <c r="AC6871" s="6">
        <f t="shared" si="1069"/>
        <v>0</v>
      </c>
      <c r="AD6871" s="6">
        <v>0</v>
      </c>
      <c r="AE6871" s="14">
        <f>VLOOKUP(I6871,[2]媒体政策预估表!A:N,MATCH(O6871,[2]媒体政策预估表!$A$2:$M$2,0),0)</f>
        <v>0.1</v>
      </c>
      <c r="AF6871" s="6">
        <f t="shared" si="1065"/>
        <v>0</v>
      </c>
      <c r="AG6871" s="14">
        <v>0.15</v>
      </c>
      <c r="AH6871" s="6">
        <f t="shared" si="1073"/>
        <v>0</v>
      </c>
      <c r="AJ6871" s="126" t="e">
        <v>#N/A</v>
      </c>
      <c r="AK6871" s="80">
        <f t="shared" si="1072"/>
        <v>0</v>
      </c>
      <c r="AL6871" s="85"/>
      <c r="AM6871" s="85"/>
    </row>
    <row r="6872" spans="1:39" s="86" customFormat="1" ht="13.25" hidden="1" customHeight="1" x14ac:dyDescent="0.3">
      <c r="A6872" s="89" t="s">
        <v>3792</v>
      </c>
      <c r="B6872" s="86" t="s">
        <v>35</v>
      </c>
      <c r="C6872" s="86" t="s">
        <v>144</v>
      </c>
      <c r="D6872" s="86" t="s">
        <v>145</v>
      </c>
      <c r="E6872" s="86" t="s">
        <v>2689</v>
      </c>
      <c r="F6872" s="86" t="s">
        <v>2689</v>
      </c>
      <c r="G6872" s="86" t="s">
        <v>2689</v>
      </c>
      <c r="H6872" s="143">
        <v>301</v>
      </c>
      <c r="I6872" s="86" t="s">
        <v>2680</v>
      </c>
      <c r="J6872" s="1" t="s">
        <v>3323</v>
      </c>
      <c r="K6872" s="1" t="s">
        <v>3285</v>
      </c>
      <c r="L6872" s="1" t="s">
        <v>35</v>
      </c>
      <c r="M6872" s="86" t="s">
        <v>2689</v>
      </c>
      <c r="O6872" s="47" t="s">
        <v>45</v>
      </c>
      <c r="P6872" s="47" t="s">
        <v>46</v>
      </c>
      <c r="Q6872" s="14">
        <v>0.12</v>
      </c>
      <c r="R6872" s="143">
        <v>40513</v>
      </c>
      <c r="S6872" s="47"/>
      <c r="T6872" s="6">
        <v>13132.321499999998</v>
      </c>
      <c r="U6872" s="6"/>
      <c r="V6872" s="6">
        <v>0</v>
      </c>
      <c r="W6872" s="6">
        <f t="shared" si="1066"/>
        <v>13132.321499999998</v>
      </c>
      <c r="X6872" s="6">
        <f t="shared" si="1067"/>
        <v>0</v>
      </c>
      <c r="Y6872" s="13">
        <f t="shared" si="1070"/>
        <v>0</v>
      </c>
      <c r="Z6872" s="14">
        <v>0</v>
      </c>
      <c r="AA6872" s="6">
        <v>0</v>
      </c>
      <c r="AB6872" s="4">
        <f t="shared" si="1071"/>
        <v>0</v>
      </c>
      <c r="AC6872" s="6">
        <f t="shared" si="1069"/>
        <v>0</v>
      </c>
      <c r="AD6872" s="6">
        <v>0</v>
      </c>
      <c r="AE6872" s="14">
        <f>VLOOKUP(I6872,[2]媒体政策预估表!A:N,MATCH(O6872,[2]媒体政策预估表!$A$2:$M$2,0),0)</f>
        <v>0.1</v>
      </c>
      <c r="AF6872" s="6">
        <f t="shared" si="1065"/>
        <v>0</v>
      </c>
      <c r="AG6872" s="14">
        <v>0.15</v>
      </c>
      <c r="AH6872" s="6">
        <f t="shared" si="1073"/>
        <v>0</v>
      </c>
      <c r="AJ6872" s="126" t="e">
        <v>#N/A</v>
      </c>
      <c r="AK6872" s="80">
        <f t="shared" si="1072"/>
        <v>0</v>
      </c>
      <c r="AL6872" s="85"/>
      <c r="AM6872" s="85"/>
    </row>
    <row r="6873" spans="1:39" s="86" customFormat="1" ht="13.25" hidden="1" customHeight="1" x14ac:dyDescent="0.3">
      <c r="A6873" s="89" t="s">
        <v>3978</v>
      </c>
      <c r="B6873" s="86" t="s">
        <v>35</v>
      </c>
      <c r="C6873" s="86" t="s">
        <v>187</v>
      </c>
      <c r="D6873" s="86" t="s">
        <v>188</v>
      </c>
      <c r="E6873" s="86" t="s">
        <v>2486</v>
      </c>
      <c r="F6873" s="86" t="s">
        <v>2486</v>
      </c>
      <c r="G6873" s="86" t="s">
        <v>2486</v>
      </c>
      <c r="H6873" s="143">
        <v>301</v>
      </c>
      <c r="I6873" s="86" t="s">
        <v>2680</v>
      </c>
      <c r="J6873" s="1" t="s">
        <v>3323</v>
      </c>
      <c r="K6873" s="1" t="s">
        <v>3285</v>
      </c>
      <c r="L6873" s="1" t="s">
        <v>35</v>
      </c>
      <c r="M6873" s="86" t="s">
        <v>2486</v>
      </c>
      <c r="O6873" s="47" t="s">
        <v>45</v>
      </c>
      <c r="P6873" s="47" t="s">
        <v>41</v>
      </c>
      <c r="Q6873" s="14">
        <v>0</v>
      </c>
      <c r="R6873" s="143">
        <v>40608</v>
      </c>
      <c r="S6873" s="47"/>
      <c r="T6873" s="6">
        <v>1.4499999999088686E-2</v>
      </c>
      <c r="U6873" s="6"/>
      <c r="V6873" s="6">
        <v>0</v>
      </c>
      <c r="W6873" s="6">
        <f t="shared" si="1066"/>
        <v>1.4499999999088686E-2</v>
      </c>
      <c r="X6873" s="6">
        <f t="shared" si="1067"/>
        <v>0</v>
      </c>
      <c r="Y6873" s="13">
        <f t="shared" si="1070"/>
        <v>0</v>
      </c>
      <c r="Z6873" s="14">
        <v>0</v>
      </c>
      <c r="AA6873" s="6">
        <v>0</v>
      </c>
      <c r="AB6873" s="4">
        <f t="shared" si="1071"/>
        <v>0</v>
      </c>
      <c r="AC6873" s="6">
        <f t="shared" si="1069"/>
        <v>0</v>
      </c>
      <c r="AD6873" s="6">
        <v>0</v>
      </c>
      <c r="AE6873" s="14">
        <f>VLOOKUP(I6873,[2]媒体政策预估表!A:N,MATCH(O6873,[2]媒体政策预估表!$A$2:$M$2,0),0)</f>
        <v>0.1</v>
      </c>
      <c r="AF6873" s="6">
        <f t="shared" si="1065"/>
        <v>0</v>
      </c>
      <c r="AG6873" s="14">
        <v>0.15</v>
      </c>
      <c r="AH6873" s="6">
        <f t="shared" si="1073"/>
        <v>0</v>
      </c>
      <c r="AJ6873" s="126" t="e">
        <v>#N/A</v>
      </c>
      <c r="AK6873" s="80">
        <f t="shared" si="1072"/>
        <v>0</v>
      </c>
      <c r="AL6873" s="85"/>
      <c r="AM6873" s="85"/>
    </row>
    <row r="6874" spans="1:39" s="86" customFormat="1" ht="13.25" hidden="1" customHeight="1" x14ac:dyDescent="0.3">
      <c r="A6874" s="89" t="s">
        <v>3792</v>
      </c>
      <c r="B6874" s="86" t="s">
        <v>35</v>
      </c>
      <c r="C6874" s="86" t="s">
        <v>187</v>
      </c>
      <c r="D6874" s="86" t="s">
        <v>208</v>
      </c>
      <c r="E6874" s="86" t="s">
        <v>2690</v>
      </c>
      <c r="F6874" s="86" t="s">
        <v>2690</v>
      </c>
      <c r="G6874" s="86" t="s">
        <v>2690</v>
      </c>
      <c r="H6874" s="143">
        <v>301</v>
      </c>
      <c r="I6874" s="86" t="s">
        <v>2680</v>
      </c>
      <c r="J6874" s="1" t="s">
        <v>3323</v>
      </c>
      <c r="K6874" s="1" t="s">
        <v>3285</v>
      </c>
      <c r="L6874" s="1" t="s">
        <v>35</v>
      </c>
      <c r="M6874" s="86" t="s">
        <v>2690</v>
      </c>
      <c r="O6874" s="47" t="s">
        <v>45</v>
      </c>
      <c r="P6874" s="47" t="s">
        <v>46</v>
      </c>
      <c r="Q6874" s="14">
        <v>0.05</v>
      </c>
      <c r="R6874" s="143">
        <v>40061</v>
      </c>
      <c r="S6874" s="47"/>
      <c r="T6874" s="6">
        <v>1.3999999999668944E-2</v>
      </c>
      <c r="U6874" s="6"/>
      <c r="V6874" s="6">
        <v>0</v>
      </c>
      <c r="W6874" s="6">
        <f t="shared" si="1066"/>
        <v>1.3999999999668944E-2</v>
      </c>
      <c r="X6874" s="6">
        <f t="shared" si="1067"/>
        <v>0</v>
      </c>
      <c r="Y6874" s="13">
        <f t="shared" si="1070"/>
        <v>0</v>
      </c>
      <c r="Z6874" s="14">
        <v>0</v>
      </c>
      <c r="AA6874" s="6">
        <v>0</v>
      </c>
      <c r="AB6874" s="4">
        <f t="shared" si="1071"/>
        <v>0</v>
      </c>
      <c r="AC6874" s="6">
        <f t="shared" si="1069"/>
        <v>0</v>
      </c>
      <c r="AD6874" s="6">
        <v>0</v>
      </c>
      <c r="AE6874" s="14">
        <f>VLOOKUP(I6874,[2]媒体政策预估表!A:N,MATCH(O6874,[2]媒体政策预估表!$A$2:$M$2,0),0)</f>
        <v>0.1</v>
      </c>
      <c r="AF6874" s="6">
        <f t="shared" si="1065"/>
        <v>0</v>
      </c>
      <c r="AG6874" s="14">
        <v>0.15</v>
      </c>
      <c r="AH6874" s="6">
        <f t="shared" si="1073"/>
        <v>0</v>
      </c>
      <c r="AJ6874" s="126" t="e">
        <v>#N/A</v>
      </c>
      <c r="AK6874" s="80">
        <f t="shared" si="1072"/>
        <v>0</v>
      </c>
      <c r="AL6874" s="85"/>
      <c r="AM6874" s="85"/>
    </row>
    <row r="6875" spans="1:39" s="86" customFormat="1" ht="13.25" hidden="1" customHeight="1" x14ac:dyDescent="0.3">
      <c r="A6875" s="89" t="s">
        <v>3978</v>
      </c>
      <c r="B6875" s="86" t="s">
        <v>35</v>
      </c>
      <c r="C6875" s="86" t="s">
        <v>36</v>
      </c>
      <c r="D6875" s="86" t="s">
        <v>185</v>
      </c>
      <c r="E6875" s="86" t="s">
        <v>2409</v>
      </c>
      <c r="F6875" s="86" t="s">
        <v>2682</v>
      </c>
      <c r="G6875" s="86" t="s">
        <v>2409</v>
      </c>
      <c r="H6875" s="143">
        <v>301</v>
      </c>
      <c r="I6875" s="86" t="s">
        <v>2680</v>
      </c>
      <c r="J6875" s="1" t="s">
        <v>3323</v>
      </c>
      <c r="K6875" s="1" t="s">
        <v>3285</v>
      </c>
      <c r="L6875" s="1" t="s">
        <v>35</v>
      </c>
      <c r="M6875" s="86" t="s">
        <v>2691</v>
      </c>
      <c r="O6875" s="47" t="s">
        <v>45</v>
      </c>
      <c r="P6875" s="47" t="s">
        <v>46</v>
      </c>
      <c r="Q6875" s="14">
        <v>0.15</v>
      </c>
      <c r="R6875" s="143">
        <v>32604</v>
      </c>
      <c r="S6875" s="47"/>
      <c r="T6875" s="6">
        <v>9.9999999802093953E-3</v>
      </c>
      <c r="U6875" s="6"/>
      <c r="V6875" s="6">
        <v>0</v>
      </c>
      <c r="W6875" s="6">
        <f t="shared" si="1066"/>
        <v>9.9999999802093953E-3</v>
      </c>
      <c r="X6875" s="6">
        <f t="shared" si="1067"/>
        <v>0</v>
      </c>
      <c r="Y6875" s="13">
        <f t="shared" si="1070"/>
        <v>0</v>
      </c>
      <c r="Z6875" s="14">
        <v>0</v>
      </c>
      <c r="AA6875" s="6">
        <v>0</v>
      </c>
      <c r="AB6875" s="4">
        <f t="shared" si="1071"/>
        <v>0</v>
      </c>
      <c r="AC6875" s="6">
        <f t="shared" si="1069"/>
        <v>0</v>
      </c>
      <c r="AD6875" s="6">
        <v>0</v>
      </c>
      <c r="AE6875" s="14">
        <f>VLOOKUP(I6875,[2]媒体政策预估表!A:N,MATCH(O6875,[2]媒体政策预估表!$A$2:$M$2,0),0)</f>
        <v>0.1</v>
      </c>
      <c r="AF6875" s="6">
        <f t="shared" si="1065"/>
        <v>0</v>
      </c>
      <c r="AG6875" s="14">
        <v>0.2</v>
      </c>
      <c r="AH6875" s="6">
        <f t="shared" si="1073"/>
        <v>0</v>
      </c>
      <c r="AJ6875" s="126" t="e">
        <v>#N/A</v>
      </c>
      <c r="AK6875" s="80">
        <f t="shared" si="1072"/>
        <v>0</v>
      </c>
      <c r="AL6875" s="85"/>
      <c r="AM6875" s="85"/>
    </row>
    <row r="6876" spans="1:39" s="86" customFormat="1" ht="13.25" hidden="1" customHeight="1" x14ac:dyDescent="0.3">
      <c r="A6876" s="89" t="s">
        <v>3792</v>
      </c>
      <c r="B6876" s="86" t="s">
        <v>35</v>
      </c>
      <c r="C6876" s="86" t="s">
        <v>144</v>
      </c>
      <c r="D6876" s="86" t="s">
        <v>145</v>
      </c>
      <c r="E6876" s="86" t="s">
        <v>2692</v>
      </c>
      <c r="F6876" s="86" t="s">
        <v>2693</v>
      </c>
      <c r="G6876" s="86" t="s">
        <v>2692</v>
      </c>
      <c r="H6876" s="143">
        <v>301</v>
      </c>
      <c r="I6876" s="86" t="s">
        <v>2680</v>
      </c>
      <c r="J6876" s="1" t="s">
        <v>3323</v>
      </c>
      <c r="K6876" s="1" t="s">
        <v>3285</v>
      </c>
      <c r="L6876" s="1" t="s">
        <v>35</v>
      </c>
      <c r="M6876" s="86" t="s">
        <v>2692</v>
      </c>
      <c r="O6876" s="47" t="s">
        <v>45</v>
      </c>
      <c r="P6876" s="47" t="s">
        <v>46</v>
      </c>
      <c r="Q6876" s="14">
        <v>0.1</v>
      </c>
      <c r="R6876" s="143">
        <v>1595</v>
      </c>
      <c r="S6876" s="47"/>
      <c r="T6876" s="6">
        <v>-128.19200000000077</v>
      </c>
      <c r="U6876" s="6"/>
      <c r="V6876" s="6">
        <v>0</v>
      </c>
      <c r="W6876" s="6">
        <f t="shared" si="1066"/>
        <v>-128.19200000000077</v>
      </c>
      <c r="X6876" s="6">
        <f t="shared" si="1067"/>
        <v>0</v>
      </c>
      <c r="Y6876" s="13">
        <f t="shared" si="1070"/>
        <v>0</v>
      </c>
      <c r="Z6876" s="14">
        <v>0</v>
      </c>
      <c r="AA6876" s="6">
        <v>0</v>
      </c>
      <c r="AB6876" s="4">
        <f t="shared" si="1071"/>
        <v>0</v>
      </c>
      <c r="AC6876" s="6">
        <f t="shared" si="1069"/>
        <v>0</v>
      </c>
      <c r="AD6876" s="6">
        <v>0</v>
      </c>
      <c r="AE6876" s="14">
        <f>VLOOKUP(I6876,[2]媒体政策预估表!A:N,MATCH(O6876,[2]媒体政策预估表!$A$2:$M$2,0),0)</f>
        <v>0.1</v>
      </c>
      <c r="AF6876" s="6">
        <f t="shared" si="1065"/>
        <v>0</v>
      </c>
      <c r="AG6876" s="14">
        <v>0.2</v>
      </c>
      <c r="AH6876" s="6">
        <f t="shared" si="1073"/>
        <v>0</v>
      </c>
      <c r="AJ6876" s="126" t="e">
        <v>#N/A</v>
      </c>
      <c r="AK6876" s="80">
        <f t="shared" si="1072"/>
        <v>0</v>
      </c>
      <c r="AL6876" s="85"/>
      <c r="AM6876" s="85"/>
    </row>
    <row r="6877" spans="1:39" s="86" customFormat="1" ht="13.25" hidden="1" customHeight="1" x14ac:dyDescent="0.3">
      <c r="A6877" s="89" t="s">
        <v>3978</v>
      </c>
      <c r="B6877" s="86" t="s">
        <v>35</v>
      </c>
      <c r="C6877" s="86" t="s">
        <v>144</v>
      </c>
      <c r="D6877" s="86" t="s">
        <v>145</v>
      </c>
      <c r="E6877" s="86" t="s">
        <v>2692</v>
      </c>
      <c r="F6877" s="86" t="s">
        <v>2693</v>
      </c>
      <c r="G6877" s="86" t="s">
        <v>2692</v>
      </c>
      <c r="H6877" s="143">
        <v>301</v>
      </c>
      <c r="I6877" s="86" t="s">
        <v>2680</v>
      </c>
      <c r="J6877" s="1" t="s">
        <v>3323</v>
      </c>
      <c r="K6877" s="1" t="s">
        <v>3285</v>
      </c>
      <c r="L6877" s="1" t="s">
        <v>35</v>
      </c>
      <c r="M6877" s="86" t="s">
        <v>2692</v>
      </c>
      <c r="O6877" s="47" t="s">
        <v>45</v>
      </c>
      <c r="P6877" s="47" t="s">
        <v>46</v>
      </c>
      <c r="Q6877" s="14">
        <v>0.1</v>
      </c>
      <c r="R6877" s="143">
        <v>3647</v>
      </c>
      <c r="S6877" s="47"/>
      <c r="T6877" s="6">
        <v>-0.314</v>
      </c>
      <c r="U6877" s="6"/>
      <c r="V6877" s="6">
        <v>0</v>
      </c>
      <c r="W6877" s="6">
        <f t="shared" si="1066"/>
        <v>-0.314</v>
      </c>
      <c r="X6877" s="6">
        <f t="shared" si="1067"/>
        <v>0</v>
      </c>
      <c r="Y6877" s="13">
        <f t="shared" si="1070"/>
        <v>0</v>
      </c>
      <c r="Z6877" s="14">
        <v>0</v>
      </c>
      <c r="AA6877" s="6">
        <v>0</v>
      </c>
      <c r="AB6877" s="4">
        <f t="shared" si="1071"/>
        <v>0</v>
      </c>
      <c r="AC6877" s="6">
        <f t="shared" si="1069"/>
        <v>0</v>
      </c>
      <c r="AD6877" s="6">
        <v>0</v>
      </c>
      <c r="AE6877" s="14">
        <f>VLOOKUP(I6877,[2]媒体政策预估表!A:N,MATCH(O6877,[2]媒体政策预估表!$A$2:$M$2,0),0)</f>
        <v>0.1</v>
      </c>
      <c r="AF6877" s="6">
        <f t="shared" si="1065"/>
        <v>0</v>
      </c>
      <c r="AG6877" s="14">
        <v>0.2</v>
      </c>
      <c r="AH6877" s="6">
        <f t="shared" si="1073"/>
        <v>0</v>
      </c>
      <c r="AJ6877" s="126" t="e">
        <v>#N/A</v>
      </c>
      <c r="AK6877" s="80">
        <f t="shared" si="1072"/>
        <v>0</v>
      </c>
      <c r="AL6877" s="85"/>
      <c r="AM6877" s="85"/>
    </row>
    <row r="6878" spans="1:39" s="86" customFormat="1" ht="13.25" hidden="1" customHeight="1" x14ac:dyDescent="0.3">
      <c r="A6878" s="89" t="s">
        <v>3978</v>
      </c>
      <c r="B6878" s="86" t="s">
        <v>35</v>
      </c>
      <c r="C6878" s="86" t="s">
        <v>47</v>
      </c>
      <c r="D6878" s="86" t="s">
        <v>63</v>
      </c>
      <c r="E6878" s="86" t="s">
        <v>2388</v>
      </c>
      <c r="F6878" s="86" t="s">
        <v>2388</v>
      </c>
      <c r="G6878" s="86" t="s">
        <v>2388</v>
      </c>
      <c r="H6878" s="143">
        <v>301</v>
      </c>
      <c r="I6878" s="86" t="s">
        <v>2680</v>
      </c>
      <c r="J6878" s="1" t="s">
        <v>3323</v>
      </c>
      <c r="K6878" s="1" t="s">
        <v>3285</v>
      </c>
      <c r="L6878" s="1" t="s">
        <v>35</v>
      </c>
      <c r="M6878" s="86" t="s">
        <v>2694</v>
      </c>
      <c r="O6878" s="47" t="s">
        <v>45</v>
      </c>
      <c r="P6878" s="47" t="s">
        <v>46</v>
      </c>
      <c r="Q6878" s="14">
        <v>0.15</v>
      </c>
      <c r="R6878" s="143">
        <v>37533</v>
      </c>
      <c r="S6878" s="47"/>
      <c r="T6878" s="6">
        <v>8125.5360000000001</v>
      </c>
      <c r="U6878" s="6"/>
      <c r="V6878" s="6">
        <v>0</v>
      </c>
      <c r="W6878" s="6">
        <f t="shared" si="1066"/>
        <v>8125.5360000000001</v>
      </c>
      <c r="X6878" s="6">
        <f t="shared" si="1067"/>
        <v>0</v>
      </c>
      <c r="Y6878" s="13">
        <f t="shared" si="1070"/>
        <v>0</v>
      </c>
      <c r="Z6878" s="14">
        <v>0</v>
      </c>
      <c r="AA6878" s="6">
        <v>0</v>
      </c>
      <c r="AB6878" s="4">
        <f t="shared" si="1071"/>
        <v>0</v>
      </c>
      <c r="AC6878" s="6">
        <f t="shared" si="1069"/>
        <v>0</v>
      </c>
      <c r="AD6878" s="6">
        <v>0</v>
      </c>
      <c r="AE6878" s="14">
        <f>VLOOKUP(I6878,[2]媒体政策预估表!A:N,MATCH(O6878,[2]媒体政策预估表!$A$2:$M$2,0),0)</f>
        <v>0.1</v>
      </c>
      <c r="AF6878" s="6">
        <f t="shared" si="1065"/>
        <v>0</v>
      </c>
      <c r="AG6878" s="14">
        <v>0.2</v>
      </c>
      <c r="AH6878" s="6">
        <f t="shared" si="1073"/>
        <v>0</v>
      </c>
      <c r="AJ6878" s="126" t="e">
        <v>#N/A</v>
      </c>
      <c r="AK6878" s="80">
        <f t="shared" si="1072"/>
        <v>0</v>
      </c>
      <c r="AL6878" s="85"/>
      <c r="AM6878" s="85"/>
    </row>
    <row r="6879" spans="1:39" s="86" customFormat="1" ht="13.25" hidden="1" customHeight="1" x14ac:dyDescent="0.3">
      <c r="A6879" s="89" t="s">
        <v>3978</v>
      </c>
      <c r="B6879" s="86" t="s">
        <v>35</v>
      </c>
      <c r="C6879" s="86" t="s">
        <v>47</v>
      </c>
      <c r="D6879" s="86" t="s">
        <v>63</v>
      </c>
      <c r="E6879" s="86" t="s">
        <v>2388</v>
      </c>
      <c r="F6879" s="86" t="s">
        <v>2388</v>
      </c>
      <c r="G6879" s="86" t="s">
        <v>2388</v>
      </c>
      <c r="H6879" s="143">
        <v>301</v>
      </c>
      <c r="I6879" s="86" t="s">
        <v>2680</v>
      </c>
      <c r="J6879" s="1" t="s">
        <v>3323</v>
      </c>
      <c r="K6879" s="1" t="s">
        <v>3285</v>
      </c>
      <c r="L6879" s="1" t="s">
        <v>35</v>
      </c>
      <c r="M6879" s="86" t="s">
        <v>2694</v>
      </c>
      <c r="O6879" s="47" t="s">
        <v>45</v>
      </c>
      <c r="P6879" s="47" t="s">
        <v>46</v>
      </c>
      <c r="Q6879" s="14">
        <v>0.15</v>
      </c>
      <c r="R6879" s="143">
        <v>38068</v>
      </c>
      <c r="S6879" s="47"/>
      <c r="T6879" s="6">
        <v>57026.803999999996</v>
      </c>
      <c r="U6879" s="6"/>
      <c r="V6879" s="6">
        <v>0</v>
      </c>
      <c r="W6879" s="6">
        <f t="shared" si="1066"/>
        <v>57026.803999999996</v>
      </c>
      <c r="X6879" s="6">
        <f t="shared" si="1067"/>
        <v>0</v>
      </c>
      <c r="Y6879" s="13">
        <f t="shared" si="1070"/>
        <v>0</v>
      </c>
      <c r="Z6879" s="14">
        <v>0</v>
      </c>
      <c r="AA6879" s="6">
        <v>0</v>
      </c>
      <c r="AB6879" s="4">
        <f t="shared" si="1071"/>
        <v>0</v>
      </c>
      <c r="AC6879" s="6">
        <f t="shared" si="1069"/>
        <v>0</v>
      </c>
      <c r="AD6879" s="6">
        <v>0</v>
      </c>
      <c r="AE6879" s="14">
        <f>VLOOKUP(I6879,[2]媒体政策预估表!A:N,MATCH(O6879,[2]媒体政策预估表!$A$2:$M$2,0),0)</f>
        <v>0.1</v>
      </c>
      <c r="AF6879" s="6">
        <f t="shared" si="1065"/>
        <v>0</v>
      </c>
      <c r="AG6879" s="14">
        <v>0.2</v>
      </c>
      <c r="AH6879" s="6">
        <f t="shared" si="1073"/>
        <v>0</v>
      </c>
      <c r="AJ6879" s="126" t="e">
        <v>#N/A</v>
      </c>
      <c r="AK6879" s="80">
        <f t="shared" si="1072"/>
        <v>0</v>
      </c>
      <c r="AL6879" s="85"/>
      <c r="AM6879" s="85"/>
    </row>
    <row r="6880" spans="1:39" s="86" customFormat="1" ht="13.25" hidden="1" customHeight="1" x14ac:dyDescent="0.3">
      <c r="A6880" s="89" t="s">
        <v>3792</v>
      </c>
      <c r="B6880" s="86" t="s">
        <v>35</v>
      </c>
      <c r="C6880" s="86" t="s">
        <v>36</v>
      </c>
      <c r="D6880" s="86" t="s">
        <v>185</v>
      </c>
      <c r="E6880" s="86" t="s">
        <v>2695</v>
      </c>
      <c r="F6880" s="86" t="s">
        <v>2696</v>
      </c>
      <c r="G6880" s="86" t="s">
        <v>1845</v>
      </c>
      <c r="H6880" s="144">
        <v>83</v>
      </c>
      <c r="I6880" s="86" t="s">
        <v>78</v>
      </c>
      <c r="J6880" s="1" t="s">
        <v>3303</v>
      </c>
      <c r="K6880" s="1" t="s">
        <v>3763</v>
      </c>
      <c r="L6880" s="1" t="s">
        <v>701</v>
      </c>
      <c r="M6880" s="86" t="s">
        <v>2865</v>
      </c>
      <c r="O6880" s="47" t="s">
        <v>410</v>
      </c>
      <c r="P6880" s="47" t="s">
        <v>41</v>
      </c>
      <c r="Q6880" s="14">
        <v>0</v>
      </c>
      <c r="R6880" s="143">
        <v>7523</v>
      </c>
      <c r="S6880" s="47"/>
      <c r="T6880" s="6">
        <v>41905.920000000027</v>
      </c>
      <c r="U6880" s="6">
        <v>100000</v>
      </c>
      <c r="V6880" s="6">
        <v>74457.89</v>
      </c>
      <c r="W6880" s="6">
        <f t="shared" si="1066"/>
        <v>67448.030000000042</v>
      </c>
      <c r="X6880" s="6">
        <f t="shared" si="1067"/>
        <v>74457.89</v>
      </c>
      <c r="Y6880" s="13">
        <f t="shared" si="1070"/>
        <v>0</v>
      </c>
      <c r="Z6880" s="66">
        <v>0</v>
      </c>
      <c r="AA6880" s="6">
        <v>0</v>
      </c>
      <c r="AB6880" s="4">
        <f t="shared" si="1071"/>
        <v>74457.89</v>
      </c>
      <c r="AC6880" s="6">
        <f t="shared" si="1069"/>
        <v>0</v>
      </c>
      <c r="AD6880" s="6">
        <f>V6880</f>
        <v>74457.89</v>
      </c>
      <c r="AE6880" s="14">
        <f>VLOOKUP(I6880,[2]媒体政策预估表!A:N,MATCH(O6880,[2]媒体政策预估表!$A$2:$M$2,0),0)</f>
        <v>0.1293</v>
      </c>
      <c r="AF6880" s="6">
        <f t="shared" si="1065"/>
        <v>9627.4051770000005</v>
      </c>
      <c r="AG6880" s="14">
        <v>0</v>
      </c>
      <c r="AH6880" s="64">
        <f>V6880</f>
        <v>74457.89</v>
      </c>
      <c r="AJ6880" s="126" t="e">
        <v>#N/A</v>
      </c>
      <c r="AK6880" s="80">
        <f t="shared" si="1072"/>
        <v>0</v>
      </c>
      <c r="AL6880" s="85"/>
      <c r="AM6880" s="85"/>
    </row>
    <row r="6881" spans="1:39" s="86" customFormat="1" ht="13.25" hidden="1" customHeight="1" x14ac:dyDescent="0.3">
      <c r="A6881" s="89" t="s">
        <v>3978</v>
      </c>
      <c r="B6881" s="86" t="s">
        <v>35</v>
      </c>
      <c r="C6881" s="86" t="s">
        <v>36</v>
      </c>
      <c r="D6881" s="86" t="s">
        <v>185</v>
      </c>
      <c r="E6881" s="86" t="s">
        <v>2695</v>
      </c>
      <c r="F6881" s="86" t="s">
        <v>2696</v>
      </c>
      <c r="G6881" s="86" t="s">
        <v>1845</v>
      </c>
      <c r="H6881" s="144">
        <v>83</v>
      </c>
      <c r="I6881" s="86" t="s">
        <v>78</v>
      </c>
      <c r="J6881" s="1" t="s">
        <v>3303</v>
      </c>
      <c r="K6881" s="1" t="s">
        <v>3763</v>
      </c>
      <c r="L6881" s="1" t="s">
        <v>701</v>
      </c>
      <c r="M6881" s="86" t="s">
        <v>2697</v>
      </c>
      <c r="O6881" s="47" t="s">
        <v>410</v>
      </c>
      <c r="P6881" s="47" t="s">
        <v>41</v>
      </c>
      <c r="Q6881" s="14">
        <v>0</v>
      </c>
      <c r="R6881" s="143">
        <v>7170</v>
      </c>
      <c r="S6881" s="47"/>
      <c r="T6881" s="6">
        <v>-6897.0500000000029</v>
      </c>
      <c r="U6881" s="6">
        <v>100000</v>
      </c>
      <c r="V6881" s="6">
        <v>55714.129999999961</v>
      </c>
      <c r="W6881" s="6">
        <f t="shared" si="1066"/>
        <v>37388.820000000036</v>
      </c>
      <c r="X6881" s="6">
        <f t="shared" si="1067"/>
        <v>55714.129999999961</v>
      </c>
      <c r="Y6881" s="13">
        <f t="shared" si="1070"/>
        <v>0</v>
      </c>
      <c r="Z6881" s="66">
        <v>0</v>
      </c>
      <c r="AA6881" s="6">
        <v>0</v>
      </c>
      <c r="AB6881" s="4">
        <f t="shared" si="1071"/>
        <v>55714.129999999961</v>
      </c>
      <c r="AC6881" s="6">
        <f t="shared" si="1069"/>
        <v>0</v>
      </c>
      <c r="AD6881" s="6">
        <f t="shared" ref="AD6881:AD6944" si="1074">V6881</f>
        <v>55714.129999999961</v>
      </c>
      <c r="AE6881" s="14">
        <f>VLOOKUP(I6881,[2]媒体政策预估表!A:N,MATCH(O6881,[2]媒体政策预估表!$A$2:$M$2,0),0)</f>
        <v>0.1293</v>
      </c>
      <c r="AF6881" s="6">
        <f t="shared" si="1065"/>
        <v>7203.8370089999953</v>
      </c>
      <c r="AG6881" s="14">
        <v>0</v>
      </c>
      <c r="AH6881" s="64">
        <f t="shared" ref="AH6881:AH6944" si="1075">V6881</f>
        <v>55714.129999999961</v>
      </c>
      <c r="AJ6881" s="126" t="e">
        <v>#N/A</v>
      </c>
      <c r="AK6881" s="80">
        <f t="shared" si="1072"/>
        <v>0</v>
      </c>
      <c r="AL6881" s="85"/>
      <c r="AM6881" s="85"/>
    </row>
    <row r="6882" spans="1:39" s="86" customFormat="1" ht="13.25" hidden="1" customHeight="1" x14ac:dyDescent="0.3">
      <c r="A6882" s="89" t="s">
        <v>3792</v>
      </c>
      <c r="B6882" s="86" t="s">
        <v>35</v>
      </c>
      <c r="C6882" s="86" t="s">
        <v>36</v>
      </c>
      <c r="D6882" s="86" t="s">
        <v>185</v>
      </c>
      <c r="E6882" s="86" t="s">
        <v>2695</v>
      </c>
      <c r="F6882" s="86" t="s">
        <v>2717</v>
      </c>
      <c r="G6882" s="86" t="s">
        <v>1845</v>
      </c>
      <c r="H6882" s="144">
        <v>83</v>
      </c>
      <c r="I6882" s="86" t="s">
        <v>78</v>
      </c>
      <c r="J6882" s="1" t="s">
        <v>3303</v>
      </c>
      <c r="K6882" s="1" t="s">
        <v>3763</v>
      </c>
      <c r="L6882" s="1" t="s">
        <v>701</v>
      </c>
      <c r="M6882" s="86" t="s">
        <v>2718</v>
      </c>
      <c r="O6882" s="47" t="s">
        <v>410</v>
      </c>
      <c r="P6882" s="47" t="s">
        <v>41</v>
      </c>
      <c r="Q6882" s="14">
        <v>0</v>
      </c>
      <c r="R6882" s="143">
        <v>7095</v>
      </c>
      <c r="S6882" s="47"/>
      <c r="T6882" s="6">
        <v>38367.900000000038</v>
      </c>
      <c r="U6882" s="6">
        <v>50000</v>
      </c>
      <c r="V6882" s="6">
        <v>61636.9</v>
      </c>
      <c r="W6882" s="6">
        <f t="shared" si="1066"/>
        <v>26731.000000000036</v>
      </c>
      <c r="X6882" s="6">
        <f t="shared" si="1067"/>
        <v>61636.9</v>
      </c>
      <c r="Y6882" s="13">
        <f t="shared" si="1070"/>
        <v>0</v>
      </c>
      <c r="Z6882" s="66">
        <v>0</v>
      </c>
      <c r="AA6882" s="6">
        <v>0</v>
      </c>
      <c r="AB6882" s="4">
        <f t="shared" si="1071"/>
        <v>61636.9</v>
      </c>
      <c r="AC6882" s="6">
        <f t="shared" si="1069"/>
        <v>0</v>
      </c>
      <c r="AD6882" s="6">
        <f t="shared" si="1074"/>
        <v>61636.9</v>
      </c>
      <c r="AE6882" s="14">
        <f>VLOOKUP(I6882,[2]媒体政策预估表!A:N,MATCH(O6882,[2]媒体政策预估表!$A$2:$M$2,0),0)</f>
        <v>0.1293</v>
      </c>
      <c r="AF6882" s="6">
        <f t="shared" si="1065"/>
        <v>7969.6511700000001</v>
      </c>
      <c r="AG6882" s="14">
        <v>0</v>
      </c>
      <c r="AH6882" s="64">
        <f t="shared" si="1075"/>
        <v>61636.9</v>
      </c>
      <c r="AJ6882" s="126" t="e">
        <v>#N/A</v>
      </c>
      <c r="AK6882" s="80">
        <f t="shared" si="1072"/>
        <v>0</v>
      </c>
      <c r="AL6882" s="85"/>
      <c r="AM6882" s="85"/>
    </row>
    <row r="6883" spans="1:39" s="86" customFormat="1" ht="13.25" hidden="1" customHeight="1" x14ac:dyDescent="0.3">
      <c r="A6883" s="89" t="s">
        <v>3978</v>
      </c>
      <c r="B6883" s="86" t="s">
        <v>35</v>
      </c>
      <c r="C6883" s="86" t="s">
        <v>36</v>
      </c>
      <c r="D6883" s="86" t="s">
        <v>185</v>
      </c>
      <c r="E6883" s="86" t="s">
        <v>2695</v>
      </c>
      <c r="F6883" s="86" t="s">
        <v>2717</v>
      </c>
      <c r="G6883" s="86" t="s">
        <v>1845</v>
      </c>
      <c r="H6883" s="144">
        <v>83</v>
      </c>
      <c r="I6883" s="86" t="s">
        <v>78</v>
      </c>
      <c r="J6883" s="1" t="s">
        <v>3303</v>
      </c>
      <c r="K6883" s="1" t="s">
        <v>3763</v>
      </c>
      <c r="L6883" s="1" t="s">
        <v>701</v>
      </c>
      <c r="M6883" s="86" t="s">
        <v>2719</v>
      </c>
      <c r="O6883" s="47" t="s">
        <v>410</v>
      </c>
      <c r="P6883" s="47" t="s">
        <v>41</v>
      </c>
      <c r="Q6883" s="14">
        <v>0</v>
      </c>
      <c r="R6883" s="143">
        <v>7103</v>
      </c>
      <c r="S6883" s="47"/>
      <c r="T6883" s="6">
        <v>32840.900000000081</v>
      </c>
      <c r="U6883" s="6">
        <v>644000</v>
      </c>
      <c r="V6883" s="6">
        <v>538046.5</v>
      </c>
      <c r="W6883" s="6">
        <f t="shared" si="1066"/>
        <v>138794.40000000014</v>
      </c>
      <c r="X6883" s="6">
        <f t="shared" si="1067"/>
        <v>538046.5</v>
      </c>
      <c r="Y6883" s="13">
        <f t="shared" si="1070"/>
        <v>0</v>
      </c>
      <c r="Z6883" s="66">
        <v>0</v>
      </c>
      <c r="AA6883" s="6">
        <v>0</v>
      </c>
      <c r="AB6883" s="4">
        <f t="shared" si="1071"/>
        <v>538046.5</v>
      </c>
      <c r="AC6883" s="6">
        <f t="shared" si="1069"/>
        <v>0</v>
      </c>
      <c r="AD6883" s="6">
        <f t="shared" si="1074"/>
        <v>538046.5</v>
      </c>
      <c r="AE6883" s="14">
        <f>VLOOKUP(I6883,[2]媒体政策预估表!A:N,MATCH(O6883,[2]媒体政策预估表!$A$2:$M$2,0),0)</f>
        <v>0.1293</v>
      </c>
      <c r="AF6883" s="6">
        <f t="shared" si="1065"/>
        <v>69569.412450000003</v>
      </c>
      <c r="AG6883" s="14">
        <v>0</v>
      </c>
      <c r="AH6883" s="64">
        <f t="shared" si="1075"/>
        <v>538046.5</v>
      </c>
      <c r="AJ6883" s="126" t="e">
        <v>#N/A</v>
      </c>
      <c r="AK6883" s="80">
        <f t="shared" si="1072"/>
        <v>0</v>
      </c>
      <c r="AL6883" s="85"/>
      <c r="AM6883" s="85"/>
    </row>
    <row r="6884" spans="1:39" s="86" customFormat="1" ht="13.25" hidden="1" customHeight="1" x14ac:dyDescent="0.3">
      <c r="A6884" s="89" t="s">
        <v>3792</v>
      </c>
      <c r="B6884" s="86" t="s">
        <v>35</v>
      </c>
      <c r="C6884" s="86" t="s">
        <v>36</v>
      </c>
      <c r="D6884" s="86" t="s">
        <v>185</v>
      </c>
      <c r="E6884" s="86" t="s">
        <v>2695</v>
      </c>
      <c r="F6884" s="86" t="s">
        <v>2717</v>
      </c>
      <c r="G6884" s="86" t="s">
        <v>1845</v>
      </c>
      <c r="H6884" s="144">
        <v>83</v>
      </c>
      <c r="I6884" s="86" t="s">
        <v>78</v>
      </c>
      <c r="J6884" s="1" t="s">
        <v>3303</v>
      </c>
      <c r="K6884" s="1" t="s">
        <v>3763</v>
      </c>
      <c r="L6884" s="1" t="s">
        <v>701</v>
      </c>
      <c r="M6884" s="86" t="s">
        <v>2720</v>
      </c>
      <c r="O6884" s="47" t="s">
        <v>410</v>
      </c>
      <c r="P6884" s="47" t="s">
        <v>41</v>
      </c>
      <c r="Q6884" s="14">
        <v>0</v>
      </c>
      <c r="R6884" s="143">
        <v>7169</v>
      </c>
      <c r="S6884" s="47"/>
      <c r="T6884" s="6">
        <v>24812.700000000026</v>
      </c>
      <c r="U6884" s="6">
        <v>20000</v>
      </c>
      <c r="V6884" s="6">
        <v>27455.9</v>
      </c>
      <c r="W6884" s="6">
        <f t="shared" si="1066"/>
        <v>17356.800000000025</v>
      </c>
      <c r="X6884" s="6">
        <f t="shared" si="1067"/>
        <v>27455.9</v>
      </c>
      <c r="Y6884" s="13">
        <f t="shared" si="1070"/>
        <v>0</v>
      </c>
      <c r="Z6884" s="66">
        <v>0</v>
      </c>
      <c r="AA6884" s="6">
        <v>0</v>
      </c>
      <c r="AB6884" s="4">
        <f t="shared" si="1071"/>
        <v>27455.9</v>
      </c>
      <c r="AC6884" s="6">
        <f t="shared" si="1069"/>
        <v>0</v>
      </c>
      <c r="AD6884" s="6">
        <f t="shared" si="1074"/>
        <v>27455.9</v>
      </c>
      <c r="AE6884" s="14">
        <f>VLOOKUP(I6884,[2]媒体政策预估表!A:N,MATCH(O6884,[2]媒体政策预估表!$A$2:$M$2,0),0)</f>
        <v>0.1293</v>
      </c>
      <c r="AF6884" s="6">
        <f t="shared" ref="AF6884:AF6947" si="1076">AD6884*AE6884</f>
        <v>3550.0478700000003</v>
      </c>
      <c r="AG6884" s="14">
        <v>0</v>
      </c>
      <c r="AH6884" s="64">
        <f t="shared" si="1075"/>
        <v>27455.9</v>
      </c>
      <c r="AJ6884" s="126" t="e">
        <v>#N/A</v>
      </c>
      <c r="AK6884" s="80">
        <f t="shared" si="1072"/>
        <v>0</v>
      </c>
      <c r="AL6884" s="85"/>
      <c r="AM6884" s="85"/>
    </row>
    <row r="6885" spans="1:39" s="86" customFormat="1" ht="13.25" hidden="1" customHeight="1" x14ac:dyDescent="0.3">
      <c r="A6885" s="89" t="s">
        <v>3792</v>
      </c>
      <c r="B6885" s="86" t="s">
        <v>35</v>
      </c>
      <c r="C6885" s="86" t="s">
        <v>65</v>
      </c>
      <c r="D6885" s="86" t="s">
        <v>66</v>
      </c>
      <c r="E6885" s="86" t="s">
        <v>2354</v>
      </c>
      <c r="F6885" s="86" t="s">
        <v>2700</v>
      </c>
      <c r="G6885" s="86" t="s">
        <v>1845</v>
      </c>
      <c r="H6885" s="144">
        <v>83</v>
      </c>
      <c r="I6885" s="86" t="s">
        <v>78</v>
      </c>
      <c r="J6885" s="1" t="s">
        <v>3303</v>
      </c>
      <c r="K6885" s="1" t="s">
        <v>3763</v>
      </c>
      <c r="L6885" s="1" t="s">
        <v>701</v>
      </c>
      <c r="M6885" s="86" t="s">
        <v>2354</v>
      </c>
      <c r="O6885" s="47" t="s">
        <v>410</v>
      </c>
      <c r="P6885" s="47" t="s">
        <v>41</v>
      </c>
      <c r="Q6885" s="14">
        <v>0</v>
      </c>
      <c r="R6885" s="143">
        <v>7109</v>
      </c>
      <c r="S6885" s="47"/>
      <c r="T6885" s="6">
        <v>14731.910000000011</v>
      </c>
      <c r="U6885" s="6">
        <v>50000</v>
      </c>
      <c r="V6885" s="6">
        <v>36091</v>
      </c>
      <c r="W6885" s="6">
        <f t="shared" si="1066"/>
        <v>28640.910000000011</v>
      </c>
      <c r="X6885" s="6">
        <f t="shared" si="1067"/>
        <v>36091</v>
      </c>
      <c r="Y6885" s="13">
        <f t="shared" si="1070"/>
        <v>0</v>
      </c>
      <c r="Z6885" s="66">
        <v>0</v>
      </c>
      <c r="AA6885" s="6">
        <v>0</v>
      </c>
      <c r="AB6885" s="4">
        <f t="shared" si="1071"/>
        <v>36091</v>
      </c>
      <c r="AC6885" s="6">
        <f t="shared" si="1069"/>
        <v>0</v>
      </c>
      <c r="AD6885" s="6">
        <f t="shared" si="1074"/>
        <v>36091</v>
      </c>
      <c r="AE6885" s="14">
        <f>VLOOKUP(I6885,[2]媒体政策预估表!A:N,MATCH(O6885,[2]媒体政策预估表!$A$2:$M$2,0),0)</f>
        <v>0.1293</v>
      </c>
      <c r="AF6885" s="6">
        <f t="shared" si="1076"/>
        <v>4666.5662999999995</v>
      </c>
      <c r="AG6885" s="14">
        <v>0</v>
      </c>
      <c r="AH6885" s="64">
        <f t="shared" si="1075"/>
        <v>36091</v>
      </c>
      <c r="AJ6885" s="126" t="e">
        <v>#N/A</v>
      </c>
      <c r="AK6885" s="80">
        <f t="shared" si="1072"/>
        <v>0</v>
      </c>
      <c r="AL6885" s="85"/>
      <c r="AM6885" s="85"/>
    </row>
    <row r="6886" spans="1:39" s="86" customFormat="1" ht="13.25" hidden="1" customHeight="1" x14ac:dyDescent="0.3">
      <c r="A6886" s="89" t="s">
        <v>3978</v>
      </c>
      <c r="B6886" s="86" t="s">
        <v>35</v>
      </c>
      <c r="C6886" s="86" t="s">
        <v>65</v>
      </c>
      <c r="D6886" s="86" t="s">
        <v>66</v>
      </c>
      <c r="E6886" s="86" t="s">
        <v>2709</v>
      </c>
      <c r="F6886" s="86" t="s">
        <v>2710</v>
      </c>
      <c r="G6886" s="86" t="s">
        <v>1845</v>
      </c>
      <c r="H6886" s="144">
        <v>83</v>
      </c>
      <c r="I6886" s="86" t="s">
        <v>78</v>
      </c>
      <c r="J6886" s="1" t="s">
        <v>3303</v>
      </c>
      <c r="K6886" s="1" t="s">
        <v>3763</v>
      </c>
      <c r="L6886" s="1" t="s">
        <v>701</v>
      </c>
      <c r="M6886" s="86" t="s">
        <v>2709</v>
      </c>
      <c r="O6886" s="47" t="s">
        <v>410</v>
      </c>
      <c r="P6886" s="47" t="s">
        <v>46</v>
      </c>
      <c r="Q6886" s="14">
        <v>0.02</v>
      </c>
      <c r="R6886" s="143">
        <v>7576</v>
      </c>
      <c r="S6886" s="47"/>
      <c r="T6886" s="6">
        <v>7333.6600000000017</v>
      </c>
      <c r="U6886" s="6">
        <v>20000</v>
      </c>
      <c r="V6886" s="6">
        <v>11773.34</v>
      </c>
      <c r="W6886" s="6">
        <f t="shared" si="1066"/>
        <v>15560.320000000003</v>
      </c>
      <c r="X6886" s="6">
        <f t="shared" si="1067"/>
        <v>11542.490196078432</v>
      </c>
      <c r="Y6886" s="13">
        <f t="shared" si="1070"/>
        <v>0</v>
      </c>
      <c r="Z6886" s="66">
        <v>0</v>
      </c>
      <c r="AA6886" s="6">
        <v>0</v>
      </c>
      <c r="AB6886" s="4">
        <f t="shared" si="1071"/>
        <v>11542.490196078432</v>
      </c>
      <c r="AC6886" s="6">
        <f t="shared" si="1069"/>
        <v>230.84980392156831</v>
      </c>
      <c r="AD6886" s="6">
        <f t="shared" si="1074"/>
        <v>11773.34</v>
      </c>
      <c r="AE6886" s="14">
        <f>VLOOKUP(I6886,[2]媒体政策预估表!A:N,MATCH(O6886,[2]媒体政策预估表!$A$2:$M$2,0),0)</f>
        <v>0.1293</v>
      </c>
      <c r="AF6886" s="6">
        <f t="shared" si="1076"/>
        <v>1522.292862</v>
      </c>
      <c r="AG6886" s="14">
        <v>0</v>
      </c>
      <c r="AH6886" s="64">
        <f t="shared" si="1075"/>
        <v>11773.34</v>
      </c>
      <c r="AJ6886" s="126" t="e">
        <v>#N/A</v>
      </c>
      <c r="AK6886" s="80">
        <f t="shared" si="1072"/>
        <v>0</v>
      </c>
      <c r="AL6886" s="85"/>
      <c r="AM6886" s="85"/>
    </row>
    <row r="6887" spans="1:39" s="86" customFormat="1" ht="13.25" hidden="1" customHeight="1" x14ac:dyDescent="0.3">
      <c r="A6887" s="89" t="s">
        <v>3792</v>
      </c>
      <c r="B6887" s="86" t="s">
        <v>35</v>
      </c>
      <c r="C6887" s="86" t="s">
        <v>65</v>
      </c>
      <c r="D6887" s="86" t="s">
        <v>66</v>
      </c>
      <c r="E6887" s="86" t="s">
        <v>2678</v>
      </c>
      <c r="F6887" s="86" t="s">
        <v>2701</v>
      </c>
      <c r="G6887" s="86" t="s">
        <v>1845</v>
      </c>
      <c r="H6887" s="144">
        <v>83</v>
      </c>
      <c r="I6887" s="86" t="s">
        <v>78</v>
      </c>
      <c r="J6887" s="1" t="s">
        <v>3303</v>
      </c>
      <c r="K6887" s="1" t="s">
        <v>3763</v>
      </c>
      <c r="L6887" s="1" t="s">
        <v>701</v>
      </c>
      <c r="M6887" s="86" t="s">
        <v>2702</v>
      </c>
      <c r="O6887" s="47" t="s">
        <v>410</v>
      </c>
      <c r="P6887" s="47" t="s">
        <v>41</v>
      </c>
      <c r="Q6887" s="14">
        <v>0</v>
      </c>
      <c r="R6887" s="143">
        <v>7152</v>
      </c>
      <c r="S6887" s="47"/>
      <c r="T6887" s="6">
        <v>103034.79000000001</v>
      </c>
      <c r="U6887" s="6">
        <v>200000</v>
      </c>
      <c r="V6887" s="6">
        <v>92561.2</v>
      </c>
      <c r="W6887" s="6">
        <f t="shared" si="1066"/>
        <v>210473.59000000003</v>
      </c>
      <c r="X6887" s="6">
        <f t="shared" si="1067"/>
        <v>92561.2</v>
      </c>
      <c r="Y6887" s="13">
        <f t="shared" si="1070"/>
        <v>0</v>
      </c>
      <c r="Z6887" s="66">
        <v>0</v>
      </c>
      <c r="AA6887" s="6">
        <v>0</v>
      </c>
      <c r="AB6887" s="4">
        <f t="shared" si="1071"/>
        <v>92561.2</v>
      </c>
      <c r="AC6887" s="6">
        <f t="shared" si="1069"/>
        <v>0</v>
      </c>
      <c r="AD6887" s="6">
        <f t="shared" si="1074"/>
        <v>92561.2</v>
      </c>
      <c r="AE6887" s="14">
        <f>VLOOKUP(I6887,[2]媒体政策预估表!A:N,MATCH(O6887,[2]媒体政策预估表!$A$2:$M$2,0),0)</f>
        <v>0.1293</v>
      </c>
      <c r="AF6887" s="6">
        <f t="shared" si="1076"/>
        <v>11968.16316</v>
      </c>
      <c r="AG6887" s="14">
        <v>0</v>
      </c>
      <c r="AH6887" s="64">
        <f t="shared" si="1075"/>
        <v>92561.2</v>
      </c>
      <c r="AJ6887" s="126" t="e">
        <v>#N/A</v>
      </c>
      <c r="AK6887" s="80">
        <f t="shared" si="1072"/>
        <v>0</v>
      </c>
      <c r="AL6887" s="85"/>
      <c r="AM6887" s="85"/>
    </row>
    <row r="6888" spans="1:39" s="86" customFormat="1" ht="13.25" hidden="1" customHeight="1" x14ac:dyDescent="0.3">
      <c r="A6888" s="89" t="s">
        <v>3978</v>
      </c>
      <c r="B6888" s="86" t="s">
        <v>35</v>
      </c>
      <c r="C6888" s="86" t="s">
        <v>144</v>
      </c>
      <c r="D6888" s="86" t="s">
        <v>145</v>
      </c>
      <c r="E6888" s="86" t="s">
        <v>146</v>
      </c>
      <c r="F6888" s="86" t="s">
        <v>2712</v>
      </c>
      <c r="G6888" s="86" t="s">
        <v>1845</v>
      </c>
      <c r="H6888" s="144">
        <v>83</v>
      </c>
      <c r="I6888" s="86" t="s">
        <v>78</v>
      </c>
      <c r="J6888" s="1" t="s">
        <v>3303</v>
      </c>
      <c r="K6888" s="1" t="s">
        <v>3763</v>
      </c>
      <c r="L6888" s="1" t="s">
        <v>701</v>
      </c>
      <c r="M6888" s="86" t="s">
        <v>146</v>
      </c>
      <c r="O6888" s="47" t="s">
        <v>410</v>
      </c>
      <c r="P6888" s="47" t="s">
        <v>46</v>
      </c>
      <c r="Q6888" s="14">
        <v>0.02</v>
      </c>
      <c r="R6888" s="143">
        <v>7607</v>
      </c>
      <c r="S6888" s="47"/>
      <c r="T6888" s="6">
        <v>35700</v>
      </c>
      <c r="U6888" s="6">
        <v>142800</v>
      </c>
      <c r="V6888" s="6">
        <v>127923.33000000002</v>
      </c>
      <c r="W6888" s="6">
        <f t="shared" si="1066"/>
        <v>50576.669999999984</v>
      </c>
      <c r="X6888" s="6">
        <f t="shared" si="1067"/>
        <v>125415.02941176471</v>
      </c>
      <c r="Y6888" s="13">
        <f t="shared" si="1070"/>
        <v>0</v>
      </c>
      <c r="Z6888" s="66">
        <v>0</v>
      </c>
      <c r="AA6888" s="6">
        <v>0</v>
      </c>
      <c r="AB6888" s="4">
        <f t="shared" si="1071"/>
        <v>125415.02941176471</v>
      </c>
      <c r="AC6888" s="6">
        <f t="shared" si="1069"/>
        <v>2508.3005882353027</v>
      </c>
      <c r="AD6888" s="6">
        <f t="shared" si="1074"/>
        <v>127923.33000000002</v>
      </c>
      <c r="AE6888" s="14">
        <f>VLOOKUP(I6888,[2]媒体政策预估表!A:N,MATCH(O6888,[2]媒体政策预估表!$A$2:$M$2,0),0)</f>
        <v>0.1293</v>
      </c>
      <c r="AF6888" s="6">
        <f t="shared" si="1076"/>
        <v>16540.486569000001</v>
      </c>
      <c r="AG6888" s="14">
        <v>0</v>
      </c>
      <c r="AH6888" s="64">
        <f t="shared" si="1075"/>
        <v>127923.33000000002</v>
      </c>
      <c r="AJ6888" s="126" t="e">
        <v>#N/A</v>
      </c>
      <c r="AK6888" s="80">
        <f t="shared" si="1072"/>
        <v>0</v>
      </c>
      <c r="AL6888" s="85"/>
      <c r="AM6888" s="85"/>
    </row>
    <row r="6889" spans="1:39" s="86" customFormat="1" ht="13.25" hidden="1" customHeight="1" x14ac:dyDescent="0.3">
      <c r="A6889" s="89" t="s">
        <v>3792</v>
      </c>
      <c r="B6889" s="86" t="s">
        <v>35</v>
      </c>
      <c r="C6889" s="86" t="s">
        <v>144</v>
      </c>
      <c r="D6889" s="86" t="s">
        <v>152</v>
      </c>
      <c r="E6889" s="86" t="s">
        <v>155</v>
      </c>
      <c r="F6889" s="86" t="s">
        <v>3991</v>
      </c>
      <c r="G6889" s="86" t="s">
        <v>1845</v>
      </c>
      <c r="H6889" s="144">
        <v>83</v>
      </c>
      <c r="I6889" s="86" t="s">
        <v>78</v>
      </c>
      <c r="J6889" s="1" t="s">
        <v>3303</v>
      </c>
      <c r="K6889" s="1" t="s">
        <v>3763</v>
      </c>
      <c r="L6889" s="1" t="s">
        <v>701</v>
      </c>
      <c r="M6889" s="86" t="s">
        <v>2874</v>
      </c>
      <c r="O6889" s="47" t="s">
        <v>410</v>
      </c>
      <c r="P6889" s="47" t="s">
        <v>41</v>
      </c>
      <c r="Q6889" s="14">
        <v>0</v>
      </c>
      <c r="R6889" s="143">
        <v>7446</v>
      </c>
      <c r="S6889" s="47"/>
      <c r="T6889" s="6">
        <v>0</v>
      </c>
      <c r="U6889" s="6">
        <v>20000</v>
      </c>
      <c r="V6889" s="6">
        <v>13790.789999999995</v>
      </c>
      <c r="W6889" s="6">
        <f t="shared" si="1066"/>
        <v>6209.2100000000046</v>
      </c>
      <c r="X6889" s="6">
        <f t="shared" si="1067"/>
        <v>13790.789999999995</v>
      </c>
      <c r="Y6889" s="13">
        <f t="shared" si="1070"/>
        <v>0</v>
      </c>
      <c r="Z6889" s="66">
        <v>0</v>
      </c>
      <c r="AA6889" s="6">
        <v>0</v>
      </c>
      <c r="AB6889" s="4">
        <f t="shared" si="1071"/>
        <v>13790.789999999995</v>
      </c>
      <c r="AC6889" s="6">
        <f t="shared" si="1069"/>
        <v>0</v>
      </c>
      <c r="AD6889" s="6">
        <f t="shared" si="1074"/>
        <v>13790.789999999995</v>
      </c>
      <c r="AE6889" s="14">
        <f>VLOOKUP(I6889,[2]媒体政策预估表!A:N,MATCH(O6889,[2]媒体政策预估表!$A$2:$M$2,0),0)</f>
        <v>0.1293</v>
      </c>
      <c r="AF6889" s="6">
        <f t="shared" si="1076"/>
        <v>1783.1491469999994</v>
      </c>
      <c r="AG6889" s="14">
        <v>0</v>
      </c>
      <c r="AH6889" s="64">
        <f t="shared" si="1075"/>
        <v>13790.789999999995</v>
      </c>
      <c r="AJ6889" s="126" t="e">
        <v>#N/A</v>
      </c>
      <c r="AK6889" s="80">
        <f t="shared" si="1072"/>
        <v>0</v>
      </c>
      <c r="AL6889" s="85"/>
      <c r="AM6889" s="85"/>
    </row>
    <row r="6890" spans="1:39" s="86" customFormat="1" ht="13.25" hidden="1" customHeight="1" x14ac:dyDescent="0.3">
      <c r="A6890" s="89" t="s">
        <v>3792</v>
      </c>
      <c r="B6890" s="86" t="s">
        <v>35</v>
      </c>
      <c r="C6890" s="86" t="s">
        <v>144</v>
      </c>
      <c r="D6890" s="86" t="s">
        <v>161</v>
      </c>
      <c r="E6890" s="86" t="s">
        <v>163</v>
      </c>
      <c r="F6890" s="86" t="s">
        <v>2713</v>
      </c>
      <c r="G6890" s="86" t="s">
        <v>1845</v>
      </c>
      <c r="H6890" s="144">
        <v>83</v>
      </c>
      <c r="I6890" s="86" t="s">
        <v>78</v>
      </c>
      <c r="J6890" s="1" t="s">
        <v>3303</v>
      </c>
      <c r="K6890" s="1" t="s">
        <v>3763</v>
      </c>
      <c r="L6890" s="1" t="s">
        <v>701</v>
      </c>
      <c r="M6890" s="86" t="s">
        <v>163</v>
      </c>
      <c r="O6890" s="47" t="s">
        <v>410</v>
      </c>
      <c r="P6890" s="47" t="s">
        <v>41</v>
      </c>
      <c r="Q6890" s="14">
        <v>0</v>
      </c>
      <c r="R6890" s="143">
        <v>7094</v>
      </c>
      <c r="S6890" s="47"/>
      <c r="T6890" s="6">
        <v>24942.960000000079</v>
      </c>
      <c r="U6890" s="6">
        <v>100000</v>
      </c>
      <c r="V6890" s="6">
        <v>48308.97</v>
      </c>
      <c r="W6890" s="6">
        <f t="shared" si="1066"/>
        <v>76633.990000000078</v>
      </c>
      <c r="X6890" s="6">
        <f t="shared" si="1067"/>
        <v>48308.97</v>
      </c>
      <c r="Y6890" s="13">
        <f t="shared" si="1070"/>
        <v>0</v>
      </c>
      <c r="Z6890" s="66">
        <v>0</v>
      </c>
      <c r="AA6890" s="6">
        <v>0</v>
      </c>
      <c r="AB6890" s="4">
        <f t="shared" si="1071"/>
        <v>48308.97</v>
      </c>
      <c r="AC6890" s="6">
        <f t="shared" si="1069"/>
        <v>0</v>
      </c>
      <c r="AD6890" s="6">
        <f t="shared" si="1074"/>
        <v>48308.97</v>
      </c>
      <c r="AE6890" s="14">
        <f>VLOOKUP(I6890,[2]媒体政策预估表!A:N,MATCH(O6890,[2]媒体政策预估表!$A$2:$M$2,0),0)</f>
        <v>0.1293</v>
      </c>
      <c r="AF6890" s="6">
        <f t="shared" si="1076"/>
        <v>6246.3498209999998</v>
      </c>
      <c r="AG6890" s="14">
        <v>0</v>
      </c>
      <c r="AH6890" s="64">
        <f t="shared" si="1075"/>
        <v>48308.97</v>
      </c>
      <c r="AJ6890" s="126" t="e">
        <v>#N/A</v>
      </c>
      <c r="AK6890" s="80">
        <f t="shared" si="1072"/>
        <v>0</v>
      </c>
      <c r="AL6890" s="85"/>
      <c r="AM6890" s="85"/>
    </row>
    <row r="6891" spans="1:39" s="86" customFormat="1" ht="13.25" hidden="1" customHeight="1" x14ac:dyDescent="0.3">
      <c r="A6891" s="89" t="s">
        <v>3792</v>
      </c>
      <c r="B6891" s="86" t="s">
        <v>35</v>
      </c>
      <c r="C6891" s="86" t="s">
        <v>144</v>
      </c>
      <c r="D6891" s="86" t="s">
        <v>161</v>
      </c>
      <c r="E6891" s="86" t="s">
        <v>163</v>
      </c>
      <c r="F6891" s="86" t="s">
        <v>2713</v>
      </c>
      <c r="G6891" s="86" t="s">
        <v>1845</v>
      </c>
      <c r="H6891" s="144">
        <v>83</v>
      </c>
      <c r="I6891" s="86" t="s">
        <v>78</v>
      </c>
      <c r="J6891" s="1" t="s">
        <v>3303</v>
      </c>
      <c r="K6891" s="1" t="s">
        <v>3763</v>
      </c>
      <c r="L6891" s="1" t="s">
        <v>701</v>
      </c>
      <c r="M6891" s="86" t="s">
        <v>2714</v>
      </c>
      <c r="O6891" s="47" t="s">
        <v>410</v>
      </c>
      <c r="P6891" s="47" t="s">
        <v>41</v>
      </c>
      <c r="Q6891" s="14">
        <v>0</v>
      </c>
      <c r="R6891" s="143">
        <v>7135</v>
      </c>
      <c r="S6891" s="47"/>
      <c r="T6891" s="6">
        <v>2645.4199999999992</v>
      </c>
      <c r="U6891" s="6">
        <v>5000</v>
      </c>
      <c r="V6891" s="6">
        <v>2402.3000000000002</v>
      </c>
      <c r="W6891" s="6">
        <f t="shared" si="1066"/>
        <v>5243.119999999999</v>
      </c>
      <c r="X6891" s="6">
        <f t="shared" si="1067"/>
        <v>2402.3000000000002</v>
      </c>
      <c r="Y6891" s="13">
        <f t="shared" si="1070"/>
        <v>0</v>
      </c>
      <c r="Z6891" s="66">
        <v>0</v>
      </c>
      <c r="AA6891" s="6">
        <v>0</v>
      </c>
      <c r="AB6891" s="4">
        <f t="shared" si="1071"/>
        <v>2402.3000000000002</v>
      </c>
      <c r="AC6891" s="6">
        <f t="shared" si="1069"/>
        <v>0</v>
      </c>
      <c r="AD6891" s="6">
        <f t="shared" si="1074"/>
        <v>2402.3000000000002</v>
      </c>
      <c r="AE6891" s="14">
        <f>VLOOKUP(I6891,[2]媒体政策预估表!A:N,MATCH(O6891,[2]媒体政策预估表!$A$2:$M$2,0),0)</f>
        <v>0.1293</v>
      </c>
      <c r="AF6891" s="6">
        <f t="shared" si="1076"/>
        <v>310.61739</v>
      </c>
      <c r="AG6891" s="14">
        <v>0</v>
      </c>
      <c r="AH6891" s="64">
        <f t="shared" si="1075"/>
        <v>2402.3000000000002</v>
      </c>
      <c r="AJ6891" s="126" t="e">
        <v>#N/A</v>
      </c>
      <c r="AK6891" s="80">
        <f t="shared" si="1072"/>
        <v>0</v>
      </c>
      <c r="AL6891" s="85"/>
      <c r="AM6891" s="85"/>
    </row>
    <row r="6892" spans="1:39" s="86" customFormat="1" ht="13.25" hidden="1" customHeight="1" x14ac:dyDescent="0.3">
      <c r="A6892" s="89" t="s">
        <v>3978</v>
      </c>
      <c r="B6892" s="86" t="s">
        <v>35</v>
      </c>
      <c r="C6892" s="86" t="s">
        <v>164</v>
      </c>
      <c r="D6892" s="86" t="s">
        <v>3407</v>
      </c>
      <c r="E6892" s="86" t="s">
        <v>182</v>
      </c>
      <c r="F6892" s="86" t="s">
        <v>2721</v>
      </c>
      <c r="G6892" s="86" t="s">
        <v>1845</v>
      </c>
      <c r="H6892" s="144">
        <v>83</v>
      </c>
      <c r="I6892" s="86" t="s">
        <v>78</v>
      </c>
      <c r="J6892" s="1" t="s">
        <v>3303</v>
      </c>
      <c r="K6892" s="1" t="s">
        <v>3763</v>
      </c>
      <c r="L6892" s="1" t="s">
        <v>701</v>
      </c>
      <c r="M6892" s="86" t="s">
        <v>182</v>
      </c>
      <c r="O6892" s="47" t="s">
        <v>410</v>
      </c>
      <c r="P6892" s="47" t="s">
        <v>41</v>
      </c>
      <c r="Q6892" s="14">
        <v>0</v>
      </c>
      <c r="R6892" s="143">
        <v>7121</v>
      </c>
      <c r="S6892" s="47"/>
      <c r="T6892" s="6">
        <v>540.20000000001255</v>
      </c>
      <c r="U6892" s="6">
        <v>14896</v>
      </c>
      <c r="V6892" s="6">
        <v>13294.459900000002</v>
      </c>
      <c r="W6892" s="6">
        <f t="shared" si="1066"/>
        <v>2141.74010000001</v>
      </c>
      <c r="X6892" s="6">
        <f t="shared" si="1067"/>
        <v>13294.459900000002</v>
      </c>
      <c r="Y6892" s="13">
        <f t="shared" si="1070"/>
        <v>0</v>
      </c>
      <c r="Z6892" s="66">
        <v>0.02</v>
      </c>
      <c r="AA6892" s="6">
        <f>X6892/(1-Z6892)*Z6892</f>
        <v>271.31550816326535</v>
      </c>
      <c r="AB6892" s="4">
        <f t="shared" si="1071"/>
        <v>13565.775408163267</v>
      </c>
      <c r="AC6892" s="6">
        <f t="shared" si="1069"/>
        <v>0</v>
      </c>
      <c r="AD6892" s="6">
        <f t="shared" si="1074"/>
        <v>13294.459900000002</v>
      </c>
      <c r="AE6892" s="14">
        <f>VLOOKUP(I6892,[2]媒体政策预估表!A:N,MATCH(O6892,[2]媒体政策预估表!$A$2:$M$2,0),0)</f>
        <v>0.1293</v>
      </c>
      <c r="AF6892" s="6">
        <f t="shared" si="1076"/>
        <v>1718.9736650700002</v>
      </c>
      <c r="AG6892" s="14">
        <v>0</v>
      </c>
      <c r="AH6892" s="64">
        <f t="shared" si="1075"/>
        <v>13294.459900000002</v>
      </c>
      <c r="AJ6892" s="126" t="e">
        <v>#N/A</v>
      </c>
      <c r="AK6892" s="80">
        <f t="shared" si="1072"/>
        <v>0</v>
      </c>
      <c r="AL6892" s="85"/>
      <c r="AM6892" s="85"/>
    </row>
    <row r="6893" spans="1:39" s="86" customFormat="1" ht="13.25" hidden="1" customHeight="1" x14ac:dyDescent="0.3">
      <c r="A6893" s="89" t="s">
        <v>3978</v>
      </c>
      <c r="B6893" s="86" t="s">
        <v>35</v>
      </c>
      <c r="C6893" s="86" t="s">
        <v>164</v>
      </c>
      <c r="D6893" s="86" t="s">
        <v>169</v>
      </c>
      <c r="E6893" s="86" t="s">
        <v>172</v>
      </c>
      <c r="F6893" s="86" t="s">
        <v>2715</v>
      </c>
      <c r="G6893" s="86" t="s">
        <v>1845</v>
      </c>
      <c r="H6893" s="144">
        <v>83</v>
      </c>
      <c r="I6893" s="86" t="s">
        <v>78</v>
      </c>
      <c r="J6893" s="1" t="s">
        <v>3303</v>
      </c>
      <c r="K6893" s="1" t="s">
        <v>3763</v>
      </c>
      <c r="L6893" s="1" t="s">
        <v>701</v>
      </c>
      <c r="M6893" s="86" t="s">
        <v>2716</v>
      </c>
      <c r="O6893" s="47" t="s">
        <v>410</v>
      </c>
      <c r="P6893" s="47" t="s">
        <v>46</v>
      </c>
      <c r="Q6893" s="14">
        <v>0.01</v>
      </c>
      <c r="R6893" s="143">
        <v>7283</v>
      </c>
      <c r="S6893" s="47"/>
      <c r="T6893" s="6">
        <v>29906.770300000018</v>
      </c>
      <c r="U6893" s="6">
        <v>37370</v>
      </c>
      <c r="V6893" s="6">
        <v>54432.71</v>
      </c>
      <c r="W6893" s="6">
        <f t="shared" si="1066"/>
        <v>12844.060300000019</v>
      </c>
      <c r="X6893" s="6">
        <f t="shared" si="1067"/>
        <v>53893.772277227719</v>
      </c>
      <c r="Y6893" s="13">
        <f t="shared" si="1070"/>
        <v>0</v>
      </c>
      <c r="Z6893" s="66">
        <v>0</v>
      </c>
      <c r="AA6893" s="6">
        <v>0</v>
      </c>
      <c r="AB6893" s="4">
        <f t="shared" si="1071"/>
        <v>53893.772277227719</v>
      </c>
      <c r="AC6893" s="6">
        <f t="shared" si="1069"/>
        <v>538.93772277227981</v>
      </c>
      <c r="AD6893" s="6">
        <f t="shared" si="1074"/>
        <v>54432.71</v>
      </c>
      <c r="AE6893" s="14">
        <f>VLOOKUP(I6893,[2]媒体政策预估表!A:N,MATCH(O6893,[2]媒体政策预估表!$A$2:$M$2,0),0)</f>
        <v>0.1293</v>
      </c>
      <c r="AF6893" s="6">
        <f t="shared" si="1076"/>
        <v>7038.1494029999994</v>
      </c>
      <c r="AG6893" s="14">
        <v>0</v>
      </c>
      <c r="AH6893" s="64">
        <f t="shared" si="1075"/>
        <v>54432.71</v>
      </c>
      <c r="AJ6893" s="126" t="e">
        <v>#N/A</v>
      </c>
      <c r="AK6893" s="80">
        <f t="shared" si="1072"/>
        <v>0</v>
      </c>
      <c r="AL6893" s="85"/>
      <c r="AM6893" s="85"/>
    </row>
    <row r="6894" spans="1:39" s="86" customFormat="1" ht="13.25" hidden="1" customHeight="1" x14ac:dyDescent="0.3">
      <c r="A6894" s="89" t="s">
        <v>3978</v>
      </c>
      <c r="B6894" s="86" t="s">
        <v>35</v>
      </c>
      <c r="C6894" s="86" t="s">
        <v>184</v>
      </c>
      <c r="D6894" s="86" t="s">
        <v>54</v>
      </c>
      <c r="E6894" s="86" t="s">
        <v>55</v>
      </c>
      <c r="F6894" s="86" t="s">
        <v>2831</v>
      </c>
      <c r="G6894" s="86" t="s">
        <v>1845</v>
      </c>
      <c r="H6894" s="144">
        <v>83</v>
      </c>
      <c r="I6894" s="86" t="s">
        <v>78</v>
      </c>
      <c r="J6894" s="1" t="s">
        <v>3303</v>
      </c>
      <c r="K6894" s="1" t="s">
        <v>3763</v>
      </c>
      <c r="L6894" s="1" t="s">
        <v>701</v>
      </c>
      <c r="M6894" s="86" t="s">
        <v>2832</v>
      </c>
      <c r="O6894" s="47" t="s">
        <v>410</v>
      </c>
      <c r="P6894" s="47" t="s">
        <v>41</v>
      </c>
      <c r="Q6894" s="14">
        <v>0</v>
      </c>
      <c r="R6894" s="143">
        <v>7265</v>
      </c>
      <c r="S6894" s="47"/>
      <c r="T6894" s="6">
        <v>22106.110000000015</v>
      </c>
      <c r="U6894" s="6">
        <v>0</v>
      </c>
      <c r="V6894" s="6">
        <v>14506.110000000015</v>
      </c>
      <c r="W6894" s="6">
        <v>0</v>
      </c>
      <c r="X6894" s="6">
        <f t="shared" si="1067"/>
        <v>14506.110000000015</v>
      </c>
      <c r="Y6894" s="13">
        <f t="shared" si="1070"/>
        <v>0</v>
      </c>
      <c r="Z6894" s="66">
        <v>0</v>
      </c>
      <c r="AA6894" s="6">
        <v>0</v>
      </c>
      <c r="AB6894" s="4">
        <f t="shared" si="1071"/>
        <v>14506.110000000015</v>
      </c>
      <c r="AC6894" s="6">
        <f t="shared" si="1069"/>
        <v>0</v>
      </c>
      <c r="AD6894" s="6">
        <f t="shared" si="1074"/>
        <v>14506.110000000015</v>
      </c>
      <c r="AE6894" s="14">
        <f>VLOOKUP(I6894,[2]媒体政策预估表!A:N,MATCH(O6894,[2]媒体政策预估表!$A$2:$M$2,0),0)</f>
        <v>0.1293</v>
      </c>
      <c r="AF6894" s="6">
        <f t="shared" si="1076"/>
        <v>1875.640023000002</v>
      </c>
      <c r="AG6894" s="14">
        <v>0</v>
      </c>
      <c r="AH6894" s="64">
        <f t="shared" si="1075"/>
        <v>14506.110000000015</v>
      </c>
      <c r="AJ6894" s="126" t="e">
        <v>#N/A</v>
      </c>
      <c r="AK6894" s="80">
        <f t="shared" si="1072"/>
        <v>0</v>
      </c>
      <c r="AL6894" s="85"/>
      <c r="AM6894" s="85"/>
    </row>
    <row r="6895" spans="1:39" s="86" customFormat="1" ht="13.25" hidden="1" customHeight="1" x14ac:dyDescent="0.3">
      <c r="A6895" s="89" t="s">
        <v>3792</v>
      </c>
      <c r="B6895" s="86" t="s">
        <v>35</v>
      </c>
      <c r="C6895" s="86" t="s">
        <v>184</v>
      </c>
      <c r="D6895" s="86" t="s">
        <v>54</v>
      </c>
      <c r="E6895" s="86" t="s">
        <v>3983</v>
      </c>
      <c r="F6895" s="86" t="s">
        <v>3992</v>
      </c>
      <c r="G6895" s="86" t="s">
        <v>1845</v>
      </c>
      <c r="H6895" s="144">
        <v>83</v>
      </c>
      <c r="I6895" s="86" t="s">
        <v>78</v>
      </c>
      <c r="J6895" s="1" t="s">
        <v>3303</v>
      </c>
      <c r="K6895" s="1" t="s">
        <v>3763</v>
      </c>
      <c r="L6895" s="1" t="s">
        <v>701</v>
      </c>
      <c r="M6895" s="86" t="s">
        <v>2832</v>
      </c>
      <c r="O6895" s="47" t="s">
        <v>410</v>
      </c>
      <c r="P6895" s="47" t="s">
        <v>41</v>
      </c>
      <c r="Q6895" s="14">
        <v>0</v>
      </c>
      <c r="R6895" s="143">
        <v>7265</v>
      </c>
      <c r="S6895" s="47"/>
      <c r="T6895" s="6">
        <v>0</v>
      </c>
      <c r="U6895" s="6">
        <v>15000</v>
      </c>
      <c r="V6895" s="6">
        <v>6018.359999999986</v>
      </c>
      <c r="W6895" s="6">
        <f t="shared" si="1066"/>
        <v>8981.640000000014</v>
      </c>
      <c r="X6895" s="6">
        <f t="shared" si="1067"/>
        <v>6018.359999999986</v>
      </c>
      <c r="Y6895" s="13">
        <f t="shared" si="1070"/>
        <v>0</v>
      </c>
      <c r="Z6895" s="66">
        <v>0</v>
      </c>
      <c r="AA6895" s="6">
        <v>0</v>
      </c>
      <c r="AB6895" s="4">
        <f t="shared" si="1071"/>
        <v>6018.359999999986</v>
      </c>
      <c r="AC6895" s="6">
        <f t="shared" si="1069"/>
        <v>0</v>
      </c>
      <c r="AD6895" s="6">
        <f t="shared" si="1074"/>
        <v>6018.359999999986</v>
      </c>
      <c r="AE6895" s="14">
        <f>VLOOKUP(I6895,[2]媒体政策预估表!A:N,MATCH(O6895,[2]媒体政策预估表!$A$2:$M$2,0),0)</f>
        <v>0.1293</v>
      </c>
      <c r="AF6895" s="6">
        <f t="shared" si="1076"/>
        <v>778.17394799999818</v>
      </c>
      <c r="AG6895" s="14">
        <v>0</v>
      </c>
      <c r="AH6895" s="64">
        <f t="shared" si="1075"/>
        <v>6018.359999999986</v>
      </c>
      <c r="AJ6895" s="126" t="e">
        <v>#N/A</v>
      </c>
      <c r="AK6895" s="80">
        <f t="shared" si="1072"/>
        <v>0</v>
      </c>
      <c r="AL6895" s="85"/>
      <c r="AM6895" s="85"/>
    </row>
    <row r="6896" spans="1:39" s="86" customFormat="1" ht="13.25" hidden="1" customHeight="1" x14ac:dyDescent="0.3">
      <c r="A6896" s="89" t="s">
        <v>3978</v>
      </c>
      <c r="B6896" s="86" t="s">
        <v>35</v>
      </c>
      <c r="C6896" s="86" t="s">
        <v>184</v>
      </c>
      <c r="D6896" s="86" t="s">
        <v>37</v>
      </c>
      <c r="E6896" s="86" t="s">
        <v>127</v>
      </c>
      <c r="F6896" s="86" t="s">
        <v>3993</v>
      </c>
      <c r="G6896" s="86" t="s">
        <v>1845</v>
      </c>
      <c r="H6896" s="144">
        <v>83</v>
      </c>
      <c r="I6896" s="86" t="s">
        <v>78</v>
      </c>
      <c r="J6896" s="1" t="s">
        <v>3303</v>
      </c>
      <c r="K6896" s="1" t="s">
        <v>3763</v>
      </c>
      <c r="L6896" s="1" t="s">
        <v>701</v>
      </c>
      <c r="M6896" s="86" t="s">
        <v>127</v>
      </c>
      <c r="O6896" s="47" t="s">
        <v>410</v>
      </c>
      <c r="P6896" s="47" t="s">
        <v>41</v>
      </c>
      <c r="Q6896" s="14">
        <v>0</v>
      </c>
      <c r="R6896" s="143">
        <v>7545</v>
      </c>
      <c r="S6896" s="47"/>
      <c r="T6896" s="6">
        <v>0</v>
      </c>
      <c r="U6896" s="6">
        <v>50000</v>
      </c>
      <c r="V6896" s="6">
        <v>2856.2000000000044</v>
      </c>
      <c r="W6896" s="6">
        <f t="shared" ref="W6896:W6959" si="1077">T6896+U6896-V6896</f>
        <v>47143.799999999996</v>
      </c>
      <c r="X6896" s="6">
        <f t="shared" ref="X6896:X6959" si="1078">IF(P6896="折扣",V6896*Q6896,IF(P6896="返现",V6896,V6896/(1+Q6896)))</f>
        <v>2856.2000000000044</v>
      </c>
      <c r="Y6896" s="13">
        <f t="shared" si="1070"/>
        <v>0</v>
      </c>
      <c r="Z6896" s="66">
        <v>0</v>
      </c>
      <c r="AA6896" s="6">
        <v>0</v>
      </c>
      <c r="AB6896" s="4">
        <f t="shared" si="1071"/>
        <v>2856.2000000000044</v>
      </c>
      <c r="AC6896" s="6">
        <f t="shared" si="1069"/>
        <v>0</v>
      </c>
      <c r="AD6896" s="6">
        <f t="shared" si="1074"/>
        <v>2856.2000000000044</v>
      </c>
      <c r="AE6896" s="14">
        <f>VLOOKUP(I6896,[2]媒体政策预估表!A:N,MATCH(O6896,[2]媒体政策预估表!$A$2:$M$2,0),0)</f>
        <v>0.1293</v>
      </c>
      <c r="AF6896" s="6">
        <f t="shared" si="1076"/>
        <v>369.30666000000053</v>
      </c>
      <c r="AG6896" s="14">
        <v>0</v>
      </c>
      <c r="AH6896" s="64">
        <f t="shared" si="1075"/>
        <v>2856.2000000000044</v>
      </c>
      <c r="AJ6896" s="126" t="e">
        <v>#N/A</v>
      </c>
      <c r="AK6896" s="80">
        <f t="shared" si="1072"/>
        <v>0</v>
      </c>
      <c r="AL6896" s="85"/>
      <c r="AM6896" s="85"/>
    </row>
    <row r="6897" spans="1:39" s="86" customFormat="1" ht="13.25" hidden="1" customHeight="1" x14ac:dyDescent="0.3">
      <c r="A6897" s="89" t="s">
        <v>3978</v>
      </c>
      <c r="B6897" s="86" t="s">
        <v>35</v>
      </c>
      <c r="C6897" s="86" t="s">
        <v>184</v>
      </c>
      <c r="D6897" s="86" t="s">
        <v>3849</v>
      </c>
      <c r="E6897" s="86" t="s">
        <v>521</v>
      </c>
      <c r="F6897" s="86" t="s">
        <v>2703</v>
      </c>
      <c r="G6897" s="86" t="s">
        <v>1845</v>
      </c>
      <c r="H6897" s="144">
        <v>83</v>
      </c>
      <c r="I6897" s="86" t="s">
        <v>78</v>
      </c>
      <c r="J6897" s="1" t="s">
        <v>3303</v>
      </c>
      <c r="K6897" s="1" t="s">
        <v>3763</v>
      </c>
      <c r="L6897" s="1" t="s">
        <v>701</v>
      </c>
      <c r="M6897" s="86" t="s">
        <v>2704</v>
      </c>
      <c r="O6897" s="47" t="s">
        <v>410</v>
      </c>
      <c r="P6897" s="47" t="s">
        <v>41</v>
      </c>
      <c r="Q6897" s="14">
        <v>0</v>
      </c>
      <c r="R6897" s="143">
        <v>7101</v>
      </c>
      <c r="S6897" s="47"/>
      <c r="T6897" s="6">
        <v>12244.820000000003</v>
      </c>
      <c r="U6897" s="6">
        <v>17000</v>
      </c>
      <c r="V6897" s="6">
        <v>21106.01</v>
      </c>
      <c r="W6897" s="6">
        <f t="shared" si="1077"/>
        <v>8138.8100000000049</v>
      </c>
      <c r="X6897" s="6">
        <f t="shared" si="1078"/>
        <v>21106.01</v>
      </c>
      <c r="Y6897" s="13">
        <f t="shared" si="1070"/>
        <v>0</v>
      </c>
      <c r="Z6897" s="66">
        <v>0</v>
      </c>
      <c r="AA6897" s="6">
        <v>0</v>
      </c>
      <c r="AB6897" s="4">
        <f t="shared" si="1071"/>
        <v>21106.01</v>
      </c>
      <c r="AC6897" s="6">
        <f t="shared" si="1069"/>
        <v>0</v>
      </c>
      <c r="AD6897" s="6">
        <f t="shared" si="1074"/>
        <v>21106.01</v>
      </c>
      <c r="AE6897" s="14">
        <f>VLOOKUP(I6897,[2]媒体政策预估表!A:N,MATCH(O6897,[2]媒体政策预估表!$A$2:$M$2,0),0)</f>
        <v>0.1293</v>
      </c>
      <c r="AF6897" s="6">
        <f t="shared" si="1076"/>
        <v>2729.0070929999997</v>
      </c>
      <c r="AG6897" s="14">
        <v>0</v>
      </c>
      <c r="AH6897" s="64">
        <f t="shared" si="1075"/>
        <v>21106.01</v>
      </c>
      <c r="AJ6897" s="126" t="e">
        <v>#N/A</v>
      </c>
      <c r="AK6897" s="80">
        <f t="shared" si="1072"/>
        <v>0</v>
      </c>
      <c r="AL6897" s="85"/>
      <c r="AM6897" s="85"/>
    </row>
    <row r="6898" spans="1:39" s="86" customFormat="1" ht="13.25" hidden="1" customHeight="1" x14ac:dyDescent="0.3">
      <c r="A6898" s="89" t="s">
        <v>3978</v>
      </c>
      <c r="B6898" s="86" t="s">
        <v>701</v>
      </c>
      <c r="C6898" s="86" t="s">
        <v>59</v>
      </c>
      <c r="D6898" s="86" t="s">
        <v>60</v>
      </c>
      <c r="E6898" s="86" t="s">
        <v>2722</v>
      </c>
      <c r="F6898" s="86" t="s">
        <v>2722</v>
      </c>
      <c r="G6898" s="86" t="s">
        <v>2722</v>
      </c>
      <c r="H6898" s="144">
        <v>83</v>
      </c>
      <c r="I6898" s="86" t="s">
        <v>78</v>
      </c>
      <c r="J6898" s="1" t="s">
        <v>3303</v>
      </c>
      <c r="K6898" s="1" t="s">
        <v>3763</v>
      </c>
      <c r="L6898" s="1" t="s">
        <v>701</v>
      </c>
      <c r="M6898" s="86" t="s">
        <v>2724</v>
      </c>
      <c r="O6898" s="47" t="s">
        <v>410</v>
      </c>
      <c r="P6898" s="47" t="s">
        <v>92</v>
      </c>
      <c r="Q6898" s="14">
        <v>0.9</v>
      </c>
      <c r="R6898" s="143">
        <v>7382</v>
      </c>
      <c r="S6898" s="47"/>
      <c r="T6898" s="6">
        <v>4610.42</v>
      </c>
      <c r="U6898" s="6">
        <v>5000</v>
      </c>
      <c r="V6898" s="6">
        <v>3219.26</v>
      </c>
      <c r="W6898" s="6">
        <f t="shared" si="1077"/>
        <v>6391.16</v>
      </c>
      <c r="X6898" s="6">
        <f t="shared" si="1078"/>
        <v>2897.3340000000003</v>
      </c>
      <c r="Y6898" s="13">
        <f t="shared" si="1070"/>
        <v>0</v>
      </c>
      <c r="Z6898" s="66">
        <v>0</v>
      </c>
      <c r="AA6898" s="6">
        <v>0</v>
      </c>
      <c r="AB6898" s="4">
        <f t="shared" si="1071"/>
        <v>2897.3340000000003</v>
      </c>
      <c r="AC6898" s="6">
        <f t="shared" si="1069"/>
        <v>321.92599999999993</v>
      </c>
      <c r="AD6898" s="6">
        <f t="shared" si="1074"/>
        <v>3219.26</v>
      </c>
      <c r="AE6898" s="14">
        <f>VLOOKUP(I6898,[2]媒体政策预估表!A:N,MATCH(O6898,[2]媒体政策预估表!$A$2:$M$2,0),0)</f>
        <v>0.1293</v>
      </c>
      <c r="AF6898" s="6">
        <f t="shared" si="1076"/>
        <v>416.25031800000005</v>
      </c>
      <c r="AG6898" s="14">
        <v>0</v>
      </c>
      <c r="AH6898" s="64">
        <f t="shared" si="1075"/>
        <v>3219.26</v>
      </c>
      <c r="AJ6898" s="126" t="e">
        <v>#N/A</v>
      </c>
      <c r="AK6898" s="80">
        <f t="shared" si="1072"/>
        <v>0</v>
      </c>
      <c r="AL6898" s="85"/>
      <c r="AM6898" s="85"/>
    </row>
    <row r="6899" spans="1:39" s="86" customFormat="1" ht="13.25" hidden="1" customHeight="1" x14ac:dyDescent="0.3">
      <c r="A6899" s="89" t="s">
        <v>3978</v>
      </c>
      <c r="B6899" s="86" t="s">
        <v>701</v>
      </c>
      <c r="C6899" s="86" t="s">
        <v>59</v>
      </c>
      <c r="D6899" s="86" t="s">
        <v>60</v>
      </c>
      <c r="E6899" s="86" t="s">
        <v>2722</v>
      </c>
      <c r="F6899" s="86" t="s">
        <v>2722</v>
      </c>
      <c r="G6899" s="86" t="s">
        <v>2722</v>
      </c>
      <c r="H6899" s="144">
        <v>83</v>
      </c>
      <c r="I6899" s="86" t="s">
        <v>78</v>
      </c>
      <c r="J6899" s="1" t="s">
        <v>3303</v>
      </c>
      <c r="K6899" s="1" t="s">
        <v>3763</v>
      </c>
      <c r="L6899" s="1" t="s">
        <v>701</v>
      </c>
      <c r="M6899" s="86" t="s">
        <v>2838</v>
      </c>
      <c r="O6899" s="47" t="s">
        <v>410</v>
      </c>
      <c r="P6899" s="47" t="s">
        <v>92</v>
      </c>
      <c r="Q6899" s="14">
        <v>0.9</v>
      </c>
      <c r="R6899" s="143">
        <v>7185</v>
      </c>
      <c r="S6899" s="47"/>
      <c r="T6899" s="6">
        <v>3183.2799999999961</v>
      </c>
      <c r="U6899" s="6">
        <v>2000</v>
      </c>
      <c r="V6899" s="6">
        <v>2288.58</v>
      </c>
      <c r="W6899" s="6">
        <f t="shared" si="1077"/>
        <v>2894.6999999999962</v>
      </c>
      <c r="X6899" s="6">
        <f t="shared" si="1078"/>
        <v>2059.7220000000002</v>
      </c>
      <c r="Y6899" s="13">
        <f t="shared" si="1070"/>
        <v>0</v>
      </c>
      <c r="Z6899" s="66">
        <v>0</v>
      </c>
      <c r="AA6899" s="6">
        <v>0</v>
      </c>
      <c r="AB6899" s="4">
        <f t="shared" si="1071"/>
        <v>2059.7220000000002</v>
      </c>
      <c r="AC6899" s="6">
        <f t="shared" si="1069"/>
        <v>228.85799999999972</v>
      </c>
      <c r="AD6899" s="6">
        <f t="shared" si="1074"/>
        <v>2288.58</v>
      </c>
      <c r="AE6899" s="14">
        <f>VLOOKUP(I6899,[2]媒体政策预估表!A:N,MATCH(O6899,[2]媒体政策预估表!$A$2:$M$2,0),0)</f>
        <v>0.1293</v>
      </c>
      <c r="AF6899" s="6">
        <f t="shared" si="1076"/>
        <v>295.91339399999998</v>
      </c>
      <c r="AG6899" s="14">
        <v>0</v>
      </c>
      <c r="AH6899" s="64">
        <f t="shared" si="1075"/>
        <v>2288.58</v>
      </c>
      <c r="AJ6899" s="126" t="e">
        <v>#N/A</v>
      </c>
      <c r="AK6899" s="80">
        <f t="shared" si="1072"/>
        <v>0</v>
      </c>
      <c r="AL6899" s="85"/>
      <c r="AM6899" s="85"/>
    </row>
    <row r="6900" spans="1:39" s="86" customFormat="1" ht="13.25" hidden="1" customHeight="1" x14ac:dyDescent="0.3">
      <c r="A6900" s="89" t="s">
        <v>3792</v>
      </c>
      <c r="B6900" s="86" t="s">
        <v>701</v>
      </c>
      <c r="C6900" s="86" t="s">
        <v>59</v>
      </c>
      <c r="D6900" s="86" t="s">
        <v>60</v>
      </c>
      <c r="E6900" s="86" t="s">
        <v>2722</v>
      </c>
      <c r="F6900" s="86" t="s">
        <v>2722</v>
      </c>
      <c r="G6900" s="86" t="s">
        <v>2722</v>
      </c>
      <c r="H6900" s="144">
        <v>83</v>
      </c>
      <c r="I6900" s="86" t="s">
        <v>78</v>
      </c>
      <c r="J6900" s="1" t="s">
        <v>3303</v>
      </c>
      <c r="K6900" s="1" t="s">
        <v>3763</v>
      </c>
      <c r="L6900" s="1" t="s">
        <v>701</v>
      </c>
      <c r="M6900" s="86" t="s">
        <v>3994</v>
      </c>
      <c r="O6900" s="47" t="s">
        <v>410</v>
      </c>
      <c r="P6900" s="47" t="s">
        <v>92</v>
      </c>
      <c r="Q6900" s="14">
        <v>0.9</v>
      </c>
      <c r="R6900" s="143">
        <v>7708</v>
      </c>
      <c r="S6900" s="47"/>
      <c r="T6900" s="6">
        <v>0</v>
      </c>
      <c r="U6900" s="6">
        <v>5000</v>
      </c>
      <c r="V6900" s="6">
        <v>1154.67</v>
      </c>
      <c r="W6900" s="6">
        <f t="shared" si="1077"/>
        <v>3845.33</v>
      </c>
      <c r="X6900" s="6">
        <f t="shared" si="1078"/>
        <v>1039.2030000000002</v>
      </c>
      <c r="Y6900" s="13">
        <f t="shared" si="1070"/>
        <v>0</v>
      </c>
      <c r="Z6900" s="66">
        <v>0</v>
      </c>
      <c r="AA6900" s="6">
        <v>0</v>
      </c>
      <c r="AB6900" s="4">
        <f t="shared" si="1071"/>
        <v>1039.2030000000002</v>
      </c>
      <c r="AC6900" s="6">
        <f t="shared" si="1069"/>
        <v>115.46699999999987</v>
      </c>
      <c r="AD6900" s="6">
        <f t="shared" si="1074"/>
        <v>1154.67</v>
      </c>
      <c r="AE6900" s="14">
        <f>VLOOKUP(I6900,[2]媒体政策预估表!A:N,MATCH(O6900,[2]媒体政策预估表!$A$2:$M$2,0),0)</f>
        <v>0.1293</v>
      </c>
      <c r="AF6900" s="6">
        <f t="shared" si="1076"/>
        <v>149.29883100000001</v>
      </c>
      <c r="AG6900" s="14">
        <v>0</v>
      </c>
      <c r="AH6900" s="64">
        <f t="shared" si="1075"/>
        <v>1154.67</v>
      </c>
      <c r="AJ6900" s="126" t="e">
        <v>#N/A</v>
      </c>
      <c r="AK6900" s="80">
        <f t="shared" si="1072"/>
        <v>0</v>
      </c>
      <c r="AL6900" s="85"/>
      <c r="AM6900" s="85"/>
    </row>
    <row r="6901" spans="1:39" s="86" customFormat="1" ht="13.25" hidden="1" customHeight="1" x14ac:dyDescent="0.3">
      <c r="A6901" s="89" t="s">
        <v>3978</v>
      </c>
      <c r="B6901" s="86" t="s">
        <v>701</v>
      </c>
      <c r="C6901" s="86" t="s">
        <v>59</v>
      </c>
      <c r="D6901" s="86" t="s">
        <v>60</v>
      </c>
      <c r="E6901" s="86" t="s">
        <v>2722</v>
      </c>
      <c r="F6901" s="86" t="s">
        <v>2722</v>
      </c>
      <c r="G6901" s="86" t="s">
        <v>2722</v>
      </c>
      <c r="H6901" s="144">
        <v>83</v>
      </c>
      <c r="I6901" s="86" t="s">
        <v>78</v>
      </c>
      <c r="J6901" s="1" t="s">
        <v>3303</v>
      </c>
      <c r="K6901" s="1" t="s">
        <v>3763</v>
      </c>
      <c r="L6901" s="1" t="s">
        <v>701</v>
      </c>
      <c r="M6901" s="86" t="s">
        <v>2725</v>
      </c>
      <c r="O6901" s="47" t="s">
        <v>410</v>
      </c>
      <c r="P6901" s="47" t="s">
        <v>92</v>
      </c>
      <c r="Q6901" s="14">
        <v>0.9</v>
      </c>
      <c r="R6901" s="143">
        <v>7392</v>
      </c>
      <c r="S6901" s="47"/>
      <c r="T6901" s="6">
        <v>3150.7300000000014</v>
      </c>
      <c r="U6901" s="6">
        <v>2000</v>
      </c>
      <c r="V6901" s="6">
        <v>1705.22</v>
      </c>
      <c r="W6901" s="6">
        <f t="shared" si="1077"/>
        <v>3445.5100000000011</v>
      </c>
      <c r="X6901" s="6">
        <f t="shared" si="1078"/>
        <v>1534.6980000000001</v>
      </c>
      <c r="Y6901" s="13">
        <f t="shared" si="1070"/>
        <v>0</v>
      </c>
      <c r="Z6901" s="66">
        <v>0</v>
      </c>
      <c r="AA6901" s="6">
        <v>0</v>
      </c>
      <c r="AB6901" s="4">
        <f t="shared" si="1071"/>
        <v>1534.6980000000001</v>
      </c>
      <c r="AC6901" s="6">
        <f t="shared" si="1069"/>
        <v>170.52199999999993</v>
      </c>
      <c r="AD6901" s="6">
        <f t="shared" si="1074"/>
        <v>1705.22</v>
      </c>
      <c r="AE6901" s="14">
        <f>VLOOKUP(I6901,[2]媒体政策预估表!A:N,MATCH(O6901,[2]媒体政策预估表!$A$2:$M$2,0),0)</f>
        <v>0.1293</v>
      </c>
      <c r="AF6901" s="6">
        <f t="shared" si="1076"/>
        <v>220.48494600000001</v>
      </c>
      <c r="AG6901" s="14">
        <v>0</v>
      </c>
      <c r="AH6901" s="64">
        <f t="shared" si="1075"/>
        <v>1705.22</v>
      </c>
      <c r="AJ6901" s="126" t="e">
        <v>#N/A</v>
      </c>
      <c r="AK6901" s="80">
        <f t="shared" si="1072"/>
        <v>0</v>
      </c>
      <c r="AL6901" s="85"/>
      <c r="AM6901" s="85"/>
    </row>
    <row r="6902" spans="1:39" s="86" customFormat="1" ht="13.25" hidden="1" customHeight="1" x14ac:dyDescent="0.3">
      <c r="A6902" s="89" t="s">
        <v>3792</v>
      </c>
      <c r="B6902" s="86" t="s">
        <v>701</v>
      </c>
      <c r="C6902" s="86" t="s">
        <v>59</v>
      </c>
      <c r="D6902" s="86" t="s">
        <v>60</v>
      </c>
      <c r="E6902" s="86" t="s">
        <v>2722</v>
      </c>
      <c r="F6902" s="86" t="s">
        <v>2722</v>
      </c>
      <c r="G6902" s="86" t="s">
        <v>2722</v>
      </c>
      <c r="H6902" s="144">
        <v>83</v>
      </c>
      <c r="I6902" s="86" t="s">
        <v>78</v>
      </c>
      <c r="J6902" s="1" t="s">
        <v>3303</v>
      </c>
      <c r="K6902" s="1" t="s">
        <v>3763</v>
      </c>
      <c r="L6902" s="1" t="s">
        <v>701</v>
      </c>
      <c r="M6902" s="86" t="s">
        <v>2726</v>
      </c>
      <c r="O6902" s="47" t="s">
        <v>410</v>
      </c>
      <c r="P6902" s="47" t="s">
        <v>92</v>
      </c>
      <c r="Q6902" s="14">
        <v>0.9</v>
      </c>
      <c r="R6902" s="143">
        <v>7200</v>
      </c>
      <c r="S6902" s="47"/>
      <c r="T6902" s="6">
        <v>5341.1199999999953</v>
      </c>
      <c r="U6902" s="6">
        <v>10000</v>
      </c>
      <c r="V6902" s="6">
        <v>7795.5300000000007</v>
      </c>
      <c r="W6902" s="6">
        <f t="shared" si="1077"/>
        <v>7545.5899999999947</v>
      </c>
      <c r="X6902" s="6">
        <f t="shared" si="1078"/>
        <v>7015.9770000000008</v>
      </c>
      <c r="Y6902" s="13">
        <f t="shared" si="1070"/>
        <v>0</v>
      </c>
      <c r="Z6902" s="66">
        <v>0</v>
      </c>
      <c r="AA6902" s="6">
        <v>0</v>
      </c>
      <c r="AB6902" s="4">
        <f t="shared" si="1071"/>
        <v>7015.9770000000008</v>
      </c>
      <c r="AC6902" s="6">
        <f t="shared" si="1069"/>
        <v>779.55299999999988</v>
      </c>
      <c r="AD6902" s="6">
        <f t="shared" si="1074"/>
        <v>7795.5300000000007</v>
      </c>
      <c r="AE6902" s="14">
        <f>VLOOKUP(I6902,[2]媒体政策预估表!A:N,MATCH(O6902,[2]媒体政策预估表!$A$2:$M$2,0),0)</f>
        <v>0.1293</v>
      </c>
      <c r="AF6902" s="6">
        <f t="shared" si="1076"/>
        <v>1007.962029</v>
      </c>
      <c r="AG6902" s="14">
        <v>0</v>
      </c>
      <c r="AH6902" s="64">
        <f t="shared" si="1075"/>
        <v>7795.5300000000007</v>
      </c>
      <c r="AJ6902" s="126" t="e">
        <v>#N/A</v>
      </c>
      <c r="AK6902" s="80">
        <f t="shared" si="1072"/>
        <v>0</v>
      </c>
      <c r="AL6902" s="85"/>
      <c r="AM6902" s="85"/>
    </row>
    <row r="6903" spans="1:39" s="86" customFormat="1" ht="13.25" hidden="1" customHeight="1" x14ac:dyDescent="0.3">
      <c r="A6903" s="89" t="s">
        <v>3978</v>
      </c>
      <c r="B6903" s="86" t="s">
        <v>701</v>
      </c>
      <c r="C6903" s="86" t="s">
        <v>59</v>
      </c>
      <c r="D6903" s="86" t="s">
        <v>60</v>
      </c>
      <c r="E6903" s="86" t="s">
        <v>2722</v>
      </c>
      <c r="F6903" s="86" t="s">
        <v>2722</v>
      </c>
      <c r="G6903" s="86" t="s">
        <v>2722</v>
      </c>
      <c r="H6903" s="144">
        <v>83</v>
      </c>
      <c r="I6903" s="86" t="s">
        <v>78</v>
      </c>
      <c r="J6903" s="1" t="s">
        <v>3303</v>
      </c>
      <c r="K6903" s="1" t="s">
        <v>3763</v>
      </c>
      <c r="L6903" s="1" t="s">
        <v>701</v>
      </c>
      <c r="M6903" s="86" t="s">
        <v>2727</v>
      </c>
      <c r="O6903" s="47" t="s">
        <v>410</v>
      </c>
      <c r="P6903" s="47" t="s">
        <v>92</v>
      </c>
      <c r="Q6903" s="14">
        <v>0.9</v>
      </c>
      <c r="R6903" s="143">
        <v>7136</v>
      </c>
      <c r="S6903" s="47"/>
      <c r="T6903" s="6">
        <v>4506.5999999999985</v>
      </c>
      <c r="U6903" s="6">
        <v>10000</v>
      </c>
      <c r="V6903" s="6">
        <v>10748.1</v>
      </c>
      <c r="W6903" s="6">
        <f t="shared" si="1077"/>
        <v>3758.4999999999982</v>
      </c>
      <c r="X6903" s="6">
        <f t="shared" si="1078"/>
        <v>9673.2900000000009</v>
      </c>
      <c r="Y6903" s="13">
        <f t="shared" si="1070"/>
        <v>0</v>
      </c>
      <c r="Z6903" s="66">
        <v>0</v>
      </c>
      <c r="AA6903" s="6">
        <v>0</v>
      </c>
      <c r="AB6903" s="4">
        <f t="shared" si="1071"/>
        <v>9673.2900000000009</v>
      </c>
      <c r="AC6903" s="6">
        <f t="shared" si="1069"/>
        <v>1074.8099999999995</v>
      </c>
      <c r="AD6903" s="6">
        <f t="shared" si="1074"/>
        <v>10748.1</v>
      </c>
      <c r="AE6903" s="14">
        <f>VLOOKUP(I6903,[2]媒体政策预估表!A:N,MATCH(O6903,[2]媒体政策预估表!$A$2:$M$2,0),0)</f>
        <v>0.1293</v>
      </c>
      <c r="AF6903" s="6">
        <f t="shared" si="1076"/>
        <v>1389.7293300000001</v>
      </c>
      <c r="AG6903" s="14">
        <v>0</v>
      </c>
      <c r="AH6903" s="64">
        <f t="shared" si="1075"/>
        <v>10748.1</v>
      </c>
      <c r="AJ6903" s="126" t="e">
        <v>#N/A</v>
      </c>
      <c r="AK6903" s="80">
        <f t="shared" si="1072"/>
        <v>0</v>
      </c>
      <c r="AL6903" s="85"/>
      <c r="AM6903" s="85"/>
    </row>
    <row r="6904" spans="1:39" s="86" customFormat="1" ht="13.25" hidden="1" customHeight="1" x14ac:dyDescent="0.3">
      <c r="A6904" s="89" t="s">
        <v>3792</v>
      </c>
      <c r="B6904" s="86" t="s">
        <v>701</v>
      </c>
      <c r="C6904" s="86" t="s">
        <v>59</v>
      </c>
      <c r="D6904" s="86" t="s">
        <v>60</v>
      </c>
      <c r="E6904" s="86" t="s">
        <v>2722</v>
      </c>
      <c r="F6904" s="86" t="s">
        <v>2722</v>
      </c>
      <c r="G6904" s="86" t="s">
        <v>2722</v>
      </c>
      <c r="H6904" s="143">
        <v>83</v>
      </c>
      <c r="I6904" s="86" t="s">
        <v>78</v>
      </c>
      <c r="J6904" s="1" t="s">
        <v>3303</v>
      </c>
      <c r="K6904" s="1" t="s">
        <v>3763</v>
      </c>
      <c r="L6904" s="1" t="s">
        <v>701</v>
      </c>
      <c r="M6904" s="86" t="s">
        <v>2891</v>
      </c>
      <c r="O6904" s="47" t="s">
        <v>410</v>
      </c>
      <c r="P6904" s="47" t="s">
        <v>92</v>
      </c>
      <c r="Q6904" s="14">
        <v>0.9</v>
      </c>
      <c r="R6904" s="143">
        <v>7498</v>
      </c>
      <c r="S6904" s="47"/>
      <c r="T6904" s="6">
        <v>13322.84</v>
      </c>
      <c r="U6904" s="6">
        <v>-13322.84</v>
      </c>
      <c r="V6904" s="6">
        <v>0</v>
      </c>
      <c r="W6904" s="6">
        <f t="shared" si="1077"/>
        <v>0</v>
      </c>
      <c r="X6904" s="6">
        <f t="shared" si="1078"/>
        <v>0</v>
      </c>
      <c r="Y6904" s="13">
        <f t="shared" si="1070"/>
        <v>0</v>
      </c>
      <c r="Z6904" s="66">
        <v>0</v>
      </c>
      <c r="AA6904" s="6">
        <v>0</v>
      </c>
      <c r="AB6904" s="4">
        <f t="shared" si="1071"/>
        <v>0</v>
      </c>
      <c r="AC6904" s="6">
        <f t="shared" si="1069"/>
        <v>0</v>
      </c>
      <c r="AD6904" s="6">
        <f t="shared" si="1074"/>
        <v>0</v>
      </c>
      <c r="AE6904" s="14">
        <f>VLOOKUP(I6904,[2]媒体政策预估表!A:N,MATCH(O6904,[2]媒体政策预估表!$A$2:$M$2,0),0)</f>
        <v>0.1293</v>
      </c>
      <c r="AF6904" s="6">
        <f t="shared" si="1076"/>
        <v>0</v>
      </c>
      <c r="AG6904" s="14">
        <v>0</v>
      </c>
      <c r="AH6904" s="64">
        <f t="shared" si="1075"/>
        <v>0</v>
      </c>
      <c r="AJ6904" s="126" t="e">
        <v>#N/A</v>
      </c>
      <c r="AK6904" s="80">
        <f t="shared" si="1072"/>
        <v>0</v>
      </c>
      <c r="AL6904" s="85"/>
      <c r="AM6904" s="85"/>
    </row>
    <row r="6905" spans="1:39" s="86" customFormat="1" ht="13.25" hidden="1" customHeight="1" x14ac:dyDescent="0.3">
      <c r="A6905" s="89" t="s">
        <v>3978</v>
      </c>
      <c r="B6905" s="86" t="s">
        <v>701</v>
      </c>
      <c r="C6905" s="86" t="s">
        <v>59</v>
      </c>
      <c r="D6905" s="86" t="s">
        <v>60</v>
      </c>
      <c r="E6905" s="86" t="s">
        <v>85</v>
      </c>
      <c r="F6905" s="86" t="s">
        <v>2730</v>
      </c>
      <c r="G6905" s="86" t="s">
        <v>85</v>
      </c>
      <c r="H6905" s="143">
        <v>83</v>
      </c>
      <c r="I6905" s="86" t="s">
        <v>78</v>
      </c>
      <c r="J6905" s="1" t="s">
        <v>3303</v>
      </c>
      <c r="K6905" s="1" t="s">
        <v>3763</v>
      </c>
      <c r="L6905" s="1" t="s">
        <v>701</v>
      </c>
      <c r="M6905" s="86" t="s">
        <v>2858</v>
      </c>
      <c r="O6905" s="47" t="s">
        <v>410</v>
      </c>
      <c r="P6905" s="47" t="s">
        <v>75</v>
      </c>
      <c r="Q6905" s="14">
        <v>0.1</v>
      </c>
      <c r="R6905" s="143">
        <v>105</v>
      </c>
      <c r="S6905" s="47"/>
      <c r="T6905" s="6">
        <v>0</v>
      </c>
      <c r="U6905" s="6">
        <v>10000</v>
      </c>
      <c r="V6905" s="6">
        <v>0</v>
      </c>
      <c r="W6905" s="6">
        <f t="shared" si="1077"/>
        <v>10000</v>
      </c>
      <c r="X6905" s="6">
        <f t="shared" si="1078"/>
        <v>0</v>
      </c>
      <c r="Y6905" s="13">
        <f t="shared" si="1070"/>
        <v>0</v>
      </c>
      <c r="Z6905" s="66">
        <v>0</v>
      </c>
      <c r="AA6905" s="6">
        <v>0</v>
      </c>
      <c r="AB6905" s="4">
        <f t="shared" si="1071"/>
        <v>0</v>
      </c>
      <c r="AC6905" s="6">
        <f t="shared" si="1069"/>
        <v>0</v>
      </c>
      <c r="AD6905" s="6">
        <f t="shared" si="1074"/>
        <v>0</v>
      </c>
      <c r="AE6905" s="14">
        <f>VLOOKUP(I6905,[2]媒体政策预估表!A:N,MATCH(O6905,[2]媒体政策预估表!$A$2:$M$2,0),0)</f>
        <v>0.1293</v>
      </c>
      <c r="AF6905" s="6">
        <f t="shared" si="1076"/>
        <v>0</v>
      </c>
      <c r="AG6905" s="14">
        <v>0</v>
      </c>
      <c r="AH6905" s="64">
        <f t="shared" si="1075"/>
        <v>0</v>
      </c>
      <c r="AJ6905" s="126" t="e">
        <v>#N/A</v>
      </c>
      <c r="AK6905" s="80">
        <f t="shared" si="1072"/>
        <v>0</v>
      </c>
      <c r="AL6905" s="85"/>
      <c r="AM6905" s="85"/>
    </row>
    <row r="6906" spans="1:39" s="86" customFormat="1" ht="13.25" hidden="1" customHeight="1" x14ac:dyDescent="0.3">
      <c r="A6906" s="89" t="s">
        <v>3978</v>
      </c>
      <c r="B6906" s="86" t="s">
        <v>701</v>
      </c>
      <c r="C6906" s="86" t="s">
        <v>59</v>
      </c>
      <c r="D6906" s="86" t="s">
        <v>60</v>
      </c>
      <c r="E6906" s="86" t="s">
        <v>85</v>
      </c>
      <c r="F6906" s="86" t="s">
        <v>2730</v>
      </c>
      <c r="G6906" s="86" t="s">
        <v>85</v>
      </c>
      <c r="H6906" s="144">
        <v>83</v>
      </c>
      <c r="I6906" s="86" t="s">
        <v>78</v>
      </c>
      <c r="J6906" s="1" t="s">
        <v>3303</v>
      </c>
      <c r="K6906" s="1" t="s">
        <v>3763</v>
      </c>
      <c r="L6906" s="1" t="s">
        <v>701</v>
      </c>
      <c r="M6906" s="86" t="s">
        <v>2731</v>
      </c>
      <c r="O6906" s="47" t="s">
        <v>410</v>
      </c>
      <c r="P6906" s="47" t="s">
        <v>75</v>
      </c>
      <c r="Q6906" s="14">
        <v>0.1</v>
      </c>
      <c r="R6906" s="143">
        <v>7481</v>
      </c>
      <c r="S6906" s="47"/>
      <c r="T6906" s="6">
        <v>776412.10000000009</v>
      </c>
      <c r="U6906" s="6">
        <v>848000</v>
      </c>
      <c r="V6906" s="6">
        <v>982906.20000000007</v>
      </c>
      <c r="W6906" s="6">
        <f t="shared" si="1077"/>
        <v>641505.9</v>
      </c>
      <c r="X6906" s="6">
        <f t="shared" si="1078"/>
        <v>982906.20000000007</v>
      </c>
      <c r="Y6906" s="13">
        <f t="shared" si="1070"/>
        <v>0</v>
      </c>
      <c r="Z6906" s="66">
        <v>0</v>
      </c>
      <c r="AA6906" s="6">
        <v>0</v>
      </c>
      <c r="AB6906" s="4">
        <f t="shared" si="1071"/>
        <v>982906.20000000007</v>
      </c>
      <c r="AC6906" s="6">
        <f t="shared" si="1069"/>
        <v>98290.62000000001</v>
      </c>
      <c r="AD6906" s="6">
        <f t="shared" si="1074"/>
        <v>982906.20000000007</v>
      </c>
      <c r="AE6906" s="14">
        <f>VLOOKUP(I6906,[2]媒体政策预估表!A:N,MATCH(O6906,[2]媒体政策预估表!$A$2:$M$2,0),0)</f>
        <v>0.1293</v>
      </c>
      <c r="AF6906" s="6">
        <f t="shared" si="1076"/>
        <v>127089.77166000001</v>
      </c>
      <c r="AG6906" s="14">
        <v>0</v>
      </c>
      <c r="AH6906" s="64">
        <f t="shared" si="1075"/>
        <v>982906.20000000007</v>
      </c>
      <c r="AJ6906" s="126" t="e">
        <v>#N/A</v>
      </c>
      <c r="AK6906" s="80">
        <f t="shared" si="1072"/>
        <v>0</v>
      </c>
      <c r="AL6906" s="85"/>
      <c r="AM6906" s="85"/>
    </row>
    <row r="6907" spans="1:39" s="86" customFormat="1" ht="13.25" hidden="1" customHeight="1" x14ac:dyDescent="0.3">
      <c r="A6907" s="89" t="s">
        <v>3978</v>
      </c>
      <c r="B6907" s="86" t="s">
        <v>701</v>
      </c>
      <c r="C6907" s="86" t="s">
        <v>59</v>
      </c>
      <c r="D6907" s="86" t="s">
        <v>60</v>
      </c>
      <c r="E6907" s="86" t="s">
        <v>3995</v>
      </c>
      <c r="F6907" s="86" t="s">
        <v>3995</v>
      </c>
      <c r="G6907" s="86" t="s">
        <v>3995</v>
      </c>
      <c r="H6907" s="144">
        <v>83</v>
      </c>
      <c r="I6907" s="86" t="s">
        <v>78</v>
      </c>
      <c r="J6907" s="1" t="s">
        <v>3303</v>
      </c>
      <c r="K6907" s="1" t="s">
        <v>3763</v>
      </c>
      <c r="L6907" s="1" t="s">
        <v>701</v>
      </c>
      <c r="M6907" s="86" t="s">
        <v>3995</v>
      </c>
      <c r="O6907" s="47" t="s">
        <v>410</v>
      </c>
      <c r="P6907" s="47" t="s">
        <v>41</v>
      </c>
      <c r="Q6907" s="14">
        <v>0</v>
      </c>
      <c r="R6907" s="143">
        <v>7695</v>
      </c>
      <c r="S6907" s="47"/>
      <c r="T6907" s="6">
        <v>0</v>
      </c>
      <c r="U6907" s="6">
        <v>2000</v>
      </c>
      <c r="V6907" s="6">
        <v>1168.08</v>
      </c>
      <c r="W6907" s="6">
        <f t="shared" si="1077"/>
        <v>831.92000000000007</v>
      </c>
      <c r="X6907" s="6">
        <f t="shared" si="1078"/>
        <v>1168.08</v>
      </c>
      <c r="Y6907" s="13">
        <f t="shared" si="1070"/>
        <v>0</v>
      </c>
      <c r="Z6907" s="66">
        <v>0</v>
      </c>
      <c r="AA6907" s="6">
        <v>0</v>
      </c>
      <c r="AB6907" s="4">
        <f t="shared" si="1071"/>
        <v>1168.08</v>
      </c>
      <c r="AC6907" s="6">
        <f t="shared" si="1069"/>
        <v>0</v>
      </c>
      <c r="AD6907" s="6">
        <f t="shared" si="1074"/>
        <v>1168.08</v>
      </c>
      <c r="AE6907" s="14">
        <f>VLOOKUP(I6907,[2]媒体政策预估表!A:N,MATCH(O6907,[2]媒体政策预估表!$A$2:$M$2,0),0)</f>
        <v>0.1293</v>
      </c>
      <c r="AF6907" s="6">
        <f t="shared" si="1076"/>
        <v>151.03274399999998</v>
      </c>
      <c r="AG6907" s="14">
        <v>0</v>
      </c>
      <c r="AH6907" s="64">
        <f t="shared" si="1075"/>
        <v>1168.08</v>
      </c>
      <c r="AJ6907" s="126" t="e">
        <v>#N/A</v>
      </c>
      <c r="AK6907" s="80">
        <f t="shared" si="1072"/>
        <v>0</v>
      </c>
      <c r="AL6907" s="85"/>
      <c r="AM6907" s="85"/>
    </row>
    <row r="6908" spans="1:39" s="86" customFormat="1" ht="13.25" hidden="1" customHeight="1" x14ac:dyDescent="0.3">
      <c r="A6908" s="89" t="s">
        <v>3978</v>
      </c>
      <c r="B6908" s="86" t="s">
        <v>701</v>
      </c>
      <c r="C6908" s="86" t="s">
        <v>36</v>
      </c>
      <c r="D6908" s="86" t="s">
        <v>185</v>
      </c>
      <c r="E6908" s="86" t="s">
        <v>2393</v>
      </c>
      <c r="F6908" s="86" t="s">
        <v>2774</v>
      </c>
      <c r="G6908" s="86" t="s">
        <v>2393</v>
      </c>
      <c r="H6908" s="144">
        <v>83</v>
      </c>
      <c r="I6908" s="86" t="s">
        <v>78</v>
      </c>
      <c r="J6908" s="1" t="s">
        <v>3303</v>
      </c>
      <c r="K6908" s="1" t="s">
        <v>3763</v>
      </c>
      <c r="L6908" s="1" t="s">
        <v>701</v>
      </c>
      <c r="M6908" s="86" t="s">
        <v>2775</v>
      </c>
      <c r="O6908" s="47" t="s">
        <v>410</v>
      </c>
      <c r="P6908" s="47" t="s">
        <v>46</v>
      </c>
      <c r="Q6908" s="14">
        <v>7.0000000000000007E-2</v>
      </c>
      <c r="R6908" s="143">
        <v>7587</v>
      </c>
      <c r="S6908" s="47"/>
      <c r="T6908" s="6">
        <v>11111.2</v>
      </c>
      <c r="U6908" s="6">
        <v>21400</v>
      </c>
      <c r="V6908" s="6">
        <v>17728.3</v>
      </c>
      <c r="W6908" s="6">
        <f t="shared" si="1077"/>
        <v>14782.900000000001</v>
      </c>
      <c r="X6908" s="6">
        <f t="shared" si="1078"/>
        <v>16568.504672897194</v>
      </c>
      <c r="Y6908" s="13">
        <f t="shared" si="1070"/>
        <v>0</v>
      </c>
      <c r="Z6908" s="66">
        <v>0</v>
      </c>
      <c r="AA6908" s="6">
        <v>0</v>
      </c>
      <c r="AB6908" s="4">
        <f t="shared" si="1071"/>
        <v>16568.504672897194</v>
      </c>
      <c r="AC6908" s="6">
        <f t="shared" si="1069"/>
        <v>1159.7953271028055</v>
      </c>
      <c r="AD6908" s="6">
        <f t="shared" si="1074"/>
        <v>17728.3</v>
      </c>
      <c r="AE6908" s="14">
        <f>VLOOKUP(I6908,[2]媒体政策预估表!A:N,MATCH(O6908,[2]媒体政策预估表!$A$2:$M$2,0),0)</f>
        <v>0.1293</v>
      </c>
      <c r="AF6908" s="6">
        <f t="shared" si="1076"/>
        <v>2292.26919</v>
      </c>
      <c r="AG6908" s="14">
        <v>0</v>
      </c>
      <c r="AH6908" s="64">
        <f t="shared" si="1075"/>
        <v>17728.3</v>
      </c>
      <c r="AJ6908" s="126" t="e">
        <v>#N/A</v>
      </c>
      <c r="AK6908" s="80">
        <f t="shared" si="1072"/>
        <v>0</v>
      </c>
      <c r="AL6908" s="85"/>
      <c r="AM6908" s="85"/>
    </row>
    <row r="6909" spans="1:39" s="86" customFormat="1" ht="13.25" hidden="1" customHeight="1" x14ac:dyDescent="0.3">
      <c r="A6909" s="89" t="s">
        <v>3792</v>
      </c>
      <c r="B6909" s="86" t="s">
        <v>701</v>
      </c>
      <c r="C6909" s="86" t="s">
        <v>36</v>
      </c>
      <c r="D6909" s="86" t="s">
        <v>185</v>
      </c>
      <c r="E6909" s="86" t="s">
        <v>2409</v>
      </c>
      <c r="F6909" s="86" t="s">
        <v>2776</v>
      </c>
      <c r="G6909" s="86" t="s">
        <v>2409</v>
      </c>
      <c r="H6909" s="144">
        <v>83</v>
      </c>
      <c r="I6909" s="86" t="s">
        <v>78</v>
      </c>
      <c r="J6909" s="1" t="s">
        <v>3303</v>
      </c>
      <c r="K6909" s="1" t="s">
        <v>3763</v>
      </c>
      <c r="L6909" s="1" t="s">
        <v>701</v>
      </c>
      <c r="M6909" s="86" t="s">
        <v>2777</v>
      </c>
      <c r="O6909" s="47" t="s">
        <v>410</v>
      </c>
      <c r="P6909" s="47" t="s">
        <v>46</v>
      </c>
      <c r="Q6909" s="14">
        <v>7.0000000000000007E-2</v>
      </c>
      <c r="R6909" s="143">
        <v>7585</v>
      </c>
      <c r="S6909" s="47"/>
      <c r="T6909" s="6">
        <v>122334.79999999999</v>
      </c>
      <c r="U6909" s="6">
        <v>342400</v>
      </c>
      <c r="V6909" s="6">
        <v>360754.4</v>
      </c>
      <c r="W6909" s="6">
        <f t="shared" si="1077"/>
        <v>103980.39999999997</v>
      </c>
      <c r="X6909" s="6">
        <f t="shared" si="1078"/>
        <v>337153.6448598131</v>
      </c>
      <c r="Y6909" s="13">
        <f t="shared" si="1070"/>
        <v>0</v>
      </c>
      <c r="Z6909" s="66">
        <v>0</v>
      </c>
      <c r="AA6909" s="6">
        <v>0</v>
      </c>
      <c r="AB6909" s="4">
        <f t="shared" si="1071"/>
        <v>337153.6448598131</v>
      </c>
      <c r="AC6909" s="6">
        <f t="shared" si="1069"/>
        <v>23600.755140186928</v>
      </c>
      <c r="AD6909" s="6">
        <f t="shared" si="1074"/>
        <v>360754.4</v>
      </c>
      <c r="AE6909" s="14">
        <f>VLOOKUP(I6909,[2]媒体政策预估表!A:N,MATCH(O6909,[2]媒体政策预估表!$A$2:$M$2,0),0)</f>
        <v>0.1293</v>
      </c>
      <c r="AF6909" s="6">
        <f t="shared" si="1076"/>
        <v>46645.543920000004</v>
      </c>
      <c r="AG6909" s="14">
        <v>0</v>
      </c>
      <c r="AH6909" s="64">
        <f t="shared" si="1075"/>
        <v>360754.4</v>
      </c>
      <c r="AJ6909" s="126" t="e">
        <v>#N/A</v>
      </c>
      <c r="AK6909" s="80">
        <f t="shared" si="1072"/>
        <v>0</v>
      </c>
      <c r="AL6909" s="85"/>
      <c r="AM6909" s="85"/>
    </row>
    <row r="6910" spans="1:39" s="86" customFormat="1" ht="13.25" hidden="1" customHeight="1" x14ac:dyDescent="0.3">
      <c r="A6910" s="89" t="s">
        <v>3978</v>
      </c>
      <c r="B6910" s="86" t="s">
        <v>701</v>
      </c>
      <c r="C6910" s="86" t="s">
        <v>36</v>
      </c>
      <c r="D6910" s="86" t="s">
        <v>185</v>
      </c>
      <c r="E6910" s="86" t="s">
        <v>2409</v>
      </c>
      <c r="F6910" s="86" t="s">
        <v>2776</v>
      </c>
      <c r="G6910" s="86" t="s">
        <v>2409</v>
      </c>
      <c r="H6910" s="144">
        <v>83</v>
      </c>
      <c r="I6910" s="86" t="s">
        <v>78</v>
      </c>
      <c r="J6910" s="1" t="s">
        <v>3303</v>
      </c>
      <c r="K6910" s="1" t="s">
        <v>3763</v>
      </c>
      <c r="L6910" s="1" t="s">
        <v>701</v>
      </c>
      <c r="M6910" s="86" t="s">
        <v>2778</v>
      </c>
      <c r="O6910" s="47" t="s">
        <v>410</v>
      </c>
      <c r="P6910" s="47" t="s">
        <v>46</v>
      </c>
      <c r="Q6910" s="14">
        <v>7.0000000000000007E-2</v>
      </c>
      <c r="R6910" s="143">
        <v>7583</v>
      </c>
      <c r="S6910" s="47"/>
      <c r="T6910" s="6">
        <v>206188.06000000006</v>
      </c>
      <c r="U6910" s="6">
        <v>588500</v>
      </c>
      <c r="V6910" s="6">
        <v>635428.92999999993</v>
      </c>
      <c r="W6910" s="6">
        <f t="shared" si="1077"/>
        <v>159259.13000000012</v>
      </c>
      <c r="X6910" s="6">
        <f t="shared" si="1078"/>
        <v>593858.81308411201</v>
      </c>
      <c r="Y6910" s="13">
        <f t="shared" si="1070"/>
        <v>0</v>
      </c>
      <c r="Z6910" s="66">
        <v>0</v>
      </c>
      <c r="AA6910" s="6">
        <v>0</v>
      </c>
      <c r="AB6910" s="4">
        <f t="shared" si="1071"/>
        <v>593858.81308411201</v>
      </c>
      <c r="AC6910" s="6">
        <f t="shared" ref="AC6910:AC6973" si="1079">IF(P6910="返现",X6910*Q6910,V6910-X6910)</f>
        <v>41570.11691588792</v>
      </c>
      <c r="AD6910" s="6">
        <f t="shared" si="1074"/>
        <v>635428.92999999993</v>
      </c>
      <c r="AE6910" s="14">
        <f>VLOOKUP(I6910,[2]媒体政策预估表!A:N,MATCH(O6910,[2]媒体政策预估表!$A$2:$M$2,0),0)</f>
        <v>0.1293</v>
      </c>
      <c r="AF6910" s="6">
        <f t="shared" si="1076"/>
        <v>82160.960648999986</v>
      </c>
      <c r="AG6910" s="14">
        <v>0</v>
      </c>
      <c r="AH6910" s="64">
        <f t="shared" si="1075"/>
        <v>635428.92999999993</v>
      </c>
      <c r="AJ6910" s="126" t="e">
        <v>#N/A</v>
      </c>
      <c r="AK6910" s="80">
        <f t="shared" si="1072"/>
        <v>0</v>
      </c>
      <c r="AL6910" s="85"/>
      <c r="AM6910" s="85"/>
    </row>
    <row r="6911" spans="1:39" s="86" customFormat="1" ht="13.25" hidden="1" customHeight="1" x14ac:dyDescent="0.3">
      <c r="A6911" s="89" t="s">
        <v>3978</v>
      </c>
      <c r="B6911" s="86" t="s">
        <v>701</v>
      </c>
      <c r="C6911" s="86" t="s">
        <v>36</v>
      </c>
      <c r="D6911" s="86" t="s">
        <v>185</v>
      </c>
      <c r="E6911" s="86" t="s">
        <v>2409</v>
      </c>
      <c r="F6911" s="86" t="s">
        <v>2776</v>
      </c>
      <c r="G6911" s="86" t="s">
        <v>2409</v>
      </c>
      <c r="H6911" s="144">
        <v>83</v>
      </c>
      <c r="I6911" s="86" t="s">
        <v>78</v>
      </c>
      <c r="J6911" s="1" t="s">
        <v>3303</v>
      </c>
      <c r="K6911" s="1" t="s">
        <v>3763</v>
      </c>
      <c r="L6911" s="1" t="s">
        <v>701</v>
      </c>
      <c r="M6911" s="86" t="s">
        <v>2779</v>
      </c>
      <c r="O6911" s="47" t="s">
        <v>410</v>
      </c>
      <c r="P6911" s="47" t="s">
        <v>46</v>
      </c>
      <c r="Q6911" s="14">
        <v>7.0000000000000007E-2</v>
      </c>
      <c r="R6911" s="143">
        <v>7584</v>
      </c>
      <c r="S6911" s="47"/>
      <c r="T6911" s="6">
        <v>107510.07000000007</v>
      </c>
      <c r="U6911" s="6">
        <v>246100</v>
      </c>
      <c r="V6911" s="6">
        <v>281765.62</v>
      </c>
      <c r="W6911" s="6">
        <f t="shared" si="1077"/>
        <v>71844.45000000007</v>
      </c>
      <c r="X6911" s="6">
        <f t="shared" si="1078"/>
        <v>263332.3551401869</v>
      </c>
      <c r="Y6911" s="13">
        <f t="shared" si="1070"/>
        <v>0</v>
      </c>
      <c r="Z6911" s="66">
        <v>0</v>
      </c>
      <c r="AA6911" s="6">
        <v>0</v>
      </c>
      <c r="AB6911" s="4">
        <f t="shared" si="1071"/>
        <v>263332.3551401869</v>
      </c>
      <c r="AC6911" s="6">
        <f t="shared" si="1079"/>
        <v>18433.264859813091</v>
      </c>
      <c r="AD6911" s="6">
        <f t="shared" si="1074"/>
        <v>281765.62</v>
      </c>
      <c r="AE6911" s="14">
        <f>VLOOKUP(I6911,[2]媒体政策预估表!A:N,MATCH(O6911,[2]媒体政策预估表!$A$2:$M$2,0),0)</f>
        <v>0.1293</v>
      </c>
      <c r="AF6911" s="6">
        <f t="shared" si="1076"/>
        <v>36432.294666000002</v>
      </c>
      <c r="AG6911" s="14">
        <v>0</v>
      </c>
      <c r="AH6911" s="64">
        <f t="shared" si="1075"/>
        <v>281765.62</v>
      </c>
      <c r="AJ6911" s="126" t="e">
        <v>#N/A</v>
      </c>
      <c r="AK6911" s="80">
        <f t="shared" si="1072"/>
        <v>0</v>
      </c>
      <c r="AL6911" s="85"/>
      <c r="AM6911" s="85"/>
    </row>
    <row r="6912" spans="1:39" s="86" customFormat="1" ht="13.25" hidden="1" customHeight="1" x14ac:dyDescent="0.3">
      <c r="A6912" s="89" t="s">
        <v>3978</v>
      </c>
      <c r="B6912" s="86" t="s">
        <v>701</v>
      </c>
      <c r="C6912" s="86" t="s">
        <v>65</v>
      </c>
      <c r="D6912" s="86" t="s">
        <v>66</v>
      </c>
      <c r="E6912" s="86" t="s">
        <v>2752</v>
      </c>
      <c r="F6912" s="86" t="s">
        <v>2752</v>
      </c>
      <c r="G6912" s="86" t="s">
        <v>2752</v>
      </c>
      <c r="H6912" s="144">
        <v>83</v>
      </c>
      <c r="I6912" s="86" t="s">
        <v>78</v>
      </c>
      <c r="J6912" s="1" t="s">
        <v>3303</v>
      </c>
      <c r="K6912" s="1" t="s">
        <v>3763</v>
      </c>
      <c r="L6912" s="1" t="s">
        <v>701</v>
      </c>
      <c r="M6912" s="86" t="s">
        <v>2753</v>
      </c>
      <c r="O6912" s="47" t="s">
        <v>410</v>
      </c>
      <c r="P6912" s="47" t="s">
        <v>41</v>
      </c>
      <c r="Q6912" s="14">
        <v>0</v>
      </c>
      <c r="R6912" s="143">
        <v>7593</v>
      </c>
      <c r="S6912" s="47"/>
      <c r="T6912" s="6">
        <v>49355.8</v>
      </c>
      <c r="U6912" s="6">
        <v>50000</v>
      </c>
      <c r="V6912" s="6">
        <v>49858.619999999995</v>
      </c>
      <c r="W6912" s="6">
        <f t="shared" si="1077"/>
        <v>49497.180000000008</v>
      </c>
      <c r="X6912" s="6">
        <f t="shared" si="1078"/>
        <v>49858.619999999995</v>
      </c>
      <c r="Y6912" s="13">
        <f t="shared" si="1070"/>
        <v>0</v>
      </c>
      <c r="Z6912" s="66">
        <v>0</v>
      </c>
      <c r="AA6912" s="6">
        <v>0</v>
      </c>
      <c r="AB6912" s="4">
        <f t="shared" si="1071"/>
        <v>49858.619999999995</v>
      </c>
      <c r="AC6912" s="6">
        <f t="shared" si="1079"/>
        <v>0</v>
      </c>
      <c r="AD6912" s="6">
        <f t="shared" si="1074"/>
        <v>49858.619999999995</v>
      </c>
      <c r="AE6912" s="14">
        <f>VLOOKUP(I6912,[2]媒体政策预估表!A:N,MATCH(O6912,[2]媒体政策预估表!$A$2:$M$2,0),0)</f>
        <v>0.1293</v>
      </c>
      <c r="AF6912" s="6">
        <f t="shared" si="1076"/>
        <v>6446.7195659999998</v>
      </c>
      <c r="AG6912" s="14">
        <v>0</v>
      </c>
      <c r="AH6912" s="64">
        <f t="shared" si="1075"/>
        <v>49858.619999999995</v>
      </c>
      <c r="AJ6912" s="126" t="e">
        <v>#N/A</v>
      </c>
      <c r="AK6912" s="80">
        <f t="shared" si="1072"/>
        <v>0</v>
      </c>
      <c r="AL6912" s="85"/>
      <c r="AM6912" s="85"/>
    </row>
    <row r="6913" spans="1:39" s="86" customFormat="1" ht="13.25" hidden="1" customHeight="1" x14ac:dyDescent="0.3">
      <c r="A6913" s="89" t="s">
        <v>3978</v>
      </c>
      <c r="B6913" s="86" t="s">
        <v>701</v>
      </c>
      <c r="C6913" s="86" t="s">
        <v>65</v>
      </c>
      <c r="D6913" s="86" t="s">
        <v>66</v>
      </c>
      <c r="E6913" s="86" t="s">
        <v>493</v>
      </c>
      <c r="F6913" s="86" t="s">
        <v>493</v>
      </c>
      <c r="G6913" s="86" t="s">
        <v>493</v>
      </c>
      <c r="H6913" s="144">
        <v>83</v>
      </c>
      <c r="I6913" s="86" t="s">
        <v>78</v>
      </c>
      <c r="J6913" s="1" t="s">
        <v>3303</v>
      </c>
      <c r="K6913" s="1" t="s">
        <v>3763</v>
      </c>
      <c r="L6913" s="1" t="s">
        <v>701</v>
      </c>
      <c r="M6913" s="86" t="s">
        <v>493</v>
      </c>
      <c r="O6913" s="47" t="s">
        <v>410</v>
      </c>
      <c r="P6913" s="47" t="s">
        <v>41</v>
      </c>
      <c r="Q6913" s="14">
        <v>0</v>
      </c>
      <c r="R6913" s="143">
        <v>7624</v>
      </c>
      <c r="S6913" s="47"/>
      <c r="T6913" s="6">
        <v>22212.599999999991</v>
      </c>
      <c r="U6913" s="6">
        <v>30000</v>
      </c>
      <c r="V6913" s="6">
        <v>46065.5</v>
      </c>
      <c r="W6913" s="6">
        <f t="shared" si="1077"/>
        <v>6147.0999999999913</v>
      </c>
      <c r="X6913" s="6">
        <f t="shared" si="1078"/>
        <v>46065.5</v>
      </c>
      <c r="Y6913" s="13">
        <f t="shared" si="1070"/>
        <v>0</v>
      </c>
      <c r="Z6913" s="66">
        <v>0</v>
      </c>
      <c r="AA6913" s="6">
        <v>0</v>
      </c>
      <c r="AB6913" s="4">
        <f t="shared" si="1071"/>
        <v>46065.5</v>
      </c>
      <c r="AC6913" s="6">
        <f t="shared" si="1079"/>
        <v>0</v>
      </c>
      <c r="AD6913" s="6">
        <f t="shared" si="1074"/>
        <v>46065.5</v>
      </c>
      <c r="AE6913" s="14">
        <f>VLOOKUP(I6913,[2]媒体政策预估表!A:N,MATCH(O6913,[2]媒体政策预估表!$A$2:$M$2,0),0)</f>
        <v>0.1293</v>
      </c>
      <c r="AF6913" s="6">
        <f t="shared" si="1076"/>
        <v>5956.2691500000001</v>
      </c>
      <c r="AG6913" s="14">
        <v>0</v>
      </c>
      <c r="AH6913" s="64">
        <f t="shared" si="1075"/>
        <v>46065.5</v>
      </c>
      <c r="AJ6913" s="126" t="e">
        <v>#N/A</v>
      </c>
      <c r="AK6913" s="80">
        <f t="shared" si="1072"/>
        <v>0</v>
      </c>
      <c r="AL6913" s="85"/>
      <c r="AM6913" s="85"/>
    </row>
    <row r="6914" spans="1:39" s="86" customFormat="1" ht="13.25" hidden="1" customHeight="1" x14ac:dyDescent="0.3">
      <c r="A6914" s="89" t="s">
        <v>3792</v>
      </c>
      <c r="B6914" s="86" t="s">
        <v>701</v>
      </c>
      <c r="C6914" s="86" t="s">
        <v>65</v>
      </c>
      <c r="D6914" s="86" t="s">
        <v>66</v>
      </c>
      <c r="E6914" s="86" t="s">
        <v>2851</v>
      </c>
      <c r="F6914" s="86" t="s">
        <v>2851</v>
      </c>
      <c r="G6914" s="86" t="s">
        <v>2851</v>
      </c>
      <c r="H6914" s="143">
        <v>83</v>
      </c>
      <c r="I6914" s="86" t="s">
        <v>78</v>
      </c>
      <c r="J6914" s="1" t="s">
        <v>3303</v>
      </c>
      <c r="K6914" s="1" t="s">
        <v>3763</v>
      </c>
      <c r="L6914" s="1" t="s">
        <v>701</v>
      </c>
      <c r="M6914" s="86" t="s">
        <v>2852</v>
      </c>
      <c r="O6914" s="47" t="s">
        <v>410</v>
      </c>
      <c r="P6914" s="47" t="s">
        <v>41</v>
      </c>
      <c r="Q6914" s="14">
        <v>0</v>
      </c>
      <c r="R6914" s="143">
        <v>7160</v>
      </c>
      <c r="S6914" s="47"/>
      <c r="T6914" s="6">
        <v>0</v>
      </c>
      <c r="U6914" s="6">
        <v>0</v>
      </c>
      <c r="V6914" s="6">
        <v>0</v>
      </c>
      <c r="W6914" s="6">
        <f t="shared" si="1077"/>
        <v>0</v>
      </c>
      <c r="X6914" s="6">
        <f t="shared" si="1078"/>
        <v>0</v>
      </c>
      <c r="Y6914" s="13">
        <f t="shared" si="1070"/>
        <v>0</v>
      </c>
      <c r="Z6914" s="66">
        <v>0</v>
      </c>
      <c r="AA6914" s="6">
        <v>0</v>
      </c>
      <c r="AB6914" s="4">
        <f t="shared" si="1071"/>
        <v>0</v>
      </c>
      <c r="AC6914" s="6">
        <f t="shared" si="1079"/>
        <v>0</v>
      </c>
      <c r="AD6914" s="6">
        <f t="shared" si="1074"/>
        <v>0</v>
      </c>
      <c r="AE6914" s="14">
        <f>VLOOKUP(I6914,[2]媒体政策预估表!A:N,MATCH(O6914,[2]媒体政策预估表!$A$2:$M$2,0),0)</f>
        <v>0.1293</v>
      </c>
      <c r="AF6914" s="6">
        <f t="shared" si="1076"/>
        <v>0</v>
      </c>
      <c r="AG6914" s="14">
        <v>0</v>
      </c>
      <c r="AH6914" s="64">
        <f t="shared" si="1075"/>
        <v>0</v>
      </c>
      <c r="AJ6914" s="126" t="e">
        <v>#N/A</v>
      </c>
      <c r="AK6914" s="80">
        <f t="shared" si="1072"/>
        <v>0</v>
      </c>
      <c r="AL6914" s="85"/>
      <c r="AM6914" s="85"/>
    </row>
    <row r="6915" spans="1:39" s="86" customFormat="1" ht="13.25" hidden="1" customHeight="1" x14ac:dyDescent="0.3">
      <c r="A6915" s="89" t="s">
        <v>3978</v>
      </c>
      <c r="B6915" s="86" t="s">
        <v>701</v>
      </c>
      <c r="C6915" s="86" t="s">
        <v>65</v>
      </c>
      <c r="D6915" s="86" t="s">
        <v>66</v>
      </c>
      <c r="E6915" s="86" t="s">
        <v>494</v>
      </c>
      <c r="F6915" s="86" t="s">
        <v>494</v>
      </c>
      <c r="G6915" s="86" t="s">
        <v>494</v>
      </c>
      <c r="H6915" s="144">
        <v>83</v>
      </c>
      <c r="I6915" s="86" t="s">
        <v>78</v>
      </c>
      <c r="J6915" s="1" t="s">
        <v>3303</v>
      </c>
      <c r="K6915" s="1" t="s">
        <v>3763</v>
      </c>
      <c r="L6915" s="1" t="s">
        <v>701</v>
      </c>
      <c r="M6915" s="86" t="s">
        <v>495</v>
      </c>
      <c r="O6915" s="47" t="s">
        <v>410</v>
      </c>
      <c r="P6915" s="47" t="s">
        <v>41</v>
      </c>
      <c r="Q6915" s="14">
        <v>0</v>
      </c>
      <c r="R6915" s="143">
        <v>7097</v>
      </c>
      <c r="S6915" s="47"/>
      <c r="T6915" s="6">
        <v>57257.939999999915</v>
      </c>
      <c r="U6915" s="6">
        <v>150000</v>
      </c>
      <c r="V6915" s="6">
        <v>140469.94</v>
      </c>
      <c r="W6915" s="6">
        <f t="shared" si="1077"/>
        <v>66787.999999999913</v>
      </c>
      <c r="X6915" s="6">
        <f t="shared" si="1078"/>
        <v>140469.94</v>
      </c>
      <c r="Y6915" s="13">
        <f t="shared" ref="Y6915:Y6978" si="1080">IF(X6915-AD6915&lt;=0,0,IF(P6915="返现",MAX(X6915-AC6915-AD6915,0),MAX(X6915-AD6915)))</f>
        <v>0</v>
      </c>
      <c r="Z6915" s="66">
        <v>0</v>
      </c>
      <c r="AA6915" s="6">
        <v>0</v>
      </c>
      <c r="AB6915" s="4">
        <f t="shared" ref="AB6915:AB6978" si="1081">X6915+AA6915</f>
        <v>140469.94</v>
      </c>
      <c r="AC6915" s="6">
        <f t="shared" si="1079"/>
        <v>0</v>
      </c>
      <c r="AD6915" s="6">
        <f t="shared" si="1074"/>
        <v>140469.94</v>
      </c>
      <c r="AE6915" s="14">
        <f>VLOOKUP(I6915,[2]媒体政策预估表!A:N,MATCH(O6915,[2]媒体政策预估表!$A$2:$M$2,0),0)</f>
        <v>0.1293</v>
      </c>
      <c r="AF6915" s="6">
        <f t="shared" si="1076"/>
        <v>18162.763242000001</v>
      </c>
      <c r="AG6915" s="14">
        <v>0</v>
      </c>
      <c r="AH6915" s="64">
        <f t="shared" si="1075"/>
        <v>140469.94</v>
      </c>
      <c r="AJ6915" s="126" t="e">
        <v>#N/A</v>
      </c>
      <c r="AK6915" s="80">
        <f t="shared" ref="AK6915:AK6978" si="1082">X6915+AA6915-AB6915</f>
        <v>0</v>
      </c>
      <c r="AL6915" s="85"/>
      <c r="AM6915" s="85"/>
    </row>
    <row r="6916" spans="1:39" s="86" customFormat="1" ht="13.25" hidden="1" customHeight="1" x14ac:dyDescent="0.3">
      <c r="A6916" s="89" t="s">
        <v>3792</v>
      </c>
      <c r="B6916" s="86" t="s">
        <v>701</v>
      </c>
      <c r="C6916" s="86" t="s">
        <v>65</v>
      </c>
      <c r="D6916" s="86" t="s">
        <v>66</v>
      </c>
      <c r="E6916" s="86" t="s">
        <v>1881</v>
      </c>
      <c r="F6916" s="86" t="s">
        <v>1881</v>
      </c>
      <c r="G6916" s="86" t="s">
        <v>1881</v>
      </c>
      <c r="H6916" s="144">
        <v>83</v>
      </c>
      <c r="I6916" s="86" t="s">
        <v>78</v>
      </c>
      <c r="J6916" s="1" t="s">
        <v>3303</v>
      </c>
      <c r="K6916" s="1" t="s">
        <v>3763</v>
      </c>
      <c r="L6916" s="1" t="s">
        <v>701</v>
      </c>
      <c r="M6916" s="86" t="s">
        <v>2754</v>
      </c>
      <c r="O6916" s="47" t="s">
        <v>410</v>
      </c>
      <c r="P6916" s="47" t="s">
        <v>41</v>
      </c>
      <c r="Q6916" s="14">
        <v>0</v>
      </c>
      <c r="R6916" s="143">
        <v>7275</v>
      </c>
      <c r="S6916" s="47"/>
      <c r="T6916" s="6">
        <v>4737.0799999998562</v>
      </c>
      <c r="U6916" s="6">
        <v>75000</v>
      </c>
      <c r="V6916" s="6">
        <v>69996.11</v>
      </c>
      <c r="W6916" s="6">
        <f t="shared" si="1077"/>
        <v>9740.9699999998556</v>
      </c>
      <c r="X6916" s="6">
        <f t="shared" si="1078"/>
        <v>69996.11</v>
      </c>
      <c r="Y6916" s="13">
        <f t="shared" si="1080"/>
        <v>0</v>
      </c>
      <c r="Z6916" s="66">
        <v>0</v>
      </c>
      <c r="AA6916" s="6">
        <v>0</v>
      </c>
      <c r="AB6916" s="4">
        <f t="shared" si="1081"/>
        <v>69996.11</v>
      </c>
      <c r="AC6916" s="6">
        <f t="shared" si="1079"/>
        <v>0</v>
      </c>
      <c r="AD6916" s="6">
        <f t="shared" si="1074"/>
        <v>69996.11</v>
      </c>
      <c r="AE6916" s="14">
        <f>VLOOKUP(I6916,[2]媒体政策预估表!A:N,MATCH(O6916,[2]媒体政策预估表!$A$2:$M$2,0),0)</f>
        <v>0.1293</v>
      </c>
      <c r="AF6916" s="6">
        <f t="shared" si="1076"/>
        <v>9050.4970229999999</v>
      </c>
      <c r="AG6916" s="14">
        <v>0</v>
      </c>
      <c r="AH6916" s="64">
        <f t="shared" si="1075"/>
        <v>69996.11</v>
      </c>
      <c r="AJ6916" s="126" t="e">
        <v>#N/A</v>
      </c>
      <c r="AK6916" s="80">
        <f t="shared" si="1082"/>
        <v>0</v>
      </c>
      <c r="AL6916" s="85"/>
      <c r="AM6916" s="85"/>
    </row>
    <row r="6917" spans="1:39" s="86" customFormat="1" ht="13.25" hidden="1" customHeight="1" x14ac:dyDescent="0.3">
      <c r="A6917" s="89" t="s">
        <v>3792</v>
      </c>
      <c r="B6917" s="86" t="s">
        <v>701</v>
      </c>
      <c r="C6917" s="86" t="s">
        <v>65</v>
      </c>
      <c r="D6917" s="86" t="s">
        <v>66</v>
      </c>
      <c r="E6917" s="86" t="s">
        <v>2853</v>
      </c>
      <c r="F6917" s="86" t="s">
        <v>2853</v>
      </c>
      <c r="G6917" s="86" t="s">
        <v>2853</v>
      </c>
      <c r="H6917" s="143">
        <v>83</v>
      </c>
      <c r="I6917" s="86" t="s">
        <v>78</v>
      </c>
      <c r="J6917" s="1" t="s">
        <v>3303</v>
      </c>
      <c r="K6917" s="1" t="s">
        <v>3763</v>
      </c>
      <c r="L6917" s="1" t="s">
        <v>701</v>
      </c>
      <c r="M6917" s="86" t="s">
        <v>2854</v>
      </c>
      <c r="O6917" s="47" t="s">
        <v>410</v>
      </c>
      <c r="P6917" s="47" t="s">
        <v>46</v>
      </c>
      <c r="Q6917" s="14">
        <v>0.02</v>
      </c>
      <c r="R6917" s="143">
        <v>7158</v>
      </c>
      <c r="S6917" s="47"/>
      <c r="T6917" s="6">
        <v>31640.199999999997</v>
      </c>
      <c r="U6917" s="6">
        <v>-31640.2</v>
      </c>
      <c r="V6917" s="6">
        <v>0</v>
      </c>
      <c r="W6917" s="6">
        <f t="shared" si="1077"/>
        <v>-3.637978807091713E-12</v>
      </c>
      <c r="X6917" s="6">
        <f t="shared" si="1078"/>
        <v>0</v>
      </c>
      <c r="Y6917" s="13">
        <f t="shared" si="1080"/>
        <v>0</v>
      </c>
      <c r="Z6917" s="66">
        <v>0</v>
      </c>
      <c r="AA6917" s="6">
        <v>0</v>
      </c>
      <c r="AB6917" s="4">
        <f t="shared" si="1081"/>
        <v>0</v>
      </c>
      <c r="AC6917" s="6">
        <f t="shared" si="1079"/>
        <v>0</v>
      </c>
      <c r="AD6917" s="6">
        <f t="shared" si="1074"/>
        <v>0</v>
      </c>
      <c r="AE6917" s="14">
        <f>VLOOKUP(I6917,[2]媒体政策预估表!A:N,MATCH(O6917,[2]媒体政策预估表!$A$2:$M$2,0),0)</f>
        <v>0.1293</v>
      </c>
      <c r="AF6917" s="6">
        <f t="shared" si="1076"/>
        <v>0</v>
      </c>
      <c r="AG6917" s="14">
        <v>0</v>
      </c>
      <c r="AH6917" s="64">
        <f t="shared" si="1075"/>
        <v>0</v>
      </c>
      <c r="AJ6917" s="126" t="e">
        <v>#N/A</v>
      </c>
      <c r="AK6917" s="80">
        <f t="shared" si="1082"/>
        <v>0</v>
      </c>
      <c r="AL6917" s="85"/>
      <c r="AM6917" s="85"/>
    </row>
    <row r="6918" spans="1:39" s="86" customFormat="1" ht="13.25" hidden="1" customHeight="1" x14ac:dyDescent="0.3">
      <c r="A6918" s="89" t="s">
        <v>3978</v>
      </c>
      <c r="B6918" s="86" t="s">
        <v>701</v>
      </c>
      <c r="C6918" s="86" t="s">
        <v>65</v>
      </c>
      <c r="D6918" s="86" t="s">
        <v>66</v>
      </c>
      <c r="E6918" s="86" t="s">
        <v>2853</v>
      </c>
      <c r="F6918" s="86" t="s">
        <v>2853</v>
      </c>
      <c r="G6918" s="86" t="s">
        <v>2853</v>
      </c>
      <c r="H6918" s="143">
        <v>83</v>
      </c>
      <c r="I6918" s="86" t="s">
        <v>78</v>
      </c>
      <c r="J6918" s="1" t="s">
        <v>3303</v>
      </c>
      <c r="K6918" s="1" t="s">
        <v>3763</v>
      </c>
      <c r="L6918" s="1" t="s">
        <v>701</v>
      </c>
      <c r="M6918" s="86" t="s">
        <v>2854</v>
      </c>
      <c r="O6918" s="47" t="s">
        <v>410</v>
      </c>
      <c r="P6918" s="47" t="s">
        <v>41</v>
      </c>
      <c r="Q6918" s="14">
        <v>0</v>
      </c>
      <c r="R6918" s="143">
        <v>7158</v>
      </c>
      <c r="S6918" s="47"/>
      <c r="T6918" s="6">
        <v>-31640.199999999983</v>
      </c>
      <c r="U6918" s="6">
        <v>31640.2</v>
      </c>
      <c r="V6918" s="6">
        <v>0</v>
      </c>
      <c r="W6918" s="6">
        <f t="shared" si="1077"/>
        <v>1.8189894035458565E-11</v>
      </c>
      <c r="X6918" s="6">
        <f t="shared" si="1078"/>
        <v>0</v>
      </c>
      <c r="Y6918" s="13">
        <f t="shared" si="1080"/>
        <v>0</v>
      </c>
      <c r="Z6918" s="66">
        <v>0</v>
      </c>
      <c r="AA6918" s="6">
        <v>0</v>
      </c>
      <c r="AB6918" s="4">
        <f t="shared" si="1081"/>
        <v>0</v>
      </c>
      <c r="AC6918" s="6">
        <f t="shared" si="1079"/>
        <v>0</v>
      </c>
      <c r="AD6918" s="6">
        <f t="shared" si="1074"/>
        <v>0</v>
      </c>
      <c r="AE6918" s="14">
        <f>VLOOKUP(I6918,[2]媒体政策预估表!A:N,MATCH(O6918,[2]媒体政策预估表!$A$2:$M$2,0),0)</f>
        <v>0.1293</v>
      </c>
      <c r="AF6918" s="6">
        <f t="shared" si="1076"/>
        <v>0</v>
      </c>
      <c r="AG6918" s="14">
        <v>0</v>
      </c>
      <c r="AH6918" s="64">
        <f t="shared" si="1075"/>
        <v>0</v>
      </c>
      <c r="AJ6918" s="126" t="e">
        <v>#N/A</v>
      </c>
      <c r="AK6918" s="80">
        <f t="shared" si="1082"/>
        <v>0</v>
      </c>
      <c r="AL6918" s="85"/>
      <c r="AM6918" s="85"/>
    </row>
    <row r="6919" spans="1:39" s="86" customFormat="1" ht="13.25" hidden="1" customHeight="1" x14ac:dyDescent="0.3">
      <c r="A6919" s="89" t="s">
        <v>3792</v>
      </c>
      <c r="B6919" s="86" t="s">
        <v>701</v>
      </c>
      <c r="C6919" s="86" t="s">
        <v>65</v>
      </c>
      <c r="D6919" s="86" t="s">
        <v>66</v>
      </c>
      <c r="E6919" s="86" t="s">
        <v>2755</v>
      </c>
      <c r="F6919" s="86" t="s">
        <v>2755</v>
      </c>
      <c r="G6919" s="86" t="s">
        <v>2755</v>
      </c>
      <c r="H6919" s="143">
        <v>83</v>
      </c>
      <c r="I6919" s="86" t="s">
        <v>78</v>
      </c>
      <c r="J6919" s="1" t="s">
        <v>3303</v>
      </c>
      <c r="K6919" s="1" t="s">
        <v>3763</v>
      </c>
      <c r="L6919" s="1" t="s">
        <v>701</v>
      </c>
      <c r="M6919" s="86" t="s">
        <v>2755</v>
      </c>
      <c r="O6919" s="47" t="s">
        <v>410</v>
      </c>
      <c r="P6919" s="47" t="s">
        <v>41</v>
      </c>
      <c r="Q6919" s="14">
        <v>0</v>
      </c>
      <c r="R6919" s="143">
        <v>7157</v>
      </c>
      <c r="S6919" s="47"/>
      <c r="T6919" s="6">
        <v>989.53999999998996</v>
      </c>
      <c r="U6919" s="6">
        <v>-0.54</v>
      </c>
      <c r="V6919" s="6">
        <v>0</v>
      </c>
      <c r="W6919" s="6">
        <v>0</v>
      </c>
      <c r="X6919" s="6">
        <f t="shared" si="1078"/>
        <v>0</v>
      </c>
      <c r="Y6919" s="13">
        <f t="shared" si="1080"/>
        <v>0</v>
      </c>
      <c r="Z6919" s="66">
        <v>0</v>
      </c>
      <c r="AA6919" s="6">
        <v>0</v>
      </c>
      <c r="AB6919" s="4">
        <f t="shared" si="1081"/>
        <v>0</v>
      </c>
      <c r="AC6919" s="6">
        <f t="shared" si="1079"/>
        <v>0</v>
      </c>
      <c r="AD6919" s="6">
        <f t="shared" si="1074"/>
        <v>0</v>
      </c>
      <c r="AE6919" s="14">
        <f>VLOOKUP(I6919,[2]媒体政策预估表!A:N,MATCH(O6919,[2]媒体政策预估表!$A$2:$M$2,0),0)</f>
        <v>0.1293</v>
      </c>
      <c r="AF6919" s="6">
        <f t="shared" si="1076"/>
        <v>0</v>
      </c>
      <c r="AG6919" s="14">
        <v>0</v>
      </c>
      <c r="AH6919" s="64">
        <f t="shared" si="1075"/>
        <v>0</v>
      </c>
      <c r="AJ6919" s="126" t="e">
        <v>#N/A</v>
      </c>
      <c r="AK6919" s="80">
        <f t="shared" si="1082"/>
        <v>0</v>
      </c>
      <c r="AL6919" s="85"/>
      <c r="AM6919" s="85"/>
    </row>
    <row r="6920" spans="1:39" s="86" customFormat="1" ht="13.25" hidden="1" customHeight="1" x14ac:dyDescent="0.3">
      <c r="A6920" s="89" t="s">
        <v>3978</v>
      </c>
      <c r="B6920" s="86" t="s">
        <v>701</v>
      </c>
      <c r="C6920" s="86" t="s">
        <v>65</v>
      </c>
      <c r="D6920" s="86" t="s">
        <v>66</v>
      </c>
      <c r="E6920" s="86" t="s">
        <v>3183</v>
      </c>
      <c r="F6920" s="86" t="s">
        <v>3403</v>
      </c>
      <c r="G6920" s="86" t="s">
        <v>3183</v>
      </c>
      <c r="H6920" s="144">
        <v>83</v>
      </c>
      <c r="I6920" s="86" t="s">
        <v>78</v>
      </c>
      <c r="J6920" s="1" t="s">
        <v>3303</v>
      </c>
      <c r="K6920" s="1" t="s">
        <v>3763</v>
      </c>
      <c r="L6920" s="1" t="s">
        <v>701</v>
      </c>
      <c r="M6920" s="86" t="s">
        <v>3404</v>
      </c>
      <c r="O6920" s="47" t="s">
        <v>410</v>
      </c>
      <c r="P6920" s="47" t="s">
        <v>46</v>
      </c>
      <c r="Q6920" s="14">
        <v>0.02</v>
      </c>
      <c r="R6920" s="143">
        <v>7676</v>
      </c>
      <c r="S6920" s="47"/>
      <c r="T6920" s="6">
        <v>3734.7</v>
      </c>
      <c r="U6920" s="6">
        <v>10200</v>
      </c>
      <c r="V6920" s="6">
        <v>10731.4</v>
      </c>
      <c r="W6920" s="6">
        <f t="shared" si="1077"/>
        <v>3203.3000000000011</v>
      </c>
      <c r="X6920" s="6">
        <f t="shared" si="1078"/>
        <v>10520.980392156862</v>
      </c>
      <c r="Y6920" s="13">
        <f t="shared" si="1080"/>
        <v>0</v>
      </c>
      <c r="Z6920" s="66">
        <v>0</v>
      </c>
      <c r="AA6920" s="6">
        <v>0</v>
      </c>
      <c r="AB6920" s="4">
        <f t="shared" si="1081"/>
        <v>10520.980392156862</v>
      </c>
      <c r="AC6920" s="6">
        <f t="shared" si="1079"/>
        <v>210.41960784313778</v>
      </c>
      <c r="AD6920" s="6">
        <f t="shared" si="1074"/>
        <v>10731.4</v>
      </c>
      <c r="AE6920" s="14">
        <f>VLOOKUP(I6920,[2]媒体政策预估表!A:N,MATCH(O6920,[2]媒体政策预估表!$A$2:$M$2,0),0)</f>
        <v>0.1293</v>
      </c>
      <c r="AF6920" s="6">
        <f t="shared" si="1076"/>
        <v>1387.5700199999999</v>
      </c>
      <c r="AG6920" s="14">
        <v>0</v>
      </c>
      <c r="AH6920" s="64">
        <f t="shared" si="1075"/>
        <v>10731.4</v>
      </c>
      <c r="AJ6920" s="126" t="e">
        <v>#N/A</v>
      </c>
      <c r="AK6920" s="80">
        <f t="shared" si="1082"/>
        <v>0</v>
      </c>
      <c r="AL6920" s="85"/>
      <c r="AM6920" s="85"/>
    </row>
    <row r="6921" spans="1:39" s="86" customFormat="1" ht="13.25" hidden="1" customHeight="1" x14ac:dyDescent="0.3">
      <c r="A6921" s="89" t="s">
        <v>3792</v>
      </c>
      <c r="B6921" s="86" t="s">
        <v>701</v>
      </c>
      <c r="C6921" s="86" t="s">
        <v>65</v>
      </c>
      <c r="D6921" s="86" t="s">
        <v>66</v>
      </c>
      <c r="E6921" s="86" t="s">
        <v>1241</v>
      </c>
      <c r="F6921" s="86" t="s">
        <v>1241</v>
      </c>
      <c r="G6921" s="86" t="s">
        <v>1241</v>
      </c>
      <c r="H6921" s="144">
        <v>83</v>
      </c>
      <c r="I6921" s="86" t="s">
        <v>78</v>
      </c>
      <c r="J6921" s="1" t="s">
        <v>3303</v>
      </c>
      <c r="K6921" s="1" t="s">
        <v>3763</v>
      </c>
      <c r="L6921" s="1" t="s">
        <v>701</v>
      </c>
      <c r="M6921" s="86" t="s">
        <v>1239</v>
      </c>
      <c r="O6921" s="47" t="s">
        <v>410</v>
      </c>
      <c r="P6921" s="47" t="s">
        <v>41</v>
      </c>
      <c r="Q6921" s="14">
        <v>0</v>
      </c>
      <c r="R6921" s="143">
        <v>7700</v>
      </c>
      <c r="S6921" s="47"/>
      <c r="T6921" s="6">
        <v>0</v>
      </c>
      <c r="U6921" s="6">
        <v>10000</v>
      </c>
      <c r="V6921" s="6">
        <v>1583.4</v>
      </c>
      <c r="W6921" s="6">
        <f t="shared" si="1077"/>
        <v>8416.6</v>
      </c>
      <c r="X6921" s="6">
        <f t="shared" si="1078"/>
        <v>1583.4</v>
      </c>
      <c r="Y6921" s="13">
        <f t="shared" si="1080"/>
        <v>0</v>
      </c>
      <c r="Z6921" s="66">
        <v>0</v>
      </c>
      <c r="AA6921" s="6">
        <v>0</v>
      </c>
      <c r="AB6921" s="4">
        <f t="shared" si="1081"/>
        <v>1583.4</v>
      </c>
      <c r="AC6921" s="6">
        <f t="shared" si="1079"/>
        <v>0</v>
      </c>
      <c r="AD6921" s="6">
        <f t="shared" si="1074"/>
        <v>1583.4</v>
      </c>
      <c r="AE6921" s="14">
        <f>VLOOKUP(I6921,[2]媒体政策预估表!A:N,MATCH(O6921,[2]媒体政策预估表!$A$2:$M$2,0),0)</f>
        <v>0.1293</v>
      </c>
      <c r="AF6921" s="6">
        <f t="shared" si="1076"/>
        <v>204.73362</v>
      </c>
      <c r="AG6921" s="14">
        <v>0</v>
      </c>
      <c r="AH6921" s="64">
        <f t="shared" si="1075"/>
        <v>1583.4</v>
      </c>
      <c r="AJ6921" s="126" t="e">
        <v>#N/A</v>
      </c>
      <c r="AK6921" s="80">
        <f t="shared" si="1082"/>
        <v>0</v>
      </c>
      <c r="AL6921" s="85"/>
      <c r="AM6921" s="85"/>
    </row>
    <row r="6922" spans="1:39" s="86" customFormat="1" ht="13.25" hidden="1" customHeight="1" x14ac:dyDescent="0.3">
      <c r="A6922" s="89" t="s">
        <v>3978</v>
      </c>
      <c r="B6922" s="86" t="s">
        <v>701</v>
      </c>
      <c r="C6922" s="86" t="s">
        <v>65</v>
      </c>
      <c r="D6922" s="86" t="s">
        <v>122</v>
      </c>
      <c r="E6922" s="86" t="s">
        <v>2967</v>
      </c>
      <c r="F6922" s="86" t="s">
        <v>2968</v>
      </c>
      <c r="G6922" s="86" t="s">
        <v>2967</v>
      </c>
      <c r="H6922" s="144">
        <v>83</v>
      </c>
      <c r="I6922" s="86" t="s">
        <v>78</v>
      </c>
      <c r="J6922" s="1" t="s">
        <v>3303</v>
      </c>
      <c r="K6922" s="1" t="s">
        <v>3763</v>
      </c>
      <c r="L6922" s="1" t="s">
        <v>701</v>
      </c>
      <c r="M6922" s="86" t="s">
        <v>3996</v>
      </c>
      <c r="O6922" s="47" t="s">
        <v>410</v>
      </c>
      <c r="P6922" s="47" t="s">
        <v>46</v>
      </c>
      <c r="Q6922" s="14">
        <v>0.02</v>
      </c>
      <c r="R6922" s="143">
        <v>7697</v>
      </c>
      <c r="S6922" s="47"/>
      <c r="T6922" s="6">
        <v>0</v>
      </c>
      <c r="U6922" s="6">
        <v>10200</v>
      </c>
      <c r="V6922" s="6">
        <v>5452.6</v>
      </c>
      <c r="W6922" s="6">
        <f t="shared" si="1077"/>
        <v>4747.3999999999996</v>
      </c>
      <c r="X6922" s="6">
        <f t="shared" si="1078"/>
        <v>5345.6862745098042</v>
      </c>
      <c r="Y6922" s="13">
        <f t="shared" si="1080"/>
        <v>0</v>
      </c>
      <c r="Z6922" s="66">
        <v>0</v>
      </c>
      <c r="AA6922" s="6">
        <v>0</v>
      </c>
      <c r="AB6922" s="4">
        <f t="shared" si="1081"/>
        <v>5345.6862745098042</v>
      </c>
      <c r="AC6922" s="6">
        <f t="shared" si="1079"/>
        <v>106.91372549019616</v>
      </c>
      <c r="AD6922" s="6">
        <f t="shared" si="1074"/>
        <v>5452.6</v>
      </c>
      <c r="AE6922" s="14">
        <f>VLOOKUP(I6922,[2]媒体政策预估表!A:N,MATCH(O6922,[2]媒体政策预估表!$A$2:$M$2,0),0)</f>
        <v>0.1293</v>
      </c>
      <c r="AF6922" s="6">
        <f t="shared" si="1076"/>
        <v>705.02118000000007</v>
      </c>
      <c r="AG6922" s="14">
        <v>0</v>
      </c>
      <c r="AH6922" s="64">
        <f t="shared" si="1075"/>
        <v>5452.6</v>
      </c>
      <c r="AJ6922" s="126" t="e">
        <v>#N/A</v>
      </c>
      <c r="AK6922" s="80">
        <f t="shared" si="1082"/>
        <v>0</v>
      </c>
      <c r="AL6922" s="85"/>
      <c r="AM6922" s="85"/>
    </row>
    <row r="6923" spans="1:39" s="86" customFormat="1" ht="13.25" hidden="1" customHeight="1" x14ac:dyDescent="0.3">
      <c r="A6923" s="89" t="s">
        <v>3978</v>
      </c>
      <c r="B6923" s="86" t="s">
        <v>701</v>
      </c>
      <c r="C6923" s="86" t="s">
        <v>65</v>
      </c>
      <c r="D6923" s="86" t="s">
        <v>122</v>
      </c>
      <c r="E6923" s="86" t="s">
        <v>2967</v>
      </c>
      <c r="F6923" s="86" t="s">
        <v>2968</v>
      </c>
      <c r="G6923" s="86" t="s">
        <v>2967</v>
      </c>
      <c r="H6923" s="143">
        <v>83</v>
      </c>
      <c r="I6923" s="86" t="s">
        <v>78</v>
      </c>
      <c r="J6923" s="1" t="s">
        <v>3303</v>
      </c>
      <c r="K6923" s="1" t="s">
        <v>3763</v>
      </c>
      <c r="L6923" s="1" t="s">
        <v>701</v>
      </c>
      <c r="M6923" s="86" t="s">
        <v>1271</v>
      </c>
      <c r="O6923" s="47" t="s">
        <v>410</v>
      </c>
      <c r="P6923" s="47" t="s">
        <v>46</v>
      </c>
      <c r="Q6923" s="14">
        <v>0.02</v>
      </c>
      <c r="R6923" s="143">
        <v>7704</v>
      </c>
      <c r="S6923" s="47"/>
      <c r="T6923" s="6">
        <v>0</v>
      </c>
      <c r="U6923" s="6">
        <v>0</v>
      </c>
      <c r="V6923" s="6">
        <v>0</v>
      </c>
      <c r="W6923" s="6">
        <f t="shared" si="1077"/>
        <v>0</v>
      </c>
      <c r="X6923" s="6">
        <f t="shared" si="1078"/>
        <v>0</v>
      </c>
      <c r="Y6923" s="13">
        <f t="shared" si="1080"/>
        <v>0</v>
      </c>
      <c r="Z6923" s="66">
        <v>0</v>
      </c>
      <c r="AA6923" s="6">
        <v>0</v>
      </c>
      <c r="AB6923" s="4">
        <f t="shared" si="1081"/>
        <v>0</v>
      </c>
      <c r="AC6923" s="6">
        <f t="shared" si="1079"/>
        <v>0</v>
      </c>
      <c r="AD6923" s="6">
        <f t="shared" si="1074"/>
        <v>0</v>
      </c>
      <c r="AE6923" s="14">
        <f>VLOOKUP(I6923,[2]媒体政策预估表!A:N,MATCH(O6923,[2]媒体政策预估表!$A$2:$M$2,0),0)</f>
        <v>0.1293</v>
      </c>
      <c r="AF6923" s="6">
        <f t="shared" si="1076"/>
        <v>0</v>
      </c>
      <c r="AG6923" s="14">
        <v>0</v>
      </c>
      <c r="AH6923" s="64">
        <f t="shared" si="1075"/>
        <v>0</v>
      </c>
      <c r="AJ6923" s="126" t="e">
        <v>#N/A</v>
      </c>
      <c r="AK6923" s="80">
        <f t="shared" si="1082"/>
        <v>0</v>
      </c>
      <c r="AL6923" s="85"/>
      <c r="AM6923" s="85"/>
    </row>
    <row r="6924" spans="1:39" s="86" customFormat="1" ht="13.25" hidden="1" customHeight="1" x14ac:dyDescent="0.3">
      <c r="A6924" s="89" t="s">
        <v>3978</v>
      </c>
      <c r="B6924" s="86" t="s">
        <v>701</v>
      </c>
      <c r="C6924" s="86" t="s">
        <v>65</v>
      </c>
      <c r="D6924" s="86" t="s">
        <v>122</v>
      </c>
      <c r="E6924" s="86" t="s">
        <v>1266</v>
      </c>
      <c r="F6924" s="86" t="s">
        <v>1266</v>
      </c>
      <c r="G6924" s="86" t="s">
        <v>1266</v>
      </c>
      <c r="H6924" s="144">
        <v>83</v>
      </c>
      <c r="I6924" s="86" t="s">
        <v>78</v>
      </c>
      <c r="J6924" s="1" t="s">
        <v>3303</v>
      </c>
      <c r="K6924" s="1" t="s">
        <v>3763</v>
      </c>
      <c r="L6924" s="1" t="s">
        <v>701</v>
      </c>
      <c r="M6924" s="86" t="s">
        <v>2760</v>
      </c>
      <c r="O6924" s="47" t="s">
        <v>410</v>
      </c>
      <c r="P6924" s="47" t="s">
        <v>41</v>
      </c>
      <c r="Q6924" s="14">
        <v>0</v>
      </c>
      <c r="R6924" s="143">
        <v>7633</v>
      </c>
      <c r="S6924" s="47"/>
      <c r="T6924" s="6">
        <v>9537</v>
      </c>
      <c r="U6924" s="6">
        <v>30000</v>
      </c>
      <c r="V6924" s="6">
        <v>28772.399999999998</v>
      </c>
      <c r="W6924" s="6">
        <f t="shared" si="1077"/>
        <v>10764.600000000002</v>
      </c>
      <c r="X6924" s="6">
        <f t="shared" si="1078"/>
        <v>28772.399999999998</v>
      </c>
      <c r="Y6924" s="13">
        <f t="shared" si="1080"/>
        <v>0</v>
      </c>
      <c r="Z6924" s="66">
        <v>0</v>
      </c>
      <c r="AA6924" s="6">
        <v>0</v>
      </c>
      <c r="AB6924" s="4">
        <f t="shared" si="1081"/>
        <v>28772.399999999998</v>
      </c>
      <c r="AC6924" s="6">
        <f t="shared" si="1079"/>
        <v>0</v>
      </c>
      <c r="AD6924" s="6">
        <f t="shared" si="1074"/>
        <v>28772.399999999998</v>
      </c>
      <c r="AE6924" s="14">
        <f>VLOOKUP(I6924,[2]媒体政策预估表!A:N,MATCH(O6924,[2]媒体政策预估表!$A$2:$M$2,0),0)</f>
        <v>0.1293</v>
      </c>
      <c r="AF6924" s="6">
        <f t="shared" si="1076"/>
        <v>3720.2713199999998</v>
      </c>
      <c r="AG6924" s="14">
        <v>0</v>
      </c>
      <c r="AH6924" s="64">
        <f t="shared" si="1075"/>
        <v>28772.399999999998</v>
      </c>
      <c r="AJ6924" s="126" t="e">
        <v>#N/A</v>
      </c>
      <c r="AK6924" s="80">
        <f t="shared" si="1082"/>
        <v>0</v>
      </c>
      <c r="AL6924" s="85"/>
      <c r="AM6924" s="85"/>
    </row>
    <row r="6925" spans="1:39" s="86" customFormat="1" ht="13.25" hidden="1" customHeight="1" x14ac:dyDescent="0.3">
      <c r="A6925" s="89" t="s">
        <v>3978</v>
      </c>
      <c r="B6925" s="86" t="s">
        <v>701</v>
      </c>
      <c r="C6925" s="86" t="s">
        <v>65</v>
      </c>
      <c r="D6925" s="86" t="s">
        <v>122</v>
      </c>
      <c r="E6925" s="86" t="s">
        <v>1266</v>
      </c>
      <c r="F6925" s="86" t="s">
        <v>1266</v>
      </c>
      <c r="G6925" s="86" t="s">
        <v>1266</v>
      </c>
      <c r="H6925" s="144">
        <v>83</v>
      </c>
      <c r="I6925" s="86" t="s">
        <v>78</v>
      </c>
      <c r="J6925" s="1" t="s">
        <v>3303</v>
      </c>
      <c r="K6925" s="1" t="s">
        <v>3763</v>
      </c>
      <c r="L6925" s="1" t="s">
        <v>701</v>
      </c>
      <c r="M6925" s="86" t="s">
        <v>3997</v>
      </c>
      <c r="O6925" s="47" t="s">
        <v>410</v>
      </c>
      <c r="P6925" s="47" t="s">
        <v>41</v>
      </c>
      <c r="Q6925" s="14">
        <v>0</v>
      </c>
      <c r="R6925" s="143">
        <v>7684</v>
      </c>
      <c r="S6925" s="47"/>
      <c r="T6925" s="6">
        <v>0</v>
      </c>
      <c r="U6925" s="6">
        <v>10000</v>
      </c>
      <c r="V6925" s="6">
        <v>1663.2</v>
      </c>
      <c r="W6925" s="6">
        <f t="shared" si="1077"/>
        <v>8336.7999999999993</v>
      </c>
      <c r="X6925" s="6">
        <f t="shared" si="1078"/>
        <v>1663.2</v>
      </c>
      <c r="Y6925" s="13">
        <f t="shared" si="1080"/>
        <v>0</v>
      </c>
      <c r="Z6925" s="66">
        <v>0</v>
      </c>
      <c r="AA6925" s="6">
        <v>0</v>
      </c>
      <c r="AB6925" s="4">
        <f t="shared" si="1081"/>
        <v>1663.2</v>
      </c>
      <c r="AC6925" s="6">
        <f t="shared" si="1079"/>
        <v>0</v>
      </c>
      <c r="AD6925" s="6">
        <f t="shared" si="1074"/>
        <v>1663.2</v>
      </c>
      <c r="AE6925" s="14">
        <f>VLOOKUP(I6925,[2]媒体政策预估表!A:N,MATCH(O6925,[2]媒体政策预估表!$A$2:$M$2,0),0)</f>
        <v>0.1293</v>
      </c>
      <c r="AF6925" s="6">
        <f t="shared" si="1076"/>
        <v>215.05176</v>
      </c>
      <c r="AG6925" s="14">
        <v>0</v>
      </c>
      <c r="AH6925" s="64">
        <f t="shared" si="1075"/>
        <v>1663.2</v>
      </c>
      <c r="AJ6925" s="126" t="e">
        <v>#N/A</v>
      </c>
      <c r="AK6925" s="80">
        <f t="shared" si="1082"/>
        <v>0</v>
      </c>
      <c r="AL6925" s="85"/>
      <c r="AM6925" s="85"/>
    </row>
    <row r="6926" spans="1:39" s="86" customFormat="1" ht="13.25" hidden="1" customHeight="1" x14ac:dyDescent="0.3">
      <c r="A6926" s="89" t="s">
        <v>3792</v>
      </c>
      <c r="B6926" s="86" t="s">
        <v>701</v>
      </c>
      <c r="C6926" s="86" t="s">
        <v>65</v>
      </c>
      <c r="D6926" s="86" t="s">
        <v>122</v>
      </c>
      <c r="E6926" s="86" t="s">
        <v>1266</v>
      </c>
      <c r="F6926" s="86" t="s">
        <v>1266</v>
      </c>
      <c r="G6926" s="86" t="s">
        <v>1266</v>
      </c>
      <c r="H6926" s="143">
        <v>83</v>
      </c>
      <c r="I6926" s="86" t="s">
        <v>78</v>
      </c>
      <c r="J6926" s="1" t="s">
        <v>3303</v>
      </c>
      <c r="K6926" s="1" t="s">
        <v>3763</v>
      </c>
      <c r="L6926" s="1" t="s">
        <v>701</v>
      </c>
      <c r="M6926" s="86" t="s">
        <v>1271</v>
      </c>
      <c r="O6926" s="47" t="s">
        <v>410</v>
      </c>
      <c r="P6926" s="47" t="s">
        <v>41</v>
      </c>
      <c r="Q6926" s="14">
        <v>0</v>
      </c>
      <c r="R6926" s="143">
        <v>7704</v>
      </c>
      <c r="S6926" s="47"/>
      <c r="T6926" s="6">
        <v>0</v>
      </c>
      <c r="U6926" s="6">
        <v>10000</v>
      </c>
      <c r="V6926" s="6">
        <v>0</v>
      </c>
      <c r="W6926" s="6">
        <f t="shared" si="1077"/>
        <v>10000</v>
      </c>
      <c r="X6926" s="6">
        <f t="shared" si="1078"/>
        <v>0</v>
      </c>
      <c r="Y6926" s="13">
        <f t="shared" si="1080"/>
        <v>0</v>
      </c>
      <c r="Z6926" s="66">
        <v>0</v>
      </c>
      <c r="AA6926" s="6">
        <v>0</v>
      </c>
      <c r="AB6926" s="4">
        <f t="shared" si="1081"/>
        <v>0</v>
      </c>
      <c r="AC6926" s="6">
        <f t="shared" si="1079"/>
        <v>0</v>
      </c>
      <c r="AD6926" s="6">
        <f t="shared" si="1074"/>
        <v>0</v>
      </c>
      <c r="AE6926" s="14">
        <f>VLOOKUP(I6926,[2]媒体政策预估表!A:N,MATCH(O6926,[2]媒体政策预估表!$A$2:$M$2,0),0)</f>
        <v>0.1293</v>
      </c>
      <c r="AF6926" s="6">
        <f t="shared" si="1076"/>
        <v>0</v>
      </c>
      <c r="AG6926" s="14">
        <v>0</v>
      </c>
      <c r="AH6926" s="64">
        <f t="shared" si="1075"/>
        <v>0</v>
      </c>
      <c r="AJ6926" s="126" t="e">
        <v>#N/A</v>
      </c>
      <c r="AK6926" s="80">
        <f t="shared" si="1082"/>
        <v>0</v>
      </c>
      <c r="AL6926" s="85"/>
      <c r="AM6926" s="85"/>
    </row>
    <row r="6927" spans="1:39" s="86" customFormat="1" ht="13.25" hidden="1" customHeight="1" x14ac:dyDescent="0.3">
      <c r="A6927" s="89" t="s">
        <v>3978</v>
      </c>
      <c r="B6927" s="86" t="s">
        <v>701</v>
      </c>
      <c r="C6927" s="86" t="s">
        <v>65</v>
      </c>
      <c r="D6927" s="86" t="s">
        <v>122</v>
      </c>
      <c r="E6927" s="86" t="s">
        <v>1266</v>
      </c>
      <c r="F6927" s="86" t="s">
        <v>1266</v>
      </c>
      <c r="G6927" s="86" t="s">
        <v>1266</v>
      </c>
      <c r="H6927" s="144">
        <v>83</v>
      </c>
      <c r="I6927" s="86" t="s">
        <v>78</v>
      </c>
      <c r="J6927" s="1" t="s">
        <v>3303</v>
      </c>
      <c r="K6927" s="1" t="s">
        <v>3763</v>
      </c>
      <c r="L6927" s="1" t="s">
        <v>701</v>
      </c>
      <c r="M6927" s="86" t="s">
        <v>3505</v>
      </c>
      <c r="O6927" s="47" t="s">
        <v>410</v>
      </c>
      <c r="P6927" s="47" t="s">
        <v>41</v>
      </c>
      <c r="Q6927" s="14">
        <v>0</v>
      </c>
      <c r="R6927" s="143">
        <v>7671</v>
      </c>
      <c r="S6927" s="47"/>
      <c r="T6927" s="6">
        <v>0</v>
      </c>
      <c r="U6927" s="6">
        <v>20000</v>
      </c>
      <c r="V6927" s="6">
        <v>8685</v>
      </c>
      <c r="W6927" s="6">
        <f t="shared" si="1077"/>
        <v>11315</v>
      </c>
      <c r="X6927" s="6">
        <f t="shared" si="1078"/>
        <v>8685</v>
      </c>
      <c r="Y6927" s="13">
        <f t="shared" si="1080"/>
        <v>0</v>
      </c>
      <c r="Z6927" s="66">
        <v>0</v>
      </c>
      <c r="AA6927" s="6">
        <v>0</v>
      </c>
      <c r="AB6927" s="4">
        <f t="shared" si="1081"/>
        <v>8685</v>
      </c>
      <c r="AC6927" s="6">
        <f t="shared" si="1079"/>
        <v>0</v>
      </c>
      <c r="AD6927" s="6">
        <f t="shared" si="1074"/>
        <v>8685</v>
      </c>
      <c r="AE6927" s="14">
        <f>VLOOKUP(I6927,[2]媒体政策预估表!A:N,MATCH(O6927,[2]媒体政策预估表!$A$2:$M$2,0),0)</f>
        <v>0.1293</v>
      </c>
      <c r="AF6927" s="6">
        <f t="shared" si="1076"/>
        <v>1122.9704999999999</v>
      </c>
      <c r="AG6927" s="14">
        <v>0</v>
      </c>
      <c r="AH6927" s="64">
        <f t="shared" si="1075"/>
        <v>8685</v>
      </c>
      <c r="AJ6927" s="126" t="e">
        <v>#N/A</v>
      </c>
      <c r="AK6927" s="80">
        <f t="shared" si="1082"/>
        <v>0</v>
      </c>
      <c r="AL6927" s="85"/>
      <c r="AM6927" s="85"/>
    </row>
    <row r="6928" spans="1:39" s="86" customFormat="1" ht="13.25" hidden="1" customHeight="1" x14ac:dyDescent="0.3">
      <c r="A6928" s="89" t="s">
        <v>3792</v>
      </c>
      <c r="B6928" s="86" t="s">
        <v>701</v>
      </c>
      <c r="C6928" s="86" t="s">
        <v>65</v>
      </c>
      <c r="D6928" s="86" t="s">
        <v>122</v>
      </c>
      <c r="E6928" s="86" t="s">
        <v>1266</v>
      </c>
      <c r="F6928" s="86" t="s">
        <v>1266</v>
      </c>
      <c r="G6928" s="86" t="s">
        <v>1266</v>
      </c>
      <c r="H6928" s="143">
        <v>83</v>
      </c>
      <c r="I6928" s="86" t="s">
        <v>78</v>
      </c>
      <c r="J6928" s="1" t="s">
        <v>3303</v>
      </c>
      <c r="K6928" s="1" t="s">
        <v>3763</v>
      </c>
      <c r="L6928" s="1" t="s">
        <v>701</v>
      </c>
      <c r="M6928" s="86" t="s">
        <v>3998</v>
      </c>
      <c r="O6928" s="47" t="s">
        <v>410</v>
      </c>
      <c r="P6928" s="47" t="s">
        <v>41</v>
      </c>
      <c r="Q6928" s="14">
        <v>0</v>
      </c>
      <c r="R6928" s="143">
        <v>7690</v>
      </c>
      <c r="S6928" s="47"/>
      <c r="T6928" s="6">
        <v>0</v>
      </c>
      <c r="U6928" s="6">
        <v>0</v>
      </c>
      <c r="V6928" s="6">
        <v>0</v>
      </c>
      <c r="W6928" s="6">
        <f t="shared" si="1077"/>
        <v>0</v>
      </c>
      <c r="X6928" s="6">
        <f t="shared" si="1078"/>
        <v>0</v>
      </c>
      <c r="Y6928" s="13">
        <f t="shared" si="1080"/>
        <v>0</v>
      </c>
      <c r="Z6928" s="66">
        <v>0</v>
      </c>
      <c r="AA6928" s="6">
        <v>0</v>
      </c>
      <c r="AB6928" s="4">
        <f t="shared" si="1081"/>
        <v>0</v>
      </c>
      <c r="AC6928" s="6">
        <f t="shared" si="1079"/>
        <v>0</v>
      </c>
      <c r="AD6928" s="6">
        <f t="shared" si="1074"/>
        <v>0</v>
      </c>
      <c r="AE6928" s="14">
        <f>VLOOKUP(I6928,[2]媒体政策预估表!A:N,MATCH(O6928,[2]媒体政策预估表!$A$2:$M$2,0),0)</f>
        <v>0.1293</v>
      </c>
      <c r="AF6928" s="6">
        <f t="shared" si="1076"/>
        <v>0</v>
      </c>
      <c r="AG6928" s="14">
        <v>0</v>
      </c>
      <c r="AH6928" s="64">
        <f t="shared" si="1075"/>
        <v>0</v>
      </c>
      <c r="AJ6928" s="126" t="e">
        <v>#N/A</v>
      </c>
      <c r="AK6928" s="80">
        <f t="shared" si="1082"/>
        <v>0</v>
      </c>
      <c r="AL6928" s="85"/>
      <c r="AM6928" s="85"/>
    </row>
    <row r="6929" spans="1:39" s="86" customFormat="1" ht="13.25" hidden="1" customHeight="1" x14ac:dyDescent="0.3">
      <c r="A6929" s="89" t="s">
        <v>3978</v>
      </c>
      <c r="B6929" s="86" t="s">
        <v>701</v>
      </c>
      <c r="C6929" s="86" t="s">
        <v>65</v>
      </c>
      <c r="D6929" s="86" t="s">
        <v>122</v>
      </c>
      <c r="E6929" s="86" t="s">
        <v>1266</v>
      </c>
      <c r="F6929" s="86" t="s">
        <v>1266</v>
      </c>
      <c r="G6929" s="86" t="s">
        <v>1266</v>
      </c>
      <c r="H6929" s="144">
        <v>83</v>
      </c>
      <c r="I6929" s="86" t="s">
        <v>78</v>
      </c>
      <c r="J6929" s="1" t="s">
        <v>3303</v>
      </c>
      <c r="K6929" s="1" t="s">
        <v>3763</v>
      </c>
      <c r="L6929" s="1" t="s">
        <v>701</v>
      </c>
      <c r="M6929" s="86" t="s">
        <v>1274</v>
      </c>
      <c r="O6929" s="47" t="s">
        <v>410</v>
      </c>
      <c r="P6929" s="47" t="s">
        <v>41</v>
      </c>
      <c r="Q6929" s="14">
        <v>0</v>
      </c>
      <c r="R6929" s="143">
        <v>7642</v>
      </c>
      <c r="S6929" s="47"/>
      <c r="T6929" s="6">
        <v>3472.6999999999971</v>
      </c>
      <c r="U6929" s="6">
        <v>20000</v>
      </c>
      <c r="V6929" s="6">
        <v>20261</v>
      </c>
      <c r="W6929" s="6">
        <f t="shared" si="1077"/>
        <v>3211.6999999999971</v>
      </c>
      <c r="X6929" s="6">
        <f t="shared" si="1078"/>
        <v>20261</v>
      </c>
      <c r="Y6929" s="13">
        <f t="shared" si="1080"/>
        <v>0</v>
      </c>
      <c r="Z6929" s="66">
        <v>0</v>
      </c>
      <c r="AA6929" s="6">
        <v>0</v>
      </c>
      <c r="AB6929" s="4">
        <f t="shared" si="1081"/>
        <v>20261</v>
      </c>
      <c r="AC6929" s="6">
        <f t="shared" si="1079"/>
        <v>0</v>
      </c>
      <c r="AD6929" s="6">
        <f t="shared" si="1074"/>
        <v>20261</v>
      </c>
      <c r="AE6929" s="14">
        <f>VLOOKUP(I6929,[2]媒体政策预估表!A:N,MATCH(O6929,[2]媒体政策预估表!$A$2:$M$2,0),0)</f>
        <v>0.1293</v>
      </c>
      <c r="AF6929" s="6">
        <f t="shared" si="1076"/>
        <v>2619.7473</v>
      </c>
      <c r="AG6929" s="14">
        <v>0</v>
      </c>
      <c r="AH6929" s="64">
        <f t="shared" si="1075"/>
        <v>20261</v>
      </c>
      <c r="AJ6929" s="126" t="e">
        <v>#N/A</v>
      </c>
      <c r="AK6929" s="80">
        <f t="shared" si="1082"/>
        <v>0</v>
      </c>
      <c r="AL6929" s="85"/>
      <c r="AM6929" s="85"/>
    </row>
    <row r="6930" spans="1:39" s="86" customFormat="1" ht="13.25" hidden="1" customHeight="1" x14ac:dyDescent="0.3">
      <c r="A6930" s="89" t="s">
        <v>3792</v>
      </c>
      <c r="B6930" s="86" t="s">
        <v>701</v>
      </c>
      <c r="C6930" s="86" t="s">
        <v>65</v>
      </c>
      <c r="D6930" s="86" t="s">
        <v>122</v>
      </c>
      <c r="E6930" s="86" t="s">
        <v>2867</v>
      </c>
      <c r="F6930" s="86" t="s">
        <v>2867</v>
      </c>
      <c r="G6930" s="86" t="s">
        <v>2867</v>
      </c>
      <c r="H6930" s="144">
        <v>83</v>
      </c>
      <c r="I6930" s="86" t="s">
        <v>78</v>
      </c>
      <c r="J6930" s="1" t="s">
        <v>3303</v>
      </c>
      <c r="K6930" s="1" t="s">
        <v>3763</v>
      </c>
      <c r="L6930" s="1" t="s">
        <v>701</v>
      </c>
      <c r="M6930" s="86" t="s">
        <v>3999</v>
      </c>
      <c r="O6930" s="47" t="s">
        <v>410</v>
      </c>
      <c r="P6930" s="47" t="s">
        <v>41</v>
      </c>
      <c r="Q6930" s="14">
        <v>0</v>
      </c>
      <c r="R6930" s="143">
        <v>7685</v>
      </c>
      <c r="S6930" s="47"/>
      <c r="T6930" s="6">
        <v>0</v>
      </c>
      <c r="U6930" s="6">
        <v>60000</v>
      </c>
      <c r="V6930" s="6">
        <v>22873.34</v>
      </c>
      <c r="W6930" s="6">
        <f t="shared" si="1077"/>
        <v>37126.660000000003</v>
      </c>
      <c r="X6930" s="6">
        <f t="shared" si="1078"/>
        <v>22873.34</v>
      </c>
      <c r="Y6930" s="13">
        <f t="shared" si="1080"/>
        <v>0</v>
      </c>
      <c r="Z6930" s="66">
        <v>0</v>
      </c>
      <c r="AA6930" s="6">
        <v>0</v>
      </c>
      <c r="AB6930" s="4">
        <f t="shared" si="1081"/>
        <v>22873.34</v>
      </c>
      <c r="AC6930" s="6">
        <f t="shared" si="1079"/>
        <v>0</v>
      </c>
      <c r="AD6930" s="6">
        <f t="shared" si="1074"/>
        <v>22873.34</v>
      </c>
      <c r="AE6930" s="14">
        <f>VLOOKUP(I6930,[2]媒体政策预估表!A:N,MATCH(O6930,[2]媒体政策预估表!$A$2:$M$2,0),0)</f>
        <v>0.1293</v>
      </c>
      <c r="AF6930" s="6">
        <f t="shared" si="1076"/>
        <v>2957.5228619999998</v>
      </c>
      <c r="AG6930" s="14">
        <v>0</v>
      </c>
      <c r="AH6930" s="64">
        <f t="shared" si="1075"/>
        <v>22873.34</v>
      </c>
      <c r="AJ6930" s="126" t="e">
        <v>#N/A</v>
      </c>
      <c r="AK6930" s="80">
        <f t="shared" si="1082"/>
        <v>0</v>
      </c>
      <c r="AL6930" s="85"/>
      <c r="AM6930" s="85"/>
    </row>
    <row r="6931" spans="1:39" s="86" customFormat="1" ht="13.25" hidden="1" customHeight="1" x14ac:dyDescent="0.3">
      <c r="A6931" s="89" t="s">
        <v>3978</v>
      </c>
      <c r="B6931" s="86" t="s">
        <v>701</v>
      </c>
      <c r="C6931" s="86" t="s">
        <v>65</v>
      </c>
      <c r="D6931" s="86" t="s">
        <v>122</v>
      </c>
      <c r="E6931" s="86" t="s">
        <v>2856</v>
      </c>
      <c r="F6931" s="86" t="s">
        <v>2856</v>
      </c>
      <c r="G6931" s="86" t="s">
        <v>2856</v>
      </c>
      <c r="H6931" s="144">
        <v>83</v>
      </c>
      <c r="I6931" s="86" t="s">
        <v>78</v>
      </c>
      <c r="J6931" s="1" t="s">
        <v>3303</v>
      </c>
      <c r="K6931" s="1" t="s">
        <v>3763</v>
      </c>
      <c r="L6931" s="1" t="s">
        <v>701</v>
      </c>
      <c r="M6931" s="86" t="s">
        <v>2857</v>
      </c>
      <c r="O6931" s="47" t="s">
        <v>410</v>
      </c>
      <c r="P6931" s="47" t="s">
        <v>41</v>
      </c>
      <c r="Q6931" s="14">
        <v>0</v>
      </c>
      <c r="R6931" s="143">
        <v>7591</v>
      </c>
      <c r="S6931" s="47"/>
      <c r="T6931" s="6">
        <v>3631.6000000000004</v>
      </c>
      <c r="U6931" s="6">
        <v>10000</v>
      </c>
      <c r="V6931" s="6">
        <v>2367</v>
      </c>
      <c r="W6931" s="6">
        <f t="shared" si="1077"/>
        <v>11264.6</v>
      </c>
      <c r="X6931" s="6">
        <f t="shared" si="1078"/>
        <v>2367</v>
      </c>
      <c r="Y6931" s="13">
        <f t="shared" si="1080"/>
        <v>0</v>
      </c>
      <c r="Z6931" s="66">
        <v>0</v>
      </c>
      <c r="AA6931" s="6">
        <v>0</v>
      </c>
      <c r="AB6931" s="4">
        <f t="shared" si="1081"/>
        <v>2367</v>
      </c>
      <c r="AC6931" s="6">
        <f t="shared" si="1079"/>
        <v>0</v>
      </c>
      <c r="AD6931" s="6">
        <f t="shared" si="1074"/>
        <v>2367</v>
      </c>
      <c r="AE6931" s="14">
        <f>VLOOKUP(I6931,[2]媒体政策预估表!A:N,MATCH(O6931,[2]媒体政策预估表!$A$2:$M$2,0),0)</f>
        <v>0.1293</v>
      </c>
      <c r="AF6931" s="6">
        <f t="shared" si="1076"/>
        <v>306.05309999999997</v>
      </c>
      <c r="AG6931" s="14">
        <v>0</v>
      </c>
      <c r="AH6931" s="64">
        <f t="shared" si="1075"/>
        <v>2367</v>
      </c>
      <c r="AJ6931" s="126" t="e">
        <v>#N/A</v>
      </c>
      <c r="AK6931" s="80">
        <f t="shared" si="1082"/>
        <v>0</v>
      </c>
      <c r="AL6931" s="85"/>
      <c r="AM6931" s="85"/>
    </row>
    <row r="6932" spans="1:39" s="86" customFormat="1" ht="13.25" hidden="1" customHeight="1" x14ac:dyDescent="0.3">
      <c r="A6932" s="89" t="s">
        <v>3792</v>
      </c>
      <c r="B6932" s="86" t="s">
        <v>701</v>
      </c>
      <c r="C6932" s="86" t="s">
        <v>65</v>
      </c>
      <c r="D6932" s="86" t="s">
        <v>125</v>
      </c>
      <c r="E6932" s="86" t="s">
        <v>2904</v>
      </c>
      <c r="F6932" s="86" t="s">
        <v>2904</v>
      </c>
      <c r="G6932" s="86" t="s">
        <v>2904</v>
      </c>
      <c r="H6932" s="144">
        <v>83</v>
      </c>
      <c r="I6932" s="86" t="s">
        <v>78</v>
      </c>
      <c r="J6932" s="1" t="s">
        <v>3303</v>
      </c>
      <c r="K6932" s="1" t="s">
        <v>3763</v>
      </c>
      <c r="L6932" s="1" t="s">
        <v>701</v>
      </c>
      <c r="M6932" s="86" t="s">
        <v>2904</v>
      </c>
      <c r="O6932" s="47" t="s">
        <v>410</v>
      </c>
      <c r="P6932" s="47" t="s">
        <v>41</v>
      </c>
      <c r="Q6932" s="14">
        <v>0</v>
      </c>
      <c r="R6932" s="143">
        <v>7682</v>
      </c>
      <c r="S6932" s="47"/>
      <c r="T6932" s="6">
        <v>0</v>
      </c>
      <c r="U6932" s="6">
        <v>10000</v>
      </c>
      <c r="V6932" s="6">
        <v>7638.2</v>
      </c>
      <c r="W6932" s="6">
        <f t="shared" si="1077"/>
        <v>2361.8000000000002</v>
      </c>
      <c r="X6932" s="6">
        <f t="shared" si="1078"/>
        <v>7638.2</v>
      </c>
      <c r="Y6932" s="13">
        <f t="shared" si="1080"/>
        <v>0</v>
      </c>
      <c r="Z6932" s="66">
        <v>0</v>
      </c>
      <c r="AA6932" s="6">
        <v>0</v>
      </c>
      <c r="AB6932" s="4">
        <f t="shared" si="1081"/>
        <v>7638.2</v>
      </c>
      <c r="AC6932" s="6">
        <f t="shared" si="1079"/>
        <v>0</v>
      </c>
      <c r="AD6932" s="6">
        <f t="shared" si="1074"/>
        <v>7638.2</v>
      </c>
      <c r="AE6932" s="14">
        <f>VLOOKUP(I6932,[2]媒体政策预估表!A:N,MATCH(O6932,[2]媒体政策预估表!$A$2:$M$2,0),0)</f>
        <v>0.1293</v>
      </c>
      <c r="AF6932" s="6">
        <f t="shared" si="1076"/>
        <v>987.61925999999994</v>
      </c>
      <c r="AG6932" s="14">
        <v>0</v>
      </c>
      <c r="AH6932" s="64">
        <f t="shared" si="1075"/>
        <v>7638.2</v>
      </c>
      <c r="AJ6932" s="126" t="e">
        <v>#N/A</v>
      </c>
      <c r="AK6932" s="80">
        <f t="shared" si="1082"/>
        <v>0</v>
      </c>
      <c r="AL6932" s="85"/>
      <c r="AM6932" s="85"/>
    </row>
    <row r="6933" spans="1:39" s="86" customFormat="1" ht="13.25" hidden="1" customHeight="1" x14ac:dyDescent="0.3">
      <c r="A6933" s="89" t="s">
        <v>3978</v>
      </c>
      <c r="B6933" s="86" t="s">
        <v>701</v>
      </c>
      <c r="C6933" s="86" t="s">
        <v>65</v>
      </c>
      <c r="D6933" s="86" t="s">
        <v>125</v>
      </c>
      <c r="E6933" s="86" t="s">
        <v>2766</v>
      </c>
      <c r="F6933" s="86" t="s">
        <v>2766</v>
      </c>
      <c r="G6933" s="86" t="s">
        <v>2766</v>
      </c>
      <c r="H6933" s="144">
        <v>83</v>
      </c>
      <c r="I6933" s="86" t="s">
        <v>78</v>
      </c>
      <c r="J6933" s="1" t="s">
        <v>3303</v>
      </c>
      <c r="K6933" s="1" t="s">
        <v>3763</v>
      </c>
      <c r="L6933" s="1" t="s">
        <v>701</v>
      </c>
      <c r="M6933" s="86" t="s">
        <v>2766</v>
      </c>
      <c r="O6933" s="47" t="s">
        <v>410</v>
      </c>
      <c r="P6933" s="47" t="s">
        <v>41</v>
      </c>
      <c r="Q6933" s="14">
        <v>0</v>
      </c>
      <c r="R6933" s="143">
        <v>7496</v>
      </c>
      <c r="S6933" s="47"/>
      <c r="T6933" s="6">
        <v>10245.899999999998</v>
      </c>
      <c r="U6933" s="6">
        <v>20000</v>
      </c>
      <c r="V6933" s="6">
        <v>9319.5</v>
      </c>
      <c r="W6933" s="6">
        <f t="shared" si="1077"/>
        <v>20926.399999999998</v>
      </c>
      <c r="X6933" s="6">
        <f t="shared" si="1078"/>
        <v>9319.5</v>
      </c>
      <c r="Y6933" s="13">
        <f t="shared" si="1080"/>
        <v>0</v>
      </c>
      <c r="Z6933" s="66">
        <v>0</v>
      </c>
      <c r="AA6933" s="6">
        <v>0</v>
      </c>
      <c r="AB6933" s="4">
        <f t="shared" si="1081"/>
        <v>9319.5</v>
      </c>
      <c r="AC6933" s="6">
        <f t="shared" si="1079"/>
        <v>0</v>
      </c>
      <c r="AD6933" s="6">
        <f t="shared" si="1074"/>
        <v>9319.5</v>
      </c>
      <c r="AE6933" s="14">
        <f>VLOOKUP(I6933,[2]媒体政策预估表!A:N,MATCH(O6933,[2]媒体政策预估表!$A$2:$M$2,0),0)</f>
        <v>0.1293</v>
      </c>
      <c r="AF6933" s="6">
        <f t="shared" si="1076"/>
        <v>1205.01135</v>
      </c>
      <c r="AG6933" s="14">
        <v>0</v>
      </c>
      <c r="AH6933" s="64">
        <f t="shared" si="1075"/>
        <v>9319.5</v>
      </c>
      <c r="AJ6933" s="126" t="e">
        <v>#N/A</v>
      </c>
      <c r="AK6933" s="80">
        <f t="shared" si="1082"/>
        <v>0</v>
      </c>
      <c r="AL6933" s="85"/>
      <c r="AM6933" s="85"/>
    </row>
    <row r="6934" spans="1:39" s="86" customFormat="1" ht="13.25" hidden="1" customHeight="1" x14ac:dyDescent="0.3">
      <c r="A6934" s="89" t="s">
        <v>3978</v>
      </c>
      <c r="B6934" s="86" t="s">
        <v>701</v>
      </c>
      <c r="C6934" s="86" t="s">
        <v>144</v>
      </c>
      <c r="D6934" s="86" t="s">
        <v>145</v>
      </c>
      <c r="E6934" s="86" t="s">
        <v>1416</v>
      </c>
      <c r="F6934" s="86" t="s">
        <v>1416</v>
      </c>
      <c r="G6934" s="86" t="s">
        <v>1416</v>
      </c>
      <c r="H6934" s="144">
        <v>83</v>
      </c>
      <c r="I6934" s="86" t="s">
        <v>78</v>
      </c>
      <c r="J6934" s="1" t="s">
        <v>3303</v>
      </c>
      <c r="K6934" s="1" t="s">
        <v>3763</v>
      </c>
      <c r="L6934" s="1" t="s">
        <v>701</v>
      </c>
      <c r="M6934" s="86" t="s">
        <v>2903</v>
      </c>
      <c r="O6934" s="47" t="s">
        <v>410</v>
      </c>
      <c r="P6934" s="47" t="s">
        <v>41</v>
      </c>
      <c r="Q6934" s="14">
        <v>0</v>
      </c>
      <c r="R6934" s="143">
        <v>7295</v>
      </c>
      <c r="S6934" s="47"/>
      <c r="T6934" s="6">
        <v>0</v>
      </c>
      <c r="U6934" s="6">
        <v>20000</v>
      </c>
      <c r="V6934" s="6">
        <v>19468.669999999998</v>
      </c>
      <c r="W6934" s="6">
        <f t="shared" si="1077"/>
        <v>531.33000000000175</v>
      </c>
      <c r="X6934" s="6">
        <f t="shared" si="1078"/>
        <v>19468.669999999998</v>
      </c>
      <c r="Y6934" s="13">
        <f t="shared" si="1080"/>
        <v>0</v>
      </c>
      <c r="Z6934" s="66">
        <v>0</v>
      </c>
      <c r="AA6934" s="6">
        <v>0</v>
      </c>
      <c r="AB6934" s="4">
        <f t="shared" si="1081"/>
        <v>19468.669999999998</v>
      </c>
      <c r="AC6934" s="6">
        <f t="shared" si="1079"/>
        <v>0</v>
      </c>
      <c r="AD6934" s="6">
        <f t="shared" si="1074"/>
        <v>19468.669999999998</v>
      </c>
      <c r="AE6934" s="14">
        <f>VLOOKUP(I6934,[2]媒体政策预估表!A:N,MATCH(O6934,[2]媒体政策预估表!$A$2:$M$2,0),0)</f>
        <v>0.1293</v>
      </c>
      <c r="AF6934" s="6">
        <f t="shared" si="1076"/>
        <v>2517.2990309999996</v>
      </c>
      <c r="AG6934" s="14">
        <v>0</v>
      </c>
      <c r="AH6934" s="64">
        <f t="shared" si="1075"/>
        <v>19468.669999999998</v>
      </c>
      <c r="AJ6934" s="126" t="e">
        <v>#N/A</v>
      </c>
      <c r="AK6934" s="80">
        <f t="shared" si="1082"/>
        <v>0</v>
      </c>
      <c r="AL6934" s="85"/>
      <c r="AM6934" s="85"/>
    </row>
    <row r="6935" spans="1:39" s="86" customFormat="1" ht="13.25" hidden="1" customHeight="1" x14ac:dyDescent="0.3">
      <c r="A6935" s="89" t="s">
        <v>3792</v>
      </c>
      <c r="B6935" s="86" t="s">
        <v>701</v>
      </c>
      <c r="C6935" s="86" t="s">
        <v>144</v>
      </c>
      <c r="D6935" s="86" t="s">
        <v>145</v>
      </c>
      <c r="E6935" s="86" t="s">
        <v>2792</v>
      </c>
      <c r="F6935" s="86" t="s">
        <v>2792</v>
      </c>
      <c r="G6935" s="86" t="s">
        <v>2792</v>
      </c>
      <c r="H6935" s="144">
        <v>83</v>
      </c>
      <c r="I6935" s="86" t="s">
        <v>78</v>
      </c>
      <c r="J6935" s="1" t="s">
        <v>3303</v>
      </c>
      <c r="K6935" s="1" t="s">
        <v>3763</v>
      </c>
      <c r="L6935" s="1" t="s">
        <v>701</v>
      </c>
      <c r="M6935" s="86" t="s">
        <v>2792</v>
      </c>
      <c r="O6935" s="47" t="s">
        <v>410</v>
      </c>
      <c r="P6935" s="47" t="s">
        <v>46</v>
      </c>
      <c r="Q6935" s="14">
        <v>0.03</v>
      </c>
      <c r="R6935" s="143">
        <v>116</v>
      </c>
      <c r="S6935" s="47"/>
      <c r="T6935" s="6">
        <v>169221.60010000004</v>
      </c>
      <c r="U6935" s="6">
        <v>20600</v>
      </c>
      <c r="V6935" s="6">
        <v>62401.679999999993</v>
      </c>
      <c r="W6935" s="6">
        <f t="shared" si="1077"/>
        <v>127419.92010000005</v>
      </c>
      <c r="X6935" s="6">
        <f t="shared" si="1078"/>
        <v>60584.155339805817</v>
      </c>
      <c r="Y6935" s="13">
        <f t="shared" si="1080"/>
        <v>0</v>
      </c>
      <c r="Z6935" s="66">
        <v>0</v>
      </c>
      <c r="AA6935" s="6">
        <v>0</v>
      </c>
      <c r="AB6935" s="4">
        <f t="shared" si="1081"/>
        <v>60584.155339805817</v>
      </c>
      <c r="AC6935" s="6">
        <f t="shared" si="1079"/>
        <v>1817.5246601941762</v>
      </c>
      <c r="AD6935" s="6">
        <f t="shared" si="1074"/>
        <v>62401.679999999993</v>
      </c>
      <c r="AE6935" s="14">
        <f>VLOOKUP(I6935,[2]媒体政策预估表!A:N,MATCH(O6935,[2]媒体政策预估表!$A$2:$M$2,0),0)</f>
        <v>0.1293</v>
      </c>
      <c r="AF6935" s="6">
        <f t="shared" si="1076"/>
        <v>8068.5372239999988</v>
      </c>
      <c r="AG6935" s="14">
        <v>0</v>
      </c>
      <c r="AH6935" s="64">
        <f t="shared" si="1075"/>
        <v>62401.679999999993</v>
      </c>
      <c r="AJ6935" s="126" t="e">
        <v>#N/A</v>
      </c>
      <c r="AK6935" s="80">
        <f t="shared" si="1082"/>
        <v>0</v>
      </c>
      <c r="AL6935" s="85"/>
      <c r="AM6935" s="85"/>
    </row>
    <row r="6936" spans="1:39" s="86" customFormat="1" ht="13.25" hidden="1" customHeight="1" x14ac:dyDescent="0.3">
      <c r="A6936" s="89" t="s">
        <v>3978</v>
      </c>
      <c r="B6936" s="86" t="s">
        <v>701</v>
      </c>
      <c r="C6936" s="86" t="s">
        <v>144</v>
      </c>
      <c r="D6936" s="86" t="s">
        <v>145</v>
      </c>
      <c r="E6936" s="86" t="s">
        <v>2792</v>
      </c>
      <c r="F6936" s="86" t="s">
        <v>2793</v>
      </c>
      <c r="G6936" s="86" t="s">
        <v>2792</v>
      </c>
      <c r="H6936" s="144">
        <v>83</v>
      </c>
      <c r="I6936" s="86" t="s">
        <v>78</v>
      </c>
      <c r="J6936" s="1" t="s">
        <v>3303</v>
      </c>
      <c r="K6936" s="1" t="s">
        <v>3763</v>
      </c>
      <c r="L6936" s="1" t="s">
        <v>701</v>
      </c>
      <c r="M6936" s="86" t="s">
        <v>2792</v>
      </c>
      <c r="O6936" s="47" t="s">
        <v>410</v>
      </c>
      <c r="P6936" s="47" t="s">
        <v>46</v>
      </c>
      <c r="Q6936" s="14">
        <v>0.06</v>
      </c>
      <c r="R6936" s="143">
        <v>116</v>
      </c>
      <c r="S6936" s="47"/>
      <c r="T6936" s="6">
        <v>-1715.1999999999971</v>
      </c>
      <c r="U6936" s="6">
        <v>60000</v>
      </c>
      <c r="V6936" s="6">
        <v>48275</v>
      </c>
      <c r="W6936" s="6">
        <f t="shared" si="1077"/>
        <v>10009.800000000003</v>
      </c>
      <c r="X6936" s="6">
        <f t="shared" si="1078"/>
        <v>45542.452830188675</v>
      </c>
      <c r="Y6936" s="13">
        <f t="shared" si="1080"/>
        <v>0</v>
      </c>
      <c r="Z6936" s="66">
        <v>0</v>
      </c>
      <c r="AA6936" s="6">
        <v>0</v>
      </c>
      <c r="AB6936" s="4">
        <f t="shared" si="1081"/>
        <v>45542.452830188675</v>
      </c>
      <c r="AC6936" s="6">
        <f t="shared" si="1079"/>
        <v>2732.5471698113251</v>
      </c>
      <c r="AD6936" s="6">
        <f t="shared" si="1074"/>
        <v>48275</v>
      </c>
      <c r="AE6936" s="14">
        <f>VLOOKUP(I6936,[2]媒体政策预估表!A:N,MATCH(O6936,[2]媒体政策预估表!$A$2:$M$2,0),0)</f>
        <v>0.1293</v>
      </c>
      <c r="AF6936" s="6">
        <f t="shared" si="1076"/>
        <v>6241.9574999999995</v>
      </c>
      <c r="AG6936" s="14">
        <v>0</v>
      </c>
      <c r="AH6936" s="64">
        <f t="shared" si="1075"/>
        <v>48275</v>
      </c>
      <c r="AJ6936" s="126" t="e">
        <v>#N/A</v>
      </c>
      <c r="AK6936" s="80">
        <f t="shared" si="1082"/>
        <v>0</v>
      </c>
      <c r="AL6936" s="85"/>
      <c r="AM6936" s="85"/>
    </row>
    <row r="6937" spans="1:39" s="86" customFormat="1" ht="13.25" hidden="1" customHeight="1" x14ac:dyDescent="0.3">
      <c r="A6937" s="89" t="s">
        <v>3978</v>
      </c>
      <c r="B6937" s="86" t="s">
        <v>701</v>
      </c>
      <c r="C6937" s="86" t="s">
        <v>144</v>
      </c>
      <c r="D6937" s="86" t="s">
        <v>145</v>
      </c>
      <c r="E6937" s="86" t="s">
        <v>2787</v>
      </c>
      <c r="F6937" s="86" t="s">
        <v>2787</v>
      </c>
      <c r="G6937" s="86" t="s">
        <v>2787</v>
      </c>
      <c r="H6937" s="144">
        <v>83</v>
      </c>
      <c r="I6937" s="86" t="s">
        <v>78</v>
      </c>
      <c r="J6937" s="1" t="s">
        <v>3303</v>
      </c>
      <c r="K6937" s="1" t="s">
        <v>3763</v>
      </c>
      <c r="L6937" s="1" t="s">
        <v>701</v>
      </c>
      <c r="M6937" s="86" t="s">
        <v>2788</v>
      </c>
      <c r="O6937" s="47" t="s">
        <v>410</v>
      </c>
      <c r="P6937" s="47" t="s">
        <v>41</v>
      </c>
      <c r="Q6937" s="14">
        <v>0</v>
      </c>
      <c r="R6937" s="143">
        <v>7102</v>
      </c>
      <c r="S6937" s="47"/>
      <c r="T6937" s="6">
        <v>118501.27000000003</v>
      </c>
      <c r="U6937" s="6">
        <v>100000</v>
      </c>
      <c r="V6937" s="6">
        <v>110378.72</v>
      </c>
      <c r="W6937" s="6">
        <f t="shared" si="1077"/>
        <v>108122.55000000002</v>
      </c>
      <c r="X6937" s="6">
        <f t="shared" si="1078"/>
        <v>110378.72</v>
      </c>
      <c r="Y6937" s="13">
        <f t="shared" si="1080"/>
        <v>0</v>
      </c>
      <c r="Z6937" s="66">
        <v>0</v>
      </c>
      <c r="AA6937" s="6">
        <v>0</v>
      </c>
      <c r="AB6937" s="4">
        <f t="shared" si="1081"/>
        <v>110378.72</v>
      </c>
      <c r="AC6937" s="6">
        <f t="shared" si="1079"/>
        <v>0</v>
      </c>
      <c r="AD6937" s="6">
        <f t="shared" si="1074"/>
        <v>110378.72</v>
      </c>
      <c r="AE6937" s="14">
        <f>VLOOKUP(I6937,[2]媒体政策预估表!A:N,MATCH(O6937,[2]媒体政策预估表!$A$2:$M$2,0),0)</f>
        <v>0.1293</v>
      </c>
      <c r="AF6937" s="6">
        <f t="shared" si="1076"/>
        <v>14271.968496</v>
      </c>
      <c r="AG6937" s="14">
        <v>0</v>
      </c>
      <c r="AH6937" s="64">
        <f t="shared" si="1075"/>
        <v>110378.72</v>
      </c>
      <c r="AJ6937" s="126" t="e">
        <v>#N/A</v>
      </c>
      <c r="AK6937" s="80">
        <f t="shared" si="1082"/>
        <v>0</v>
      </c>
      <c r="AL6937" s="85"/>
      <c r="AM6937" s="85"/>
    </row>
    <row r="6938" spans="1:39" s="86" customFormat="1" ht="13.25" hidden="1" customHeight="1" x14ac:dyDescent="0.3">
      <c r="A6938" s="89" t="s">
        <v>3978</v>
      </c>
      <c r="B6938" s="86" t="s">
        <v>701</v>
      </c>
      <c r="C6938" s="86" t="s">
        <v>144</v>
      </c>
      <c r="D6938" s="86" t="s">
        <v>145</v>
      </c>
      <c r="E6938" s="86" t="s">
        <v>150</v>
      </c>
      <c r="F6938" s="86" t="s">
        <v>151</v>
      </c>
      <c r="G6938" s="86" t="s">
        <v>150</v>
      </c>
      <c r="H6938" s="144">
        <v>83</v>
      </c>
      <c r="I6938" s="86" t="s">
        <v>78</v>
      </c>
      <c r="J6938" s="1" t="s">
        <v>3303</v>
      </c>
      <c r="K6938" s="1" t="s">
        <v>3763</v>
      </c>
      <c r="L6938" s="1" t="s">
        <v>701</v>
      </c>
      <c r="M6938" s="86" t="s">
        <v>2794</v>
      </c>
      <c r="O6938" s="47" t="s">
        <v>410</v>
      </c>
      <c r="P6938" s="47" t="s">
        <v>41</v>
      </c>
      <c r="Q6938" s="14">
        <v>0</v>
      </c>
      <c r="R6938" s="143">
        <v>7105</v>
      </c>
      <c r="S6938" s="47"/>
      <c r="T6938" s="6">
        <v>228277.60000000003</v>
      </c>
      <c r="U6938" s="6">
        <v>200000</v>
      </c>
      <c r="V6938" s="6">
        <v>283601.3</v>
      </c>
      <c r="W6938" s="6">
        <f t="shared" si="1077"/>
        <v>144676.30000000005</v>
      </c>
      <c r="X6938" s="6">
        <f t="shared" si="1078"/>
        <v>283601.3</v>
      </c>
      <c r="Y6938" s="13">
        <f t="shared" si="1080"/>
        <v>0</v>
      </c>
      <c r="Z6938" s="66">
        <v>0</v>
      </c>
      <c r="AA6938" s="6">
        <v>0</v>
      </c>
      <c r="AB6938" s="4">
        <f t="shared" si="1081"/>
        <v>283601.3</v>
      </c>
      <c r="AC6938" s="6">
        <f t="shared" si="1079"/>
        <v>0</v>
      </c>
      <c r="AD6938" s="6">
        <f t="shared" si="1074"/>
        <v>283601.3</v>
      </c>
      <c r="AE6938" s="14">
        <f>VLOOKUP(I6938,[2]媒体政策预估表!A:N,MATCH(O6938,[2]媒体政策预估表!$A$2:$M$2,0),0)</f>
        <v>0.1293</v>
      </c>
      <c r="AF6938" s="6">
        <f t="shared" si="1076"/>
        <v>36669.648089999995</v>
      </c>
      <c r="AG6938" s="14">
        <v>0</v>
      </c>
      <c r="AH6938" s="64">
        <f t="shared" si="1075"/>
        <v>283601.3</v>
      </c>
      <c r="AJ6938" s="126" t="e">
        <v>#N/A</v>
      </c>
      <c r="AK6938" s="80">
        <f t="shared" si="1082"/>
        <v>0</v>
      </c>
      <c r="AL6938" s="85"/>
      <c r="AM6938" s="85"/>
    </row>
    <row r="6939" spans="1:39" s="86" customFormat="1" ht="13.25" hidden="1" customHeight="1" x14ac:dyDescent="0.3">
      <c r="A6939" s="89" t="s">
        <v>3978</v>
      </c>
      <c r="B6939" s="86" t="s">
        <v>701</v>
      </c>
      <c r="C6939" s="86" t="s">
        <v>144</v>
      </c>
      <c r="D6939" s="86" t="s">
        <v>152</v>
      </c>
      <c r="E6939" s="86" t="s">
        <v>2875</v>
      </c>
      <c r="F6939" s="86" t="s">
        <v>2875</v>
      </c>
      <c r="G6939" s="86" t="s">
        <v>2875</v>
      </c>
      <c r="H6939" s="143">
        <v>83</v>
      </c>
      <c r="I6939" s="86" t="s">
        <v>78</v>
      </c>
      <c r="J6939" s="1" t="s">
        <v>3303</v>
      </c>
      <c r="K6939" s="1" t="s">
        <v>3763</v>
      </c>
      <c r="L6939" s="1" t="s">
        <v>701</v>
      </c>
      <c r="M6939" s="86" t="s">
        <v>2876</v>
      </c>
      <c r="O6939" s="47" t="s">
        <v>410</v>
      </c>
      <c r="P6939" s="47" t="s">
        <v>41</v>
      </c>
      <c r="Q6939" s="14">
        <v>0</v>
      </c>
      <c r="R6939" s="143">
        <v>7506</v>
      </c>
      <c r="S6939" s="47"/>
      <c r="T6939" s="6">
        <v>8823.3500000000022</v>
      </c>
      <c r="U6939" s="6">
        <v>10000</v>
      </c>
      <c r="V6939" s="6">
        <v>3355.71</v>
      </c>
      <c r="W6939" s="6">
        <f t="shared" si="1077"/>
        <v>15467.640000000003</v>
      </c>
      <c r="X6939" s="6">
        <f t="shared" si="1078"/>
        <v>3355.71</v>
      </c>
      <c r="Y6939" s="13">
        <f t="shared" si="1080"/>
        <v>0</v>
      </c>
      <c r="Z6939" s="66">
        <v>0</v>
      </c>
      <c r="AA6939" s="6">
        <v>0</v>
      </c>
      <c r="AB6939" s="4"/>
      <c r="AC6939" s="6">
        <f t="shared" si="1079"/>
        <v>0</v>
      </c>
      <c r="AD6939" s="6">
        <f t="shared" si="1074"/>
        <v>3355.71</v>
      </c>
      <c r="AE6939" s="14">
        <f>VLOOKUP(I6939,[2]媒体政策预估表!A:N,MATCH(O6939,[2]媒体政策预估表!$A$2:$M$2,0),0)</f>
        <v>0.1293</v>
      </c>
      <c r="AF6939" s="6">
        <f t="shared" si="1076"/>
        <v>433.893303</v>
      </c>
      <c r="AG6939" s="14">
        <v>0</v>
      </c>
      <c r="AH6939" s="64">
        <f t="shared" si="1075"/>
        <v>3355.71</v>
      </c>
      <c r="AJ6939" s="126">
        <v>107</v>
      </c>
      <c r="AK6939" s="80">
        <f t="shared" si="1082"/>
        <v>3355.71</v>
      </c>
      <c r="AL6939" s="85"/>
      <c r="AM6939" s="85"/>
    </row>
    <row r="6940" spans="1:39" s="86" customFormat="1" ht="13.25" hidden="1" customHeight="1" x14ac:dyDescent="0.3">
      <c r="A6940" s="89" t="s">
        <v>3792</v>
      </c>
      <c r="B6940" s="86" t="s">
        <v>701</v>
      </c>
      <c r="C6940" s="86" t="s">
        <v>144</v>
      </c>
      <c r="D6940" s="86" t="s">
        <v>152</v>
      </c>
      <c r="E6940" s="86" t="s">
        <v>2860</v>
      </c>
      <c r="F6940" s="86" t="s">
        <v>2860</v>
      </c>
      <c r="G6940" s="86" t="s">
        <v>2860</v>
      </c>
      <c r="H6940" s="144">
        <v>83</v>
      </c>
      <c r="I6940" s="86" t="s">
        <v>78</v>
      </c>
      <c r="J6940" s="1" t="s">
        <v>3303</v>
      </c>
      <c r="K6940" s="1" t="s">
        <v>3763</v>
      </c>
      <c r="L6940" s="1" t="s">
        <v>701</v>
      </c>
      <c r="M6940" s="86" t="s">
        <v>2861</v>
      </c>
      <c r="O6940" s="47" t="s">
        <v>410</v>
      </c>
      <c r="P6940" s="47" t="s">
        <v>41</v>
      </c>
      <c r="Q6940" s="14">
        <v>0</v>
      </c>
      <c r="R6940" s="143">
        <v>108</v>
      </c>
      <c r="S6940" s="47"/>
      <c r="T6940" s="6">
        <v>0</v>
      </c>
      <c r="U6940" s="6">
        <v>5000</v>
      </c>
      <c r="V6940" s="6">
        <v>1022.4</v>
      </c>
      <c r="W6940" s="6">
        <f t="shared" si="1077"/>
        <v>3977.6</v>
      </c>
      <c r="X6940" s="6">
        <f t="shared" si="1078"/>
        <v>1022.4</v>
      </c>
      <c r="Y6940" s="13">
        <f t="shared" si="1080"/>
        <v>0</v>
      </c>
      <c r="Z6940" s="66">
        <v>0</v>
      </c>
      <c r="AA6940" s="6">
        <v>0</v>
      </c>
      <c r="AB6940" s="4">
        <f t="shared" si="1081"/>
        <v>1022.4</v>
      </c>
      <c r="AC6940" s="6">
        <f t="shared" si="1079"/>
        <v>0</v>
      </c>
      <c r="AD6940" s="6">
        <f t="shared" si="1074"/>
        <v>1022.4</v>
      </c>
      <c r="AE6940" s="14">
        <f>VLOOKUP(I6940,[2]媒体政策预估表!A:N,MATCH(O6940,[2]媒体政策预估表!$A$2:$M$2,0),0)</f>
        <v>0.1293</v>
      </c>
      <c r="AF6940" s="6">
        <f t="shared" si="1076"/>
        <v>132.19631999999999</v>
      </c>
      <c r="AG6940" s="14">
        <v>0</v>
      </c>
      <c r="AH6940" s="64">
        <f t="shared" si="1075"/>
        <v>1022.4</v>
      </c>
      <c r="AJ6940" s="126" t="e">
        <v>#N/A</v>
      </c>
      <c r="AK6940" s="80">
        <f t="shared" si="1082"/>
        <v>0</v>
      </c>
      <c r="AL6940" s="85"/>
      <c r="AM6940" s="85"/>
    </row>
    <row r="6941" spans="1:39" s="86" customFormat="1" ht="13.25" hidden="1" customHeight="1" x14ac:dyDescent="0.3">
      <c r="A6941" s="89" t="s">
        <v>3978</v>
      </c>
      <c r="B6941" s="86" t="s">
        <v>701</v>
      </c>
      <c r="C6941" s="86" t="s">
        <v>144</v>
      </c>
      <c r="D6941" s="86" t="s">
        <v>152</v>
      </c>
      <c r="E6941" s="86" t="s">
        <v>2886</v>
      </c>
      <c r="F6941" s="86" t="s">
        <v>2886</v>
      </c>
      <c r="G6941" s="86" t="s">
        <v>2886</v>
      </c>
      <c r="H6941" s="143">
        <v>83</v>
      </c>
      <c r="I6941" s="86" t="s">
        <v>78</v>
      </c>
      <c r="J6941" s="1" t="s">
        <v>3303</v>
      </c>
      <c r="K6941" s="1" t="s">
        <v>3763</v>
      </c>
      <c r="L6941" s="1" t="s">
        <v>701</v>
      </c>
      <c r="M6941" s="86" t="s">
        <v>2886</v>
      </c>
      <c r="O6941" s="47" t="s">
        <v>410</v>
      </c>
      <c r="P6941" s="47" t="s">
        <v>41</v>
      </c>
      <c r="Q6941" s="14">
        <v>0</v>
      </c>
      <c r="R6941" s="143">
        <v>7482</v>
      </c>
      <c r="S6941" s="47"/>
      <c r="T6941" s="6">
        <v>0</v>
      </c>
      <c r="U6941" s="6">
        <v>20000</v>
      </c>
      <c r="V6941" s="6">
        <v>6777.4699999999993</v>
      </c>
      <c r="W6941" s="6">
        <f t="shared" si="1077"/>
        <v>13222.53</v>
      </c>
      <c r="X6941" s="6">
        <f t="shared" si="1078"/>
        <v>6777.4699999999993</v>
      </c>
      <c r="Y6941" s="13">
        <f t="shared" si="1080"/>
        <v>0</v>
      </c>
      <c r="Z6941" s="66">
        <v>0</v>
      </c>
      <c r="AA6941" s="6">
        <v>0</v>
      </c>
      <c r="AB6941" s="4"/>
      <c r="AC6941" s="6">
        <f t="shared" si="1079"/>
        <v>0</v>
      </c>
      <c r="AD6941" s="6">
        <f t="shared" si="1074"/>
        <v>6777.4699999999993</v>
      </c>
      <c r="AE6941" s="14">
        <f>VLOOKUP(I6941,[2]媒体政策预估表!A:N,MATCH(O6941,[2]媒体政策预估表!$A$2:$M$2,0),0)</f>
        <v>0.1293</v>
      </c>
      <c r="AF6941" s="6">
        <f t="shared" si="1076"/>
        <v>876.32687099999987</v>
      </c>
      <c r="AG6941" s="14">
        <v>0</v>
      </c>
      <c r="AH6941" s="64">
        <f t="shared" si="1075"/>
        <v>6777.4699999999993</v>
      </c>
      <c r="AJ6941" s="126">
        <v>104</v>
      </c>
      <c r="AK6941" s="80">
        <f t="shared" si="1082"/>
        <v>6777.4699999999993</v>
      </c>
      <c r="AL6941" s="85"/>
      <c r="AM6941" s="85"/>
    </row>
    <row r="6942" spans="1:39" s="86" customFormat="1" ht="13.25" hidden="1" customHeight="1" x14ac:dyDescent="0.3">
      <c r="A6942" s="89" t="s">
        <v>3792</v>
      </c>
      <c r="B6942" s="86" t="s">
        <v>701</v>
      </c>
      <c r="C6942" s="86" t="s">
        <v>144</v>
      </c>
      <c r="D6942" s="86" t="s">
        <v>152</v>
      </c>
      <c r="E6942" s="86" t="s">
        <v>2886</v>
      </c>
      <c r="F6942" s="86" t="s">
        <v>2886</v>
      </c>
      <c r="G6942" s="86" t="s">
        <v>2886</v>
      </c>
      <c r="H6942" s="143">
        <v>83</v>
      </c>
      <c r="I6942" s="86" t="s">
        <v>78</v>
      </c>
      <c r="J6942" s="1" t="s">
        <v>3303</v>
      </c>
      <c r="K6942" s="1" t="s">
        <v>3763</v>
      </c>
      <c r="L6942" s="1" t="s">
        <v>701</v>
      </c>
      <c r="M6942" s="86" t="s">
        <v>4000</v>
      </c>
      <c r="O6942" s="47" t="s">
        <v>410</v>
      </c>
      <c r="P6942" s="47" t="s">
        <v>41</v>
      </c>
      <c r="Q6942" s="14">
        <v>0</v>
      </c>
      <c r="R6942" s="143">
        <v>7632</v>
      </c>
      <c r="S6942" s="47"/>
      <c r="T6942" s="6">
        <v>0</v>
      </c>
      <c r="U6942" s="6">
        <v>10000</v>
      </c>
      <c r="V6942" s="6">
        <v>4195.8</v>
      </c>
      <c r="W6942" s="6">
        <f t="shared" si="1077"/>
        <v>5804.2</v>
      </c>
      <c r="X6942" s="6">
        <f t="shared" si="1078"/>
        <v>4195.8</v>
      </c>
      <c r="Y6942" s="13">
        <f t="shared" si="1080"/>
        <v>0</v>
      </c>
      <c r="Z6942" s="66">
        <v>0</v>
      </c>
      <c r="AA6942" s="6">
        <v>0</v>
      </c>
      <c r="AB6942" s="4"/>
      <c r="AC6942" s="6">
        <f t="shared" si="1079"/>
        <v>0</v>
      </c>
      <c r="AD6942" s="6">
        <f t="shared" si="1074"/>
        <v>4195.8</v>
      </c>
      <c r="AE6942" s="14">
        <f>VLOOKUP(I6942,[2]媒体政策预估表!A:N,MATCH(O6942,[2]媒体政策预估表!$A$2:$M$2,0),0)</f>
        <v>0.1293</v>
      </c>
      <c r="AF6942" s="6">
        <f t="shared" si="1076"/>
        <v>542.51693999999998</v>
      </c>
      <c r="AG6942" s="14">
        <v>0</v>
      </c>
      <c r="AH6942" s="64">
        <f t="shared" si="1075"/>
        <v>4195.8</v>
      </c>
      <c r="AJ6942" s="126">
        <v>104</v>
      </c>
      <c r="AK6942" s="80">
        <f t="shared" si="1082"/>
        <v>4195.8</v>
      </c>
      <c r="AL6942" s="85"/>
      <c r="AM6942" s="85"/>
    </row>
    <row r="6943" spans="1:39" s="86" customFormat="1" ht="13.25" hidden="1" customHeight="1" x14ac:dyDescent="0.3">
      <c r="A6943" s="89" t="s">
        <v>3978</v>
      </c>
      <c r="B6943" s="86" t="s">
        <v>701</v>
      </c>
      <c r="C6943" s="86" t="s">
        <v>144</v>
      </c>
      <c r="D6943" s="86" t="s">
        <v>161</v>
      </c>
      <c r="E6943" s="86" t="s">
        <v>1903</v>
      </c>
      <c r="F6943" s="86" t="s">
        <v>1903</v>
      </c>
      <c r="G6943" s="86" t="s">
        <v>1903</v>
      </c>
      <c r="H6943" s="144">
        <v>83</v>
      </c>
      <c r="I6943" s="86" t="s">
        <v>78</v>
      </c>
      <c r="J6943" s="1" t="s">
        <v>3303</v>
      </c>
      <c r="K6943" s="1" t="s">
        <v>3763</v>
      </c>
      <c r="L6943" s="1" t="s">
        <v>701</v>
      </c>
      <c r="M6943" s="86" t="s">
        <v>2148</v>
      </c>
      <c r="O6943" s="47" t="s">
        <v>410</v>
      </c>
      <c r="P6943" s="47" t="s">
        <v>46</v>
      </c>
      <c r="Q6943" s="14">
        <v>0.02</v>
      </c>
      <c r="R6943" s="143">
        <v>7096</v>
      </c>
      <c r="S6943" s="47"/>
      <c r="T6943" s="6">
        <v>13308.630000000003</v>
      </c>
      <c r="U6943" s="6">
        <v>20400</v>
      </c>
      <c r="V6943" s="6">
        <v>11323.7</v>
      </c>
      <c r="W6943" s="6">
        <f t="shared" si="1077"/>
        <v>22384.930000000004</v>
      </c>
      <c r="X6943" s="6">
        <f t="shared" si="1078"/>
        <v>11101.666666666668</v>
      </c>
      <c r="Y6943" s="13">
        <f t="shared" si="1080"/>
        <v>0</v>
      </c>
      <c r="Z6943" s="66">
        <v>0</v>
      </c>
      <c r="AA6943" s="6">
        <v>0</v>
      </c>
      <c r="AB6943" s="4">
        <f t="shared" si="1081"/>
        <v>11101.666666666668</v>
      </c>
      <c r="AC6943" s="6">
        <f t="shared" si="1079"/>
        <v>222.03333333333285</v>
      </c>
      <c r="AD6943" s="6">
        <f t="shared" si="1074"/>
        <v>11323.7</v>
      </c>
      <c r="AE6943" s="14">
        <f>VLOOKUP(I6943,[2]媒体政策预估表!A:N,MATCH(O6943,[2]媒体政策预估表!$A$2:$M$2,0),0)</f>
        <v>0.1293</v>
      </c>
      <c r="AF6943" s="6">
        <f t="shared" si="1076"/>
        <v>1464.1544100000001</v>
      </c>
      <c r="AG6943" s="14">
        <v>0</v>
      </c>
      <c r="AH6943" s="64">
        <f t="shared" si="1075"/>
        <v>11323.7</v>
      </c>
      <c r="AJ6943" s="126" t="e">
        <v>#N/A</v>
      </c>
      <c r="AK6943" s="80">
        <f t="shared" si="1082"/>
        <v>0</v>
      </c>
      <c r="AL6943" s="85"/>
      <c r="AM6943" s="85"/>
    </row>
    <row r="6944" spans="1:39" s="86" customFormat="1" ht="13.25" hidden="1" customHeight="1" x14ac:dyDescent="0.3">
      <c r="A6944" s="89" t="s">
        <v>3978</v>
      </c>
      <c r="B6944" s="86" t="s">
        <v>701</v>
      </c>
      <c r="C6944" s="86" t="s">
        <v>164</v>
      </c>
      <c r="D6944" s="86" t="s">
        <v>305</v>
      </c>
      <c r="E6944" s="86" t="s">
        <v>2802</v>
      </c>
      <c r="F6944" s="86" t="s">
        <v>2802</v>
      </c>
      <c r="G6944" s="86" t="s">
        <v>2802</v>
      </c>
      <c r="H6944" s="144">
        <v>83</v>
      </c>
      <c r="I6944" s="86" t="s">
        <v>78</v>
      </c>
      <c r="J6944" s="1" t="s">
        <v>3303</v>
      </c>
      <c r="K6944" s="1" t="s">
        <v>3763</v>
      </c>
      <c r="L6944" s="1" t="s">
        <v>701</v>
      </c>
      <c r="M6944" s="86" t="s">
        <v>2802</v>
      </c>
      <c r="O6944" s="47" t="s">
        <v>410</v>
      </c>
      <c r="P6944" s="47" t="s">
        <v>41</v>
      </c>
      <c r="Q6944" s="14">
        <v>0</v>
      </c>
      <c r="R6944" s="143">
        <v>7183</v>
      </c>
      <c r="S6944" s="47"/>
      <c r="T6944" s="6">
        <v>16426.180000000004</v>
      </c>
      <c r="U6944" s="6">
        <v>20000</v>
      </c>
      <c r="V6944" s="6">
        <v>18151.079999999998</v>
      </c>
      <c r="W6944" s="6">
        <f t="shared" si="1077"/>
        <v>18275.100000000009</v>
      </c>
      <c r="X6944" s="6">
        <f t="shared" si="1078"/>
        <v>18151.079999999998</v>
      </c>
      <c r="Y6944" s="13">
        <f t="shared" si="1080"/>
        <v>0</v>
      </c>
      <c r="Z6944" s="66">
        <v>0</v>
      </c>
      <c r="AA6944" s="6">
        <v>0</v>
      </c>
      <c r="AB6944" s="4">
        <f t="shared" si="1081"/>
        <v>18151.079999999998</v>
      </c>
      <c r="AC6944" s="6">
        <f t="shared" si="1079"/>
        <v>0</v>
      </c>
      <c r="AD6944" s="6">
        <f t="shared" si="1074"/>
        <v>18151.079999999998</v>
      </c>
      <c r="AE6944" s="14">
        <f>VLOOKUP(I6944,[2]媒体政策预估表!A:N,MATCH(O6944,[2]媒体政策预估表!$A$2:$M$2,0),0)</f>
        <v>0.1293</v>
      </c>
      <c r="AF6944" s="6">
        <f t="shared" si="1076"/>
        <v>2346.9346439999999</v>
      </c>
      <c r="AG6944" s="14">
        <v>0</v>
      </c>
      <c r="AH6944" s="64">
        <f t="shared" si="1075"/>
        <v>18151.079999999998</v>
      </c>
      <c r="AJ6944" s="126" t="e">
        <v>#N/A</v>
      </c>
      <c r="AK6944" s="80">
        <f t="shared" si="1082"/>
        <v>0</v>
      </c>
      <c r="AL6944" s="85"/>
      <c r="AM6944" s="85"/>
    </row>
    <row r="6945" spans="1:39" s="86" customFormat="1" ht="13.25" hidden="1" customHeight="1" x14ac:dyDescent="0.3">
      <c r="A6945" s="89" t="s">
        <v>3792</v>
      </c>
      <c r="B6945" s="86" t="s">
        <v>701</v>
      </c>
      <c r="C6945" s="86" t="s">
        <v>164</v>
      </c>
      <c r="D6945" s="86" t="s">
        <v>305</v>
      </c>
      <c r="E6945" s="86" t="s">
        <v>2803</v>
      </c>
      <c r="F6945" s="86" t="s">
        <v>2804</v>
      </c>
      <c r="G6945" s="86" t="s">
        <v>2803</v>
      </c>
      <c r="H6945" s="144">
        <v>83</v>
      </c>
      <c r="I6945" s="86" t="s">
        <v>78</v>
      </c>
      <c r="J6945" s="1" t="s">
        <v>3303</v>
      </c>
      <c r="K6945" s="1" t="s">
        <v>3763</v>
      </c>
      <c r="L6945" s="1" t="s">
        <v>701</v>
      </c>
      <c r="M6945" s="86" t="s">
        <v>2803</v>
      </c>
      <c r="O6945" s="47" t="s">
        <v>410</v>
      </c>
      <c r="P6945" s="47" t="s">
        <v>41</v>
      </c>
      <c r="Q6945" s="14">
        <v>0</v>
      </c>
      <c r="R6945" s="143">
        <v>7177</v>
      </c>
      <c r="S6945" s="47"/>
      <c r="T6945" s="6">
        <v>4090.51</v>
      </c>
      <c r="U6945" s="6">
        <v>20000</v>
      </c>
      <c r="V6945" s="6">
        <v>12406.86</v>
      </c>
      <c r="W6945" s="6">
        <f t="shared" si="1077"/>
        <v>11683.650000000001</v>
      </c>
      <c r="X6945" s="6">
        <f t="shared" si="1078"/>
        <v>12406.86</v>
      </c>
      <c r="Y6945" s="13">
        <f t="shared" si="1080"/>
        <v>0</v>
      </c>
      <c r="Z6945" s="66">
        <v>0</v>
      </c>
      <c r="AA6945" s="6">
        <v>0</v>
      </c>
      <c r="AB6945" s="4">
        <f t="shared" si="1081"/>
        <v>12406.86</v>
      </c>
      <c r="AC6945" s="6">
        <f t="shared" si="1079"/>
        <v>0</v>
      </c>
      <c r="AD6945" s="6">
        <f t="shared" ref="AD6945:AD7008" si="1083">V6945</f>
        <v>12406.86</v>
      </c>
      <c r="AE6945" s="14">
        <f>VLOOKUP(I6945,[2]媒体政策预估表!A:N,MATCH(O6945,[2]媒体政策预估表!$A$2:$M$2,0),0)</f>
        <v>0.1293</v>
      </c>
      <c r="AF6945" s="6">
        <f t="shared" si="1076"/>
        <v>1604.2069980000001</v>
      </c>
      <c r="AG6945" s="14">
        <v>0</v>
      </c>
      <c r="AH6945" s="64">
        <f t="shared" ref="AH6945:AH7008" si="1084">V6945</f>
        <v>12406.86</v>
      </c>
      <c r="AJ6945" s="126" t="e">
        <v>#N/A</v>
      </c>
      <c r="AK6945" s="80">
        <f t="shared" si="1082"/>
        <v>0</v>
      </c>
      <c r="AL6945" s="85"/>
      <c r="AM6945" s="85"/>
    </row>
    <row r="6946" spans="1:39" s="86" customFormat="1" ht="13.25" hidden="1" customHeight="1" x14ac:dyDescent="0.3">
      <c r="A6946" s="89" t="s">
        <v>3792</v>
      </c>
      <c r="B6946" s="86" t="s">
        <v>701</v>
      </c>
      <c r="C6946" s="86" t="s">
        <v>164</v>
      </c>
      <c r="D6946" s="86" t="s">
        <v>305</v>
      </c>
      <c r="E6946" s="86" t="s">
        <v>1549</v>
      </c>
      <c r="F6946" s="86" t="s">
        <v>1550</v>
      </c>
      <c r="G6946" s="86" t="s">
        <v>1549</v>
      </c>
      <c r="H6946" s="144">
        <v>83</v>
      </c>
      <c r="I6946" s="86" t="s">
        <v>78</v>
      </c>
      <c r="J6946" s="1" t="s">
        <v>3303</v>
      </c>
      <c r="K6946" s="1" t="s">
        <v>3763</v>
      </c>
      <c r="L6946" s="1" t="s">
        <v>701</v>
      </c>
      <c r="M6946" s="86" t="s">
        <v>1549</v>
      </c>
      <c r="O6946" s="47" t="s">
        <v>410</v>
      </c>
      <c r="P6946" s="47" t="s">
        <v>41</v>
      </c>
      <c r="Q6946" s="14">
        <v>0</v>
      </c>
      <c r="R6946" s="143">
        <v>7128</v>
      </c>
      <c r="S6946" s="47"/>
      <c r="T6946" s="6">
        <v>3309.9400000000023</v>
      </c>
      <c r="U6946" s="6">
        <v>40000</v>
      </c>
      <c r="V6946" s="6">
        <v>36125.980000000003</v>
      </c>
      <c r="W6946" s="6">
        <f t="shared" si="1077"/>
        <v>7183.9599999999991</v>
      </c>
      <c r="X6946" s="6">
        <f t="shared" si="1078"/>
        <v>36125.980000000003</v>
      </c>
      <c r="Y6946" s="13">
        <f t="shared" si="1080"/>
        <v>0</v>
      </c>
      <c r="Z6946" s="66">
        <v>0</v>
      </c>
      <c r="AA6946" s="6">
        <v>0</v>
      </c>
      <c r="AB6946" s="4">
        <f t="shared" si="1081"/>
        <v>36125.980000000003</v>
      </c>
      <c r="AC6946" s="6">
        <f t="shared" si="1079"/>
        <v>0</v>
      </c>
      <c r="AD6946" s="6">
        <f t="shared" si="1083"/>
        <v>36125.980000000003</v>
      </c>
      <c r="AE6946" s="14">
        <f>VLOOKUP(I6946,[2]媒体政策预估表!A:N,MATCH(O6946,[2]媒体政策预估表!$A$2:$M$2,0),0)</f>
        <v>0.1293</v>
      </c>
      <c r="AF6946" s="6">
        <f t="shared" si="1076"/>
        <v>4671.0892140000005</v>
      </c>
      <c r="AG6946" s="14">
        <v>0</v>
      </c>
      <c r="AH6946" s="64">
        <f t="shared" si="1084"/>
        <v>36125.980000000003</v>
      </c>
      <c r="AJ6946" s="126" t="e">
        <v>#N/A</v>
      </c>
      <c r="AK6946" s="80">
        <f t="shared" si="1082"/>
        <v>0</v>
      </c>
      <c r="AL6946" s="85"/>
      <c r="AM6946" s="85"/>
    </row>
    <row r="6947" spans="1:39" s="86" customFormat="1" ht="13.25" hidden="1" customHeight="1" x14ac:dyDescent="0.3">
      <c r="A6947" s="89" t="s">
        <v>3978</v>
      </c>
      <c r="B6947" s="86" t="s">
        <v>701</v>
      </c>
      <c r="C6947" s="86" t="s">
        <v>164</v>
      </c>
      <c r="D6947" s="86" t="s">
        <v>305</v>
      </c>
      <c r="E6947" s="86" t="s">
        <v>2805</v>
      </c>
      <c r="F6947" s="86" t="s">
        <v>2805</v>
      </c>
      <c r="G6947" s="86" t="s">
        <v>2805</v>
      </c>
      <c r="H6947" s="144">
        <v>83</v>
      </c>
      <c r="I6947" s="86" t="s">
        <v>78</v>
      </c>
      <c r="J6947" s="1" t="s">
        <v>3303</v>
      </c>
      <c r="K6947" s="1" t="s">
        <v>3763</v>
      </c>
      <c r="L6947" s="1" t="s">
        <v>701</v>
      </c>
      <c r="M6947" s="86" t="s">
        <v>2805</v>
      </c>
      <c r="O6947" s="47" t="s">
        <v>410</v>
      </c>
      <c r="P6947" s="47" t="s">
        <v>41</v>
      </c>
      <c r="Q6947" s="14">
        <v>0</v>
      </c>
      <c r="R6947" s="143">
        <v>7507</v>
      </c>
      <c r="S6947" s="47"/>
      <c r="T6947" s="6">
        <v>20796.2</v>
      </c>
      <c r="U6947" s="6">
        <v>10000</v>
      </c>
      <c r="V6947" s="6">
        <v>19845.900000000001</v>
      </c>
      <c r="W6947" s="6">
        <f t="shared" si="1077"/>
        <v>10950.3</v>
      </c>
      <c r="X6947" s="6">
        <f t="shared" si="1078"/>
        <v>19845.900000000001</v>
      </c>
      <c r="Y6947" s="13">
        <f t="shared" si="1080"/>
        <v>0</v>
      </c>
      <c r="Z6947" s="66">
        <v>0</v>
      </c>
      <c r="AA6947" s="6">
        <v>0</v>
      </c>
      <c r="AB6947" s="4">
        <f t="shared" si="1081"/>
        <v>19845.900000000001</v>
      </c>
      <c r="AC6947" s="6">
        <f t="shared" si="1079"/>
        <v>0</v>
      </c>
      <c r="AD6947" s="6">
        <f t="shared" si="1083"/>
        <v>19845.900000000001</v>
      </c>
      <c r="AE6947" s="14">
        <f>VLOOKUP(I6947,[2]媒体政策预估表!A:N,MATCH(O6947,[2]媒体政策预估表!$A$2:$M$2,0),0)</f>
        <v>0.1293</v>
      </c>
      <c r="AF6947" s="6">
        <f t="shared" si="1076"/>
        <v>2566.0748700000004</v>
      </c>
      <c r="AG6947" s="14">
        <v>0</v>
      </c>
      <c r="AH6947" s="64">
        <f t="shared" si="1084"/>
        <v>19845.900000000001</v>
      </c>
      <c r="AJ6947" s="126" t="e">
        <v>#N/A</v>
      </c>
      <c r="AK6947" s="80">
        <f t="shared" si="1082"/>
        <v>0</v>
      </c>
      <c r="AL6947" s="85"/>
      <c r="AM6947" s="85"/>
    </row>
    <row r="6948" spans="1:39" s="86" customFormat="1" ht="13.25" hidden="1" customHeight="1" x14ac:dyDescent="0.3">
      <c r="A6948" s="89" t="s">
        <v>3978</v>
      </c>
      <c r="B6948" s="86" t="s">
        <v>701</v>
      </c>
      <c r="C6948" s="86" t="s">
        <v>164</v>
      </c>
      <c r="D6948" s="86" t="s">
        <v>305</v>
      </c>
      <c r="E6948" s="86" t="s">
        <v>2805</v>
      </c>
      <c r="F6948" s="86" t="s">
        <v>2805</v>
      </c>
      <c r="G6948" s="86" t="s">
        <v>2805</v>
      </c>
      <c r="H6948" s="144">
        <v>83</v>
      </c>
      <c r="I6948" s="86" t="s">
        <v>78</v>
      </c>
      <c r="J6948" s="1" t="s">
        <v>3303</v>
      </c>
      <c r="K6948" s="1" t="s">
        <v>3763</v>
      </c>
      <c r="L6948" s="1" t="s">
        <v>701</v>
      </c>
      <c r="M6948" s="86" t="s">
        <v>4001</v>
      </c>
      <c r="O6948" s="47" t="s">
        <v>410</v>
      </c>
      <c r="P6948" s="47" t="s">
        <v>41</v>
      </c>
      <c r="Q6948" s="14">
        <v>0</v>
      </c>
      <c r="R6948" s="143">
        <v>7683</v>
      </c>
      <c r="S6948" s="47"/>
      <c r="T6948" s="6">
        <v>0</v>
      </c>
      <c r="U6948" s="6">
        <v>5000</v>
      </c>
      <c r="V6948" s="6">
        <v>5000</v>
      </c>
      <c r="W6948" s="6">
        <f t="shared" si="1077"/>
        <v>0</v>
      </c>
      <c r="X6948" s="6">
        <f t="shared" si="1078"/>
        <v>5000</v>
      </c>
      <c r="Y6948" s="13">
        <f t="shared" si="1080"/>
        <v>0</v>
      </c>
      <c r="Z6948" s="66">
        <v>0</v>
      </c>
      <c r="AA6948" s="6">
        <v>0</v>
      </c>
      <c r="AB6948" s="4">
        <f t="shared" si="1081"/>
        <v>5000</v>
      </c>
      <c r="AC6948" s="6">
        <f t="shared" si="1079"/>
        <v>0</v>
      </c>
      <c r="AD6948" s="6">
        <f t="shared" si="1083"/>
        <v>5000</v>
      </c>
      <c r="AE6948" s="14">
        <f>VLOOKUP(I6948,[2]媒体政策预估表!A:N,MATCH(O6948,[2]媒体政策预估表!$A$2:$M$2,0),0)</f>
        <v>0.1293</v>
      </c>
      <c r="AF6948" s="6">
        <f t="shared" ref="AF6948:AF7011" si="1085">AD6948*AE6948</f>
        <v>646.5</v>
      </c>
      <c r="AG6948" s="14">
        <v>0</v>
      </c>
      <c r="AH6948" s="64">
        <f t="shared" si="1084"/>
        <v>5000</v>
      </c>
      <c r="AJ6948" s="126" t="e">
        <v>#N/A</v>
      </c>
      <c r="AK6948" s="80">
        <f t="shared" si="1082"/>
        <v>0</v>
      </c>
      <c r="AL6948" s="85"/>
      <c r="AM6948" s="85"/>
    </row>
    <row r="6949" spans="1:39" s="86" customFormat="1" ht="13.25" hidden="1" customHeight="1" x14ac:dyDescent="0.3">
      <c r="A6949" s="89" t="s">
        <v>3978</v>
      </c>
      <c r="B6949" s="86" t="s">
        <v>701</v>
      </c>
      <c r="C6949" s="86" t="s">
        <v>164</v>
      </c>
      <c r="D6949" s="86" t="s">
        <v>305</v>
      </c>
      <c r="E6949" s="86" t="s">
        <v>3875</v>
      </c>
      <c r="F6949" s="86" t="s">
        <v>3875</v>
      </c>
      <c r="G6949" s="86" t="s">
        <v>3875</v>
      </c>
      <c r="H6949" s="144">
        <v>83</v>
      </c>
      <c r="I6949" s="86" t="s">
        <v>78</v>
      </c>
      <c r="J6949" s="1" t="s">
        <v>3303</v>
      </c>
      <c r="K6949" s="1" t="s">
        <v>3763</v>
      </c>
      <c r="L6949" s="1" t="s">
        <v>701</v>
      </c>
      <c r="M6949" s="86" t="s">
        <v>3875</v>
      </c>
      <c r="O6949" s="47" t="s">
        <v>410</v>
      </c>
      <c r="P6949" s="47" t="s">
        <v>46</v>
      </c>
      <c r="Q6949" s="14">
        <v>0.01</v>
      </c>
      <c r="R6949" s="143">
        <v>7707</v>
      </c>
      <c r="S6949" s="47"/>
      <c r="T6949" s="6">
        <v>0</v>
      </c>
      <c r="U6949" s="6">
        <v>30000</v>
      </c>
      <c r="V6949" s="6">
        <v>6742.6</v>
      </c>
      <c r="W6949" s="6">
        <f t="shared" si="1077"/>
        <v>23257.4</v>
      </c>
      <c r="X6949" s="6">
        <f t="shared" si="1078"/>
        <v>6675.8415841584165</v>
      </c>
      <c r="Y6949" s="13">
        <f t="shared" si="1080"/>
        <v>0</v>
      </c>
      <c r="Z6949" s="66">
        <v>0</v>
      </c>
      <c r="AA6949" s="6">
        <v>0</v>
      </c>
      <c r="AB6949" s="4">
        <f t="shared" si="1081"/>
        <v>6675.8415841584165</v>
      </c>
      <c r="AC6949" s="6">
        <f t="shared" si="1079"/>
        <v>66.758415841583883</v>
      </c>
      <c r="AD6949" s="6">
        <f t="shared" si="1083"/>
        <v>6742.6</v>
      </c>
      <c r="AE6949" s="14">
        <f>VLOOKUP(I6949,[2]媒体政策预估表!A:N,MATCH(O6949,[2]媒体政策预估表!$A$2:$M$2,0),0)</f>
        <v>0.1293</v>
      </c>
      <c r="AF6949" s="6">
        <f t="shared" si="1085"/>
        <v>871.81817999999998</v>
      </c>
      <c r="AG6949" s="14">
        <v>0</v>
      </c>
      <c r="AH6949" s="64">
        <f t="shared" si="1084"/>
        <v>6742.6</v>
      </c>
      <c r="AJ6949" s="126" t="e">
        <v>#N/A</v>
      </c>
      <c r="AK6949" s="80">
        <f t="shared" si="1082"/>
        <v>0</v>
      </c>
      <c r="AL6949" s="85"/>
      <c r="AM6949" s="85"/>
    </row>
    <row r="6950" spans="1:39" s="86" customFormat="1" ht="13.25" hidden="1" customHeight="1" x14ac:dyDescent="0.3">
      <c r="A6950" s="89" t="s">
        <v>3978</v>
      </c>
      <c r="B6950" s="86" t="s">
        <v>701</v>
      </c>
      <c r="C6950" s="86" t="s">
        <v>164</v>
      </c>
      <c r="D6950" s="86" t="s">
        <v>305</v>
      </c>
      <c r="E6950" s="86" t="s">
        <v>2806</v>
      </c>
      <c r="F6950" s="86" t="s">
        <v>2806</v>
      </c>
      <c r="G6950" s="86" t="s">
        <v>2806</v>
      </c>
      <c r="H6950" s="144">
        <v>83</v>
      </c>
      <c r="I6950" s="86" t="s">
        <v>78</v>
      </c>
      <c r="J6950" s="1" t="s">
        <v>3303</v>
      </c>
      <c r="K6950" s="1" t="s">
        <v>3763</v>
      </c>
      <c r="L6950" s="1" t="s">
        <v>701</v>
      </c>
      <c r="M6950" s="86" t="s">
        <v>2806</v>
      </c>
      <c r="O6950" s="47" t="s">
        <v>410</v>
      </c>
      <c r="P6950" s="47" t="s">
        <v>46</v>
      </c>
      <c r="Q6950" s="14">
        <v>0.01</v>
      </c>
      <c r="R6950" s="143">
        <v>7614</v>
      </c>
      <c r="S6950" s="47"/>
      <c r="T6950" s="6">
        <v>15423.460000000006</v>
      </c>
      <c r="U6950" s="6">
        <v>18000</v>
      </c>
      <c r="V6950" s="6">
        <v>24082.76</v>
      </c>
      <c r="W6950" s="6">
        <f t="shared" si="1077"/>
        <v>9340.700000000008</v>
      </c>
      <c r="X6950" s="6">
        <f t="shared" si="1078"/>
        <v>23844.316831683165</v>
      </c>
      <c r="Y6950" s="13">
        <f t="shared" si="1080"/>
        <v>0</v>
      </c>
      <c r="Z6950" s="66">
        <v>0</v>
      </c>
      <c r="AA6950" s="6">
        <v>0</v>
      </c>
      <c r="AB6950" s="4">
        <f t="shared" si="1081"/>
        <v>23844.316831683165</v>
      </c>
      <c r="AC6950" s="6">
        <f t="shared" si="1079"/>
        <v>238.44316831683318</v>
      </c>
      <c r="AD6950" s="6">
        <f t="shared" si="1083"/>
        <v>24082.76</v>
      </c>
      <c r="AE6950" s="14">
        <f>VLOOKUP(I6950,[2]媒体政策预估表!A:N,MATCH(O6950,[2]媒体政策预估表!$A$2:$M$2,0),0)</f>
        <v>0.1293</v>
      </c>
      <c r="AF6950" s="6">
        <f t="shared" si="1085"/>
        <v>3113.9008679999997</v>
      </c>
      <c r="AG6950" s="14">
        <v>0</v>
      </c>
      <c r="AH6950" s="64">
        <f t="shared" si="1084"/>
        <v>24082.76</v>
      </c>
      <c r="AJ6950" s="126" t="e">
        <v>#N/A</v>
      </c>
      <c r="AK6950" s="80">
        <f t="shared" si="1082"/>
        <v>0</v>
      </c>
      <c r="AL6950" s="85"/>
      <c r="AM6950" s="85"/>
    </row>
    <row r="6951" spans="1:39" s="86" customFormat="1" ht="13.25" hidden="1" customHeight="1" x14ac:dyDescent="0.3">
      <c r="A6951" s="89" t="s">
        <v>3978</v>
      </c>
      <c r="B6951" s="86" t="s">
        <v>701</v>
      </c>
      <c r="C6951" s="86" t="s">
        <v>164</v>
      </c>
      <c r="D6951" s="86" t="s">
        <v>169</v>
      </c>
      <c r="E6951" s="86" t="s">
        <v>1573</v>
      </c>
      <c r="F6951" s="86" t="s">
        <v>1573</v>
      </c>
      <c r="G6951" s="86" t="s">
        <v>1573</v>
      </c>
      <c r="H6951" s="144">
        <v>83</v>
      </c>
      <c r="I6951" s="86" t="s">
        <v>78</v>
      </c>
      <c r="J6951" s="1" t="s">
        <v>3303</v>
      </c>
      <c r="K6951" s="1" t="s">
        <v>3763</v>
      </c>
      <c r="L6951" s="1" t="s">
        <v>701</v>
      </c>
      <c r="M6951" s="86" t="s">
        <v>2807</v>
      </c>
      <c r="O6951" s="47" t="s">
        <v>410</v>
      </c>
      <c r="P6951" s="47" t="s">
        <v>41</v>
      </c>
      <c r="Q6951" s="14">
        <v>0</v>
      </c>
      <c r="R6951" s="143">
        <v>7643</v>
      </c>
      <c r="S6951" s="47"/>
      <c r="T6951" s="6">
        <v>3623.2000000000007</v>
      </c>
      <c r="U6951" s="6">
        <v>10000</v>
      </c>
      <c r="V6951" s="6">
        <v>6387.6</v>
      </c>
      <c r="W6951" s="6">
        <f t="shared" si="1077"/>
        <v>7235.6</v>
      </c>
      <c r="X6951" s="6">
        <f t="shared" si="1078"/>
        <v>6387.6</v>
      </c>
      <c r="Y6951" s="13">
        <f t="shared" si="1080"/>
        <v>0</v>
      </c>
      <c r="Z6951" s="66">
        <v>0</v>
      </c>
      <c r="AA6951" s="6">
        <v>0</v>
      </c>
      <c r="AB6951" s="4">
        <f t="shared" si="1081"/>
        <v>6387.6</v>
      </c>
      <c r="AC6951" s="6">
        <f t="shared" si="1079"/>
        <v>0</v>
      </c>
      <c r="AD6951" s="6">
        <f t="shared" si="1083"/>
        <v>6387.6</v>
      </c>
      <c r="AE6951" s="14">
        <f>VLOOKUP(I6951,[2]媒体政策预估表!A:N,MATCH(O6951,[2]媒体政策预估表!$A$2:$M$2,0),0)</f>
        <v>0.1293</v>
      </c>
      <c r="AF6951" s="6">
        <f t="shared" si="1085"/>
        <v>825.91668000000004</v>
      </c>
      <c r="AG6951" s="14">
        <v>0</v>
      </c>
      <c r="AH6951" s="64">
        <f t="shared" si="1084"/>
        <v>6387.6</v>
      </c>
      <c r="AJ6951" s="126" t="e">
        <v>#N/A</v>
      </c>
      <c r="AK6951" s="80">
        <f t="shared" si="1082"/>
        <v>0</v>
      </c>
      <c r="AL6951" s="85"/>
      <c r="AM6951" s="85"/>
    </row>
    <row r="6952" spans="1:39" s="86" customFormat="1" ht="13.25" hidden="1" customHeight="1" x14ac:dyDescent="0.3">
      <c r="A6952" s="89" t="s">
        <v>3792</v>
      </c>
      <c r="B6952" s="86" t="s">
        <v>701</v>
      </c>
      <c r="C6952" s="86" t="s">
        <v>164</v>
      </c>
      <c r="D6952" s="86" t="s">
        <v>169</v>
      </c>
      <c r="E6952" s="86" t="s">
        <v>1573</v>
      </c>
      <c r="F6952" s="86" t="s">
        <v>1573</v>
      </c>
      <c r="G6952" s="86" t="s">
        <v>1573</v>
      </c>
      <c r="H6952" s="144">
        <v>83</v>
      </c>
      <c r="I6952" s="86" t="s">
        <v>78</v>
      </c>
      <c r="J6952" s="1" t="s">
        <v>3303</v>
      </c>
      <c r="K6952" s="1" t="s">
        <v>3763</v>
      </c>
      <c r="L6952" s="1" t="s">
        <v>701</v>
      </c>
      <c r="M6952" s="86" t="s">
        <v>2808</v>
      </c>
      <c r="O6952" s="47" t="s">
        <v>410</v>
      </c>
      <c r="P6952" s="47" t="s">
        <v>41</v>
      </c>
      <c r="Q6952" s="14">
        <v>0</v>
      </c>
      <c r="R6952" s="143">
        <v>7644</v>
      </c>
      <c r="S6952" s="47"/>
      <c r="T6952" s="6">
        <v>1904.5999999999995</v>
      </c>
      <c r="U6952" s="6">
        <v>10000</v>
      </c>
      <c r="V6952" s="6">
        <v>2265.6999999999998</v>
      </c>
      <c r="W6952" s="6">
        <f t="shared" si="1077"/>
        <v>9638.8999999999978</v>
      </c>
      <c r="X6952" s="6">
        <f t="shared" si="1078"/>
        <v>2265.6999999999998</v>
      </c>
      <c r="Y6952" s="13">
        <f t="shared" si="1080"/>
        <v>0</v>
      </c>
      <c r="Z6952" s="66">
        <v>0</v>
      </c>
      <c r="AA6952" s="6">
        <v>0</v>
      </c>
      <c r="AB6952" s="4">
        <f t="shared" si="1081"/>
        <v>2265.6999999999998</v>
      </c>
      <c r="AC6952" s="6">
        <f t="shared" si="1079"/>
        <v>0</v>
      </c>
      <c r="AD6952" s="6">
        <f t="shared" si="1083"/>
        <v>2265.6999999999998</v>
      </c>
      <c r="AE6952" s="14">
        <f>VLOOKUP(I6952,[2]媒体政策预估表!A:N,MATCH(O6952,[2]媒体政策预估表!$A$2:$M$2,0),0)</f>
        <v>0.1293</v>
      </c>
      <c r="AF6952" s="6">
        <f t="shared" si="1085"/>
        <v>292.95500999999996</v>
      </c>
      <c r="AG6952" s="14">
        <v>0</v>
      </c>
      <c r="AH6952" s="64">
        <f t="shared" si="1084"/>
        <v>2265.6999999999998</v>
      </c>
      <c r="AJ6952" s="126" t="e">
        <v>#N/A</v>
      </c>
      <c r="AK6952" s="80">
        <f t="shared" si="1082"/>
        <v>0</v>
      </c>
      <c r="AL6952" s="85"/>
      <c r="AM6952" s="85"/>
    </row>
    <row r="6953" spans="1:39" s="86" customFormat="1" ht="13.25" hidden="1" customHeight="1" x14ac:dyDescent="0.3">
      <c r="A6953" s="89" t="s">
        <v>3792</v>
      </c>
      <c r="B6953" s="86" t="s">
        <v>701</v>
      </c>
      <c r="C6953" s="86" t="s">
        <v>164</v>
      </c>
      <c r="D6953" s="86" t="s">
        <v>169</v>
      </c>
      <c r="E6953" s="86" t="s">
        <v>1579</v>
      </c>
      <c r="F6953" s="86" t="s">
        <v>1579</v>
      </c>
      <c r="G6953" s="86" t="s">
        <v>1579</v>
      </c>
      <c r="H6953" s="144">
        <v>83</v>
      </c>
      <c r="I6953" s="86" t="s">
        <v>78</v>
      </c>
      <c r="J6953" s="1" t="s">
        <v>3303</v>
      </c>
      <c r="K6953" s="1" t="s">
        <v>3763</v>
      </c>
      <c r="L6953" s="1" t="s">
        <v>701</v>
      </c>
      <c r="M6953" s="86" t="s">
        <v>1579</v>
      </c>
      <c r="O6953" s="47" t="s">
        <v>410</v>
      </c>
      <c r="P6953" s="47" t="s">
        <v>41</v>
      </c>
      <c r="Q6953" s="14">
        <v>0</v>
      </c>
      <c r="R6953" s="143">
        <v>7145</v>
      </c>
      <c r="S6953" s="47"/>
      <c r="T6953" s="6">
        <v>12048.099999999995</v>
      </c>
      <c r="U6953" s="6">
        <v>10000</v>
      </c>
      <c r="V6953" s="6">
        <v>14719.199999999999</v>
      </c>
      <c r="W6953" s="6">
        <f t="shared" si="1077"/>
        <v>7328.899999999996</v>
      </c>
      <c r="X6953" s="6">
        <f t="shared" si="1078"/>
        <v>14719.199999999999</v>
      </c>
      <c r="Y6953" s="13">
        <f t="shared" si="1080"/>
        <v>0</v>
      </c>
      <c r="Z6953" s="66">
        <v>0</v>
      </c>
      <c r="AA6953" s="6">
        <v>0</v>
      </c>
      <c r="AB6953" s="4">
        <f t="shared" si="1081"/>
        <v>14719.199999999999</v>
      </c>
      <c r="AC6953" s="6">
        <f t="shared" si="1079"/>
        <v>0</v>
      </c>
      <c r="AD6953" s="6">
        <f t="shared" si="1083"/>
        <v>14719.199999999999</v>
      </c>
      <c r="AE6953" s="14">
        <f>VLOOKUP(I6953,[2]媒体政策预估表!A:N,MATCH(O6953,[2]媒体政策预估表!$A$2:$M$2,0),0)</f>
        <v>0.1293</v>
      </c>
      <c r="AF6953" s="6">
        <f t="shared" si="1085"/>
        <v>1903.1925599999997</v>
      </c>
      <c r="AG6953" s="14">
        <v>0</v>
      </c>
      <c r="AH6953" s="64">
        <f t="shared" si="1084"/>
        <v>14719.199999999999</v>
      </c>
      <c r="AJ6953" s="126" t="e">
        <v>#N/A</v>
      </c>
      <c r="AK6953" s="80">
        <f t="shared" si="1082"/>
        <v>0</v>
      </c>
      <c r="AL6953" s="85"/>
      <c r="AM6953" s="85"/>
    </row>
    <row r="6954" spans="1:39" s="86" customFormat="1" ht="13.25" hidden="1" customHeight="1" x14ac:dyDescent="0.3">
      <c r="A6954" s="89" t="s">
        <v>3792</v>
      </c>
      <c r="B6954" s="86" t="s">
        <v>701</v>
      </c>
      <c r="C6954" s="86" t="s">
        <v>164</v>
      </c>
      <c r="D6954" s="86" t="s">
        <v>169</v>
      </c>
      <c r="E6954" s="86" t="s">
        <v>628</v>
      </c>
      <c r="F6954" s="86" t="s">
        <v>628</v>
      </c>
      <c r="G6954" s="86" t="s">
        <v>628</v>
      </c>
      <c r="H6954" s="144">
        <v>83</v>
      </c>
      <c r="I6954" s="86" t="s">
        <v>78</v>
      </c>
      <c r="J6954" s="1" t="s">
        <v>3303</v>
      </c>
      <c r="K6954" s="1" t="s">
        <v>3763</v>
      </c>
      <c r="L6954" s="1" t="s">
        <v>701</v>
      </c>
      <c r="M6954" s="86" t="s">
        <v>628</v>
      </c>
      <c r="O6954" s="47" t="s">
        <v>410</v>
      </c>
      <c r="P6954" s="47" t="s">
        <v>46</v>
      </c>
      <c r="Q6954" s="14">
        <v>0.01</v>
      </c>
      <c r="R6954" s="143">
        <v>7673</v>
      </c>
      <c r="S6954" s="47"/>
      <c r="T6954" s="6">
        <v>15246.199999999997</v>
      </c>
      <c r="U6954" s="6">
        <v>20200</v>
      </c>
      <c r="V6954" s="6">
        <v>11849.6</v>
      </c>
      <c r="W6954" s="6">
        <f t="shared" si="1077"/>
        <v>23596.6</v>
      </c>
      <c r="X6954" s="6">
        <f t="shared" si="1078"/>
        <v>11732.277227722772</v>
      </c>
      <c r="Y6954" s="13">
        <f t="shared" si="1080"/>
        <v>0</v>
      </c>
      <c r="Z6954" s="66">
        <v>0</v>
      </c>
      <c r="AA6954" s="6">
        <v>0</v>
      </c>
      <c r="AB6954" s="4">
        <f t="shared" si="1081"/>
        <v>11732.277227722772</v>
      </c>
      <c r="AC6954" s="6">
        <f t="shared" si="1079"/>
        <v>117.32277227722807</v>
      </c>
      <c r="AD6954" s="6">
        <f t="shared" si="1083"/>
        <v>11849.6</v>
      </c>
      <c r="AE6954" s="14">
        <f>VLOOKUP(I6954,[2]媒体政策预估表!A:N,MATCH(O6954,[2]媒体政策预估表!$A$2:$M$2,0),0)</f>
        <v>0.1293</v>
      </c>
      <c r="AF6954" s="6">
        <f t="shared" si="1085"/>
        <v>1532.15328</v>
      </c>
      <c r="AG6954" s="14">
        <v>0</v>
      </c>
      <c r="AH6954" s="64">
        <f t="shared" si="1084"/>
        <v>11849.6</v>
      </c>
      <c r="AJ6954" s="126" t="e">
        <v>#N/A</v>
      </c>
      <c r="AK6954" s="80">
        <f t="shared" si="1082"/>
        <v>0</v>
      </c>
      <c r="AL6954" s="85"/>
      <c r="AM6954" s="85"/>
    </row>
    <row r="6955" spans="1:39" s="86" customFormat="1" ht="13.25" hidden="1" customHeight="1" x14ac:dyDescent="0.3">
      <c r="A6955" s="89" t="s">
        <v>3792</v>
      </c>
      <c r="B6955" s="86" t="s">
        <v>701</v>
      </c>
      <c r="C6955" s="86" t="s">
        <v>164</v>
      </c>
      <c r="D6955" s="86" t="s">
        <v>174</v>
      </c>
      <c r="E6955" s="86" t="s">
        <v>1608</v>
      </c>
      <c r="F6955" s="86" t="s">
        <v>1608</v>
      </c>
      <c r="G6955" s="86" t="s">
        <v>1608</v>
      </c>
      <c r="H6955" s="144">
        <v>83</v>
      </c>
      <c r="I6955" s="86" t="s">
        <v>78</v>
      </c>
      <c r="J6955" s="1" t="s">
        <v>3303</v>
      </c>
      <c r="K6955" s="1" t="s">
        <v>3763</v>
      </c>
      <c r="L6955" s="1" t="s">
        <v>701</v>
      </c>
      <c r="M6955" s="86" t="s">
        <v>2811</v>
      </c>
      <c r="O6955" s="47" t="s">
        <v>410</v>
      </c>
      <c r="P6955" s="47" t="s">
        <v>41</v>
      </c>
      <c r="Q6955" s="14">
        <v>0</v>
      </c>
      <c r="R6955" s="143">
        <v>7606</v>
      </c>
      <c r="S6955" s="47"/>
      <c r="T6955" s="6">
        <v>5460.5299999999988</v>
      </c>
      <c r="U6955" s="6">
        <v>10000</v>
      </c>
      <c r="V6955" s="6">
        <v>14495.880000000001</v>
      </c>
      <c r="W6955" s="6">
        <f t="shared" si="1077"/>
        <v>964.64999999999782</v>
      </c>
      <c r="X6955" s="6">
        <f t="shared" si="1078"/>
        <v>14495.880000000001</v>
      </c>
      <c r="Y6955" s="13">
        <f t="shared" si="1080"/>
        <v>0</v>
      </c>
      <c r="Z6955" s="66">
        <v>0</v>
      </c>
      <c r="AA6955" s="6">
        <v>0</v>
      </c>
      <c r="AB6955" s="4">
        <f t="shared" si="1081"/>
        <v>14495.880000000001</v>
      </c>
      <c r="AC6955" s="6">
        <f t="shared" si="1079"/>
        <v>0</v>
      </c>
      <c r="AD6955" s="6">
        <f t="shared" si="1083"/>
        <v>14495.880000000001</v>
      </c>
      <c r="AE6955" s="14">
        <f>VLOOKUP(I6955,[2]媒体政策预估表!A:N,MATCH(O6955,[2]媒体政策预估表!$A$2:$M$2,0),0)</f>
        <v>0.1293</v>
      </c>
      <c r="AF6955" s="6">
        <f t="shared" si="1085"/>
        <v>1874.3172840000002</v>
      </c>
      <c r="AG6955" s="14">
        <v>0</v>
      </c>
      <c r="AH6955" s="64">
        <f t="shared" si="1084"/>
        <v>14495.880000000001</v>
      </c>
      <c r="AJ6955" s="126" t="e">
        <v>#N/A</v>
      </c>
      <c r="AK6955" s="80">
        <f t="shared" si="1082"/>
        <v>0</v>
      </c>
      <c r="AL6955" s="85"/>
      <c r="AM6955" s="85"/>
    </row>
    <row r="6956" spans="1:39" s="86" customFormat="1" ht="13.25" hidden="1" customHeight="1" x14ac:dyDescent="0.3">
      <c r="A6956" s="89" t="s">
        <v>3792</v>
      </c>
      <c r="B6956" s="86" t="s">
        <v>701</v>
      </c>
      <c r="C6956" s="86" t="s">
        <v>164</v>
      </c>
      <c r="D6956" s="86" t="s">
        <v>174</v>
      </c>
      <c r="E6956" s="86" t="s">
        <v>2812</v>
      </c>
      <c r="F6956" s="86" t="s">
        <v>2812</v>
      </c>
      <c r="G6956" s="86" t="s">
        <v>2812</v>
      </c>
      <c r="H6956" s="144">
        <v>83</v>
      </c>
      <c r="I6956" s="86" t="s">
        <v>78</v>
      </c>
      <c r="J6956" s="1" t="s">
        <v>3303</v>
      </c>
      <c r="K6956" s="1" t="s">
        <v>3763</v>
      </c>
      <c r="L6956" s="1" t="s">
        <v>701</v>
      </c>
      <c r="M6956" s="86" t="s">
        <v>2813</v>
      </c>
      <c r="O6956" s="47" t="s">
        <v>410</v>
      </c>
      <c r="P6956" s="47" t="s">
        <v>41</v>
      </c>
      <c r="Q6956" s="14">
        <v>0</v>
      </c>
      <c r="R6956" s="143">
        <v>7280</v>
      </c>
      <c r="S6956" s="47"/>
      <c r="T6956" s="6">
        <v>6315.3600000000042</v>
      </c>
      <c r="U6956" s="6">
        <v>50000</v>
      </c>
      <c r="V6956" s="6">
        <v>27708.11</v>
      </c>
      <c r="W6956" s="6">
        <f t="shared" si="1077"/>
        <v>28607.25</v>
      </c>
      <c r="X6956" s="6">
        <f t="shared" si="1078"/>
        <v>27708.11</v>
      </c>
      <c r="Y6956" s="13">
        <f t="shared" si="1080"/>
        <v>0</v>
      </c>
      <c r="Z6956" s="66">
        <v>0</v>
      </c>
      <c r="AA6956" s="6">
        <v>0</v>
      </c>
      <c r="AB6956" s="4">
        <f t="shared" si="1081"/>
        <v>27708.11</v>
      </c>
      <c r="AC6956" s="6">
        <f t="shared" si="1079"/>
        <v>0</v>
      </c>
      <c r="AD6956" s="6">
        <f t="shared" si="1083"/>
        <v>27708.11</v>
      </c>
      <c r="AE6956" s="14">
        <f>VLOOKUP(I6956,[2]媒体政策预估表!A:N,MATCH(O6956,[2]媒体政策预估表!$A$2:$M$2,0),0)</f>
        <v>0.1293</v>
      </c>
      <c r="AF6956" s="6">
        <f t="shared" si="1085"/>
        <v>3582.6586229999998</v>
      </c>
      <c r="AG6956" s="14">
        <v>0</v>
      </c>
      <c r="AH6956" s="64">
        <f t="shared" si="1084"/>
        <v>27708.11</v>
      </c>
      <c r="AJ6956" s="126" t="e">
        <v>#N/A</v>
      </c>
      <c r="AK6956" s="80">
        <f t="shared" si="1082"/>
        <v>0</v>
      </c>
      <c r="AL6956" s="85"/>
      <c r="AM6956" s="85"/>
    </row>
    <row r="6957" spans="1:39" s="86" customFormat="1" ht="13.25" hidden="1" customHeight="1" x14ac:dyDescent="0.3">
      <c r="A6957" s="89" t="s">
        <v>3792</v>
      </c>
      <c r="B6957" s="86" t="s">
        <v>701</v>
      </c>
      <c r="C6957" s="86" t="s">
        <v>164</v>
      </c>
      <c r="D6957" s="86" t="s">
        <v>174</v>
      </c>
      <c r="E6957" s="86" t="s">
        <v>1617</v>
      </c>
      <c r="F6957" s="86" t="s">
        <v>1617</v>
      </c>
      <c r="G6957" s="86" t="s">
        <v>1617</v>
      </c>
      <c r="H6957" s="144">
        <v>83</v>
      </c>
      <c r="I6957" s="86" t="s">
        <v>78</v>
      </c>
      <c r="J6957" s="1" t="s">
        <v>3303</v>
      </c>
      <c r="K6957" s="1" t="s">
        <v>3763</v>
      </c>
      <c r="L6957" s="1" t="s">
        <v>701</v>
      </c>
      <c r="M6957" s="86" t="s">
        <v>2814</v>
      </c>
      <c r="O6957" s="47" t="s">
        <v>410</v>
      </c>
      <c r="P6957" s="47" t="s">
        <v>41</v>
      </c>
      <c r="Q6957" s="14">
        <v>0</v>
      </c>
      <c r="R6957" s="143">
        <v>7457</v>
      </c>
      <c r="S6957" s="47"/>
      <c r="T6957" s="6">
        <v>43779.550000000017</v>
      </c>
      <c r="U6957" s="6">
        <v>100000</v>
      </c>
      <c r="V6957" s="6">
        <v>111285.84</v>
      </c>
      <c r="W6957" s="6">
        <f t="shared" si="1077"/>
        <v>32493.710000000021</v>
      </c>
      <c r="X6957" s="6">
        <f t="shared" si="1078"/>
        <v>111285.84</v>
      </c>
      <c r="Y6957" s="13">
        <f t="shared" si="1080"/>
        <v>0</v>
      </c>
      <c r="Z6957" s="66">
        <v>0</v>
      </c>
      <c r="AA6957" s="6">
        <v>0</v>
      </c>
      <c r="AB6957" s="4">
        <f t="shared" si="1081"/>
        <v>111285.84</v>
      </c>
      <c r="AC6957" s="6">
        <f t="shared" si="1079"/>
        <v>0</v>
      </c>
      <c r="AD6957" s="6">
        <f t="shared" si="1083"/>
        <v>111285.84</v>
      </c>
      <c r="AE6957" s="14">
        <f>VLOOKUP(I6957,[2]媒体政策预估表!A:N,MATCH(O6957,[2]媒体政策预估表!$A$2:$M$2,0),0)</f>
        <v>0.1293</v>
      </c>
      <c r="AF6957" s="6">
        <f t="shared" si="1085"/>
        <v>14389.259112</v>
      </c>
      <c r="AG6957" s="14">
        <v>0</v>
      </c>
      <c r="AH6957" s="64">
        <f t="shared" si="1084"/>
        <v>111285.84</v>
      </c>
      <c r="AJ6957" s="126" t="e">
        <v>#N/A</v>
      </c>
      <c r="AK6957" s="80">
        <f t="shared" si="1082"/>
        <v>0</v>
      </c>
      <c r="AL6957" s="85"/>
      <c r="AM6957" s="85"/>
    </row>
    <row r="6958" spans="1:39" s="86" customFormat="1" ht="13.25" hidden="1" customHeight="1" x14ac:dyDescent="0.3">
      <c r="A6958" s="89" t="s">
        <v>3792</v>
      </c>
      <c r="B6958" s="86" t="s">
        <v>701</v>
      </c>
      <c r="C6958" s="86" t="s">
        <v>164</v>
      </c>
      <c r="D6958" s="86" t="s">
        <v>174</v>
      </c>
      <c r="E6958" s="86" t="s">
        <v>2815</v>
      </c>
      <c r="F6958" s="86" t="s">
        <v>2815</v>
      </c>
      <c r="G6958" s="86" t="s">
        <v>2815</v>
      </c>
      <c r="H6958" s="144">
        <v>83</v>
      </c>
      <c r="I6958" s="86" t="s">
        <v>78</v>
      </c>
      <c r="J6958" s="1" t="s">
        <v>3303</v>
      </c>
      <c r="K6958" s="1" t="s">
        <v>3763</v>
      </c>
      <c r="L6958" s="1" t="s">
        <v>701</v>
      </c>
      <c r="M6958" s="86" t="s">
        <v>2816</v>
      </c>
      <c r="O6958" s="47" t="s">
        <v>410</v>
      </c>
      <c r="P6958" s="47" t="s">
        <v>41</v>
      </c>
      <c r="Q6958" s="14">
        <v>0</v>
      </c>
      <c r="R6958" s="143">
        <v>7352</v>
      </c>
      <c r="S6958" s="47"/>
      <c r="T6958" s="6">
        <v>5306.6099999999988</v>
      </c>
      <c r="U6958" s="6">
        <v>20000</v>
      </c>
      <c r="V6958" s="6">
        <v>17192.59</v>
      </c>
      <c r="W6958" s="6">
        <f t="shared" si="1077"/>
        <v>8114.02</v>
      </c>
      <c r="X6958" s="6">
        <f t="shared" si="1078"/>
        <v>17192.59</v>
      </c>
      <c r="Y6958" s="13">
        <f t="shared" si="1080"/>
        <v>0</v>
      </c>
      <c r="Z6958" s="66">
        <v>0</v>
      </c>
      <c r="AA6958" s="6">
        <v>0</v>
      </c>
      <c r="AB6958" s="4">
        <f t="shared" si="1081"/>
        <v>17192.59</v>
      </c>
      <c r="AC6958" s="6">
        <f t="shared" si="1079"/>
        <v>0</v>
      </c>
      <c r="AD6958" s="6">
        <f t="shared" si="1083"/>
        <v>17192.59</v>
      </c>
      <c r="AE6958" s="14">
        <f>VLOOKUP(I6958,[2]媒体政策预估表!A:N,MATCH(O6958,[2]媒体政策预估表!$A$2:$M$2,0),0)</f>
        <v>0.1293</v>
      </c>
      <c r="AF6958" s="6">
        <f t="shared" si="1085"/>
        <v>2223.0018869999999</v>
      </c>
      <c r="AG6958" s="14">
        <v>0</v>
      </c>
      <c r="AH6958" s="64">
        <f t="shared" si="1084"/>
        <v>17192.59</v>
      </c>
      <c r="AJ6958" s="126" t="e">
        <v>#N/A</v>
      </c>
      <c r="AK6958" s="80">
        <f t="shared" si="1082"/>
        <v>0</v>
      </c>
      <c r="AL6958" s="85"/>
      <c r="AM6958" s="85"/>
    </row>
    <row r="6959" spans="1:39" s="86" customFormat="1" ht="13.25" hidden="1" customHeight="1" x14ac:dyDescent="0.3">
      <c r="A6959" s="89" t="s">
        <v>3792</v>
      </c>
      <c r="B6959" s="86" t="s">
        <v>701</v>
      </c>
      <c r="C6959" s="86" t="s">
        <v>164</v>
      </c>
      <c r="D6959" s="86" t="s">
        <v>174</v>
      </c>
      <c r="E6959" s="86" t="s">
        <v>1661</v>
      </c>
      <c r="F6959" s="86" t="s">
        <v>1661</v>
      </c>
      <c r="G6959" s="86" t="s">
        <v>1661</v>
      </c>
      <c r="H6959" s="143">
        <v>83</v>
      </c>
      <c r="I6959" s="86" t="s">
        <v>78</v>
      </c>
      <c r="J6959" s="1" t="s">
        <v>3303</v>
      </c>
      <c r="K6959" s="1" t="s">
        <v>3763</v>
      </c>
      <c r="L6959" s="1" t="s">
        <v>701</v>
      </c>
      <c r="M6959" s="86" t="s">
        <v>1661</v>
      </c>
      <c r="O6959" s="47" t="s">
        <v>410</v>
      </c>
      <c r="P6959" s="47" t="s">
        <v>41</v>
      </c>
      <c r="Q6959" s="14">
        <v>0</v>
      </c>
      <c r="R6959" s="143">
        <v>7565</v>
      </c>
      <c r="S6959" s="47"/>
      <c r="T6959" s="6">
        <v>4565.8999999999996</v>
      </c>
      <c r="U6959" s="6">
        <v>-4565.8999999999996</v>
      </c>
      <c r="V6959" s="6">
        <v>0</v>
      </c>
      <c r="W6959" s="6">
        <f t="shared" si="1077"/>
        <v>0</v>
      </c>
      <c r="X6959" s="6">
        <f t="shared" si="1078"/>
        <v>0</v>
      </c>
      <c r="Y6959" s="13">
        <f t="shared" si="1080"/>
        <v>0</v>
      </c>
      <c r="Z6959" s="66">
        <v>0</v>
      </c>
      <c r="AA6959" s="6">
        <v>0</v>
      </c>
      <c r="AB6959" s="4">
        <f t="shared" si="1081"/>
        <v>0</v>
      </c>
      <c r="AC6959" s="6">
        <f t="shared" si="1079"/>
        <v>0</v>
      </c>
      <c r="AD6959" s="6">
        <f t="shared" si="1083"/>
        <v>0</v>
      </c>
      <c r="AE6959" s="14">
        <f>VLOOKUP(I6959,[2]媒体政策预估表!A:N,MATCH(O6959,[2]媒体政策预估表!$A$2:$M$2,0),0)</f>
        <v>0.1293</v>
      </c>
      <c r="AF6959" s="6">
        <f t="shared" si="1085"/>
        <v>0</v>
      </c>
      <c r="AG6959" s="14">
        <v>0</v>
      </c>
      <c r="AH6959" s="64">
        <f t="shared" si="1084"/>
        <v>0</v>
      </c>
      <c r="AJ6959" s="126" t="e">
        <v>#N/A</v>
      </c>
      <c r="AK6959" s="80">
        <f t="shared" si="1082"/>
        <v>0</v>
      </c>
      <c r="AL6959" s="85"/>
      <c r="AM6959" s="85"/>
    </row>
    <row r="6960" spans="1:39" s="86" customFormat="1" ht="13.25" hidden="1" customHeight="1" x14ac:dyDescent="0.3">
      <c r="A6960" s="89" t="s">
        <v>3978</v>
      </c>
      <c r="B6960" s="86" t="s">
        <v>701</v>
      </c>
      <c r="C6960" s="86" t="s">
        <v>164</v>
      </c>
      <c r="D6960" s="86" t="s">
        <v>174</v>
      </c>
      <c r="E6960" s="86" t="s">
        <v>1664</v>
      </c>
      <c r="F6960" s="86" t="s">
        <v>1664</v>
      </c>
      <c r="G6960" s="86" t="s">
        <v>1664</v>
      </c>
      <c r="H6960" s="144">
        <v>83</v>
      </c>
      <c r="I6960" s="86" t="s">
        <v>78</v>
      </c>
      <c r="J6960" s="1" t="s">
        <v>3303</v>
      </c>
      <c r="K6960" s="1" t="s">
        <v>3763</v>
      </c>
      <c r="L6960" s="1" t="s">
        <v>701</v>
      </c>
      <c r="M6960" s="86" t="s">
        <v>2817</v>
      </c>
      <c r="O6960" s="47" t="s">
        <v>410</v>
      </c>
      <c r="P6960" s="47" t="s">
        <v>41</v>
      </c>
      <c r="Q6960" s="14">
        <v>0</v>
      </c>
      <c r="R6960" s="143">
        <v>7296</v>
      </c>
      <c r="S6960" s="47"/>
      <c r="T6960" s="6">
        <v>8921.7599999999984</v>
      </c>
      <c r="U6960" s="6">
        <v>10000</v>
      </c>
      <c r="V6960" s="6">
        <v>10342.35</v>
      </c>
      <c r="W6960" s="6">
        <f t="shared" ref="W6960:W7023" si="1086">T6960+U6960-V6960</f>
        <v>8579.409999999998</v>
      </c>
      <c r="X6960" s="6">
        <f t="shared" ref="X6960:X7023" si="1087">IF(P6960="折扣",V6960*Q6960,IF(P6960="返现",V6960,V6960/(1+Q6960)))</f>
        <v>10342.35</v>
      </c>
      <c r="Y6960" s="13">
        <f t="shared" si="1080"/>
        <v>0</v>
      </c>
      <c r="Z6960" s="66">
        <v>0</v>
      </c>
      <c r="AA6960" s="6">
        <v>0</v>
      </c>
      <c r="AB6960" s="4">
        <f t="shared" si="1081"/>
        <v>10342.35</v>
      </c>
      <c r="AC6960" s="6">
        <f t="shared" si="1079"/>
        <v>0</v>
      </c>
      <c r="AD6960" s="6">
        <f t="shared" si="1083"/>
        <v>10342.35</v>
      </c>
      <c r="AE6960" s="14">
        <f>VLOOKUP(I6960,[2]媒体政策预估表!A:N,MATCH(O6960,[2]媒体政策预估表!$A$2:$M$2,0),0)</f>
        <v>0.1293</v>
      </c>
      <c r="AF6960" s="6">
        <f t="shared" si="1085"/>
        <v>1337.2658550000001</v>
      </c>
      <c r="AG6960" s="14">
        <v>0</v>
      </c>
      <c r="AH6960" s="64">
        <f t="shared" si="1084"/>
        <v>10342.35</v>
      </c>
      <c r="AJ6960" s="126" t="e">
        <v>#N/A</v>
      </c>
      <c r="AK6960" s="80">
        <f t="shared" si="1082"/>
        <v>0</v>
      </c>
      <c r="AL6960" s="85"/>
      <c r="AM6960" s="85"/>
    </row>
    <row r="6961" spans="1:39" s="86" customFormat="1" ht="13.25" hidden="1" customHeight="1" x14ac:dyDescent="0.3">
      <c r="A6961" s="89" t="s">
        <v>3978</v>
      </c>
      <c r="B6961" s="86" t="s">
        <v>701</v>
      </c>
      <c r="C6961" s="86" t="s">
        <v>164</v>
      </c>
      <c r="D6961" s="86" t="s">
        <v>174</v>
      </c>
      <c r="E6961" s="86" t="s">
        <v>2818</v>
      </c>
      <c r="F6961" s="86" t="s">
        <v>2818</v>
      </c>
      <c r="G6961" s="86" t="s">
        <v>2818</v>
      </c>
      <c r="H6961" s="144">
        <v>83</v>
      </c>
      <c r="I6961" s="86" t="s">
        <v>78</v>
      </c>
      <c r="J6961" s="1" t="s">
        <v>3303</v>
      </c>
      <c r="K6961" s="1" t="s">
        <v>3763</v>
      </c>
      <c r="L6961" s="1" t="s">
        <v>701</v>
      </c>
      <c r="M6961" s="86" t="s">
        <v>2819</v>
      </c>
      <c r="O6961" s="47" t="s">
        <v>410</v>
      </c>
      <c r="P6961" s="47" t="s">
        <v>41</v>
      </c>
      <c r="Q6961" s="14">
        <v>0</v>
      </c>
      <c r="R6961" s="143">
        <v>7550</v>
      </c>
      <c r="S6961" s="47"/>
      <c r="T6961" s="6">
        <v>0</v>
      </c>
      <c r="U6961" s="6">
        <v>20000</v>
      </c>
      <c r="V6961" s="6">
        <v>15003.2</v>
      </c>
      <c r="W6961" s="6">
        <f t="shared" si="1086"/>
        <v>4996.7999999999993</v>
      </c>
      <c r="X6961" s="6">
        <f t="shared" si="1087"/>
        <v>15003.2</v>
      </c>
      <c r="Y6961" s="13">
        <f t="shared" si="1080"/>
        <v>0</v>
      </c>
      <c r="Z6961" s="66">
        <v>0</v>
      </c>
      <c r="AA6961" s="6">
        <v>0</v>
      </c>
      <c r="AB6961" s="4">
        <f t="shared" si="1081"/>
        <v>15003.2</v>
      </c>
      <c r="AC6961" s="6">
        <f t="shared" si="1079"/>
        <v>0</v>
      </c>
      <c r="AD6961" s="6">
        <f t="shared" si="1083"/>
        <v>15003.2</v>
      </c>
      <c r="AE6961" s="14">
        <f>VLOOKUP(I6961,[2]媒体政策预估表!A:N,MATCH(O6961,[2]媒体政策预估表!$A$2:$M$2,0),0)</f>
        <v>0.1293</v>
      </c>
      <c r="AF6961" s="6">
        <f t="shared" si="1085"/>
        <v>1939.9137600000001</v>
      </c>
      <c r="AG6961" s="14">
        <v>0</v>
      </c>
      <c r="AH6961" s="64">
        <f t="shared" si="1084"/>
        <v>15003.2</v>
      </c>
      <c r="AJ6961" s="126" t="e">
        <v>#N/A</v>
      </c>
      <c r="AK6961" s="80">
        <f t="shared" si="1082"/>
        <v>0</v>
      </c>
      <c r="AL6961" s="85"/>
      <c r="AM6961" s="85"/>
    </row>
    <row r="6962" spans="1:39" s="86" customFormat="1" ht="13.25" hidden="1" customHeight="1" x14ac:dyDescent="0.3">
      <c r="A6962" s="89" t="s">
        <v>3792</v>
      </c>
      <c r="B6962" s="86" t="s">
        <v>701</v>
      </c>
      <c r="C6962" s="86" t="s">
        <v>164</v>
      </c>
      <c r="D6962" s="86" t="s">
        <v>174</v>
      </c>
      <c r="E6962" s="86" t="s">
        <v>1681</v>
      </c>
      <c r="F6962" s="86" t="s">
        <v>1682</v>
      </c>
      <c r="G6962" s="86" t="s">
        <v>1681</v>
      </c>
      <c r="H6962" s="144">
        <v>83</v>
      </c>
      <c r="I6962" s="86" t="s">
        <v>78</v>
      </c>
      <c r="J6962" s="1" t="s">
        <v>3303</v>
      </c>
      <c r="K6962" s="1" t="s">
        <v>3763</v>
      </c>
      <c r="L6962" s="1" t="s">
        <v>701</v>
      </c>
      <c r="M6962" s="86" t="s">
        <v>1685</v>
      </c>
      <c r="O6962" s="47" t="s">
        <v>410</v>
      </c>
      <c r="P6962" s="47" t="s">
        <v>41</v>
      </c>
      <c r="Q6962" s="14">
        <v>0</v>
      </c>
      <c r="R6962" s="143">
        <v>7312</v>
      </c>
      <c r="S6962" s="47"/>
      <c r="T6962" s="6">
        <v>2680.0000000000018</v>
      </c>
      <c r="U6962" s="6">
        <v>5200</v>
      </c>
      <c r="V6962" s="6">
        <v>5659.61</v>
      </c>
      <c r="W6962" s="6">
        <f t="shared" si="1086"/>
        <v>2220.3900000000021</v>
      </c>
      <c r="X6962" s="6">
        <f t="shared" si="1087"/>
        <v>5659.61</v>
      </c>
      <c r="Y6962" s="13">
        <f t="shared" si="1080"/>
        <v>0</v>
      </c>
      <c r="Z6962" s="66">
        <v>0</v>
      </c>
      <c r="AA6962" s="6">
        <v>0</v>
      </c>
      <c r="AB6962" s="4">
        <f t="shared" si="1081"/>
        <v>5659.61</v>
      </c>
      <c r="AC6962" s="6">
        <f t="shared" si="1079"/>
        <v>0</v>
      </c>
      <c r="AD6962" s="6">
        <f t="shared" si="1083"/>
        <v>5659.61</v>
      </c>
      <c r="AE6962" s="14">
        <f>VLOOKUP(I6962,[2]媒体政策预估表!A:N,MATCH(O6962,[2]媒体政策预估表!$A$2:$M$2,0),0)</f>
        <v>0.1293</v>
      </c>
      <c r="AF6962" s="6">
        <f t="shared" si="1085"/>
        <v>731.78757299999995</v>
      </c>
      <c r="AG6962" s="14">
        <v>0</v>
      </c>
      <c r="AH6962" s="64">
        <f t="shared" si="1084"/>
        <v>5659.61</v>
      </c>
      <c r="AJ6962" s="126" t="e">
        <v>#N/A</v>
      </c>
      <c r="AK6962" s="80">
        <f t="shared" si="1082"/>
        <v>0</v>
      </c>
      <c r="AL6962" s="85"/>
      <c r="AM6962" s="85"/>
    </row>
    <row r="6963" spans="1:39" s="86" customFormat="1" ht="13.25" hidden="1" customHeight="1" x14ac:dyDescent="0.3">
      <c r="A6963" s="89" t="s">
        <v>3978</v>
      </c>
      <c r="B6963" s="86" t="s">
        <v>701</v>
      </c>
      <c r="C6963" s="86" t="s">
        <v>164</v>
      </c>
      <c r="D6963" s="86" t="s">
        <v>174</v>
      </c>
      <c r="E6963" s="86" t="s">
        <v>1730</v>
      </c>
      <c r="F6963" s="86" t="s">
        <v>1730</v>
      </c>
      <c r="G6963" s="86" t="s">
        <v>1730</v>
      </c>
      <c r="H6963" s="144">
        <v>83</v>
      </c>
      <c r="I6963" s="86" t="s">
        <v>78</v>
      </c>
      <c r="J6963" s="1" t="s">
        <v>3303</v>
      </c>
      <c r="K6963" s="1" t="s">
        <v>3763</v>
      </c>
      <c r="L6963" s="1" t="s">
        <v>701</v>
      </c>
      <c r="M6963" s="86" t="s">
        <v>1730</v>
      </c>
      <c r="O6963" s="47" t="s">
        <v>410</v>
      </c>
      <c r="P6963" s="47" t="s">
        <v>41</v>
      </c>
      <c r="Q6963" s="14">
        <v>0</v>
      </c>
      <c r="R6963" s="143">
        <v>7208</v>
      </c>
      <c r="S6963" s="47"/>
      <c r="T6963" s="6">
        <v>5406.2000000000007</v>
      </c>
      <c r="U6963" s="6">
        <v>10000</v>
      </c>
      <c r="V6963" s="6">
        <v>12902.630000000001</v>
      </c>
      <c r="W6963" s="6">
        <f t="shared" si="1086"/>
        <v>2503.5699999999997</v>
      </c>
      <c r="X6963" s="6">
        <f t="shared" si="1087"/>
        <v>12902.630000000001</v>
      </c>
      <c r="Y6963" s="13">
        <f t="shared" si="1080"/>
        <v>0</v>
      </c>
      <c r="Z6963" s="66">
        <v>0</v>
      </c>
      <c r="AA6963" s="6">
        <v>0</v>
      </c>
      <c r="AB6963" s="4">
        <v>12902.630000000001</v>
      </c>
      <c r="AC6963" s="6">
        <f t="shared" si="1079"/>
        <v>0</v>
      </c>
      <c r="AD6963" s="6">
        <f t="shared" si="1083"/>
        <v>12902.630000000001</v>
      </c>
      <c r="AE6963" s="14">
        <f>VLOOKUP(I6963,[2]媒体政策预估表!A:N,MATCH(O6963,[2]媒体政策预估表!$A$2:$M$2,0),0)</f>
        <v>0.1293</v>
      </c>
      <c r="AF6963" s="6">
        <f t="shared" si="1085"/>
        <v>1668.3100590000001</v>
      </c>
      <c r="AG6963" s="14">
        <v>0</v>
      </c>
      <c r="AH6963" s="64">
        <f t="shared" si="1084"/>
        <v>12902.630000000001</v>
      </c>
      <c r="AJ6963" s="126" t="s">
        <v>4217</v>
      </c>
      <c r="AK6963" s="80">
        <f t="shared" si="1082"/>
        <v>0</v>
      </c>
      <c r="AL6963" s="85"/>
      <c r="AM6963" s="85"/>
    </row>
    <row r="6964" spans="1:39" s="86" customFormat="1" ht="13.25" hidden="1" customHeight="1" x14ac:dyDescent="0.3">
      <c r="A6964" s="89" t="s">
        <v>3792</v>
      </c>
      <c r="B6964" s="86" t="s">
        <v>701</v>
      </c>
      <c r="C6964" s="86" t="s">
        <v>164</v>
      </c>
      <c r="D6964" s="86" t="s">
        <v>174</v>
      </c>
      <c r="E6964" s="86" t="s">
        <v>1730</v>
      </c>
      <c r="F6964" s="86" t="s">
        <v>1730</v>
      </c>
      <c r="G6964" s="86" t="s">
        <v>1730</v>
      </c>
      <c r="H6964" s="144">
        <v>83</v>
      </c>
      <c r="I6964" s="86" t="s">
        <v>78</v>
      </c>
      <c r="J6964" s="1" t="s">
        <v>3303</v>
      </c>
      <c r="K6964" s="1" t="s">
        <v>3763</v>
      </c>
      <c r="L6964" s="1" t="s">
        <v>701</v>
      </c>
      <c r="M6964" s="86" t="s">
        <v>2825</v>
      </c>
      <c r="O6964" s="47" t="s">
        <v>410</v>
      </c>
      <c r="P6964" s="47" t="s">
        <v>41</v>
      </c>
      <c r="Q6964" s="14">
        <v>0</v>
      </c>
      <c r="R6964" s="143">
        <v>7485</v>
      </c>
      <c r="S6964" s="47"/>
      <c r="T6964" s="6">
        <v>4762.4999999999982</v>
      </c>
      <c r="U6964" s="6">
        <v>5000</v>
      </c>
      <c r="V6964" s="6">
        <v>5165.8</v>
      </c>
      <c r="W6964" s="6">
        <f t="shared" si="1086"/>
        <v>4596.699999999998</v>
      </c>
      <c r="X6964" s="6">
        <f t="shared" si="1087"/>
        <v>5165.8</v>
      </c>
      <c r="Y6964" s="13">
        <f t="shared" si="1080"/>
        <v>0</v>
      </c>
      <c r="Z6964" s="66">
        <v>0</v>
      </c>
      <c r="AA6964" s="6">
        <v>0</v>
      </c>
      <c r="AB6964" s="4">
        <v>3602.638627450986</v>
      </c>
      <c r="AC6964" s="6">
        <f t="shared" si="1079"/>
        <v>0</v>
      </c>
      <c r="AD6964" s="6">
        <f t="shared" si="1083"/>
        <v>5165.8</v>
      </c>
      <c r="AE6964" s="14">
        <f>VLOOKUP(I6964,[2]媒体政策预估表!A:N,MATCH(O6964,[2]媒体政策预估表!$A$2:$M$2,0),0)</f>
        <v>0.1293</v>
      </c>
      <c r="AF6964" s="6">
        <f t="shared" si="1085"/>
        <v>667.93794000000003</v>
      </c>
      <c r="AG6964" s="14">
        <v>0</v>
      </c>
      <c r="AH6964" s="64">
        <f t="shared" si="1084"/>
        <v>5165.8</v>
      </c>
      <c r="AJ6964" s="126" t="s">
        <v>4217</v>
      </c>
      <c r="AK6964" s="80">
        <f t="shared" si="1082"/>
        <v>1563.1613725490142</v>
      </c>
      <c r="AL6964" s="85"/>
      <c r="AM6964" s="85"/>
    </row>
    <row r="6965" spans="1:39" s="86" customFormat="1" ht="13.25" hidden="1" customHeight="1" x14ac:dyDescent="0.3">
      <c r="A6965" s="89" t="s">
        <v>3978</v>
      </c>
      <c r="B6965" s="86" t="s">
        <v>701</v>
      </c>
      <c r="C6965" s="86" t="s">
        <v>164</v>
      </c>
      <c r="D6965" s="86" t="s">
        <v>174</v>
      </c>
      <c r="E6965" s="86" t="s">
        <v>2826</v>
      </c>
      <c r="F6965" s="86" t="s">
        <v>2827</v>
      </c>
      <c r="G6965" s="86" t="s">
        <v>2826</v>
      </c>
      <c r="H6965" s="144">
        <v>83</v>
      </c>
      <c r="I6965" s="86" t="s">
        <v>78</v>
      </c>
      <c r="J6965" s="1" t="s">
        <v>3303</v>
      </c>
      <c r="K6965" s="1" t="s">
        <v>3763</v>
      </c>
      <c r="L6965" s="1" t="s">
        <v>701</v>
      </c>
      <c r="M6965" s="86" t="s">
        <v>2826</v>
      </c>
      <c r="O6965" s="47" t="s">
        <v>410</v>
      </c>
      <c r="P6965" s="47" t="s">
        <v>41</v>
      </c>
      <c r="Q6965" s="14">
        <v>0</v>
      </c>
      <c r="R6965" s="143">
        <v>7556</v>
      </c>
      <c r="S6965" s="47"/>
      <c r="T6965" s="6">
        <v>10401.270000000011</v>
      </c>
      <c r="U6965" s="6">
        <v>60000</v>
      </c>
      <c r="V6965" s="6">
        <v>41447.07</v>
      </c>
      <c r="W6965" s="6">
        <f t="shared" si="1086"/>
        <v>28954.200000000019</v>
      </c>
      <c r="X6965" s="6">
        <f t="shared" si="1087"/>
        <v>41447.07</v>
      </c>
      <c r="Y6965" s="13">
        <f t="shared" si="1080"/>
        <v>0</v>
      </c>
      <c r="Z6965" s="66">
        <v>0</v>
      </c>
      <c r="AA6965" s="6">
        <v>0</v>
      </c>
      <c r="AB6965" s="4">
        <f t="shared" si="1081"/>
        <v>41447.07</v>
      </c>
      <c r="AC6965" s="6">
        <f t="shared" si="1079"/>
        <v>0</v>
      </c>
      <c r="AD6965" s="6">
        <f t="shared" si="1083"/>
        <v>41447.07</v>
      </c>
      <c r="AE6965" s="14">
        <f>VLOOKUP(I6965,[2]媒体政策预估表!A:N,MATCH(O6965,[2]媒体政策预估表!$A$2:$M$2,0),0)</f>
        <v>0.1293</v>
      </c>
      <c r="AF6965" s="6">
        <f t="shared" si="1085"/>
        <v>5359.106151</v>
      </c>
      <c r="AG6965" s="14">
        <v>0</v>
      </c>
      <c r="AH6965" s="64">
        <f t="shared" si="1084"/>
        <v>41447.07</v>
      </c>
      <c r="AJ6965" s="126" t="e">
        <v>#N/A</v>
      </c>
      <c r="AK6965" s="80">
        <f t="shared" si="1082"/>
        <v>0</v>
      </c>
      <c r="AL6965" s="85"/>
      <c r="AM6965" s="85"/>
    </row>
    <row r="6966" spans="1:39" s="86" customFormat="1" ht="13.25" hidden="1" customHeight="1" x14ac:dyDescent="0.3">
      <c r="A6966" s="89" t="s">
        <v>3792</v>
      </c>
      <c r="B6966" s="86" t="s">
        <v>701</v>
      </c>
      <c r="C6966" s="86" t="s">
        <v>164</v>
      </c>
      <c r="D6966" s="86" t="s">
        <v>174</v>
      </c>
      <c r="E6966" s="86" t="s">
        <v>681</v>
      </c>
      <c r="F6966" s="86" t="s">
        <v>681</v>
      </c>
      <c r="G6966" s="86" t="s">
        <v>681</v>
      </c>
      <c r="H6966" s="144">
        <v>83</v>
      </c>
      <c r="I6966" s="86" t="s">
        <v>78</v>
      </c>
      <c r="J6966" s="1" t="s">
        <v>3303</v>
      </c>
      <c r="K6966" s="1" t="s">
        <v>3763</v>
      </c>
      <c r="L6966" s="1" t="s">
        <v>701</v>
      </c>
      <c r="M6966" s="86" t="s">
        <v>2828</v>
      </c>
      <c r="O6966" s="47" t="s">
        <v>410</v>
      </c>
      <c r="P6966" s="47" t="s">
        <v>46</v>
      </c>
      <c r="Q6966" s="14">
        <v>0.03</v>
      </c>
      <c r="R6966" s="143">
        <v>109</v>
      </c>
      <c r="S6966" s="47"/>
      <c r="T6966" s="6">
        <v>39478.92000000002</v>
      </c>
      <c r="U6966" s="6">
        <v>100000</v>
      </c>
      <c r="V6966" s="6">
        <v>100565.75</v>
      </c>
      <c r="W6966" s="6">
        <f t="shared" si="1086"/>
        <v>38913.170000000013</v>
      </c>
      <c r="X6966" s="6">
        <f t="shared" si="1087"/>
        <v>97636.650485436898</v>
      </c>
      <c r="Y6966" s="13">
        <f t="shared" si="1080"/>
        <v>0</v>
      </c>
      <c r="Z6966" s="66">
        <v>0</v>
      </c>
      <c r="AA6966" s="6">
        <v>0</v>
      </c>
      <c r="AB6966" s="4">
        <f t="shared" si="1081"/>
        <v>97636.650485436898</v>
      </c>
      <c r="AC6966" s="6">
        <f t="shared" si="1079"/>
        <v>2929.0995145631023</v>
      </c>
      <c r="AD6966" s="6">
        <f t="shared" si="1083"/>
        <v>100565.75</v>
      </c>
      <c r="AE6966" s="14">
        <f>VLOOKUP(I6966,[2]媒体政策预估表!A:N,MATCH(O6966,[2]媒体政策预估表!$A$2:$M$2,0),0)</f>
        <v>0.1293</v>
      </c>
      <c r="AF6966" s="6">
        <f t="shared" si="1085"/>
        <v>13003.151475000001</v>
      </c>
      <c r="AG6966" s="14">
        <v>0</v>
      </c>
      <c r="AH6966" s="64">
        <f t="shared" si="1084"/>
        <v>100565.75</v>
      </c>
      <c r="AJ6966" s="126" t="e">
        <v>#N/A</v>
      </c>
      <c r="AK6966" s="80">
        <f t="shared" si="1082"/>
        <v>0</v>
      </c>
      <c r="AL6966" s="85"/>
      <c r="AM6966" s="85"/>
    </row>
    <row r="6967" spans="1:39" s="86" customFormat="1" ht="13.25" hidden="1" customHeight="1" x14ac:dyDescent="0.3">
      <c r="A6967" s="89" t="s">
        <v>3792</v>
      </c>
      <c r="B6967" s="86" t="s">
        <v>701</v>
      </c>
      <c r="C6967" s="86" t="s">
        <v>164</v>
      </c>
      <c r="D6967" s="86" t="s">
        <v>174</v>
      </c>
      <c r="E6967" s="86" t="s">
        <v>4002</v>
      </c>
      <c r="F6967" s="86" t="s">
        <v>4002</v>
      </c>
      <c r="G6967" s="86" t="s">
        <v>4002</v>
      </c>
      <c r="H6967" s="144">
        <v>83</v>
      </c>
      <c r="I6967" s="86" t="s">
        <v>78</v>
      </c>
      <c r="J6967" s="1" t="s">
        <v>3303</v>
      </c>
      <c r="K6967" s="1" t="s">
        <v>3763</v>
      </c>
      <c r="L6967" s="1" t="s">
        <v>701</v>
      </c>
      <c r="M6967" s="86" t="s">
        <v>4003</v>
      </c>
      <c r="O6967" s="47" t="s">
        <v>410</v>
      </c>
      <c r="P6967" s="47" t="s">
        <v>41</v>
      </c>
      <c r="Q6967" s="14">
        <v>0</v>
      </c>
      <c r="R6967" s="143">
        <v>7705</v>
      </c>
      <c r="S6967" s="47"/>
      <c r="T6967" s="6">
        <v>0</v>
      </c>
      <c r="U6967" s="6">
        <v>10000</v>
      </c>
      <c r="V6967" s="6">
        <v>1056.04</v>
      </c>
      <c r="W6967" s="6">
        <f t="shared" si="1086"/>
        <v>8943.9599999999991</v>
      </c>
      <c r="X6967" s="6">
        <f t="shared" si="1087"/>
        <v>1056.04</v>
      </c>
      <c r="Y6967" s="13">
        <f t="shared" si="1080"/>
        <v>0</v>
      </c>
      <c r="Z6967" s="66">
        <v>0</v>
      </c>
      <c r="AA6967" s="6">
        <v>0</v>
      </c>
      <c r="AB6967" s="4">
        <f t="shared" si="1081"/>
        <v>1056.04</v>
      </c>
      <c r="AC6967" s="6">
        <f t="shared" si="1079"/>
        <v>0</v>
      </c>
      <c r="AD6967" s="6">
        <f t="shared" si="1083"/>
        <v>1056.04</v>
      </c>
      <c r="AE6967" s="14">
        <f>VLOOKUP(I6967,[2]媒体政策预估表!A:N,MATCH(O6967,[2]媒体政策预估表!$A$2:$M$2,0),0)</f>
        <v>0.1293</v>
      </c>
      <c r="AF6967" s="6">
        <f t="shared" si="1085"/>
        <v>136.54597200000001</v>
      </c>
      <c r="AG6967" s="14">
        <v>0</v>
      </c>
      <c r="AH6967" s="64">
        <f t="shared" si="1084"/>
        <v>1056.04</v>
      </c>
      <c r="AJ6967" s="126" t="e">
        <v>#N/A</v>
      </c>
      <c r="AK6967" s="80">
        <f t="shared" si="1082"/>
        <v>0</v>
      </c>
      <c r="AL6967" s="85"/>
      <c r="AM6967" s="85"/>
    </row>
    <row r="6968" spans="1:39" s="86" customFormat="1" ht="13.25" hidden="1" customHeight="1" x14ac:dyDescent="0.3">
      <c r="A6968" s="89" t="s">
        <v>3792</v>
      </c>
      <c r="B6968" s="86" t="s">
        <v>701</v>
      </c>
      <c r="C6968" s="86" t="s">
        <v>164</v>
      </c>
      <c r="D6968" s="86" t="s">
        <v>174</v>
      </c>
      <c r="E6968" s="86" t="s">
        <v>4002</v>
      </c>
      <c r="F6968" s="86" t="s">
        <v>4002</v>
      </c>
      <c r="G6968" s="86" t="s">
        <v>4002</v>
      </c>
      <c r="H6968" s="144">
        <v>83</v>
      </c>
      <c r="I6968" s="86" t="s">
        <v>78</v>
      </c>
      <c r="J6968" s="1" t="s">
        <v>3303</v>
      </c>
      <c r="K6968" s="1" t="s">
        <v>3763</v>
      </c>
      <c r="L6968" s="1" t="s">
        <v>701</v>
      </c>
      <c r="M6968" s="86" t="s">
        <v>4002</v>
      </c>
      <c r="O6968" s="47" t="s">
        <v>410</v>
      </c>
      <c r="P6968" s="47" t="s">
        <v>41</v>
      </c>
      <c r="Q6968" s="14">
        <v>0</v>
      </c>
      <c r="R6968" s="143">
        <v>7689</v>
      </c>
      <c r="S6968" s="47"/>
      <c r="T6968" s="6">
        <v>0</v>
      </c>
      <c r="U6968" s="6">
        <v>20000</v>
      </c>
      <c r="V6968" s="6">
        <v>8480.73</v>
      </c>
      <c r="W6968" s="6">
        <f t="shared" si="1086"/>
        <v>11519.27</v>
      </c>
      <c r="X6968" s="6">
        <f t="shared" si="1087"/>
        <v>8480.73</v>
      </c>
      <c r="Y6968" s="13">
        <f t="shared" si="1080"/>
        <v>0</v>
      </c>
      <c r="Z6968" s="66">
        <v>0</v>
      </c>
      <c r="AA6968" s="6">
        <v>0</v>
      </c>
      <c r="AB6968" s="4">
        <f t="shared" si="1081"/>
        <v>8480.73</v>
      </c>
      <c r="AC6968" s="6">
        <f t="shared" si="1079"/>
        <v>0</v>
      </c>
      <c r="AD6968" s="6">
        <f t="shared" si="1083"/>
        <v>8480.73</v>
      </c>
      <c r="AE6968" s="14">
        <f>VLOOKUP(I6968,[2]媒体政策预估表!A:N,MATCH(O6968,[2]媒体政策预估表!$A$2:$M$2,0),0)</f>
        <v>0.1293</v>
      </c>
      <c r="AF6968" s="6">
        <f t="shared" si="1085"/>
        <v>1096.558389</v>
      </c>
      <c r="AG6968" s="14">
        <v>0</v>
      </c>
      <c r="AH6968" s="64">
        <f t="shared" si="1084"/>
        <v>8480.73</v>
      </c>
      <c r="AJ6968" s="126" t="e">
        <v>#N/A</v>
      </c>
      <c r="AK6968" s="80">
        <f t="shared" si="1082"/>
        <v>0</v>
      </c>
      <c r="AL6968" s="85"/>
      <c r="AM6968" s="85"/>
    </row>
    <row r="6969" spans="1:39" s="86" customFormat="1" ht="13.25" hidden="1" customHeight="1" x14ac:dyDescent="0.3">
      <c r="A6969" s="89" t="s">
        <v>3792</v>
      </c>
      <c r="B6969" s="86" t="s">
        <v>701</v>
      </c>
      <c r="C6969" s="86" t="s">
        <v>164</v>
      </c>
      <c r="D6969" s="86" t="s">
        <v>174</v>
      </c>
      <c r="E6969" s="86" t="s">
        <v>694</v>
      </c>
      <c r="F6969" s="86" t="s">
        <v>694</v>
      </c>
      <c r="G6969" s="86" t="s">
        <v>694</v>
      </c>
      <c r="H6969" s="144">
        <v>83</v>
      </c>
      <c r="I6969" s="86" t="s">
        <v>78</v>
      </c>
      <c r="J6969" s="1" t="s">
        <v>3303</v>
      </c>
      <c r="K6969" s="1" t="s">
        <v>3763</v>
      </c>
      <c r="L6969" s="1" t="s">
        <v>701</v>
      </c>
      <c r="M6969" s="86" t="s">
        <v>694</v>
      </c>
      <c r="O6969" s="47" t="s">
        <v>410</v>
      </c>
      <c r="P6969" s="47" t="s">
        <v>41</v>
      </c>
      <c r="Q6969" s="14">
        <v>0</v>
      </c>
      <c r="R6969" s="143">
        <v>7202</v>
      </c>
      <c r="S6969" s="47"/>
      <c r="T6969" s="6">
        <v>12223.839999999995</v>
      </c>
      <c r="U6969" s="6">
        <v>20000</v>
      </c>
      <c r="V6969" s="6">
        <v>14047</v>
      </c>
      <c r="W6969" s="6">
        <f t="shared" si="1086"/>
        <v>18176.839999999997</v>
      </c>
      <c r="X6969" s="6">
        <f t="shared" si="1087"/>
        <v>14047</v>
      </c>
      <c r="Y6969" s="13">
        <f t="shared" si="1080"/>
        <v>0</v>
      </c>
      <c r="Z6969" s="66">
        <v>0</v>
      </c>
      <c r="AA6969" s="6">
        <v>0</v>
      </c>
      <c r="AB6969" s="4">
        <f t="shared" si="1081"/>
        <v>14047</v>
      </c>
      <c r="AC6969" s="6">
        <f t="shared" si="1079"/>
        <v>0</v>
      </c>
      <c r="AD6969" s="6">
        <f t="shared" si="1083"/>
        <v>14047</v>
      </c>
      <c r="AE6969" s="14">
        <f>VLOOKUP(I6969,[2]媒体政策预估表!A:N,MATCH(O6969,[2]媒体政策预估表!$A$2:$M$2,0),0)</f>
        <v>0.1293</v>
      </c>
      <c r="AF6969" s="6">
        <f t="shared" si="1085"/>
        <v>1816.2771</v>
      </c>
      <c r="AG6969" s="14">
        <v>0</v>
      </c>
      <c r="AH6969" s="64">
        <f t="shared" si="1084"/>
        <v>14047</v>
      </c>
      <c r="AJ6969" s="126" t="e">
        <v>#N/A</v>
      </c>
      <c r="AK6969" s="80">
        <f t="shared" si="1082"/>
        <v>0</v>
      </c>
      <c r="AL6969" s="85"/>
      <c r="AM6969" s="85"/>
    </row>
    <row r="6970" spans="1:39" s="86" customFormat="1" ht="13.25" hidden="1" customHeight="1" x14ac:dyDescent="0.3">
      <c r="A6970" s="89" t="s">
        <v>3978</v>
      </c>
      <c r="B6970" s="86" t="s">
        <v>701</v>
      </c>
      <c r="C6970" s="86" t="s">
        <v>184</v>
      </c>
      <c r="D6970" s="86" t="s">
        <v>224</v>
      </c>
      <c r="E6970" s="86" t="s">
        <v>2734</v>
      </c>
      <c r="F6970" s="86" t="s">
        <v>2734</v>
      </c>
      <c r="G6970" s="86" t="s">
        <v>2734</v>
      </c>
      <c r="H6970" s="144">
        <v>83</v>
      </c>
      <c r="I6970" s="86" t="s">
        <v>78</v>
      </c>
      <c r="J6970" s="1" t="s">
        <v>3303</v>
      </c>
      <c r="K6970" s="1" t="s">
        <v>3763</v>
      </c>
      <c r="L6970" s="1" t="s">
        <v>701</v>
      </c>
      <c r="M6970" s="86" t="s">
        <v>2734</v>
      </c>
      <c r="O6970" s="47" t="s">
        <v>410</v>
      </c>
      <c r="P6970" s="47" t="s">
        <v>41</v>
      </c>
      <c r="Q6970" s="14">
        <v>0</v>
      </c>
      <c r="R6970" s="143">
        <v>7569</v>
      </c>
      <c r="S6970" s="47"/>
      <c r="T6970" s="6">
        <v>9316.34</v>
      </c>
      <c r="U6970" s="6">
        <v>10000</v>
      </c>
      <c r="V6970" s="6">
        <v>5128.42</v>
      </c>
      <c r="W6970" s="6">
        <f t="shared" si="1086"/>
        <v>14187.92</v>
      </c>
      <c r="X6970" s="6">
        <f t="shared" si="1087"/>
        <v>5128.42</v>
      </c>
      <c r="Y6970" s="13">
        <f t="shared" si="1080"/>
        <v>0</v>
      </c>
      <c r="Z6970" s="66">
        <v>0</v>
      </c>
      <c r="AA6970" s="6">
        <v>0</v>
      </c>
      <c r="AB6970" s="4">
        <f t="shared" si="1081"/>
        <v>5128.42</v>
      </c>
      <c r="AC6970" s="6">
        <f t="shared" si="1079"/>
        <v>0</v>
      </c>
      <c r="AD6970" s="6">
        <f t="shared" si="1083"/>
        <v>5128.42</v>
      </c>
      <c r="AE6970" s="14">
        <f>VLOOKUP(I6970,[2]媒体政策预估表!A:N,MATCH(O6970,[2]媒体政策预估表!$A$2:$M$2,0),0)</f>
        <v>0.1293</v>
      </c>
      <c r="AF6970" s="6">
        <f t="shared" si="1085"/>
        <v>663.10470599999996</v>
      </c>
      <c r="AG6970" s="14">
        <v>0</v>
      </c>
      <c r="AH6970" s="64">
        <f t="shared" si="1084"/>
        <v>5128.42</v>
      </c>
      <c r="AJ6970" s="126" t="e">
        <v>#N/A</v>
      </c>
      <c r="AK6970" s="80">
        <f t="shared" si="1082"/>
        <v>0</v>
      </c>
      <c r="AL6970" s="85"/>
      <c r="AM6970" s="85"/>
    </row>
    <row r="6971" spans="1:39" s="86" customFormat="1" ht="13.25" hidden="1" customHeight="1" x14ac:dyDescent="0.3">
      <c r="A6971" s="89" t="s">
        <v>3978</v>
      </c>
      <c r="B6971" s="86" t="s">
        <v>701</v>
      </c>
      <c r="C6971" s="86" t="s">
        <v>184</v>
      </c>
      <c r="D6971" s="86" t="s">
        <v>224</v>
      </c>
      <c r="E6971" s="86" t="s">
        <v>2734</v>
      </c>
      <c r="F6971" s="86" t="s">
        <v>2734</v>
      </c>
      <c r="G6971" s="86" t="s">
        <v>2734</v>
      </c>
      <c r="H6971" s="143">
        <v>83</v>
      </c>
      <c r="I6971" s="86" t="s">
        <v>78</v>
      </c>
      <c r="J6971" s="1" t="s">
        <v>3303</v>
      </c>
      <c r="K6971" s="1" t="s">
        <v>3763</v>
      </c>
      <c r="L6971" s="1" t="s">
        <v>701</v>
      </c>
      <c r="M6971" s="86" t="s">
        <v>2735</v>
      </c>
      <c r="O6971" s="47" t="s">
        <v>410</v>
      </c>
      <c r="P6971" s="47" t="s">
        <v>41</v>
      </c>
      <c r="Q6971" s="14">
        <v>0</v>
      </c>
      <c r="R6971" s="143">
        <v>7647</v>
      </c>
      <c r="S6971" s="47"/>
      <c r="T6971" s="6">
        <v>19543.11</v>
      </c>
      <c r="U6971" s="6">
        <v>-19543.11</v>
      </c>
      <c r="V6971" s="6">
        <v>0</v>
      </c>
      <c r="W6971" s="6">
        <f t="shared" si="1086"/>
        <v>0</v>
      </c>
      <c r="X6971" s="6">
        <f t="shared" si="1087"/>
        <v>0</v>
      </c>
      <c r="Y6971" s="13">
        <f t="shared" si="1080"/>
        <v>0</v>
      </c>
      <c r="Z6971" s="66">
        <v>0</v>
      </c>
      <c r="AA6971" s="6">
        <v>0</v>
      </c>
      <c r="AB6971" s="4">
        <f t="shared" si="1081"/>
        <v>0</v>
      </c>
      <c r="AC6971" s="6">
        <f t="shared" si="1079"/>
        <v>0</v>
      </c>
      <c r="AD6971" s="6">
        <f t="shared" si="1083"/>
        <v>0</v>
      </c>
      <c r="AE6971" s="14">
        <f>VLOOKUP(I6971,[2]媒体政策预估表!A:N,MATCH(O6971,[2]媒体政策预估表!$A$2:$M$2,0),0)</f>
        <v>0.1293</v>
      </c>
      <c r="AF6971" s="6">
        <f t="shared" si="1085"/>
        <v>0</v>
      </c>
      <c r="AG6971" s="14">
        <v>0</v>
      </c>
      <c r="AH6971" s="64">
        <f t="shared" si="1084"/>
        <v>0</v>
      </c>
      <c r="AJ6971" s="126" t="e">
        <v>#N/A</v>
      </c>
      <c r="AK6971" s="80">
        <f t="shared" si="1082"/>
        <v>0</v>
      </c>
      <c r="AL6971" s="85"/>
      <c r="AM6971" s="85"/>
    </row>
    <row r="6972" spans="1:39" s="86" customFormat="1" ht="13.25" hidden="1" customHeight="1" x14ac:dyDescent="0.3">
      <c r="A6972" s="89" t="s">
        <v>3978</v>
      </c>
      <c r="B6972" s="86" t="s">
        <v>701</v>
      </c>
      <c r="C6972" s="86" t="s">
        <v>184</v>
      </c>
      <c r="D6972" s="86" t="s">
        <v>224</v>
      </c>
      <c r="E6972" s="86" t="s">
        <v>2738</v>
      </c>
      <c r="F6972" s="86" t="s">
        <v>2738</v>
      </c>
      <c r="G6972" s="86" t="s">
        <v>2738</v>
      </c>
      <c r="H6972" s="144">
        <v>83</v>
      </c>
      <c r="I6972" s="86" t="s">
        <v>78</v>
      </c>
      <c r="J6972" s="1" t="s">
        <v>3303</v>
      </c>
      <c r="K6972" s="1" t="s">
        <v>3763</v>
      </c>
      <c r="L6972" s="1" t="s">
        <v>701</v>
      </c>
      <c r="M6972" s="86" t="s">
        <v>2738</v>
      </c>
      <c r="O6972" s="47" t="s">
        <v>410</v>
      </c>
      <c r="P6972" s="47" t="s">
        <v>41</v>
      </c>
      <c r="Q6972" s="14">
        <v>0</v>
      </c>
      <c r="R6972" s="143">
        <v>7363</v>
      </c>
      <c r="S6972" s="47"/>
      <c r="T6972" s="6">
        <v>3243.7000000000016</v>
      </c>
      <c r="U6972" s="6">
        <v>5000</v>
      </c>
      <c r="V6972" s="6">
        <v>4350.5</v>
      </c>
      <c r="W6972" s="6">
        <f t="shared" si="1086"/>
        <v>3893.2000000000007</v>
      </c>
      <c r="X6972" s="6">
        <f t="shared" si="1087"/>
        <v>4350.5</v>
      </c>
      <c r="Y6972" s="13">
        <f t="shared" si="1080"/>
        <v>0</v>
      </c>
      <c r="Z6972" s="66">
        <v>0</v>
      </c>
      <c r="AA6972" s="6">
        <v>0</v>
      </c>
      <c r="AB6972" s="4">
        <f t="shared" si="1081"/>
        <v>4350.5</v>
      </c>
      <c r="AC6972" s="6">
        <f t="shared" si="1079"/>
        <v>0</v>
      </c>
      <c r="AD6972" s="6">
        <f t="shared" si="1083"/>
        <v>4350.5</v>
      </c>
      <c r="AE6972" s="14">
        <f>VLOOKUP(I6972,[2]媒体政策预估表!A:N,MATCH(O6972,[2]媒体政策预估表!$A$2:$M$2,0),0)</f>
        <v>0.1293</v>
      </c>
      <c r="AF6972" s="6">
        <f t="shared" si="1085"/>
        <v>562.51964999999996</v>
      </c>
      <c r="AG6972" s="14">
        <v>0</v>
      </c>
      <c r="AH6972" s="64">
        <f t="shared" si="1084"/>
        <v>4350.5</v>
      </c>
      <c r="AJ6972" s="126" t="e">
        <v>#N/A</v>
      </c>
      <c r="AK6972" s="80">
        <f t="shared" si="1082"/>
        <v>0</v>
      </c>
      <c r="AL6972" s="85"/>
      <c r="AM6972" s="85"/>
    </row>
    <row r="6973" spans="1:39" s="86" customFormat="1" ht="13.25" hidden="1" customHeight="1" x14ac:dyDescent="0.3">
      <c r="A6973" s="89" t="s">
        <v>3792</v>
      </c>
      <c r="B6973" s="86" t="s">
        <v>701</v>
      </c>
      <c r="C6973" s="86" t="s">
        <v>184</v>
      </c>
      <c r="D6973" s="86" t="s">
        <v>224</v>
      </c>
      <c r="E6973" s="86" t="s">
        <v>2839</v>
      </c>
      <c r="F6973" s="86" t="s">
        <v>2839</v>
      </c>
      <c r="G6973" s="86" t="s">
        <v>2839</v>
      </c>
      <c r="H6973" s="144">
        <v>83</v>
      </c>
      <c r="I6973" s="86" t="s">
        <v>78</v>
      </c>
      <c r="J6973" s="1" t="s">
        <v>3303</v>
      </c>
      <c r="K6973" s="1" t="s">
        <v>3763</v>
      </c>
      <c r="L6973" s="1" t="s">
        <v>701</v>
      </c>
      <c r="M6973" s="86" t="s">
        <v>2839</v>
      </c>
      <c r="O6973" s="47" t="s">
        <v>410</v>
      </c>
      <c r="P6973" s="47" t="s">
        <v>41</v>
      </c>
      <c r="Q6973" s="14">
        <v>0</v>
      </c>
      <c r="R6973" s="143">
        <v>7544</v>
      </c>
      <c r="S6973" s="47"/>
      <c r="T6973" s="6">
        <v>2001.6499999999996</v>
      </c>
      <c r="U6973" s="6">
        <v>5000</v>
      </c>
      <c r="V6973" s="6">
        <v>6722.9</v>
      </c>
      <c r="W6973" s="6">
        <f t="shared" si="1086"/>
        <v>278.75</v>
      </c>
      <c r="X6973" s="6">
        <f t="shared" si="1087"/>
        <v>6722.9</v>
      </c>
      <c r="Y6973" s="13">
        <f t="shared" si="1080"/>
        <v>0</v>
      </c>
      <c r="Z6973" s="66">
        <v>0</v>
      </c>
      <c r="AA6973" s="6">
        <v>0</v>
      </c>
      <c r="AB6973" s="4">
        <f t="shared" si="1081"/>
        <v>6722.9</v>
      </c>
      <c r="AC6973" s="6">
        <f t="shared" si="1079"/>
        <v>0</v>
      </c>
      <c r="AD6973" s="6">
        <f t="shared" si="1083"/>
        <v>6722.9</v>
      </c>
      <c r="AE6973" s="14">
        <f>VLOOKUP(I6973,[2]媒体政策预估表!A:N,MATCH(O6973,[2]媒体政策预估表!$A$2:$M$2,0),0)</f>
        <v>0.1293</v>
      </c>
      <c r="AF6973" s="6">
        <f t="shared" si="1085"/>
        <v>869.27096999999992</v>
      </c>
      <c r="AG6973" s="14">
        <v>0</v>
      </c>
      <c r="AH6973" s="64">
        <f t="shared" si="1084"/>
        <v>6722.9</v>
      </c>
      <c r="AJ6973" s="126" t="e">
        <v>#N/A</v>
      </c>
      <c r="AK6973" s="80">
        <f t="shared" si="1082"/>
        <v>0</v>
      </c>
      <c r="AL6973" s="85"/>
      <c r="AM6973" s="85"/>
    </row>
    <row r="6974" spans="1:39" s="86" customFormat="1" ht="13.25" hidden="1" customHeight="1" x14ac:dyDescent="0.3">
      <c r="A6974" s="89" t="s">
        <v>3978</v>
      </c>
      <c r="B6974" s="86" t="s">
        <v>701</v>
      </c>
      <c r="C6974" s="86" t="s">
        <v>184</v>
      </c>
      <c r="D6974" s="86" t="s">
        <v>54</v>
      </c>
      <c r="E6974" s="86" t="s">
        <v>2388</v>
      </c>
      <c r="F6974" s="86" t="s">
        <v>2771</v>
      </c>
      <c r="G6974" s="86" t="s">
        <v>2388</v>
      </c>
      <c r="H6974" s="144">
        <v>370</v>
      </c>
      <c r="I6974" s="86" t="s">
        <v>3765</v>
      </c>
      <c r="J6974" s="47" t="s">
        <v>4204</v>
      </c>
      <c r="K6974" s="47" t="s">
        <v>3764</v>
      </c>
      <c r="L6974" s="47" t="s">
        <v>701</v>
      </c>
      <c r="M6974" s="86" t="s">
        <v>4004</v>
      </c>
      <c r="O6974" s="47" t="s">
        <v>410</v>
      </c>
      <c r="P6974" s="47" t="s">
        <v>46</v>
      </c>
      <c r="Q6974" s="14">
        <v>0.05</v>
      </c>
      <c r="R6974" s="143">
        <v>7693</v>
      </c>
      <c r="S6974" s="47"/>
      <c r="T6974" s="6">
        <v>0</v>
      </c>
      <c r="U6974" s="6">
        <v>525000</v>
      </c>
      <c r="V6974" s="6">
        <v>412820</v>
      </c>
      <c r="W6974" s="6">
        <f t="shared" si="1086"/>
        <v>112180</v>
      </c>
      <c r="X6974" s="6">
        <f t="shared" si="1087"/>
        <v>393161.90476190473</v>
      </c>
      <c r="Y6974" s="13">
        <f t="shared" si="1080"/>
        <v>0</v>
      </c>
      <c r="Z6974" s="66">
        <v>0</v>
      </c>
      <c r="AA6974" s="6">
        <v>0</v>
      </c>
      <c r="AB6974" s="4">
        <f t="shared" si="1081"/>
        <v>393161.90476190473</v>
      </c>
      <c r="AC6974" s="6">
        <f t="shared" ref="AC6974:AC7037" si="1088">IF(P6974="返现",X6974*Q6974,V6974-X6974)</f>
        <v>19658.095238095266</v>
      </c>
      <c r="AD6974" s="6">
        <f t="shared" si="1083"/>
        <v>412820</v>
      </c>
      <c r="AE6974" s="14">
        <f>VLOOKUP(I6974,[2]媒体政策预估表!A:N,MATCH(O6974,[2]媒体政策预估表!$A$2:$M$2,0),0)</f>
        <v>7.0000000000000007E-2</v>
      </c>
      <c r="AF6974" s="6">
        <f t="shared" si="1085"/>
        <v>28897.4</v>
      </c>
      <c r="AG6974" s="14">
        <v>0</v>
      </c>
      <c r="AH6974" s="64">
        <f t="shared" si="1084"/>
        <v>412820</v>
      </c>
      <c r="AJ6974" s="126" t="e">
        <v>#N/A</v>
      </c>
      <c r="AK6974" s="80">
        <f t="shared" si="1082"/>
        <v>0</v>
      </c>
      <c r="AL6974" s="85"/>
      <c r="AM6974" s="85"/>
    </row>
    <row r="6975" spans="1:39" s="86" customFormat="1" ht="13.25" hidden="1" customHeight="1" x14ac:dyDescent="0.3">
      <c r="A6975" s="89" t="s">
        <v>3792</v>
      </c>
      <c r="B6975" s="86" t="s">
        <v>701</v>
      </c>
      <c r="C6975" s="86" t="s">
        <v>184</v>
      </c>
      <c r="D6975" s="86" t="s">
        <v>54</v>
      </c>
      <c r="E6975" s="86" t="s">
        <v>2388</v>
      </c>
      <c r="F6975" s="86" t="s">
        <v>2771</v>
      </c>
      <c r="G6975" s="86" t="s">
        <v>2388</v>
      </c>
      <c r="H6975" s="144">
        <v>370</v>
      </c>
      <c r="I6975" s="86" t="s">
        <v>3765</v>
      </c>
      <c r="J6975" s="47" t="s">
        <v>3303</v>
      </c>
      <c r="K6975" s="47" t="s">
        <v>3764</v>
      </c>
      <c r="L6975" s="47" t="s">
        <v>701</v>
      </c>
      <c r="M6975" s="86" t="s">
        <v>4005</v>
      </c>
      <c r="O6975" s="47" t="s">
        <v>410</v>
      </c>
      <c r="P6975" s="47" t="s">
        <v>46</v>
      </c>
      <c r="Q6975" s="14">
        <v>0.05</v>
      </c>
      <c r="R6975" s="143">
        <v>7694</v>
      </c>
      <c r="S6975" s="47"/>
      <c r="T6975" s="6">
        <v>0</v>
      </c>
      <c r="U6975" s="6">
        <v>472500</v>
      </c>
      <c r="V6975" s="6">
        <v>344755.80000000005</v>
      </c>
      <c r="W6975" s="6">
        <f t="shared" si="1086"/>
        <v>127744.19999999995</v>
      </c>
      <c r="X6975" s="6">
        <f t="shared" si="1087"/>
        <v>328338.85714285716</v>
      </c>
      <c r="Y6975" s="13">
        <f t="shared" si="1080"/>
        <v>0</v>
      </c>
      <c r="Z6975" s="66">
        <v>0</v>
      </c>
      <c r="AA6975" s="6">
        <v>0</v>
      </c>
      <c r="AB6975" s="4">
        <f t="shared" si="1081"/>
        <v>328338.85714285716</v>
      </c>
      <c r="AC6975" s="6">
        <f t="shared" si="1088"/>
        <v>16416.942857142887</v>
      </c>
      <c r="AD6975" s="6">
        <f t="shared" si="1083"/>
        <v>344755.80000000005</v>
      </c>
      <c r="AE6975" s="14">
        <f>VLOOKUP(I6975,[2]媒体政策预估表!A:N,MATCH(O6975,[2]媒体政策预估表!$A$2:$M$2,0),0)</f>
        <v>7.0000000000000007E-2</v>
      </c>
      <c r="AF6975" s="6">
        <f t="shared" si="1085"/>
        <v>24132.906000000006</v>
      </c>
      <c r="AG6975" s="14">
        <v>0</v>
      </c>
      <c r="AH6975" s="64">
        <f t="shared" si="1084"/>
        <v>344755.80000000005</v>
      </c>
      <c r="AJ6975" s="126" t="e">
        <v>#N/A</v>
      </c>
      <c r="AK6975" s="80">
        <f t="shared" si="1082"/>
        <v>0</v>
      </c>
      <c r="AL6975" s="85"/>
      <c r="AM6975" s="85"/>
    </row>
    <row r="6976" spans="1:39" s="86" customFormat="1" ht="13.25" hidden="1" customHeight="1" x14ac:dyDescent="0.3">
      <c r="A6976" s="89" t="s">
        <v>3792</v>
      </c>
      <c r="B6976" s="86" t="s">
        <v>701</v>
      </c>
      <c r="C6976" s="86" t="s">
        <v>184</v>
      </c>
      <c r="D6976" s="86" t="s">
        <v>54</v>
      </c>
      <c r="E6976" s="86" t="s">
        <v>2378</v>
      </c>
      <c r="F6976" s="86" t="s">
        <v>2379</v>
      </c>
      <c r="G6976" s="86" t="s">
        <v>2378</v>
      </c>
      <c r="H6976" s="143">
        <v>83</v>
      </c>
      <c r="I6976" s="86" t="s">
        <v>78</v>
      </c>
      <c r="J6976" s="1" t="s">
        <v>3303</v>
      </c>
      <c r="K6976" s="1" t="s">
        <v>3763</v>
      </c>
      <c r="L6976" s="1" t="s">
        <v>701</v>
      </c>
      <c r="M6976" s="86" t="s">
        <v>2924</v>
      </c>
      <c r="O6976" s="47" t="s">
        <v>410</v>
      </c>
      <c r="P6976" s="47" t="s">
        <v>46</v>
      </c>
      <c r="Q6976" s="14">
        <v>0.02</v>
      </c>
      <c r="R6976" s="143">
        <v>7278</v>
      </c>
      <c r="S6976" s="47"/>
      <c r="T6976" s="6">
        <v>84538.4</v>
      </c>
      <c r="U6976" s="6">
        <v>-84538.4</v>
      </c>
      <c r="V6976" s="6">
        <v>0</v>
      </c>
      <c r="W6976" s="6">
        <f t="shared" si="1086"/>
        <v>0</v>
      </c>
      <c r="X6976" s="6">
        <f t="shared" si="1087"/>
        <v>0</v>
      </c>
      <c r="Y6976" s="13">
        <f t="shared" si="1080"/>
        <v>0</v>
      </c>
      <c r="Z6976" s="66">
        <v>0</v>
      </c>
      <c r="AA6976" s="6">
        <v>0</v>
      </c>
      <c r="AB6976" s="4">
        <f t="shared" si="1081"/>
        <v>0</v>
      </c>
      <c r="AC6976" s="6">
        <f t="shared" si="1088"/>
        <v>0</v>
      </c>
      <c r="AD6976" s="6">
        <f t="shared" si="1083"/>
        <v>0</v>
      </c>
      <c r="AE6976" s="14">
        <f>VLOOKUP(I6976,[2]媒体政策预估表!A:N,MATCH(O6976,[2]媒体政策预估表!$A$2:$M$2,0),0)</f>
        <v>0.1293</v>
      </c>
      <c r="AF6976" s="6">
        <f t="shared" si="1085"/>
        <v>0</v>
      </c>
      <c r="AG6976" s="14">
        <v>0</v>
      </c>
      <c r="AH6976" s="64">
        <f t="shared" si="1084"/>
        <v>0</v>
      </c>
      <c r="AJ6976" s="126" t="e">
        <v>#N/A</v>
      </c>
      <c r="AK6976" s="80">
        <f t="shared" si="1082"/>
        <v>0</v>
      </c>
      <c r="AL6976" s="85"/>
      <c r="AM6976" s="85"/>
    </row>
    <row r="6977" spans="1:39" s="86" customFormat="1" ht="13.25" hidden="1" customHeight="1" x14ac:dyDescent="0.3">
      <c r="A6977" s="89" t="s">
        <v>3978</v>
      </c>
      <c r="B6977" s="86" t="s">
        <v>701</v>
      </c>
      <c r="C6977" s="86" t="s">
        <v>184</v>
      </c>
      <c r="D6977" s="86" t="s">
        <v>54</v>
      </c>
      <c r="E6977" s="86" t="s">
        <v>2900</v>
      </c>
      <c r="F6977" s="86" t="s">
        <v>4006</v>
      </c>
      <c r="G6977" s="86" t="s">
        <v>2900</v>
      </c>
      <c r="H6977" s="144">
        <v>83</v>
      </c>
      <c r="I6977" s="86" t="s">
        <v>78</v>
      </c>
      <c r="J6977" s="1" t="s">
        <v>3303</v>
      </c>
      <c r="K6977" s="1" t="s">
        <v>3763</v>
      </c>
      <c r="L6977" s="1" t="s">
        <v>701</v>
      </c>
      <c r="M6977" s="86" t="s">
        <v>2900</v>
      </c>
      <c r="O6977" s="47" t="s">
        <v>410</v>
      </c>
      <c r="P6977" s="47" t="s">
        <v>41</v>
      </c>
      <c r="Q6977" s="14">
        <v>0</v>
      </c>
      <c r="R6977" s="143">
        <v>7182</v>
      </c>
      <c r="S6977" s="47"/>
      <c r="T6977" s="6">
        <v>0</v>
      </c>
      <c r="U6977" s="6">
        <v>5000</v>
      </c>
      <c r="V6977" s="6">
        <v>545.00000000000637</v>
      </c>
      <c r="W6977" s="6">
        <f t="shared" si="1086"/>
        <v>4454.9999999999936</v>
      </c>
      <c r="X6977" s="6">
        <f t="shared" si="1087"/>
        <v>545.00000000000637</v>
      </c>
      <c r="Y6977" s="13">
        <f t="shared" si="1080"/>
        <v>0</v>
      </c>
      <c r="Z6977" s="66">
        <v>0</v>
      </c>
      <c r="AA6977" s="6">
        <v>0</v>
      </c>
      <c r="AB6977" s="4">
        <f t="shared" si="1081"/>
        <v>545.00000000000637</v>
      </c>
      <c r="AC6977" s="6">
        <f t="shared" si="1088"/>
        <v>0</v>
      </c>
      <c r="AD6977" s="6">
        <f t="shared" si="1083"/>
        <v>545.00000000000637</v>
      </c>
      <c r="AE6977" s="14">
        <f>VLOOKUP(I6977,[2]媒体政策预估表!A:N,MATCH(O6977,[2]媒体政策预估表!$A$2:$M$2,0),0)</f>
        <v>0.1293</v>
      </c>
      <c r="AF6977" s="6">
        <f t="shared" si="1085"/>
        <v>70.468500000000816</v>
      </c>
      <c r="AG6977" s="14">
        <v>0</v>
      </c>
      <c r="AH6977" s="64">
        <f t="shared" si="1084"/>
        <v>545.00000000000637</v>
      </c>
      <c r="AJ6977" s="126" t="e">
        <v>#N/A</v>
      </c>
      <c r="AK6977" s="80">
        <f t="shared" si="1082"/>
        <v>0</v>
      </c>
      <c r="AL6977" s="85"/>
      <c r="AM6977" s="85"/>
    </row>
    <row r="6978" spans="1:39" s="86" customFormat="1" ht="13.25" hidden="1" customHeight="1" x14ac:dyDescent="0.3">
      <c r="A6978" s="89" t="s">
        <v>3792</v>
      </c>
      <c r="B6978" s="86" t="s">
        <v>701</v>
      </c>
      <c r="C6978" s="86" t="s">
        <v>184</v>
      </c>
      <c r="D6978" s="86" t="s">
        <v>54</v>
      </c>
      <c r="E6978" s="86" t="s">
        <v>887</v>
      </c>
      <c r="F6978" s="86" t="s">
        <v>2739</v>
      </c>
      <c r="G6978" s="86" t="s">
        <v>887</v>
      </c>
      <c r="H6978" s="144">
        <v>83</v>
      </c>
      <c r="I6978" s="86" t="s">
        <v>78</v>
      </c>
      <c r="J6978" s="1" t="s">
        <v>3303</v>
      </c>
      <c r="K6978" s="1" t="s">
        <v>3763</v>
      </c>
      <c r="L6978" s="1" t="s">
        <v>701</v>
      </c>
      <c r="M6978" s="86" t="s">
        <v>1858</v>
      </c>
      <c r="O6978" s="47" t="s">
        <v>410</v>
      </c>
      <c r="P6978" s="47" t="s">
        <v>41</v>
      </c>
      <c r="Q6978" s="14">
        <v>0</v>
      </c>
      <c r="R6978" s="143">
        <v>7127</v>
      </c>
      <c r="S6978" s="47"/>
      <c r="T6978" s="6">
        <v>48392.75999999998</v>
      </c>
      <c r="U6978" s="6">
        <v>150000</v>
      </c>
      <c r="V6978" s="6">
        <v>113397.82</v>
      </c>
      <c r="W6978" s="6">
        <f t="shared" si="1086"/>
        <v>84994.939999999973</v>
      </c>
      <c r="X6978" s="6">
        <f t="shared" si="1087"/>
        <v>113397.82</v>
      </c>
      <c r="Y6978" s="13">
        <f t="shared" si="1080"/>
        <v>0</v>
      </c>
      <c r="Z6978" s="66">
        <v>0</v>
      </c>
      <c r="AA6978" s="6">
        <v>0</v>
      </c>
      <c r="AB6978" s="4">
        <f t="shared" si="1081"/>
        <v>113397.82</v>
      </c>
      <c r="AC6978" s="6">
        <f t="shared" si="1088"/>
        <v>0</v>
      </c>
      <c r="AD6978" s="6">
        <f t="shared" si="1083"/>
        <v>113397.82</v>
      </c>
      <c r="AE6978" s="14">
        <f>VLOOKUP(I6978,[2]媒体政策预估表!A:N,MATCH(O6978,[2]媒体政策预估表!$A$2:$M$2,0),0)</f>
        <v>0.1293</v>
      </c>
      <c r="AF6978" s="6">
        <f t="shared" si="1085"/>
        <v>14662.338126000001</v>
      </c>
      <c r="AG6978" s="14">
        <v>0</v>
      </c>
      <c r="AH6978" s="64">
        <f t="shared" si="1084"/>
        <v>113397.82</v>
      </c>
      <c r="AJ6978" s="126" t="e">
        <v>#N/A</v>
      </c>
      <c r="AK6978" s="80">
        <f t="shared" si="1082"/>
        <v>0</v>
      </c>
      <c r="AL6978" s="85"/>
      <c r="AM6978" s="85"/>
    </row>
    <row r="6979" spans="1:39" s="86" customFormat="1" ht="13.25" hidden="1" customHeight="1" x14ac:dyDescent="0.3">
      <c r="A6979" s="89" t="s">
        <v>3978</v>
      </c>
      <c r="B6979" s="86" t="s">
        <v>701</v>
      </c>
      <c r="C6979" s="86" t="s">
        <v>184</v>
      </c>
      <c r="D6979" s="86" t="s">
        <v>54</v>
      </c>
      <c r="E6979" s="86" t="s">
        <v>887</v>
      </c>
      <c r="F6979" s="86" t="s">
        <v>2739</v>
      </c>
      <c r="G6979" s="86" t="s">
        <v>887</v>
      </c>
      <c r="H6979" s="144">
        <v>83</v>
      </c>
      <c r="I6979" s="86" t="s">
        <v>78</v>
      </c>
      <c r="J6979" s="1" t="s">
        <v>3303</v>
      </c>
      <c r="K6979" s="1" t="s">
        <v>3763</v>
      </c>
      <c r="L6979" s="1" t="s">
        <v>701</v>
      </c>
      <c r="M6979" s="86" t="s">
        <v>73</v>
      </c>
      <c r="O6979" s="47" t="s">
        <v>410</v>
      </c>
      <c r="P6979" s="47" t="s">
        <v>41</v>
      </c>
      <c r="Q6979" s="14">
        <v>0</v>
      </c>
      <c r="R6979" s="143">
        <v>7130</v>
      </c>
      <c r="S6979" s="47"/>
      <c r="T6979" s="6">
        <v>89637.050000000076</v>
      </c>
      <c r="U6979" s="6">
        <v>200000</v>
      </c>
      <c r="V6979" s="6">
        <v>221506.40000000002</v>
      </c>
      <c r="W6979" s="6">
        <f t="shared" si="1086"/>
        <v>68130.650000000023</v>
      </c>
      <c r="X6979" s="6">
        <f t="shared" si="1087"/>
        <v>221506.40000000002</v>
      </c>
      <c r="Y6979" s="13">
        <f t="shared" ref="Y6979:Y7042" si="1089">IF(X6979-AD6979&lt;=0,0,IF(P6979="返现",MAX(X6979-AC6979-AD6979,0),MAX(X6979-AD6979)))</f>
        <v>0</v>
      </c>
      <c r="Z6979" s="66">
        <v>0</v>
      </c>
      <c r="AA6979" s="6">
        <v>0</v>
      </c>
      <c r="AB6979" s="4">
        <f t="shared" ref="AB6979:AB7042" si="1090">X6979+AA6979</f>
        <v>221506.40000000002</v>
      </c>
      <c r="AC6979" s="6">
        <f t="shared" si="1088"/>
        <v>0</v>
      </c>
      <c r="AD6979" s="6">
        <f t="shared" si="1083"/>
        <v>221506.40000000002</v>
      </c>
      <c r="AE6979" s="14">
        <f>VLOOKUP(I6979,[2]媒体政策预估表!A:N,MATCH(O6979,[2]媒体政策预估表!$A$2:$M$2,0),0)</f>
        <v>0.1293</v>
      </c>
      <c r="AF6979" s="6">
        <f t="shared" si="1085"/>
        <v>28640.777520000003</v>
      </c>
      <c r="AG6979" s="14">
        <v>0</v>
      </c>
      <c r="AH6979" s="64">
        <f t="shared" si="1084"/>
        <v>221506.40000000002</v>
      </c>
      <c r="AJ6979" s="126" t="e">
        <v>#N/A</v>
      </c>
      <c r="AK6979" s="80">
        <f t="shared" ref="AK6979:AK7042" si="1091">X6979+AA6979-AB6979</f>
        <v>0</v>
      </c>
      <c r="AL6979" s="85"/>
      <c r="AM6979" s="85"/>
    </row>
    <row r="6980" spans="1:39" s="86" customFormat="1" ht="13.25" hidden="1" customHeight="1" x14ac:dyDescent="0.3">
      <c r="A6980" s="89" t="s">
        <v>3978</v>
      </c>
      <c r="B6980" s="86" t="s">
        <v>701</v>
      </c>
      <c r="C6980" s="86" t="s">
        <v>184</v>
      </c>
      <c r="D6980" s="86" t="s">
        <v>54</v>
      </c>
      <c r="E6980" s="86" t="s">
        <v>2740</v>
      </c>
      <c r="F6980" s="86" t="s">
        <v>2740</v>
      </c>
      <c r="G6980" s="86" t="s">
        <v>2740</v>
      </c>
      <c r="H6980" s="144">
        <v>83</v>
      </c>
      <c r="I6980" s="86" t="s">
        <v>78</v>
      </c>
      <c r="J6980" s="1" t="s">
        <v>3303</v>
      </c>
      <c r="K6980" s="1" t="s">
        <v>3763</v>
      </c>
      <c r="L6980" s="1" t="s">
        <v>701</v>
      </c>
      <c r="M6980" s="86" t="s">
        <v>2741</v>
      </c>
      <c r="O6980" s="47" t="s">
        <v>410</v>
      </c>
      <c r="P6980" s="47" t="s">
        <v>41</v>
      </c>
      <c r="Q6980" s="14">
        <v>0</v>
      </c>
      <c r="R6980" s="143">
        <v>7120</v>
      </c>
      <c r="S6980" s="47"/>
      <c r="T6980" s="6">
        <v>20862.059999999998</v>
      </c>
      <c r="U6980" s="6">
        <v>20000</v>
      </c>
      <c r="V6980" s="6">
        <v>13342.9</v>
      </c>
      <c r="W6980" s="6">
        <f t="shared" si="1086"/>
        <v>27519.159999999996</v>
      </c>
      <c r="X6980" s="6">
        <f t="shared" si="1087"/>
        <v>13342.9</v>
      </c>
      <c r="Y6980" s="13">
        <f t="shared" si="1089"/>
        <v>0</v>
      </c>
      <c r="Z6980" s="66">
        <v>0</v>
      </c>
      <c r="AA6980" s="6">
        <v>0</v>
      </c>
      <c r="AB6980" s="4">
        <f t="shared" si="1090"/>
        <v>13342.9</v>
      </c>
      <c r="AC6980" s="6">
        <f t="shared" si="1088"/>
        <v>0</v>
      </c>
      <c r="AD6980" s="6">
        <f t="shared" si="1083"/>
        <v>13342.9</v>
      </c>
      <c r="AE6980" s="14">
        <f>VLOOKUP(I6980,[2]媒体政策预估表!A:N,MATCH(O6980,[2]媒体政策预估表!$A$2:$M$2,0),0)</f>
        <v>0.1293</v>
      </c>
      <c r="AF6980" s="6">
        <f t="shared" si="1085"/>
        <v>1725.2369699999999</v>
      </c>
      <c r="AG6980" s="14">
        <v>0</v>
      </c>
      <c r="AH6980" s="64">
        <f t="shared" si="1084"/>
        <v>13342.9</v>
      </c>
      <c r="AJ6980" s="126" t="e">
        <v>#N/A</v>
      </c>
      <c r="AK6980" s="80">
        <f t="shared" si="1091"/>
        <v>0</v>
      </c>
      <c r="AL6980" s="85"/>
      <c r="AM6980" s="85"/>
    </row>
    <row r="6981" spans="1:39" s="86" customFormat="1" ht="13.25" hidden="1" customHeight="1" x14ac:dyDescent="0.3">
      <c r="A6981" s="89" t="s">
        <v>3978</v>
      </c>
      <c r="B6981" s="86" t="s">
        <v>701</v>
      </c>
      <c r="C6981" s="86" t="s">
        <v>184</v>
      </c>
      <c r="D6981" s="86" t="s">
        <v>54</v>
      </c>
      <c r="E6981" s="86" t="s">
        <v>2743</v>
      </c>
      <c r="F6981" s="86" t="s">
        <v>2743</v>
      </c>
      <c r="G6981" s="86" t="s">
        <v>2743</v>
      </c>
      <c r="H6981" s="144">
        <v>83</v>
      </c>
      <c r="I6981" s="86" t="s">
        <v>78</v>
      </c>
      <c r="J6981" s="1" t="s">
        <v>3303</v>
      </c>
      <c r="K6981" s="1" t="s">
        <v>3763</v>
      </c>
      <c r="L6981" s="1" t="s">
        <v>701</v>
      </c>
      <c r="M6981" s="86" t="s">
        <v>2744</v>
      </c>
      <c r="O6981" s="47" t="s">
        <v>410</v>
      </c>
      <c r="P6981" s="47" t="s">
        <v>41</v>
      </c>
      <c r="Q6981" s="14">
        <v>0</v>
      </c>
      <c r="R6981" s="143">
        <v>7165</v>
      </c>
      <c r="S6981" s="47"/>
      <c r="T6981" s="6">
        <v>9957.7999999999884</v>
      </c>
      <c r="U6981" s="6">
        <v>160000</v>
      </c>
      <c r="V6981" s="6">
        <v>86098.1</v>
      </c>
      <c r="W6981" s="6">
        <f t="shared" si="1086"/>
        <v>83859.699999999983</v>
      </c>
      <c r="X6981" s="6">
        <f t="shared" si="1087"/>
        <v>86098.1</v>
      </c>
      <c r="Y6981" s="13">
        <f t="shared" si="1089"/>
        <v>0</v>
      </c>
      <c r="Z6981" s="66">
        <v>0</v>
      </c>
      <c r="AA6981" s="6">
        <v>0</v>
      </c>
      <c r="AB6981" s="4">
        <f t="shared" si="1090"/>
        <v>86098.1</v>
      </c>
      <c r="AC6981" s="6">
        <f t="shared" si="1088"/>
        <v>0</v>
      </c>
      <c r="AD6981" s="6">
        <f t="shared" si="1083"/>
        <v>86098.1</v>
      </c>
      <c r="AE6981" s="14">
        <f>VLOOKUP(I6981,[2]媒体政策预估表!A:N,MATCH(O6981,[2]媒体政策预估表!$A$2:$M$2,0),0)</f>
        <v>0.1293</v>
      </c>
      <c r="AF6981" s="6">
        <f t="shared" si="1085"/>
        <v>11132.484330000001</v>
      </c>
      <c r="AG6981" s="14">
        <v>0</v>
      </c>
      <c r="AH6981" s="64">
        <f t="shared" si="1084"/>
        <v>86098.1</v>
      </c>
      <c r="AJ6981" s="126" t="e">
        <v>#N/A</v>
      </c>
      <c r="AK6981" s="80">
        <f t="shared" si="1091"/>
        <v>0</v>
      </c>
      <c r="AL6981" s="85"/>
      <c r="AM6981" s="85"/>
    </row>
    <row r="6982" spans="1:39" s="86" customFormat="1" ht="13.25" hidden="1" customHeight="1" x14ac:dyDescent="0.3">
      <c r="A6982" s="89" t="s">
        <v>3792</v>
      </c>
      <c r="B6982" s="86" t="s">
        <v>701</v>
      </c>
      <c r="C6982" s="86" t="s">
        <v>184</v>
      </c>
      <c r="D6982" s="86" t="s">
        <v>54</v>
      </c>
      <c r="E6982" s="86" t="s">
        <v>2745</v>
      </c>
      <c r="F6982" s="86" t="s">
        <v>2745</v>
      </c>
      <c r="G6982" s="86" t="s">
        <v>2745</v>
      </c>
      <c r="H6982" s="144">
        <v>83</v>
      </c>
      <c r="I6982" s="86" t="s">
        <v>78</v>
      </c>
      <c r="J6982" s="1" t="s">
        <v>3303</v>
      </c>
      <c r="K6982" s="1" t="s">
        <v>3763</v>
      </c>
      <c r="L6982" s="1" t="s">
        <v>701</v>
      </c>
      <c r="M6982" s="86" t="s">
        <v>2746</v>
      </c>
      <c r="O6982" s="47" t="s">
        <v>410</v>
      </c>
      <c r="P6982" s="47" t="s">
        <v>46</v>
      </c>
      <c r="Q6982" s="14">
        <v>0.03</v>
      </c>
      <c r="R6982" s="143">
        <v>7155</v>
      </c>
      <c r="S6982" s="47"/>
      <c r="T6982" s="6">
        <v>6790.7002999999968</v>
      </c>
      <c r="U6982" s="6">
        <v>50000</v>
      </c>
      <c r="V6982" s="6">
        <v>51940.6</v>
      </c>
      <c r="W6982" s="6">
        <f t="shared" si="1086"/>
        <v>4850.1002999999982</v>
      </c>
      <c r="X6982" s="6">
        <f t="shared" si="1087"/>
        <v>50427.76699029126</v>
      </c>
      <c r="Y6982" s="13">
        <f t="shared" si="1089"/>
        <v>0</v>
      </c>
      <c r="Z6982" s="66">
        <v>0</v>
      </c>
      <c r="AA6982" s="6">
        <v>0</v>
      </c>
      <c r="AB6982" s="4">
        <f t="shared" si="1090"/>
        <v>50427.76699029126</v>
      </c>
      <c r="AC6982" s="6">
        <f t="shared" si="1088"/>
        <v>1512.8330097087382</v>
      </c>
      <c r="AD6982" s="6">
        <f t="shared" si="1083"/>
        <v>51940.6</v>
      </c>
      <c r="AE6982" s="14">
        <f>VLOOKUP(I6982,[2]媒体政策预估表!A:N,MATCH(O6982,[2]媒体政策预估表!$A$2:$M$2,0),0)</f>
        <v>0.1293</v>
      </c>
      <c r="AF6982" s="6">
        <f t="shared" si="1085"/>
        <v>6715.9195799999998</v>
      </c>
      <c r="AG6982" s="14">
        <v>0</v>
      </c>
      <c r="AH6982" s="64">
        <f t="shared" si="1084"/>
        <v>51940.6</v>
      </c>
      <c r="AJ6982" s="126" t="e">
        <v>#N/A</v>
      </c>
      <c r="AK6982" s="80">
        <f t="shared" si="1091"/>
        <v>0</v>
      </c>
      <c r="AL6982" s="85"/>
      <c r="AM6982" s="85"/>
    </row>
    <row r="6983" spans="1:39" s="86" customFormat="1" ht="13.25" hidden="1" customHeight="1" x14ac:dyDescent="0.3">
      <c r="A6983" s="89" t="s">
        <v>3792</v>
      </c>
      <c r="B6983" s="86" t="s">
        <v>701</v>
      </c>
      <c r="C6983" s="86" t="s">
        <v>184</v>
      </c>
      <c r="D6983" s="86" t="s">
        <v>54</v>
      </c>
      <c r="E6983" s="86" t="s">
        <v>2843</v>
      </c>
      <c r="F6983" s="86" t="s">
        <v>2843</v>
      </c>
      <c r="G6983" s="86" t="s">
        <v>2843</v>
      </c>
      <c r="H6983" s="144">
        <v>83</v>
      </c>
      <c r="I6983" s="86" t="s">
        <v>78</v>
      </c>
      <c r="J6983" s="1" t="s">
        <v>3303</v>
      </c>
      <c r="K6983" s="1" t="s">
        <v>3763</v>
      </c>
      <c r="L6983" s="1" t="s">
        <v>701</v>
      </c>
      <c r="M6983" s="86" t="s">
        <v>2844</v>
      </c>
      <c r="O6983" s="47" t="s">
        <v>410</v>
      </c>
      <c r="P6983" s="47" t="s">
        <v>41</v>
      </c>
      <c r="Q6983" s="14">
        <v>0</v>
      </c>
      <c r="R6983" s="143">
        <v>7126</v>
      </c>
      <c r="S6983" s="47"/>
      <c r="T6983" s="6">
        <v>17908.59</v>
      </c>
      <c r="U6983" s="6">
        <v>10000</v>
      </c>
      <c r="V6983" s="6">
        <v>20064.939999999999</v>
      </c>
      <c r="W6983" s="6">
        <f t="shared" si="1086"/>
        <v>7843.6500000000015</v>
      </c>
      <c r="X6983" s="6">
        <f t="shared" si="1087"/>
        <v>20064.939999999999</v>
      </c>
      <c r="Y6983" s="13">
        <f t="shared" si="1089"/>
        <v>0</v>
      </c>
      <c r="Z6983" s="66">
        <v>0</v>
      </c>
      <c r="AA6983" s="6">
        <v>0</v>
      </c>
      <c r="AB6983" s="4">
        <f t="shared" si="1090"/>
        <v>20064.939999999999</v>
      </c>
      <c r="AC6983" s="6">
        <f t="shared" si="1088"/>
        <v>0</v>
      </c>
      <c r="AD6983" s="6">
        <f t="shared" si="1083"/>
        <v>20064.939999999999</v>
      </c>
      <c r="AE6983" s="14">
        <f>VLOOKUP(I6983,[2]媒体政策预估表!A:N,MATCH(O6983,[2]媒体政策预估表!$A$2:$M$2,0),0)</f>
        <v>0.1293</v>
      </c>
      <c r="AF6983" s="6">
        <f t="shared" si="1085"/>
        <v>2594.3967419999999</v>
      </c>
      <c r="AG6983" s="14">
        <v>0</v>
      </c>
      <c r="AH6983" s="64">
        <f t="shared" si="1084"/>
        <v>20064.939999999999</v>
      </c>
      <c r="AJ6983" s="126" t="e">
        <v>#N/A</v>
      </c>
      <c r="AK6983" s="80">
        <f t="shared" si="1091"/>
        <v>0</v>
      </c>
      <c r="AL6983" s="85"/>
      <c r="AM6983" s="85"/>
    </row>
    <row r="6984" spans="1:39" s="86" customFormat="1" ht="13.25" hidden="1" customHeight="1" x14ac:dyDescent="0.3">
      <c r="A6984" s="89" t="s">
        <v>3792</v>
      </c>
      <c r="B6984" s="86" t="s">
        <v>701</v>
      </c>
      <c r="C6984" s="86" t="s">
        <v>184</v>
      </c>
      <c r="D6984" s="86" t="s">
        <v>54</v>
      </c>
      <c r="E6984" s="86" t="s">
        <v>2843</v>
      </c>
      <c r="F6984" s="86" t="s">
        <v>2843</v>
      </c>
      <c r="G6984" s="86" t="s">
        <v>2843</v>
      </c>
      <c r="H6984" s="144">
        <v>83</v>
      </c>
      <c r="I6984" s="86" t="s">
        <v>78</v>
      </c>
      <c r="J6984" s="1" t="s">
        <v>3303</v>
      </c>
      <c r="K6984" s="1" t="s">
        <v>3763</v>
      </c>
      <c r="L6984" s="1" t="s">
        <v>701</v>
      </c>
      <c r="M6984" s="86" t="s">
        <v>3402</v>
      </c>
      <c r="O6984" s="47" t="s">
        <v>410</v>
      </c>
      <c r="P6984" s="47" t="s">
        <v>41</v>
      </c>
      <c r="Q6984" s="14">
        <v>0</v>
      </c>
      <c r="R6984" s="143">
        <v>7664</v>
      </c>
      <c r="S6984" s="47"/>
      <c r="T6984" s="6">
        <v>23908.240000000002</v>
      </c>
      <c r="U6984" s="6">
        <v>40000</v>
      </c>
      <c r="V6984" s="6">
        <v>50716.98</v>
      </c>
      <c r="W6984" s="6">
        <f t="shared" si="1086"/>
        <v>13191.260000000002</v>
      </c>
      <c r="X6984" s="6">
        <f t="shared" si="1087"/>
        <v>50716.98</v>
      </c>
      <c r="Y6984" s="13">
        <f t="shared" si="1089"/>
        <v>0</v>
      </c>
      <c r="Z6984" s="66">
        <v>0</v>
      </c>
      <c r="AA6984" s="6">
        <v>0</v>
      </c>
      <c r="AB6984" s="4">
        <f t="shared" si="1090"/>
        <v>50716.98</v>
      </c>
      <c r="AC6984" s="6">
        <f t="shared" si="1088"/>
        <v>0</v>
      </c>
      <c r="AD6984" s="6">
        <f t="shared" si="1083"/>
        <v>50716.98</v>
      </c>
      <c r="AE6984" s="14">
        <f>VLOOKUP(I6984,[2]媒体政策预估表!A:N,MATCH(O6984,[2]媒体政策预估表!$A$2:$M$2,0),0)</f>
        <v>0.1293</v>
      </c>
      <c r="AF6984" s="6">
        <f t="shared" si="1085"/>
        <v>6557.7055140000002</v>
      </c>
      <c r="AG6984" s="14">
        <v>0</v>
      </c>
      <c r="AH6984" s="64">
        <f t="shared" si="1084"/>
        <v>50716.98</v>
      </c>
      <c r="AJ6984" s="126" t="e">
        <v>#N/A</v>
      </c>
      <c r="AK6984" s="80">
        <f t="shared" si="1091"/>
        <v>0</v>
      </c>
      <c r="AL6984" s="85"/>
      <c r="AM6984" s="85"/>
    </row>
    <row r="6985" spans="1:39" s="86" customFormat="1" ht="13.25" hidden="1" customHeight="1" x14ac:dyDescent="0.3">
      <c r="A6985" s="89" t="s">
        <v>3978</v>
      </c>
      <c r="B6985" s="86" t="s">
        <v>701</v>
      </c>
      <c r="C6985" s="86" t="s">
        <v>184</v>
      </c>
      <c r="D6985" s="86" t="s">
        <v>54</v>
      </c>
      <c r="E6985" s="86" t="s">
        <v>2843</v>
      </c>
      <c r="F6985" s="86" t="s">
        <v>2843</v>
      </c>
      <c r="G6985" s="86" t="s">
        <v>2843</v>
      </c>
      <c r="H6985" s="144">
        <v>83</v>
      </c>
      <c r="I6985" s="86" t="s">
        <v>78</v>
      </c>
      <c r="J6985" s="1" t="s">
        <v>3303</v>
      </c>
      <c r="K6985" s="1" t="s">
        <v>3763</v>
      </c>
      <c r="L6985" s="1" t="s">
        <v>701</v>
      </c>
      <c r="M6985" s="86" t="s">
        <v>2845</v>
      </c>
      <c r="O6985" s="47" t="s">
        <v>410</v>
      </c>
      <c r="P6985" s="47" t="s">
        <v>41</v>
      </c>
      <c r="Q6985" s="14">
        <v>0</v>
      </c>
      <c r="R6985" s="143">
        <v>7244</v>
      </c>
      <c r="S6985" s="47"/>
      <c r="T6985" s="6">
        <v>15424.230100000004</v>
      </c>
      <c r="U6985" s="6">
        <v>50000</v>
      </c>
      <c r="V6985" s="6">
        <v>38803.519999999997</v>
      </c>
      <c r="W6985" s="6">
        <f t="shared" si="1086"/>
        <v>26620.710100000004</v>
      </c>
      <c r="X6985" s="6">
        <f t="shared" si="1087"/>
        <v>38803.519999999997</v>
      </c>
      <c r="Y6985" s="13">
        <f t="shared" si="1089"/>
        <v>0</v>
      </c>
      <c r="Z6985" s="66">
        <v>0</v>
      </c>
      <c r="AA6985" s="6">
        <v>0</v>
      </c>
      <c r="AB6985" s="4">
        <f t="shared" si="1090"/>
        <v>38803.519999999997</v>
      </c>
      <c r="AC6985" s="6">
        <f t="shared" si="1088"/>
        <v>0</v>
      </c>
      <c r="AD6985" s="6">
        <f t="shared" si="1083"/>
        <v>38803.519999999997</v>
      </c>
      <c r="AE6985" s="14">
        <f>VLOOKUP(I6985,[2]媒体政策预估表!A:N,MATCH(O6985,[2]媒体政策预估表!$A$2:$M$2,0),0)</f>
        <v>0.1293</v>
      </c>
      <c r="AF6985" s="6">
        <f t="shared" si="1085"/>
        <v>5017.2951359999997</v>
      </c>
      <c r="AG6985" s="14">
        <v>0</v>
      </c>
      <c r="AH6985" s="64">
        <f t="shared" si="1084"/>
        <v>38803.519999999997</v>
      </c>
      <c r="AJ6985" s="126" t="e">
        <v>#N/A</v>
      </c>
      <c r="AK6985" s="80">
        <f t="shared" si="1091"/>
        <v>0</v>
      </c>
      <c r="AL6985" s="85"/>
      <c r="AM6985" s="85"/>
    </row>
    <row r="6986" spans="1:39" s="86" customFormat="1" ht="13.25" hidden="1" customHeight="1" x14ac:dyDescent="0.3">
      <c r="A6986" s="89" t="s">
        <v>3978</v>
      </c>
      <c r="B6986" s="86" t="s">
        <v>701</v>
      </c>
      <c r="C6986" s="86" t="s">
        <v>184</v>
      </c>
      <c r="D6986" s="86" t="s">
        <v>54</v>
      </c>
      <c r="E6986" s="86" t="s">
        <v>2846</v>
      </c>
      <c r="F6986" s="86" t="s">
        <v>2846</v>
      </c>
      <c r="G6986" s="86" t="s">
        <v>2846</v>
      </c>
      <c r="H6986" s="144">
        <v>83</v>
      </c>
      <c r="I6986" s="86" t="s">
        <v>78</v>
      </c>
      <c r="J6986" s="1" t="s">
        <v>3303</v>
      </c>
      <c r="K6986" s="1" t="s">
        <v>3763</v>
      </c>
      <c r="L6986" s="1" t="s">
        <v>701</v>
      </c>
      <c r="M6986" s="86" t="s">
        <v>2846</v>
      </c>
      <c r="O6986" s="47" t="s">
        <v>410</v>
      </c>
      <c r="P6986" s="47" t="s">
        <v>46</v>
      </c>
      <c r="Q6986" s="14">
        <v>0.02</v>
      </c>
      <c r="R6986" s="143">
        <v>7119</v>
      </c>
      <c r="S6986" s="47"/>
      <c r="T6986" s="6">
        <v>0</v>
      </c>
      <c r="U6986" s="6">
        <v>90000</v>
      </c>
      <c r="V6986" s="6">
        <v>29074.2</v>
      </c>
      <c r="W6986" s="6">
        <f t="shared" si="1086"/>
        <v>60925.8</v>
      </c>
      <c r="X6986" s="6">
        <f t="shared" si="1087"/>
        <v>28504.117647058825</v>
      </c>
      <c r="Y6986" s="13">
        <f t="shared" si="1089"/>
        <v>0</v>
      </c>
      <c r="Z6986" s="66">
        <v>0</v>
      </c>
      <c r="AA6986" s="6">
        <v>0</v>
      </c>
      <c r="AB6986" s="4">
        <f t="shared" si="1090"/>
        <v>28504.117647058825</v>
      </c>
      <c r="AC6986" s="6">
        <f t="shared" si="1088"/>
        <v>570.08235294117549</v>
      </c>
      <c r="AD6986" s="6">
        <f t="shared" si="1083"/>
        <v>29074.2</v>
      </c>
      <c r="AE6986" s="14">
        <f>VLOOKUP(I6986,[2]媒体政策预估表!A:N,MATCH(O6986,[2]媒体政策预估表!$A$2:$M$2,0),0)</f>
        <v>0.1293</v>
      </c>
      <c r="AF6986" s="6">
        <f t="shared" si="1085"/>
        <v>3759.2940600000002</v>
      </c>
      <c r="AG6986" s="14">
        <v>0</v>
      </c>
      <c r="AH6986" s="64">
        <f t="shared" si="1084"/>
        <v>29074.2</v>
      </c>
      <c r="AJ6986" s="126" t="e">
        <v>#N/A</v>
      </c>
      <c r="AK6986" s="80">
        <f t="shared" si="1091"/>
        <v>0</v>
      </c>
      <c r="AL6986" s="85"/>
      <c r="AM6986" s="85"/>
    </row>
    <row r="6987" spans="1:39" s="86" customFormat="1" ht="13.25" hidden="1" customHeight="1" x14ac:dyDescent="0.3">
      <c r="A6987" s="89" t="s">
        <v>3978</v>
      </c>
      <c r="B6987" s="86" t="s">
        <v>701</v>
      </c>
      <c r="C6987" s="86" t="s">
        <v>184</v>
      </c>
      <c r="D6987" s="86" t="s">
        <v>54</v>
      </c>
      <c r="E6987" s="86" t="s">
        <v>2846</v>
      </c>
      <c r="F6987" s="86" t="s">
        <v>2846</v>
      </c>
      <c r="G6987" s="86" t="s">
        <v>2846</v>
      </c>
      <c r="H6987" s="144">
        <v>83</v>
      </c>
      <c r="I6987" s="86" t="s">
        <v>78</v>
      </c>
      <c r="J6987" s="1" t="s">
        <v>3303</v>
      </c>
      <c r="K6987" s="1" t="s">
        <v>3763</v>
      </c>
      <c r="L6987" s="1" t="s">
        <v>701</v>
      </c>
      <c r="M6987" s="86" t="s">
        <v>2847</v>
      </c>
      <c r="O6987" s="47" t="s">
        <v>410</v>
      </c>
      <c r="P6987" s="47" t="s">
        <v>46</v>
      </c>
      <c r="Q6987" s="14">
        <v>0.02</v>
      </c>
      <c r="R6987" s="143">
        <v>7166</v>
      </c>
      <c r="S6987" s="47"/>
      <c r="T6987" s="6">
        <v>0</v>
      </c>
      <c r="U6987" s="6">
        <v>50000</v>
      </c>
      <c r="V6987" s="6">
        <v>38198.800000000003</v>
      </c>
      <c r="W6987" s="6">
        <f t="shared" si="1086"/>
        <v>11801.199999999997</v>
      </c>
      <c r="X6987" s="6">
        <f t="shared" si="1087"/>
        <v>37449.803921568629</v>
      </c>
      <c r="Y6987" s="13">
        <f t="shared" si="1089"/>
        <v>0</v>
      </c>
      <c r="Z6987" s="66">
        <v>0</v>
      </c>
      <c r="AA6987" s="6">
        <v>0</v>
      </c>
      <c r="AB6987" s="4">
        <f t="shared" si="1090"/>
        <v>37449.803921568629</v>
      </c>
      <c r="AC6987" s="6">
        <f t="shared" si="1088"/>
        <v>748.99607843137346</v>
      </c>
      <c r="AD6987" s="6">
        <f t="shared" si="1083"/>
        <v>38198.800000000003</v>
      </c>
      <c r="AE6987" s="14">
        <f>VLOOKUP(I6987,[2]媒体政策预估表!A:N,MATCH(O6987,[2]媒体政策预估表!$A$2:$M$2,0),0)</f>
        <v>0.1293</v>
      </c>
      <c r="AF6987" s="6">
        <f t="shared" si="1085"/>
        <v>4939.10484</v>
      </c>
      <c r="AG6987" s="14">
        <v>0</v>
      </c>
      <c r="AH6987" s="64">
        <f t="shared" si="1084"/>
        <v>38198.800000000003</v>
      </c>
      <c r="AJ6987" s="126" t="e">
        <v>#N/A</v>
      </c>
      <c r="AK6987" s="80">
        <f t="shared" si="1091"/>
        <v>0</v>
      </c>
      <c r="AL6987" s="85"/>
      <c r="AM6987" s="85"/>
    </row>
    <row r="6988" spans="1:39" s="86" customFormat="1" ht="13.25" hidden="1" customHeight="1" x14ac:dyDescent="0.3">
      <c r="A6988" s="89" t="s">
        <v>3978</v>
      </c>
      <c r="B6988" s="86" t="s">
        <v>701</v>
      </c>
      <c r="C6988" s="86" t="s">
        <v>184</v>
      </c>
      <c r="D6988" s="86" t="s">
        <v>54</v>
      </c>
      <c r="E6988" s="86" t="s">
        <v>2846</v>
      </c>
      <c r="F6988" s="86" t="s">
        <v>2846</v>
      </c>
      <c r="G6988" s="86" t="s">
        <v>2846</v>
      </c>
      <c r="H6988" s="144">
        <v>83</v>
      </c>
      <c r="I6988" s="86" t="s">
        <v>78</v>
      </c>
      <c r="J6988" s="1" t="s">
        <v>3303</v>
      </c>
      <c r="K6988" s="1" t="s">
        <v>3763</v>
      </c>
      <c r="L6988" s="1" t="s">
        <v>701</v>
      </c>
      <c r="M6988" s="86" t="s">
        <v>2889</v>
      </c>
      <c r="O6988" s="47" t="s">
        <v>410</v>
      </c>
      <c r="P6988" s="47" t="s">
        <v>46</v>
      </c>
      <c r="Q6988" s="14">
        <v>0.02</v>
      </c>
      <c r="R6988" s="143">
        <v>7435</v>
      </c>
      <c r="S6988" s="47"/>
      <c r="T6988" s="6">
        <v>7026.8000000000011</v>
      </c>
      <c r="U6988" s="6">
        <v>20000</v>
      </c>
      <c r="V6988" s="6">
        <v>6986.7</v>
      </c>
      <c r="W6988" s="6">
        <f t="shared" si="1086"/>
        <v>20040.100000000002</v>
      </c>
      <c r="X6988" s="6">
        <f t="shared" si="1087"/>
        <v>6849.7058823529405</v>
      </c>
      <c r="Y6988" s="13">
        <f t="shared" si="1089"/>
        <v>0</v>
      </c>
      <c r="Z6988" s="66">
        <v>0</v>
      </c>
      <c r="AA6988" s="6">
        <v>0</v>
      </c>
      <c r="AB6988" s="4">
        <f t="shared" si="1090"/>
        <v>6849.7058823529405</v>
      </c>
      <c r="AC6988" s="6">
        <f t="shared" si="1088"/>
        <v>136.99411764705928</v>
      </c>
      <c r="AD6988" s="6">
        <f t="shared" si="1083"/>
        <v>6986.7</v>
      </c>
      <c r="AE6988" s="14">
        <f>VLOOKUP(I6988,[2]媒体政策预估表!A:N,MATCH(O6988,[2]媒体政策预估表!$A$2:$M$2,0),0)</f>
        <v>0.1293</v>
      </c>
      <c r="AF6988" s="6">
        <f t="shared" si="1085"/>
        <v>903.38031000000001</v>
      </c>
      <c r="AG6988" s="14">
        <v>0</v>
      </c>
      <c r="AH6988" s="64">
        <f t="shared" si="1084"/>
        <v>6986.7</v>
      </c>
      <c r="AJ6988" s="126" t="e">
        <v>#N/A</v>
      </c>
      <c r="AK6988" s="80">
        <f t="shared" si="1091"/>
        <v>0</v>
      </c>
      <c r="AL6988" s="85"/>
      <c r="AM6988" s="85"/>
    </row>
    <row r="6989" spans="1:39" s="86" customFormat="1" ht="13.25" hidden="1" customHeight="1" x14ac:dyDescent="0.3">
      <c r="A6989" s="89" t="s">
        <v>3978</v>
      </c>
      <c r="B6989" s="86" t="s">
        <v>701</v>
      </c>
      <c r="C6989" s="86" t="s">
        <v>184</v>
      </c>
      <c r="D6989" s="86" t="s">
        <v>3849</v>
      </c>
      <c r="E6989" s="86" t="s">
        <v>2785</v>
      </c>
      <c r="F6989" s="86" t="s">
        <v>2785</v>
      </c>
      <c r="G6989" s="86" t="s">
        <v>2785</v>
      </c>
      <c r="H6989" s="144">
        <v>83</v>
      </c>
      <c r="I6989" s="86" t="s">
        <v>78</v>
      </c>
      <c r="J6989" s="1" t="s">
        <v>3303</v>
      </c>
      <c r="K6989" s="1" t="s">
        <v>3763</v>
      </c>
      <c r="L6989" s="1" t="s">
        <v>701</v>
      </c>
      <c r="M6989" s="86" t="s">
        <v>2786</v>
      </c>
      <c r="O6989" s="47" t="s">
        <v>410</v>
      </c>
      <c r="P6989" s="47" t="s">
        <v>46</v>
      </c>
      <c r="Q6989" s="14">
        <v>0.01</v>
      </c>
      <c r="R6989" s="143">
        <v>7272</v>
      </c>
      <c r="S6989" s="47"/>
      <c r="T6989" s="6">
        <v>17314.479999999974</v>
      </c>
      <c r="U6989" s="6">
        <v>20000</v>
      </c>
      <c r="V6989" s="6">
        <v>25152.760000000002</v>
      </c>
      <c r="W6989" s="6">
        <f t="shared" si="1086"/>
        <v>12161.719999999972</v>
      </c>
      <c r="X6989" s="6">
        <f t="shared" si="1087"/>
        <v>24903.72277227723</v>
      </c>
      <c r="Y6989" s="13">
        <f t="shared" si="1089"/>
        <v>0</v>
      </c>
      <c r="Z6989" s="66">
        <v>0</v>
      </c>
      <c r="AA6989" s="6">
        <v>0</v>
      </c>
      <c r="AB6989" s="4">
        <f t="shared" si="1090"/>
        <v>24903.72277227723</v>
      </c>
      <c r="AC6989" s="6">
        <f t="shared" si="1088"/>
        <v>249.03722772277251</v>
      </c>
      <c r="AD6989" s="6">
        <f t="shared" si="1083"/>
        <v>25152.760000000002</v>
      </c>
      <c r="AE6989" s="14">
        <f>VLOOKUP(I6989,[2]媒体政策预估表!A:N,MATCH(O6989,[2]媒体政策预估表!$A$2:$M$2,0),0)</f>
        <v>0.1293</v>
      </c>
      <c r="AF6989" s="6">
        <f t="shared" si="1085"/>
        <v>3252.2518680000003</v>
      </c>
      <c r="AG6989" s="14">
        <v>0</v>
      </c>
      <c r="AH6989" s="64">
        <f t="shared" si="1084"/>
        <v>25152.760000000002</v>
      </c>
      <c r="AJ6989" s="126" t="e">
        <v>#N/A</v>
      </c>
      <c r="AK6989" s="80">
        <f t="shared" si="1091"/>
        <v>0</v>
      </c>
      <c r="AL6989" s="85"/>
      <c r="AM6989" s="85"/>
    </row>
    <row r="6990" spans="1:39" s="86" customFormat="1" ht="13.25" hidden="1" customHeight="1" x14ac:dyDescent="0.3">
      <c r="A6990" s="89" t="s">
        <v>3792</v>
      </c>
      <c r="B6990" s="86" t="s">
        <v>35</v>
      </c>
      <c r="C6990" s="86" t="s">
        <v>184</v>
      </c>
      <c r="D6990" s="86" t="s">
        <v>3849</v>
      </c>
      <c r="E6990" s="86" t="s">
        <v>542</v>
      </c>
      <c r="F6990" s="86" t="s">
        <v>2707</v>
      </c>
      <c r="G6990" s="86" t="s">
        <v>1845</v>
      </c>
      <c r="H6990" s="144">
        <v>83</v>
      </c>
      <c r="I6990" s="86" t="s">
        <v>78</v>
      </c>
      <c r="J6990" s="1" t="s">
        <v>3303</v>
      </c>
      <c r="K6990" s="1" t="s">
        <v>3763</v>
      </c>
      <c r="L6990" s="1" t="s">
        <v>701</v>
      </c>
      <c r="M6990" s="86" t="s">
        <v>2708</v>
      </c>
      <c r="O6990" s="47" t="s">
        <v>410</v>
      </c>
      <c r="P6990" s="14" t="s">
        <v>46</v>
      </c>
      <c r="Q6990" s="14">
        <v>0.02</v>
      </c>
      <c r="R6990" s="143">
        <v>7148</v>
      </c>
      <c r="S6990" s="47"/>
      <c r="T6990" s="6">
        <v>35586.069999999985</v>
      </c>
      <c r="U6990" s="6"/>
      <c r="V6990" s="6">
        <v>29562.260000000002</v>
      </c>
      <c r="W6990" s="6">
        <f t="shared" si="1086"/>
        <v>6023.8099999999831</v>
      </c>
      <c r="X6990" s="6">
        <f t="shared" si="1087"/>
        <v>28982.607843137255</v>
      </c>
      <c r="Y6990" s="13">
        <f t="shared" si="1089"/>
        <v>0</v>
      </c>
      <c r="Z6990" s="14">
        <v>0</v>
      </c>
      <c r="AA6990" s="6">
        <v>0</v>
      </c>
      <c r="AB6990" s="4">
        <f t="shared" si="1090"/>
        <v>28982.607843137255</v>
      </c>
      <c r="AC6990" s="6">
        <f t="shared" si="1088"/>
        <v>579.65215686274678</v>
      </c>
      <c r="AD6990" s="6">
        <f t="shared" si="1083"/>
        <v>29562.260000000002</v>
      </c>
      <c r="AE6990" s="14">
        <f>VLOOKUP(I6990,[2]媒体政策预估表!A:N,MATCH(O6990,[2]媒体政策预估表!$A$2:$M$2,0),0)</f>
        <v>0.1293</v>
      </c>
      <c r="AF6990" s="6">
        <f t="shared" si="1085"/>
        <v>3822.4002180000002</v>
      </c>
      <c r="AG6990" s="14">
        <v>0</v>
      </c>
      <c r="AH6990" s="64">
        <f t="shared" si="1084"/>
        <v>29562.260000000002</v>
      </c>
      <c r="AJ6990" s="126" t="e">
        <v>#N/A</v>
      </c>
      <c r="AK6990" s="80">
        <f t="shared" si="1091"/>
        <v>0</v>
      </c>
      <c r="AL6990" s="85"/>
      <c r="AM6990" s="85"/>
    </row>
    <row r="6991" spans="1:39" s="86" customFormat="1" ht="13.25" hidden="1" customHeight="1" x14ac:dyDescent="0.3">
      <c r="A6991" s="89" t="s">
        <v>3978</v>
      </c>
      <c r="B6991" s="86" t="s">
        <v>35</v>
      </c>
      <c r="C6991" s="86" t="s">
        <v>144</v>
      </c>
      <c r="D6991" s="86" t="s">
        <v>145</v>
      </c>
      <c r="E6991" s="86" t="s">
        <v>146</v>
      </c>
      <c r="F6991" s="86" t="s">
        <v>2712</v>
      </c>
      <c r="G6991" s="86" t="s">
        <v>1845</v>
      </c>
      <c r="H6991" s="144">
        <v>83</v>
      </c>
      <c r="I6991" s="86" t="s">
        <v>78</v>
      </c>
      <c r="J6991" s="1" t="s">
        <v>3303</v>
      </c>
      <c r="K6991" s="1" t="s">
        <v>3763</v>
      </c>
      <c r="L6991" s="1" t="s">
        <v>701</v>
      </c>
      <c r="M6991" s="86" t="s">
        <v>146</v>
      </c>
      <c r="O6991" s="47" t="s">
        <v>410</v>
      </c>
      <c r="P6991" s="14" t="s">
        <v>41</v>
      </c>
      <c r="Q6991" s="14">
        <v>0</v>
      </c>
      <c r="R6991" s="143">
        <v>7607</v>
      </c>
      <c r="S6991" s="47"/>
      <c r="T6991" s="6">
        <v>4435.2699999999895</v>
      </c>
      <c r="U6991" s="6"/>
      <c r="V6991" s="6">
        <v>4435.2699999999895</v>
      </c>
      <c r="W6991" s="6">
        <f t="shared" si="1086"/>
        <v>0</v>
      </c>
      <c r="X6991" s="6">
        <f t="shared" si="1087"/>
        <v>4435.2699999999895</v>
      </c>
      <c r="Y6991" s="13">
        <f t="shared" si="1089"/>
        <v>0</v>
      </c>
      <c r="Z6991" s="14">
        <v>0</v>
      </c>
      <c r="AA6991" s="6">
        <v>0</v>
      </c>
      <c r="AB6991" s="4">
        <f t="shared" si="1090"/>
        <v>4435.2699999999895</v>
      </c>
      <c r="AC6991" s="6">
        <f t="shared" si="1088"/>
        <v>0</v>
      </c>
      <c r="AD6991" s="6">
        <f t="shared" si="1083"/>
        <v>4435.2699999999895</v>
      </c>
      <c r="AE6991" s="14">
        <f>VLOOKUP(I6991,[2]媒体政策预估表!A:N,MATCH(O6991,[2]媒体政策预估表!$A$2:$M$2,0),0)</f>
        <v>0.1293</v>
      </c>
      <c r="AF6991" s="6">
        <f t="shared" si="1085"/>
        <v>573.48041099999864</v>
      </c>
      <c r="AG6991" s="14">
        <v>0</v>
      </c>
      <c r="AH6991" s="64">
        <f t="shared" si="1084"/>
        <v>4435.2699999999895</v>
      </c>
      <c r="AJ6991" s="126" t="e">
        <v>#N/A</v>
      </c>
      <c r="AK6991" s="80">
        <f t="shared" si="1091"/>
        <v>0</v>
      </c>
      <c r="AL6991" s="85"/>
      <c r="AM6991" s="85"/>
    </row>
    <row r="6992" spans="1:39" s="86" customFormat="1" ht="13.25" hidden="1" customHeight="1" x14ac:dyDescent="0.3">
      <c r="A6992" s="89" t="s">
        <v>3792</v>
      </c>
      <c r="B6992" s="86" t="s">
        <v>701</v>
      </c>
      <c r="C6992" s="86" t="s">
        <v>59</v>
      </c>
      <c r="D6992" s="86" t="s">
        <v>60</v>
      </c>
      <c r="E6992" s="86" t="s">
        <v>2722</v>
      </c>
      <c r="F6992" s="86" t="s">
        <v>2722</v>
      </c>
      <c r="G6992" s="86" t="s">
        <v>2722</v>
      </c>
      <c r="H6992" s="144">
        <v>83</v>
      </c>
      <c r="I6992" s="86" t="s">
        <v>78</v>
      </c>
      <c r="J6992" s="1" t="s">
        <v>3303</v>
      </c>
      <c r="K6992" s="1" t="s">
        <v>3763</v>
      </c>
      <c r="L6992" s="1" t="s">
        <v>701</v>
      </c>
      <c r="M6992" s="86" t="s">
        <v>2723</v>
      </c>
      <c r="O6992" s="47" t="s">
        <v>410</v>
      </c>
      <c r="P6992" s="14" t="s">
        <v>92</v>
      </c>
      <c r="Q6992" s="14">
        <v>0.9</v>
      </c>
      <c r="R6992" s="143">
        <v>7122</v>
      </c>
      <c r="S6992" s="47"/>
      <c r="T6992" s="6">
        <v>32818.69</v>
      </c>
      <c r="U6992" s="6"/>
      <c r="V6992" s="6">
        <v>14289.11</v>
      </c>
      <c r="W6992" s="6">
        <f t="shared" si="1086"/>
        <v>18529.580000000002</v>
      </c>
      <c r="X6992" s="6">
        <f t="shared" si="1087"/>
        <v>12860.199000000001</v>
      </c>
      <c r="Y6992" s="13">
        <f t="shared" si="1089"/>
        <v>0</v>
      </c>
      <c r="Z6992" s="14">
        <v>0</v>
      </c>
      <c r="AA6992" s="6">
        <v>0</v>
      </c>
      <c r="AB6992" s="4">
        <f t="shared" si="1090"/>
        <v>12860.199000000001</v>
      </c>
      <c r="AC6992" s="6">
        <f t="shared" si="1088"/>
        <v>1428.9110000000001</v>
      </c>
      <c r="AD6992" s="6">
        <f t="shared" si="1083"/>
        <v>14289.11</v>
      </c>
      <c r="AE6992" s="14">
        <f>VLOOKUP(I6992,[2]媒体政策预估表!A:N,MATCH(O6992,[2]媒体政策预估表!$A$2:$M$2,0),0)</f>
        <v>0.1293</v>
      </c>
      <c r="AF6992" s="6">
        <f t="shared" si="1085"/>
        <v>1847.581923</v>
      </c>
      <c r="AG6992" s="14">
        <v>0</v>
      </c>
      <c r="AH6992" s="64">
        <f t="shared" si="1084"/>
        <v>14289.11</v>
      </c>
      <c r="AJ6992" s="126" t="e">
        <v>#N/A</v>
      </c>
      <c r="AK6992" s="80">
        <f t="shared" si="1091"/>
        <v>0</v>
      </c>
      <c r="AL6992" s="85"/>
      <c r="AM6992" s="85"/>
    </row>
    <row r="6993" spans="1:39" s="86" customFormat="1" ht="13.25" hidden="1" customHeight="1" x14ac:dyDescent="0.3">
      <c r="A6993" s="89" t="s">
        <v>3978</v>
      </c>
      <c r="B6993" s="86" t="s">
        <v>701</v>
      </c>
      <c r="C6993" s="86" t="s">
        <v>59</v>
      </c>
      <c r="D6993" s="86" t="s">
        <v>60</v>
      </c>
      <c r="E6993" s="86" t="s">
        <v>2722</v>
      </c>
      <c r="F6993" s="86" t="s">
        <v>2722</v>
      </c>
      <c r="G6993" s="86" t="s">
        <v>2722</v>
      </c>
      <c r="H6993" s="144">
        <v>83</v>
      </c>
      <c r="I6993" s="86" t="s">
        <v>78</v>
      </c>
      <c r="J6993" s="1" t="s">
        <v>3303</v>
      </c>
      <c r="K6993" s="1" t="s">
        <v>3763</v>
      </c>
      <c r="L6993" s="1" t="s">
        <v>701</v>
      </c>
      <c r="M6993" s="86" t="s">
        <v>2728</v>
      </c>
      <c r="O6993" s="47" t="s">
        <v>410</v>
      </c>
      <c r="P6993" s="14" t="s">
        <v>92</v>
      </c>
      <c r="Q6993" s="14">
        <v>0.9</v>
      </c>
      <c r="R6993" s="143">
        <v>7156</v>
      </c>
      <c r="S6993" s="47"/>
      <c r="T6993" s="6">
        <v>14011.76</v>
      </c>
      <c r="U6993" s="6"/>
      <c r="V6993" s="6">
        <v>1271.99</v>
      </c>
      <c r="W6993" s="6">
        <f t="shared" si="1086"/>
        <v>12739.77</v>
      </c>
      <c r="X6993" s="6">
        <f t="shared" si="1087"/>
        <v>1144.7909999999999</v>
      </c>
      <c r="Y6993" s="13">
        <f t="shared" si="1089"/>
        <v>0</v>
      </c>
      <c r="Z6993" s="14">
        <v>0</v>
      </c>
      <c r="AA6993" s="6">
        <v>0</v>
      </c>
      <c r="AB6993" s="4">
        <f t="shared" si="1090"/>
        <v>1144.7909999999999</v>
      </c>
      <c r="AC6993" s="6">
        <f t="shared" si="1088"/>
        <v>127.19900000000007</v>
      </c>
      <c r="AD6993" s="6">
        <f t="shared" si="1083"/>
        <v>1271.99</v>
      </c>
      <c r="AE6993" s="14">
        <f>VLOOKUP(I6993,[2]媒体政策预估表!A:N,MATCH(O6993,[2]媒体政策预估表!$A$2:$M$2,0),0)</f>
        <v>0.1293</v>
      </c>
      <c r="AF6993" s="6">
        <f t="shared" si="1085"/>
        <v>164.46830700000001</v>
      </c>
      <c r="AG6993" s="14">
        <v>0</v>
      </c>
      <c r="AH6993" s="64">
        <f t="shared" si="1084"/>
        <v>1271.99</v>
      </c>
      <c r="AJ6993" s="126" t="e">
        <v>#N/A</v>
      </c>
      <c r="AK6993" s="80">
        <f t="shared" si="1091"/>
        <v>0</v>
      </c>
      <c r="AL6993" s="85"/>
      <c r="AM6993" s="85"/>
    </row>
    <row r="6994" spans="1:39" s="86" customFormat="1" ht="13.25" hidden="1" customHeight="1" x14ac:dyDescent="0.3">
      <c r="A6994" s="89" t="s">
        <v>3978</v>
      </c>
      <c r="B6994" s="86" t="s">
        <v>701</v>
      </c>
      <c r="C6994" s="86" t="s">
        <v>59</v>
      </c>
      <c r="D6994" s="86" t="s">
        <v>60</v>
      </c>
      <c r="E6994" s="86" t="s">
        <v>2722</v>
      </c>
      <c r="F6994" s="86" t="s">
        <v>2722</v>
      </c>
      <c r="G6994" s="86" t="s">
        <v>2722</v>
      </c>
      <c r="H6994" s="144">
        <v>83</v>
      </c>
      <c r="I6994" s="86" t="s">
        <v>78</v>
      </c>
      <c r="J6994" s="1" t="s">
        <v>3303</v>
      </c>
      <c r="K6994" s="1" t="s">
        <v>3763</v>
      </c>
      <c r="L6994" s="1" t="s">
        <v>701</v>
      </c>
      <c r="M6994" s="86" t="s">
        <v>2729</v>
      </c>
      <c r="O6994" s="47" t="s">
        <v>410</v>
      </c>
      <c r="P6994" s="14" t="s">
        <v>92</v>
      </c>
      <c r="Q6994" s="14">
        <v>0.9</v>
      </c>
      <c r="R6994" s="143">
        <v>7508</v>
      </c>
      <c r="S6994" s="47"/>
      <c r="T6994" s="6">
        <v>4239.2300000000005</v>
      </c>
      <c r="U6994" s="6"/>
      <c r="V6994" s="6">
        <v>2135.0700000000002</v>
      </c>
      <c r="W6994" s="6">
        <f t="shared" si="1086"/>
        <v>2104.1600000000003</v>
      </c>
      <c r="X6994" s="6">
        <f t="shared" si="1087"/>
        <v>1921.5630000000001</v>
      </c>
      <c r="Y6994" s="13">
        <f t="shared" si="1089"/>
        <v>0</v>
      </c>
      <c r="Z6994" s="14">
        <v>0</v>
      </c>
      <c r="AA6994" s="6">
        <v>0</v>
      </c>
      <c r="AB6994" s="4">
        <f t="shared" si="1090"/>
        <v>1921.5630000000001</v>
      </c>
      <c r="AC6994" s="6">
        <f t="shared" si="1088"/>
        <v>213.50700000000006</v>
      </c>
      <c r="AD6994" s="6">
        <f t="shared" si="1083"/>
        <v>2135.0700000000002</v>
      </c>
      <c r="AE6994" s="14">
        <f>VLOOKUP(I6994,[2]媒体政策预估表!A:N,MATCH(O6994,[2]媒体政策预估表!$A$2:$M$2,0),0)</f>
        <v>0.1293</v>
      </c>
      <c r="AF6994" s="6">
        <f t="shared" si="1085"/>
        <v>276.06455099999999</v>
      </c>
      <c r="AG6994" s="14">
        <v>0</v>
      </c>
      <c r="AH6994" s="64">
        <f t="shared" si="1084"/>
        <v>2135.0700000000002</v>
      </c>
      <c r="AJ6994" s="126" t="e">
        <v>#N/A</v>
      </c>
      <c r="AK6994" s="80">
        <f t="shared" si="1091"/>
        <v>0</v>
      </c>
      <c r="AL6994" s="85"/>
      <c r="AM6994" s="85"/>
    </row>
    <row r="6995" spans="1:39" s="86" customFormat="1" ht="13.25" hidden="1" customHeight="1" x14ac:dyDescent="0.3">
      <c r="A6995" s="89" t="s">
        <v>3978</v>
      </c>
      <c r="B6995" s="86" t="s">
        <v>701</v>
      </c>
      <c r="C6995" s="86" t="s">
        <v>59</v>
      </c>
      <c r="D6995" s="86" t="s">
        <v>60</v>
      </c>
      <c r="E6995" s="86" t="s">
        <v>2722</v>
      </c>
      <c r="F6995" s="86" t="s">
        <v>2722</v>
      </c>
      <c r="G6995" s="86" t="s">
        <v>2722</v>
      </c>
      <c r="H6995" s="144">
        <v>83</v>
      </c>
      <c r="I6995" s="86" t="s">
        <v>78</v>
      </c>
      <c r="J6995" s="1" t="s">
        <v>3303</v>
      </c>
      <c r="K6995" s="1" t="s">
        <v>3763</v>
      </c>
      <c r="L6995" s="1" t="s">
        <v>701</v>
      </c>
      <c r="M6995" s="86" t="s">
        <v>2892</v>
      </c>
      <c r="O6995" s="47" t="s">
        <v>410</v>
      </c>
      <c r="P6995" s="14" t="s">
        <v>92</v>
      </c>
      <c r="Q6995" s="14">
        <v>0.9</v>
      </c>
      <c r="R6995" s="143">
        <v>7487</v>
      </c>
      <c r="S6995" s="47"/>
      <c r="T6995" s="6">
        <v>10110.660000000003</v>
      </c>
      <c r="U6995" s="6"/>
      <c r="V6995" s="6">
        <v>4262.3900000000003</v>
      </c>
      <c r="W6995" s="6">
        <f t="shared" si="1086"/>
        <v>5848.2700000000032</v>
      </c>
      <c r="X6995" s="6">
        <f t="shared" si="1087"/>
        <v>3836.1510000000003</v>
      </c>
      <c r="Y6995" s="13">
        <f t="shared" si="1089"/>
        <v>0</v>
      </c>
      <c r="Z6995" s="14">
        <v>0</v>
      </c>
      <c r="AA6995" s="6">
        <v>0</v>
      </c>
      <c r="AB6995" s="4">
        <f t="shared" si="1090"/>
        <v>3836.1510000000003</v>
      </c>
      <c r="AC6995" s="6">
        <f t="shared" si="1088"/>
        <v>426.23900000000003</v>
      </c>
      <c r="AD6995" s="6">
        <f t="shared" si="1083"/>
        <v>4262.3900000000003</v>
      </c>
      <c r="AE6995" s="14">
        <f>VLOOKUP(I6995,[2]媒体政策预估表!A:N,MATCH(O6995,[2]媒体政策预估表!$A$2:$M$2,0),0)</f>
        <v>0.1293</v>
      </c>
      <c r="AF6995" s="6">
        <f t="shared" si="1085"/>
        <v>551.127027</v>
      </c>
      <c r="AG6995" s="14">
        <v>0</v>
      </c>
      <c r="AH6995" s="64">
        <f t="shared" si="1084"/>
        <v>4262.3900000000003</v>
      </c>
      <c r="AJ6995" s="126" t="e">
        <v>#N/A</v>
      </c>
      <c r="AK6995" s="80">
        <f t="shared" si="1091"/>
        <v>0</v>
      </c>
      <c r="AL6995" s="85"/>
      <c r="AM6995" s="85"/>
    </row>
    <row r="6996" spans="1:39" s="86" customFormat="1" ht="13.25" hidden="1" customHeight="1" x14ac:dyDescent="0.3">
      <c r="A6996" s="89" t="s">
        <v>3792</v>
      </c>
      <c r="B6996" s="86" t="s">
        <v>701</v>
      </c>
      <c r="C6996" s="86" t="s">
        <v>184</v>
      </c>
      <c r="D6996" s="86" t="s">
        <v>54</v>
      </c>
      <c r="E6996" s="86" t="s">
        <v>2842</v>
      </c>
      <c r="F6996" s="86" t="s">
        <v>2842</v>
      </c>
      <c r="G6996" s="86" t="s">
        <v>2842</v>
      </c>
      <c r="H6996" s="144">
        <v>83</v>
      </c>
      <c r="I6996" s="86" t="s">
        <v>78</v>
      </c>
      <c r="J6996" s="1" t="s">
        <v>3303</v>
      </c>
      <c r="K6996" s="1" t="s">
        <v>3763</v>
      </c>
      <c r="L6996" s="1" t="s">
        <v>701</v>
      </c>
      <c r="M6996" s="86" t="s">
        <v>2842</v>
      </c>
      <c r="O6996" s="47" t="s">
        <v>410</v>
      </c>
      <c r="P6996" s="14" t="s">
        <v>41</v>
      </c>
      <c r="Q6996" s="14">
        <v>0</v>
      </c>
      <c r="R6996" s="143">
        <v>7163</v>
      </c>
      <c r="S6996" s="47"/>
      <c r="T6996" s="6">
        <v>117395.12000000002</v>
      </c>
      <c r="U6996" s="6"/>
      <c r="V6996" s="6">
        <v>2372.5</v>
      </c>
      <c r="W6996" s="6">
        <f t="shared" si="1086"/>
        <v>115022.62000000002</v>
      </c>
      <c r="X6996" s="6">
        <f t="shared" si="1087"/>
        <v>2372.5</v>
      </c>
      <c r="Y6996" s="13">
        <f t="shared" si="1089"/>
        <v>0</v>
      </c>
      <c r="Z6996" s="14">
        <v>0</v>
      </c>
      <c r="AA6996" s="6">
        <v>0</v>
      </c>
      <c r="AB6996" s="4">
        <f t="shared" si="1090"/>
        <v>2372.5</v>
      </c>
      <c r="AC6996" s="6">
        <f t="shared" si="1088"/>
        <v>0</v>
      </c>
      <c r="AD6996" s="6">
        <f t="shared" si="1083"/>
        <v>2372.5</v>
      </c>
      <c r="AE6996" s="14">
        <f>VLOOKUP(I6996,[2]媒体政策预估表!A:N,MATCH(O6996,[2]媒体政策预估表!$A$2:$M$2,0),0)</f>
        <v>0.1293</v>
      </c>
      <c r="AF6996" s="6">
        <f t="shared" si="1085"/>
        <v>306.76425</v>
      </c>
      <c r="AG6996" s="14">
        <v>0</v>
      </c>
      <c r="AH6996" s="64">
        <f t="shared" si="1084"/>
        <v>2372.5</v>
      </c>
      <c r="AJ6996" s="126" t="e">
        <v>#N/A</v>
      </c>
      <c r="AK6996" s="80">
        <f t="shared" si="1091"/>
        <v>0</v>
      </c>
      <c r="AL6996" s="85"/>
      <c r="AM6996" s="85"/>
    </row>
    <row r="6997" spans="1:39" s="86" customFormat="1" ht="13.25" hidden="1" customHeight="1" x14ac:dyDescent="0.3">
      <c r="A6997" s="89" t="s">
        <v>3978</v>
      </c>
      <c r="B6997" s="86" t="s">
        <v>701</v>
      </c>
      <c r="C6997" s="86" t="s">
        <v>184</v>
      </c>
      <c r="D6997" s="86" t="s">
        <v>3849</v>
      </c>
      <c r="E6997" s="86" t="s">
        <v>2772</v>
      </c>
      <c r="F6997" s="86" t="s">
        <v>2772</v>
      </c>
      <c r="G6997" s="86" t="s">
        <v>2772</v>
      </c>
      <c r="H6997" s="144">
        <v>83</v>
      </c>
      <c r="I6997" s="86" t="s">
        <v>78</v>
      </c>
      <c r="J6997" s="1" t="s">
        <v>3303</v>
      </c>
      <c r="K6997" s="1" t="s">
        <v>3763</v>
      </c>
      <c r="L6997" s="1" t="s">
        <v>701</v>
      </c>
      <c r="M6997" s="86" t="s">
        <v>2773</v>
      </c>
      <c r="O6997" s="47" t="s">
        <v>410</v>
      </c>
      <c r="P6997" s="14" t="s">
        <v>41</v>
      </c>
      <c r="Q6997" s="14">
        <v>0</v>
      </c>
      <c r="R6997" s="143">
        <v>7613</v>
      </c>
      <c r="S6997" s="47"/>
      <c r="T6997" s="6">
        <v>678091.68</v>
      </c>
      <c r="U6997" s="6"/>
      <c r="V6997" s="6">
        <v>157062.04</v>
      </c>
      <c r="W6997" s="6">
        <f t="shared" si="1086"/>
        <v>521029.64</v>
      </c>
      <c r="X6997" s="6">
        <f t="shared" si="1087"/>
        <v>157062.04</v>
      </c>
      <c r="Y6997" s="13">
        <f t="shared" si="1089"/>
        <v>0</v>
      </c>
      <c r="Z6997" s="14">
        <v>0</v>
      </c>
      <c r="AA6997" s="6">
        <v>0</v>
      </c>
      <c r="AB6997" s="4">
        <f t="shared" si="1090"/>
        <v>157062.04</v>
      </c>
      <c r="AC6997" s="6">
        <f t="shared" si="1088"/>
        <v>0</v>
      </c>
      <c r="AD6997" s="6">
        <f t="shared" si="1083"/>
        <v>157062.04</v>
      </c>
      <c r="AE6997" s="14">
        <f>VLOOKUP(I6997,[2]媒体政策预估表!A:N,MATCH(O6997,[2]媒体政策预估表!$A$2:$M$2,0),0)</f>
        <v>0.1293</v>
      </c>
      <c r="AF6997" s="6">
        <f t="shared" si="1085"/>
        <v>20308.121772000002</v>
      </c>
      <c r="AG6997" s="14">
        <v>0</v>
      </c>
      <c r="AH6997" s="64">
        <f t="shared" si="1084"/>
        <v>157062.04</v>
      </c>
      <c r="AJ6997" s="126" t="e">
        <v>#N/A</v>
      </c>
      <c r="AK6997" s="80">
        <f t="shared" si="1091"/>
        <v>0</v>
      </c>
      <c r="AL6997" s="85"/>
      <c r="AM6997" s="85"/>
    </row>
    <row r="6998" spans="1:39" s="86" customFormat="1" ht="13.25" hidden="1" customHeight="1" x14ac:dyDescent="0.3">
      <c r="A6998" s="89" t="s">
        <v>3792</v>
      </c>
      <c r="B6998" s="86" t="s">
        <v>701</v>
      </c>
      <c r="C6998" s="86" t="s">
        <v>184</v>
      </c>
      <c r="D6998" s="86" t="s">
        <v>54</v>
      </c>
      <c r="E6998" s="86" t="s">
        <v>3399</v>
      </c>
      <c r="F6998" s="86" t="s">
        <v>3399</v>
      </c>
      <c r="G6998" s="86" t="s">
        <v>3399</v>
      </c>
      <c r="H6998" s="143">
        <v>83</v>
      </c>
      <c r="I6998" s="86" t="s">
        <v>78</v>
      </c>
      <c r="J6998" s="1" t="s">
        <v>3303</v>
      </c>
      <c r="K6998" s="1" t="s">
        <v>3763</v>
      </c>
      <c r="L6998" s="1" t="s">
        <v>701</v>
      </c>
      <c r="M6998" s="86" t="s">
        <v>3400</v>
      </c>
      <c r="O6998" s="47" t="s">
        <v>410</v>
      </c>
      <c r="P6998" s="14" t="s">
        <v>41</v>
      </c>
      <c r="Q6998" s="14">
        <v>0</v>
      </c>
      <c r="R6998" s="143">
        <v>7666</v>
      </c>
      <c r="S6998" s="47"/>
      <c r="T6998" s="6">
        <v>10054</v>
      </c>
      <c r="U6998" s="6"/>
      <c r="V6998" s="6">
        <v>0</v>
      </c>
      <c r="W6998" s="6">
        <f t="shared" si="1086"/>
        <v>10054</v>
      </c>
      <c r="X6998" s="6">
        <f t="shared" si="1087"/>
        <v>0</v>
      </c>
      <c r="Y6998" s="13">
        <f t="shared" si="1089"/>
        <v>0</v>
      </c>
      <c r="Z6998" s="14">
        <v>0</v>
      </c>
      <c r="AA6998" s="6">
        <v>0</v>
      </c>
      <c r="AB6998" s="4"/>
      <c r="AC6998" s="6">
        <f t="shared" si="1088"/>
        <v>0</v>
      </c>
      <c r="AD6998" s="6">
        <f t="shared" si="1083"/>
        <v>0</v>
      </c>
      <c r="AE6998" s="14">
        <f>VLOOKUP(I6998,[2]媒体政策预估表!A:N,MATCH(O6998,[2]媒体政策预估表!$A$2:$M$2,0),0)</f>
        <v>0.1293</v>
      </c>
      <c r="AF6998" s="6">
        <f t="shared" si="1085"/>
        <v>0</v>
      </c>
      <c r="AG6998" s="14">
        <v>0</v>
      </c>
      <c r="AH6998" s="64">
        <f t="shared" si="1084"/>
        <v>0</v>
      </c>
      <c r="AJ6998" s="126">
        <v>116</v>
      </c>
      <c r="AK6998" s="80">
        <f t="shared" si="1091"/>
        <v>0</v>
      </c>
      <c r="AL6998" s="85"/>
      <c r="AM6998" s="85"/>
    </row>
    <row r="6999" spans="1:39" s="86" customFormat="1" ht="13.25" hidden="1" customHeight="1" x14ac:dyDescent="0.3">
      <c r="A6999" s="89" t="s">
        <v>3792</v>
      </c>
      <c r="B6999" s="86" t="s">
        <v>701</v>
      </c>
      <c r="C6999" s="86" t="s">
        <v>184</v>
      </c>
      <c r="D6999" s="86" t="s">
        <v>54</v>
      </c>
      <c r="E6999" s="86" t="s">
        <v>1204</v>
      </c>
      <c r="F6999" s="86" t="s">
        <v>1204</v>
      </c>
      <c r="G6999" s="86" t="s">
        <v>1204</v>
      </c>
      <c r="H6999" s="143">
        <v>83</v>
      </c>
      <c r="I6999" s="86" t="s">
        <v>78</v>
      </c>
      <c r="J6999" s="1" t="s">
        <v>3303</v>
      </c>
      <c r="K6999" s="1" t="s">
        <v>3763</v>
      </c>
      <c r="L6999" s="1" t="s">
        <v>701</v>
      </c>
      <c r="M6999" s="86" t="s">
        <v>1204</v>
      </c>
      <c r="O6999" s="47" t="s">
        <v>410</v>
      </c>
      <c r="P6999" s="14" t="s">
        <v>41</v>
      </c>
      <c r="Q6999" s="14">
        <v>0</v>
      </c>
      <c r="R6999" s="143">
        <v>7521</v>
      </c>
      <c r="S6999" s="47"/>
      <c r="T6999" s="6">
        <v>14112.099999999999</v>
      </c>
      <c r="U6999" s="6"/>
      <c r="V6999" s="6">
        <v>0</v>
      </c>
      <c r="W6999" s="6">
        <f t="shared" si="1086"/>
        <v>14112.099999999999</v>
      </c>
      <c r="X6999" s="6">
        <f t="shared" si="1087"/>
        <v>0</v>
      </c>
      <c r="Y6999" s="13">
        <f t="shared" si="1089"/>
        <v>0</v>
      </c>
      <c r="Z6999" s="14">
        <v>0</v>
      </c>
      <c r="AA6999" s="6">
        <v>0</v>
      </c>
      <c r="AB6999" s="4">
        <f t="shared" si="1090"/>
        <v>0</v>
      </c>
      <c r="AC6999" s="6">
        <f t="shared" si="1088"/>
        <v>0</v>
      </c>
      <c r="AD6999" s="6">
        <f t="shared" si="1083"/>
        <v>0</v>
      </c>
      <c r="AE6999" s="14">
        <f>VLOOKUP(I6999,[2]媒体政策预估表!A:N,MATCH(O6999,[2]媒体政策预估表!$A$2:$M$2,0),0)</f>
        <v>0.1293</v>
      </c>
      <c r="AF6999" s="6">
        <f t="shared" si="1085"/>
        <v>0</v>
      </c>
      <c r="AG6999" s="14">
        <v>0</v>
      </c>
      <c r="AH6999" s="64">
        <f t="shared" si="1084"/>
        <v>0</v>
      </c>
      <c r="AJ6999" s="126" t="e">
        <v>#N/A</v>
      </c>
      <c r="AK6999" s="80">
        <f t="shared" si="1091"/>
        <v>0</v>
      </c>
      <c r="AL6999" s="85"/>
      <c r="AM6999" s="85"/>
    </row>
    <row r="7000" spans="1:39" s="86" customFormat="1" ht="13.25" hidden="1" customHeight="1" x14ac:dyDescent="0.3">
      <c r="A7000" s="89" t="s">
        <v>3978</v>
      </c>
      <c r="B7000" s="86" t="s">
        <v>701</v>
      </c>
      <c r="C7000" s="86" t="s">
        <v>184</v>
      </c>
      <c r="D7000" s="86" t="s">
        <v>54</v>
      </c>
      <c r="E7000" s="86" t="s">
        <v>3401</v>
      </c>
      <c r="F7000" s="86" t="s">
        <v>3401</v>
      </c>
      <c r="G7000" s="86" t="s">
        <v>3401</v>
      </c>
      <c r="H7000" s="144">
        <v>83</v>
      </c>
      <c r="I7000" s="86" t="s">
        <v>78</v>
      </c>
      <c r="J7000" s="1" t="s">
        <v>3303</v>
      </c>
      <c r="K7000" s="1" t="s">
        <v>3763</v>
      </c>
      <c r="L7000" s="1" t="s">
        <v>701</v>
      </c>
      <c r="M7000" s="86" t="s">
        <v>2882</v>
      </c>
      <c r="O7000" s="47" t="s">
        <v>410</v>
      </c>
      <c r="P7000" s="14" t="s">
        <v>41</v>
      </c>
      <c r="Q7000" s="14">
        <v>0</v>
      </c>
      <c r="R7000" s="143">
        <v>7189</v>
      </c>
      <c r="S7000" s="47"/>
      <c r="T7000" s="6">
        <v>10000</v>
      </c>
      <c r="U7000" s="6"/>
      <c r="V7000" s="6">
        <v>2076.3700000000003</v>
      </c>
      <c r="W7000" s="6">
        <f t="shared" si="1086"/>
        <v>7923.6299999999992</v>
      </c>
      <c r="X7000" s="6">
        <f t="shared" si="1087"/>
        <v>2076.3700000000003</v>
      </c>
      <c r="Y7000" s="13">
        <f t="shared" si="1089"/>
        <v>0</v>
      </c>
      <c r="Z7000" s="14">
        <v>0</v>
      </c>
      <c r="AA7000" s="6">
        <v>0</v>
      </c>
      <c r="AB7000" s="4">
        <f t="shared" si="1090"/>
        <v>2076.3700000000003</v>
      </c>
      <c r="AC7000" s="6">
        <f t="shared" si="1088"/>
        <v>0</v>
      </c>
      <c r="AD7000" s="6">
        <f t="shared" si="1083"/>
        <v>2076.3700000000003</v>
      </c>
      <c r="AE7000" s="14">
        <f>VLOOKUP(I7000,[2]媒体政策预估表!A:N,MATCH(O7000,[2]媒体政策预估表!$A$2:$M$2,0),0)</f>
        <v>0.1293</v>
      </c>
      <c r="AF7000" s="6">
        <f t="shared" si="1085"/>
        <v>268.47464100000002</v>
      </c>
      <c r="AG7000" s="14">
        <v>0</v>
      </c>
      <c r="AH7000" s="64">
        <f t="shared" si="1084"/>
        <v>2076.3700000000003</v>
      </c>
      <c r="AJ7000" s="126" t="e">
        <v>#N/A</v>
      </c>
      <c r="AK7000" s="80">
        <f t="shared" si="1091"/>
        <v>0</v>
      </c>
      <c r="AL7000" s="85"/>
      <c r="AM7000" s="85"/>
    </row>
    <row r="7001" spans="1:39" s="86" customFormat="1" ht="13.25" hidden="1" customHeight="1" x14ac:dyDescent="0.3">
      <c r="A7001" s="89" t="s">
        <v>3792</v>
      </c>
      <c r="B7001" s="86" t="s">
        <v>701</v>
      </c>
      <c r="C7001" s="86" t="s">
        <v>184</v>
      </c>
      <c r="D7001" s="86" t="s">
        <v>54</v>
      </c>
      <c r="E7001" s="86" t="s">
        <v>2846</v>
      </c>
      <c r="F7001" s="86" t="s">
        <v>2846</v>
      </c>
      <c r="G7001" s="86" t="s">
        <v>2846</v>
      </c>
      <c r="H7001" s="143">
        <v>83</v>
      </c>
      <c r="I7001" s="86" t="s">
        <v>78</v>
      </c>
      <c r="J7001" s="1" t="s">
        <v>3303</v>
      </c>
      <c r="K7001" s="1" t="s">
        <v>3763</v>
      </c>
      <c r="L7001" s="1" t="s">
        <v>701</v>
      </c>
      <c r="M7001" s="86" t="s">
        <v>2846</v>
      </c>
      <c r="O7001" s="47" t="s">
        <v>410</v>
      </c>
      <c r="P7001" s="14" t="s">
        <v>41</v>
      </c>
      <c r="Q7001" s="14">
        <v>0</v>
      </c>
      <c r="R7001" s="143">
        <v>7119</v>
      </c>
      <c r="S7001" s="47"/>
      <c r="T7001" s="6">
        <v>4278.9000000000015</v>
      </c>
      <c r="U7001" s="6"/>
      <c r="V7001" s="6">
        <v>0</v>
      </c>
      <c r="W7001" s="6">
        <v>0</v>
      </c>
      <c r="X7001" s="6">
        <f t="shared" si="1087"/>
        <v>0</v>
      </c>
      <c r="Y7001" s="13">
        <f t="shared" si="1089"/>
        <v>0</v>
      </c>
      <c r="Z7001" s="14">
        <v>0</v>
      </c>
      <c r="AA7001" s="6">
        <v>0</v>
      </c>
      <c r="AB7001" s="4">
        <f t="shared" si="1090"/>
        <v>0</v>
      </c>
      <c r="AC7001" s="6">
        <f t="shared" si="1088"/>
        <v>0</v>
      </c>
      <c r="AD7001" s="6">
        <f t="shared" si="1083"/>
        <v>0</v>
      </c>
      <c r="AE7001" s="14">
        <f>VLOOKUP(I7001,[2]媒体政策预估表!A:N,MATCH(O7001,[2]媒体政策预估表!$A$2:$M$2,0),0)</f>
        <v>0.1293</v>
      </c>
      <c r="AF7001" s="6">
        <f t="shared" si="1085"/>
        <v>0</v>
      </c>
      <c r="AG7001" s="14">
        <v>0</v>
      </c>
      <c r="AH7001" s="64">
        <f t="shared" si="1084"/>
        <v>0</v>
      </c>
      <c r="AJ7001" s="126" t="e">
        <v>#N/A</v>
      </c>
      <c r="AK7001" s="80">
        <f t="shared" si="1091"/>
        <v>0</v>
      </c>
      <c r="AL7001" s="85"/>
      <c r="AM7001" s="85"/>
    </row>
    <row r="7002" spans="1:39" s="86" customFormat="1" ht="13.25" hidden="1" customHeight="1" x14ac:dyDescent="0.3">
      <c r="A7002" s="89" t="s">
        <v>3978</v>
      </c>
      <c r="B7002" s="86" t="s">
        <v>701</v>
      </c>
      <c r="C7002" s="86" t="s">
        <v>184</v>
      </c>
      <c r="D7002" s="86" t="s">
        <v>37</v>
      </c>
      <c r="E7002" s="86" t="s">
        <v>2890</v>
      </c>
      <c r="F7002" s="86" t="s">
        <v>2890</v>
      </c>
      <c r="G7002" s="86" t="s">
        <v>2890</v>
      </c>
      <c r="H7002" s="144">
        <v>83</v>
      </c>
      <c r="I7002" s="86" t="s">
        <v>78</v>
      </c>
      <c r="J7002" s="1" t="s">
        <v>3303</v>
      </c>
      <c r="K7002" s="1" t="s">
        <v>3763</v>
      </c>
      <c r="L7002" s="1" t="s">
        <v>701</v>
      </c>
      <c r="M7002" s="86" t="s">
        <v>2890</v>
      </c>
      <c r="O7002" s="47" t="s">
        <v>410</v>
      </c>
      <c r="P7002" s="14" t="s">
        <v>41</v>
      </c>
      <c r="Q7002" s="14">
        <v>0</v>
      </c>
      <c r="R7002" s="143">
        <v>7316</v>
      </c>
      <c r="S7002" s="47"/>
      <c r="T7002" s="6">
        <v>82539.12</v>
      </c>
      <c r="U7002" s="6"/>
      <c r="V7002" s="6">
        <v>49651.61</v>
      </c>
      <c r="W7002" s="6">
        <f t="shared" si="1086"/>
        <v>32887.509999999995</v>
      </c>
      <c r="X7002" s="6">
        <f t="shared" si="1087"/>
        <v>49651.61</v>
      </c>
      <c r="Y7002" s="13">
        <f t="shared" si="1089"/>
        <v>0</v>
      </c>
      <c r="Z7002" s="14">
        <v>0</v>
      </c>
      <c r="AA7002" s="6">
        <v>0</v>
      </c>
      <c r="AB7002" s="4">
        <f t="shared" si="1090"/>
        <v>49651.61</v>
      </c>
      <c r="AC7002" s="6">
        <f t="shared" si="1088"/>
        <v>0</v>
      </c>
      <c r="AD7002" s="6">
        <f t="shared" si="1083"/>
        <v>49651.61</v>
      </c>
      <c r="AE7002" s="14">
        <f>VLOOKUP(I7002,[2]媒体政策预估表!A:N,MATCH(O7002,[2]媒体政策预估表!$A$2:$M$2,0),0)</f>
        <v>0.1293</v>
      </c>
      <c r="AF7002" s="6">
        <f t="shared" si="1085"/>
        <v>6419.9531729999999</v>
      </c>
      <c r="AG7002" s="14">
        <v>0</v>
      </c>
      <c r="AH7002" s="64">
        <f t="shared" si="1084"/>
        <v>49651.61</v>
      </c>
      <c r="AJ7002" s="126" t="e">
        <v>#N/A</v>
      </c>
      <c r="AK7002" s="80">
        <f t="shared" si="1091"/>
        <v>0</v>
      </c>
      <c r="AL7002" s="85"/>
      <c r="AM7002" s="85"/>
    </row>
    <row r="7003" spans="1:39" s="86" customFormat="1" ht="13.25" hidden="1" customHeight="1" x14ac:dyDescent="0.3">
      <c r="A7003" s="89" t="s">
        <v>3978</v>
      </c>
      <c r="B7003" s="86" t="s">
        <v>701</v>
      </c>
      <c r="C7003" s="86" t="s">
        <v>65</v>
      </c>
      <c r="D7003" s="86" t="s">
        <v>66</v>
      </c>
      <c r="E7003" s="86" t="s">
        <v>2750</v>
      </c>
      <c r="F7003" s="86" t="s">
        <v>2750</v>
      </c>
      <c r="G7003" s="86" t="s">
        <v>2750</v>
      </c>
      <c r="H7003" s="143">
        <v>83</v>
      </c>
      <c r="I7003" s="86" t="s">
        <v>78</v>
      </c>
      <c r="J7003" s="1" t="s">
        <v>3303</v>
      </c>
      <c r="K7003" s="1" t="s">
        <v>3763</v>
      </c>
      <c r="L7003" s="1" t="s">
        <v>701</v>
      </c>
      <c r="M7003" s="86" t="s">
        <v>2751</v>
      </c>
      <c r="O7003" s="47" t="s">
        <v>410</v>
      </c>
      <c r="P7003" s="14" t="s">
        <v>41</v>
      </c>
      <c r="Q7003" s="14">
        <v>0</v>
      </c>
      <c r="R7003" s="143">
        <v>7154</v>
      </c>
      <c r="S7003" s="47"/>
      <c r="T7003" s="6">
        <v>7104.5999999999967</v>
      </c>
      <c r="U7003" s="6"/>
      <c r="V7003" s="6">
        <v>0</v>
      </c>
      <c r="W7003" s="6">
        <f t="shared" si="1086"/>
        <v>7104.5999999999967</v>
      </c>
      <c r="X7003" s="6">
        <f t="shared" si="1087"/>
        <v>0</v>
      </c>
      <c r="Y7003" s="13">
        <f t="shared" si="1089"/>
        <v>0</v>
      </c>
      <c r="Z7003" s="14">
        <v>0</v>
      </c>
      <c r="AA7003" s="6">
        <v>0</v>
      </c>
      <c r="AB7003" s="4">
        <f t="shared" si="1090"/>
        <v>0</v>
      </c>
      <c r="AC7003" s="6">
        <f t="shared" si="1088"/>
        <v>0</v>
      </c>
      <c r="AD7003" s="6">
        <f t="shared" si="1083"/>
        <v>0</v>
      </c>
      <c r="AE7003" s="14">
        <f>VLOOKUP(I7003,[2]媒体政策预估表!A:N,MATCH(O7003,[2]媒体政策预估表!$A$2:$M$2,0),0)</f>
        <v>0.1293</v>
      </c>
      <c r="AF7003" s="6">
        <f t="shared" si="1085"/>
        <v>0</v>
      </c>
      <c r="AG7003" s="14">
        <v>0</v>
      </c>
      <c r="AH7003" s="64">
        <f t="shared" si="1084"/>
        <v>0</v>
      </c>
      <c r="AJ7003" s="126" t="e">
        <v>#N/A</v>
      </c>
      <c r="AK7003" s="80">
        <f t="shared" si="1091"/>
        <v>0</v>
      </c>
      <c r="AL7003" s="85"/>
      <c r="AM7003" s="85"/>
    </row>
    <row r="7004" spans="1:39" s="86" customFormat="1" ht="13.25" hidden="1" customHeight="1" x14ac:dyDescent="0.3">
      <c r="A7004" s="89" t="s">
        <v>3978</v>
      </c>
      <c r="B7004" s="86" t="s">
        <v>701</v>
      </c>
      <c r="C7004" s="86" t="s">
        <v>65</v>
      </c>
      <c r="D7004" s="86" t="s">
        <v>66</v>
      </c>
      <c r="E7004" s="86" t="s">
        <v>1234</v>
      </c>
      <c r="F7004" s="86" t="s">
        <v>1234</v>
      </c>
      <c r="G7004" s="86" t="s">
        <v>1234</v>
      </c>
      <c r="H7004" s="144">
        <v>83</v>
      </c>
      <c r="I7004" s="86" t="s">
        <v>78</v>
      </c>
      <c r="J7004" s="1" t="s">
        <v>3303</v>
      </c>
      <c r="K7004" s="1" t="s">
        <v>3763</v>
      </c>
      <c r="L7004" s="1" t="s">
        <v>701</v>
      </c>
      <c r="M7004" s="86" t="s">
        <v>2855</v>
      </c>
      <c r="O7004" s="47" t="s">
        <v>410</v>
      </c>
      <c r="P7004" s="14" t="s">
        <v>46</v>
      </c>
      <c r="Q7004" s="14">
        <v>0.01</v>
      </c>
      <c r="R7004" s="143">
        <v>7107</v>
      </c>
      <c r="S7004" s="47"/>
      <c r="T7004" s="6">
        <v>17200.900000000009</v>
      </c>
      <c r="U7004" s="6"/>
      <c r="V7004" s="6">
        <v>7489.9</v>
      </c>
      <c r="W7004" s="6">
        <f t="shared" si="1086"/>
        <v>9711.0000000000091</v>
      </c>
      <c r="X7004" s="6">
        <f t="shared" si="1087"/>
        <v>7415.7425742574251</v>
      </c>
      <c r="Y7004" s="13">
        <f t="shared" si="1089"/>
        <v>0</v>
      </c>
      <c r="Z7004" s="14">
        <v>0</v>
      </c>
      <c r="AA7004" s="6">
        <v>0</v>
      </c>
      <c r="AB7004" s="4">
        <f t="shared" si="1090"/>
        <v>7415.7425742574251</v>
      </c>
      <c r="AC7004" s="6">
        <f t="shared" si="1088"/>
        <v>74.15742574257456</v>
      </c>
      <c r="AD7004" s="6">
        <f t="shared" si="1083"/>
        <v>7489.9</v>
      </c>
      <c r="AE7004" s="14">
        <f>VLOOKUP(I7004,[2]媒体政策预估表!A:N,MATCH(O7004,[2]媒体政策预估表!$A$2:$M$2,0),0)</f>
        <v>0.1293</v>
      </c>
      <c r="AF7004" s="6">
        <f t="shared" si="1085"/>
        <v>968.4440699999999</v>
      </c>
      <c r="AG7004" s="14">
        <v>0</v>
      </c>
      <c r="AH7004" s="64">
        <f t="shared" si="1084"/>
        <v>7489.9</v>
      </c>
      <c r="AJ7004" s="126" t="e">
        <v>#N/A</v>
      </c>
      <c r="AK7004" s="80">
        <f t="shared" si="1091"/>
        <v>0</v>
      </c>
      <c r="AL7004" s="85"/>
      <c r="AM7004" s="85"/>
    </row>
    <row r="7005" spans="1:39" s="86" customFormat="1" ht="13.25" hidden="1" customHeight="1" x14ac:dyDescent="0.3">
      <c r="A7005" s="89" t="s">
        <v>3792</v>
      </c>
      <c r="B7005" s="86" t="s">
        <v>701</v>
      </c>
      <c r="C7005" s="86" t="s">
        <v>65</v>
      </c>
      <c r="D7005" s="86" t="s">
        <v>66</v>
      </c>
      <c r="E7005" s="86" t="s">
        <v>3183</v>
      </c>
      <c r="F7005" s="86" t="s">
        <v>3403</v>
      </c>
      <c r="G7005" s="86" t="s">
        <v>3183</v>
      </c>
      <c r="H7005" s="144">
        <v>83</v>
      </c>
      <c r="I7005" s="86" t="s">
        <v>78</v>
      </c>
      <c r="J7005" s="1" t="s">
        <v>3303</v>
      </c>
      <c r="K7005" s="1" t="s">
        <v>3763</v>
      </c>
      <c r="L7005" s="1" t="s">
        <v>701</v>
      </c>
      <c r="M7005" s="86" t="s">
        <v>3183</v>
      </c>
      <c r="O7005" s="47" t="s">
        <v>410</v>
      </c>
      <c r="P7005" s="14" t="s">
        <v>46</v>
      </c>
      <c r="Q7005" s="14">
        <v>0.02</v>
      </c>
      <c r="R7005" s="143">
        <v>7681</v>
      </c>
      <c r="S7005" s="47"/>
      <c r="T7005" s="6">
        <v>5100</v>
      </c>
      <c r="U7005" s="6"/>
      <c r="V7005" s="6">
        <v>3726.45</v>
      </c>
      <c r="W7005" s="6">
        <f t="shared" si="1086"/>
        <v>1373.5500000000002</v>
      </c>
      <c r="X7005" s="6">
        <f t="shared" si="1087"/>
        <v>3653.3823529411761</v>
      </c>
      <c r="Y7005" s="13">
        <f t="shared" si="1089"/>
        <v>0</v>
      </c>
      <c r="Z7005" s="14">
        <v>0</v>
      </c>
      <c r="AA7005" s="6">
        <v>0</v>
      </c>
      <c r="AB7005" s="4">
        <f t="shared" si="1090"/>
        <v>3653.3823529411761</v>
      </c>
      <c r="AC7005" s="6">
        <f t="shared" si="1088"/>
        <v>73.067647058823695</v>
      </c>
      <c r="AD7005" s="6">
        <f t="shared" si="1083"/>
        <v>3726.45</v>
      </c>
      <c r="AE7005" s="14">
        <f>VLOOKUP(I7005,[2]媒体政策预估表!A:N,MATCH(O7005,[2]媒体政策预估表!$A$2:$M$2,0),0)</f>
        <v>0.1293</v>
      </c>
      <c r="AF7005" s="6">
        <f t="shared" si="1085"/>
        <v>481.82998499999997</v>
      </c>
      <c r="AG7005" s="14">
        <v>0</v>
      </c>
      <c r="AH7005" s="64">
        <f t="shared" si="1084"/>
        <v>3726.45</v>
      </c>
      <c r="AJ7005" s="126" t="e">
        <v>#N/A</v>
      </c>
      <c r="AK7005" s="80">
        <f t="shared" si="1091"/>
        <v>0</v>
      </c>
      <c r="AL7005" s="85"/>
      <c r="AM7005" s="85"/>
    </row>
    <row r="7006" spans="1:39" s="86" customFormat="1" ht="13.25" hidden="1" customHeight="1" x14ac:dyDescent="0.3">
      <c r="A7006" s="89" t="s">
        <v>3792</v>
      </c>
      <c r="B7006" s="86" t="s">
        <v>701</v>
      </c>
      <c r="C7006" s="86" t="s">
        <v>65</v>
      </c>
      <c r="D7006" s="86" t="s">
        <v>122</v>
      </c>
      <c r="E7006" s="86" t="s">
        <v>1266</v>
      </c>
      <c r="F7006" s="86" t="s">
        <v>1266</v>
      </c>
      <c r="G7006" s="86" t="s">
        <v>1266</v>
      </c>
      <c r="H7006" s="144">
        <v>83</v>
      </c>
      <c r="I7006" s="86" t="s">
        <v>78</v>
      </c>
      <c r="J7006" s="1" t="s">
        <v>3303</v>
      </c>
      <c r="K7006" s="1" t="s">
        <v>3763</v>
      </c>
      <c r="L7006" s="1" t="s">
        <v>701</v>
      </c>
      <c r="M7006" s="86" t="s">
        <v>2759</v>
      </c>
      <c r="O7006" s="47" t="s">
        <v>410</v>
      </c>
      <c r="P7006" s="14" t="s">
        <v>41</v>
      </c>
      <c r="Q7006" s="14">
        <v>0</v>
      </c>
      <c r="R7006" s="143">
        <v>7663</v>
      </c>
      <c r="S7006" s="47"/>
      <c r="T7006" s="6">
        <v>18837.900000000001</v>
      </c>
      <c r="U7006" s="6"/>
      <c r="V7006" s="6">
        <v>796.8</v>
      </c>
      <c r="W7006" s="6">
        <f t="shared" si="1086"/>
        <v>18041.100000000002</v>
      </c>
      <c r="X7006" s="6">
        <f t="shared" si="1087"/>
        <v>796.8</v>
      </c>
      <c r="Y7006" s="13">
        <f t="shared" si="1089"/>
        <v>0</v>
      </c>
      <c r="Z7006" s="14">
        <v>0</v>
      </c>
      <c r="AA7006" s="6">
        <v>0</v>
      </c>
      <c r="AB7006" s="4">
        <f t="shared" si="1090"/>
        <v>796.8</v>
      </c>
      <c r="AC7006" s="6">
        <f t="shared" si="1088"/>
        <v>0</v>
      </c>
      <c r="AD7006" s="6">
        <f t="shared" si="1083"/>
        <v>796.8</v>
      </c>
      <c r="AE7006" s="14">
        <f>VLOOKUP(I7006,[2]媒体政策预估表!A:N,MATCH(O7006,[2]媒体政策预估表!$A$2:$M$2,0),0)</f>
        <v>0.1293</v>
      </c>
      <c r="AF7006" s="6">
        <f t="shared" si="1085"/>
        <v>103.02623999999999</v>
      </c>
      <c r="AG7006" s="14">
        <v>0</v>
      </c>
      <c r="AH7006" s="64">
        <f t="shared" si="1084"/>
        <v>796.8</v>
      </c>
      <c r="AJ7006" s="126" t="e">
        <v>#N/A</v>
      </c>
      <c r="AK7006" s="80">
        <f t="shared" si="1091"/>
        <v>0</v>
      </c>
      <c r="AL7006" s="85"/>
      <c r="AM7006" s="85"/>
    </row>
    <row r="7007" spans="1:39" s="86" customFormat="1" ht="13.25" hidden="1" customHeight="1" x14ac:dyDescent="0.3">
      <c r="A7007" s="89" t="s">
        <v>3978</v>
      </c>
      <c r="B7007" s="86" t="s">
        <v>701</v>
      </c>
      <c r="C7007" s="86" t="s">
        <v>65</v>
      </c>
      <c r="D7007" s="86" t="s">
        <v>122</v>
      </c>
      <c r="E7007" s="86" t="s">
        <v>2867</v>
      </c>
      <c r="F7007" s="86" t="s">
        <v>2867</v>
      </c>
      <c r="G7007" s="86" t="s">
        <v>2867</v>
      </c>
      <c r="H7007" s="144">
        <v>83</v>
      </c>
      <c r="I7007" s="86" t="s">
        <v>78</v>
      </c>
      <c r="J7007" s="1" t="s">
        <v>3303</v>
      </c>
      <c r="K7007" s="1" t="s">
        <v>3763</v>
      </c>
      <c r="L7007" s="1" t="s">
        <v>701</v>
      </c>
      <c r="M7007" s="86" t="s">
        <v>2868</v>
      </c>
      <c r="O7007" s="47" t="s">
        <v>410</v>
      </c>
      <c r="P7007" s="14" t="s">
        <v>41</v>
      </c>
      <c r="Q7007" s="14">
        <v>0</v>
      </c>
      <c r="R7007" s="143">
        <v>7125</v>
      </c>
      <c r="S7007" s="47"/>
      <c r="T7007" s="6">
        <v>30007.090000000004</v>
      </c>
      <c r="U7007" s="6"/>
      <c r="V7007" s="6">
        <v>14379.560000000001</v>
      </c>
      <c r="W7007" s="6">
        <f t="shared" si="1086"/>
        <v>15627.530000000002</v>
      </c>
      <c r="X7007" s="6">
        <f t="shared" si="1087"/>
        <v>14379.560000000001</v>
      </c>
      <c r="Y7007" s="13">
        <f t="shared" si="1089"/>
        <v>0</v>
      </c>
      <c r="Z7007" s="14">
        <v>0</v>
      </c>
      <c r="AA7007" s="6">
        <v>0</v>
      </c>
      <c r="AB7007" s="4">
        <f t="shared" si="1090"/>
        <v>14379.560000000001</v>
      </c>
      <c r="AC7007" s="6">
        <f t="shared" si="1088"/>
        <v>0</v>
      </c>
      <c r="AD7007" s="6">
        <f t="shared" si="1083"/>
        <v>14379.560000000001</v>
      </c>
      <c r="AE7007" s="14">
        <f>VLOOKUP(I7007,[2]媒体政策预估表!A:N,MATCH(O7007,[2]媒体政策预估表!$A$2:$M$2,0),0)</f>
        <v>0.1293</v>
      </c>
      <c r="AF7007" s="6">
        <f t="shared" si="1085"/>
        <v>1859.2771080000002</v>
      </c>
      <c r="AG7007" s="14">
        <v>0</v>
      </c>
      <c r="AH7007" s="64">
        <f t="shared" si="1084"/>
        <v>14379.560000000001</v>
      </c>
      <c r="AJ7007" s="126" t="e">
        <v>#N/A</v>
      </c>
      <c r="AK7007" s="80">
        <f t="shared" si="1091"/>
        <v>0</v>
      </c>
      <c r="AL7007" s="85"/>
      <c r="AM7007" s="85"/>
    </row>
    <row r="7008" spans="1:39" s="86" customFormat="1" ht="13.25" hidden="1" customHeight="1" x14ac:dyDescent="0.3">
      <c r="A7008" s="89" t="s">
        <v>3978</v>
      </c>
      <c r="B7008" s="86" t="s">
        <v>701</v>
      </c>
      <c r="C7008" s="86" t="s">
        <v>65</v>
      </c>
      <c r="D7008" s="86" t="s">
        <v>125</v>
      </c>
      <c r="E7008" s="86" t="s">
        <v>2766</v>
      </c>
      <c r="F7008" s="86" t="s">
        <v>2766</v>
      </c>
      <c r="G7008" s="86" t="s">
        <v>2766</v>
      </c>
      <c r="H7008" s="144">
        <v>83</v>
      </c>
      <c r="I7008" s="86" t="s">
        <v>78</v>
      </c>
      <c r="J7008" s="1" t="s">
        <v>3303</v>
      </c>
      <c r="K7008" s="1" t="s">
        <v>3763</v>
      </c>
      <c r="L7008" s="1" t="s">
        <v>701</v>
      </c>
      <c r="M7008" s="86" t="s">
        <v>2767</v>
      </c>
      <c r="O7008" s="47" t="s">
        <v>410</v>
      </c>
      <c r="P7008" s="14" t="s">
        <v>41</v>
      </c>
      <c r="Q7008" s="14">
        <v>0</v>
      </c>
      <c r="R7008" s="143">
        <v>7536</v>
      </c>
      <c r="S7008" s="47"/>
      <c r="T7008" s="6">
        <v>95379</v>
      </c>
      <c r="U7008" s="6"/>
      <c r="V7008" s="6">
        <v>16686.5</v>
      </c>
      <c r="W7008" s="6">
        <f t="shared" si="1086"/>
        <v>78692.5</v>
      </c>
      <c r="X7008" s="6">
        <f t="shared" si="1087"/>
        <v>16686.5</v>
      </c>
      <c r="Y7008" s="13">
        <f t="shared" si="1089"/>
        <v>0</v>
      </c>
      <c r="Z7008" s="14">
        <v>0</v>
      </c>
      <c r="AA7008" s="6">
        <v>0</v>
      </c>
      <c r="AB7008" s="4">
        <f t="shared" si="1090"/>
        <v>16686.5</v>
      </c>
      <c r="AC7008" s="6">
        <f t="shared" si="1088"/>
        <v>0</v>
      </c>
      <c r="AD7008" s="6">
        <f t="shared" si="1083"/>
        <v>16686.5</v>
      </c>
      <c r="AE7008" s="14">
        <f>VLOOKUP(I7008,[2]媒体政策预估表!A:N,MATCH(O7008,[2]媒体政策预估表!$A$2:$M$2,0),0)</f>
        <v>0.1293</v>
      </c>
      <c r="AF7008" s="6">
        <f t="shared" si="1085"/>
        <v>2157.5644499999999</v>
      </c>
      <c r="AG7008" s="14">
        <v>0</v>
      </c>
      <c r="AH7008" s="64">
        <f t="shared" si="1084"/>
        <v>16686.5</v>
      </c>
      <c r="AJ7008" s="126" t="e">
        <v>#N/A</v>
      </c>
      <c r="AK7008" s="80">
        <f t="shared" si="1091"/>
        <v>0</v>
      </c>
      <c r="AL7008" s="85"/>
      <c r="AM7008" s="85"/>
    </row>
    <row r="7009" spans="1:39" s="86" customFormat="1" ht="13.25" hidden="1" customHeight="1" x14ac:dyDescent="0.3">
      <c r="A7009" s="89" t="s">
        <v>3792</v>
      </c>
      <c r="B7009" s="86" t="s">
        <v>701</v>
      </c>
      <c r="C7009" s="86" t="s">
        <v>65</v>
      </c>
      <c r="D7009" s="86" t="s">
        <v>125</v>
      </c>
      <c r="E7009" s="86" t="s">
        <v>2768</v>
      </c>
      <c r="F7009" s="86" t="s">
        <v>2768</v>
      </c>
      <c r="G7009" s="86" t="s">
        <v>2768</v>
      </c>
      <c r="H7009" s="144">
        <v>83</v>
      </c>
      <c r="I7009" s="86" t="s">
        <v>78</v>
      </c>
      <c r="J7009" s="1" t="s">
        <v>3303</v>
      </c>
      <c r="K7009" s="1" t="s">
        <v>3763</v>
      </c>
      <c r="L7009" s="1" t="s">
        <v>701</v>
      </c>
      <c r="M7009" s="86" t="s">
        <v>2768</v>
      </c>
      <c r="O7009" s="47" t="s">
        <v>410</v>
      </c>
      <c r="P7009" s="14" t="s">
        <v>41</v>
      </c>
      <c r="Q7009" s="14">
        <v>0</v>
      </c>
      <c r="R7009" s="143">
        <v>7389</v>
      </c>
      <c r="S7009" s="47"/>
      <c r="T7009" s="6">
        <v>37297.899999999994</v>
      </c>
      <c r="U7009" s="6"/>
      <c r="V7009" s="6">
        <v>17618.7</v>
      </c>
      <c r="W7009" s="6">
        <f t="shared" si="1086"/>
        <v>19679.199999999993</v>
      </c>
      <c r="X7009" s="6">
        <f t="shared" si="1087"/>
        <v>17618.7</v>
      </c>
      <c r="Y7009" s="13">
        <f t="shared" si="1089"/>
        <v>0</v>
      </c>
      <c r="Z7009" s="14">
        <v>0</v>
      </c>
      <c r="AA7009" s="6">
        <v>0</v>
      </c>
      <c r="AB7009" s="4">
        <f t="shared" si="1090"/>
        <v>17618.7</v>
      </c>
      <c r="AC7009" s="6">
        <f t="shared" si="1088"/>
        <v>0</v>
      </c>
      <c r="AD7009" s="6">
        <f t="shared" ref="AD7009:AD7072" si="1092">V7009</f>
        <v>17618.7</v>
      </c>
      <c r="AE7009" s="14">
        <f>VLOOKUP(I7009,[2]媒体政策预估表!A:N,MATCH(O7009,[2]媒体政策预估表!$A$2:$M$2,0),0)</f>
        <v>0.1293</v>
      </c>
      <c r="AF7009" s="6">
        <f t="shared" si="1085"/>
        <v>2278.09791</v>
      </c>
      <c r="AG7009" s="14">
        <v>0</v>
      </c>
      <c r="AH7009" s="64">
        <f t="shared" ref="AH7009:AH7072" si="1093">V7009</f>
        <v>17618.7</v>
      </c>
      <c r="AJ7009" s="126" t="e">
        <v>#N/A</v>
      </c>
      <c r="AK7009" s="80">
        <f t="shared" si="1091"/>
        <v>0</v>
      </c>
      <c r="AL7009" s="85"/>
      <c r="AM7009" s="85"/>
    </row>
    <row r="7010" spans="1:39" s="86" customFormat="1" ht="13.25" hidden="1" customHeight="1" x14ac:dyDescent="0.3">
      <c r="A7010" s="89" t="s">
        <v>3978</v>
      </c>
      <c r="B7010" s="86" t="s">
        <v>701</v>
      </c>
      <c r="C7010" s="86" t="s">
        <v>184</v>
      </c>
      <c r="D7010" s="86" t="s">
        <v>3849</v>
      </c>
      <c r="E7010" s="86" t="s">
        <v>2581</v>
      </c>
      <c r="F7010" s="86" t="s">
        <v>2581</v>
      </c>
      <c r="G7010" s="86" t="s">
        <v>2581</v>
      </c>
      <c r="H7010" s="144">
        <v>83</v>
      </c>
      <c r="I7010" s="86" t="s">
        <v>78</v>
      </c>
      <c r="J7010" s="1" t="s">
        <v>3303</v>
      </c>
      <c r="K7010" s="1" t="s">
        <v>3763</v>
      </c>
      <c r="L7010" s="1" t="s">
        <v>701</v>
      </c>
      <c r="M7010" s="86" t="s">
        <v>70</v>
      </c>
      <c r="O7010" s="47" t="s">
        <v>410</v>
      </c>
      <c r="P7010" s="14" t="s">
        <v>41</v>
      </c>
      <c r="Q7010" s="14">
        <v>0</v>
      </c>
      <c r="R7010" s="143">
        <v>7572</v>
      </c>
      <c r="S7010" s="47"/>
      <c r="T7010" s="6">
        <v>53340.570000000007</v>
      </c>
      <c r="U7010" s="6"/>
      <c r="V7010" s="6">
        <v>33963.9</v>
      </c>
      <c r="W7010" s="6">
        <f t="shared" si="1086"/>
        <v>19376.670000000006</v>
      </c>
      <c r="X7010" s="6">
        <f t="shared" si="1087"/>
        <v>33963.9</v>
      </c>
      <c r="Y7010" s="13">
        <f t="shared" si="1089"/>
        <v>0</v>
      </c>
      <c r="Z7010" s="14">
        <v>0</v>
      </c>
      <c r="AA7010" s="6">
        <v>0</v>
      </c>
      <c r="AB7010" s="4">
        <f t="shared" si="1090"/>
        <v>33963.9</v>
      </c>
      <c r="AC7010" s="6">
        <f t="shared" si="1088"/>
        <v>0</v>
      </c>
      <c r="AD7010" s="6">
        <f t="shared" si="1092"/>
        <v>33963.9</v>
      </c>
      <c r="AE7010" s="14">
        <f>VLOOKUP(I7010,[2]媒体政策预估表!A:N,MATCH(O7010,[2]媒体政策预估表!$A$2:$M$2,0),0)</f>
        <v>0.1293</v>
      </c>
      <c r="AF7010" s="6">
        <f t="shared" si="1085"/>
        <v>4391.5322699999997</v>
      </c>
      <c r="AG7010" s="14">
        <v>0</v>
      </c>
      <c r="AH7010" s="64">
        <f t="shared" si="1093"/>
        <v>33963.9</v>
      </c>
      <c r="AJ7010" s="126" t="e">
        <v>#N/A</v>
      </c>
      <c r="AK7010" s="80">
        <f t="shared" si="1091"/>
        <v>0</v>
      </c>
      <c r="AL7010" s="85"/>
      <c r="AM7010" s="85"/>
    </row>
    <row r="7011" spans="1:39" s="86" customFormat="1" ht="13.25" hidden="1" customHeight="1" x14ac:dyDescent="0.3">
      <c r="A7011" s="89" t="s">
        <v>3978</v>
      </c>
      <c r="B7011" s="86" t="s">
        <v>701</v>
      </c>
      <c r="C7011" s="86" t="s">
        <v>36</v>
      </c>
      <c r="D7011" s="86" t="s">
        <v>185</v>
      </c>
      <c r="E7011" s="86" t="s">
        <v>2409</v>
      </c>
      <c r="F7011" s="86" t="s">
        <v>2776</v>
      </c>
      <c r="G7011" s="86" t="s">
        <v>2409</v>
      </c>
      <c r="H7011" s="144">
        <v>83</v>
      </c>
      <c r="I7011" s="86" t="s">
        <v>78</v>
      </c>
      <c r="J7011" s="1" t="s">
        <v>3303</v>
      </c>
      <c r="K7011" s="1" t="s">
        <v>3763</v>
      </c>
      <c r="L7011" s="1" t="s">
        <v>701</v>
      </c>
      <c r="M7011" s="86" t="s">
        <v>2780</v>
      </c>
      <c r="O7011" s="47" t="s">
        <v>410</v>
      </c>
      <c r="P7011" s="14" t="s">
        <v>46</v>
      </c>
      <c r="Q7011" s="14">
        <v>7.0000000000000007E-2</v>
      </c>
      <c r="R7011" s="143">
        <v>7577</v>
      </c>
      <c r="S7011" s="47"/>
      <c r="T7011" s="6">
        <v>58739.849999999984</v>
      </c>
      <c r="U7011" s="6"/>
      <c r="V7011" s="6">
        <v>32775.479999999996</v>
      </c>
      <c r="W7011" s="6">
        <f t="shared" si="1086"/>
        <v>25964.369999999988</v>
      </c>
      <c r="X7011" s="6">
        <f t="shared" si="1087"/>
        <v>30631.289719626162</v>
      </c>
      <c r="Y7011" s="13">
        <f t="shared" si="1089"/>
        <v>0</v>
      </c>
      <c r="Z7011" s="14">
        <v>0</v>
      </c>
      <c r="AA7011" s="6">
        <v>0</v>
      </c>
      <c r="AB7011" s="4">
        <f t="shared" si="1090"/>
        <v>30631.289719626162</v>
      </c>
      <c r="AC7011" s="6">
        <f t="shared" si="1088"/>
        <v>2144.190280373834</v>
      </c>
      <c r="AD7011" s="6">
        <f t="shared" si="1092"/>
        <v>32775.479999999996</v>
      </c>
      <c r="AE7011" s="14">
        <f>VLOOKUP(I7011,[2]媒体政策预估表!A:N,MATCH(O7011,[2]媒体政策预估表!$A$2:$M$2,0),0)</f>
        <v>0.1293</v>
      </c>
      <c r="AF7011" s="6">
        <f t="shared" si="1085"/>
        <v>4237.8695639999996</v>
      </c>
      <c r="AG7011" s="14">
        <v>0</v>
      </c>
      <c r="AH7011" s="64">
        <f t="shared" si="1093"/>
        <v>32775.479999999996</v>
      </c>
      <c r="AJ7011" s="126" t="e">
        <v>#N/A</v>
      </c>
      <c r="AK7011" s="80">
        <f t="shared" si="1091"/>
        <v>0</v>
      </c>
      <c r="AL7011" s="85"/>
      <c r="AM7011" s="85"/>
    </row>
    <row r="7012" spans="1:39" s="86" customFormat="1" ht="13.25" hidden="1" customHeight="1" x14ac:dyDescent="0.3">
      <c r="A7012" s="89" t="s">
        <v>3978</v>
      </c>
      <c r="B7012" s="86" t="s">
        <v>701</v>
      </c>
      <c r="C7012" s="86" t="s">
        <v>36</v>
      </c>
      <c r="D7012" s="86" t="s">
        <v>185</v>
      </c>
      <c r="E7012" s="86" t="s">
        <v>2418</v>
      </c>
      <c r="F7012" s="86" t="s">
        <v>2782</v>
      </c>
      <c r="G7012" s="86" t="s">
        <v>2418</v>
      </c>
      <c r="H7012" s="144">
        <v>83</v>
      </c>
      <c r="I7012" s="86" t="s">
        <v>78</v>
      </c>
      <c r="J7012" s="1" t="s">
        <v>3303</v>
      </c>
      <c r="K7012" s="1" t="s">
        <v>3763</v>
      </c>
      <c r="L7012" s="1" t="s">
        <v>701</v>
      </c>
      <c r="M7012" s="86" t="s">
        <v>2418</v>
      </c>
      <c r="O7012" s="47" t="s">
        <v>410</v>
      </c>
      <c r="P7012" s="14" t="s">
        <v>46</v>
      </c>
      <c r="Q7012" s="14">
        <v>7.0000000000000007E-2</v>
      </c>
      <c r="R7012" s="143">
        <v>7580</v>
      </c>
      <c r="S7012" s="47"/>
      <c r="T7012" s="6">
        <v>3948007.4400000004</v>
      </c>
      <c r="U7012" s="6"/>
      <c r="V7012" s="6">
        <v>1945705.13</v>
      </c>
      <c r="W7012" s="6">
        <f t="shared" si="1086"/>
        <v>2002302.3100000005</v>
      </c>
      <c r="X7012" s="6">
        <f t="shared" si="1087"/>
        <v>1818416.0093457941</v>
      </c>
      <c r="Y7012" s="13">
        <f t="shared" si="1089"/>
        <v>0</v>
      </c>
      <c r="Z7012" s="14">
        <v>0</v>
      </c>
      <c r="AA7012" s="6">
        <v>0</v>
      </c>
      <c r="AB7012" s="4">
        <f t="shared" si="1090"/>
        <v>1818416.0093457941</v>
      </c>
      <c r="AC7012" s="6">
        <f t="shared" si="1088"/>
        <v>127289.12065420579</v>
      </c>
      <c r="AD7012" s="6">
        <f t="shared" si="1092"/>
        <v>1945705.13</v>
      </c>
      <c r="AE7012" s="14">
        <f>VLOOKUP(I7012,[2]媒体政策预估表!A:N,MATCH(O7012,[2]媒体政策预估表!$A$2:$M$2,0),0)</f>
        <v>0.1293</v>
      </c>
      <c r="AF7012" s="6">
        <f t="shared" ref="AF7012:AF7075" si="1094">AD7012*AE7012</f>
        <v>251579.67330899998</v>
      </c>
      <c r="AG7012" s="14">
        <v>0</v>
      </c>
      <c r="AH7012" s="64">
        <f t="shared" si="1093"/>
        <v>1945705.13</v>
      </c>
      <c r="AJ7012" s="126" t="e">
        <v>#N/A</v>
      </c>
      <c r="AK7012" s="80">
        <f t="shared" si="1091"/>
        <v>0</v>
      </c>
      <c r="AL7012" s="85"/>
      <c r="AM7012" s="85"/>
    </row>
    <row r="7013" spans="1:39" s="86" customFormat="1" ht="13.25" hidden="1" customHeight="1" x14ac:dyDescent="0.3">
      <c r="A7013" s="89" t="s">
        <v>3792</v>
      </c>
      <c r="B7013" s="86" t="s">
        <v>701</v>
      </c>
      <c r="C7013" s="86" t="s">
        <v>36</v>
      </c>
      <c r="D7013" s="86" t="s">
        <v>185</v>
      </c>
      <c r="E7013" s="86" t="s">
        <v>2418</v>
      </c>
      <c r="F7013" s="86" t="s">
        <v>2782</v>
      </c>
      <c r="G7013" s="86" t="s">
        <v>2418</v>
      </c>
      <c r="H7013" s="144">
        <v>83</v>
      </c>
      <c r="I7013" s="86" t="s">
        <v>78</v>
      </c>
      <c r="J7013" s="1" t="s">
        <v>3303</v>
      </c>
      <c r="K7013" s="1" t="s">
        <v>3763</v>
      </c>
      <c r="L7013" s="1" t="s">
        <v>701</v>
      </c>
      <c r="M7013" s="86" t="s">
        <v>2783</v>
      </c>
      <c r="O7013" s="47" t="s">
        <v>410</v>
      </c>
      <c r="P7013" s="14" t="s">
        <v>46</v>
      </c>
      <c r="Q7013" s="14">
        <v>7.0000000000000007E-2</v>
      </c>
      <c r="R7013" s="143">
        <v>7581</v>
      </c>
      <c r="S7013" s="47"/>
      <c r="T7013" s="6">
        <v>378198.6399999999</v>
      </c>
      <c r="U7013" s="6"/>
      <c r="V7013" s="6">
        <v>165043.35999999999</v>
      </c>
      <c r="W7013" s="6">
        <f t="shared" si="1086"/>
        <v>213155.27999999991</v>
      </c>
      <c r="X7013" s="6">
        <f t="shared" si="1087"/>
        <v>154246.13084112148</v>
      </c>
      <c r="Y7013" s="13">
        <f t="shared" si="1089"/>
        <v>0</v>
      </c>
      <c r="Z7013" s="14">
        <v>0</v>
      </c>
      <c r="AA7013" s="6">
        <v>0</v>
      </c>
      <c r="AB7013" s="4">
        <f t="shared" si="1090"/>
        <v>154246.13084112148</v>
      </c>
      <c r="AC7013" s="6">
        <f t="shared" si="1088"/>
        <v>10797.229158878501</v>
      </c>
      <c r="AD7013" s="6">
        <f t="shared" si="1092"/>
        <v>165043.35999999999</v>
      </c>
      <c r="AE7013" s="14">
        <f>VLOOKUP(I7013,[2]媒体政策预估表!A:N,MATCH(O7013,[2]媒体政策预估表!$A$2:$M$2,0),0)</f>
        <v>0.1293</v>
      </c>
      <c r="AF7013" s="6">
        <f t="shared" si="1094"/>
        <v>21340.106447999999</v>
      </c>
      <c r="AG7013" s="14">
        <v>0</v>
      </c>
      <c r="AH7013" s="64">
        <f t="shared" si="1093"/>
        <v>165043.35999999999</v>
      </c>
      <c r="AJ7013" s="126" t="e">
        <v>#N/A</v>
      </c>
      <c r="AK7013" s="80">
        <f t="shared" si="1091"/>
        <v>0</v>
      </c>
      <c r="AL7013" s="85"/>
      <c r="AM7013" s="85"/>
    </row>
    <row r="7014" spans="1:39" s="86" customFormat="1" ht="13.25" hidden="1" customHeight="1" x14ac:dyDescent="0.3">
      <c r="A7014" s="89" t="s">
        <v>3792</v>
      </c>
      <c r="B7014" s="86" t="s">
        <v>701</v>
      </c>
      <c r="C7014" s="86" t="s">
        <v>36</v>
      </c>
      <c r="D7014" s="86" t="s">
        <v>185</v>
      </c>
      <c r="E7014" s="86" t="s">
        <v>2418</v>
      </c>
      <c r="F7014" s="86" t="s">
        <v>2782</v>
      </c>
      <c r="G7014" s="86" t="s">
        <v>2418</v>
      </c>
      <c r="H7014" s="144">
        <v>83</v>
      </c>
      <c r="I7014" s="86" t="s">
        <v>78</v>
      </c>
      <c r="J7014" s="1" t="s">
        <v>3303</v>
      </c>
      <c r="K7014" s="1" t="s">
        <v>3763</v>
      </c>
      <c r="L7014" s="1" t="s">
        <v>701</v>
      </c>
      <c r="M7014" s="86" t="s">
        <v>2784</v>
      </c>
      <c r="O7014" s="47" t="s">
        <v>410</v>
      </c>
      <c r="P7014" s="14" t="s">
        <v>46</v>
      </c>
      <c r="Q7014" s="14">
        <v>7.0000000000000007E-2</v>
      </c>
      <c r="R7014" s="143">
        <v>7578</v>
      </c>
      <c r="S7014" s="47"/>
      <c r="T7014" s="6">
        <v>949724.89</v>
      </c>
      <c r="U7014" s="6"/>
      <c r="V7014" s="6">
        <v>633826.34000000008</v>
      </c>
      <c r="W7014" s="6">
        <f t="shared" si="1086"/>
        <v>315898.54999999993</v>
      </c>
      <c r="X7014" s="6">
        <f t="shared" si="1087"/>
        <v>592361.06542056077</v>
      </c>
      <c r="Y7014" s="13">
        <f t="shared" si="1089"/>
        <v>0</v>
      </c>
      <c r="Z7014" s="14">
        <v>0</v>
      </c>
      <c r="AA7014" s="6">
        <v>0</v>
      </c>
      <c r="AB7014" s="4">
        <f t="shared" si="1090"/>
        <v>592361.06542056077</v>
      </c>
      <c r="AC7014" s="6">
        <f t="shared" si="1088"/>
        <v>41465.274579439312</v>
      </c>
      <c r="AD7014" s="6">
        <f t="shared" si="1092"/>
        <v>633826.34000000008</v>
      </c>
      <c r="AE7014" s="14">
        <f>VLOOKUP(I7014,[2]媒体政策预估表!A:N,MATCH(O7014,[2]媒体政策预估表!$A$2:$M$2,0),0)</f>
        <v>0.1293</v>
      </c>
      <c r="AF7014" s="6">
        <f t="shared" si="1094"/>
        <v>81953.745762000006</v>
      </c>
      <c r="AG7014" s="14">
        <v>0</v>
      </c>
      <c r="AH7014" s="64">
        <f t="shared" si="1093"/>
        <v>633826.34000000008</v>
      </c>
      <c r="AJ7014" s="126" t="e">
        <v>#N/A</v>
      </c>
      <c r="AK7014" s="80">
        <f t="shared" si="1091"/>
        <v>0</v>
      </c>
      <c r="AL7014" s="85"/>
      <c r="AM7014" s="85"/>
    </row>
    <row r="7015" spans="1:39" s="86" customFormat="1" ht="13.25" hidden="1" customHeight="1" x14ac:dyDescent="0.3">
      <c r="A7015" s="89" t="s">
        <v>3978</v>
      </c>
      <c r="B7015" s="86" t="s">
        <v>701</v>
      </c>
      <c r="C7015" s="86" t="s">
        <v>184</v>
      </c>
      <c r="D7015" s="86" t="s">
        <v>54</v>
      </c>
      <c r="E7015" s="86" t="s">
        <v>2482</v>
      </c>
      <c r="F7015" s="86" t="s">
        <v>2483</v>
      </c>
      <c r="G7015" s="86" t="s">
        <v>2482</v>
      </c>
      <c r="H7015" s="144">
        <v>83</v>
      </c>
      <c r="I7015" s="86" t="s">
        <v>78</v>
      </c>
      <c r="J7015" s="1" t="s">
        <v>3303</v>
      </c>
      <c r="K7015" s="1" t="s">
        <v>3763</v>
      </c>
      <c r="L7015" s="1" t="s">
        <v>701</v>
      </c>
      <c r="M7015" s="86" t="s">
        <v>2482</v>
      </c>
      <c r="O7015" s="47" t="s">
        <v>410</v>
      </c>
      <c r="P7015" s="14" t="s">
        <v>41</v>
      </c>
      <c r="Q7015" s="14">
        <v>0</v>
      </c>
      <c r="R7015" s="143">
        <v>7592</v>
      </c>
      <c r="S7015" s="47"/>
      <c r="T7015" s="6">
        <v>35204.410000000003</v>
      </c>
      <c r="U7015" s="6"/>
      <c r="V7015" s="6">
        <v>11712.03</v>
      </c>
      <c r="W7015" s="6">
        <f t="shared" si="1086"/>
        <v>23492.380000000005</v>
      </c>
      <c r="X7015" s="6">
        <f t="shared" si="1087"/>
        <v>11712.03</v>
      </c>
      <c r="Y7015" s="13">
        <f t="shared" si="1089"/>
        <v>0</v>
      </c>
      <c r="Z7015" s="14">
        <v>0</v>
      </c>
      <c r="AA7015" s="6">
        <v>0</v>
      </c>
      <c r="AB7015" s="4">
        <f t="shared" si="1090"/>
        <v>11712.03</v>
      </c>
      <c r="AC7015" s="6">
        <f t="shared" si="1088"/>
        <v>0</v>
      </c>
      <c r="AD7015" s="6">
        <f t="shared" si="1092"/>
        <v>11712.03</v>
      </c>
      <c r="AE7015" s="14">
        <f>VLOOKUP(I7015,[2]媒体政策预估表!A:N,MATCH(O7015,[2]媒体政策预估表!$A$2:$M$2,0),0)</f>
        <v>0.1293</v>
      </c>
      <c r="AF7015" s="6">
        <f t="shared" si="1094"/>
        <v>1514.3654790000001</v>
      </c>
      <c r="AG7015" s="14">
        <v>0</v>
      </c>
      <c r="AH7015" s="64">
        <f t="shared" si="1093"/>
        <v>11712.03</v>
      </c>
      <c r="AJ7015" s="126" t="e">
        <v>#N/A</v>
      </c>
      <c r="AK7015" s="80">
        <f t="shared" si="1091"/>
        <v>0</v>
      </c>
      <c r="AL7015" s="85"/>
      <c r="AM7015" s="85"/>
    </row>
    <row r="7016" spans="1:39" s="86" customFormat="1" ht="13.25" hidden="1" customHeight="1" x14ac:dyDescent="0.3">
      <c r="A7016" s="89" t="s">
        <v>3978</v>
      </c>
      <c r="B7016" s="86" t="s">
        <v>701</v>
      </c>
      <c r="C7016" s="86" t="s">
        <v>144</v>
      </c>
      <c r="D7016" s="86" t="s">
        <v>145</v>
      </c>
      <c r="E7016" s="86" t="s">
        <v>149</v>
      </c>
      <c r="F7016" s="86" t="s">
        <v>149</v>
      </c>
      <c r="G7016" s="86" t="s">
        <v>149</v>
      </c>
      <c r="H7016" s="144">
        <v>83</v>
      </c>
      <c r="I7016" s="86" t="s">
        <v>78</v>
      </c>
      <c r="J7016" s="1" t="s">
        <v>3303</v>
      </c>
      <c r="K7016" s="1" t="s">
        <v>3763</v>
      </c>
      <c r="L7016" s="1" t="s">
        <v>701</v>
      </c>
      <c r="M7016" s="86" t="s">
        <v>3405</v>
      </c>
      <c r="O7016" s="47" t="s">
        <v>410</v>
      </c>
      <c r="P7016" s="14" t="s">
        <v>41</v>
      </c>
      <c r="Q7016" s="14">
        <v>0</v>
      </c>
      <c r="R7016" s="143">
        <v>7657</v>
      </c>
      <c r="S7016" s="47"/>
      <c r="T7016" s="6">
        <v>27129.599999999999</v>
      </c>
      <c r="U7016" s="6"/>
      <c r="V7016" s="6">
        <v>498.1</v>
      </c>
      <c r="W7016" s="6">
        <f t="shared" si="1086"/>
        <v>26631.5</v>
      </c>
      <c r="X7016" s="6">
        <f t="shared" si="1087"/>
        <v>498.1</v>
      </c>
      <c r="Y7016" s="13">
        <f t="shared" si="1089"/>
        <v>0</v>
      </c>
      <c r="Z7016" s="14">
        <v>0</v>
      </c>
      <c r="AA7016" s="6">
        <v>0</v>
      </c>
      <c r="AB7016" s="4">
        <f t="shared" si="1090"/>
        <v>498.1</v>
      </c>
      <c r="AC7016" s="6">
        <f t="shared" si="1088"/>
        <v>0</v>
      </c>
      <c r="AD7016" s="6">
        <f t="shared" si="1092"/>
        <v>498.1</v>
      </c>
      <c r="AE7016" s="14">
        <f>VLOOKUP(I7016,[2]媒体政策预估表!A:N,MATCH(O7016,[2]媒体政策预估表!$A$2:$M$2,0),0)</f>
        <v>0.1293</v>
      </c>
      <c r="AF7016" s="6">
        <f t="shared" si="1094"/>
        <v>64.404330000000002</v>
      </c>
      <c r="AG7016" s="14">
        <v>0</v>
      </c>
      <c r="AH7016" s="64">
        <f t="shared" si="1093"/>
        <v>498.1</v>
      </c>
      <c r="AJ7016" s="126" t="e">
        <v>#N/A</v>
      </c>
      <c r="AK7016" s="80">
        <f t="shared" si="1091"/>
        <v>0</v>
      </c>
      <c r="AL7016" s="85"/>
      <c r="AM7016" s="85"/>
    </row>
    <row r="7017" spans="1:39" s="86" customFormat="1" ht="13.25" hidden="1" customHeight="1" x14ac:dyDescent="0.3">
      <c r="A7017" s="89" t="s">
        <v>3978</v>
      </c>
      <c r="B7017" s="86" t="s">
        <v>701</v>
      </c>
      <c r="C7017" s="86" t="s">
        <v>144</v>
      </c>
      <c r="D7017" s="86" t="s">
        <v>152</v>
      </c>
      <c r="E7017" s="86" t="s">
        <v>2795</v>
      </c>
      <c r="F7017" s="86" t="s">
        <v>2795</v>
      </c>
      <c r="G7017" s="86" t="s">
        <v>2795</v>
      </c>
      <c r="H7017" s="143">
        <v>83</v>
      </c>
      <c r="I7017" s="86" t="s">
        <v>78</v>
      </c>
      <c r="J7017" s="1" t="s">
        <v>3303</v>
      </c>
      <c r="K7017" s="1" t="s">
        <v>3763</v>
      </c>
      <c r="L7017" s="1" t="s">
        <v>701</v>
      </c>
      <c r="M7017" s="86" t="s">
        <v>2799</v>
      </c>
      <c r="O7017" s="47" t="s">
        <v>410</v>
      </c>
      <c r="P7017" s="14" t="s">
        <v>41</v>
      </c>
      <c r="Q7017" s="14">
        <v>0</v>
      </c>
      <c r="R7017" s="143">
        <v>7622</v>
      </c>
      <c r="S7017" s="47"/>
      <c r="T7017" s="6">
        <v>670</v>
      </c>
      <c r="U7017" s="6"/>
      <c r="V7017" s="6">
        <v>670</v>
      </c>
      <c r="W7017" s="6">
        <f t="shared" si="1086"/>
        <v>0</v>
      </c>
      <c r="X7017" s="6">
        <f t="shared" si="1087"/>
        <v>670</v>
      </c>
      <c r="Y7017" s="13">
        <f t="shared" si="1089"/>
        <v>0</v>
      </c>
      <c r="Z7017" s="14">
        <v>0</v>
      </c>
      <c r="AA7017" s="6">
        <v>0</v>
      </c>
      <c r="AB7017" s="4"/>
      <c r="AC7017" s="6">
        <f t="shared" si="1088"/>
        <v>0</v>
      </c>
      <c r="AD7017" s="6">
        <f t="shared" si="1092"/>
        <v>670</v>
      </c>
      <c r="AE7017" s="14">
        <f>VLOOKUP(I7017,[2]媒体政策预估表!A:N,MATCH(O7017,[2]媒体政策预估表!$A$2:$M$2,0),0)</f>
        <v>0.1293</v>
      </c>
      <c r="AF7017" s="6">
        <f t="shared" si="1094"/>
        <v>86.631</v>
      </c>
      <c r="AG7017" s="14">
        <v>0</v>
      </c>
      <c r="AH7017" s="64">
        <f t="shared" si="1093"/>
        <v>670</v>
      </c>
      <c r="AJ7017" s="126">
        <v>93</v>
      </c>
      <c r="AK7017" s="80">
        <f t="shared" si="1091"/>
        <v>670</v>
      </c>
      <c r="AL7017" s="85"/>
      <c r="AM7017" s="85"/>
    </row>
    <row r="7018" spans="1:39" s="86" customFormat="1" ht="13.25" hidden="1" customHeight="1" x14ac:dyDescent="0.3">
      <c r="A7018" s="89" t="s">
        <v>3792</v>
      </c>
      <c r="B7018" s="86" t="s">
        <v>701</v>
      </c>
      <c r="C7018" s="86" t="s">
        <v>144</v>
      </c>
      <c r="D7018" s="86" t="s">
        <v>152</v>
      </c>
      <c r="E7018" s="86" t="s">
        <v>2795</v>
      </c>
      <c r="F7018" s="86" t="s">
        <v>2795</v>
      </c>
      <c r="G7018" s="86" t="s">
        <v>2795</v>
      </c>
      <c r="H7018" s="143">
        <v>83</v>
      </c>
      <c r="I7018" s="86" t="s">
        <v>78</v>
      </c>
      <c r="J7018" s="1" t="s">
        <v>3303</v>
      </c>
      <c r="K7018" s="1" t="s">
        <v>3763</v>
      </c>
      <c r="L7018" s="1" t="s">
        <v>701</v>
      </c>
      <c r="M7018" s="86" t="s">
        <v>2801</v>
      </c>
      <c r="O7018" s="47" t="s">
        <v>410</v>
      </c>
      <c r="P7018" s="14" t="s">
        <v>41</v>
      </c>
      <c r="Q7018" s="14">
        <v>0</v>
      </c>
      <c r="R7018" s="143">
        <v>7511</v>
      </c>
      <c r="S7018" s="47"/>
      <c r="T7018" s="6">
        <v>1322.2000000000007</v>
      </c>
      <c r="U7018" s="6"/>
      <c r="V7018" s="6">
        <v>899.6</v>
      </c>
      <c r="W7018" s="6">
        <f t="shared" si="1086"/>
        <v>422.6000000000007</v>
      </c>
      <c r="X7018" s="6">
        <f t="shared" si="1087"/>
        <v>899.6</v>
      </c>
      <c r="Y7018" s="13">
        <f t="shared" si="1089"/>
        <v>0</v>
      </c>
      <c r="Z7018" s="14">
        <v>0</v>
      </c>
      <c r="AA7018" s="6">
        <v>0</v>
      </c>
      <c r="AB7018" s="4"/>
      <c r="AC7018" s="6">
        <f t="shared" si="1088"/>
        <v>0</v>
      </c>
      <c r="AD7018" s="6">
        <f t="shared" si="1092"/>
        <v>899.6</v>
      </c>
      <c r="AE7018" s="14">
        <f>VLOOKUP(I7018,[2]媒体政策预估表!A:N,MATCH(O7018,[2]媒体政策预估表!$A$2:$M$2,0),0)</f>
        <v>0.1293</v>
      </c>
      <c r="AF7018" s="6">
        <f t="shared" si="1094"/>
        <v>116.31828</v>
      </c>
      <c r="AG7018" s="14">
        <v>0</v>
      </c>
      <c r="AH7018" s="64">
        <f t="shared" si="1093"/>
        <v>899.6</v>
      </c>
      <c r="AJ7018" s="126">
        <v>93</v>
      </c>
      <c r="AK7018" s="80">
        <f t="shared" si="1091"/>
        <v>899.6</v>
      </c>
      <c r="AL7018" s="85"/>
      <c r="AM7018" s="85"/>
    </row>
    <row r="7019" spans="1:39" s="86" customFormat="1" ht="13.25" hidden="1" customHeight="1" x14ac:dyDescent="0.3">
      <c r="A7019" s="89" t="s">
        <v>3978</v>
      </c>
      <c r="B7019" s="86" t="s">
        <v>701</v>
      </c>
      <c r="C7019" s="86" t="s">
        <v>144</v>
      </c>
      <c r="D7019" s="86" t="s">
        <v>161</v>
      </c>
      <c r="E7019" s="86" t="s">
        <v>3406</v>
      </c>
      <c r="F7019" s="86" t="s">
        <v>3406</v>
      </c>
      <c r="G7019" s="86" t="s">
        <v>3406</v>
      </c>
      <c r="H7019" s="144">
        <v>83</v>
      </c>
      <c r="I7019" s="86" t="s">
        <v>78</v>
      </c>
      <c r="J7019" s="1" t="s">
        <v>3303</v>
      </c>
      <c r="K7019" s="1" t="s">
        <v>3763</v>
      </c>
      <c r="L7019" s="1" t="s">
        <v>701</v>
      </c>
      <c r="M7019" s="86" t="s">
        <v>3406</v>
      </c>
      <c r="O7019" s="47" t="s">
        <v>410</v>
      </c>
      <c r="P7019" s="14" t="s">
        <v>41</v>
      </c>
      <c r="Q7019" s="14">
        <v>0</v>
      </c>
      <c r="R7019" s="143">
        <v>7661</v>
      </c>
      <c r="S7019" s="47"/>
      <c r="T7019" s="6">
        <v>8608.1</v>
      </c>
      <c r="U7019" s="6"/>
      <c r="V7019" s="6">
        <v>532.16</v>
      </c>
      <c r="W7019" s="6">
        <f t="shared" si="1086"/>
        <v>8075.9400000000005</v>
      </c>
      <c r="X7019" s="6">
        <f t="shared" si="1087"/>
        <v>532.16</v>
      </c>
      <c r="Y7019" s="13">
        <f t="shared" si="1089"/>
        <v>0</v>
      </c>
      <c r="Z7019" s="14">
        <v>0</v>
      </c>
      <c r="AA7019" s="6">
        <v>0</v>
      </c>
      <c r="AB7019" s="4">
        <f t="shared" si="1090"/>
        <v>532.16</v>
      </c>
      <c r="AC7019" s="6">
        <f t="shared" si="1088"/>
        <v>0</v>
      </c>
      <c r="AD7019" s="6">
        <f t="shared" si="1092"/>
        <v>532.16</v>
      </c>
      <c r="AE7019" s="14">
        <f>VLOOKUP(I7019,[2]媒体政策预估表!A:N,MATCH(O7019,[2]媒体政策预估表!$A$2:$M$2,0),0)</f>
        <v>0.1293</v>
      </c>
      <c r="AF7019" s="6">
        <f t="shared" si="1094"/>
        <v>68.80828799999999</v>
      </c>
      <c r="AG7019" s="14">
        <v>0</v>
      </c>
      <c r="AH7019" s="64">
        <f t="shared" si="1093"/>
        <v>532.16</v>
      </c>
      <c r="AJ7019" s="126" t="e">
        <v>#N/A</v>
      </c>
      <c r="AK7019" s="80">
        <f t="shared" si="1091"/>
        <v>0</v>
      </c>
      <c r="AL7019" s="85"/>
      <c r="AM7019" s="85"/>
    </row>
    <row r="7020" spans="1:39" s="86" customFormat="1" ht="13.25" hidden="1" customHeight="1" x14ac:dyDescent="0.3">
      <c r="A7020" s="89" t="s">
        <v>3792</v>
      </c>
      <c r="B7020" s="86" t="s">
        <v>701</v>
      </c>
      <c r="C7020" s="86" t="s">
        <v>164</v>
      </c>
      <c r="D7020" s="86" t="s">
        <v>305</v>
      </c>
      <c r="E7020" s="86" t="s">
        <v>1549</v>
      </c>
      <c r="F7020" s="86" t="s">
        <v>1550</v>
      </c>
      <c r="G7020" s="86" t="s">
        <v>1549</v>
      </c>
      <c r="H7020" s="144">
        <v>83</v>
      </c>
      <c r="I7020" s="86" t="s">
        <v>78</v>
      </c>
      <c r="J7020" s="1" t="s">
        <v>3303</v>
      </c>
      <c r="K7020" s="1" t="s">
        <v>3763</v>
      </c>
      <c r="L7020" s="1" t="s">
        <v>701</v>
      </c>
      <c r="M7020" s="86" t="s">
        <v>1551</v>
      </c>
      <c r="O7020" s="47" t="s">
        <v>410</v>
      </c>
      <c r="P7020" s="14" t="s">
        <v>41</v>
      </c>
      <c r="Q7020" s="14">
        <v>0</v>
      </c>
      <c r="R7020" s="143">
        <v>7144</v>
      </c>
      <c r="S7020" s="47"/>
      <c r="T7020" s="6">
        <v>4547.9999999999991</v>
      </c>
      <c r="U7020" s="6"/>
      <c r="V7020" s="6">
        <v>2538.4</v>
      </c>
      <c r="W7020" s="6">
        <f t="shared" si="1086"/>
        <v>2009.599999999999</v>
      </c>
      <c r="X7020" s="6">
        <f t="shared" si="1087"/>
        <v>2538.4</v>
      </c>
      <c r="Y7020" s="13">
        <f t="shared" si="1089"/>
        <v>0</v>
      </c>
      <c r="Z7020" s="14">
        <v>0</v>
      </c>
      <c r="AA7020" s="6">
        <v>0</v>
      </c>
      <c r="AB7020" s="4">
        <f t="shared" si="1090"/>
        <v>2538.4</v>
      </c>
      <c r="AC7020" s="6">
        <f t="shared" si="1088"/>
        <v>0</v>
      </c>
      <c r="AD7020" s="6">
        <f t="shared" si="1092"/>
        <v>2538.4</v>
      </c>
      <c r="AE7020" s="14">
        <f>VLOOKUP(I7020,[2]媒体政策预估表!A:N,MATCH(O7020,[2]媒体政策预估表!$A$2:$M$2,0),0)</f>
        <v>0.1293</v>
      </c>
      <c r="AF7020" s="6">
        <f t="shared" si="1094"/>
        <v>328.21512000000001</v>
      </c>
      <c r="AG7020" s="14">
        <v>0</v>
      </c>
      <c r="AH7020" s="64">
        <f t="shared" si="1093"/>
        <v>2538.4</v>
      </c>
      <c r="AJ7020" s="126" t="e">
        <v>#N/A</v>
      </c>
      <c r="AK7020" s="80">
        <f t="shared" si="1091"/>
        <v>0</v>
      </c>
      <c r="AL7020" s="85"/>
      <c r="AM7020" s="85"/>
    </row>
    <row r="7021" spans="1:39" s="86" customFormat="1" ht="13.25" hidden="1" customHeight="1" x14ac:dyDescent="0.3">
      <c r="A7021" s="89" t="s">
        <v>3978</v>
      </c>
      <c r="B7021" s="86" t="s">
        <v>701</v>
      </c>
      <c r="C7021" s="86" t="s">
        <v>164</v>
      </c>
      <c r="D7021" s="86" t="s">
        <v>169</v>
      </c>
      <c r="E7021" s="86" t="s">
        <v>2809</v>
      </c>
      <c r="F7021" s="86" t="s">
        <v>2809</v>
      </c>
      <c r="G7021" s="86" t="s">
        <v>2809</v>
      </c>
      <c r="H7021" s="144">
        <v>83</v>
      </c>
      <c r="I7021" s="86" t="s">
        <v>78</v>
      </c>
      <c r="J7021" s="1" t="s">
        <v>3303</v>
      </c>
      <c r="K7021" s="1" t="s">
        <v>3763</v>
      </c>
      <c r="L7021" s="1" t="s">
        <v>701</v>
      </c>
      <c r="M7021" s="86" t="s">
        <v>2810</v>
      </c>
      <c r="O7021" s="47" t="s">
        <v>410</v>
      </c>
      <c r="P7021" s="14" t="s">
        <v>46</v>
      </c>
      <c r="Q7021" s="14">
        <v>0.02</v>
      </c>
      <c r="R7021" s="143">
        <v>7574</v>
      </c>
      <c r="S7021" s="47"/>
      <c r="T7021" s="6">
        <v>161139.29999999999</v>
      </c>
      <c r="U7021" s="6"/>
      <c r="V7021" s="6">
        <v>74687.600000000006</v>
      </c>
      <c r="W7021" s="6">
        <f t="shared" si="1086"/>
        <v>86451.699999999983</v>
      </c>
      <c r="X7021" s="6">
        <f t="shared" si="1087"/>
        <v>73223.137254901972</v>
      </c>
      <c r="Y7021" s="13">
        <f t="shared" si="1089"/>
        <v>0</v>
      </c>
      <c r="Z7021" s="14">
        <v>0</v>
      </c>
      <c r="AA7021" s="6">
        <v>0</v>
      </c>
      <c r="AB7021" s="4">
        <f t="shared" si="1090"/>
        <v>73223.137254901972</v>
      </c>
      <c r="AC7021" s="6">
        <f t="shared" si="1088"/>
        <v>1464.4627450980333</v>
      </c>
      <c r="AD7021" s="6">
        <f t="shared" si="1092"/>
        <v>74687.600000000006</v>
      </c>
      <c r="AE7021" s="14">
        <f>VLOOKUP(I7021,[2]媒体政策预估表!A:N,MATCH(O7021,[2]媒体政策预估表!$A$2:$M$2,0),0)</f>
        <v>0.1293</v>
      </c>
      <c r="AF7021" s="6">
        <f t="shared" si="1094"/>
        <v>9657.1066800000008</v>
      </c>
      <c r="AG7021" s="14">
        <v>0</v>
      </c>
      <c r="AH7021" s="64">
        <f t="shared" si="1093"/>
        <v>74687.600000000006</v>
      </c>
      <c r="AJ7021" s="126" t="e">
        <v>#N/A</v>
      </c>
      <c r="AK7021" s="80">
        <f t="shared" si="1091"/>
        <v>0</v>
      </c>
      <c r="AL7021" s="85"/>
      <c r="AM7021" s="85"/>
    </row>
    <row r="7022" spans="1:39" s="86" customFormat="1" ht="13.25" hidden="1" customHeight="1" x14ac:dyDescent="0.3">
      <c r="A7022" s="89" t="s">
        <v>3978</v>
      </c>
      <c r="B7022" s="86" t="s">
        <v>701</v>
      </c>
      <c r="C7022" s="86" t="s">
        <v>164</v>
      </c>
      <c r="D7022" s="86" t="s">
        <v>174</v>
      </c>
      <c r="E7022" s="86" t="s">
        <v>2862</v>
      </c>
      <c r="F7022" s="86" t="s">
        <v>2862</v>
      </c>
      <c r="G7022" s="86" t="s">
        <v>2862</v>
      </c>
      <c r="H7022" s="144">
        <v>83</v>
      </c>
      <c r="I7022" s="86" t="s">
        <v>78</v>
      </c>
      <c r="J7022" s="1" t="s">
        <v>3303</v>
      </c>
      <c r="K7022" s="1" t="s">
        <v>3763</v>
      </c>
      <c r="L7022" s="1" t="s">
        <v>701</v>
      </c>
      <c r="M7022" s="86" t="s">
        <v>2863</v>
      </c>
      <c r="O7022" s="47" t="s">
        <v>410</v>
      </c>
      <c r="P7022" s="14" t="s">
        <v>41</v>
      </c>
      <c r="Q7022" s="14">
        <v>0</v>
      </c>
      <c r="R7022" s="143">
        <v>7194</v>
      </c>
      <c r="S7022" s="47"/>
      <c r="T7022" s="6">
        <v>44473.93</v>
      </c>
      <c r="U7022" s="6"/>
      <c r="V7022" s="6">
        <v>7882.2</v>
      </c>
      <c r="W7022" s="6">
        <f t="shared" si="1086"/>
        <v>36591.730000000003</v>
      </c>
      <c r="X7022" s="6">
        <f t="shared" si="1087"/>
        <v>7882.2</v>
      </c>
      <c r="Y7022" s="13">
        <f t="shared" si="1089"/>
        <v>0</v>
      </c>
      <c r="Z7022" s="14">
        <v>0</v>
      </c>
      <c r="AA7022" s="6">
        <v>0</v>
      </c>
      <c r="AB7022" s="4">
        <f t="shared" si="1090"/>
        <v>7882.2</v>
      </c>
      <c r="AC7022" s="6">
        <f t="shared" si="1088"/>
        <v>0</v>
      </c>
      <c r="AD7022" s="6">
        <f t="shared" si="1092"/>
        <v>7882.2</v>
      </c>
      <c r="AE7022" s="14">
        <f>VLOOKUP(I7022,[2]媒体政策预估表!A:N,MATCH(O7022,[2]媒体政策预估表!$A$2:$M$2,0),0)</f>
        <v>0.1293</v>
      </c>
      <c r="AF7022" s="6">
        <f t="shared" si="1094"/>
        <v>1019.16846</v>
      </c>
      <c r="AG7022" s="14">
        <v>0</v>
      </c>
      <c r="AH7022" s="64">
        <f t="shared" si="1093"/>
        <v>7882.2</v>
      </c>
      <c r="AJ7022" s="126" t="e">
        <v>#N/A</v>
      </c>
      <c r="AK7022" s="80">
        <f t="shared" si="1091"/>
        <v>0</v>
      </c>
      <c r="AL7022" s="85"/>
      <c r="AM7022" s="85"/>
    </row>
    <row r="7023" spans="1:39" s="86" customFormat="1" ht="13.25" hidden="1" customHeight="1" x14ac:dyDescent="0.3">
      <c r="A7023" s="89" t="s">
        <v>3978</v>
      </c>
      <c r="B7023" s="86" t="s">
        <v>701</v>
      </c>
      <c r="C7023" s="86" t="s">
        <v>164</v>
      </c>
      <c r="D7023" s="86" t="s">
        <v>174</v>
      </c>
      <c r="E7023" s="86" t="s">
        <v>1711</v>
      </c>
      <c r="F7023" s="86" t="s">
        <v>1711</v>
      </c>
      <c r="G7023" s="86" t="s">
        <v>1711</v>
      </c>
      <c r="H7023" s="144">
        <v>83</v>
      </c>
      <c r="I7023" s="86" t="s">
        <v>78</v>
      </c>
      <c r="J7023" s="1" t="s">
        <v>3303</v>
      </c>
      <c r="K7023" s="1" t="s">
        <v>3763</v>
      </c>
      <c r="L7023" s="1" t="s">
        <v>701</v>
      </c>
      <c r="M7023" s="86" t="s">
        <v>2823</v>
      </c>
      <c r="O7023" s="47" t="s">
        <v>410</v>
      </c>
      <c r="P7023" s="14" t="s">
        <v>41</v>
      </c>
      <c r="Q7023" s="14">
        <v>0</v>
      </c>
      <c r="R7023" s="143">
        <v>7286</v>
      </c>
      <c r="S7023" s="47"/>
      <c r="T7023" s="6">
        <v>3495.9999999999986</v>
      </c>
      <c r="U7023" s="6"/>
      <c r="V7023" s="6">
        <v>1866.9</v>
      </c>
      <c r="W7023" s="6">
        <f t="shared" si="1086"/>
        <v>1629.0999999999985</v>
      </c>
      <c r="X7023" s="6">
        <f t="shared" si="1087"/>
        <v>1866.9</v>
      </c>
      <c r="Y7023" s="13">
        <f t="shared" si="1089"/>
        <v>0</v>
      </c>
      <c r="Z7023" s="14">
        <v>0</v>
      </c>
      <c r="AA7023" s="6">
        <v>0</v>
      </c>
      <c r="AB7023" s="4">
        <f t="shared" si="1090"/>
        <v>1866.9</v>
      </c>
      <c r="AC7023" s="6">
        <f t="shared" si="1088"/>
        <v>0</v>
      </c>
      <c r="AD7023" s="6">
        <f t="shared" si="1092"/>
        <v>1866.9</v>
      </c>
      <c r="AE7023" s="14">
        <f>VLOOKUP(I7023,[2]媒体政策预估表!A:N,MATCH(O7023,[2]媒体政策预估表!$A$2:$M$2,0),0)</f>
        <v>0.1293</v>
      </c>
      <c r="AF7023" s="6">
        <f t="shared" si="1094"/>
        <v>241.39017000000001</v>
      </c>
      <c r="AG7023" s="14">
        <v>0</v>
      </c>
      <c r="AH7023" s="64">
        <f t="shared" si="1093"/>
        <v>1866.9</v>
      </c>
      <c r="AJ7023" s="126" t="e">
        <v>#N/A</v>
      </c>
      <c r="AK7023" s="80">
        <f t="shared" si="1091"/>
        <v>0</v>
      </c>
      <c r="AL7023" s="85"/>
      <c r="AM7023" s="85"/>
    </row>
    <row r="7024" spans="1:39" s="86" customFormat="1" ht="13.25" hidden="1" customHeight="1" x14ac:dyDescent="0.3">
      <c r="A7024" s="89" t="s">
        <v>3792</v>
      </c>
      <c r="B7024" s="86" t="s">
        <v>701</v>
      </c>
      <c r="C7024" s="86" t="s">
        <v>164</v>
      </c>
      <c r="D7024" s="86" t="s">
        <v>174</v>
      </c>
      <c r="E7024" s="86" t="s">
        <v>668</v>
      </c>
      <c r="F7024" s="86" t="s">
        <v>668</v>
      </c>
      <c r="G7024" s="86" t="s">
        <v>668</v>
      </c>
      <c r="H7024" s="144">
        <v>83</v>
      </c>
      <c r="I7024" s="86" t="s">
        <v>78</v>
      </c>
      <c r="J7024" s="1" t="s">
        <v>3303</v>
      </c>
      <c r="K7024" s="1" t="s">
        <v>3763</v>
      </c>
      <c r="L7024" s="1" t="s">
        <v>701</v>
      </c>
      <c r="M7024" s="86" t="s">
        <v>2824</v>
      </c>
      <c r="O7024" s="47" t="s">
        <v>410</v>
      </c>
      <c r="P7024" s="14" t="s">
        <v>46</v>
      </c>
      <c r="Q7024" s="14">
        <v>0.02</v>
      </c>
      <c r="R7024" s="143">
        <v>107</v>
      </c>
      <c r="S7024" s="47"/>
      <c r="T7024" s="6">
        <v>11054.970000000001</v>
      </c>
      <c r="U7024" s="6"/>
      <c r="V7024" s="6">
        <v>1897.8</v>
      </c>
      <c r="W7024" s="6">
        <f t="shared" ref="W7024:W7087" si="1095">T7024+U7024-V7024</f>
        <v>9157.1700000000019</v>
      </c>
      <c r="X7024" s="6">
        <f t="shared" ref="X7024:X7087" si="1096">IF(P7024="折扣",V7024*Q7024,IF(P7024="返现",V7024,V7024/(1+Q7024)))</f>
        <v>1860.5882352941176</v>
      </c>
      <c r="Y7024" s="13">
        <f t="shared" si="1089"/>
        <v>0</v>
      </c>
      <c r="Z7024" s="14">
        <v>0</v>
      </c>
      <c r="AA7024" s="6">
        <v>0</v>
      </c>
      <c r="AB7024" s="4">
        <f t="shared" si="1090"/>
        <v>1860.5882352941176</v>
      </c>
      <c r="AC7024" s="6">
        <f t="shared" si="1088"/>
        <v>37.211764705882388</v>
      </c>
      <c r="AD7024" s="6">
        <f t="shared" si="1092"/>
        <v>1897.8</v>
      </c>
      <c r="AE7024" s="14">
        <f>VLOOKUP(I7024,[2]媒体政策预估表!A:N,MATCH(O7024,[2]媒体政策预估表!$A$2:$M$2,0),0)</f>
        <v>0.1293</v>
      </c>
      <c r="AF7024" s="6">
        <f t="shared" si="1094"/>
        <v>245.38553999999999</v>
      </c>
      <c r="AG7024" s="14">
        <v>0</v>
      </c>
      <c r="AH7024" s="64">
        <f t="shared" si="1093"/>
        <v>1897.8</v>
      </c>
      <c r="AJ7024" s="126" t="e">
        <v>#N/A</v>
      </c>
      <c r="AK7024" s="80">
        <f t="shared" si="1091"/>
        <v>0</v>
      </c>
      <c r="AL7024" s="85"/>
      <c r="AM7024" s="85"/>
    </row>
    <row r="7025" spans="1:39" s="86" customFormat="1" ht="13.25" hidden="1" customHeight="1" x14ac:dyDescent="0.3">
      <c r="A7025" s="89" t="s">
        <v>3978</v>
      </c>
      <c r="B7025" s="86" t="s">
        <v>701</v>
      </c>
      <c r="C7025" s="86" t="s">
        <v>164</v>
      </c>
      <c r="D7025" s="86" t="s">
        <v>174</v>
      </c>
      <c r="E7025" s="86" t="s">
        <v>2826</v>
      </c>
      <c r="F7025" s="86" t="s">
        <v>2827</v>
      </c>
      <c r="G7025" s="86" t="s">
        <v>2826</v>
      </c>
      <c r="H7025" s="144">
        <v>83</v>
      </c>
      <c r="I7025" s="86" t="s">
        <v>78</v>
      </c>
      <c r="J7025" s="1" t="s">
        <v>3303</v>
      </c>
      <c r="K7025" s="1" t="s">
        <v>3763</v>
      </c>
      <c r="L7025" s="1" t="s">
        <v>701</v>
      </c>
      <c r="M7025" s="86" t="s">
        <v>2826</v>
      </c>
      <c r="O7025" s="47" t="s">
        <v>410</v>
      </c>
      <c r="P7025" s="47" t="s">
        <v>41</v>
      </c>
      <c r="Q7025" s="14">
        <v>0</v>
      </c>
      <c r="R7025" s="143">
        <v>7556</v>
      </c>
      <c r="S7025" s="47"/>
      <c r="T7025" s="6">
        <v>70.529999999998836</v>
      </c>
      <c r="U7025" s="6"/>
      <c r="V7025" s="6">
        <v>70.529999999998836</v>
      </c>
      <c r="W7025" s="6">
        <f t="shared" si="1095"/>
        <v>0</v>
      </c>
      <c r="X7025" s="6">
        <f t="shared" si="1096"/>
        <v>70.529999999998836</v>
      </c>
      <c r="Y7025" s="13">
        <f t="shared" si="1089"/>
        <v>0</v>
      </c>
      <c r="Z7025" s="14">
        <v>0</v>
      </c>
      <c r="AA7025" s="6">
        <v>0</v>
      </c>
      <c r="AB7025" s="4">
        <f t="shared" si="1090"/>
        <v>70.529999999998836</v>
      </c>
      <c r="AC7025" s="6">
        <f t="shared" si="1088"/>
        <v>0</v>
      </c>
      <c r="AD7025" s="6">
        <f t="shared" si="1092"/>
        <v>70.529999999998836</v>
      </c>
      <c r="AE7025" s="14">
        <f>VLOOKUP(I7025,[2]媒体政策预估表!A:N,MATCH(O7025,[2]媒体政策预估表!$A$2:$M$2,0),0)</f>
        <v>0.1293</v>
      </c>
      <c r="AF7025" s="6">
        <f t="shared" si="1094"/>
        <v>9.119528999999849</v>
      </c>
      <c r="AG7025" s="14">
        <v>0</v>
      </c>
      <c r="AH7025" s="64">
        <f t="shared" si="1093"/>
        <v>70.529999999998836</v>
      </c>
      <c r="AJ7025" s="126" t="e">
        <v>#N/A</v>
      </c>
      <c r="AK7025" s="80">
        <f t="shared" si="1091"/>
        <v>0</v>
      </c>
      <c r="AL7025" s="85"/>
      <c r="AM7025" s="85"/>
    </row>
    <row r="7026" spans="1:39" s="86" customFormat="1" ht="13.25" hidden="1" customHeight="1" x14ac:dyDescent="0.3">
      <c r="A7026" s="89" t="s">
        <v>3978</v>
      </c>
      <c r="B7026" s="86" t="s">
        <v>35</v>
      </c>
      <c r="C7026" s="86" t="s">
        <v>184</v>
      </c>
      <c r="D7026" s="86" t="s">
        <v>37</v>
      </c>
      <c r="E7026" s="86" t="s">
        <v>285</v>
      </c>
      <c r="F7026" s="86" t="s">
        <v>2698</v>
      </c>
      <c r="G7026" s="86" t="s">
        <v>1845</v>
      </c>
      <c r="H7026" s="144">
        <v>83</v>
      </c>
      <c r="I7026" s="86" t="s">
        <v>78</v>
      </c>
      <c r="J7026" s="1" t="s">
        <v>3303</v>
      </c>
      <c r="K7026" s="1" t="s">
        <v>3763</v>
      </c>
      <c r="L7026" s="1" t="s">
        <v>701</v>
      </c>
      <c r="M7026" s="86" t="s">
        <v>285</v>
      </c>
      <c r="O7026" s="47" t="s">
        <v>410</v>
      </c>
      <c r="P7026" s="14" t="s">
        <v>41</v>
      </c>
      <c r="Q7026" s="14">
        <v>0</v>
      </c>
      <c r="R7026" s="143">
        <v>7654</v>
      </c>
      <c r="S7026" s="47"/>
      <c r="T7026" s="6">
        <v>4835.29</v>
      </c>
      <c r="U7026" s="6"/>
      <c r="V7026" s="6">
        <v>246.16</v>
      </c>
      <c r="W7026" s="6">
        <f t="shared" si="1095"/>
        <v>4589.13</v>
      </c>
      <c r="X7026" s="6">
        <f t="shared" si="1096"/>
        <v>246.16</v>
      </c>
      <c r="Y7026" s="13">
        <f t="shared" si="1089"/>
        <v>0</v>
      </c>
      <c r="Z7026" s="14">
        <v>0</v>
      </c>
      <c r="AA7026" s="6">
        <v>0</v>
      </c>
      <c r="AB7026" s="4">
        <f t="shared" si="1090"/>
        <v>246.16</v>
      </c>
      <c r="AC7026" s="6">
        <f t="shared" si="1088"/>
        <v>0</v>
      </c>
      <c r="AD7026" s="6">
        <f t="shared" si="1092"/>
        <v>246.16</v>
      </c>
      <c r="AE7026" s="14">
        <f>VLOOKUP(I7026,[2]媒体政策预估表!A:N,MATCH(O7026,[2]媒体政策预估表!$A$2:$M$2,0),0)</f>
        <v>0.1293</v>
      </c>
      <c r="AF7026" s="6">
        <f t="shared" si="1094"/>
        <v>31.828488</v>
      </c>
      <c r="AG7026" s="14">
        <v>0</v>
      </c>
      <c r="AH7026" s="64">
        <f t="shared" si="1093"/>
        <v>246.16</v>
      </c>
      <c r="AJ7026" s="126" t="e">
        <v>#N/A</v>
      </c>
      <c r="AK7026" s="80">
        <f t="shared" si="1091"/>
        <v>0</v>
      </c>
      <c r="AL7026" s="85"/>
      <c r="AM7026" s="85"/>
    </row>
    <row r="7027" spans="1:39" s="86" customFormat="1" ht="13.25" hidden="1" customHeight="1" x14ac:dyDescent="0.3">
      <c r="A7027" s="89" t="s">
        <v>3978</v>
      </c>
      <c r="B7027" s="86" t="s">
        <v>35</v>
      </c>
      <c r="C7027" s="86" t="s">
        <v>184</v>
      </c>
      <c r="D7027" s="86" t="s">
        <v>37</v>
      </c>
      <c r="E7027" s="86" t="s">
        <v>285</v>
      </c>
      <c r="F7027" s="86" t="s">
        <v>2698</v>
      </c>
      <c r="G7027" s="86" t="s">
        <v>1845</v>
      </c>
      <c r="H7027" s="144">
        <v>83</v>
      </c>
      <c r="I7027" s="86" t="s">
        <v>78</v>
      </c>
      <c r="J7027" s="1" t="s">
        <v>3303</v>
      </c>
      <c r="K7027" s="1" t="s">
        <v>3763</v>
      </c>
      <c r="L7027" s="1" t="s">
        <v>701</v>
      </c>
      <c r="M7027" s="86" t="s">
        <v>2699</v>
      </c>
      <c r="O7027" s="47" t="s">
        <v>410</v>
      </c>
      <c r="P7027" s="14" t="s">
        <v>41</v>
      </c>
      <c r="Q7027" s="14">
        <v>0</v>
      </c>
      <c r="R7027" s="143">
        <v>7174</v>
      </c>
      <c r="S7027" s="47"/>
      <c r="T7027" s="6">
        <v>6866.8100000000013</v>
      </c>
      <c r="U7027" s="6"/>
      <c r="V7027" s="6">
        <v>3012.19</v>
      </c>
      <c r="W7027" s="6">
        <f t="shared" si="1095"/>
        <v>3854.6200000000013</v>
      </c>
      <c r="X7027" s="6">
        <f t="shared" si="1096"/>
        <v>3012.19</v>
      </c>
      <c r="Y7027" s="13">
        <f t="shared" si="1089"/>
        <v>0</v>
      </c>
      <c r="Z7027" s="14">
        <v>0</v>
      </c>
      <c r="AA7027" s="6">
        <v>0</v>
      </c>
      <c r="AB7027" s="4">
        <f t="shared" si="1090"/>
        <v>3012.19</v>
      </c>
      <c r="AC7027" s="6">
        <f t="shared" si="1088"/>
        <v>0</v>
      </c>
      <c r="AD7027" s="6">
        <f t="shared" si="1092"/>
        <v>3012.19</v>
      </c>
      <c r="AE7027" s="14">
        <f>VLOOKUP(I7027,[2]媒体政策预估表!A:N,MATCH(O7027,[2]媒体政策预估表!$A$2:$M$2,0),0)</f>
        <v>0.1293</v>
      </c>
      <c r="AF7027" s="6">
        <f t="shared" si="1094"/>
        <v>389.47616699999998</v>
      </c>
      <c r="AG7027" s="14">
        <v>0</v>
      </c>
      <c r="AH7027" s="64">
        <f t="shared" si="1093"/>
        <v>3012.19</v>
      </c>
      <c r="AJ7027" s="126" t="e">
        <v>#N/A</v>
      </c>
      <c r="AK7027" s="80">
        <f t="shared" si="1091"/>
        <v>0</v>
      </c>
      <c r="AL7027" s="85"/>
      <c r="AM7027" s="85"/>
    </row>
    <row r="7028" spans="1:39" s="86" customFormat="1" ht="13.25" hidden="1" customHeight="1" x14ac:dyDescent="0.3">
      <c r="A7028" s="89" t="s">
        <v>3792</v>
      </c>
      <c r="B7028" s="86" t="s">
        <v>701</v>
      </c>
      <c r="C7028" s="86" t="s">
        <v>59</v>
      </c>
      <c r="D7028" s="86" t="s">
        <v>60</v>
      </c>
      <c r="E7028" s="86" t="s">
        <v>758</v>
      </c>
      <c r="F7028" s="86" t="s">
        <v>757</v>
      </c>
      <c r="G7028" s="86" t="s">
        <v>758</v>
      </c>
      <c r="H7028" s="143">
        <v>83</v>
      </c>
      <c r="I7028" s="86" t="s">
        <v>78</v>
      </c>
      <c r="J7028" s="1" t="s">
        <v>3303</v>
      </c>
      <c r="K7028" s="1" t="s">
        <v>3763</v>
      </c>
      <c r="L7028" s="1" t="s">
        <v>701</v>
      </c>
      <c r="M7028" s="86" t="s">
        <v>2732</v>
      </c>
      <c r="O7028" s="47" t="s">
        <v>410</v>
      </c>
      <c r="P7028" s="14" t="s">
        <v>46</v>
      </c>
      <c r="Q7028" s="14">
        <v>0.02</v>
      </c>
      <c r="R7028" s="143">
        <v>102</v>
      </c>
      <c r="S7028" s="47"/>
      <c r="T7028" s="6">
        <v>35656.98000000001</v>
      </c>
      <c r="U7028" s="6"/>
      <c r="V7028" s="6">
        <v>0</v>
      </c>
      <c r="W7028" s="6">
        <f t="shared" si="1095"/>
        <v>35656.98000000001</v>
      </c>
      <c r="X7028" s="6">
        <f t="shared" si="1096"/>
        <v>0</v>
      </c>
      <c r="Y7028" s="13">
        <f t="shared" si="1089"/>
        <v>0</v>
      </c>
      <c r="Z7028" s="14">
        <v>0</v>
      </c>
      <c r="AA7028" s="6">
        <v>0</v>
      </c>
      <c r="AB7028" s="4">
        <f t="shared" si="1090"/>
        <v>0</v>
      </c>
      <c r="AC7028" s="6">
        <f t="shared" si="1088"/>
        <v>0</v>
      </c>
      <c r="AD7028" s="6">
        <f t="shared" si="1092"/>
        <v>0</v>
      </c>
      <c r="AE7028" s="14">
        <f>VLOOKUP(I7028,[2]媒体政策预估表!A:N,MATCH(O7028,[2]媒体政策预估表!$A$2:$M$2,0),0)</f>
        <v>0.1293</v>
      </c>
      <c r="AF7028" s="6">
        <f t="shared" si="1094"/>
        <v>0</v>
      </c>
      <c r="AG7028" s="14">
        <v>0</v>
      </c>
      <c r="AH7028" s="64">
        <f t="shared" si="1093"/>
        <v>0</v>
      </c>
      <c r="AJ7028" s="126" t="e">
        <v>#N/A</v>
      </c>
      <c r="AK7028" s="80">
        <f t="shared" si="1091"/>
        <v>0</v>
      </c>
      <c r="AL7028" s="85"/>
      <c r="AM7028" s="85"/>
    </row>
    <row r="7029" spans="1:39" s="86" customFormat="1" ht="13.25" hidden="1" customHeight="1" x14ac:dyDescent="0.3">
      <c r="A7029" s="89" t="s">
        <v>3978</v>
      </c>
      <c r="B7029" s="86" t="s">
        <v>701</v>
      </c>
      <c r="C7029" s="86" t="s">
        <v>184</v>
      </c>
      <c r="D7029" s="86" t="s">
        <v>224</v>
      </c>
      <c r="E7029" s="86" t="s">
        <v>2736</v>
      </c>
      <c r="F7029" s="86" t="s">
        <v>2736</v>
      </c>
      <c r="G7029" s="86" t="s">
        <v>2736</v>
      </c>
      <c r="H7029" s="144">
        <v>83</v>
      </c>
      <c r="I7029" s="86" t="s">
        <v>78</v>
      </c>
      <c r="J7029" s="1" t="s">
        <v>3303</v>
      </c>
      <c r="K7029" s="1" t="s">
        <v>3763</v>
      </c>
      <c r="L7029" s="1" t="s">
        <v>701</v>
      </c>
      <c r="M7029" s="86" t="s">
        <v>2737</v>
      </c>
      <c r="O7029" s="47" t="s">
        <v>410</v>
      </c>
      <c r="P7029" s="14" t="s">
        <v>41</v>
      </c>
      <c r="Q7029" s="14">
        <v>0</v>
      </c>
      <c r="R7029" s="143">
        <v>7454</v>
      </c>
      <c r="S7029" s="47"/>
      <c r="T7029" s="6">
        <v>6990.3000999999995</v>
      </c>
      <c r="U7029" s="6"/>
      <c r="V7029" s="6">
        <v>3130.9</v>
      </c>
      <c r="W7029" s="6">
        <f t="shared" si="1095"/>
        <v>3859.4000999999994</v>
      </c>
      <c r="X7029" s="6">
        <f t="shared" si="1096"/>
        <v>3130.9</v>
      </c>
      <c r="Y7029" s="13">
        <f t="shared" si="1089"/>
        <v>0</v>
      </c>
      <c r="Z7029" s="14">
        <v>0</v>
      </c>
      <c r="AA7029" s="6">
        <v>0</v>
      </c>
      <c r="AB7029" s="4">
        <f t="shared" si="1090"/>
        <v>3130.9</v>
      </c>
      <c r="AC7029" s="6">
        <f t="shared" si="1088"/>
        <v>0</v>
      </c>
      <c r="AD7029" s="6">
        <f t="shared" si="1092"/>
        <v>3130.9</v>
      </c>
      <c r="AE7029" s="14">
        <f>VLOOKUP(I7029,[2]媒体政策预估表!A:N,MATCH(O7029,[2]媒体政策预估表!$A$2:$M$2,0),0)</f>
        <v>0.1293</v>
      </c>
      <c r="AF7029" s="6">
        <f t="shared" si="1094"/>
        <v>404.82537000000002</v>
      </c>
      <c r="AG7029" s="14">
        <v>0</v>
      </c>
      <c r="AH7029" s="64">
        <f t="shared" si="1093"/>
        <v>3130.9</v>
      </c>
      <c r="AJ7029" s="126" t="e">
        <v>#N/A</v>
      </c>
      <c r="AK7029" s="80">
        <f t="shared" si="1091"/>
        <v>0</v>
      </c>
      <c r="AL7029" s="85"/>
      <c r="AM7029" s="85"/>
    </row>
    <row r="7030" spans="1:39" s="86" customFormat="1" ht="13.25" hidden="1" customHeight="1" x14ac:dyDescent="0.3">
      <c r="A7030" s="89" t="s">
        <v>3792</v>
      </c>
      <c r="B7030" s="86" t="s">
        <v>701</v>
      </c>
      <c r="C7030" s="86" t="s">
        <v>65</v>
      </c>
      <c r="D7030" s="86" t="s">
        <v>66</v>
      </c>
      <c r="E7030" s="86" t="s">
        <v>2385</v>
      </c>
      <c r="F7030" s="86" t="s">
        <v>2385</v>
      </c>
      <c r="G7030" s="86" t="s">
        <v>2385</v>
      </c>
      <c r="H7030" s="144">
        <v>83</v>
      </c>
      <c r="I7030" s="86" t="s">
        <v>78</v>
      </c>
      <c r="J7030" s="1" t="s">
        <v>3303</v>
      </c>
      <c r="K7030" s="1" t="s">
        <v>3763</v>
      </c>
      <c r="L7030" s="1" t="s">
        <v>701</v>
      </c>
      <c r="M7030" s="86" t="s">
        <v>2385</v>
      </c>
      <c r="O7030" s="47" t="s">
        <v>410</v>
      </c>
      <c r="P7030" s="14" t="s">
        <v>41</v>
      </c>
      <c r="Q7030" s="14">
        <v>0</v>
      </c>
      <c r="R7030" s="143">
        <v>7092</v>
      </c>
      <c r="S7030" s="47"/>
      <c r="T7030" s="6">
        <v>27841.600000000013</v>
      </c>
      <c r="U7030" s="6"/>
      <c r="V7030" s="6">
        <v>15500</v>
      </c>
      <c r="W7030" s="6">
        <f t="shared" si="1095"/>
        <v>12341.600000000013</v>
      </c>
      <c r="X7030" s="6">
        <f t="shared" si="1096"/>
        <v>15500</v>
      </c>
      <c r="Y7030" s="13">
        <f t="shared" si="1089"/>
        <v>0</v>
      </c>
      <c r="Z7030" s="14">
        <v>0</v>
      </c>
      <c r="AA7030" s="6">
        <v>0</v>
      </c>
      <c r="AB7030" s="4">
        <f t="shared" si="1090"/>
        <v>15500</v>
      </c>
      <c r="AC7030" s="6">
        <f t="shared" si="1088"/>
        <v>0</v>
      </c>
      <c r="AD7030" s="6">
        <f t="shared" si="1092"/>
        <v>15500</v>
      </c>
      <c r="AE7030" s="14">
        <f>VLOOKUP(I7030,[2]媒体政策预估表!A:N,MATCH(O7030,[2]媒体政策预估表!$A$2:$M$2,0),0)</f>
        <v>0.1293</v>
      </c>
      <c r="AF7030" s="6">
        <f t="shared" si="1094"/>
        <v>2004.1499999999999</v>
      </c>
      <c r="AG7030" s="14">
        <v>0</v>
      </c>
      <c r="AH7030" s="64">
        <f t="shared" si="1093"/>
        <v>15500</v>
      </c>
      <c r="AJ7030" s="126" t="e">
        <v>#N/A</v>
      </c>
      <c r="AK7030" s="80">
        <f t="shared" si="1091"/>
        <v>0</v>
      </c>
      <c r="AL7030" s="85"/>
      <c r="AM7030" s="85"/>
    </row>
    <row r="7031" spans="1:39" s="86" customFormat="1" ht="13.25" hidden="1" customHeight="1" x14ac:dyDescent="0.3">
      <c r="A7031" s="89" t="s">
        <v>3978</v>
      </c>
      <c r="B7031" s="86" t="s">
        <v>701</v>
      </c>
      <c r="C7031" s="86" t="s">
        <v>65</v>
      </c>
      <c r="D7031" s="86" t="s">
        <v>122</v>
      </c>
      <c r="E7031" s="86" t="s">
        <v>1266</v>
      </c>
      <c r="F7031" s="86" t="s">
        <v>1266</v>
      </c>
      <c r="G7031" s="86" t="s">
        <v>1266</v>
      </c>
      <c r="H7031" s="144">
        <v>83</v>
      </c>
      <c r="I7031" s="86" t="s">
        <v>78</v>
      </c>
      <c r="J7031" s="1" t="s">
        <v>3303</v>
      </c>
      <c r="K7031" s="1" t="s">
        <v>3763</v>
      </c>
      <c r="L7031" s="1" t="s">
        <v>701</v>
      </c>
      <c r="M7031" s="86" t="s">
        <v>2762</v>
      </c>
      <c r="O7031" s="47" t="s">
        <v>410</v>
      </c>
      <c r="P7031" s="14" t="s">
        <v>41</v>
      </c>
      <c r="Q7031" s="14">
        <v>0</v>
      </c>
      <c r="R7031" s="143">
        <v>7635</v>
      </c>
      <c r="S7031" s="47"/>
      <c r="T7031" s="6">
        <v>14128.400000000001</v>
      </c>
      <c r="U7031" s="6"/>
      <c r="V7031" s="6">
        <v>3299.7</v>
      </c>
      <c r="W7031" s="6">
        <f t="shared" si="1095"/>
        <v>10828.7</v>
      </c>
      <c r="X7031" s="6">
        <f t="shared" si="1096"/>
        <v>3299.7</v>
      </c>
      <c r="Y7031" s="13">
        <f t="shared" si="1089"/>
        <v>0</v>
      </c>
      <c r="Z7031" s="14">
        <v>0</v>
      </c>
      <c r="AA7031" s="6">
        <v>0</v>
      </c>
      <c r="AB7031" s="4">
        <f t="shared" si="1090"/>
        <v>3299.7</v>
      </c>
      <c r="AC7031" s="6">
        <f t="shared" si="1088"/>
        <v>0</v>
      </c>
      <c r="AD7031" s="6">
        <f t="shared" si="1092"/>
        <v>3299.7</v>
      </c>
      <c r="AE7031" s="14">
        <f>VLOOKUP(I7031,[2]媒体政策预估表!A:N,MATCH(O7031,[2]媒体政策预估表!$A$2:$M$2,0),0)</f>
        <v>0.1293</v>
      </c>
      <c r="AF7031" s="6">
        <f t="shared" si="1094"/>
        <v>426.65120999999999</v>
      </c>
      <c r="AG7031" s="14">
        <v>0</v>
      </c>
      <c r="AH7031" s="64">
        <f t="shared" si="1093"/>
        <v>3299.7</v>
      </c>
      <c r="AJ7031" s="126" t="e">
        <v>#N/A</v>
      </c>
      <c r="AK7031" s="80">
        <f t="shared" si="1091"/>
        <v>0</v>
      </c>
      <c r="AL7031" s="85"/>
      <c r="AM7031" s="85"/>
    </row>
    <row r="7032" spans="1:39" s="86" customFormat="1" ht="13.25" hidden="1" customHeight="1" x14ac:dyDescent="0.3">
      <c r="A7032" s="89" t="s">
        <v>3978</v>
      </c>
      <c r="B7032" s="86" t="s">
        <v>701</v>
      </c>
      <c r="C7032" s="86" t="s">
        <v>65</v>
      </c>
      <c r="D7032" s="86" t="s">
        <v>122</v>
      </c>
      <c r="E7032" s="86" t="s">
        <v>1266</v>
      </c>
      <c r="F7032" s="86" t="s">
        <v>1266</v>
      </c>
      <c r="G7032" s="86" t="s">
        <v>1266</v>
      </c>
      <c r="H7032" s="144">
        <v>83</v>
      </c>
      <c r="I7032" s="86" t="s">
        <v>78</v>
      </c>
      <c r="J7032" s="1" t="s">
        <v>3303</v>
      </c>
      <c r="K7032" s="1" t="s">
        <v>3763</v>
      </c>
      <c r="L7032" s="1" t="s">
        <v>701</v>
      </c>
      <c r="M7032" s="86" t="s">
        <v>2764</v>
      </c>
      <c r="O7032" s="47" t="s">
        <v>410</v>
      </c>
      <c r="P7032" s="14" t="s">
        <v>41</v>
      </c>
      <c r="Q7032" s="14">
        <v>0</v>
      </c>
      <c r="R7032" s="143">
        <v>7637</v>
      </c>
      <c r="S7032" s="47"/>
      <c r="T7032" s="6">
        <v>16261.699999999999</v>
      </c>
      <c r="U7032" s="6"/>
      <c r="V7032" s="6">
        <v>1667.5</v>
      </c>
      <c r="W7032" s="6">
        <f t="shared" si="1095"/>
        <v>14594.199999999999</v>
      </c>
      <c r="X7032" s="6">
        <f t="shared" si="1096"/>
        <v>1667.5</v>
      </c>
      <c r="Y7032" s="13">
        <f t="shared" si="1089"/>
        <v>0</v>
      </c>
      <c r="Z7032" s="14">
        <v>0</v>
      </c>
      <c r="AA7032" s="6">
        <v>0</v>
      </c>
      <c r="AB7032" s="4">
        <f t="shared" si="1090"/>
        <v>1667.5</v>
      </c>
      <c r="AC7032" s="6">
        <f t="shared" si="1088"/>
        <v>0</v>
      </c>
      <c r="AD7032" s="6">
        <f t="shared" si="1092"/>
        <v>1667.5</v>
      </c>
      <c r="AE7032" s="14">
        <f>VLOOKUP(I7032,[2]媒体政策预估表!A:N,MATCH(O7032,[2]媒体政策预估表!$A$2:$M$2,0),0)</f>
        <v>0.1293</v>
      </c>
      <c r="AF7032" s="6">
        <f t="shared" si="1094"/>
        <v>215.60775000000001</v>
      </c>
      <c r="AG7032" s="14">
        <v>0</v>
      </c>
      <c r="AH7032" s="64">
        <f t="shared" si="1093"/>
        <v>1667.5</v>
      </c>
      <c r="AJ7032" s="126" t="e">
        <v>#N/A</v>
      </c>
      <c r="AK7032" s="80">
        <f t="shared" si="1091"/>
        <v>0</v>
      </c>
      <c r="AL7032" s="85"/>
      <c r="AM7032" s="85"/>
    </row>
    <row r="7033" spans="1:39" s="86" customFormat="1" ht="13.25" hidden="1" customHeight="1" x14ac:dyDescent="0.3">
      <c r="A7033" s="89" t="s">
        <v>3978</v>
      </c>
      <c r="B7033" s="86" t="s">
        <v>701</v>
      </c>
      <c r="C7033" s="86" t="s">
        <v>36</v>
      </c>
      <c r="D7033" s="86" t="s">
        <v>185</v>
      </c>
      <c r="E7033" s="86" t="s">
        <v>2409</v>
      </c>
      <c r="F7033" s="86" t="s">
        <v>2776</v>
      </c>
      <c r="G7033" s="86" t="s">
        <v>2409</v>
      </c>
      <c r="H7033" s="143">
        <v>83</v>
      </c>
      <c r="I7033" s="86" t="s">
        <v>78</v>
      </c>
      <c r="J7033" s="1" t="s">
        <v>3303</v>
      </c>
      <c r="K7033" s="1" t="s">
        <v>3763</v>
      </c>
      <c r="L7033" s="1" t="s">
        <v>701</v>
      </c>
      <c r="M7033" s="86" t="s">
        <v>2781</v>
      </c>
      <c r="O7033" s="47" t="s">
        <v>410</v>
      </c>
      <c r="P7033" s="14" t="s">
        <v>46</v>
      </c>
      <c r="Q7033" s="14">
        <v>7.0000000000000007E-2</v>
      </c>
      <c r="R7033" s="143">
        <v>7611</v>
      </c>
      <c r="S7033" s="47"/>
      <c r="T7033" s="6">
        <v>164848.75</v>
      </c>
      <c r="U7033" s="6"/>
      <c r="V7033" s="6">
        <v>0</v>
      </c>
      <c r="W7033" s="6">
        <f t="shared" si="1095"/>
        <v>164848.75</v>
      </c>
      <c r="X7033" s="6">
        <f t="shared" si="1096"/>
        <v>0</v>
      </c>
      <c r="Y7033" s="13">
        <f t="shared" si="1089"/>
        <v>0</v>
      </c>
      <c r="Z7033" s="14">
        <v>0</v>
      </c>
      <c r="AA7033" s="6">
        <v>0</v>
      </c>
      <c r="AB7033" s="4">
        <f t="shared" si="1090"/>
        <v>0</v>
      </c>
      <c r="AC7033" s="6">
        <f t="shared" si="1088"/>
        <v>0</v>
      </c>
      <c r="AD7033" s="6">
        <f t="shared" si="1092"/>
        <v>0</v>
      </c>
      <c r="AE7033" s="14">
        <f>VLOOKUP(I7033,[2]媒体政策预估表!A:N,MATCH(O7033,[2]媒体政策预估表!$A$2:$M$2,0),0)</f>
        <v>0.1293</v>
      </c>
      <c r="AF7033" s="6">
        <f t="shared" si="1094"/>
        <v>0</v>
      </c>
      <c r="AG7033" s="14">
        <v>0</v>
      </c>
      <c r="AH7033" s="64">
        <f t="shared" si="1093"/>
        <v>0</v>
      </c>
      <c r="AJ7033" s="126" t="e">
        <v>#N/A</v>
      </c>
      <c r="AK7033" s="80">
        <f t="shared" si="1091"/>
        <v>0</v>
      </c>
      <c r="AL7033" s="85"/>
      <c r="AM7033" s="85"/>
    </row>
    <row r="7034" spans="1:39" s="86" customFormat="1" ht="13.25" hidden="1" customHeight="1" x14ac:dyDescent="0.3">
      <c r="A7034" s="89" t="s">
        <v>3792</v>
      </c>
      <c r="B7034" s="86" t="s">
        <v>701</v>
      </c>
      <c r="C7034" s="86" t="s">
        <v>184</v>
      </c>
      <c r="D7034" s="86" t="s">
        <v>3849</v>
      </c>
      <c r="E7034" s="86" t="s">
        <v>2789</v>
      </c>
      <c r="F7034" s="86" t="s">
        <v>2789</v>
      </c>
      <c r="G7034" s="86" t="s">
        <v>2789</v>
      </c>
      <c r="H7034" s="143">
        <v>83</v>
      </c>
      <c r="I7034" s="86" t="s">
        <v>78</v>
      </c>
      <c r="J7034" s="1" t="s">
        <v>3303</v>
      </c>
      <c r="K7034" s="1" t="s">
        <v>3763</v>
      </c>
      <c r="L7034" s="1" t="s">
        <v>701</v>
      </c>
      <c r="M7034" s="86" t="s">
        <v>2789</v>
      </c>
      <c r="O7034" s="47" t="s">
        <v>410</v>
      </c>
      <c r="P7034" s="14" t="s">
        <v>41</v>
      </c>
      <c r="Q7034" s="14">
        <v>0</v>
      </c>
      <c r="R7034" s="143">
        <v>7610</v>
      </c>
      <c r="S7034" s="47"/>
      <c r="T7034" s="6">
        <v>49827.88</v>
      </c>
      <c r="U7034" s="6"/>
      <c r="V7034" s="6">
        <v>0</v>
      </c>
      <c r="W7034" s="6">
        <f t="shared" si="1095"/>
        <v>49827.88</v>
      </c>
      <c r="X7034" s="6">
        <f t="shared" si="1096"/>
        <v>0</v>
      </c>
      <c r="Y7034" s="13">
        <f t="shared" si="1089"/>
        <v>0</v>
      </c>
      <c r="Z7034" s="14">
        <v>0</v>
      </c>
      <c r="AA7034" s="6">
        <v>0</v>
      </c>
      <c r="AB7034" s="4">
        <f t="shared" si="1090"/>
        <v>0</v>
      </c>
      <c r="AC7034" s="6">
        <f t="shared" si="1088"/>
        <v>0</v>
      </c>
      <c r="AD7034" s="6">
        <f t="shared" si="1092"/>
        <v>0</v>
      </c>
      <c r="AE7034" s="14">
        <f>VLOOKUP(I7034,[2]媒体政策预估表!A:N,MATCH(O7034,[2]媒体政策预估表!$A$2:$M$2,0),0)</f>
        <v>0.1293</v>
      </c>
      <c r="AF7034" s="6">
        <f t="shared" si="1094"/>
        <v>0</v>
      </c>
      <c r="AG7034" s="14">
        <v>0</v>
      </c>
      <c r="AH7034" s="64">
        <f t="shared" si="1093"/>
        <v>0</v>
      </c>
      <c r="AJ7034" s="126" t="e">
        <v>#N/A</v>
      </c>
      <c r="AK7034" s="80">
        <f t="shared" si="1091"/>
        <v>0</v>
      </c>
      <c r="AL7034" s="85"/>
      <c r="AM7034" s="85"/>
    </row>
    <row r="7035" spans="1:39" s="86" customFormat="1" ht="13.25" hidden="1" customHeight="1" x14ac:dyDescent="0.3">
      <c r="A7035" s="89" t="s">
        <v>3978</v>
      </c>
      <c r="B7035" s="86" t="s">
        <v>701</v>
      </c>
      <c r="C7035" s="86" t="s">
        <v>144</v>
      </c>
      <c r="D7035" s="86" t="s">
        <v>145</v>
      </c>
      <c r="E7035" s="86" t="s">
        <v>149</v>
      </c>
      <c r="F7035" s="86" t="s">
        <v>149</v>
      </c>
      <c r="G7035" s="86" t="s">
        <v>149</v>
      </c>
      <c r="H7035" s="144">
        <v>83</v>
      </c>
      <c r="I7035" s="86" t="s">
        <v>78</v>
      </c>
      <c r="J7035" s="1" t="s">
        <v>3303</v>
      </c>
      <c r="K7035" s="1" t="s">
        <v>3763</v>
      </c>
      <c r="L7035" s="1" t="s">
        <v>701</v>
      </c>
      <c r="M7035" s="86" t="s">
        <v>2791</v>
      </c>
      <c r="O7035" s="47" t="s">
        <v>410</v>
      </c>
      <c r="P7035" s="14" t="s">
        <v>41</v>
      </c>
      <c r="Q7035" s="14">
        <v>0</v>
      </c>
      <c r="R7035" s="143">
        <v>7653</v>
      </c>
      <c r="S7035" s="47"/>
      <c r="T7035" s="6">
        <v>40381.1</v>
      </c>
      <c r="U7035" s="6"/>
      <c r="V7035" s="6">
        <v>2404.4</v>
      </c>
      <c r="W7035" s="6">
        <f t="shared" si="1095"/>
        <v>37976.699999999997</v>
      </c>
      <c r="X7035" s="6">
        <f t="shared" si="1096"/>
        <v>2404.4</v>
      </c>
      <c r="Y7035" s="13">
        <f t="shared" si="1089"/>
        <v>0</v>
      </c>
      <c r="Z7035" s="14">
        <v>0</v>
      </c>
      <c r="AA7035" s="6">
        <v>0</v>
      </c>
      <c r="AB7035" s="4">
        <f t="shared" si="1090"/>
        <v>2404.4</v>
      </c>
      <c r="AC7035" s="6">
        <f t="shared" si="1088"/>
        <v>0</v>
      </c>
      <c r="AD7035" s="6">
        <f t="shared" si="1092"/>
        <v>2404.4</v>
      </c>
      <c r="AE7035" s="14">
        <f>VLOOKUP(I7035,[2]媒体政策预估表!A:N,MATCH(O7035,[2]媒体政策预估表!$A$2:$M$2,0),0)</f>
        <v>0.1293</v>
      </c>
      <c r="AF7035" s="6">
        <f t="shared" si="1094"/>
        <v>310.88891999999998</v>
      </c>
      <c r="AG7035" s="14">
        <v>0</v>
      </c>
      <c r="AH7035" s="64">
        <f t="shared" si="1093"/>
        <v>2404.4</v>
      </c>
      <c r="AJ7035" s="126" t="e">
        <v>#N/A</v>
      </c>
      <c r="AK7035" s="80">
        <f t="shared" si="1091"/>
        <v>0</v>
      </c>
      <c r="AL7035" s="85"/>
      <c r="AM7035" s="85"/>
    </row>
    <row r="7036" spans="1:39" s="86" customFormat="1" ht="13.25" hidden="1" customHeight="1" x14ac:dyDescent="0.3">
      <c r="A7036" s="89" t="s">
        <v>3792</v>
      </c>
      <c r="B7036" s="86" t="s">
        <v>701</v>
      </c>
      <c r="C7036" s="86" t="s">
        <v>144</v>
      </c>
      <c r="D7036" s="86" t="s">
        <v>152</v>
      </c>
      <c r="E7036" s="86" t="s">
        <v>2795</v>
      </c>
      <c r="F7036" s="86" t="s">
        <v>2795</v>
      </c>
      <c r="G7036" s="86" t="s">
        <v>2795</v>
      </c>
      <c r="H7036" s="143">
        <v>83</v>
      </c>
      <c r="I7036" s="86" t="s">
        <v>78</v>
      </c>
      <c r="J7036" s="1" t="s">
        <v>3303</v>
      </c>
      <c r="K7036" s="1" t="s">
        <v>3763</v>
      </c>
      <c r="L7036" s="1" t="s">
        <v>701</v>
      </c>
      <c r="M7036" s="86" t="s">
        <v>2797</v>
      </c>
      <c r="O7036" s="47" t="s">
        <v>410</v>
      </c>
      <c r="P7036" s="14" t="s">
        <v>41</v>
      </c>
      <c r="Q7036" s="14">
        <v>0</v>
      </c>
      <c r="R7036" s="143">
        <v>7510</v>
      </c>
      <c r="S7036" s="47"/>
      <c r="T7036" s="6">
        <v>498.79999999999973</v>
      </c>
      <c r="U7036" s="6"/>
      <c r="V7036" s="6">
        <v>460.8</v>
      </c>
      <c r="W7036" s="6">
        <f t="shared" si="1095"/>
        <v>37.999999999999716</v>
      </c>
      <c r="X7036" s="6">
        <f t="shared" si="1096"/>
        <v>460.8</v>
      </c>
      <c r="Y7036" s="13">
        <f t="shared" si="1089"/>
        <v>0</v>
      </c>
      <c r="Z7036" s="14">
        <v>0</v>
      </c>
      <c r="AA7036" s="6">
        <v>0</v>
      </c>
      <c r="AB7036" s="4"/>
      <c r="AC7036" s="6">
        <f t="shared" si="1088"/>
        <v>0</v>
      </c>
      <c r="AD7036" s="6">
        <f t="shared" si="1092"/>
        <v>460.8</v>
      </c>
      <c r="AE7036" s="14">
        <f>VLOOKUP(I7036,[2]媒体政策预估表!A:N,MATCH(O7036,[2]媒体政策预估表!$A$2:$M$2,0),0)</f>
        <v>0.1293</v>
      </c>
      <c r="AF7036" s="6">
        <f t="shared" si="1094"/>
        <v>59.581440000000001</v>
      </c>
      <c r="AG7036" s="14">
        <v>0</v>
      </c>
      <c r="AH7036" s="64">
        <f t="shared" si="1093"/>
        <v>460.8</v>
      </c>
      <c r="AJ7036" s="126">
        <v>93</v>
      </c>
      <c r="AK7036" s="80">
        <f t="shared" si="1091"/>
        <v>460.8</v>
      </c>
      <c r="AL7036" s="85"/>
      <c r="AM7036" s="85"/>
    </row>
    <row r="7037" spans="1:39" s="86" customFormat="1" ht="13.25" hidden="1" customHeight="1" x14ac:dyDescent="0.3">
      <c r="A7037" s="89" t="s">
        <v>3978</v>
      </c>
      <c r="B7037" s="86" t="s">
        <v>701</v>
      </c>
      <c r="C7037" s="86" t="s">
        <v>164</v>
      </c>
      <c r="D7037" s="86" t="s">
        <v>174</v>
      </c>
      <c r="E7037" s="86" t="s">
        <v>2820</v>
      </c>
      <c r="F7037" s="86" t="s">
        <v>2820</v>
      </c>
      <c r="G7037" s="86" t="s">
        <v>2820</v>
      </c>
      <c r="H7037" s="143">
        <v>83</v>
      </c>
      <c r="I7037" s="86" t="s">
        <v>78</v>
      </c>
      <c r="J7037" s="1" t="s">
        <v>3303</v>
      </c>
      <c r="K7037" s="1" t="s">
        <v>3763</v>
      </c>
      <c r="L7037" s="1" t="s">
        <v>701</v>
      </c>
      <c r="M7037" s="86" t="s">
        <v>2821</v>
      </c>
      <c r="O7037" s="47" t="s">
        <v>410</v>
      </c>
      <c r="P7037" s="14" t="s">
        <v>41</v>
      </c>
      <c r="Q7037" s="14">
        <v>0</v>
      </c>
      <c r="R7037" s="143">
        <v>7609</v>
      </c>
      <c r="S7037" s="47"/>
      <c r="T7037" s="6">
        <v>7158.9500000000007</v>
      </c>
      <c r="U7037" s="6"/>
      <c r="V7037" s="6">
        <v>0</v>
      </c>
      <c r="W7037" s="6">
        <f t="shared" si="1095"/>
        <v>7158.9500000000007</v>
      </c>
      <c r="X7037" s="6">
        <f t="shared" si="1096"/>
        <v>0</v>
      </c>
      <c r="Y7037" s="13">
        <f t="shared" si="1089"/>
        <v>0</v>
      </c>
      <c r="Z7037" s="14">
        <v>0</v>
      </c>
      <c r="AA7037" s="6">
        <v>0</v>
      </c>
      <c r="AB7037" s="4">
        <f t="shared" si="1090"/>
        <v>0</v>
      </c>
      <c r="AC7037" s="6">
        <f t="shared" si="1088"/>
        <v>0</v>
      </c>
      <c r="AD7037" s="6">
        <f t="shared" si="1092"/>
        <v>0</v>
      </c>
      <c r="AE7037" s="14">
        <f>VLOOKUP(I7037,[2]媒体政策预估表!A:N,MATCH(O7037,[2]媒体政策预估表!$A$2:$M$2,0),0)</f>
        <v>0.1293</v>
      </c>
      <c r="AF7037" s="6">
        <f t="shared" si="1094"/>
        <v>0</v>
      </c>
      <c r="AG7037" s="14">
        <v>0</v>
      </c>
      <c r="AH7037" s="64">
        <f t="shared" si="1093"/>
        <v>0</v>
      </c>
      <c r="AJ7037" s="126" t="e">
        <v>#N/A</v>
      </c>
      <c r="AK7037" s="80">
        <f t="shared" si="1091"/>
        <v>0</v>
      </c>
      <c r="AL7037" s="85"/>
      <c r="AM7037" s="85"/>
    </row>
    <row r="7038" spans="1:39" s="86" customFormat="1" ht="13.25" hidden="1" customHeight="1" x14ac:dyDescent="0.3">
      <c r="A7038" s="89" t="s">
        <v>3792</v>
      </c>
      <c r="B7038" s="86" t="s">
        <v>701</v>
      </c>
      <c r="C7038" s="86" t="s">
        <v>187</v>
      </c>
      <c r="D7038" s="86" t="s">
        <v>2829</v>
      </c>
      <c r="E7038" s="86" t="s">
        <v>2830</v>
      </c>
      <c r="F7038" s="86" t="s">
        <v>2830</v>
      </c>
      <c r="G7038" s="86" t="s">
        <v>2830</v>
      </c>
      <c r="H7038" s="144">
        <v>83</v>
      </c>
      <c r="I7038" s="86" t="s">
        <v>78</v>
      </c>
      <c r="J7038" s="1" t="s">
        <v>3303</v>
      </c>
      <c r="K7038" s="1" t="s">
        <v>3763</v>
      </c>
      <c r="L7038" s="1" t="s">
        <v>701</v>
      </c>
      <c r="M7038" s="86" t="s">
        <v>2830</v>
      </c>
      <c r="O7038" s="47" t="s">
        <v>410</v>
      </c>
      <c r="P7038" s="14" t="s">
        <v>41</v>
      </c>
      <c r="Q7038" s="14">
        <v>0</v>
      </c>
      <c r="R7038" s="143">
        <v>7658</v>
      </c>
      <c r="S7038" s="47"/>
      <c r="T7038" s="6">
        <v>3382.5400000000009</v>
      </c>
      <c r="U7038" s="6"/>
      <c r="V7038" s="6">
        <v>747.83</v>
      </c>
      <c r="W7038" s="6">
        <f t="shared" si="1095"/>
        <v>2634.7100000000009</v>
      </c>
      <c r="X7038" s="6">
        <f t="shared" si="1096"/>
        <v>747.83</v>
      </c>
      <c r="Y7038" s="13">
        <f t="shared" si="1089"/>
        <v>0</v>
      </c>
      <c r="Z7038" s="14">
        <v>0</v>
      </c>
      <c r="AA7038" s="6">
        <v>0</v>
      </c>
      <c r="AB7038" s="4">
        <f t="shared" si="1090"/>
        <v>747.83</v>
      </c>
      <c r="AC7038" s="6">
        <f t="shared" ref="AC7038:AC7101" si="1097">IF(P7038="返现",X7038*Q7038,V7038-X7038)</f>
        <v>0</v>
      </c>
      <c r="AD7038" s="6">
        <f t="shared" si="1092"/>
        <v>747.83</v>
      </c>
      <c r="AE7038" s="14">
        <f>VLOOKUP(I7038,[2]媒体政策预估表!A:N,MATCH(O7038,[2]媒体政策预估表!$A$2:$M$2,0),0)</f>
        <v>0.1293</v>
      </c>
      <c r="AF7038" s="6">
        <f t="shared" si="1094"/>
        <v>96.694419000000011</v>
      </c>
      <c r="AG7038" s="14">
        <v>0</v>
      </c>
      <c r="AH7038" s="64">
        <f t="shared" si="1093"/>
        <v>747.83</v>
      </c>
      <c r="AJ7038" s="126" t="e">
        <v>#N/A</v>
      </c>
      <c r="AK7038" s="80">
        <f t="shared" si="1091"/>
        <v>0</v>
      </c>
      <c r="AL7038" s="85"/>
      <c r="AM7038" s="85"/>
    </row>
    <row r="7039" spans="1:39" s="86" customFormat="1" ht="13.25" hidden="1" customHeight="1" x14ac:dyDescent="0.3">
      <c r="A7039" s="89" t="s">
        <v>3978</v>
      </c>
      <c r="B7039" s="86" t="s">
        <v>35</v>
      </c>
      <c r="C7039" s="86" t="s">
        <v>184</v>
      </c>
      <c r="D7039" s="86" t="s">
        <v>37</v>
      </c>
      <c r="E7039" s="86" t="s">
        <v>127</v>
      </c>
      <c r="F7039" s="86" t="s">
        <v>2833</v>
      </c>
      <c r="G7039" s="86" t="s">
        <v>1845</v>
      </c>
      <c r="H7039" s="144">
        <v>83</v>
      </c>
      <c r="I7039" s="86" t="s">
        <v>78</v>
      </c>
      <c r="J7039" s="1" t="s">
        <v>3303</v>
      </c>
      <c r="K7039" s="1" t="s">
        <v>3763</v>
      </c>
      <c r="L7039" s="1" t="s">
        <v>701</v>
      </c>
      <c r="M7039" s="86" t="s">
        <v>127</v>
      </c>
      <c r="O7039" s="47" t="s">
        <v>410</v>
      </c>
      <c r="P7039" s="14" t="s">
        <v>41</v>
      </c>
      <c r="Q7039" s="14">
        <v>0</v>
      </c>
      <c r="R7039" s="143">
        <v>7545</v>
      </c>
      <c r="S7039" s="47"/>
      <c r="T7039" s="6">
        <v>14996.689999999995</v>
      </c>
      <c r="U7039" s="6"/>
      <c r="V7039" s="6">
        <v>14996.689999999995</v>
      </c>
      <c r="W7039" s="6">
        <f t="shared" si="1095"/>
        <v>0</v>
      </c>
      <c r="X7039" s="6">
        <f t="shared" si="1096"/>
        <v>14996.689999999995</v>
      </c>
      <c r="Y7039" s="13">
        <f t="shared" si="1089"/>
        <v>0</v>
      </c>
      <c r="Z7039" s="14">
        <v>0</v>
      </c>
      <c r="AA7039" s="6">
        <v>0</v>
      </c>
      <c r="AB7039" s="4">
        <f t="shared" si="1090"/>
        <v>14996.689999999995</v>
      </c>
      <c r="AC7039" s="6">
        <f t="shared" si="1097"/>
        <v>0</v>
      </c>
      <c r="AD7039" s="6">
        <f t="shared" si="1092"/>
        <v>14996.689999999995</v>
      </c>
      <c r="AE7039" s="14">
        <f>VLOOKUP(I7039,[2]媒体政策预估表!A:N,MATCH(O7039,[2]媒体政策预估表!$A$2:$M$2,0),0)</f>
        <v>0.1293</v>
      </c>
      <c r="AF7039" s="6">
        <f t="shared" si="1094"/>
        <v>1939.0720169999993</v>
      </c>
      <c r="AG7039" s="14">
        <v>0</v>
      </c>
      <c r="AH7039" s="64">
        <f t="shared" si="1093"/>
        <v>14996.689999999995</v>
      </c>
      <c r="AJ7039" s="126" t="e">
        <v>#N/A</v>
      </c>
      <c r="AK7039" s="80">
        <f t="shared" si="1091"/>
        <v>0</v>
      </c>
      <c r="AL7039" s="85"/>
      <c r="AM7039" s="85"/>
    </row>
    <row r="7040" spans="1:39" s="86" customFormat="1" ht="13.25" hidden="1" customHeight="1" x14ac:dyDescent="0.3">
      <c r="A7040" s="89" t="s">
        <v>3978</v>
      </c>
      <c r="B7040" s="86" t="s">
        <v>35</v>
      </c>
      <c r="C7040" s="86" t="s">
        <v>164</v>
      </c>
      <c r="D7040" s="86" t="s">
        <v>174</v>
      </c>
      <c r="E7040" s="86" t="s">
        <v>1966</v>
      </c>
      <c r="F7040" s="86" t="s">
        <v>2834</v>
      </c>
      <c r="G7040" s="86" t="s">
        <v>1845</v>
      </c>
      <c r="H7040" s="143">
        <v>83</v>
      </c>
      <c r="I7040" s="86" t="s">
        <v>78</v>
      </c>
      <c r="J7040" s="1" t="s">
        <v>3303</v>
      </c>
      <c r="K7040" s="1" t="s">
        <v>3763</v>
      </c>
      <c r="L7040" s="1" t="s">
        <v>701</v>
      </c>
      <c r="M7040" s="86" t="s">
        <v>2835</v>
      </c>
      <c r="O7040" s="47" t="s">
        <v>410</v>
      </c>
      <c r="P7040" s="14" t="s">
        <v>41</v>
      </c>
      <c r="Q7040" s="14">
        <v>0</v>
      </c>
      <c r="R7040" s="143">
        <v>7115</v>
      </c>
      <c r="S7040" s="47"/>
      <c r="T7040" s="6">
        <v>35663.439999999995</v>
      </c>
      <c r="U7040" s="6"/>
      <c r="V7040" s="6">
        <v>0</v>
      </c>
      <c r="W7040" s="6">
        <f t="shared" si="1095"/>
        <v>35663.439999999995</v>
      </c>
      <c r="X7040" s="6">
        <f t="shared" si="1096"/>
        <v>0</v>
      </c>
      <c r="Y7040" s="13">
        <f t="shared" si="1089"/>
        <v>0</v>
      </c>
      <c r="Z7040" s="14">
        <v>0</v>
      </c>
      <c r="AA7040" s="6">
        <v>0</v>
      </c>
      <c r="AB7040" s="4">
        <f t="shared" si="1090"/>
        <v>0</v>
      </c>
      <c r="AC7040" s="6">
        <f t="shared" si="1097"/>
        <v>0</v>
      </c>
      <c r="AD7040" s="6">
        <f t="shared" si="1092"/>
        <v>0</v>
      </c>
      <c r="AE7040" s="14">
        <f>VLOOKUP(I7040,[2]媒体政策预估表!A:N,MATCH(O7040,[2]媒体政策预估表!$A$2:$M$2,0),0)</f>
        <v>0.1293</v>
      </c>
      <c r="AF7040" s="6">
        <f t="shared" si="1094"/>
        <v>0</v>
      </c>
      <c r="AG7040" s="14">
        <v>0</v>
      </c>
      <c r="AH7040" s="64">
        <f t="shared" si="1093"/>
        <v>0</v>
      </c>
      <c r="AJ7040" s="126" t="e">
        <v>#N/A</v>
      </c>
      <c r="AK7040" s="80">
        <f t="shared" si="1091"/>
        <v>0</v>
      </c>
      <c r="AL7040" s="85"/>
      <c r="AM7040" s="85"/>
    </row>
    <row r="7041" spans="1:39" s="86" customFormat="1" ht="13.25" hidden="1" customHeight="1" x14ac:dyDescent="0.3">
      <c r="A7041" s="89" t="s">
        <v>3978</v>
      </c>
      <c r="B7041" s="86" t="s">
        <v>701</v>
      </c>
      <c r="C7041" s="86" t="s">
        <v>184</v>
      </c>
      <c r="D7041" s="86" t="s">
        <v>224</v>
      </c>
      <c r="E7041" s="86" t="s">
        <v>2840</v>
      </c>
      <c r="F7041" s="86" t="s">
        <v>2840</v>
      </c>
      <c r="G7041" s="86" t="s">
        <v>2840</v>
      </c>
      <c r="H7041" s="144">
        <v>83</v>
      </c>
      <c r="I7041" s="86" t="s">
        <v>78</v>
      </c>
      <c r="J7041" s="1" t="s">
        <v>3303</v>
      </c>
      <c r="K7041" s="1" t="s">
        <v>3763</v>
      </c>
      <c r="L7041" s="1" t="s">
        <v>701</v>
      </c>
      <c r="M7041" s="86" t="s">
        <v>2841</v>
      </c>
      <c r="O7041" s="47" t="s">
        <v>410</v>
      </c>
      <c r="P7041" s="14" t="s">
        <v>41</v>
      </c>
      <c r="Q7041" s="14">
        <v>0</v>
      </c>
      <c r="R7041" s="143">
        <v>7444</v>
      </c>
      <c r="S7041" s="47"/>
      <c r="T7041" s="6">
        <v>4404.21</v>
      </c>
      <c r="U7041" s="6"/>
      <c r="V7041" s="6">
        <v>845.13</v>
      </c>
      <c r="W7041" s="6">
        <f t="shared" si="1095"/>
        <v>3559.08</v>
      </c>
      <c r="X7041" s="6">
        <f t="shared" si="1096"/>
        <v>845.13</v>
      </c>
      <c r="Y7041" s="13">
        <f t="shared" si="1089"/>
        <v>0</v>
      </c>
      <c r="Z7041" s="14">
        <v>0</v>
      </c>
      <c r="AA7041" s="6">
        <v>0</v>
      </c>
      <c r="AB7041" s="4">
        <f t="shared" si="1090"/>
        <v>845.13</v>
      </c>
      <c r="AC7041" s="6">
        <f t="shared" si="1097"/>
        <v>0</v>
      </c>
      <c r="AD7041" s="6">
        <f t="shared" si="1092"/>
        <v>845.13</v>
      </c>
      <c r="AE7041" s="14">
        <f>VLOOKUP(I7041,[2]媒体政策预估表!A:N,MATCH(O7041,[2]媒体政策预估表!$A$2:$M$2,0),0)</f>
        <v>0.1293</v>
      </c>
      <c r="AF7041" s="6">
        <f t="shared" si="1094"/>
        <v>109.27530899999999</v>
      </c>
      <c r="AG7041" s="14">
        <v>0</v>
      </c>
      <c r="AH7041" s="64">
        <f t="shared" si="1093"/>
        <v>845.13</v>
      </c>
      <c r="AJ7041" s="126" t="e">
        <v>#N/A</v>
      </c>
      <c r="AK7041" s="80">
        <f t="shared" si="1091"/>
        <v>0</v>
      </c>
      <c r="AL7041" s="85"/>
      <c r="AM7041" s="85"/>
    </row>
    <row r="7042" spans="1:39" s="86" customFormat="1" ht="13.25" hidden="1" customHeight="1" x14ac:dyDescent="0.3">
      <c r="A7042" s="89" t="s">
        <v>3792</v>
      </c>
      <c r="B7042" s="86" t="s">
        <v>701</v>
      </c>
      <c r="C7042" s="86" t="s">
        <v>184</v>
      </c>
      <c r="D7042" s="86" t="s">
        <v>54</v>
      </c>
      <c r="E7042" s="86" t="s">
        <v>2846</v>
      </c>
      <c r="F7042" s="86" t="s">
        <v>2846</v>
      </c>
      <c r="G7042" s="86" t="s">
        <v>2846</v>
      </c>
      <c r="H7042" s="144">
        <v>83</v>
      </c>
      <c r="I7042" s="86" t="s">
        <v>78</v>
      </c>
      <c r="J7042" s="1" t="s">
        <v>3303</v>
      </c>
      <c r="K7042" s="1" t="s">
        <v>3763</v>
      </c>
      <c r="L7042" s="1" t="s">
        <v>701</v>
      </c>
      <c r="M7042" s="86" t="s">
        <v>2847</v>
      </c>
      <c r="O7042" s="47" t="s">
        <v>410</v>
      </c>
      <c r="P7042" s="14" t="s">
        <v>41</v>
      </c>
      <c r="Q7042" s="14">
        <v>0</v>
      </c>
      <c r="R7042" s="143">
        <v>7166</v>
      </c>
      <c r="S7042" s="47"/>
      <c r="T7042" s="6">
        <v>137.5</v>
      </c>
      <c r="U7042" s="6"/>
      <c r="V7042" s="6">
        <v>137.5</v>
      </c>
      <c r="W7042" s="6">
        <f t="shared" si="1095"/>
        <v>0</v>
      </c>
      <c r="X7042" s="6">
        <f t="shared" si="1096"/>
        <v>137.5</v>
      </c>
      <c r="Y7042" s="13">
        <f t="shared" si="1089"/>
        <v>0</v>
      </c>
      <c r="Z7042" s="14">
        <v>0</v>
      </c>
      <c r="AA7042" s="6">
        <v>0</v>
      </c>
      <c r="AB7042" s="4">
        <f t="shared" si="1090"/>
        <v>137.5</v>
      </c>
      <c r="AC7042" s="6">
        <f t="shared" si="1097"/>
        <v>0</v>
      </c>
      <c r="AD7042" s="6">
        <f t="shared" si="1092"/>
        <v>137.5</v>
      </c>
      <c r="AE7042" s="14">
        <f>VLOOKUP(I7042,[2]媒体政策预估表!A:N,MATCH(O7042,[2]媒体政策预估表!$A$2:$M$2,0),0)</f>
        <v>0.1293</v>
      </c>
      <c r="AF7042" s="6">
        <f t="shared" si="1094"/>
        <v>17.778749999999999</v>
      </c>
      <c r="AG7042" s="14">
        <v>0</v>
      </c>
      <c r="AH7042" s="64">
        <f t="shared" si="1093"/>
        <v>137.5</v>
      </c>
      <c r="AJ7042" s="126" t="e">
        <v>#N/A</v>
      </c>
      <c r="AK7042" s="80">
        <f t="shared" si="1091"/>
        <v>0</v>
      </c>
      <c r="AL7042" s="85"/>
      <c r="AM7042" s="85"/>
    </row>
    <row r="7043" spans="1:39" s="86" customFormat="1" ht="13.25" hidden="1" customHeight="1" x14ac:dyDescent="0.3">
      <c r="A7043" s="89" t="s">
        <v>3978</v>
      </c>
      <c r="B7043" s="86" t="s">
        <v>701</v>
      </c>
      <c r="C7043" s="86" t="s">
        <v>184</v>
      </c>
      <c r="D7043" s="86" t="s">
        <v>37</v>
      </c>
      <c r="E7043" s="86" t="s">
        <v>2848</v>
      </c>
      <c r="F7043" s="86" t="s">
        <v>2848</v>
      </c>
      <c r="G7043" s="86" t="s">
        <v>2848</v>
      </c>
      <c r="H7043" s="144">
        <v>83</v>
      </c>
      <c r="I7043" s="86" t="s">
        <v>78</v>
      </c>
      <c r="J7043" s="1" t="s">
        <v>3303</v>
      </c>
      <c r="K7043" s="1" t="s">
        <v>3763</v>
      </c>
      <c r="L7043" s="1" t="s">
        <v>701</v>
      </c>
      <c r="M7043" s="86" t="s">
        <v>2848</v>
      </c>
      <c r="O7043" s="47" t="s">
        <v>410</v>
      </c>
      <c r="P7043" s="14" t="s">
        <v>41</v>
      </c>
      <c r="Q7043" s="14">
        <v>0</v>
      </c>
      <c r="R7043" s="143">
        <v>7197</v>
      </c>
      <c r="S7043" s="47"/>
      <c r="T7043" s="6">
        <v>55587.57</v>
      </c>
      <c r="U7043" s="6"/>
      <c r="V7043" s="6">
        <v>30184.350000000002</v>
      </c>
      <c r="W7043" s="6">
        <f t="shared" si="1095"/>
        <v>25403.219999999998</v>
      </c>
      <c r="X7043" s="6">
        <f t="shared" si="1096"/>
        <v>30184.350000000002</v>
      </c>
      <c r="Y7043" s="13">
        <f t="shared" ref="Y7043:Y7106" si="1098">IF(X7043-AD7043&lt;=0,0,IF(P7043="返现",MAX(X7043-AC7043-AD7043,0),MAX(X7043-AD7043)))</f>
        <v>0</v>
      </c>
      <c r="Z7043" s="14">
        <v>0</v>
      </c>
      <c r="AA7043" s="6">
        <v>0</v>
      </c>
      <c r="AB7043" s="4">
        <f t="shared" ref="AB7043:AB7106" si="1099">X7043+AA7043</f>
        <v>30184.350000000002</v>
      </c>
      <c r="AC7043" s="6">
        <f t="shared" si="1097"/>
        <v>0</v>
      </c>
      <c r="AD7043" s="6">
        <f t="shared" si="1092"/>
        <v>30184.350000000002</v>
      </c>
      <c r="AE7043" s="14">
        <f>VLOOKUP(I7043,[2]媒体政策预估表!A:N,MATCH(O7043,[2]媒体政策预估表!$A$2:$M$2,0),0)</f>
        <v>0.1293</v>
      </c>
      <c r="AF7043" s="6">
        <f t="shared" si="1094"/>
        <v>3902.8364550000001</v>
      </c>
      <c r="AG7043" s="14">
        <v>0</v>
      </c>
      <c r="AH7043" s="64">
        <f t="shared" si="1093"/>
        <v>30184.350000000002</v>
      </c>
      <c r="AJ7043" s="126" t="e">
        <v>#N/A</v>
      </c>
      <c r="AK7043" s="80">
        <f t="shared" ref="AK7043:AK7106" si="1100">X7043+AA7043-AB7043</f>
        <v>0</v>
      </c>
      <c r="AL7043" s="85"/>
      <c r="AM7043" s="85"/>
    </row>
    <row r="7044" spans="1:39" s="86" customFormat="1" ht="13.25" hidden="1" customHeight="1" x14ac:dyDescent="0.3">
      <c r="A7044" s="89" t="s">
        <v>3978</v>
      </c>
      <c r="B7044" s="86" t="s">
        <v>701</v>
      </c>
      <c r="C7044" s="86" t="s">
        <v>65</v>
      </c>
      <c r="D7044" s="86" t="s">
        <v>66</v>
      </c>
      <c r="E7044" s="86" t="s">
        <v>2849</v>
      </c>
      <c r="F7044" s="86" t="s">
        <v>2849</v>
      </c>
      <c r="G7044" s="86" t="s">
        <v>2849</v>
      </c>
      <c r="H7044" s="143">
        <v>83</v>
      </c>
      <c r="I7044" s="86" t="s">
        <v>78</v>
      </c>
      <c r="J7044" s="1" t="s">
        <v>3303</v>
      </c>
      <c r="K7044" s="1" t="s">
        <v>3763</v>
      </c>
      <c r="L7044" s="1" t="s">
        <v>701</v>
      </c>
      <c r="M7044" s="86" t="s">
        <v>2850</v>
      </c>
      <c r="O7044" s="47" t="s">
        <v>410</v>
      </c>
      <c r="P7044" s="14" t="s">
        <v>46</v>
      </c>
      <c r="Q7044" s="14">
        <v>0.02</v>
      </c>
      <c r="R7044" s="143">
        <v>7263</v>
      </c>
      <c r="S7044" s="47"/>
      <c r="T7044" s="6">
        <v>25105.22</v>
      </c>
      <c r="U7044" s="6"/>
      <c r="V7044" s="6">
        <v>0</v>
      </c>
      <c r="W7044" s="6">
        <f t="shared" si="1095"/>
        <v>25105.22</v>
      </c>
      <c r="X7044" s="6">
        <f t="shared" si="1096"/>
        <v>0</v>
      </c>
      <c r="Y7044" s="13">
        <f t="shared" si="1098"/>
        <v>0</v>
      </c>
      <c r="Z7044" s="14">
        <v>0</v>
      </c>
      <c r="AA7044" s="6">
        <v>0</v>
      </c>
      <c r="AB7044" s="4">
        <f t="shared" si="1099"/>
        <v>0</v>
      </c>
      <c r="AC7044" s="6">
        <f t="shared" si="1097"/>
        <v>0</v>
      </c>
      <c r="AD7044" s="6">
        <f t="shared" si="1092"/>
        <v>0</v>
      </c>
      <c r="AE7044" s="14">
        <f>VLOOKUP(I7044,[2]媒体政策预估表!A:N,MATCH(O7044,[2]媒体政策预估表!$A$2:$M$2,0),0)</f>
        <v>0.1293</v>
      </c>
      <c r="AF7044" s="6">
        <f t="shared" si="1094"/>
        <v>0</v>
      </c>
      <c r="AG7044" s="14">
        <v>0</v>
      </c>
      <c r="AH7044" s="64">
        <f t="shared" si="1093"/>
        <v>0</v>
      </c>
      <c r="AJ7044" s="126" t="e">
        <v>#N/A</v>
      </c>
      <c r="AK7044" s="80">
        <f t="shared" si="1100"/>
        <v>0</v>
      </c>
      <c r="AL7044" s="85"/>
      <c r="AM7044" s="85"/>
    </row>
    <row r="7045" spans="1:39" s="86" customFormat="1" ht="13.25" hidden="1" customHeight="1" x14ac:dyDescent="0.3">
      <c r="A7045" s="89" t="s">
        <v>3978</v>
      </c>
      <c r="B7045" s="86" t="s">
        <v>701</v>
      </c>
      <c r="C7045" s="86" t="s">
        <v>47</v>
      </c>
      <c r="D7045" s="86" t="s">
        <v>63</v>
      </c>
      <c r="E7045" s="86" t="s">
        <v>896</v>
      </c>
      <c r="F7045" s="86" t="s">
        <v>896</v>
      </c>
      <c r="G7045" s="86" t="s">
        <v>896</v>
      </c>
      <c r="H7045" s="144">
        <v>83</v>
      </c>
      <c r="I7045" s="86" t="s">
        <v>78</v>
      </c>
      <c r="J7045" s="1" t="s">
        <v>3303</v>
      </c>
      <c r="K7045" s="1" t="s">
        <v>3763</v>
      </c>
      <c r="L7045" s="1" t="s">
        <v>701</v>
      </c>
      <c r="M7045" s="86" t="s">
        <v>2858</v>
      </c>
      <c r="O7045" s="47" t="s">
        <v>410</v>
      </c>
      <c r="P7045" s="14" t="s">
        <v>46</v>
      </c>
      <c r="Q7045" s="14">
        <v>0.02</v>
      </c>
      <c r="R7045" s="143">
        <v>105</v>
      </c>
      <c r="S7045" s="47"/>
      <c r="T7045" s="6">
        <v>15692.499999999978</v>
      </c>
      <c r="U7045" s="6"/>
      <c r="V7045" s="6">
        <v>4920</v>
      </c>
      <c r="W7045" s="6">
        <f t="shared" si="1095"/>
        <v>10772.499999999978</v>
      </c>
      <c r="X7045" s="6">
        <f t="shared" si="1096"/>
        <v>4823.5294117647054</v>
      </c>
      <c r="Y7045" s="13">
        <f t="shared" si="1098"/>
        <v>0</v>
      </c>
      <c r="Z7045" s="14">
        <v>0</v>
      </c>
      <c r="AA7045" s="6">
        <v>0</v>
      </c>
      <c r="AB7045" s="4">
        <f t="shared" si="1099"/>
        <v>4823.5294117647054</v>
      </c>
      <c r="AC7045" s="6">
        <f t="shared" si="1097"/>
        <v>96.470588235294599</v>
      </c>
      <c r="AD7045" s="6">
        <f t="shared" si="1092"/>
        <v>4920</v>
      </c>
      <c r="AE7045" s="14">
        <f>VLOOKUP(I7045,[2]媒体政策预估表!A:N,MATCH(O7045,[2]媒体政策预估表!$A$2:$M$2,0),0)</f>
        <v>0.1293</v>
      </c>
      <c r="AF7045" s="6">
        <f t="shared" si="1094"/>
        <v>636.15599999999995</v>
      </c>
      <c r="AG7045" s="14">
        <v>0</v>
      </c>
      <c r="AH7045" s="64">
        <f t="shared" si="1093"/>
        <v>4920</v>
      </c>
      <c r="AJ7045" s="126" t="e">
        <v>#N/A</v>
      </c>
      <c r="AK7045" s="80">
        <f t="shared" si="1100"/>
        <v>0</v>
      </c>
      <c r="AL7045" s="85"/>
      <c r="AM7045" s="85"/>
    </row>
    <row r="7046" spans="1:39" s="86" customFormat="1" ht="13.25" hidden="1" customHeight="1" x14ac:dyDescent="0.3">
      <c r="A7046" s="89" t="s">
        <v>3978</v>
      </c>
      <c r="B7046" s="86" t="s">
        <v>701</v>
      </c>
      <c r="C7046" s="86" t="s">
        <v>184</v>
      </c>
      <c r="D7046" s="86" t="s">
        <v>3849</v>
      </c>
      <c r="E7046" s="86" t="s">
        <v>49</v>
      </c>
      <c r="F7046" s="86" t="s">
        <v>49</v>
      </c>
      <c r="G7046" s="86" t="s">
        <v>49</v>
      </c>
      <c r="H7046" s="144">
        <v>83</v>
      </c>
      <c r="I7046" s="86" t="s">
        <v>78</v>
      </c>
      <c r="J7046" s="1" t="s">
        <v>3303</v>
      </c>
      <c r="K7046" s="1" t="s">
        <v>3763</v>
      </c>
      <c r="L7046" s="1" t="s">
        <v>701</v>
      </c>
      <c r="M7046" s="86" t="s">
        <v>49</v>
      </c>
      <c r="O7046" s="47" t="s">
        <v>410</v>
      </c>
      <c r="P7046" s="14" t="s">
        <v>41</v>
      </c>
      <c r="Q7046" s="14">
        <v>0</v>
      </c>
      <c r="R7046" s="143">
        <v>7150</v>
      </c>
      <c r="S7046" s="47"/>
      <c r="T7046" s="6">
        <v>14953.259999999998</v>
      </c>
      <c r="U7046" s="6"/>
      <c r="V7046" s="6">
        <v>1935.87</v>
      </c>
      <c r="W7046" s="6">
        <f t="shared" si="1095"/>
        <v>13017.39</v>
      </c>
      <c r="X7046" s="6">
        <f t="shared" si="1096"/>
        <v>1935.87</v>
      </c>
      <c r="Y7046" s="13">
        <f t="shared" si="1098"/>
        <v>0</v>
      </c>
      <c r="Z7046" s="14">
        <v>0</v>
      </c>
      <c r="AA7046" s="6">
        <v>0</v>
      </c>
      <c r="AB7046" s="4">
        <f t="shared" si="1099"/>
        <v>1935.87</v>
      </c>
      <c r="AC7046" s="6">
        <f t="shared" si="1097"/>
        <v>0</v>
      </c>
      <c r="AD7046" s="6">
        <f t="shared" si="1092"/>
        <v>1935.87</v>
      </c>
      <c r="AE7046" s="14">
        <f>VLOOKUP(I7046,[2]媒体政策预估表!A:N,MATCH(O7046,[2]媒体政策预估表!$A$2:$M$2,0),0)</f>
        <v>0.1293</v>
      </c>
      <c r="AF7046" s="6">
        <f t="shared" si="1094"/>
        <v>250.30799099999999</v>
      </c>
      <c r="AG7046" s="14">
        <v>0</v>
      </c>
      <c r="AH7046" s="64">
        <f t="shared" si="1093"/>
        <v>1935.87</v>
      </c>
      <c r="AJ7046" s="126" t="e">
        <v>#N/A</v>
      </c>
      <c r="AK7046" s="80">
        <f t="shared" si="1100"/>
        <v>0</v>
      </c>
      <c r="AL7046" s="85"/>
      <c r="AM7046" s="85"/>
    </row>
    <row r="7047" spans="1:39" s="86" customFormat="1" ht="13.25" hidden="1" customHeight="1" x14ac:dyDescent="0.3">
      <c r="A7047" s="89" t="s">
        <v>3792</v>
      </c>
      <c r="B7047" s="86" t="s">
        <v>701</v>
      </c>
      <c r="C7047" s="86" t="s">
        <v>144</v>
      </c>
      <c r="D7047" s="86" t="s">
        <v>152</v>
      </c>
      <c r="E7047" s="86" t="s">
        <v>2860</v>
      </c>
      <c r="F7047" s="86" t="s">
        <v>2860</v>
      </c>
      <c r="G7047" s="86" t="s">
        <v>2860</v>
      </c>
      <c r="H7047" s="143">
        <v>83</v>
      </c>
      <c r="I7047" s="86" t="s">
        <v>78</v>
      </c>
      <c r="J7047" s="1" t="s">
        <v>3303</v>
      </c>
      <c r="K7047" s="1" t="s">
        <v>3763</v>
      </c>
      <c r="L7047" s="1" t="s">
        <v>701</v>
      </c>
      <c r="M7047" s="86" t="s">
        <v>2861</v>
      </c>
      <c r="O7047" s="47" t="s">
        <v>410</v>
      </c>
      <c r="P7047" s="14" t="s">
        <v>46</v>
      </c>
      <c r="Q7047" s="14">
        <v>0.03</v>
      </c>
      <c r="R7047" s="143">
        <v>108</v>
      </c>
      <c r="S7047" s="47"/>
      <c r="T7047" s="6">
        <v>0</v>
      </c>
      <c r="U7047" s="6"/>
      <c r="V7047" s="6">
        <v>0</v>
      </c>
      <c r="W7047" s="6">
        <f t="shared" si="1095"/>
        <v>0</v>
      </c>
      <c r="X7047" s="6">
        <f t="shared" si="1096"/>
        <v>0</v>
      </c>
      <c r="Y7047" s="13">
        <f t="shared" si="1098"/>
        <v>0</v>
      </c>
      <c r="Z7047" s="14">
        <v>0</v>
      </c>
      <c r="AA7047" s="6">
        <v>0</v>
      </c>
      <c r="AB7047" s="4">
        <f t="shared" si="1099"/>
        <v>0</v>
      </c>
      <c r="AC7047" s="6">
        <f t="shared" si="1097"/>
        <v>0</v>
      </c>
      <c r="AD7047" s="6">
        <f t="shared" si="1092"/>
        <v>0</v>
      </c>
      <c r="AE7047" s="14">
        <f>VLOOKUP(I7047,[2]媒体政策预估表!A:N,MATCH(O7047,[2]媒体政策预估表!$A$2:$M$2,0),0)</f>
        <v>0.1293</v>
      </c>
      <c r="AF7047" s="6">
        <f t="shared" si="1094"/>
        <v>0</v>
      </c>
      <c r="AG7047" s="14">
        <v>0</v>
      </c>
      <c r="AH7047" s="64">
        <f t="shared" si="1093"/>
        <v>0</v>
      </c>
      <c r="AJ7047" s="126" t="e">
        <v>#N/A</v>
      </c>
      <c r="AK7047" s="80">
        <f t="shared" si="1100"/>
        <v>0</v>
      </c>
      <c r="AL7047" s="85"/>
      <c r="AM7047" s="85"/>
    </row>
    <row r="7048" spans="1:39" s="86" customFormat="1" ht="13.25" hidden="1" customHeight="1" x14ac:dyDescent="0.3">
      <c r="A7048" s="89" t="s">
        <v>3978</v>
      </c>
      <c r="B7048" s="86" t="s">
        <v>701</v>
      </c>
      <c r="C7048" s="86" t="s">
        <v>164</v>
      </c>
      <c r="D7048" s="86" t="s">
        <v>174</v>
      </c>
      <c r="E7048" s="86" t="s">
        <v>2820</v>
      </c>
      <c r="F7048" s="86" t="s">
        <v>2820</v>
      </c>
      <c r="G7048" s="86" t="s">
        <v>2820</v>
      </c>
      <c r="H7048" s="143">
        <v>83</v>
      </c>
      <c r="I7048" s="86" t="s">
        <v>78</v>
      </c>
      <c r="J7048" s="1" t="s">
        <v>3303</v>
      </c>
      <c r="K7048" s="1" t="s">
        <v>3763</v>
      </c>
      <c r="L7048" s="1" t="s">
        <v>701</v>
      </c>
      <c r="M7048" s="86" t="s">
        <v>2360</v>
      </c>
      <c r="O7048" s="47" t="s">
        <v>410</v>
      </c>
      <c r="P7048" s="14" t="s">
        <v>41</v>
      </c>
      <c r="Q7048" s="14">
        <v>0</v>
      </c>
      <c r="R7048" s="143">
        <v>7515</v>
      </c>
      <c r="S7048" s="47"/>
      <c r="T7048" s="6">
        <v>3787.7999999999993</v>
      </c>
      <c r="U7048" s="6"/>
      <c r="V7048" s="6">
        <v>0</v>
      </c>
      <c r="W7048" s="6">
        <f t="shared" si="1095"/>
        <v>3787.7999999999993</v>
      </c>
      <c r="X7048" s="6">
        <f t="shared" si="1096"/>
        <v>0</v>
      </c>
      <c r="Y7048" s="13">
        <f t="shared" si="1098"/>
        <v>0</v>
      </c>
      <c r="Z7048" s="14">
        <v>0</v>
      </c>
      <c r="AA7048" s="6">
        <v>0</v>
      </c>
      <c r="AB7048" s="4">
        <f t="shared" si="1099"/>
        <v>0</v>
      </c>
      <c r="AC7048" s="6">
        <f t="shared" si="1097"/>
        <v>0</v>
      </c>
      <c r="AD7048" s="6">
        <f t="shared" si="1092"/>
        <v>0</v>
      </c>
      <c r="AE7048" s="14">
        <f>VLOOKUP(I7048,[2]媒体政策预估表!A:N,MATCH(O7048,[2]媒体政策预估表!$A$2:$M$2,0),0)</f>
        <v>0.1293</v>
      </c>
      <c r="AF7048" s="6">
        <f t="shared" si="1094"/>
        <v>0</v>
      </c>
      <c r="AG7048" s="14">
        <v>0</v>
      </c>
      <c r="AH7048" s="64">
        <f t="shared" si="1093"/>
        <v>0</v>
      </c>
      <c r="AJ7048" s="126" t="e">
        <v>#N/A</v>
      </c>
      <c r="AK7048" s="80">
        <f t="shared" si="1100"/>
        <v>0</v>
      </c>
      <c r="AL7048" s="85"/>
      <c r="AM7048" s="85"/>
    </row>
    <row r="7049" spans="1:39" s="86" customFormat="1" ht="13.25" hidden="1" customHeight="1" x14ac:dyDescent="0.3">
      <c r="A7049" s="89" t="s">
        <v>3978</v>
      </c>
      <c r="B7049" s="86" t="s">
        <v>701</v>
      </c>
      <c r="C7049" s="86" t="s">
        <v>164</v>
      </c>
      <c r="D7049" s="86" t="s">
        <v>174</v>
      </c>
      <c r="E7049" s="86" t="s">
        <v>2864</v>
      </c>
      <c r="F7049" s="86" t="s">
        <v>2864</v>
      </c>
      <c r="G7049" s="86" t="s">
        <v>2864</v>
      </c>
      <c r="H7049" s="143">
        <v>83</v>
      </c>
      <c r="I7049" s="86" t="s">
        <v>78</v>
      </c>
      <c r="J7049" s="1" t="s">
        <v>3303</v>
      </c>
      <c r="K7049" s="1" t="s">
        <v>3763</v>
      </c>
      <c r="L7049" s="1" t="s">
        <v>701</v>
      </c>
      <c r="M7049" s="86" t="s">
        <v>2864</v>
      </c>
      <c r="O7049" s="47" t="s">
        <v>410</v>
      </c>
      <c r="P7049" s="14" t="s">
        <v>41</v>
      </c>
      <c r="Q7049" s="14">
        <v>0</v>
      </c>
      <c r="R7049" s="143">
        <v>7568</v>
      </c>
      <c r="S7049" s="47"/>
      <c r="T7049" s="6">
        <v>4927.25</v>
      </c>
      <c r="U7049" s="6"/>
      <c r="V7049" s="6">
        <v>0</v>
      </c>
      <c r="W7049" s="6">
        <f t="shared" si="1095"/>
        <v>4927.25</v>
      </c>
      <c r="X7049" s="6">
        <f t="shared" si="1096"/>
        <v>0</v>
      </c>
      <c r="Y7049" s="13">
        <f t="shared" si="1098"/>
        <v>0</v>
      </c>
      <c r="Z7049" s="14">
        <v>0</v>
      </c>
      <c r="AA7049" s="6">
        <v>0</v>
      </c>
      <c r="AB7049" s="4">
        <f t="shared" si="1099"/>
        <v>0</v>
      </c>
      <c r="AC7049" s="6">
        <f t="shared" si="1097"/>
        <v>0</v>
      </c>
      <c r="AD7049" s="6">
        <f t="shared" si="1092"/>
        <v>0</v>
      </c>
      <c r="AE7049" s="14">
        <f>VLOOKUP(I7049,[2]媒体政策预估表!A:N,MATCH(O7049,[2]媒体政策预估表!$A$2:$M$2,0),0)</f>
        <v>0.1293</v>
      </c>
      <c r="AF7049" s="6">
        <f t="shared" si="1094"/>
        <v>0</v>
      </c>
      <c r="AG7049" s="14">
        <v>0</v>
      </c>
      <c r="AH7049" s="64">
        <f t="shared" si="1093"/>
        <v>0</v>
      </c>
      <c r="AJ7049" s="126" t="e">
        <v>#N/A</v>
      </c>
      <c r="AK7049" s="80">
        <f t="shared" si="1100"/>
        <v>0</v>
      </c>
      <c r="AL7049" s="85"/>
      <c r="AM7049" s="85"/>
    </row>
    <row r="7050" spans="1:39" s="86" customFormat="1" ht="13.25" hidden="1" customHeight="1" x14ac:dyDescent="0.3">
      <c r="A7050" s="89" t="s">
        <v>3792</v>
      </c>
      <c r="B7050" s="86" t="s">
        <v>701</v>
      </c>
      <c r="C7050" s="86" t="s">
        <v>65</v>
      </c>
      <c r="D7050" s="86" t="s">
        <v>66</v>
      </c>
      <c r="E7050" s="86" t="s">
        <v>2866</v>
      </c>
      <c r="F7050" s="86" t="s">
        <v>2866</v>
      </c>
      <c r="G7050" s="86" t="s">
        <v>2866</v>
      </c>
      <c r="H7050" s="144">
        <v>83</v>
      </c>
      <c r="I7050" s="86" t="s">
        <v>78</v>
      </c>
      <c r="J7050" s="1" t="s">
        <v>3303</v>
      </c>
      <c r="K7050" s="1" t="s">
        <v>3763</v>
      </c>
      <c r="L7050" s="1" t="s">
        <v>701</v>
      </c>
      <c r="M7050" s="86" t="s">
        <v>2866</v>
      </c>
      <c r="O7050" s="47" t="s">
        <v>410</v>
      </c>
      <c r="P7050" s="14" t="s">
        <v>41</v>
      </c>
      <c r="Q7050" s="14">
        <v>0</v>
      </c>
      <c r="R7050" s="143">
        <v>7181</v>
      </c>
      <c r="S7050" s="47"/>
      <c r="T7050" s="6">
        <v>245467.15</v>
      </c>
      <c r="U7050" s="6"/>
      <c r="V7050" s="6">
        <v>29384.15</v>
      </c>
      <c r="W7050" s="6">
        <f t="shared" si="1095"/>
        <v>216083</v>
      </c>
      <c r="X7050" s="6">
        <f t="shared" si="1096"/>
        <v>29384.15</v>
      </c>
      <c r="Y7050" s="13">
        <f t="shared" si="1098"/>
        <v>0</v>
      </c>
      <c r="Z7050" s="14">
        <v>0</v>
      </c>
      <c r="AA7050" s="6">
        <v>0</v>
      </c>
      <c r="AB7050" s="4">
        <f t="shared" si="1099"/>
        <v>29384.15</v>
      </c>
      <c r="AC7050" s="6">
        <f t="shared" si="1097"/>
        <v>0</v>
      </c>
      <c r="AD7050" s="6">
        <f t="shared" si="1092"/>
        <v>29384.15</v>
      </c>
      <c r="AE7050" s="14">
        <f>VLOOKUP(I7050,[2]媒体政策预估表!A:N,MATCH(O7050,[2]媒体政策预估表!$A$2:$M$2,0),0)</f>
        <v>0.1293</v>
      </c>
      <c r="AF7050" s="6">
        <f t="shared" si="1094"/>
        <v>3799.3705950000003</v>
      </c>
      <c r="AG7050" s="14">
        <v>0</v>
      </c>
      <c r="AH7050" s="64">
        <f t="shared" si="1093"/>
        <v>29384.15</v>
      </c>
      <c r="AJ7050" s="126" t="e">
        <v>#N/A</v>
      </c>
      <c r="AK7050" s="80">
        <f t="shared" si="1100"/>
        <v>0</v>
      </c>
      <c r="AL7050" s="85"/>
      <c r="AM7050" s="85"/>
    </row>
    <row r="7051" spans="1:39" s="86" customFormat="1" ht="13.25" hidden="1" customHeight="1" x14ac:dyDescent="0.3">
      <c r="A7051" s="89" t="s">
        <v>3978</v>
      </c>
      <c r="B7051" s="86" t="s">
        <v>701</v>
      </c>
      <c r="C7051" s="86" t="s">
        <v>184</v>
      </c>
      <c r="D7051" s="86" t="s">
        <v>3849</v>
      </c>
      <c r="E7051" s="86" t="s">
        <v>1323</v>
      </c>
      <c r="F7051" s="86" t="s">
        <v>1323</v>
      </c>
      <c r="G7051" s="86" t="s">
        <v>1323</v>
      </c>
      <c r="H7051" s="143">
        <v>83</v>
      </c>
      <c r="I7051" s="86" t="s">
        <v>78</v>
      </c>
      <c r="J7051" s="1" t="s">
        <v>3303</v>
      </c>
      <c r="K7051" s="1" t="s">
        <v>3763</v>
      </c>
      <c r="L7051" s="1" t="s">
        <v>701</v>
      </c>
      <c r="M7051" s="86" t="s">
        <v>2869</v>
      </c>
      <c r="O7051" s="47" t="s">
        <v>410</v>
      </c>
      <c r="P7051" s="14" t="s">
        <v>46</v>
      </c>
      <c r="Q7051" s="14">
        <v>0.02</v>
      </c>
      <c r="R7051" s="143">
        <v>112</v>
      </c>
      <c r="S7051" s="47"/>
      <c r="T7051" s="6">
        <v>7764.1100000000024</v>
      </c>
      <c r="U7051" s="6"/>
      <c r="V7051" s="6">
        <v>0</v>
      </c>
      <c r="W7051" s="6">
        <f t="shared" si="1095"/>
        <v>7764.1100000000024</v>
      </c>
      <c r="X7051" s="6">
        <f t="shared" si="1096"/>
        <v>0</v>
      </c>
      <c r="Y7051" s="13">
        <f t="shared" si="1098"/>
        <v>0</v>
      </c>
      <c r="Z7051" s="14">
        <v>0</v>
      </c>
      <c r="AA7051" s="6">
        <v>0</v>
      </c>
      <c r="AB7051" s="4">
        <f t="shared" si="1099"/>
        <v>0</v>
      </c>
      <c r="AC7051" s="6">
        <f t="shared" si="1097"/>
        <v>0</v>
      </c>
      <c r="AD7051" s="6">
        <f t="shared" si="1092"/>
        <v>0</v>
      </c>
      <c r="AE7051" s="14">
        <f>VLOOKUP(I7051,[2]媒体政策预估表!A:N,MATCH(O7051,[2]媒体政策预估表!$A$2:$M$2,0),0)</f>
        <v>0.1293</v>
      </c>
      <c r="AF7051" s="6">
        <f t="shared" si="1094"/>
        <v>0</v>
      </c>
      <c r="AG7051" s="14">
        <v>0</v>
      </c>
      <c r="AH7051" s="64">
        <f t="shared" si="1093"/>
        <v>0</v>
      </c>
      <c r="AJ7051" s="126" t="e">
        <v>#N/A</v>
      </c>
      <c r="AK7051" s="80">
        <f t="shared" si="1100"/>
        <v>0</v>
      </c>
      <c r="AL7051" s="85"/>
      <c r="AM7051" s="85"/>
    </row>
    <row r="7052" spans="1:39" s="86" customFormat="1" ht="13.25" hidden="1" customHeight="1" x14ac:dyDescent="0.3">
      <c r="A7052" s="89" t="s">
        <v>3792</v>
      </c>
      <c r="B7052" s="86" t="s">
        <v>701</v>
      </c>
      <c r="C7052" s="86" t="s">
        <v>184</v>
      </c>
      <c r="D7052" s="86" t="s">
        <v>3849</v>
      </c>
      <c r="E7052" s="86" t="s">
        <v>2870</v>
      </c>
      <c r="F7052" s="86" t="s">
        <v>2870</v>
      </c>
      <c r="G7052" s="86" t="s">
        <v>2870</v>
      </c>
      <c r="H7052" s="144">
        <v>83</v>
      </c>
      <c r="I7052" s="86" t="s">
        <v>78</v>
      </c>
      <c r="J7052" s="1" t="s">
        <v>3303</v>
      </c>
      <c r="K7052" s="1" t="s">
        <v>3763</v>
      </c>
      <c r="L7052" s="1" t="s">
        <v>701</v>
      </c>
      <c r="M7052" s="86" t="s">
        <v>2871</v>
      </c>
      <c r="O7052" s="47" t="s">
        <v>410</v>
      </c>
      <c r="P7052" s="14" t="s">
        <v>46</v>
      </c>
      <c r="Q7052" s="14">
        <v>0.03</v>
      </c>
      <c r="R7052" s="143">
        <v>7381</v>
      </c>
      <c r="S7052" s="47"/>
      <c r="T7052" s="6">
        <v>10952</v>
      </c>
      <c r="U7052" s="6"/>
      <c r="V7052" s="6">
        <v>2700</v>
      </c>
      <c r="W7052" s="6">
        <f t="shared" si="1095"/>
        <v>8252</v>
      </c>
      <c r="X7052" s="6">
        <f t="shared" si="1096"/>
        <v>2621.3592233009708</v>
      </c>
      <c r="Y7052" s="13">
        <f t="shared" si="1098"/>
        <v>0</v>
      </c>
      <c r="Z7052" s="14">
        <v>0</v>
      </c>
      <c r="AA7052" s="6">
        <v>0</v>
      </c>
      <c r="AB7052" s="4">
        <f t="shared" si="1099"/>
        <v>2621.3592233009708</v>
      </c>
      <c r="AC7052" s="6">
        <f t="shared" si="1097"/>
        <v>78.640776699029175</v>
      </c>
      <c r="AD7052" s="6">
        <f t="shared" si="1092"/>
        <v>2700</v>
      </c>
      <c r="AE7052" s="14">
        <f>VLOOKUP(I7052,[2]媒体政策预估表!A:N,MATCH(O7052,[2]媒体政策预估表!$A$2:$M$2,0),0)</f>
        <v>0.1293</v>
      </c>
      <c r="AF7052" s="6">
        <f t="shared" si="1094"/>
        <v>349.11</v>
      </c>
      <c r="AG7052" s="14">
        <v>0</v>
      </c>
      <c r="AH7052" s="64">
        <f t="shared" si="1093"/>
        <v>2700</v>
      </c>
      <c r="AJ7052" s="126" t="e">
        <v>#N/A</v>
      </c>
      <c r="AK7052" s="80">
        <f t="shared" si="1100"/>
        <v>0</v>
      </c>
      <c r="AL7052" s="85"/>
      <c r="AM7052" s="85"/>
    </row>
    <row r="7053" spans="1:39" s="86" customFormat="1" ht="13.25" hidden="1" customHeight="1" x14ac:dyDescent="0.3">
      <c r="A7053" s="89" t="s">
        <v>3978</v>
      </c>
      <c r="B7053" s="86" t="s">
        <v>701</v>
      </c>
      <c r="C7053" s="86" t="s">
        <v>144</v>
      </c>
      <c r="D7053" s="86" t="s">
        <v>145</v>
      </c>
      <c r="E7053" s="86" t="s">
        <v>2872</v>
      </c>
      <c r="F7053" s="86" t="s">
        <v>2872</v>
      </c>
      <c r="G7053" s="86" t="s">
        <v>2872</v>
      </c>
      <c r="H7053" s="144">
        <v>83</v>
      </c>
      <c r="I7053" s="86" t="s">
        <v>78</v>
      </c>
      <c r="J7053" s="1" t="s">
        <v>3303</v>
      </c>
      <c r="K7053" s="1" t="s">
        <v>3763</v>
      </c>
      <c r="L7053" s="1" t="s">
        <v>701</v>
      </c>
      <c r="M7053" s="86" t="s">
        <v>2873</v>
      </c>
      <c r="O7053" s="47" t="s">
        <v>410</v>
      </c>
      <c r="P7053" s="14" t="s">
        <v>46</v>
      </c>
      <c r="Q7053" s="14">
        <v>0.02</v>
      </c>
      <c r="R7053" s="143">
        <v>100</v>
      </c>
      <c r="S7053" s="47"/>
      <c r="T7053" s="6">
        <v>15646.410000000003</v>
      </c>
      <c r="U7053" s="6"/>
      <c r="V7053" s="6">
        <v>1698</v>
      </c>
      <c r="W7053" s="6">
        <f t="shared" si="1095"/>
        <v>13948.410000000003</v>
      </c>
      <c r="X7053" s="6">
        <f t="shared" si="1096"/>
        <v>1664.7058823529412</v>
      </c>
      <c r="Y7053" s="13">
        <f t="shared" si="1098"/>
        <v>0</v>
      </c>
      <c r="Z7053" s="14">
        <v>0</v>
      </c>
      <c r="AA7053" s="6">
        <v>0</v>
      </c>
      <c r="AB7053" s="4">
        <f t="shared" si="1099"/>
        <v>1664.7058823529412</v>
      </c>
      <c r="AC7053" s="6">
        <f t="shared" si="1097"/>
        <v>33.294117647058783</v>
      </c>
      <c r="AD7053" s="6">
        <f t="shared" si="1092"/>
        <v>1698</v>
      </c>
      <c r="AE7053" s="14">
        <f>VLOOKUP(I7053,[2]媒体政策预估表!A:N,MATCH(O7053,[2]媒体政策预估表!$A$2:$M$2,0),0)</f>
        <v>0.1293</v>
      </c>
      <c r="AF7053" s="6">
        <f t="shared" si="1094"/>
        <v>219.5514</v>
      </c>
      <c r="AG7053" s="14">
        <v>0</v>
      </c>
      <c r="AH7053" s="64">
        <f t="shared" si="1093"/>
        <v>1698</v>
      </c>
      <c r="AJ7053" s="126" t="e">
        <v>#N/A</v>
      </c>
      <c r="AK7053" s="80">
        <f t="shared" si="1100"/>
        <v>0</v>
      </c>
      <c r="AL7053" s="85"/>
      <c r="AM7053" s="85"/>
    </row>
    <row r="7054" spans="1:39" s="86" customFormat="1" ht="13.25" hidden="1" customHeight="1" x14ac:dyDescent="0.3">
      <c r="A7054" s="89" t="s">
        <v>3978</v>
      </c>
      <c r="B7054" s="86" t="s">
        <v>701</v>
      </c>
      <c r="C7054" s="86" t="s">
        <v>144</v>
      </c>
      <c r="D7054" s="86" t="s">
        <v>152</v>
      </c>
      <c r="E7054" s="86" t="s">
        <v>155</v>
      </c>
      <c r="F7054" s="86" t="s">
        <v>1465</v>
      </c>
      <c r="G7054" s="86" t="s">
        <v>155</v>
      </c>
      <c r="H7054" s="144">
        <v>83</v>
      </c>
      <c r="I7054" s="86" t="s">
        <v>78</v>
      </c>
      <c r="J7054" s="1" t="s">
        <v>3303</v>
      </c>
      <c r="K7054" s="1" t="s">
        <v>3763</v>
      </c>
      <c r="L7054" s="1" t="s">
        <v>701</v>
      </c>
      <c r="M7054" s="86" t="s">
        <v>2874</v>
      </c>
      <c r="O7054" s="47" t="s">
        <v>410</v>
      </c>
      <c r="P7054" s="14" t="s">
        <v>46</v>
      </c>
      <c r="Q7054" s="14">
        <v>0.02</v>
      </c>
      <c r="R7054" s="143">
        <v>7446</v>
      </c>
      <c r="S7054" s="47"/>
      <c r="T7054" s="6">
        <v>8486.4300000000057</v>
      </c>
      <c r="U7054" s="6"/>
      <c r="V7054" s="6">
        <v>8486.4300000000057</v>
      </c>
      <c r="W7054" s="6">
        <f t="shared" si="1095"/>
        <v>0</v>
      </c>
      <c r="X7054" s="6">
        <f t="shared" si="1096"/>
        <v>8320.0294117647118</v>
      </c>
      <c r="Y7054" s="13">
        <f t="shared" si="1098"/>
        <v>0</v>
      </c>
      <c r="Z7054" s="14">
        <v>0</v>
      </c>
      <c r="AA7054" s="6">
        <v>0</v>
      </c>
      <c r="AB7054" s="4">
        <f t="shared" si="1099"/>
        <v>8320.0294117647118</v>
      </c>
      <c r="AC7054" s="6">
        <f t="shared" si="1097"/>
        <v>166.40058823529398</v>
      </c>
      <c r="AD7054" s="6">
        <f t="shared" si="1092"/>
        <v>8486.4300000000057</v>
      </c>
      <c r="AE7054" s="14">
        <f>VLOOKUP(I7054,[2]媒体政策预估表!A:N,MATCH(O7054,[2]媒体政策预估表!$A$2:$M$2,0),0)</f>
        <v>0.1293</v>
      </c>
      <c r="AF7054" s="6">
        <f t="shared" si="1094"/>
        <v>1097.2953990000008</v>
      </c>
      <c r="AG7054" s="14">
        <v>0</v>
      </c>
      <c r="AH7054" s="64">
        <f t="shared" si="1093"/>
        <v>8486.4300000000057</v>
      </c>
      <c r="AJ7054" s="126" t="e">
        <v>#N/A</v>
      </c>
      <c r="AK7054" s="80">
        <f t="shared" si="1100"/>
        <v>0</v>
      </c>
      <c r="AL7054" s="85"/>
      <c r="AM7054" s="85"/>
    </row>
    <row r="7055" spans="1:39" s="86" customFormat="1" ht="13.25" hidden="1" customHeight="1" x14ac:dyDescent="0.3">
      <c r="A7055" s="89" t="s">
        <v>3792</v>
      </c>
      <c r="B7055" s="86" t="s">
        <v>701</v>
      </c>
      <c r="C7055" s="86" t="s">
        <v>144</v>
      </c>
      <c r="D7055" s="86" t="s">
        <v>161</v>
      </c>
      <c r="E7055" s="86" t="s">
        <v>1935</v>
      </c>
      <c r="F7055" s="86" t="s">
        <v>1935</v>
      </c>
      <c r="G7055" s="86" t="s">
        <v>1935</v>
      </c>
      <c r="H7055" s="143">
        <v>83</v>
      </c>
      <c r="I7055" s="86" t="s">
        <v>78</v>
      </c>
      <c r="J7055" s="1" t="s">
        <v>3303</v>
      </c>
      <c r="K7055" s="1" t="s">
        <v>3763</v>
      </c>
      <c r="L7055" s="1" t="s">
        <v>701</v>
      </c>
      <c r="M7055" s="86" t="s">
        <v>1935</v>
      </c>
      <c r="O7055" s="47" t="s">
        <v>410</v>
      </c>
      <c r="P7055" s="14" t="s">
        <v>46</v>
      </c>
      <c r="Q7055" s="14">
        <v>0.02</v>
      </c>
      <c r="R7055" s="143">
        <v>7451</v>
      </c>
      <c r="S7055" s="47"/>
      <c r="T7055" s="6">
        <v>20400.000000000004</v>
      </c>
      <c r="U7055" s="6"/>
      <c r="V7055" s="6">
        <v>0</v>
      </c>
      <c r="W7055" s="6">
        <f t="shared" si="1095"/>
        <v>20400.000000000004</v>
      </c>
      <c r="X7055" s="6">
        <f t="shared" si="1096"/>
        <v>0</v>
      </c>
      <c r="Y7055" s="13">
        <f t="shared" si="1098"/>
        <v>0</v>
      </c>
      <c r="Z7055" s="14">
        <v>0</v>
      </c>
      <c r="AA7055" s="6">
        <v>0</v>
      </c>
      <c r="AB7055" s="4">
        <f t="shared" si="1099"/>
        <v>0</v>
      </c>
      <c r="AC7055" s="6">
        <f t="shared" si="1097"/>
        <v>0</v>
      </c>
      <c r="AD7055" s="6">
        <f t="shared" si="1092"/>
        <v>0</v>
      </c>
      <c r="AE7055" s="14">
        <f>VLOOKUP(I7055,[2]媒体政策预估表!A:N,MATCH(O7055,[2]媒体政策预估表!$A$2:$M$2,0),0)</f>
        <v>0.1293</v>
      </c>
      <c r="AF7055" s="6">
        <f t="shared" si="1094"/>
        <v>0</v>
      </c>
      <c r="AG7055" s="14">
        <v>0</v>
      </c>
      <c r="AH7055" s="64">
        <f t="shared" si="1093"/>
        <v>0</v>
      </c>
      <c r="AJ7055" s="126" t="e">
        <v>#N/A</v>
      </c>
      <c r="AK7055" s="80">
        <f t="shared" si="1100"/>
        <v>0</v>
      </c>
      <c r="AL7055" s="85"/>
      <c r="AM7055" s="85"/>
    </row>
    <row r="7056" spans="1:39" s="86" customFormat="1" ht="13.25" hidden="1" customHeight="1" x14ac:dyDescent="0.3">
      <c r="A7056" s="89" t="s">
        <v>3792</v>
      </c>
      <c r="B7056" s="86" t="s">
        <v>701</v>
      </c>
      <c r="C7056" s="86" t="s">
        <v>164</v>
      </c>
      <c r="D7056" s="86" t="s">
        <v>174</v>
      </c>
      <c r="E7056" s="86" t="s">
        <v>2879</v>
      </c>
      <c r="F7056" s="86" t="s">
        <v>2879</v>
      </c>
      <c r="G7056" s="86" t="s">
        <v>2879</v>
      </c>
      <c r="H7056" s="143">
        <v>83</v>
      </c>
      <c r="I7056" s="86" t="s">
        <v>78</v>
      </c>
      <c r="J7056" s="1" t="s">
        <v>3303</v>
      </c>
      <c r="K7056" s="1" t="s">
        <v>3763</v>
      </c>
      <c r="L7056" s="1" t="s">
        <v>701</v>
      </c>
      <c r="M7056" s="86" t="s">
        <v>2880</v>
      </c>
      <c r="O7056" s="47" t="s">
        <v>410</v>
      </c>
      <c r="P7056" s="14" t="s">
        <v>41</v>
      </c>
      <c r="Q7056" s="14">
        <v>0</v>
      </c>
      <c r="R7056" s="143">
        <v>7433</v>
      </c>
      <c r="S7056" s="47"/>
      <c r="T7056" s="6">
        <v>817</v>
      </c>
      <c r="U7056" s="6"/>
      <c r="V7056" s="6">
        <v>0</v>
      </c>
      <c r="W7056" s="6">
        <f t="shared" si="1095"/>
        <v>817</v>
      </c>
      <c r="X7056" s="6">
        <f t="shared" si="1096"/>
        <v>0</v>
      </c>
      <c r="Y7056" s="13">
        <f t="shared" si="1098"/>
        <v>0</v>
      </c>
      <c r="Z7056" s="14">
        <v>0</v>
      </c>
      <c r="AA7056" s="6">
        <v>0</v>
      </c>
      <c r="AB7056" s="4"/>
      <c r="AC7056" s="6">
        <f t="shared" si="1097"/>
        <v>0</v>
      </c>
      <c r="AD7056" s="6">
        <f t="shared" si="1092"/>
        <v>0</v>
      </c>
      <c r="AE7056" s="14">
        <f>VLOOKUP(I7056,[2]媒体政策预估表!A:N,MATCH(O7056,[2]媒体政策预估表!$A$2:$M$2,0),0)</f>
        <v>0.1293</v>
      </c>
      <c r="AF7056" s="6">
        <f t="shared" si="1094"/>
        <v>0</v>
      </c>
      <c r="AG7056" s="14">
        <v>0</v>
      </c>
      <c r="AH7056" s="64">
        <f t="shared" si="1093"/>
        <v>0</v>
      </c>
      <c r="AJ7056" s="126">
        <v>40</v>
      </c>
      <c r="AK7056" s="80">
        <f t="shared" si="1100"/>
        <v>0</v>
      </c>
      <c r="AL7056" s="85"/>
      <c r="AM7056" s="85"/>
    </row>
    <row r="7057" spans="1:39" s="86" customFormat="1" ht="13.25" hidden="1" customHeight="1" x14ac:dyDescent="0.3">
      <c r="A7057" s="89" t="s">
        <v>3792</v>
      </c>
      <c r="B7057" s="86" t="s">
        <v>701</v>
      </c>
      <c r="C7057" s="86" t="s">
        <v>184</v>
      </c>
      <c r="D7057" s="86" t="s">
        <v>54</v>
      </c>
      <c r="E7057" s="86" t="s">
        <v>2881</v>
      </c>
      <c r="F7057" s="86" t="s">
        <v>2881</v>
      </c>
      <c r="G7057" s="86" t="s">
        <v>2881</v>
      </c>
      <c r="H7057" s="144">
        <v>83</v>
      </c>
      <c r="I7057" s="86" t="s">
        <v>78</v>
      </c>
      <c r="J7057" s="1" t="s">
        <v>3303</v>
      </c>
      <c r="K7057" s="1" t="s">
        <v>3763</v>
      </c>
      <c r="L7057" s="1" t="s">
        <v>701</v>
      </c>
      <c r="M7057" s="86" t="s">
        <v>2882</v>
      </c>
      <c r="O7057" s="47" t="s">
        <v>410</v>
      </c>
      <c r="P7057" s="14" t="s">
        <v>41</v>
      </c>
      <c r="Q7057" s="14">
        <v>0</v>
      </c>
      <c r="R7057" s="143">
        <v>7189</v>
      </c>
      <c r="S7057" s="47"/>
      <c r="T7057" s="6">
        <v>121.99999999999955</v>
      </c>
      <c r="U7057" s="6"/>
      <c r="V7057" s="6">
        <v>121.99999999999955</v>
      </c>
      <c r="W7057" s="6">
        <f t="shared" si="1095"/>
        <v>0</v>
      </c>
      <c r="X7057" s="6">
        <f t="shared" si="1096"/>
        <v>121.99999999999955</v>
      </c>
      <c r="Y7057" s="13">
        <f t="shared" si="1098"/>
        <v>0</v>
      </c>
      <c r="Z7057" s="14">
        <v>0</v>
      </c>
      <c r="AA7057" s="6">
        <v>0</v>
      </c>
      <c r="AB7057" s="4">
        <f t="shared" si="1099"/>
        <v>121.99999999999955</v>
      </c>
      <c r="AC7057" s="6">
        <f t="shared" si="1097"/>
        <v>0</v>
      </c>
      <c r="AD7057" s="6">
        <f t="shared" si="1092"/>
        <v>121.99999999999955</v>
      </c>
      <c r="AE7057" s="14">
        <f>VLOOKUP(I7057,[2]媒体政策预估表!A:N,MATCH(O7057,[2]媒体政策预估表!$A$2:$M$2,0),0)</f>
        <v>0.1293</v>
      </c>
      <c r="AF7057" s="6">
        <f t="shared" si="1094"/>
        <v>15.774599999999941</v>
      </c>
      <c r="AG7057" s="14">
        <v>0</v>
      </c>
      <c r="AH7057" s="64">
        <f t="shared" si="1093"/>
        <v>121.99999999999955</v>
      </c>
      <c r="AJ7057" s="126" t="e">
        <v>#N/A</v>
      </c>
      <c r="AK7057" s="80">
        <f t="shared" si="1100"/>
        <v>0</v>
      </c>
      <c r="AL7057" s="85"/>
      <c r="AM7057" s="85"/>
    </row>
    <row r="7058" spans="1:39" s="86" customFormat="1" ht="13.25" hidden="1" customHeight="1" x14ac:dyDescent="0.3">
      <c r="A7058" s="89" t="s">
        <v>3978</v>
      </c>
      <c r="B7058" s="86" t="s">
        <v>701</v>
      </c>
      <c r="C7058" s="86" t="s">
        <v>164</v>
      </c>
      <c r="D7058" s="86" t="s">
        <v>169</v>
      </c>
      <c r="E7058" s="86" t="s">
        <v>1579</v>
      </c>
      <c r="F7058" s="86" t="s">
        <v>1579</v>
      </c>
      <c r="G7058" s="86" t="s">
        <v>1579</v>
      </c>
      <c r="H7058" s="143">
        <v>83</v>
      </c>
      <c r="I7058" s="86" t="s">
        <v>78</v>
      </c>
      <c r="J7058" s="1" t="s">
        <v>3303</v>
      </c>
      <c r="K7058" s="1" t="s">
        <v>3763</v>
      </c>
      <c r="L7058" s="1" t="s">
        <v>701</v>
      </c>
      <c r="M7058" s="86" t="s">
        <v>2887</v>
      </c>
      <c r="O7058" s="47" t="s">
        <v>410</v>
      </c>
      <c r="P7058" s="14" t="s">
        <v>41</v>
      </c>
      <c r="Q7058" s="14">
        <v>0</v>
      </c>
      <c r="R7058" s="143">
        <v>7524</v>
      </c>
      <c r="S7058" s="47"/>
      <c r="T7058" s="6">
        <v>4446.7000000000007</v>
      </c>
      <c r="U7058" s="6"/>
      <c r="V7058" s="6">
        <v>0</v>
      </c>
      <c r="W7058" s="6">
        <f t="shared" si="1095"/>
        <v>4446.7000000000007</v>
      </c>
      <c r="X7058" s="6">
        <f t="shared" si="1096"/>
        <v>0</v>
      </c>
      <c r="Y7058" s="13">
        <f t="shared" si="1098"/>
        <v>0</v>
      </c>
      <c r="Z7058" s="14">
        <v>0</v>
      </c>
      <c r="AA7058" s="6">
        <v>0</v>
      </c>
      <c r="AB7058" s="4">
        <f t="shared" si="1099"/>
        <v>0</v>
      </c>
      <c r="AC7058" s="6">
        <f t="shared" si="1097"/>
        <v>0</v>
      </c>
      <c r="AD7058" s="6">
        <f t="shared" si="1092"/>
        <v>0</v>
      </c>
      <c r="AE7058" s="14">
        <f>VLOOKUP(I7058,[2]媒体政策预估表!A:N,MATCH(O7058,[2]媒体政策预估表!$A$2:$M$2,0),0)</f>
        <v>0.1293</v>
      </c>
      <c r="AF7058" s="6">
        <f t="shared" si="1094"/>
        <v>0</v>
      </c>
      <c r="AG7058" s="14">
        <v>0</v>
      </c>
      <c r="AH7058" s="64">
        <f t="shared" si="1093"/>
        <v>0</v>
      </c>
      <c r="AJ7058" s="126" t="e">
        <v>#N/A</v>
      </c>
      <c r="AK7058" s="80">
        <f t="shared" si="1100"/>
        <v>0</v>
      </c>
      <c r="AL7058" s="85"/>
      <c r="AM7058" s="85"/>
    </row>
    <row r="7059" spans="1:39" s="86" customFormat="1" ht="13.25" hidden="1" customHeight="1" x14ac:dyDescent="0.3">
      <c r="A7059" s="89" t="s">
        <v>3978</v>
      </c>
      <c r="B7059" s="86" t="s">
        <v>701</v>
      </c>
      <c r="C7059" s="86" t="s">
        <v>164</v>
      </c>
      <c r="D7059" s="86" t="s">
        <v>174</v>
      </c>
      <c r="E7059" s="86" t="s">
        <v>112</v>
      </c>
      <c r="F7059" s="86" t="s">
        <v>112</v>
      </c>
      <c r="G7059" s="86" t="s">
        <v>112</v>
      </c>
      <c r="H7059" s="143">
        <v>83</v>
      </c>
      <c r="I7059" s="86" t="s">
        <v>78</v>
      </c>
      <c r="J7059" s="1" t="s">
        <v>3303</v>
      </c>
      <c r="K7059" s="1" t="s">
        <v>3763</v>
      </c>
      <c r="L7059" s="1" t="s">
        <v>701</v>
      </c>
      <c r="M7059" s="86" t="s">
        <v>2888</v>
      </c>
      <c r="O7059" s="47" t="s">
        <v>410</v>
      </c>
      <c r="P7059" s="14" t="s">
        <v>46</v>
      </c>
      <c r="Q7059" s="14">
        <v>0.01</v>
      </c>
      <c r="R7059" s="143">
        <v>7117</v>
      </c>
      <c r="S7059" s="47"/>
      <c r="T7059" s="6">
        <v>321.42000000000417</v>
      </c>
      <c r="U7059" s="6"/>
      <c r="V7059" s="6">
        <v>0</v>
      </c>
      <c r="W7059" s="6">
        <f t="shared" si="1095"/>
        <v>321.42000000000417</v>
      </c>
      <c r="X7059" s="6">
        <f t="shared" si="1096"/>
        <v>0</v>
      </c>
      <c r="Y7059" s="13">
        <f t="shared" si="1098"/>
        <v>0</v>
      </c>
      <c r="Z7059" s="14">
        <v>0</v>
      </c>
      <c r="AA7059" s="6">
        <v>0</v>
      </c>
      <c r="AB7059" s="4">
        <f t="shared" si="1099"/>
        <v>0</v>
      </c>
      <c r="AC7059" s="6">
        <f t="shared" si="1097"/>
        <v>0</v>
      </c>
      <c r="AD7059" s="6">
        <f t="shared" si="1092"/>
        <v>0</v>
      </c>
      <c r="AE7059" s="14">
        <f>VLOOKUP(I7059,[2]媒体政策预估表!A:N,MATCH(O7059,[2]媒体政策预估表!$A$2:$M$2,0),0)</f>
        <v>0.1293</v>
      </c>
      <c r="AF7059" s="6">
        <f t="shared" si="1094"/>
        <v>0</v>
      </c>
      <c r="AG7059" s="14">
        <v>0</v>
      </c>
      <c r="AH7059" s="64">
        <f t="shared" si="1093"/>
        <v>0</v>
      </c>
      <c r="AJ7059" s="126" t="e">
        <v>#N/A</v>
      </c>
      <c r="AK7059" s="80">
        <f t="shared" si="1100"/>
        <v>0</v>
      </c>
      <c r="AL7059" s="85"/>
      <c r="AM7059" s="85"/>
    </row>
    <row r="7060" spans="1:39" s="86" customFormat="1" ht="13.25" hidden="1" customHeight="1" x14ac:dyDescent="0.3">
      <c r="A7060" s="89" t="s">
        <v>3978</v>
      </c>
      <c r="B7060" s="86" t="s">
        <v>701</v>
      </c>
      <c r="C7060" s="86" t="s">
        <v>59</v>
      </c>
      <c r="D7060" s="86" t="s">
        <v>60</v>
      </c>
      <c r="E7060" s="86" t="s">
        <v>2893</v>
      </c>
      <c r="F7060" s="86" t="s">
        <v>2894</v>
      </c>
      <c r="G7060" s="86" t="s">
        <v>2893</v>
      </c>
      <c r="H7060" s="143">
        <v>83</v>
      </c>
      <c r="I7060" s="86" t="s">
        <v>78</v>
      </c>
      <c r="J7060" s="1" t="s">
        <v>3303</v>
      </c>
      <c r="K7060" s="1" t="s">
        <v>3763</v>
      </c>
      <c r="L7060" s="1" t="s">
        <v>701</v>
      </c>
      <c r="M7060" s="86" t="s">
        <v>2895</v>
      </c>
      <c r="O7060" s="47" t="s">
        <v>410</v>
      </c>
      <c r="P7060" s="14" t="s">
        <v>46</v>
      </c>
      <c r="Q7060" s="14">
        <v>0.02</v>
      </c>
      <c r="R7060" s="143">
        <v>119</v>
      </c>
      <c r="S7060" s="47"/>
      <c r="T7060" s="6">
        <v>7310.2999999999993</v>
      </c>
      <c r="U7060" s="6"/>
      <c r="V7060" s="6">
        <v>0</v>
      </c>
      <c r="W7060" s="6">
        <f t="shared" si="1095"/>
        <v>7310.2999999999993</v>
      </c>
      <c r="X7060" s="6">
        <f t="shared" si="1096"/>
        <v>0</v>
      </c>
      <c r="Y7060" s="13">
        <f t="shared" si="1098"/>
        <v>0</v>
      </c>
      <c r="Z7060" s="14">
        <v>0</v>
      </c>
      <c r="AA7060" s="6">
        <v>0</v>
      </c>
      <c r="AB7060" s="4">
        <f t="shared" si="1099"/>
        <v>0</v>
      </c>
      <c r="AC7060" s="6">
        <f t="shared" si="1097"/>
        <v>0</v>
      </c>
      <c r="AD7060" s="6">
        <f t="shared" si="1092"/>
        <v>0</v>
      </c>
      <c r="AE7060" s="14">
        <f>VLOOKUP(I7060,[2]媒体政策预估表!A:N,MATCH(O7060,[2]媒体政策预估表!$A$2:$M$2,0),0)</f>
        <v>0.1293</v>
      </c>
      <c r="AF7060" s="6">
        <f t="shared" si="1094"/>
        <v>0</v>
      </c>
      <c r="AG7060" s="14">
        <v>0</v>
      </c>
      <c r="AH7060" s="64">
        <f t="shared" si="1093"/>
        <v>0</v>
      </c>
      <c r="AJ7060" s="126" t="e">
        <v>#N/A</v>
      </c>
      <c r="AK7060" s="80">
        <f t="shared" si="1100"/>
        <v>0</v>
      </c>
      <c r="AL7060" s="85"/>
      <c r="AM7060" s="85"/>
    </row>
    <row r="7061" spans="1:39" s="86" customFormat="1" ht="13.25" hidden="1" customHeight="1" x14ac:dyDescent="0.3">
      <c r="A7061" s="89" t="s">
        <v>3978</v>
      </c>
      <c r="B7061" s="86" t="s">
        <v>701</v>
      </c>
      <c r="C7061" s="86" t="s">
        <v>65</v>
      </c>
      <c r="D7061" s="86" t="s">
        <v>125</v>
      </c>
      <c r="E7061" s="86" t="s">
        <v>2896</v>
      </c>
      <c r="F7061" s="86" t="s">
        <v>2896</v>
      </c>
      <c r="G7061" s="86" t="s">
        <v>2896</v>
      </c>
      <c r="H7061" s="143">
        <v>83</v>
      </c>
      <c r="I7061" s="86" t="s">
        <v>78</v>
      </c>
      <c r="J7061" s="1" t="s">
        <v>3303</v>
      </c>
      <c r="K7061" s="1" t="s">
        <v>3763</v>
      </c>
      <c r="L7061" s="1" t="s">
        <v>701</v>
      </c>
      <c r="M7061" s="86" t="s">
        <v>2896</v>
      </c>
      <c r="O7061" s="47" t="s">
        <v>410</v>
      </c>
      <c r="P7061" s="14" t="s">
        <v>41</v>
      </c>
      <c r="Q7061" s="14">
        <v>0</v>
      </c>
      <c r="R7061" s="143">
        <v>7513</v>
      </c>
      <c r="S7061" s="47"/>
      <c r="T7061" s="6">
        <v>15.720000000000027</v>
      </c>
      <c r="U7061" s="6"/>
      <c r="V7061" s="6">
        <v>0</v>
      </c>
      <c r="W7061" s="6">
        <f t="shared" si="1095"/>
        <v>15.720000000000027</v>
      </c>
      <c r="X7061" s="6">
        <f t="shared" si="1096"/>
        <v>0</v>
      </c>
      <c r="Y7061" s="13">
        <f t="shared" si="1098"/>
        <v>0</v>
      </c>
      <c r="Z7061" s="14">
        <v>0</v>
      </c>
      <c r="AA7061" s="6">
        <v>0</v>
      </c>
      <c r="AB7061" s="4">
        <f t="shared" si="1099"/>
        <v>0</v>
      </c>
      <c r="AC7061" s="6">
        <f t="shared" si="1097"/>
        <v>0</v>
      </c>
      <c r="AD7061" s="6">
        <f t="shared" si="1092"/>
        <v>0</v>
      </c>
      <c r="AE7061" s="14">
        <f>VLOOKUP(I7061,[2]媒体政策预估表!A:N,MATCH(O7061,[2]媒体政策预估表!$A$2:$M$2,0),0)</f>
        <v>0.1293</v>
      </c>
      <c r="AF7061" s="6">
        <f t="shared" si="1094"/>
        <v>0</v>
      </c>
      <c r="AG7061" s="14">
        <v>0</v>
      </c>
      <c r="AH7061" s="64">
        <f t="shared" si="1093"/>
        <v>0</v>
      </c>
      <c r="AJ7061" s="126" t="e">
        <v>#N/A</v>
      </c>
      <c r="AK7061" s="80">
        <f t="shared" si="1100"/>
        <v>0</v>
      </c>
      <c r="AL7061" s="85"/>
      <c r="AM7061" s="85"/>
    </row>
    <row r="7062" spans="1:39" s="86" customFormat="1" ht="13.25" hidden="1" customHeight="1" x14ac:dyDescent="0.3">
      <c r="A7062" s="89" t="s">
        <v>3978</v>
      </c>
      <c r="B7062" s="86" t="s">
        <v>701</v>
      </c>
      <c r="C7062" s="86" t="s">
        <v>184</v>
      </c>
      <c r="D7062" s="86" t="s">
        <v>224</v>
      </c>
      <c r="E7062" s="86" t="s">
        <v>2897</v>
      </c>
      <c r="F7062" s="86" t="s">
        <v>2897</v>
      </c>
      <c r="G7062" s="86" t="s">
        <v>2897</v>
      </c>
      <c r="H7062" s="144">
        <v>83</v>
      </c>
      <c r="I7062" s="86" t="s">
        <v>78</v>
      </c>
      <c r="J7062" s="1" t="s">
        <v>3303</v>
      </c>
      <c r="K7062" s="1" t="s">
        <v>3763</v>
      </c>
      <c r="L7062" s="1" t="s">
        <v>701</v>
      </c>
      <c r="M7062" s="86" t="s">
        <v>2898</v>
      </c>
      <c r="O7062" s="47" t="s">
        <v>410</v>
      </c>
      <c r="P7062" s="14" t="s">
        <v>41</v>
      </c>
      <c r="Q7062" s="14">
        <v>0</v>
      </c>
      <c r="R7062" s="143">
        <v>7306</v>
      </c>
      <c r="S7062" s="47"/>
      <c r="T7062" s="6">
        <v>6619.5999999999995</v>
      </c>
      <c r="U7062" s="6"/>
      <c r="V7062" s="6">
        <v>523.79999999999995</v>
      </c>
      <c r="W7062" s="6">
        <f t="shared" si="1095"/>
        <v>6095.7999999999993</v>
      </c>
      <c r="X7062" s="6">
        <f t="shared" si="1096"/>
        <v>523.79999999999995</v>
      </c>
      <c r="Y7062" s="13">
        <f t="shared" si="1098"/>
        <v>0</v>
      </c>
      <c r="Z7062" s="14">
        <v>0</v>
      </c>
      <c r="AA7062" s="6">
        <v>0</v>
      </c>
      <c r="AB7062" s="4">
        <f t="shared" si="1099"/>
        <v>523.79999999999995</v>
      </c>
      <c r="AC7062" s="6">
        <f t="shared" si="1097"/>
        <v>0</v>
      </c>
      <c r="AD7062" s="6">
        <f t="shared" si="1092"/>
        <v>523.79999999999995</v>
      </c>
      <c r="AE7062" s="14">
        <f>VLOOKUP(I7062,[2]媒体政策预估表!A:N,MATCH(O7062,[2]媒体政策预估表!$A$2:$M$2,0),0)</f>
        <v>0.1293</v>
      </c>
      <c r="AF7062" s="6">
        <f t="shared" si="1094"/>
        <v>67.727339999999998</v>
      </c>
      <c r="AG7062" s="14">
        <v>0</v>
      </c>
      <c r="AH7062" s="64">
        <f t="shared" si="1093"/>
        <v>523.79999999999995</v>
      </c>
      <c r="AJ7062" s="126" t="e">
        <v>#N/A</v>
      </c>
      <c r="AK7062" s="80">
        <f t="shared" si="1100"/>
        <v>0</v>
      </c>
      <c r="AL7062" s="85"/>
      <c r="AM7062" s="85"/>
    </row>
    <row r="7063" spans="1:39" s="86" customFormat="1" ht="13.25" hidden="1" customHeight="1" x14ac:dyDescent="0.3">
      <c r="A7063" s="89" t="s">
        <v>3978</v>
      </c>
      <c r="B7063" s="86" t="s">
        <v>701</v>
      </c>
      <c r="C7063" s="86" t="s">
        <v>144</v>
      </c>
      <c r="D7063" s="86" t="s">
        <v>152</v>
      </c>
      <c r="E7063" s="86" t="s">
        <v>2899</v>
      </c>
      <c r="F7063" s="86" t="s">
        <v>2899</v>
      </c>
      <c r="G7063" s="86" t="s">
        <v>2899</v>
      </c>
      <c r="H7063" s="144">
        <v>83</v>
      </c>
      <c r="I7063" s="86" t="s">
        <v>78</v>
      </c>
      <c r="J7063" s="1" t="s">
        <v>3303</v>
      </c>
      <c r="K7063" s="1" t="s">
        <v>3763</v>
      </c>
      <c r="L7063" s="1" t="s">
        <v>701</v>
      </c>
      <c r="M7063" s="86" t="s">
        <v>2900</v>
      </c>
      <c r="O7063" s="47" t="s">
        <v>410</v>
      </c>
      <c r="P7063" s="14" t="s">
        <v>46</v>
      </c>
      <c r="Q7063" s="14">
        <v>0.01</v>
      </c>
      <c r="R7063" s="143">
        <v>7182</v>
      </c>
      <c r="S7063" s="47"/>
      <c r="T7063" s="6">
        <v>2.2999999999935881</v>
      </c>
      <c r="U7063" s="6"/>
      <c r="V7063" s="6">
        <v>2.2999999999935881</v>
      </c>
      <c r="W7063" s="6">
        <f t="shared" si="1095"/>
        <v>0</v>
      </c>
      <c r="X7063" s="6">
        <f t="shared" si="1096"/>
        <v>2.2772277227659288</v>
      </c>
      <c r="Y7063" s="13">
        <f t="shared" si="1098"/>
        <v>0</v>
      </c>
      <c r="Z7063" s="14">
        <v>0</v>
      </c>
      <c r="AA7063" s="6">
        <v>0</v>
      </c>
      <c r="AB7063" s="4">
        <f t="shared" si="1099"/>
        <v>2.2772277227659288</v>
      </c>
      <c r="AC7063" s="6">
        <f t="shared" si="1097"/>
        <v>2.2772277227659288E-2</v>
      </c>
      <c r="AD7063" s="6">
        <f t="shared" si="1092"/>
        <v>2.2999999999935881</v>
      </c>
      <c r="AE7063" s="14">
        <f>VLOOKUP(I7063,[2]媒体政策预估表!A:N,MATCH(O7063,[2]媒体政策预估表!$A$2:$M$2,0),0)</f>
        <v>0.1293</v>
      </c>
      <c r="AF7063" s="6">
        <f t="shared" si="1094"/>
        <v>0.29738999999917093</v>
      </c>
      <c r="AG7063" s="14">
        <v>0</v>
      </c>
      <c r="AH7063" s="64">
        <f t="shared" si="1093"/>
        <v>2.2999999999935881</v>
      </c>
      <c r="AJ7063" s="126" t="e">
        <v>#N/A</v>
      </c>
      <c r="AK7063" s="80">
        <f t="shared" si="1100"/>
        <v>0</v>
      </c>
      <c r="AL7063" s="85"/>
      <c r="AM7063" s="85"/>
    </row>
    <row r="7064" spans="1:39" s="86" customFormat="1" ht="13.25" hidden="1" customHeight="1" x14ac:dyDescent="0.3">
      <c r="A7064" s="89" t="s">
        <v>3978</v>
      </c>
      <c r="B7064" s="86" t="s">
        <v>701</v>
      </c>
      <c r="C7064" s="86" t="s">
        <v>65</v>
      </c>
      <c r="D7064" s="86" t="s">
        <v>122</v>
      </c>
      <c r="E7064" s="86" t="s">
        <v>2901</v>
      </c>
      <c r="F7064" s="86" t="s">
        <v>2901</v>
      </c>
      <c r="G7064" s="86" t="s">
        <v>2901</v>
      </c>
      <c r="H7064" s="143">
        <v>83</v>
      </c>
      <c r="I7064" s="86" t="s">
        <v>78</v>
      </c>
      <c r="J7064" s="1" t="s">
        <v>3303</v>
      </c>
      <c r="K7064" s="1" t="s">
        <v>3763</v>
      </c>
      <c r="L7064" s="1" t="s">
        <v>701</v>
      </c>
      <c r="M7064" s="86" t="s">
        <v>2901</v>
      </c>
      <c r="O7064" s="47" t="s">
        <v>410</v>
      </c>
      <c r="P7064" s="14" t="s">
        <v>41</v>
      </c>
      <c r="Q7064" s="14">
        <v>0</v>
      </c>
      <c r="R7064" s="143">
        <v>7168</v>
      </c>
      <c r="S7064" s="47"/>
      <c r="T7064" s="6">
        <v>5033.8</v>
      </c>
      <c r="U7064" s="6"/>
      <c r="V7064" s="6">
        <v>0</v>
      </c>
      <c r="W7064" s="6">
        <f t="shared" si="1095"/>
        <v>5033.8</v>
      </c>
      <c r="X7064" s="6">
        <f t="shared" si="1096"/>
        <v>0</v>
      </c>
      <c r="Y7064" s="13">
        <f t="shared" si="1098"/>
        <v>0</v>
      </c>
      <c r="Z7064" s="14">
        <v>0</v>
      </c>
      <c r="AA7064" s="6">
        <v>0</v>
      </c>
      <c r="AB7064" s="4">
        <f t="shared" si="1099"/>
        <v>0</v>
      </c>
      <c r="AC7064" s="6">
        <f t="shared" si="1097"/>
        <v>0</v>
      </c>
      <c r="AD7064" s="6">
        <f t="shared" si="1092"/>
        <v>0</v>
      </c>
      <c r="AE7064" s="14">
        <f>VLOOKUP(I7064,[2]媒体政策预估表!A:N,MATCH(O7064,[2]媒体政策预估表!$A$2:$M$2,0),0)</f>
        <v>0.1293</v>
      </c>
      <c r="AF7064" s="6">
        <f t="shared" si="1094"/>
        <v>0</v>
      </c>
      <c r="AG7064" s="14">
        <v>0</v>
      </c>
      <c r="AH7064" s="64">
        <f t="shared" si="1093"/>
        <v>0</v>
      </c>
      <c r="AJ7064" s="126" t="e">
        <v>#N/A</v>
      </c>
      <c r="AK7064" s="80">
        <f t="shared" si="1100"/>
        <v>0</v>
      </c>
      <c r="AL7064" s="85"/>
      <c r="AM7064" s="85"/>
    </row>
    <row r="7065" spans="1:39" s="86" customFormat="1" ht="13.25" hidden="1" customHeight="1" x14ac:dyDescent="0.3">
      <c r="A7065" s="89" t="s">
        <v>3978</v>
      </c>
      <c r="B7065" s="86" t="s">
        <v>701</v>
      </c>
      <c r="C7065" s="86" t="s">
        <v>65</v>
      </c>
      <c r="D7065" s="86" t="s">
        <v>122</v>
      </c>
      <c r="E7065" s="86" t="s">
        <v>2901</v>
      </c>
      <c r="F7065" s="86" t="s">
        <v>2901</v>
      </c>
      <c r="G7065" s="86" t="s">
        <v>2901</v>
      </c>
      <c r="H7065" s="143">
        <v>83</v>
      </c>
      <c r="I7065" s="86" t="s">
        <v>78</v>
      </c>
      <c r="J7065" s="1" t="s">
        <v>3303</v>
      </c>
      <c r="K7065" s="1" t="s">
        <v>3763</v>
      </c>
      <c r="L7065" s="1" t="s">
        <v>701</v>
      </c>
      <c r="M7065" s="86" t="s">
        <v>2902</v>
      </c>
      <c r="O7065" s="47" t="s">
        <v>410</v>
      </c>
      <c r="P7065" s="14" t="s">
        <v>41</v>
      </c>
      <c r="Q7065" s="14">
        <v>0</v>
      </c>
      <c r="R7065" s="143">
        <v>7442</v>
      </c>
      <c r="S7065" s="47"/>
      <c r="T7065" s="6">
        <v>5582.6</v>
      </c>
      <c r="U7065" s="6"/>
      <c r="V7065" s="6">
        <v>0</v>
      </c>
      <c r="W7065" s="6">
        <f t="shared" si="1095"/>
        <v>5582.6</v>
      </c>
      <c r="X7065" s="6">
        <f t="shared" si="1096"/>
        <v>0</v>
      </c>
      <c r="Y7065" s="13">
        <f t="shared" si="1098"/>
        <v>0</v>
      </c>
      <c r="Z7065" s="14">
        <v>0</v>
      </c>
      <c r="AA7065" s="6">
        <v>0</v>
      </c>
      <c r="AB7065" s="4">
        <f t="shared" si="1099"/>
        <v>0</v>
      </c>
      <c r="AC7065" s="6">
        <f t="shared" si="1097"/>
        <v>0</v>
      </c>
      <c r="AD7065" s="6">
        <f t="shared" si="1092"/>
        <v>0</v>
      </c>
      <c r="AE7065" s="14">
        <f>VLOOKUP(I7065,[2]媒体政策预估表!A:N,MATCH(O7065,[2]媒体政策预估表!$A$2:$M$2,0),0)</f>
        <v>0.1293</v>
      </c>
      <c r="AF7065" s="6">
        <f t="shared" si="1094"/>
        <v>0</v>
      </c>
      <c r="AG7065" s="14">
        <v>0</v>
      </c>
      <c r="AH7065" s="64">
        <f t="shared" si="1093"/>
        <v>0</v>
      </c>
      <c r="AJ7065" s="126" t="e">
        <v>#N/A</v>
      </c>
      <c r="AK7065" s="80">
        <f t="shared" si="1100"/>
        <v>0</v>
      </c>
      <c r="AL7065" s="85"/>
      <c r="AM7065" s="85"/>
    </row>
    <row r="7066" spans="1:39" s="86" customFormat="1" ht="13.25" hidden="1" customHeight="1" x14ac:dyDescent="0.3">
      <c r="A7066" s="89" t="s">
        <v>3978</v>
      </c>
      <c r="B7066" s="86" t="s">
        <v>701</v>
      </c>
      <c r="C7066" s="86" t="s">
        <v>144</v>
      </c>
      <c r="D7066" s="86" t="s">
        <v>145</v>
      </c>
      <c r="E7066" s="86" t="s">
        <v>1416</v>
      </c>
      <c r="F7066" s="86" t="s">
        <v>1416</v>
      </c>
      <c r="G7066" s="86" t="s">
        <v>1416</v>
      </c>
      <c r="H7066" s="143">
        <v>83</v>
      </c>
      <c r="I7066" s="86" t="s">
        <v>78</v>
      </c>
      <c r="J7066" s="1" t="s">
        <v>3303</v>
      </c>
      <c r="K7066" s="1" t="s">
        <v>3763</v>
      </c>
      <c r="L7066" s="1" t="s">
        <v>701</v>
      </c>
      <c r="M7066" s="86" t="s">
        <v>2903</v>
      </c>
      <c r="O7066" s="47" t="s">
        <v>410</v>
      </c>
      <c r="P7066" s="14" t="s">
        <v>46</v>
      </c>
      <c r="Q7066" s="14">
        <v>0.02</v>
      </c>
      <c r="R7066" s="143">
        <v>7295</v>
      </c>
      <c r="S7066" s="47"/>
      <c r="T7066" s="6">
        <v>18957.150000000001</v>
      </c>
      <c r="U7066" s="6"/>
      <c r="V7066" s="6">
        <v>0</v>
      </c>
      <c r="W7066" s="6">
        <f t="shared" si="1095"/>
        <v>18957.150000000001</v>
      </c>
      <c r="X7066" s="6">
        <f t="shared" si="1096"/>
        <v>0</v>
      </c>
      <c r="Y7066" s="13">
        <f t="shared" si="1098"/>
        <v>0</v>
      </c>
      <c r="Z7066" s="14">
        <v>0</v>
      </c>
      <c r="AA7066" s="6">
        <v>0</v>
      </c>
      <c r="AB7066" s="4">
        <f t="shared" si="1099"/>
        <v>0</v>
      </c>
      <c r="AC7066" s="6">
        <f t="shared" si="1097"/>
        <v>0</v>
      </c>
      <c r="AD7066" s="6">
        <f t="shared" si="1092"/>
        <v>0</v>
      </c>
      <c r="AE7066" s="14">
        <f>VLOOKUP(I7066,[2]媒体政策预估表!A:N,MATCH(O7066,[2]媒体政策预估表!$A$2:$M$2,0),0)</f>
        <v>0.1293</v>
      </c>
      <c r="AF7066" s="6">
        <f t="shared" si="1094"/>
        <v>0</v>
      </c>
      <c r="AG7066" s="14">
        <v>0</v>
      </c>
      <c r="AH7066" s="64">
        <f t="shared" si="1093"/>
        <v>0</v>
      </c>
      <c r="AJ7066" s="126" t="e">
        <v>#N/A</v>
      </c>
      <c r="AK7066" s="80">
        <f t="shared" si="1100"/>
        <v>0</v>
      </c>
      <c r="AL7066" s="85"/>
      <c r="AM7066" s="85"/>
    </row>
    <row r="7067" spans="1:39" s="86" customFormat="1" ht="13.25" hidden="1" customHeight="1" x14ac:dyDescent="0.3">
      <c r="A7067" s="89" t="s">
        <v>3978</v>
      </c>
      <c r="B7067" s="86" t="s">
        <v>35</v>
      </c>
      <c r="C7067" s="86" t="s">
        <v>65</v>
      </c>
      <c r="D7067" s="86" t="s">
        <v>125</v>
      </c>
      <c r="E7067" s="86" t="s">
        <v>2904</v>
      </c>
      <c r="F7067" s="86" t="s">
        <v>2905</v>
      </c>
      <c r="G7067" s="86" t="s">
        <v>1845</v>
      </c>
      <c r="H7067" s="143">
        <v>83</v>
      </c>
      <c r="I7067" s="86" t="s">
        <v>78</v>
      </c>
      <c r="J7067" s="1" t="s">
        <v>3303</v>
      </c>
      <c r="K7067" s="1" t="s">
        <v>3763</v>
      </c>
      <c r="L7067" s="1" t="s">
        <v>701</v>
      </c>
      <c r="M7067" s="86" t="s">
        <v>2906</v>
      </c>
      <c r="O7067" s="47" t="s">
        <v>410</v>
      </c>
      <c r="P7067" s="14" t="s">
        <v>41</v>
      </c>
      <c r="Q7067" s="14">
        <v>0</v>
      </c>
      <c r="R7067" s="143">
        <v>7190</v>
      </c>
      <c r="S7067" s="47"/>
      <c r="T7067" s="6">
        <v>384.57999999999811</v>
      </c>
      <c r="U7067" s="6"/>
      <c r="V7067" s="6">
        <v>0</v>
      </c>
      <c r="W7067" s="6">
        <f t="shared" si="1095"/>
        <v>384.57999999999811</v>
      </c>
      <c r="X7067" s="6">
        <f t="shared" si="1096"/>
        <v>0</v>
      </c>
      <c r="Y7067" s="13">
        <f t="shared" si="1098"/>
        <v>0</v>
      </c>
      <c r="Z7067" s="14">
        <v>0</v>
      </c>
      <c r="AA7067" s="6">
        <v>0</v>
      </c>
      <c r="AB7067" s="4">
        <f t="shared" si="1099"/>
        <v>0</v>
      </c>
      <c r="AC7067" s="6">
        <f t="shared" si="1097"/>
        <v>0</v>
      </c>
      <c r="AD7067" s="6">
        <f t="shared" si="1092"/>
        <v>0</v>
      </c>
      <c r="AE7067" s="14">
        <f>VLOOKUP(I7067,[2]媒体政策预估表!A:N,MATCH(O7067,[2]媒体政策预估表!$A$2:$M$2,0),0)</f>
        <v>0.1293</v>
      </c>
      <c r="AF7067" s="6">
        <f t="shared" si="1094"/>
        <v>0</v>
      </c>
      <c r="AG7067" s="14">
        <v>0</v>
      </c>
      <c r="AH7067" s="64">
        <f t="shared" si="1093"/>
        <v>0</v>
      </c>
      <c r="AJ7067" s="126" t="e">
        <v>#N/A</v>
      </c>
      <c r="AK7067" s="80">
        <f t="shared" si="1100"/>
        <v>0</v>
      </c>
      <c r="AL7067" s="85"/>
      <c r="AM7067" s="85"/>
    </row>
    <row r="7068" spans="1:39" s="86" customFormat="1" ht="13.25" hidden="1" customHeight="1" x14ac:dyDescent="0.3">
      <c r="A7068" s="89" t="s">
        <v>3978</v>
      </c>
      <c r="B7068" s="86" t="s">
        <v>701</v>
      </c>
      <c r="C7068" s="86" t="s">
        <v>65</v>
      </c>
      <c r="D7068" s="86" t="s">
        <v>66</v>
      </c>
      <c r="E7068" s="86" t="s">
        <v>1241</v>
      </c>
      <c r="F7068" s="86" t="s">
        <v>1241</v>
      </c>
      <c r="G7068" s="86" t="s">
        <v>1241</v>
      </c>
      <c r="H7068" s="143">
        <v>83</v>
      </c>
      <c r="I7068" s="86" t="s">
        <v>78</v>
      </c>
      <c r="J7068" s="1" t="s">
        <v>3303</v>
      </c>
      <c r="K7068" s="1" t="s">
        <v>3763</v>
      </c>
      <c r="L7068" s="1" t="s">
        <v>701</v>
      </c>
      <c r="M7068" s="86" t="s">
        <v>1241</v>
      </c>
      <c r="O7068" s="47" t="s">
        <v>410</v>
      </c>
      <c r="P7068" s="14" t="s">
        <v>41</v>
      </c>
      <c r="Q7068" s="14">
        <v>0</v>
      </c>
      <c r="R7068" s="143">
        <v>7358</v>
      </c>
      <c r="S7068" s="47"/>
      <c r="T7068" s="6">
        <v>13704.699999999986</v>
      </c>
      <c r="U7068" s="6"/>
      <c r="V7068" s="6">
        <v>0</v>
      </c>
      <c r="W7068" s="6">
        <f t="shared" si="1095"/>
        <v>13704.699999999986</v>
      </c>
      <c r="X7068" s="6">
        <f t="shared" si="1096"/>
        <v>0</v>
      </c>
      <c r="Y7068" s="13">
        <f t="shared" si="1098"/>
        <v>0</v>
      </c>
      <c r="Z7068" s="14">
        <v>0</v>
      </c>
      <c r="AA7068" s="6">
        <v>0</v>
      </c>
      <c r="AB7068" s="4">
        <f t="shared" si="1099"/>
        <v>0</v>
      </c>
      <c r="AC7068" s="6">
        <f t="shared" si="1097"/>
        <v>0</v>
      </c>
      <c r="AD7068" s="6">
        <f t="shared" si="1092"/>
        <v>0</v>
      </c>
      <c r="AE7068" s="14">
        <f>VLOOKUP(I7068,[2]媒体政策预估表!A:N,MATCH(O7068,[2]媒体政策预估表!$A$2:$M$2,0),0)</f>
        <v>0.1293</v>
      </c>
      <c r="AF7068" s="6">
        <f t="shared" si="1094"/>
        <v>0</v>
      </c>
      <c r="AG7068" s="14">
        <v>0</v>
      </c>
      <c r="AH7068" s="64">
        <f t="shared" si="1093"/>
        <v>0</v>
      </c>
      <c r="AJ7068" s="126" t="e">
        <v>#N/A</v>
      </c>
      <c r="AK7068" s="80">
        <f t="shared" si="1100"/>
        <v>0</v>
      </c>
      <c r="AL7068" s="85"/>
      <c r="AM7068" s="85"/>
    </row>
    <row r="7069" spans="1:39" s="86" customFormat="1" ht="13.25" hidden="1" customHeight="1" x14ac:dyDescent="0.3">
      <c r="A7069" s="89" t="s">
        <v>3792</v>
      </c>
      <c r="B7069" s="86" t="s">
        <v>701</v>
      </c>
      <c r="C7069" s="86" t="s">
        <v>164</v>
      </c>
      <c r="D7069" s="86" t="s">
        <v>174</v>
      </c>
      <c r="E7069" s="86" t="s">
        <v>2907</v>
      </c>
      <c r="F7069" s="86" t="s">
        <v>2907</v>
      </c>
      <c r="G7069" s="86" t="s">
        <v>2907</v>
      </c>
      <c r="H7069" s="143">
        <v>83</v>
      </c>
      <c r="I7069" s="86" t="s">
        <v>78</v>
      </c>
      <c r="J7069" s="1" t="s">
        <v>3303</v>
      </c>
      <c r="K7069" s="1" t="s">
        <v>3763</v>
      </c>
      <c r="L7069" s="1" t="s">
        <v>701</v>
      </c>
      <c r="M7069" s="86" t="s">
        <v>2908</v>
      </c>
      <c r="O7069" s="47" t="s">
        <v>410</v>
      </c>
      <c r="P7069" s="14" t="s">
        <v>46</v>
      </c>
      <c r="Q7069" s="14">
        <v>0.02</v>
      </c>
      <c r="R7069" s="143">
        <v>7475</v>
      </c>
      <c r="S7069" s="47"/>
      <c r="T7069" s="6">
        <v>738.29999999999973</v>
      </c>
      <c r="U7069" s="6"/>
      <c r="V7069" s="6">
        <v>0</v>
      </c>
      <c r="W7069" s="6">
        <f t="shared" si="1095"/>
        <v>738.29999999999973</v>
      </c>
      <c r="X7069" s="6">
        <f t="shared" si="1096"/>
        <v>0</v>
      </c>
      <c r="Y7069" s="13">
        <f t="shared" si="1098"/>
        <v>0</v>
      </c>
      <c r="Z7069" s="14">
        <v>0</v>
      </c>
      <c r="AA7069" s="6">
        <v>0</v>
      </c>
      <c r="AB7069" s="4">
        <f t="shared" si="1099"/>
        <v>0</v>
      </c>
      <c r="AC7069" s="6">
        <f t="shared" si="1097"/>
        <v>0</v>
      </c>
      <c r="AD7069" s="6">
        <f t="shared" si="1092"/>
        <v>0</v>
      </c>
      <c r="AE7069" s="14">
        <f>VLOOKUP(I7069,[2]媒体政策预估表!A:N,MATCH(O7069,[2]媒体政策预估表!$A$2:$M$2,0),0)</f>
        <v>0.1293</v>
      </c>
      <c r="AF7069" s="6">
        <f t="shared" si="1094"/>
        <v>0</v>
      </c>
      <c r="AG7069" s="14">
        <v>0</v>
      </c>
      <c r="AH7069" s="64">
        <f t="shared" si="1093"/>
        <v>0</v>
      </c>
      <c r="AJ7069" s="126" t="e">
        <v>#N/A</v>
      </c>
      <c r="AK7069" s="80">
        <f t="shared" si="1100"/>
        <v>0</v>
      </c>
      <c r="AL7069" s="85"/>
      <c r="AM7069" s="85"/>
    </row>
    <row r="7070" spans="1:39" s="86" customFormat="1" ht="13.25" hidden="1" customHeight="1" x14ac:dyDescent="0.3">
      <c r="A7070" s="89" t="s">
        <v>3978</v>
      </c>
      <c r="B7070" s="86" t="s">
        <v>701</v>
      </c>
      <c r="C7070" s="86" t="s">
        <v>184</v>
      </c>
      <c r="D7070" s="86" t="s">
        <v>54</v>
      </c>
      <c r="E7070" s="86" t="s">
        <v>2909</v>
      </c>
      <c r="F7070" s="86" t="s">
        <v>2909</v>
      </c>
      <c r="G7070" s="86" t="s">
        <v>2909</v>
      </c>
      <c r="H7070" s="143">
        <v>83</v>
      </c>
      <c r="I7070" s="86" t="s">
        <v>78</v>
      </c>
      <c r="J7070" s="1" t="s">
        <v>3303</v>
      </c>
      <c r="K7070" s="1" t="s">
        <v>3763</v>
      </c>
      <c r="L7070" s="1" t="s">
        <v>701</v>
      </c>
      <c r="M7070" s="86" t="s">
        <v>2909</v>
      </c>
      <c r="O7070" s="47" t="s">
        <v>410</v>
      </c>
      <c r="P7070" s="14" t="s">
        <v>41</v>
      </c>
      <c r="Q7070" s="14">
        <v>0</v>
      </c>
      <c r="R7070" s="143">
        <v>7340</v>
      </c>
      <c r="S7070" s="47"/>
      <c r="T7070" s="6">
        <v>18701.7</v>
      </c>
      <c r="U7070" s="6"/>
      <c r="V7070" s="6">
        <v>0</v>
      </c>
      <c r="W7070" s="6">
        <f t="shared" si="1095"/>
        <v>18701.7</v>
      </c>
      <c r="X7070" s="6">
        <f t="shared" si="1096"/>
        <v>0</v>
      </c>
      <c r="Y7070" s="13">
        <f t="shared" si="1098"/>
        <v>0</v>
      </c>
      <c r="Z7070" s="14">
        <v>0</v>
      </c>
      <c r="AA7070" s="6">
        <v>0</v>
      </c>
      <c r="AB7070" s="4">
        <f t="shared" si="1099"/>
        <v>0</v>
      </c>
      <c r="AC7070" s="6">
        <f t="shared" si="1097"/>
        <v>0</v>
      </c>
      <c r="AD7070" s="6">
        <f t="shared" si="1092"/>
        <v>0</v>
      </c>
      <c r="AE7070" s="14">
        <f>VLOOKUP(I7070,[2]媒体政策预估表!A:N,MATCH(O7070,[2]媒体政策预估表!$A$2:$M$2,0),0)</f>
        <v>0.1293</v>
      </c>
      <c r="AF7070" s="6">
        <f t="shared" si="1094"/>
        <v>0</v>
      </c>
      <c r="AG7070" s="14">
        <v>0</v>
      </c>
      <c r="AH7070" s="64">
        <f t="shared" si="1093"/>
        <v>0</v>
      </c>
      <c r="AJ7070" s="126" t="e">
        <v>#N/A</v>
      </c>
      <c r="AK7070" s="80">
        <f t="shared" si="1100"/>
        <v>0</v>
      </c>
      <c r="AL7070" s="85"/>
      <c r="AM7070" s="85"/>
    </row>
    <row r="7071" spans="1:39" s="86" customFormat="1" ht="13.25" hidden="1" customHeight="1" x14ac:dyDescent="0.3">
      <c r="A7071" s="89" t="s">
        <v>3792</v>
      </c>
      <c r="B7071" s="86" t="s">
        <v>701</v>
      </c>
      <c r="C7071" s="86" t="s">
        <v>144</v>
      </c>
      <c r="D7071" s="86" t="s">
        <v>145</v>
      </c>
      <c r="E7071" s="86" t="s">
        <v>2910</v>
      </c>
      <c r="F7071" s="86" t="s">
        <v>2910</v>
      </c>
      <c r="G7071" s="86" t="s">
        <v>2910</v>
      </c>
      <c r="H7071" s="144">
        <v>83</v>
      </c>
      <c r="I7071" s="86" t="s">
        <v>78</v>
      </c>
      <c r="J7071" s="1" t="s">
        <v>3303</v>
      </c>
      <c r="K7071" s="1" t="s">
        <v>3763</v>
      </c>
      <c r="L7071" s="1" t="s">
        <v>701</v>
      </c>
      <c r="M7071" s="86" t="s">
        <v>2911</v>
      </c>
      <c r="O7071" s="47" t="s">
        <v>410</v>
      </c>
      <c r="P7071" s="14" t="s">
        <v>41</v>
      </c>
      <c r="Q7071" s="14">
        <v>0</v>
      </c>
      <c r="R7071" s="143">
        <v>7164</v>
      </c>
      <c r="S7071" s="47"/>
      <c r="T7071" s="6">
        <v>7293.39</v>
      </c>
      <c r="U7071" s="6"/>
      <c r="V7071" s="6">
        <v>7279.75</v>
      </c>
      <c r="W7071" s="6">
        <f t="shared" si="1095"/>
        <v>13.640000000000327</v>
      </c>
      <c r="X7071" s="6">
        <f t="shared" si="1096"/>
        <v>7279.75</v>
      </c>
      <c r="Y7071" s="13">
        <f t="shared" si="1098"/>
        <v>0</v>
      </c>
      <c r="Z7071" s="14">
        <v>0</v>
      </c>
      <c r="AA7071" s="6">
        <v>0</v>
      </c>
      <c r="AB7071" s="4">
        <f t="shared" si="1099"/>
        <v>7279.75</v>
      </c>
      <c r="AC7071" s="6">
        <f t="shared" si="1097"/>
        <v>0</v>
      </c>
      <c r="AD7071" s="6">
        <f t="shared" si="1092"/>
        <v>7279.75</v>
      </c>
      <c r="AE7071" s="14">
        <f>VLOOKUP(I7071,[2]媒体政策预估表!A:N,MATCH(O7071,[2]媒体政策预估表!$A$2:$M$2,0),0)</f>
        <v>0.1293</v>
      </c>
      <c r="AF7071" s="6">
        <f t="shared" si="1094"/>
        <v>941.27167499999996</v>
      </c>
      <c r="AG7071" s="14">
        <v>0</v>
      </c>
      <c r="AH7071" s="64">
        <f t="shared" si="1093"/>
        <v>7279.75</v>
      </c>
      <c r="AJ7071" s="126" t="e">
        <v>#N/A</v>
      </c>
      <c r="AK7071" s="80">
        <f t="shared" si="1100"/>
        <v>0</v>
      </c>
      <c r="AL7071" s="85"/>
      <c r="AM7071" s="85"/>
    </row>
    <row r="7072" spans="1:39" s="86" customFormat="1" ht="13.25" hidden="1" customHeight="1" x14ac:dyDescent="0.3">
      <c r="A7072" s="89" t="s">
        <v>3978</v>
      </c>
      <c r="B7072" s="86" t="s">
        <v>701</v>
      </c>
      <c r="C7072" s="86" t="s">
        <v>184</v>
      </c>
      <c r="D7072" s="86" t="s">
        <v>54</v>
      </c>
      <c r="E7072" s="86" t="s">
        <v>2912</v>
      </c>
      <c r="F7072" s="86" t="s">
        <v>2912</v>
      </c>
      <c r="G7072" s="86" t="s">
        <v>2912</v>
      </c>
      <c r="H7072" s="143">
        <v>83</v>
      </c>
      <c r="I7072" s="86" t="s">
        <v>78</v>
      </c>
      <c r="J7072" s="1" t="s">
        <v>3303</v>
      </c>
      <c r="K7072" s="1" t="s">
        <v>3763</v>
      </c>
      <c r="L7072" s="1" t="s">
        <v>701</v>
      </c>
      <c r="M7072" s="86" t="s">
        <v>2913</v>
      </c>
      <c r="O7072" s="47" t="s">
        <v>410</v>
      </c>
      <c r="P7072" s="14" t="s">
        <v>41</v>
      </c>
      <c r="Q7072" s="14">
        <v>0</v>
      </c>
      <c r="R7072" s="143">
        <v>7449</v>
      </c>
      <c r="S7072" s="47"/>
      <c r="T7072" s="6">
        <v>12629.5</v>
      </c>
      <c r="U7072" s="6"/>
      <c r="V7072" s="6">
        <v>0</v>
      </c>
      <c r="W7072" s="6">
        <f t="shared" si="1095"/>
        <v>12629.5</v>
      </c>
      <c r="X7072" s="6">
        <f t="shared" si="1096"/>
        <v>0</v>
      </c>
      <c r="Y7072" s="13">
        <f t="shared" si="1098"/>
        <v>0</v>
      </c>
      <c r="Z7072" s="14">
        <v>0</v>
      </c>
      <c r="AA7072" s="6">
        <v>0</v>
      </c>
      <c r="AB7072" s="4"/>
      <c r="AC7072" s="6">
        <f t="shared" si="1097"/>
        <v>0</v>
      </c>
      <c r="AD7072" s="6">
        <f t="shared" si="1092"/>
        <v>0</v>
      </c>
      <c r="AE7072" s="14">
        <f>VLOOKUP(I7072,[2]媒体政策预估表!A:N,MATCH(O7072,[2]媒体政策预估表!$A$2:$M$2,0),0)</f>
        <v>0.1293</v>
      </c>
      <c r="AF7072" s="6">
        <f t="shared" si="1094"/>
        <v>0</v>
      </c>
      <c r="AG7072" s="14">
        <v>0</v>
      </c>
      <c r="AH7072" s="64">
        <f t="shared" si="1093"/>
        <v>0</v>
      </c>
      <c r="AJ7072" s="126" t="s">
        <v>4226</v>
      </c>
      <c r="AK7072" s="80">
        <f t="shared" si="1100"/>
        <v>0</v>
      </c>
      <c r="AL7072" s="85"/>
      <c r="AM7072" s="85"/>
    </row>
    <row r="7073" spans="1:39" s="86" customFormat="1" ht="13.25" hidden="1" customHeight="1" x14ac:dyDescent="0.3">
      <c r="A7073" s="89" t="s">
        <v>3978</v>
      </c>
      <c r="B7073" s="86" t="s">
        <v>701</v>
      </c>
      <c r="C7073" s="86" t="s">
        <v>164</v>
      </c>
      <c r="D7073" s="86" t="s">
        <v>174</v>
      </c>
      <c r="E7073" s="86" t="s">
        <v>946</v>
      </c>
      <c r="F7073" s="86" t="s">
        <v>946</v>
      </c>
      <c r="G7073" s="86" t="s">
        <v>946</v>
      </c>
      <c r="H7073" s="143">
        <v>83</v>
      </c>
      <c r="I7073" s="86" t="s">
        <v>78</v>
      </c>
      <c r="J7073" s="1" t="s">
        <v>3303</v>
      </c>
      <c r="K7073" s="1" t="s">
        <v>3763</v>
      </c>
      <c r="L7073" s="1" t="s">
        <v>701</v>
      </c>
      <c r="M7073" s="86" t="s">
        <v>2914</v>
      </c>
      <c r="O7073" s="47" t="s">
        <v>410</v>
      </c>
      <c r="P7073" s="14" t="s">
        <v>46</v>
      </c>
      <c r="Q7073" s="14">
        <v>0.02</v>
      </c>
      <c r="R7073" s="143">
        <v>7426</v>
      </c>
      <c r="S7073" s="47"/>
      <c r="T7073" s="6">
        <v>3619.8499999999995</v>
      </c>
      <c r="U7073" s="6"/>
      <c r="V7073" s="6">
        <v>0</v>
      </c>
      <c r="W7073" s="6">
        <f t="shared" si="1095"/>
        <v>3619.8499999999995</v>
      </c>
      <c r="X7073" s="6">
        <f t="shared" si="1096"/>
        <v>0</v>
      </c>
      <c r="Y7073" s="13">
        <f t="shared" si="1098"/>
        <v>0</v>
      </c>
      <c r="Z7073" s="14">
        <v>0</v>
      </c>
      <c r="AA7073" s="6">
        <v>0</v>
      </c>
      <c r="AB7073" s="4">
        <f t="shared" si="1099"/>
        <v>0</v>
      </c>
      <c r="AC7073" s="6">
        <f t="shared" si="1097"/>
        <v>0</v>
      </c>
      <c r="AD7073" s="6">
        <f t="shared" ref="AD7073:AD7127" si="1101">V7073</f>
        <v>0</v>
      </c>
      <c r="AE7073" s="14">
        <f>VLOOKUP(I7073,[2]媒体政策预估表!A:N,MATCH(O7073,[2]媒体政策预估表!$A$2:$M$2,0),0)</f>
        <v>0.1293</v>
      </c>
      <c r="AF7073" s="6">
        <f t="shared" si="1094"/>
        <v>0</v>
      </c>
      <c r="AG7073" s="14">
        <v>0</v>
      </c>
      <c r="AH7073" s="64">
        <f t="shared" ref="AH7073:AH7127" si="1102">V7073</f>
        <v>0</v>
      </c>
      <c r="AJ7073" s="126" t="e">
        <v>#N/A</v>
      </c>
      <c r="AK7073" s="80">
        <f t="shared" si="1100"/>
        <v>0</v>
      </c>
      <c r="AL7073" s="85"/>
      <c r="AM7073" s="85"/>
    </row>
    <row r="7074" spans="1:39" s="86" customFormat="1" ht="13.25" hidden="1" customHeight="1" x14ac:dyDescent="0.3">
      <c r="A7074" s="89" t="s">
        <v>3978</v>
      </c>
      <c r="B7074" s="86" t="s">
        <v>35</v>
      </c>
      <c r="C7074" s="86" t="s">
        <v>36</v>
      </c>
      <c r="D7074" s="86" t="s">
        <v>185</v>
      </c>
      <c r="E7074" s="86" t="s">
        <v>2695</v>
      </c>
      <c r="F7074" s="86" t="s">
        <v>2717</v>
      </c>
      <c r="G7074" s="86" t="s">
        <v>1845</v>
      </c>
      <c r="H7074" s="143">
        <v>83</v>
      </c>
      <c r="I7074" s="86" t="s">
        <v>78</v>
      </c>
      <c r="J7074" s="1" t="s">
        <v>3303</v>
      </c>
      <c r="K7074" s="1" t="s">
        <v>3763</v>
      </c>
      <c r="L7074" s="1" t="s">
        <v>701</v>
      </c>
      <c r="M7074" s="86" t="s">
        <v>2915</v>
      </c>
      <c r="O7074" s="47" t="s">
        <v>410</v>
      </c>
      <c r="P7074" s="14" t="s">
        <v>41</v>
      </c>
      <c r="Q7074" s="14">
        <v>0</v>
      </c>
      <c r="R7074" s="143">
        <v>7276</v>
      </c>
      <c r="S7074" s="47"/>
      <c r="T7074" s="6">
        <v>42157.11</v>
      </c>
      <c r="U7074" s="6"/>
      <c r="V7074" s="6">
        <v>0</v>
      </c>
      <c r="W7074" s="6">
        <f t="shared" si="1095"/>
        <v>42157.11</v>
      </c>
      <c r="X7074" s="6">
        <f t="shared" si="1096"/>
        <v>0</v>
      </c>
      <c r="Y7074" s="13">
        <f t="shared" si="1098"/>
        <v>0</v>
      </c>
      <c r="Z7074" s="14">
        <v>0</v>
      </c>
      <c r="AA7074" s="6">
        <v>0</v>
      </c>
      <c r="AB7074" s="4">
        <f t="shared" si="1099"/>
        <v>0</v>
      </c>
      <c r="AC7074" s="6">
        <f t="shared" si="1097"/>
        <v>0</v>
      </c>
      <c r="AD7074" s="6">
        <f t="shared" si="1101"/>
        <v>0</v>
      </c>
      <c r="AE7074" s="14">
        <f>VLOOKUP(I7074,[2]媒体政策预估表!A:N,MATCH(O7074,[2]媒体政策预估表!$A$2:$M$2,0),0)</f>
        <v>0.1293</v>
      </c>
      <c r="AF7074" s="6">
        <f t="shared" si="1094"/>
        <v>0</v>
      </c>
      <c r="AG7074" s="14">
        <v>0</v>
      </c>
      <c r="AH7074" s="64">
        <f t="shared" si="1102"/>
        <v>0</v>
      </c>
      <c r="AJ7074" s="126" t="e">
        <v>#N/A</v>
      </c>
      <c r="AK7074" s="80">
        <f t="shared" si="1100"/>
        <v>0</v>
      </c>
      <c r="AL7074" s="85"/>
      <c r="AM7074" s="85"/>
    </row>
    <row r="7075" spans="1:39" s="86" customFormat="1" ht="13.25" hidden="1" customHeight="1" x14ac:dyDescent="0.3">
      <c r="A7075" s="89" t="s">
        <v>3978</v>
      </c>
      <c r="B7075" s="86" t="s">
        <v>701</v>
      </c>
      <c r="C7075" s="86" t="s">
        <v>59</v>
      </c>
      <c r="D7075" s="86" t="s">
        <v>60</v>
      </c>
      <c r="E7075" s="86" t="s">
        <v>2722</v>
      </c>
      <c r="F7075" s="86" t="s">
        <v>2722</v>
      </c>
      <c r="G7075" s="86" t="s">
        <v>2722</v>
      </c>
      <c r="H7075" s="143">
        <v>83</v>
      </c>
      <c r="I7075" s="86" t="s">
        <v>78</v>
      </c>
      <c r="J7075" s="1" t="s">
        <v>3303</v>
      </c>
      <c r="K7075" s="1" t="s">
        <v>3763</v>
      </c>
      <c r="L7075" s="1" t="s">
        <v>701</v>
      </c>
      <c r="M7075" s="86" t="s">
        <v>2916</v>
      </c>
      <c r="O7075" s="47" t="s">
        <v>410</v>
      </c>
      <c r="P7075" s="14" t="s">
        <v>92</v>
      </c>
      <c r="Q7075" s="14">
        <v>0.9</v>
      </c>
      <c r="R7075" s="143">
        <v>7391</v>
      </c>
      <c r="S7075" s="47"/>
      <c r="T7075" s="6">
        <v>6563.5</v>
      </c>
      <c r="U7075" s="6"/>
      <c r="V7075" s="6">
        <v>0</v>
      </c>
      <c r="W7075" s="6">
        <f t="shared" si="1095"/>
        <v>6563.5</v>
      </c>
      <c r="X7075" s="6">
        <f t="shared" si="1096"/>
        <v>0</v>
      </c>
      <c r="Y7075" s="13">
        <f t="shared" si="1098"/>
        <v>0</v>
      </c>
      <c r="Z7075" s="14">
        <v>0</v>
      </c>
      <c r="AA7075" s="6">
        <v>0</v>
      </c>
      <c r="AB7075" s="4">
        <f t="shared" si="1099"/>
        <v>0</v>
      </c>
      <c r="AC7075" s="6">
        <f t="shared" si="1097"/>
        <v>0</v>
      </c>
      <c r="AD7075" s="6">
        <f t="shared" si="1101"/>
        <v>0</v>
      </c>
      <c r="AE7075" s="14">
        <f>VLOOKUP(I7075,[2]媒体政策预估表!A:N,MATCH(O7075,[2]媒体政策预估表!$A$2:$M$2,0),0)</f>
        <v>0.1293</v>
      </c>
      <c r="AF7075" s="6">
        <f t="shared" si="1094"/>
        <v>0</v>
      </c>
      <c r="AG7075" s="14">
        <v>0</v>
      </c>
      <c r="AH7075" s="64">
        <f t="shared" si="1102"/>
        <v>0</v>
      </c>
      <c r="AJ7075" s="126" t="e">
        <v>#N/A</v>
      </c>
      <c r="AK7075" s="80">
        <f t="shared" si="1100"/>
        <v>0</v>
      </c>
      <c r="AL7075" s="85"/>
      <c r="AM7075" s="85"/>
    </row>
    <row r="7076" spans="1:39" s="86" customFormat="1" ht="13.25" hidden="1" customHeight="1" x14ac:dyDescent="0.3">
      <c r="A7076" s="89" t="s">
        <v>3978</v>
      </c>
      <c r="B7076" s="86" t="s">
        <v>701</v>
      </c>
      <c r="C7076" s="86" t="s">
        <v>59</v>
      </c>
      <c r="D7076" s="86" t="s">
        <v>60</v>
      </c>
      <c r="E7076" s="86" t="s">
        <v>2722</v>
      </c>
      <c r="F7076" s="86" t="s">
        <v>2722</v>
      </c>
      <c r="G7076" s="86" t="s">
        <v>2722</v>
      </c>
      <c r="H7076" s="143">
        <v>83</v>
      </c>
      <c r="I7076" s="86" t="s">
        <v>78</v>
      </c>
      <c r="J7076" s="1" t="s">
        <v>3303</v>
      </c>
      <c r="K7076" s="1" t="s">
        <v>3763</v>
      </c>
      <c r="L7076" s="1" t="s">
        <v>701</v>
      </c>
      <c r="M7076" s="86" t="s">
        <v>2917</v>
      </c>
      <c r="O7076" s="47" t="s">
        <v>410</v>
      </c>
      <c r="P7076" s="14" t="s">
        <v>92</v>
      </c>
      <c r="Q7076" s="14">
        <v>0.9</v>
      </c>
      <c r="R7076" s="143">
        <v>7417</v>
      </c>
      <c r="S7076" s="47"/>
      <c r="T7076" s="6">
        <v>1808.5</v>
      </c>
      <c r="U7076" s="6"/>
      <c r="V7076" s="6">
        <v>0</v>
      </c>
      <c r="W7076" s="6">
        <f t="shared" si="1095"/>
        <v>1808.5</v>
      </c>
      <c r="X7076" s="6">
        <f t="shared" si="1096"/>
        <v>0</v>
      </c>
      <c r="Y7076" s="13">
        <f t="shared" si="1098"/>
        <v>0</v>
      </c>
      <c r="Z7076" s="14">
        <v>0</v>
      </c>
      <c r="AA7076" s="6">
        <v>0</v>
      </c>
      <c r="AB7076" s="4">
        <f t="shared" si="1099"/>
        <v>0</v>
      </c>
      <c r="AC7076" s="6">
        <f t="shared" si="1097"/>
        <v>0</v>
      </c>
      <c r="AD7076" s="6">
        <f t="shared" si="1101"/>
        <v>0</v>
      </c>
      <c r="AE7076" s="14">
        <f>VLOOKUP(I7076,[2]媒体政策预估表!A:N,MATCH(O7076,[2]媒体政策预估表!$A$2:$M$2,0),0)</f>
        <v>0.1293</v>
      </c>
      <c r="AF7076" s="6">
        <f t="shared" ref="AF7076:AF7139" si="1103">AD7076*AE7076</f>
        <v>0</v>
      </c>
      <c r="AG7076" s="14">
        <v>0</v>
      </c>
      <c r="AH7076" s="64">
        <f t="shared" si="1102"/>
        <v>0</v>
      </c>
      <c r="AJ7076" s="126" t="e">
        <v>#N/A</v>
      </c>
      <c r="AK7076" s="80">
        <f t="shared" si="1100"/>
        <v>0</v>
      </c>
      <c r="AL7076" s="85"/>
      <c r="AM7076" s="85"/>
    </row>
    <row r="7077" spans="1:39" s="86" customFormat="1" ht="13.25" hidden="1" customHeight="1" x14ac:dyDescent="0.3">
      <c r="A7077" s="89" t="s">
        <v>3978</v>
      </c>
      <c r="B7077" s="86" t="s">
        <v>701</v>
      </c>
      <c r="C7077" s="86" t="s">
        <v>144</v>
      </c>
      <c r="D7077" s="86" t="s">
        <v>152</v>
      </c>
      <c r="E7077" s="86" t="s">
        <v>2795</v>
      </c>
      <c r="F7077" s="86" t="s">
        <v>2795</v>
      </c>
      <c r="G7077" s="86" t="s">
        <v>2795</v>
      </c>
      <c r="H7077" s="143">
        <v>83</v>
      </c>
      <c r="I7077" s="86" t="s">
        <v>78</v>
      </c>
      <c r="J7077" s="1" t="s">
        <v>3303</v>
      </c>
      <c r="K7077" s="1" t="s">
        <v>3763</v>
      </c>
      <c r="L7077" s="1" t="s">
        <v>701</v>
      </c>
      <c r="M7077" s="86" t="s">
        <v>2918</v>
      </c>
      <c r="O7077" s="47" t="s">
        <v>410</v>
      </c>
      <c r="P7077" s="14" t="s">
        <v>41</v>
      </c>
      <c r="Q7077" s="14">
        <v>0</v>
      </c>
      <c r="R7077" s="143">
        <v>7324</v>
      </c>
      <c r="S7077" s="47"/>
      <c r="T7077" s="6">
        <v>6915.4</v>
      </c>
      <c r="U7077" s="6"/>
      <c r="V7077" s="6">
        <v>0</v>
      </c>
      <c r="W7077" s="6">
        <f t="shared" si="1095"/>
        <v>6915.4</v>
      </c>
      <c r="X7077" s="6">
        <f t="shared" si="1096"/>
        <v>0</v>
      </c>
      <c r="Y7077" s="13">
        <f t="shared" si="1098"/>
        <v>0</v>
      </c>
      <c r="Z7077" s="14">
        <v>0</v>
      </c>
      <c r="AA7077" s="6">
        <v>0</v>
      </c>
      <c r="AB7077" s="4"/>
      <c r="AC7077" s="6">
        <f t="shared" si="1097"/>
        <v>0</v>
      </c>
      <c r="AD7077" s="6">
        <f t="shared" si="1101"/>
        <v>0</v>
      </c>
      <c r="AE7077" s="14">
        <f>VLOOKUP(I7077,[2]媒体政策预估表!A:N,MATCH(O7077,[2]媒体政策预估表!$A$2:$M$2,0),0)</f>
        <v>0.1293</v>
      </c>
      <c r="AF7077" s="6">
        <f t="shared" si="1103"/>
        <v>0</v>
      </c>
      <c r="AG7077" s="14">
        <v>0</v>
      </c>
      <c r="AH7077" s="64">
        <f t="shared" si="1102"/>
        <v>0</v>
      </c>
      <c r="AJ7077" s="126">
        <v>93</v>
      </c>
      <c r="AK7077" s="80">
        <f t="shared" si="1100"/>
        <v>0</v>
      </c>
      <c r="AL7077" s="85"/>
      <c r="AM7077" s="85"/>
    </row>
    <row r="7078" spans="1:39" s="86" customFormat="1" ht="13.25" hidden="1" customHeight="1" x14ac:dyDescent="0.3">
      <c r="A7078" s="89" t="s">
        <v>3978</v>
      </c>
      <c r="B7078" s="86" t="s">
        <v>701</v>
      </c>
      <c r="C7078" s="86" t="s">
        <v>164</v>
      </c>
      <c r="D7078" s="86" t="s">
        <v>174</v>
      </c>
      <c r="E7078" s="86" t="s">
        <v>2012</v>
      </c>
      <c r="F7078" s="86" t="s">
        <v>2012</v>
      </c>
      <c r="G7078" s="86" t="s">
        <v>2012</v>
      </c>
      <c r="H7078" s="143">
        <v>83</v>
      </c>
      <c r="I7078" s="86" t="s">
        <v>78</v>
      </c>
      <c r="J7078" s="1" t="s">
        <v>3303</v>
      </c>
      <c r="K7078" s="1" t="s">
        <v>3763</v>
      </c>
      <c r="L7078" s="1" t="s">
        <v>701</v>
      </c>
      <c r="M7078" s="86" t="s">
        <v>2012</v>
      </c>
      <c r="O7078" s="47" t="s">
        <v>410</v>
      </c>
      <c r="P7078" s="14" t="s">
        <v>46</v>
      </c>
      <c r="Q7078" s="14">
        <v>0.02</v>
      </c>
      <c r="R7078" s="143">
        <v>7112</v>
      </c>
      <c r="S7078" s="47"/>
      <c r="T7078" s="6">
        <v>4443.1799999999994</v>
      </c>
      <c r="U7078" s="6"/>
      <c r="V7078" s="6">
        <v>0</v>
      </c>
      <c r="W7078" s="6">
        <f t="shared" si="1095"/>
        <v>4443.1799999999994</v>
      </c>
      <c r="X7078" s="6">
        <f t="shared" si="1096"/>
        <v>0</v>
      </c>
      <c r="Y7078" s="13">
        <f t="shared" si="1098"/>
        <v>0</v>
      </c>
      <c r="Z7078" s="14">
        <v>0</v>
      </c>
      <c r="AA7078" s="6">
        <v>0</v>
      </c>
      <c r="AB7078" s="4">
        <f t="shared" si="1099"/>
        <v>0</v>
      </c>
      <c r="AC7078" s="6">
        <f t="shared" si="1097"/>
        <v>0</v>
      </c>
      <c r="AD7078" s="6">
        <f t="shared" si="1101"/>
        <v>0</v>
      </c>
      <c r="AE7078" s="14">
        <f>VLOOKUP(I7078,[2]媒体政策预估表!A:N,MATCH(O7078,[2]媒体政策预估表!$A$2:$M$2,0),0)</f>
        <v>0.1293</v>
      </c>
      <c r="AF7078" s="6">
        <f t="shared" si="1103"/>
        <v>0</v>
      </c>
      <c r="AG7078" s="14">
        <v>0</v>
      </c>
      <c r="AH7078" s="64">
        <f t="shared" si="1102"/>
        <v>0</v>
      </c>
      <c r="AJ7078" s="126" t="e">
        <v>#N/A</v>
      </c>
      <c r="AK7078" s="80">
        <f t="shared" si="1100"/>
        <v>0</v>
      </c>
      <c r="AL7078" s="85"/>
      <c r="AM7078" s="85"/>
    </row>
    <row r="7079" spans="1:39" s="86" customFormat="1" ht="13.25" hidden="1" customHeight="1" x14ac:dyDescent="0.3">
      <c r="A7079" s="89" t="s">
        <v>3978</v>
      </c>
      <c r="B7079" s="86" t="s">
        <v>701</v>
      </c>
      <c r="C7079" s="86" t="s">
        <v>65</v>
      </c>
      <c r="D7079" s="86" t="s">
        <v>66</v>
      </c>
      <c r="E7079" s="86" t="s">
        <v>2756</v>
      </c>
      <c r="F7079" s="86" t="s">
        <v>2756</v>
      </c>
      <c r="G7079" s="86" t="s">
        <v>2756</v>
      </c>
      <c r="H7079" s="143">
        <v>83</v>
      </c>
      <c r="I7079" s="86" t="s">
        <v>78</v>
      </c>
      <c r="J7079" s="1" t="s">
        <v>3303</v>
      </c>
      <c r="K7079" s="1" t="s">
        <v>3763</v>
      </c>
      <c r="L7079" s="1" t="s">
        <v>701</v>
      </c>
      <c r="M7079" s="86" t="s">
        <v>2919</v>
      </c>
      <c r="O7079" s="47" t="s">
        <v>410</v>
      </c>
      <c r="P7079" s="14" t="s">
        <v>46</v>
      </c>
      <c r="Q7079" s="14">
        <v>0.02</v>
      </c>
      <c r="R7079" s="143">
        <v>7176</v>
      </c>
      <c r="S7079" s="47"/>
      <c r="T7079" s="6">
        <v>29390.959999999999</v>
      </c>
      <c r="U7079" s="6"/>
      <c r="V7079" s="6">
        <v>0</v>
      </c>
      <c r="W7079" s="6">
        <f t="shared" si="1095"/>
        <v>29390.959999999999</v>
      </c>
      <c r="X7079" s="6">
        <f t="shared" si="1096"/>
        <v>0</v>
      </c>
      <c r="Y7079" s="13">
        <f t="shared" si="1098"/>
        <v>0</v>
      </c>
      <c r="Z7079" s="14">
        <v>0</v>
      </c>
      <c r="AA7079" s="6">
        <v>0</v>
      </c>
      <c r="AB7079" s="4">
        <f t="shared" si="1099"/>
        <v>0</v>
      </c>
      <c r="AC7079" s="6">
        <f t="shared" si="1097"/>
        <v>0</v>
      </c>
      <c r="AD7079" s="6">
        <f t="shared" si="1101"/>
        <v>0</v>
      </c>
      <c r="AE7079" s="14">
        <f>VLOOKUP(I7079,[2]媒体政策预估表!A:N,MATCH(O7079,[2]媒体政策预估表!$A$2:$M$2,0),0)</f>
        <v>0.1293</v>
      </c>
      <c r="AF7079" s="6">
        <f t="shared" si="1103"/>
        <v>0</v>
      </c>
      <c r="AG7079" s="14">
        <v>0</v>
      </c>
      <c r="AH7079" s="64">
        <f t="shared" si="1102"/>
        <v>0</v>
      </c>
      <c r="AJ7079" s="126" t="e">
        <v>#N/A</v>
      </c>
      <c r="AK7079" s="80">
        <f t="shared" si="1100"/>
        <v>0</v>
      </c>
      <c r="AL7079" s="85"/>
      <c r="AM7079" s="85"/>
    </row>
    <row r="7080" spans="1:39" s="86" customFormat="1" ht="13.25" hidden="1" customHeight="1" x14ac:dyDescent="0.3">
      <c r="A7080" s="89" t="s">
        <v>3978</v>
      </c>
      <c r="B7080" s="86" t="s">
        <v>701</v>
      </c>
      <c r="C7080" s="86" t="s">
        <v>47</v>
      </c>
      <c r="D7080" s="86" t="s">
        <v>48</v>
      </c>
      <c r="E7080" s="86" t="s">
        <v>2920</v>
      </c>
      <c r="F7080" s="86" t="s">
        <v>2920</v>
      </c>
      <c r="G7080" s="86" t="s">
        <v>2920</v>
      </c>
      <c r="H7080" s="143">
        <v>83</v>
      </c>
      <c r="I7080" s="86" t="s">
        <v>78</v>
      </c>
      <c r="J7080" s="1" t="s">
        <v>3303</v>
      </c>
      <c r="K7080" s="1" t="s">
        <v>3763</v>
      </c>
      <c r="L7080" s="1" t="s">
        <v>701</v>
      </c>
      <c r="M7080" s="86" t="s">
        <v>2921</v>
      </c>
      <c r="O7080" s="47" t="s">
        <v>410</v>
      </c>
      <c r="P7080" s="14" t="s">
        <v>46</v>
      </c>
      <c r="Q7080" s="14">
        <v>0.03</v>
      </c>
      <c r="R7080" s="143">
        <v>7290</v>
      </c>
      <c r="S7080" s="47"/>
      <c r="T7080" s="6">
        <v>2349.0300000000002</v>
      </c>
      <c r="U7080" s="6"/>
      <c r="V7080" s="6">
        <v>0</v>
      </c>
      <c r="W7080" s="6">
        <f t="shared" si="1095"/>
        <v>2349.0300000000002</v>
      </c>
      <c r="X7080" s="6">
        <f t="shared" si="1096"/>
        <v>0</v>
      </c>
      <c r="Y7080" s="13">
        <f t="shared" si="1098"/>
        <v>0</v>
      </c>
      <c r="Z7080" s="14">
        <v>0</v>
      </c>
      <c r="AA7080" s="6">
        <v>0</v>
      </c>
      <c r="AB7080" s="4">
        <f t="shared" si="1099"/>
        <v>0</v>
      </c>
      <c r="AC7080" s="6">
        <f t="shared" si="1097"/>
        <v>0</v>
      </c>
      <c r="AD7080" s="6">
        <f t="shared" si="1101"/>
        <v>0</v>
      </c>
      <c r="AE7080" s="14">
        <f>VLOOKUP(I7080,[2]媒体政策预估表!A:N,MATCH(O7080,[2]媒体政策预估表!$A$2:$M$2,0),0)</f>
        <v>0.1293</v>
      </c>
      <c r="AF7080" s="6">
        <f t="shared" si="1103"/>
        <v>0</v>
      </c>
      <c r="AG7080" s="14">
        <v>0</v>
      </c>
      <c r="AH7080" s="64">
        <f t="shared" si="1102"/>
        <v>0</v>
      </c>
      <c r="AJ7080" s="126" t="e">
        <v>#N/A</v>
      </c>
      <c r="AK7080" s="80">
        <f t="shared" si="1100"/>
        <v>0</v>
      </c>
      <c r="AL7080" s="85"/>
      <c r="AM7080" s="85"/>
    </row>
    <row r="7081" spans="1:39" s="86" customFormat="1" ht="13.25" hidden="1" customHeight="1" x14ac:dyDescent="0.3">
      <c r="A7081" s="89" t="s">
        <v>3978</v>
      </c>
      <c r="B7081" s="86" t="s">
        <v>701</v>
      </c>
      <c r="C7081" s="86" t="s">
        <v>144</v>
      </c>
      <c r="D7081" s="86" t="s">
        <v>152</v>
      </c>
      <c r="E7081" s="86" t="s">
        <v>2922</v>
      </c>
      <c r="F7081" s="86" t="s">
        <v>2922</v>
      </c>
      <c r="G7081" s="86" t="s">
        <v>2922</v>
      </c>
      <c r="H7081" s="143">
        <v>83</v>
      </c>
      <c r="I7081" s="86" t="s">
        <v>78</v>
      </c>
      <c r="J7081" s="1" t="s">
        <v>3303</v>
      </c>
      <c r="K7081" s="1" t="s">
        <v>3763</v>
      </c>
      <c r="L7081" s="1" t="s">
        <v>701</v>
      </c>
      <c r="M7081" s="86" t="s">
        <v>2922</v>
      </c>
      <c r="O7081" s="47" t="s">
        <v>410</v>
      </c>
      <c r="P7081" s="14" t="s">
        <v>46</v>
      </c>
      <c r="Q7081" s="14">
        <v>0.08</v>
      </c>
      <c r="R7081" s="143">
        <v>7179</v>
      </c>
      <c r="S7081" s="47"/>
      <c r="T7081" s="6">
        <v>5882.26</v>
      </c>
      <c r="U7081" s="6"/>
      <c r="V7081" s="6">
        <v>0</v>
      </c>
      <c r="W7081" s="6">
        <f t="shared" si="1095"/>
        <v>5882.26</v>
      </c>
      <c r="X7081" s="6">
        <f t="shared" si="1096"/>
        <v>0</v>
      </c>
      <c r="Y7081" s="13">
        <f t="shared" si="1098"/>
        <v>0</v>
      </c>
      <c r="Z7081" s="14">
        <v>0</v>
      </c>
      <c r="AA7081" s="6">
        <v>0</v>
      </c>
      <c r="AB7081" s="4">
        <f t="shared" si="1099"/>
        <v>0</v>
      </c>
      <c r="AC7081" s="6">
        <f t="shared" si="1097"/>
        <v>0</v>
      </c>
      <c r="AD7081" s="6">
        <f t="shared" si="1101"/>
        <v>0</v>
      </c>
      <c r="AE7081" s="14">
        <f>VLOOKUP(I7081,[2]媒体政策预估表!A:N,MATCH(O7081,[2]媒体政策预估表!$A$2:$M$2,0),0)</f>
        <v>0.1293</v>
      </c>
      <c r="AF7081" s="6">
        <f t="shared" si="1103"/>
        <v>0</v>
      </c>
      <c r="AG7081" s="14">
        <v>0</v>
      </c>
      <c r="AH7081" s="64">
        <f t="shared" si="1102"/>
        <v>0</v>
      </c>
      <c r="AJ7081" s="126" t="e">
        <v>#N/A</v>
      </c>
      <c r="AK7081" s="80">
        <f t="shared" si="1100"/>
        <v>0</v>
      </c>
      <c r="AL7081" s="85"/>
      <c r="AM7081" s="85"/>
    </row>
    <row r="7082" spans="1:39" s="86" customFormat="1" ht="13.25" hidden="1" customHeight="1" x14ac:dyDescent="0.3">
      <c r="A7082" s="89" t="s">
        <v>3978</v>
      </c>
      <c r="B7082" s="86" t="s">
        <v>701</v>
      </c>
      <c r="C7082" s="86" t="s">
        <v>164</v>
      </c>
      <c r="D7082" s="86" t="s">
        <v>174</v>
      </c>
      <c r="E7082" s="86" t="s">
        <v>1174</v>
      </c>
      <c r="F7082" s="86" t="s">
        <v>1174</v>
      </c>
      <c r="G7082" s="86" t="s">
        <v>1174</v>
      </c>
      <c r="H7082" s="143">
        <v>83</v>
      </c>
      <c r="I7082" s="86" t="s">
        <v>78</v>
      </c>
      <c r="J7082" s="1" t="s">
        <v>3303</v>
      </c>
      <c r="K7082" s="1" t="s">
        <v>3763</v>
      </c>
      <c r="L7082" s="1" t="s">
        <v>701</v>
      </c>
      <c r="M7082" s="86" t="s">
        <v>1174</v>
      </c>
      <c r="O7082" s="47" t="s">
        <v>410</v>
      </c>
      <c r="P7082" s="14" t="s">
        <v>46</v>
      </c>
      <c r="Q7082" s="14">
        <v>0.02</v>
      </c>
      <c r="R7082" s="143">
        <v>7377</v>
      </c>
      <c r="S7082" s="47"/>
      <c r="T7082" s="6">
        <v>2878.16</v>
      </c>
      <c r="U7082" s="6"/>
      <c r="V7082" s="6">
        <v>0</v>
      </c>
      <c r="W7082" s="6">
        <f t="shared" si="1095"/>
        <v>2878.16</v>
      </c>
      <c r="X7082" s="6">
        <f t="shared" si="1096"/>
        <v>0</v>
      </c>
      <c r="Y7082" s="13">
        <f t="shared" si="1098"/>
        <v>0</v>
      </c>
      <c r="Z7082" s="14">
        <v>0</v>
      </c>
      <c r="AA7082" s="6">
        <v>0</v>
      </c>
      <c r="AB7082" s="4">
        <f t="shared" si="1099"/>
        <v>0</v>
      </c>
      <c r="AC7082" s="6">
        <f t="shared" si="1097"/>
        <v>0</v>
      </c>
      <c r="AD7082" s="6">
        <f t="shared" si="1101"/>
        <v>0</v>
      </c>
      <c r="AE7082" s="14">
        <f>VLOOKUP(I7082,[2]媒体政策预估表!A:N,MATCH(O7082,[2]媒体政策预估表!$A$2:$M$2,0),0)</f>
        <v>0.1293</v>
      </c>
      <c r="AF7082" s="6">
        <f t="shared" si="1103"/>
        <v>0</v>
      </c>
      <c r="AG7082" s="14">
        <v>0</v>
      </c>
      <c r="AH7082" s="64">
        <f t="shared" si="1102"/>
        <v>0</v>
      </c>
      <c r="AJ7082" s="126" t="s">
        <v>4221</v>
      </c>
      <c r="AK7082" s="80">
        <f t="shared" si="1100"/>
        <v>0</v>
      </c>
      <c r="AL7082" s="150"/>
      <c r="AM7082" s="85"/>
    </row>
    <row r="7083" spans="1:39" s="86" customFormat="1" ht="13.25" hidden="1" customHeight="1" x14ac:dyDescent="0.3">
      <c r="A7083" s="89" t="s">
        <v>3978</v>
      </c>
      <c r="B7083" s="86" t="s">
        <v>701</v>
      </c>
      <c r="C7083" s="86" t="s">
        <v>184</v>
      </c>
      <c r="D7083" s="86" t="s">
        <v>224</v>
      </c>
      <c r="E7083" s="86" t="s">
        <v>2923</v>
      </c>
      <c r="F7083" s="86" t="s">
        <v>2923</v>
      </c>
      <c r="G7083" s="86" t="s">
        <v>2923</v>
      </c>
      <c r="H7083" s="143">
        <v>83</v>
      </c>
      <c r="I7083" s="86" t="s">
        <v>78</v>
      </c>
      <c r="J7083" s="1" t="s">
        <v>3303</v>
      </c>
      <c r="K7083" s="1" t="s">
        <v>3763</v>
      </c>
      <c r="L7083" s="1" t="s">
        <v>701</v>
      </c>
      <c r="M7083" s="86" t="s">
        <v>2923</v>
      </c>
      <c r="O7083" s="47" t="s">
        <v>410</v>
      </c>
      <c r="P7083" s="14" t="s">
        <v>41</v>
      </c>
      <c r="Q7083" s="14">
        <v>0</v>
      </c>
      <c r="R7083" s="143">
        <v>7196</v>
      </c>
      <c r="S7083" s="47"/>
      <c r="T7083" s="6">
        <v>1148.67</v>
      </c>
      <c r="U7083" s="6"/>
      <c r="V7083" s="6">
        <v>0</v>
      </c>
      <c r="W7083" s="6">
        <f t="shared" si="1095"/>
        <v>1148.67</v>
      </c>
      <c r="X7083" s="6">
        <f t="shared" si="1096"/>
        <v>0</v>
      </c>
      <c r="Y7083" s="13">
        <f t="shared" si="1098"/>
        <v>0</v>
      </c>
      <c r="Z7083" s="14">
        <v>0</v>
      </c>
      <c r="AA7083" s="6">
        <v>0</v>
      </c>
      <c r="AB7083" s="4">
        <f t="shared" si="1099"/>
        <v>0</v>
      </c>
      <c r="AC7083" s="6">
        <f t="shared" si="1097"/>
        <v>0</v>
      </c>
      <c r="AD7083" s="6">
        <f t="shared" si="1101"/>
        <v>0</v>
      </c>
      <c r="AE7083" s="14">
        <f>VLOOKUP(I7083,[2]媒体政策预估表!A:N,MATCH(O7083,[2]媒体政策预估表!$A$2:$M$2,0),0)</f>
        <v>0.1293</v>
      </c>
      <c r="AF7083" s="6">
        <f t="shared" si="1103"/>
        <v>0</v>
      </c>
      <c r="AG7083" s="14">
        <v>0</v>
      </c>
      <c r="AH7083" s="64">
        <f t="shared" si="1102"/>
        <v>0</v>
      </c>
      <c r="AJ7083" s="126" t="e">
        <v>#N/A</v>
      </c>
      <c r="AK7083" s="80">
        <f t="shared" si="1100"/>
        <v>0</v>
      </c>
      <c r="AL7083" s="85"/>
      <c r="AM7083" s="85"/>
    </row>
    <row r="7084" spans="1:39" s="86" customFormat="1" ht="13.25" hidden="1" customHeight="1" x14ac:dyDescent="0.3">
      <c r="A7084" s="89" t="s">
        <v>3978</v>
      </c>
      <c r="B7084" s="86" t="s">
        <v>701</v>
      </c>
      <c r="C7084" s="86" t="s">
        <v>184</v>
      </c>
      <c r="D7084" s="86" t="s">
        <v>54</v>
      </c>
      <c r="E7084" s="86" t="s">
        <v>2843</v>
      </c>
      <c r="F7084" s="86" t="s">
        <v>2843</v>
      </c>
      <c r="G7084" s="86" t="s">
        <v>2843</v>
      </c>
      <c r="H7084" s="143">
        <v>83</v>
      </c>
      <c r="I7084" s="86" t="s">
        <v>78</v>
      </c>
      <c r="J7084" s="1" t="s">
        <v>3303</v>
      </c>
      <c r="K7084" s="1" t="s">
        <v>3763</v>
      </c>
      <c r="L7084" s="1" t="s">
        <v>701</v>
      </c>
      <c r="M7084" s="86" t="s">
        <v>2925</v>
      </c>
      <c r="O7084" s="47" t="s">
        <v>410</v>
      </c>
      <c r="P7084" s="14" t="s">
        <v>41</v>
      </c>
      <c r="Q7084" s="14">
        <v>0</v>
      </c>
      <c r="R7084" s="143">
        <v>7338</v>
      </c>
      <c r="S7084" s="47"/>
      <c r="T7084" s="6">
        <v>1661.5</v>
      </c>
      <c r="U7084" s="6"/>
      <c r="V7084" s="6">
        <v>0</v>
      </c>
      <c r="W7084" s="6">
        <f t="shared" si="1095"/>
        <v>1661.5</v>
      </c>
      <c r="X7084" s="6">
        <f t="shared" si="1096"/>
        <v>0</v>
      </c>
      <c r="Y7084" s="13">
        <f t="shared" si="1098"/>
        <v>0</v>
      </c>
      <c r="Z7084" s="14">
        <v>0</v>
      </c>
      <c r="AA7084" s="6">
        <v>0</v>
      </c>
      <c r="AB7084" s="4">
        <f t="shared" si="1099"/>
        <v>0</v>
      </c>
      <c r="AC7084" s="6">
        <f t="shared" si="1097"/>
        <v>0</v>
      </c>
      <c r="AD7084" s="6">
        <f t="shared" si="1101"/>
        <v>0</v>
      </c>
      <c r="AE7084" s="14">
        <f>VLOOKUP(I7084,[2]媒体政策预估表!A:N,MATCH(O7084,[2]媒体政策预估表!$A$2:$M$2,0),0)</f>
        <v>0.1293</v>
      </c>
      <c r="AF7084" s="6">
        <f t="shared" si="1103"/>
        <v>0</v>
      </c>
      <c r="AG7084" s="14">
        <v>0</v>
      </c>
      <c r="AH7084" s="64">
        <f t="shared" si="1102"/>
        <v>0</v>
      </c>
      <c r="AJ7084" s="126" t="e">
        <v>#N/A</v>
      </c>
      <c r="AK7084" s="80">
        <f t="shared" si="1100"/>
        <v>0</v>
      </c>
      <c r="AL7084" s="85"/>
      <c r="AM7084" s="85"/>
    </row>
    <row r="7085" spans="1:39" s="86" customFormat="1" ht="13.25" hidden="1" customHeight="1" x14ac:dyDescent="0.3">
      <c r="A7085" s="89" t="s">
        <v>3978</v>
      </c>
      <c r="B7085" s="86" t="s">
        <v>701</v>
      </c>
      <c r="C7085" s="86" t="s">
        <v>184</v>
      </c>
      <c r="D7085" s="86" t="s">
        <v>54</v>
      </c>
      <c r="E7085" s="86" t="s">
        <v>2926</v>
      </c>
      <c r="F7085" s="86" t="s">
        <v>2927</v>
      </c>
      <c r="G7085" s="86" t="s">
        <v>2926</v>
      </c>
      <c r="H7085" s="143">
        <v>83</v>
      </c>
      <c r="I7085" s="86" t="s">
        <v>78</v>
      </c>
      <c r="J7085" s="1" t="s">
        <v>3303</v>
      </c>
      <c r="K7085" s="1" t="s">
        <v>3763</v>
      </c>
      <c r="L7085" s="1" t="s">
        <v>701</v>
      </c>
      <c r="M7085" s="86" t="s">
        <v>2928</v>
      </c>
      <c r="O7085" s="47" t="s">
        <v>410</v>
      </c>
      <c r="P7085" s="14" t="s">
        <v>46</v>
      </c>
      <c r="Q7085" s="14">
        <v>0.08</v>
      </c>
      <c r="R7085" s="143">
        <v>7153</v>
      </c>
      <c r="S7085" s="47"/>
      <c r="T7085" s="6">
        <v>9588.6499999999978</v>
      </c>
      <c r="U7085" s="6"/>
      <c r="V7085" s="6">
        <v>0</v>
      </c>
      <c r="W7085" s="6">
        <f t="shared" si="1095"/>
        <v>9588.6499999999978</v>
      </c>
      <c r="X7085" s="6">
        <f t="shared" si="1096"/>
        <v>0</v>
      </c>
      <c r="Y7085" s="13">
        <f t="shared" si="1098"/>
        <v>0</v>
      </c>
      <c r="Z7085" s="14">
        <v>0</v>
      </c>
      <c r="AA7085" s="6">
        <v>0</v>
      </c>
      <c r="AB7085" s="4">
        <f t="shared" si="1099"/>
        <v>0</v>
      </c>
      <c r="AC7085" s="6">
        <f t="shared" si="1097"/>
        <v>0</v>
      </c>
      <c r="AD7085" s="6">
        <f t="shared" si="1101"/>
        <v>0</v>
      </c>
      <c r="AE7085" s="14">
        <f>VLOOKUP(I7085,[2]媒体政策预估表!A:N,MATCH(O7085,[2]媒体政策预估表!$A$2:$M$2,0),0)</f>
        <v>0.1293</v>
      </c>
      <c r="AF7085" s="6">
        <f t="shared" si="1103"/>
        <v>0</v>
      </c>
      <c r="AG7085" s="14">
        <v>0</v>
      </c>
      <c r="AH7085" s="64">
        <f t="shared" si="1102"/>
        <v>0</v>
      </c>
      <c r="AJ7085" s="126" t="e">
        <v>#N/A</v>
      </c>
      <c r="AK7085" s="80">
        <f t="shared" si="1100"/>
        <v>0</v>
      </c>
      <c r="AL7085" s="85"/>
      <c r="AM7085" s="85"/>
    </row>
    <row r="7086" spans="1:39" s="86" customFormat="1" ht="13.25" hidden="1" customHeight="1" x14ac:dyDescent="0.3">
      <c r="A7086" s="89" t="s">
        <v>3978</v>
      </c>
      <c r="B7086" s="86" t="s">
        <v>35</v>
      </c>
      <c r="C7086" s="86" t="s">
        <v>36</v>
      </c>
      <c r="D7086" s="86" t="s">
        <v>298</v>
      </c>
      <c r="E7086" s="86" t="s">
        <v>2127</v>
      </c>
      <c r="F7086" s="86" t="s">
        <v>2929</v>
      </c>
      <c r="G7086" s="86" t="s">
        <v>2127</v>
      </c>
      <c r="H7086" s="143">
        <v>83</v>
      </c>
      <c r="I7086" s="86" t="s">
        <v>78</v>
      </c>
      <c r="J7086" s="1" t="s">
        <v>3303</v>
      </c>
      <c r="K7086" s="1" t="s">
        <v>3763</v>
      </c>
      <c r="L7086" s="1" t="s">
        <v>701</v>
      </c>
      <c r="M7086" s="86" t="s">
        <v>2127</v>
      </c>
      <c r="O7086" s="47" t="s">
        <v>410</v>
      </c>
      <c r="P7086" s="14" t="s">
        <v>46</v>
      </c>
      <c r="Q7086" s="14">
        <v>0.05</v>
      </c>
      <c r="R7086" s="143">
        <v>7322</v>
      </c>
      <c r="S7086" s="47"/>
      <c r="T7086" s="6">
        <v>13407.61</v>
      </c>
      <c r="U7086" s="6"/>
      <c r="V7086" s="6">
        <v>0</v>
      </c>
      <c r="W7086" s="6">
        <f t="shared" si="1095"/>
        <v>13407.61</v>
      </c>
      <c r="X7086" s="6">
        <f t="shared" si="1096"/>
        <v>0</v>
      </c>
      <c r="Y7086" s="13">
        <f t="shared" si="1098"/>
        <v>0</v>
      </c>
      <c r="Z7086" s="14">
        <v>0</v>
      </c>
      <c r="AA7086" s="6">
        <v>0</v>
      </c>
      <c r="AB7086" s="4">
        <f t="shared" si="1099"/>
        <v>0</v>
      </c>
      <c r="AC7086" s="6">
        <f t="shared" si="1097"/>
        <v>0</v>
      </c>
      <c r="AD7086" s="6">
        <f t="shared" si="1101"/>
        <v>0</v>
      </c>
      <c r="AE7086" s="14">
        <f>VLOOKUP(I7086,[2]媒体政策预估表!A:N,MATCH(O7086,[2]媒体政策预估表!$A$2:$M$2,0),0)</f>
        <v>0.1293</v>
      </c>
      <c r="AF7086" s="6">
        <f t="shared" si="1103"/>
        <v>0</v>
      </c>
      <c r="AG7086" s="14">
        <v>0</v>
      </c>
      <c r="AH7086" s="64">
        <f t="shared" si="1102"/>
        <v>0</v>
      </c>
      <c r="AJ7086" s="126" t="e">
        <v>#N/A</v>
      </c>
      <c r="AK7086" s="80">
        <f t="shared" si="1100"/>
        <v>0</v>
      </c>
      <c r="AL7086" s="85"/>
      <c r="AM7086" s="85"/>
    </row>
    <row r="7087" spans="1:39" s="86" customFormat="1" ht="13.25" hidden="1" customHeight="1" x14ac:dyDescent="0.3">
      <c r="A7087" s="89" t="s">
        <v>3978</v>
      </c>
      <c r="B7087" s="86" t="s">
        <v>701</v>
      </c>
      <c r="C7087" s="86" t="s">
        <v>65</v>
      </c>
      <c r="D7087" s="86" t="s">
        <v>66</v>
      </c>
      <c r="E7087" s="86" t="s">
        <v>2385</v>
      </c>
      <c r="F7087" s="86" t="s">
        <v>2385</v>
      </c>
      <c r="G7087" s="86" t="s">
        <v>2385</v>
      </c>
      <c r="H7087" s="143">
        <v>83</v>
      </c>
      <c r="I7087" s="86" t="s">
        <v>78</v>
      </c>
      <c r="J7087" s="1" t="s">
        <v>3303</v>
      </c>
      <c r="K7087" s="1" t="s">
        <v>3763</v>
      </c>
      <c r="L7087" s="1" t="s">
        <v>701</v>
      </c>
      <c r="M7087" s="86" t="s">
        <v>2385</v>
      </c>
      <c r="O7087" s="47" t="s">
        <v>941</v>
      </c>
      <c r="P7087" s="14" t="s">
        <v>41</v>
      </c>
      <c r="Q7087" s="14">
        <v>0</v>
      </c>
      <c r="R7087" s="143">
        <v>7092</v>
      </c>
      <c r="S7087" s="47"/>
      <c r="T7087" s="6">
        <v>-2337</v>
      </c>
      <c r="U7087" s="6"/>
      <c r="V7087" s="6">
        <v>0</v>
      </c>
      <c r="W7087" s="6">
        <f t="shared" si="1095"/>
        <v>-2337</v>
      </c>
      <c r="X7087" s="6">
        <f t="shared" si="1096"/>
        <v>0</v>
      </c>
      <c r="Y7087" s="13">
        <f t="shared" si="1098"/>
        <v>0</v>
      </c>
      <c r="Z7087" s="14">
        <v>0</v>
      </c>
      <c r="AA7087" s="6">
        <v>0</v>
      </c>
      <c r="AB7087" s="4">
        <f t="shared" si="1099"/>
        <v>0</v>
      </c>
      <c r="AC7087" s="6">
        <f t="shared" si="1097"/>
        <v>0</v>
      </c>
      <c r="AD7087" s="6">
        <f t="shared" si="1101"/>
        <v>0</v>
      </c>
      <c r="AE7087" s="14">
        <f>VLOOKUP(I7087,[2]媒体政策预估表!A:N,MATCH(O7087,[2]媒体政策预估表!$A$2:$M$2,0),0)</f>
        <v>0</v>
      </c>
      <c r="AF7087" s="6">
        <f t="shared" si="1103"/>
        <v>0</v>
      </c>
      <c r="AG7087" s="14">
        <v>0</v>
      </c>
      <c r="AH7087" s="64">
        <f t="shared" si="1102"/>
        <v>0</v>
      </c>
      <c r="AJ7087" s="126" t="e">
        <v>#N/A</v>
      </c>
      <c r="AK7087" s="80">
        <f t="shared" si="1100"/>
        <v>0</v>
      </c>
      <c r="AL7087" s="85"/>
      <c r="AM7087" s="85"/>
    </row>
    <row r="7088" spans="1:39" s="86" customFormat="1" ht="13.25" hidden="1" customHeight="1" x14ac:dyDescent="0.3">
      <c r="A7088" s="89" t="s">
        <v>3978</v>
      </c>
      <c r="B7088" s="86" t="s">
        <v>701</v>
      </c>
      <c r="C7088" s="86" t="s">
        <v>144</v>
      </c>
      <c r="D7088" s="86" t="s">
        <v>161</v>
      </c>
      <c r="E7088" s="86" t="s">
        <v>1903</v>
      </c>
      <c r="F7088" s="86" t="s">
        <v>1903</v>
      </c>
      <c r="G7088" s="86" t="s">
        <v>1903</v>
      </c>
      <c r="H7088" s="143">
        <v>83</v>
      </c>
      <c r="I7088" s="86" t="s">
        <v>78</v>
      </c>
      <c r="J7088" s="1" t="s">
        <v>3303</v>
      </c>
      <c r="K7088" s="1" t="s">
        <v>3763</v>
      </c>
      <c r="L7088" s="1" t="s">
        <v>701</v>
      </c>
      <c r="M7088" s="86" t="s">
        <v>2148</v>
      </c>
      <c r="O7088" s="47" t="s">
        <v>941</v>
      </c>
      <c r="P7088" s="14" t="s">
        <v>46</v>
      </c>
      <c r="Q7088" s="14">
        <v>0.02</v>
      </c>
      <c r="R7088" s="143">
        <v>7096</v>
      </c>
      <c r="S7088" s="47"/>
      <c r="T7088" s="6">
        <v>-1309</v>
      </c>
      <c r="U7088" s="6"/>
      <c r="V7088" s="6">
        <v>0</v>
      </c>
      <c r="W7088" s="6">
        <f t="shared" ref="W7088:W7127" si="1104">T7088+U7088-V7088</f>
        <v>-1309</v>
      </c>
      <c r="X7088" s="6">
        <f t="shared" ref="X7088:X7151" si="1105">IF(P7088="折扣",V7088*Q7088,IF(P7088="返现",V7088,V7088/(1+Q7088)))</f>
        <v>0</v>
      </c>
      <c r="Y7088" s="13">
        <f t="shared" si="1098"/>
        <v>0</v>
      </c>
      <c r="Z7088" s="14">
        <v>0</v>
      </c>
      <c r="AA7088" s="6">
        <v>0</v>
      </c>
      <c r="AB7088" s="4">
        <f t="shared" si="1099"/>
        <v>0</v>
      </c>
      <c r="AC7088" s="6">
        <f t="shared" si="1097"/>
        <v>0</v>
      </c>
      <c r="AD7088" s="6">
        <f t="shared" si="1101"/>
        <v>0</v>
      </c>
      <c r="AE7088" s="14">
        <f>VLOOKUP(I7088,[2]媒体政策预估表!A:N,MATCH(O7088,[2]媒体政策预估表!$A$2:$M$2,0),0)</f>
        <v>0</v>
      </c>
      <c r="AF7088" s="6">
        <f t="shared" si="1103"/>
        <v>0</v>
      </c>
      <c r="AG7088" s="14">
        <v>0</v>
      </c>
      <c r="AH7088" s="64">
        <f t="shared" si="1102"/>
        <v>0</v>
      </c>
      <c r="AJ7088" s="126" t="e">
        <v>#N/A</v>
      </c>
      <c r="AK7088" s="80">
        <f t="shared" si="1100"/>
        <v>0</v>
      </c>
      <c r="AL7088" s="85"/>
      <c r="AM7088" s="85"/>
    </row>
    <row r="7089" spans="1:39" s="86" customFormat="1" ht="13.25" hidden="1" customHeight="1" x14ac:dyDescent="0.3">
      <c r="A7089" s="89" t="s">
        <v>3978</v>
      </c>
      <c r="B7089" s="86" t="s">
        <v>701</v>
      </c>
      <c r="C7089" s="86" t="s">
        <v>65</v>
      </c>
      <c r="D7089" s="86" t="s">
        <v>66</v>
      </c>
      <c r="E7089" s="86" t="s">
        <v>494</v>
      </c>
      <c r="F7089" s="86" t="s">
        <v>494</v>
      </c>
      <c r="G7089" s="86" t="s">
        <v>494</v>
      </c>
      <c r="H7089" s="144">
        <v>83</v>
      </c>
      <c r="I7089" s="86" t="s">
        <v>78</v>
      </c>
      <c r="J7089" s="1" t="s">
        <v>3303</v>
      </c>
      <c r="K7089" s="1" t="s">
        <v>3763</v>
      </c>
      <c r="L7089" s="1" t="s">
        <v>701</v>
      </c>
      <c r="M7089" s="86" t="s">
        <v>495</v>
      </c>
      <c r="O7089" s="47" t="s">
        <v>941</v>
      </c>
      <c r="P7089" s="14" t="s">
        <v>41</v>
      </c>
      <c r="Q7089" s="14">
        <v>0</v>
      </c>
      <c r="R7089" s="143">
        <v>7097</v>
      </c>
      <c r="S7089" s="47"/>
      <c r="T7089" s="6">
        <v>-6200</v>
      </c>
      <c r="U7089" s="6"/>
      <c r="V7089" s="6">
        <v>13100</v>
      </c>
      <c r="W7089" s="6">
        <f t="shared" si="1104"/>
        <v>-19300</v>
      </c>
      <c r="X7089" s="6">
        <f t="shared" si="1105"/>
        <v>13100</v>
      </c>
      <c r="Y7089" s="13">
        <f t="shared" si="1098"/>
        <v>0</v>
      </c>
      <c r="Z7089" s="14">
        <v>0</v>
      </c>
      <c r="AA7089" s="6">
        <v>0</v>
      </c>
      <c r="AB7089" s="4">
        <f t="shared" si="1099"/>
        <v>13100</v>
      </c>
      <c r="AC7089" s="6">
        <f t="shared" si="1097"/>
        <v>0</v>
      </c>
      <c r="AD7089" s="6">
        <f t="shared" si="1101"/>
        <v>13100</v>
      </c>
      <c r="AE7089" s="14">
        <f>VLOOKUP(I7089,[2]媒体政策预估表!A:N,MATCH(O7089,[2]媒体政策预估表!$A$2:$M$2,0),0)</f>
        <v>0</v>
      </c>
      <c r="AF7089" s="6">
        <f t="shared" si="1103"/>
        <v>0</v>
      </c>
      <c r="AG7089" s="14">
        <v>0</v>
      </c>
      <c r="AH7089" s="64">
        <f t="shared" si="1102"/>
        <v>13100</v>
      </c>
      <c r="AJ7089" s="126" t="e">
        <v>#N/A</v>
      </c>
      <c r="AK7089" s="80">
        <f t="shared" si="1100"/>
        <v>0</v>
      </c>
      <c r="AL7089" s="85"/>
      <c r="AM7089" s="85"/>
    </row>
    <row r="7090" spans="1:39" s="86" customFormat="1" ht="13.25" hidden="1" customHeight="1" x14ac:dyDescent="0.3">
      <c r="A7090" s="89" t="s">
        <v>3978</v>
      </c>
      <c r="B7090" s="86" t="s">
        <v>701</v>
      </c>
      <c r="C7090" s="86" t="s">
        <v>144</v>
      </c>
      <c r="D7090" s="86" t="s">
        <v>145</v>
      </c>
      <c r="E7090" s="86" t="s">
        <v>2787</v>
      </c>
      <c r="F7090" s="86" t="s">
        <v>2787</v>
      </c>
      <c r="G7090" s="86" t="s">
        <v>2787</v>
      </c>
      <c r="H7090" s="144">
        <v>83</v>
      </c>
      <c r="I7090" s="86" t="s">
        <v>78</v>
      </c>
      <c r="J7090" s="1" t="s">
        <v>3303</v>
      </c>
      <c r="K7090" s="1" t="s">
        <v>3763</v>
      </c>
      <c r="L7090" s="1" t="s">
        <v>701</v>
      </c>
      <c r="M7090" s="86" t="s">
        <v>2788</v>
      </c>
      <c r="O7090" s="47" t="s">
        <v>941</v>
      </c>
      <c r="P7090" s="14" t="s">
        <v>41</v>
      </c>
      <c r="Q7090" s="14">
        <v>0</v>
      </c>
      <c r="R7090" s="143">
        <v>7102</v>
      </c>
      <c r="S7090" s="47"/>
      <c r="T7090" s="6">
        <v>-18543.88</v>
      </c>
      <c r="U7090" s="6"/>
      <c r="V7090" s="6">
        <v>21601.17</v>
      </c>
      <c r="W7090" s="6">
        <f t="shared" si="1104"/>
        <v>-40145.050000000003</v>
      </c>
      <c r="X7090" s="6">
        <f t="shared" si="1105"/>
        <v>21601.17</v>
      </c>
      <c r="Y7090" s="13">
        <f t="shared" si="1098"/>
        <v>0</v>
      </c>
      <c r="Z7090" s="14">
        <v>0</v>
      </c>
      <c r="AA7090" s="6">
        <v>0</v>
      </c>
      <c r="AB7090" s="4">
        <f t="shared" si="1099"/>
        <v>21601.17</v>
      </c>
      <c r="AC7090" s="6">
        <f t="shared" si="1097"/>
        <v>0</v>
      </c>
      <c r="AD7090" s="6">
        <f t="shared" si="1101"/>
        <v>21601.17</v>
      </c>
      <c r="AE7090" s="14">
        <f>VLOOKUP(I7090,[2]媒体政策预估表!A:N,MATCH(O7090,[2]媒体政策预估表!$A$2:$M$2,0),0)</f>
        <v>0</v>
      </c>
      <c r="AF7090" s="6">
        <f t="shared" si="1103"/>
        <v>0</v>
      </c>
      <c r="AG7090" s="14">
        <v>0</v>
      </c>
      <c r="AH7090" s="64">
        <f t="shared" si="1102"/>
        <v>21601.17</v>
      </c>
      <c r="AJ7090" s="126" t="e">
        <v>#N/A</v>
      </c>
      <c r="AK7090" s="80">
        <f t="shared" si="1100"/>
        <v>0</v>
      </c>
      <c r="AL7090" s="85"/>
      <c r="AM7090" s="85"/>
    </row>
    <row r="7091" spans="1:39" s="86" customFormat="1" ht="13.25" hidden="1" customHeight="1" x14ac:dyDescent="0.3">
      <c r="A7091" s="89" t="s">
        <v>3978</v>
      </c>
      <c r="B7091" s="86" t="s">
        <v>701</v>
      </c>
      <c r="C7091" s="86" t="s">
        <v>144</v>
      </c>
      <c r="D7091" s="86" t="s">
        <v>145</v>
      </c>
      <c r="E7091" s="86" t="s">
        <v>150</v>
      </c>
      <c r="F7091" s="86" t="s">
        <v>151</v>
      </c>
      <c r="G7091" s="86" t="s">
        <v>150</v>
      </c>
      <c r="H7091" s="144">
        <v>83</v>
      </c>
      <c r="I7091" s="86" t="s">
        <v>78</v>
      </c>
      <c r="J7091" s="1" t="s">
        <v>3303</v>
      </c>
      <c r="K7091" s="1" t="s">
        <v>3763</v>
      </c>
      <c r="L7091" s="1" t="s">
        <v>701</v>
      </c>
      <c r="M7091" s="86" t="s">
        <v>2794</v>
      </c>
      <c r="O7091" s="47" t="s">
        <v>941</v>
      </c>
      <c r="P7091" s="14" t="s">
        <v>41</v>
      </c>
      <c r="Q7091" s="14">
        <v>0</v>
      </c>
      <c r="R7091" s="143">
        <v>7105</v>
      </c>
      <c r="S7091" s="47"/>
      <c r="T7091" s="6">
        <v>-53469.8</v>
      </c>
      <c r="U7091" s="6"/>
      <c r="V7091" s="6">
        <v>32115.040000000001</v>
      </c>
      <c r="W7091" s="6">
        <f t="shared" si="1104"/>
        <v>-85584.84</v>
      </c>
      <c r="X7091" s="6">
        <f t="shared" si="1105"/>
        <v>32115.040000000001</v>
      </c>
      <c r="Y7091" s="13">
        <f t="shared" si="1098"/>
        <v>0</v>
      </c>
      <c r="Z7091" s="14">
        <v>0</v>
      </c>
      <c r="AA7091" s="6">
        <v>0</v>
      </c>
      <c r="AB7091" s="4">
        <f t="shared" si="1099"/>
        <v>32115.040000000001</v>
      </c>
      <c r="AC7091" s="6">
        <f t="shared" si="1097"/>
        <v>0</v>
      </c>
      <c r="AD7091" s="6">
        <f t="shared" si="1101"/>
        <v>32115.040000000001</v>
      </c>
      <c r="AE7091" s="14">
        <f>VLOOKUP(I7091,[2]媒体政策预估表!A:N,MATCH(O7091,[2]媒体政策预估表!$A$2:$M$2,0),0)</f>
        <v>0</v>
      </c>
      <c r="AF7091" s="6">
        <f t="shared" si="1103"/>
        <v>0</v>
      </c>
      <c r="AG7091" s="14">
        <v>0</v>
      </c>
      <c r="AH7091" s="64">
        <f t="shared" si="1102"/>
        <v>32115.040000000001</v>
      </c>
      <c r="AJ7091" s="126" t="e">
        <v>#N/A</v>
      </c>
      <c r="AK7091" s="80">
        <f t="shared" si="1100"/>
        <v>0</v>
      </c>
      <c r="AL7091" s="85"/>
      <c r="AM7091" s="85"/>
    </row>
    <row r="7092" spans="1:39" s="86" customFormat="1" ht="13.25" hidden="1" customHeight="1" x14ac:dyDescent="0.3">
      <c r="A7092" s="89" t="s">
        <v>3978</v>
      </c>
      <c r="B7092" s="86" t="s">
        <v>35</v>
      </c>
      <c r="C7092" s="86" t="s">
        <v>65</v>
      </c>
      <c r="D7092" s="86" t="s">
        <v>66</v>
      </c>
      <c r="E7092" s="86" t="s">
        <v>2354</v>
      </c>
      <c r="F7092" s="86" t="s">
        <v>2700</v>
      </c>
      <c r="G7092" s="86" t="s">
        <v>1845</v>
      </c>
      <c r="H7092" s="144">
        <v>83</v>
      </c>
      <c r="I7092" s="86" t="s">
        <v>78</v>
      </c>
      <c r="J7092" s="1" t="s">
        <v>3303</v>
      </c>
      <c r="K7092" s="1" t="s">
        <v>3763</v>
      </c>
      <c r="L7092" s="1" t="s">
        <v>701</v>
      </c>
      <c r="M7092" s="86" t="s">
        <v>2354</v>
      </c>
      <c r="O7092" s="47" t="s">
        <v>941</v>
      </c>
      <c r="P7092" s="14" t="s">
        <v>41</v>
      </c>
      <c r="Q7092" s="14">
        <v>0</v>
      </c>
      <c r="R7092" s="143">
        <v>7109</v>
      </c>
      <c r="S7092" s="47"/>
      <c r="T7092" s="6">
        <v>-5048</v>
      </c>
      <c r="U7092" s="6"/>
      <c r="V7092" s="6">
        <v>4962</v>
      </c>
      <c r="W7092" s="6">
        <f t="shared" si="1104"/>
        <v>-10010</v>
      </c>
      <c r="X7092" s="6">
        <f t="shared" si="1105"/>
        <v>4962</v>
      </c>
      <c r="Y7092" s="13">
        <f t="shared" si="1098"/>
        <v>0</v>
      </c>
      <c r="Z7092" s="14">
        <v>0</v>
      </c>
      <c r="AA7092" s="6">
        <v>0</v>
      </c>
      <c r="AB7092" s="4">
        <f t="shared" si="1099"/>
        <v>4962</v>
      </c>
      <c r="AC7092" s="6">
        <f t="shared" si="1097"/>
        <v>0</v>
      </c>
      <c r="AD7092" s="6">
        <f t="shared" si="1101"/>
        <v>4962</v>
      </c>
      <c r="AE7092" s="14">
        <f>VLOOKUP(I7092,[2]媒体政策预估表!A:N,MATCH(O7092,[2]媒体政策预估表!$A$2:$M$2,0),0)</f>
        <v>0</v>
      </c>
      <c r="AF7092" s="6">
        <f t="shared" si="1103"/>
        <v>0</v>
      </c>
      <c r="AG7092" s="14">
        <v>0</v>
      </c>
      <c r="AH7092" s="64">
        <f t="shared" si="1102"/>
        <v>4962</v>
      </c>
      <c r="AJ7092" s="126" t="e">
        <v>#N/A</v>
      </c>
      <c r="AK7092" s="80">
        <f t="shared" si="1100"/>
        <v>0</v>
      </c>
      <c r="AL7092" s="85"/>
      <c r="AM7092" s="85"/>
    </row>
    <row r="7093" spans="1:39" s="86" customFormat="1" ht="13.25" hidden="1" customHeight="1" x14ac:dyDescent="0.3">
      <c r="A7093" s="89" t="s">
        <v>3978</v>
      </c>
      <c r="B7093" s="86" t="s">
        <v>701</v>
      </c>
      <c r="C7093" s="86" t="s">
        <v>184</v>
      </c>
      <c r="D7093" s="86" t="s">
        <v>54</v>
      </c>
      <c r="E7093" s="86" t="s">
        <v>2846</v>
      </c>
      <c r="F7093" s="86" t="s">
        <v>2846</v>
      </c>
      <c r="G7093" s="86" t="s">
        <v>2846</v>
      </c>
      <c r="H7093" s="144">
        <v>83</v>
      </c>
      <c r="I7093" s="86" t="s">
        <v>78</v>
      </c>
      <c r="J7093" s="1" t="s">
        <v>3303</v>
      </c>
      <c r="K7093" s="1" t="s">
        <v>3763</v>
      </c>
      <c r="L7093" s="1" t="s">
        <v>701</v>
      </c>
      <c r="M7093" s="86" t="s">
        <v>2846</v>
      </c>
      <c r="O7093" s="47" t="s">
        <v>941</v>
      </c>
      <c r="P7093" s="14" t="s">
        <v>41</v>
      </c>
      <c r="Q7093" s="14">
        <v>0</v>
      </c>
      <c r="R7093" s="143">
        <v>7119</v>
      </c>
      <c r="S7093" s="47"/>
      <c r="T7093" s="6">
        <v>-3717</v>
      </c>
      <c r="U7093" s="6"/>
      <c r="V7093" s="6">
        <v>561.90000000000146</v>
      </c>
      <c r="W7093" s="6">
        <v>0</v>
      </c>
      <c r="X7093" s="6">
        <f t="shared" si="1105"/>
        <v>561.90000000000146</v>
      </c>
      <c r="Y7093" s="13">
        <f t="shared" si="1098"/>
        <v>0</v>
      </c>
      <c r="Z7093" s="14">
        <v>0</v>
      </c>
      <c r="AA7093" s="6">
        <v>0</v>
      </c>
      <c r="AB7093" s="4">
        <f t="shared" si="1099"/>
        <v>561.90000000000146</v>
      </c>
      <c r="AC7093" s="6">
        <f t="shared" si="1097"/>
        <v>0</v>
      </c>
      <c r="AD7093" s="6">
        <f t="shared" si="1101"/>
        <v>561.90000000000146</v>
      </c>
      <c r="AE7093" s="14">
        <f>VLOOKUP(I7093,[2]媒体政策预估表!A:N,MATCH(O7093,[2]媒体政策预估表!$A$2:$M$2,0),0)</f>
        <v>0</v>
      </c>
      <c r="AF7093" s="6">
        <f t="shared" si="1103"/>
        <v>0</v>
      </c>
      <c r="AG7093" s="14">
        <v>0</v>
      </c>
      <c r="AH7093" s="64">
        <f t="shared" si="1102"/>
        <v>561.90000000000146</v>
      </c>
      <c r="AJ7093" s="126" t="e">
        <v>#N/A</v>
      </c>
      <c r="AK7093" s="80">
        <f t="shared" si="1100"/>
        <v>0</v>
      </c>
      <c r="AL7093" s="85"/>
      <c r="AM7093" s="85"/>
    </row>
    <row r="7094" spans="1:39" s="86" customFormat="1" ht="13.25" hidden="1" customHeight="1" x14ac:dyDescent="0.3">
      <c r="A7094" s="89" t="s">
        <v>3978</v>
      </c>
      <c r="B7094" s="86" t="s">
        <v>701</v>
      </c>
      <c r="C7094" s="86" t="s">
        <v>184</v>
      </c>
      <c r="D7094" s="86" t="s">
        <v>54</v>
      </c>
      <c r="E7094" s="86" t="s">
        <v>2740</v>
      </c>
      <c r="F7094" s="86" t="s">
        <v>2740</v>
      </c>
      <c r="G7094" s="86" t="s">
        <v>2740</v>
      </c>
      <c r="H7094" s="144">
        <v>83</v>
      </c>
      <c r="I7094" s="86" t="s">
        <v>78</v>
      </c>
      <c r="J7094" s="1" t="s">
        <v>3303</v>
      </c>
      <c r="K7094" s="1" t="s">
        <v>3763</v>
      </c>
      <c r="L7094" s="1" t="s">
        <v>701</v>
      </c>
      <c r="M7094" s="86" t="s">
        <v>2741</v>
      </c>
      <c r="O7094" s="47" t="s">
        <v>941</v>
      </c>
      <c r="P7094" s="14" t="s">
        <v>41</v>
      </c>
      <c r="Q7094" s="14">
        <v>0</v>
      </c>
      <c r="R7094" s="143">
        <v>7120</v>
      </c>
      <c r="S7094" s="47"/>
      <c r="T7094" s="6">
        <v>-8320</v>
      </c>
      <c r="U7094" s="6"/>
      <c r="V7094" s="6">
        <v>6549.04</v>
      </c>
      <c r="W7094" s="6">
        <f t="shared" si="1104"/>
        <v>-14869.04</v>
      </c>
      <c r="X7094" s="6">
        <f t="shared" si="1105"/>
        <v>6549.04</v>
      </c>
      <c r="Y7094" s="13">
        <f t="shared" si="1098"/>
        <v>0</v>
      </c>
      <c r="Z7094" s="14">
        <v>0</v>
      </c>
      <c r="AA7094" s="6">
        <v>0</v>
      </c>
      <c r="AB7094" s="4">
        <f t="shared" si="1099"/>
        <v>6549.04</v>
      </c>
      <c r="AC7094" s="6">
        <f t="shared" si="1097"/>
        <v>0</v>
      </c>
      <c r="AD7094" s="6">
        <f t="shared" si="1101"/>
        <v>6549.04</v>
      </c>
      <c r="AE7094" s="14">
        <f>VLOOKUP(I7094,[2]媒体政策预估表!A:N,MATCH(O7094,[2]媒体政策预估表!$A$2:$M$2,0),0)</f>
        <v>0</v>
      </c>
      <c r="AF7094" s="6">
        <f t="shared" si="1103"/>
        <v>0</v>
      </c>
      <c r="AG7094" s="14">
        <v>0</v>
      </c>
      <c r="AH7094" s="64">
        <f t="shared" si="1102"/>
        <v>6549.04</v>
      </c>
      <c r="AJ7094" s="126" t="e">
        <v>#N/A</v>
      </c>
      <c r="AK7094" s="80">
        <f t="shared" si="1100"/>
        <v>0</v>
      </c>
      <c r="AL7094" s="85"/>
      <c r="AM7094" s="85"/>
    </row>
    <row r="7095" spans="1:39" s="86" customFormat="1" ht="13.25" hidden="1" customHeight="1" x14ac:dyDescent="0.3">
      <c r="A7095" s="89" t="s">
        <v>3978</v>
      </c>
      <c r="B7095" s="86" t="s">
        <v>701</v>
      </c>
      <c r="C7095" s="86" t="s">
        <v>184</v>
      </c>
      <c r="D7095" s="86" t="s">
        <v>54</v>
      </c>
      <c r="E7095" s="86" t="s">
        <v>887</v>
      </c>
      <c r="F7095" s="86" t="s">
        <v>2739</v>
      </c>
      <c r="G7095" s="86" t="s">
        <v>887</v>
      </c>
      <c r="H7095" s="144">
        <v>83</v>
      </c>
      <c r="I7095" s="86" t="s">
        <v>78</v>
      </c>
      <c r="J7095" s="1" t="s">
        <v>3303</v>
      </c>
      <c r="K7095" s="1" t="s">
        <v>3763</v>
      </c>
      <c r="L7095" s="1" t="s">
        <v>701</v>
      </c>
      <c r="M7095" s="86" t="s">
        <v>1858</v>
      </c>
      <c r="O7095" s="47" t="s">
        <v>941</v>
      </c>
      <c r="P7095" s="14" t="s">
        <v>41</v>
      </c>
      <c r="Q7095" s="14">
        <v>0</v>
      </c>
      <c r="R7095" s="143">
        <v>7127</v>
      </c>
      <c r="S7095" s="47"/>
      <c r="T7095" s="6">
        <v>-9948.5</v>
      </c>
      <c r="U7095" s="6"/>
      <c r="V7095" s="6">
        <v>11022</v>
      </c>
      <c r="W7095" s="6">
        <f t="shared" si="1104"/>
        <v>-20970.5</v>
      </c>
      <c r="X7095" s="6">
        <f t="shared" si="1105"/>
        <v>11022</v>
      </c>
      <c r="Y7095" s="13">
        <f t="shared" si="1098"/>
        <v>0</v>
      </c>
      <c r="Z7095" s="14">
        <v>0</v>
      </c>
      <c r="AA7095" s="6">
        <v>0</v>
      </c>
      <c r="AB7095" s="4">
        <f t="shared" si="1099"/>
        <v>11022</v>
      </c>
      <c r="AC7095" s="6">
        <f t="shared" si="1097"/>
        <v>0</v>
      </c>
      <c r="AD7095" s="6">
        <f t="shared" si="1101"/>
        <v>11022</v>
      </c>
      <c r="AE7095" s="14">
        <f>VLOOKUP(I7095,[2]媒体政策预估表!A:N,MATCH(O7095,[2]媒体政策预估表!$A$2:$M$2,0),0)</f>
        <v>0</v>
      </c>
      <c r="AF7095" s="6">
        <f t="shared" si="1103"/>
        <v>0</v>
      </c>
      <c r="AG7095" s="14">
        <v>0</v>
      </c>
      <c r="AH7095" s="64">
        <f t="shared" si="1102"/>
        <v>11022</v>
      </c>
      <c r="AJ7095" s="126" t="e">
        <v>#N/A</v>
      </c>
      <c r="AK7095" s="80">
        <f t="shared" si="1100"/>
        <v>0</v>
      </c>
      <c r="AL7095" s="85"/>
      <c r="AM7095" s="85"/>
    </row>
    <row r="7096" spans="1:39" s="86" customFormat="1" ht="13.25" hidden="1" customHeight="1" x14ac:dyDescent="0.3">
      <c r="A7096" s="89" t="s">
        <v>3978</v>
      </c>
      <c r="B7096" s="86" t="s">
        <v>701</v>
      </c>
      <c r="C7096" s="86" t="s">
        <v>184</v>
      </c>
      <c r="D7096" s="86" t="s">
        <v>54</v>
      </c>
      <c r="E7096" s="86" t="s">
        <v>887</v>
      </c>
      <c r="F7096" s="86" t="s">
        <v>2739</v>
      </c>
      <c r="G7096" s="86" t="s">
        <v>887</v>
      </c>
      <c r="H7096" s="144">
        <v>83</v>
      </c>
      <c r="I7096" s="86" t="s">
        <v>78</v>
      </c>
      <c r="J7096" s="1" t="s">
        <v>3303</v>
      </c>
      <c r="K7096" s="1" t="s">
        <v>3763</v>
      </c>
      <c r="L7096" s="1" t="s">
        <v>701</v>
      </c>
      <c r="M7096" s="86" t="s">
        <v>73</v>
      </c>
      <c r="O7096" s="47" t="s">
        <v>941</v>
      </c>
      <c r="P7096" s="14" t="s">
        <v>41</v>
      </c>
      <c r="Q7096" s="14">
        <v>0</v>
      </c>
      <c r="R7096" s="143">
        <v>7130</v>
      </c>
      <c r="S7096" s="47"/>
      <c r="T7096" s="6">
        <v>-11408</v>
      </c>
      <c r="U7096" s="6"/>
      <c r="V7096" s="6">
        <v>12951</v>
      </c>
      <c r="W7096" s="6">
        <f t="shared" si="1104"/>
        <v>-24359</v>
      </c>
      <c r="X7096" s="6">
        <f t="shared" si="1105"/>
        <v>12951</v>
      </c>
      <c r="Y7096" s="13">
        <f t="shared" si="1098"/>
        <v>0</v>
      </c>
      <c r="Z7096" s="14">
        <v>0</v>
      </c>
      <c r="AA7096" s="6">
        <v>0</v>
      </c>
      <c r="AB7096" s="4">
        <f t="shared" si="1099"/>
        <v>12951</v>
      </c>
      <c r="AC7096" s="6">
        <f t="shared" si="1097"/>
        <v>0</v>
      </c>
      <c r="AD7096" s="6">
        <f t="shared" si="1101"/>
        <v>12951</v>
      </c>
      <c r="AE7096" s="14">
        <f>VLOOKUP(I7096,[2]媒体政策预估表!A:N,MATCH(O7096,[2]媒体政策预估表!$A$2:$M$2,0),0)</f>
        <v>0</v>
      </c>
      <c r="AF7096" s="6">
        <f t="shared" si="1103"/>
        <v>0</v>
      </c>
      <c r="AG7096" s="14">
        <v>0</v>
      </c>
      <c r="AH7096" s="64">
        <f t="shared" si="1102"/>
        <v>12951</v>
      </c>
      <c r="AJ7096" s="126" t="e">
        <v>#N/A</v>
      </c>
      <c r="AK7096" s="80">
        <f t="shared" si="1100"/>
        <v>0</v>
      </c>
      <c r="AL7096" s="85"/>
      <c r="AM7096" s="85"/>
    </row>
    <row r="7097" spans="1:39" s="86" customFormat="1" ht="13.25" hidden="1" customHeight="1" x14ac:dyDescent="0.3">
      <c r="A7097" s="89" t="s">
        <v>3978</v>
      </c>
      <c r="B7097" s="86" t="s">
        <v>701</v>
      </c>
      <c r="C7097" s="86" t="s">
        <v>164</v>
      </c>
      <c r="D7097" s="86" t="s">
        <v>169</v>
      </c>
      <c r="E7097" s="86" t="s">
        <v>1579</v>
      </c>
      <c r="F7097" s="86" t="s">
        <v>1579</v>
      </c>
      <c r="G7097" s="86" t="s">
        <v>1579</v>
      </c>
      <c r="H7097" s="143">
        <v>83</v>
      </c>
      <c r="I7097" s="86" t="s">
        <v>78</v>
      </c>
      <c r="J7097" s="1" t="s">
        <v>3303</v>
      </c>
      <c r="K7097" s="1" t="s">
        <v>3763</v>
      </c>
      <c r="L7097" s="1" t="s">
        <v>701</v>
      </c>
      <c r="M7097" s="86" t="s">
        <v>1579</v>
      </c>
      <c r="O7097" s="47" t="s">
        <v>941</v>
      </c>
      <c r="P7097" s="14" t="s">
        <v>41</v>
      </c>
      <c r="Q7097" s="14">
        <v>0</v>
      </c>
      <c r="R7097" s="143">
        <v>7145</v>
      </c>
      <c r="S7097" s="47"/>
      <c r="T7097" s="6">
        <v>-507</v>
      </c>
      <c r="U7097" s="6"/>
      <c r="V7097" s="6">
        <v>0</v>
      </c>
      <c r="W7097" s="6">
        <f t="shared" si="1104"/>
        <v>-507</v>
      </c>
      <c r="X7097" s="6">
        <f t="shared" si="1105"/>
        <v>0</v>
      </c>
      <c r="Y7097" s="13">
        <f t="shared" si="1098"/>
        <v>0</v>
      </c>
      <c r="Z7097" s="14">
        <v>0</v>
      </c>
      <c r="AA7097" s="6">
        <v>0</v>
      </c>
      <c r="AB7097" s="4">
        <f t="shared" si="1099"/>
        <v>0</v>
      </c>
      <c r="AC7097" s="6">
        <f t="shared" si="1097"/>
        <v>0</v>
      </c>
      <c r="AD7097" s="6">
        <f t="shared" si="1101"/>
        <v>0</v>
      </c>
      <c r="AE7097" s="14">
        <f>VLOOKUP(I7097,[2]媒体政策预估表!A:N,MATCH(O7097,[2]媒体政策预估表!$A$2:$M$2,0),0)</f>
        <v>0</v>
      </c>
      <c r="AF7097" s="6">
        <f t="shared" si="1103"/>
        <v>0</v>
      </c>
      <c r="AG7097" s="14">
        <v>0</v>
      </c>
      <c r="AH7097" s="64">
        <f t="shared" si="1102"/>
        <v>0</v>
      </c>
      <c r="AJ7097" s="126" t="e">
        <v>#N/A</v>
      </c>
      <c r="AK7097" s="80">
        <f t="shared" si="1100"/>
        <v>0</v>
      </c>
      <c r="AL7097" s="85"/>
      <c r="AM7097" s="85"/>
    </row>
    <row r="7098" spans="1:39" s="86" customFormat="1" ht="13.25" hidden="1" customHeight="1" x14ac:dyDescent="0.3">
      <c r="A7098" s="89" t="s">
        <v>3978</v>
      </c>
      <c r="B7098" s="86" t="s">
        <v>35</v>
      </c>
      <c r="C7098" s="86" t="s">
        <v>65</v>
      </c>
      <c r="D7098" s="86" t="s">
        <v>66</v>
      </c>
      <c r="E7098" s="86" t="s">
        <v>2678</v>
      </c>
      <c r="F7098" s="86" t="s">
        <v>2701</v>
      </c>
      <c r="G7098" s="86" t="s">
        <v>1845</v>
      </c>
      <c r="H7098" s="144">
        <v>83</v>
      </c>
      <c r="I7098" s="86" t="s">
        <v>78</v>
      </c>
      <c r="J7098" s="1" t="s">
        <v>3303</v>
      </c>
      <c r="K7098" s="1" t="s">
        <v>3763</v>
      </c>
      <c r="L7098" s="1" t="s">
        <v>701</v>
      </c>
      <c r="M7098" s="86" t="s">
        <v>2702</v>
      </c>
      <c r="O7098" s="47" t="s">
        <v>941</v>
      </c>
      <c r="P7098" s="14" t="s">
        <v>41</v>
      </c>
      <c r="Q7098" s="14">
        <v>0</v>
      </c>
      <c r="R7098" s="143">
        <v>7152</v>
      </c>
      <c r="S7098" s="47"/>
      <c r="T7098" s="6">
        <v>-56635</v>
      </c>
      <c r="U7098" s="6"/>
      <c r="V7098" s="6">
        <v>53418.2</v>
      </c>
      <c r="W7098" s="6">
        <f t="shared" si="1104"/>
        <v>-110053.2</v>
      </c>
      <c r="X7098" s="6">
        <f t="shared" si="1105"/>
        <v>53418.2</v>
      </c>
      <c r="Y7098" s="13">
        <f t="shared" si="1098"/>
        <v>0</v>
      </c>
      <c r="Z7098" s="14">
        <v>0</v>
      </c>
      <c r="AA7098" s="6">
        <v>0</v>
      </c>
      <c r="AB7098" s="4">
        <f t="shared" si="1099"/>
        <v>53418.2</v>
      </c>
      <c r="AC7098" s="6">
        <f t="shared" si="1097"/>
        <v>0</v>
      </c>
      <c r="AD7098" s="6">
        <f t="shared" si="1101"/>
        <v>53418.2</v>
      </c>
      <c r="AE7098" s="14">
        <f>VLOOKUP(I7098,[2]媒体政策预估表!A:N,MATCH(O7098,[2]媒体政策预估表!$A$2:$M$2,0),0)</f>
        <v>0</v>
      </c>
      <c r="AF7098" s="6">
        <f t="shared" si="1103"/>
        <v>0</v>
      </c>
      <c r="AG7098" s="14">
        <v>0</v>
      </c>
      <c r="AH7098" s="64">
        <f t="shared" si="1102"/>
        <v>53418.2</v>
      </c>
      <c r="AJ7098" s="126" t="e">
        <v>#N/A</v>
      </c>
      <c r="AK7098" s="80">
        <f t="shared" si="1100"/>
        <v>0</v>
      </c>
      <c r="AL7098" s="85"/>
      <c r="AM7098" s="85"/>
    </row>
    <row r="7099" spans="1:39" s="86" customFormat="1" ht="13.25" hidden="1" customHeight="1" x14ac:dyDescent="0.3">
      <c r="A7099" s="89" t="s">
        <v>3978</v>
      </c>
      <c r="B7099" s="86" t="s">
        <v>701</v>
      </c>
      <c r="C7099" s="86" t="s">
        <v>65</v>
      </c>
      <c r="D7099" s="86" t="s">
        <v>66</v>
      </c>
      <c r="E7099" s="86" t="s">
        <v>2755</v>
      </c>
      <c r="F7099" s="86" t="s">
        <v>2755</v>
      </c>
      <c r="G7099" s="86" t="s">
        <v>2755</v>
      </c>
      <c r="H7099" s="143">
        <v>83</v>
      </c>
      <c r="I7099" s="86" t="s">
        <v>78</v>
      </c>
      <c r="J7099" s="1" t="s">
        <v>3303</v>
      </c>
      <c r="K7099" s="1" t="s">
        <v>3763</v>
      </c>
      <c r="L7099" s="1" t="s">
        <v>701</v>
      </c>
      <c r="M7099" s="86" t="s">
        <v>2755</v>
      </c>
      <c r="O7099" s="47" t="s">
        <v>941</v>
      </c>
      <c r="P7099" s="14" t="s">
        <v>41</v>
      </c>
      <c r="Q7099" s="14">
        <v>0</v>
      </c>
      <c r="R7099" s="143">
        <v>7157</v>
      </c>
      <c r="S7099" s="47"/>
      <c r="T7099" s="6">
        <v>-989</v>
      </c>
      <c r="U7099" s="6"/>
      <c r="V7099" s="6">
        <v>0</v>
      </c>
      <c r="W7099" s="6">
        <v>0</v>
      </c>
      <c r="X7099" s="6">
        <f t="shared" si="1105"/>
        <v>0</v>
      </c>
      <c r="Y7099" s="13">
        <f t="shared" si="1098"/>
        <v>0</v>
      </c>
      <c r="Z7099" s="14">
        <v>0</v>
      </c>
      <c r="AA7099" s="6">
        <v>0</v>
      </c>
      <c r="AB7099" s="4">
        <f t="shared" si="1099"/>
        <v>0</v>
      </c>
      <c r="AC7099" s="6">
        <f t="shared" si="1097"/>
        <v>0</v>
      </c>
      <c r="AD7099" s="6">
        <f t="shared" si="1101"/>
        <v>0</v>
      </c>
      <c r="AE7099" s="14">
        <f>VLOOKUP(I7099,[2]媒体政策预估表!A:N,MATCH(O7099,[2]媒体政策预估表!$A$2:$M$2,0),0)</f>
        <v>0</v>
      </c>
      <c r="AF7099" s="6">
        <f t="shared" si="1103"/>
        <v>0</v>
      </c>
      <c r="AG7099" s="14">
        <v>0</v>
      </c>
      <c r="AH7099" s="64">
        <f t="shared" si="1102"/>
        <v>0</v>
      </c>
      <c r="AJ7099" s="126" t="e">
        <v>#N/A</v>
      </c>
      <c r="AK7099" s="80">
        <f t="shared" si="1100"/>
        <v>0</v>
      </c>
      <c r="AL7099" s="85"/>
      <c r="AM7099" s="85"/>
    </row>
    <row r="7100" spans="1:39" s="86" customFormat="1" ht="13.25" hidden="1" customHeight="1" x14ac:dyDescent="0.3">
      <c r="A7100" s="89" t="s">
        <v>3978</v>
      </c>
      <c r="B7100" s="86" t="s">
        <v>35</v>
      </c>
      <c r="C7100" s="86" t="s">
        <v>184</v>
      </c>
      <c r="D7100" s="86" t="s">
        <v>37</v>
      </c>
      <c r="E7100" s="86" t="s">
        <v>285</v>
      </c>
      <c r="F7100" s="86" t="s">
        <v>2698</v>
      </c>
      <c r="G7100" s="86" t="s">
        <v>1845</v>
      </c>
      <c r="H7100" s="143">
        <v>83</v>
      </c>
      <c r="I7100" s="86" t="s">
        <v>78</v>
      </c>
      <c r="J7100" s="1" t="s">
        <v>3303</v>
      </c>
      <c r="K7100" s="1" t="s">
        <v>3763</v>
      </c>
      <c r="L7100" s="1" t="s">
        <v>701</v>
      </c>
      <c r="M7100" s="86" t="s">
        <v>2699</v>
      </c>
      <c r="O7100" s="47" t="s">
        <v>941</v>
      </c>
      <c r="P7100" s="14" t="s">
        <v>41</v>
      </c>
      <c r="Q7100" s="14">
        <v>0</v>
      </c>
      <c r="R7100" s="143">
        <v>7174</v>
      </c>
      <c r="S7100" s="47"/>
      <c r="T7100" s="6">
        <v>-400</v>
      </c>
      <c r="U7100" s="6"/>
      <c r="V7100" s="6">
        <v>0</v>
      </c>
      <c r="W7100" s="6">
        <f t="shared" si="1104"/>
        <v>-400</v>
      </c>
      <c r="X7100" s="6">
        <f t="shared" si="1105"/>
        <v>0</v>
      </c>
      <c r="Y7100" s="13">
        <f t="shared" si="1098"/>
        <v>0</v>
      </c>
      <c r="Z7100" s="14">
        <v>0</v>
      </c>
      <c r="AA7100" s="6">
        <v>0</v>
      </c>
      <c r="AB7100" s="4">
        <f t="shared" si="1099"/>
        <v>0</v>
      </c>
      <c r="AC7100" s="6">
        <f t="shared" si="1097"/>
        <v>0</v>
      </c>
      <c r="AD7100" s="6">
        <f t="shared" si="1101"/>
        <v>0</v>
      </c>
      <c r="AE7100" s="14">
        <f>VLOOKUP(I7100,[2]媒体政策预估表!A:N,MATCH(O7100,[2]媒体政策预估表!$A$2:$M$2,0),0)</f>
        <v>0</v>
      </c>
      <c r="AF7100" s="6">
        <f t="shared" si="1103"/>
        <v>0</v>
      </c>
      <c r="AG7100" s="14">
        <v>0</v>
      </c>
      <c r="AH7100" s="64">
        <f t="shared" si="1102"/>
        <v>0</v>
      </c>
      <c r="AJ7100" s="126" t="e">
        <v>#N/A</v>
      </c>
      <c r="AK7100" s="80">
        <f t="shared" si="1100"/>
        <v>0</v>
      </c>
      <c r="AL7100" s="85"/>
      <c r="AM7100" s="85"/>
    </row>
    <row r="7101" spans="1:39" s="86" customFormat="1" ht="13.25" hidden="1" customHeight="1" x14ac:dyDescent="0.3">
      <c r="A7101" s="89" t="s">
        <v>3978</v>
      </c>
      <c r="B7101" s="86" t="s">
        <v>701</v>
      </c>
      <c r="C7101" s="86" t="s">
        <v>65</v>
      </c>
      <c r="D7101" s="86" t="s">
        <v>66</v>
      </c>
      <c r="E7101" s="86" t="s">
        <v>2866</v>
      </c>
      <c r="F7101" s="86" t="s">
        <v>2866</v>
      </c>
      <c r="G7101" s="86" t="s">
        <v>2866</v>
      </c>
      <c r="H7101" s="144">
        <v>83</v>
      </c>
      <c r="I7101" s="86" t="s">
        <v>78</v>
      </c>
      <c r="J7101" s="1" t="s">
        <v>3303</v>
      </c>
      <c r="K7101" s="1" t="s">
        <v>3763</v>
      </c>
      <c r="L7101" s="1" t="s">
        <v>701</v>
      </c>
      <c r="M7101" s="86" t="s">
        <v>2866</v>
      </c>
      <c r="O7101" s="47" t="s">
        <v>941</v>
      </c>
      <c r="P7101" s="14" t="s">
        <v>41</v>
      </c>
      <c r="Q7101" s="14">
        <v>0</v>
      </c>
      <c r="R7101" s="143">
        <v>7181</v>
      </c>
      <c r="S7101" s="47"/>
      <c r="T7101" s="6">
        <v>-4507</v>
      </c>
      <c r="U7101" s="6"/>
      <c r="V7101" s="6">
        <v>4612</v>
      </c>
      <c r="W7101" s="6">
        <f t="shared" si="1104"/>
        <v>-9119</v>
      </c>
      <c r="X7101" s="6">
        <f t="shared" si="1105"/>
        <v>4612</v>
      </c>
      <c r="Y7101" s="13">
        <f t="shared" si="1098"/>
        <v>0</v>
      </c>
      <c r="Z7101" s="14">
        <v>0</v>
      </c>
      <c r="AA7101" s="6">
        <v>0</v>
      </c>
      <c r="AB7101" s="4">
        <f t="shared" si="1099"/>
        <v>4612</v>
      </c>
      <c r="AC7101" s="6">
        <f t="shared" si="1097"/>
        <v>0</v>
      </c>
      <c r="AD7101" s="6">
        <f t="shared" si="1101"/>
        <v>4612</v>
      </c>
      <c r="AE7101" s="14">
        <f>VLOOKUP(I7101,[2]媒体政策预估表!A:N,MATCH(O7101,[2]媒体政策预估表!$A$2:$M$2,0),0)</f>
        <v>0</v>
      </c>
      <c r="AF7101" s="6">
        <f t="shared" si="1103"/>
        <v>0</v>
      </c>
      <c r="AG7101" s="14">
        <v>0</v>
      </c>
      <c r="AH7101" s="64">
        <f t="shared" si="1102"/>
        <v>4612</v>
      </c>
      <c r="AJ7101" s="126" t="e">
        <v>#N/A</v>
      </c>
      <c r="AK7101" s="80">
        <f t="shared" si="1100"/>
        <v>0</v>
      </c>
      <c r="AL7101" s="85"/>
      <c r="AM7101" s="85"/>
    </row>
    <row r="7102" spans="1:39" s="86" customFormat="1" ht="13.25" hidden="1" customHeight="1" x14ac:dyDescent="0.3">
      <c r="A7102" s="89" t="s">
        <v>3978</v>
      </c>
      <c r="B7102" s="86" t="s">
        <v>701</v>
      </c>
      <c r="C7102" s="86" t="s">
        <v>164</v>
      </c>
      <c r="D7102" s="86" t="s">
        <v>174</v>
      </c>
      <c r="E7102" s="86" t="s">
        <v>694</v>
      </c>
      <c r="F7102" s="86" t="s">
        <v>694</v>
      </c>
      <c r="G7102" s="86" t="s">
        <v>694</v>
      </c>
      <c r="H7102" s="144">
        <v>83</v>
      </c>
      <c r="I7102" s="86" t="s">
        <v>78</v>
      </c>
      <c r="J7102" s="1" t="s">
        <v>3303</v>
      </c>
      <c r="K7102" s="1" t="s">
        <v>3763</v>
      </c>
      <c r="L7102" s="1" t="s">
        <v>701</v>
      </c>
      <c r="M7102" s="86" t="s">
        <v>694</v>
      </c>
      <c r="O7102" s="47" t="s">
        <v>941</v>
      </c>
      <c r="P7102" s="14" t="s">
        <v>41</v>
      </c>
      <c r="Q7102" s="14">
        <v>0</v>
      </c>
      <c r="R7102" s="143">
        <v>7202</v>
      </c>
      <c r="S7102" s="47"/>
      <c r="T7102" s="6">
        <v>-8292</v>
      </c>
      <c r="U7102" s="6"/>
      <c r="V7102" s="6">
        <v>4583</v>
      </c>
      <c r="W7102" s="6">
        <f t="shared" si="1104"/>
        <v>-12875</v>
      </c>
      <c r="X7102" s="6">
        <f t="shared" si="1105"/>
        <v>4583</v>
      </c>
      <c r="Y7102" s="13">
        <f t="shared" si="1098"/>
        <v>0</v>
      </c>
      <c r="Z7102" s="14">
        <v>0</v>
      </c>
      <c r="AA7102" s="6">
        <v>0</v>
      </c>
      <c r="AB7102" s="4">
        <f t="shared" si="1099"/>
        <v>4583</v>
      </c>
      <c r="AC7102" s="6">
        <f t="shared" ref="AC7102:AC7165" si="1106">IF(P7102="返现",X7102*Q7102,V7102-X7102)</f>
        <v>0</v>
      </c>
      <c r="AD7102" s="6">
        <f t="shared" si="1101"/>
        <v>4583</v>
      </c>
      <c r="AE7102" s="14">
        <f>VLOOKUP(I7102,[2]媒体政策预估表!A:N,MATCH(O7102,[2]媒体政策预估表!$A$2:$M$2,0),0)</f>
        <v>0</v>
      </c>
      <c r="AF7102" s="6">
        <f t="shared" si="1103"/>
        <v>0</v>
      </c>
      <c r="AG7102" s="14">
        <v>0</v>
      </c>
      <c r="AH7102" s="64">
        <f t="shared" si="1102"/>
        <v>4583</v>
      </c>
      <c r="AJ7102" s="126" t="e">
        <v>#N/A</v>
      </c>
      <c r="AK7102" s="80">
        <f t="shared" si="1100"/>
        <v>0</v>
      </c>
      <c r="AL7102" s="85"/>
      <c r="AM7102" s="85"/>
    </row>
    <row r="7103" spans="1:39" s="86" customFormat="1" ht="13.25" hidden="1" customHeight="1" x14ac:dyDescent="0.3">
      <c r="A7103" s="89" t="s">
        <v>3792</v>
      </c>
      <c r="B7103" s="86" t="s">
        <v>701</v>
      </c>
      <c r="C7103" s="86" t="s">
        <v>184</v>
      </c>
      <c r="D7103" s="86" t="s">
        <v>54</v>
      </c>
      <c r="E7103" s="86" t="s">
        <v>2843</v>
      </c>
      <c r="F7103" s="86" t="s">
        <v>2843</v>
      </c>
      <c r="G7103" s="86" t="s">
        <v>2843</v>
      </c>
      <c r="H7103" s="143">
        <v>83</v>
      </c>
      <c r="I7103" s="86" t="s">
        <v>78</v>
      </c>
      <c r="J7103" s="1" t="s">
        <v>3303</v>
      </c>
      <c r="K7103" s="1" t="s">
        <v>3763</v>
      </c>
      <c r="L7103" s="1" t="s">
        <v>701</v>
      </c>
      <c r="M7103" s="86" t="s">
        <v>2845</v>
      </c>
      <c r="O7103" s="47" t="s">
        <v>941</v>
      </c>
      <c r="P7103" s="14" t="s">
        <v>41</v>
      </c>
      <c r="Q7103" s="14">
        <v>0</v>
      </c>
      <c r="R7103" s="143">
        <v>7244</v>
      </c>
      <c r="S7103" s="47"/>
      <c r="T7103" s="6">
        <v>-1800</v>
      </c>
      <c r="U7103" s="6"/>
      <c r="V7103" s="6">
        <v>0</v>
      </c>
      <c r="W7103" s="6">
        <f t="shared" si="1104"/>
        <v>-1800</v>
      </c>
      <c r="X7103" s="6">
        <f t="shared" si="1105"/>
        <v>0</v>
      </c>
      <c r="Y7103" s="13">
        <f t="shared" si="1098"/>
        <v>0</v>
      </c>
      <c r="Z7103" s="14">
        <v>0</v>
      </c>
      <c r="AA7103" s="6">
        <v>0</v>
      </c>
      <c r="AB7103" s="4">
        <f t="shared" si="1099"/>
        <v>0</v>
      </c>
      <c r="AC7103" s="6">
        <f t="shared" si="1106"/>
        <v>0</v>
      </c>
      <c r="AD7103" s="6">
        <f t="shared" si="1101"/>
        <v>0</v>
      </c>
      <c r="AE7103" s="14">
        <f>VLOOKUP(I7103,[2]媒体政策预估表!A:N,MATCH(O7103,[2]媒体政策预估表!$A$2:$M$2,0),0)</f>
        <v>0</v>
      </c>
      <c r="AF7103" s="6">
        <f t="shared" si="1103"/>
        <v>0</v>
      </c>
      <c r="AG7103" s="14">
        <v>0</v>
      </c>
      <c r="AH7103" s="64">
        <f t="shared" si="1102"/>
        <v>0</v>
      </c>
      <c r="AJ7103" s="126" t="e">
        <v>#N/A</v>
      </c>
      <c r="AK7103" s="80">
        <f t="shared" si="1100"/>
        <v>0</v>
      </c>
      <c r="AL7103" s="85"/>
      <c r="AM7103" s="85"/>
    </row>
    <row r="7104" spans="1:39" s="86" customFormat="1" ht="13.25" hidden="1" customHeight="1" x14ac:dyDescent="0.3">
      <c r="A7104" s="89" t="s">
        <v>3978</v>
      </c>
      <c r="B7104" s="86" t="s">
        <v>701</v>
      </c>
      <c r="C7104" s="86" t="s">
        <v>59</v>
      </c>
      <c r="D7104" s="86" t="s">
        <v>60</v>
      </c>
      <c r="E7104" s="86" t="s">
        <v>85</v>
      </c>
      <c r="F7104" s="86" t="s">
        <v>2730</v>
      </c>
      <c r="G7104" s="86" t="s">
        <v>85</v>
      </c>
      <c r="H7104" s="143">
        <v>83</v>
      </c>
      <c r="I7104" s="86" t="s">
        <v>78</v>
      </c>
      <c r="J7104" s="1" t="s">
        <v>3303</v>
      </c>
      <c r="K7104" s="1" t="s">
        <v>3763</v>
      </c>
      <c r="L7104" s="1" t="s">
        <v>701</v>
      </c>
      <c r="M7104" s="86" t="s">
        <v>2731</v>
      </c>
      <c r="O7104" s="47" t="s">
        <v>941</v>
      </c>
      <c r="P7104" s="14" t="s">
        <v>75</v>
      </c>
      <c r="Q7104" s="14">
        <v>0.1</v>
      </c>
      <c r="R7104" s="143">
        <v>7481</v>
      </c>
      <c r="S7104" s="47"/>
      <c r="T7104" s="6">
        <v>-195169</v>
      </c>
      <c r="U7104" s="6"/>
      <c r="V7104" s="6">
        <v>0</v>
      </c>
      <c r="W7104" s="6">
        <f t="shared" si="1104"/>
        <v>-195169</v>
      </c>
      <c r="X7104" s="6">
        <f t="shared" si="1105"/>
        <v>0</v>
      </c>
      <c r="Y7104" s="13">
        <f t="shared" si="1098"/>
        <v>0</v>
      </c>
      <c r="Z7104" s="14">
        <v>0</v>
      </c>
      <c r="AA7104" s="6">
        <v>0</v>
      </c>
      <c r="AB7104" s="4">
        <f t="shared" si="1099"/>
        <v>0</v>
      </c>
      <c r="AC7104" s="6">
        <f t="shared" si="1106"/>
        <v>0</v>
      </c>
      <c r="AD7104" s="6">
        <f t="shared" si="1101"/>
        <v>0</v>
      </c>
      <c r="AE7104" s="14">
        <f>VLOOKUP(I7104,[2]媒体政策预估表!A:N,MATCH(O7104,[2]媒体政策预估表!$A$2:$M$2,0),0)</f>
        <v>0</v>
      </c>
      <c r="AF7104" s="6">
        <f t="shared" si="1103"/>
        <v>0</v>
      </c>
      <c r="AG7104" s="14">
        <v>0</v>
      </c>
      <c r="AH7104" s="64">
        <f t="shared" si="1102"/>
        <v>0</v>
      </c>
      <c r="AJ7104" s="126" t="e">
        <v>#N/A</v>
      </c>
      <c r="AK7104" s="80">
        <f t="shared" si="1100"/>
        <v>0</v>
      </c>
      <c r="AL7104" s="85"/>
      <c r="AM7104" s="85"/>
    </row>
    <row r="7105" spans="1:39" s="86" customFormat="1" ht="13.25" hidden="1" customHeight="1" x14ac:dyDescent="0.3">
      <c r="A7105" s="89" t="s">
        <v>3978</v>
      </c>
      <c r="B7105" s="86" t="s">
        <v>701</v>
      </c>
      <c r="C7105" s="86" t="s">
        <v>164</v>
      </c>
      <c r="D7105" s="86" t="s">
        <v>174</v>
      </c>
      <c r="E7105" s="86" t="s">
        <v>1730</v>
      </c>
      <c r="F7105" s="86" t="s">
        <v>1730</v>
      </c>
      <c r="G7105" s="86" t="s">
        <v>1730</v>
      </c>
      <c r="H7105" s="143">
        <v>83</v>
      </c>
      <c r="I7105" s="86" t="s">
        <v>78</v>
      </c>
      <c r="J7105" s="1" t="s">
        <v>3303</v>
      </c>
      <c r="K7105" s="1" t="s">
        <v>3763</v>
      </c>
      <c r="L7105" s="1" t="s">
        <v>701</v>
      </c>
      <c r="M7105" s="86" t="s">
        <v>2825</v>
      </c>
      <c r="O7105" s="47" t="s">
        <v>941</v>
      </c>
      <c r="P7105" s="14" t="s">
        <v>41</v>
      </c>
      <c r="Q7105" s="14">
        <v>0</v>
      </c>
      <c r="R7105" s="143">
        <v>7485</v>
      </c>
      <c r="S7105" s="47"/>
      <c r="T7105" s="6">
        <v>-400</v>
      </c>
      <c r="U7105" s="6"/>
      <c r="V7105" s="6">
        <v>0</v>
      </c>
      <c r="W7105" s="6">
        <f t="shared" si="1104"/>
        <v>-400</v>
      </c>
      <c r="X7105" s="6">
        <f t="shared" si="1105"/>
        <v>0</v>
      </c>
      <c r="Y7105" s="13">
        <f t="shared" si="1098"/>
        <v>0</v>
      </c>
      <c r="Z7105" s="14">
        <v>0</v>
      </c>
      <c r="AA7105" s="6">
        <v>0</v>
      </c>
      <c r="AB7105" s="4"/>
      <c r="AC7105" s="6">
        <f t="shared" si="1106"/>
        <v>0</v>
      </c>
      <c r="AD7105" s="6">
        <f t="shared" si="1101"/>
        <v>0</v>
      </c>
      <c r="AE7105" s="14">
        <f>VLOOKUP(I7105,[2]媒体政策预估表!A:N,MATCH(O7105,[2]媒体政策预估表!$A$2:$M$2,0),0)</f>
        <v>0</v>
      </c>
      <c r="AF7105" s="6">
        <f t="shared" si="1103"/>
        <v>0</v>
      </c>
      <c r="AG7105" s="14">
        <v>0</v>
      </c>
      <c r="AH7105" s="64">
        <f t="shared" si="1102"/>
        <v>0</v>
      </c>
      <c r="AJ7105" s="126" t="s">
        <v>4217</v>
      </c>
      <c r="AK7105" s="80">
        <f t="shared" si="1100"/>
        <v>0</v>
      </c>
      <c r="AL7105" s="85"/>
      <c r="AM7105" s="85"/>
    </row>
    <row r="7106" spans="1:39" s="86" customFormat="1" ht="13.25" hidden="1" customHeight="1" x14ac:dyDescent="0.3">
      <c r="A7106" s="89" t="s">
        <v>3792</v>
      </c>
      <c r="B7106" s="86" t="s">
        <v>701</v>
      </c>
      <c r="C7106" s="86" t="s">
        <v>164</v>
      </c>
      <c r="D7106" s="86" t="s">
        <v>305</v>
      </c>
      <c r="E7106" s="86" t="s">
        <v>2805</v>
      </c>
      <c r="F7106" s="86" t="s">
        <v>2805</v>
      </c>
      <c r="G7106" s="86" t="s">
        <v>2805</v>
      </c>
      <c r="H7106" s="143">
        <v>83</v>
      </c>
      <c r="I7106" s="86" t="s">
        <v>78</v>
      </c>
      <c r="J7106" s="1" t="s">
        <v>3303</v>
      </c>
      <c r="K7106" s="1" t="s">
        <v>3763</v>
      </c>
      <c r="L7106" s="1" t="s">
        <v>701</v>
      </c>
      <c r="M7106" s="86" t="s">
        <v>2805</v>
      </c>
      <c r="O7106" s="47" t="s">
        <v>941</v>
      </c>
      <c r="P7106" s="14" t="s">
        <v>41</v>
      </c>
      <c r="Q7106" s="14">
        <v>0</v>
      </c>
      <c r="R7106" s="143">
        <v>7507</v>
      </c>
      <c r="S7106" s="47"/>
      <c r="T7106" s="6">
        <v>-1586</v>
      </c>
      <c r="U7106" s="6"/>
      <c r="V7106" s="6">
        <v>0</v>
      </c>
      <c r="W7106" s="6">
        <f t="shared" si="1104"/>
        <v>-1586</v>
      </c>
      <c r="X7106" s="6">
        <f t="shared" si="1105"/>
        <v>0</v>
      </c>
      <c r="Y7106" s="13">
        <f t="shared" si="1098"/>
        <v>0</v>
      </c>
      <c r="Z7106" s="14">
        <v>0</v>
      </c>
      <c r="AA7106" s="6">
        <v>0</v>
      </c>
      <c r="AB7106" s="4">
        <f t="shared" si="1099"/>
        <v>0</v>
      </c>
      <c r="AC7106" s="6">
        <f t="shared" si="1106"/>
        <v>0</v>
      </c>
      <c r="AD7106" s="6">
        <f t="shared" si="1101"/>
        <v>0</v>
      </c>
      <c r="AE7106" s="14">
        <f>VLOOKUP(I7106,[2]媒体政策预估表!A:N,MATCH(O7106,[2]媒体政策预估表!$A$2:$M$2,0),0)</f>
        <v>0</v>
      </c>
      <c r="AF7106" s="6">
        <f t="shared" si="1103"/>
        <v>0</v>
      </c>
      <c r="AG7106" s="14">
        <v>0</v>
      </c>
      <c r="AH7106" s="64">
        <f t="shared" si="1102"/>
        <v>0</v>
      </c>
      <c r="AJ7106" s="126" t="e">
        <v>#N/A</v>
      </c>
      <c r="AK7106" s="80">
        <f t="shared" si="1100"/>
        <v>0</v>
      </c>
      <c r="AL7106" s="85"/>
      <c r="AM7106" s="85"/>
    </row>
    <row r="7107" spans="1:39" s="86" customFormat="1" ht="13.25" hidden="1" customHeight="1" x14ac:dyDescent="0.3">
      <c r="A7107" s="89" t="s">
        <v>3978</v>
      </c>
      <c r="B7107" s="86" t="s">
        <v>701</v>
      </c>
      <c r="C7107" s="86" t="s">
        <v>184</v>
      </c>
      <c r="D7107" s="86" t="s">
        <v>54</v>
      </c>
      <c r="E7107" s="86" t="s">
        <v>1204</v>
      </c>
      <c r="F7107" s="86" t="s">
        <v>1204</v>
      </c>
      <c r="G7107" s="86" t="s">
        <v>1204</v>
      </c>
      <c r="H7107" s="143">
        <v>83</v>
      </c>
      <c r="I7107" s="86" t="s">
        <v>78</v>
      </c>
      <c r="J7107" s="1" t="s">
        <v>3303</v>
      </c>
      <c r="K7107" s="1" t="s">
        <v>3763</v>
      </c>
      <c r="L7107" s="1" t="s">
        <v>701</v>
      </c>
      <c r="M7107" s="86" t="s">
        <v>1204</v>
      </c>
      <c r="O7107" s="47" t="s">
        <v>941</v>
      </c>
      <c r="P7107" s="14" t="s">
        <v>41</v>
      </c>
      <c r="Q7107" s="14">
        <v>0</v>
      </c>
      <c r="R7107" s="143">
        <v>7521</v>
      </c>
      <c r="S7107" s="47"/>
      <c r="T7107" s="6">
        <v>-1000</v>
      </c>
      <c r="U7107" s="6"/>
      <c r="V7107" s="6">
        <v>0</v>
      </c>
      <c r="W7107" s="6">
        <f t="shared" si="1104"/>
        <v>-1000</v>
      </c>
      <c r="X7107" s="6">
        <f t="shared" si="1105"/>
        <v>0</v>
      </c>
      <c r="Y7107" s="13">
        <f t="shared" ref="Y7107:Y7170" si="1107">IF(X7107-AD7107&lt;=0,0,IF(P7107="返现",MAX(X7107-AC7107-AD7107,0),MAX(X7107-AD7107)))</f>
        <v>0</v>
      </c>
      <c r="Z7107" s="14">
        <v>0</v>
      </c>
      <c r="AA7107" s="6">
        <v>0</v>
      </c>
      <c r="AB7107" s="4">
        <f t="shared" ref="AB7107:AB7170" si="1108">X7107+AA7107</f>
        <v>0</v>
      </c>
      <c r="AC7107" s="6">
        <f t="shared" si="1106"/>
        <v>0</v>
      </c>
      <c r="AD7107" s="6">
        <f t="shared" si="1101"/>
        <v>0</v>
      </c>
      <c r="AE7107" s="14">
        <f>VLOOKUP(I7107,[2]媒体政策预估表!A:N,MATCH(O7107,[2]媒体政策预估表!$A$2:$M$2,0),0)</f>
        <v>0</v>
      </c>
      <c r="AF7107" s="6">
        <f t="shared" si="1103"/>
        <v>0</v>
      </c>
      <c r="AG7107" s="14">
        <v>0</v>
      </c>
      <c r="AH7107" s="64">
        <f t="shared" si="1102"/>
        <v>0</v>
      </c>
      <c r="AJ7107" s="126" t="e">
        <v>#N/A</v>
      </c>
      <c r="AK7107" s="80">
        <f t="shared" ref="AK7107:AK7170" si="1109">X7107+AA7107-AB7107</f>
        <v>0</v>
      </c>
      <c r="AL7107" s="85"/>
      <c r="AM7107" s="85"/>
    </row>
    <row r="7108" spans="1:39" s="86" customFormat="1" ht="13.25" hidden="1" customHeight="1" x14ac:dyDescent="0.3">
      <c r="A7108" s="89" t="s">
        <v>3978</v>
      </c>
      <c r="B7108" s="86" t="s">
        <v>701</v>
      </c>
      <c r="C7108" s="86" t="s">
        <v>184</v>
      </c>
      <c r="D7108" s="86" t="s">
        <v>224</v>
      </c>
      <c r="E7108" s="86" t="s">
        <v>2734</v>
      </c>
      <c r="F7108" s="86" t="s">
        <v>2734</v>
      </c>
      <c r="G7108" s="86" t="s">
        <v>2734</v>
      </c>
      <c r="H7108" s="144">
        <v>83</v>
      </c>
      <c r="I7108" s="86" t="s">
        <v>78</v>
      </c>
      <c r="J7108" s="1" t="s">
        <v>3303</v>
      </c>
      <c r="K7108" s="1" t="s">
        <v>3763</v>
      </c>
      <c r="L7108" s="1" t="s">
        <v>701</v>
      </c>
      <c r="M7108" s="86" t="s">
        <v>2734</v>
      </c>
      <c r="O7108" s="47" t="s">
        <v>941</v>
      </c>
      <c r="P7108" s="14" t="s">
        <v>41</v>
      </c>
      <c r="Q7108" s="14">
        <v>0</v>
      </c>
      <c r="R7108" s="143">
        <v>7569</v>
      </c>
      <c r="S7108" s="47"/>
      <c r="T7108" s="6">
        <v>-5275.1</v>
      </c>
      <c r="U7108" s="6"/>
      <c r="V7108" s="6">
        <v>3324.4</v>
      </c>
      <c r="W7108" s="6">
        <f t="shared" si="1104"/>
        <v>-8599.5</v>
      </c>
      <c r="X7108" s="6">
        <f t="shared" si="1105"/>
        <v>3324.4</v>
      </c>
      <c r="Y7108" s="13">
        <f t="shared" si="1107"/>
        <v>0</v>
      </c>
      <c r="Z7108" s="14">
        <v>0</v>
      </c>
      <c r="AA7108" s="6">
        <v>0</v>
      </c>
      <c r="AB7108" s="4">
        <f t="shared" si="1108"/>
        <v>3324.4</v>
      </c>
      <c r="AC7108" s="6">
        <f t="shared" si="1106"/>
        <v>0</v>
      </c>
      <c r="AD7108" s="6">
        <f t="shared" si="1101"/>
        <v>3324.4</v>
      </c>
      <c r="AE7108" s="14">
        <f>VLOOKUP(I7108,[2]媒体政策预估表!A:N,MATCH(O7108,[2]媒体政策预估表!$A$2:$M$2,0),0)</f>
        <v>0</v>
      </c>
      <c r="AF7108" s="6">
        <f t="shared" si="1103"/>
        <v>0</v>
      </c>
      <c r="AG7108" s="14">
        <v>0</v>
      </c>
      <c r="AH7108" s="64">
        <f t="shared" si="1102"/>
        <v>3324.4</v>
      </c>
      <c r="AJ7108" s="126" t="e">
        <v>#N/A</v>
      </c>
      <c r="AK7108" s="80">
        <f t="shared" si="1109"/>
        <v>0</v>
      </c>
      <c r="AL7108" s="85"/>
      <c r="AM7108" s="85"/>
    </row>
    <row r="7109" spans="1:39" s="86" customFormat="1" ht="13.25" hidden="1" customHeight="1" x14ac:dyDescent="0.3">
      <c r="A7109" s="89" t="s">
        <v>3978</v>
      </c>
      <c r="B7109" s="86" t="s">
        <v>701</v>
      </c>
      <c r="C7109" s="86" t="s">
        <v>65</v>
      </c>
      <c r="D7109" s="86" t="s">
        <v>122</v>
      </c>
      <c r="E7109" s="86" t="s">
        <v>2856</v>
      </c>
      <c r="F7109" s="86" t="s">
        <v>2856</v>
      </c>
      <c r="G7109" s="86" t="s">
        <v>2856</v>
      </c>
      <c r="H7109" s="144">
        <v>83</v>
      </c>
      <c r="I7109" s="86" t="s">
        <v>78</v>
      </c>
      <c r="J7109" s="1" t="s">
        <v>3303</v>
      </c>
      <c r="K7109" s="1" t="s">
        <v>3763</v>
      </c>
      <c r="L7109" s="1" t="s">
        <v>701</v>
      </c>
      <c r="M7109" s="86" t="s">
        <v>2857</v>
      </c>
      <c r="O7109" s="47" t="s">
        <v>941</v>
      </c>
      <c r="P7109" s="14" t="s">
        <v>41</v>
      </c>
      <c r="Q7109" s="14">
        <v>0</v>
      </c>
      <c r="R7109" s="143">
        <v>7591</v>
      </c>
      <c r="S7109" s="47"/>
      <c r="T7109" s="6">
        <v>-3500</v>
      </c>
      <c r="U7109" s="6"/>
      <c r="V7109" s="6">
        <v>6410</v>
      </c>
      <c r="W7109" s="6">
        <f t="shared" si="1104"/>
        <v>-9910</v>
      </c>
      <c r="X7109" s="6">
        <f t="shared" si="1105"/>
        <v>6410</v>
      </c>
      <c r="Y7109" s="13">
        <f t="shared" si="1107"/>
        <v>0</v>
      </c>
      <c r="Z7109" s="14">
        <v>0</v>
      </c>
      <c r="AA7109" s="6">
        <v>0</v>
      </c>
      <c r="AB7109" s="4">
        <f t="shared" si="1108"/>
        <v>6410</v>
      </c>
      <c r="AC7109" s="6">
        <f t="shared" si="1106"/>
        <v>0</v>
      </c>
      <c r="AD7109" s="6">
        <f t="shared" si="1101"/>
        <v>6410</v>
      </c>
      <c r="AE7109" s="14">
        <f>VLOOKUP(I7109,[2]媒体政策预估表!A:N,MATCH(O7109,[2]媒体政策预估表!$A$2:$M$2,0),0)</f>
        <v>0</v>
      </c>
      <c r="AF7109" s="6">
        <f t="shared" si="1103"/>
        <v>0</v>
      </c>
      <c r="AG7109" s="14">
        <v>0</v>
      </c>
      <c r="AH7109" s="64">
        <f t="shared" si="1102"/>
        <v>6410</v>
      </c>
      <c r="AJ7109" s="126" t="e">
        <v>#N/A</v>
      </c>
      <c r="AK7109" s="80">
        <f t="shared" si="1109"/>
        <v>0</v>
      </c>
      <c r="AL7109" s="85"/>
      <c r="AM7109" s="85"/>
    </row>
    <row r="7110" spans="1:39" s="86" customFormat="1" ht="13.25" hidden="1" customHeight="1" x14ac:dyDescent="0.3">
      <c r="A7110" s="89" t="s">
        <v>3792</v>
      </c>
      <c r="B7110" s="86" t="s">
        <v>701</v>
      </c>
      <c r="C7110" s="86" t="s">
        <v>184</v>
      </c>
      <c r="D7110" s="86" t="s">
        <v>54</v>
      </c>
      <c r="E7110" s="86" t="s">
        <v>2482</v>
      </c>
      <c r="F7110" s="86" t="s">
        <v>2483</v>
      </c>
      <c r="G7110" s="86" t="s">
        <v>2482</v>
      </c>
      <c r="H7110" s="143">
        <v>83</v>
      </c>
      <c r="I7110" s="86" t="s">
        <v>78</v>
      </c>
      <c r="J7110" s="1" t="s">
        <v>3303</v>
      </c>
      <c r="K7110" s="1" t="s">
        <v>3763</v>
      </c>
      <c r="L7110" s="1" t="s">
        <v>701</v>
      </c>
      <c r="M7110" s="86" t="s">
        <v>2482</v>
      </c>
      <c r="O7110" s="47" t="s">
        <v>941</v>
      </c>
      <c r="P7110" s="14" t="s">
        <v>41</v>
      </c>
      <c r="Q7110" s="14">
        <v>0</v>
      </c>
      <c r="R7110" s="143">
        <v>7592</v>
      </c>
      <c r="S7110" s="47"/>
      <c r="T7110" s="6">
        <v>-1010.5</v>
      </c>
      <c r="U7110" s="6"/>
      <c r="V7110" s="6">
        <v>0</v>
      </c>
      <c r="W7110" s="6">
        <f t="shared" si="1104"/>
        <v>-1010.5</v>
      </c>
      <c r="X7110" s="6">
        <f t="shared" si="1105"/>
        <v>0</v>
      </c>
      <c r="Y7110" s="13">
        <f t="shared" si="1107"/>
        <v>0</v>
      </c>
      <c r="Z7110" s="14">
        <v>0</v>
      </c>
      <c r="AA7110" s="6">
        <v>0</v>
      </c>
      <c r="AB7110" s="4">
        <f t="shared" si="1108"/>
        <v>0</v>
      </c>
      <c r="AC7110" s="6">
        <f t="shared" si="1106"/>
        <v>0</v>
      </c>
      <c r="AD7110" s="6">
        <f t="shared" si="1101"/>
        <v>0</v>
      </c>
      <c r="AE7110" s="14">
        <f>VLOOKUP(I7110,[2]媒体政策预估表!A:N,MATCH(O7110,[2]媒体政策预估表!$A$2:$M$2,0),0)</f>
        <v>0</v>
      </c>
      <c r="AF7110" s="6">
        <f t="shared" si="1103"/>
        <v>0</v>
      </c>
      <c r="AG7110" s="14">
        <v>0</v>
      </c>
      <c r="AH7110" s="64">
        <f t="shared" si="1102"/>
        <v>0</v>
      </c>
      <c r="AJ7110" s="126" t="e">
        <v>#N/A</v>
      </c>
      <c r="AK7110" s="80">
        <f t="shared" si="1109"/>
        <v>0</v>
      </c>
      <c r="AL7110" s="85"/>
      <c r="AM7110" s="85"/>
    </row>
    <row r="7111" spans="1:39" s="86" customFormat="1" ht="13.25" hidden="1" customHeight="1" x14ac:dyDescent="0.3">
      <c r="A7111" s="89" t="s">
        <v>3978</v>
      </c>
      <c r="B7111" s="86" t="s">
        <v>701</v>
      </c>
      <c r="C7111" s="86" t="s">
        <v>36</v>
      </c>
      <c r="D7111" s="86" t="s">
        <v>185</v>
      </c>
      <c r="E7111" s="86" t="s">
        <v>2409</v>
      </c>
      <c r="F7111" s="86" t="s">
        <v>2776</v>
      </c>
      <c r="G7111" s="86" t="s">
        <v>2409</v>
      </c>
      <c r="H7111" s="143">
        <v>83</v>
      </c>
      <c r="I7111" s="86" t="s">
        <v>78</v>
      </c>
      <c r="J7111" s="1" t="s">
        <v>3303</v>
      </c>
      <c r="K7111" s="1" t="s">
        <v>3763</v>
      </c>
      <c r="L7111" s="1" t="s">
        <v>701</v>
      </c>
      <c r="M7111" s="86" t="s">
        <v>2781</v>
      </c>
      <c r="O7111" s="47" t="s">
        <v>941</v>
      </c>
      <c r="P7111" s="14" t="s">
        <v>46</v>
      </c>
      <c r="Q7111" s="14">
        <v>7.0000000000000007E-2</v>
      </c>
      <c r="R7111" s="143">
        <v>7611</v>
      </c>
      <c r="S7111" s="47"/>
      <c r="T7111" s="6">
        <v>-12669</v>
      </c>
      <c r="U7111" s="6"/>
      <c r="V7111" s="6">
        <v>0</v>
      </c>
      <c r="W7111" s="6">
        <f t="shared" si="1104"/>
        <v>-12669</v>
      </c>
      <c r="X7111" s="6">
        <f t="shared" si="1105"/>
        <v>0</v>
      </c>
      <c r="Y7111" s="13">
        <f t="shared" si="1107"/>
        <v>0</v>
      </c>
      <c r="Z7111" s="14">
        <v>0</v>
      </c>
      <c r="AA7111" s="6">
        <v>0</v>
      </c>
      <c r="AB7111" s="4">
        <f t="shared" si="1108"/>
        <v>0</v>
      </c>
      <c r="AC7111" s="6">
        <f t="shared" si="1106"/>
        <v>0</v>
      </c>
      <c r="AD7111" s="6">
        <f t="shared" si="1101"/>
        <v>0</v>
      </c>
      <c r="AE7111" s="14">
        <f>VLOOKUP(I7111,[2]媒体政策预估表!A:N,MATCH(O7111,[2]媒体政策预估表!$A$2:$M$2,0),0)</f>
        <v>0</v>
      </c>
      <c r="AF7111" s="6">
        <f t="shared" si="1103"/>
        <v>0</v>
      </c>
      <c r="AG7111" s="14">
        <v>0</v>
      </c>
      <c r="AH7111" s="64">
        <f t="shared" si="1102"/>
        <v>0</v>
      </c>
      <c r="AJ7111" s="126" t="e">
        <v>#N/A</v>
      </c>
      <c r="AK7111" s="80">
        <f t="shared" si="1109"/>
        <v>0</v>
      </c>
      <c r="AL7111" s="85"/>
      <c r="AM7111" s="85"/>
    </row>
    <row r="7112" spans="1:39" s="86" customFormat="1" ht="13.25" hidden="1" customHeight="1" x14ac:dyDescent="0.3">
      <c r="A7112" s="89" t="s">
        <v>3978</v>
      </c>
      <c r="B7112" s="86" t="s">
        <v>701</v>
      </c>
      <c r="C7112" s="86" t="s">
        <v>184</v>
      </c>
      <c r="D7112" s="86" t="s">
        <v>3849</v>
      </c>
      <c r="E7112" s="86" t="s">
        <v>2772</v>
      </c>
      <c r="F7112" s="86" t="s">
        <v>2772</v>
      </c>
      <c r="G7112" s="86" t="s">
        <v>2772</v>
      </c>
      <c r="H7112" s="144">
        <v>83</v>
      </c>
      <c r="I7112" s="86" t="s">
        <v>78</v>
      </c>
      <c r="J7112" s="1" t="s">
        <v>3303</v>
      </c>
      <c r="K7112" s="1" t="s">
        <v>3763</v>
      </c>
      <c r="L7112" s="1" t="s">
        <v>701</v>
      </c>
      <c r="M7112" s="86" t="s">
        <v>2773</v>
      </c>
      <c r="O7112" s="47" t="s">
        <v>941</v>
      </c>
      <c r="P7112" s="14" t="s">
        <v>41</v>
      </c>
      <c r="Q7112" s="14">
        <v>0</v>
      </c>
      <c r="R7112" s="143">
        <v>7613</v>
      </c>
      <c r="S7112" s="47"/>
      <c r="T7112" s="6">
        <v>-159908.83000000002</v>
      </c>
      <c r="U7112" s="6"/>
      <c r="V7112" s="6">
        <v>95562.37</v>
      </c>
      <c r="W7112" s="6">
        <f t="shared" si="1104"/>
        <v>-255471.2</v>
      </c>
      <c r="X7112" s="6">
        <f t="shared" si="1105"/>
        <v>95562.37</v>
      </c>
      <c r="Y7112" s="13">
        <f t="shared" si="1107"/>
        <v>0</v>
      </c>
      <c r="Z7112" s="14">
        <v>0</v>
      </c>
      <c r="AA7112" s="6">
        <v>0</v>
      </c>
      <c r="AB7112" s="4">
        <f t="shared" si="1108"/>
        <v>95562.37</v>
      </c>
      <c r="AC7112" s="6">
        <f t="shared" si="1106"/>
        <v>0</v>
      </c>
      <c r="AD7112" s="6">
        <f t="shared" si="1101"/>
        <v>95562.37</v>
      </c>
      <c r="AE7112" s="14">
        <f>VLOOKUP(I7112,[2]媒体政策预估表!A:N,MATCH(O7112,[2]媒体政策预估表!$A$2:$M$2,0),0)</f>
        <v>0</v>
      </c>
      <c r="AF7112" s="6">
        <f t="shared" si="1103"/>
        <v>0</v>
      </c>
      <c r="AG7112" s="14">
        <v>0</v>
      </c>
      <c r="AH7112" s="64">
        <f t="shared" si="1102"/>
        <v>95562.37</v>
      </c>
      <c r="AJ7112" s="126" t="e">
        <v>#N/A</v>
      </c>
      <c r="AK7112" s="80">
        <f t="shared" si="1109"/>
        <v>0</v>
      </c>
      <c r="AL7112" s="85"/>
      <c r="AM7112" s="85"/>
    </row>
    <row r="7113" spans="1:39" s="86" customFormat="1" ht="13.25" hidden="1" customHeight="1" x14ac:dyDescent="0.3">
      <c r="A7113" s="89" t="s">
        <v>3978</v>
      </c>
      <c r="B7113" s="86" t="s">
        <v>701</v>
      </c>
      <c r="C7113" s="86" t="s">
        <v>164</v>
      </c>
      <c r="D7113" s="86" t="s">
        <v>305</v>
      </c>
      <c r="E7113" s="86" t="s">
        <v>2806</v>
      </c>
      <c r="F7113" s="86" t="s">
        <v>2806</v>
      </c>
      <c r="G7113" s="86" t="s">
        <v>2806</v>
      </c>
      <c r="H7113" s="144">
        <v>83</v>
      </c>
      <c r="I7113" s="86" t="s">
        <v>78</v>
      </c>
      <c r="J7113" s="1" t="s">
        <v>3303</v>
      </c>
      <c r="K7113" s="1" t="s">
        <v>3763</v>
      </c>
      <c r="L7113" s="1" t="s">
        <v>701</v>
      </c>
      <c r="M7113" s="86" t="s">
        <v>2806</v>
      </c>
      <c r="O7113" s="47" t="s">
        <v>941</v>
      </c>
      <c r="P7113" s="14" t="s">
        <v>46</v>
      </c>
      <c r="Q7113" s="14">
        <v>0.01</v>
      </c>
      <c r="R7113" s="143">
        <v>7614</v>
      </c>
      <c r="S7113" s="47"/>
      <c r="T7113" s="6">
        <v>-1910</v>
      </c>
      <c r="U7113" s="6"/>
      <c r="V7113" s="6">
        <v>886.23</v>
      </c>
      <c r="W7113" s="6">
        <f t="shared" si="1104"/>
        <v>-2796.23</v>
      </c>
      <c r="X7113" s="6">
        <f t="shared" si="1105"/>
        <v>877.45544554455444</v>
      </c>
      <c r="Y7113" s="13">
        <f t="shared" si="1107"/>
        <v>0</v>
      </c>
      <c r="Z7113" s="14">
        <v>0</v>
      </c>
      <c r="AA7113" s="6">
        <v>0</v>
      </c>
      <c r="AB7113" s="4">
        <f t="shared" si="1108"/>
        <v>877.45544554455444</v>
      </c>
      <c r="AC7113" s="6">
        <f t="shared" si="1106"/>
        <v>8.7745544554455819</v>
      </c>
      <c r="AD7113" s="6">
        <f t="shared" si="1101"/>
        <v>886.23</v>
      </c>
      <c r="AE7113" s="14">
        <f>VLOOKUP(I7113,[2]媒体政策预估表!A:N,MATCH(O7113,[2]媒体政策预估表!$A$2:$M$2,0),0)</f>
        <v>0</v>
      </c>
      <c r="AF7113" s="6">
        <f t="shared" si="1103"/>
        <v>0</v>
      </c>
      <c r="AG7113" s="14">
        <v>0</v>
      </c>
      <c r="AH7113" s="64">
        <f t="shared" si="1102"/>
        <v>886.23</v>
      </c>
      <c r="AJ7113" s="126" t="e">
        <v>#N/A</v>
      </c>
      <c r="AK7113" s="80">
        <f t="shared" si="1109"/>
        <v>0</v>
      </c>
      <c r="AL7113" s="85"/>
      <c r="AM7113" s="85"/>
    </row>
    <row r="7114" spans="1:39" s="86" customFormat="1" ht="13.25" hidden="1" customHeight="1" x14ac:dyDescent="0.3">
      <c r="A7114" s="89" t="s">
        <v>3978</v>
      </c>
      <c r="B7114" s="86" t="s">
        <v>701</v>
      </c>
      <c r="C7114" s="86" t="s">
        <v>144</v>
      </c>
      <c r="D7114" s="86" t="s">
        <v>145</v>
      </c>
      <c r="E7114" s="86" t="s">
        <v>2872</v>
      </c>
      <c r="F7114" s="86" t="s">
        <v>2872</v>
      </c>
      <c r="G7114" s="86" t="s">
        <v>2872</v>
      </c>
      <c r="H7114" s="143">
        <v>83</v>
      </c>
      <c r="I7114" s="86" t="s">
        <v>78</v>
      </c>
      <c r="J7114" s="1" t="s">
        <v>3303</v>
      </c>
      <c r="K7114" s="1" t="s">
        <v>3763</v>
      </c>
      <c r="L7114" s="1" t="s">
        <v>701</v>
      </c>
      <c r="M7114" s="86" t="s">
        <v>2873</v>
      </c>
      <c r="O7114" s="47" t="s">
        <v>941</v>
      </c>
      <c r="P7114" s="14" t="s">
        <v>46</v>
      </c>
      <c r="Q7114" s="14">
        <v>0.02</v>
      </c>
      <c r="R7114" s="143">
        <v>100</v>
      </c>
      <c r="S7114" s="47"/>
      <c r="T7114" s="6">
        <v>-200</v>
      </c>
      <c r="U7114" s="6"/>
      <c r="V7114" s="6">
        <v>0</v>
      </c>
      <c r="W7114" s="6">
        <f t="shared" si="1104"/>
        <v>-200</v>
      </c>
      <c r="X7114" s="6">
        <f t="shared" si="1105"/>
        <v>0</v>
      </c>
      <c r="Y7114" s="13">
        <f t="shared" si="1107"/>
        <v>0</v>
      </c>
      <c r="Z7114" s="14">
        <v>0</v>
      </c>
      <c r="AA7114" s="6">
        <v>0</v>
      </c>
      <c r="AB7114" s="4">
        <f t="shared" si="1108"/>
        <v>0</v>
      </c>
      <c r="AC7114" s="6">
        <f t="shared" si="1106"/>
        <v>0</v>
      </c>
      <c r="AD7114" s="6">
        <f t="shared" si="1101"/>
        <v>0</v>
      </c>
      <c r="AE7114" s="14">
        <f>VLOOKUP(I7114,[2]媒体政策预估表!A:N,MATCH(O7114,[2]媒体政策预估表!$A$2:$M$2,0),0)</f>
        <v>0</v>
      </c>
      <c r="AF7114" s="6">
        <f t="shared" si="1103"/>
        <v>0</v>
      </c>
      <c r="AG7114" s="14">
        <v>0</v>
      </c>
      <c r="AH7114" s="64">
        <f t="shared" si="1102"/>
        <v>0</v>
      </c>
      <c r="AJ7114" s="126" t="e">
        <v>#N/A</v>
      </c>
      <c r="AK7114" s="80">
        <f t="shared" si="1109"/>
        <v>0</v>
      </c>
      <c r="AL7114" s="85"/>
      <c r="AM7114" s="85"/>
    </row>
    <row r="7115" spans="1:39" s="86" customFormat="1" ht="13.25" hidden="1" customHeight="1" x14ac:dyDescent="0.3">
      <c r="A7115" s="89" t="s">
        <v>3978</v>
      </c>
      <c r="B7115" s="86" t="s">
        <v>35</v>
      </c>
      <c r="C7115" s="86" t="s">
        <v>184</v>
      </c>
      <c r="D7115" s="86" t="s">
        <v>3849</v>
      </c>
      <c r="E7115" s="86" t="s">
        <v>542</v>
      </c>
      <c r="F7115" s="86" t="s">
        <v>2707</v>
      </c>
      <c r="G7115" s="86" t="s">
        <v>1845</v>
      </c>
      <c r="H7115" s="143">
        <v>83</v>
      </c>
      <c r="I7115" s="86" t="s">
        <v>78</v>
      </c>
      <c r="J7115" s="1" t="s">
        <v>3303</v>
      </c>
      <c r="K7115" s="1" t="s">
        <v>3763</v>
      </c>
      <c r="L7115" s="1" t="s">
        <v>701</v>
      </c>
      <c r="M7115" s="86" t="s">
        <v>2708</v>
      </c>
      <c r="O7115" s="47" t="s">
        <v>941</v>
      </c>
      <c r="P7115" s="14" t="s">
        <v>46</v>
      </c>
      <c r="Q7115" s="14">
        <v>0.02</v>
      </c>
      <c r="R7115" s="143">
        <v>7148</v>
      </c>
      <c r="S7115" s="47"/>
      <c r="T7115" s="6">
        <v>-257.41000000000003</v>
      </c>
      <c r="U7115" s="6"/>
      <c r="V7115" s="6">
        <v>0</v>
      </c>
      <c r="W7115" s="6">
        <f t="shared" si="1104"/>
        <v>-257.41000000000003</v>
      </c>
      <c r="X7115" s="6">
        <f t="shared" si="1105"/>
        <v>0</v>
      </c>
      <c r="Y7115" s="13">
        <f t="shared" si="1107"/>
        <v>0</v>
      </c>
      <c r="Z7115" s="14">
        <v>0</v>
      </c>
      <c r="AA7115" s="6">
        <v>0</v>
      </c>
      <c r="AB7115" s="4">
        <f t="shared" si="1108"/>
        <v>0</v>
      </c>
      <c r="AC7115" s="6">
        <f t="shared" si="1106"/>
        <v>0</v>
      </c>
      <c r="AD7115" s="6">
        <f t="shared" si="1101"/>
        <v>0</v>
      </c>
      <c r="AE7115" s="14">
        <f>VLOOKUP(I7115,[2]媒体政策预估表!A:N,MATCH(O7115,[2]媒体政策预估表!$A$2:$M$2,0),0)</f>
        <v>0</v>
      </c>
      <c r="AF7115" s="6">
        <f t="shared" si="1103"/>
        <v>0</v>
      </c>
      <c r="AG7115" s="14">
        <v>0</v>
      </c>
      <c r="AH7115" s="64">
        <f t="shared" si="1102"/>
        <v>0</v>
      </c>
      <c r="AJ7115" s="126" t="e">
        <v>#N/A</v>
      </c>
      <c r="AK7115" s="80">
        <f t="shared" si="1109"/>
        <v>0</v>
      </c>
      <c r="AL7115" s="85"/>
      <c r="AM7115" s="85"/>
    </row>
    <row r="7116" spans="1:39" s="86" customFormat="1" ht="13.25" hidden="1" customHeight="1" x14ac:dyDescent="0.3">
      <c r="A7116" s="89" t="s">
        <v>3978</v>
      </c>
      <c r="B7116" s="86" t="s">
        <v>35</v>
      </c>
      <c r="C7116" s="86" t="s">
        <v>184</v>
      </c>
      <c r="D7116" s="86" t="s">
        <v>54</v>
      </c>
      <c r="E7116" s="86" t="s">
        <v>55</v>
      </c>
      <c r="F7116" s="86" t="s">
        <v>2831</v>
      </c>
      <c r="G7116" s="86" t="s">
        <v>1845</v>
      </c>
      <c r="H7116" s="144">
        <v>83</v>
      </c>
      <c r="I7116" s="86" t="s">
        <v>78</v>
      </c>
      <c r="J7116" s="1" t="s">
        <v>3303</v>
      </c>
      <c r="K7116" s="1" t="s">
        <v>3763</v>
      </c>
      <c r="L7116" s="1" t="s">
        <v>701</v>
      </c>
      <c r="M7116" s="86" t="s">
        <v>2832</v>
      </c>
      <c r="O7116" s="47" t="s">
        <v>941</v>
      </c>
      <c r="P7116" s="14" t="s">
        <v>41</v>
      </c>
      <c r="Q7116" s="14">
        <v>0</v>
      </c>
      <c r="R7116" s="143">
        <v>7265</v>
      </c>
      <c r="S7116" s="47"/>
      <c r="T7116" s="6">
        <v>-1400</v>
      </c>
      <c r="U7116" s="6"/>
      <c r="V7116" s="6">
        <v>6200</v>
      </c>
      <c r="W7116" s="6">
        <v>0</v>
      </c>
      <c r="X7116" s="6">
        <f t="shared" si="1105"/>
        <v>6200</v>
      </c>
      <c r="Y7116" s="13">
        <f t="shared" si="1107"/>
        <v>0</v>
      </c>
      <c r="Z7116" s="14">
        <v>0</v>
      </c>
      <c r="AA7116" s="6">
        <v>0</v>
      </c>
      <c r="AB7116" s="4">
        <f t="shared" si="1108"/>
        <v>6200</v>
      </c>
      <c r="AC7116" s="6">
        <f t="shared" si="1106"/>
        <v>0</v>
      </c>
      <c r="AD7116" s="6">
        <f t="shared" si="1101"/>
        <v>6200</v>
      </c>
      <c r="AE7116" s="14">
        <f>VLOOKUP(I7116,[2]媒体政策预估表!A:N,MATCH(O7116,[2]媒体政策预估表!$A$2:$M$2,0),0)</f>
        <v>0</v>
      </c>
      <c r="AF7116" s="6">
        <f t="shared" si="1103"/>
        <v>0</v>
      </c>
      <c r="AG7116" s="14">
        <v>0</v>
      </c>
      <c r="AH7116" s="64">
        <f t="shared" si="1102"/>
        <v>6200</v>
      </c>
      <c r="AJ7116" s="126" t="e">
        <v>#N/A</v>
      </c>
      <c r="AK7116" s="80">
        <f t="shared" si="1109"/>
        <v>0</v>
      </c>
      <c r="AL7116" s="85"/>
      <c r="AM7116" s="85"/>
    </row>
    <row r="7117" spans="1:39" s="86" customFormat="1" ht="13.25" hidden="1" customHeight="1" x14ac:dyDescent="0.3">
      <c r="A7117" s="89" t="s">
        <v>3978</v>
      </c>
      <c r="B7117" s="86" t="s">
        <v>701</v>
      </c>
      <c r="C7117" s="86" t="s">
        <v>144</v>
      </c>
      <c r="D7117" s="86" t="s">
        <v>152</v>
      </c>
      <c r="E7117" s="86" t="s">
        <v>2860</v>
      </c>
      <c r="F7117" s="86" t="s">
        <v>2860</v>
      </c>
      <c r="G7117" s="86" t="s">
        <v>2860</v>
      </c>
      <c r="H7117" s="144">
        <v>83</v>
      </c>
      <c r="I7117" s="86" t="s">
        <v>78</v>
      </c>
      <c r="J7117" s="1" t="s">
        <v>3303</v>
      </c>
      <c r="K7117" s="1" t="s">
        <v>3763</v>
      </c>
      <c r="L7117" s="1" t="s">
        <v>701</v>
      </c>
      <c r="M7117" s="86" t="s">
        <v>2861</v>
      </c>
      <c r="O7117" s="47" t="s">
        <v>941</v>
      </c>
      <c r="P7117" s="47" t="s">
        <v>41</v>
      </c>
      <c r="Q7117" s="14">
        <v>0</v>
      </c>
      <c r="R7117" s="143">
        <v>108</v>
      </c>
      <c r="S7117" s="47"/>
      <c r="T7117" s="6">
        <v>0</v>
      </c>
      <c r="U7117" s="6"/>
      <c r="V7117" s="6">
        <v>697</v>
      </c>
      <c r="W7117" s="6">
        <f t="shared" si="1104"/>
        <v>-697</v>
      </c>
      <c r="X7117" s="6">
        <f t="shared" si="1105"/>
        <v>697</v>
      </c>
      <c r="Y7117" s="13">
        <f t="shared" si="1107"/>
        <v>0</v>
      </c>
      <c r="Z7117" s="14">
        <v>0</v>
      </c>
      <c r="AA7117" s="6">
        <v>0</v>
      </c>
      <c r="AB7117" s="4">
        <f t="shared" si="1108"/>
        <v>697</v>
      </c>
      <c r="AC7117" s="6">
        <f t="shared" si="1106"/>
        <v>0</v>
      </c>
      <c r="AD7117" s="6">
        <f t="shared" si="1101"/>
        <v>697</v>
      </c>
      <c r="AE7117" s="14">
        <f>VLOOKUP(I7117,[2]媒体政策预估表!A:N,MATCH(O7117,[2]媒体政策预估表!$A$2:$M$2,0),0)</f>
        <v>0</v>
      </c>
      <c r="AF7117" s="6">
        <f t="shared" si="1103"/>
        <v>0</v>
      </c>
      <c r="AG7117" s="14">
        <v>0</v>
      </c>
      <c r="AH7117" s="64">
        <f t="shared" si="1102"/>
        <v>697</v>
      </c>
      <c r="AJ7117" s="126" t="e">
        <v>#N/A</v>
      </c>
      <c r="AK7117" s="80">
        <f t="shared" si="1109"/>
        <v>0</v>
      </c>
      <c r="AL7117" s="85"/>
      <c r="AM7117" s="85"/>
    </row>
    <row r="7118" spans="1:39" s="86" customFormat="1" ht="13.25" hidden="1" customHeight="1" x14ac:dyDescent="0.3">
      <c r="A7118" s="89" t="s">
        <v>3978</v>
      </c>
      <c r="B7118" s="86" t="s">
        <v>35</v>
      </c>
      <c r="C7118" s="86" t="s">
        <v>36</v>
      </c>
      <c r="D7118" s="86" t="s">
        <v>185</v>
      </c>
      <c r="E7118" s="86" t="s">
        <v>2695</v>
      </c>
      <c r="F7118" s="86" t="s">
        <v>2696</v>
      </c>
      <c r="G7118" s="86" t="s">
        <v>1845</v>
      </c>
      <c r="H7118" s="144">
        <v>83</v>
      </c>
      <c r="I7118" s="86" t="s">
        <v>78</v>
      </c>
      <c r="J7118" s="1" t="s">
        <v>3303</v>
      </c>
      <c r="K7118" s="1" t="s">
        <v>3763</v>
      </c>
      <c r="L7118" s="1" t="s">
        <v>701</v>
      </c>
      <c r="M7118" s="86" t="s">
        <v>2697</v>
      </c>
      <c r="O7118" s="47" t="s">
        <v>410</v>
      </c>
      <c r="P7118" s="14" t="s">
        <v>46</v>
      </c>
      <c r="Q7118" s="14">
        <v>0.03</v>
      </c>
      <c r="R7118" s="143">
        <v>7170</v>
      </c>
      <c r="S7118" s="47"/>
      <c r="T7118" s="6">
        <v>40635.070000000036</v>
      </c>
      <c r="U7118" s="6"/>
      <c r="V7118" s="6">
        <v>40635.070000000036</v>
      </c>
      <c r="W7118" s="6">
        <f t="shared" si="1104"/>
        <v>0</v>
      </c>
      <c r="X7118" s="6">
        <f t="shared" si="1105"/>
        <v>39451.524271844697</v>
      </c>
      <c r="Y7118" s="13">
        <f t="shared" si="1107"/>
        <v>0</v>
      </c>
      <c r="Z7118" s="14">
        <v>0</v>
      </c>
      <c r="AA7118" s="6">
        <v>0</v>
      </c>
      <c r="AB7118" s="4">
        <f t="shared" si="1108"/>
        <v>39451.524271844697</v>
      </c>
      <c r="AC7118" s="6">
        <f t="shared" si="1106"/>
        <v>1183.545728155339</v>
      </c>
      <c r="AD7118" s="6">
        <f t="shared" si="1101"/>
        <v>40635.070000000036</v>
      </c>
      <c r="AE7118" s="14">
        <f>VLOOKUP(I7118,[2]媒体政策预估表!A:N,MATCH(O7118,[2]媒体政策预估表!$A$2:$M$2,0),0)</f>
        <v>0.1293</v>
      </c>
      <c r="AF7118" s="6">
        <f t="shared" si="1103"/>
        <v>5254.1145510000042</v>
      </c>
      <c r="AG7118" s="14">
        <v>0</v>
      </c>
      <c r="AH7118" s="64">
        <f t="shared" si="1102"/>
        <v>40635.070000000036</v>
      </c>
      <c r="AJ7118" s="126" t="e">
        <v>#N/A</v>
      </c>
      <c r="AK7118" s="80">
        <f t="shared" si="1109"/>
        <v>0</v>
      </c>
      <c r="AL7118" s="85"/>
      <c r="AM7118" s="85"/>
    </row>
    <row r="7119" spans="1:39" s="86" customFormat="1" ht="13.25" hidden="1" customHeight="1" x14ac:dyDescent="0.3">
      <c r="A7119" s="89" t="s">
        <v>3978</v>
      </c>
      <c r="B7119" s="86" t="s">
        <v>35</v>
      </c>
      <c r="C7119" s="86" t="s">
        <v>36</v>
      </c>
      <c r="D7119" s="86" t="s">
        <v>185</v>
      </c>
      <c r="E7119" s="86" t="s">
        <v>2695</v>
      </c>
      <c r="F7119" s="86" t="s">
        <v>2717</v>
      </c>
      <c r="G7119" s="86" t="s">
        <v>1845</v>
      </c>
      <c r="H7119" s="144">
        <v>83</v>
      </c>
      <c r="I7119" s="86" t="s">
        <v>78</v>
      </c>
      <c r="J7119" s="1" t="s">
        <v>3303</v>
      </c>
      <c r="K7119" s="1" t="s">
        <v>3763</v>
      </c>
      <c r="L7119" s="1" t="s">
        <v>701</v>
      </c>
      <c r="M7119" s="86" t="s">
        <v>2719</v>
      </c>
      <c r="O7119" s="47" t="s">
        <v>4007</v>
      </c>
      <c r="P7119" s="47" t="s">
        <v>41</v>
      </c>
      <c r="Q7119" s="14">
        <v>0</v>
      </c>
      <c r="R7119" s="143">
        <v>7103</v>
      </c>
      <c r="S7119" s="47"/>
      <c r="T7119" s="6">
        <v>0</v>
      </c>
      <c r="U7119" s="6">
        <v>0</v>
      </c>
      <c r="V7119" s="6">
        <v>501</v>
      </c>
      <c r="W7119" s="6">
        <f t="shared" si="1104"/>
        <v>-501</v>
      </c>
      <c r="X7119" s="6">
        <f t="shared" si="1105"/>
        <v>501</v>
      </c>
      <c r="Y7119" s="13">
        <f t="shared" si="1107"/>
        <v>0</v>
      </c>
      <c r="Z7119" s="66">
        <v>0</v>
      </c>
      <c r="AA7119" s="6">
        <v>0</v>
      </c>
      <c r="AB7119" s="4">
        <f t="shared" si="1108"/>
        <v>501</v>
      </c>
      <c r="AC7119" s="6">
        <f t="shared" si="1106"/>
        <v>0</v>
      </c>
      <c r="AD7119" s="6">
        <f t="shared" si="1101"/>
        <v>501</v>
      </c>
      <c r="AE7119" s="14">
        <f>VLOOKUP(I7119,[2]媒体政策预估表!A:N,MATCH(O7119,[2]媒体政策预估表!$A$2:$M$2,0),0)</f>
        <v>0</v>
      </c>
      <c r="AF7119" s="6">
        <f t="shared" si="1103"/>
        <v>0</v>
      </c>
      <c r="AG7119" s="14">
        <v>0</v>
      </c>
      <c r="AH7119" s="64">
        <f t="shared" si="1102"/>
        <v>501</v>
      </c>
      <c r="AJ7119" s="126" t="e">
        <v>#N/A</v>
      </c>
      <c r="AK7119" s="80">
        <f t="shared" si="1109"/>
        <v>0</v>
      </c>
      <c r="AL7119" s="85"/>
      <c r="AM7119" s="85"/>
    </row>
    <row r="7120" spans="1:39" s="86" customFormat="1" ht="13.25" hidden="1" customHeight="1" x14ac:dyDescent="0.3">
      <c r="A7120" s="89" t="s">
        <v>3792</v>
      </c>
      <c r="B7120" s="86" t="s">
        <v>35</v>
      </c>
      <c r="C7120" s="86" t="s">
        <v>65</v>
      </c>
      <c r="D7120" s="86" t="s">
        <v>66</v>
      </c>
      <c r="E7120" s="86" t="s">
        <v>2709</v>
      </c>
      <c r="F7120" s="86" t="s">
        <v>2710</v>
      </c>
      <c r="G7120" s="86" t="s">
        <v>1845</v>
      </c>
      <c r="H7120" s="144">
        <v>83</v>
      </c>
      <c r="I7120" s="86" t="s">
        <v>78</v>
      </c>
      <c r="J7120" s="1" t="s">
        <v>3303</v>
      </c>
      <c r="K7120" s="1" t="s">
        <v>3763</v>
      </c>
      <c r="L7120" s="1" t="s">
        <v>701</v>
      </c>
      <c r="M7120" s="86" t="s">
        <v>2709</v>
      </c>
      <c r="O7120" s="47" t="s">
        <v>4007</v>
      </c>
      <c r="P7120" s="47" t="s">
        <v>46</v>
      </c>
      <c r="Q7120" s="14">
        <v>0.02</v>
      </c>
      <c r="R7120" s="143">
        <v>7576</v>
      </c>
      <c r="S7120" s="47"/>
      <c r="T7120" s="6">
        <v>0</v>
      </c>
      <c r="U7120" s="6">
        <v>0</v>
      </c>
      <c r="V7120" s="6">
        <v>1112</v>
      </c>
      <c r="W7120" s="6">
        <f t="shared" si="1104"/>
        <v>-1112</v>
      </c>
      <c r="X7120" s="6">
        <f t="shared" si="1105"/>
        <v>1090.1960784313726</v>
      </c>
      <c r="Y7120" s="13">
        <f t="shared" si="1107"/>
        <v>0</v>
      </c>
      <c r="Z7120" s="66">
        <v>0</v>
      </c>
      <c r="AA7120" s="6">
        <v>0</v>
      </c>
      <c r="AB7120" s="4">
        <f t="shared" si="1108"/>
        <v>1090.1960784313726</v>
      </c>
      <c r="AC7120" s="6">
        <f t="shared" si="1106"/>
        <v>21.803921568627402</v>
      </c>
      <c r="AD7120" s="6">
        <f t="shared" si="1101"/>
        <v>1112</v>
      </c>
      <c r="AE7120" s="14">
        <f>VLOOKUP(I7120,[2]媒体政策预估表!A:N,MATCH(O7120,[2]媒体政策预估表!$A$2:$M$2,0),0)</f>
        <v>0</v>
      </c>
      <c r="AF7120" s="6">
        <f t="shared" si="1103"/>
        <v>0</v>
      </c>
      <c r="AG7120" s="14">
        <v>0</v>
      </c>
      <c r="AH7120" s="64">
        <f t="shared" si="1102"/>
        <v>1112</v>
      </c>
      <c r="AJ7120" s="126" t="e">
        <v>#N/A</v>
      </c>
      <c r="AK7120" s="80">
        <f t="shared" si="1109"/>
        <v>0</v>
      </c>
      <c r="AL7120" s="85"/>
      <c r="AM7120" s="85"/>
    </row>
    <row r="7121" spans="1:39" s="86" customFormat="1" ht="13.25" hidden="1" customHeight="1" x14ac:dyDescent="0.3">
      <c r="A7121" s="89" t="s">
        <v>3978</v>
      </c>
      <c r="B7121" s="86" t="s">
        <v>701</v>
      </c>
      <c r="C7121" s="86" t="s">
        <v>36</v>
      </c>
      <c r="D7121" s="86" t="s">
        <v>185</v>
      </c>
      <c r="E7121" s="86" t="s">
        <v>2393</v>
      </c>
      <c r="F7121" s="86" t="s">
        <v>2774</v>
      </c>
      <c r="G7121" s="86" t="s">
        <v>2393</v>
      </c>
      <c r="H7121" s="144">
        <v>83</v>
      </c>
      <c r="I7121" s="86" t="s">
        <v>78</v>
      </c>
      <c r="J7121" s="1" t="s">
        <v>3303</v>
      </c>
      <c r="K7121" s="1" t="s">
        <v>3763</v>
      </c>
      <c r="L7121" s="1" t="s">
        <v>701</v>
      </c>
      <c r="M7121" s="86" t="s">
        <v>2775</v>
      </c>
      <c r="O7121" s="47" t="s">
        <v>4007</v>
      </c>
      <c r="P7121" s="47" t="s">
        <v>46</v>
      </c>
      <c r="Q7121" s="14">
        <v>7.0000000000000007E-2</v>
      </c>
      <c r="R7121" s="143">
        <v>7587</v>
      </c>
      <c r="S7121" s="47"/>
      <c r="T7121" s="6">
        <v>0</v>
      </c>
      <c r="U7121" s="6">
        <v>0</v>
      </c>
      <c r="V7121" s="6">
        <v>1569</v>
      </c>
      <c r="W7121" s="6">
        <f t="shared" si="1104"/>
        <v>-1569</v>
      </c>
      <c r="X7121" s="6">
        <f t="shared" si="1105"/>
        <v>1466.3551401869158</v>
      </c>
      <c r="Y7121" s="13">
        <f t="shared" si="1107"/>
        <v>0</v>
      </c>
      <c r="Z7121" s="66">
        <v>0</v>
      </c>
      <c r="AA7121" s="6">
        <v>0</v>
      </c>
      <c r="AB7121" s="4">
        <f t="shared" si="1108"/>
        <v>1466.3551401869158</v>
      </c>
      <c r="AC7121" s="6">
        <f t="shared" si="1106"/>
        <v>102.64485981308417</v>
      </c>
      <c r="AD7121" s="6">
        <f t="shared" si="1101"/>
        <v>1569</v>
      </c>
      <c r="AE7121" s="14">
        <f>VLOOKUP(I7121,[2]媒体政策预估表!A:N,MATCH(O7121,[2]媒体政策预估表!$A$2:$M$2,0),0)</f>
        <v>0</v>
      </c>
      <c r="AF7121" s="6">
        <f t="shared" si="1103"/>
        <v>0</v>
      </c>
      <c r="AG7121" s="14">
        <v>0</v>
      </c>
      <c r="AH7121" s="64">
        <f t="shared" si="1102"/>
        <v>1569</v>
      </c>
      <c r="AJ7121" s="126" t="e">
        <v>#N/A</v>
      </c>
      <c r="AK7121" s="80">
        <f t="shared" si="1109"/>
        <v>0</v>
      </c>
      <c r="AL7121" s="85"/>
      <c r="AM7121" s="85"/>
    </row>
    <row r="7122" spans="1:39" s="86" customFormat="1" ht="13.25" hidden="1" customHeight="1" x14ac:dyDescent="0.3">
      <c r="A7122" s="89" t="s">
        <v>3978</v>
      </c>
      <c r="B7122" s="86" t="s">
        <v>701</v>
      </c>
      <c r="C7122" s="86" t="s">
        <v>144</v>
      </c>
      <c r="D7122" s="86" t="s">
        <v>152</v>
      </c>
      <c r="E7122" s="86" t="s">
        <v>2886</v>
      </c>
      <c r="F7122" s="86" t="s">
        <v>2886</v>
      </c>
      <c r="G7122" s="86" t="s">
        <v>2886</v>
      </c>
      <c r="H7122" s="143">
        <v>83</v>
      </c>
      <c r="I7122" s="86" t="s">
        <v>78</v>
      </c>
      <c r="J7122" s="1" t="s">
        <v>3303</v>
      </c>
      <c r="K7122" s="1" t="s">
        <v>3763</v>
      </c>
      <c r="L7122" s="1" t="s">
        <v>701</v>
      </c>
      <c r="M7122" s="86" t="s">
        <v>2886</v>
      </c>
      <c r="O7122" s="47" t="s">
        <v>4007</v>
      </c>
      <c r="P7122" s="47" t="s">
        <v>41</v>
      </c>
      <c r="Q7122" s="14">
        <v>0</v>
      </c>
      <c r="R7122" s="143">
        <v>7482</v>
      </c>
      <c r="S7122" s="47"/>
      <c r="T7122" s="6">
        <v>0</v>
      </c>
      <c r="U7122" s="6">
        <v>0</v>
      </c>
      <c r="V7122" s="6">
        <v>400</v>
      </c>
      <c r="W7122" s="6">
        <f t="shared" si="1104"/>
        <v>-400</v>
      </c>
      <c r="X7122" s="6">
        <f t="shared" si="1105"/>
        <v>400</v>
      </c>
      <c r="Y7122" s="13">
        <f t="shared" si="1107"/>
        <v>0</v>
      </c>
      <c r="Z7122" s="66">
        <v>0</v>
      </c>
      <c r="AA7122" s="6">
        <v>0</v>
      </c>
      <c r="AB7122" s="4"/>
      <c r="AC7122" s="6">
        <f t="shared" si="1106"/>
        <v>0</v>
      </c>
      <c r="AD7122" s="6">
        <f t="shared" si="1101"/>
        <v>400</v>
      </c>
      <c r="AE7122" s="14">
        <f>VLOOKUP(I7122,[2]媒体政策预估表!A:N,MATCH(O7122,[2]媒体政策预估表!$A$2:$M$2,0),0)</f>
        <v>0</v>
      </c>
      <c r="AF7122" s="6">
        <f t="shared" si="1103"/>
        <v>0</v>
      </c>
      <c r="AG7122" s="14">
        <v>0</v>
      </c>
      <c r="AH7122" s="64">
        <f t="shared" si="1102"/>
        <v>400</v>
      </c>
      <c r="AJ7122" s="126">
        <v>104</v>
      </c>
      <c r="AK7122" s="80">
        <f t="shared" si="1109"/>
        <v>400</v>
      </c>
      <c r="AL7122" s="85"/>
      <c r="AM7122" s="85"/>
    </row>
    <row r="7123" spans="1:39" s="86" customFormat="1" ht="13.25" hidden="1" customHeight="1" x14ac:dyDescent="0.3">
      <c r="A7123" s="89" t="s">
        <v>3978</v>
      </c>
      <c r="B7123" s="86" t="s">
        <v>701</v>
      </c>
      <c r="C7123" s="86" t="s">
        <v>144</v>
      </c>
      <c r="D7123" s="86" t="s">
        <v>152</v>
      </c>
      <c r="E7123" s="86" t="s">
        <v>2886</v>
      </c>
      <c r="F7123" s="86" t="s">
        <v>2886</v>
      </c>
      <c r="G7123" s="86" t="s">
        <v>2886</v>
      </c>
      <c r="H7123" s="143">
        <v>83</v>
      </c>
      <c r="I7123" s="86" t="s">
        <v>78</v>
      </c>
      <c r="J7123" s="1" t="s">
        <v>3303</v>
      </c>
      <c r="K7123" s="1" t="s">
        <v>3763</v>
      </c>
      <c r="L7123" s="1" t="s">
        <v>701</v>
      </c>
      <c r="M7123" s="86" t="s">
        <v>4000</v>
      </c>
      <c r="O7123" s="47" t="s">
        <v>4007</v>
      </c>
      <c r="P7123" s="47" t="s">
        <v>41</v>
      </c>
      <c r="Q7123" s="14">
        <v>0</v>
      </c>
      <c r="R7123" s="143">
        <v>7632</v>
      </c>
      <c r="S7123" s="47"/>
      <c r="T7123" s="6">
        <v>0</v>
      </c>
      <c r="U7123" s="6">
        <v>0</v>
      </c>
      <c r="V7123" s="6">
        <v>1200</v>
      </c>
      <c r="W7123" s="6">
        <f t="shared" si="1104"/>
        <v>-1200</v>
      </c>
      <c r="X7123" s="6">
        <f t="shared" si="1105"/>
        <v>1200</v>
      </c>
      <c r="Y7123" s="13">
        <f t="shared" si="1107"/>
        <v>0</v>
      </c>
      <c r="Z7123" s="66">
        <v>0</v>
      </c>
      <c r="AA7123" s="6">
        <v>0</v>
      </c>
      <c r="AB7123" s="4"/>
      <c r="AC7123" s="6">
        <f t="shared" si="1106"/>
        <v>0</v>
      </c>
      <c r="AD7123" s="6">
        <f t="shared" si="1101"/>
        <v>1200</v>
      </c>
      <c r="AE7123" s="14">
        <f>VLOOKUP(I7123,[2]媒体政策预估表!A:N,MATCH(O7123,[2]媒体政策预估表!$A$2:$M$2,0),0)</f>
        <v>0</v>
      </c>
      <c r="AF7123" s="6">
        <f t="shared" si="1103"/>
        <v>0</v>
      </c>
      <c r="AG7123" s="14">
        <v>0</v>
      </c>
      <c r="AH7123" s="64">
        <f t="shared" si="1102"/>
        <v>1200</v>
      </c>
      <c r="AJ7123" s="126">
        <v>104</v>
      </c>
      <c r="AK7123" s="80">
        <f t="shared" si="1109"/>
        <v>1200</v>
      </c>
      <c r="AL7123" s="85"/>
      <c r="AM7123" s="85"/>
    </row>
    <row r="7124" spans="1:39" s="86" customFormat="1" ht="13.25" hidden="1" customHeight="1" x14ac:dyDescent="0.3">
      <c r="A7124" s="89" t="s">
        <v>3792</v>
      </c>
      <c r="B7124" s="86" t="s">
        <v>701</v>
      </c>
      <c r="C7124" s="86" t="s">
        <v>184</v>
      </c>
      <c r="D7124" s="86" t="s">
        <v>54</v>
      </c>
      <c r="E7124" s="86" t="s">
        <v>2743</v>
      </c>
      <c r="F7124" s="86" t="s">
        <v>2743</v>
      </c>
      <c r="G7124" s="86" t="s">
        <v>2743</v>
      </c>
      <c r="H7124" s="144">
        <v>83</v>
      </c>
      <c r="I7124" s="86" t="s">
        <v>78</v>
      </c>
      <c r="J7124" s="1" t="s">
        <v>3303</v>
      </c>
      <c r="K7124" s="1" t="s">
        <v>3763</v>
      </c>
      <c r="L7124" s="1" t="s">
        <v>701</v>
      </c>
      <c r="M7124" s="86" t="s">
        <v>2744</v>
      </c>
      <c r="O7124" s="47" t="s">
        <v>4007</v>
      </c>
      <c r="P7124" s="47" t="s">
        <v>41</v>
      </c>
      <c r="Q7124" s="14">
        <v>0</v>
      </c>
      <c r="R7124" s="143">
        <v>7165</v>
      </c>
      <c r="S7124" s="47"/>
      <c r="T7124" s="6">
        <v>0</v>
      </c>
      <c r="U7124" s="6">
        <v>0</v>
      </c>
      <c r="V7124" s="6">
        <v>8817.5</v>
      </c>
      <c r="W7124" s="6">
        <f t="shared" si="1104"/>
        <v>-8817.5</v>
      </c>
      <c r="X7124" s="6">
        <f t="shared" si="1105"/>
        <v>8817.5</v>
      </c>
      <c r="Y7124" s="13">
        <f t="shared" si="1107"/>
        <v>0</v>
      </c>
      <c r="Z7124" s="66">
        <v>0</v>
      </c>
      <c r="AA7124" s="6">
        <v>0</v>
      </c>
      <c r="AB7124" s="4">
        <f t="shared" si="1108"/>
        <v>8817.5</v>
      </c>
      <c r="AC7124" s="6">
        <f t="shared" si="1106"/>
        <v>0</v>
      </c>
      <c r="AD7124" s="6">
        <f t="shared" si="1101"/>
        <v>8817.5</v>
      </c>
      <c r="AE7124" s="14">
        <f>VLOOKUP(I7124,[2]媒体政策预估表!A:N,MATCH(O7124,[2]媒体政策预估表!$A$2:$M$2,0),0)</f>
        <v>0</v>
      </c>
      <c r="AF7124" s="6">
        <f t="shared" si="1103"/>
        <v>0</v>
      </c>
      <c r="AG7124" s="14">
        <v>0</v>
      </c>
      <c r="AH7124" s="64">
        <f t="shared" si="1102"/>
        <v>8817.5</v>
      </c>
      <c r="AJ7124" s="126" t="e">
        <v>#N/A</v>
      </c>
      <c r="AK7124" s="80">
        <f t="shared" si="1109"/>
        <v>0</v>
      </c>
      <c r="AL7124" s="85"/>
      <c r="AM7124" s="85"/>
    </row>
    <row r="7125" spans="1:39" s="86" customFormat="1" ht="13.25" hidden="1" customHeight="1" x14ac:dyDescent="0.3">
      <c r="A7125" s="89" t="s">
        <v>3978</v>
      </c>
      <c r="B7125" s="86" t="s">
        <v>701</v>
      </c>
      <c r="C7125" s="86" t="s">
        <v>164</v>
      </c>
      <c r="D7125" s="86" t="s">
        <v>169</v>
      </c>
      <c r="E7125" s="86" t="s">
        <v>2809</v>
      </c>
      <c r="F7125" s="86" t="s">
        <v>2809</v>
      </c>
      <c r="G7125" s="86" t="s">
        <v>2809</v>
      </c>
      <c r="H7125" s="144">
        <v>83</v>
      </c>
      <c r="I7125" s="86" t="s">
        <v>78</v>
      </c>
      <c r="J7125" s="1" t="s">
        <v>3303</v>
      </c>
      <c r="K7125" s="1" t="s">
        <v>3763</v>
      </c>
      <c r="L7125" s="1" t="s">
        <v>701</v>
      </c>
      <c r="M7125" s="86" t="s">
        <v>2810</v>
      </c>
      <c r="O7125" s="47" t="s">
        <v>3862</v>
      </c>
      <c r="P7125" s="14" t="s">
        <v>46</v>
      </c>
      <c r="Q7125" s="14">
        <v>0.02</v>
      </c>
      <c r="R7125" s="143">
        <v>7574</v>
      </c>
      <c r="S7125" s="47"/>
      <c r="T7125" s="6">
        <v>0</v>
      </c>
      <c r="U7125" s="6">
        <v>0</v>
      </c>
      <c r="V7125" s="6">
        <v>11886.43</v>
      </c>
      <c r="W7125" s="6">
        <f t="shared" si="1104"/>
        <v>-11886.43</v>
      </c>
      <c r="X7125" s="6">
        <f t="shared" si="1105"/>
        <v>11653.362745098038</v>
      </c>
      <c r="Y7125" s="13">
        <f t="shared" si="1107"/>
        <v>0</v>
      </c>
      <c r="Z7125" s="14">
        <v>0</v>
      </c>
      <c r="AA7125" s="6">
        <v>0</v>
      </c>
      <c r="AB7125" s="4">
        <f t="shared" si="1108"/>
        <v>11653.362745098038</v>
      </c>
      <c r="AC7125" s="6">
        <f t="shared" si="1106"/>
        <v>233.06725490196186</v>
      </c>
      <c r="AD7125" s="6">
        <f t="shared" si="1101"/>
        <v>11886.43</v>
      </c>
      <c r="AE7125" s="14">
        <f>VLOOKUP(I7125,[2]媒体政策预估表!A:N,MATCH(O7125,[2]媒体政策预估表!$A$2:$M$2,0),0)</f>
        <v>0</v>
      </c>
      <c r="AF7125" s="6">
        <f t="shared" si="1103"/>
        <v>0</v>
      </c>
      <c r="AG7125" s="14">
        <v>0</v>
      </c>
      <c r="AH7125" s="64">
        <f t="shared" si="1102"/>
        <v>11886.43</v>
      </c>
      <c r="AJ7125" s="126" t="e">
        <v>#N/A</v>
      </c>
      <c r="AK7125" s="80">
        <f t="shared" si="1109"/>
        <v>0</v>
      </c>
      <c r="AL7125" s="85"/>
      <c r="AM7125" s="85"/>
    </row>
    <row r="7126" spans="1:39" s="86" customFormat="1" ht="13.25" hidden="1" customHeight="1" x14ac:dyDescent="0.3">
      <c r="A7126" s="89" t="s">
        <v>3978</v>
      </c>
      <c r="B7126" s="86" t="s">
        <v>701</v>
      </c>
      <c r="C7126" s="86" t="s">
        <v>144</v>
      </c>
      <c r="D7126" s="86" t="s">
        <v>145</v>
      </c>
      <c r="E7126" s="86" t="s">
        <v>149</v>
      </c>
      <c r="F7126" s="86" t="s">
        <v>149</v>
      </c>
      <c r="G7126" s="86" t="s">
        <v>149</v>
      </c>
      <c r="H7126" s="144">
        <v>83</v>
      </c>
      <c r="I7126" s="86" t="s">
        <v>78</v>
      </c>
      <c r="J7126" s="1" t="s">
        <v>3303</v>
      </c>
      <c r="K7126" s="1" t="s">
        <v>3763</v>
      </c>
      <c r="L7126" s="1" t="s">
        <v>701</v>
      </c>
      <c r="M7126" s="86" t="s">
        <v>2791</v>
      </c>
      <c r="O7126" s="47" t="s">
        <v>4007</v>
      </c>
      <c r="P7126" s="14" t="s">
        <v>41</v>
      </c>
      <c r="Q7126" s="14">
        <v>0</v>
      </c>
      <c r="R7126" s="143">
        <v>7653</v>
      </c>
      <c r="S7126" s="47"/>
      <c r="T7126" s="6">
        <v>0</v>
      </c>
      <c r="U7126" s="6">
        <v>0</v>
      </c>
      <c r="V7126" s="6">
        <v>437</v>
      </c>
      <c r="W7126" s="6">
        <f t="shared" si="1104"/>
        <v>-437</v>
      </c>
      <c r="X7126" s="6">
        <f t="shared" si="1105"/>
        <v>437</v>
      </c>
      <c r="Y7126" s="13">
        <f t="shared" si="1107"/>
        <v>0</v>
      </c>
      <c r="Z7126" s="14">
        <v>0</v>
      </c>
      <c r="AA7126" s="6">
        <v>0</v>
      </c>
      <c r="AB7126" s="4">
        <f t="shared" si="1108"/>
        <v>437</v>
      </c>
      <c r="AC7126" s="6">
        <f t="shared" si="1106"/>
        <v>0</v>
      </c>
      <c r="AD7126" s="6">
        <f t="shared" si="1101"/>
        <v>437</v>
      </c>
      <c r="AE7126" s="14">
        <f>VLOOKUP(I7126,[2]媒体政策预估表!A:N,MATCH(O7126,[2]媒体政策预估表!$A$2:$M$2,0),0)</f>
        <v>0</v>
      </c>
      <c r="AF7126" s="6">
        <f t="shared" si="1103"/>
        <v>0</v>
      </c>
      <c r="AG7126" s="14">
        <v>0</v>
      </c>
      <c r="AH7126" s="64">
        <f t="shared" si="1102"/>
        <v>437</v>
      </c>
      <c r="AJ7126" s="126" t="e">
        <v>#N/A</v>
      </c>
      <c r="AK7126" s="80">
        <f t="shared" si="1109"/>
        <v>0</v>
      </c>
      <c r="AL7126" s="85"/>
      <c r="AM7126" s="85"/>
    </row>
    <row r="7127" spans="1:39" s="86" customFormat="1" ht="13.25" hidden="1" customHeight="1" x14ac:dyDescent="0.3">
      <c r="A7127" s="89" t="s">
        <v>3978</v>
      </c>
      <c r="B7127" s="86" t="s">
        <v>701</v>
      </c>
      <c r="C7127" s="86" t="s">
        <v>184</v>
      </c>
      <c r="D7127" s="86" t="s">
        <v>54</v>
      </c>
      <c r="E7127" s="86" t="s">
        <v>2846</v>
      </c>
      <c r="F7127" s="86" t="s">
        <v>2846</v>
      </c>
      <c r="G7127" s="86" t="s">
        <v>2846</v>
      </c>
      <c r="H7127" s="144">
        <v>83</v>
      </c>
      <c r="I7127" s="86" t="s">
        <v>78</v>
      </c>
      <c r="J7127" s="1" t="s">
        <v>3303</v>
      </c>
      <c r="K7127" s="1" t="s">
        <v>3763</v>
      </c>
      <c r="L7127" s="1" t="s">
        <v>701</v>
      </c>
      <c r="M7127" s="86" t="s">
        <v>2846</v>
      </c>
      <c r="O7127" s="47" t="s">
        <v>941</v>
      </c>
      <c r="P7127" s="47" t="s">
        <v>46</v>
      </c>
      <c r="Q7127" s="14">
        <v>0.02</v>
      </c>
      <c r="R7127" s="143">
        <v>7119</v>
      </c>
      <c r="S7127" s="47"/>
      <c r="T7127" s="6">
        <v>0</v>
      </c>
      <c r="U7127" s="6">
        <v>0</v>
      </c>
      <c r="V7127" s="6">
        <v>6175.0999999999985</v>
      </c>
      <c r="W7127" s="6">
        <f t="shared" si="1104"/>
        <v>-6175.0999999999985</v>
      </c>
      <c r="X7127" s="6">
        <f t="shared" si="1105"/>
        <v>6054.0196078431354</v>
      </c>
      <c r="Y7127" s="13">
        <f t="shared" si="1107"/>
        <v>0</v>
      </c>
      <c r="Z7127" s="14">
        <v>0</v>
      </c>
      <c r="AA7127" s="6">
        <v>0</v>
      </c>
      <c r="AB7127" s="4">
        <f t="shared" si="1108"/>
        <v>6054.0196078431354</v>
      </c>
      <c r="AC7127" s="6">
        <f t="shared" si="1106"/>
        <v>121.08039215686313</v>
      </c>
      <c r="AD7127" s="6">
        <f t="shared" si="1101"/>
        <v>6175.0999999999985</v>
      </c>
      <c r="AE7127" s="14">
        <f>VLOOKUP(I7127,[2]媒体政策预估表!A:N,MATCH(O7127,[2]媒体政策预估表!$A$2:$M$2,0),0)</f>
        <v>0</v>
      </c>
      <c r="AF7127" s="6">
        <f t="shared" si="1103"/>
        <v>0</v>
      </c>
      <c r="AG7127" s="14">
        <v>0</v>
      </c>
      <c r="AH7127" s="64">
        <f t="shared" si="1102"/>
        <v>6175.0999999999985</v>
      </c>
      <c r="AJ7127" s="126" t="e">
        <v>#N/A</v>
      </c>
      <c r="AK7127" s="80">
        <f t="shared" si="1109"/>
        <v>0</v>
      </c>
      <c r="AL7127" s="85"/>
      <c r="AM7127" s="85"/>
    </row>
    <row r="7128" spans="1:39" s="86" customFormat="1" ht="13.25" hidden="1" customHeight="1" x14ac:dyDescent="0.3">
      <c r="A7128" s="89" t="s">
        <v>3978</v>
      </c>
      <c r="B7128" s="86" t="s">
        <v>35</v>
      </c>
      <c r="C7128" s="86" t="s">
        <v>59</v>
      </c>
      <c r="D7128" s="86" t="s">
        <v>60</v>
      </c>
      <c r="E7128" s="86" t="s">
        <v>76</v>
      </c>
      <c r="F7128" s="86" t="s">
        <v>76</v>
      </c>
      <c r="G7128" s="86" t="s">
        <v>76</v>
      </c>
      <c r="H7128" s="144">
        <v>360</v>
      </c>
      <c r="I7128" s="86" t="s">
        <v>1060</v>
      </c>
      <c r="J7128" s="47" t="s">
        <v>3325</v>
      </c>
      <c r="K7128" s="47" t="s">
        <v>3767</v>
      </c>
      <c r="L7128" s="47" t="s">
        <v>35</v>
      </c>
      <c r="M7128" s="86" t="s">
        <v>3481</v>
      </c>
      <c r="O7128" s="47" t="s">
        <v>410</v>
      </c>
      <c r="P7128" s="47" t="s">
        <v>75</v>
      </c>
      <c r="Q7128" s="14">
        <v>0.06</v>
      </c>
      <c r="R7128" s="143" t="s">
        <v>3482</v>
      </c>
      <c r="S7128" s="47"/>
      <c r="T7128" s="6">
        <v>8008.61</v>
      </c>
      <c r="U7128" s="6">
        <v>40000</v>
      </c>
      <c r="V7128" s="6">
        <v>25278.1</v>
      </c>
      <c r="W7128" s="6">
        <f>T7128+U7128-V7128</f>
        <v>22730.510000000002</v>
      </c>
      <c r="X7128" s="6">
        <f t="shared" si="1105"/>
        <v>25278.1</v>
      </c>
      <c r="Y7128" s="13">
        <f t="shared" si="1107"/>
        <v>0</v>
      </c>
      <c r="Z7128" s="66">
        <v>0</v>
      </c>
      <c r="AA7128" s="6">
        <v>0</v>
      </c>
      <c r="AB7128" s="4">
        <f t="shared" si="1108"/>
        <v>25278.1</v>
      </c>
      <c r="AC7128" s="6">
        <f t="shared" si="1106"/>
        <v>1516.6859999999999</v>
      </c>
      <c r="AD7128" s="6">
        <f>V7128</f>
        <v>25278.1</v>
      </c>
      <c r="AE7128" s="14">
        <f>VLOOKUP(I7128,[2]媒体政策预估表!A:N,MATCH(O7128,[2]媒体政策预估表!$A$2:$M$2,0),0)</f>
        <v>7.0000000000000007E-2</v>
      </c>
      <c r="AF7128" s="6">
        <f t="shared" si="1103"/>
        <v>1769.4670000000001</v>
      </c>
      <c r="AG7128" s="14">
        <v>0</v>
      </c>
      <c r="AH7128" s="64">
        <f>V7128</f>
        <v>25278.1</v>
      </c>
      <c r="AJ7128" s="126" t="e">
        <v>#N/A</v>
      </c>
      <c r="AK7128" s="80">
        <f t="shared" si="1109"/>
        <v>0</v>
      </c>
      <c r="AL7128" s="85"/>
      <c r="AM7128" s="85"/>
    </row>
    <row r="7129" spans="1:39" s="86" customFormat="1" ht="13.25" hidden="1" customHeight="1" x14ac:dyDescent="0.3">
      <c r="A7129" s="89" t="s">
        <v>3792</v>
      </c>
      <c r="B7129" s="86" t="s">
        <v>35</v>
      </c>
      <c r="C7129" s="86" t="s">
        <v>59</v>
      </c>
      <c r="D7129" s="86" t="s">
        <v>60</v>
      </c>
      <c r="E7129" s="86" t="s">
        <v>76</v>
      </c>
      <c r="F7129" s="86" t="s">
        <v>76</v>
      </c>
      <c r="G7129" s="86" t="s">
        <v>76</v>
      </c>
      <c r="H7129" s="144">
        <v>360</v>
      </c>
      <c r="I7129" s="86" t="s">
        <v>1060</v>
      </c>
      <c r="J7129" s="47" t="s">
        <v>3325</v>
      </c>
      <c r="K7129" s="47" t="s">
        <v>3767</v>
      </c>
      <c r="L7129" s="47" t="s">
        <v>35</v>
      </c>
      <c r="M7129" s="86" t="s">
        <v>1061</v>
      </c>
      <c r="O7129" s="47" t="s">
        <v>410</v>
      </c>
      <c r="P7129" s="47" t="s">
        <v>75</v>
      </c>
      <c r="Q7129" s="14">
        <v>0.06</v>
      </c>
      <c r="R7129" s="143">
        <v>18511605911</v>
      </c>
      <c r="S7129" s="47"/>
      <c r="T7129" s="6">
        <v>9589</v>
      </c>
      <c r="U7129" s="6">
        <v>30000</v>
      </c>
      <c r="V7129" s="6">
        <v>23788.9</v>
      </c>
      <c r="W7129" s="6">
        <f t="shared" ref="W7129:W7192" si="1110">T7129+U7129-V7129</f>
        <v>15800.099999999999</v>
      </c>
      <c r="X7129" s="6">
        <f t="shared" si="1105"/>
        <v>23788.9</v>
      </c>
      <c r="Y7129" s="13">
        <f t="shared" si="1107"/>
        <v>0</v>
      </c>
      <c r="Z7129" s="66">
        <v>0</v>
      </c>
      <c r="AA7129" s="6">
        <v>0</v>
      </c>
      <c r="AB7129" s="4">
        <f t="shared" si="1108"/>
        <v>23788.9</v>
      </c>
      <c r="AC7129" s="6">
        <f t="shared" si="1106"/>
        <v>1427.3340000000001</v>
      </c>
      <c r="AD7129" s="6">
        <f t="shared" ref="AD7129:AD7192" si="1111">V7129</f>
        <v>23788.9</v>
      </c>
      <c r="AE7129" s="14">
        <f>VLOOKUP(I7129,[2]媒体政策预估表!A:N,MATCH(O7129,[2]媒体政策预估表!$A$2:$M$2,0),0)</f>
        <v>7.0000000000000007E-2</v>
      </c>
      <c r="AF7129" s="6">
        <f t="shared" si="1103"/>
        <v>1665.2230000000002</v>
      </c>
      <c r="AG7129" s="14">
        <v>0</v>
      </c>
      <c r="AH7129" s="64">
        <f t="shared" ref="AH7129:AH7192" si="1112">V7129</f>
        <v>23788.9</v>
      </c>
      <c r="AJ7129" s="126" t="e">
        <v>#N/A</v>
      </c>
      <c r="AK7129" s="80">
        <f t="shared" si="1109"/>
        <v>0</v>
      </c>
      <c r="AL7129" s="85"/>
      <c r="AM7129" s="85"/>
    </row>
    <row r="7130" spans="1:39" s="86" customFormat="1" ht="13.25" hidden="1" customHeight="1" x14ac:dyDescent="0.3">
      <c r="A7130" s="89" t="s">
        <v>3978</v>
      </c>
      <c r="B7130" s="86" t="s">
        <v>35</v>
      </c>
      <c r="C7130" s="86" t="s">
        <v>59</v>
      </c>
      <c r="D7130" s="86" t="s">
        <v>60</v>
      </c>
      <c r="E7130" s="86" t="s">
        <v>610</v>
      </c>
      <c r="F7130" s="86" t="s">
        <v>1062</v>
      </c>
      <c r="G7130" s="86" t="s">
        <v>610</v>
      </c>
      <c r="H7130" s="144">
        <v>360</v>
      </c>
      <c r="I7130" s="86" t="s">
        <v>1060</v>
      </c>
      <c r="J7130" s="47" t="s">
        <v>3325</v>
      </c>
      <c r="K7130" s="47" t="s">
        <v>3767</v>
      </c>
      <c r="L7130" s="47" t="s">
        <v>35</v>
      </c>
      <c r="M7130" s="86" t="s">
        <v>610</v>
      </c>
      <c r="O7130" s="47" t="s">
        <v>410</v>
      </c>
      <c r="P7130" s="47" t="s">
        <v>46</v>
      </c>
      <c r="Q7130" s="14">
        <v>0.02</v>
      </c>
      <c r="R7130" s="143" t="s">
        <v>1063</v>
      </c>
      <c r="S7130" s="47"/>
      <c r="T7130" s="6">
        <v>25496.5</v>
      </c>
      <c r="U7130" s="6">
        <v>30000</v>
      </c>
      <c r="V7130" s="6">
        <v>32451.5</v>
      </c>
      <c r="W7130" s="6">
        <f t="shared" si="1110"/>
        <v>23045</v>
      </c>
      <c r="X7130" s="6">
        <f t="shared" si="1105"/>
        <v>31815.196078431371</v>
      </c>
      <c r="Y7130" s="13">
        <f t="shared" si="1107"/>
        <v>0</v>
      </c>
      <c r="Z7130" s="66">
        <v>0</v>
      </c>
      <c r="AA7130" s="6">
        <v>0</v>
      </c>
      <c r="AB7130" s="4">
        <f t="shared" si="1108"/>
        <v>31815.196078431371</v>
      </c>
      <c r="AC7130" s="6">
        <f t="shared" si="1106"/>
        <v>636.30392156862945</v>
      </c>
      <c r="AD7130" s="6">
        <f t="shared" si="1111"/>
        <v>32451.5</v>
      </c>
      <c r="AE7130" s="14">
        <f>VLOOKUP(I7130,[2]媒体政策预估表!A:N,MATCH(O7130,[2]媒体政策预估表!$A$2:$M$2,0),0)</f>
        <v>7.0000000000000007E-2</v>
      </c>
      <c r="AF7130" s="6">
        <f t="shared" si="1103"/>
        <v>2271.605</v>
      </c>
      <c r="AG7130" s="14">
        <v>0</v>
      </c>
      <c r="AH7130" s="64">
        <f t="shared" si="1112"/>
        <v>32451.5</v>
      </c>
      <c r="AJ7130" s="126" t="e">
        <v>#N/A</v>
      </c>
      <c r="AK7130" s="80">
        <f t="shared" si="1109"/>
        <v>0</v>
      </c>
      <c r="AL7130" s="85"/>
      <c r="AM7130" s="85"/>
    </row>
    <row r="7131" spans="1:39" s="86" customFormat="1" ht="13.25" hidden="1" customHeight="1" x14ac:dyDescent="0.3">
      <c r="A7131" s="89" t="s">
        <v>3978</v>
      </c>
      <c r="B7131" s="86" t="s">
        <v>35</v>
      </c>
      <c r="C7131" s="86" t="s">
        <v>59</v>
      </c>
      <c r="D7131" s="86" t="s">
        <v>60</v>
      </c>
      <c r="E7131" s="86" t="s">
        <v>1065</v>
      </c>
      <c r="F7131" s="86" t="s">
        <v>1066</v>
      </c>
      <c r="G7131" s="86" t="s">
        <v>1065</v>
      </c>
      <c r="H7131" s="144">
        <v>360</v>
      </c>
      <c r="I7131" s="86" t="s">
        <v>1060</v>
      </c>
      <c r="J7131" s="47" t="s">
        <v>3325</v>
      </c>
      <c r="K7131" s="47" t="s">
        <v>3767</v>
      </c>
      <c r="L7131" s="47" t="s">
        <v>35</v>
      </c>
      <c r="M7131" s="86" t="s">
        <v>1067</v>
      </c>
      <c r="O7131" s="47" t="s">
        <v>410</v>
      </c>
      <c r="P7131" s="47" t="s">
        <v>46</v>
      </c>
      <c r="Q7131" s="14">
        <v>0.02</v>
      </c>
      <c r="R7131" s="143" t="s">
        <v>1068</v>
      </c>
      <c r="S7131" s="47"/>
      <c r="T7131" s="6">
        <v>22171.699999999997</v>
      </c>
      <c r="U7131" s="6">
        <v>20000</v>
      </c>
      <c r="V7131" s="6">
        <v>25749.3</v>
      </c>
      <c r="W7131" s="6">
        <f t="shared" si="1110"/>
        <v>16422.399999999998</v>
      </c>
      <c r="X7131" s="6">
        <f t="shared" si="1105"/>
        <v>25244.411764705881</v>
      </c>
      <c r="Y7131" s="13">
        <f t="shared" si="1107"/>
        <v>0</v>
      </c>
      <c r="Z7131" s="66">
        <v>0</v>
      </c>
      <c r="AA7131" s="6">
        <v>0</v>
      </c>
      <c r="AB7131" s="4">
        <v>25244.411764705881</v>
      </c>
      <c r="AC7131" s="6">
        <f t="shared" si="1106"/>
        <v>504.8882352941182</v>
      </c>
      <c r="AD7131" s="6">
        <f t="shared" si="1111"/>
        <v>25749.3</v>
      </c>
      <c r="AE7131" s="14">
        <f>VLOOKUP(I7131,[2]媒体政策预估表!A:N,MATCH(O7131,[2]媒体政策预估表!$A$2:$M$2,0),0)</f>
        <v>7.0000000000000007E-2</v>
      </c>
      <c r="AF7131" s="6">
        <f t="shared" si="1103"/>
        <v>1802.451</v>
      </c>
      <c r="AG7131" s="14">
        <v>0</v>
      </c>
      <c r="AH7131" s="64">
        <f t="shared" si="1112"/>
        <v>25749.3</v>
      </c>
      <c r="AJ7131" s="126">
        <v>34</v>
      </c>
      <c r="AK7131" s="80">
        <f t="shared" si="1109"/>
        <v>0</v>
      </c>
      <c r="AL7131" s="85"/>
      <c r="AM7131" s="85"/>
    </row>
    <row r="7132" spans="1:39" s="86" customFormat="1" ht="13.25" hidden="1" customHeight="1" x14ac:dyDescent="0.3">
      <c r="A7132" s="89" t="s">
        <v>3792</v>
      </c>
      <c r="B7132" s="86" t="s">
        <v>35</v>
      </c>
      <c r="C7132" s="86" t="s">
        <v>59</v>
      </c>
      <c r="D7132" s="86" t="s">
        <v>60</v>
      </c>
      <c r="E7132" s="86" t="s">
        <v>1069</v>
      </c>
      <c r="F7132" s="86" t="s">
        <v>1069</v>
      </c>
      <c r="G7132" s="86" t="s">
        <v>1069</v>
      </c>
      <c r="H7132" s="144">
        <v>360</v>
      </c>
      <c r="I7132" s="86" t="s">
        <v>1060</v>
      </c>
      <c r="J7132" s="47" t="s">
        <v>3325</v>
      </c>
      <c r="K7132" s="47" t="s">
        <v>3767</v>
      </c>
      <c r="L7132" s="47" t="s">
        <v>35</v>
      </c>
      <c r="M7132" s="86" t="s">
        <v>1070</v>
      </c>
      <c r="O7132" s="47" t="s">
        <v>410</v>
      </c>
      <c r="P7132" s="47" t="s">
        <v>46</v>
      </c>
      <c r="Q7132" s="14">
        <v>0.02</v>
      </c>
      <c r="R7132" s="143" t="s">
        <v>1071</v>
      </c>
      <c r="S7132" s="47"/>
      <c r="T7132" s="6">
        <v>109509.4</v>
      </c>
      <c r="U7132" s="6">
        <v>5000</v>
      </c>
      <c r="V7132" s="6">
        <v>2449.4</v>
      </c>
      <c r="W7132" s="6">
        <f t="shared" si="1110"/>
        <v>112060</v>
      </c>
      <c r="X7132" s="6">
        <f t="shared" si="1105"/>
        <v>2401.372549019608</v>
      </c>
      <c r="Y7132" s="13">
        <f t="shared" si="1107"/>
        <v>0</v>
      </c>
      <c r="Z7132" s="66">
        <v>0</v>
      </c>
      <c r="AA7132" s="6">
        <v>0</v>
      </c>
      <c r="AB7132" s="4">
        <f t="shared" si="1108"/>
        <v>2401.372549019608</v>
      </c>
      <c r="AC7132" s="6">
        <f t="shared" si="1106"/>
        <v>48.027450980392132</v>
      </c>
      <c r="AD7132" s="6">
        <f t="shared" si="1111"/>
        <v>2449.4</v>
      </c>
      <c r="AE7132" s="14">
        <f>VLOOKUP(I7132,[2]媒体政策预估表!A:N,MATCH(O7132,[2]媒体政策预估表!$A$2:$M$2,0),0)</f>
        <v>7.0000000000000007E-2</v>
      </c>
      <c r="AF7132" s="6">
        <f t="shared" si="1103"/>
        <v>171.45800000000003</v>
      </c>
      <c r="AG7132" s="14">
        <v>0</v>
      </c>
      <c r="AH7132" s="64">
        <f t="shared" si="1112"/>
        <v>2449.4</v>
      </c>
      <c r="AJ7132" s="126" t="e">
        <v>#N/A</v>
      </c>
      <c r="AK7132" s="80">
        <f t="shared" si="1109"/>
        <v>0</v>
      </c>
      <c r="AL7132" s="85"/>
      <c r="AM7132" s="85"/>
    </row>
    <row r="7133" spans="1:39" s="86" customFormat="1" ht="13.25" hidden="1" customHeight="1" x14ac:dyDescent="0.3">
      <c r="A7133" s="89" t="s">
        <v>3978</v>
      </c>
      <c r="B7133" s="86" t="s">
        <v>35</v>
      </c>
      <c r="C7133" s="86" t="s">
        <v>59</v>
      </c>
      <c r="D7133" s="86" t="s">
        <v>60</v>
      </c>
      <c r="E7133" s="86" t="s">
        <v>4008</v>
      </c>
      <c r="F7133" s="86" t="s">
        <v>4008</v>
      </c>
      <c r="G7133" s="86" t="s">
        <v>4008</v>
      </c>
      <c r="H7133" s="143">
        <v>360</v>
      </c>
      <c r="I7133" s="86" t="s">
        <v>1060</v>
      </c>
      <c r="J7133" s="47" t="s">
        <v>3325</v>
      </c>
      <c r="K7133" s="47" t="s">
        <v>3767</v>
      </c>
      <c r="L7133" s="47" t="s">
        <v>35</v>
      </c>
      <c r="M7133" s="86" t="s">
        <v>4009</v>
      </c>
      <c r="O7133" s="47" t="s">
        <v>45</v>
      </c>
      <c r="P7133" s="47" t="s">
        <v>46</v>
      </c>
      <c r="Q7133" s="14">
        <v>0.04</v>
      </c>
      <c r="R7133" s="143" t="s">
        <v>4010</v>
      </c>
      <c r="S7133" s="47"/>
      <c r="T7133" s="6">
        <v>0</v>
      </c>
      <c r="U7133" s="6">
        <v>10000</v>
      </c>
      <c r="V7133" s="6">
        <v>0</v>
      </c>
      <c r="W7133" s="6">
        <f t="shared" si="1110"/>
        <v>10000</v>
      </c>
      <c r="X7133" s="6">
        <f t="shared" si="1105"/>
        <v>0</v>
      </c>
      <c r="Y7133" s="13">
        <f t="shared" si="1107"/>
        <v>0</v>
      </c>
      <c r="Z7133" s="66">
        <v>0</v>
      </c>
      <c r="AA7133" s="6">
        <v>0</v>
      </c>
      <c r="AB7133" s="4">
        <f t="shared" si="1108"/>
        <v>0</v>
      </c>
      <c r="AC7133" s="6">
        <f t="shared" si="1106"/>
        <v>0</v>
      </c>
      <c r="AD7133" s="6">
        <f t="shared" si="1111"/>
        <v>0</v>
      </c>
      <c r="AE7133" s="14">
        <f>VLOOKUP(I7133,[2]媒体政策预估表!A:N,MATCH(O7133,[2]媒体政策预估表!$A$2:$M$2,0),0)</f>
        <v>0.1</v>
      </c>
      <c r="AF7133" s="6">
        <f t="shared" si="1103"/>
        <v>0</v>
      </c>
      <c r="AG7133" s="14">
        <v>0</v>
      </c>
      <c r="AH7133" s="64">
        <f t="shared" si="1112"/>
        <v>0</v>
      </c>
      <c r="AJ7133" s="126" t="e">
        <v>#N/A</v>
      </c>
      <c r="AK7133" s="80">
        <f t="shared" si="1109"/>
        <v>0</v>
      </c>
      <c r="AL7133" s="85"/>
      <c r="AM7133" s="85"/>
    </row>
    <row r="7134" spans="1:39" s="86" customFormat="1" ht="13.25" hidden="1" customHeight="1" x14ac:dyDescent="0.3">
      <c r="A7134" s="89" t="s">
        <v>3792</v>
      </c>
      <c r="B7134" s="86" t="s">
        <v>35</v>
      </c>
      <c r="C7134" s="86" t="s">
        <v>59</v>
      </c>
      <c r="D7134" s="86" t="s">
        <v>60</v>
      </c>
      <c r="E7134" s="86" t="s">
        <v>4008</v>
      </c>
      <c r="F7134" s="86" t="s">
        <v>4008</v>
      </c>
      <c r="G7134" s="86" t="s">
        <v>4008</v>
      </c>
      <c r="H7134" s="144">
        <v>360</v>
      </c>
      <c r="I7134" s="86" t="s">
        <v>1060</v>
      </c>
      <c r="J7134" s="47" t="s">
        <v>3325</v>
      </c>
      <c r="K7134" s="47" t="s">
        <v>3767</v>
      </c>
      <c r="L7134" s="47" t="s">
        <v>35</v>
      </c>
      <c r="M7134" s="86" t="s">
        <v>4009</v>
      </c>
      <c r="O7134" s="47" t="s">
        <v>410</v>
      </c>
      <c r="P7134" s="47" t="s">
        <v>46</v>
      </c>
      <c r="Q7134" s="14">
        <v>0.02</v>
      </c>
      <c r="R7134" s="143" t="s">
        <v>4011</v>
      </c>
      <c r="S7134" s="47"/>
      <c r="T7134" s="6">
        <v>0</v>
      </c>
      <c r="U7134" s="6">
        <v>30000</v>
      </c>
      <c r="V7134" s="6">
        <v>7419.9</v>
      </c>
      <c r="W7134" s="6">
        <f t="shared" si="1110"/>
        <v>22580.1</v>
      </c>
      <c r="X7134" s="6">
        <f t="shared" si="1105"/>
        <v>7274.411764705882</v>
      </c>
      <c r="Y7134" s="13">
        <f t="shared" si="1107"/>
        <v>0</v>
      </c>
      <c r="Z7134" s="66">
        <v>0</v>
      </c>
      <c r="AA7134" s="6">
        <v>0</v>
      </c>
      <c r="AB7134" s="4">
        <f t="shared" si="1108"/>
        <v>7274.411764705882</v>
      </c>
      <c r="AC7134" s="6">
        <f t="shared" si="1106"/>
        <v>145.48823529411766</v>
      </c>
      <c r="AD7134" s="6">
        <f t="shared" si="1111"/>
        <v>7419.9</v>
      </c>
      <c r="AE7134" s="14">
        <f>VLOOKUP(I7134,[2]媒体政策预估表!A:N,MATCH(O7134,[2]媒体政策预估表!$A$2:$M$2,0),0)</f>
        <v>7.0000000000000007E-2</v>
      </c>
      <c r="AF7134" s="6">
        <f t="shared" si="1103"/>
        <v>519.39300000000003</v>
      </c>
      <c r="AG7134" s="14">
        <v>0</v>
      </c>
      <c r="AH7134" s="64">
        <f t="shared" si="1112"/>
        <v>7419.9</v>
      </c>
      <c r="AJ7134" s="126" t="e">
        <v>#N/A</v>
      </c>
      <c r="AK7134" s="80">
        <f t="shared" si="1109"/>
        <v>0</v>
      </c>
      <c r="AL7134" s="85"/>
      <c r="AM7134" s="85"/>
    </row>
    <row r="7135" spans="1:39" s="86" customFormat="1" ht="13.25" hidden="1" customHeight="1" x14ac:dyDescent="0.3">
      <c r="A7135" s="89" t="s">
        <v>3792</v>
      </c>
      <c r="B7135" s="86" t="s">
        <v>35</v>
      </c>
      <c r="C7135" s="86" t="s">
        <v>59</v>
      </c>
      <c r="D7135" s="86" t="s">
        <v>60</v>
      </c>
      <c r="E7135" s="86" t="s">
        <v>1072</v>
      </c>
      <c r="F7135" s="86" t="s">
        <v>1072</v>
      </c>
      <c r="G7135" s="86" t="s">
        <v>1072</v>
      </c>
      <c r="H7135" s="144">
        <v>360</v>
      </c>
      <c r="I7135" s="86" t="s">
        <v>1060</v>
      </c>
      <c r="J7135" s="47" t="s">
        <v>3325</v>
      </c>
      <c r="K7135" s="47" t="s">
        <v>3767</v>
      </c>
      <c r="L7135" s="47" t="s">
        <v>35</v>
      </c>
      <c r="M7135" s="86" t="s">
        <v>1072</v>
      </c>
      <c r="O7135" s="47" t="s">
        <v>410</v>
      </c>
      <c r="P7135" s="47" t="s">
        <v>41</v>
      </c>
      <c r="Q7135" s="14">
        <v>0</v>
      </c>
      <c r="R7135" s="143" t="s">
        <v>1073</v>
      </c>
      <c r="S7135" s="47"/>
      <c r="T7135" s="6">
        <v>2579.2999999999993</v>
      </c>
      <c r="U7135" s="6">
        <v>10000</v>
      </c>
      <c r="V7135" s="6">
        <v>7854</v>
      </c>
      <c r="W7135" s="6">
        <f t="shared" si="1110"/>
        <v>4725.2999999999993</v>
      </c>
      <c r="X7135" s="6">
        <f t="shared" si="1105"/>
        <v>7854</v>
      </c>
      <c r="Y7135" s="13">
        <f t="shared" si="1107"/>
        <v>0</v>
      </c>
      <c r="Z7135" s="66">
        <v>0</v>
      </c>
      <c r="AA7135" s="6">
        <v>0</v>
      </c>
      <c r="AB7135" s="4">
        <f t="shared" si="1108"/>
        <v>7854</v>
      </c>
      <c r="AC7135" s="6">
        <f t="shared" si="1106"/>
        <v>0</v>
      </c>
      <c r="AD7135" s="6">
        <f t="shared" si="1111"/>
        <v>7854</v>
      </c>
      <c r="AE7135" s="14">
        <f>VLOOKUP(I7135,[2]媒体政策预估表!A:N,MATCH(O7135,[2]媒体政策预估表!$A$2:$M$2,0),0)</f>
        <v>7.0000000000000007E-2</v>
      </c>
      <c r="AF7135" s="6">
        <f t="shared" si="1103"/>
        <v>549.78000000000009</v>
      </c>
      <c r="AG7135" s="14">
        <v>0</v>
      </c>
      <c r="AH7135" s="64">
        <f t="shared" si="1112"/>
        <v>7854</v>
      </c>
      <c r="AJ7135" s="126" t="e">
        <v>#N/A</v>
      </c>
      <c r="AK7135" s="80">
        <f t="shared" si="1109"/>
        <v>0</v>
      </c>
      <c r="AL7135" s="85"/>
      <c r="AM7135" s="85"/>
    </row>
    <row r="7136" spans="1:39" s="86" customFormat="1" ht="13.25" hidden="1" customHeight="1" x14ac:dyDescent="0.3">
      <c r="A7136" s="89" t="s">
        <v>3792</v>
      </c>
      <c r="B7136" s="86" t="s">
        <v>35</v>
      </c>
      <c r="C7136" s="86" t="s">
        <v>59</v>
      </c>
      <c r="D7136" s="86" t="s">
        <v>60</v>
      </c>
      <c r="E7136" s="86" t="s">
        <v>765</v>
      </c>
      <c r="F7136" s="86" t="s">
        <v>766</v>
      </c>
      <c r="G7136" s="86" t="s">
        <v>765</v>
      </c>
      <c r="H7136" s="144">
        <v>360</v>
      </c>
      <c r="I7136" s="86" t="s">
        <v>1060</v>
      </c>
      <c r="J7136" s="47" t="s">
        <v>3325</v>
      </c>
      <c r="K7136" s="47" t="s">
        <v>3767</v>
      </c>
      <c r="L7136" s="47" t="s">
        <v>35</v>
      </c>
      <c r="M7136" s="86" t="s">
        <v>765</v>
      </c>
      <c r="O7136" s="47" t="s">
        <v>410</v>
      </c>
      <c r="P7136" s="47" t="s">
        <v>46</v>
      </c>
      <c r="Q7136" s="14">
        <v>0.02</v>
      </c>
      <c r="R7136" s="143" t="s">
        <v>1078</v>
      </c>
      <c r="S7136" s="47"/>
      <c r="T7136" s="6">
        <v>4854064.1505500004</v>
      </c>
      <c r="U7136" s="6">
        <v>1055140.55</v>
      </c>
      <c r="V7136" s="6">
        <v>6379.5</v>
      </c>
      <c r="W7136" s="6">
        <f t="shared" si="1110"/>
        <v>5902825.2005500002</v>
      </c>
      <c r="X7136" s="6">
        <f t="shared" si="1105"/>
        <v>6254.411764705882</v>
      </c>
      <c r="Y7136" s="13">
        <f t="shared" si="1107"/>
        <v>0</v>
      </c>
      <c r="Z7136" s="66">
        <v>0</v>
      </c>
      <c r="AA7136" s="6">
        <v>0</v>
      </c>
      <c r="AB7136" s="4">
        <f t="shared" si="1108"/>
        <v>6254.411764705882</v>
      </c>
      <c r="AC7136" s="6">
        <f t="shared" si="1106"/>
        <v>125.08823529411802</v>
      </c>
      <c r="AD7136" s="6">
        <f t="shared" si="1111"/>
        <v>6379.5</v>
      </c>
      <c r="AE7136" s="14">
        <f>VLOOKUP(I7136,[2]媒体政策预估表!A:N,MATCH(O7136,[2]媒体政策预估表!$A$2:$M$2,0),0)</f>
        <v>7.0000000000000007E-2</v>
      </c>
      <c r="AF7136" s="6">
        <f t="shared" si="1103"/>
        <v>446.56500000000005</v>
      </c>
      <c r="AG7136" s="14">
        <v>0</v>
      </c>
      <c r="AH7136" s="64">
        <f t="shared" si="1112"/>
        <v>6379.5</v>
      </c>
      <c r="AJ7136" s="126" t="e">
        <v>#N/A</v>
      </c>
      <c r="AK7136" s="80">
        <f t="shared" si="1109"/>
        <v>0</v>
      </c>
      <c r="AL7136" s="85"/>
      <c r="AM7136" s="85"/>
    </row>
    <row r="7137" spans="1:39" s="86" customFormat="1" ht="13.25" hidden="1" customHeight="1" x14ac:dyDescent="0.3">
      <c r="A7137" s="89" t="s">
        <v>3792</v>
      </c>
      <c r="B7137" s="86" t="s">
        <v>35</v>
      </c>
      <c r="C7137" s="86" t="s">
        <v>59</v>
      </c>
      <c r="D7137" s="86" t="s">
        <v>60</v>
      </c>
      <c r="E7137" s="86" t="s">
        <v>419</v>
      </c>
      <c r="F7137" s="86" t="s">
        <v>419</v>
      </c>
      <c r="G7137" s="86" t="s">
        <v>419</v>
      </c>
      <c r="H7137" s="144">
        <v>360</v>
      </c>
      <c r="I7137" s="86" t="s">
        <v>1060</v>
      </c>
      <c r="J7137" s="47" t="s">
        <v>3325</v>
      </c>
      <c r="K7137" s="47" t="s">
        <v>3767</v>
      </c>
      <c r="L7137" s="47" t="s">
        <v>35</v>
      </c>
      <c r="M7137" s="86" t="s">
        <v>4012</v>
      </c>
      <c r="O7137" s="47" t="s">
        <v>410</v>
      </c>
      <c r="P7137" s="47" t="s">
        <v>46</v>
      </c>
      <c r="Q7137" s="14">
        <v>0.02</v>
      </c>
      <c r="R7137" s="143" t="s">
        <v>1082</v>
      </c>
      <c r="S7137" s="47"/>
      <c r="T7137" s="6">
        <v>13573.8</v>
      </c>
      <c r="U7137" s="6">
        <v>30000</v>
      </c>
      <c r="V7137" s="6">
        <v>31666.6</v>
      </c>
      <c r="W7137" s="6">
        <f t="shared" si="1110"/>
        <v>11907.200000000004</v>
      </c>
      <c r="X7137" s="6">
        <f t="shared" si="1105"/>
        <v>31045.686274509801</v>
      </c>
      <c r="Y7137" s="13">
        <f t="shared" si="1107"/>
        <v>0</v>
      </c>
      <c r="Z7137" s="66">
        <v>0</v>
      </c>
      <c r="AA7137" s="6">
        <v>0</v>
      </c>
      <c r="AB7137" s="4">
        <f t="shared" si="1108"/>
        <v>31045.686274509801</v>
      </c>
      <c r="AC7137" s="6">
        <f t="shared" si="1106"/>
        <v>620.91372549019798</v>
      </c>
      <c r="AD7137" s="6">
        <f t="shared" si="1111"/>
        <v>31666.6</v>
      </c>
      <c r="AE7137" s="14">
        <f>VLOOKUP(I7137,[2]媒体政策预估表!A:N,MATCH(O7137,[2]媒体政策预估表!$A$2:$M$2,0),0)</f>
        <v>7.0000000000000007E-2</v>
      </c>
      <c r="AF7137" s="6">
        <f t="shared" si="1103"/>
        <v>2216.6620000000003</v>
      </c>
      <c r="AG7137" s="14">
        <v>0</v>
      </c>
      <c r="AH7137" s="64">
        <f t="shared" si="1112"/>
        <v>31666.6</v>
      </c>
      <c r="AJ7137" s="126" t="e">
        <v>#N/A</v>
      </c>
      <c r="AK7137" s="80">
        <f t="shared" si="1109"/>
        <v>0</v>
      </c>
      <c r="AL7137" s="85"/>
      <c r="AM7137" s="85"/>
    </row>
    <row r="7138" spans="1:39" s="86" customFormat="1" ht="13.25" hidden="1" customHeight="1" x14ac:dyDescent="0.3">
      <c r="A7138" s="89" t="s">
        <v>3792</v>
      </c>
      <c r="B7138" s="86" t="s">
        <v>35</v>
      </c>
      <c r="C7138" s="86" t="s">
        <v>59</v>
      </c>
      <c r="D7138" s="86" t="s">
        <v>60</v>
      </c>
      <c r="E7138" s="86" t="s">
        <v>1083</v>
      </c>
      <c r="F7138" s="86" t="s">
        <v>1084</v>
      </c>
      <c r="G7138" s="86" t="s">
        <v>1083</v>
      </c>
      <c r="H7138" s="144">
        <v>360</v>
      </c>
      <c r="I7138" s="86" t="s">
        <v>1060</v>
      </c>
      <c r="J7138" s="47" t="s">
        <v>3325</v>
      </c>
      <c r="K7138" s="47" t="s">
        <v>3767</v>
      </c>
      <c r="L7138" s="47" t="s">
        <v>35</v>
      </c>
      <c r="M7138" s="86" t="s">
        <v>4013</v>
      </c>
      <c r="O7138" s="47" t="s">
        <v>410</v>
      </c>
      <c r="P7138" s="47" t="s">
        <v>41</v>
      </c>
      <c r="Q7138" s="14">
        <v>0</v>
      </c>
      <c r="R7138" s="143" t="s">
        <v>4014</v>
      </c>
      <c r="S7138" s="47"/>
      <c r="T7138" s="6">
        <v>0</v>
      </c>
      <c r="U7138" s="6">
        <v>60000</v>
      </c>
      <c r="V7138" s="6">
        <v>46448.2</v>
      </c>
      <c r="W7138" s="6">
        <f t="shared" si="1110"/>
        <v>13551.800000000003</v>
      </c>
      <c r="X7138" s="6">
        <f t="shared" si="1105"/>
        <v>46448.2</v>
      </c>
      <c r="Y7138" s="13">
        <f t="shared" si="1107"/>
        <v>0</v>
      </c>
      <c r="Z7138" s="66">
        <v>0</v>
      </c>
      <c r="AA7138" s="6">
        <v>0</v>
      </c>
      <c r="AB7138" s="4">
        <f t="shared" si="1108"/>
        <v>46448.2</v>
      </c>
      <c r="AC7138" s="6">
        <f t="shared" si="1106"/>
        <v>0</v>
      </c>
      <c r="AD7138" s="6">
        <f t="shared" si="1111"/>
        <v>46448.2</v>
      </c>
      <c r="AE7138" s="14">
        <f>VLOOKUP(I7138,[2]媒体政策预估表!A:N,MATCH(O7138,[2]媒体政策预估表!$A$2:$M$2,0),0)</f>
        <v>7.0000000000000007E-2</v>
      </c>
      <c r="AF7138" s="6">
        <f t="shared" si="1103"/>
        <v>3251.3740000000003</v>
      </c>
      <c r="AG7138" s="14">
        <v>0</v>
      </c>
      <c r="AH7138" s="64">
        <f t="shared" si="1112"/>
        <v>46448.2</v>
      </c>
      <c r="AJ7138" s="126" t="e">
        <v>#N/A</v>
      </c>
      <c r="AK7138" s="80">
        <f t="shared" si="1109"/>
        <v>0</v>
      </c>
      <c r="AL7138" s="85"/>
      <c r="AM7138" s="85"/>
    </row>
    <row r="7139" spans="1:39" s="86" customFormat="1" ht="13.25" hidden="1" customHeight="1" x14ac:dyDescent="0.3">
      <c r="A7139" s="89" t="s">
        <v>3792</v>
      </c>
      <c r="B7139" s="86" t="s">
        <v>35</v>
      </c>
      <c r="C7139" s="86" t="s">
        <v>59</v>
      </c>
      <c r="D7139" s="86" t="s">
        <v>60</v>
      </c>
      <c r="E7139" s="86" t="s">
        <v>1083</v>
      </c>
      <c r="F7139" s="86" t="s">
        <v>1084</v>
      </c>
      <c r="G7139" s="86" t="s">
        <v>1083</v>
      </c>
      <c r="H7139" s="144">
        <v>360</v>
      </c>
      <c r="I7139" s="86" t="s">
        <v>1060</v>
      </c>
      <c r="J7139" s="47" t="s">
        <v>3325</v>
      </c>
      <c r="K7139" s="47" t="s">
        <v>3767</v>
      </c>
      <c r="L7139" s="47" t="s">
        <v>35</v>
      </c>
      <c r="M7139" s="86" t="s">
        <v>1085</v>
      </c>
      <c r="O7139" s="47" t="s">
        <v>410</v>
      </c>
      <c r="P7139" s="47" t="s">
        <v>41</v>
      </c>
      <c r="Q7139" s="14">
        <v>0</v>
      </c>
      <c r="R7139" s="143" t="s">
        <v>1086</v>
      </c>
      <c r="S7139" s="47"/>
      <c r="T7139" s="6">
        <v>9706.2000000000044</v>
      </c>
      <c r="U7139" s="6">
        <v>78000</v>
      </c>
      <c r="V7139" s="6">
        <v>52084.9</v>
      </c>
      <c r="W7139" s="6">
        <f t="shared" si="1110"/>
        <v>35621.30000000001</v>
      </c>
      <c r="X7139" s="6">
        <f t="shared" si="1105"/>
        <v>52084.9</v>
      </c>
      <c r="Y7139" s="13">
        <f t="shared" si="1107"/>
        <v>0</v>
      </c>
      <c r="Z7139" s="66">
        <v>0</v>
      </c>
      <c r="AA7139" s="6">
        <v>0</v>
      </c>
      <c r="AB7139" s="4">
        <f t="shared" si="1108"/>
        <v>52084.9</v>
      </c>
      <c r="AC7139" s="6">
        <f t="shared" si="1106"/>
        <v>0</v>
      </c>
      <c r="AD7139" s="6">
        <f t="shared" si="1111"/>
        <v>52084.9</v>
      </c>
      <c r="AE7139" s="14">
        <f>VLOOKUP(I7139,[2]媒体政策预估表!A:N,MATCH(O7139,[2]媒体政策预估表!$A$2:$M$2,0),0)</f>
        <v>7.0000000000000007E-2</v>
      </c>
      <c r="AF7139" s="6">
        <f t="shared" si="1103"/>
        <v>3645.9430000000007</v>
      </c>
      <c r="AG7139" s="14">
        <v>0</v>
      </c>
      <c r="AH7139" s="64">
        <f t="shared" si="1112"/>
        <v>52084.9</v>
      </c>
      <c r="AJ7139" s="126" t="e">
        <v>#N/A</v>
      </c>
      <c r="AK7139" s="80">
        <f t="shared" si="1109"/>
        <v>0</v>
      </c>
      <c r="AL7139" s="85"/>
      <c r="AM7139" s="85"/>
    </row>
    <row r="7140" spans="1:39" s="86" customFormat="1" ht="13.25" hidden="1" customHeight="1" x14ac:dyDescent="0.3">
      <c r="A7140" s="89" t="s">
        <v>3978</v>
      </c>
      <c r="B7140" s="86" t="s">
        <v>35</v>
      </c>
      <c r="C7140" s="86" t="s">
        <v>59</v>
      </c>
      <c r="D7140" s="86" t="s">
        <v>60</v>
      </c>
      <c r="E7140" s="86" t="s">
        <v>1083</v>
      </c>
      <c r="F7140" s="86" t="s">
        <v>1084</v>
      </c>
      <c r="G7140" s="86" t="s">
        <v>1083</v>
      </c>
      <c r="H7140" s="144">
        <v>360</v>
      </c>
      <c r="I7140" s="86" t="s">
        <v>1060</v>
      </c>
      <c r="J7140" s="47" t="s">
        <v>3325</v>
      </c>
      <c r="K7140" s="47" t="s">
        <v>3767</v>
      </c>
      <c r="L7140" s="47" t="s">
        <v>35</v>
      </c>
      <c r="M7140" s="86" t="s">
        <v>1089</v>
      </c>
      <c r="O7140" s="47" t="s">
        <v>410</v>
      </c>
      <c r="P7140" s="47" t="s">
        <v>41</v>
      </c>
      <c r="Q7140" s="14">
        <v>0</v>
      </c>
      <c r="R7140" s="143" t="s">
        <v>1090</v>
      </c>
      <c r="S7140" s="47"/>
      <c r="T7140" s="6">
        <v>21830.399999999994</v>
      </c>
      <c r="U7140" s="6">
        <v>200000</v>
      </c>
      <c r="V7140" s="6">
        <v>161216.20000000001</v>
      </c>
      <c r="W7140" s="6">
        <f t="shared" si="1110"/>
        <v>60614.199999999983</v>
      </c>
      <c r="X7140" s="6">
        <f t="shared" si="1105"/>
        <v>161216.20000000001</v>
      </c>
      <c r="Y7140" s="13">
        <f t="shared" si="1107"/>
        <v>0</v>
      </c>
      <c r="Z7140" s="66">
        <v>0</v>
      </c>
      <c r="AA7140" s="6">
        <v>0</v>
      </c>
      <c r="AB7140" s="4">
        <f t="shared" si="1108"/>
        <v>161216.20000000001</v>
      </c>
      <c r="AC7140" s="6">
        <f t="shared" si="1106"/>
        <v>0</v>
      </c>
      <c r="AD7140" s="6">
        <f t="shared" si="1111"/>
        <v>161216.20000000001</v>
      </c>
      <c r="AE7140" s="14">
        <f>VLOOKUP(I7140,[2]媒体政策预估表!A:N,MATCH(O7140,[2]媒体政策预估表!$A$2:$M$2,0),0)</f>
        <v>7.0000000000000007E-2</v>
      </c>
      <c r="AF7140" s="6">
        <f t="shared" ref="AF7140:AF7203" si="1113">AD7140*AE7140</f>
        <v>11285.134000000002</v>
      </c>
      <c r="AG7140" s="14">
        <v>0</v>
      </c>
      <c r="AH7140" s="64">
        <f t="shared" si="1112"/>
        <v>161216.20000000001</v>
      </c>
      <c r="AJ7140" s="126" t="e">
        <v>#N/A</v>
      </c>
      <c r="AK7140" s="80">
        <f t="shared" si="1109"/>
        <v>0</v>
      </c>
      <c r="AL7140" s="85"/>
      <c r="AM7140" s="85"/>
    </row>
    <row r="7141" spans="1:39" s="86" customFormat="1" ht="13.25" hidden="1" customHeight="1" x14ac:dyDescent="0.3">
      <c r="A7141" s="89" t="s">
        <v>3792</v>
      </c>
      <c r="B7141" s="86" t="s">
        <v>35</v>
      </c>
      <c r="C7141" s="86" t="s">
        <v>59</v>
      </c>
      <c r="D7141" s="86" t="s">
        <v>60</v>
      </c>
      <c r="E7141" s="86" t="s">
        <v>1083</v>
      </c>
      <c r="F7141" s="86" t="s">
        <v>1084</v>
      </c>
      <c r="G7141" s="86" t="s">
        <v>1083</v>
      </c>
      <c r="H7141" s="144">
        <v>360</v>
      </c>
      <c r="I7141" s="86" t="s">
        <v>1060</v>
      </c>
      <c r="J7141" s="47" t="s">
        <v>3325</v>
      </c>
      <c r="K7141" s="47" t="s">
        <v>3767</v>
      </c>
      <c r="L7141" s="47" t="s">
        <v>35</v>
      </c>
      <c r="M7141" s="86" t="s">
        <v>1091</v>
      </c>
      <c r="O7141" s="47" t="s">
        <v>410</v>
      </c>
      <c r="P7141" s="47" t="s">
        <v>41</v>
      </c>
      <c r="Q7141" s="14">
        <v>0</v>
      </c>
      <c r="R7141" s="143" t="s">
        <v>1092</v>
      </c>
      <c r="S7141" s="47"/>
      <c r="T7141" s="6">
        <v>0</v>
      </c>
      <c r="U7141" s="6">
        <v>25000</v>
      </c>
      <c r="V7141" s="6">
        <v>9131.7999999999993</v>
      </c>
      <c r="W7141" s="6">
        <f t="shared" si="1110"/>
        <v>15868.2</v>
      </c>
      <c r="X7141" s="6">
        <f t="shared" si="1105"/>
        <v>9131.7999999999993</v>
      </c>
      <c r="Y7141" s="13">
        <f t="shared" si="1107"/>
        <v>0</v>
      </c>
      <c r="Z7141" s="66">
        <v>0</v>
      </c>
      <c r="AA7141" s="6">
        <v>0</v>
      </c>
      <c r="AB7141" s="4">
        <f t="shared" si="1108"/>
        <v>9131.7999999999993</v>
      </c>
      <c r="AC7141" s="6">
        <f t="shared" si="1106"/>
        <v>0</v>
      </c>
      <c r="AD7141" s="6">
        <f t="shared" si="1111"/>
        <v>9131.7999999999993</v>
      </c>
      <c r="AE7141" s="14">
        <f>VLOOKUP(I7141,[2]媒体政策预估表!A:N,MATCH(O7141,[2]媒体政策预估表!$A$2:$M$2,0),0)</f>
        <v>7.0000000000000007E-2</v>
      </c>
      <c r="AF7141" s="6">
        <f t="shared" si="1113"/>
        <v>639.226</v>
      </c>
      <c r="AG7141" s="14">
        <v>0</v>
      </c>
      <c r="AH7141" s="64">
        <f t="shared" si="1112"/>
        <v>9131.7999999999993</v>
      </c>
      <c r="AJ7141" s="126" t="e">
        <v>#N/A</v>
      </c>
      <c r="AK7141" s="80">
        <f t="shared" si="1109"/>
        <v>0</v>
      </c>
      <c r="AL7141" s="85"/>
      <c r="AM7141" s="85"/>
    </row>
    <row r="7142" spans="1:39" s="86" customFormat="1" ht="13.25" hidden="1" customHeight="1" x14ac:dyDescent="0.3">
      <c r="A7142" s="89" t="s">
        <v>3792</v>
      </c>
      <c r="B7142" s="86" t="s">
        <v>35</v>
      </c>
      <c r="C7142" s="86" t="s">
        <v>59</v>
      </c>
      <c r="D7142" s="86" t="s">
        <v>60</v>
      </c>
      <c r="E7142" s="86" t="s">
        <v>4015</v>
      </c>
      <c r="F7142" s="86" t="s">
        <v>4015</v>
      </c>
      <c r="G7142" s="86" t="s">
        <v>4015</v>
      </c>
      <c r="H7142" s="144">
        <v>360</v>
      </c>
      <c r="I7142" s="86" t="s">
        <v>1060</v>
      </c>
      <c r="J7142" s="47" t="s">
        <v>3325</v>
      </c>
      <c r="K7142" s="47" t="s">
        <v>3767</v>
      </c>
      <c r="L7142" s="47" t="s">
        <v>35</v>
      </c>
      <c r="M7142" s="86" t="s">
        <v>4015</v>
      </c>
      <c r="O7142" s="47" t="s">
        <v>410</v>
      </c>
      <c r="P7142" s="47" t="s">
        <v>41</v>
      </c>
      <c r="Q7142" s="14">
        <v>0</v>
      </c>
      <c r="R7142" s="143" t="s">
        <v>4016</v>
      </c>
      <c r="S7142" s="47"/>
      <c r="T7142" s="6">
        <v>0</v>
      </c>
      <c r="U7142" s="6">
        <v>20000</v>
      </c>
      <c r="V7142" s="6">
        <v>376.5</v>
      </c>
      <c r="W7142" s="6">
        <f t="shared" si="1110"/>
        <v>19623.5</v>
      </c>
      <c r="X7142" s="6">
        <f t="shared" si="1105"/>
        <v>376.5</v>
      </c>
      <c r="Y7142" s="13">
        <f t="shared" si="1107"/>
        <v>0</v>
      </c>
      <c r="Z7142" s="66">
        <v>0</v>
      </c>
      <c r="AA7142" s="6">
        <v>0</v>
      </c>
      <c r="AB7142" s="4">
        <f t="shared" si="1108"/>
        <v>376.5</v>
      </c>
      <c r="AC7142" s="6">
        <f t="shared" si="1106"/>
        <v>0</v>
      </c>
      <c r="AD7142" s="6">
        <f t="shared" si="1111"/>
        <v>376.5</v>
      </c>
      <c r="AE7142" s="14">
        <f>VLOOKUP(I7142,[2]媒体政策预估表!A:N,MATCH(O7142,[2]媒体政策预估表!$A$2:$M$2,0),0)</f>
        <v>7.0000000000000007E-2</v>
      </c>
      <c r="AF7142" s="6">
        <f t="shared" si="1113"/>
        <v>26.355000000000004</v>
      </c>
      <c r="AG7142" s="14">
        <v>0</v>
      </c>
      <c r="AH7142" s="64">
        <f t="shared" si="1112"/>
        <v>376.5</v>
      </c>
      <c r="AJ7142" s="126" t="e">
        <v>#N/A</v>
      </c>
      <c r="AK7142" s="80">
        <f t="shared" si="1109"/>
        <v>0</v>
      </c>
      <c r="AL7142" s="85"/>
      <c r="AM7142" s="85"/>
    </row>
    <row r="7143" spans="1:39" s="86" customFormat="1" ht="13.25" hidden="1" customHeight="1" x14ac:dyDescent="0.3">
      <c r="A7143" s="89" t="s">
        <v>3792</v>
      </c>
      <c r="B7143" s="86" t="s">
        <v>35</v>
      </c>
      <c r="C7143" s="86" t="s">
        <v>59</v>
      </c>
      <c r="D7143" s="86" t="s">
        <v>60</v>
      </c>
      <c r="E7143" s="86" t="s">
        <v>425</v>
      </c>
      <c r="F7143" s="86" t="s">
        <v>425</v>
      </c>
      <c r="G7143" s="86" t="s">
        <v>425</v>
      </c>
      <c r="H7143" s="144">
        <v>360</v>
      </c>
      <c r="I7143" s="86" t="s">
        <v>1060</v>
      </c>
      <c r="J7143" s="47" t="s">
        <v>3325</v>
      </c>
      <c r="K7143" s="47" t="s">
        <v>3767</v>
      </c>
      <c r="L7143" s="47" t="s">
        <v>35</v>
      </c>
      <c r="M7143" s="86" t="s">
        <v>3483</v>
      </c>
      <c r="O7143" s="47" t="s">
        <v>410</v>
      </c>
      <c r="P7143" s="47" t="s">
        <v>46</v>
      </c>
      <c r="Q7143" s="14">
        <v>0.02</v>
      </c>
      <c r="R7143" s="143" t="s">
        <v>3484</v>
      </c>
      <c r="S7143" s="47"/>
      <c r="T7143" s="6">
        <v>14734.699999999997</v>
      </c>
      <c r="U7143" s="6">
        <v>90000</v>
      </c>
      <c r="V7143" s="6">
        <v>92053.8</v>
      </c>
      <c r="W7143" s="6">
        <f t="shared" si="1110"/>
        <v>12680.899999999994</v>
      </c>
      <c r="X7143" s="6">
        <f t="shared" si="1105"/>
        <v>90248.823529411762</v>
      </c>
      <c r="Y7143" s="13">
        <f t="shared" si="1107"/>
        <v>0</v>
      </c>
      <c r="Z7143" s="66">
        <v>0</v>
      </c>
      <c r="AA7143" s="6">
        <v>0</v>
      </c>
      <c r="AB7143" s="4">
        <f t="shared" si="1108"/>
        <v>90248.823529411762</v>
      </c>
      <c r="AC7143" s="6">
        <f t="shared" si="1106"/>
        <v>1804.9764705882408</v>
      </c>
      <c r="AD7143" s="6">
        <f t="shared" si="1111"/>
        <v>92053.8</v>
      </c>
      <c r="AE7143" s="14">
        <f>VLOOKUP(I7143,[2]媒体政策预估表!A:N,MATCH(O7143,[2]媒体政策预估表!$A$2:$M$2,0),0)</f>
        <v>7.0000000000000007E-2</v>
      </c>
      <c r="AF7143" s="6">
        <f t="shared" si="1113"/>
        <v>6443.7660000000005</v>
      </c>
      <c r="AG7143" s="14">
        <v>0</v>
      </c>
      <c r="AH7143" s="64">
        <f t="shared" si="1112"/>
        <v>92053.8</v>
      </c>
      <c r="AJ7143" s="126" t="e">
        <v>#N/A</v>
      </c>
      <c r="AK7143" s="80">
        <f t="shared" si="1109"/>
        <v>0</v>
      </c>
      <c r="AL7143" s="85"/>
      <c r="AM7143" s="85"/>
    </row>
    <row r="7144" spans="1:39" s="86" customFormat="1" ht="13.25" hidden="1" customHeight="1" x14ac:dyDescent="0.3">
      <c r="A7144" s="89" t="s">
        <v>3792</v>
      </c>
      <c r="B7144" s="86" t="s">
        <v>35</v>
      </c>
      <c r="C7144" s="86" t="s">
        <v>36</v>
      </c>
      <c r="D7144" s="86" t="s">
        <v>185</v>
      </c>
      <c r="E7144" s="86" t="s">
        <v>1320</v>
      </c>
      <c r="F7144" s="86" t="s">
        <v>1321</v>
      </c>
      <c r="G7144" s="86" t="s">
        <v>1320</v>
      </c>
      <c r="H7144" s="144">
        <v>360</v>
      </c>
      <c r="I7144" s="86" t="s">
        <v>1060</v>
      </c>
      <c r="J7144" s="47" t="s">
        <v>3325</v>
      </c>
      <c r="K7144" s="47" t="s">
        <v>3767</v>
      </c>
      <c r="L7144" s="47" t="s">
        <v>35</v>
      </c>
      <c r="M7144" s="86" t="s">
        <v>1320</v>
      </c>
      <c r="O7144" s="47" t="s">
        <v>410</v>
      </c>
      <c r="P7144" s="47" t="s">
        <v>41</v>
      </c>
      <c r="Q7144" s="14">
        <v>0</v>
      </c>
      <c r="R7144" s="143" t="s">
        <v>1322</v>
      </c>
      <c r="S7144" s="47"/>
      <c r="T7144" s="6">
        <v>235064.0542700002</v>
      </c>
      <c r="U7144" s="6">
        <v>1600000</v>
      </c>
      <c r="V7144" s="6">
        <v>1687863.77467</v>
      </c>
      <c r="W7144" s="6">
        <f t="shared" si="1110"/>
        <v>147200.27960000024</v>
      </c>
      <c r="X7144" s="6">
        <f t="shared" si="1105"/>
        <v>1687863.77467</v>
      </c>
      <c r="Y7144" s="13">
        <f t="shared" si="1107"/>
        <v>0</v>
      </c>
      <c r="Z7144" s="66">
        <v>0</v>
      </c>
      <c r="AA7144" s="6">
        <v>0</v>
      </c>
      <c r="AB7144" s="4">
        <f t="shared" si="1108"/>
        <v>1687863.77467</v>
      </c>
      <c r="AC7144" s="6">
        <f t="shared" si="1106"/>
        <v>0</v>
      </c>
      <c r="AD7144" s="6">
        <f t="shared" si="1111"/>
        <v>1687863.77467</v>
      </c>
      <c r="AE7144" s="14">
        <f>VLOOKUP(I7144,[2]媒体政策预估表!A:N,MATCH(O7144,[2]媒体政策预估表!$A$2:$M$2,0),0)</f>
        <v>7.0000000000000007E-2</v>
      </c>
      <c r="AF7144" s="6">
        <f t="shared" si="1113"/>
        <v>118150.4642269</v>
      </c>
      <c r="AG7144" s="14">
        <v>0</v>
      </c>
      <c r="AH7144" s="64">
        <f t="shared" si="1112"/>
        <v>1687863.77467</v>
      </c>
      <c r="AJ7144" s="126" t="e">
        <v>#N/A</v>
      </c>
      <c r="AK7144" s="80">
        <f t="shared" si="1109"/>
        <v>0</v>
      </c>
      <c r="AL7144" s="85"/>
      <c r="AM7144" s="85"/>
    </row>
    <row r="7145" spans="1:39" s="86" customFormat="1" ht="13.25" hidden="1" customHeight="1" x14ac:dyDescent="0.3">
      <c r="A7145" s="89" t="s">
        <v>3792</v>
      </c>
      <c r="B7145" s="86" t="s">
        <v>35</v>
      </c>
      <c r="C7145" s="86" t="s">
        <v>36</v>
      </c>
      <c r="D7145" s="86" t="s">
        <v>185</v>
      </c>
      <c r="E7145" s="86" t="s">
        <v>1320</v>
      </c>
      <c r="F7145" s="86" t="s">
        <v>1321</v>
      </c>
      <c r="G7145" s="86" t="s">
        <v>1320</v>
      </c>
      <c r="H7145" s="144">
        <v>360</v>
      </c>
      <c r="I7145" s="86" t="s">
        <v>1060</v>
      </c>
      <c r="J7145" s="47" t="s">
        <v>3325</v>
      </c>
      <c r="K7145" s="47" t="s">
        <v>3767</v>
      </c>
      <c r="L7145" s="47" t="s">
        <v>35</v>
      </c>
      <c r="M7145" s="86" t="s">
        <v>1320</v>
      </c>
      <c r="O7145" s="47" t="s">
        <v>410</v>
      </c>
      <c r="P7145" s="47" t="s">
        <v>41</v>
      </c>
      <c r="Q7145" s="14">
        <v>0</v>
      </c>
      <c r="R7145" s="143" t="s">
        <v>4017</v>
      </c>
      <c r="S7145" s="47"/>
      <c r="T7145" s="6">
        <v>0</v>
      </c>
      <c r="U7145" s="6">
        <v>100000</v>
      </c>
      <c r="V7145" s="6">
        <v>56997</v>
      </c>
      <c r="W7145" s="6">
        <f t="shared" si="1110"/>
        <v>43003</v>
      </c>
      <c r="X7145" s="6">
        <f t="shared" si="1105"/>
        <v>56997</v>
      </c>
      <c r="Y7145" s="13">
        <f t="shared" si="1107"/>
        <v>0</v>
      </c>
      <c r="Z7145" s="66">
        <v>0</v>
      </c>
      <c r="AA7145" s="6">
        <v>0</v>
      </c>
      <c r="AB7145" s="4">
        <f t="shared" si="1108"/>
        <v>56997</v>
      </c>
      <c r="AC7145" s="6">
        <f t="shared" si="1106"/>
        <v>0</v>
      </c>
      <c r="AD7145" s="6">
        <f t="shared" si="1111"/>
        <v>56997</v>
      </c>
      <c r="AE7145" s="14">
        <f>VLOOKUP(I7145,[2]媒体政策预估表!A:N,MATCH(O7145,[2]媒体政策预估表!$A$2:$M$2,0),0)</f>
        <v>7.0000000000000007E-2</v>
      </c>
      <c r="AF7145" s="6">
        <f t="shared" si="1113"/>
        <v>3989.7900000000004</v>
      </c>
      <c r="AG7145" s="14">
        <v>0</v>
      </c>
      <c r="AH7145" s="64">
        <f t="shared" si="1112"/>
        <v>56997</v>
      </c>
      <c r="AJ7145" s="126" t="e">
        <v>#N/A</v>
      </c>
      <c r="AK7145" s="80">
        <f t="shared" si="1109"/>
        <v>0</v>
      </c>
      <c r="AL7145" s="85"/>
      <c r="AM7145" s="85"/>
    </row>
    <row r="7146" spans="1:39" s="86" customFormat="1" ht="13.25" hidden="1" customHeight="1" x14ac:dyDescent="0.3">
      <c r="A7146" s="89" t="s">
        <v>3978</v>
      </c>
      <c r="B7146" s="86" t="s">
        <v>35</v>
      </c>
      <c r="C7146" s="86" t="s">
        <v>36</v>
      </c>
      <c r="D7146" s="86" t="s">
        <v>185</v>
      </c>
      <c r="E7146" s="86" t="s">
        <v>4018</v>
      </c>
      <c r="F7146" s="86" t="s">
        <v>4018</v>
      </c>
      <c r="G7146" s="86" t="s">
        <v>4018</v>
      </c>
      <c r="H7146" s="144">
        <v>360</v>
      </c>
      <c r="I7146" s="86" t="s">
        <v>1060</v>
      </c>
      <c r="J7146" s="47" t="s">
        <v>3325</v>
      </c>
      <c r="K7146" s="47" t="s">
        <v>3767</v>
      </c>
      <c r="L7146" s="47" t="s">
        <v>35</v>
      </c>
      <c r="M7146" s="86" t="s">
        <v>4018</v>
      </c>
      <c r="O7146" s="47" t="s">
        <v>410</v>
      </c>
      <c r="P7146" s="47" t="s">
        <v>41</v>
      </c>
      <c r="Q7146" s="14">
        <v>0</v>
      </c>
      <c r="R7146" s="143">
        <v>1704652779</v>
      </c>
      <c r="S7146" s="47"/>
      <c r="T7146" s="6">
        <v>0</v>
      </c>
      <c r="U7146" s="6">
        <v>50000</v>
      </c>
      <c r="V7146" s="6">
        <v>19253.2</v>
      </c>
      <c r="W7146" s="6">
        <f t="shared" si="1110"/>
        <v>30746.799999999999</v>
      </c>
      <c r="X7146" s="6">
        <f t="shared" si="1105"/>
        <v>19253.2</v>
      </c>
      <c r="Y7146" s="13">
        <f t="shared" si="1107"/>
        <v>0</v>
      </c>
      <c r="Z7146" s="66">
        <v>0</v>
      </c>
      <c r="AA7146" s="6">
        <v>0</v>
      </c>
      <c r="AB7146" s="4">
        <f t="shared" si="1108"/>
        <v>19253.2</v>
      </c>
      <c r="AC7146" s="6">
        <f t="shared" si="1106"/>
        <v>0</v>
      </c>
      <c r="AD7146" s="6">
        <f t="shared" si="1111"/>
        <v>19253.2</v>
      </c>
      <c r="AE7146" s="14">
        <f>VLOOKUP(I7146,[2]媒体政策预估表!A:N,MATCH(O7146,[2]媒体政策预估表!$A$2:$M$2,0),0)</f>
        <v>7.0000000000000007E-2</v>
      </c>
      <c r="AF7146" s="6">
        <f t="shared" si="1113"/>
        <v>1347.7240000000002</v>
      </c>
      <c r="AG7146" s="14">
        <v>0</v>
      </c>
      <c r="AH7146" s="64">
        <f t="shared" si="1112"/>
        <v>19253.2</v>
      </c>
      <c r="AJ7146" s="126" t="e">
        <v>#N/A</v>
      </c>
      <c r="AK7146" s="80">
        <f t="shared" si="1109"/>
        <v>0</v>
      </c>
      <c r="AL7146" s="85"/>
      <c r="AM7146" s="85"/>
    </row>
    <row r="7147" spans="1:39" s="86" customFormat="1" ht="13.25" hidden="1" customHeight="1" x14ac:dyDescent="0.3">
      <c r="A7147" s="89" t="s">
        <v>3792</v>
      </c>
      <c r="B7147" s="86" t="s">
        <v>35</v>
      </c>
      <c r="C7147" s="86" t="s">
        <v>65</v>
      </c>
      <c r="D7147" s="86" t="s">
        <v>66</v>
      </c>
      <c r="E7147" s="86" t="s">
        <v>1228</v>
      </c>
      <c r="F7147" s="86" t="s">
        <v>1228</v>
      </c>
      <c r="G7147" s="86" t="s">
        <v>1228</v>
      </c>
      <c r="H7147" s="144">
        <v>360</v>
      </c>
      <c r="I7147" s="86" t="s">
        <v>1060</v>
      </c>
      <c r="J7147" s="47" t="s">
        <v>3325</v>
      </c>
      <c r="K7147" s="47" t="s">
        <v>3767</v>
      </c>
      <c r="L7147" s="47" t="s">
        <v>35</v>
      </c>
      <c r="M7147" s="86" t="s">
        <v>1228</v>
      </c>
      <c r="O7147" s="47" t="s">
        <v>410</v>
      </c>
      <c r="P7147" s="47" t="s">
        <v>46</v>
      </c>
      <c r="Q7147" s="14">
        <v>0.01</v>
      </c>
      <c r="R7147" s="143" t="s">
        <v>1229</v>
      </c>
      <c r="S7147" s="47"/>
      <c r="T7147" s="6">
        <v>16404.604999999981</v>
      </c>
      <c r="U7147" s="6">
        <v>450000</v>
      </c>
      <c r="V7147" s="6">
        <v>458723.89</v>
      </c>
      <c r="W7147" s="6">
        <f t="shared" si="1110"/>
        <v>7680.7149999999674</v>
      </c>
      <c r="X7147" s="6">
        <f t="shared" si="1105"/>
        <v>454182.0693069307</v>
      </c>
      <c r="Y7147" s="13">
        <f t="shared" si="1107"/>
        <v>0</v>
      </c>
      <c r="Z7147" s="66">
        <v>0</v>
      </c>
      <c r="AA7147" s="6">
        <v>0</v>
      </c>
      <c r="AB7147" s="4">
        <f t="shared" si="1108"/>
        <v>454182.0693069307</v>
      </c>
      <c r="AC7147" s="6">
        <f t="shared" si="1106"/>
        <v>4541.8206930693123</v>
      </c>
      <c r="AD7147" s="6">
        <f t="shared" si="1111"/>
        <v>458723.89</v>
      </c>
      <c r="AE7147" s="14">
        <f>VLOOKUP(I7147,[2]媒体政策预估表!A:N,MATCH(O7147,[2]媒体政策预估表!$A$2:$M$2,0),0)</f>
        <v>7.0000000000000007E-2</v>
      </c>
      <c r="AF7147" s="6">
        <f t="shared" si="1113"/>
        <v>32110.672300000006</v>
      </c>
      <c r="AG7147" s="14">
        <v>0</v>
      </c>
      <c r="AH7147" s="64">
        <f t="shared" si="1112"/>
        <v>458723.89</v>
      </c>
      <c r="AJ7147" s="126" t="e">
        <v>#N/A</v>
      </c>
      <c r="AK7147" s="80">
        <f t="shared" si="1109"/>
        <v>0</v>
      </c>
      <c r="AL7147" s="85"/>
      <c r="AM7147" s="85"/>
    </row>
    <row r="7148" spans="1:39" s="86" customFormat="1" ht="13.25" hidden="1" customHeight="1" x14ac:dyDescent="0.3">
      <c r="A7148" s="89" t="s">
        <v>3792</v>
      </c>
      <c r="B7148" s="86" t="s">
        <v>35</v>
      </c>
      <c r="C7148" s="86" t="s">
        <v>65</v>
      </c>
      <c r="D7148" s="86" t="s">
        <v>66</v>
      </c>
      <c r="E7148" s="86" t="s">
        <v>2044</v>
      </c>
      <c r="F7148" s="86" t="s">
        <v>2044</v>
      </c>
      <c r="G7148" s="86" t="s">
        <v>2044</v>
      </c>
      <c r="H7148" s="143">
        <v>360</v>
      </c>
      <c r="I7148" s="86" t="s">
        <v>1060</v>
      </c>
      <c r="J7148" s="47" t="s">
        <v>3325</v>
      </c>
      <c r="K7148" s="47" t="s">
        <v>3767</v>
      </c>
      <c r="L7148" s="47" t="s">
        <v>35</v>
      </c>
      <c r="M7148" s="86" t="s">
        <v>2044</v>
      </c>
      <c r="O7148" s="47" t="s">
        <v>410</v>
      </c>
      <c r="P7148" s="47" t="s">
        <v>46</v>
      </c>
      <c r="Q7148" s="14">
        <v>0.02</v>
      </c>
      <c r="R7148" s="143" t="s">
        <v>2045</v>
      </c>
      <c r="S7148" s="47"/>
      <c r="T7148" s="6">
        <v>4407.9000000000005</v>
      </c>
      <c r="U7148" s="6">
        <v>-4407.8999999999996</v>
      </c>
      <c r="V7148" s="6">
        <v>0</v>
      </c>
      <c r="W7148" s="6">
        <f t="shared" si="1110"/>
        <v>9.0949470177292824E-13</v>
      </c>
      <c r="X7148" s="6">
        <f t="shared" si="1105"/>
        <v>0</v>
      </c>
      <c r="Y7148" s="13">
        <f t="shared" si="1107"/>
        <v>0</v>
      </c>
      <c r="Z7148" s="66">
        <v>0</v>
      </c>
      <c r="AA7148" s="6">
        <v>0</v>
      </c>
      <c r="AB7148" s="4">
        <f t="shared" si="1108"/>
        <v>0</v>
      </c>
      <c r="AC7148" s="6">
        <f t="shared" si="1106"/>
        <v>0</v>
      </c>
      <c r="AD7148" s="6">
        <f t="shared" si="1111"/>
        <v>0</v>
      </c>
      <c r="AE7148" s="14">
        <f>VLOOKUP(I7148,[2]媒体政策预估表!A:N,MATCH(O7148,[2]媒体政策预估表!$A$2:$M$2,0),0)</f>
        <v>7.0000000000000007E-2</v>
      </c>
      <c r="AF7148" s="6">
        <f t="shared" si="1113"/>
        <v>0</v>
      </c>
      <c r="AG7148" s="14">
        <v>0</v>
      </c>
      <c r="AH7148" s="64">
        <f t="shared" si="1112"/>
        <v>0</v>
      </c>
      <c r="AJ7148" s="126" t="e">
        <v>#N/A</v>
      </c>
      <c r="AK7148" s="80">
        <f t="shared" si="1109"/>
        <v>0</v>
      </c>
      <c r="AL7148" s="85"/>
      <c r="AM7148" s="85"/>
    </row>
    <row r="7149" spans="1:39" s="86" customFormat="1" ht="13.25" hidden="1" customHeight="1" x14ac:dyDescent="0.3">
      <c r="A7149" s="89" t="s">
        <v>3792</v>
      </c>
      <c r="B7149" s="86" t="s">
        <v>35</v>
      </c>
      <c r="C7149" s="86" t="s">
        <v>65</v>
      </c>
      <c r="D7149" s="86" t="s">
        <v>66</v>
      </c>
      <c r="E7149" s="86" t="s">
        <v>499</v>
      </c>
      <c r="F7149" s="86" t="s">
        <v>499</v>
      </c>
      <c r="G7149" s="86" t="s">
        <v>499</v>
      </c>
      <c r="H7149" s="144">
        <v>360</v>
      </c>
      <c r="I7149" s="86" t="s">
        <v>1060</v>
      </c>
      <c r="J7149" s="47" t="s">
        <v>3325</v>
      </c>
      <c r="K7149" s="47" t="s">
        <v>3767</v>
      </c>
      <c r="L7149" s="47" t="s">
        <v>35</v>
      </c>
      <c r="M7149" s="86" t="s">
        <v>499</v>
      </c>
      <c r="O7149" s="47" t="s">
        <v>410</v>
      </c>
      <c r="P7149" s="47" t="s">
        <v>41</v>
      </c>
      <c r="Q7149" s="14">
        <v>0</v>
      </c>
      <c r="R7149" s="143" t="s">
        <v>1231</v>
      </c>
      <c r="S7149" s="47"/>
      <c r="T7149" s="6">
        <v>33204.099999999991</v>
      </c>
      <c r="U7149" s="6">
        <v>40000</v>
      </c>
      <c r="V7149" s="6">
        <v>67462.899999999994</v>
      </c>
      <c r="W7149" s="6">
        <f t="shared" si="1110"/>
        <v>5741.1999999999971</v>
      </c>
      <c r="X7149" s="6">
        <f t="shared" si="1105"/>
        <v>67462.899999999994</v>
      </c>
      <c r="Y7149" s="13">
        <f t="shared" si="1107"/>
        <v>0</v>
      </c>
      <c r="Z7149" s="66">
        <v>0</v>
      </c>
      <c r="AA7149" s="6">
        <v>0</v>
      </c>
      <c r="AB7149" s="4">
        <f t="shared" si="1108"/>
        <v>67462.899999999994</v>
      </c>
      <c r="AC7149" s="6">
        <f t="shared" si="1106"/>
        <v>0</v>
      </c>
      <c r="AD7149" s="6">
        <f t="shared" si="1111"/>
        <v>67462.899999999994</v>
      </c>
      <c r="AE7149" s="14">
        <f>VLOOKUP(I7149,[2]媒体政策预估表!A:N,MATCH(O7149,[2]媒体政策预估表!$A$2:$M$2,0),0)</f>
        <v>7.0000000000000007E-2</v>
      </c>
      <c r="AF7149" s="6">
        <f t="shared" si="1113"/>
        <v>4722.4030000000002</v>
      </c>
      <c r="AG7149" s="14">
        <v>0</v>
      </c>
      <c r="AH7149" s="64">
        <f t="shared" si="1112"/>
        <v>67462.899999999994</v>
      </c>
      <c r="AJ7149" s="126" t="e">
        <v>#N/A</v>
      </c>
      <c r="AK7149" s="80">
        <f t="shared" si="1109"/>
        <v>0</v>
      </c>
      <c r="AL7149" s="85"/>
      <c r="AM7149" s="85"/>
    </row>
    <row r="7150" spans="1:39" s="86" customFormat="1" ht="13.25" hidden="1" customHeight="1" x14ac:dyDescent="0.3">
      <c r="A7150" s="89" t="s">
        <v>3792</v>
      </c>
      <c r="B7150" s="86" t="s">
        <v>35</v>
      </c>
      <c r="C7150" s="86" t="s">
        <v>65</v>
      </c>
      <c r="D7150" s="86" t="s">
        <v>66</v>
      </c>
      <c r="E7150" s="86" t="s">
        <v>1239</v>
      </c>
      <c r="F7150" s="86" t="s">
        <v>1239</v>
      </c>
      <c r="G7150" s="86" t="s">
        <v>1239</v>
      </c>
      <c r="H7150" s="144">
        <v>360</v>
      </c>
      <c r="I7150" s="86" t="s">
        <v>1060</v>
      </c>
      <c r="J7150" s="47" t="s">
        <v>3325</v>
      </c>
      <c r="K7150" s="47" t="s">
        <v>3767</v>
      </c>
      <c r="L7150" s="47" t="s">
        <v>35</v>
      </c>
      <c r="M7150" s="86" t="s">
        <v>1239</v>
      </c>
      <c r="O7150" s="47" t="s">
        <v>410</v>
      </c>
      <c r="P7150" s="47" t="s">
        <v>41</v>
      </c>
      <c r="Q7150" s="14">
        <v>0</v>
      </c>
      <c r="R7150" s="143" t="s">
        <v>1240</v>
      </c>
      <c r="S7150" s="47"/>
      <c r="T7150" s="6">
        <v>10000</v>
      </c>
      <c r="U7150" s="6">
        <v>10000</v>
      </c>
      <c r="V7150" s="6">
        <v>8189.1</v>
      </c>
      <c r="W7150" s="6">
        <f t="shared" si="1110"/>
        <v>11810.9</v>
      </c>
      <c r="X7150" s="6">
        <f t="shared" si="1105"/>
        <v>8189.1</v>
      </c>
      <c r="Y7150" s="13">
        <f t="shared" si="1107"/>
        <v>0</v>
      </c>
      <c r="Z7150" s="66">
        <v>0</v>
      </c>
      <c r="AA7150" s="6">
        <v>0</v>
      </c>
      <c r="AB7150" s="4">
        <f t="shared" si="1108"/>
        <v>8189.1</v>
      </c>
      <c r="AC7150" s="6">
        <f t="shared" si="1106"/>
        <v>0</v>
      </c>
      <c r="AD7150" s="6">
        <f t="shared" si="1111"/>
        <v>8189.1</v>
      </c>
      <c r="AE7150" s="14">
        <f>VLOOKUP(I7150,[2]媒体政策预估表!A:N,MATCH(O7150,[2]媒体政策预估表!$A$2:$M$2,0),0)</f>
        <v>7.0000000000000007E-2</v>
      </c>
      <c r="AF7150" s="6">
        <f t="shared" si="1113"/>
        <v>573.23700000000008</v>
      </c>
      <c r="AG7150" s="14">
        <v>0</v>
      </c>
      <c r="AH7150" s="64">
        <f t="shared" si="1112"/>
        <v>8189.1</v>
      </c>
      <c r="AJ7150" s="126" t="e">
        <v>#N/A</v>
      </c>
      <c r="AK7150" s="80">
        <f t="shared" si="1109"/>
        <v>0</v>
      </c>
      <c r="AL7150" s="85"/>
      <c r="AM7150" s="85"/>
    </row>
    <row r="7151" spans="1:39" s="86" customFormat="1" ht="13.25" hidden="1" customHeight="1" x14ac:dyDescent="0.3">
      <c r="A7151" s="89" t="s">
        <v>3792</v>
      </c>
      <c r="B7151" s="86" t="s">
        <v>35</v>
      </c>
      <c r="C7151" s="86" t="s">
        <v>65</v>
      </c>
      <c r="D7151" s="86" t="s">
        <v>66</v>
      </c>
      <c r="E7151" s="86" t="s">
        <v>1241</v>
      </c>
      <c r="F7151" s="86" t="s">
        <v>1241</v>
      </c>
      <c r="G7151" s="86" t="s">
        <v>1241</v>
      </c>
      <c r="H7151" s="144">
        <v>360</v>
      </c>
      <c r="I7151" s="86" t="s">
        <v>1060</v>
      </c>
      <c r="J7151" s="47" t="s">
        <v>3325</v>
      </c>
      <c r="K7151" s="47" t="s">
        <v>3767</v>
      </c>
      <c r="L7151" s="47" t="s">
        <v>35</v>
      </c>
      <c r="M7151" s="86" t="s">
        <v>1241</v>
      </c>
      <c r="O7151" s="47" t="s">
        <v>410</v>
      </c>
      <c r="P7151" s="47" t="s">
        <v>41</v>
      </c>
      <c r="Q7151" s="14">
        <v>0</v>
      </c>
      <c r="R7151" s="143" t="s">
        <v>1242</v>
      </c>
      <c r="S7151" s="47"/>
      <c r="T7151" s="6">
        <v>43882.500000000015</v>
      </c>
      <c r="U7151" s="6">
        <v>120000</v>
      </c>
      <c r="V7151" s="6">
        <v>146262.5</v>
      </c>
      <c r="W7151" s="6">
        <f t="shared" si="1110"/>
        <v>17620</v>
      </c>
      <c r="X7151" s="6">
        <f t="shared" si="1105"/>
        <v>146262.5</v>
      </c>
      <c r="Y7151" s="13">
        <f t="shared" si="1107"/>
        <v>0</v>
      </c>
      <c r="Z7151" s="66">
        <v>0</v>
      </c>
      <c r="AA7151" s="6">
        <v>0</v>
      </c>
      <c r="AB7151" s="4">
        <f t="shared" si="1108"/>
        <v>146262.5</v>
      </c>
      <c r="AC7151" s="6">
        <f t="shared" si="1106"/>
        <v>0</v>
      </c>
      <c r="AD7151" s="6">
        <f t="shared" si="1111"/>
        <v>146262.5</v>
      </c>
      <c r="AE7151" s="14">
        <f>VLOOKUP(I7151,[2]媒体政策预估表!A:N,MATCH(O7151,[2]媒体政策预估表!$A$2:$M$2,0),0)</f>
        <v>7.0000000000000007E-2</v>
      </c>
      <c r="AF7151" s="6">
        <f t="shared" si="1113"/>
        <v>10238.375000000002</v>
      </c>
      <c r="AG7151" s="14">
        <v>0</v>
      </c>
      <c r="AH7151" s="64">
        <f t="shared" si="1112"/>
        <v>146262.5</v>
      </c>
      <c r="AJ7151" s="126" t="e">
        <v>#N/A</v>
      </c>
      <c r="AK7151" s="80">
        <f t="shared" si="1109"/>
        <v>0</v>
      </c>
      <c r="AL7151" s="85"/>
      <c r="AM7151" s="85"/>
    </row>
    <row r="7152" spans="1:39" s="86" customFormat="1" ht="13.25" hidden="1" customHeight="1" x14ac:dyDescent="0.3">
      <c r="A7152" s="89" t="s">
        <v>3792</v>
      </c>
      <c r="B7152" s="86" t="s">
        <v>35</v>
      </c>
      <c r="C7152" s="86" t="s">
        <v>65</v>
      </c>
      <c r="D7152" s="86" t="s">
        <v>122</v>
      </c>
      <c r="E7152" s="86" t="s">
        <v>507</v>
      </c>
      <c r="F7152" s="86" t="s">
        <v>507</v>
      </c>
      <c r="G7152" s="86" t="s">
        <v>507</v>
      </c>
      <c r="H7152" s="144">
        <v>360</v>
      </c>
      <c r="I7152" s="86" t="s">
        <v>1060</v>
      </c>
      <c r="J7152" s="47" t="s">
        <v>3325</v>
      </c>
      <c r="K7152" s="47" t="s">
        <v>3767</v>
      </c>
      <c r="L7152" s="47" t="s">
        <v>35</v>
      </c>
      <c r="M7152" s="86" t="s">
        <v>1248</v>
      </c>
      <c r="O7152" s="47" t="s">
        <v>410</v>
      </c>
      <c r="P7152" s="47" t="s">
        <v>41</v>
      </c>
      <c r="Q7152" s="14">
        <v>0</v>
      </c>
      <c r="R7152" s="143" t="s">
        <v>1249</v>
      </c>
      <c r="S7152" s="47"/>
      <c r="T7152" s="6">
        <v>51434.065000000002</v>
      </c>
      <c r="U7152" s="6">
        <v>70000</v>
      </c>
      <c r="V7152" s="6">
        <v>109497.33</v>
      </c>
      <c r="W7152" s="6">
        <f t="shared" si="1110"/>
        <v>11936.735000000001</v>
      </c>
      <c r="X7152" s="6">
        <f t="shared" ref="X7152:X7215" si="1114">IF(P7152="折扣",V7152*Q7152,IF(P7152="返现",V7152,V7152/(1+Q7152)))</f>
        <v>109497.33</v>
      </c>
      <c r="Y7152" s="13">
        <f t="shared" si="1107"/>
        <v>0</v>
      </c>
      <c r="Z7152" s="66">
        <v>0</v>
      </c>
      <c r="AA7152" s="6">
        <v>0</v>
      </c>
      <c r="AB7152" s="4">
        <f t="shared" si="1108"/>
        <v>109497.33</v>
      </c>
      <c r="AC7152" s="6">
        <f t="shared" si="1106"/>
        <v>0</v>
      </c>
      <c r="AD7152" s="6">
        <f t="shared" si="1111"/>
        <v>109497.33</v>
      </c>
      <c r="AE7152" s="14">
        <f>VLOOKUP(I7152,[2]媒体政策预估表!A:N,MATCH(O7152,[2]媒体政策预估表!$A$2:$M$2,0),0)</f>
        <v>7.0000000000000007E-2</v>
      </c>
      <c r="AF7152" s="6">
        <f t="shared" si="1113"/>
        <v>7664.8131000000012</v>
      </c>
      <c r="AG7152" s="14">
        <v>0</v>
      </c>
      <c r="AH7152" s="64">
        <f t="shared" si="1112"/>
        <v>109497.33</v>
      </c>
      <c r="AJ7152" s="126" t="e">
        <v>#N/A</v>
      </c>
      <c r="AK7152" s="80">
        <f t="shared" si="1109"/>
        <v>0</v>
      </c>
      <c r="AL7152" s="85"/>
      <c r="AM7152" s="85"/>
    </row>
    <row r="7153" spans="1:39" s="86" customFormat="1" ht="13.25" hidden="1" customHeight="1" x14ac:dyDescent="0.3">
      <c r="A7153" s="89" t="s">
        <v>3792</v>
      </c>
      <c r="B7153" s="86" t="s">
        <v>35</v>
      </c>
      <c r="C7153" s="86" t="s">
        <v>65</v>
      </c>
      <c r="D7153" s="86" t="s">
        <v>122</v>
      </c>
      <c r="E7153" s="86" t="s">
        <v>507</v>
      </c>
      <c r="F7153" s="86" t="s">
        <v>507</v>
      </c>
      <c r="G7153" s="86" t="s">
        <v>507</v>
      </c>
      <c r="H7153" s="144">
        <v>360</v>
      </c>
      <c r="I7153" s="86" t="s">
        <v>1060</v>
      </c>
      <c r="J7153" s="47" t="s">
        <v>3325</v>
      </c>
      <c r="K7153" s="47" t="s">
        <v>3767</v>
      </c>
      <c r="L7153" s="47" t="s">
        <v>35</v>
      </c>
      <c r="M7153" s="86" t="s">
        <v>3495</v>
      </c>
      <c r="O7153" s="47" t="s">
        <v>410</v>
      </c>
      <c r="P7153" s="47" t="s">
        <v>41</v>
      </c>
      <c r="Q7153" s="14">
        <v>0</v>
      </c>
      <c r="R7153" s="143" t="s">
        <v>3496</v>
      </c>
      <c r="S7153" s="47"/>
      <c r="T7153" s="6">
        <v>5933.2999999999993</v>
      </c>
      <c r="U7153" s="6">
        <v>20000</v>
      </c>
      <c r="V7153" s="6">
        <v>25932.1</v>
      </c>
      <c r="W7153" s="6">
        <f t="shared" si="1110"/>
        <v>1.2000000000007276</v>
      </c>
      <c r="X7153" s="6">
        <f t="shared" si="1114"/>
        <v>25932.1</v>
      </c>
      <c r="Y7153" s="13">
        <f t="shared" si="1107"/>
        <v>0</v>
      </c>
      <c r="Z7153" s="66">
        <v>0</v>
      </c>
      <c r="AA7153" s="6">
        <v>0</v>
      </c>
      <c r="AB7153" s="4">
        <f t="shared" si="1108"/>
        <v>25932.1</v>
      </c>
      <c r="AC7153" s="6">
        <f t="shared" si="1106"/>
        <v>0</v>
      </c>
      <c r="AD7153" s="6">
        <f t="shared" si="1111"/>
        <v>25932.1</v>
      </c>
      <c r="AE7153" s="14">
        <f>VLOOKUP(I7153,[2]媒体政策预估表!A:N,MATCH(O7153,[2]媒体政策预估表!$A$2:$M$2,0),0)</f>
        <v>7.0000000000000007E-2</v>
      </c>
      <c r="AF7153" s="6">
        <f t="shared" si="1113"/>
        <v>1815.2470000000001</v>
      </c>
      <c r="AG7153" s="14">
        <v>0</v>
      </c>
      <c r="AH7153" s="64">
        <f t="shared" si="1112"/>
        <v>25932.1</v>
      </c>
      <c r="AJ7153" s="126" t="e">
        <v>#N/A</v>
      </c>
      <c r="AK7153" s="80">
        <f t="shared" si="1109"/>
        <v>0</v>
      </c>
      <c r="AL7153" s="85"/>
      <c r="AM7153" s="85"/>
    </row>
    <row r="7154" spans="1:39" s="86" customFormat="1" ht="13.25" hidden="1" customHeight="1" x14ac:dyDescent="0.3">
      <c r="A7154" s="89" t="s">
        <v>3792</v>
      </c>
      <c r="B7154" s="86" t="s">
        <v>35</v>
      </c>
      <c r="C7154" s="86" t="s">
        <v>65</v>
      </c>
      <c r="D7154" s="86" t="s">
        <v>122</v>
      </c>
      <c r="E7154" s="86" t="s">
        <v>3810</v>
      </c>
      <c r="F7154" s="86" t="s">
        <v>3810</v>
      </c>
      <c r="G7154" s="86" t="s">
        <v>3810</v>
      </c>
      <c r="H7154" s="144">
        <v>360</v>
      </c>
      <c r="I7154" s="86" t="s">
        <v>1060</v>
      </c>
      <c r="J7154" s="47" t="s">
        <v>3325</v>
      </c>
      <c r="K7154" s="47" t="s">
        <v>3767</v>
      </c>
      <c r="L7154" s="47" t="s">
        <v>35</v>
      </c>
      <c r="M7154" s="86" t="s">
        <v>3810</v>
      </c>
      <c r="O7154" s="47" t="s">
        <v>410</v>
      </c>
      <c r="P7154" s="47" t="s">
        <v>46</v>
      </c>
      <c r="Q7154" s="14">
        <v>0.02</v>
      </c>
      <c r="R7154" s="143" t="s">
        <v>4019</v>
      </c>
      <c r="S7154" s="47"/>
      <c r="T7154" s="6">
        <v>0</v>
      </c>
      <c r="U7154" s="6">
        <v>5000</v>
      </c>
      <c r="V7154" s="6">
        <v>1168.5</v>
      </c>
      <c r="W7154" s="6">
        <f t="shared" si="1110"/>
        <v>3831.5</v>
      </c>
      <c r="X7154" s="6">
        <f t="shared" si="1114"/>
        <v>1145.5882352941176</v>
      </c>
      <c r="Y7154" s="13">
        <f t="shared" si="1107"/>
        <v>0</v>
      </c>
      <c r="Z7154" s="66">
        <v>0</v>
      </c>
      <c r="AA7154" s="6">
        <v>0</v>
      </c>
      <c r="AB7154" s="4">
        <f t="shared" si="1108"/>
        <v>1145.5882352941176</v>
      </c>
      <c r="AC7154" s="6">
        <f t="shared" si="1106"/>
        <v>22.911764705882433</v>
      </c>
      <c r="AD7154" s="6">
        <f t="shared" si="1111"/>
        <v>1168.5</v>
      </c>
      <c r="AE7154" s="14">
        <f>VLOOKUP(I7154,[2]媒体政策预估表!A:N,MATCH(O7154,[2]媒体政策预估表!$A$2:$M$2,0),0)</f>
        <v>7.0000000000000007E-2</v>
      </c>
      <c r="AF7154" s="6">
        <f t="shared" si="1113"/>
        <v>81.795000000000002</v>
      </c>
      <c r="AG7154" s="14">
        <v>0</v>
      </c>
      <c r="AH7154" s="64">
        <f t="shared" si="1112"/>
        <v>1168.5</v>
      </c>
      <c r="AJ7154" s="126" t="e">
        <v>#N/A</v>
      </c>
      <c r="AK7154" s="80">
        <f t="shared" si="1109"/>
        <v>0</v>
      </c>
      <c r="AL7154" s="85"/>
      <c r="AM7154" s="85"/>
    </row>
    <row r="7155" spans="1:39" s="86" customFormat="1" ht="13.25" hidden="1" customHeight="1" x14ac:dyDescent="0.3">
      <c r="A7155" s="89" t="s">
        <v>3792</v>
      </c>
      <c r="B7155" s="86" t="s">
        <v>35</v>
      </c>
      <c r="C7155" s="86" t="s">
        <v>65</v>
      </c>
      <c r="D7155" s="86" t="s">
        <v>122</v>
      </c>
      <c r="E7155" s="86" t="s">
        <v>3497</v>
      </c>
      <c r="F7155" s="86" t="s">
        <v>3497</v>
      </c>
      <c r="G7155" s="86" t="s">
        <v>3497</v>
      </c>
      <c r="H7155" s="144">
        <v>360</v>
      </c>
      <c r="I7155" s="86" t="s">
        <v>1060</v>
      </c>
      <c r="J7155" s="47" t="s">
        <v>3325</v>
      </c>
      <c r="K7155" s="47" t="s">
        <v>3767</v>
      </c>
      <c r="L7155" s="47" t="s">
        <v>35</v>
      </c>
      <c r="M7155" s="86" t="s">
        <v>3497</v>
      </c>
      <c r="O7155" s="47" t="s">
        <v>410</v>
      </c>
      <c r="P7155" s="47" t="s">
        <v>41</v>
      </c>
      <c r="Q7155" s="14">
        <v>0</v>
      </c>
      <c r="R7155" s="143" t="s">
        <v>3498</v>
      </c>
      <c r="S7155" s="47"/>
      <c r="T7155" s="6">
        <v>4890</v>
      </c>
      <c r="U7155" s="6">
        <v>10000</v>
      </c>
      <c r="V7155" s="6">
        <v>11585</v>
      </c>
      <c r="W7155" s="6">
        <f t="shared" si="1110"/>
        <v>3305</v>
      </c>
      <c r="X7155" s="6">
        <f t="shared" si="1114"/>
        <v>11585</v>
      </c>
      <c r="Y7155" s="13">
        <f t="shared" si="1107"/>
        <v>0</v>
      </c>
      <c r="Z7155" s="66">
        <v>0</v>
      </c>
      <c r="AA7155" s="6">
        <v>0</v>
      </c>
      <c r="AB7155" s="4">
        <f t="shared" si="1108"/>
        <v>11585</v>
      </c>
      <c r="AC7155" s="6">
        <f t="shared" si="1106"/>
        <v>0</v>
      </c>
      <c r="AD7155" s="6">
        <f t="shared" si="1111"/>
        <v>11585</v>
      </c>
      <c r="AE7155" s="14">
        <f>VLOOKUP(I7155,[2]媒体政策预估表!A:N,MATCH(O7155,[2]媒体政策预估表!$A$2:$M$2,0),0)</f>
        <v>7.0000000000000007E-2</v>
      </c>
      <c r="AF7155" s="6">
        <f t="shared" si="1113"/>
        <v>810.95</v>
      </c>
      <c r="AG7155" s="14">
        <v>0</v>
      </c>
      <c r="AH7155" s="64">
        <f t="shared" si="1112"/>
        <v>11585</v>
      </c>
      <c r="AJ7155" s="126" t="e">
        <v>#N/A</v>
      </c>
      <c r="AK7155" s="80">
        <f t="shared" si="1109"/>
        <v>0</v>
      </c>
      <c r="AL7155" s="85"/>
      <c r="AM7155" s="85"/>
    </row>
    <row r="7156" spans="1:39" s="86" customFormat="1" ht="13.25" hidden="1" customHeight="1" x14ac:dyDescent="0.3">
      <c r="A7156" s="89" t="s">
        <v>3792</v>
      </c>
      <c r="B7156" s="86" t="s">
        <v>35</v>
      </c>
      <c r="C7156" s="86" t="s">
        <v>65</v>
      </c>
      <c r="D7156" s="86" t="s">
        <v>122</v>
      </c>
      <c r="E7156" s="86" t="s">
        <v>1253</v>
      </c>
      <c r="F7156" s="86" t="s">
        <v>1253</v>
      </c>
      <c r="G7156" s="86" t="s">
        <v>1253</v>
      </c>
      <c r="H7156" s="144">
        <v>360</v>
      </c>
      <c r="I7156" s="86" t="s">
        <v>1060</v>
      </c>
      <c r="J7156" s="47" t="s">
        <v>3325</v>
      </c>
      <c r="K7156" s="47" t="s">
        <v>3767</v>
      </c>
      <c r="L7156" s="47" t="s">
        <v>35</v>
      </c>
      <c r="M7156" s="86" t="s">
        <v>4020</v>
      </c>
      <c r="O7156" s="47" t="s">
        <v>410</v>
      </c>
      <c r="P7156" s="47" t="s">
        <v>41</v>
      </c>
      <c r="Q7156" s="14">
        <v>0</v>
      </c>
      <c r="R7156" s="143" t="s">
        <v>4021</v>
      </c>
      <c r="S7156" s="47"/>
      <c r="T7156" s="6">
        <v>0</v>
      </c>
      <c r="U7156" s="6">
        <v>11000</v>
      </c>
      <c r="V7156" s="6">
        <v>1039.5</v>
      </c>
      <c r="W7156" s="6">
        <f t="shared" si="1110"/>
        <v>9960.5</v>
      </c>
      <c r="X7156" s="6">
        <f t="shared" si="1114"/>
        <v>1039.5</v>
      </c>
      <c r="Y7156" s="13">
        <f t="shared" si="1107"/>
        <v>0</v>
      </c>
      <c r="Z7156" s="66">
        <v>0</v>
      </c>
      <c r="AA7156" s="6">
        <v>0</v>
      </c>
      <c r="AB7156" s="4">
        <f t="shared" si="1108"/>
        <v>1039.5</v>
      </c>
      <c r="AC7156" s="6">
        <f t="shared" si="1106"/>
        <v>0</v>
      </c>
      <c r="AD7156" s="6">
        <f t="shared" si="1111"/>
        <v>1039.5</v>
      </c>
      <c r="AE7156" s="14">
        <f>VLOOKUP(I7156,[2]媒体政策预估表!A:N,MATCH(O7156,[2]媒体政策预估表!$A$2:$M$2,0),0)</f>
        <v>7.0000000000000007E-2</v>
      </c>
      <c r="AF7156" s="6">
        <f t="shared" si="1113"/>
        <v>72.765000000000001</v>
      </c>
      <c r="AG7156" s="14">
        <v>0</v>
      </c>
      <c r="AH7156" s="64">
        <f t="shared" si="1112"/>
        <v>1039.5</v>
      </c>
      <c r="AJ7156" s="126" t="e">
        <v>#N/A</v>
      </c>
      <c r="AK7156" s="80">
        <f t="shared" si="1109"/>
        <v>0</v>
      </c>
      <c r="AL7156" s="85"/>
      <c r="AM7156" s="85"/>
    </row>
    <row r="7157" spans="1:39" s="86" customFormat="1" ht="13.25" hidden="1" customHeight="1" x14ac:dyDescent="0.3">
      <c r="A7157" s="89" t="s">
        <v>3792</v>
      </c>
      <c r="B7157" s="86" t="s">
        <v>35</v>
      </c>
      <c r="C7157" s="86" t="s">
        <v>65</v>
      </c>
      <c r="D7157" s="86" t="s">
        <v>122</v>
      </c>
      <c r="E7157" s="86" t="s">
        <v>1253</v>
      </c>
      <c r="F7157" s="86" t="s">
        <v>1253</v>
      </c>
      <c r="G7157" s="86" t="s">
        <v>1253</v>
      </c>
      <c r="H7157" s="144">
        <v>360</v>
      </c>
      <c r="I7157" s="86" t="s">
        <v>1060</v>
      </c>
      <c r="J7157" s="47" t="s">
        <v>3325</v>
      </c>
      <c r="K7157" s="47" t="s">
        <v>3767</v>
      </c>
      <c r="L7157" s="47" t="s">
        <v>35</v>
      </c>
      <c r="M7157" s="86" t="s">
        <v>1254</v>
      </c>
      <c r="O7157" s="47" t="s">
        <v>410</v>
      </c>
      <c r="P7157" s="47" t="s">
        <v>41</v>
      </c>
      <c r="Q7157" s="14">
        <v>0</v>
      </c>
      <c r="R7157" s="143" t="s">
        <v>1255</v>
      </c>
      <c r="S7157" s="47"/>
      <c r="T7157" s="6">
        <v>3419.3999999999978</v>
      </c>
      <c r="U7157" s="6">
        <v>39000</v>
      </c>
      <c r="V7157" s="6">
        <v>20565.7</v>
      </c>
      <c r="W7157" s="6">
        <f t="shared" si="1110"/>
        <v>21853.699999999993</v>
      </c>
      <c r="X7157" s="6">
        <f t="shared" si="1114"/>
        <v>20565.7</v>
      </c>
      <c r="Y7157" s="13">
        <f t="shared" si="1107"/>
        <v>0</v>
      </c>
      <c r="Z7157" s="66">
        <v>0</v>
      </c>
      <c r="AA7157" s="6">
        <v>0</v>
      </c>
      <c r="AB7157" s="4">
        <f t="shared" si="1108"/>
        <v>20565.7</v>
      </c>
      <c r="AC7157" s="6">
        <f t="shared" si="1106"/>
        <v>0</v>
      </c>
      <c r="AD7157" s="6">
        <f t="shared" si="1111"/>
        <v>20565.7</v>
      </c>
      <c r="AE7157" s="14">
        <f>VLOOKUP(I7157,[2]媒体政策预估表!A:N,MATCH(O7157,[2]媒体政策预估表!$A$2:$M$2,0),0)</f>
        <v>7.0000000000000007E-2</v>
      </c>
      <c r="AF7157" s="6">
        <f t="shared" si="1113"/>
        <v>1439.5990000000002</v>
      </c>
      <c r="AG7157" s="14">
        <v>0</v>
      </c>
      <c r="AH7157" s="64">
        <f t="shared" si="1112"/>
        <v>20565.7</v>
      </c>
      <c r="AJ7157" s="126" t="e">
        <v>#N/A</v>
      </c>
      <c r="AK7157" s="80">
        <f t="shared" si="1109"/>
        <v>0</v>
      </c>
      <c r="AL7157" s="85"/>
      <c r="AM7157" s="85"/>
    </row>
    <row r="7158" spans="1:39" s="86" customFormat="1" ht="13.25" hidden="1" customHeight="1" x14ac:dyDescent="0.3">
      <c r="A7158" s="89" t="s">
        <v>3792</v>
      </c>
      <c r="B7158" s="86" t="s">
        <v>35</v>
      </c>
      <c r="C7158" s="86" t="s">
        <v>65</v>
      </c>
      <c r="D7158" s="86" t="s">
        <v>122</v>
      </c>
      <c r="E7158" s="86" t="s">
        <v>1253</v>
      </c>
      <c r="F7158" s="86" t="s">
        <v>1253</v>
      </c>
      <c r="G7158" s="86" t="s">
        <v>1253</v>
      </c>
      <c r="H7158" s="144">
        <v>360</v>
      </c>
      <c r="I7158" s="86" t="s">
        <v>1060</v>
      </c>
      <c r="J7158" s="47" t="s">
        <v>3325</v>
      </c>
      <c r="K7158" s="47" t="s">
        <v>3767</v>
      </c>
      <c r="L7158" s="47" t="s">
        <v>35</v>
      </c>
      <c r="M7158" s="86" t="s">
        <v>1259</v>
      </c>
      <c r="O7158" s="47" t="s">
        <v>410</v>
      </c>
      <c r="P7158" s="47" t="s">
        <v>41</v>
      </c>
      <c r="Q7158" s="14">
        <v>0</v>
      </c>
      <c r="R7158" s="143" t="s">
        <v>1260</v>
      </c>
      <c r="S7158" s="47"/>
      <c r="T7158" s="6">
        <v>3473.6999999999989</v>
      </c>
      <c r="U7158" s="6">
        <v>20000</v>
      </c>
      <c r="V7158" s="6">
        <v>11637.1</v>
      </c>
      <c r="W7158" s="6">
        <f t="shared" si="1110"/>
        <v>11836.599999999997</v>
      </c>
      <c r="X7158" s="6">
        <f t="shared" si="1114"/>
        <v>11637.1</v>
      </c>
      <c r="Y7158" s="13">
        <f t="shared" si="1107"/>
        <v>0</v>
      </c>
      <c r="Z7158" s="66">
        <v>0</v>
      </c>
      <c r="AA7158" s="6">
        <v>0</v>
      </c>
      <c r="AB7158" s="4">
        <f t="shared" si="1108"/>
        <v>11637.1</v>
      </c>
      <c r="AC7158" s="6">
        <f t="shared" si="1106"/>
        <v>0</v>
      </c>
      <c r="AD7158" s="6">
        <f t="shared" si="1111"/>
        <v>11637.1</v>
      </c>
      <c r="AE7158" s="14">
        <f>VLOOKUP(I7158,[2]媒体政策预估表!A:N,MATCH(O7158,[2]媒体政策预估表!$A$2:$M$2,0),0)</f>
        <v>7.0000000000000007E-2</v>
      </c>
      <c r="AF7158" s="6">
        <f t="shared" si="1113"/>
        <v>814.59700000000009</v>
      </c>
      <c r="AG7158" s="14">
        <v>0</v>
      </c>
      <c r="AH7158" s="64">
        <f t="shared" si="1112"/>
        <v>11637.1</v>
      </c>
      <c r="AJ7158" s="126" t="e">
        <v>#N/A</v>
      </c>
      <c r="AK7158" s="80">
        <f t="shared" si="1109"/>
        <v>0</v>
      </c>
      <c r="AL7158" s="85"/>
      <c r="AM7158" s="85"/>
    </row>
    <row r="7159" spans="1:39" s="86" customFormat="1" ht="13.25" hidden="1" customHeight="1" x14ac:dyDescent="0.3">
      <c r="A7159" s="89" t="s">
        <v>3792</v>
      </c>
      <c r="B7159" s="86" t="s">
        <v>35</v>
      </c>
      <c r="C7159" s="86" t="s">
        <v>65</v>
      </c>
      <c r="D7159" s="86" t="s">
        <v>122</v>
      </c>
      <c r="E7159" s="86" t="s">
        <v>1253</v>
      </c>
      <c r="F7159" s="86" t="s">
        <v>1253</v>
      </c>
      <c r="G7159" s="86" t="s">
        <v>1253</v>
      </c>
      <c r="H7159" s="144">
        <v>360</v>
      </c>
      <c r="I7159" s="86" t="s">
        <v>1060</v>
      </c>
      <c r="J7159" s="47" t="s">
        <v>3325</v>
      </c>
      <c r="K7159" s="47" t="s">
        <v>3767</v>
      </c>
      <c r="L7159" s="47" t="s">
        <v>35</v>
      </c>
      <c r="M7159" s="86" t="s">
        <v>1261</v>
      </c>
      <c r="O7159" s="47" t="s">
        <v>410</v>
      </c>
      <c r="P7159" s="47" t="s">
        <v>41</v>
      </c>
      <c r="Q7159" s="14">
        <v>0</v>
      </c>
      <c r="R7159" s="143" t="s">
        <v>1262</v>
      </c>
      <c r="S7159" s="47"/>
      <c r="T7159" s="6">
        <v>10159.400000000001</v>
      </c>
      <c r="U7159" s="6">
        <v>20000</v>
      </c>
      <c r="V7159" s="6">
        <v>20788.2</v>
      </c>
      <c r="W7159" s="6">
        <f t="shared" si="1110"/>
        <v>9371.2000000000007</v>
      </c>
      <c r="X7159" s="6">
        <f t="shared" si="1114"/>
        <v>20788.2</v>
      </c>
      <c r="Y7159" s="13">
        <f t="shared" si="1107"/>
        <v>0</v>
      </c>
      <c r="Z7159" s="66">
        <v>0</v>
      </c>
      <c r="AA7159" s="6">
        <v>0</v>
      </c>
      <c r="AB7159" s="4">
        <f t="shared" si="1108"/>
        <v>20788.2</v>
      </c>
      <c r="AC7159" s="6">
        <f t="shared" si="1106"/>
        <v>0</v>
      </c>
      <c r="AD7159" s="6">
        <f t="shared" si="1111"/>
        <v>20788.2</v>
      </c>
      <c r="AE7159" s="14">
        <f>VLOOKUP(I7159,[2]媒体政策预估表!A:N,MATCH(O7159,[2]媒体政策预估表!$A$2:$M$2,0),0)</f>
        <v>7.0000000000000007E-2</v>
      </c>
      <c r="AF7159" s="6">
        <f t="shared" si="1113"/>
        <v>1455.1740000000002</v>
      </c>
      <c r="AG7159" s="14">
        <v>0</v>
      </c>
      <c r="AH7159" s="64">
        <f t="shared" si="1112"/>
        <v>20788.2</v>
      </c>
      <c r="AJ7159" s="126" t="e">
        <v>#N/A</v>
      </c>
      <c r="AK7159" s="80">
        <f t="shared" si="1109"/>
        <v>0</v>
      </c>
      <c r="AL7159" s="85"/>
      <c r="AM7159" s="85"/>
    </row>
    <row r="7160" spans="1:39" s="86" customFormat="1" ht="13.25" hidden="1" customHeight="1" x14ac:dyDescent="0.3">
      <c r="A7160" s="89" t="s">
        <v>3792</v>
      </c>
      <c r="B7160" s="86" t="s">
        <v>35</v>
      </c>
      <c r="C7160" s="86" t="s">
        <v>65</v>
      </c>
      <c r="D7160" s="86" t="s">
        <v>122</v>
      </c>
      <c r="E7160" s="86" t="s">
        <v>3501</v>
      </c>
      <c r="F7160" s="86" t="s">
        <v>3501</v>
      </c>
      <c r="G7160" s="86" t="s">
        <v>3501</v>
      </c>
      <c r="H7160" s="144">
        <v>360</v>
      </c>
      <c r="I7160" s="86" t="s">
        <v>1060</v>
      </c>
      <c r="J7160" s="47" t="s">
        <v>3325</v>
      </c>
      <c r="K7160" s="47" t="s">
        <v>3767</v>
      </c>
      <c r="L7160" s="47" t="s">
        <v>35</v>
      </c>
      <c r="M7160" s="86" t="s">
        <v>4022</v>
      </c>
      <c r="O7160" s="47" t="s">
        <v>410</v>
      </c>
      <c r="P7160" s="47" t="s">
        <v>41</v>
      </c>
      <c r="Q7160" s="14">
        <v>0</v>
      </c>
      <c r="R7160" s="143" t="s">
        <v>4023</v>
      </c>
      <c r="S7160" s="47"/>
      <c r="T7160" s="6">
        <v>0</v>
      </c>
      <c r="U7160" s="6">
        <v>31745.8</v>
      </c>
      <c r="V7160" s="6">
        <v>21142.799999999999</v>
      </c>
      <c r="W7160" s="6">
        <f t="shared" si="1110"/>
        <v>10603</v>
      </c>
      <c r="X7160" s="6">
        <f t="shared" si="1114"/>
        <v>21142.799999999999</v>
      </c>
      <c r="Y7160" s="13">
        <f t="shared" si="1107"/>
        <v>0</v>
      </c>
      <c r="Z7160" s="66">
        <v>0</v>
      </c>
      <c r="AA7160" s="6">
        <v>0</v>
      </c>
      <c r="AB7160" s="4">
        <f t="shared" si="1108"/>
        <v>21142.799999999999</v>
      </c>
      <c r="AC7160" s="6">
        <f t="shared" si="1106"/>
        <v>0</v>
      </c>
      <c r="AD7160" s="6">
        <f t="shared" si="1111"/>
        <v>21142.799999999999</v>
      </c>
      <c r="AE7160" s="14">
        <f>VLOOKUP(I7160,[2]媒体政策预估表!A:N,MATCH(O7160,[2]媒体政策预估表!$A$2:$M$2,0),0)</f>
        <v>7.0000000000000007E-2</v>
      </c>
      <c r="AF7160" s="6">
        <f t="shared" si="1113"/>
        <v>1479.9960000000001</v>
      </c>
      <c r="AG7160" s="14">
        <v>0</v>
      </c>
      <c r="AH7160" s="64">
        <f t="shared" si="1112"/>
        <v>21142.799999999999</v>
      </c>
      <c r="AJ7160" s="126" t="e">
        <v>#N/A</v>
      </c>
      <c r="AK7160" s="80">
        <f t="shared" si="1109"/>
        <v>0</v>
      </c>
      <c r="AL7160" s="85"/>
      <c r="AM7160" s="85"/>
    </row>
    <row r="7161" spans="1:39" s="86" customFormat="1" ht="13.25" hidden="1" customHeight="1" x14ac:dyDescent="0.3">
      <c r="A7161" s="89" t="s">
        <v>3792</v>
      </c>
      <c r="B7161" s="86" t="s">
        <v>35</v>
      </c>
      <c r="C7161" s="86" t="s">
        <v>65</v>
      </c>
      <c r="D7161" s="86" t="s">
        <v>122</v>
      </c>
      <c r="E7161" s="86" t="s">
        <v>3501</v>
      </c>
      <c r="F7161" s="86" t="s">
        <v>3501</v>
      </c>
      <c r="G7161" s="86" t="s">
        <v>3501</v>
      </c>
      <c r="H7161" s="144">
        <v>360</v>
      </c>
      <c r="I7161" s="86" t="s">
        <v>1060</v>
      </c>
      <c r="J7161" s="47" t="s">
        <v>3325</v>
      </c>
      <c r="K7161" s="47" t="s">
        <v>3767</v>
      </c>
      <c r="L7161" s="47" t="s">
        <v>35</v>
      </c>
      <c r="M7161" s="86" t="s">
        <v>3502</v>
      </c>
      <c r="O7161" s="47" t="s">
        <v>410</v>
      </c>
      <c r="P7161" s="47" t="s">
        <v>41</v>
      </c>
      <c r="Q7161" s="14">
        <v>0</v>
      </c>
      <c r="R7161" s="143" t="s">
        <v>3503</v>
      </c>
      <c r="S7161" s="47"/>
      <c r="T7161" s="6">
        <v>11745.8</v>
      </c>
      <c r="U7161" s="6">
        <v>-1745.7999999999993</v>
      </c>
      <c r="V7161" s="6">
        <v>5211.3</v>
      </c>
      <c r="W7161" s="6">
        <f t="shared" si="1110"/>
        <v>4788.7</v>
      </c>
      <c r="X7161" s="6">
        <f t="shared" si="1114"/>
        <v>5211.3</v>
      </c>
      <c r="Y7161" s="13">
        <f t="shared" si="1107"/>
        <v>0</v>
      </c>
      <c r="Z7161" s="66">
        <v>0</v>
      </c>
      <c r="AA7161" s="6">
        <v>0</v>
      </c>
      <c r="AB7161" s="4">
        <f t="shared" si="1108"/>
        <v>5211.3</v>
      </c>
      <c r="AC7161" s="6">
        <f t="shared" si="1106"/>
        <v>0</v>
      </c>
      <c r="AD7161" s="6">
        <f t="shared" si="1111"/>
        <v>5211.3</v>
      </c>
      <c r="AE7161" s="14">
        <f>VLOOKUP(I7161,[2]媒体政策预估表!A:N,MATCH(O7161,[2]媒体政策预估表!$A$2:$M$2,0),0)</f>
        <v>7.0000000000000007E-2</v>
      </c>
      <c r="AF7161" s="6">
        <f t="shared" si="1113"/>
        <v>364.79100000000005</v>
      </c>
      <c r="AG7161" s="14">
        <v>0</v>
      </c>
      <c r="AH7161" s="64">
        <f t="shared" si="1112"/>
        <v>5211.3</v>
      </c>
      <c r="AJ7161" s="126" t="e">
        <v>#N/A</v>
      </c>
      <c r="AK7161" s="80">
        <f t="shared" si="1109"/>
        <v>0</v>
      </c>
      <c r="AL7161" s="85"/>
      <c r="AM7161" s="85"/>
    </row>
    <row r="7162" spans="1:39" s="86" customFormat="1" ht="13.25" hidden="1" customHeight="1" x14ac:dyDescent="0.3">
      <c r="A7162" s="89" t="s">
        <v>3792</v>
      </c>
      <c r="B7162" s="86" t="s">
        <v>35</v>
      </c>
      <c r="C7162" s="86" t="s">
        <v>65</v>
      </c>
      <c r="D7162" s="86" t="s">
        <v>122</v>
      </c>
      <c r="E7162" s="86" t="s">
        <v>1266</v>
      </c>
      <c r="F7162" s="86" t="s">
        <v>1266</v>
      </c>
      <c r="G7162" s="86" t="s">
        <v>1266</v>
      </c>
      <c r="H7162" s="143">
        <v>360</v>
      </c>
      <c r="I7162" s="86" t="s">
        <v>1060</v>
      </c>
      <c r="J7162" s="47" t="s">
        <v>3325</v>
      </c>
      <c r="K7162" s="47" t="s">
        <v>3767</v>
      </c>
      <c r="L7162" s="47" t="s">
        <v>35</v>
      </c>
      <c r="M7162" s="86" t="s">
        <v>1267</v>
      </c>
      <c r="O7162" s="47" t="s">
        <v>45</v>
      </c>
      <c r="P7162" s="47" t="s">
        <v>41</v>
      </c>
      <c r="Q7162" s="14">
        <v>0</v>
      </c>
      <c r="R7162" s="143" t="s">
        <v>1268</v>
      </c>
      <c r="S7162" s="47"/>
      <c r="T7162" s="6">
        <v>10000</v>
      </c>
      <c r="U7162" s="6">
        <v>-10000</v>
      </c>
      <c r="V7162" s="6">
        <v>0</v>
      </c>
      <c r="W7162" s="6">
        <f t="shared" si="1110"/>
        <v>0</v>
      </c>
      <c r="X7162" s="6">
        <f t="shared" si="1114"/>
        <v>0</v>
      </c>
      <c r="Y7162" s="13">
        <f t="shared" si="1107"/>
        <v>0</v>
      </c>
      <c r="Z7162" s="66">
        <v>0</v>
      </c>
      <c r="AA7162" s="6">
        <v>0</v>
      </c>
      <c r="AB7162" s="4">
        <f t="shared" si="1108"/>
        <v>0</v>
      </c>
      <c r="AC7162" s="6">
        <f t="shared" si="1106"/>
        <v>0</v>
      </c>
      <c r="AD7162" s="6">
        <f t="shared" si="1111"/>
        <v>0</v>
      </c>
      <c r="AE7162" s="14">
        <f>VLOOKUP(I7162,[2]媒体政策预估表!A:N,MATCH(O7162,[2]媒体政策预估表!$A$2:$M$2,0),0)</f>
        <v>0.1</v>
      </c>
      <c r="AF7162" s="6">
        <f t="shared" si="1113"/>
        <v>0</v>
      </c>
      <c r="AG7162" s="14">
        <v>0</v>
      </c>
      <c r="AH7162" s="64">
        <f t="shared" si="1112"/>
        <v>0</v>
      </c>
      <c r="AJ7162" s="126" t="e">
        <v>#N/A</v>
      </c>
      <c r="AK7162" s="80">
        <f t="shared" si="1109"/>
        <v>0</v>
      </c>
      <c r="AL7162" s="85"/>
      <c r="AM7162" s="85"/>
    </row>
    <row r="7163" spans="1:39" s="86" customFormat="1" ht="13.25" hidden="1" customHeight="1" x14ac:dyDescent="0.3">
      <c r="A7163" s="89" t="s">
        <v>3792</v>
      </c>
      <c r="B7163" s="86" t="s">
        <v>35</v>
      </c>
      <c r="C7163" s="86" t="s">
        <v>65</v>
      </c>
      <c r="D7163" s="86" t="s">
        <v>122</v>
      </c>
      <c r="E7163" s="86" t="s">
        <v>1266</v>
      </c>
      <c r="F7163" s="86" t="s">
        <v>1266</v>
      </c>
      <c r="G7163" s="86" t="s">
        <v>1266</v>
      </c>
      <c r="H7163" s="143">
        <v>360</v>
      </c>
      <c r="I7163" s="86" t="s">
        <v>1060</v>
      </c>
      <c r="J7163" s="47" t="s">
        <v>3325</v>
      </c>
      <c r="K7163" s="47" t="s">
        <v>3767</v>
      </c>
      <c r="L7163" s="47" t="s">
        <v>35</v>
      </c>
      <c r="M7163" s="86" t="s">
        <v>1267</v>
      </c>
      <c r="O7163" s="47" t="s">
        <v>410</v>
      </c>
      <c r="P7163" s="47" t="s">
        <v>41</v>
      </c>
      <c r="Q7163" s="14">
        <v>0</v>
      </c>
      <c r="R7163" s="143" t="s">
        <v>1268</v>
      </c>
      <c r="S7163" s="47"/>
      <c r="T7163" s="6">
        <v>10000</v>
      </c>
      <c r="U7163" s="6">
        <v>-10000</v>
      </c>
      <c r="V7163" s="6">
        <v>0</v>
      </c>
      <c r="W7163" s="6">
        <f t="shared" si="1110"/>
        <v>0</v>
      </c>
      <c r="X7163" s="6">
        <f t="shared" si="1114"/>
        <v>0</v>
      </c>
      <c r="Y7163" s="13">
        <f t="shared" si="1107"/>
        <v>0</v>
      </c>
      <c r="Z7163" s="66">
        <v>0</v>
      </c>
      <c r="AA7163" s="6">
        <v>0</v>
      </c>
      <c r="AB7163" s="4">
        <f t="shared" si="1108"/>
        <v>0</v>
      </c>
      <c r="AC7163" s="6">
        <f t="shared" si="1106"/>
        <v>0</v>
      </c>
      <c r="AD7163" s="6">
        <f t="shared" si="1111"/>
        <v>0</v>
      </c>
      <c r="AE7163" s="14">
        <f>VLOOKUP(I7163,[2]媒体政策预估表!A:N,MATCH(O7163,[2]媒体政策预估表!$A$2:$M$2,0),0)</f>
        <v>7.0000000000000007E-2</v>
      </c>
      <c r="AF7163" s="6">
        <f t="shared" si="1113"/>
        <v>0</v>
      </c>
      <c r="AG7163" s="14">
        <v>0</v>
      </c>
      <c r="AH7163" s="64">
        <f t="shared" si="1112"/>
        <v>0</v>
      </c>
      <c r="AJ7163" s="126" t="e">
        <v>#N/A</v>
      </c>
      <c r="AK7163" s="80">
        <f t="shared" si="1109"/>
        <v>0</v>
      </c>
      <c r="AL7163" s="85"/>
      <c r="AM7163" s="85"/>
    </row>
    <row r="7164" spans="1:39" s="86" customFormat="1" ht="13.25" hidden="1" customHeight="1" x14ac:dyDescent="0.3">
      <c r="A7164" s="89" t="s">
        <v>3792</v>
      </c>
      <c r="B7164" s="86" t="s">
        <v>35</v>
      </c>
      <c r="C7164" s="86" t="s">
        <v>65</v>
      </c>
      <c r="D7164" s="86" t="s">
        <v>122</v>
      </c>
      <c r="E7164" s="86" t="s">
        <v>1266</v>
      </c>
      <c r="F7164" s="86" t="s">
        <v>1266</v>
      </c>
      <c r="G7164" s="86" t="s">
        <v>1266</v>
      </c>
      <c r="H7164" s="144">
        <v>360</v>
      </c>
      <c r="I7164" s="86" t="s">
        <v>1060</v>
      </c>
      <c r="J7164" s="47" t="s">
        <v>3325</v>
      </c>
      <c r="K7164" s="47" t="s">
        <v>3767</v>
      </c>
      <c r="L7164" s="47" t="s">
        <v>35</v>
      </c>
      <c r="M7164" s="86" t="s">
        <v>1266</v>
      </c>
      <c r="O7164" s="47" t="s">
        <v>45</v>
      </c>
      <c r="P7164" s="47" t="s">
        <v>41</v>
      </c>
      <c r="Q7164" s="14">
        <v>0</v>
      </c>
      <c r="R7164" s="143" t="s">
        <v>3504</v>
      </c>
      <c r="S7164" s="47"/>
      <c r="T7164" s="6">
        <v>10230.79508</v>
      </c>
      <c r="U7164" s="6">
        <v>232.18000000000029</v>
      </c>
      <c r="V7164" s="6">
        <v>3438.8828699999999</v>
      </c>
      <c r="W7164" s="6">
        <f t="shared" si="1110"/>
        <v>7024.0922100000007</v>
      </c>
      <c r="X7164" s="6">
        <f t="shared" si="1114"/>
        <v>3438.8828699999999</v>
      </c>
      <c r="Y7164" s="13">
        <f t="shared" si="1107"/>
        <v>0</v>
      </c>
      <c r="Z7164" s="66">
        <v>0</v>
      </c>
      <c r="AA7164" s="6">
        <v>0</v>
      </c>
      <c r="AB7164" s="4">
        <f t="shared" si="1108"/>
        <v>3438.8828699999999</v>
      </c>
      <c r="AC7164" s="6">
        <f t="shared" si="1106"/>
        <v>0</v>
      </c>
      <c r="AD7164" s="6">
        <f t="shared" si="1111"/>
        <v>3438.8828699999999</v>
      </c>
      <c r="AE7164" s="14">
        <f>VLOOKUP(I7164,[2]媒体政策预估表!A:N,MATCH(O7164,[2]媒体政策预估表!$A$2:$M$2,0),0)</f>
        <v>0.1</v>
      </c>
      <c r="AF7164" s="6">
        <f t="shared" si="1113"/>
        <v>343.88828699999999</v>
      </c>
      <c r="AG7164" s="14">
        <v>0</v>
      </c>
      <c r="AH7164" s="64">
        <f t="shared" si="1112"/>
        <v>3438.8828699999999</v>
      </c>
      <c r="AJ7164" s="126" t="e">
        <v>#N/A</v>
      </c>
      <c r="AK7164" s="80">
        <f t="shared" si="1109"/>
        <v>0</v>
      </c>
      <c r="AL7164" s="85"/>
      <c r="AM7164" s="85"/>
    </row>
    <row r="7165" spans="1:39" s="86" customFormat="1" ht="13.25" hidden="1" customHeight="1" x14ac:dyDescent="0.3">
      <c r="A7165" s="89" t="s">
        <v>3792</v>
      </c>
      <c r="B7165" s="86" t="s">
        <v>35</v>
      </c>
      <c r="C7165" s="86" t="s">
        <v>65</v>
      </c>
      <c r="D7165" s="86" t="s">
        <v>122</v>
      </c>
      <c r="E7165" s="86" t="s">
        <v>1266</v>
      </c>
      <c r="F7165" s="86" t="s">
        <v>1266</v>
      </c>
      <c r="G7165" s="86" t="s">
        <v>1266</v>
      </c>
      <c r="H7165" s="144">
        <v>360</v>
      </c>
      <c r="I7165" s="86" t="s">
        <v>1060</v>
      </c>
      <c r="J7165" s="47" t="s">
        <v>3325</v>
      </c>
      <c r="K7165" s="47" t="s">
        <v>3767</v>
      </c>
      <c r="L7165" s="47" t="s">
        <v>35</v>
      </c>
      <c r="M7165" s="86" t="s">
        <v>1271</v>
      </c>
      <c r="O7165" s="47" t="s">
        <v>45</v>
      </c>
      <c r="P7165" s="47" t="s">
        <v>41</v>
      </c>
      <c r="Q7165" s="14">
        <v>0</v>
      </c>
      <c r="R7165" s="143" t="s">
        <v>1272</v>
      </c>
      <c r="S7165" s="47"/>
      <c r="T7165" s="6">
        <v>60015.498659999997</v>
      </c>
      <c r="U7165" s="6">
        <v>30000</v>
      </c>
      <c r="V7165" s="6">
        <v>17206.732250000001</v>
      </c>
      <c r="W7165" s="6">
        <f t="shared" si="1110"/>
        <v>72808.766409999997</v>
      </c>
      <c r="X7165" s="6">
        <f t="shared" si="1114"/>
        <v>17206.732250000001</v>
      </c>
      <c r="Y7165" s="13">
        <f t="shared" si="1107"/>
        <v>0</v>
      </c>
      <c r="Z7165" s="66">
        <v>0</v>
      </c>
      <c r="AA7165" s="6">
        <v>0</v>
      </c>
      <c r="AB7165" s="4">
        <f t="shared" si="1108"/>
        <v>17206.732250000001</v>
      </c>
      <c r="AC7165" s="6">
        <f t="shared" si="1106"/>
        <v>0</v>
      </c>
      <c r="AD7165" s="6">
        <f t="shared" si="1111"/>
        <v>17206.732250000001</v>
      </c>
      <c r="AE7165" s="14">
        <f>VLOOKUP(I7165,[2]媒体政策预估表!A:N,MATCH(O7165,[2]媒体政策预估表!$A$2:$M$2,0),0)</f>
        <v>0.1</v>
      </c>
      <c r="AF7165" s="6">
        <f t="shared" si="1113"/>
        <v>1720.6732250000002</v>
      </c>
      <c r="AG7165" s="14">
        <v>0</v>
      </c>
      <c r="AH7165" s="64">
        <f t="shared" si="1112"/>
        <v>17206.732250000001</v>
      </c>
      <c r="AJ7165" s="126" t="e">
        <v>#N/A</v>
      </c>
      <c r="AK7165" s="80">
        <f t="shared" si="1109"/>
        <v>0</v>
      </c>
      <c r="AL7165" s="85"/>
      <c r="AM7165" s="85"/>
    </row>
    <row r="7166" spans="1:39" s="86" customFormat="1" ht="13.25" hidden="1" customHeight="1" x14ac:dyDescent="0.3">
      <c r="A7166" s="89" t="s">
        <v>3978</v>
      </c>
      <c r="B7166" s="86" t="s">
        <v>35</v>
      </c>
      <c r="C7166" s="86" t="s">
        <v>65</v>
      </c>
      <c r="D7166" s="86" t="s">
        <v>122</v>
      </c>
      <c r="E7166" s="86" t="s">
        <v>1266</v>
      </c>
      <c r="F7166" s="86" t="s">
        <v>1266</v>
      </c>
      <c r="G7166" s="86" t="s">
        <v>1266</v>
      </c>
      <c r="H7166" s="143">
        <v>360</v>
      </c>
      <c r="I7166" s="86" t="s">
        <v>1060</v>
      </c>
      <c r="J7166" s="47" t="s">
        <v>3325</v>
      </c>
      <c r="K7166" s="47" t="s">
        <v>3767</v>
      </c>
      <c r="L7166" s="47" t="s">
        <v>35</v>
      </c>
      <c r="M7166" s="86" t="s">
        <v>1271</v>
      </c>
      <c r="O7166" s="47" t="s">
        <v>45</v>
      </c>
      <c r="P7166" s="47" t="s">
        <v>41</v>
      </c>
      <c r="Q7166" s="14">
        <v>0</v>
      </c>
      <c r="R7166" s="143" t="s">
        <v>1273</v>
      </c>
      <c r="S7166" s="47"/>
      <c r="T7166" s="6">
        <v>56998.99338</v>
      </c>
      <c r="U7166" s="6">
        <v>-50792.26</v>
      </c>
      <c r="V7166" s="6">
        <v>0</v>
      </c>
      <c r="W7166" s="6">
        <f t="shared" si="1110"/>
        <v>6206.7333799999979</v>
      </c>
      <c r="X7166" s="6">
        <f t="shared" si="1114"/>
        <v>0</v>
      </c>
      <c r="Y7166" s="13">
        <f t="shared" si="1107"/>
        <v>0</v>
      </c>
      <c r="Z7166" s="66">
        <v>0</v>
      </c>
      <c r="AA7166" s="6">
        <v>0</v>
      </c>
      <c r="AB7166" s="4">
        <f t="shared" si="1108"/>
        <v>0</v>
      </c>
      <c r="AC7166" s="6">
        <f t="shared" ref="AC7166:AC7229" si="1115">IF(P7166="返现",X7166*Q7166,V7166-X7166)</f>
        <v>0</v>
      </c>
      <c r="AD7166" s="6">
        <f t="shared" si="1111"/>
        <v>0</v>
      </c>
      <c r="AE7166" s="14">
        <f>VLOOKUP(I7166,[2]媒体政策预估表!A:N,MATCH(O7166,[2]媒体政策预估表!$A$2:$M$2,0),0)</f>
        <v>0.1</v>
      </c>
      <c r="AF7166" s="6">
        <f t="shared" si="1113"/>
        <v>0</v>
      </c>
      <c r="AG7166" s="14">
        <v>0</v>
      </c>
      <c r="AH7166" s="64">
        <f t="shared" si="1112"/>
        <v>0</v>
      </c>
      <c r="AJ7166" s="126" t="e">
        <v>#N/A</v>
      </c>
      <c r="AK7166" s="80">
        <f t="shared" si="1109"/>
        <v>0</v>
      </c>
      <c r="AL7166" s="85"/>
      <c r="AM7166" s="85"/>
    </row>
    <row r="7167" spans="1:39" s="86" customFormat="1" ht="13.25" hidden="1" customHeight="1" x14ac:dyDescent="0.3">
      <c r="A7167" s="89" t="s">
        <v>3792</v>
      </c>
      <c r="B7167" s="86" t="s">
        <v>35</v>
      </c>
      <c r="C7167" s="86" t="s">
        <v>65</v>
      </c>
      <c r="D7167" s="86" t="s">
        <v>122</v>
      </c>
      <c r="E7167" s="86" t="s">
        <v>1266</v>
      </c>
      <c r="F7167" s="86" t="s">
        <v>1266</v>
      </c>
      <c r="G7167" s="86" t="s">
        <v>1266</v>
      </c>
      <c r="H7167" s="144">
        <v>360</v>
      </c>
      <c r="I7167" s="86" t="s">
        <v>1060</v>
      </c>
      <c r="J7167" s="47" t="s">
        <v>3325</v>
      </c>
      <c r="K7167" s="47" t="s">
        <v>3767</v>
      </c>
      <c r="L7167" s="47" t="s">
        <v>35</v>
      </c>
      <c r="M7167" s="86" t="s">
        <v>1274</v>
      </c>
      <c r="O7167" s="47" t="s">
        <v>45</v>
      </c>
      <c r="P7167" s="47" t="s">
        <v>41</v>
      </c>
      <c r="Q7167" s="14">
        <v>0</v>
      </c>
      <c r="R7167" s="143" t="s">
        <v>1275</v>
      </c>
      <c r="S7167" s="47"/>
      <c r="T7167" s="6">
        <v>739613.87410000002</v>
      </c>
      <c r="U7167" s="6">
        <v>220000</v>
      </c>
      <c r="V7167" s="6">
        <v>116042.8922</v>
      </c>
      <c r="W7167" s="6">
        <f t="shared" si="1110"/>
        <v>843570.98190000001</v>
      </c>
      <c r="X7167" s="6">
        <f t="shared" si="1114"/>
        <v>116042.8922</v>
      </c>
      <c r="Y7167" s="13">
        <f t="shared" si="1107"/>
        <v>0</v>
      </c>
      <c r="Z7167" s="66">
        <v>0</v>
      </c>
      <c r="AA7167" s="6">
        <v>0</v>
      </c>
      <c r="AB7167" s="4">
        <f t="shared" si="1108"/>
        <v>116042.8922</v>
      </c>
      <c r="AC7167" s="6">
        <f t="shared" si="1115"/>
        <v>0</v>
      </c>
      <c r="AD7167" s="6">
        <f t="shared" si="1111"/>
        <v>116042.8922</v>
      </c>
      <c r="AE7167" s="14">
        <f>VLOOKUP(I7167,[2]媒体政策预估表!A:N,MATCH(O7167,[2]媒体政策预估表!$A$2:$M$2,0),0)</f>
        <v>0.1</v>
      </c>
      <c r="AF7167" s="6">
        <f t="shared" si="1113"/>
        <v>11604.289220000001</v>
      </c>
      <c r="AG7167" s="14">
        <v>0</v>
      </c>
      <c r="AH7167" s="64">
        <f t="shared" si="1112"/>
        <v>116042.8922</v>
      </c>
      <c r="AJ7167" s="126" t="e">
        <v>#N/A</v>
      </c>
      <c r="AK7167" s="80">
        <f t="shared" si="1109"/>
        <v>0</v>
      </c>
      <c r="AL7167" s="85"/>
      <c r="AM7167" s="85"/>
    </row>
    <row r="7168" spans="1:39" s="86" customFormat="1" ht="13.25" hidden="1" customHeight="1" x14ac:dyDescent="0.3">
      <c r="A7168" s="89" t="s">
        <v>3792</v>
      </c>
      <c r="B7168" s="86" t="s">
        <v>35</v>
      </c>
      <c r="C7168" s="86" t="s">
        <v>65</v>
      </c>
      <c r="D7168" s="86" t="s">
        <v>122</v>
      </c>
      <c r="E7168" s="86" t="s">
        <v>1266</v>
      </c>
      <c r="F7168" s="86" t="s">
        <v>1266</v>
      </c>
      <c r="G7168" s="86" t="s">
        <v>1266</v>
      </c>
      <c r="H7168" s="143">
        <v>360</v>
      </c>
      <c r="I7168" s="86" t="s">
        <v>1060</v>
      </c>
      <c r="J7168" s="47" t="s">
        <v>3325</v>
      </c>
      <c r="K7168" s="47" t="s">
        <v>3767</v>
      </c>
      <c r="L7168" s="47" t="s">
        <v>35</v>
      </c>
      <c r="M7168" s="86" t="s">
        <v>1274</v>
      </c>
      <c r="O7168" s="47" t="s">
        <v>45</v>
      </c>
      <c r="P7168" s="47" t="s">
        <v>41</v>
      </c>
      <c r="Q7168" s="14">
        <v>0</v>
      </c>
      <c r="R7168" s="143" t="s">
        <v>1276</v>
      </c>
      <c r="S7168" s="47"/>
      <c r="T7168" s="6">
        <v>50000</v>
      </c>
      <c r="U7168" s="6">
        <v>-43161.31</v>
      </c>
      <c r="V7168" s="6">
        <v>0</v>
      </c>
      <c r="W7168" s="6">
        <f t="shared" si="1110"/>
        <v>6838.6900000000023</v>
      </c>
      <c r="X7168" s="6">
        <f t="shared" si="1114"/>
        <v>0</v>
      </c>
      <c r="Y7168" s="13">
        <f t="shared" si="1107"/>
        <v>0</v>
      </c>
      <c r="Z7168" s="66">
        <v>0</v>
      </c>
      <c r="AA7168" s="6">
        <v>0</v>
      </c>
      <c r="AB7168" s="4">
        <f t="shared" si="1108"/>
        <v>0</v>
      </c>
      <c r="AC7168" s="6">
        <f t="shared" si="1115"/>
        <v>0</v>
      </c>
      <c r="AD7168" s="6">
        <f t="shared" si="1111"/>
        <v>0</v>
      </c>
      <c r="AE7168" s="14">
        <f>VLOOKUP(I7168,[2]媒体政策预估表!A:N,MATCH(O7168,[2]媒体政策预估表!$A$2:$M$2,0),0)</f>
        <v>0.1</v>
      </c>
      <c r="AF7168" s="6">
        <f t="shared" si="1113"/>
        <v>0</v>
      </c>
      <c r="AG7168" s="14">
        <v>0</v>
      </c>
      <c r="AH7168" s="64">
        <f t="shared" si="1112"/>
        <v>0</v>
      </c>
      <c r="AJ7168" s="126" t="e">
        <v>#N/A</v>
      </c>
      <c r="AK7168" s="80">
        <f t="shared" si="1109"/>
        <v>0</v>
      </c>
      <c r="AL7168" s="85"/>
      <c r="AM7168" s="85"/>
    </row>
    <row r="7169" spans="1:39" s="86" customFormat="1" ht="13.25" hidden="1" customHeight="1" x14ac:dyDescent="0.3">
      <c r="A7169" s="89" t="s">
        <v>3792</v>
      </c>
      <c r="B7169" s="86" t="s">
        <v>35</v>
      </c>
      <c r="C7169" s="86" t="s">
        <v>65</v>
      </c>
      <c r="D7169" s="86" t="s">
        <v>122</v>
      </c>
      <c r="E7169" s="86" t="s">
        <v>1266</v>
      </c>
      <c r="F7169" s="86" t="s">
        <v>3687</v>
      </c>
      <c r="G7169" s="86" t="s">
        <v>1266</v>
      </c>
      <c r="H7169" s="143">
        <v>360</v>
      </c>
      <c r="I7169" s="86" t="s">
        <v>1060</v>
      </c>
      <c r="J7169" s="47" t="s">
        <v>3325</v>
      </c>
      <c r="K7169" s="47" t="s">
        <v>3767</v>
      </c>
      <c r="L7169" s="47" t="s">
        <v>35</v>
      </c>
      <c r="M7169" s="86" t="s">
        <v>1267</v>
      </c>
      <c r="O7169" s="47" t="s">
        <v>45</v>
      </c>
      <c r="P7169" s="47" t="s">
        <v>46</v>
      </c>
      <c r="Q7169" s="14">
        <v>0.02</v>
      </c>
      <c r="R7169" s="143" t="s">
        <v>1268</v>
      </c>
      <c r="S7169" s="47"/>
      <c r="T7169" s="6">
        <v>-5167.7245700000003</v>
      </c>
      <c r="U7169" s="6">
        <v>0</v>
      </c>
      <c r="V7169" s="6">
        <v>0</v>
      </c>
      <c r="W7169" s="6">
        <f t="shared" si="1110"/>
        <v>-5167.7245700000003</v>
      </c>
      <c r="X7169" s="6">
        <f t="shared" si="1114"/>
        <v>0</v>
      </c>
      <c r="Y7169" s="13">
        <f t="shared" si="1107"/>
        <v>0</v>
      </c>
      <c r="Z7169" s="66">
        <v>0</v>
      </c>
      <c r="AA7169" s="6">
        <v>0</v>
      </c>
      <c r="AB7169" s="4">
        <f t="shared" si="1108"/>
        <v>0</v>
      </c>
      <c r="AC7169" s="6">
        <f t="shared" si="1115"/>
        <v>0</v>
      </c>
      <c r="AD7169" s="6">
        <f t="shared" si="1111"/>
        <v>0</v>
      </c>
      <c r="AE7169" s="14">
        <f>VLOOKUP(I7169,[2]媒体政策预估表!A:N,MATCH(O7169,[2]媒体政策预估表!$A$2:$M$2,0),0)</f>
        <v>0.1</v>
      </c>
      <c r="AF7169" s="6">
        <f t="shared" si="1113"/>
        <v>0</v>
      </c>
      <c r="AG7169" s="14">
        <v>0</v>
      </c>
      <c r="AH7169" s="64">
        <f t="shared" si="1112"/>
        <v>0</v>
      </c>
      <c r="AJ7169" s="126" t="e">
        <v>#N/A</v>
      </c>
      <c r="AK7169" s="80">
        <f t="shared" si="1109"/>
        <v>0</v>
      </c>
      <c r="AL7169" s="85"/>
      <c r="AM7169" s="85"/>
    </row>
    <row r="7170" spans="1:39" s="86" customFormat="1" ht="13.25" hidden="1" customHeight="1" x14ac:dyDescent="0.3">
      <c r="A7170" s="89" t="s">
        <v>3792</v>
      </c>
      <c r="B7170" s="86" t="s">
        <v>35</v>
      </c>
      <c r="C7170" s="86" t="s">
        <v>65</v>
      </c>
      <c r="D7170" s="86" t="s">
        <v>122</v>
      </c>
      <c r="E7170" s="86" t="s">
        <v>1266</v>
      </c>
      <c r="F7170" s="86" t="s">
        <v>3687</v>
      </c>
      <c r="G7170" s="86" t="s">
        <v>1266</v>
      </c>
      <c r="H7170" s="144">
        <v>360</v>
      </c>
      <c r="I7170" s="86" t="s">
        <v>1060</v>
      </c>
      <c r="J7170" s="47" t="s">
        <v>3325</v>
      </c>
      <c r="K7170" s="47" t="s">
        <v>3767</v>
      </c>
      <c r="L7170" s="47" t="s">
        <v>35</v>
      </c>
      <c r="M7170" s="86" t="s">
        <v>1267</v>
      </c>
      <c r="O7170" s="47" t="s">
        <v>410</v>
      </c>
      <c r="P7170" s="47" t="s">
        <v>41</v>
      </c>
      <c r="Q7170" s="14">
        <v>0</v>
      </c>
      <c r="R7170" s="143" t="s">
        <v>1268</v>
      </c>
      <c r="S7170" s="47"/>
      <c r="T7170" s="6">
        <v>-4218.3</v>
      </c>
      <c r="U7170" s="6">
        <v>20000</v>
      </c>
      <c r="V7170" s="6">
        <v>2384.1999999999998</v>
      </c>
      <c r="W7170" s="6">
        <f t="shared" si="1110"/>
        <v>13397.5</v>
      </c>
      <c r="X7170" s="6">
        <f t="shared" si="1114"/>
        <v>2384.1999999999998</v>
      </c>
      <c r="Y7170" s="13">
        <f t="shared" si="1107"/>
        <v>0</v>
      </c>
      <c r="Z7170" s="66">
        <v>0</v>
      </c>
      <c r="AA7170" s="6">
        <v>0</v>
      </c>
      <c r="AB7170" s="4">
        <f t="shared" si="1108"/>
        <v>2384.1999999999998</v>
      </c>
      <c r="AC7170" s="6">
        <f t="shared" si="1115"/>
        <v>0</v>
      </c>
      <c r="AD7170" s="6">
        <f t="shared" si="1111"/>
        <v>2384.1999999999998</v>
      </c>
      <c r="AE7170" s="14">
        <f>VLOOKUP(I7170,[2]媒体政策预估表!A:N,MATCH(O7170,[2]媒体政策预估表!$A$2:$M$2,0),0)</f>
        <v>7.0000000000000007E-2</v>
      </c>
      <c r="AF7170" s="6">
        <f t="shared" si="1113"/>
        <v>166.89400000000001</v>
      </c>
      <c r="AG7170" s="14">
        <v>0</v>
      </c>
      <c r="AH7170" s="64">
        <f t="shared" si="1112"/>
        <v>2384.1999999999998</v>
      </c>
      <c r="AJ7170" s="126" t="e">
        <v>#N/A</v>
      </c>
      <c r="AK7170" s="80">
        <f t="shared" si="1109"/>
        <v>0</v>
      </c>
      <c r="AL7170" s="85"/>
      <c r="AM7170" s="85"/>
    </row>
    <row r="7171" spans="1:39" s="86" customFormat="1" ht="13.25" hidden="1" customHeight="1" x14ac:dyDescent="0.3">
      <c r="A7171" s="89" t="s">
        <v>3792</v>
      </c>
      <c r="B7171" s="86" t="s">
        <v>35</v>
      </c>
      <c r="C7171" s="86" t="s">
        <v>65</v>
      </c>
      <c r="D7171" s="86" t="s">
        <v>122</v>
      </c>
      <c r="E7171" s="86" t="s">
        <v>3508</v>
      </c>
      <c r="F7171" s="86" t="s">
        <v>3508</v>
      </c>
      <c r="G7171" s="86" t="s">
        <v>3508</v>
      </c>
      <c r="H7171" s="144">
        <v>360</v>
      </c>
      <c r="I7171" s="86" t="s">
        <v>1060</v>
      </c>
      <c r="J7171" s="47" t="s">
        <v>3325</v>
      </c>
      <c r="K7171" s="47" t="s">
        <v>3767</v>
      </c>
      <c r="L7171" s="47" t="s">
        <v>35</v>
      </c>
      <c r="M7171" s="86" t="s">
        <v>3508</v>
      </c>
      <c r="O7171" s="47" t="s">
        <v>410</v>
      </c>
      <c r="P7171" s="47" t="s">
        <v>46</v>
      </c>
      <c r="Q7171" s="14">
        <v>0.01</v>
      </c>
      <c r="R7171" s="143" t="s">
        <v>3509</v>
      </c>
      <c r="S7171" s="47"/>
      <c r="T7171" s="6">
        <v>5449</v>
      </c>
      <c r="U7171" s="6">
        <v>-5233</v>
      </c>
      <c r="V7171" s="6">
        <v>216</v>
      </c>
      <c r="W7171" s="6">
        <f t="shared" si="1110"/>
        <v>0</v>
      </c>
      <c r="X7171" s="6">
        <f t="shared" si="1114"/>
        <v>213.86138613861385</v>
      </c>
      <c r="Y7171" s="13">
        <f t="shared" ref="Y7171:Y7234" si="1116">IF(X7171-AD7171&lt;=0,0,IF(P7171="返现",MAX(X7171-AC7171-AD7171,0),MAX(X7171-AD7171)))</f>
        <v>0</v>
      </c>
      <c r="Z7171" s="66">
        <v>0</v>
      </c>
      <c r="AA7171" s="6">
        <v>0</v>
      </c>
      <c r="AB7171" s="4">
        <f t="shared" ref="AB7171:AB7234" si="1117">X7171+AA7171</f>
        <v>213.86138613861385</v>
      </c>
      <c r="AC7171" s="6">
        <f t="shared" si="1115"/>
        <v>2.1386138613861476</v>
      </c>
      <c r="AD7171" s="6">
        <f t="shared" si="1111"/>
        <v>216</v>
      </c>
      <c r="AE7171" s="14">
        <f>VLOOKUP(I7171,[2]媒体政策预估表!A:N,MATCH(O7171,[2]媒体政策预估表!$A$2:$M$2,0),0)</f>
        <v>7.0000000000000007E-2</v>
      </c>
      <c r="AF7171" s="6">
        <f t="shared" si="1113"/>
        <v>15.120000000000001</v>
      </c>
      <c r="AG7171" s="14">
        <v>0</v>
      </c>
      <c r="AH7171" s="64">
        <f t="shared" si="1112"/>
        <v>216</v>
      </c>
      <c r="AJ7171" s="126" t="e">
        <v>#N/A</v>
      </c>
      <c r="AK7171" s="80">
        <f t="shared" ref="AK7171:AK7234" si="1118">X7171+AA7171-AB7171</f>
        <v>0</v>
      </c>
      <c r="AL7171" s="85"/>
      <c r="AM7171" s="85"/>
    </row>
    <row r="7172" spans="1:39" s="86" customFormat="1" ht="13.25" hidden="1" customHeight="1" x14ac:dyDescent="0.3">
      <c r="A7172" s="89" t="s">
        <v>3792</v>
      </c>
      <c r="B7172" s="86" t="s">
        <v>35</v>
      </c>
      <c r="C7172" s="86" t="s">
        <v>65</v>
      </c>
      <c r="D7172" s="86" t="s">
        <v>122</v>
      </c>
      <c r="E7172" s="86" t="s">
        <v>1277</v>
      </c>
      <c r="F7172" s="86" t="s">
        <v>1277</v>
      </c>
      <c r="G7172" s="86" t="s">
        <v>1277</v>
      </c>
      <c r="H7172" s="144">
        <v>360</v>
      </c>
      <c r="I7172" s="86" t="s">
        <v>1060</v>
      </c>
      <c r="J7172" s="47" t="s">
        <v>3325</v>
      </c>
      <c r="K7172" s="47" t="s">
        <v>3767</v>
      </c>
      <c r="L7172" s="47" t="s">
        <v>35</v>
      </c>
      <c r="M7172" s="86" t="s">
        <v>1277</v>
      </c>
      <c r="O7172" s="47" t="s">
        <v>410</v>
      </c>
      <c r="P7172" s="47" t="s">
        <v>46</v>
      </c>
      <c r="Q7172" s="14">
        <v>0.02</v>
      </c>
      <c r="R7172" s="143" t="s">
        <v>1278</v>
      </c>
      <c r="S7172" s="47"/>
      <c r="T7172" s="6">
        <v>23433</v>
      </c>
      <c r="U7172" s="6">
        <v>50000</v>
      </c>
      <c r="V7172" s="6">
        <v>65695.179999999993</v>
      </c>
      <c r="W7172" s="6">
        <f t="shared" si="1110"/>
        <v>7737.820000000007</v>
      </c>
      <c r="X7172" s="6">
        <f t="shared" si="1114"/>
        <v>64407.039215686265</v>
      </c>
      <c r="Y7172" s="13">
        <f t="shared" si="1116"/>
        <v>0</v>
      </c>
      <c r="Z7172" s="66">
        <v>0</v>
      </c>
      <c r="AA7172" s="6">
        <v>0</v>
      </c>
      <c r="AB7172" s="4">
        <f t="shared" si="1117"/>
        <v>64407.039215686265</v>
      </c>
      <c r="AC7172" s="6">
        <f t="shared" si="1115"/>
        <v>1288.1407843137276</v>
      </c>
      <c r="AD7172" s="6">
        <f t="shared" si="1111"/>
        <v>65695.179999999993</v>
      </c>
      <c r="AE7172" s="14">
        <f>VLOOKUP(I7172,[2]媒体政策预估表!A:N,MATCH(O7172,[2]媒体政策预估表!$A$2:$M$2,0),0)</f>
        <v>7.0000000000000007E-2</v>
      </c>
      <c r="AF7172" s="6">
        <f t="shared" si="1113"/>
        <v>4598.6625999999997</v>
      </c>
      <c r="AG7172" s="14">
        <v>0</v>
      </c>
      <c r="AH7172" s="64">
        <f t="shared" si="1112"/>
        <v>65695.179999999993</v>
      </c>
      <c r="AJ7172" s="126" t="e">
        <v>#N/A</v>
      </c>
      <c r="AK7172" s="80">
        <f t="shared" si="1118"/>
        <v>0</v>
      </c>
      <c r="AL7172" s="85"/>
      <c r="AM7172" s="85"/>
    </row>
    <row r="7173" spans="1:39" s="86" customFormat="1" ht="13.25" hidden="1" customHeight="1" x14ac:dyDescent="0.3">
      <c r="A7173" s="89" t="s">
        <v>3792</v>
      </c>
      <c r="B7173" s="86" t="s">
        <v>35</v>
      </c>
      <c r="C7173" s="86" t="s">
        <v>65</v>
      </c>
      <c r="D7173" s="86" t="s">
        <v>122</v>
      </c>
      <c r="E7173" s="86" t="s">
        <v>1279</v>
      </c>
      <c r="F7173" s="86" t="s">
        <v>1279</v>
      </c>
      <c r="G7173" s="86" t="s">
        <v>1279</v>
      </c>
      <c r="H7173" s="143">
        <v>360</v>
      </c>
      <c r="I7173" s="86" t="s">
        <v>1060</v>
      </c>
      <c r="J7173" s="47" t="s">
        <v>3325</v>
      </c>
      <c r="K7173" s="47" t="s">
        <v>3767</v>
      </c>
      <c r="L7173" s="47" t="s">
        <v>35</v>
      </c>
      <c r="M7173" s="86" t="s">
        <v>1279</v>
      </c>
      <c r="O7173" s="47" t="s">
        <v>410</v>
      </c>
      <c r="P7173" s="47" t="s">
        <v>46</v>
      </c>
      <c r="Q7173" s="14">
        <v>0.02</v>
      </c>
      <c r="R7173" s="143" t="s">
        <v>1280</v>
      </c>
      <c r="S7173" s="47"/>
      <c r="T7173" s="6">
        <v>16152.000000000002</v>
      </c>
      <c r="U7173" s="6">
        <v>-7298</v>
      </c>
      <c r="V7173" s="6">
        <v>0</v>
      </c>
      <c r="W7173" s="6">
        <f t="shared" si="1110"/>
        <v>8854.0000000000018</v>
      </c>
      <c r="X7173" s="6">
        <f t="shared" si="1114"/>
        <v>0</v>
      </c>
      <c r="Y7173" s="13">
        <f t="shared" si="1116"/>
        <v>0</v>
      </c>
      <c r="Z7173" s="66">
        <v>0</v>
      </c>
      <c r="AA7173" s="6">
        <v>0</v>
      </c>
      <c r="AB7173" s="4">
        <f t="shared" si="1117"/>
        <v>0</v>
      </c>
      <c r="AC7173" s="6">
        <f t="shared" si="1115"/>
        <v>0</v>
      </c>
      <c r="AD7173" s="6">
        <f t="shared" si="1111"/>
        <v>0</v>
      </c>
      <c r="AE7173" s="14">
        <f>VLOOKUP(I7173,[2]媒体政策预估表!A:N,MATCH(O7173,[2]媒体政策预估表!$A$2:$M$2,0),0)</f>
        <v>7.0000000000000007E-2</v>
      </c>
      <c r="AF7173" s="6">
        <f t="shared" si="1113"/>
        <v>0</v>
      </c>
      <c r="AG7173" s="14">
        <v>0</v>
      </c>
      <c r="AH7173" s="64">
        <f t="shared" si="1112"/>
        <v>0</v>
      </c>
      <c r="AJ7173" s="126" t="e">
        <v>#N/A</v>
      </c>
      <c r="AK7173" s="80">
        <f t="shared" si="1118"/>
        <v>0</v>
      </c>
      <c r="AL7173" s="85"/>
      <c r="AM7173" s="85"/>
    </row>
    <row r="7174" spans="1:39" s="86" customFormat="1" ht="13.25" hidden="1" customHeight="1" x14ac:dyDescent="0.3">
      <c r="A7174" s="89" t="s">
        <v>3792</v>
      </c>
      <c r="B7174" s="86" t="s">
        <v>35</v>
      </c>
      <c r="C7174" s="86" t="s">
        <v>65</v>
      </c>
      <c r="D7174" s="86" t="s">
        <v>122</v>
      </c>
      <c r="E7174" s="86" t="s">
        <v>1279</v>
      </c>
      <c r="F7174" s="86" t="s">
        <v>1279</v>
      </c>
      <c r="G7174" s="86" t="s">
        <v>1279</v>
      </c>
      <c r="H7174" s="144">
        <v>360</v>
      </c>
      <c r="I7174" s="86" t="s">
        <v>1060</v>
      </c>
      <c r="J7174" s="47" t="s">
        <v>3325</v>
      </c>
      <c r="K7174" s="47" t="s">
        <v>3767</v>
      </c>
      <c r="L7174" s="47" t="s">
        <v>35</v>
      </c>
      <c r="M7174" s="86" t="s">
        <v>1281</v>
      </c>
      <c r="O7174" s="47" t="s">
        <v>410</v>
      </c>
      <c r="P7174" s="47" t="s">
        <v>46</v>
      </c>
      <c r="Q7174" s="14">
        <v>0.02</v>
      </c>
      <c r="R7174" s="143" t="s">
        <v>1282</v>
      </c>
      <c r="S7174" s="47"/>
      <c r="T7174" s="6">
        <v>77280.189999999944</v>
      </c>
      <c r="U7174" s="6">
        <v>327298</v>
      </c>
      <c r="V7174" s="6">
        <v>179900.68</v>
      </c>
      <c r="W7174" s="6">
        <f t="shared" si="1110"/>
        <v>224677.50999999995</v>
      </c>
      <c r="X7174" s="6">
        <f t="shared" si="1114"/>
        <v>176373.21568627449</v>
      </c>
      <c r="Y7174" s="13">
        <f t="shared" si="1116"/>
        <v>0</v>
      </c>
      <c r="Z7174" s="66">
        <v>0</v>
      </c>
      <c r="AA7174" s="6">
        <v>0</v>
      </c>
      <c r="AB7174" s="4">
        <f t="shared" si="1117"/>
        <v>176373.21568627449</v>
      </c>
      <c r="AC7174" s="6">
        <f t="shared" si="1115"/>
        <v>3527.4643137255043</v>
      </c>
      <c r="AD7174" s="6">
        <f t="shared" si="1111"/>
        <v>179900.68</v>
      </c>
      <c r="AE7174" s="14">
        <f>VLOOKUP(I7174,[2]媒体政策预估表!A:N,MATCH(O7174,[2]媒体政策预估表!$A$2:$M$2,0),0)</f>
        <v>7.0000000000000007E-2</v>
      </c>
      <c r="AF7174" s="6">
        <f t="shared" si="1113"/>
        <v>12593.0476</v>
      </c>
      <c r="AG7174" s="14">
        <v>0</v>
      </c>
      <c r="AH7174" s="64">
        <f t="shared" si="1112"/>
        <v>179900.68</v>
      </c>
      <c r="AJ7174" s="126" t="e">
        <v>#N/A</v>
      </c>
      <c r="AK7174" s="80">
        <f t="shared" si="1118"/>
        <v>0</v>
      </c>
      <c r="AL7174" s="85"/>
      <c r="AM7174" s="85"/>
    </row>
    <row r="7175" spans="1:39" s="86" customFormat="1" ht="13.25" hidden="1" customHeight="1" x14ac:dyDescent="0.3">
      <c r="A7175" s="89" t="s">
        <v>3792</v>
      </c>
      <c r="B7175" s="86" t="s">
        <v>35</v>
      </c>
      <c r="C7175" s="86" t="s">
        <v>65</v>
      </c>
      <c r="D7175" s="86" t="s">
        <v>122</v>
      </c>
      <c r="E7175" s="86" t="s">
        <v>4024</v>
      </c>
      <c r="F7175" s="86" t="s">
        <v>4024</v>
      </c>
      <c r="G7175" s="86" t="s">
        <v>4024</v>
      </c>
      <c r="H7175" s="143">
        <v>360</v>
      </c>
      <c r="I7175" s="86" t="s">
        <v>1060</v>
      </c>
      <c r="J7175" s="47" t="s">
        <v>3325</v>
      </c>
      <c r="K7175" s="47" t="s">
        <v>3767</v>
      </c>
      <c r="L7175" s="47" t="s">
        <v>35</v>
      </c>
      <c r="M7175" s="86" t="s">
        <v>4024</v>
      </c>
      <c r="O7175" s="47" t="s">
        <v>410</v>
      </c>
      <c r="P7175" s="47" t="s">
        <v>41</v>
      </c>
      <c r="Q7175" s="14">
        <v>0</v>
      </c>
      <c r="R7175" s="143" t="s">
        <v>4025</v>
      </c>
      <c r="S7175" s="47"/>
      <c r="T7175" s="6">
        <v>0</v>
      </c>
      <c r="U7175" s="6">
        <v>20000</v>
      </c>
      <c r="V7175" s="6">
        <v>0</v>
      </c>
      <c r="W7175" s="6">
        <f t="shared" si="1110"/>
        <v>20000</v>
      </c>
      <c r="X7175" s="6">
        <f t="shared" si="1114"/>
        <v>0</v>
      </c>
      <c r="Y7175" s="13">
        <f t="shared" si="1116"/>
        <v>0</v>
      </c>
      <c r="Z7175" s="66">
        <v>0</v>
      </c>
      <c r="AA7175" s="6">
        <v>0</v>
      </c>
      <c r="AB7175" s="4">
        <f t="shared" si="1117"/>
        <v>0</v>
      </c>
      <c r="AC7175" s="6">
        <f t="shared" si="1115"/>
        <v>0</v>
      </c>
      <c r="AD7175" s="6">
        <f t="shared" si="1111"/>
        <v>0</v>
      </c>
      <c r="AE7175" s="14">
        <f>VLOOKUP(I7175,[2]媒体政策预估表!A:N,MATCH(O7175,[2]媒体政策预估表!$A$2:$M$2,0),0)</f>
        <v>7.0000000000000007E-2</v>
      </c>
      <c r="AF7175" s="6">
        <f t="shared" si="1113"/>
        <v>0</v>
      </c>
      <c r="AG7175" s="14">
        <v>0</v>
      </c>
      <c r="AH7175" s="64">
        <f t="shared" si="1112"/>
        <v>0</v>
      </c>
      <c r="AJ7175" s="126" t="e">
        <v>#N/A</v>
      </c>
      <c r="AK7175" s="80">
        <f t="shared" si="1118"/>
        <v>0</v>
      </c>
      <c r="AL7175" s="85"/>
      <c r="AM7175" s="85"/>
    </row>
    <row r="7176" spans="1:39" s="86" customFormat="1" ht="13.25" hidden="1" customHeight="1" x14ac:dyDescent="0.3">
      <c r="A7176" s="89" t="s">
        <v>3792</v>
      </c>
      <c r="B7176" s="86" t="s">
        <v>35</v>
      </c>
      <c r="C7176" s="86" t="s">
        <v>65</v>
      </c>
      <c r="D7176" s="86" t="s">
        <v>125</v>
      </c>
      <c r="E7176" s="86" t="s">
        <v>1283</v>
      </c>
      <c r="F7176" s="86" t="s">
        <v>1284</v>
      </c>
      <c r="G7176" s="86" t="s">
        <v>1283</v>
      </c>
      <c r="H7176" s="144">
        <v>360</v>
      </c>
      <c r="I7176" s="86" t="s">
        <v>1060</v>
      </c>
      <c r="J7176" s="47" t="s">
        <v>3325</v>
      </c>
      <c r="K7176" s="47" t="s">
        <v>3767</v>
      </c>
      <c r="L7176" s="47" t="s">
        <v>35</v>
      </c>
      <c r="M7176" s="86" t="s">
        <v>1283</v>
      </c>
      <c r="O7176" s="47" t="s">
        <v>410</v>
      </c>
      <c r="P7176" s="47" t="s">
        <v>46</v>
      </c>
      <c r="Q7176" s="14">
        <v>0.01</v>
      </c>
      <c r="R7176" s="143" t="s">
        <v>1285</v>
      </c>
      <c r="S7176" s="47"/>
      <c r="T7176" s="6">
        <v>13477.299999999988</v>
      </c>
      <c r="U7176" s="6">
        <v>300000</v>
      </c>
      <c r="V7176" s="6">
        <v>288157.45</v>
      </c>
      <c r="W7176" s="6">
        <f t="shared" si="1110"/>
        <v>25319.849999999977</v>
      </c>
      <c r="X7176" s="6">
        <f t="shared" si="1114"/>
        <v>285304.40594059409</v>
      </c>
      <c r="Y7176" s="13">
        <f t="shared" si="1116"/>
        <v>0</v>
      </c>
      <c r="Z7176" s="66">
        <v>0</v>
      </c>
      <c r="AA7176" s="6">
        <v>0</v>
      </c>
      <c r="AB7176" s="4">
        <f t="shared" si="1117"/>
        <v>285304.40594059409</v>
      </c>
      <c r="AC7176" s="6">
        <f t="shared" si="1115"/>
        <v>2853.0440594059182</v>
      </c>
      <c r="AD7176" s="6">
        <f t="shared" si="1111"/>
        <v>288157.45</v>
      </c>
      <c r="AE7176" s="14">
        <f>VLOOKUP(I7176,[2]媒体政策预估表!A:N,MATCH(O7176,[2]媒体政策预估表!$A$2:$M$2,0),0)</f>
        <v>7.0000000000000007E-2</v>
      </c>
      <c r="AF7176" s="6">
        <f t="shared" si="1113"/>
        <v>20171.021500000003</v>
      </c>
      <c r="AG7176" s="14">
        <v>0</v>
      </c>
      <c r="AH7176" s="64">
        <f t="shared" si="1112"/>
        <v>288157.45</v>
      </c>
      <c r="AJ7176" s="126" t="e">
        <v>#N/A</v>
      </c>
      <c r="AK7176" s="80">
        <f t="shared" si="1118"/>
        <v>0</v>
      </c>
      <c r="AL7176" s="85"/>
      <c r="AM7176" s="85"/>
    </row>
    <row r="7177" spans="1:39" s="86" customFormat="1" ht="13.25" hidden="1" customHeight="1" x14ac:dyDescent="0.3">
      <c r="A7177" s="89" t="s">
        <v>3792</v>
      </c>
      <c r="B7177" s="86" t="s">
        <v>35</v>
      </c>
      <c r="C7177" s="86" t="s">
        <v>65</v>
      </c>
      <c r="D7177" s="86" t="s">
        <v>125</v>
      </c>
      <c r="E7177" s="86" t="s">
        <v>1900</v>
      </c>
      <c r="F7177" s="86" t="s">
        <v>1900</v>
      </c>
      <c r="G7177" s="86" t="s">
        <v>1900</v>
      </c>
      <c r="H7177" s="143">
        <v>360</v>
      </c>
      <c r="I7177" s="86" t="s">
        <v>1060</v>
      </c>
      <c r="J7177" s="47" t="s">
        <v>3325</v>
      </c>
      <c r="K7177" s="47" t="s">
        <v>3767</v>
      </c>
      <c r="L7177" s="47" t="s">
        <v>35</v>
      </c>
      <c r="M7177" s="86" t="s">
        <v>1901</v>
      </c>
      <c r="O7177" s="47" t="s">
        <v>410</v>
      </c>
      <c r="P7177" s="47" t="s">
        <v>46</v>
      </c>
      <c r="Q7177" s="14">
        <v>0.04</v>
      </c>
      <c r="R7177" s="143" t="s">
        <v>1902</v>
      </c>
      <c r="S7177" s="47"/>
      <c r="T7177" s="6">
        <v>6.4099999999980355</v>
      </c>
      <c r="U7177" s="6">
        <v>-6.81</v>
      </c>
      <c r="V7177" s="6">
        <v>0</v>
      </c>
      <c r="W7177" s="6">
        <f t="shared" si="1110"/>
        <v>-0.40000000000196412</v>
      </c>
      <c r="X7177" s="6">
        <f t="shared" si="1114"/>
        <v>0</v>
      </c>
      <c r="Y7177" s="13">
        <f t="shared" si="1116"/>
        <v>0</v>
      </c>
      <c r="Z7177" s="66">
        <v>0</v>
      </c>
      <c r="AA7177" s="6">
        <v>0</v>
      </c>
      <c r="AB7177" s="4">
        <f t="shared" si="1117"/>
        <v>0</v>
      </c>
      <c r="AC7177" s="6">
        <f t="shared" si="1115"/>
        <v>0</v>
      </c>
      <c r="AD7177" s="6">
        <f t="shared" si="1111"/>
        <v>0</v>
      </c>
      <c r="AE7177" s="14">
        <f>VLOOKUP(I7177,[2]媒体政策预估表!A:N,MATCH(O7177,[2]媒体政策预估表!$A$2:$M$2,0),0)</f>
        <v>7.0000000000000007E-2</v>
      </c>
      <c r="AF7177" s="6">
        <f t="shared" si="1113"/>
        <v>0</v>
      </c>
      <c r="AG7177" s="14">
        <v>0</v>
      </c>
      <c r="AH7177" s="64">
        <f t="shared" si="1112"/>
        <v>0</v>
      </c>
      <c r="AJ7177" s="126" t="e">
        <v>#N/A</v>
      </c>
      <c r="AK7177" s="80">
        <f t="shared" si="1118"/>
        <v>0</v>
      </c>
      <c r="AL7177" s="85"/>
      <c r="AM7177" s="85"/>
    </row>
    <row r="7178" spans="1:39" s="86" customFormat="1" ht="13.25" hidden="1" customHeight="1" x14ac:dyDescent="0.3">
      <c r="A7178" s="89" t="s">
        <v>3792</v>
      </c>
      <c r="B7178" s="86" t="s">
        <v>35</v>
      </c>
      <c r="C7178" s="86" t="s">
        <v>65</v>
      </c>
      <c r="D7178" s="86" t="s">
        <v>1291</v>
      </c>
      <c r="E7178" s="86" t="s">
        <v>1292</v>
      </c>
      <c r="F7178" s="86" t="s">
        <v>1293</v>
      </c>
      <c r="G7178" s="86" t="s">
        <v>1292</v>
      </c>
      <c r="H7178" s="144">
        <v>360</v>
      </c>
      <c r="I7178" s="86" t="s">
        <v>1060</v>
      </c>
      <c r="J7178" s="47" t="s">
        <v>3325</v>
      </c>
      <c r="K7178" s="47" t="s">
        <v>3767</v>
      </c>
      <c r="L7178" s="47" t="s">
        <v>35</v>
      </c>
      <c r="M7178" s="86" t="s">
        <v>1292</v>
      </c>
      <c r="O7178" s="47" t="s">
        <v>410</v>
      </c>
      <c r="P7178" s="47" t="s">
        <v>41</v>
      </c>
      <c r="Q7178" s="14">
        <v>0</v>
      </c>
      <c r="R7178" s="143" t="s">
        <v>1294</v>
      </c>
      <c r="S7178" s="47"/>
      <c r="T7178" s="6">
        <v>56993.099999999991</v>
      </c>
      <c r="U7178" s="6">
        <v>100000</v>
      </c>
      <c r="V7178" s="6">
        <v>91615.5</v>
      </c>
      <c r="W7178" s="6">
        <f t="shared" si="1110"/>
        <v>65377.599999999977</v>
      </c>
      <c r="X7178" s="6">
        <f t="shared" si="1114"/>
        <v>91615.5</v>
      </c>
      <c r="Y7178" s="13">
        <f t="shared" si="1116"/>
        <v>0</v>
      </c>
      <c r="Z7178" s="66">
        <v>0</v>
      </c>
      <c r="AA7178" s="6">
        <v>0</v>
      </c>
      <c r="AB7178" s="4">
        <f t="shared" si="1117"/>
        <v>91615.5</v>
      </c>
      <c r="AC7178" s="6">
        <f t="shared" si="1115"/>
        <v>0</v>
      </c>
      <c r="AD7178" s="6">
        <f t="shared" si="1111"/>
        <v>91615.5</v>
      </c>
      <c r="AE7178" s="14">
        <f>VLOOKUP(I7178,[2]媒体政策预估表!A:N,MATCH(O7178,[2]媒体政策预估表!$A$2:$M$2,0),0)</f>
        <v>7.0000000000000007E-2</v>
      </c>
      <c r="AF7178" s="6">
        <f t="shared" si="1113"/>
        <v>6413.0850000000009</v>
      </c>
      <c r="AG7178" s="14">
        <v>0</v>
      </c>
      <c r="AH7178" s="64">
        <f t="shared" si="1112"/>
        <v>91615.5</v>
      </c>
      <c r="AJ7178" s="126" t="e">
        <v>#N/A</v>
      </c>
      <c r="AK7178" s="80">
        <f t="shared" si="1118"/>
        <v>0</v>
      </c>
      <c r="AL7178" s="85"/>
      <c r="AM7178" s="85"/>
    </row>
    <row r="7179" spans="1:39" s="86" customFormat="1" ht="13.25" hidden="1" customHeight="1" x14ac:dyDescent="0.3">
      <c r="A7179" s="89" t="s">
        <v>3792</v>
      </c>
      <c r="B7179" s="86" t="s">
        <v>35</v>
      </c>
      <c r="C7179" s="86" t="s">
        <v>65</v>
      </c>
      <c r="D7179" s="86" t="s">
        <v>1291</v>
      </c>
      <c r="E7179" s="86" t="s">
        <v>4026</v>
      </c>
      <c r="F7179" s="86" t="s">
        <v>4026</v>
      </c>
      <c r="G7179" s="86" t="s">
        <v>4026</v>
      </c>
      <c r="H7179" s="144">
        <v>360</v>
      </c>
      <c r="I7179" s="86" t="s">
        <v>1060</v>
      </c>
      <c r="J7179" s="47" t="s">
        <v>3325</v>
      </c>
      <c r="K7179" s="47" t="s">
        <v>3767</v>
      </c>
      <c r="L7179" s="47" t="s">
        <v>35</v>
      </c>
      <c r="M7179" s="86" t="s">
        <v>4026</v>
      </c>
      <c r="O7179" s="47" t="s">
        <v>410</v>
      </c>
      <c r="P7179" s="47" t="s">
        <v>46</v>
      </c>
      <c r="Q7179" s="14">
        <v>0.02</v>
      </c>
      <c r="R7179" s="143" t="s">
        <v>4027</v>
      </c>
      <c r="S7179" s="47"/>
      <c r="T7179" s="6">
        <v>0</v>
      </c>
      <c r="U7179" s="6">
        <v>5000</v>
      </c>
      <c r="V7179" s="6">
        <v>1360.5</v>
      </c>
      <c r="W7179" s="6">
        <f t="shared" si="1110"/>
        <v>3639.5</v>
      </c>
      <c r="X7179" s="6">
        <f t="shared" si="1114"/>
        <v>1333.8235294117646</v>
      </c>
      <c r="Y7179" s="13">
        <f t="shared" si="1116"/>
        <v>0</v>
      </c>
      <c r="Z7179" s="66">
        <v>0</v>
      </c>
      <c r="AA7179" s="6">
        <v>0</v>
      </c>
      <c r="AB7179" s="4">
        <f t="shared" si="1117"/>
        <v>1333.8235294117646</v>
      </c>
      <c r="AC7179" s="6">
        <f t="shared" si="1115"/>
        <v>26.676470588235361</v>
      </c>
      <c r="AD7179" s="6">
        <f t="shared" si="1111"/>
        <v>1360.5</v>
      </c>
      <c r="AE7179" s="14">
        <f>VLOOKUP(I7179,[2]媒体政策预估表!A:N,MATCH(O7179,[2]媒体政策预估表!$A$2:$M$2,0),0)</f>
        <v>7.0000000000000007E-2</v>
      </c>
      <c r="AF7179" s="6">
        <f t="shared" si="1113"/>
        <v>95.235000000000014</v>
      </c>
      <c r="AG7179" s="14">
        <v>0</v>
      </c>
      <c r="AH7179" s="64">
        <f t="shared" si="1112"/>
        <v>1360.5</v>
      </c>
      <c r="AJ7179" s="126" t="e">
        <v>#N/A</v>
      </c>
      <c r="AK7179" s="80">
        <f t="shared" si="1118"/>
        <v>0</v>
      </c>
      <c r="AL7179" s="85"/>
      <c r="AM7179" s="85"/>
    </row>
    <row r="7180" spans="1:39" s="86" customFormat="1" ht="13.25" hidden="1" customHeight="1" x14ac:dyDescent="0.3">
      <c r="A7180" s="89" t="s">
        <v>3792</v>
      </c>
      <c r="B7180" s="86" t="s">
        <v>35</v>
      </c>
      <c r="C7180" s="86" t="s">
        <v>65</v>
      </c>
      <c r="D7180" s="86" t="s">
        <v>1291</v>
      </c>
      <c r="E7180" s="86" t="s">
        <v>4028</v>
      </c>
      <c r="F7180" s="86" t="s">
        <v>4028</v>
      </c>
      <c r="G7180" s="86" t="s">
        <v>4028</v>
      </c>
      <c r="H7180" s="144">
        <v>360</v>
      </c>
      <c r="I7180" s="86" t="s">
        <v>1060</v>
      </c>
      <c r="J7180" s="47" t="s">
        <v>3325</v>
      </c>
      <c r="K7180" s="47" t="s">
        <v>3767</v>
      </c>
      <c r="L7180" s="47" t="s">
        <v>35</v>
      </c>
      <c r="M7180" s="86" t="s">
        <v>1300</v>
      </c>
      <c r="O7180" s="47" t="s">
        <v>410</v>
      </c>
      <c r="P7180" s="47" t="s">
        <v>41</v>
      </c>
      <c r="Q7180" s="14">
        <v>0</v>
      </c>
      <c r="R7180" s="143" t="s">
        <v>1301</v>
      </c>
      <c r="S7180" s="47"/>
      <c r="T7180" s="6">
        <v>0</v>
      </c>
      <c r="U7180" s="6">
        <v>70000</v>
      </c>
      <c r="V7180" s="6">
        <v>67385.86</v>
      </c>
      <c r="W7180" s="6">
        <f t="shared" si="1110"/>
        <v>2614.1399999999994</v>
      </c>
      <c r="X7180" s="6">
        <f t="shared" si="1114"/>
        <v>67385.86</v>
      </c>
      <c r="Y7180" s="13">
        <f t="shared" si="1116"/>
        <v>0</v>
      </c>
      <c r="Z7180" s="66">
        <v>0</v>
      </c>
      <c r="AA7180" s="6">
        <v>0</v>
      </c>
      <c r="AB7180" s="4">
        <f t="shared" si="1117"/>
        <v>67385.86</v>
      </c>
      <c r="AC7180" s="6">
        <f t="shared" si="1115"/>
        <v>0</v>
      </c>
      <c r="AD7180" s="6">
        <f t="shared" si="1111"/>
        <v>67385.86</v>
      </c>
      <c r="AE7180" s="14">
        <f>VLOOKUP(I7180,[2]媒体政策预估表!A:N,MATCH(O7180,[2]媒体政策预估表!$A$2:$M$2,0),0)</f>
        <v>7.0000000000000007E-2</v>
      </c>
      <c r="AF7180" s="6">
        <f t="shared" si="1113"/>
        <v>4717.0102000000006</v>
      </c>
      <c r="AG7180" s="14">
        <v>0</v>
      </c>
      <c r="AH7180" s="64">
        <f t="shared" si="1112"/>
        <v>67385.86</v>
      </c>
      <c r="AJ7180" s="126" t="e">
        <v>#N/A</v>
      </c>
      <c r="AK7180" s="80">
        <f t="shared" si="1118"/>
        <v>0</v>
      </c>
      <c r="AL7180" s="85"/>
      <c r="AM7180" s="85"/>
    </row>
    <row r="7181" spans="1:39" s="86" customFormat="1" ht="13.25" hidden="1" customHeight="1" x14ac:dyDescent="0.3">
      <c r="A7181" s="89" t="s">
        <v>3792</v>
      </c>
      <c r="B7181" s="86" t="s">
        <v>35</v>
      </c>
      <c r="C7181" s="86" t="s">
        <v>65</v>
      </c>
      <c r="D7181" s="86" t="s">
        <v>1291</v>
      </c>
      <c r="E7181" s="86" t="s">
        <v>4029</v>
      </c>
      <c r="F7181" s="86" t="s">
        <v>4029</v>
      </c>
      <c r="G7181" s="86" t="s">
        <v>4029</v>
      </c>
      <c r="H7181" s="144">
        <v>360</v>
      </c>
      <c r="I7181" s="86" t="s">
        <v>1060</v>
      </c>
      <c r="J7181" s="47" t="s">
        <v>3325</v>
      </c>
      <c r="K7181" s="47" t="s">
        <v>3767</v>
      </c>
      <c r="L7181" s="47" t="s">
        <v>35</v>
      </c>
      <c r="M7181" s="86" t="s">
        <v>4029</v>
      </c>
      <c r="O7181" s="47" t="s">
        <v>410</v>
      </c>
      <c r="P7181" s="47" t="s">
        <v>41</v>
      </c>
      <c r="Q7181" s="14">
        <v>0</v>
      </c>
      <c r="R7181" s="143" t="s">
        <v>4030</v>
      </c>
      <c r="S7181" s="47"/>
      <c r="T7181" s="6">
        <v>0</v>
      </c>
      <c r="U7181" s="6">
        <v>5000</v>
      </c>
      <c r="V7181" s="6">
        <v>1344.5</v>
      </c>
      <c r="W7181" s="6">
        <f t="shared" si="1110"/>
        <v>3655.5</v>
      </c>
      <c r="X7181" s="6">
        <f t="shared" si="1114"/>
        <v>1344.5</v>
      </c>
      <c r="Y7181" s="13">
        <f t="shared" si="1116"/>
        <v>0</v>
      </c>
      <c r="Z7181" s="66">
        <v>0</v>
      </c>
      <c r="AA7181" s="6">
        <v>0</v>
      </c>
      <c r="AB7181" s="4">
        <f t="shared" si="1117"/>
        <v>1344.5</v>
      </c>
      <c r="AC7181" s="6">
        <f t="shared" si="1115"/>
        <v>0</v>
      </c>
      <c r="AD7181" s="6">
        <f t="shared" si="1111"/>
        <v>1344.5</v>
      </c>
      <c r="AE7181" s="14">
        <f>VLOOKUP(I7181,[2]媒体政策预估表!A:N,MATCH(O7181,[2]媒体政策预估表!$A$2:$M$2,0),0)</f>
        <v>7.0000000000000007E-2</v>
      </c>
      <c r="AF7181" s="6">
        <f t="shared" si="1113"/>
        <v>94.115000000000009</v>
      </c>
      <c r="AG7181" s="14">
        <v>0</v>
      </c>
      <c r="AH7181" s="64">
        <f t="shared" si="1112"/>
        <v>1344.5</v>
      </c>
      <c r="AJ7181" s="126" t="e">
        <v>#N/A</v>
      </c>
      <c r="AK7181" s="80">
        <f t="shared" si="1118"/>
        <v>0</v>
      </c>
      <c r="AL7181" s="85"/>
      <c r="AM7181" s="85"/>
    </row>
    <row r="7182" spans="1:39" s="86" customFormat="1" ht="13.25" hidden="1" customHeight="1" x14ac:dyDescent="0.3">
      <c r="A7182" s="89" t="s">
        <v>3978</v>
      </c>
      <c r="B7182" s="86" t="s">
        <v>35</v>
      </c>
      <c r="C7182" s="86" t="s">
        <v>65</v>
      </c>
      <c r="D7182" s="86" t="s">
        <v>1291</v>
      </c>
      <c r="E7182" s="86" t="s">
        <v>3433</v>
      </c>
      <c r="F7182" s="86" t="s">
        <v>3433</v>
      </c>
      <c r="G7182" s="86" t="s">
        <v>3433</v>
      </c>
      <c r="H7182" s="144">
        <v>360</v>
      </c>
      <c r="I7182" s="86" t="s">
        <v>1060</v>
      </c>
      <c r="J7182" s="47" t="s">
        <v>3325</v>
      </c>
      <c r="K7182" s="47" t="s">
        <v>3767</v>
      </c>
      <c r="L7182" s="47" t="s">
        <v>35</v>
      </c>
      <c r="M7182" s="86" t="s">
        <v>3433</v>
      </c>
      <c r="O7182" s="47" t="s">
        <v>410</v>
      </c>
      <c r="P7182" s="47" t="s">
        <v>46</v>
      </c>
      <c r="Q7182" s="14">
        <v>0.02</v>
      </c>
      <c r="R7182" s="143">
        <v>19858918739</v>
      </c>
      <c r="S7182" s="47"/>
      <c r="T7182" s="6">
        <v>32565.55</v>
      </c>
      <c r="U7182" s="6">
        <v>85000</v>
      </c>
      <c r="V7182" s="6">
        <v>88238.19</v>
      </c>
      <c r="W7182" s="6">
        <f t="shared" si="1110"/>
        <v>29327.360000000001</v>
      </c>
      <c r="X7182" s="6">
        <f t="shared" si="1114"/>
        <v>86508.029411764714</v>
      </c>
      <c r="Y7182" s="13">
        <f t="shared" si="1116"/>
        <v>0</v>
      </c>
      <c r="Z7182" s="66">
        <v>0</v>
      </c>
      <c r="AA7182" s="6">
        <v>0</v>
      </c>
      <c r="AB7182" s="4">
        <f t="shared" si="1117"/>
        <v>86508.029411764714</v>
      </c>
      <c r="AC7182" s="6">
        <f t="shared" si="1115"/>
        <v>1730.1605882352887</v>
      </c>
      <c r="AD7182" s="6">
        <f t="shared" si="1111"/>
        <v>88238.19</v>
      </c>
      <c r="AE7182" s="14">
        <f>VLOOKUP(I7182,[2]媒体政策预估表!A:N,MATCH(O7182,[2]媒体政策预估表!$A$2:$M$2,0),0)</f>
        <v>7.0000000000000007E-2</v>
      </c>
      <c r="AF7182" s="6">
        <f t="shared" si="1113"/>
        <v>6176.6733000000004</v>
      </c>
      <c r="AG7182" s="14">
        <v>0</v>
      </c>
      <c r="AH7182" s="64">
        <f t="shared" si="1112"/>
        <v>88238.19</v>
      </c>
      <c r="AJ7182" s="126" t="e">
        <v>#N/A</v>
      </c>
      <c r="AK7182" s="80">
        <f t="shared" si="1118"/>
        <v>0</v>
      </c>
      <c r="AL7182" s="85"/>
      <c r="AM7182" s="85"/>
    </row>
    <row r="7183" spans="1:39" s="86" customFormat="1" ht="13.25" hidden="1" customHeight="1" x14ac:dyDescent="0.3">
      <c r="A7183" s="89" t="s">
        <v>3978</v>
      </c>
      <c r="B7183" s="86" t="s">
        <v>35</v>
      </c>
      <c r="C7183" s="86" t="s">
        <v>65</v>
      </c>
      <c r="D7183" s="86" t="s">
        <v>1291</v>
      </c>
      <c r="E7183" s="86" t="s">
        <v>1302</v>
      </c>
      <c r="F7183" s="86" t="s">
        <v>1303</v>
      </c>
      <c r="G7183" s="86" t="s">
        <v>1302</v>
      </c>
      <c r="H7183" s="143">
        <v>360</v>
      </c>
      <c r="I7183" s="86" t="s">
        <v>1060</v>
      </c>
      <c r="J7183" s="47" t="s">
        <v>3325</v>
      </c>
      <c r="K7183" s="47" t="s">
        <v>3767</v>
      </c>
      <c r="L7183" s="47" t="s">
        <v>35</v>
      </c>
      <c r="M7183" s="86" t="s">
        <v>1304</v>
      </c>
      <c r="O7183" s="47" t="s">
        <v>410</v>
      </c>
      <c r="P7183" s="47" t="s">
        <v>41</v>
      </c>
      <c r="Q7183" s="14">
        <v>0</v>
      </c>
      <c r="R7183" s="143" t="s">
        <v>1305</v>
      </c>
      <c r="S7183" s="47"/>
      <c r="T7183" s="6">
        <v>41280.78</v>
      </c>
      <c r="U7183" s="6">
        <v>-41280.78</v>
      </c>
      <c r="V7183" s="6">
        <v>0</v>
      </c>
      <c r="W7183" s="6">
        <f t="shared" si="1110"/>
        <v>0</v>
      </c>
      <c r="X7183" s="6">
        <f t="shared" si="1114"/>
        <v>0</v>
      </c>
      <c r="Y7183" s="13">
        <f t="shared" si="1116"/>
        <v>0</v>
      </c>
      <c r="Z7183" s="66">
        <v>0</v>
      </c>
      <c r="AA7183" s="6">
        <v>0</v>
      </c>
      <c r="AB7183" s="4">
        <f t="shared" si="1117"/>
        <v>0</v>
      </c>
      <c r="AC7183" s="6">
        <f t="shared" si="1115"/>
        <v>0</v>
      </c>
      <c r="AD7183" s="6">
        <f t="shared" si="1111"/>
        <v>0</v>
      </c>
      <c r="AE7183" s="14">
        <f>VLOOKUP(I7183,[2]媒体政策预估表!A:N,MATCH(O7183,[2]媒体政策预估表!$A$2:$M$2,0),0)</f>
        <v>7.0000000000000007E-2</v>
      </c>
      <c r="AF7183" s="6">
        <f t="shared" si="1113"/>
        <v>0</v>
      </c>
      <c r="AG7183" s="14">
        <v>0</v>
      </c>
      <c r="AH7183" s="64">
        <f t="shared" si="1112"/>
        <v>0</v>
      </c>
      <c r="AJ7183" s="126" t="e">
        <v>#N/A</v>
      </c>
      <c r="AK7183" s="80">
        <f t="shared" si="1118"/>
        <v>0</v>
      </c>
      <c r="AL7183" s="85"/>
      <c r="AM7183" s="85"/>
    </row>
    <row r="7184" spans="1:39" s="86" customFormat="1" ht="13.25" hidden="1" customHeight="1" x14ac:dyDescent="0.3">
      <c r="A7184" s="89" t="s">
        <v>3792</v>
      </c>
      <c r="B7184" s="86" t="s">
        <v>35</v>
      </c>
      <c r="C7184" s="86" t="s">
        <v>65</v>
      </c>
      <c r="D7184" s="86" t="s">
        <v>1291</v>
      </c>
      <c r="E7184" s="86" t="s">
        <v>1308</v>
      </c>
      <c r="F7184" s="86" t="s">
        <v>1309</v>
      </c>
      <c r="G7184" s="86" t="s">
        <v>1308</v>
      </c>
      <c r="H7184" s="144">
        <v>360</v>
      </c>
      <c r="I7184" s="86" t="s">
        <v>1060</v>
      </c>
      <c r="J7184" s="47" t="s">
        <v>3325</v>
      </c>
      <c r="K7184" s="47" t="s">
        <v>3767</v>
      </c>
      <c r="L7184" s="47" t="s">
        <v>35</v>
      </c>
      <c r="M7184" s="86" t="s">
        <v>1308</v>
      </c>
      <c r="O7184" s="47" t="s">
        <v>410</v>
      </c>
      <c r="P7184" s="47" t="s">
        <v>41</v>
      </c>
      <c r="Q7184" s="14">
        <v>0</v>
      </c>
      <c r="R7184" s="143" t="s">
        <v>1310</v>
      </c>
      <c r="S7184" s="47"/>
      <c r="T7184" s="6">
        <v>21574.400000000009</v>
      </c>
      <c r="U7184" s="6">
        <v>200000</v>
      </c>
      <c r="V7184" s="6">
        <v>139408.1</v>
      </c>
      <c r="W7184" s="6">
        <f t="shared" si="1110"/>
        <v>82166.300000000017</v>
      </c>
      <c r="X7184" s="6">
        <f t="shared" si="1114"/>
        <v>139408.1</v>
      </c>
      <c r="Y7184" s="13">
        <f t="shared" si="1116"/>
        <v>0</v>
      </c>
      <c r="Z7184" s="66">
        <v>0</v>
      </c>
      <c r="AA7184" s="6">
        <v>0</v>
      </c>
      <c r="AB7184" s="4">
        <f t="shared" si="1117"/>
        <v>139408.1</v>
      </c>
      <c r="AC7184" s="6">
        <f t="shared" si="1115"/>
        <v>0</v>
      </c>
      <c r="AD7184" s="6">
        <f t="shared" si="1111"/>
        <v>139408.1</v>
      </c>
      <c r="AE7184" s="14">
        <f>VLOOKUP(I7184,[2]媒体政策预估表!A:N,MATCH(O7184,[2]媒体政策预估表!$A$2:$M$2,0),0)</f>
        <v>7.0000000000000007E-2</v>
      </c>
      <c r="AF7184" s="6">
        <f t="shared" si="1113"/>
        <v>9758.5670000000009</v>
      </c>
      <c r="AG7184" s="14">
        <v>0</v>
      </c>
      <c r="AH7184" s="64">
        <f t="shared" si="1112"/>
        <v>139408.1</v>
      </c>
      <c r="AJ7184" s="126" t="e">
        <v>#N/A</v>
      </c>
      <c r="AK7184" s="80">
        <f t="shared" si="1118"/>
        <v>0</v>
      </c>
      <c r="AL7184" s="85"/>
      <c r="AM7184" s="85"/>
    </row>
    <row r="7185" spans="1:39" s="86" customFormat="1" ht="13.25" hidden="1" customHeight="1" x14ac:dyDescent="0.3">
      <c r="A7185" s="89" t="s">
        <v>3792</v>
      </c>
      <c r="B7185" s="86" t="s">
        <v>35</v>
      </c>
      <c r="C7185" s="86" t="s">
        <v>65</v>
      </c>
      <c r="D7185" s="86" t="s">
        <v>1291</v>
      </c>
      <c r="E7185" s="86" t="s">
        <v>4031</v>
      </c>
      <c r="F7185" s="86" t="s">
        <v>4031</v>
      </c>
      <c r="G7185" s="86" t="s">
        <v>4031</v>
      </c>
      <c r="H7185" s="144">
        <v>360</v>
      </c>
      <c r="I7185" s="86" t="s">
        <v>1060</v>
      </c>
      <c r="J7185" s="47" t="s">
        <v>3325</v>
      </c>
      <c r="K7185" s="47" t="s">
        <v>3767</v>
      </c>
      <c r="L7185" s="47" t="s">
        <v>35</v>
      </c>
      <c r="M7185" s="86" t="s">
        <v>4031</v>
      </c>
      <c r="O7185" s="47" t="s">
        <v>410</v>
      </c>
      <c r="P7185" s="47" t="s">
        <v>41</v>
      </c>
      <c r="Q7185" s="14">
        <v>0</v>
      </c>
      <c r="R7185" s="143" t="s">
        <v>4032</v>
      </c>
      <c r="S7185" s="47"/>
      <c r="T7185" s="6">
        <v>0</v>
      </c>
      <c r="U7185" s="6">
        <v>10000</v>
      </c>
      <c r="V7185" s="6">
        <v>8824.1749999999993</v>
      </c>
      <c r="W7185" s="6">
        <f t="shared" si="1110"/>
        <v>1175.8250000000007</v>
      </c>
      <c r="X7185" s="6">
        <f t="shared" si="1114"/>
        <v>8824.1749999999993</v>
      </c>
      <c r="Y7185" s="13">
        <f t="shared" si="1116"/>
        <v>0</v>
      </c>
      <c r="Z7185" s="66">
        <v>0</v>
      </c>
      <c r="AA7185" s="6">
        <v>0</v>
      </c>
      <c r="AB7185" s="4">
        <f t="shared" si="1117"/>
        <v>8824.1749999999993</v>
      </c>
      <c r="AC7185" s="6">
        <f t="shared" si="1115"/>
        <v>0</v>
      </c>
      <c r="AD7185" s="6">
        <f t="shared" si="1111"/>
        <v>8824.1749999999993</v>
      </c>
      <c r="AE7185" s="14">
        <f>VLOOKUP(I7185,[2]媒体政策预估表!A:N,MATCH(O7185,[2]媒体政策预估表!$A$2:$M$2,0),0)</f>
        <v>7.0000000000000007E-2</v>
      </c>
      <c r="AF7185" s="6">
        <f t="shared" si="1113"/>
        <v>617.69225000000006</v>
      </c>
      <c r="AG7185" s="14">
        <v>0</v>
      </c>
      <c r="AH7185" s="64">
        <f t="shared" si="1112"/>
        <v>8824.1749999999993</v>
      </c>
      <c r="AJ7185" s="126" t="e">
        <v>#N/A</v>
      </c>
      <c r="AK7185" s="80">
        <f t="shared" si="1118"/>
        <v>0</v>
      </c>
      <c r="AL7185" s="85"/>
      <c r="AM7185" s="85"/>
    </row>
    <row r="7186" spans="1:39" s="86" customFormat="1" ht="13.25" hidden="1" customHeight="1" x14ac:dyDescent="0.3">
      <c r="A7186" s="89" t="s">
        <v>3792</v>
      </c>
      <c r="B7186" s="86" t="s">
        <v>35</v>
      </c>
      <c r="C7186" s="86" t="s">
        <v>65</v>
      </c>
      <c r="D7186" s="86" t="s">
        <v>1291</v>
      </c>
      <c r="E7186" s="86" t="s">
        <v>1311</v>
      </c>
      <c r="F7186" s="86" t="s">
        <v>1311</v>
      </c>
      <c r="G7186" s="86" t="s">
        <v>1311</v>
      </c>
      <c r="H7186" s="144">
        <v>360</v>
      </c>
      <c r="I7186" s="86" t="s">
        <v>1060</v>
      </c>
      <c r="J7186" s="47" t="s">
        <v>3325</v>
      </c>
      <c r="K7186" s="47" t="s">
        <v>3767</v>
      </c>
      <c r="L7186" s="47" t="s">
        <v>35</v>
      </c>
      <c r="M7186" s="86" t="s">
        <v>3510</v>
      </c>
      <c r="O7186" s="47" t="s">
        <v>410</v>
      </c>
      <c r="P7186" s="47" t="s">
        <v>41</v>
      </c>
      <c r="Q7186" s="14">
        <v>0</v>
      </c>
      <c r="R7186" s="143" t="s">
        <v>3511</v>
      </c>
      <c r="S7186" s="47"/>
      <c r="T7186" s="6">
        <v>9818.5</v>
      </c>
      <c r="U7186" s="6">
        <v>40000</v>
      </c>
      <c r="V7186" s="6">
        <v>28268.1</v>
      </c>
      <c r="W7186" s="6">
        <f t="shared" si="1110"/>
        <v>21550.400000000001</v>
      </c>
      <c r="X7186" s="6">
        <f t="shared" si="1114"/>
        <v>28268.1</v>
      </c>
      <c r="Y7186" s="13">
        <f t="shared" si="1116"/>
        <v>0</v>
      </c>
      <c r="Z7186" s="66">
        <v>0</v>
      </c>
      <c r="AA7186" s="6">
        <v>0</v>
      </c>
      <c r="AB7186" s="4">
        <f t="shared" si="1117"/>
        <v>28268.1</v>
      </c>
      <c r="AC7186" s="6">
        <f t="shared" si="1115"/>
        <v>0</v>
      </c>
      <c r="AD7186" s="6">
        <f t="shared" si="1111"/>
        <v>28268.1</v>
      </c>
      <c r="AE7186" s="14">
        <f>VLOOKUP(I7186,[2]媒体政策预估表!A:N,MATCH(O7186,[2]媒体政策预估表!$A$2:$M$2,0),0)</f>
        <v>7.0000000000000007E-2</v>
      </c>
      <c r="AF7186" s="6">
        <f t="shared" si="1113"/>
        <v>1978.7670000000001</v>
      </c>
      <c r="AG7186" s="14">
        <v>0</v>
      </c>
      <c r="AH7186" s="64">
        <f t="shared" si="1112"/>
        <v>28268.1</v>
      </c>
      <c r="AJ7186" s="126" t="e">
        <v>#N/A</v>
      </c>
      <c r="AK7186" s="80">
        <f t="shared" si="1118"/>
        <v>0</v>
      </c>
      <c r="AL7186" s="85"/>
      <c r="AM7186" s="85"/>
    </row>
    <row r="7187" spans="1:39" s="86" customFormat="1" ht="13.25" hidden="1" customHeight="1" x14ac:dyDescent="0.3">
      <c r="A7187" s="89" t="s">
        <v>3792</v>
      </c>
      <c r="B7187" s="86" t="s">
        <v>35</v>
      </c>
      <c r="C7187" s="86" t="s">
        <v>65</v>
      </c>
      <c r="D7187" s="86" t="s">
        <v>1291</v>
      </c>
      <c r="E7187" s="86" t="s">
        <v>1311</v>
      </c>
      <c r="F7187" s="86" t="s">
        <v>1312</v>
      </c>
      <c r="G7187" s="86" t="s">
        <v>1311</v>
      </c>
      <c r="H7187" s="144">
        <v>360</v>
      </c>
      <c r="I7187" s="86" t="s">
        <v>1060</v>
      </c>
      <c r="J7187" s="47" t="s">
        <v>3325</v>
      </c>
      <c r="K7187" s="47" t="s">
        <v>3767</v>
      </c>
      <c r="L7187" s="47" t="s">
        <v>35</v>
      </c>
      <c r="M7187" s="86" t="s">
        <v>1311</v>
      </c>
      <c r="O7187" s="47" t="s">
        <v>410</v>
      </c>
      <c r="P7187" s="47" t="s">
        <v>41</v>
      </c>
      <c r="Q7187" s="14">
        <v>0</v>
      </c>
      <c r="R7187" s="143" t="s">
        <v>1313</v>
      </c>
      <c r="S7187" s="47"/>
      <c r="T7187" s="6">
        <v>9229</v>
      </c>
      <c r="U7187" s="6">
        <v>102500</v>
      </c>
      <c r="V7187" s="6">
        <v>103770</v>
      </c>
      <c r="W7187" s="6">
        <f t="shared" si="1110"/>
        <v>7959</v>
      </c>
      <c r="X7187" s="6">
        <f t="shared" si="1114"/>
        <v>103770</v>
      </c>
      <c r="Y7187" s="13">
        <f t="shared" si="1116"/>
        <v>0</v>
      </c>
      <c r="Z7187" s="66">
        <v>0</v>
      </c>
      <c r="AA7187" s="6">
        <v>0</v>
      </c>
      <c r="AB7187" s="4">
        <f t="shared" si="1117"/>
        <v>103770</v>
      </c>
      <c r="AC7187" s="6">
        <f t="shared" si="1115"/>
        <v>0</v>
      </c>
      <c r="AD7187" s="6">
        <f t="shared" si="1111"/>
        <v>103770</v>
      </c>
      <c r="AE7187" s="14">
        <f>VLOOKUP(I7187,[2]媒体政策预估表!A:N,MATCH(O7187,[2]媒体政策预估表!$A$2:$M$2,0),0)</f>
        <v>7.0000000000000007E-2</v>
      </c>
      <c r="AF7187" s="6">
        <f t="shared" si="1113"/>
        <v>7263.9000000000005</v>
      </c>
      <c r="AG7187" s="14">
        <v>0</v>
      </c>
      <c r="AH7187" s="64">
        <f t="shared" si="1112"/>
        <v>103770</v>
      </c>
      <c r="AJ7187" s="126" t="e">
        <v>#N/A</v>
      </c>
      <c r="AK7187" s="80">
        <f t="shared" si="1118"/>
        <v>0</v>
      </c>
      <c r="AL7187" s="85"/>
      <c r="AM7187" s="85"/>
    </row>
    <row r="7188" spans="1:39" s="86" customFormat="1" ht="13.25" hidden="1" customHeight="1" x14ac:dyDescent="0.3">
      <c r="A7188" s="89" t="s">
        <v>3792</v>
      </c>
      <c r="B7188" s="86" t="s">
        <v>35</v>
      </c>
      <c r="C7188" s="86" t="s">
        <v>65</v>
      </c>
      <c r="D7188" s="86" t="s">
        <v>1291</v>
      </c>
      <c r="E7188" s="86" t="s">
        <v>1311</v>
      </c>
      <c r="F7188" s="86" t="s">
        <v>4033</v>
      </c>
      <c r="G7188" s="86" t="s">
        <v>1311</v>
      </c>
      <c r="H7188" s="144">
        <v>360</v>
      </c>
      <c r="I7188" s="86" t="s">
        <v>1060</v>
      </c>
      <c r="J7188" s="47" t="s">
        <v>3325</v>
      </c>
      <c r="K7188" s="47" t="s">
        <v>3767</v>
      </c>
      <c r="L7188" s="47" t="s">
        <v>35</v>
      </c>
      <c r="M7188" s="86" t="s">
        <v>1311</v>
      </c>
      <c r="O7188" s="47" t="s">
        <v>410</v>
      </c>
      <c r="P7188" s="47" t="s">
        <v>41</v>
      </c>
      <c r="Q7188" s="14">
        <v>0</v>
      </c>
      <c r="R7188" s="143" t="s">
        <v>4034</v>
      </c>
      <c r="S7188" s="47"/>
      <c r="T7188" s="6">
        <v>0</v>
      </c>
      <c r="U7188" s="6">
        <v>20000</v>
      </c>
      <c r="V7188" s="6">
        <v>972.5</v>
      </c>
      <c r="W7188" s="6">
        <f t="shared" si="1110"/>
        <v>19027.5</v>
      </c>
      <c r="X7188" s="6">
        <f t="shared" si="1114"/>
        <v>972.5</v>
      </c>
      <c r="Y7188" s="13">
        <f t="shared" si="1116"/>
        <v>0</v>
      </c>
      <c r="Z7188" s="66">
        <v>0</v>
      </c>
      <c r="AA7188" s="6">
        <v>0</v>
      </c>
      <c r="AB7188" s="4">
        <f t="shared" si="1117"/>
        <v>972.5</v>
      </c>
      <c r="AC7188" s="6">
        <f t="shared" si="1115"/>
        <v>0</v>
      </c>
      <c r="AD7188" s="6">
        <f t="shared" si="1111"/>
        <v>972.5</v>
      </c>
      <c r="AE7188" s="14">
        <f>VLOOKUP(I7188,[2]媒体政策预估表!A:N,MATCH(O7188,[2]媒体政策预估表!$A$2:$M$2,0),0)</f>
        <v>7.0000000000000007E-2</v>
      </c>
      <c r="AF7188" s="6">
        <f t="shared" si="1113"/>
        <v>68.075000000000003</v>
      </c>
      <c r="AG7188" s="14">
        <v>0</v>
      </c>
      <c r="AH7188" s="64">
        <f t="shared" si="1112"/>
        <v>972.5</v>
      </c>
      <c r="AJ7188" s="126" t="e">
        <v>#N/A</v>
      </c>
      <c r="AK7188" s="80">
        <f t="shared" si="1118"/>
        <v>0</v>
      </c>
      <c r="AL7188" s="85"/>
      <c r="AM7188" s="85"/>
    </row>
    <row r="7189" spans="1:39" s="86" customFormat="1" ht="13.25" hidden="1" customHeight="1" x14ac:dyDescent="0.3">
      <c r="A7189" s="89" t="s">
        <v>3792</v>
      </c>
      <c r="B7189" s="86" t="s">
        <v>35</v>
      </c>
      <c r="C7189" s="86" t="s">
        <v>65</v>
      </c>
      <c r="D7189" s="86" t="s">
        <v>1291</v>
      </c>
      <c r="E7189" s="86" t="s">
        <v>1311</v>
      </c>
      <c r="F7189" s="86" t="s">
        <v>4035</v>
      </c>
      <c r="G7189" s="86" t="s">
        <v>1311</v>
      </c>
      <c r="H7189" s="144">
        <v>360</v>
      </c>
      <c r="I7189" s="86" t="s">
        <v>1060</v>
      </c>
      <c r="J7189" s="47" t="s">
        <v>3325</v>
      </c>
      <c r="K7189" s="47" t="s">
        <v>3767</v>
      </c>
      <c r="L7189" s="47" t="s">
        <v>35</v>
      </c>
      <c r="M7189" s="86" t="s">
        <v>4036</v>
      </c>
      <c r="O7189" s="47" t="s">
        <v>410</v>
      </c>
      <c r="P7189" s="47" t="s">
        <v>41</v>
      </c>
      <c r="Q7189" s="14">
        <v>0</v>
      </c>
      <c r="R7189" s="143" t="s">
        <v>4037</v>
      </c>
      <c r="S7189" s="47"/>
      <c r="T7189" s="6">
        <v>0</v>
      </c>
      <c r="U7189" s="6">
        <v>4000</v>
      </c>
      <c r="V7189" s="6">
        <v>2411.5</v>
      </c>
      <c r="W7189" s="6">
        <f t="shared" si="1110"/>
        <v>1588.5</v>
      </c>
      <c r="X7189" s="6">
        <f t="shared" si="1114"/>
        <v>2411.5</v>
      </c>
      <c r="Y7189" s="13">
        <f t="shared" si="1116"/>
        <v>0</v>
      </c>
      <c r="Z7189" s="66">
        <v>0</v>
      </c>
      <c r="AA7189" s="6">
        <v>0</v>
      </c>
      <c r="AB7189" s="4">
        <f t="shared" si="1117"/>
        <v>2411.5</v>
      </c>
      <c r="AC7189" s="6">
        <f t="shared" si="1115"/>
        <v>0</v>
      </c>
      <c r="AD7189" s="6">
        <f t="shared" si="1111"/>
        <v>2411.5</v>
      </c>
      <c r="AE7189" s="14">
        <f>VLOOKUP(I7189,[2]媒体政策预估表!A:N,MATCH(O7189,[2]媒体政策预估表!$A$2:$M$2,0),0)</f>
        <v>7.0000000000000007E-2</v>
      </c>
      <c r="AF7189" s="6">
        <f t="shared" si="1113"/>
        <v>168.80500000000001</v>
      </c>
      <c r="AG7189" s="14">
        <v>0</v>
      </c>
      <c r="AH7189" s="64">
        <f t="shared" si="1112"/>
        <v>2411.5</v>
      </c>
      <c r="AJ7189" s="126" t="e">
        <v>#N/A</v>
      </c>
      <c r="AK7189" s="80">
        <f t="shared" si="1118"/>
        <v>0</v>
      </c>
      <c r="AL7189" s="85"/>
      <c r="AM7189" s="85"/>
    </row>
    <row r="7190" spans="1:39" s="86" customFormat="1" ht="13.25" hidden="1" customHeight="1" x14ac:dyDescent="0.3">
      <c r="A7190" s="89" t="s">
        <v>3792</v>
      </c>
      <c r="B7190" s="86" t="s">
        <v>35</v>
      </c>
      <c r="C7190" s="86" t="s">
        <v>65</v>
      </c>
      <c r="D7190" s="86" t="s">
        <v>1291</v>
      </c>
      <c r="E7190" s="86" t="s">
        <v>1311</v>
      </c>
      <c r="F7190" s="86" t="s">
        <v>4035</v>
      </c>
      <c r="G7190" s="86" t="s">
        <v>1311</v>
      </c>
      <c r="H7190" s="143">
        <v>360</v>
      </c>
      <c r="I7190" s="86" t="s">
        <v>1060</v>
      </c>
      <c r="J7190" s="47" t="s">
        <v>3325</v>
      </c>
      <c r="K7190" s="47" t="s">
        <v>3767</v>
      </c>
      <c r="L7190" s="47" t="s">
        <v>35</v>
      </c>
      <c r="M7190" s="86" t="s">
        <v>1311</v>
      </c>
      <c r="O7190" s="47" t="s">
        <v>410</v>
      </c>
      <c r="P7190" s="47" t="s">
        <v>41</v>
      </c>
      <c r="Q7190" s="14">
        <v>0</v>
      </c>
      <c r="R7190" s="143" t="s">
        <v>1313</v>
      </c>
      <c r="S7190" s="47"/>
      <c r="T7190" s="6">
        <v>0</v>
      </c>
      <c r="U7190" s="6">
        <v>8000</v>
      </c>
      <c r="V7190" s="6">
        <v>0</v>
      </c>
      <c r="W7190" s="6">
        <f t="shared" si="1110"/>
        <v>8000</v>
      </c>
      <c r="X7190" s="6">
        <f t="shared" si="1114"/>
        <v>0</v>
      </c>
      <c r="Y7190" s="13">
        <f t="shared" si="1116"/>
        <v>0</v>
      </c>
      <c r="Z7190" s="66">
        <v>0</v>
      </c>
      <c r="AA7190" s="6">
        <v>0</v>
      </c>
      <c r="AB7190" s="4">
        <f t="shared" si="1117"/>
        <v>0</v>
      </c>
      <c r="AC7190" s="6">
        <f t="shared" si="1115"/>
        <v>0</v>
      </c>
      <c r="AD7190" s="6">
        <f t="shared" si="1111"/>
        <v>0</v>
      </c>
      <c r="AE7190" s="14">
        <f>VLOOKUP(I7190,[2]媒体政策预估表!A:N,MATCH(O7190,[2]媒体政策预估表!$A$2:$M$2,0),0)</f>
        <v>7.0000000000000007E-2</v>
      </c>
      <c r="AF7190" s="6">
        <f t="shared" si="1113"/>
        <v>0</v>
      </c>
      <c r="AG7190" s="14">
        <v>0</v>
      </c>
      <c r="AH7190" s="64">
        <f t="shared" si="1112"/>
        <v>0</v>
      </c>
      <c r="AJ7190" s="126" t="e">
        <v>#N/A</v>
      </c>
      <c r="AK7190" s="80">
        <f t="shared" si="1118"/>
        <v>0</v>
      </c>
      <c r="AL7190" s="85"/>
      <c r="AM7190" s="85"/>
    </row>
    <row r="7191" spans="1:39" s="86" customFormat="1" ht="13.25" hidden="1" customHeight="1" x14ac:dyDescent="0.3">
      <c r="A7191" s="89" t="s">
        <v>3792</v>
      </c>
      <c r="B7191" s="86" t="s">
        <v>35</v>
      </c>
      <c r="C7191" s="86" t="s">
        <v>144</v>
      </c>
      <c r="D7191" s="86" t="s">
        <v>145</v>
      </c>
      <c r="E7191" s="86" t="s">
        <v>561</v>
      </c>
      <c r="F7191" s="86" t="s">
        <v>561</v>
      </c>
      <c r="G7191" s="86" t="s">
        <v>561</v>
      </c>
      <c r="H7191" s="144">
        <v>360</v>
      </c>
      <c r="I7191" s="86" t="s">
        <v>1060</v>
      </c>
      <c r="J7191" s="47" t="s">
        <v>3325</v>
      </c>
      <c r="K7191" s="47" t="s">
        <v>3767</v>
      </c>
      <c r="L7191" s="47" t="s">
        <v>35</v>
      </c>
      <c r="M7191" s="86" t="s">
        <v>561</v>
      </c>
      <c r="O7191" s="47" t="s">
        <v>410</v>
      </c>
      <c r="P7191" s="47" t="s">
        <v>46</v>
      </c>
      <c r="Q7191" s="14">
        <v>0.02</v>
      </c>
      <c r="R7191" s="143" t="s">
        <v>1373</v>
      </c>
      <c r="S7191" s="47"/>
      <c r="T7191" s="6">
        <v>5635</v>
      </c>
      <c r="U7191" s="6">
        <v>10000</v>
      </c>
      <c r="V7191" s="6">
        <v>5459.9250000000002</v>
      </c>
      <c r="W7191" s="6">
        <f t="shared" si="1110"/>
        <v>10175.075000000001</v>
      </c>
      <c r="X7191" s="6">
        <f t="shared" si="1114"/>
        <v>5352.8676470588234</v>
      </c>
      <c r="Y7191" s="13">
        <f t="shared" si="1116"/>
        <v>0</v>
      </c>
      <c r="Z7191" s="66">
        <v>0</v>
      </c>
      <c r="AA7191" s="6">
        <v>0</v>
      </c>
      <c r="AB7191" s="4">
        <f t="shared" si="1117"/>
        <v>5352.8676470588234</v>
      </c>
      <c r="AC7191" s="6">
        <f t="shared" si="1115"/>
        <v>107.05735294117676</v>
      </c>
      <c r="AD7191" s="6">
        <f t="shared" si="1111"/>
        <v>5459.9250000000002</v>
      </c>
      <c r="AE7191" s="14">
        <f>VLOOKUP(I7191,[2]媒体政策预估表!A:N,MATCH(O7191,[2]媒体政策预估表!$A$2:$M$2,0),0)</f>
        <v>7.0000000000000007E-2</v>
      </c>
      <c r="AF7191" s="6">
        <f t="shared" si="1113"/>
        <v>382.19475000000006</v>
      </c>
      <c r="AG7191" s="14">
        <v>0</v>
      </c>
      <c r="AH7191" s="64">
        <f t="shared" si="1112"/>
        <v>5459.9250000000002</v>
      </c>
      <c r="AJ7191" s="126" t="e">
        <v>#N/A</v>
      </c>
      <c r="AK7191" s="80">
        <f t="shared" si="1118"/>
        <v>0</v>
      </c>
      <c r="AL7191" s="85"/>
      <c r="AM7191" s="85"/>
    </row>
    <row r="7192" spans="1:39" s="86" customFormat="1" ht="13.25" hidden="1" customHeight="1" x14ac:dyDescent="0.3">
      <c r="A7192" s="89" t="s">
        <v>3792</v>
      </c>
      <c r="B7192" s="86" t="s">
        <v>35</v>
      </c>
      <c r="C7192" s="86" t="s">
        <v>144</v>
      </c>
      <c r="D7192" s="86" t="s">
        <v>145</v>
      </c>
      <c r="E7192" s="86" t="s">
        <v>1374</v>
      </c>
      <c r="F7192" s="86" t="s">
        <v>1374</v>
      </c>
      <c r="G7192" s="86" t="s">
        <v>1374</v>
      </c>
      <c r="H7192" s="144">
        <v>360</v>
      </c>
      <c r="I7192" s="86" t="s">
        <v>1060</v>
      </c>
      <c r="J7192" s="47" t="s">
        <v>3325</v>
      </c>
      <c r="K7192" s="47" t="s">
        <v>3767</v>
      </c>
      <c r="L7192" s="47" t="s">
        <v>35</v>
      </c>
      <c r="M7192" s="86" t="s">
        <v>1375</v>
      </c>
      <c r="O7192" s="47" t="s">
        <v>410</v>
      </c>
      <c r="P7192" s="47" t="s">
        <v>46</v>
      </c>
      <c r="Q7192" s="14">
        <v>0.02</v>
      </c>
      <c r="R7192" s="143" t="s">
        <v>1376</v>
      </c>
      <c r="S7192" s="47"/>
      <c r="T7192" s="6">
        <v>11900.8</v>
      </c>
      <c r="U7192" s="6">
        <v>10000</v>
      </c>
      <c r="V7192" s="6">
        <v>14987.9</v>
      </c>
      <c r="W7192" s="6">
        <f t="shared" si="1110"/>
        <v>6912.9</v>
      </c>
      <c r="X7192" s="6">
        <f t="shared" si="1114"/>
        <v>14694.019607843136</v>
      </c>
      <c r="Y7192" s="13">
        <f t="shared" si="1116"/>
        <v>0</v>
      </c>
      <c r="Z7192" s="66">
        <v>0</v>
      </c>
      <c r="AA7192" s="6">
        <v>0</v>
      </c>
      <c r="AB7192" s="4">
        <f t="shared" si="1117"/>
        <v>14694.019607843136</v>
      </c>
      <c r="AC7192" s="6">
        <f t="shared" si="1115"/>
        <v>293.88039215686331</v>
      </c>
      <c r="AD7192" s="6">
        <f t="shared" si="1111"/>
        <v>14987.9</v>
      </c>
      <c r="AE7192" s="14">
        <f>VLOOKUP(I7192,[2]媒体政策预估表!A:N,MATCH(O7192,[2]媒体政策预估表!$A$2:$M$2,0),0)</f>
        <v>7.0000000000000007E-2</v>
      </c>
      <c r="AF7192" s="6">
        <f t="shared" si="1113"/>
        <v>1049.153</v>
      </c>
      <c r="AG7192" s="14">
        <v>0</v>
      </c>
      <c r="AH7192" s="64">
        <f t="shared" si="1112"/>
        <v>14987.9</v>
      </c>
      <c r="AJ7192" s="126" t="e">
        <v>#N/A</v>
      </c>
      <c r="AK7192" s="80">
        <f t="shared" si="1118"/>
        <v>0</v>
      </c>
      <c r="AL7192" s="85"/>
      <c r="AM7192" s="85"/>
    </row>
    <row r="7193" spans="1:39" s="86" customFormat="1" ht="13.25" hidden="1" customHeight="1" x14ac:dyDescent="0.3">
      <c r="A7193" s="89" t="s">
        <v>3792</v>
      </c>
      <c r="B7193" s="86" t="s">
        <v>35</v>
      </c>
      <c r="C7193" s="86" t="s">
        <v>144</v>
      </c>
      <c r="D7193" s="86" t="s">
        <v>145</v>
      </c>
      <c r="E7193" s="86" t="s">
        <v>2790</v>
      </c>
      <c r="F7193" s="86" t="s">
        <v>2790</v>
      </c>
      <c r="G7193" s="86" t="s">
        <v>2790</v>
      </c>
      <c r="H7193" s="144">
        <v>360</v>
      </c>
      <c r="I7193" s="86" t="s">
        <v>1060</v>
      </c>
      <c r="J7193" s="47" t="s">
        <v>3325</v>
      </c>
      <c r="K7193" s="47" t="s">
        <v>3767</v>
      </c>
      <c r="L7193" s="47" t="s">
        <v>35</v>
      </c>
      <c r="M7193" s="86" t="s">
        <v>2790</v>
      </c>
      <c r="O7193" s="47" t="s">
        <v>410</v>
      </c>
      <c r="P7193" s="47" t="s">
        <v>41</v>
      </c>
      <c r="Q7193" s="14">
        <v>0</v>
      </c>
      <c r="R7193" s="143" t="s">
        <v>4038</v>
      </c>
      <c r="S7193" s="47"/>
      <c r="T7193" s="6">
        <v>0</v>
      </c>
      <c r="U7193" s="6">
        <v>10000</v>
      </c>
      <c r="V7193" s="6">
        <v>3299.5</v>
      </c>
      <c r="W7193" s="6">
        <f t="shared" ref="W7193:W7256" si="1119">T7193+U7193-V7193</f>
        <v>6700.5</v>
      </c>
      <c r="X7193" s="6">
        <f t="shared" si="1114"/>
        <v>3299.5</v>
      </c>
      <c r="Y7193" s="13">
        <f t="shared" si="1116"/>
        <v>0</v>
      </c>
      <c r="Z7193" s="66">
        <v>0</v>
      </c>
      <c r="AA7193" s="6">
        <v>0</v>
      </c>
      <c r="AB7193" s="4">
        <f t="shared" si="1117"/>
        <v>3299.5</v>
      </c>
      <c r="AC7193" s="6">
        <f t="shared" si="1115"/>
        <v>0</v>
      </c>
      <c r="AD7193" s="6">
        <f t="shared" ref="AD7193:AD7256" si="1120">V7193</f>
        <v>3299.5</v>
      </c>
      <c r="AE7193" s="14">
        <f>VLOOKUP(I7193,[2]媒体政策预估表!A:N,MATCH(O7193,[2]媒体政策预估表!$A$2:$M$2,0),0)</f>
        <v>7.0000000000000007E-2</v>
      </c>
      <c r="AF7193" s="6">
        <f t="shared" si="1113"/>
        <v>230.96500000000003</v>
      </c>
      <c r="AG7193" s="14">
        <v>0</v>
      </c>
      <c r="AH7193" s="64">
        <f t="shared" ref="AH7193:AH7256" si="1121">V7193</f>
        <v>3299.5</v>
      </c>
      <c r="AJ7193" s="126" t="e">
        <v>#N/A</v>
      </c>
      <c r="AK7193" s="80">
        <f t="shared" si="1118"/>
        <v>0</v>
      </c>
      <c r="AL7193" s="85"/>
      <c r="AM7193" s="85"/>
    </row>
    <row r="7194" spans="1:39" s="86" customFormat="1" ht="13.25" hidden="1" customHeight="1" x14ac:dyDescent="0.3">
      <c r="A7194" s="89" t="s">
        <v>3978</v>
      </c>
      <c r="B7194" s="86" t="s">
        <v>35</v>
      </c>
      <c r="C7194" s="86" t="s">
        <v>144</v>
      </c>
      <c r="D7194" s="86" t="s">
        <v>145</v>
      </c>
      <c r="E7194" s="86" t="s">
        <v>1377</v>
      </c>
      <c r="F7194" s="86" t="s">
        <v>1377</v>
      </c>
      <c r="G7194" s="86" t="s">
        <v>1377</v>
      </c>
      <c r="H7194" s="144">
        <v>360</v>
      </c>
      <c r="I7194" s="86" t="s">
        <v>1060</v>
      </c>
      <c r="J7194" s="47" t="s">
        <v>3325</v>
      </c>
      <c r="K7194" s="47" t="s">
        <v>3767</v>
      </c>
      <c r="L7194" s="47" t="s">
        <v>35</v>
      </c>
      <c r="M7194" s="86" t="s">
        <v>1378</v>
      </c>
      <c r="O7194" s="47" t="s">
        <v>410</v>
      </c>
      <c r="P7194" s="47" t="s">
        <v>41</v>
      </c>
      <c r="Q7194" s="14">
        <v>0</v>
      </c>
      <c r="R7194" s="143" t="s">
        <v>1379</v>
      </c>
      <c r="S7194" s="47"/>
      <c r="T7194" s="6">
        <v>0.90000000000145519</v>
      </c>
      <c r="U7194" s="6">
        <v>20000</v>
      </c>
      <c r="V7194" s="6">
        <v>8852.7999999999993</v>
      </c>
      <c r="W7194" s="6">
        <f t="shared" si="1119"/>
        <v>11148.100000000002</v>
      </c>
      <c r="X7194" s="6">
        <f t="shared" si="1114"/>
        <v>8852.7999999999993</v>
      </c>
      <c r="Y7194" s="13">
        <f t="shared" si="1116"/>
        <v>0</v>
      </c>
      <c r="Z7194" s="66">
        <v>0</v>
      </c>
      <c r="AA7194" s="6">
        <v>0</v>
      </c>
      <c r="AB7194" s="4">
        <f t="shared" si="1117"/>
        <v>8852.7999999999993</v>
      </c>
      <c r="AC7194" s="6">
        <f t="shared" si="1115"/>
        <v>0</v>
      </c>
      <c r="AD7194" s="6">
        <f t="shared" si="1120"/>
        <v>8852.7999999999993</v>
      </c>
      <c r="AE7194" s="14">
        <f>VLOOKUP(I7194,[2]媒体政策预估表!A:N,MATCH(O7194,[2]媒体政策预估表!$A$2:$M$2,0),0)</f>
        <v>7.0000000000000007E-2</v>
      </c>
      <c r="AF7194" s="6">
        <f t="shared" si="1113"/>
        <v>619.69600000000003</v>
      </c>
      <c r="AG7194" s="14">
        <v>0</v>
      </c>
      <c r="AH7194" s="64">
        <f t="shared" si="1121"/>
        <v>8852.7999999999993</v>
      </c>
      <c r="AJ7194" s="126" t="e">
        <v>#N/A</v>
      </c>
      <c r="AK7194" s="80">
        <f t="shared" si="1118"/>
        <v>0</v>
      </c>
      <c r="AL7194" s="85"/>
      <c r="AM7194" s="85"/>
    </row>
    <row r="7195" spans="1:39" s="86" customFormat="1" ht="13.25" hidden="1" customHeight="1" x14ac:dyDescent="0.3">
      <c r="A7195" s="89" t="s">
        <v>3792</v>
      </c>
      <c r="B7195" s="86" t="s">
        <v>35</v>
      </c>
      <c r="C7195" s="86" t="s">
        <v>144</v>
      </c>
      <c r="D7195" s="86" t="s">
        <v>145</v>
      </c>
      <c r="E7195" s="86" t="s">
        <v>4039</v>
      </c>
      <c r="F7195" s="86" t="s">
        <v>4039</v>
      </c>
      <c r="G7195" s="86" t="s">
        <v>4039</v>
      </c>
      <c r="H7195" s="144">
        <v>360</v>
      </c>
      <c r="I7195" s="86" t="s">
        <v>1060</v>
      </c>
      <c r="J7195" s="47" t="s">
        <v>3325</v>
      </c>
      <c r="K7195" s="47" t="s">
        <v>3767</v>
      </c>
      <c r="L7195" s="47" t="s">
        <v>35</v>
      </c>
      <c r="M7195" s="86" t="s">
        <v>4039</v>
      </c>
      <c r="O7195" s="47" t="s">
        <v>410</v>
      </c>
      <c r="P7195" s="47" t="s">
        <v>41</v>
      </c>
      <c r="Q7195" s="14">
        <v>0</v>
      </c>
      <c r="R7195" s="143" t="s">
        <v>4040</v>
      </c>
      <c r="S7195" s="47"/>
      <c r="T7195" s="6">
        <v>0</v>
      </c>
      <c r="U7195" s="6">
        <v>15000</v>
      </c>
      <c r="V7195" s="6">
        <v>7211.5</v>
      </c>
      <c r="W7195" s="6">
        <f t="shared" si="1119"/>
        <v>7788.5</v>
      </c>
      <c r="X7195" s="6">
        <f t="shared" si="1114"/>
        <v>7211.5</v>
      </c>
      <c r="Y7195" s="13">
        <f t="shared" si="1116"/>
        <v>0</v>
      </c>
      <c r="Z7195" s="66">
        <v>0</v>
      </c>
      <c r="AA7195" s="6">
        <v>0</v>
      </c>
      <c r="AB7195" s="4">
        <f t="shared" si="1117"/>
        <v>7211.5</v>
      </c>
      <c r="AC7195" s="6">
        <f t="shared" si="1115"/>
        <v>0</v>
      </c>
      <c r="AD7195" s="6">
        <f t="shared" si="1120"/>
        <v>7211.5</v>
      </c>
      <c r="AE7195" s="14">
        <f>VLOOKUP(I7195,[2]媒体政策预估表!A:N,MATCH(O7195,[2]媒体政策预估表!$A$2:$M$2,0),0)</f>
        <v>7.0000000000000007E-2</v>
      </c>
      <c r="AF7195" s="6">
        <f t="shared" si="1113"/>
        <v>504.80500000000006</v>
      </c>
      <c r="AG7195" s="14">
        <v>0</v>
      </c>
      <c r="AH7195" s="64">
        <f t="shared" si="1121"/>
        <v>7211.5</v>
      </c>
      <c r="AJ7195" s="126" t="e">
        <v>#N/A</v>
      </c>
      <c r="AK7195" s="80">
        <f t="shared" si="1118"/>
        <v>0</v>
      </c>
      <c r="AL7195" s="85"/>
      <c r="AM7195" s="85"/>
    </row>
    <row r="7196" spans="1:39" s="86" customFormat="1" ht="13.25" hidden="1" customHeight="1" x14ac:dyDescent="0.3">
      <c r="A7196" s="89" t="s">
        <v>3978</v>
      </c>
      <c r="B7196" s="86" t="s">
        <v>35</v>
      </c>
      <c r="C7196" s="86" t="s">
        <v>144</v>
      </c>
      <c r="D7196" s="86" t="s">
        <v>145</v>
      </c>
      <c r="E7196" s="86" t="s">
        <v>4041</v>
      </c>
      <c r="F7196" s="86" t="s">
        <v>4041</v>
      </c>
      <c r="G7196" s="86" t="s">
        <v>4041</v>
      </c>
      <c r="H7196" s="144">
        <v>360</v>
      </c>
      <c r="I7196" s="86" t="s">
        <v>1060</v>
      </c>
      <c r="J7196" s="47" t="s">
        <v>3325</v>
      </c>
      <c r="K7196" s="47" t="s">
        <v>3767</v>
      </c>
      <c r="L7196" s="47" t="s">
        <v>35</v>
      </c>
      <c r="M7196" s="86" t="s">
        <v>4041</v>
      </c>
      <c r="O7196" s="47" t="s">
        <v>410</v>
      </c>
      <c r="P7196" s="47" t="s">
        <v>41</v>
      </c>
      <c r="Q7196" s="14">
        <v>0</v>
      </c>
      <c r="R7196" s="143" t="s">
        <v>4042</v>
      </c>
      <c r="S7196" s="47"/>
      <c r="T7196" s="6">
        <v>0</v>
      </c>
      <c r="U7196" s="6">
        <v>15000</v>
      </c>
      <c r="V7196" s="6">
        <v>4885.7</v>
      </c>
      <c r="W7196" s="6">
        <f t="shared" si="1119"/>
        <v>10114.299999999999</v>
      </c>
      <c r="X7196" s="6">
        <f t="shared" si="1114"/>
        <v>4885.7</v>
      </c>
      <c r="Y7196" s="13">
        <f t="shared" si="1116"/>
        <v>0</v>
      </c>
      <c r="Z7196" s="66">
        <v>0</v>
      </c>
      <c r="AA7196" s="6">
        <v>0</v>
      </c>
      <c r="AB7196" s="4">
        <f t="shared" si="1117"/>
        <v>4885.7</v>
      </c>
      <c r="AC7196" s="6">
        <f t="shared" si="1115"/>
        <v>0</v>
      </c>
      <c r="AD7196" s="6">
        <f t="shared" si="1120"/>
        <v>4885.7</v>
      </c>
      <c r="AE7196" s="14">
        <f>VLOOKUP(I7196,[2]媒体政策预估表!A:N,MATCH(O7196,[2]媒体政策预估表!$A$2:$M$2,0),0)</f>
        <v>7.0000000000000007E-2</v>
      </c>
      <c r="AF7196" s="6">
        <f t="shared" si="1113"/>
        <v>341.99900000000002</v>
      </c>
      <c r="AG7196" s="14">
        <v>0</v>
      </c>
      <c r="AH7196" s="64">
        <f t="shared" si="1121"/>
        <v>4885.7</v>
      </c>
      <c r="AJ7196" s="126" t="e">
        <v>#N/A</v>
      </c>
      <c r="AK7196" s="80">
        <f t="shared" si="1118"/>
        <v>0</v>
      </c>
      <c r="AL7196" s="85"/>
      <c r="AM7196" s="85"/>
    </row>
    <row r="7197" spans="1:39" s="86" customFormat="1" ht="13.25" hidden="1" customHeight="1" x14ac:dyDescent="0.3">
      <c r="A7197" s="89" t="s">
        <v>3978</v>
      </c>
      <c r="B7197" s="86" t="s">
        <v>35</v>
      </c>
      <c r="C7197" s="86" t="s">
        <v>144</v>
      </c>
      <c r="D7197" s="86" t="s">
        <v>145</v>
      </c>
      <c r="E7197" s="86" t="s">
        <v>1380</v>
      </c>
      <c r="F7197" s="86" t="s">
        <v>1380</v>
      </c>
      <c r="G7197" s="86" t="s">
        <v>1380</v>
      </c>
      <c r="H7197" s="144">
        <v>360</v>
      </c>
      <c r="I7197" s="86" t="s">
        <v>1060</v>
      </c>
      <c r="J7197" s="47" t="s">
        <v>3325</v>
      </c>
      <c r="K7197" s="47" t="s">
        <v>3767</v>
      </c>
      <c r="L7197" s="47" t="s">
        <v>35</v>
      </c>
      <c r="M7197" s="86" t="s">
        <v>1381</v>
      </c>
      <c r="O7197" s="47" t="s">
        <v>410</v>
      </c>
      <c r="P7197" s="47" t="s">
        <v>41</v>
      </c>
      <c r="Q7197" s="14">
        <v>0</v>
      </c>
      <c r="R7197" s="143" t="s">
        <v>1382</v>
      </c>
      <c r="S7197" s="47"/>
      <c r="T7197" s="6">
        <v>20893.5</v>
      </c>
      <c r="U7197" s="6">
        <v>120000</v>
      </c>
      <c r="V7197" s="6">
        <v>132851.5</v>
      </c>
      <c r="W7197" s="6">
        <f t="shared" si="1119"/>
        <v>8042</v>
      </c>
      <c r="X7197" s="6">
        <f t="shared" si="1114"/>
        <v>132851.5</v>
      </c>
      <c r="Y7197" s="13">
        <f t="shared" si="1116"/>
        <v>0</v>
      </c>
      <c r="Z7197" s="66">
        <v>0</v>
      </c>
      <c r="AA7197" s="6">
        <v>0</v>
      </c>
      <c r="AB7197" s="4">
        <f t="shared" si="1117"/>
        <v>132851.5</v>
      </c>
      <c r="AC7197" s="6">
        <f t="shared" si="1115"/>
        <v>0</v>
      </c>
      <c r="AD7197" s="6">
        <f t="shared" si="1120"/>
        <v>132851.5</v>
      </c>
      <c r="AE7197" s="14">
        <f>VLOOKUP(I7197,[2]媒体政策预估表!A:N,MATCH(O7197,[2]媒体政策预估表!$A$2:$M$2,0),0)</f>
        <v>7.0000000000000007E-2</v>
      </c>
      <c r="AF7197" s="6">
        <f t="shared" si="1113"/>
        <v>9299.6050000000014</v>
      </c>
      <c r="AG7197" s="14">
        <v>0</v>
      </c>
      <c r="AH7197" s="64">
        <f t="shared" si="1121"/>
        <v>132851.5</v>
      </c>
      <c r="AJ7197" s="126" t="e">
        <v>#N/A</v>
      </c>
      <c r="AK7197" s="80">
        <f t="shared" si="1118"/>
        <v>0</v>
      </c>
      <c r="AL7197" s="85"/>
      <c r="AM7197" s="85"/>
    </row>
    <row r="7198" spans="1:39" s="86" customFormat="1" ht="13.25" hidden="1" customHeight="1" x14ac:dyDescent="0.3">
      <c r="A7198" s="89" t="s">
        <v>3978</v>
      </c>
      <c r="B7198" s="86" t="s">
        <v>35</v>
      </c>
      <c r="C7198" s="86" t="s">
        <v>144</v>
      </c>
      <c r="D7198" s="86" t="s">
        <v>145</v>
      </c>
      <c r="E7198" s="86" t="s">
        <v>565</v>
      </c>
      <c r="F7198" s="86" t="s">
        <v>566</v>
      </c>
      <c r="G7198" s="86" t="s">
        <v>565</v>
      </c>
      <c r="H7198" s="144">
        <v>360</v>
      </c>
      <c r="I7198" s="86" t="s">
        <v>1060</v>
      </c>
      <c r="J7198" s="47" t="s">
        <v>3325</v>
      </c>
      <c r="K7198" s="47" t="s">
        <v>3767</v>
      </c>
      <c r="L7198" s="47" t="s">
        <v>35</v>
      </c>
      <c r="M7198" s="86" t="s">
        <v>565</v>
      </c>
      <c r="O7198" s="47" t="s">
        <v>410</v>
      </c>
      <c r="P7198" s="47" t="s">
        <v>41</v>
      </c>
      <c r="Q7198" s="14">
        <v>0</v>
      </c>
      <c r="R7198" s="143" t="s">
        <v>1383</v>
      </c>
      <c r="S7198" s="47"/>
      <c r="T7198" s="6">
        <v>5398.1000500000082</v>
      </c>
      <c r="U7198" s="6">
        <v>60000</v>
      </c>
      <c r="V7198" s="6">
        <v>60330.559979999998</v>
      </c>
      <c r="W7198" s="6">
        <f t="shared" si="1119"/>
        <v>5067.54007000001</v>
      </c>
      <c r="X7198" s="6">
        <f t="shared" si="1114"/>
        <v>60330.559979999998</v>
      </c>
      <c r="Y7198" s="13">
        <f t="shared" si="1116"/>
        <v>0</v>
      </c>
      <c r="Z7198" s="66">
        <v>0</v>
      </c>
      <c r="AA7198" s="6">
        <v>0</v>
      </c>
      <c r="AB7198" s="4">
        <f t="shared" si="1117"/>
        <v>60330.559979999998</v>
      </c>
      <c r="AC7198" s="6">
        <f t="shared" si="1115"/>
        <v>0</v>
      </c>
      <c r="AD7198" s="6">
        <f t="shared" si="1120"/>
        <v>60330.559979999998</v>
      </c>
      <c r="AE7198" s="14">
        <f>VLOOKUP(I7198,[2]媒体政策预估表!A:N,MATCH(O7198,[2]媒体政策预估表!$A$2:$M$2,0),0)</f>
        <v>7.0000000000000007E-2</v>
      </c>
      <c r="AF7198" s="6">
        <f t="shared" si="1113"/>
        <v>4223.1391985999999</v>
      </c>
      <c r="AG7198" s="14">
        <v>0</v>
      </c>
      <c r="AH7198" s="64">
        <f t="shared" si="1121"/>
        <v>60330.559979999998</v>
      </c>
      <c r="AJ7198" s="126" t="e">
        <v>#N/A</v>
      </c>
      <c r="AK7198" s="80">
        <f t="shared" si="1118"/>
        <v>0</v>
      </c>
      <c r="AL7198" s="85"/>
      <c r="AM7198" s="85"/>
    </row>
    <row r="7199" spans="1:39" s="86" customFormat="1" ht="13.25" hidden="1" customHeight="1" x14ac:dyDescent="0.3">
      <c r="A7199" s="89" t="s">
        <v>3978</v>
      </c>
      <c r="B7199" s="86" t="s">
        <v>35</v>
      </c>
      <c r="C7199" s="86" t="s">
        <v>144</v>
      </c>
      <c r="D7199" s="86" t="s">
        <v>145</v>
      </c>
      <c r="E7199" s="86" t="s">
        <v>146</v>
      </c>
      <c r="F7199" s="86" t="s">
        <v>146</v>
      </c>
      <c r="G7199" s="86" t="s">
        <v>146</v>
      </c>
      <c r="H7199" s="144">
        <v>360</v>
      </c>
      <c r="I7199" s="86" t="s">
        <v>1060</v>
      </c>
      <c r="J7199" s="47" t="s">
        <v>3325</v>
      </c>
      <c r="K7199" s="47" t="s">
        <v>3767</v>
      </c>
      <c r="L7199" s="47" t="s">
        <v>35</v>
      </c>
      <c r="M7199" s="86" t="s">
        <v>146</v>
      </c>
      <c r="O7199" s="47" t="s">
        <v>410</v>
      </c>
      <c r="P7199" s="47" t="s">
        <v>41</v>
      </c>
      <c r="Q7199" s="14">
        <v>0</v>
      </c>
      <c r="R7199" s="143" t="s">
        <v>1384</v>
      </c>
      <c r="S7199" s="47"/>
      <c r="T7199" s="6">
        <v>23206.300000000017</v>
      </c>
      <c r="U7199" s="6">
        <v>100000</v>
      </c>
      <c r="V7199" s="6">
        <v>110131.2</v>
      </c>
      <c r="W7199" s="6">
        <f t="shared" si="1119"/>
        <v>13075.10000000002</v>
      </c>
      <c r="X7199" s="6">
        <f t="shared" si="1114"/>
        <v>110131.2</v>
      </c>
      <c r="Y7199" s="13">
        <f t="shared" si="1116"/>
        <v>0</v>
      </c>
      <c r="Z7199" s="66">
        <v>0</v>
      </c>
      <c r="AA7199" s="6">
        <v>0</v>
      </c>
      <c r="AB7199" s="4">
        <f t="shared" si="1117"/>
        <v>110131.2</v>
      </c>
      <c r="AC7199" s="6">
        <f t="shared" si="1115"/>
        <v>0</v>
      </c>
      <c r="AD7199" s="6">
        <f t="shared" si="1120"/>
        <v>110131.2</v>
      </c>
      <c r="AE7199" s="14">
        <f>VLOOKUP(I7199,[2]媒体政策预估表!A:N,MATCH(O7199,[2]媒体政策预估表!$A$2:$M$2,0),0)</f>
        <v>7.0000000000000007E-2</v>
      </c>
      <c r="AF7199" s="6">
        <f t="shared" si="1113"/>
        <v>7709.1840000000002</v>
      </c>
      <c r="AG7199" s="14">
        <v>0</v>
      </c>
      <c r="AH7199" s="64">
        <f t="shared" si="1121"/>
        <v>110131.2</v>
      </c>
      <c r="AJ7199" s="126" t="e">
        <v>#N/A</v>
      </c>
      <c r="AK7199" s="80">
        <f t="shared" si="1118"/>
        <v>0</v>
      </c>
      <c r="AL7199" s="85"/>
      <c r="AM7199" s="85"/>
    </row>
    <row r="7200" spans="1:39" s="86" customFormat="1" ht="13.25" hidden="1" customHeight="1" x14ac:dyDescent="0.3">
      <c r="A7200" s="89" t="s">
        <v>3978</v>
      </c>
      <c r="B7200" s="86" t="s">
        <v>35</v>
      </c>
      <c r="C7200" s="86" t="s">
        <v>144</v>
      </c>
      <c r="D7200" s="86" t="s">
        <v>145</v>
      </c>
      <c r="E7200" s="86" t="s">
        <v>568</v>
      </c>
      <c r="F7200" s="86" t="s">
        <v>568</v>
      </c>
      <c r="G7200" s="86" t="s">
        <v>568</v>
      </c>
      <c r="H7200" s="144">
        <v>360</v>
      </c>
      <c r="I7200" s="86" t="s">
        <v>1060</v>
      </c>
      <c r="J7200" s="47" t="s">
        <v>3325</v>
      </c>
      <c r="K7200" s="47" t="s">
        <v>3767</v>
      </c>
      <c r="L7200" s="47" t="s">
        <v>35</v>
      </c>
      <c r="M7200" s="86" t="s">
        <v>568</v>
      </c>
      <c r="O7200" s="47" t="s">
        <v>410</v>
      </c>
      <c r="P7200" s="47" t="s">
        <v>41</v>
      </c>
      <c r="Q7200" s="14">
        <v>0</v>
      </c>
      <c r="R7200" s="143" t="s">
        <v>2369</v>
      </c>
      <c r="S7200" s="47"/>
      <c r="T7200" s="6">
        <v>5973.579999999999</v>
      </c>
      <c r="U7200" s="6">
        <v>10000</v>
      </c>
      <c r="V7200" s="6">
        <v>9589</v>
      </c>
      <c r="W7200" s="6">
        <f t="shared" si="1119"/>
        <v>6384.5799999999981</v>
      </c>
      <c r="X7200" s="6">
        <f t="shared" si="1114"/>
        <v>9589</v>
      </c>
      <c r="Y7200" s="13">
        <f t="shared" si="1116"/>
        <v>0</v>
      </c>
      <c r="Z7200" s="66">
        <v>0</v>
      </c>
      <c r="AA7200" s="6">
        <v>0</v>
      </c>
      <c r="AB7200" s="4">
        <f t="shared" si="1117"/>
        <v>9589</v>
      </c>
      <c r="AC7200" s="6">
        <f t="shared" si="1115"/>
        <v>0</v>
      </c>
      <c r="AD7200" s="6">
        <f t="shared" si="1120"/>
        <v>9589</v>
      </c>
      <c r="AE7200" s="14">
        <f>VLOOKUP(I7200,[2]媒体政策预估表!A:N,MATCH(O7200,[2]媒体政策预估表!$A$2:$M$2,0),0)</f>
        <v>7.0000000000000007E-2</v>
      </c>
      <c r="AF7200" s="6">
        <f t="shared" si="1113"/>
        <v>671.23</v>
      </c>
      <c r="AG7200" s="14">
        <v>0</v>
      </c>
      <c r="AH7200" s="64">
        <f t="shared" si="1121"/>
        <v>9589</v>
      </c>
      <c r="AJ7200" s="126" t="e">
        <v>#N/A</v>
      </c>
      <c r="AK7200" s="80">
        <f t="shared" si="1118"/>
        <v>0</v>
      </c>
      <c r="AL7200" s="85"/>
      <c r="AM7200" s="85"/>
    </row>
    <row r="7201" spans="1:39" s="86" customFormat="1" ht="13.25" hidden="1" customHeight="1" x14ac:dyDescent="0.3">
      <c r="A7201" s="89" t="s">
        <v>3978</v>
      </c>
      <c r="B7201" s="86" t="s">
        <v>35</v>
      </c>
      <c r="C7201" s="86" t="s">
        <v>144</v>
      </c>
      <c r="D7201" s="86" t="s">
        <v>145</v>
      </c>
      <c r="E7201" s="86" t="s">
        <v>1390</v>
      </c>
      <c r="F7201" s="86" t="s">
        <v>1390</v>
      </c>
      <c r="G7201" s="86" t="s">
        <v>1390</v>
      </c>
      <c r="H7201" s="144">
        <v>360</v>
      </c>
      <c r="I7201" s="86" t="s">
        <v>1060</v>
      </c>
      <c r="J7201" s="47" t="s">
        <v>3325</v>
      </c>
      <c r="K7201" s="47" t="s">
        <v>3767</v>
      </c>
      <c r="L7201" s="47" t="s">
        <v>35</v>
      </c>
      <c r="M7201" s="86" t="s">
        <v>1390</v>
      </c>
      <c r="O7201" s="47" t="s">
        <v>410</v>
      </c>
      <c r="P7201" s="47" t="s">
        <v>46</v>
      </c>
      <c r="Q7201" s="14">
        <v>0.02</v>
      </c>
      <c r="R7201" s="143" t="s">
        <v>1391</v>
      </c>
      <c r="S7201" s="47"/>
      <c r="T7201" s="6">
        <v>5217.6999999999971</v>
      </c>
      <c r="U7201" s="6">
        <v>20000</v>
      </c>
      <c r="V7201" s="6">
        <v>23655.5</v>
      </c>
      <c r="W7201" s="6">
        <f t="shared" si="1119"/>
        <v>1562.1999999999971</v>
      </c>
      <c r="X7201" s="6">
        <f t="shared" si="1114"/>
        <v>23191.666666666668</v>
      </c>
      <c r="Y7201" s="13">
        <f t="shared" si="1116"/>
        <v>0</v>
      </c>
      <c r="Z7201" s="66">
        <v>0</v>
      </c>
      <c r="AA7201" s="6">
        <v>0</v>
      </c>
      <c r="AB7201" s="4">
        <f t="shared" si="1117"/>
        <v>23191.666666666668</v>
      </c>
      <c r="AC7201" s="6">
        <f t="shared" si="1115"/>
        <v>463.83333333333212</v>
      </c>
      <c r="AD7201" s="6">
        <f t="shared" si="1120"/>
        <v>23655.5</v>
      </c>
      <c r="AE7201" s="14">
        <f>VLOOKUP(I7201,[2]媒体政策预估表!A:N,MATCH(O7201,[2]媒体政策预估表!$A$2:$M$2,0),0)</f>
        <v>7.0000000000000007E-2</v>
      </c>
      <c r="AF7201" s="6">
        <f t="shared" si="1113"/>
        <v>1655.8850000000002</v>
      </c>
      <c r="AG7201" s="14">
        <v>0</v>
      </c>
      <c r="AH7201" s="64">
        <f t="shared" si="1121"/>
        <v>23655.5</v>
      </c>
      <c r="AJ7201" s="126" t="e">
        <v>#N/A</v>
      </c>
      <c r="AK7201" s="80">
        <f t="shared" si="1118"/>
        <v>0</v>
      </c>
      <c r="AL7201" s="85"/>
      <c r="AM7201" s="85"/>
    </row>
    <row r="7202" spans="1:39" s="86" customFormat="1" ht="13.25" hidden="1" customHeight="1" x14ac:dyDescent="0.3">
      <c r="A7202" s="89" t="s">
        <v>3792</v>
      </c>
      <c r="B7202" s="86" t="s">
        <v>35</v>
      </c>
      <c r="C7202" s="86" t="s">
        <v>144</v>
      </c>
      <c r="D7202" s="86" t="s">
        <v>145</v>
      </c>
      <c r="E7202" s="86" t="s">
        <v>1395</v>
      </c>
      <c r="F7202" s="86" t="s">
        <v>1396</v>
      </c>
      <c r="G7202" s="86" t="s">
        <v>1395</v>
      </c>
      <c r="H7202" s="144">
        <v>360</v>
      </c>
      <c r="I7202" s="86" t="s">
        <v>1060</v>
      </c>
      <c r="J7202" s="47" t="s">
        <v>3325</v>
      </c>
      <c r="K7202" s="47" t="s">
        <v>3767</v>
      </c>
      <c r="L7202" s="47" t="s">
        <v>35</v>
      </c>
      <c r="M7202" s="86" t="s">
        <v>1395</v>
      </c>
      <c r="O7202" s="47" t="s">
        <v>410</v>
      </c>
      <c r="P7202" s="47" t="s">
        <v>46</v>
      </c>
      <c r="Q7202" s="14">
        <v>0.01</v>
      </c>
      <c r="R7202" s="143" t="s">
        <v>1397</v>
      </c>
      <c r="S7202" s="47"/>
      <c r="T7202" s="6">
        <v>254683</v>
      </c>
      <c r="U7202" s="6">
        <v>210000</v>
      </c>
      <c r="V7202" s="6">
        <v>382010</v>
      </c>
      <c r="W7202" s="6">
        <f t="shared" si="1119"/>
        <v>82673</v>
      </c>
      <c r="X7202" s="6">
        <f t="shared" si="1114"/>
        <v>378227.72277227725</v>
      </c>
      <c r="Y7202" s="13">
        <f t="shared" si="1116"/>
        <v>0</v>
      </c>
      <c r="Z7202" s="66">
        <v>0</v>
      </c>
      <c r="AA7202" s="6">
        <v>0</v>
      </c>
      <c r="AB7202" s="4">
        <f t="shared" si="1117"/>
        <v>378227.72277227725</v>
      </c>
      <c r="AC7202" s="6">
        <f t="shared" si="1115"/>
        <v>3782.2772277227486</v>
      </c>
      <c r="AD7202" s="6">
        <f t="shared" si="1120"/>
        <v>382010</v>
      </c>
      <c r="AE7202" s="14">
        <f>VLOOKUP(I7202,[2]媒体政策预估表!A:N,MATCH(O7202,[2]媒体政策预估表!$A$2:$M$2,0),0)</f>
        <v>7.0000000000000007E-2</v>
      </c>
      <c r="AF7202" s="6">
        <f t="shared" si="1113"/>
        <v>26740.7</v>
      </c>
      <c r="AG7202" s="14">
        <v>0</v>
      </c>
      <c r="AH7202" s="64">
        <f t="shared" si="1121"/>
        <v>382010</v>
      </c>
      <c r="AJ7202" s="126" t="e">
        <v>#N/A</v>
      </c>
      <c r="AK7202" s="80">
        <f t="shared" si="1118"/>
        <v>0</v>
      </c>
      <c r="AL7202" s="85"/>
      <c r="AM7202" s="85"/>
    </row>
    <row r="7203" spans="1:39" s="86" customFormat="1" ht="13.25" hidden="1" customHeight="1" x14ac:dyDescent="0.3">
      <c r="A7203" s="89" t="s">
        <v>3978</v>
      </c>
      <c r="B7203" s="86" t="s">
        <v>35</v>
      </c>
      <c r="C7203" s="86" t="s">
        <v>144</v>
      </c>
      <c r="D7203" s="86" t="s">
        <v>145</v>
      </c>
      <c r="E7203" s="86" t="s">
        <v>1398</v>
      </c>
      <c r="F7203" s="86" t="s">
        <v>1398</v>
      </c>
      <c r="G7203" s="86" t="s">
        <v>1398</v>
      </c>
      <c r="H7203" s="144">
        <v>360</v>
      </c>
      <c r="I7203" s="86" t="s">
        <v>1060</v>
      </c>
      <c r="J7203" s="47" t="s">
        <v>3325</v>
      </c>
      <c r="K7203" s="47" t="s">
        <v>3767</v>
      </c>
      <c r="L7203" s="47" t="s">
        <v>35</v>
      </c>
      <c r="M7203" s="86" t="s">
        <v>1398</v>
      </c>
      <c r="O7203" s="47" t="s">
        <v>410</v>
      </c>
      <c r="P7203" s="47" t="s">
        <v>46</v>
      </c>
      <c r="Q7203" s="14">
        <v>0.02</v>
      </c>
      <c r="R7203" s="143">
        <v>13588565997</v>
      </c>
      <c r="S7203" s="47"/>
      <c r="T7203" s="6">
        <v>36037.310000000012</v>
      </c>
      <c r="U7203" s="6">
        <v>52000</v>
      </c>
      <c r="V7203" s="6">
        <v>38738.699999999997</v>
      </c>
      <c r="W7203" s="6">
        <f t="shared" si="1119"/>
        <v>49298.610000000015</v>
      </c>
      <c r="X7203" s="6">
        <f t="shared" si="1114"/>
        <v>37979.117647058818</v>
      </c>
      <c r="Y7203" s="13">
        <f t="shared" si="1116"/>
        <v>0</v>
      </c>
      <c r="Z7203" s="66">
        <v>0</v>
      </c>
      <c r="AA7203" s="6">
        <v>0</v>
      </c>
      <c r="AB7203" s="4">
        <f t="shared" si="1117"/>
        <v>37979.117647058818</v>
      </c>
      <c r="AC7203" s="6">
        <f t="shared" si="1115"/>
        <v>759.58235294117912</v>
      </c>
      <c r="AD7203" s="6">
        <f t="shared" si="1120"/>
        <v>38738.699999999997</v>
      </c>
      <c r="AE7203" s="14">
        <f>VLOOKUP(I7203,[2]媒体政策预估表!A:N,MATCH(O7203,[2]媒体政策预估表!$A$2:$M$2,0),0)</f>
        <v>7.0000000000000007E-2</v>
      </c>
      <c r="AF7203" s="6">
        <f t="shared" si="1113"/>
        <v>2711.7089999999998</v>
      </c>
      <c r="AG7203" s="14">
        <v>0</v>
      </c>
      <c r="AH7203" s="64">
        <f t="shared" si="1121"/>
        <v>38738.699999999997</v>
      </c>
      <c r="AJ7203" s="126" t="e">
        <v>#N/A</v>
      </c>
      <c r="AK7203" s="80">
        <f t="shared" si="1118"/>
        <v>0</v>
      </c>
      <c r="AL7203" s="85"/>
      <c r="AM7203" s="85"/>
    </row>
    <row r="7204" spans="1:39" s="86" customFormat="1" ht="13.25" hidden="1" customHeight="1" x14ac:dyDescent="0.3">
      <c r="A7204" s="89" t="s">
        <v>3978</v>
      </c>
      <c r="B7204" s="86" t="s">
        <v>35</v>
      </c>
      <c r="C7204" s="86" t="s">
        <v>144</v>
      </c>
      <c r="D7204" s="86" t="s">
        <v>145</v>
      </c>
      <c r="E7204" s="86" t="s">
        <v>4043</v>
      </c>
      <c r="F7204" s="86" t="s">
        <v>4043</v>
      </c>
      <c r="G7204" s="86" t="s">
        <v>4043</v>
      </c>
      <c r="H7204" s="144">
        <v>360</v>
      </c>
      <c r="I7204" s="86" t="s">
        <v>1060</v>
      </c>
      <c r="J7204" s="47" t="s">
        <v>3325</v>
      </c>
      <c r="K7204" s="47" t="s">
        <v>3767</v>
      </c>
      <c r="L7204" s="47" t="s">
        <v>35</v>
      </c>
      <c r="M7204" s="86" t="s">
        <v>4044</v>
      </c>
      <c r="O7204" s="47" t="s">
        <v>410</v>
      </c>
      <c r="P7204" s="47" t="s">
        <v>41</v>
      </c>
      <c r="Q7204" s="14">
        <v>0</v>
      </c>
      <c r="R7204" s="143" t="s">
        <v>4045</v>
      </c>
      <c r="S7204" s="47"/>
      <c r="T7204" s="6">
        <v>0</v>
      </c>
      <c r="U7204" s="6">
        <v>47000</v>
      </c>
      <c r="V7204" s="6">
        <v>38083.4</v>
      </c>
      <c r="W7204" s="6">
        <f t="shared" si="1119"/>
        <v>8916.5999999999985</v>
      </c>
      <c r="X7204" s="6">
        <f t="shared" si="1114"/>
        <v>38083.4</v>
      </c>
      <c r="Y7204" s="13">
        <f t="shared" si="1116"/>
        <v>0</v>
      </c>
      <c r="Z7204" s="66">
        <v>0</v>
      </c>
      <c r="AA7204" s="6">
        <v>0</v>
      </c>
      <c r="AB7204" s="4">
        <f t="shared" si="1117"/>
        <v>38083.4</v>
      </c>
      <c r="AC7204" s="6">
        <f t="shared" si="1115"/>
        <v>0</v>
      </c>
      <c r="AD7204" s="6">
        <f t="shared" si="1120"/>
        <v>38083.4</v>
      </c>
      <c r="AE7204" s="14">
        <f>VLOOKUP(I7204,[2]媒体政策预估表!A:N,MATCH(O7204,[2]媒体政策预估表!$A$2:$M$2,0),0)</f>
        <v>7.0000000000000007E-2</v>
      </c>
      <c r="AF7204" s="6">
        <f t="shared" ref="AF7204:AF7267" si="1122">AD7204*AE7204</f>
        <v>2665.8380000000002</v>
      </c>
      <c r="AG7204" s="14">
        <v>0</v>
      </c>
      <c r="AH7204" s="64">
        <f t="shared" si="1121"/>
        <v>38083.4</v>
      </c>
      <c r="AJ7204" s="126" t="e">
        <v>#N/A</v>
      </c>
      <c r="AK7204" s="80">
        <f t="shared" si="1118"/>
        <v>0</v>
      </c>
      <c r="AL7204" s="85"/>
      <c r="AM7204" s="85"/>
    </row>
    <row r="7205" spans="1:39" s="86" customFormat="1" ht="13.25" hidden="1" customHeight="1" x14ac:dyDescent="0.3">
      <c r="A7205" s="89" t="s">
        <v>3978</v>
      </c>
      <c r="B7205" s="86" t="s">
        <v>35</v>
      </c>
      <c r="C7205" s="86" t="s">
        <v>144</v>
      </c>
      <c r="D7205" s="86" t="s">
        <v>145</v>
      </c>
      <c r="E7205" s="86" t="s">
        <v>1402</v>
      </c>
      <c r="F7205" s="86" t="s">
        <v>1403</v>
      </c>
      <c r="G7205" s="86" t="s">
        <v>1402</v>
      </c>
      <c r="H7205" s="144">
        <v>360</v>
      </c>
      <c r="I7205" s="86" t="s">
        <v>1060</v>
      </c>
      <c r="J7205" s="47" t="s">
        <v>3325</v>
      </c>
      <c r="K7205" s="47" t="s">
        <v>3767</v>
      </c>
      <c r="L7205" s="47" t="s">
        <v>35</v>
      </c>
      <c r="M7205" s="86" t="s">
        <v>1402</v>
      </c>
      <c r="O7205" s="47" t="s">
        <v>410</v>
      </c>
      <c r="P7205" s="47" t="s">
        <v>41</v>
      </c>
      <c r="Q7205" s="14">
        <v>0</v>
      </c>
      <c r="R7205" s="143" t="s">
        <v>1404</v>
      </c>
      <c r="S7205" s="47"/>
      <c r="T7205" s="6">
        <v>5476.3000000000029</v>
      </c>
      <c r="U7205" s="6">
        <v>140000</v>
      </c>
      <c r="V7205" s="6">
        <v>137700.5</v>
      </c>
      <c r="W7205" s="6">
        <f t="shared" si="1119"/>
        <v>7775.7999999999884</v>
      </c>
      <c r="X7205" s="6">
        <f t="shared" si="1114"/>
        <v>137700.5</v>
      </c>
      <c r="Y7205" s="13">
        <f t="shared" si="1116"/>
        <v>0</v>
      </c>
      <c r="Z7205" s="66">
        <v>0</v>
      </c>
      <c r="AA7205" s="6">
        <v>0</v>
      </c>
      <c r="AB7205" s="4">
        <f t="shared" si="1117"/>
        <v>137700.5</v>
      </c>
      <c r="AC7205" s="6">
        <f t="shared" si="1115"/>
        <v>0</v>
      </c>
      <c r="AD7205" s="6">
        <f t="shared" si="1120"/>
        <v>137700.5</v>
      </c>
      <c r="AE7205" s="14">
        <f>VLOOKUP(I7205,[2]媒体政策预估表!A:N,MATCH(O7205,[2]媒体政策预估表!$A$2:$M$2,0),0)</f>
        <v>7.0000000000000007E-2</v>
      </c>
      <c r="AF7205" s="6">
        <f t="shared" si="1122"/>
        <v>9639.0350000000017</v>
      </c>
      <c r="AG7205" s="14">
        <v>0</v>
      </c>
      <c r="AH7205" s="64">
        <f t="shared" si="1121"/>
        <v>137700.5</v>
      </c>
      <c r="AJ7205" s="126" t="e">
        <v>#N/A</v>
      </c>
      <c r="AK7205" s="80">
        <f t="shared" si="1118"/>
        <v>0</v>
      </c>
      <c r="AL7205" s="85"/>
      <c r="AM7205" s="85"/>
    </row>
    <row r="7206" spans="1:39" s="86" customFormat="1" ht="13.25" hidden="1" customHeight="1" x14ac:dyDescent="0.3">
      <c r="A7206" s="89" t="s">
        <v>3978</v>
      </c>
      <c r="B7206" s="86" t="s">
        <v>35</v>
      </c>
      <c r="C7206" s="86" t="s">
        <v>144</v>
      </c>
      <c r="D7206" s="86" t="s">
        <v>145</v>
      </c>
      <c r="E7206" s="86" t="s">
        <v>576</v>
      </c>
      <c r="F7206" s="86" t="s">
        <v>577</v>
      </c>
      <c r="G7206" s="86" t="s">
        <v>577</v>
      </c>
      <c r="H7206" s="144">
        <v>360</v>
      </c>
      <c r="I7206" s="86" t="s">
        <v>1060</v>
      </c>
      <c r="J7206" s="47" t="s">
        <v>3325</v>
      </c>
      <c r="K7206" s="47" t="s">
        <v>3767</v>
      </c>
      <c r="L7206" s="47" t="s">
        <v>35</v>
      </c>
      <c r="M7206" s="86" t="s">
        <v>576</v>
      </c>
      <c r="O7206" s="47" t="s">
        <v>410</v>
      </c>
      <c r="P7206" s="47" t="s">
        <v>41</v>
      </c>
      <c r="Q7206" s="14">
        <v>0</v>
      </c>
      <c r="R7206" s="143" t="s">
        <v>1405</v>
      </c>
      <c r="S7206" s="47"/>
      <c r="T7206" s="6">
        <v>4629.1000000000022</v>
      </c>
      <c r="U7206" s="6">
        <v>40000</v>
      </c>
      <c r="V7206" s="6">
        <v>37251.199999999997</v>
      </c>
      <c r="W7206" s="6">
        <f t="shared" si="1119"/>
        <v>7377.9000000000087</v>
      </c>
      <c r="X7206" s="6">
        <f t="shared" si="1114"/>
        <v>37251.199999999997</v>
      </c>
      <c r="Y7206" s="13">
        <f t="shared" si="1116"/>
        <v>0</v>
      </c>
      <c r="Z7206" s="66">
        <v>0</v>
      </c>
      <c r="AA7206" s="6">
        <v>0</v>
      </c>
      <c r="AB7206" s="4">
        <f t="shared" si="1117"/>
        <v>37251.199999999997</v>
      </c>
      <c r="AC7206" s="6">
        <f t="shared" si="1115"/>
        <v>0</v>
      </c>
      <c r="AD7206" s="6">
        <f t="shared" si="1120"/>
        <v>37251.199999999997</v>
      </c>
      <c r="AE7206" s="14">
        <f>VLOOKUP(I7206,[2]媒体政策预估表!A:N,MATCH(O7206,[2]媒体政策预估表!$A$2:$M$2,0),0)</f>
        <v>7.0000000000000007E-2</v>
      </c>
      <c r="AF7206" s="6">
        <f t="shared" si="1122"/>
        <v>2607.5839999999998</v>
      </c>
      <c r="AG7206" s="14">
        <v>0</v>
      </c>
      <c r="AH7206" s="64">
        <f t="shared" si="1121"/>
        <v>37251.199999999997</v>
      </c>
      <c r="AJ7206" s="126" t="e">
        <v>#N/A</v>
      </c>
      <c r="AK7206" s="80">
        <f t="shared" si="1118"/>
        <v>0</v>
      </c>
      <c r="AL7206" s="85"/>
      <c r="AM7206" s="85"/>
    </row>
    <row r="7207" spans="1:39" s="86" customFormat="1" ht="13.25" hidden="1" customHeight="1" x14ac:dyDescent="0.3">
      <c r="A7207" s="89" t="s">
        <v>3978</v>
      </c>
      <c r="B7207" s="86" t="s">
        <v>35</v>
      </c>
      <c r="C7207" s="86" t="s">
        <v>144</v>
      </c>
      <c r="D7207" s="86" t="s">
        <v>145</v>
      </c>
      <c r="E7207" s="86" t="s">
        <v>1409</v>
      </c>
      <c r="F7207" s="86" t="s">
        <v>1409</v>
      </c>
      <c r="G7207" s="86" t="s">
        <v>1409</v>
      </c>
      <c r="H7207" s="144">
        <v>360</v>
      </c>
      <c r="I7207" s="86" t="s">
        <v>1060</v>
      </c>
      <c r="J7207" s="47" t="s">
        <v>3325</v>
      </c>
      <c r="K7207" s="47" t="s">
        <v>3767</v>
      </c>
      <c r="L7207" s="47" t="s">
        <v>35</v>
      </c>
      <c r="M7207" s="86" t="s">
        <v>1410</v>
      </c>
      <c r="O7207" s="47" t="s">
        <v>410</v>
      </c>
      <c r="P7207" s="47" t="s">
        <v>41</v>
      </c>
      <c r="Q7207" s="14">
        <v>0</v>
      </c>
      <c r="R7207" s="143" t="s">
        <v>1411</v>
      </c>
      <c r="S7207" s="47"/>
      <c r="T7207" s="6">
        <v>5720.5299999999988</v>
      </c>
      <c r="U7207" s="6">
        <v>10000</v>
      </c>
      <c r="V7207" s="6">
        <v>9270.9</v>
      </c>
      <c r="W7207" s="6">
        <f t="shared" si="1119"/>
        <v>6449.6299999999992</v>
      </c>
      <c r="X7207" s="6">
        <f t="shared" si="1114"/>
        <v>9270.9</v>
      </c>
      <c r="Y7207" s="13">
        <f t="shared" si="1116"/>
        <v>0</v>
      </c>
      <c r="Z7207" s="66">
        <v>0</v>
      </c>
      <c r="AA7207" s="6">
        <v>0</v>
      </c>
      <c r="AB7207" s="4">
        <f t="shared" si="1117"/>
        <v>9270.9</v>
      </c>
      <c r="AC7207" s="6">
        <f t="shared" si="1115"/>
        <v>0</v>
      </c>
      <c r="AD7207" s="6">
        <f t="shared" si="1120"/>
        <v>9270.9</v>
      </c>
      <c r="AE7207" s="14">
        <f>VLOOKUP(I7207,[2]媒体政策预估表!A:N,MATCH(O7207,[2]媒体政策预估表!$A$2:$M$2,0),0)</f>
        <v>7.0000000000000007E-2</v>
      </c>
      <c r="AF7207" s="6">
        <f t="shared" si="1122"/>
        <v>648.96300000000008</v>
      </c>
      <c r="AG7207" s="14">
        <v>0</v>
      </c>
      <c r="AH7207" s="64">
        <f t="shared" si="1121"/>
        <v>9270.9</v>
      </c>
      <c r="AJ7207" s="126" t="e">
        <v>#N/A</v>
      </c>
      <c r="AK7207" s="80">
        <f t="shared" si="1118"/>
        <v>0</v>
      </c>
      <c r="AL7207" s="85"/>
      <c r="AM7207" s="85"/>
    </row>
    <row r="7208" spans="1:39" s="86" customFormat="1" ht="13.25" hidden="1" customHeight="1" x14ac:dyDescent="0.3">
      <c r="A7208" s="89" t="s">
        <v>3978</v>
      </c>
      <c r="B7208" s="86" t="s">
        <v>35</v>
      </c>
      <c r="C7208" s="86" t="s">
        <v>144</v>
      </c>
      <c r="D7208" s="86" t="s">
        <v>145</v>
      </c>
      <c r="E7208" s="86" t="s">
        <v>1406</v>
      </c>
      <c r="F7208" s="86" t="s">
        <v>1406</v>
      </c>
      <c r="G7208" s="86" t="s">
        <v>1406</v>
      </c>
      <c r="H7208" s="144">
        <v>360</v>
      </c>
      <c r="I7208" s="86" t="s">
        <v>1060</v>
      </c>
      <c r="J7208" s="47" t="s">
        <v>3325</v>
      </c>
      <c r="K7208" s="47" t="s">
        <v>3767</v>
      </c>
      <c r="L7208" s="47" t="s">
        <v>35</v>
      </c>
      <c r="M7208" s="86" t="s">
        <v>1406</v>
      </c>
      <c r="O7208" s="47" t="s">
        <v>410</v>
      </c>
      <c r="P7208" s="47" t="s">
        <v>41</v>
      </c>
      <c r="Q7208" s="14">
        <v>0</v>
      </c>
      <c r="R7208" s="143" t="s">
        <v>4046</v>
      </c>
      <c r="S7208" s="47"/>
      <c r="T7208" s="6">
        <v>0</v>
      </c>
      <c r="U7208" s="6">
        <v>163786.29999999999</v>
      </c>
      <c r="V7208" s="6">
        <v>102650.1</v>
      </c>
      <c r="W7208" s="6">
        <f t="shared" si="1119"/>
        <v>61136.199999999983</v>
      </c>
      <c r="X7208" s="6">
        <f t="shared" si="1114"/>
        <v>102650.1</v>
      </c>
      <c r="Y7208" s="13">
        <f t="shared" si="1116"/>
        <v>0</v>
      </c>
      <c r="Z7208" s="66">
        <v>0</v>
      </c>
      <c r="AA7208" s="6">
        <v>0</v>
      </c>
      <c r="AB7208" s="4">
        <f t="shared" si="1117"/>
        <v>102650.1</v>
      </c>
      <c r="AC7208" s="6">
        <f t="shared" si="1115"/>
        <v>0</v>
      </c>
      <c r="AD7208" s="6">
        <f t="shared" si="1120"/>
        <v>102650.1</v>
      </c>
      <c r="AE7208" s="14">
        <f>VLOOKUP(I7208,[2]媒体政策预估表!A:N,MATCH(O7208,[2]媒体政策预估表!$A$2:$M$2,0),0)</f>
        <v>7.0000000000000007E-2</v>
      </c>
      <c r="AF7208" s="6">
        <f t="shared" si="1122"/>
        <v>7185.5070000000014</v>
      </c>
      <c r="AG7208" s="14">
        <v>0</v>
      </c>
      <c r="AH7208" s="64">
        <f t="shared" si="1121"/>
        <v>102650.1</v>
      </c>
      <c r="AJ7208" s="126" t="e">
        <v>#N/A</v>
      </c>
      <c r="AK7208" s="80">
        <f t="shared" si="1118"/>
        <v>0</v>
      </c>
      <c r="AL7208" s="85"/>
      <c r="AM7208" s="85"/>
    </row>
    <row r="7209" spans="1:39" s="86" customFormat="1" ht="13.25" hidden="1" customHeight="1" x14ac:dyDescent="0.3">
      <c r="A7209" s="89" t="s">
        <v>3978</v>
      </c>
      <c r="B7209" s="86" t="s">
        <v>35</v>
      </c>
      <c r="C7209" s="86" t="s">
        <v>144</v>
      </c>
      <c r="D7209" s="86" t="s">
        <v>145</v>
      </c>
      <c r="E7209" s="86" t="s">
        <v>1406</v>
      </c>
      <c r="F7209" s="86" t="s">
        <v>1406</v>
      </c>
      <c r="G7209" s="86" t="s">
        <v>1406</v>
      </c>
      <c r="H7209" s="144">
        <v>360</v>
      </c>
      <c r="I7209" s="86" t="s">
        <v>1060</v>
      </c>
      <c r="J7209" s="47" t="s">
        <v>3325</v>
      </c>
      <c r="K7209" s="47" t="s">
        <v>3767</v>
      </c>
      <c r="L7209" s="47" t="s">
        <v>35</v>
      </c>
      <c r="M7209" s="86" t="s">
        <v>1407</v>
      </c>
      <c r="O7209" s="47" t="s">
        <v>410</v>
      </c>
      <c r="P7209" s="47" t="s">
        <v>41</v>
      </c>
      <c r="Q7209" s="14">
        <v>0</v>
      </c>
      <c r="R7209" s="143" t="s">
        <v>1408</v>
      </c>
      <c r="S7209" s="47"/>
      <c r="T7209" s="6">
        <v>25446.700000000041</v>
      </c>
      <c r="U7209" s="6">
        <v>136213.70000000001</v>
      </c>
      <c r="V7209" s="6">
        <v>161660.4</v>
      </c>
      <c r="W7209" s="6">
        <f t="shared" si="1119"/>
        <v>0</v>
      </c>
      <c r="X7209" s="6">
        <f t="shared" si="1114"/>
        <v>161660.4</v>
      </c>
      <c r="Y7209" s="13">
        <f t="shared" si="1116"/>
        <v>0</v>
      </c>
      <c r="Z7209" s="66">
        <v>0</v>
      </c>
      <c r="AA7209" s="6">
        <v>0</v>
      </c>
      <c r="AB7209" s="4">
        <f t="shared" si="1117"/>
        <v>161660.4</v>
      </c>
      <c r="AC7209" s="6">
        <f t="shared" si="1115"/>
        <v>0</v>
      </c>
      <c r="AD7209" s="6">
        <f t="shared" si="1120"/>
        <v>161660.4</v>
      </c>
      <c r="AE7209" s="14">
        <f>VLOOKUP(I7209,[2]媒体政策预估表!A:N,MATCH(O7209,[2]媒体政策预估表!$A$2:$M$2,0),0)</f>
        <v>7.0000000000000007E-2</v>
      </c>
      <c r="AF7209" s="6">
        <f t="shared" si="1122"/>
        <v>11316.228000000001</v>
      </c>
      <c r="AG7209" s="14">
        <v>0</v>
      </c>
      <c r="AH7209" s="64">
        <f t="shared" si="1121"/>
        <v>161660.4</v>
      </c>
      <c r="AJ7209" s="126" t="e">
        <v>#N/A</v>
      </c>
      <c r="AK7209" s="80">
        <f t="shared" si="1118"/>
        <v>0</v>
      </c>
      <c r="AL7209" s="85"/>
      <c r="AM7209" s="85"/>
    </row>
    <row r="7210" spans="1:39" s="86" customFormat="1" ht="13.25" hidden="1" customHeight="1" x14ac:dyDescent="0.3">
      <c r="A7210" s="89" t="s">
        <v>3978</v>
      </c>
      <c r="B7210" s="86" t="s">
        <v>35</v>
      </c>
      <c r="C7210" s="86" t="s">
        <v>144</v>
      </c>
      <c r="D7210" s="86" t="s">
        <v>145</v>
      </c>
      <c r="E7210" s="86" t="s">
        <v>1412</v>
      </c>
      <c r="F7210" s="86" t="s">
        <v>1412</v>
      </c>
      <c r="G7210" s="86" t="s">
        <v>1412</v>
      </c>
      <c r="H7210" s="144">
        <v>360</v>
      </c>
      <c r="I7210" s="86" t="s">
        <v>1060</v>
      </c>
      <c r="J7210" s="47" t="s">
        <v>3325</v>
      </c>
      <c r="K7210" s="47" t="s">
        <v>3767</v>
      </c>
      <c r="L7210" s="47" t="s">
        <v>35</v>
      </c>
      <c r="M7210" s="86" t="s">
        <v>1413</v>
      </c>
      <c r="O7210" s="47" t="s">
        <v>410</v>
      </c>
      <c r="P7210" s="47" t="s">
        <v>46</v>
      </c>
      <c r="Q7210" s="14">
        <v>0.02</v>
      </c>
      <c r="R7210" s="143" t="s">
        <v>1414</v>
      </c>
      <c r="S7210" s="47"/>
      <c r="T7210" s="6">
        <v>36608.300000000003</v>
      </c>
      <c r="U7210" s="6">
        <v>180000</v>
      </c>
      <c r="V7210" s="6">
        <v>207332.7</v>
      </c>
      <c r="W7210" s="6">
        <f t="shared" si="1119"/>
        <v>9275.5999999999767</v>
      </c>
      <c r="X7210" s="6">
        <f t="shared" si="1114"/>
        <v>203267.35294117648</v>
      </c>
      <c r="Y7210" s="13">
        <f t="shared" si="1116"/>
        <v>0</v>
      </c>
      <c r="Z7210" s="66">
        <v>0</v>
      </c>
      <c r="AA7210" s="6">
        <v>0</v>
      </c>
      <c r="AB7210" s="4">
        <f t="shared" si="1117"/>
        <v>203267.35294117648</v>
      </c>
      <c r="AC7210" s="6">
        <f t="shared" si="1115"/>
        <v>4065.3470588235359</v>
      </c>
      <c r="AD7210" s="6">
        <f t="shared" si="1120"/>
        <v>207332.7</v>
      </c>
      <c r="AE7210" s="14">
        <f>VLOOKUP(I7210,[2]媒体政策预估表!A:N,MATCH(O7210,[2]媒体政策预估表!$A$2:$M$2,0),0)</f>
        <v>7.0000000000000007E-2</v>
      </c>
      <c r="AF7210" s="6">
        <f t="shared" si="1122"/>
        <v>14513.289000000002</v>
      </c>
      <c r="AG7210" s="14">
        <v>0</v>
      </c>
      <c r="AH7210" s="64">
        <f t="shared" si="1121"/>
        <v>207332.7</v>
      </c>
      <c r="AJ7210" s="126" t="e">
        <v>#N/A</v>
      </c>
      <c r="AK7210" s="80">
        <f t="shared" si="1118"/>
        <v>0</v>
      </c>
      <c r="AL7210" s="85"/>
      <c r="AM7210" s="85"/>
    </row>
    <row r="7211" spans="1:39" s="86" customFormat="1" ht="13.25" hidden="1" customHeight="1" x14ac:dyDescent="0.3">
      <c r="A7211" s="89" t="s">
        <v>3978</v>
      </c>
      <c r="B7211" s="86" t="s">
        <v>35</v>
      </c>
      <c r="C7211" s="86" t="s">
        <v>144</v>
      </c>
      <c r="D7211" s="86" t="s">
        <v>145</v>
      </c>
      <c r="E7211" s="86" t="s">
        <v>581</v>
      </c>
      <c r="F7211" s="86" t="s">
        <v>581</v>
      </c>
      <c r="G7211" s="86" t="s">
        <v>581</v>
      </c>
      <c r="H7211" s="143">
        <v>360</v>
      </c>
      <c r="I7211" s="86" t="s">
        <v>1060</v>
      </c>
      <c r="J7211" s="47" t="s">
        <v>3325</v>
      </c>
      <c r="K7211" s="47" t="s">
        <v>3767</v>
      </c>
      <c r="L7211" s="47" t="s">
        <v>35</v>
      </c>
      <c r="M7211" s="86" t="s">
        <v>4047</v>
      </c>
      <c r="O7211" s="47" t="s">
        <v>410</v>
      </c>
      <c r="P7211" s="47" t="s">
        <v>41</v>
      </c>
      <c r="Q7211" s="14">
        <v>0</v>
      </c>
      <c r="R7211" s="143" t="s">
        <v>4048</v>
      </c>
      <c r="S7211" s="47"/>
      <c r="T7211" s="6">
        <v>0</v>
      </c>
      <c r="U7211" s="6">
        <v>2000</v>
      </c>
      <c r="V7211" s="6">
        <v>0</v>
      </c>
      <c r="W7211" s="6">
        <f t="shared" si="1119"/>
        <v>2000</v>
      </c>
      <c r="X7211" s="6">
        <f t="shared" si="1114"/>
        <v>0</v>
      </c>
      <c r="Y7211" s="13">
        <f t="shared" si="1116"/>
        <v>0</v>
      </c>
      <c r="Z7211" s="66">
        <v>0</v>
      </c>
      <c r="AA7211" s="6">
        <v>0</v>
      </c>
      <c r="AB7211" s="4">
        <f t="shared" si="1117"/>
        <v>0</v>
      </c>
      <c r="AC7211" s="6">
        <f t="shared" si="1115"/>
        <v>0</v>
      </c>
      <c r="AD7211" s="6">
        <f t="shared" si="1120"/>
        <v>0</v>
      </c>
      <c r="AE7211" s="14">
        <f>VLOOKUP(I7211,[2]媒体政策预估表!A:N,MATCH(O7211,[2]媒体政策预估表!$A$2:$M$2,0),0)</f>
        <v>7.0000000000000007E-2</v>
      </c>
      <c r="AF7211" s="6">
        <f t="shared" si="1122"/>
        <v>0</v>
      </c>
      <c r="AG7211" s="14">
        <v>0</v>
      </c>
      <c r="AH7211" s="64">
        <f t="shared" si="1121"/>
        <v>0</v>
      </c>
      <c r="AJ7211" s="126" t="e">
        <v>#N/A</v>
      </c>
      <c r="AK7211" s="80">
        <f t="shared" si="1118"/>
        <v>0</v>
      </c>
      <c r="AL7211" s="85"/>
      <c r="AM7211" s="85"/>
    </row>
    <row r="7212" spans="1:39" s="86" customFormat="1" ht="13.25" hidden="1" customHeight="1" x14ac:dyDescent="0.3">
      <c r="A7212" s="89" t="s">
        <v>3978</v>
      </c>
      <c r="B7212" s="86" t="s">
        <v>35</v>
      </c>
      <c r="C7212" s="86" t="s">
        <v>144</v>
      </c>
      <c r="D7212" s="86" t="s">
        <v>145</v>
      </c>
      <c r="E7212" s="86" t="s">
        <v>581</v>
      </c>
      <c r="F7212" s="86" t="s">
        <v>581</v>
      </c>
      <c r="G7212" s="86" t="s">
        <v>581</v>
      </c>
      <c r="H7212" s="144">
        <v>360</v>
      </c>
      <c r="I7212" s="86" t="s">
        <v>1060</v>
      </c>
      <c r="J7212" s="47" t="s">
        <v>3325</v>
      </c>
      <c r="K7212" s="47" t="s">
        <v>3767</v>
      </c>
      <c r="L7212" s="47" t="s">
        <v>35</v>
      </c>
      <c r="M7212" s="86" t="s">
        <v>581</v>
      </c>
      <c r="O7212" s="47" t="s">
        <v>410</v>
      </c>
      <c r="P7212" s="47" t="s">
        <v>41</v>
      </c>
      <c r="Q7212" s="14">
        <v>0</v>
      </c>
      <c r="R7212" s="143" t="s">
        <v>1415</v>
      </c>
      <c r="S7212" s="47"/>
      <c r="T7212" s="6">
        <v>9355</v>
      </c>
      <c r="U7212" s="6">
        <v>20000</v>
      </c>
      <c r="V7212" s="6">
        <v>14527.5</v>
      </c>
      <c r="W7212" s="6">
        <f t="shared" si="1119"/>
        <v>14827.5</v>
      </c>
      <c r="X7212" s="6">
        <f t="shared" si="1114"/>
        <v>14527.5</v>
      </c>
      <c r="Y7212" s="13">
        <f t="shared" si="1116"/>
        <v>0</v>
      </c>
      <c r="Z7212" s="66">
        <v>0</v>
      </c>
      <c r="AA7212" s="6">
        <v>0</v>
      </c>
      <c r="AB7212" s="4">
        <f t="shared" si="1117"/>
        <v>14527.5</v>
      </c>
      <c r="AC7212" s="6">
        <f t="shared" si="1115"/>
        <v>0</v>
      </c>
      <c r="AD7212" s="6">
        <f t="shared" si="1120"/>
        <v>14527.5</v>
      </c>
      <c r="AE7212" s="14">
        <f>VLOOKUP(I7212,[2]媒体政策预估表!A:N,MATCH(O7212,[2]媒体政策预估表!$A$2:$M$2,0),0)</f>
        <v>7.0000000000000007E-2</v>
      </c>
      <c r="AF7212" s="6">
        <f t="shared" si="1122"/>
        <v>1016.9250000000001</v>
      </c>
      <c r="AG7212" s="14">
        <v>0</v>
      </c>
      <c r="AH7212" s="64">
        <f t="shared" si="1121"/>
        <v>14527.5</v>
      </c>
      <c r="AJ7212" s="126" t="e">
        <v>#N/A</v>
      </c>
      <c r="AK7212" s="80">
        <f t="shared" si="1118"/>
        <v>0</v>
      </c>
      <c r="AL7212" s="85"/>
      <c r="AM7212" s="85"/>
    </row>
    <row r="7213" spans="1:39" s="86" customFormat="1" ht="13.25" hidden="1" customHeight="1" x14ac:dyDescent="0.3">
      <c r="A7213" s="89" t="s">
        <v>3978</v>
      </c>
      <c r="B7213" s="86" t="s">
        <v>35</v>
      </c>
      <c r="C7213" s="86" t="s">
        <v>144</v>
      </c>
      <c r="D7213" s="86" t="s">
        <v>145</v>
      </c>
      <c r="E7213" s="86" t="s">
        <v>1416</v>
      </c>
      <c r="F7213" s="86" t="s">
        <v>1416</v>
      </c>
      <c r="G7213" s="86" t="s">
        <v>1416</v>
      </c>
      <c r="H7213" s="144">
        <v>360</v>
      </c>
      <c r="I7213" s="86" t="s">
        <v>1060</v>
      </c>
      <c r="J7213" s="47" t="s">
        <v>3325</v>
      </c>
      <c r="K7213" s="47" t="s">
        <v>3767</v>
      </c>
      <c r="L7213" s="47" t="s">
        <v>35</v>
      </c>
      <c r="M7213" s="86" t="s">
        <v>1416</v>
      </c>
      <c r="O7213" s="47" t="s">
        <v>45</v>
      </c>
      <c r="P7213" s="47" t="s">
        <v>46</v>
      </c>
      <c r="Q7213" s="14">
        <v>0.02</v>
      </c>
      <c r="R7213" s="143" t="s">
        <v>3517</v>
      </c>
      <c r="S7213" s="47"/>
      <c r="T7213" s="6">
        <v>17816.130799999999</v>
      </c>
      <c r="U7213" s="6">
        <v>100000</v>
      </c>
      <c r="V7213" s="6">
        <v>105154.56746999999</v>
      </c>
      <c r="W7213" s="6">
        <f t="shared" si="1119"/>
        <v>12661.563330000004</v>
      </c>
      <c r="X7213" s="6">
        <f t="shared" si="1114"/>
        <v>103092.71320588235</v>
      </c>
      <c r="Y7213" s="13">
        <f t="shared" si="1116"/>
        <v>0</v>
      </c>
      <c r="Z7213" s="66">
        <v>0</v>
      </c>
      <c r="AA7213" s="6">
        <v>0</v>
      </c>
      <c r="AB7213" s="4">
        <f t="shared" si="1117"/>
        <v>103092.71320588235</v>
      </c>
      <c r="AC7213" s="6">
        <f t="shared" si="1115"/>
        <v>2061.8542641176464</v>
      </c>
      <c r="AD7213" s="6">
        <f t="shared" si="1120"/>
        <v>105154.56746999999</v>
      </c>
      <c r="AE7213" s="14">
        <f>VLOOKUP(I7213,[2]媒体政策预估表!A:N,MATCH(O7213,[2]媒体政策预估表!$A$2:$M$2,0),0)</f>
        <v>0.1</v>
      </c>
      <c r="AF7213" s="6">
        <f t="shared" si="1122"/>
        <v>10515.456747</v>
      </c>
      <c r="AG7213" s="14">
        <v>0</v>
      </c>
      <c r="AH7213" s="64">
        <f t="shared" si="1121"/>
        <v>105154.56746999999</v>
      </c>
      <c r="AJ7213" s="126" t="e">
        <v>#N/A</v>
      </c>
      <c r="AK7213" s="80">
        <f t="shared" si="1118"/>
        <v>0</v>
      </c>
      <c r="AL7213" s="85"/>
      <c r="AM7213" s="85"/>
    </row>
    <row r="7214" spans="1:39" s="86" customFormat="1" ht="13.25" hidden="1" customHeight="1" x14ac:dyDescent="0.3">
      <c r="A7214" s="89" t="s">
        <v>3978</v>
      </c>
      <c r="B7214" s="86" t="s">
        <v>35</v>
      </c>
      <c r="C7214" s="86" t="s">
        <v>144</v>
      </c>
      <c r="D7214" s="86" t="s">
        <v>145</v>
      </c>
      <c r="E7214" s="86" t="s">
        <v>1416</v>
      </c>
      <c r="F7214" s="86" t="s">
        <v>1416</v>
      </c>
      <c r="G7214" s="86" t="s">
        <v>1416</v>
      </c>
      <c r="H7214" s="144">
        <v>360</v>
      </c>
      <c r="I7214" s="86" t="s">
        <v>1060</v>
      </c>
      <c r="J7214" s="47" t="s">
        <v>3325</v>
      </c>
      <c r="K7214" s="47" t="s">
        <v>3767</v>
      </c>
      <c r="L7214" s="47" t="s">
        <v>35</v>
      </c>
      <c r="M7214" s="86" t="s">
        <v>1416</v>
      </c>
      <c r="O7214" s="47" t="s">
        <v>410</v>
      </c>
      <c r="P7214" s="47" t="s">
        <v>41</v>
      </c>
      <c r="Q7214" s="14">
        <v>0</v>
      </c>
      <c r="R7214" s="143" t="s">
        <v>3518</v>
      </c>
      <c r="S7214" s="47"/>
      <c r="T7214" s="6">
        <v>50000</v>
      </c>
      <c r="U7214" s="6">
        <v>595438.61</v>
      </c>
      <c r="V7214" s="6">
        <v>494535.6</v>
      </c>
      <c r="W7214" s="6">
        <f t="shared" si="1119"/>
        <v>150903.01</v>
      </c>
      <c r="X7214" s="6">
        <f t="shared" si="1114"/>
        <v>494535.6</v>
      </c>
      <c r="Y7214" s="13">
        <f t="shared" si="1116"/>
        <v>0</v>
      </c>
      <c r="Z7214" s="66">
        <v>0</v>
      </c>
      <c r="AA7214" s="6">
        <v>0</v>
      </c>
      <c r="AB7214" s="4">
        <f t="shared" si="1117"/>
        <v>494535.6</v>
      </c>
      <c r="AC7214" s="6">
        <f t="shared" si="1115"/>
        <v>0</v>
      </c>
      <c r="AD7214" s="6">
        <f t="shared" si="1120"/>
        <v>494535.6</v>
      </c>
      <c r="AE7214" s="14">
        <f>VLOOKUP(I7214,[2]媒体政策预估表!A:N,MATCH(O7214,[2]媒体政策预估表!$A$2:$M$2,0),0)</f>
        <v>7.0000000000000007E-2</v>
      </c>
      <c r="AF7214" s="6">
        <f t="shared" si="1122"/>
        <v>34617.491999999998</v>
      </c>
      <c r="AG7214" s="14">
        <v>0</v>
      </c>
      <c r="AH7214" s="64">
        <f t="shared" si="1121"/>
        <v>494535.6</v>
      </c>
      <c r="AJ7214" s="126" t="e">
        <v>#N/A</v>
      </c>
      <c r="AK7214" s="80">
        <f t="shared" si="1118"/>
        <v>0</v>
      </c>
      <c r="AL7214" s="85"/>
      <c r="AM7214" s="85"/>
    </row>
    <row r="7215" spans="1:39" s="86" customFormat="1" ht="13.25" hidden="1" customHeight="1" x14ac:dyDescent="0.3">
      <c r="A7215" s="89" t="s">
        <v>3978</v>
      </c>
      <c r="B7215" s="86" t="s">
        <v>35</v>
      </c>
      <c r="C7215" s="86" t="s">
        <v>144</v>
      </c>
      <c r="D7215" s="86" t="s">
        <v>145</v>
      </c>
      <c r="E7215" s="86" t="s">
        <v>1416</v>
      </c>
      <c r="F7215" s="86" t="s">
        <v>1416</v>
      </c>
      <c r="G7215" s="86" t="s">
        <v>1416</v>
      </c>
      <c r="H7215" s="144">
        <v>360</v>
      </c>
      <c r="I7215" s="86" t="s">
        <v>1060</v>
      </c>
      <c r="J7215" s="47" t="s">
        <v>3325</v>
      </c>
      <c r="K7215" s="47" t="s">
        <v>3767</v>
      </c>
      <c r="L7215" s="47" t="s">
        <v>35</v>
      </c>
      <c r="M7215" s="86" t="s">
        <v>1417</v>
      </c>
      <c r="O7215" s="47" t="s">
        <v>410</v>
      </c>
      <c r="P7215" s="47" t="s">
        <v>41</v>
      </c>
      <c r="Q7215" s="14">
        <v>0</v>
      </c>
      <c r="R7215" s="143" t="s">
        <v>1418</v>
      </c>
      <c r="S7215" s="47"/>
      <c r="T7215" s="6">
        <v>137786.39000000001</v>
      </c>
      <c r="U7215" s="6">
        <v>100000</v>
      </c>
      <c r="V7215" s="6">
        <v>143906</v>
      </c>
      <c r="W7215" s="6">
        <f t="shared" si="1119"/>
        <v>93880.390000000014</v>
      </c>
      <c r="X7215" s="6">
        <f t="shared" si="1114"/>
        <v>143906</v>
      </c>
      <c r="Y7215" s="13">
        <f t="shared" si="1116"/>
        <v>0</v>
      </c>
      <c r="Z7215" s="66">
        <v>0</v>
      </c>
      <c r="AA7215" s="6">
        <v>0</v>
      </c>
      <c r="AB7215" s="4">
        <f t="shared" si="1117"/>
        <v>143906</v>
      </c>
      <c r="AC7215" s="6">
        <f t="shared" si="1115"/>
        <v>0</v>
      </c>
      <c r="AD7215" s="6">
        <f t="shared" si="1120"/>
        <v>143906</v>
      </c>
      <c r="AE7215" s="14">
        <f>VLOOKUP(I7215,[2]媒体政策预估表!A:N,MATCH(O7215,[2]媒体政策预估表!$A$2:$M$2,0),0)</f>
        <v>7.0000000000000007E-2</v>
      </c>
      <c r="AF7215" s="6">
        <f t="shared" si="1122"/>
        <v>10073.42</v>
      </c>
      <c r="AG7215" s="14">
        <v>0</v>
      </c>
      <c r="AH7215" s="64">
        <f t="shared" si="1121"/>
        <v>143906</v>
      </c>
      <c r="AJ7215" s="126" t="e">
        <v>#N/A</v>
      </c>
      <c r="AK7215" s="80">
        <f t="shared" si="1118"/>
        <v>0</v>
      </c>
      <c r="AL7215" s="85"/>
      <c r="AM7215" s="85"/>
    </row>
    <row r="7216" spans="1:39" s="86" customFormat="1" ht="13.25" hidden="1" customHeight="1" x14ac:dyDescent="0.3">
      <c r="A7216" s="89" t="s">
        <v>3978</v>
      </c>
      <c r="B7216" s="86" t="s">
        <v>35</v>
      </c>
      <c r="C7216" s="86" t="s">
        <v>144</v>
      </c>
      <c r="D7216" s="86" t="s">
        <v>145</v>
      </c>
      <c r="E7216" s="86" t="s">
        <v>1421</v>
      </c>
      <c r="F7216" s="86" t="s">
        <v>1421</v>
      </c>
      <c r="G7216" s="86" t="s">
        <v>1421</v>
      </c>
      <c r="H7216" s="144">
        <v>360</v>
      </c>
      <c r="I7216" s="86" t="s">
        <v>1060</v>
      </c>
      <c r="J7216" s="47" t="s">
        <v>3325</v>
      </c>
      <c r="K7216" s="47" t="s">
        <v>3767</v>
      </c>
      <c r="L7216" s="47" t="s">
        <v>35</v>
      </c>
      <c r="M7216" s="86" t="s">
        <v>1422</v>
      </c>
      <c r="O7216" s="47" t="s">
        <v>410</v>
      </c>
      <c r="P7216" s="47" t="s">
        <v>41</v>
      </c>
      <c r="Q7216" s="14">
        <v>0</v>
      </c>
      <c r="R7216" s="143" t="s">
        <v>1423</v>
      </c>
      <c r="S7216" s="47"/>
      <c r="T7216" s="6">
        <v>4056.239999999998</v>
      </c>
      <c r="U7216" s="6">
        <v>5000</v>
      </c>
      <c r="V7216" s="6">
        <v>3545</v>
      </c>
      <c r="W7216" s="6">
        <f t="shared" si="1119"/>
        <v>5511.239999999998</v>
      </c>
      <c r="X7216" s="6">
        <f t="shared" ref="X7216:X7279" si="1123">IF(P7216="折扣",V7216*Q7216,IF(P7216="返现",V7216,V7216/(1+Q7216)))</f>
        <v>3545</v>
      </c>
      <c r="Y7216" s="13">
        <f t="shared" si="1116"/>
        <v>0</v>
      </c>
      <c r="Z7216" s="66">
        <v>0</v>
      </c>
      <c r="AA7216" s="6">
        <v>0</v>
      </c>
      <c r="AB7216" s="4">
        <f t="shared" si="1117"/>
        <v>3545</v>
      </c>
      <c r="AC7216" s="6">
        <f t="shared" si="1115"/>
        <v>0</v>
      </c>
      <c r="AD7216" s="6">
        <f t="shared" si="1120"/>
        <v>3545</v>
      </c>
      <c r="AE7216" s="14">
        <f>VLOOKUP(I7216,[2]媒体政策预估表!A:N,MATCH(O7216,[2]媒体政策预估表!$A$2:$M$2,0),0)</f>
        <v>7.0000000000000007E-2</v>
      </c>
      <c r="AF7216" s="6">
        <f t="shared" si="1122"/>
        <v>248.15000000000003</v>
      </c>
      <c r="AG7216" s="14">
        <v>0</v>
      </c>
      <c r="AH7216" s="64">
        <f t="shared" si="1121"/>
        <v>3545</v>
      </c>
      <c r="AJ7216" s="126" t="e">
        <v>#N/A</v>
      </c>
      <c r="AK7216" s="80">
        <f t="shared" si="1118"/>
        <v>0</v>
      </c>
      <c r="AL7216" s="85"/>
      <c r="AM7216" s="85"/>
    </row>
    <row r="7217" spans="1:39" s="86" customFormat="1" ht="13.25" hidden="1" customHeight="1" x14ac:dyDescent="0.3">
      <c r="A7217" s="89" t="s">
        <v>3978</v>
      </c>
      <c r="B7217" s="86" t="s">
        <v>35</v>
      </c>
      <c r="C7217" s="86" t="s">
        <v>144</v>
      </c>
      <c r="D7217" s="86" t="s">
        <v>145</v>
      </c>
      <c r="E7217" s="86" t="s">
        <v>1421</v>
      </c>
      <c r="F7217" s="86" t="s">
        <v>1421</v>
      </c>
      <c r="G7217" s="86" t="s">
        <v>1421</v>
      </c>
      <c r="H7217" s="144">
        <v>360</v>
      </c>
      <c r="I7217" s="86" t="s">
        <v>1060</v>
      </c>
      <c r="J7217" s="47" t="s">
        <v>3325</v>
      </c>
      <c r="K7217" s="47" t="s">
        <v>3767</v>
      </c>
      <c r="L7217" s="47" t="s">
        <v>35</v>
      </c>
      <c r="M7217" s="86" t="s">
        <v>1424</v>
      </c>
      <c r="O7217" s="47" t="s">
        <v>410</v>
      </c>
      <c r="P7217" s="47" t="s">
        <v>41</v>
      </c>
      <c r="Q7217" s="14">
        <v>0</v>
      </c>
      <c r="R7217" s="143" t="s">
        <v>1425</v>
      </c>
      <c r="S7217" s="47"/>
      <c r="T7217" s="6">
        <v>19727.350000000035</v>
      </c>
      <c r="U7217" s="6">
        <v>200000</v>
      </c>
      <c r="V7217" s="6">
        <v>164677</v>
      </c>
      <c r="W7217" s="6">
        <f t="shared" si="1119"/>
        <v>55050.350000000035</v>
      </c>
      <c r="X7217" s="6">
        <f t="shared" si="1123"/>
        <v>164677</v>
      </c>
      <c r="Y7217" s="13">
        <f t="shared" si="1116"/>
        <v>0</v>
      </c>
      <c r="Z7217" s="66">
        <v>0</v>
      </c>
      <c r="AA7217" s="6">
        <v>0</v>
      </c>
      <c r="AB7217" s="4">
        <f t="shared" si="1117"/>
        <v>164677</v>
      </c>
      <c r="AC7217" s="6">
        <f t="shared" si="1115"/>
        <v>0</v>
      </c>
      <c r="AD7217" s="6">
        <f t="shared" si="1120"/>
        <v>164677</v>
      </c>
      <c r="AE7217" s="14">
        <f>VLOOKUP(I7217,[2]媒体政策预估表!A:N,MATCH(O7217,[2]媒体政策预估表!$A$2:$M$2,0),0)</f>
        <v>7.0000000000000007E-2</v>
      </c>
      <c r="AF7217" s="6">
        <f t="shared" si="1122"/>
        <v>11527.390000000001</v>
      </c>
      <c r="AG7217" s="14">
        <v>0</v>
      </c>
      <c r="AH7217" s="64">
        <f t="shared" si="1121"/>
        <v>164677</v>
      </c>
      <c r="AJ7217" s="126" t="e">
        <v>#N/A</v>
      </c>
      <c r="AK7217" s="80">
        <f t="shared" si="1118"/>
        <v>0</v>
      </c>
      <c r="AL7217" s="85"/>
      <c r="AM7217" s="85"/>
    </row>
    <row r="7218" spans="1:39" s="86" customFormat="1" ht="13.25" hidden="1" customHeight="1" x14ac:dyDescent="0.3">
      <c r="A7218" s="89" t="s">
        <v>3978</v>
      </c>
      <c r="B7218" s="86" t="s">
        <v>35</v>
      </c>
      <c r="C7218" s="86" t="s">
        <v>144</v>
      </c>
      <c r="D7218" s="86" t="s">
        <v>145</v>
      </c>
      <c r="E7218" s="86" t="s">
        <v>1421</v>
      </c>
      <c r="F7218" s="86" t="s">
        <v>1421</v>
      </c>
      <c r="G7218" s="86" t="s">
        <v>1421</v>
      </c>
      <c r="H7218" s="144">
        <v>360</v>
      </c>
      <c r="I7218" s="86" t="s">
        <v>1060</v>
      </c>
      <c r="J7218" s="47" t="s">
        <v>3325</v>
      </c>
      <c r="K7218" s="47" t="s">
        <v>3767</v>
      </c>
      <c r="L7218" s="47" t="s">
        <v>35</v>
      </c>
      <c r="M7218" s="86" t="s">
        <v>4049</v>
      </c>
      <c r="O7218" s="47" t="s">
        <v>410</v>
      </c>
      <c r="P7218" s="47" t="s">
        <v>41</v>
      </c>
      <c r="Q7218" s="14">
        <v>0</v>
      </c>
      <c r="R7218" s="143" t="s">
        <v>4050</v>
      </c>
      <c r="S7218" s="47"/>
      <c r="T7218" s="6">
        <v>0</v>
      </c>
      <c r="U7218" s="6">
        <v>100000</v>
      </c>
      <c r="V7218" s="6">
        <v>70530</v>
      </c>
      <c r="W7218" s="6">
        <f t="shared" si="1119"/>
        <v>29470</v>
      </c>
      <c r="X7218" s="6">
        <f t="shared" si="1123"/>
        <v>70530</v>
      </c>
      <c r="Y7218" s="13">
        <f t="shared" si="1116"/>
        <v>0</v>
      </c>
      <c r="Z7218" s="66">
        <v>0</v>
      </c>
      <c r="AA7218" s="6">
        <v>0</v>
      </c>
      <c r="AB7218" s="4">
        <f t="shared" si="1117"/>
        <v>70530</v>
      </c>
      <c r="AC7218" s="6">
        <f t="shared" si="1115"/>
        <v>0</v>
      </c>
      <c r="AD7218" s="6">
        <f t="shared" si="1120"/>
        <v>70530</v>
      </c>
      <c r="AE7218" s="14">
        <f>VLOOKUP(I7218,[2]媒体政策预估表!A:N,MATCH(O7218,[2]媒体政策预估表!$A$2:$M$2,0),0)</f>
        <v>7.0000000000000007E-2</v>
      </c>
      <c r="AF7218" s="6">
        <f t="shared" si="1122"/>
        <v>4937.1000000000004</v>
      </c>
      <c r="AG7218" s="14">
        <v>0</v>
      </c>
      <c r="AH7218" s="64">
        <f t="shared" si="1121"/>
        <v>70530</v>
      </c>
      <c r="AJ7218" s="126" t="e">
        <v>#N/A</v>
      </c>
      <c r="AK7218" s="80">
        <f t="shared" si="1118"/>
        <v>0</v>
      </c>
      <c r="AL7218" s="85"/>
      <c r="AM7218" s="85"/>
    </row>
    <row r="7219" spans="1:39" s="86" customFormat="1" ht="13.25" hidden="1" customHeight="1" x14ac:dyDescent="0.3">
      <c r="A7219" s="89" t="s">
        <v>3978</v>
      </c>
      <c r="B7219" s="86" t="s">
        <v>35</v>
      </c>
      <c r="C7219" s="86" t="s">
        <v>144</v>
      </c>
      <c r="D7219" s="86" t="s">
        <v>145</v>
      </c>
      <c r="E7219" s="86" t="s">
        <v>1421</v>
      </c>
      <c r="F7219" s="86" t="s">
        <v>1421</v>
      </c>
      <c r="G7219" s="86" t="s">
        <v>1421</v>
      </c>
      <c r="H7219" s="144">
        <v>360</v>
      </c>
      <c r="I7219" s="86" t="s">
        <v>1060</v>
      </c>
      <c r="J7219" s="47" t="s">
        <v>3325</v>
      </c>
      <c r="K7219" s="47" t="s">
        <v>3767</v>
      </c>
      <c r="L7219" s="47" t="s">
        <v>35</v>
      </c>
      <c r="M7219" s="86" t="s">
        <v>1426</v>
      </c>
      <c r="O7219" s="47" t="s">
        <v>410</v>
      </c>
      <c r="P7219" s="47" t="s">
        <v>41</v>
      </c>
      <c r="Q7219" s="14">
        <v>0</v>
      </c>
      <c r="R7219" s="143" t="s">
        <v>1427</v>
      </c>
      <c r="S7219" s="47"/>
      <c r="T7219" s="6">
        <v>19561.800000000003</v>
      </c>
      <c r="U7219" s="6">
        <v>110000</v>
      </c>
      <c r="V7219" s="6">
        <v>97622.7</v>
      </c>
      <c r="W7219" s="6">
        <f t="shared" si="1119"/>
        <v>31939.100000000006</v>
      </c>
      <c r="X7219" s="6">
        <f t="shared" si="1123"/>
        <v>97622.7</v>
      </c>
      <c r="Y7219" s="13">
        <f t="shared" si="1116"/>
        <v>0</v>
      </c>
      <c r="Z7219" s="66">
        <v>0</v>
      </c>
      <c r="AA7219" s="6">
        <v>0</v>
      </c>
      <c r="AB7219" s="4">
        <f t="shared" si="1117"/>
        <v>97622.7</v>
      </c>
      <c r="AC7219" s="6">
        <f t="shared" si="1115"/>
        <v>0</v>
      </c>
      <c r="AD7219" s="6">
        <f t="shared" si="1120"/>
        <v>97622.7</v>
      </c>
      <c r="AE7219" s="14">
        <f>VLOOKUP(I7219,[2]媒体政策预估表!A:N,MATCH(O7219,[2]媒体政策预估表!$A$2:$M$2,0),0)</f>
        <v>7.0000000000000007E-2</v>
      </c>
      <c r="AF7219" s="6">
        <f t="shared" si="1122"/>
        <v>6833.5890000000009</v>
      </c>
      <c r="AG7219" s="14">
        <v>0</v>
      </c>
      <c r="AH7219" s="64">
        <f t="shared" si="1121"/>
        <v>97622.7</v>
      </c>
      <c r="AJ7219" s="126" t="e">
        <v>#N/A</v>
      </c>
      <c r="AK7219" s="80">
        <f t="shared" si="1118"/>
        <v>0</v>
      </c>
      <c r="AL7219" s="85"/>
      <c r="AM7219" s="85"/>
    </row>
    <row r="7220" spans="1:39" s="86" customFormat="1" ht="13.25" hidden="1" customHeight="1" x14ac:dyDescent="0.3">
      <c r="A7220" s="89" t="s">
        <v>3792</v>
      </c>
      <c r="B7220" s="86" t="s">
        <v>35</v>
      </c>
      <c r="C7220" s="86" t="s">
        <v>144</v>
      </c>
      <c r="D7220" s="86" t="s">
        <v>145</v>
      </c>
      <c r="E7220" s="86" t="s">
        <v>1421</v>
      </c>
      <c r="F7220" s="86" t="s">
        <v>1421</v>
      </c>
      <c r="G7220" s="86" t="s">
        <v>1421</v>
      </c>
      <c r="H7220" s="144">
        <v>360</v>
      </c>
      <c r="I7220" s="86" t="s">
        <v>1060</v>
      </c>
      <c r="J7220" s="47" t="s">
        <v>3325</v>
      </c>
      <c r="K7220" s="47" t="s">
        <v>3767</v>
      </c>
      <c r="L7220" s="47" t="s">
        <v>35</v>
      </c>
      <c r="M7220" s="86" t="s">
        <v>1428</v>
      </c>
      <c r="O7220" s="47" t="s">
        <v>410</v>
      </c>
      <c r="P7220" s="47" t="s">
        <v>41</v>
      </c>
      <c r="Q7220" s="14">
        <v>0</v>
      </c>
      <c r="R7220" s="143" t="s">
        <v>1429</v>
      </c>
      <c r="S7220" s="47"/>
      <c r="T7220" s="6">
        <v>6137.199999999998</v>
      </c>
      <c r="U7220" s="6">
        <v>10000</v>
      </c>
      <c r="V7220" s="6">
        <v>8507.7000000000007</v>
      </c>
      <c r="W7220" s="6">
        <f t="shared" si="1119"/>
        <v>7629.4999999999964</v>
      </c>
      <c r="X7220" s="6">
        <f t="shared" si="1123"/>
        <v>8507.7000000000007</v>
      </c>
      <c r="Y7220" s="13">
        <f t="shared" si="1116"/>
        <v>0</v>
      </c>
      <c r="Z7220" s="66">
        <v>0</v>
      </c>
      <c r="AA7220" s="6">
        <v>0</v>
      </c>
      <c r="AB7220" s="4">
        <f t="shared" si="1117"/>
        <v>8507.7000000000007</v>
      </c>
      <c r="AC7220" s="6">
        <f t="shared" si="1115"/>
        <v>0</v>
      </c>
      <c r="AD7220" s="6">
        <f t="shared" si="1120"/>
        <v>8507.7000000000007</v>
      </c>
      <c r="AE7220" s="14">
        <f>VLOOKUP(I7220,[2]媒体政策预估表!A:N,MATCH(O7220,[2]媒体政策预估表!$A$2:$M$2,0),0)</f>
        <v>7.0000000000000007E-2</v>
      </c>
      <c r="AF7220" s="6">
        <f t="shared" si="1122"/>
        <v>595.5390000000001</v>
      </c>
      <c r="AG7220" s="14">
        <v>0</v>
      </c>
      <c r="AH7220" s="64">
        <f t="shared" si="1121"/>
        <v>8507.7000000000007</v>
      </c>
      <c r="AJ7220" s="126" t="e">
        <v>#N/A</v>
      </c>
      <c r="AK7220" s="80">
        <f t="shared" si="1118"/>
        <v>0</v>
      </c>
      <c r="AL7220" s="85"/>
      <c r="AM7220" s="85"/>
    </row>
    <row r="7221" spans="1:39" s="86" customFormat="1" ht="13.25" hidden="1" customHeight="1" x14ac:dyDescent="0.3">
      <c r="A7221" s="89" t="s">
        <v>3978</v>
      </c>
      <c r="B7221" s="86" t="s">
        <v>35</v>
      </c>
      <c r="C7221" s="86" t="s">
        <v>144</v>
      </c>
      <c r="D7221" s="86" t="s">
        <v>145</v>
      </c>
      <c r="E7221" s="86" t="s">
        <v>1421</v>
      </c>
      <c r="F7221" s="86" t="s">
        <v>1421</v>
      </c>
      <c r="G7221" s="86" t="s">
        <v>1421</v>
      </c>
      <c r="H7221" s="144">
        <v>360</v>
      </c>
      <c r="I7221" s="86" t="s">
        <v>1060</v>
      </c>
      <c r="J7221" s="47" t="s">
        <v>3325</v>
      </c>
      <c r="K7221" s="47" t="s">
        <v>3767</v>
      </c>
      <c r="L7221" s="47" t="s">
        <v>35</v>
      </c>
      <c r="M7221" s="86" t="s">
        <v>1430</v>
      </c>
      <c r="O7221" s="47" t="s">
        <v>410</v>
      </c>
      <c r="P7221" s="47" t="s">
        <v>41</v>
      </c>
      <c r="Q7221" s="14">
        <v>0</v>
      </c>
      <c r="R7221" s="143" t="s">
        <v>1431</v>
      </c>
      <c r="S7221" s="47"/>
      <c r="T7221" s="6">
        <v>19005.5</v>
      </c>
      <c r="U7221" s="6">
        <v>45000</v>
      </c>
      <c r="V7221" s="6">
        <v>46918.2</v>
      </c>
      <c r="W7221" s="6">
        <f t="shared" si="1119"/>
        <v>17087.300000000003</v>
      </c>
      <c r="X7221" s="6">
        <f t="shared" si="1123"/>
        <v>46918.2</v>
      </c>
      <c r="Y7221" s="13">
        <f t="shared" si="1116"/>
        <v>0</v>
      </c>
      <c r="Z7221" s="66">
        <v>0</v>
      </c>
      <c r="AA7221" s="6">
        <v>0</v>
      </c>
      <c r="AB7221" s="4">
        <f t="shared" si="1117"/>
        <v>46918.2</v>
      </c>
      <c r="AC7221" s="6">
        <f t="shared" si="1115"/>
        <v>0</v>
      </c>
      <c r="AD7221" s="6">
        <f t="shared" si="1120"/>
        <v>46918.2</v>
      </c>
      <c r="AE7221" s="14">
        <f>VLOOKUP(I7221,[2]媒体政策预估表!A:N,MATCH(O7221,[2]媒体政策预估表!$A$2:$M$2,0),0)</f>
        <v>7.0000000000000007E-2</v>
      </c>
      <c r="AF7221" s="6">
        <f t="shared" si="1122"/>
        <v>3284.2739999999999</v>
      </c>
      <c r="AG7221" s="14">
        <v>0</v>
      </c>
      <c r="AH7221" s="64">
        <f t="shared" si="1121"/>
        <v>46918.2</v>
      </c>
      <c r="AJ7221" s="126" t="e">
        <v>#N/A</v>
      </c>
      <c r="AK7221" s="80">
        <f t="shared" si="1118"/>
        <v>0</v>
      </c>
      <c r="AL7221" s="85"/>
      <c r="AM7221" s="85"/>
    </row>
    <row r="7222" spans="1:39" s="86" customFormat="1" ht="13.25" hidden="1" customHeight="1" x14ac:dyDescent="0.3">
      <c r="A7222" s="89" t="s">
        <v>3978</v>
      </c>
      <c r="B7222" s="86" t="s">
        <v>35</v>
      </c>
      <c r="C7222" s="86" t="s">
        <v>144</v>
      </c>
      <c r="D7222" s="86" t="s">
        <v>145</v>
      </c>
      <c r="E7222" s="86" t="s">
        <v>1421</v>
      </c>
      <c r="F7222" s="86" t="s">
        <v>1421</v>
      </c>
      <c r="G7222" s="86" t="s">
        <v>1421</v>
      </c>
      <c r="H7222" s="144">
        <v>360</v>
      </c>
      <c r="I7222" s="86" t="s">
        <v>1060</v>
      </c>
      <c r="J7222" s="47" t="s">
        <v>3325</v>
      </c>
      <c r="K7222" s="47" t="s">
        <v>3767</v>
      </c>
      <c r="L7222" s="47" t="s">
        <v>35</v>
      </c>
      <c r="M7222" s="86" t="s">
        <v>1432</v>
      </c>
      <c r="O7222" s="47" t="s">
        <v>410</v>
      </c>
      <c r="P7222" s="47" t="s">
        <v>41</v>
      </c>
      <c r="Q7222" s="14">
        <v>0</v>
      </c>
      <c r="R7222" s="143" t="s">
        <v>1433</v>
      </c>
      <c r="S7222" s="47"/>
      <c r="T7222" s="6">
        <v>5981</v>
      </c>
      <c r="U7222" s="6">
        <v>5000</v>
      </c>
      <c r="V7222" s="6">
        <v>3389.5</v>
      </c>
      <c r="W7222" s="6">
        <f t="shared" si="1119"/>
        <v>7591.5</v>
      </c>
      <c r="X7222" s="6">
        <f t="shared" si="1123"/>
        <v>3389.5</v>
      </c>
      <c r="Y7222" s="13">
        <f t="shared" si="1116"/>
        <v>0</v>
      </c>
      <c r="Z7222" s="66">
        <v>0</v>
      </c>
      <c r="AA7222" s="6">
        <v>0</v>
      </c>
      <c r="AB7222" s="4">
        <f t="shared" si="1117"/>
        <v>3389.5</v>
      </c>
      <c r="AC7222" s="6">
        <f t="shared" si="1115"/>
        <v>0</v>
      </c>
      <c r="AD7222" s="6">
        <f t="shared" si="1120"/>
        <v>3389.5</v>
      </c>
      <c r="AE7222" s="14">
        <f>VLOOKUP(I7222,[2]媒体政策预估表!A:N,MATCH(O7222,[2]媒体政策预估表!$A$2:$M$2,0),0)</f>
        <v>7.0000000000000007E-2</v>
      </c>
      <c r="AF7222" s="6">
        <f t="shared" si="1122"/>
        <v>237.26500000000001</v>
      </c>
      <c r="AG7222" s="14">
        <v>0</v>
      </c>
      <c r="AH7222" s="64">
        <f t="shared" si="1121"/>
        <v>3389.5</v>
      </c>
      <c r="AJ7222" s="126" t="e">
        <v>#N/A</v>
      </c>
      <c r="AK7222" s="80">
        <f t="shared" si="1118"/>
        <v>0</v>
      </c>
      <c r="AL7222" s="85"/>
      <c r="AM7222" s="85"/>
    </row>
    <row r="7223" spans="1:39" s="86" customFormat="1" ht="13.25" hidden="1" customHeight="1" x14ac:dyDescent="0.3">
      <c r="A7223" s="89" t="s">
        <v>3978</v>
      </c>
      <c r="B7223" s="86" t="s">
        <v>35</v>
      </c>
      <c r="C7223" s="86" t="s">
        <v>144</v>
      </c>
      <c r="D7223" s="86" t="s">
        <v>145</v>
      </c>
      <c r="E7223" s="86" t="s">
        <v>1421</v>
      </c>
      <c r="F7223" s="86" t="s">
        <v>1421</v>
      </c>
      <c r="G7223" s="86" t="s">
        <v>1421</v>
      </c>
      <c r="H7223" s="144">
        <v>360</v>
      </c>
      <c r="I7223" s="86" t="s">
        <v>1060</v>
      </c>
      <c r="J7223" s="47" t="s">
        <v>3325</v>
      </c>
      <c r="K7223" s="47" t="s">
        <v>3767</v>
      </c>
      <c r="L7223" s="47" t="s">
        <v>35</v>
      </c>
      <c r="M7223" s="86" t="s">
        <v>1434</v>
      </c>
      <c r="O7223" s="47" t="s">
        <v>410</v>
      </c>
      <c r="P7223" s="47" t="s">
        <v>41</v>
      </c>
      <c r="Q7223" s="14">
        <v>0</v>
      </c>
      <c r="R7223" s="143" t="s">
        <v>1435</v>
      </c>
      <c r="S7223" s="47"/>
      <c r="T7223" s="6">
        <v>6155.9999999999991</v>
      </c>
      <c r="U7223" s="6">
        <v>5000</v>
      </c>
      <c r="V7223" s="6">
        <v>6624.7</v>
      </c>
      <c r="W7223" s="6">
        <f t="shared" si="1119"/>
        <v>4531.3</v>
      </c>
      <c r="X7223" s="6">
        <f t="shared" si="1123"/>
        <v>6624.7</v>
      </c>
      <c r="Y7223" s="13">
        <f t="shared" si="1116"/>
        <v>0</v>
      </c>
      <c r="Z7223" s="66">
        <v>0</v>
      </c>
      <c r="AA7223" s="6">
        <v>0</v>
      </c>
      <c r="AB7223" s="4">
        <f t="shared" si="1117"/>
        <v>6624.7</v>
      </c>
      <c r="AC7223" s="6">
        <f t="shared" si="1115"/>
        <v>0</v>
      </c>
      <c r="AD7223" s="6">
        <f t="shared" si="1120"/>
        <v>6624.7</v>
      </c>
      <c r="AE7223" s="14">
        <f>VLOOKUP(I7223,[2]媒体政策预估表!A:N,MATCH(O7223,[2]媒体政策预估表!$A$2:$M$2,0),0)</f>
        <v>7.0000000000000007E-2</v>
      </c>
      <c r="AF7223" s="6">
        <f t="shared" si="1122"/>
        <v>463.72900000000004</v>
      </c>
      <c r="AG7223" s="14">
        <v>0</v>
      </c>
      <c r="AH7223" s="64">
        <f t="shared" si="1121"/>
        <v>6624.7</v>
      </c>
      <c r="AJ7223" s="126" t="e">
        <v>#N/A</v>
      </c>
      <c r="AK7223" s="80">
        <f t="shared" si="1118"/>
        <v>0</v>
      </c>
      <c r="AL7223" s="85"/>
      <c r="AM7223" s="85"/>
    </row>
    <row r="7224" spans="1:39" s="86" customFormat="1" ht="13.25" hidden="1" customHeight="1" x14ac:dyDescent="0.3">
      <c r="A7224" s="89" t="s">
        <v>3978</v>
      </c>
      <c r="B7224" s="86" t="s">
        <v>35</v>
      </c>
      <c r="C7224" s="86" t="s">
        <v>144</v>
      </c>
      <c r="D7224" s="86" t="s">
        <v>145</v>
      </c>
      <c r="E7224" s="86" t="s">
        <v>1421</v>
      </c>
      <c r="F7224" s="86" t="s">
        <v>1421</v>
      </c>
      <c r="G7224" s="86" t="s">
        <v>1421</v>
      </c>
      <c r="H7224" s="144">
        <v>360</v>
      </c>
      <c r="I7224" s="86" t="s">
        <v>1060</v>
      </c>
      <c r="J7224" s="47" t="s">
        <v>3325</v>
      </c>
      <c r="K7224" s="47" t="s">
        <v>3767</v>
      </c>
      <c r="L7224" s="47" t="s">
        <v>35</v>
      </c>
      <c r="M7224" s="86" t="s">
        <v>1436</v>
      </c>
      <c r="O7224" s="47" t="s">
        <v>410</v>
      </c>
      <c r="P7224" s="47" t="s">
        <v>41</v>
      </c>
      <c r="Q7224" s="14">
        <v>0</v>
      </c>
      <c r="R7224" s="143" t="s">
        <v>1437</v>
      </c>
      <c r="S7224" s="47"/>
      <c r="T7224" s="6">
        <v>5037.4099999999926</v>
      </c>
      <c r="U7224" s="6">
        <v>5000</v>
      </c>
      <c r="V7224" s="6">
        <v>5037.3999999999996</v>
      </c>
      <c r="W7224" s="6">
        <f t="shared" si="1119"/>
        <v>5000.0099999999929</v>
      </c>
      <c r="X7224" s="6">
        <f t="shared" si="1123"/>
        <v>5037.3999999999996</v>
      </c>
      <c r="Y7224" s="13">
        <f t="shared" si="1116"/>
        <v>0</v>
      </c>
      <c r="Z7224" s="66">
        <v>0</v>
      </c>
      <c r="AA7224" s="6">
        <v>0</v>
      </c>
      <c r="AB7224" s="4">
        <f t="shared" si="1117"/>
        <v>5037.3999999999996</v>
      </c>
      <c r="AC7224" s="6">
        <f t="shared" si="1115"/>
        <v>0</v>
      </c>
      <c r="AD7224" s="6">
        <f t="shared" si="1120"/>
        <v>5037.3999999999996</v>
      </c>
      <c r="AE7224" s="14">
        <f>VLOOKUP(I7224,[2]媒体政策预估表!A:N,MATCH(O7224,[2]媒体政策预估表!$A$2:$M$2,0),0)</f>
        <v>7.0000000000000007E-2</v>
      </c>
      <c r="AF7224" s="6">
        <f t="shared" si="1122"/>
        <v>352.61799999999999</v>
      </c>
      <c r="AG7224" s="14">
        <v>0</v>
      </c>
      <c r="AH7224" s="64">
        <f t="shared" si="1121"/>
        <v>5037.3999999999996</v>
      </c>
      <c r="AJ7224" s="126" t="e">
        <v>#N/A</v>
      </c>
      <c r="AK7224" s="80">
        <f t="shared" si="1118"/>
        <v>0</v>
      </c>
      <c r="AL7224" s="85"/>
      <c r="AM7224" s="85"/>
    </row>
    <row r="7225" spans="1:39" s="86" customFormat="1" ht="13.25" hidden="1" customHeight="1" x14ac:dyDescent="0.3">
      <c r="A7225" s="89" t="s">
        <v>3978</v>
      </c>
      <c r="B7225" s="86" t="s">
        <v>35</v>
      </c>
      <c r="C7225" s="86" t="s">
        <v>144</v>
      </c>
      <c r="D7225" s="86" t="s">
        <v>145</v>
      </c>
      <c r="E7225" s="86" t="s">
        <v>1421</v>
      </c>
      <c r="F7225" s="86" t="s">
        <v>1421</v>
      </c>
      <c r="G7225" s="86" t="s">
        <v>1421</v>
      </c>
      <c r="H7225" s="144">
        <v>360</v>
      </c>
      <c r="I7225" s="86" t="s">
        <v>1060</v>
      </c>
      <c r="J7225" s="47" t="s">
        <v>3325</v>
      </c>
      <c r="K7225" s="47" t="s">
        <v>3767</v>
      </c>
      <c r="L7225" s="47" t="s">
        <v>35</v>
      </c>
      <c r="M7225" s="86" t="s">
        <v>1438</v>
      </c>
      <c r="O7225" s="47" t="s">
        <v>410</v>
      </c>
      <c r="P7225" s="47" t="s">
        <v>41</v>
      </c>
      <c r="Q7225" s="14">
        <v>0</v>
      </c>
      <c r="R7225" s="143" t="s">
        <v>1439</v>
      </c>
      <c r="S7225" s="47"/>
      <c r="T7225" s="6">
        <v>13242.899999999994</v>
      </c>
      <c r="U7225" s="6">
        <v>20000</v>
      </c>
      <c r="V7225" s="6">
        <v>22416.2</v>
      </c>
      <c r="W7225" s="6">
        <f t="shared" si="1119"/>
        <v>10826.699999999993</v>
      </c>
      <c r="X7225" s="6">
        <f t="shared" si="1123"/>
        <v>22416.2</v>
      </c>
      <c r="Y7225" s="13">
        <f t="shared" si="1116"/>
        <v>0</v>
      </c>
      <c r="Z7225" s="66">
        <v>0</v>
      </c>
      <c r="AA7225" s="6">
        <v>0</v>
      </c>
      <c r="AB7225" s="4">
        <f t="shared" si="1117"/>
        <v>22416.2</v>
      </c>
      <c r="AC7225" s="6">
        <f t="shared" si="1115"/>
        <v>0</v>
      </c>
      <c r="AD7225" s="6">
        <f t="shared" si="1120"/>
        <v>22416.2</v>
      </c>
      <c r="AE7225" s="14">
        <f>VLOOKUP(I7225,[2]媒体政策预估表!A:N,MATCH(O7225,[2]媒体政策预估表!$A$2:$M$2,0),0)</f>
        <v>7.0000000000000007E-2</v>
      </c>
      <c r="AF7225" s="6">
        <f t="shared" si="1122"/>
        <v>1569.1340000000002</v>
      </c>
      <c r="AG7225" s="14">
        <v>0</v>
      </c>
      <c r="AH7225" s="64">
        <f t="shared" si="1121"/>
        <v>22416.2</v>
      </c>
      <c r="AJ7225" s="126" t="e">
        <v>#N/A</v>
      </c>
      <c r="AK7225" s="80">
        <f t="shared" si="1118"/>
        <v>0</v>
      </c>
      <c r="AL7225" s="85"/>
      <c r="AM7225" s="85"/>
    </row>
    <row r="7226" spans="1:39" s="86" customFormat="1" ht="13.25" hidden="1" customHeight="1" x14ac:dyDescent="0.3">
      <c r="A7226" s="89" t="s">
        <v>3978</v>
      </c>
      <c r="B7226" s="86" t="s">
        <v>35</v>
      </c>
      <c r="C7226" s="86" t="s">
        <v>144</v>
      </c>
      <c r="D7226" s="86" t="s">
        <v>145</v>
      </c>
      <c r="E7226" s="86" t="s">
        <v>1421</v>
      </c>
      <c r="F7226" s="86" t="s">
        <v>1421</v>
      </c>
      <c r="G7226" s="86" t="s">
        <v>1421</v>
      </c>
      <c r="H7226" s="144">
        <v>360</v>
      </c>
      <c r="I7226" s="86" t="s">
        <v>1060</v>
      </c>
      <c r="J7226" s="47" t="s">
        <v>3325</v>
      </c>
      <c r="K7226" s="47" t="s">
        <v>3767</v>
      </c>
      <c r="L7226" s="47" t="s">
        <v>35</v>
      </c>
      <c r="M7226" s="86" t="s">
        <v>3519</v>
      </c>
      <c r="O7226" s="47" t="s">
        <v>410</v>
      </c>
      <c r="P7226" s="47" t="s">
        <v>41</v>
      </c>
      <c r="Q7226" s="14">
        <v>0</v>
      </c>
      <c r="R7226" s="143" t="s">
        <v>3520</v>
      </c>
      <c r="S7226" s="47"/>
      <c r="T7226" s="6">
        <v>92002.299999999988</v>
      </c>
      <c r="U7226" s="6">
        <v>65000</v>
      </c>
      <c r="V7226" s="6">
        <v>119629.2</v>
      </c>
      <c r="W7226" s="6">
        <f t="shared" si="1119"/>
        <v>37373.099999999991</v>
      </c>
      <c r="X7226" s="6">
        <f t="shared" si="1123"/>
        <v>119629.2</v>
      </c>
      <c r="Y7226" s="13">
        <f t="shared" si="1116"/>
        <v>0</v>
      </c>
      <c r="Z7226" s="66">
        <v>0</v>
      </c>
      <c r="AA7226" s="6">
        <v>0</v>
      </c>
      <c r="AB7226" s="4">
        <f t="shared" si="1117"/>
        <v>119629.2</v>
      </c>
      <c r="AC7226" s="6">
        <f t="shared" si="1115"/>
        <v>0</v>
      </c>
      <c r="AD7226" s="6">
        <f t="shared" si="1120"/>
        <v>119629.2</v>
      </c>
      <c r="AE7226" s="14">
        <f>VLOOKUP(I7226,[2]媒体政策预估表!A:N,MATCH(O7226,[2]媒体政策预估表!$A$2:$M$2,0),0)</f>
        <v>7.0000000000000007E-2</v>
      </c>
      <c r="AF7226" s="6">
        <f t="shared" si="1122"/>
        <v>8374.0439999999999</v>
      </c>
      <c r="AG7226" s="14">
        <v>0</v>
      </c>
      <c r="AH7226" s="64">
        <f t="shared" si="1121"/>
        <v>119629.2</v>
      </c>
      <c r="AJ7226" s="126" t="e">
        <v>#N/A</v>
      </c>
      <c r="AK7226" s="80">
        <f t="shared" si="1118"/>
        <v>0</v>
      </c>
      <c r="AL7226" s="85"/>
      <c r="AM7226" s="85"/>
    </row>
    <row r="7227" spans="1:39" s="86" customFormat="1" ht="13.25" hidden="1" customHeight="1" x14ac:dyDescent="0.3">
      <c r="A7227" s="89" t="s">
        <v>3978</v>
      </c>
      <c r="B7227" s="86" t="s">
        <v>35</v>
      </c>
      <c r="C7227" s="86" t="s">
        <v>144</v>
      </c>
      <c r="D7227" s="86" t="s">
        <v>145</v>
      </c>
      <c r="E7227" s="86" t="s">
        <v>1421</v>
      </c>
      <c r="F7227" s="86" t="s">
        <v>1421</v>
      </c>
      <c r="G7227" s="86" t="s">
        <v>1421</v>
      </c>
      <c r="H7227" s="144">
        <v>360</v>
      </c>
      <c r="I7227" s="86" t="s">
        <v>1060</v>
      </c>
      <c r="J7227" s="47" t="s">
        <v>3325</v>
      </c>
      <c r="K7227" s="47" t="s">
        <v>3767</v>
      </c>
      <c r="L7227" s="47" t="s">
        <v>35</v>
      </c>
      <c r="M7227" s="86" t="s">
        <v>1440</v>
      </c>
      <c r="O7227" s="47" t="s">
        <v>410</v>
      </c>
      <c r="P7227" s="47" t="s">
        <v>41</v>
      </c>
      <c r="Q7227" s="14">
        <v>0</v>
      </c>
      <c r="R7227" s="143" t="s">
        <v>1441</v>
      </c>
      <c r="S7227" s="47"/>
      <c r="T7227" s="6">
        <v>5298.0999999999995</v>
      </c>
      <c r="U7227" s="6">
        <v>5000</v>
      </c>
      <c r="V7227" s="6">
        <v>7276.5</v>
      </c>
      <c r="W7227" s="6">
        <f t="shared" si="1119"/>
        <v>3021.5999999999985</v>
      </c>
      <c r="X7227" s="6">
        <f t="shared" si="1123"/>
        <v>7276.5</v>
      </c>
      <c r="Y7227" s="13">
        <f t="shared" si="1116"/>
        <v>0</v>
      </c>
      <c r="Z7227" s="66">
        <v>0</v>
      </c>
      <c r="AA7227" s="6">
        <v>0</v>
      </c>
      <c r="AB7227" s="4">
        <f t="shared" si="1117"/>
        <v>7276.5</v>
      </c>
      <c r="AC7227" s="6">
        <f t="shared" si="1115"/>
        <v>0</v>
      </c>
      <c r="AD7227" s="6">
        <f t="shared" si="1120"/>
        <v>7276.5</v>
      </c>
      <c r="AE7227" s="14">
        <f>VLOOKUP(I7227,[2]媒体政策预估表!A:N,MATCH(O7227,[2]媒体政策预估表!$A$2:$M$2,0),0)</f>
        <v>7.0000000000000007E-2</v>
      </c>
      <c r="AF7227" s="6">
        <f t="shared" si="1122"/>
        <v>509.35500000000008</v>
      </c>
      <c r="AG7227" s="14">
        <v>0</v>
      </c>
      <c r="AH7227" s="64">
        <f t="shared" si="1121"/>
        <v>7276.5</v>
      </c>
      <c r="AJ7227" s="126" t="e">
        <v>#N/A</v>
      </c>
      <c r="AK7227" s="80">
        <f t="shared" si="1118"/>
        <v>0</v>
      </c>
      <c r="AL7227" s="85"/>
      <c r="AM7227" s="85"/>
    </row>
    <row r="7228" spans="1:39" s="86" customFormat="1" ht="13.25" hidden="1" customHeight="1" x14ac:dyDescent="0.3">
      <c r="A7228" s="89" t="s">
        <v>3978</v>
      </c>
      <c r="B7228" s="86" t="s">
        <v>35</v>
      </c>
      <c r="C7228" s="86" t="s">
        <v>144</v>
      </c>
      <c r="D7228" s="86" t="s">
        <v>145</v>
      </c>
      <c r="E7228" s="86" t="s">
        <v>1421</v>
      </c>
      <c r="F7228" s="86" t="s">
        <v>1421</v>
      </c>
      <c r="G7228" s="86" t="s">
        <v>1421</v>
      </c>
      <c r="H7228" s="144">
        <v>360</v>
      </c>
      <c r="I7228" s="86" t="s">
        <v>1060</v>
      </c>
      <c r="J7228" s="47" t="s">
        <v>3325</v>
      </c>
      <c r="K7228" s="47" t="s">
        <v>3767</v>
      </c>
      <c r="L7228" s="47" t="s">
        <v>35</v>
      </c>
      <c r="M7228" s="86" t="s">
        <v>1442</v>
      </c>
      <c r="O7228" s="47" t="s">
        <v>410</v>
      </c>
      <c r="P7228" s="47" t="s">
        <v>41</v>
      </c>
      <c r="Q7228" s="14">
        <v>0</v>
      </c>
      <c r="R7228" s="143" t="s">
        <v>1443</v>
      </c>
      <c r="S7228" s="47"/>
      <c r="T7228" s="6">
        <v>23582.399999999994</v>
      </c>
      <c r="U7228" s="6">
        <v>200000</v>
      </c>
      <c r="V7228" s="6">
        <v>158665.20000000001</v>
      </c>
      <c r="W7228" s="6">
        <f t="shared" si="1119"/>
        <v>64917.199999999983</v>
      </c>
      <c r="X7228" s="6">
        <f t="shared" si="1123"/>
        <v>158665.20000000001</v>
      </c>
      <c r="Y7228" s="13">
        <f t="shared" si="1116"/>
        <v>0</v>
      </c>
      <c r="Z7228" s="66">
        <v>0</v>
      </c>
      <c r="AA7228" s="6">
        <v>0</v>
      </c>
      <c r="AB7228" s="4">
        <f t="shared" si="1117"/>
        <v>158665.20000000001</v>
      </c>
      <c r="AC7228" s="6">
        <f t="shared" si="1115"/>
        <v>0</v>
      </c>
      <c r="AD7228" s="6">
        <f t="shared" si="1120"/>
        <v>158665.20000000001</v>
      </c>
      <c r="AE7228" s="14">
        <f>VLOOKUP(I7228,[2]媒体政策预估表!A:N,MATCH(O7228,[2]媒体政策预估表!$A$2:$M$2,0),0)</f>
        <v>7.0000000000000007E-2</v>
      </c>
      <c r="AF7228" s="6">
        <f t="shared" si="1122"/>
        <v>11106.564000000002</v>
      </c>
      <c r="AG7228" s="14">
        <v>0</v>
      </c>
      <c r="AH7228" s="64">
        <f t="shared" si="1121"/>
        <v>158665.20000000001</v>
      </c>
      <c r="AJ7228" s="126" t="e">
        <v>#N/A</v>
      </c>
      <c r="AK7228" s="80">
        <f t="shared" si="1118"/>
        <v>0</v>
      </c>
      <c r="AL7228" s="85"/>
      <c r="AM7228" s="85"/>
    </row>
    <row r="7229" spans="1:39" s="86" customFormat="1" ht="13.25" hidden="1" customHeight="1" x14ac:dyDescent="0.3">
      <c r="A7229" s="89" t="s">
        <v>3978</v>
      </c>
      <c r="B7229" s="86" t="s">
        <v>35</v>
      </c>
      <c r="C7229" s="86" t="s">
        <v>144</v>
      </c>
      <c r="D7229" s="86" t="s">
        <v>145</v>
      </c>
      <c r="E7229" s="86" t="s">
        <v>585</v>
      </c>
      <c r="F7229" s="86" t="s">
        <v>586</v>
      </c>
      <c r="G7229" s="86" t="s">
        <v>585</v>
      </c>
      <c r="H7229" s="144">
        <v>360</v>
      </c>
      <c r="I7229" s="86" t="s">
        <v>1060</v>
      </c>
      <c r="J7229" s="47" t="s">
        <v>3325</v>
      </c>
      <c r="K7229" s="47" t="s">
        <v>3767</v>
      </c>
      <c r="L7229" s="47" t="s">
        <v>35</v>
      </c>
      <c r="M7229" s="86" t="s">
        <v>1444</v>
      </c>
      <c r="O7229" s="47" t="s">
        <v>410</v>
      </c>
      <c r="P7229" s="47" t="s">
        <v>46</v>
      </c>
      <c r="Q7229" s="14">
        <v>0.02</v>
      </c>
      <c r="R7229" s="143" t="s">
        <v>1445</v>
      </c>
      <c r="S7229" s="47"/>
      <c r="T7229" s="6">
        <v>52068.069999999992</v>
      </c>
      <c r="U7229" s="6">
        <v>40000</v>
      </c>
      <c r="V7229" s="6">
        <v>57078</v>
      </c>
      <c r="W7229" s="6">
        <f t="shared" si="1119"/>
        <v>34990.069999999992</v>
      </c>
      <c r="X7229" s="6">
        <f t="shared" si="1123"/>
        <v>55958.823529411762</v>
      </c>
      <c r="Y7229" s="13">
        <f t="shared" si="1116"/>
        <v>0</v>
      </c>
      <c r="Z7229" s="66">
        <v>0</v>
      </c>
      <c r="AA7229" s="6">
        <v>0</v>
      </c>
      <c r="AB7229" s="4">
        <f t="shared" si="1117"/>
        <v>55958.823529411762</v>
      </c>
      <c r="AC7229" s="6">
        <f t="shared" si="1115"/>
        <v>1119.1764705882379</v>
      </c>
      <c r="AD7229" s="6">
        <f t="shared" si="1120"/>
        <v>57078</v>
      </c>
      <c r="AE7229" s="14">
        <f>VLOOKUP(I7229,[2]媒体政策预估表!A:N,MATCH(O7229,[2]媒体政策预估表!$A$2:$M$2,0),0)</f>
        <v>7.0000000000000007E-2</v>
      </c>
      <c r="AF7229" s="6">
        <f t="shared" si="1122"/>
        <v>3995.4600000000005</v>
      </c>
      <c r="AG7229" s="14">
        <v>0</v>
      </c>
      <c r="AH7229" s="64">
        <f t="shared" si="1121"/>
        <v>57078</v>
      </c>
      <c r="AJ7229" s="126" t="e">
        <v>#N/A</v>
      </c>
      <c r="AK7229" s="80">
        <f t="shared" si="1118"/>
        <v>0</v>
      </c>
      <c r="AL7229" s="85"/>
      <c r="AM7229" s="85"/>
    </row>
    <row r="7230" spans="1:39" s="86" customFormat="1" ht="13.25" hidden="1" customHeight="1" x14ac:dyDescent="0.3">
      <c r="A7230" s="89" t="s">
        <v>3978</v>
      </c>
      <c r="B7230" s="86" t="s">
        <v>35</v>
      </c>
      <c r="C7230" s="86" t="s">
        <v>144</v>
      </c>
      <c r="D7230" s="86" t="s">
        <v>145</v>
      </c>
      <c r="E7230" s="86" t="s">
        <v>3521</v>
      </c>
      <c r="F7230" s="86" t="s">
        <v>3522</v>
      </c>
      <c r="G7230" s="86" t="s">
        <v>3521</v>
      </c>
      <c r="H7230" s="144">
        <v>360</v>
      </c>
      <c r="I7230" s="86" t="s">
        <v>1060</v>
      </c>
      <c r="J7230" s="47" t="s">
        <v>3325</v>
      </c>
      <c r="K7230" s="47" t="s">
        <v>3767</v>
      </c>
      <c r="L7230" s="47" t="s">
        <v>35</v>
      </c>
      <c r="M7230" s="86" t="s">
        <v>3523</v>
      </c>
      <c r="O7230" s="47" t="s">
        <v>410</v>
      </c>
      <c r="P7230" s="47" t="s">
        <v>41</v>
      </c>
      <c r="Q7230" s="14">
        <v>0</v>
      </c>
      <c r="R7230" s="143" t="s">
        <v>3524</v>
      </c>
      <c r="S7230" s="47"/>
      <c r="T7230" s="6">
        <v>5000</v>
      </c>
      <c r="U7230" s="6">
        <v>51000</v>
      </c>
      <c r="V7230" s="6">
        <v>53334.400000000001</v>
      </c>
      <c r="W7230" s="6">
        <f t="shared" si="1119"/>
        <v>2665.5999999999985</v>
      </c>
      <c r="X7230" s="6">
        <f t="shared" si="1123"/>
        <v>53334.400000000001</v>
      </c>
      <c r="Y7230" s="13">
        <f t="shared" si="1116"/>
        <v>0</v>
      </c>
      <c r="Z7230" s="66">
        <v>0</v>
      </c>
      <c r="AA7230" s="6">
        <v>0</v>
      </c>
      <c r="AB7230" s="4">
        <f t="shared" si="1117"/>
        <v>53334.400000000001</v>
      </c>
      <c r="AC7230" s="6">
        <f t="shared" ref="AC7230:AC7293" si="1124">IF(P7230="返现",X7230*Q7230,V7230-X7230)</f>
        <v>0</v>
      </c>
      <c r="AD7230" s="6">
        <f t="shared" si="1120"/>
        <v>53334.400000000001</v>
      </c>
      <c r="AE7230" s="14">
        <f>VLOOKUP(I7230,[2]媒体政策预估表!A:N,MATCH(O7230,[2]媒体政策预估表!$A$2:$M$2,0),0)</f>
        <v>7.0000000000000007E-2</v>
      </c>
      <c r="AF7230" s="6">
        <f t="shared" si="1122"/>
        <v>3733.4080000000004</v>
      </c>
      <c r="AG7230" s="14">
        <v>0</v>
      </c>
      <c r="AH7230" s="64">
        <f t="shared" si="1121"/>
        <v>53334.400000000001</v>
      </c>
      <c r="AJ7230" s="126" t="e">
        <v>#N/A</v>
      </c>
      <c r="AK7230" s="80">
        <f t="shared" si="1118"/>
        <v>0</v>
      </c>
      <c r="AL7230" s="85"/>
      <c r="AM7230" s="85"/>
    </row>
    <row r="7231" spans="1:39" s="86" customFormat="1" ht="13.25" hidden="1" customHeight="1" x14ac:dyDescent="0.3">
      <c r="A7231" s="89" t="s">
        <v>3978</v>
      </c>
      <c r="B7231" s="86" t="s">
        <v>35</v>
      </c>
      <c r="C7231" s="86" t="s">
        <v>144</v>
      </c>
      <c r="D7231" s="86" t="s">
        <v>145</v>
      </c>
      <c r="E7231" s="86" t="s">
        <v>1449</v>
      </c>
      <c r="F7231" s="86" t="s">
        <v>1449</v>
      </c>
      <c r="G7231" s="86" t="s">
        <v>1449</v>
      </c>
      <c r="H7231" s="143">
        <v>360</v>
      </c>
      <c r="I7231" s="86" t="s">
        <v>1060</v>
      </c>
      <c r="J7231" s="47" t="s">
        <v>3325</v>
      </c>
      <c r="K7231" s="47" t="s">
        <v>3767</v>
      </c>
      <c r="L7231" s="47" t="s">
        <v>35</v>
      </c>
      <c r="M7231" s="86" t="s">
        <v>1449</v>
      </c>
      <c r="O7231" s="47" t="s">
        <v>410</v>
      </c>
      <c r="P7231" s="47" t="s">
        <v>46</v>
      </c>
      <c r="Q7231" s="14">
        <v>0.02</v>
      </c>
      <c r="R7231" s="143" t="s">
        <v>1450</v>
      </c>
      <c r="S7231" s="47"/>
      <c r="T7231" s="6">
        <v>15490.5</v>
      </c>
      <c r="U7231" s="6">
        <v>-15490.5</v>
      </c>
      <c r="V7231" s="6">
        <v>0</v>
      </c>
      <c r="W7231" s="6">
        <f t="shared" si="1119"/>
        <v>0</v>
      </c>
      <c r="X7231" s="6">
        <f t="shared" si="1123"/>
        <v>0</v>
      </c>
      <c r="Y7231" s="13">
        <f t="shared" si="1116"/>
        <v>0</v>
      </c>
      <c r="Z7231" s="66">
        <v>0</v>
      </c>
      <c r="AA7231" s="6">
        <v>0</v>
      </c>
      <c r="AB7231" s="4">
        <f t="shared" si="1117"/>
        <v>0</v>
      </c>
      <c r="AC7231" s="6">
        <f t="shared" si="1124"/>
        <v>0</v>
      </c>
      <c r="AD7231" s="6">
        <f t="shared" si="1120"/>
        <v>0</v>
      </c>
      <c r="AE7231" s="14">
        <f>VLOOKUP(I7231,[2]媒体政策预估表!A:N,MATCH(O7231,[2]媒体政策预估表!$A$2:$M$2,0),0)</f>
        <v>7.0000000000000007E-2</v>
      </c>
      <c r="AF7231" s="6">
        <f t="shared" si="1122"/>
        <v>0</v>
      </c>
      <c r="AG7231" s="14">
        <v>0</v>
      </c>
      <c r="AH7231" s="64">
        <f t="shared" si="1121"/>
        <v>0</v>
      </c>
      <c r="AJ7231" s="126" t="e">
        <v>#N/A</v>
      </c>
      <c r="AK7231" s="80">
        <f t="shared" si="1118"/>
        <v>0</v>
      </c>
      <c r="AL7231" s="85"/>
      <c r="AM7231" s="85"/>
    </row>
    <row r="7232" spans="1:39" s="86" customFormat="1" ht="13.25" hidden="1" customHeight="1" x14ac:dyDescent="0.3">
      <c r="A7232" s="89" t="s">
        <v>3978</v>
      </c>
      <c r="B7232" s="86" t="s">
        <v>35</v>
      </c>
      <c r="C7232" s="86" t="s">
        <v>144</v>
      </c>
      <c r="D7232" s="86" t="s">
        <v>145</v>
      </c>
      <c r="E7232" s="86" t="s">
        <v>1449</v>
      </c>
      <c r="F7232" s="86" t="s">
        <v>1449</v>
      </c>
      <c r="G7232" s="86" t="s">
        <v>1449</v>
      </c>
      <c r="H7232" s="144">
        <v>360</v>
      </c>
      <c r="I7232" s="86" t="s">
        <v>1060</v>
      </c>
      <c r="J7232" s="47" t="s">
        <v>3325</v>
      </c>
      <c r="K7232" s="47" t="s">
        <v>3767</v>
      </c>
      <c r="L7232" s="47" t="s">
        <v>35</v>
      </c>
      <c r="M7232" s="86" t="s">
        <v>4051</v>
      </c>
      <c r="O7232" s="47" t="s">
        <v>410</v>
      </c>
      <c r="P7232" s="47" t="s">
        <v>46</v>
      </c>
      <c r="Q7232" s="14">
        <v>0.02</v>
      </c>
      <c r="R7232" s="143" t="s">
        <v>4052</v>
      </c>
      <c r="S7232" s="47"/>
      <c r="T7232" s="6">
        <v>0</v>
      </c>
      <c r="U7232" s="6">
        <v>15490.5</v>
      </c>
      <c r="V7232" s="6">
        <v>933.5</v>
      </c>
      <c r="W7232" s="6">
        <f t="shared" si="1119"/>
        <v>14557</v>
      </c>
      <c r="X7232" s="6">
        <f t="shared" si="1123"/>
        <v>915.19607843137248</v>
      </c>
      <c r="Y7232" s="13">
        <f t="shared" si="1116"/>
        <v>0</v>
      </c>
      <c r="Z7232" s="66">
        <v>0</v>
      </c>
      <c r="AA7232" s="6">
        <v>0</v>
      </c>
      <c r="AB7232" s="4">
        <f t="shared" si="1117"/>
        <v>915.19607843137248</v>
      </c>
      <c r="AC7232" s="6">
        <f t="shared" si="1124"/>
        <v>18.303921568627516</v>
      </c>
      <c r="AD7232" s="6">
        <f t="shared" si="1120"/>
        <v>933.5</v>
      </c>
      <c r="AE7232" s="14">
        <f>VLOOKUP(I7232,[2]媒体政策预估表!A:N,MATCH(O7232,[2]媒体政策预估表!$A$2:$M$2,0),0)</f>
        <v>7.0000000000000007E-2</v>
      </c>
      <c r="AF7232" s="6">
        <f t="shared" si="1122"/>
        <v>65.345000000000013</v>
      </c>
      <c r="AG7232" s="14">
        <v>0</v>
      </c>
      <c r="AH7232" s="64">
        <f t="shared" si="1121"/>
        <v>933.5</v>
      </c>
      <c r="AJ7232" s="126" t="e">
        <v>#N/A</v>
      </c>
      <c r="AK7232" s="80">
        <f t="shared" si="1118"/>
        <v>0</v>
      </c>
      <c r="AL7232" s="85"/>
      <c r="AM7232" s="85"/>
    </row>
    <row r="7233" spans="1:39" s="86" customFormat="1" ht="13.25" hidden="1" customHeight="1" x14ac:dyDescent="0.3">
      <c r="A7233" s="89" t="s">
        <v>3978</v>
      </c>
      <c r="B7233" s="86" t="s">
        <v>35</v>
      </c>
      <c r="C7233" s="86" t="s">
        <v>144</v>
      </c>
      <c r="D7233" s="86" t="s">
        <v>145</v>
      </c>
      <c r="E7233" s="86" t="s">
        <v>1451</v>
      </c>
      <c r="F7233" s="86" t="s">
        <v>1452</v>
      </c>
      <c r="G7233" s="86" t="s">
        <v>1451</v>
      </c>
      <c r="H7233" s="144">
        <v>360</v>
      </c>
      <c r="I7233" s="86" t="s">
        <v>1060</v>
      </c>
      <c r="J7233" s="47" t="s">
        <v>3325</v>
      </c>
      <c r="K7233" s="47" t="s">
        <v>3767</v>
      </c>
      <c r="L7233" s="47" t="s">
        <v>35</v>
      </c>
      <c r="M7233" s="86" t="s">
        <v>1453</v>
      </c>
      <c r="O7233" s="47" t="s">
        <v>410</v>
      </c>
      <c r="P7233" s="47" t="s">
        <v>46</v>
      </c>
      <c r="Q7233" s="14">
        <v>0.01</v>
      </c>
      <c r="R7233" s="143" t="s">
        <v>1454</v>
      </c>
      <c r="S7233" s="47"/>
      <c r="T7233" s="6">
        <v>8382.6000000000058</v>
      </c>
      <c r="U7233" s="6">
        <v>80000</v>
      </c>
      <c r="V7233" s="6">
        <v>85271.4</v>
      </c>
      <c r="W7233" s="6">
        <f t="shared" si="1119"/>
        <v>3111.2000000000116</v>
      </c>
      <c r="X7233" s="6">
        <f t="shared" si="1123"/>
        <v>84427.128712871287</v>
      </c>
      <c r="Y7233" s="13">
        <f t="shared" si="1116"/>
        <v>0</v>
      </c>
      <c r="Z7233" s="66">
        <v>0</v>
      </c>
      <c r="AA7233" s="6">
        <v>0</v>
      </c>
      <c r="AB7233" s="4">
        <f t="shared" si="1117"/>
        <v>84427.128712871287</v>
      </c>
      <c r="AC7233" s="6">
        <f t="shared" si="1124"/>
        <v>844.27128712870763</v>
      </c>
      <c r="AD7233" s="6">
        <f t="shared" si="1120"/>
        <v>85271.4</v>
      </c>
      <c r="AE7233" s="14">
        <f>VLOOKUP(I7233,[2]媒体政策预估表!A:N,MATCH(O7233,[2]媒体政策预估表!$A$2:$M$2,0),0)</f>
        <v>7.0000000000000007E-2</v>
      </c>
      <c r="AF7233" s="6">
        <f t="shared" si="1122"/>
        <v>5968.9980000000005</v>
      </c>
      <c r="AG7233" s="14">
        <v>0</v>
      </c>
      <c r="AH7233" s="64">
        <f t="shared" si="1121"/>
        <v>85271.4</v>
      </c>
      <c r="AJ7233" s="126" t="e">
        <v>#N/A</v>
      </c>
      <c r="AK7233" s="80">
        <f t="shared" si="1118"/>
        <v>0</v>
      </c>
      <c r="AL7233" s="85"/>
      <c r="AM7233" s="85"/>
    </row>
    <row r="7234" spans="1:39" s="86" customFormat="1" ht="13.25" hidden="1" customHeight="1" x14ac:dyDescent="0.3">
      <c r="A7234" s="89" t="s">
        <v>3792</v>
      </c>
      <c r="B7234" s="86" t="s">
        <v>35</v>
      </c>
      <c r="C7234" s="86" t="s">
        <v>144</v>
      </c>
      <c r="D7234" s="86" t="s">
        <v>145</v>
      </c>
      <c r="E7234" s="86" t="s">
        <v>1451</v>
      </c>
      <c r="F7234" s="86" t="s">
        <v>1452</v>
      </c>
      <c r="G7234" s="86" t="s">
        <v>1451</v>
      </c>
      <c r="H7234" s="144">
        <v>360</v>
      </c>
      <c r="I7234" s="86" t="s">
        <v>1060</v>
      </c>
      <c r="J7234" s="47" t="s">
        <v>3325</v>
      </c>
      <c r="K7234" s="47" t="s">
        <v>3767</v>
      </c>
      <c r="L7234" s="47" t="s">
        <v>35</v>
      </c>
      <c r="M7234" s="86" t="s">
        <v>1455</v>
      </c>
      <c r="O7234" s="47" t="s">
        <v>410</v>
      </c>
      <c r="P7234" s="47" t="s">
        <v>46</v>
      </c>
      <c r="Q7234" s="14">
        <v>0.01</v>
      </c>
      <c r="R7234" s="143" t="s">
        <v>1456</v>
      </c>
      <c r="S7234" s="47"/>
      <c r="T7234" s="6">
        <v>10284.68</v>
      </c>
      <c r="U7234" s="6">
        <v>40000</v>
      </c>
      <c r="V7234" s="6">
        <v>43557.1</v>
      </c>
      <c r="W7234" s="6">
        <f t="shared" si="1119"/>
        <v>6727.5800000000017</v>
      </c>
      <c r="X7234" s="6">
        <f t="shared" si="1123"/>
        <v>43125.841584158414</v>
      </c>
      <c r="Y7234" s="13">
        <f t="shared" si="1116"/>
        <v>0</v>
      </c>
      <c r="Z7234" s="66">
        <v>0</v>
      </c>
      <c r="AA7234" s="6">
        <v>0</v>
      </c>
      <c r="AB7234" s="4">
        <f t="shared" si="1117"/>
        <v>43125.841584158414</v>
      </c>
      <c r="AC7234" s="6">
        <f t="shared" si="1124"/>
        <v>431.25841584158479</v>
      </c>
      <c r="AD7234" s="6">
        <f t="shared" si="1120"/>
        <v>43557.1</v>
      </c>
      <c r="AE7234" s="14">
        <f>VLOOKUP(I7234,[2]媒体政策预估表!A:N,MATCH(O7234,[2]媒体政策预估表!$A$2:$M$2,0),0)</f>
        <v>7.0000000000000007E-2</v>
      </c>
      <c r="AF7234" s="6">
        <f t="shared" si="1122"/>
        <v>3048.9970000000003</v>
      </c>
      <c r="AG7234" s="14">
        <v>0</v>
      </c>
      <c r="AH7234" s="64">
        <f t="shared" si="1121"/>
        <v>43557.1</v>
      </c>
      <c r="AJ7234" s="126" t="e">
        <v>#N/A</v>
      </c>
      <c r="AK7234" s="80">
        <f t="shared" si="1118"/>
        <v>0</v>
      </c>
      <c r="AL7234" s="85"/>
      <c r="AM7234" s="85"/>
    </row>
    <row r="7235" spans="1:39" s="86" customFormat="1" ht="13.25" hidden="1" customHeight="1" x14ac:dyDescent="0.3">
      <c r="A7235" s="89" t="s">
        <v>3978</v>
      </c>
      <c r="B7235" s="86" t="s">
        <v>35</v>
      </c>
      <c r="C7235" s="86" t="s">
        <v>144</v>
      </c>
      <c r="D7235" s="86" t="s">
        <v>145</v>
      </c>
      <c r="E7235" s="86" t="s">
        <v>3525</v>
      </c>
      <c r="F7235" s="86" t="s">
        <v>3525</v>
      </c>
      <c r="G7235" s="86" t="s">
        <v>3525</v>
      </c>
      <c r="H7235" s="143">
        <v>360</v>
      </c>
      <c r="I7235" s="86" t="s">
        <v>1060</v>
      </c>
      <c r="J7235" s="47" t="s">
        <v>3325</v>
      </c>
      <c r="K7235" s="47" t="s">
        <v>3767</v>
      </c>
      <c r="L7235" s="47" t="s">
        <v>35</v>
      </c>
      <c r="M7235" s="86" t="s">
        <v>4053</v>
      </c>
      <c r="O7235" s="47" t="s">
        <v>410</v>
      </c>
      <c r="P7235" s="47" t="s">
        <v>41</v>
      </c>
      <c r="Q7235" s="14">
        <v>0</v>
      </c>
      <c r="R7235" s="143" t="s">
        <v>4054</v>
      </c>
      <c r="S7235" s="47"/>
      <c r="T7235" s="6">
        <v>0</v>
      </c>
      <c r="U7235" s="6">
        <v>0</v>
      </c>
      <c r="V7235" s="6">
        <v>0</v>
      </c>
      <c r="W7235" s="6">
        <f t="shared" si="1119"/>
        <v>0</v>
      </c>
      <c r="X7235" s="6">
        <f t="shared" si="1123"/>
        <v>0</v>
      </c>
      <c r="Y7235" s="13">
        <f t="shared" ref="Y7235:Y7298" si="1125">IF(X7235-AD7235&lt;=0,0,IF(P7235="返现",MAX(X7235-AC7235-AD7235,0),MAX(X7235-AD7235)))</f>
        <v>0</v>
      </c>
      <c r="Z7235" s="66">
        <v>0</v>
      </c>
      <c r="AA7235" s="6">
        <v>0</v>
      </c>
      <c r="AB7235" s="4">
        <f t="shared" ref="AB7235:AB7298" si="1126">X7235+AA7235</f>
        <v>0</v>
      </c>
      <c r="AC7235" s="6">
        <f t="shared" si="1124"/>
        <v>0</v>
      </c>
      <c r="AD7235" s="6">
        <f t="shared" si="1120"/>
        <v>0</v>
      </c>
      <c r="AE7235" s="14">
        <f>VLOOKUP(I7235,[2]媒体政策预估表!A:N,MATCH(O7235,[2]媒体政策预估表!$A$2:$M$2,0),0)</f>
        <v>7.0000000000000007E-2</v>
      </c>
      <c r="AF7235" s="6">
        <f t="shared" si="1122"/>
        <v>0</v>
      </c>
      <c r="AG7235" s="14">
        <v>0</v>
      </c>
      <c r="AH7235" s="64">
        <f t="shared" si="1121"/>
        <v>0</v>
      </c>
      <c r="AJ7235" s="126" t="e">
        <v>#N/A</v>
      </c>
      <c r="AK7235" s="80">
        <f t="shared" ref="AK7235:AK7298" si="1127">X7235+AA7235-AB7235</f>
        <v>0</v>
      </c>
      <c r="AL7235" s="85"/>
      <c r="AM7235" s="85"/>
    </row>
    <row r="7236" spans="1:39" s="86" customFormat="1" ht="13.25" hidden="1" customHeight="1" x14ac:dyDescent="0.3">
      <c r="A7236" s="89" t="s">
        <v>3978</v>
      </c>
      <c r="B7236" s="86" t="s">
        <v>35</v>
      </c>
      <c r="C7236" s="86" t="s">
        <v>144</v>
      </c>
      <c r="D7236" s="86" t="s">
        <v>145</v>
      </c>
      <c r="E7236" s="86" t="s">
        <v>3525</v>
      </c>
      <c r="F7236" s="86" t="s">
        <v>3525</v>
      </c>
      <c r="G7236" s="86" t="s">
        <v>3525</v>
      </c>
      <c r="H7236" s="144">
        <v>360</v>
      </c>
      <c r="I7236" s="86" t="s">
        <v>1060</v>
      </c>
      <c r="J7236" s="47" t="s">
        <v>3325</v>
      </c>
      <c r="K7236" s="47" t="s">
        <v>3767</v>
      </c>
      <c r="L7236" s="47" t="s">
        <v>35</v>
      </c>
      <c r="M7236" s="86" t="s">
        <v>3525</v>
      </c>
      <c r="O7236" s="47" t="s">
        <v>410</v>
      </c>
      <c r="P7236" s="47" t="s">
        <v>41</v>
      </c>
      <c r="Q7236" s="14">
        <v>0</v>
      </c>
      <c r="R7236" s="143" t="s">
        <v>3527</v>
      </c>
      <c r="S7236" s="47"/>
      <c r="T7236" s="6">
        <v>14467.900000000001</v>
      </c>
      <c r="U7236" s="6">
        <v>10000</v>
      </c>
      <c r="V7236" s="6">
        <v>13846.1</v>
      </c>
      <c r="W7236" s="6">
        <f t="shared" si="1119"/>
        <v>10621.800000000001</v>
      </c>
      <c r="X7236" s="6">
        <f t="shared" si="1123"/>
        <v>13846.1</v>
      </c>
      <c r="Y7236" s="13">
        <f t="shared" si="1125"/>
        <v>0</v>
      </c>
      <c r="Z7236" s="66">
        <v>0</v>
      </c>
      <c r="AA7236" s="6">
        <v>0</v>
      </c>
      <c r="AB7236" s="4">
        <f t="shared" si="1126"/>
        <v>13846.1</v>
      </c>
      <c r="AC7236" s="6">
        <f t="shared" si="1124"/>
        <v>0</v>
      </c>
      <c r="AD7236" s="6">
        <f t="shared" si="1120"/>
        <v>13846.1</v>
      </c>
      <c r="AE7236" s="14">
        <f>VLOOKUP(I7236,[2]媒体政策预估表!A:N,MATCH(O7236,[2]媒体政策预估表!$A$2:$M$2,0),0)</f>
        <v>7.0000000000000007E-2</v>
      </c>
      <c r="AF7236" s="6">
        <f t="shared" si="1122"/>
        <v>969.22700000000009</v>
      </c>
      <c r="AG7236" s="14">
        <v>0</v>
      </c>
      <c r="AH7236" s="64">
        <f t="shared" si="1121"/>
        <v>13846.1</v>
      </c>
      <c r="AJ7236" s="126" t="e">
        <v>#N/A</v>
      </c>
      <c r="AK7236" s="80">
        <f t="shared" si="1127"/>
        <v>0</v>
      </c>
      <c r="AL7236" s="85"/>
      <c r="AM7236" s="85"/>
    </row>
    <row r="7237" spans="1:39" s="86" customFormat="1" ht="13.25" hidden="1" customHeight="1" x14ac:dyDescent="0.3">
      <c r="A7237" s="89" t="s">
        <v>3978</v>
      </c>
      <c r="B7237" s="86" t="s">
        <v>35</v>
      </c>
      <c r="C7237" s="86" t="s">
        <v>144</v>
      </c>
      <c r="D7237" s="86" t="s">
        <v>145</v>
      </c>
      <c r="E7237" s="86" t="s">
        <v>1457</v>
      </c>
      <c r="F7237" s="86" t="s">
        <v>1458</v>
      </c>
      <c r="G7237" s="86" t="s">
        <v>1457</v>
      </c>
      <c r="H7237" s="144">
        <v>360</v>
      </c>
      <c r="I7237" s="86" t="s">
        <v>1060</v>
      </c>
      <c r="J7237" s="47" t="s">
        <v>3325</v>
      </c>
      <c r="K7237" s="47" t="s">
        <v>3767</v>
      </c>
      <c r="L7237" s="47" t="s">
        <v>35</v>
      </c>
      <c r="M7237" s="86" t="s">
        <v>1457</v>
      </c>
      <c r="O7237" s="47" t="s">
        <v>410</v>
      </c>
      <c r="P7237" s="47" t="s">
        <v>41</v>
      </c>
      <c r="Q7237" s="14">
        <v>0</v>
      </c>
      <c r="R7237" s="143" t="s">
        <v>1459</v>
      </c>
      <c r="S7237" s="47"/>
      <c r="T7237" s="6">
        <v>7846</v>
      </c>
      <c r="U7237" s="6">
        <v>30000</v>
      </c>
      <c r="V7237" s="6">
        <v>28465.7</v>
      </c>
      <c r="W7237" s="6">
        <f t="shared" si="1119"/>
        <v>9380.2999999999993</v>
      </c>
      <c r="X7237" s="6">
        <f t="shared" si="1123"/>
        <v>28465.7</v>
      </c>
      <c r="Y7237" s="13">
        <f t="shared" si="1125"/>
        <v>0</v>
      </c>
      <c r="Z7237" s="66">
        <v>0</v>
      </c>
      <c r="AA7237" s="6">
        <v>0</v>
      </c>
      <c r="AB7237" s="4">
        <f t="shared" si="1126"/>
        <v>28465.7</v>
      </c>
      <c r="AC7237" s="6">
        <f t="shared" si="1124"/>
        <v>0</v>
      </c>
      <c r="AD7237" s="6">
        <f t="shared" si="1120"/>
        <v>28465.7</v>
      </c>
      <c r="AE7237" s="14">
        <f>VLOOKUP(I7237,[2]媒体政策预估表!A:N,MATCH(O7237,[2]媒体政策预估表!$A$2:$M$2,0),0)</f>
        <v>7.0000000000000007E-2</v>
      </c>
      <c r="AF7237" s="6">
        <f t="shared" si="1122"/>
        <v>1992.5990000000002</v>
      </c>
      <c r="AG7237" s="14">
        <v>0</v>
      </c>
      <c r="AH7237" s="64">
        <f t="shared" si="1121"/>
        <v>28465.7</v>
      </c>
      <c r="AJ7237" s="126" t="e">
        <v>#N/A</v>
      </c>
      <c r="AK7237" s="80">
        <f t="shared" si="1127"/>
        <v>0</v>
      </c>
      <c r="AL7237" s="85"/>
      <c r="AM7237" s="85"/>
    </row>
    <row r="7238" spans="1:39" s="86" customFormat="1" ht="13.25" hidden="1" customHeight="1" x14ac:dyDescent="0.3">
      <c r="A7238" s="89" t="s">
        <v>3978</v>
      </c>
      <c r="B7238" s="86" t="s">
        <v>35</v>
      </c>
      <c r="C7238" s="86" t="s">
        <v>144</v>
      </c>
      <c r="D7238" s="86" t="s">
        <v>152</v>
      </c>
      <c r="E7238" s="86" t="s">
        <v>1460</v>
      </c>
      <c r="F7238" s="86" t="s">
        <v>1460</v>
      </c>
      <c r="G7238" s="86" t="s">
        <v>1460</v>
      </c>
      <c r="H7238" s="144">
        <v>360</v>
      </c>
      <c r="I7238" s="86" t="s">
        <v>1060</v>
      </c>
      <c r="J7238" s="47" t="s">
        <v>3325</v>
      </c>
      <c r="K7238" s="47" t="s">
        <v>3767</v>
      </c>
      <c r="L7238" s="47" t="s">
        <v>35</v>
      </c>
      <c r="M7238" s="86" t="s">
        <v>1461</v>
      </c>
      <c r="O7238" s="47" t="s">
        <v>410</v>
      </c>
      <c r="P7238" s="47" t="s">
        <v>41</v>
      </c>
      <c r="Q7238" s="14">
        <v>0</v>
      </c>
      <c r="R7238" s="143" t="s">
        <v>1462</v>
      </c>
      <c r="S7238" s="47"/>
      <c r="T7238" s="6">
        <v>3792.2000000000007</v>
      </c>
      <c r="U7238" s="6">
        <v>32000</v>
      </c>
      <c r="V7238" s="6">
        <v>27904</v>
      </c>
      <c r="W7238" s="6">
        <f t="shared" si="1119"/>
        <v>7888.1999999999971</v>
      </c>
      <c r="X7238" s="6">
        <f t="shared" si="1123"/>
        <v>27904</v>
      </c>
      <c r="Y7238" s="13">
        <f t="shared" si="1125"/>
        <v>0</v>
      </c>
      <c r="Z7238" s="66">
        <v>0</v>
      </c>
      <c r="AA7238" s="6">
        <v>0</v>
      </c>
      <c r="AB7238" s="4">
        <f t="shared" si="1126"/>
        <v>27904</v>
      </c>
      <c r="AC7238" s="6">
        <f t="shared" si="1124"/>
        <v>0</v>
      </c>
      <c r="AD7238" s="6">
        <f t="shared" si="1120"/>
        <v>27904</v>
      </c>
      <c r="AE7238" s="14">
        <f>VLOOKUP(I7238,[2]媒体政策预估表!A:N,MATCH(O7238,[2]媒体政策预估表!$A$2:$M$2,0),0)</f>
        <v>7.0000000000000007E-2</v>
      </c>
      <c r="AF7238" s="6">
        <f t="shared" si="1122"/>
        <v>1953.2800000000002</v>
      </c>
      <c r="AG7238" s="14">
        <v>0</v>
      </c>
      <c r="AH7238" s="64">
        <f t="shared" si="1121"/>
        <v>27904</v>
      </c>
      <c r="AJ7238" s="126" t="e">
        <v>#N/A</v>
      </c>
      <c r="AK7238" s="80">
        <f t="shared" si="1127"/>
        <v>0</v>
      </c>
      <c r="AL7238" s="85"/>
      <c r="AM7238" s="85"/>
    </row>
    <row r="7239" spans="1:39" s="86" customFormat="1" ht="13.25" hidden="1" customHeight="1" x14ac:dyDescent="0.3">
      <c r="A7239" s="89" t="s">
        <v>3978</v>
      </c>
      <c r="B7239" s="86" t="s">
        <v>35</v>
      </c>
      <c r="C7239" s="86" t="s">
        <v>144</v>
      </c>
      <c r="D7239" s="86" t="s">
        <v>152</v>
      </c>
      <c r="E7239" s="86" t="s">
        <v>155</v>
      </c>
      <c r="F7239" s="86" t="s">
        <v>1465</v>
      </c>
      <c r="G7239" s="86" t="s">
        <v>155</v>
      </c>
      <c r="H7239" s="144">
        <v>360</v>
      </c>
      <c r="I7239" s="86" t="s">
        <v>1060</v>
      </c>
      <c r="J7239" s="47" t="s">
        <v>3325</v>
      </c>
      <c r="K7239" s="47" t="s">
        <v>3767</v>
      </c>
      <c r="L7239" s="47" t="s">
        <v>35</v>
      </c>
      <c r="M7239" s="86" t="s">
        <v>2048</v>
      </c>
      <c r="O7239" s="47" t="s">
        <v>410</v>
      </c>
      <c r="P7239" s="47" t="s">
        <v>41</v>
      </c>
      <c r="Q7239" s="14">
        <v>0</v>
      </c>
      <c r="R7239" s="143" t="s">
        <v>2049</v>
      </c>
      <c r="S7239" s="47"/>
      <c r="T7239" s="6">
        <v>10870.939999999973</v>
      </c>
      <c r="U7239" s="6">
        <v>202000</v>
      </c>
      <c r="V7239" s="6">
        <v>189560.2</v>
      </c>
      <c r="W7239" s="6">
        <f t="shared" si="1119"/>
        <v>23310.739999999962</v>
      </c>
      <c r="X7239" s="6">
        <f t="shared" si="1123"/>
        <v>189560.2</v>
      </c>
      <c r="Y7239" s="13">
        <f t="shared" si="1125"/>
        <v>0</v>
      </c>
      <c r="Z7239" s="66">
        <v>0</v>
      </c>
      <c r="AA7239" s="6">
        <v>0</v>
      </c>
      <c r="AB7239" s="4">
        <f t="shared" si="1126"/>
        <v>189560.2</v>
      </c>
      <c r="AC7239" s="6">
        <f t="shared" si="1124"/>
        <v>0</v>
      </c>
      <c r="AD7239" s="6">
        <f t="shared" si="1120"/>
        <v>189560.2</v>
      </c>
      <c r="AE7239" s="14">
        <f>VLOOKUP(I7239,[2]媒体政策预估表!A:N,MATCH(O7239,[2]媒体政策预估表!$A$2:$M$2,0),0)</f>
        <v>7.0000000000000007E-2</v>
      </c>
      <c r="AF7239" s="6">
        <f t="shared" si="1122"/>
        <v>13269.214000000002</v>
      </c>
      <c r="AG7239" s="14">
        <v>0</v>
      </c>
      <c r="AH7239" s="64">
        <f t="shared" si="1121"/>
        <v>189560.2</v>
      </c>
      <c r="AJ7239" s="126" t="e">
        <v>#N/A</v>
      </c>
      <c r="AK7239" s="80">
        <f t="shared" si="1127"/>
        <v>0</v>
      </c>
      <c r="AL7239" s="85"/>
      <c r="AM7239" s="85"/>
    </row>
    <row r="7240" spans="1:39" s="86" customFormat="1" ht="13.25" hidden="1" customHeight="1" x14ac:dyDescent="0.3">
      <c r="A7240" s="89" t="s">
        <v>3978</v>
      </c>
      <c r="B7240" s="86" t="s">
        <v>35</v>
      </c>
      <c r="C7240" s="86" t="s">
        <v>144</v>
      </c>
      <c r="D7240" s="86" t="s">
        <v>152</v>
      </c>
      <c r="E7240" s="86" t="s">
        <v>155</v>
      </c>
      <c r="F7240" s="86" t="s">
        <v>1465</v>
      </c>
      <c r="G7240" s="86" t="s">
        <v>155</v>
      </c>
      <c r="H7240" s="144">
        <v>360</v>
      </c>
      <c r="I7240" s="86" t="s">
        <v>1060</v>
      </c>
      <c r="J7240" s="47" t="s">
        <v>3325</v>
      </c>
      <c r="K7240" s="47" t="s">
        <v>3767</v>
      </c>
      <c r="L7240" s="47" t="s">
        <v>35</v>
      </c>
      <c r="M7240" s="86" t="s">
        <v>1466</v>
      </c>
      <c r="O7240" s="47" t="s">
        <v>410</v>
      </c>
      <c r="P7240" s="47" t="s">
        <v>41</v>
      </c>
      <c r="Q7240" s="14">
        <v>0</v>
      </c>
      <c r="R7240" s="143" t="s">
        <v>1467</v>
      </c>
      <c r="S7240" s="47"/>
      <c r="T7240" s="6">
        <v>53586.580000000075</v>
      </c>
      <c r="U7240" s="6">
        <v>540041.51</v>
      </c>
      <c r="V7240" s="6">
        <v>501929.2</v>
      </c>
      <c r="W7240" s="6">
        <f t="shared" si="1119"/>
        <v>91698.890000000072</v>
      </c>
      <c r="X7240" s="6">
        <f t="shared" si="1123"/>
        <v>501929.2</v>
      </c>
      <c r="Y7240" s="13">
        <f t="shared" si="1125"/>
        <v>0</v>
      </c>
      <c r="Z7240" s="66">
        <v>0</v>
      </c>
      <c r="AA7240" s="6">
        <v>0</v>
      </c>
      <c r="AB7240" s="4">
        <f t="shared" si="1126"/>
        <v>501929.2</v>
      </c>
      <c r="AC7240" s="6">
        <f t="shared" si="1124"/>
        <v>0</v>
      </c>
      <c r="AD7240" s="6">
        <f t="shared" si="1120"/>
        <v>501929.2</v>
      </c>
      <c r="AE7240" s="14">
        <f>VLOOKUP(I7240,[2]媒体政策预估表!A:N,MATCH(O7240,[2]媒体政策预估表!$A$2:$M$2,0),0)</f>
        <v>7.0000000000000007E-2</v>
      </c>
      <c r="AF7240" s="6">
        <f t="shared" si="1122"/>
        <v>35135.044000000002</v>
      </c>
      <c r="AG7240" s="14">
        <v>0</v>
      </c>
      <c r="AH7240" s="64">
        <f t="shared" si="1121"/>
        <v>501929.2</v>
      </c>
      <c r="AJ7240" s="126" t="e">
        <v>#N/A</v>
      </c>
      <c r="AK7240" s="80">
        <f t="shared" si="1127"/>
        <v>0</v>
      </c>
      <c r="AL7240" s="85"/>
      <c r="AM7240" s="85"/>
    </row>
    <row r="7241" spans="1:39" s="86" customFormat="1" ht="13.25" hidden="1" customHeight="1" x14ac:dyDescent="0.3">
      <c r="A7241" s="89" t="s">
        <v>3978</v>
      </c>
      <c r="B7241" s="86" t="s">
        <v>35</v>
      </c>
      <c r="C7241" s="86" t="s">
        <v>144</v>
      </c>
      <c r="D7241" s="86" t="s">
        <v>152</v>
      </c>
      <c r="E7241" s="86" t="s">
        <v>2558</v>
      </c>
      <c r="F7241" s="86" t="s">
        <v>4055</v>
      </c>
      <c r="G7241" s="86" t="s">
        <v>2558</v>
      </c>
      <c r="H7241" s="144">
        <v>360</v>
      </c>
      <c r="I7241" s="86" t="s">
        <v>1060</v>
      </c>
      <c r="J7241" s="47" t="s">
        <v>3325</v>
      </c>
      <c r="K7241" s="47" t="s">
        <v>3767</v>
      </c>
      <c r="L7241" s="47" t="s">
        <v>35</v>
      </c>
      <c r="M7241" s="86" t="s">
        <v>2558</v>
      </c>
      <c r="O7241" s="47" t="s">
        <v>410</v>
      </c>
      <c r="P7241" s="47" t="s">
        <v>41</v>
      </c>
      <c r="Q7241" s="14">
        <v>0</v>
      </c>
      <c r="R7241" s="143" t="s">
        <v>4056</v>
      </c>
      <c r="S7241" s="47"/>
      <c r="T7241" s="6">
        <v>0</v>
      </c>
      <c r="U7241" s="6">
        <v>30000</v>
      </c>
      <c r="V7241" s="6">
        <v>11293.5</v>
      </c>
      <c r="W7241" s="6">
        <f t="shared" si="1119"/>
        <v>18706.5</v>
      </c>
      <c r="X7241" s="6">
        <f t="shared" si="1123"/>
        <v>11293.5</v>
      </c>
      <c r="Y7241" s="13">
        <f t="shared" si="1125"/>
        <v>0</v>
      </c>
      <c r="Z7241" s="66">
        <v>0</v>
      </c>
      <c r="AA7241" s="6">
        <v>0</v>
      </c>
      <c r="AB7241" s="4">
        <f t="shared" si="1126"/>
        <v>11293.5</v>
      </c>
      <c r="AC7241" s="6">
        <f t="shared" si="1124"/>
        <v>0</v>
      </c>
      <c r="AD7241" s="6">
        <f t="shared" si="1120"/>
        <v>11293.5</v>
      </c>
      <c r="AE7241" s="14">
        <f>VLOOKUP(I7241,[2]媒体政策预估表!A:N,MATCH(O7241,[2]媒体政策预估表!$A$2:$M$2,0),0)</f>
        <v>7.0000000000000007E-2</v>
      </c>
      <c r="AF7241" s="6">
        <f t="shared" si="1122"/>
        <v>790.54500000000007</v>
      </c>
      <c r="AG7241" s="14">
        <v>0</v>
      </c>
      <c r="AH7241" s="64">
        <f t="shared" si="1121"/>
        <v>11293.5</v>
      </c>
      <c r="AJ7241" s="126" t="e">
        <v>#N/A</v>
      </c>
      <c r="AK7241" s="80">
        <f t="shared" si="1127"/>
        <v>0</v>
      </c>
      <c r="AL7241" s="85"/>
      <c r="AM7241" s="85"/>
    </row>
    <row r="7242" spans="1:39" s="86" customFormat="1" ht="13.25" hidden="1" customHeight="1" x14ac:dyDescent="0.3">
      <c r="A7242" s="89" t="s">
        <v>3792</v>
      </c>
      <c r="B7242" s="86" t="s">
        <v>35</v>
      </c>
      <c r="C7242" s="86" t="s">
        <v>144</v>
      </c>
      <c r="D7242" s="86" t="s">
        <v>152</v>
      </c>
      <c r="E7242" s="86" t="s">
        <v>157</v>
      </c>
      <c r="F7242" s="86" t="s">
        <v>157</v>
      </c>
      <c r="G7242" s="86" t="s">
        <v>157</v>
      </c>
      <c r="H7242" s="144">
        <v>360</v>
      </c>
      <c r="I7242" s="86" t="s">
        <v>1060</v>
      </c>
      <c r="J7242" s="47" t="s">
        <v>3325</v>
      </c>
      <c r="K7242" s="47" t="s">
        <v>3767</v>
      </c>
      <c r="L7242" s="47" t="s">
        <v>35</v>
      </c>
      <c r="M7242" s="86" t="s">
        <v>157</v>
      </c>
      <c r="O7242" s="47" t="s">
        <v>410</v>
      </c>
      <c r="P7242" s="47" t="s">
        <v>41</v>
      </c>
      <c r="Q7242" s="14">
        <v>0</v>
      </c>
      <c r="R7242" s="143" t="s">
        <v>1471</v>
      </c>
      <c r="S7242" s="47"/>
      <c r="T7242" s="6">
        <v>7386.8999999999651</v>
      </c>
      <c r="U7242" s="6">
        <v>400000</v>
      </c>
      <c r="V7242" s="6">
        <v>374768.1</v>
      </c>
      <c r="W7242" s="6">
        <f t="shared" si="1119"/>
        <v>32618.799999999988</v>
      </c>
      <c r="X7242" s="6">
        <f t="shared" si="1123"/>
        <v>374768.1</v>
      </c>
      <c r="Y7242" s="13">
        <f t="shared" si="1125"/>
        <v>0</v>
      </c>
      <c r="Z7242" s="66">
        <v>0</v>
      </c>
      <c r="AA7242" s="6">
        <v>0</v>
      </c>
      <c r="AB7242" s="4">
        <f t="shared" si="1126"/>
        <v>374768.1</v>
      </c>
      <c r="AC7242" s="6">
        <f t="shared" si="1124"/>
        <v>0</v>
      </c>
      <c r="AD7242" s="6">
        <f t="shared" si="1120"/>
        <v>374768.1</v>
      </c>
      <c r="AE7242" s="14">
        <f>VLOOKUP(I7242,[2]媒体政策预估表!A:N,MATCH(O7242,[2]媒体政策预估表!$A$2:$M$2,0),0)</f>
        <v>7.0000000000000007E-2</v>
      </c>
      <c r="AF7242" s="6">
        <f t="shared" si="1122"/>
        <v>26233.767</v>
      </c>
      <c r="AG7242" s="14">
        <v>0</v>
      </c>
      <c r="AH7242" s="64">
        <f t="shared" si="1121"/>
        <v>374768.1</v>
      </c>
      <c r="AJ7242" s="126" t="e">
        <v>#N/A</v>
      </c>
      <c r="AK7242" s="80">
        <f t="shared" si="1127"/>
        <v>0</v>
      </c>
      <c r="AL7242" s="85"/>
      <c r="AM7242" s="85"/>
    </row>
    <row r="7243" spans="1:39" s="86" customFormat="1" ht="13.25" hidden="1" customHeight="1" x14ac:dyDescent="0.3">
      <c r="A7243" s="89" t="s">
        <v>3978</v>
      </c>
      <c r="B7243" s="86" t="s">
        <v>35</v>
      </c>
      <c r="C7243" s="86" t="s">
        <v>144</v>
      </c>
      <c r="D7243" s="86" t="s">
        <v>152</v>
      </c>
      <c r="E7243" s="86" t="s">
        <v>1472</v>
      </c>
      <c r="F7243" s="86" t="s">
        <v>1472</v>
      </c>
      <c r="G7243" s="86" t="s">
        <v>1472</v>
      </c>
      <c r="H7243" s="144">
        <v>360</v>
      </c>
      <c r="I7243" s="86" t="s">
        <v>1060</v>
      </c>
      <c r="J7243" s="47" t="s">
        <v>3325</v>
      </c>
      <c r="K7243" s="47" t="s">
        <v>3767</v>
      </c>
      <c r="L7243" s="47" t="s">
        <v>35</v>
      </c>
      <c r="M7243" s="86" t="s">
        <v>1472</v>
      </c>
      <c r="O7243" s="47" t="s">
        <v>410</v>
      </c>
      <c r="P7243" s="47" t="s">
        <v>41</v>
      </c>
      <c r="Q7243" s="14">
        <v>0</v>
      </c>
      <c r="R7243" s="143" t="s">
        <v>1473</v>
      </c>
      <c r="S7243" s="47"/>
      <c r="T7243" s="6">
        <v>19659.100000000006</v>
      </c>
      <c r="U7243" s="6">
        <v>300000</v>
      </c>
      <c r="V7243" s="6">
        <v>282384.8</v>
      </c>
      <c r="W7243" s="6">
        <f t="shared" si="1119"/>
        <v>37274.299999999988</v>
      </c>
      <c r="X7243" s="6">
        <f t="shared" si="1123"/>
        <v>282384.8</v>
      </c>
      <c r="Y7243" s="13">
        <f t="shared" si="1125"/>
        <v>0</v>
      </c>
      <c r="Z7243" s="66">
        <v>0</v>
      </c>
      <c r="AA7243" s="6">
        <v>0</v>
      </c>
      <c r="AB7243" s="4">
        <f t="shared" si="1126"/>
        <v>282384.8</v>
      </c>
      <c r="AC7243" s="6">
        <f t="shared" si="1124"/>
        <v>0</v>
      </c>
      <c r="AD7243" s="6">
        <f t="shared" si="1120"/>
        <v>282384.8</v>
      </c>
      <c r="AE7243" s="14">
        <f>VLOOKUP(I7243,[2]媒体政策预估表!A:N,MATCH(O7243,[2]媒体政策预估表!$A$2:$M$2,0),0)</f>
        <v>7.0000000000000007E-2</v>
      </c>
      <c r="AF7243" s="6">
        <f t="shared" si="1122"/>
        <v>19766.936000000002</v>
      </c>
      <c r="AG7243" s="14">
        <v>0</v>
      </c>
      <c r="AH7243" s="64">
        <f t="shared" si="1121"/>
        <v>282384.8</v>
      </c>
      <c r="AJ7243" s="126" t="e">
        <v>#N/A</v>
      </c>
      <c r="AK7243" s="80">
        <f t="shared" si="1127"/>
        <v>0</v>
      </c>
      <c r="AL7243" s="85"/>
      <c r="AM7243" s="85"/>
    </row>
    <row r="7244" spans="1:39" s="86" customFormat="1" ht="13.25" hidden="1" customHeight="1" x14ac:dyDescent="0.3">
      <c r="A7244" s="89" t="s">
        <v>3978</v>
      </c>
      <c r="B7244" s="86" t="s">
        <v>35</v>
      </c>
      <c r="C7244" s="86" t="s">
        <v>144</v>
      </c>
      <c r="D7244" s="86" t="s">
        <v>152</v>
      </c>
      <c r="E7244" s="86" t="s">
        <v>1472</v>
      </c>
      <c r="F7244" s="86" t="s">
        <v>1472</v>
      </c>
      <c r="G7244" s="86" t="s">
        <v>1472</v>
      </c>
      <c r="H7244" s="144">
        <v>360</v>
      </c>
      <c r="I7244" s="86" t="s">
        <v>1060</v>
      </c>
      <c r="J7244" s="47" t="s">
        <v>3325</v>
      </c>
      <c r="K7244" s="47" t="s">
        <v>3767</v>
      </c>
      <c r="L7244" s="47" t="s">
        <v>35</v>
      </c>
      <c r="M7244" s="86" t="s">
        <v>1472</v>
      </c>
      <c r="O7244" s="47" t="s">
        <v>410</v>
      </c>
      <c r="P7244" s="47" t="s">
        <v>41</v>
      </c>
      <c r="Q7244" s="14">
        <v>0</v>
      </c>
      <c r="R7244" s="143" t="s">
        <v>4057</v>
      </c>
      <c r="S7244" s="47"/>
      <c r="T7244" s="6">
        <v>0</v>
      </c>
      <c r="U7244" s="6">
        <v>50000</v>
      </c>
      <c r="V7244" s="6">
        <v>22930.799999999999</v>
      </c>
      <c r="W7244" s="6">
        <f t="shared" si="1119"/>
        <v>27069.200000000001</v>
      </c>
      <c r="X7244" s="6">
        <f t="shared" si="1123"/>
        <v>22930.799999999999</v>
      </c>
      <c r="Y7244" s="13">
        <f t="shared" si="1125"/>
        <v>0</v>
      </c>
      <c r="Z7244" s="66">
        <v>0</v>
      </c>
      <c r="AA7244" s="6">
        <v>0</v>
      </c>
      <c r="AB7244" s="4">
        <f t="shared" si="1126"/>
        <v>22930.799999999999</v>
      </c>
      <c r="AC7244" s="6">
        <f t="shared" si="1124"/>
        <v>0</v>
      </c>
      <c r="AD7244" s="6">
        <f t="shared" si="1120"/>
        <v>22930.799999999999</v>
      </c>
      <c r="AE7244" s="14">
        <f>VLOOKUP(I7244,[2]媒体政策预估表!A:N,MATCH(O7244,[2]媒体政策预估表!$A$2:$M$2,0),0)</f>
        <v>7.0000000000000007E-2</v>
      </c>
      <c r="AF7244" s="6">
        <f t="shared" si="1122"/>
        <v>1605.1560000000002</v>
      </c>
      <c r="AG7244" s="14">
        <v>0</v>
      </c>
      <c r="AH7244" s="64">
        <f t="shared" si="1121"/>
        <v>22930.799999999999</v>
      </c>
      <c r="AJ7244" s="126" t="e">
        <v>#N/A</v>
      </c>
      <c r="AK7244" s="80">
        <f t="shared" si="1127"/>
        <v>0</v>
      </c>
      <c r="AL7244" s="85"/>
      <c r="AM7244" s="85"/>
    </row>
    <row r="7245" spans="1:39" s="86" customFormat="1" ht="13.25" hidden="1" customHeight="1" x14ac:dyDescent="0.3">
      <c r="A7245" s="89" t="s">
        <v>3978</v>
      </c>
      <c r="B7245" s="86" t="s">
        <v>35</v>
      </c>
      <c r="C7245" s="86" t="s">
        <v>144</v>
      </c>
      <c r="D7245" s="86" t="s">
        <v>152</v>
      </c>
      <c r="E7245" s="86" t="s">
        <v>3211</v>
      </c>
      <c r="F7245" s="86" t="s">
        <v>3530</v>
      </c>
      <c r="G7245" s="86" t="s">
        <v>3211</v>
      </c>
      <c r="H7245" s="144">
        <v>360</v>
      </c>
      <c r="I7245" s="86" t="s">
        <v>1060</v>
      </c>
      <c r="J7245" s="47" t="s">
        <v>3325</v>
      </c>
      <c r="K7245" s="47" t="s">
        <v>3767</v>
      </c>
      <c r="L7245" s="47" t="s">
        <v>35</v>
      </c>
      <c r="M7245" s="86" t="s">
        <v>3531</v>
      </c>
      <c r="O7245" s="47" t="s">
        <v>410</v>
      </c>
      <c r="P7245" s="47" t="s">
        <v>46</v>
      </c>
      <c r="Q7245" s="14">
        <v>0.02</v>
      </c>
      <c r="R7245" s="143" t="s">
        <v>3532</v>
      </c>
      <c r="S7245" s="47"/>
      <c r="T7245" s="6">
        <v>5155</v>
      </c>
      <c r="U7245" s="6">
        <v>65000</v>
      </c>
      <c r="V7245" s="6">
        <v>56080.9</v>
      </c>
      <c r="W7245" s="6">
        <f t="shared" si="1119"/>
        <v>14074.099999999999</v>
      </c>
      <c r="X7245" s="6">
        <f t="shared" si="1123"/>
        <v>54981.274509803923</v>
      </c>
      <c r="Y7245" s="13">
        <f t="shared" si="1125"/>
        <v>0</v>
      </c>
      <c r="Z7245" s="66">
        <v>0</v>
      </c>
      <c r="AA7245" s="6">
        <v>0</v>
      </c>
      <c r="AB7245" s="4">
        <f t="shared" si="1126"/>
        <v>54981.274509803923</v>
      </c>
      <c r="AC7245" s="6">
        <f t="shared" si="1124"/>
        <v>1099.6254901960783</v>
      </c>
      <c r="AD7245" s="6">
        <f t="shared" si="1120"/>
        <v>56080.9</v>
      </c>
      <c r="AE7245" s="14">
        <f>VLOOKUP(I7245,[2]媒体政策预估表!A:N,MATCH(O7245,[2]媒体政策预估表!$A$2:$M$2,0),0)</f>
        <v>7.0000000000000007E-2</v>
      </c>
      <c r="AF7245" s="6">
        <f t="shared" si="1122"/>
        <v>3925.6630000000005</v>
      </c>
      <c r="AG7245" s="14">
        <v>0</v>
      </c>
      <c r="AH7245" s="64">
        <f t="shared" si="1121"/>
        <v>56080.9</v>
      </c>
      <c r="AJ7245" s="126" t="e">
        <v>#N/A</v>
      </c>
      <c r="AK7245" s="80">
        <f t="shared" si="1127"/>
        <v>0</v>
      </c>
      <c r="AL7245" s="85"/>
      <c r="AM7245" s="85"/>
    </row>
    <row r="7246" spans="1:39" s="86" customFormat="1" ht="13.25" hidden="1" customHeight="1" x14ac:dyDescent="0.3">
      <c r="A7246" s="89" t="s">
        <v>3978</v>
      </c>
      <c r="B7246" s="86" t="s">
        <v>35</v>
      </c>
      <c r="C7246" s="86" t="s">
        <v>144</v>
      </c>
      <c r="D7246" s="86" t="s">
        <v>152</v>
      </c>
      <c r="E7246" s="86" t="s">
        <v>1474</v>
      </c>
      <c r="F7246" s="86" t="s">
        <v>1474</v>
      </c>
      <c r="G7246" s="86" t="s">
        <v>1474</v>
      </c>
      <c r="H7246" s="144">
        <v>360</v>
      </c>
      <c r="I7246" s="86" t="s">
        <v>1060</v>
      </c>
      <c r="J7246" s="47" t="s">
        <v>3325</v>
      </c>
      <c r="K7246" s="47" t="s">
        <v>3767</v>
      </c>
      <c r="L7246" s="47" t="s">
        <v>35</v>
      </c>
      <c r="M7246" s="86" t="s">
        <v>1475</v>
      </c>
      <c r="O7246" s="47" t="s">
        <v>410</v>
      </c>
      <c r="P7246" s="47" t="s">
        <v>46</v>
      </c>
      <c r="Q7246" s="14">
        <v>0.01</v>
      </c>
      <c r="R7246" s="143" t="s">
        <v>1476</v>
      </c>
      <c r="S7246" s="47"/>
      <c r="T7246" s="6">
        <v>15155.460000000079</v>
      </c>
      <c r="U7246" s="6">
        <v>470000</v>
      </c>
      <c r="V7246" s="6">
        <v>446963.5</v>
      </c>
      <c r="W7246" s="6">
        <f t="shared" si="1119"/>
        <v>38191.960000000079</v>
      </c>
      <c r="X7246" s="6">
        <f t="shared" si="1123"/>
        <v>442538.11881188117</v>
      </c>
      <c r="Y7246" s="13">
        <f t="shared" si="1125"/>
        <v>0</v>
      </c>
      <c r="Z7246" s="66">
        <v>0</v>
      </c>
      <c r="AA7246" s="6">
        <v>0</v>
      </c>
      <c r="AB7246" s="4">
        <f t="shared" si="1126"/>
        <v>442538.11881188117</v>
      </c>
      <c r="AC7246" s="6">
        <f t="shared" si="1124"/>
        <v>4425.3811881188303</v>
      </c>
      <c r="AD7246" s="6">
        <f t="shared" si="1120"/>
        <v>446963.5</v>
      </c>
      <c r="AE7246" s="14">
        <f>VLOOKUP(I7246,[2]媒体政策预估表!A:N,MATCH(O7246,[2]媒体政策预估表!$A$2:$M$2,0),0)</f>
        <v>7.0000000000000007E-2</v>
      </c>
      <c r="AF7246" s="6">
        <f t="shared" si="1122"/>
        <v>31287.445000000003</v>
      </c>
      <c r="AG7246" s="14">
        <v>0</v>
      </c>
      <c r="AH7246" s="64">
        <f t="shared" si="1121"/>
        <v>446963.5</v>
      </c>
      <c r="AJ7246" s="126" t="e">
        <v>#N/A</v>
      </c>
      <c r="AK7246" s="80">
        <f t="shared" si="1127"/>
        <v>0</v>
      </c>
      <c r="AL7246" s="85"/>
      <c r="AM7246" s="85"/>
    </row>
    <row r="7247" spans="1:39" s="86" customFormat="1" ht="13.25" hidden="1" customHeight="1" x14ac:dyDescent="0.3">
      <c r="A7247" s="89" t="s">
        <v>3978</v>
      </c>
      <c r="B7247" s="86" t="s">
        <v>35</v>
      </c>
      <c r="C7247" s="86" t="s">
        <v>144</v>
      </c>
      <c r="D7247" s="86" t="s">
        <v>152</v>
      </c>
      <c r="E7247" s="86" t="s">
        <v>1474</v>
      </c>
      <c r="F7247" s="86" t="s">
        <v>1474</v>
      </c>
      <c r="G7247" s="86" t="s">
        <v>1474</v>
      </c>
      <c r="H7247" s="144">
        <v>360</v>
      </c>
      <c r="I7247" s="86" t="s">
        <v>1060</v>
      </c>
      <c r="J7247" s="47" t="s">
        <v>3325</v>
      </c>
      <c r="K7247" s="47" t="s">
        <v>3767</v>
      </c>
      <c r="L7247" s="47" t="s">
        <v>35</v>
      </c>
      <c r="M7247" s="86" t="s">
        <v>1474</v>
      </c>
      <c r="O7247" s="47" t="s">
        <v>410</v>
      </c>
      <c r="P7247" s="47" t="s">
        <v>46</v>
      </c>
      <c r="Q7247" s="14">
        <v>0.01</v>
      </c>
      <c r="R7247" s="143" t="s">
        <v>1477</v>
      </c>
      <c r="S7247" s="47"/>
      <c r="T7247" s="6">
        <v>32222.100249999901</v>
      </c>
      <c r="U7247" s="6">
        <v>1190000</v>
      </c>
      <c r="V7247" s="6">
        <v>1116242.5</v>
      </c>
      <c r="W7247" s="6">
        <f t="shared" si="1119"/>
        <v>105979.6002499999</v>
      </c>
      <c r="X7247" s="6">
        <f t="shared" si="1123"/>
        <v>1105190.5940594058</v>
      </c>
      <c r="Y7247" s="13">
        <f t="shared" si="1125"/>
        <v>0</v>
      </c>
      <c r="Z7247" s="66">
        <v>0</v>
      </c>
      <c r="AA7247" s="6">
        <v>0</v>
      </c>
      <c r="AB7247" s="4">
        <f t="shared" si="1126"/>
        <v>1105190.5940594058</v>
      </c>
      <c r="AC7247" s="6">
        <f t="shared" si="1124"/>
        <v>11051.905940594152</v>
      </c>
      <c r="AD7247" s="6">
        <f t="shared" si="1120"/>
        <v>1116242.5</v>
      </c>
      <c r="AE7247" s="14">
        <f>VLOOKUP(I7247,[2]媒体政策预估表!A:N,MATCH(O7247,[2]媒体政策预估表!$A$2:$M$2,0),0)</f>
        <v>7.0000000000000007E-2</v>
      </c>
      <c r="AF7247" s="6">
        <f t="shared" si="1122"/>
        <v>78136.975000000006</v>
      </c>
      <c r="AG7247" s="14">
        <v>0</v>
      </c>
      <c r="AH7247" s="64">
        <f t="shared" si="1121"/>
        <v>1116242.5</v>
      </c>
      <c r="AJ7247" s="126" t="e">
        <v>#N/A</v>
      </c>
      <c r="AK7247" s="80">
        <f t="shared" si="1127"/>
        <v>0</v>
      </c>
      <c r="AL7247" s="85"/>
      <c r="AM7247" s="85"/>
    </row>
    <row r="7248" spans="1:39" s="86" customFormat="1" ht="13.25" hidden="1" customHeight="1" x14ac:dyDescent="0.3">
      <c r="A7248" s="89" t="s">
        <v>3978</v>
      </c>
      <c r="B7248" s="86" t="s">
        <v>35</v>
      </c>
      <c r="C7248" s="86" t="s">
        <v>144</v>
      </c>
      <c r="D7248" s="86" t="s">
        <v>152</v>
      </c>
      <c r="E7248" s="86" t="s">
        <v>1478</v>
      </c>
      <c r="F7248" s="86" t="s">
        <v>1478</v>
      </c>
      <c r="G7248" s="86" t="s">
        <v>1478</v>
      </c>
      <c r="H7248" s="143">
        <v>360</v>
      </c>
      <c r="I7248" s="86" t="s">
        <v>1060</v>
      </c>
      <c r="J7248" s="47" t="s">
        <v>3325</v>
      </c>
      <c r="K7248" s="47" t="s">
        <v>3767</v>
      </c>
      <c r="L7248" s="47" t="s">
        <v>35</v>
      </c>
      <c r="M7248" s="86" t="s">
        <v>1479</v>
      </c>
      <c r="O7248" s="47" t="s">
        <v>410</v>
      </c>
      <c r="P7248" s="47" t="s">
        <v>46</v>
      </c>
      <c r="Q7248" s="14">
        <v>0.02</v>
      </c>
      <c r="R7248" s="143" t="s">
        <v>1480</v>
      </c>
      <c r="S7248" s="47"/>
      <c r="T7248" s="6">
        <v>2130000</v>
      </c>
      <c r="U7248" s="6">
        <v>400000</v>
      </c>
      <c r="V7248" s="6">
        <v>0</v>
      </c>
      <c r="W7248" s="6">
        <f t="shared" si="1119"/>
        <v>2530000</v>
      </c>
      <c r="X7248" s="6">
        <f t="shared" si="1123"/>
        <v>0</v>
      </c>
      <c r="Y7248" s="13">
        <f t="shared" si="1125"/>
        <v>0</v>
      </c>
      <c r="Z7248" s="66">
        <v>0</v>
      </c>
      <c r="AA7248" s="6">
        <v>0</v>
      </c>
      <c r="AB7248" s="4">
        <f t="shared" si="1126"/>
        <v>0</v>
      </c>
      <c r="AC7248" s="6">
        <f t="shared" si="1124"/>
        <v>0</v>
      </c>
      <c r="AD7248" s="6">
        <f t="shared" si="1120"/>
        <v>0</v>
      </c>
      <c r="AE7248" s="14">
        <f>VLOOKUP(I7248,[2]媒体政策预估表!A:N,MATCH(O7248,[2]媒体政策预估表!$A$2:$M$2,0),0)</f>
        <v>7.0000000000000007E-2</v>
      </c>
      <c r="AF7248" s="6">
        <f t="shared" si="1122"/>
        <v>0</v>
      </c>
      <c r="AG7248" s="14">
        <v>0</v>
      </c>
      <c r="AH7248" s="64">
        <f t="shared" si="1121"/>
        <v>0</v>
      </c>
      <c r="AJ7248" s="126" t="e">
        <v>#N/A</v>
      </c>
      <c r="AK7248" s="80">
        <f t="shared" si="1127"/>
        <v>0</v>
      </c>
      <c r="AL7248" s="85"/>
      <c r="AM7248" s="85"/>
    </row>
    <row r="7249" spans="1:39" s="86" customFormat="1" ht="13.25" hidden="1" customHeight="1" x14ac:dyDescent="0.3">
      <c r="A7249" s="89" t="s">
        <v>3792</v>
      </c>
      <c r="B7249" s="86" t="s">
        <v>35</v>
      </c>
      <c r="C7249" s="86" t="s">
        <v>144</v>
      </c>
      <c r="D7249" s="86" t="s">
        <v>152</v>
      </c>
      <c r="E7249" s="86" t="s">
        <v>1482</v>
      </c>
      <c r="F7249" s="86" t="s">
        <v>1482</v>
      </c>
      <c r="G7249" s="86" t="s">
        <v>1482</v>
      </c>
      <c r="H7249" s="144">
        <v>360</v>
      </c>
      <c r="I7249" s="86" t="s">
        <v>1060</v>
      </c>
      <c r="J7249" s="47" t="s">
        <v>3325</v>
      </c>
      <c r="K7249" s="47" t="s">
        <v>3767</v>
      </c>
      <c r="L7249" s="47" t="s">
        <v>35</v>
      </c>
      <c r="M7249" s="86" t="s">
        <v>1482</v>
      </c>
      <c r="O7249" s="47" t="s">
        <v>410</v>
      </c>
      <c r="P7249" s="47" t="s">
        <v>41</v>
      </c>
      <c r="Q7249" s="14">
        <v>0</v>
      </c>
      <c r="R7249" s="143" t="s">
        <v>1483</v>
      </c>
      <c r="S7249" s="47"/>
      <c r="T7249" s="6">
        <v>11217.94</v>
      </c>
      <c r="U7249" s="6">
        <v>10000</v>
      </c>
      <c r="V7249" s="6">
        <v>14646.6</v>
      </c>
      <c r="W7249" s="6">
        <f t="shared" si="1119"/>
        <v>6571.340000000002</v>
      </c>
      <c r="X7249" s="6">
        <f t="shared" si="1123"/>
        <v>14646.6</v>
      </c>
      <c r="Y7249" s="13">
        <f t="shared" si="1125"/>
        <v>0</v>
      </c>
      <c r="Z7249" s="66">
        <v>0</v>
      </c>
      <c r="AA7249" s="6">
        <v>0</v>
      </c>
      <c r="AB7249" s="4">
        <f t="shared" si="1126"/>
        <v>14646.6</v>
      </c>
      <c r="AC7249" s="6">
        <f t="shared" si="1124"/>
        <v>0</v>
      </c>
      <c r="AD7249" s="6">
        <f t="shared" si="1120"/>
        <v>14646.6</v>
      </c>
      <c r="AE7249" s="14">
        <f>VLOOKUP(I7249,[2]媒体政策预估表!A:N,MATCH(O7249,[2]媒体政策预估表!$A$2:$M$2,0),0)</f>
        <v>7.0000000000000007E-2</v>
      </c>
      <c r="AF7249" s="6">
        <f t="shared" si="1122"/>
        <v>1025.2620000000002</v>
      </c>
      <c r="AG7249" s="14">
        <v>0</v>
      </c>
      <c r="AH7249" s="64">
        <f t="shared" si="1121"/>
        <v>14646.6</v>
      </c>
      <c r="AJ7249" s="126" t="e">
        <v>#N/A</v>
      </c>
      <c r="AK7249" s="80">
        <f t="shared" si="1127"/>
        <v>0</v>
      </c>
      <c r="AL7249" s="85"/>
      <c r="AM7249" s="85"/>
    </row>
    <row r="7250" spans="1:39" s="86" customFormat="1" ht="13.25" hidden="1" customHeight="1" x14ac:dyDescent="0.3">
      <c r="A7250" s="89" t="s">
        <v>3978</v>
      </c>
      <c r="B7250" s="86" t="s">
        <v>35</v>
      </c>
      <c r="C7250" s="86" t="s">
        <v>144</v>
      </c>
      <c r="D7250" s="86" t="s">
        <v>152</v>
      </c>
      <c r="E7250" s="86" t="s">
        <v>1484</v>
      </c>
      <c r="F7250" s="86" t="s">
        <v>1485</v>
      </c>
      <c r="G7250" s="86" t="s">
        <v>1484</v>
      </c>
      <c r="H7250" s="144">
        <v>360</v>
      </c>
      <c r="I7250" s="86" t="s">
        <v>1060</v>
      </c>
      <c r="J7250" s="47" t="s">
        <v>3325</v>
      </c>
      <c r="K7250" s="47" t="s">
        <v>3767</v>
      </c>
      <c r="L7250" s="47" t="s">
        <v>35</v>
      </c>
      <c r="M7250" s="86" t="s">
        <v>1486</v>
      </c>
      <c r="O7250" s="47" t="s">
        <v>410</v>
      </c>
      <c r="P7250" s="47" t="s">
        <v>41</v>
      </c>
      <c r="Q7250" s="14">
        <v>0</v>
      </c>
      <c r="R7250" s="143" t="s">
        <v>1487</v>
      </c>
      <c r="S7250" s="47"/>
      <c r="T7250" s="6">
        <v>290630.18721</v>
      </c>
      <c r="U7250" s="6">
        <v>7000000</v>
      </c>
      <c r="V7250" s="6">
        <v>6915058.2899599997</v>
      </c>
      <c r="W7250" s="6">
        <f t="shared" si="1119"/>
        <v>375571.89725000039</v>
      </c>
      <c r="X7250" s="6">
        <f t="shared" si="1123"/>
        <v>6915058.2899599997</v>
      </c>
      <c r="Y7250" s="13">
        <f t="shared" si="1125"/>
        <v>0</v>
      </c>
      <c r="Z7250" s="66">
        <v>0</v>
      </c>
      <c r="AA7250" s="6">
        <v>0</v>
      </c>
      <c r="AB7250" s="4">
        <f t="shared" si="1126"/>
        <v>6915058.2899599997</v>
      </c>
      <c r="AC7250" s="6">
        <f t="shared" si="1124"/>
        <v>0</v>
      </c>
      <c r="AD7250" s="6">
        <f t="shared" si="1120"/>
        <v>6915058.2899599997</v>
      </c>
      <c r="AE7250" s="14">
        <f>VLOOKUP(I7250,[2]媒体政策预估表!A:N,MATCH(O7250,[2]媒体政策预估表!$A$2:$M$2,0),0)</f>
        <v>7.0000000000000007E-2</v>
      </c>
      <c r="AF7250" s="6">
        <f t="shared" si="1122"/>
        <v>484054.08029720001</v>
      </c>
      <c r="AG7250" s="14">
        <v>0</v>
      </c>
      <c r="AH7250" s="64">
        <f t="shared" si="1121"/>
        <v>6915058.2899599997</v>
      </c>
      <c r="AJ7250" s="126" t="e">
        <v>#N/A</v>
      </c>
      <c r="AK7250" s="80">
        <f t="shared" si="1127"/>
        <v>0</v>
      </c>
      <c r="AL7250" s="85"/>
      <c r="AM7250" s="85"/>
    </row>
    <row r="7251" spans="1:39" s="86" customFormat="1" ht="13.25" hidden="1" customHeight="1" x14ac:dyDescent="0.3">
      <c r="A7251" s="89" t="s">
        <v>3978</v>
      </c>
      <c r="B7251" s="86" t="s">
        <v>35</v>
      </c>
      <c r="C7251" s="86" t="s">
        <v>144</v>
      </c>
      <c r="D7251" s="86" t="s">
        <v>152</v>
      </c>
      <c r="E7251" s="86" t="s">
        <v>1488</v>
      </c>
      <c r="F7251" s="86" t="s">
        <v>1488</v>
      </c>
      <c r="G7251" s="86" t="s">
        <v>1488</v>
      </c>
      <c r="H7251" s="144">
        <v>360</v>
      </c>
      <c r="I7251" s="86" t="s">
        <v>1060</v>
      </c>
      <c r="J7251" s="47" t="s">
        <v>3325</v>
      </c>
      <c r="K7251" s="47" t="s">
        <v>3767</v>
      </c>
      <c r="L7251" s="47" t="s">
        <v>35</v>
      </c>
      <c r="M7251" s="86" t="s">
        <v>1489</v>
      </c>
      <c r="O7251" s="47" t="s">
        <v>410</v>
      </c>
      <c r="P7251" s="47" t="s">
        <v>41</v>
      </c>
      <c r="Q7251" s="14">
        <v>0</v>
      </c>
      <c r="R7251" s="143" t="s">
        <v>1490</v>
      </c>
      <c r="S7251" s="47"/>
      <c r="T7251" s="6">
        <v>206438</v>
      </c>
      <c r="U7251" s="6">
        <v>170000</v>
      </c>
      <c r="V7251" s="6">
        <v>339928</v>
      </c>
      <c r="W7251" s="6">
        <f t="shared" si="1119"/>
        <v>36510</v>
      </c>
      <c r="X7251" s="6">
        <f t="shared" si="1123"/>
        <v>339928</v>
      </c>
      <c r="Y7251" s="13">
        <f t="shared" si="1125"/>
        <v>0</v>
      </c>
      <c r="Z7251" s="66">
        <v>0</v>
      </c>
      <c r="AA7251" s="6">
        <v>0</v>
      </c>
      <c r="AB7251" s="4">
        <f t="shared" si="1126"/>
        <v>339928</v>
      </c>
      <c r="AC7251" s="6">
        <f t="shared" si="1124"/>
        <v>0</v>
      </c>
      <c r="AD7251" s="6">
        <f t="shared" si="1120"/>
        <v>339928</v>
      </c>
      <c r="AE7251" s="14">
        <f>VLOOKUP(I7251,[2]媒体政策预估表!A:N,MATCH(O7251,[2]媒体政策预估表!$A$2:$M$2,0),0)</f>
        <v>7.0000000000000007E-2</v>
      </c>
      <c r="AF7251" s="6">
        <f t="shared" si="1122"/>
        <v>23794.960000000003</v>
      </c>
      <c r="AG7251" s="14">
        <v>0</v>
      </c>
      <c r="AH7251" s="64">
        <f t="shared" si="1121"/>
        <v>339928</v>
      </c>
      <c r="AJ7251" s="126" t="e">
        <v>#N/A</v>
      </c>
      <c r="AK7251" s="80">
        <f t="shared" si="1127"/>
        <v>0</v>
      </c>
      <c r="AL7251" s="85"/>
      <c r="AM7251" s="85"/>
    </row>
    <row r="7252" spans="1:39" s="86" customFormat="1" ht="13.25" hidden="1" customHeight="1" x14ac:dyDescent="0.3">
      <c r="A7252" s="89" t="s">
        <v>3978</v>
      </c>
      <c r="B7252" s="86" t="s">
        <v>35</v>
      </c>
      <c r="C7252" s="86" t="s">
        <v>144</v>
      </c>
      <c r="D7252" s="86" t="s">
        <v>152</v>
      </c>
      <c r="E7252" s="86" t="s">
        <v>1488</v>
      </c>
      <c r="F7252" s="86" t="s">
        <v>1488</v>
      </c>
      <c r="G7252" s="86" t="s">
        <v>1488</v>
      </c>
      <c r="H7252" s="144">
        <v>360</v>
      </c>
      <c r="I7252" s="86" t="s">
        <v>1060</v>
      </c>
      <c r="J7252" s="47" t="s">
        <v>3325</v>
      </c>
      <c r="K7252" s="47" t="s">
        <v>3767</v>
      </c>
      <c r="L7252" s="47" t="s">
        <v>35</v>
      </c>
      <c r="M7252" s="86" t="s">
        <v>1491</v>
      </c>
      <c r="O7252" s="47" t="s">
        <v>410</v>
      </c>
      <c r="P7252" s="47" t="s">
        <v>41</v>
      </c>
      <c r="Q7252" s="14">
        <v>0</v>
      </c>
      <c r="R7252" s="143" t="s">
        <v>1492</v>
      </c>
      <c r="S7252" s="47"/>
      <c r="T7252" s="6">
        <v>182941.30000000005</v>
      </c>
      <c r="U7252" s="6">
        <v>130000</v>
      </c>
      <c r="V7252" s="6">
        <v>282510.09999999998</v>
      </c>
      <c r="W7252" s="6">
        <f t="shared" si="1119"/>
        <v>30431.20000000007</v>
      </c>
      <c r="X7252" s="6">
        <f t="shared" si="1123"/>
        <v>282510.09999999998</v>
      </c>
      <c r="Y7252" s="13">
        <f t="shared" si="1125"/>
        <v>0</v>
      </c>
      <c r="Z7252" s="66">
        <v>0</v>
      </c>
      <c r="AA7252" s="6">
        <v>0</v>
      </c>
      <c r="AB7252" s="4">
        <f t="shared" si="1126"/>
        <v>282510.09999999998</v>
      </c>
      <c r="AC7252" s="6">
        <f t="shared" si="1124"/>
        <v>0</v>
      </c>
      <c r="AD7252" s="6">
        <f t="shared" si="1120"/>
        <v>282510.09999999998</v>
      </c>
      <c r="AE7252" s="14">
        <f>VLOOKUP(I7252,[2]媒体政策预估表!A:N,MATCH(O7252,[2]媒体政策预估表!$A$2:$M$2,0),0)</f>
        <v>7.0000000000000007E-2</v>
      </c>
      <c r="AF7252" s="6">
        <f t="shared" si="1122"/>
        <v>19775.706999999999</v>
      </c>
      <c r="AG7252" s="14">
        <v>0</v>
      </c>
      <c r="AH7252" s="64">
        <f t="shared" si="1121"/>
        <v>282510.09999999998</v>
      </c>
      <c r="AJ7252" s="126" t="e">
        <v>#N/A</v>
      </c>
      <c r="AK7252" s="80">
        <f t="shared" si="1127"/>
        <v>0</v>
      </c>
      <c r="AL7252" s="85"/>
      <c r="AM7252" s="85"/>
    </row>
    <row r="7253" spans="1:39" s="86" customFormat="1" ht="13.25" hidden="1" customHeight="1" x14ac:dyDescent="0.3">
      <c r="A7253" s="89" t="s">
        <v>3978</v>
      </c>
      <c r="B7253" s="86" t="s">
        <v>35</v>
      </c>
      <c r="C7253" s="86" t="s">
        <v>144</v>
      </c>
      <c r="D7253" s="86" t="s">
        <v>152</v>
      </c>
      <c r="E7253" s="86" t="s">
        <v>1488</v>
      </c>
      <c r="F7253" s="86" t="s">
        <v>1488</v>
      </c>
      <c r="G7253" s="86" t="s">
        <v>1488</v>
      </c>
      <c r="H7253" s="144">
        <v>360</v>
      </c>
      <c r="I7253" s="86" t="s">
        <v>1060</v>
      </c>
      <c r="J7253" s="47" t="s">
        <v>3325</v>
      </c>
      <c r="K7253" s="47" t="s">
        <v>3767</v>
      </c>
      <c r="L7253" s="47" t="s">
        <v>35</v>
      </c>
      <c r="M7253" s="86" t="s">
        <v>4058</v>
      </c>
      <c r="O7253" s="47" t="s">
        <v>410</v>
      </c>
      <c r="P7253" s="47" t="s">
        <v>41</v>
      </c>
      <c r="Q7253" s="14">
        <v>0</v>
      </c>
      <c r="R7253" s="143" t="s">
        <v>4059</v>
      </c>
      <c r="S7253" s="47"/>
      <c r="T7253" s="6">
        <v>0</v>
      </c>
      <c r="U7253" s="6">
        <v>40000</v>
      </c>
      <c r="V7253" s="6">
        <v>13424.7</v>
      </c>
      <c r="W7253" s="6">
        <f t="shared" si="1119"/>
        <v>26575.3</v>
      </c>
      <c r="X7253" s="6">
        <f t="shared" si="1123"/>
        <v>13424.7</v>
      </c>
      <c r="Y7253" s="13">
        <f t="shared" si="1125"/>
        <v>0</v>
      </c>
      <c r="Z7253" s="66">
        <v>0</v>
      </c>
      <c r="AA7253" s="6">
        <v>0</v>
      </c>
      <c r="AB7253" s="4">
        <f t="shared" si="1126"/>
        <v>13424.7</v>
      </c>
      <c r="AC7253" s="6">
        <f t="shared" si="1124"/>
        <v>0</v>
      </c>
      <c r="AD7253" s="6">
        <f t="shared" si="1120"/>
        <v>13424.7</v>
      </c>
      <c r="AE7253" s="14">
        <f>VLOOKUP(I7253,[2]媒体政策预估表!A:N,MATCH(O7253,[2]媒体政策预估表!$A$2:$M$2,0),0)</f>
        <v>7.0000000000000007E-2</v>
      </c>
      <c r="AF7253" s="6">
        <f t="shared" si="1122"/>
        <v>939.72900000000016</v>
      </c>
      <c r="AG7253" s="14">
        <v>0</v>
      </c>
      <c r="AH7253" s="64">
        <f t="shared" si="1121"/>
        <v>13424.7</v>
      </c>
      <c r="AJ7253" s="126" t="e">
        <v>#N/A</v>
      </c>
      <c r="AK7253" s="80">
        <f t="shared" si="1127"/>
        <v>0</v>
      </c>
      <c r="AL7253" s="85"/>
      <c r="AM7253" s="85"/>
    </row>
    <row r="7254" spans="1:39" s="86" customFormat="1" ht="13.25" hidden="1" customHeight="1" x14ac:dyDescent="0.3">
      <c r="A7254" s="89" t="s">
        <v>3978</v>
      </c>
      <c r="B7254" s="86" t="s">
        <v>35</v>
      </c>
      <c r="C7254" s="86" t="s">
        <v>144</v>
      </c>
      <c r="D7254" s="86" t="s">
        <v>152</v>
      </c>
      <c r="E7254" s="86" t="s">
        <v>1496</v>
      </c>
      <c r="F7254" s="86" t="s">
        <v>1497</v>
      </c>
      <c r="G7254" s="86" t="s">
        <v>1496</v>
      </c>
      <c r="H7254" s="144">
        <v>360</v>
      </c>
      <c r="I7254" s="86" t="s">
        <v>1060</v>
      </c>
      <c r="J7254" s="47" t="s">
        <v>3325</v>
      </c>
      <c r="K7254" s="47" t="s">
        <v>3767</v>
      </c>
      <c r="L7254" s="47" t="s">
        <v>35</v>
      </c>
      <c r="M7254" s="86" t="s">
        <v>1498</v>
      </c>
      <c r="O7254" s="47" t="s">
        <v>410</v>
      </c>
      <c r="P7254" s="47" t="s">
        <v>46</v>
      </c>
      <c r="Q7254" s="14">
        <v>0.02</v>
      </c>
      <c r="R7254" s="143" t="s">
        <v>1499</v>
      </c>
      <c r="S7254" s="47"/>
      <c r="T7254" s="6">
        <v>26052.049999999988</v>
      </c>
      <c r="U7254" s="6">
        <v>60000</v>
      </c>
      <c r="V7254" s="6">
        <v>59494.2</v>
      </c>
      <c r="W7254" s="6">
        <f t="shared" si="1119"/>
        <v>26557.849999999991</v>
      </c>
      <c r="X7254" s="6">
        <f t="shared" si="1123"/>
        <v>58327.647058823524</v>
      </c>
      <c r="Y7254" s="13">
        <f t="shared" si="1125"/>
        <v>0</v>
      </c>
      <c r="Z7254" s="66">
        <v>0</v>
      </c>
      <c r="AA7254" s="6">
        <v>0</v>
      </c>
      <c r="AB7254" s="4">
        <f t="shared" si="1126"/>
        <v>58327.647058823524</v>
      </c>
      <c r="AC7254" s="6">
        <f t="shared" si="1124"/>
        <v>1166.5529411764728</v>
      </c>
      <c r="AD7254" s="6">
        <f t="shared" si="1120"/>
        <v>59494.2</v>
      </c>
      <c r="AE7254" s="14">
        <f>VLOOKUP(I7254,[2]媒体政策预估表!A:N,MATCH(O7254,[2]媒体政策预估表!$A$2:$M$2,0),0)</f>
        <v>7.0000000000000007E-2</v>
      </c>
      <c r="AF7254" s="6">
        <f t="shared" si="1122"/>
        <v>4164.5940000000001</v>
      </c>
      <c r="AG7254" s="14">
        <v>0</v>
      </c>
      <c r="AH7254" s="64">
        <f t="shared" si="1121"/>
        <v>59494.2</v>
      </c>
      <c r="AJ7254" s="126" t="e">
        <v>#N/A</v>
      </c>
      <c r="AK7254" s="80">
        <f t="shared" si="1127"/>
        <v>0</v>
      </c>
      <c r="AL7254" s="85"/>
      <c r="AM7254" s="85"/>
    </row>
    <row r="7255" spans="1:39" s="86" customFormat="1" ht="13.25" hidden="1" customHeight="1" x14ac:dyDescent="0.3">
      <c r="A7255" s="89" t="s">
        <v>3978</v>
      </c>
      <c r="B7255" s="86" t="s">
        <v>35</v>
      </c>
      <c r="C7255" s="86" t="s">
        <v>144</v>
      </c>
      <c r="D7255" s="86" t="s">
        <v>152</v>
      </c>
      <c r="E7255" s="86" t="s">
        <v>722</v>
      </c>
      <c r="F7255" s="86" t="s">
        <v>722</v>
      </c>
      <c r="G7255" s="86" t="s">
        <v>722</v>
      </c>
      <c r="H7255" s="143">
        <v>360</v>
      </c>
      <c r="I7255" s="86" t="s">
        <v>1060</v>
      </c>
      <c r="J7255" s="47" t="s">
        <v>3325</v>
      </c>
      <c r="K7255" s="47" t="s">
        <v>3767</v>
      </c>
      <c r="L7255" s="47" t="s">
        <v>35</v>
      </c>
      <c r="M7255" s="86" t="s">
        <v>722</v>
      </c>
      <c r="O7255" s="47" t="s">
        <v>410</v>
      </c>
      <c r="P7255" s="47" t="s">
        <v>41</v>
      </c>
      <c r="Q7255" s="14">
        <v>0</v>
      </c>
      <c r="R7255" s="143" t="s">
        <v>4060</v>
      </c>
      <c r="S7255" s="47"/>
      <c r="T7255" s="6">
        <v>0</v>
      </c>
      <c r="U7255" s="6">
        <v>10000</v>
      </c>
      <c r="V7255" s="6">
        <v>5761.6</v>
      </c>
      <c r="W7255" s="6">
        <f t="shared" si="1119"/>
        <v>4238.3999999999996</v>
      </c>
      <c r="X7255" s="6">
        <f t="shared" si="1123"/>
        <v>5761.6</v>
      </c>
      <c r="Y7255" s="13">
        <f t="shared" si="1125"/>
        <v>0</v>
      </c>
      <c r="Z7255" s="66">
        <v>0</v>
      </c>
      <c r="AA7255" s="6">
        <v>0</v>
      </c>
      <c r="AB7255" s="4"/>
      <c r="AC7255" s="6">
        <f t="shared" si="1124"/>
        <v>0</v>
      </c>
      <c r="AD7255" s="6">
        <f t="shared" si="1120"/>
        <v>5761.6</v>
      </c>
      <c r="AE7255" s="14">
        <f>VLOOKUP(I7255,[2]媒体政策预估表!A:N,MATCH(O7255,[2]媒体政策预估表!$A$2:$M$2,0),0)</f>
        <v>7.0000000000000007E-2</v>
      </c>
      <c r="AF7255" s="6">
        <f t="shared" si="1122"/>
        <v>403.31200000000007</v>
      </c>
      <c r="AG7255" s="14">
        <v>0</v>
      </c>
      <c r="AH7255" s="64">
        <f t="shared" si="1121"/>
        <v>5761.6</v>
      </c>
      <c r="AJ7255" s="126">
        <v>112</v>
      </c>
      <c r="AK7255" s="80">
        <f t="shared" si="1127"/>
        <v>5761.6</v>
      </c>
      <c r="AL7255" s="85"/>
      <c r="AM7255" s="85"/>
    </row>
    <row r="7256" spans="1:39" s="86" customFormat="1" ht="13.25" hidden="1" customHeight="1" x14ac:dyDescent="0.3">
      <c r="A7256" s="89" t="s">
        <v>3978</v>
      </c>
      <c r="B7256" s="86" t="s">
        <v>35</v>
      </c>
      <c r="C7256" s="86" t="s">
        <v>144</v>
      </c>
      <c r="D7256" s="86" t="s">
        <v>161</v>
      </c>
      <c r="E7256" s="86" t="s">
        <v>3537</v>
      </c>
      <c r="F7256" s="86" t="s">
        <v>3537</v>
      </c>
      <c r="G7256" s="86" t="s">
        <v>3537</v>
      </c>
      <c r="H7256" s="144">
        <v>360</v>
      </c>
      <c r="I7256" s="86" t="s">
        <v>1060</v>
      </c>
      <c r="J7256" s="47" t="s">
        <v>3325</v>
      </c>
      <c r="K7256" s="47" t="s">
        <v>3767</v>
      </c>
      <c r="L7256" s="47" t="s">
        <v>35</v>
      </c>
      <c r="M7256" s="86" t="s">
        <v>1512</v>
      </c>
      <c r="O7256" s="47" t="s">
        <v>410</v>
      </c>
      <c r="P7256" s="47" t="s">
        <v>46</v>
      </c>
      <c r="Q7256" s="14">
        <v>0.02</v>
      </c>
      <c r="R7256" s="143" t="s">
        <v>1513</v>
      </c>
      <c r="S7256" s="47"/>
      <c r="T7256" s="6">
        <v>0</v>
      </c>
      <c r="U7256" s="6">
        <v>79000</v>
      </c>
      <c r="V7256" s="6">
        <v>63591.12000000001</v>
      </c>
      <c r="W7256" s="6">
        <f t="shared" si="1119"/>
        <v>15408.87999999999</v>
      </c>
      <c r="X7256" s="6">
        <f t="shared" si="1123"/>
        <v>62344.235294117658</v>
      </c>
      <c r="Y7256" s="13">
        <f t="shared" si="1125"/>
        <v>0</v>
      </c>
      <c r="Z7256" s="66">
        <v>0</v>
      </c>
      <c r="AA7256" s="6">
        <v>0</v>
      </c>
      <c r="AB7256" s="4">
        <f t="shared" si="1126"/>
        <v>62344.235294117658</v>
      </c>
      <c r="AC7256" s="6">
        <f t="shared" si="1124"/>
        <v>1246.8847058823521</v>
      </c>
      <c r="AD7256" s="6">
        <f t="shared" si="1120"/>
        <v>63591.12000000001</v>
      </c>
      <c r="AE7256" s="14">
        <f>VLOOKUP(I7256,[2]媒体政策预估表!A:N,MATCH(O7256,[2]媒体政策预估表!$A$2:$M$2,0),0)</f>
        <v>7.0000000000000007E-2</v>
      </c>
      <c r="AF7256" s="6">
        <f t="shared" si="1122"/>
        <v>4451.3784000000014</v>
      </c>
      <c r="AG7256" s="14">
        <v>0</v>
      </c>
      <c r="AH7256" s="64">
        <f t="shared" si="1121"/>
        <v>63591.12000000001</v>
      </c>
      <c r="AJ7256" s="126" t="e">
        <v>#N/A</v>
      </c>
      <c r="AK7256" s="80">
        <f t="shared" si="1127"/>
        <v>0</v>
      </c>
      <c r="AL7256" s="85"/>
      <c r="AM7256" s="85"/>
    </row>
    <row r="7257" spans="1:39" s="86" customFormat="1" ht="13.25" hidden="1" customHeight="1" x14ac:dyDescent="0.3">
      <c r="A7257" s="89" t="s">
        <v>3978</v>
      </c>
      <c r="B7257" s="86" t="s">
        <v>35</v>
      </c>
      <c r="C7257" s="86" t="s">
        <v>144</v>
      </c>
      <c r="D7257" s="86" t="s">
        <v>161</v>
      </c>
      <c r="E7257" s="86" t="s">
        <v>1504</v>
      </c>
      <c r="F7257" s="86" t="s">
        <v>1505</v>
      </c>
      <c r="G7257" s="86" t="s">
        <v>1504</v>
      </c>
      <c r="H7257" s="144">
        <v>360</v>
      </c>
      <c r="I7257" s="86" t="s">
        <v>1060</v>
      </c>
      <c r="J7257" s="47" t="s">
        <v>3325</v>
      </c>
      <c r="K7257" s="47" t="s">
        <v>3767</v>
      </c>
      <c r="L7257" s="47" t="s">
        <v>35</v>
      </c>
      <c r="M7257" s="86" t="s">
        <v>1506</v>
      </c>
      <c r="O7257" s="47" t="s">
        <v>410</v>
      </c>
      <c r="P7257" s="47" t="s">
        <v>46</v>
      </c>
      <c r="Q7257" s="14">
        <v>0.02</v>
      </c>
      <c r="R7257" s="143" t="s">
        <v>1507</v>
      </c>
      <c r="S7257" s="47"/>
      <c r="T7257" s="6">
        <v>3859.1100000000006</v>
      </c>
      <c r="U7257" s="6">
        <v>15208.57</v>
      </c>
      <c r="V7257" s="6">
        <v>16718.599999999999</v>
      </c>
      <c r="W7257" s="6">
        <f t="shared" ref="W7257:W7320" si="1128">T7257+U7257-V7257</f>
        <v>2349.0800000000017</v>
      </c>
      <c r="X7257" s="6">
        <f t="shared" si="1123"/>
        <v>16390.784313725489</v>
      </c>
      <c r="Y7257" s="13">
        <f t="shared" si="1125"/>
        <v>0</v>
      </c>
      <c r="Z7257" s="66">
        <v>0</v>
      </c>
      <c r="AA7257" s="6">
        <v>0</v>
      </c>
      <c r="AB7257" s="4">
        <f t="shared" si="1126"/>
        <v>16390.784313725489</v>
      </c>
      <c r="AC7257" s="6">
        <f t="shared" si="1124"/>
        <v>327.81568627450906</v>
      </c>
      <c r="AD7257" s="6">
        <f t="shared" ref="AD7257:AD7320" si="1129">V7257</f>
        <v>16718.599999999999</v>
      </c>
      <c r="AE7257" s="14">
        <f>VLOOKUP(I7257,[2]媒体政策预估表!A:N,MATCH(O7257,[2]媒体政策预估表!$A$2:$M$2,0),0)</f>
        <v>7.0000000000000007E-2</v>
      </c>
      <c r="AF7257" s="6">
        <f t="shared" si="1122"/>
        <v>1170.3019999999999</v>
      </c>
      <c r="AG7257" s="14">
        <v>0</v>
      </c>
      <c r="AH7257" s="64">
        <f t="shared" ref="AH7257:AH7320" si="1130">V7257</f>
        <v>16718.599999999999</v>
      </c>
      <c r="AJ7257" s="126" t="e">
        <v>#N/A</v>
      </c>
      <c r="AK7257" s="80">
        <f t="shared" si="1127"/>
        <v>0</v>
      </c>
      <c r="AL7257" s="85"/>
      <c r="AM7257" s="85"/>
    </row>
    <row r="7258" spans="1:39" s="86" customFormat="1" ht="13.25" hidden="1" customHeight="1" x14ac:dyDescent="0.3">
      <c r="A7258" s="89" t="s">
        <v>3978</v>
      </c>
      <c r="B7258" s="86" t="s">
        <v>35</v>
      </c>
      <c r="C7258" s="86" t="s">
        <v>144</v>
      </c>
      <c r="D7258" s="86" t="s">
        <v>161</v>
      </c>
      <c r="E7258" s="86" t="s">
        <v>4061</v>
      </c>
      <c r="F7258" s="86" t="s">
        <v>4061</v>
      </c>
      <c r="G7258" s="86" t="s">
        <v>4061</v>
      </c>
      <c r="H7258" s="144">
        <v>360</v>
      </c>
      <c r="I7258" s="86" t="s">
        <v>1060</v>
      </c>
      <c r="J7258" s="47" t="s">
        <v>3325</v>
      </c>
      <c r="K7258" s="47" t="s">
        <v>3767</v>
      </c>
      <c r="L7258" s="47" t="s">
        <v>35</v>
      </c>
      <c r="M7258" s="86" t="s">
        <v>4061</v>
      </c>
      <c r="O7258" s="47" t="s">
        <v>410</v>
      </c>
      <c r="P7258" s="47" t="s">
        <v>46</v>
      </c>
      <c r="Q7258" s="14">
        <v>0.02</v>
      </c>
      <c r="R7258" s="143" t="s">
        <v>4062</v>
      </c>
      <c r="S7258" s="47"/>
      <c r="T7258" s="6">
        <v>0</v>
      </c>
      <c r="U7258" s="6">
        <v>30000</v>
      </c>
      <c r="V7258" s="6">
        <v>14189.7</v>
      </c>
      <c r="W7258" s="6">
        <f t="shared" si="1128"/>
        <v>15810.3</v>
      </c>
      <c r="X7258" s="6">
        <f t="shared" si="1123"/>
        <v>13911.470588235294</v>
      </c>
      <c r="Y7258" s="13">
        <f t="shared" si="1125"/>
        <v>0</v>
      </c>
      <c r="Z7258" s="66">
        <v>0</v>
      </c>
      <c r="AA7258" s="6">
        <v>0</v>
      </c>
      <c r="AB7258" s="4">
        <f t="shared" si="1126"/>
        <v>13911.470588235294</v>
      </c>
      <c r="AC7258" s="6">
        <f t="shared" si="1124"/>
        <v>278.22941176470704</v>
      </c>
      <c r="AD7258" s="6">
        <f t="shared" si="1129"/>
        <v>14189.7</v>
      </c>
      <c r="AE7258" s="14">
        <f>VLOOKUP(I7258,[2]媒体政策预估表!A:N,MATCH(O7258,[2]媒体政策预估表!$A$2:$M$2,0),0)</f>
        <v>7.0000000000000007E-2</v>
      </c>
      <c r="AF7258" s="6">
        <f t="shared" si="1122"/>
        <v>993.27900000000011</v>
      </c>
      <c r="AG7258" s="14">
        <v>0</v>
      </c>
      <c r="AH7258" s="64">
        <f t="shared" si="1130"/>
        <v>14189.7</v>
      </c>
      <c r="AJ7258" s="126" t="e">
        <v>#N/A</v>
      </c>
      <c r="AK7258" s="80">
        <f t="shared" si="1127"/>
        <v>0</v>
      </c>
      <c r="AL7258" s="85"/>
      <c r="AM7258" s="85"/>
    </row>
    <row r="7259" spans="1:39" s="86" customFormat="1" ht="13.25" hidden="1" customHeight="1" x14ac:dyDescent="0.3">
      <c r="A7259" s="89" t="s">
        <v>3978</v>
      </c>
      <c r="B7259" s="86" t="s">
        <v>35</v>
      </c>
      <c r="C7259" s="86" t="s">
        <v>144</v>
      </c>
      <c r="D7259" s="86" t="s">
        <v>161</v>
      </c>
      <c r="E7259" s="86" t="s">
        <v>162</v>
      </c>
      <c r="F7259" s="86" t="s">
        <v>162</v>
      </c>
      <c r="G7259" s="86" t="s">
        <v>162</v>
      </c>
      <c r="H7259" s="144">
        <v>360</v>
      </c>
      <c r="I7259" s="86" t="s">
        <v>1060</v>
      </c>
      <c r="J7259" s="47" t="s">
        <v>3325</v>
      </c>
      <c r="K7259" s="47" t="s">
        <v>3767</v>
      </c>
      <c r="L7259" s="47" t="s">
        <v>35</v>
      </c>
      <c r="M7259" s="86" t="s">
        <v>162</v>
      </c>
      <c r="O7259" s="47" t="s">
        <v>45</v>
      </c>
      <c r="P7259" s="47" t="s">
        <v>46</v>
      </c>
      <c r="Q7259" s="14">
        <v>0.02</v>
      </c>
      <c r="R7259" s="143" t="s">
        <v>1508</v>
      </c>
      <c r="S7259" s="47"/>
      <c r="T7259" s="6">
        <v>945740.15580999991</v>
      </c>
      <c r="U7259" s="6">
        <v>200000</v>
      </c>
      <c r="V7259" s="6">
        <v>450.38688000000002</v>
      </c>
      <c r="W7259" s="6">
        <f t="shared" si="1128"/>
        <v>1145289.76893</v>
      </c>
      <c r="X7259" s="6">
        <f t="shared" si="1123"/>
        <v>441.55576470588238</v>
      </c>
      <c r="Y7259" s="13">
        <f t="shared" si="1125"/>
        <v>0</v>
      </c>
      <c r="Z7259" s="66">
        <v>0</v>
      </c>
      <c r="AA7259" s="6">
        <v>0</v>
      </c>
      <c r="AB7259" s="4">
        <f t="shared" si="1126"/>
        <v>441.55576470588238</v>
      </c>
      <c r="AC7259" s="6">
        <f t="shared" si="1124"/>
        <v>8.8311152941176374</v>
      </c>
      <c r="AD7259" s="6">
        <f t="shared" si="1129"/>
        <v>450.38688000000002</v>
      </c>
      <c r="AE7259" s="14">
        <f>VLOOKUP(I7259,[2]媒体政策预估表!A:N,MATCH(O7259,[2]媒体政策预估表!$A$2:$M$2,0),0)</f>
        <v>0.1</v>
      </c>
      <c r="AF7259" s="6">
        <f t="shared" si="1122"/>
        <v>45.038688000000008</v>
      </c>
      <c r="AG7259" s="14">
        <v>0</v>
      </c>
      <c r="AH7259" s="64">
        <f t="shared" si="1130"/>
        <v>450.38688000000002</v>
      </c>
      <c r="AJ7259" s="126" t="e">
        <v>#N/A</v>
      </c>
      <c r="AK7259" s="80">
        <f t="shared" si="1127"/>
        <v>0</v>
      </c>
      <c r="AL7259" s="85"/>
      <c r="AM7259" s="85"/>
    </row>
    <row r="7260" spans="1:39" s="86" customFormat="1" ht="13.25" hidden="1" customHeight="1" x14ac:dyDescent="0.3">
      <c r="A7260" s="89" t="s">
        <v>3978</v>
      </c>
      <c r="B7260" s="86" t="s">
        <v>35</v>
      </c>
      <c r="C7260" s="86" t="s">
        <v>144</v>
      </c>
      <c r="D7260" s="86" t="s">
        <v>161</v>
      </c>
      <c r="E7260" s="86" t="s">
        <v>162</v>
      </c>
      <c r="F7260" s="86" t="s">
        <v>162</v>
      </c>
      <c r="G7260" s="86" t="s">
        <v>162</v>
      </c>
      <c r="H7260" s="144">
        <v>360</v>
      </c>
      <c r="I7260" s="86" t="s">
        <v>1060</v>
      </c>
      <c r="J7260" s="47" t="s">
        <v>3325</v>
      </c>
      <c r="K7260" s="47" t="s">
        <v>3767</v>
      </c>
      <c r="L7260" s="47" t="s">
        <v>35</v>
      </c>
      <c r="M7260" s="86" t="s">
        <v>162</v>
      </c>
      <c r="O7260" s="47" t="s">
        <v>410</v>
      </c>
      <c r="P7260" s="47" t="s">
        <v>46</v>
      </c>
      <c r="Q7260" s="14">
        <v>0.02</v>
      </c>
      <c r="R7260" s="143" t="s">
        <v>1509</v>
      </c>
      <c r="S7260" s="47"/>
      <c r="T7260" s="6">
        <v>1745813.402569999</v>
      </c>
      <c r="U7260" s="6">
        <v>4000000</v>
      </c>
      <c r="V7260" s="6">
        <v>4186725.50379</v>
      </c>
      <c r="W7260" s="6">
        <f t="shared" si="1128"/>
        <v>1559087.898779999</v>
      </c>
      <c r="X7260" s="6">
        <f t="shared" si="1123"/>
        <v>4104632.846852941</v>
      </c>
      <c r="Y7260" s="13">
        <f t="shared" si="1125"/>
        <v>0</v>
      </c>
      <c r="Z7260" s="66">
        <v>0</v>
      </c>
      <c r="AA7260" s="6">
        <v>0</v>
      </c>
      <c r="AB7260" s="4">
        <f t="shared" si="1126"/>
        <v>4104632.846852941</v>
      </c>
      <c r="AC7260" s="6">
        <f t="shared" si="1124"/>
        <v>82092.656937059015</v>
      </c>
      <c r="AD7260" s="6">
        <f t="shared" si="1129"/>
        <v>4186725.50379</v>
      </c>
      <c r="AE7260" s="14">
        <f>VLOOKUP(I7260,[2]媒体政策预估表!A:N,MATCH(O7260,[2]媒体政策预估表!$A$2:$M$2,0),0)</f>
        <v>7.0000000000000007E-2</v>
      </c>
      <c r="AF7260" s="6">
        <f t="shared" si="1122"/>
        <v>293070.78526530002</v>
      </c>
      <c r="AG7260" s="14">
        <v>0</v>
      </c>
      <c r="AH7260" s="64">
        <f t="shared" si="1130"/>
        <v>4186725.50379</v>
      </c>
      <c r="AJ7260" s="126" t="e">
        <v>#N/A</v>
      </c>
      <c r="AK7260" s="80">
        <f t="shared" si="1127"/>
        <v>0</v>
      </c>
      <c r="AL7260" s="85"/>
      <c r="AM7260" s="85"/>
    </row>
    <row r="7261" spans="1:39" s="86" customFormat="1" ht="13.25" hidden="1" customHeight="1" x14ac:dyDescent="0.3">
      <c r="A7261" s="89" t="s">
        <v>3978</v>
      </c>
      <c r="B7261" s="86" t="s">
        <v>35</v>
      </c>
      <c r="C7261" s="86" t="s">
        <v>144</v>
      </c>
      <c r="D7261" s="86" t="s">
        <v>161</v>
      </c>
      <c r="E7261" s="86" t="s">
        <v>1510</v>
      </c>
      <c r="F7261" s="86" t="s">
        <v>1510</v>
      </c>
      <c r="G7261" s="86" t="s">
        <v>1510</v>
      </c>
      <c r="H7261" s="144">
        <v>360</v>
      </c>
      <c r="I7261" s="86" t="s">
        <v>1060</v>
      </c>
      <c r="J7261" s="47" t="s">
        <v>3325</v>
      </c>
      <c r="K7261" s="47" t="s">
        <v>3767</v>
      </c>
      <c r="L7261" s="47" t="s">
        <v>35</v>
      </c>
      <c r="M7261" s="86" t="s">
        <v>1510</v>
      </c>
      <c r="O7261" s="47" t="s">
        <v>410</v>
      </c>
      <c r="P7261" s="47" t="s">
        <v>46</v>
      </c>
      <c r="Q7261" s="14">
        <v>0.02</v>
      </c>
      <c r="R7261" s="143" t="s">
        <v>1511</v>
      </c>
      <c r="S7261" s="47"/>
      <c r="T7261" s="6">
        <v>112050.90500000004</v>
      </c>
      <c r="U7261" s="6">
        <v>150000</v>
      </c>
      <c r="V7261" s="6">
        <v>140800.20499999999</v>
      </c>
      <c r="W7261" s="6">
        <f t="shared" si="1128"/>
        <v>121250.70000000004</v>
      </c>
      <c r="X7261" s="6">
        <f t="shared" si="1123"/>
        <v>138039.41666666666</v>
      </c>
      <c r="Y7261" s="13">
        <f t="shared" si="1125"/>
        <v>0</v>
      </c>
      <c r="Z7261" s="66">
        <v>0</v>
      </c>
      <c r="AA7261" s="6">
        <v>0</v>
      </c>
      <c r="AB7261" s="4">
        <f t="shared" si="1126"/>
        <v>138039.41666666666</v>
      </c>
      <c r="AC7261" s="6">
        <f t="shared" si="1124"/>
        <v>2760.7883333333302</v>
      </c>
      <c r="AD7261" s="6">
        <f t="shared" si="1129"/>
        <v>140800.20499999999</v>
      </c>
      <c r="AE7261" s="14">
        <f>VLOOKUP(I7261,[2]媒体政策预估表!A:N,MATCH(O7261,[2]媒体政策预估表!$A$2:$M$2,0),0)</f>
        <v>7.0000000000000007E-2</v>
      </c>
      <c r="AF7261" s="6">
        <f t="shared" si="1122"/>
        <v>9856.0143499999995</v>
      </c>
      <c r="AG7261" s="14">
        <v>0</v>
      </c>
      <c r="AH7261" s="64">
        <f t="shared" si="1130"/>
        <v>140800.20499999999</v>
      </c>
      <c r="AJ7261" s="126" t="e">
        <v>#N/A</v>
      </c>
      <c r="AK7261" s="80">
        <f t="shared" si="1127"/>
        <v>0</v>
      </c>
      <c r="AL7261" s="85"/>
      <c r="AM7261" s="85"/>
    </row>
    <row r="7262" spans="1:39" s="86" customFormat="1" ht="13.25" hidden="1" customHeight="1" x14ac:dyDescent="0.3">
      <c r="A7262" s="89" t="s">
        <v>3978</v>
      </c>
      <c r="B7262" s="86" t="s">
        <v>35</v>
      </c>
      <c r="C7262" s="86" t="s">
        <v>144</v>
      </c>
      <c r="D7262" s="86" t="s">
        <v>161</v>
      </c>
      <c r="E7262" s="86" t="s">
        <v>4063</v>
      </c>
      <c r="F7262" s="86" t="s">
        <v>4063</v>
      </c>
      <c r="G7262" s="86" t="s">
        <v>4063</v>
      </c>
      <c r="H7262" s="144">
        <v>360</v>
      </c>
      <c r="I7262" s="86" t="s">
        <v>1060</v>
      </c>
      <c r="J7262" s="47" t="s">
        <v>3325</v>
      </c>
      <c r="K7262" s="47" t="s">
        <v>3767</v>
      </c>
      <c r="L7262" s="47" t="s">
        <v>35</v>
      </c>
      <c r="M7262" s="86" t="s">
        <v>4064</v>
      </c>
      <c r="O7262" s="47" t="s">
        <v>410</v>
      </c>
      <c r="P7262" s="47" t="s">
        <v>46</v>
      </c>
      <c r="Q7262" s="14">
        <v>0.02</v>
      </c>
      <c r="R7262" s="143" t="s">
        <v>4065</v>
      </c>
      <c r="S7262" s="47"/>
      <c r="T7262" s="6">
        <v>0</v>
      </c>
      <c r="U7262" s="6">
        <v>30000</v>
      </c>
      <c r="V7262" s="6">
        <v>19584.2</v>
      </c>
      <c r="W7262" s="6">
        <f t="shared" si="1128"/>
        <v>10415.799999999999</v>
      </c>
      <c r="X7262" s="6">
        <f t="shared" si="1123"/>
        <v>19200.196078431374</v>
      </c>
      <c r="Y7262" s="13">
        <f t="shared" si="1125"/>
        <v>0</v>
      </c>
      <c r="Z7262" s="66">
        <v>0</v>
      </c>
      <c r="AA7262" s="6">
        <v>0</v>
      </c>
      <c r="AB7262" s="4">
        <f t="shared" si="1126"/>
        <v>19200.196078431374</v>
      </c>
      <c r="AC7262" s="6">
        <f t="shared" si="1124"/>
        <v>384.00392156862654</v>
      </c>
      <c r="AD7262" s="6">
        <f t="shared" si="1129"/>
        <v>19584.2</v>
      </c>
      <c r="AE7262" s="14">
        <f>VLOOKUP(I7262,[2]媒体政策预估表!A:N,MATCH(O7262,[2]媒体政策预估表!$A$2:$M$2,0),0)</f>
        <v>7.0000000000000007E-2</v>
      </c>
      <c r="AF7262" s="6">
        <f t="shared" si="1122"/>
        <v>1370.8940000000002</v>
      </c>
      <c r="AG7262" s="14">
        <v>0</v>
      </c>
      <c r="AH7262" s="64">
        <f t="shared" si="1130"/>
        <v>19584.2</v>
      </c>
      <c r="AJ7262" s="126" t="e">
        <v>#N/A</v>
      </c>
      <c r="AK7262" s="80">
        <f t="shared" si="1127"/>
        <v>0</v>
      </c>
      <c r="AL7262" s="85"/>
      <c r="AM7262" s="85"/>
    </row>
    <row r="7263" spans="1:39" s="86" customFormat="1" ht="13.25" hidden="1" customHeight="1" x14ac:dyDescent="0.3">
      <c r="A7263" s="89" t="s">
        <v>3978</v>
      </c>
      <c r="B7263" s="86" t="s">
        <v>35</v>
      </c>
      <c r="C7263" s="86" t="s">
        <v>144</v>
      </c>
      <c r="D7263" s="86" t="s">
        <v>161</v>
      </c>
      <c r="E7263" s="86" t="s">
        <v>4063</v>
      </c>
      <c r="F7263" s="86" t="s">
        <v>4063</v>
      </c>
      <c r="G7263" s="86" t="s">
        <v>4063</v>
      </c>
      <c r="H7263" s="144">
        <v>360</v>
      </c>
      <c r="I7263" s="86" t="s">
        <v>1060</v>
      </c>
      <c r="J7263" s="47" t="s">
        <v>3325</v>
      </c>
      <c r="K7263" s="47" t="s">
        <v>3767</v>
      </c>
      <c r="L7263" s="47" t="s">
        <v>35</v>
      </c>
      <c r="M7263" s="86" t="s">
        <v>4066</v>
      </c>
      <c r="O7263" s="47" t="s">
        <v>410</v>
      </c>
      <c r="P7263" s="47" t="s">
        <v>46</v>
      </c>
      <c r="Q7263" s="14">
        <v>0.02</v>
      </c>
      <c r="R7263" s="143" t="s">
        <v>4067</v>
      </c>
      <c r="S7263" s="47"/>
      <c r="T7263" s="6">
        <v>0</v>
      </c>
      <c r="U7263" s="6">
        <v>10000</v>
      </c>
      <c r="V7263" s="6">
        <v>9515.01</v>
      </c>
      <c r="W7263" s="6">
        <f t="shared" si="1128"/>
        <v>484.98999999999978</v>
      </c>
      <c r="X7263" s="6">
        <f t="shared" si="1123"/>
        <v>9328.4411764705874</v>
      </c>
      <c r="Y7263" s="13">
        <f t="shared" si="1125"/>
        <v>0</v>
      </c>
      <c r="Z7263" s="66">
        <v>0</v>
      </c>
      <c r="AA7263" s="6">
        <v>0</v>
      </c>
      <c r="AB7263" s="4">
        <f t="shared" si="1126"/>
        <v>9328.4411764705874</v>
      </c>
      <c r="AC7263" s="6">
        <f t="shared" si="1124"/>
        <v>186.56882352941284</v>
      </c>
      <c r="AD7263" s="6">
        <f t="shared" si="1129"/>
        <v>9515.01</v>
      </c>
      <c r="AE7263" s="14">
        <f>VLOOKUP(I7263,[2]媒体政策预估表!A:N,MATCH(O7263,[2]媒体政策预估表!$A$2:$M$2,0),0)</f>
        <v>7.0000000000000007E-2</v>
      </c>
      <c r="AF7263" s="6">
        <f t="shared" si="1122"/>
        <v>666.05070000000012</v>
      </c>
      <c r="AG7263" s="14">
        <v>0</v>
      </c>
      <c r="AH7263" s="64">
        <f t="shared" si="1130"/>
        <v>9515.01</v>
      </c>
      <c r="AJ7263" s="126" t="e">
        <v>#N/A</v>
      </c>
      <c r="AK7263" s="80">
        <f t="shared" si="1127"/>
        <v>0</v>
      </c>
      <c r="AL7263" s="85"/>
      <c r="AM7263" s="85"/>
    </row>
    <row r="7264" spans="1:39" s="86" customFormat="1" ht="13.25" hidden="1" customHeight="1" x14ac:dyDescent="0.3">
      <c r="A7264" s="89" t="s">
        <v>3978</v>
      </c>
      <c r="B7264" s="86" t="s">
        <v>35</v>
      </c>
      <c r="C7264" s="86" t="s">
        <v>144</v>
      </c>
      <c r="D7264" s="86" t="s">
        <v>161</v>
      </c>
      <c r="E7264" s="86" t="s">
        <v>1517</v>
      </c>
      <c r="F7264" s="86" t="s">
        <v>1517</v>
      </c>
      <c r="G7264" s="86" t="s">
        <v>1517</v>
      </c>
      <c r="H7264" s="144">
        <v>360</v>
      </c>
      <c r="I7264" s="86" t="s">
        <v>1060</v>
      </c>
      <c r="J7264" s="47" t="s">
        <v>3325</v>
      </c>
      <c r="K7264" s="47" t="s">
        <v>3767</v>
      </c>
      <c r="L7264" s="47" t="s">
        <v>35</v>
      </c>
      <c r="M7264" s="86" t="s">
        <v>1517</v>
      </c>
      <c r="O7264" s="47" t="s">
        <v>410</v>
      </c>
      <c r="P7264" s="47" t="s">
        <v>41</v>
      </c>
      <c r="Q7264" s="14">
        <v>0</v>
      </c>
      <c r="R7264" s="143" t="s">
        <v>1518</v>
      </c>
      <c r="S7264" s="47"/>
      <c r="T7264" s="6">
        <v>46136.100000000006</v>
      </c>
      <c r="U7264" s="6">
        <v>100000</v>
      </c>
      <c r="V7264" s="6">
        <v>135806.39999999999</v>
      </c>
      <c r="W7264" s="6">
        <f t="shared" si="1128"/>
        <v>10329.700000000012</v>
      </c>
      <c r="X7264" s="6">
        <f t="shared" si="1123"/>
        <v>135806.39999999999</v>
      </c>
      <c r="Y7264" s="13">
        <f t="shared" si="1125"/>
        <v>0</v>
      </c>
      <c r="Z7264" s="66">
        <v>0</v>
      </c>
      <c r="AA7264" s="6">
        <v>0</v>
      </c>
      <c r="AB7264" s="4">
        <f t="shared" si="1126"/>
        <v>135806.39999999999</v>
      </c>
      <c r="AC7264" s="6">
        <f t="shared" si="1124"/>
        <v>0</v>
      </c>
      <c r="AD7264" s="6">
        <f t="shared" si="1129"/>
        <v>135806.39999999999</v>
      </c>
      <c r="AE7264" s="14">
        <f>VLOOKUP(I7264,[2]媒体政策预估表!A:N,MATCH(O7264,[2]媒体政策预估表!$A$2:$M$2,0),0)</f>
        <v>7.0000000000000007E-2</v>
      </c>
      <c r="AF7264" s="6">
        <f t="shared" si="1122"/>
        <v>9506.4480000000003</v>
      </c>
      <c r="AG7264" s="14">
        <v>0</v>
      </c>
      <c r="AH7264" s="64">
        <f t="shared" si="1130"/>
        <v>135806.39999999999</v>
      </c>
      <c r="AJ7264" s="126" t="e">
        <v>#N/A</v>
      </c>
      <c r="AK7264" s="80">
        <f t="shared" si="1127"/>
        <v>0</v>
      </c>
      <c r="AL7264" s="85"/>
      <c r="AM7264" s="85"/>
    </row>
    <row r="7265" spans="1:39" s="86" customFormat="1" ht="13.25" hidden="1" customHeight="1" x14ac:dyDescent="0.3">
      <c r="A7265" s="89" t="s">
        <v>3978</v>
      </c>
      <c r="B7265" s="86" t="s">
        <v>35</v>
      </c>
      <c r="C7265" s="86" t="s">
        <v>144</v>
      </c>
      <c r="D7265" s="86" t="s">
        <v>161</v>
      </c>
      <c r="E7265" s="86" t="s">
        <v>3759</v>
      </c>
      <c r="F7265" s="86" t="s">
        <v>3759</v>
      </c>
      <c r="G7265" s="86" t="s">
        <v>3759</v>
      </c>
      <c r="H7265" s="143">
        <v>360</v>
      </c>
      <c r="I7265" s="86" t="s">
        <v>1060</v>
      </c>
      <c r="J7265" s="47" t="s">
        <v>3325</v>
      </c>
      <c r="K7265" s="47" t="s">
        <v>3767</v>
      </c>
      <c r="L7265" s="47" t="s">
        <v>35</v>
      </c>
      <c r="M7265" s="86" t="s">
        <v>605</v>
      </c>
      <c r="O7265" s="47" t="s">
        <v>410</v>
      </c>
      <c r="P7265" s="47" t="s">
        <v>46</v>
      </c>
      <c r="Q7265" s="14">
        <v>0.02</v>
      </c>
      <c r="R7265" s="143" t="s">
        <v>1521</v>
      </c>
      <c r="S7265" s="47"/>
      <c r="T7265" s="6">
        <v>0</v>
      </c>
      <c r="U7265" s="6">
        <v>-6953.7</v>
      </c>
      <c r="V7265" s="6">
        <v>0</v>
      </c>
      <c r="W7265" s="6">
        <f t="shared" si="1128"/>
        <v>-6953.7</v>
      </c>
      <c r="X7265" s="6">
        <f t="shared" si="1123"/>
        <v>0</v>
      </c>
      <c r="Y7265" s="13">
        <f t="shared" si="1125"/>
        <v>0</v>
      </c>
      <c r="Z7265" s="66">
        <v>0</v>
      </c>
      <c r="AA7265" s="6">
        <v>0</v>
      </c>
      <c r="AB7265" s="4">
        <f t="shared" si="1126"/>
        <v>0</v>
      </c>
      <c r="AC7265" s="6">
        <f t="shared" si="1124"/>
        <v>0</v>
      </c>
      <c r="AD7265" s="6">
        <f t="shared" si="1129"/>
        <v>0</v>
      </c>
      <c r="AE7265" s="14">
        <f>VLOOKUP(I7265,[2]媒体政策预估表!A:N,MATCH(O7265,[2]媒体政策预估表!$A$2:$M$2,0),0)</f>
        <v>7.0000000000000007E-2</v>
      </c>
      <c r="AF7265" s="6">
        <f t="shared" si="1122"/>
        <v>0</v>
      </c>
      <c r="AG7265" s="14">
        <v>0</v>
      </c>
      <c r="AH7265" s="64">
        <f t="shared" si="1130"/>
        <v>0</v>
      </c>
      <c r="AJ7265" s="126" t="e">
        <v>#N/A</v>
      </c>
      <c r="AK7265" s="80">
        <f t="shared" si="1127"/>
        <v>0</v>
      </c>
      <c r="AL7265" s="85"/>
      <c r="AM7265" s="85"/>
    </row>
    <row r="7266" spans="1:39" s="86" customFormat="1" ht="13.25" hidden="1" customHeight="1" x14ac:dyDescent="0.3">
      <c r="A7266" s="89" t="s">
        <v>3978</v>
      </c>
      <c r="B7266" s="86" t="s">
        <v>35</v>
      </c>
      <c r="C7266" s="86" t="s">
        <v>144</v>
      </c>
      <c r="D7266" s="86" t="s">
        <v>161</v>
      </c>
      <c r="E7266" s="86" t="s">
        <v>1933</v>
      </c>
      <c r="F7266" s="86" t="s">
        <v>1933</v>
      </c>
      <c r="G7266" s="86" t="s">
        <v>1933</v>
      </c>
      <c r="H7266" s="144">
        <v>360</v>
      </c>
      <c r="I7266" s="86" t="s">
        <v>1060</v>
      </c>
      <c r="J7266" s="47" t="s">
        <v>3325</v>
      </c>
      <c r="K7266" s="47" t="s">
        <v>3767</v>
      </c>
      <c r="L7266" s="47" t="s">
        <v>35</v>
      </c>
      <c r="M7266" s="86" t="s">
        <v>1933</v>
      </c>
      <c r="O7266" s="47" t="s">
        <v>410</v>
      </c>
      <c r="P7266" s="47" t="s">
        <v>46</v>
      </c>
      <c r="Q7266" s="14">
        <v>0.02</v>
      </c>
      <c r="R7266" s="143" t="s">
        <v>1934</v>
      </c>
      <c r="S7266" s="47"/>
      <c r="T7266" s="6">
        <v>36719.149999999994</v>
      </c>
      <c r="U7266" s="6">
        <v>200000</v>
      </c>
      <c r="V7266" s="6">
        <v>218733.1</v>
      </c>
      <c r="W7266" s="6">
        <f t="shared" si="1128"/>
        <v>17986.049999999988</v>
      </c>
      <c r="X7266" s="6">
        <f t="shared" si="1123"/>
        <v>214444.21568627452</v>
      </c>
      <c r="Y7266" s="13">
        <f t="shared" si="1125"/>
        <v>0</v>
      </c>
      <c r="Z7266" s="66">
        <v>0</v>
      </c>
      <c r="AA7266" s="6">
        <v>0</v>
      </c>
      <c r="AB7266" s="4">
        <f t="shared" si="1126"/>
        <v>214444.21568627452</v>
      </c>
      <c r="AC7266" s="6">
        <f t="shared" si="1124"/>
        <v>4288.884313725488</v>
      </c>
      <c r="AD7266" s="6">
        <f t="shared" si="1129"/>
        <v>218733.1</v>
      </c>
      <c r="AE7266" s="14">
        <f>VLOOKUP(I7266,[2]媒体政策预估表!A:N,MATCH(O7266,[2]媒体政策预估表!$A$2:$M$2,0),0)</f>
        <v>7.0000000000000007E-2</v>
      </c>
      <c r="AF7266" s="6">
        <f t="shared" si="1122"/>
        <v>15311.317000000003</v>
      </c>
      <c r="AG7266" s="14">
        <v>0</v>
      </c>
      <c r="AH7266" s="64">
        <f t="shared" si="1130"/>
        <v>218733.1</v>
      </c>
      <c r="AJ7266" s="126" t="e">
        <v>#N/A</v>
      </c>
      <c r="AK7266" s="80">
        <f t="shared" si="1127"/>
        <v>0</v>
      </c>
      <c r="AL7266" s="85"/>
      <c r="AM7266" s="85"/>
    </row>
    <row r="7267" spans="1:39" s="86" customFormat="1" ht="13.25" hidden="1" customHeight="1" x14ac:dyDescent="0.3">
      <c r="A7267" s="89" t="s">
        <v>3978</v>
      </c>
      <c r="B7267" s="86" t="s">
        <v>35</v>
      </c>
      <c r="C7267" s="86" t="s">
        <v>144</v>
      </c>
      <c r="D7267" s="86" t="s">
        <v>161</v>
      </c>
      <c r="E7267" s="86" t="s">
        <v>1522</v>
      </c>
      <c r="F7267" s="86" t="s">
        <v>1522</v>
      </c>
      <c r="G7267" s="86" t="s">
        <v>1522</v>
      </c>
      <c r="H7267" s="144">
        <v>360</v>
      </c>
      <c r="I7267" s="86" t="s">
        <v>1060</v>
      </c>
      <c r="J7267" s="47" t="s">
        <v>3325</v>
      </c>
      <c r="K7267" s="47" t="s">
        <v>3767</v>
      </c>
      <c r="L7267" s="47" t="s">
        <v>35</v>
      </c>
      <c r="M7267" s="86" t="s">
        <v>1523</v>
      </c>
      <c r="O7267" s="47" t="s">
        <v>410</v>
      </c>
      <c r="P7267" s="47" t="s">
        <v>41</v>
      </c>
      <c r="Q7267" s="14">
        <v>0</v>
      </c>
      <c r="R7267" s="143" t="s">
        <v>1524</v>
      </c>
      <c r="S7267" s="47"/>
      <c r="T7267" s="6">
        <v>7699.8000000000029</v>
      </c>
      <c r="U7267" s="6">
        <v>50000</v>
      </c>
      <c r="V7267" s="6">
        <v>51789.7</v>
      </c>
      <c r="W7267" s="6">
        <f t="shared" si="1128"/>
        <v>5910.1000000000058</v>
      </c>
      <c r="X7267" s="6">
        <f t="shared" si="1123"/>
        <v>51789.7</v>
      </c>
      <c r="Y7267" s="13">
        <f t="shared" si="1125"/>
        <v>0</v>
      </c>
      <c r="Z7267" s="66">
        <v>0</v>
      </c>
      <c r="AA7267" s="6">
        <v>0</v>
      </c>
      <c r="AB7267" s="4">
        <f t="shared" si="1126"/>
        <v>51789.7</v>
      </c>
      <c r="AC7267" s="6">
        <f t="shared" si="1124"/>
        <v>0</v>
      </c>
      <c r="AD7267" s="6">
        <f t="shared" si="1129"/>
        <v>51789.7</v>
      </c>
      <c r="AE7267" s="14">
        <f>VLOOKUP(I7267,[2]媒体政策预估表!A:N,MATCH(O7267,[2]媒体政策预估表!$A$2:$M$2,0),0)</f>
        <v>7.0000000000000007E-2</v>
      </c>
      <c r="AF7267" s="6">
        <f t="shared" si="1122"/>
        <v>3625.279</v>
      </c>
      <c r="AG7267" s="14">
        <v>0</v>
      </c>
      <c r="AH7267" s="64">
        <f t="shared" si="1130"/>
        <v>51789.7</v>
      </c>
      <c r="AJ7267" s="126" t="e">
        <v>#N/A</v>
      </c>
      <c r="AK7267" s="80">
        <f t="shared" si="1127"/>
        <v>0</v>
      </c>
      <c r="AL7267" s="85"/>
      <c r="AM7267" s="85"/>
    </row>
    <row r="7268" spans="1:39" s="86" customFormat="1" ht="13.25" hidden="1" customHeight="1" x14ac:dyDescent="0.3">
      <c r="A7268" s="89" t="s">
        <v>3978</v>
      </c>
      <c r="B7268" s="86" t="s">
        <v>35</v>
      </c>
      <c r="C7268" s="86" t="s">
        <v>144</v>
      </c>
      <c r="D7268" s="86" t="s">
        <v>161</v>
      </c>
      <c r="E7268" s="86" t="s">
        <v>1522</v>
      </c>
      <c r="F7268" s="86" t="s">
        <v>1522</v>
      </c>
      <c r="G7268" s="86" t="s">
        <v>1522</v>
      </c>
      <c r="H7268" s="144">
        <v>360</v>
      </c>
      <c r="I7268" s="86" t="s">
        <v>1060</v>
      </c>
      <c r="J7268" s="47" t="s">
        <v>3325</v>
      </c>
      <c r="K7268" s="47" t="s">
        <v>3767</v>
      </c>
      <c r="L7268" s="47" t="s">
        <v>35</v>
      </c>
      <c r="M7268" s="86" t="s">
        <v>1523</v>
      </c>
      <c r="O7268" s="47" t="s">
        <v>410</v>
      </c>
      <c r="P7268" s="47" t="s">
        <v>41</v>
      </c>
      <c r="Q7268" s="14">
        <v>0</v>
      </c>
      <c r="R7268" s="143" t="s">
        <v>3538</v>
      </c>
      <c r="S7268" s="47"/>
      <c r="T7268" s="6">
        <v>36834.6</v>
      </c>
      <c r="U7268" s="6">
        <v>69659</v>
      </c>
      <c r="V7268" s="6">
        <v>95104.4</v>
      </c>
      <c r="W7268" s="6">
        <f t="shared" si="1128"/>
        <v>11389.200000000012</v>
      </c>
      <c r="X7268" s="6">
        <f t="shared" si="1123"/>
        <v>95104.4</v>
      </c>
      <c r="Y7268" s="13">
        <f t="shared" si="1125"/>
        <v>0</v>
      </c>
      <c r="Z7268" s="66">
        <v>0</v>
      </c>
      <c r="AA7268" s="6">
        <v>0</v>
      </c>
      <c r="AB7268" s="4">
        <f t="shared" si="1126"/>
        <v>95104.4</v>
      </c>
      <c r="AC7268" s="6">
        <f t="shared" si="1124"/>
        <v>0</v>
      </c>
      <c r="AD7268" s="6">
        <f t="shared" si="1129"/>
        <v>95104.4</v>
      </c>
      <c r="AE7268" s="14">
        <f>VLOOKUP(I7268,[2]媒体政策预估表!A:N,MATCH(O7268,[2]媒体政策预估表!$A$2:$M$2,0),0)</f>
        <v>7.0000000000000007E-2</v>
      </c>
      <c r="AF7268" s="6">
        <f t="shared" ref="AF7268:AF7331" si="1131">AD7268*AE7268</f>
        <v>6657.308</v>
      </c>
      <c r="AG7268" s="14">
        <v>0</v>
      </c>
      <c r="AH7268" s="64">
        <f t="shared" si="1130"/>
        <v>95104.4</v>
      </c>
      <c r="AJ7268" s="126" t="e">
        <v>#N/A</v>
      </c>
      <c r="AK7268" s="80">
        <f t="shared" si="1127"/>
        <v>0</v>
      </c>
      <c r="AL7268" s="85"/>
      <c r="AM7268" s="85"/>
    </row>
    <row r="7269" spans="1:39" s="86" customFormat="1" ht="13.25" hidden="1" customHeight="1" x14ac:dyDescent="0.3">
      <c r="A7269" s="89" t="s">
        <v>3978</v>
      </c>
      <c r="B7269" s="86" t="s">
        <v>35</v>
      </c>
      <c r="C7269" s="86" t="s">
        <v>144</v>
      </c>
      <c r="D7269" s="86" t="s">
        <v>161</v>
      </c>
      <c r="E7269" s="86" t="s">
        <v>1522</v>
      </c>
      <c r="F7269" s="86" t="s">
        <v>1522</v>
      </c>
      <c r="G7269" s="86" t="s">
        <v>1522</v>
      </c>
      <c r="H7269" s="144">
        <v>360</v>
      </c>
      <c r="I7269" s="86" t="s">
        <v>1060</v>
      </c>
      <c r="J7269" s="47" t="s">
        <v>3325</v>
      </c>
      <c r="K7269" s="47" t="s">
        <v>3767</v>
      </c>
      <c r="L7269" s="47" t="s">
        <v>35</v>
      </c>
      <c r="M7269" s="86" t="s">
        <v>1525</v>
      </c>
      <c r="O7269" s="47" t="s">
        <v>410</v>
      </c>
      <c r="P7269" s="47" t="s">
        <v>41</v>
      </c>
      <c r="Q7269" s="14">
        <v>0</v>
      </c>
      <c r="R7269" s="143" t="s">
        <v>1526</v>
      </c>
      <c r="S7269" s="47"/>
      <c r="T7269" s="6">
        <v>7705.2399999999907</v>
      </c>
      <c r="U7269" s="6">
        <v>55000</v>
      </c>
      <c r="V7269" s="6">
        <v>59163.3</v>
      </c>
      <c r="W7269" s="6">
        <f t="shared" si="1128"/>
        <v>3541.9399999999878</v>
      </c>
      <c r="X7269" s="6">
        <f t="shared" si="1123"/>
        <v>59163.3</v>
      </c>
      <c r="Y7269" s="13">
        <f t="shared" si="1125"/>
        <v>0</v>
      </c>
      <c r="Z7269" s="66">
        <v>0</v>
      </c>
      <c r="AA7269" s="6">
        <v>0</v>
      </c>
      <c r="AB7269" s="4">
        <f t="shared" si="1126"/>
        <v>59163.3</v>
      </c>
      <c r="AC7269" s="6">
        <f t="shared" si="1124"/>
        <v>0</v>
      </c>
      <c r="AD7269" s="6">
        <f t="shared" si="1129"/>
        <v>59163.3</v>
      </c>
      <c r="AE7269" s="14">
        <f>VLOOKUP(I7269,[2]媒体政策预估表!A:N,MATCH(O7269,[2]媒体政策预估表!$A$2:$M$2,0),0)</f>
        <v>7.0000000000000007E-2</v>
      </c>
      <c r="AF7269" s="6">
        <f t="shared" si="1131"/>
        <v>4141.4310000000005</v>
      </c>
      <c r="AG7269" s="14">
        <v>0</v>
      </c>
      <c r="AH7269" s="64">
        <f t="shared" si="1130"/>
        <v>59163.3</v>
      </c>
      <c r="AJ7269" s="126" t="e">
        <v>#N/A</v>
      </c>
      <c r="AK7269" s="80">
        <f t="shared" si="1127"/>
        <v>0</v>
      </c>
      <c r="AL7269" s="85"/>
      <c r="AM7269" s="85"/>
    </row>
    <row r="7270" spans="1:39" s="86" customFormat="1" ht="13.25" hidden="1" customHeight="1" x14ac:dyDescent="0.3">
      <c r="A7270" s="89" t="s">
        <v>3978</v>
      </c>
      <c r="B7270" s="86" t="s">
        <v>35</v>
      </c>
      <c r="C7270" s="86" t="s">
        <v>144</v>
      </c>
      <c r="D7270" s="86" t="s">
        <v>161</v>
      </c>
      <c r="E7270" s="86" t="s">
        <v>1522</v>
      </c>
      <c r="F7270" s="86" t="s">
        <v>1522</v>
      </c>
      <c r="G7270" s="86" t="s">
        <v>1522</v>
      </c>
      <c r="H7270" s="144">
        <v>360</v>
      </c>
      <c r="I7270" s="86" t="s">
        <v>1060</v>
      </c>
      <c r="J7270" s="47" t="s">
        <v>3325</v>
      </c>
      <c r="K7270" s="47" t="s">
        <v>3767</v>
      </c>
      <c r="L7270" s="47" t="s">
        <v>35</v>
      </c>
      <c r="M7270" s="86" t="s">
        <v>1525</v>
      </c>
      <c r="O7270" s="47" t="s">
        <v>410</v>
      </c>
      <c r="P7270" s="47" t="s">
        <v>41</v>
      </c>
      <c r="Q7270" s="14">
        <v>0</v>
      </c>
      <c r="R7270" s="143" t="s">
        <v>4068</v>
      </c>
      <c r="S7270" s="47"/>
      <c r="T7270" s="6">
        <v>0</v>
      </c>
      <c r="U7270" s="6">
        <v>341</v>
      </c>
      <c r="V7270" s="6">
        <v>341</v>
      </c>
      <c r="W7270" s="6">
        <f t="shared" si="1128"/>
        <v>0</v>
      </c>
      <c r="X7270" s="6">
        <f t="shared" si="1123"/>
        <v>341</v>
      </c>
      <c r="Y7270" s="13">
        <f t="shared" si="1125"/>
        <v>0</v>
      </c>
      <c r="Z7270" s="66">
        <v>0</v>
      </c>
      <c r="AA7270" s="6">
        <v>0</v>
      </c>
      <c r="AB7270" s="4">
        <f t="shared" si="1126"/>
        <v>341</v>
      </c>
      <c r="AC7270" s="6">
        <f t="shared" si="1124"/>
        <v>0</v>
      </c>
      <c r="AD7270" s="6">
        <f t="shared" si="1129"/>
        <v>341</v>
      </c>
      <c r="AE7270" s="14">
        <f>VLOOKUP(I7270,[2]媒体政策预估表!A:N,MATCH(O7270,[2]媒体政策预估表!$A$2:$M$2,0),0)</f>
        <v>7.0000000000000007E-2</v>
      </c>
      <c r="AF7270" s="6">
        <f t="shared" si="1131"/>
        <v>23.87</v>
      </c>
      <c r="AG7270" s="14">
        <v>0</v>
      </c>
      <c r="AH7270" s="64">
        <f t="shared" si="1130"/>
        <v>341</v>
      </c>
      <c r="AJ7270" s="126" t="e">
        <v>#N/A</v>
      </c>
      <c r="AK7270" s="80">
        <f t="shared" si="1127"/>
        <v>0</v>
      </c>
      <c r="AL7270" s="85"/>
      <c r="AM7270" s="85"/>
    </row>
    <row r="7271" spans="1:39" s="86" customFormat="1" ht="13.25" hidden="1" customHeight="1" x14ac:dyDescent="0.3">
      <c r="A7271" s="89" t="s">
        <v>3978</v>
      </c>
      <c r="B7271" s="86" t="s">
        <v>35</v>
      </c>
      <c r="C7271" s="86" t="s">
        <v>144</v>
      </c>
      <c r="D7271" s="86" t="s">
        <v>161</v>
      </c>
      <c r="E7271" s="86" t="s">
        <v>1522</v>
      </c>
      <c r="F7271" s="86" t="s">
        <v>1522</v>
      </c>
      <c r="G7271" s="86" t="s">
        <v>1522</v>
      </c>
      <c r="H7271" s="144">
        <v>360</v>
      </c>
      <c r="I7271" s="86" t="s">
        <v>1060</v>
      </c>
      <c r="J7271" s="47" t="s">
        <v>3325</v>
      </c>
      <c r="K7271" s="47" t="s">
        <v>3767</v>
      </c>
      <c r="L7271" s="47" t="s">
        <v>35</v>
      </c>
      <c r="M7271" s="86" t="s">
        <v>1522</v>
      </c>
      <c r="O7271" s="47" t="s">
        <v>410</v>
      </c>
      <c r="P7271" s="47" t="s">
        <v>41</v>
      </c>
      <c r="Q7271" s="14">
        <v>0</v>
      </c>
      <c r="R7271" s="143" t="s">
        <v>1528</v>
      </c>
      <c r="S7271" s="47"/>
      <c r="T7271" s="6">
        <v>8375.9900100000086</v>
      </c>
      <c r="U7271" s="6">
        <v>155000</v>
      </c>
      <c r="V7271" s="6">
        <v>154838.70000000001</v>
      </c>
      <c r="W7271" s="6">
        <f t="shared" si="1128"/>
        <v>8537.290009999997</v>
      </c>
      <c r="X7271" s="6">
        <f t="shared" si="1123"/>
        <v>154838.70000000001</v>
      </c>
      <c r="Y7271" s="13">
        <f t="shared" si="1125"/>
        <v>0</v>
      </c>
      <c r="Z7271" s="66">
        <v>0</v>
      </c>
      <c r="AA7271" s="6">
        <v>0</v>
      </c>
      <c r="AB7271" s="4">
        <f t="shared" si="1126"/>
        <v>154838.70000000001</v>
      </c>
      <c r="AC7271" s="6">
        <f t="shared" si="1124"/>
        <v>0</v>
      </c>
      <c r="AD7271" s="6">
        <f t="shared" si="1129"/>
        <v>154838.70000000001</v>
      </c>
      <c r="AE7271" s="14">
        <f>VLOOKUP(I7271,[2]媒体政策预估表!A:N,MATCH(O7271,[2]媒体政策预估表!$A$2:$M$2,0),0)</f>
        <v>7.0000000000000007E-2</v>
      </c>
      <c r="AF7271" s="6">
        <f t="shared" si="1131"/>
        <v>10838.709000000003</v>
      </c>
      <c r="AG7271" s="14">
        <v>0</v>
      </c>
      <c r="AH7271" s="64">
        <f t="shared" si="1130"/>
        <v>154838.70000000001</v>
      </c>
      <c r="AJ7271" s="126" t="e">
        <v>#N/A</v>
      </c>
      <c r="AK7271" s="80">
        <f t="shared" si="1127"/>
        <v>0</v>
      </c>
      <c r="AL7271" s="85"/>
      <c r="AM7271" s="85"/>
    </row>
    <row r="7272" spans="1:39" s="86" customFormat="1" ht="13.25" hidden="1" customHeight="1" x14ac:dyDescent="0.3">
      <c r="A7272" s="89" t="s">
        <v>3978</v>
      </c>
      <c r="B7272" s="86" t="s">
        <v>35</v>
      </c>
      <c r="C7272" s="86" t="s">
        <v>144</v>
      </c>
      <c r="D7272" s="86" t="s">
        <v>161</v>
      </c>
      <c r="E7272" s="86" t="s">
        <v>2371</v>
      </c>
      <c r="F7272" s="86" t="s">
        <v>2371</v>
      </c>
      <c r="G7272" s="86" t="s">
        <v>2371</v>
      </c>
      <c r="H7272" s="144">
        <v>360</v>
      </c>
      <c r="I7272" s="86" t="s">
        <v>1060</v>
      </c>
      <c r="J7272" s="47" t="s">
        <v>3325</v>
      </c>
      <c r="K7272" s="47" t="s">
        <v>3767</v>
      </c>
      <c r="L7272" s="47" t="s">
        <v>35</v>
      </c>
      <c r="M7272" s="86" t="s">
        <v>2371</v>
      </c>
      <c r="O7272" s="47" t="s">
        <v>410</v>
      </c>
      <c r="P7272" s="47" t="s">
        <v>46</v>
      </c>
      <c r="Q7272" s="14">
        <v>0.03</v>
      </c>
      <c r="R7272" s="143" t="s">
        <v>1530</v>
      </c>
      <c r="S7272" s="47"/>
      <c r="T7272" s="6">
        <v>0</v>
      </c>
      <c r="U7272" s="6">
        <v>937300</v>
      </c>
      <c r="V7272" s="6">
        <v>199603.7</v>
      </c>
      <c r="W7272" s="6">
        <f t="shared" si="1128"/>
        <v>737696.3</v>
      </c>
      <c r="X7272" s="6">
        <f t="shared" si="1123"/>
        <v>193790</v>
      </c>
      <c r="Y7272" s="13">
        <f t="shared" si="1125"/>
        <v>0</v>
      </c>
      <c r="Z7272" s="66">
        <v>0</v>
      </c>
      <c r="AA7272" s="6">
        <v>0</v>
      </c>
      <c r="AB7272" s="4">
        <f t="shared" si="1126"/>
        <v>193790</v>
      </c>
      <c r="AC7272" s="6">
        <f t="shared" si="1124"/>
        <v>5813.7000000000116</v>
      </c>
      <c r="AD7272" s="6">
        <f t="shared" si="1129"/>
        <v>199603.7</v>
      </c>
      <c r="AE7272" s="14">
        <f>VLOOKUP(I7272,[2]媒体政策预估表!A:N,MATCH(O7272,[2]媒体政策预估表!$A$2:$M$2,0),0)</f>
        <v>7.0000000000000007E-2</v>
      </c>
      <c r="AF7272" s="6">
        <f t="shared" si="1131"/>
        <v>13972.259000000002</v>
      </c>
      <c r="AG7272" s="14">
        <v>0</v>
      </c>
      <c r="AH7272" s="64">
        <f t="shared" si="1130"/>
        <v>199603.7</v>
      </c>
      <c r="AJ7272" s="126" t="e">
        <v>#N/A</v>
      </c>
      <c r="AK7272" s="80">
        <f t="shared" si="1127"/>
        <v>0</v>
      </c>
      <c r="AL7272" s="85"/>
      <c r="AM7272" s="85"/>
    </row>
    <row r="7273" spans="1:39" s="86" customFormat="1" ht="13.25" hidden="1" customHeight="1" x14ac:dyDescent="0.3">
      <c r="A7273" s="89" t="s">
        <v>3978</v>
      </c>
      <c r="B7273" s="86" t="s">
        <v>35</v>
      </c>
      <c r="C7273" s="86" t="s">
        <v>144</v>
      </c>
      <c r="D7273" s="86" t="s">
        <v>161</v>
      </c>
      <c r="E7273" s="86" t="s">
        <v>1332</v>
      </c>
      <c r="F7273" s="86" t="s">
        <v>1332</v>
      </c>
      <c r="G7273" s="86" t="s">
        <v>1332</v>
      </c>
      <c r="H7273" s="144">
        <v>360</v>
      </c>
      <c r="I7273" s="86" t="s">
        <v>1060</v>
      </c>
      <c r="J7273" s="47" t="s">
        <v>3325</v>
      </c>
      <c r="K7273" s="47" t="s">
        <v>3767</v>
      </c>
      <c r="L7273" s="47" t="s">
        <v>35</v>
      </c>
      <c r="M7273" s="86" t="s">
        <v>1332</v>
      </c>
      <c r="O7273" s="47" t="s">
        <v>410</v>
      </c>
      <c r="P7273" s="47" t="s">
        <v>41</v>
      </c>
      <c r="Q7273" s="14">
        <v>0</v>
      </c>
      <c r="R7273" s="143" t="s">
        <v>1333</v>
      </c>
      <c r="S7273" s="47"/>
      <c r="T7273" s="6">
        <v>447453.29000000004</v>
      </c>
      <c r="U7273" s="6">
        <v>600000</v>
      </c>
      <c r="V7273" s="6">
        <v>679161.42</v>
      </c>
      <c r="W7273" s="6">
        <f t="shared" si="1128"/>
        <v>368291.87</v>
      </c>
      <c r="X7273" s="6">
        <f t="shared" si="1123"/>
        <v>679161.42</v>
      </c>
      <c r="Y7273" s="13">
        <f t="shared" si="1125"/>
        <v>0</v>
      </c>
      <c r="Z7273" s="66">
        <v>0</v>
      </c>
      <c r="AA7273" s="6">
        <v>0</v>
      </c>
      <c r="AB7273" s="4">
        <f t="shared" si="1126"/>
        <v>679161.42</v>
      </c>
      <c r="AC7273" s="6">
        <f t="shared" si="1124"/>
        <v>0</v>
      </c>
      <c r="AD7273" s="6">
        <f t="shared" si="1129"/>
        <v>679161.42</v>
      </c>
      <c r="AE7273" s="14">
        <f>VLOOKUP(I7273,[2]媒体政策预估表!A:N,MATCH(O7273,[2]媒体政策预估表!$A$2:$M$2,0),0)</f>
        <v>7.0000000000000007E-2</v>
      </c>
      <c r="AF7273" s="6">
        <f t="shared" si="1131"/>
        <v>47541.299400000011</v>
      </c>
      <c r="AG7273" s="14">
        <v>0</v>
      </c>
      <c r="AH7273" s="64">
        <f t="shared" si="1130"/>
        <v>679161.42</v>
      </c>
      <c r="AJ7273" s="126" t="e">
        <v>#N/A</v>
      </c>
      <c r="AK7273" s="80">
        <f t="shared" si="1127"/>
        <v>0</v>
      </c>
      <c r="AL7273" s="85"/>
      <c r="AM7273" s="85"/>
    </row>
    <row r="7274" spans="1:39" s="86" customFormat="1" ht="13.25" hidden="1" customHeight="1" x14ac:dyDescent="0.3">
      <c r="A7274" s="89" t="s">
        <v>3978</v>
      </c>
      <c r="B7274" s="86" t="s">
        <v>35</v>
      </c>
      <c r="C7274" s="86" t="s">
        <v>164</v>
      </c>
      <c r="D7274" s="86" t="s">
        <v>3407</v>
      </c>
      <c r="E7274" s="86" t="s">
        <v>182</v>
      </c>
      <c r="F7274" s="86" t="s">
        <v>183</v>
      </c>
      <c r="G7274" s="86" t="s">
        <v>182</v>
      </c>
      <c r="H7274" s="144">
        <v>362</v>
      </c>
      <c r="I7274" s="86" t="s">
        <v>610</v>
      </c>
      <c r="J7274" s="47" t="s">
        <v>3323</v>
      </c>
      <c r="K7274" s="47" t="s">
        <v>3275</v>
      </c>
      <c r="L7274" s="47" t="s">
        <v>35</v>
      </c>
      <c r="M7274" s="86" t="s">
        <v>1845</v>
      </c>
      <c r="O7274" s="47" t="s">
        <v>410</v>
      </c>
      <c r="P7274" s="47" t="s">
        <v>41</v>
      </c>
      <c r="Q7274" s="14">
        <v>0</v>
      </c>
      <c r="R7274" s="143" t="s">
        <v>1833</v>
      </c>
      <c r="S7274" s="47"/>
      <c r="T7274" s="6">
        <v>749953.59717999992</v>
      </c>
      <c r="U7274" s="6">
        <v>93100</v>
      </c>
      <c r="V7274" s="6">
        <v>104334.49744000001</v>
      </c>
      <c r="W7274" s="6">
        <f t="shared" si="1128"/>
        <v>738719.09973999998</v>
      </c>
      <c r="X7274" s="6">
        <f t="shared" si="1123"/>
        <v>104334.49744000001</v>
      </c>
      <c r="Y7274" s="13">
        <f t="shared" si="1125"/>
        <v>0</v>
      </c>
      <c r="Z7274" s="66">
        <v>0.02</v>
      </c>
      <c r="AA7274" s="6">
        <f t="shared" ref="AA7274:AA7276" si="1132">X7274/(1-Z7274)*Z7274</f>
        <v>2129.2754579591838</v>
      </c>
      <c r="AB7274" s="4">
        <f t="shared" si="1126"/>
        <v>106463.77289795919</v>
      </c>
      <c r="AC7274" s="6">
        <f t="shared" si="1124"/>
        <v>0</v>
      </c>
      <c r="AD7274" s="6">
        <f t="shared" si="1129"/>
        <v>104334.49744000001</v>
      </c>
      <c r="AE7274" s="14">
        <f>VLOOKUP(I7274,[2]媒体政策预估表!A:N,MATCH(O7274,[2]媒体政策预估表!$A$2:$M$2,0),0)</f>
        <v>0.02</v>
      </c>
      <c r="AF7274" s="6">
        <f t="shared" si="1131"/>
        <v>2086.6899488000004</v>
      </c>
      <c r="AG7274" s="14">
        <v>0</v>
      </c>
      <c r="AH7274" s="64">
        <f t="shared" si="1130"/>
        <v>104334.49744000001</v>
      </c>
      <c r="AJ7274" s="126" t="e">
        <v>#N/A</v>
      </c>
      <c r="AK7274" s="80">
        <f t="shared" si="1127"/>
        <v>0</v>
      </c>
      <c r="AL7274" s="85"/>
      <c r="AM7274" s="85"/>
    </row>
    <row r="7275" spans="1:39" s="86" customFormat="1" ht="13.25" hidden="1" customHeight="1" x14ac:dyDescent="0.3">
      <c r="A7275" s="89" t="s">
        <v>3978</v>
      </c>
      <c r="B7275" s="86" t="s">
        <v>35</v>
      </c>
      <c r="C7275" s="86" t="s">
        <v>164</v>
      </c>
      <c r="D7275" s="86" t="s">
        <v>3407</v>
      </c>
      <c r="E7275" s="86" t="s">
        <v>182</v>
      </c>
      <c r="F7275" s="86" t="s">
        <v>183</v>
      </c>
      <c r="G7275" s="86" t="s">
        <v>182</v>
      </c>
      <c r="H7275" s="143">
        <v>362</v>
      </c>
      <c r="I7275" s="86" t="s">
        <v>610</v>
      </c>
      <c r="J7275" s="47" t="s">
        <v>3323</v>
      </c>
      <c r="K7275" s="47" t="s">
        <v>3275</v>
      </c>
      <c r="L7275" s="47" t="s">
        <v>35</v>
      </c>
      <c r="M7275" s="86" t="s">
        <v>1832</v>
      </c>
      <c r="O7275" s="47" t="s">
        <v>410</v>
      </c>
      <c r="P7275" s="47" t="s">
        <v>41</v>
      </c>
      <c r="Q7275" s="14">
        <v>0</v>
      </c>
      <c r="R7275" s="143" t="s">
        <v>1834</v>
      </c>
      <c r="S7275" s="47"/>
      <c r="T7275" s="6">
        <v>0</v>
      </c>
      <c r="U7275" s="6">
        <v>29400</v>
      </c>
      <c r="V7275" s="6"/>
      <c r="W7275" s="6">
        <f t="shared" si="1128"/>
        <v>29400</v>
      </c>
      <c r="X7275" s="6">
        <f t="shared" si="1123"/>
        <v>0</v>
      </c>
      <c r="Y7275" s="13">
        <f t="shared" si="1125"/>
        <v>0</v>
      </c>
      <c r="Z7275" s="66">
        <v>0.02</v>
      </c>
      <c r="AA7275" s="6">
        <f t="shared" si="1132"/>
        <v>0</v>
      </c>
      <c r="AB7275" s="4">
        <f t="shared" si="1126"/>
        <v>0</v>
      </c>
      <c r="AC7275" s="6">
        <f t="shared" si="1124"/>
        <v>0</v>
      </c>
      <c r="AD7275" s="6">
        <f t="shared" si="1129"/>
        <v>0</v>
      </c>
      <c r="AE7275" s="14">
        <f>VLOOKUP(I7275,[2]媒体政策预估表!A:N,MATCH(O7275,[2]媒体政策预估表!$A$2:$M$2,0),0)</f>
        <v>0.02</v>
      </c>
      <c r="AF7275" s="6">
        <f t="shared" si="1131"/>
        <v>0</v>
      </c>
      <c r="AG7275" s="14">
        <v>0</v>
      </c>
      <c r="AH7275" s="64">
        <f t="shared" si="1130"/>
        <v>0</v>
      </c>
      <c r="AJ7275" s="126" t="e">
        <v>#N/A</v>
      </c>
      <c r="AK7275" s="80">
        <f t="shared" si="1127"/>
        <v>0</v>
      </c>
      <c r="AL7275" s="85"/>
      <c r="AM7275" s="85"/>
    </row>
    <row r="7276" spans="1:39" s="86" customFormat="1" ht="13.25" hidden="1" customHeight="1" x14ac:dyDescent="0.3">
      <c r="A7276" s="89" t="s">
        <v>3978</v>
      </c>
      <c r="B7276" s="86" t="s">
        <v>35</v>
      </c>
      <c r="C7276" s="86" t="s">
        <v>164</v>
      </c>
      <c r="D7276" s="86" t="s">
        <v>3407</v>
      </c>
      <c r="E7276" s="86" t="s">
        <v>182</v>
      </c>
      <c r="F7276" s="86" t="s">
        <v>183</v>
      </c>
      <c r="G7276" s="86" t="s">
        <v>182</v>
      </c>
      <c r="H7276" s="144">
        <v>363</v>
      </c>
      <c r="I7276" s="86" t="s">
        <v>1557</v>
      </c>
      <c r="J7276" s="47" t="s">
        <v>3323</v>
      </c>
      <c r="K7276" s="47" t="s">
        <v>3286</v>
      </c>
      <c r="L7276" s="47" t="s">
        <v>35</v>
      </c>
      <c r="M7276" s="86" t="s">
        <v>182</v>
      </c>
      <c r="O7276" s="47" t="s">
        <v>410</v>
      </c>
      <c r="P7276" s="47" t="s">
        <v>41</v>
      </c>
      <c r="Q7276" s="14">
        <v>0</v>
      </c>
      <c r="R7276" s="143" t="s">
        <v>1831</v>
      </c>
      <c r="S7276" s="47"/>
      <c r="T7276" s="6">
        <v>5448.5500000001775</v>
      </c>
      <c r="U7276" s="6">
        <v>204917.95</v>
      </c>
      <c r="V7276" s="6">
        <v>210394.8</v>
      </c>
      <c r="W7276" s="6">
        <f t="shared" si="1128"/>
        <v>-28.299999999813735</v>
      </c>
      <c r="X7276" s="6">
        <f t="shared" si="1123"/>
        <v>210394.8</v>
      </c>
      <c r="Y7276" s="13">
        <f t="shared" si="1125"/>
        <v>0</v>
      </c>
      <c r="Z7276" s="66">
        <v>0.02</v>
      </c>
      <c r="AA7276" s="6">
        <f t="shared" si="1132"/>
        <v>4293.7714285714283</v>
      </c>
      <c r="AB7276" s="4">
        <f t="shared" si="1126"/>
        <v>214688.57142857142</v>
      </c>
      <c r="AC7276" s="6">
        <f t="shared" si="1124"/>
        <v>0</v>
      </c>
      <c r="AD7276" s="6">
        <f t="shared" si="1129"/>
        <v>210394.8</v>
      </c>
      <c r="AE7276" s="14">
        <f>VLOOKUP(I7276,[2]媒体政策预估表!A:N,MATCH(O7276,[2]媒体政策预估表!$A$2:$M$2,0),0)</f>
        <v>0.02</v>
      </c>
      <c r="AF7276" s="6">
        <f t="shared" si="1131"/>
        <v>4207.8959999999997</v>
      </c>
      <c r="AG7276" s="14">
        <v>0</v>
      </c>
      <c r="AH7276" s="64">
        <f t="shared" si="1130"/>
        <v>210394.8</v>
      </c>
      <c r="AJ7276" s="126" t="e">
        <v>#N/A</v>
      </c>
      <c r="AK7276" s="80">
        <f t="shared" si="1127"/>
        <v>0</v>
      </c>
      <c r="AL7276" s="85"/>
      <c r="AM7276" s="85"/>
    </row>
    <row r="7277" spans="1:39" s="86" customFormat="1" ht="13.25" hidden="1" customHeight="1" x14ac:dyDescent="0.3">
      <c r="A7277" s="89" t="s">
        <v>3978</v>
      </c>
      <c r="B7277" s="86" t="s">
        <v>35</v>
      </c>
      <c r="C7277" s="86" t="s">
        <v>164</v>
      </c>
      <c r="D7277" s="86" t="s">
        <v>305</v>
      </c>
      <c r="E7277" s="86" t="s">
        <v>3539</v>
      </c>
      <c r="F7277" s="86" t="s">
        <v>3540</v>
      </c>
      <c r="G7277" s="86" t="s">
        <v>3539</v>
      </c>
      <c r="H7277" s="144">
        <v>360</v>
      </c>
      <c r="I7277" s="86" t="s">
        <v>1060</v>
      </c>
      <c r="J7277" s="47" t="s">
        <v>3325</v>
      </c>
      <c r="K7277" s="47" t="s">
        <v>3767</v>
      </c>
      <c r="L7277" s="47" t="s">
        <v>35</v>
      </c>
      <c r="M7277" s="86" t="s">
        <v>3539</v>
      </c>
      <c r="O7277" s="47" t="s">
        <v>410</v>
      </c>
      <c r="P7277" s="47" t="s">
        <v>41</v>
      </c>
      <c r="Q7277" s="14">
        <v>0</v>
      </c>
      <c r="R7277" s="143" t="s">
        <v>3541</v>
      </c>
      <c r="S7277" s="47"/>
      <c r="T7277" s="6">
        <v>20843.2</v>
      </c>
      <c r="U7277" s="6">
        <v>20000</v>
      </c>
      <c r="V7277" s="6">
        <v>31253.8</v>
      </c>
      <c r="W7277" s="6">
        <f t="shared" si="1128"/>
        <v>9589.3999999999978</v>
      </c>
      <c r="X7277" s="6">
        <f t="shared" si="1123"/>
        <v>31253.8</v>
      </c>
      <c r="Y7277" s="13">
        <f t="shared" si="1125"/>
        <v>0</v>
      </c>
      <c r="Z7277" s="66">
        <v>0</v>
      </c>
      <c r="AA7277" s="6">
        <v>0</v>
      </c>
      <c r="AB7277" s="4">
        <f t="shared" si="1126"/>
        <v>31253.8</v>
      </c>
      <c r="AC7277" s="6">
        <f t="shared" si="1124"/>
        <v>0</v>
      </c>
      <c r="AD7277" s="6">
        <f t="shared" si="1129"/>
        <v>31253.8</v>
      </c>
      <c r="AE7277" s="14">
        <f>VLOOKUP(I7277,[2]媒体政策预估表!A:N,MATCH(O7277,[2]媒体政策预估表!$A$2:$M$2,0),0)</f>
        <v>7.0000000000000007E-2</v>
      </c>
      <c r="AF7277" s="6">
        <f t="shared" si="1131"/>
        <v>2187.7660000000001</v>
      </c>
      <c r="AG7277" s="14">
        <v>0</v>
      </c>
      <c r="AH7277" s="64">
        <f t="shared" si="1130"/>
        <v>31253.8</v>
      </c>
      <c r="AJ7277" s="126" t="e">
        <v>#N/A</v>
      </c>
      <c r="AK7277" s="80">
        <f t="shared" si="1127"/>
        <v>0</v>
      </c>
      <c r="AL7277" s="85"/>
      <c r="AM7277" s="85"/>
    </row>
    <row r="7278" spans="1:39" s="86" customFormat="1" ht="13.25" hidden="1" customHeight="1" x14ac:dyDescent="0.3">
      <c r="A7278" s="89" t="s">
        <v>3978</v>
      </c>
      <c r="B7278" s="86" t="s">
        <v>35</v>
      </c>
      <c r="C7278" s="86" t="s">
        <v>164</v>
      </c>
      <c r="D7278" s="86" t="s">
        <v>305</v>
      </c>
      <c r="E7278" s="86" t="s">
        <v>1535</v>
      </c>
      <c r="F7278" s="86" t="s">
        <v>1536</v>
      </c>
      <c r="G7278" s="86" t="s">
        <v>1535</v>
      </c>
      <c r="H7278" s="144">
        <v>360</v>
      </c>
      <c r="I7278" s="86" t="s">
        <v>1060</v>
      </c>
      <c r="J7278" s="47" t="s">
        <v>3325</v>
      </c>
      <c r="K7278" s="47" t="s">
        <v>3767</v>
      </c>
      <c r="L7278" s="47" t="s">
        <v>35</v>
      </c>
      <c r="M7278" s="86" t="s">
        <v>1535</v>
      </c>
      <c r="O7278" s="47" t="s">
        <v>410</v>
      </c>
      <c r="P7278" s="47" t="s">
        <v>41</v>
      </c>
      <c r="Q7278" s="14">
        <v>0</v>
      </c>
      <c r="R7278" s="143" t="s">
        <v>1537</v>
      </c>
      <c r="S7278" s="47"/>
      <c r="T7278" s="6">
        <v>7798.4000400000077</v>
      </c>
      <c r="U7278" s="6">
        <v>146000</v>
      </c>
      <c r="V7278" s="6">
        <v>144054.1</v>
      </c>
      <c r="W7278" s="6">
        <f t="shared" si="1128"/>
        <v>9744.3000400000019</v>
      </c>
      <c r="X7278" s="6">
        <f t="shared" si="1123"/>
        <v>144054.1</v>
      </c>
      <c r="Y7278" s="13">
        <f t="shared" si="1125"/>
        <v>0</v>
      </c>
      <c r="Z7278" s="66">
        <v>0</v>
      </c>
      <c r="AA7278" s="6">
        <v>0</v>
      </c>
      <c r="AB7278" s="4">
        <f t="shared" si="1126"/>
        <v>144054.1</v>
      </c>
      <c r="AC7278" s="6">
        <f t="shared" si="1124"/>
        <v>0</v>
      </c>
      <c r="AD7278" s="6">
        <f t="shared" si="1129"/>
        <v>144054.1</v>
      </c>
      <c r="AE7278" s="14">
        <f>VLOOKUP(I7278,[2]媒体政策预估表!A:N,MATCH(O7278,[2]媒体政策预估表!$A$2:$M$2,0),0)</f>
        <v>7.0000000000000007E-2</v>
      </c>
      <c r="AF7278" s="6">
        <f t="shared" si="1131"/>
        <v>10083.787000000002</v>
      </c>
      <c r="AG7278" s="14">
        <v>0</v>
      </c>
      <c r="AH7278" s="64">
        <f t="shared" si="1130"/>
        <v>144054.1</v>
      </c>
      <c r="AJ7278" s="126" t="e">
        <v>#N/A</v>
      </c>
      <c r="AK7278" s="80">
        <f t="shared" si="1127"/>
        <v>0</v>
      </c>
      <c r="AL7278" s="85"/>
      <c r="AM7278" s="85"/>
    </row>
    <row r="7279" spans="1:39" s="86" customFormat="1" ht="13.25" hidden="1" customHeight="1" x14ac:dyDescent="0.3">
      <c r="A7279" s="89" t="s">
        <v>3978</v>
      </c>
      <c r="B7279" s="86" t="s">
        <v>35</v>
      </c>
      <c r="C7279" s="86" t="s">
        <v>164</v>
      </c>
      <c r="D7279" s="86" t="s">
        <v>305</v>
      </c>
      <c r="E7279" s="86" t="s">
        <v>1538</v>
      </c>
      <c r="F7279" s="86" t="s">
        <v>1538</v>
      </c>
      <c r="G7279" s="86" t="s">
        <v>1538</v>
      </c>
      <c r="H7279" s="144">
        <v>364</v>
      </c>
      <c r="I7279" s="86" t="s">
        <v>887</v>
      </c>
      <c r="J7279" s="1" t="s">
        <v>3323</v>
      </c>
      <c r="K7279" s="47" t="s">
        <v>3277</v>
      </c>
      <c r="L7279" s="47" t="s">
        <v>35</v>
      </c>
      <c r="M7279" s="86" t="s">
        <v>1539</v>
      </c>
      <c r="O7279" s="47" t="s">
        <v>410</v>
      </c>
      <c r="P7279" s="47" t="s">
        <v>41</v>
      </c>
      <c r="Q7279" s="14">
        <v>0</v>
      </c>
      <c r="R7279" s="143" t="s">
        <v>1540</v>
      </c>
      <c r="S7279" s="47"/>
      <c r="T7279" s="6">
        <v>4631660.2436700007</v>
      </c>
      <c r="U7279" s="6">
        <v>2208755.5699999998</v>
      </c>
      <c r="V7279" s="6">
        <v>2276897.6577400002</v>
      </c>
      <c r="W7279" s="6">
        <f t="shared" si="1128"/>
        <v>4563518.1559299994</v>
      </c>
      <c r="X7279" s="6">
        <f t="shared" si="1123"/>
        <v>2276897.6577400002</v>
      </c>
      <c r="Y7279" s="13">
        <f t="shared" si="1125"/>
        <v>0</v>
      </c>
      <c r="Z7279" s="66">
        <v>0</v>
      </c>
      <c r="AA7279" s="6">
        <v>0</v>
      </c>
      <c r="AB7279" s="4">
        <f t="shared" si="1126"/>
        <v>2276897.6577400002</v>
      </c>
      <c r="AC7279" s="6">
        <f t="shared" si="1124"/>
        <v>0</v>
      </c>
      <c r="AD7279" s="6">
        <f t="shared" si="1129"/>
        <v>2276897.6577400002</v>
      </c>
      <c r="AE7279" s="14">
        <f>VLOOKUP(I7279,[2]媒体政策预估表!A:N,MATCH(O7279,[2]媒体政策预估表!$A$2:$M$2,0),0)</f>
        <v>0.02</v>
      </c>
      <c r="AF7279" s="6">
        <f t="shared" si="1131"/>
        <v>45537.953154800001</v>
      </c>
      <c r="AG7279" s="14">
        <v>0</v>
      </c>
      <c r="AH7279" s="64">
        <f t="shared" si="1130"/>
        <v>2276897.6577400002</v>
      </c>
      <c r="AJ7279" s="126" t="e">
        <v>#N/A</v>
      </c>
      <c r="AK7279" s="80">
        <f t="shared" si="1127"/>
        <v>0</v>
      </c>
      <c r="AL7279" s="85"/>
      <c r="AM7279" s="85"/>
    </row>
    <row r="7280" spans="1:39" s="86" customFormat="1" ht="13.25" hidden="1" customHeight="1" x14ac:dyDescent="0.3">
      <c r="A7280" s="89" t="s">
        <v>3978</v>
      </c>
      <c r="B7280" s="86" t="s">
        <v>35</v>
      </c>
      <c r="C7280" s="86" t="s">
        <v>164</v>
      </c>
      <c r="D7280" s="86" t="s">
        <v>305</v>
      </c>
      <c r="E7280" s="86" t="s">
        <v>4069</v>
      </c>
      <c r="F7280" s="86" t="s">
        <v>4069</v>
      </c>
      <c r="G7280" s="86" t="s">
        <v>4069</v>
      </c>
      <c r="H7280" s="144">
        <v>360</v>
      </c>
      <c r="I7280" s="86" t="s">
        <v>1060</v>
      </c>
      <c r="J7280" s="47" t="s">
        <v>3325</v>
      </c>
      <c r="K7280" s="47" t="s">
        <v>3767</v>
      </c>
      <c r="L7280" s="47" t="s">
        <v>35</v>
      </c>
      <c r="M7280" s="86" t="s">
        <v>4069</v>
      </c>
      <c r="O7280" s="47" t="s">
        <v>410</v>
      </c>
      <c r="P7280" s="47" t="s">
        <v>46</v>
      </c>
      <c r="Q7280" s="14">
        <v>0.02</v>
      </c>
      <c r="R7280" s="143" t="s">
        <v>4070</v>
      </c>
      <c r="S7280" s="47"/>
      <c r="T7280" s="6">
        <v>0</v>
      </c>
      <c r="U7280" s="6">
        <v>13307.1</v>
      </c>
      <c r="V7280" s="6">
        <v>13307.1</v>
      </c>
      <c r="W7280" s="6">
        <f t="shared" si="1128"/>
        <v>0</v>
      </c>
      <c r="X7280" s="6">
        <f t="shared" ref="X7280:X7343" si="1133">IF(P7280="折扣",V7280*Q7280,IF(P7280="返现",V7280,V7280/(1+Q7280)))</f>
        <v>13046.176470588236</v>
      </c>
      <c r="Y7280" s="13">
        <f t="shared" si="1125"/>
        <v>0</v>
      </c>
      <c r="Z7280" s="66">
        <v>0</v>
      </c>
      <c r="AA7280" s="6">
        <v>0</v>
      </c>
      <c r="AB7280" s="4">
        <f t="shared" si="1126"/>
        <v>13046.176470588236</v>
      </c>
      <c r="AC7280" s="6">
        <f t="shared" si="1124"/>
        <v>260.92352941176432</v>
      </c>
      <c r="AD7280" s="6">
        <f t="shared" si="1129"/>
        <v>13307.1</v>
      </c>
      <c r="AE7280" s="14">
        <f>VLOOKUP(I7280,[2]媒体政策预估表!A:N,MATCH(O7280,[2]媒体政策预估表!$A$2:$M$2,0),0)</f>
        <v>7.0000000000000007E-2</v>
      </c>
      <c r="AF7280" s="6">
        <f t="shared" si="1131"/>
        <v>931.49700000000007</v>
      </c>
      <c r="AG7280" s="14">
        <v>0</v>
      </c>
      <c r="AH7280" s="64">
        <f t="shared" si="1130"/>
        <v>13307.1</v>
      </c>
      <c r="AJ7280" s="126" t="e">
        <v>#N/A</v>
      </c>
      <c r="AK7280" s="80">
        <f t="shared" si="1127"/>
        <v>0</v>
      </c>
      <c r="AL7280" s="85"/>
      <c r="AM7280" s="85"/>
    </row>
    <row r="7281" spans="1:39" s="86" customFormat="1" ht="13.25" hidden="1" customHeight="1" x14ac:dyDescent="0.3">
      <c r="A7281" s="89" t="s">
        <v>3978</v>
      </c>
      <c r="B7281" s="86" t="s">
        <v>35</v>
      </c>
      <c r="C7281" s="86" t="s">
        <v>164</v>
      </c>
      <c r="D7281" s="86" t="s">
        <v>305</v>
      </c>
      <c r="E7281" s="86" t="s">
        <v>1541</v>
      </c>
      <c r="F7281" s="86" t="s">
        <v>1541</v>
      </c>
      <c r="G7281" s="86" t="s">
        <v>1541</v>
      </c>
      <c r="H7281" s="144">
        <v>360</v>
      </c>
      <c r="I7281" s="86" t="s">
        <v>1060</v>
      </c>
      <c r="J7281" s="47" t="s">
        <v>3325</v>
      </c>
      <c r="K7281" s="47" t="s">
        <v>3767</v>
      </c>
      <c r="L7281" s="47" t="s">
        <v>35</v>
      </c>
      <c r="M7281" s="86" t="s">
        <v>1541</v>
      </c>
      <c r="O7281" s="47" t="s">
        <v>410</v>
      </c>
      <c r="P7281" s="47" t="s">
        <v>41</v>
      </c>
      <c r="Q7281" s="14">
        <v>0</v>
      </c>
      <c r="R7281" s="143" t="s">
        <v>1542</v>
      </c>
      <c r="S7281" s="47"/>
      <c r="T7281" s="6">
        <v>62911.080000000075</v>
      </c>
      <c r="U7281" s="6">
        <v>550000</v>
      </c>
      <c r="V7281" s="6">
        <v>544635.69999999995</v>
      </c>
      <c r="W7281" s="6">
        <f t="shared" si="1128"/>
        <v>68275.380000000121</v>
      </c>
      <c r="X7281" s="6">
        <f t="shared" si="1133"/>
        <v>544635.69999999995</v>
      </c>
      <c r="Y7281" s="13">
        <f t="shared" si="1125"/>
        <v>0</v>
      </c>
      <c r="Z7281" s="66">
        <v>0</v>
      </c>
      <c r="AA7281" s="6">
        <v>0</v>
      </c>
      <c r="AB7281" s="4">
        <f t="shared" si="1126"/>
        <v>544635.69999999995</v>
      </c>
      <c r="AC7281" s="6">
        <f t="shared" si="1124"/>
        <v>0</v>
      </c>
      <c r="AD7281" s="6">
        <f t="shared" si="1129"/>
        <v>544635.69999999995</v>
      </c>
      <c r="AE7281" s="14">
        <f>VLOOKUP(I7281,[2]媒体政策预估表!A:N,MATCH(O7281,[2]媒体政策预估表!$A$2:$M$2,0),0)</f>
        <v>7.0000000000000007E-2</v>
      </c>
      <c r="AF7281" s="6">
        <f t="shared" si="1131"/>
        <v>38124.499000000003</v>
      </c>
      <c r="AG7281" s="14">
        <v>0</v>
      </c>
      <c r="AH7281" s="64">
        <f t="shared" si="1130"/>
        <v>544635.69999999995</v>
      </c>
      <c r="AJ7281" s="126" t="e">
        <v>#N/A</v>
      </c>
      <c r="AK7281" s="80">
        <f t="shared" si="1127"/>
        <v>0</v>
      </c>
      <c r="AL7281" s="85"/>
      <c r="AM7281" s="85"/>
    </row>
    <row r="7282" spans="1:39" s="86" customFormat="1" ht="13.25" hidden="1" customHeight="1" x14ac:dyDescent="0.3">
      <c r="A7282" s="89" t="s">
        <v>3978</v>
      </c>
      <c r="B7282" s="86" t="s">
        <v>35</v>
      </c>
      <c r="C7282" s="86" t="s">
        <v>164</v>
      </c>
      <c r="D7282" s="86" t="s">
        <v>305</v>
      </c>
      <c r="E7282" s="86" t="s">
        <v>1543</v>
      </c>
      <c r="F7282" s="86" t="s">
        <v>1543</v>
      </c>
      <c r="G7282" s="86" t="s">
        <v>1543</v>
      </c>
      <c r="H7282" s="144">
        <v>360</v>
      </c>
      <c r="I7282" s="86" t="s">
        <v>1060</v>
      </c>
      <c r="J7282" s="47" t="s">
        <v>3325</v>
      </c>
      <c r="K7282" s="47" t="s">
        <v>3767</v>
      </c>
      <c r="L7282" s="47" t="s">
        <v>35</v>
      </c>
      <c r="M7282" s="86" t="s">
        <v>1543</v>
      </c>
      <c r="O7282" s="47" t="s">
        <v>410</v>
      </c>
      <c r="P7282" s="47" t="s">
        <v>41</v>
      </c>
      <c r="Q7282" s="14">
        <v>0</v>
      </c>
      <c r="R7282" s="143">
        <v>17728178884</v>
      </c>
      <c r="S7282" s="47"/>
      <c r="T7282" s="6">
        <v>38316.100000000006</v>
      </c>
      <c r="U7282" s="6">
        <v>20000</v>
      </c>
      <c r="V7282" s="6">
        <v>46298.7</v>
      </c>
      <c r="W7282" s="6">
        <f t="shared" si="1128"/>
        <v>12017.400000000009</v>
      </c>
      <c r="X7282" s="6">
        <f t="shared" si="1133"/>
        <v>46298.7</v>
      </c>
      <c r="Y7282" s="13">
        <f t="shared" si="1125"/>
        <v>0</v>
      </c>
      <c r="Z7282" s="66">
        <v>0</v>
      </c>
      <c r="AA7282" s="6">
        <v>0</v>
      </c>
      <c r="AB7282" s="4">
        <f t="shared" si="1126"/>
        <v>46298.7</v>
      </c>
      <c r="AC7282" s="6">
        <f t="shared" si="1124"/>
        <v>0</v>
      </c>
      <c r="AD7282" s="6">
        <f t="shared" si="1129"/>
        <v>46298.7</v>
      </c>
      <c r="AE7282" s="14">
        <f>VLOOKUP(I7282,[2]媒体政策预估表!A:N,MATCH(O7282,[2]媒体政策预估表!$A$2:$M$2,0),0)</f>
        <v>7.0000000000000007E-2</v>
      </c>
      <c r="AF7282" s="6">
        <f t="shared" si="1131"/>
        <v>3240.9090000000001</v>
      </c>
      <c r="AG7282" s="14">
        <v>0</v>
      </c>
      <c r="AH7282" s="64">
        <f t="shared" si="1130"/>
        <v>46298.7</v>
      </c>
      <c r="AJ7282" s="126" t="e">
        <v>#N/A</v>
      </c>
      <c r="AK7282" s="80">
        <f t="shared" si="1127"/>
        <v>0</v>
      </c>
      <c r="AL7282" s="85"/>
      <c r="AM7282" s="85"/>
    </row>
    <row r="7283" spans="1:39" s="86" customFormat="1" ht="13.25" hidden="1" customHeight="1" x14ac:dyDescent="0.3">
      <c r="A7283" s="89" t="s">
        <v>3978</v>
      </c>
      <c r="B7283" s="86" t="s">
        <v>35</v>
      </c>
      <c r="C7283" s="86" t="s">
        <v>164</v>
      </c>
      <c r="D7283" s="86" t="s">
        <v>305</v>
      </c>
      <c r="E7283" s="86" t="s">
        <v>1544</v>
      </c>
      <c r="F7283" s="86" t="s">
        <v>1544</v>
      </c>
      <c r="G7283" s="86" t="s">
        <v>1544</v>
      </c>
      <c r="H7283" s="144">
        <v>360</v>
      </c>
      <c r="I7283" s="86" t="s">
        <v>1060</v>
      </c>
      <c r="J7283" s="47" t="s">
        <v>3325</v>
      </c>
      <c r="K7283" s="47" t="s">
        <v>3767</v>
      </c>
      <c r="L7283" s="47" t="s">
        <v>35</v>
      </c>
      <c r="M7283" s="86" t="s">
        <v>1547</v>
      </c>
      <c r="O7283" s="47" t="s">
        <v>410</v>
      </c>
      <c r="P7283" s="47" t="s">
        <v>41</v>
      </c>
      <c r="Q7283" s="14">
        <v>0</v>
      </c>
      <c r="R7283" s="143" t="s">
        <v>1548</v>
      </c>
      <c r="S7283" s="47"/>
      <c r="T7283" s="6">
        <v>27057.960000000006</v>
      </c>
      <c r="U7283" s="6">
        <v>30000</v>
      </c>
      <c r="V7283" s="6">
        <v>48474.29</v>
      </c>
      <c r="W7283" s="6">
        <f t="shared" si="1128"/>
        <v>8583.6700000000055</v>
      </c>
      <c r="X7283" s="6">
        <f t="shared" si="1133"/>
        <v>48474.29</v>
      </c>
      <c r="Y7283" s="13">
        <f t="shared" si="1125"/>
        <v>0</v>
      </c>
      <c r="Z7283" s="66">
        <v>0</v>
      </c>
      <c r="AA7283" s="6">
        <v>0</v>
      </c>
      <c r="AB7283" s="4">
        <f t="shared" si="1126"/>
        <v>48474.29</v>
      </c>
      <c r="AC7283" s="6">
        <f t="shared" si="1124"/>
        <v>0</v>
      </c>
      <c r="AD7283" s="6">
        <f t="shared" si="1129"/>
        <v>48474.29</v>
      </c>
      <c r="AE7283" s="14">
        <f>VLOOKUP(I7283,[2]媒体政策预估表!A:N,MATCH(O7283,[2]媒体政策预估表!$A$2:$M$2,0),0)</f>
        <v>7.0000000000000007E-2</v>
      </c>
      <c r="AF7283" s="6">
        <f t="shared" si="1131"/>
        <v>3393.2003000000004</v>
      </c>
      <c r="AG7283" s="14">
        <v>0</v>
      </c>
      <c r="AH7283" s="64">
        <f t="shared" si="1130"/>
        <v>48474.29</v>
      </c>
      <c r="AJ7283" s="126" t="e">
        <v>#N/A</v>
      </c>
      <c r="AK7283" s="80">
        <f t="shared" si="1127"/>
        <v>0</v>
      </c>
      <c r="AL7283" s="85"/>
      <c r="AM7283" s="85"/>
    </row>
    <row r="7284" spans="1:39" s="86" customFormat="1" ht="13.25" hidden="1" customHeight="1" x14ac:dyDescent="0.3">
      <c r="A7284" s="89" t="s">
        <v>3978</v>
      </c>
      <c r="B7284" s="86" t="s">
        <v>35</v>
      </c>
      <c r="C7284" s="86" t="s">
        <v>164</v>
      </c>
      <c r="D7284" s="86" t="s">
        <v>305</v>
      </c>
      <c r="E7284" s="86" t="s">
        <v>3546</v>
      </c>
      <c r="F7284" s="86" t="s">
        <v>3546</v>
      </c>
      <c r="G7284" s="86" t="s">
        <v>3546</v>
      </c>
      <c r="H7284" s="144">
        <v>360</v>
      </c>
      <c r="I7284" s="86" t="s">
        <v>1060</v>
      </c>
      <c r="J7284" s="47" t="s">
        <v>3325</v>
      </c>
      <c r="K7284" s="47" t="s">
        <v>3767</v>
      </c>
      <c r="L7284" s="47" t="s">
        <v>35</v>
      </c>
      <c r="M7284" s="86" t="s">
        <v>3546</v>
      </c>
      <c r="O7284" s="47" t="s">
        <v>410</v>
      </c>
      <c r="P7284" s="47" t="s">
        <v>46</v>
      </c>
      <c r="Q7284" s="14">
        <v>0.02</v>
      </c>
      <c r="R7284" s="143" t="s">
        <v>3547</v>
      </c>
      <c r="S7284" s="47"/>
      <c r="T7284" s="6">
        <v>6166.2000000000007</v>
      </c>
      <c r="U7284" s="6">
        <v>-11000.2</v>
      </c>
      <c r="V7284" s="6">
        <v>-4834</v>
      </c>
      <c r="W7284" s="6">
        <f t="shared" si="1128"/>
        <v>0</v>
      </c>
      <c r="X7284" s="6">
        <f t="shared" si="1133"/>
        <v>-4739.2156862745096</v>
      </c>
      <c r="Y7284" s="13">
        <f t="shared" si="1125"/>
        <v>94.784313725490392</v>
      </c>
      <c r="Z7284" s="66">
        <v>0</v>
      </c>
      <c r="AA7284" s="6">
        <v>0</v>
      </c>
      <c r="AB7284" s="4">
        <f t="shared" si="1126"/>
        <v>-4739.2156862745096</v>
      </c>
      <c r="AC7284" s="6">
        <f t="shared" si="1124"/>
        <v>-94.784313725490392</v>
      </c>
      <c r="AD7284" s="6">
        <f t="shared" si="1129"/>
        <v>-4834</v>
      </c>
      <c r="AE7284" s="14">
        <f>VLOOKUP(I7284,[2]媒体政策预估表!A:N,MATCH(O7284,[2]媒体政策预估表!$A$2:$M$2,0),0)</f>
        <v>7.0000000000000007E-2</v>
      </c>
      <c r="AF7284" s="6">
        <f t="shared" si="1131"/>
        <v>-338.38000000000005</v>
      </c>
      <c r="AG7284" s="14">
        <v>0</v>
      </c>
      <c r="AH7284" s="64">
        <f t="shared" si="1130"/>
        <v>-4834</v>
      </c>
      <c r="AJ7284" s="126" t="e">
        <v>#N/A</v>
      </c>
      <c r="AK7284" s="80">
        <f t="shared" si="1127"/>
        <v>0</v>
      </c>
      <c r="AL7284" s="85"/>
      <c r="AM7284" s="85"/>
    </row>
    <row r="7285" spans="1:39" s="86" customFormat="1" ht="13.25" hidden="1" customHeight="1" x14ac:dyDescent="0.3">
      <c r="A7285" s="89" t="s">
        <v>3978</v>
      </c>
      <c r="B7285" s="86" t="s">
        <v>35</v>
      </c>
      <c r="C7285" s="86" t="s">
        <v>164</v>
      </c>
      <c r="D7285" s="86" t="s">
        <v>305</v>
      </c>
      <c r="E7285" s="86" t="s">
        <v>1549</v>
      </c>
      <c r="F7285" s="86" t="s">
        <v>1550</v>
      </c>
      <c r="G7285" s="86" t="s">
        <v>1549</v>
      </c>
      <c r="H7285" s="144">
        <v>360</v>
      </c>
      <c r="I7285" s="86" t="s">
        <v>1060</v>
      </c>
      <c r="J7285" s="47" t="s">
        <v>3325</v>
      </c>
      <c r="K7285" s="47" t="s">
        <v>3767</v>
      </c>
      <c r="L7285" s="47" t="s">
        <v>35</v>
      </c>
      <c r="M7285" s="86" t="s">
        <v>1551</v>
      </c>
      <c r="O7285" s="47" t="s">
        <v>410</v>
      </c>
      <c r="P7285" s="47" t="s">
        <v>41</v>
      </c>
      <c r="Q7285" s="14">
        <v>0</v>
      </c>
      <c r="R7285" s="143" t="s">
        <v>1552</v>
      </c>
      <c r="S7285" s="47"/>
      <c r="T7285" s="6">
        <v>12231.8</v>
      </c>
      <c r="U7285" s="6">
        <v>10000</v>
      </c>
      <c r="V7285" s="6">
        <v>14337.8</v>
      </c>
      <c r="W7285" s="6">
        <f t="shared" si="1128"/>
        <v>7894</v>
      </c>
      <c r="X7285" s="6">
        <f t="shared" si="1133"/>
        <v>14337.8</v>
      </c>
      <c r="Y7285" s="13">
        <f t="shared" si="1125"/>
        <v>0</v>
      </c>
      <c r="Z7285" s="66">
        <v>0</v>
      </c>
      <c r="AA7285" s="6">
        <v>0</v>
      </c>
      <c r="AB7285" s="4">
        <f t="shared" si="1126"/>
        <v>14337.8</v>
      </c>
      <c r="AC7285" s="6">
        <f t="shared" si="1124"/>
        <v>0</v>
      </c>
      <c r="AD7285" s="6">
        <f t="shared" si="1129"/>
        <v>14337.8</v>
      </c>
      <c r="AE7285" s="14">
        <f>VLOOKUP(I7285,[2]媒体政策预估表!A:N,MATCH(O7285,[2]媒体政策预估表!$A$2:$M$2,0),0)</f>
        <v>7.0000000000000007E-2</v>
      </c>
      <c r="AF7285" s="6">
        <f t="shared" si="1131"/>
        <v>1003.6460000000001</v>
      </c>
      <c r="AG7285" s="14">
        <v>0</v>
      </c>
      <c r="AH7285" s="64">
        <f t="shared" si="1130"/>
        <v>14337.8</v>
      </c>
      <c r="AJ7285" s="126" t="e">
        <v>#N/A</v>
      </c>
      <c r="AK7285" s="80">
        <f t="shared" si="1127"/>
        <v>0</v>
      </c>
      <c r="AL7285" s="85"/>
      <c r="AM7285" s="85"/>
    </row>
    <row r="7286" spans="1:39" s="86" customFormat="1" ht="13.25" hidden="1" customHeight="1" x14ac:dyDescent="0.3">
      <c r="A7286" s="89" t="s">
        <v>3978</v>
      </c>
      <c r="B7286" s="86" t="s">
        <v>35</v>
      </c>
      <c r="C7286" s="86" t="s">
        <v>164</v>
      </c>
      <c r="D7286" s="86" t="s">
        <v>305</v>
      </c>
      <c r="E7286" s="86" t="s">
        <v>1549</v>
      </c>
      <c r="F7286" s="86" t="s">
        <v>1550</v>
      </c>
      <c r="G7286" s="86" t="s">
        <v>1549</v>
      </c>
      <c r="H7286" s="144">
        <v>360</v>
      </c>
      <c r="I7286" s="86" t="s">
        <v>1060</v>
      </c>
      <c r="J7286" s="47" t="s">
        <v>3325</v>
      </c>
      <c r="K7286" s="47" t="s">
        <v>3767</v>
      </c>
      <c r="L7286" s="47" t="s">
        <v>35</v>
      </c>
      <c r="M7286" s="86" t="s">
        <v>1549</v>
      </c>
      <c r="O7286" s="47" t="s">
        <v>410</v>
      </c>
      <c r="P7286" s="47" t="s">
        <v>41</v>
      </c>
      <c r="Q7286" s="14">
        <v>0</v>
      </c>
      <c r="R7286" s="143" t="s">
        <v>1553</v>
      </c>
      <c r="S7286" s="47"/>
      <c r="T7286" s="6">
        <v>12545.169999999998</v>
      </c>
      <c r="U7286" s="6">
        <v>60000</v>
      </c>
      <c r="V7286" s="6">
        <v>65099.7</v>
      </c>
      <c r="W7286" s="6">
        <f t="shared" si="1128"/>
        <v>7445.4700000000012</v>
      </c>
      <c r="X7286" s="6">
        <f t="shared" si="1133"/>
        <v>65099.7</v>
      </c>
      <c r="Y7286" s="13">
        <f t="shared" si="1125"/>
        <v>0</v>
      </c>
      <c r="Z7286" s="66">
        <v>0</v>
      </c>
      <c r="AA7286" s="6">
        <v>0</v>
      </c>
      <c r="AB7286" s="4">
        <f t="shared" si="1126"/>
        <v>65099.7</v>
      </c>
      <c r="AC7286" s="6">
        <f t="shared" si="1124"/>
        <v>0</v>
      </c>
      <c r="AD7286" s="6">
        <f t="shared" si="1129"/>
        <v>65099.7</v>
      </c>
      <c r="AE7286" s="14">
        <f>VLOOKUP(I7286,[2]媒体政策预估表!A:N,MATCH(O7286,[2]媒体政策预估表!$A$2:$M$2,0),0)</f>
        <v>7.0000000000000007E-2</v>
      </c>
      <c r="AF7286" s="6">
        <f t="shared" si="1131"/>
        <v>4556.9790000000003</v>
      </c>
      <c r="AG7286" s="14">
        <v>0</v>
      </c>
      <c r="AH7286" s="64">
        <f t="shared" si="1130"/>
        <v>65099.7</v>
      </c>
      <c r="AJ7286" s="126" t="e">
        <v>#N/A</v>
      </c>
      <c r="AK7286" s="80">
        <f t="shared" si="1127"/>
        <v>0</v>
      </c>
      <c r="AL7286" s="85"/>
      <c r="AM7286" s="85"/>
    </row>
    <row r="7287" spans="1:39" s="86" customFormat="1" ht="13.25" hidden="1" customHeight="1" x14ac:dyDescent="0.3">
      <c r="A7287" s="89" t="s">
        <v>3978</v>
      </c>
      <c r="B7287" s="86" t="s">
        <v>35</v>
      </c>
      <c r="C7287" s="86" t="s">
        <v>164</v>
      </c>
      <c r="D7287" s="86" t="s">
        <v>305</v>
      </c>
      <c r="E7287" s="86" t="s">
        <v>3875</v>
      </c>
      <c r="F7287" s="86" t="s">
        <v>3875</v>
      </c>
      <c r="G7287" s="86" t="s">
        <v>3875</v>
      </c>
      <c r="H7287" s="144">
        <v>360</v>
      </c>
      <c r="I7287" s="86" t="s">
        <v>1060</v>
      </c>
      <c r="J7287" s="47" t="s">
        <v>3325</v>
      </c>
      <c r="K7287" s="47" t="s">
        <v>3767</v>
      </c>
      <c r="L7287" s="47" t="s">
        <v>35</v>
      </c>
      <c r="M7287" s="86" t="s">
        <v>3875</v>
      </c>
      <c r="O7287" s="47" t="s">
        <v>410</v>
      </c>
      <c r="P7287" s="47" t="s">
        <v>46</v>
      </c>
      <c r="Q7287" s="14">
        <v>0.01</v>
      </c>
      <c r="R7287" s="143" t="s">
        <v>4071</v>
      </c>
      <c r="S7287" s="47"/>
      <c r="T7287" s="6">
        <v>0</v>
      </c>
      <c r="U7287" s="6">
        <v>140000</v>
      </c>
      <c r="V7287" s="6">
        <v>52609.599999999999</v>
      </c>
      <c r="W7287" s="6">
        <f t="shared" si="1128"/>
        <v>87390.399999999994</v>
      </c>
      <c r="X7287" s="6">
        <f t="shared" si="1133"/>
        <v>52088.712871287127</v>
      </c>
      <c r="Y7287" s="13">
        <f t="shared" si="1125"/>
        <v>0</v>
      </c>
      <c r="Z7287" s="66">
        <v>0</v>
      </c>
      <c r="AA7287" s="6">
        <v>0</v>
      </c>
      <c r="AB7287" s="4">
        <f t="shared" si="1126"/>
        <v>52088.712871287127</v>
      </c>
      <c r="AC7287" s="6">
        <f t="shared" si="1124"/>
        <v>520.88712871287134</v>
      </c>
      <c r="AD7287" s="6">
        <f t="shared" si="1129"/>
        <v>52609.599999999999</v>
      </c>
      <c r="AE7287" s="14">
        <f>VLOOKUP(I7287,[2]媒体政策预估表!A:N,MATCH(O7287,[2]媒体政策预估表!$A$2:$M$2,0),0)</f>
        <v>7.0000000000000007E-2</v>
      </c>
      <c r="AF7287" s="6">
        <f t="shared" si="1131"/>
        <v>3682.672</v>
      </c>
      <c r="AG7287" s="14">
        <v>0</v>
      </c>
      <c r="AH7287" s="64">
        <f t="shared" si="1130"/>
        <v>52609.599999999999</v>
      </c>
      <c r="AJ7287" s="126" t="e">
        <v>#N/A</v>
      </c>
      <c r="AK7287" s="80">
        <f t="shared" si="1127"/>
        <v>0</v>
      </c>
      <c r="AL7287" s="85"/>
      <c r="AM7287" s="85"/>
    </row>
    <row r="7288" spans="1:39" s="86" customFormat="1" ht="13.25" hidden="1" customHeight="1" x14ac:dyDescent="0.3">
      <c r="A7288" s="89" t="s">
        <v>3978</v>
      </c>
      <c r="B7288" s="86" t="s">
        <v>35</v>
      </c>
      <c r="C7288" s="86" t="s">
        <v>164</v>
      </c>
      <c r="D7288" s="86" t="s">
        <v>305</v>
      </c>
      <c r="E7288" s="86" t="s">
        <v>3542</v>
      </c>
      <c r="F7288" s="86" t="s">
        <v>3542</v>
      </c>
      <c r="G7288" s="86" t="s">
        <v>3542</v>
      </c>
      <c r="H7288" s="144">
        <v>360</v>
      </c>
      <c r="I7288" s="86" t="s">
        <v>1060</v>
      </c>
      <c r="J7288" s="47" t="s">
        <v>3325</v>
      </c>
      <c r="K7288" s="47" t="s">
        <v>3767</v>
      </c>
      <c r="L7288" s="47" t="s">
        <v>35</v>
      </c>
      <c r="M7288" s="86" t="s">
        <v>263</v>
      </c>
      <c r="O7288" s="47" t="s">
        <v>410</v>
      </c>
      <c r="P7288" s="47" t="s">
        <v>41</v>
      </c>
      <c r="Q7288" s="14">
        <v>0</v>
      </c>
      <c r="R7288" s="143" t="s">
        <v>3543</v>
      </c>
      <c r="S7288" s="47"/>
      <c r="T7288" s="6">
        <v>40778.450020000004</v>
      </c>
      <c r="U7288" s="6">
        <v>72732.799999999988</v>
      </c>
      <c r="V7288" s="6">
        <v>76575.899999999994</v>
      </c>
      <c r="W7288" s="6">
        <f t="shared" si="1128"/>
        <v>36935.350019999998</v>
      </c>
      <c r="X7288" s="6">
        <f t="shared" si="1133"/>
        <v>76575.899999999994</v>
      </c>
      <c r="Y7288" s="13">
        <f t="shared" si="1125"/>
        <v>0</v>
      </c>
      <c r="Z7288" s="66">
        <v>0</v>
      </c>
      <c r="AA7288" s="6">
        <v>0</v>
      </c>
      <c r="AB7288" s="4">
        <f t="shared" si="1126"/>
        <v>76575.899999999994</v>
      </c>
      <c r="AC7288" s="6">
        <f t="shared" si="1124"/>
        <v>0</v>
      </c>
      <c r="AD7288" s="6">
        <f t="shared" si="1129"/>
        <v>76575.899999999994</v>
      </c>
      <c r="AE7288" s="14">
        <f>VLOOKUP(I7288,[2]媒体政策预估表!A:N,MATCH(O7288,[2]媒体政策预估表!$A$2:$M$2,0),0)</f>
        <v>7.0000000000000007E-2</v>
      </c>
      <c r="AF7288" s="6">
        <f t="shared" si="1131"/>
        <v>5360.3130000000001</v>
      </c>
      <c r="AG7288" s="14">
        <v>0</v>
      </c>
      <c r="AH7288" s="64">
        <f t="shared" si="1130"/>
        <v>76575.899999999994</v>
      </c>
      <c r="AJ7288" s="126" t="e">
        <v>#N/A</v>
      </c>
      <c r="AK7288" s="80">
        <f t="shared" si="1127"/>
        <v>0</v>
      </c>
      <c r="AL7288" s="85"/>
      <c r="AM7288" s="85"/>
    </row>
    <row r="7289" spans="1:39" s="86" customFormat="1" ht="13.25" hidden="1" customHeight="1" x14ac:dyDescent="0.3">
      <c r="A7289" s="89" t="s">
        <v>3978</v>
      </c>
      <c r="B7289" s="86" t="s">
        <v>35</v>
      </c>
      <c r="C7289" s="86" t="s">
        <v>164</v>
      </c>
      <c r="D7289" s="86" t="s">
        <v>305</v>
      </c>
      <c r="E7289" s="86" t="s">
        <v>3542</v>
      </c>
      <c r="F7289" s="86" t="s">
        <v>3542</v>
      </c>
      <c r="G7289" s="86" t="s">
        <v>3542</v>
      </c>
      <c r="H7289" s="144">
        <v>360</v>
      </c>
      <c r="I7289" s="86" t="s">
        <v>1060</v>
      </c>
      <c r="J7289" s="47" t="s">
        <v>3325</v>
      </c>
      <c r="K7289" s="47" t="s">
        <v>3767</v>
      </c>
      <c r="L7289" s="47" t="s">
        <v>35</v>
      </c>
      <c r="M7289" s="86" t="s">
        <v>3549</v>
      </c>
      <c r="O7289" s="47" t="s">
        <v>410</v>
      </c>
      <c r="P7289" s="47" t="s">
        <v>41</v>
      </c>
      <c r="Q7289" s="14">
        <v>0</v>
      </c>
      <c r="R7289" s="143" t="s">
        <v>3550</v>
      </c>
      <c r="S7289" s="47"/>
      <c r="T7289" s="6">
        <v>19220.500090000001</v>
      </c>
      <c r="U7289" s="6">
        <v>-18441.400000000001</v>
      </c>
      <c r="V7289" s="6">
        <v>779.1</v>
      </c>
      <c r="W7289" s="6">
        <f t="shared" si="1128"/>
        <v>8.9999999886458681E-5</v>
      </c>
      <c r="X7289" s="6">
        <f t="shared" si="1133"/>
        <v>779.1</v>
      </c>
      <c r="Y7289" s="13">
        <f t="shared" si="1125"/>
        <v>0</v>
      </c>
      <c r="Z7289" s="66">
        <v>0</v>
      </c>
      <c r="AA7289" s="6">
        <v>0</v>
      </c>
      <c r="AB7289" s="4">
        <f t="shared" si="1126"/>
        <v>779.1</v>
      </c>
      <c r="AC7289" s="6">
        <f t="shared" si="1124"/>
        <v>0</v>
      </c>
      <c r="AD7289" s="6">
        <f t="shared" si="1129"/>
        <v>779.1</v>
      </c>
      <c r="AE7289" s="14">
        <f>VLOOKUP(I7289,[2]媒体政策预估表!A:N,MATCH(O7289,[2]媒体政策预估表!$A$2:$M$2,0),0)</f>
        <v>7.0000000000000007E-2</v>
      </c>
      <c r="AF7289" s="6">
        <f t="shared" si="1131"/>
        <v>54.537000000000006</v>
      </c>
      <c r="AG7289" s="14">
        <v>0</v>
      </c>
      <c r="AH7289" s="64">
        <f t="shared" si="1130"/>
        <v>779.1</v>
      </c>
      <c r="AJ7289" s="126" t="e">
        <v>#N/A</v>
      </c>
      <c r="AK7289" s="80">
        <f t="shared" si="1127"/>
        <v>0</v>
      </c>
      <c r="AL7289" s="85"/>
      <c r="AM7289" s="85"/>
    </row>
    <row r="7290" spans="1:39" s="86" customFormat="1" ht="13.25" hidden="1" customHeight="1" x14ac:dyDescent="0.3">
      <c r="A7290" s="89" t="s">
        <v>3978</v>
      </c>
      <c r="B7290" s="86" t="s">
        <v>35</v>
      </c>
      <c r="C7290" s="86" t="s">
        <v>164</v>
      </c>
      <c r="D7290" s="86" t="s">
        <v>305</v>
      </c>
      <c r="E7290" s="86" t="s">
        <v>3542</v>
      </c>
      <c r="F7290" s="86" t="s">
        <v>3542</v>
      </c>
      <c r="G7290" s="86" t="s">
        <v>3542</v>
      </c>
      <c r="H7290" s="144">
        <v>360</v>
      </c>
      <c r="I7290" s="86" t="s">
        <v>1060</v>
      </c>
      <c r="J7290" s="47" t="s">
        <v>3325</v>
      </c>
      <c r="K7290" s="47" t="s">
        <v>3767</v>
      </c>
      <c r="L7290" s="47" t="s">
        <v>35</v>
      </c>
      <c r="M7290" s="86" t="s">
        <v>3551</v>
      </c>
      <c r="O7290" s="47" t="s">
        <v>410</v>
      </c>
      <c r="P7290" s="47" t="s">
        <v>41</v>
      </c>
      <c r="Q7290" s="14">
        <v>0</v>
      </c>
      <c r="R7290" s="143" t="s">
        <v>3552</v>
      </c>
      <c r="S7290" s="47"/>
      <c r="T7290" s="6">
        <v>30599.699999999997</v>
      </c>
      <c r="U7290" s="6">
        <v>-29866.799999999999</v>
      </c>
      <c r="V7290" s="6">
        <v>732.9</v>
      </c>
      <c r="W7290" s="6">
        <f t="shared" si="1128"/>
        <v>-2.1600499167107046E-12</v>
      </c>
      <c r="X7290" s="6">
        <f t="shared" si="1133"/>
        <v>732.9</v>
      </c>
      <c r="Y7290" s="13">
        <f t="shared" si="1125"/>
        <v>0</v>
      </c>
      <c r="Z7290" s="66">
        <v>0</v>
      </c>
      <c r="AA7290" s="6">
        <v>0</v>
      </c>
      <c r="AB7290" s="4">
        <f t="shared" si="1126"/>
        <v>732.9</v>
      </c>
      <c r="AC7290" s="6">
        <f t="shared" si="1124"/>
        <v>0</v>
      </c>
      <c r="AD7290" s="6">
        <f t="shared" si="1129"/>
        <v>732.9</v>
      </c>
      <c r="AE7290" s="14">
        <f>VLOOKUP(I7290,[2]媒体政策预估表!A:N,MATCH(O7290,[2]媒体政策预估表!$A$2:$M$2,0),0)</f>
        <v>7.0000000000000007E-2</v>
      </c>
      <c r="AF7290" s="6">
        <f t="shared" si="1131"/>
        <v>51.303000000000004</v>
      </c>
      <c r="AG7290" s="14">
        <v>0</v>
      </c>
      <c r="AH7290" s="64">
        <f t="shared" si="1130"/>
        <v>732.9</v>
      </c>
      <c r="AJ7290" s="126" t="e">
        <v>#N/A</v>
      </c>
      <c r="AK7290" s="80">
        <f t="shared" si="1127"/>
        <v>0</v>
      </c>
      <c r="AL7290" s="85"/>
      <c r="AM7290" s="85"/>
    </row>
    <row r="7291" spans="1:39" s="86" customFormat="1" ht="13.25" hidden="1" customHeight="1" x14ac:dyDescent="0.3">
      <c r="A7291" s="89" t="s">
        <v>3978</v>
      </c>
      <c r="B7291" s="86" t="s">
        <v>35</v>
      </c>
      <c r="C7291" s="86" t="s">
        <v>164</v>
      </c>
      <c r="D7291" s="86" t="s">
        <v>305</v>
      </c>
      <c r="E7291" s="86" t="s">
        <v>3542</v>
      </c>
      <c r="F7291" s="86" t="s">
        <v>3542</v>
      </c>
      <c r="G7291" s="86" t="s">
        <v>3542</v>
      </c>
      <c r="H7291" s="144">
        <v>360</v>
      </c>
      <c r="I7291" s="86" t="s">
        <v>1060</v>
      </c>
      <c r="J7291" s="47" t="s">
        <v>3325</v>
      </c>
      <c r="K7291" s="47" t="s">
        <v>3767</v>
      </c>
      <c r="L7291" s="47" t="s">
        <v>35</v>
      </c>
      <c r="M7291" s="86" t="s">
        <v>167</v>
      </c>
      <c r="O7291" s="47" t="s">
        <v>410</v>
      </c>
      <c r="P7291" s="47" t="s">
        <v>41</v>
      </c>
      <c r="Q7291" s="14">
        <v>0</v>
      </c>
      <c r="R7291" s="143" t="s">
        <v>1562</v>
      </c>
      <c r="S7291" s="47"/>
      <c r="T7291" s="6">
        <v>24995.800000000003</v>
      </c>
      <c r="U7291" s="6">
        <v>-24424.6</v>
      </c>
      <c r="V7291" s="6">
        <v>571.20000000000005</v>
      </c>
      <c r="W7291" s="6">
        <f t="shared" si="1128"/>
        <v>4.3200998334214091E-12</v>
      </c>
      <c r="X7291" s="6">
        <f t="shared" si="1133"/>
        <v>571.20000000000005</v>
      </c>
      <c r="Y7291" s="13">
        <f t="shared" si="1125"/>
        <v>0</v>
      </c>
      <c r="Z7291" s="66">
        <v>0</v>
      </c>
      <c r="AA7291" s="6">
        <v>0</v>
      </c>
      <c r="AB7291" s="4">
        <f t="shared" si="1126"/>
        <v>571.20000000000005</v>
      </c>
      <c r="AC7291" s="6">
        <f t="shared" si="1124"/>
        <v>0</v>
      </c>
      <c r="AD7291" s="6">
        <f t="shared" si="1129"/>
        <v>571.20000000000005</v>
      </c>
      <c r="AE7291" s="14">
        <f>VLOOKUP(I7291,[2]媒体政策预估表!A:N,MATCH(O7291,[2]媒体政策预估表!$A$2:$M$2,0),0)</f>
        <v>7.0000000000000007E-2</v>
      </c>
      <c r="AF7291" s="6">
        <f t="shared" si="1131"/>
        <v>39.984000000000009</v>
      </c>
      <c r="AG7291" s="14">
        <v>0</v>
      </c>
      <c r="AH7291" s="64">
        <f t="shared" si="1130"/>
        <v>571.20000000000005</v>
      </c>
      <c r="AJ7291" s="126" t="e">
        <v>#N/A</v>
      </c>
      <c r="AK7291" s="80">
        <f t="shared" si="1127"/>
        <v>0</v>
      </c>
      <c r="AL7291" s="85"/>
      <c r="AM7291" s="85"/>
    </row>
    <row r="7292" spans="1:39" s="86" customFormat="1" ht="13.25" hidden="1" customHeight="1" x14ac:dyDescent="0.3">
      <c r="A7292" s="89" t="s">
        <v>3978</v>
      </c>
      <c r="B7292" s="86" t="s">
        <v>35</v>
      </c>
      <c r="C7292" s="86" t="s">
        <v>164</v>
      </c>
      <c r="D7292" s="86" t="s">
        <v>305</v>
      </c>
      <c r="E7292" s="86" t="s">
        <v>1557</v>
      </c>
      <c r="F7292" s="86" t="s">
        <v>1558</v>
      </c>
      <c r="G7292" s="86" t="s">
        <v>1557</v>
      </c>
      <c r="H7292" s="144">
        <v>360</v>
      </c>
      <c r="I7292" s="86" t="s">
        <v>1060</v>
      </c>
      <c r="J7292" s="47" t="s">
        <v>3325</v>
      </c>
      <c r="K7292" s="47" t="s">
        <v>3767</v>
      </c>
      <c r="L7292" s="47" t="s">
        <v>35</v>
      </c>
      <c r="M7292" s="86" t="s">
        <v>1557</v>
      </c>
      <c r="O7292" s="47" t="s">
        <v>410</v>
      </c>
      <c r="P7292" s="47" t="s">
        <v>46</v>
      </c>
      <c r="Q7292" s="14">
        <v>0.02</v>
      </c>
      <c r="R7292" s="143" t="s">
        <v>1559</v>
      </c>
      <c r="S7292" s="47"/>
      <c r="T7292" s="6">
        <v>229306.38</v>
      </c>
      <c r="U7292" s="6">
        <v>540000</v>
      </c>
      <c r="V7292" s="6">
        <v>555700.30000000005</v>
      </c>
      <c r="W7292" s="6">
        <f t="shared" si="1128"/>
        <v>213606.07999999996</v>
      </c>
      <c r="X7292" s="6">
        <f t="shared" si="1133"/>
        <v>544804.21568627458</v>
      </c>
      <c r="Y7292" s="13">
        <f t="shared" si="1125"/>
        <v>0</v>
      </c>
      <c r="Z7292" s="66">
        <v>0</v>
      </c>
      <c r="AA7292" s="6">
        <v>0</v>
      </c>
      <c r="AB7292" s="4">
        <f t="shared" si="1126"/>
        <v>544804.21568627458</v>
      </c>
      <c r="AC7292" s="6">
        <f t="shared" si="1124"/>
        <v>10896.084313725471</v>
      </c>
      <c r="AD7292" s="6">
        <f t="shared" si="1129"/>
        <v>555700.30000000005</v>
      </c>
      <c r="AE7292" s="14">
        <f>VLOOKUP(I7292,[2]媒体政策预估表!A:N,MATCH(O7292,[2]媒体政策预估表!$A$2:$M$2,0),0)</f>
        <v>7.0000000000000007E-2</v>
      </c>
      <c r="AF7292" s="6">
        <f t="shared" si="1131"/>
        <v>38899.021000000008</v>
      </c>
      <c r="AG7292" s="14">
        <v>0</v>
      </c>
      <c r="AH7292" s="64">
        <f t="shared" si="1130"/>
        <v>555700.30000000005</v>
      </c>
      <c r="AJ7292" s="126" t="e">
        <v>#N/A</v>
      </c>
      <c r="AK7292" s="80">
        <f t="shared" si="1127"/>
        <v>0</v>
      </c>
      <c r="AL7292" s="85"/>
      <c r="AM7292" s="85"/>
    </row>
    <row r="7293" spans="1:39" s="86" customFormat="1" ht="13.25" hidden="1" customHeight="1" x14ac:dyDescent="0.3">
      <c r="A7293" s="89" t="s">
        <v>3978</v>
      </c>
      <c r="B7293" s="86" t="s">
        <v>35</v>
      </c>
      <c r="C7293" s="86" t="s">
        <v>164</v>
      </c>
      <c r="D7293" s="86" t="s">
        <v>305</v>
      </c>
      <c r="E7293" s="86" t="s">
        <v>3553</v>
      </c>
      <c r="F7293" s="86" t="s">
        <v>3553</v>
      </c>
      <c r="G7293" s="86" t="s">
        <v>3553</v>
      </c>
      <c r="H7293" s="144">
        <v>360</v>
      </c>
      <c r="I7293" s="86" t="s">
        <v>1060</v>
      </c>
      <c r="J7293" s="47" t="s">
        <v>3325</v>
      </c>
      <c r="K7293" s="47" t="s">
        <v>3767</v>
      </c>
      <c r="L7293" s="47" t="s">
        <v>35</v>
      </c>
      <c r="M7293" s="86" t="s">
        <v>3553</v>
      </c>
      <c r="O7293" s="47" t="s">
        <v>410</v>
      </c>
      <c r="P7293" s="47" t="s">
        <v>41</v>
      </c>
      <c r="Q7293" s="14">
        <v>0</v>
      </c>
      <c r="R7293" s="143" t="s">
        <v>3554</v>
      </c>
      <c r="S7293" s="47"/>
      <c r="T7293" s="6">
        <v>7402.4</v>
      </c>
      <c r="U7293" s="6">
        <v>10000</v>
      </c>
      <c r="V7293" s="6">
        <v>8137.15</v>
      </c>
      <c r="W7293" s="6">
        <f t="shared" si="1128"/>
        <v>9265.2500000000018</v>
      </c>
      <c r="X7293" s="6">
        <f t="shared" si="1133"/>
        <v>8137.15</v>
      </c>
      <c r="Y7293" s="13">
        <f t="shared" si="1125"/>
        <v>0</v>
      </c>
      <c r="Z7293" s="66">
        <v>0</v>
      </c>
      <c r="AA7293" s="6">
        <v>0</v>
      </c>
      <c r="AB7293" s="4">
        <f t="shared" si="1126"/>
        <v>8137.15</v>
      </c>
      <c r="AC7293" s="6">
        <f t="shared" si="1124"/>
        <v>0</v>
      </c>
      <c r="AD7293" s="6">
        <f t="shared" si="1129"/>
        <v>8137.15</v>
      </c>
      <c r="AE7293" s="14">
        <f>VLOOKUP(I7293,[2]媒体政策预估表!A:N,MATCH(O7293,[2]媒体政策预估表!$A$2:$M$2,0),0)</f>
        <v>7.0000000000000007E-2</v>
      </c>
      <c r="AF7293" s="6">
        <f t="shared" si="1131"/>
        <v>569.60050000000001</v>
      </c>
      <c r="AG7293" s="14">
        <v>0</v>
      </c>
      <c r="AH7293" s="64">
        <f t="shared" si="1130"/>
        <v>8137.15</v>
      </c>
      <c r="AJ7293" s="126" t="e">
        <v>#N/A</v>
      </c>
      <c r="AK7293" s="80">
        <f t="shared" si="1127"/>
        <v>0</v>
      </c>
      <c r="AL7293" s="85"/>
      <c r="AM7293" s="85"/>
    </row>
    <row r="7294" spans="1:39" s="86" customFormat="1" ht="13.25" hidden="1" customHeight="1" x14ac:dyDescent="0.3">
      <c r="A7294" s="89" t="s">
        <v>3978</v>
      </c>
      <c r="B7294" s="86" t="s">
        <v>35</v>
      </c>
      <c r="C7294" s="86" t="s">
        <v>164</v>
      </c>
      <c r="D7294" s="86" t="s">
        <v>305</v>
      </c>
      <c r="E7294" s="86" t="s">
        <v>1563</v>
      </c>
      <c r="F7294" s="86" t="s">
        <v>1564</v>
      </c>
      <c r="G7294" s="86" t="s">
        <v>1563</v>
      </c>
      <c r="H7294" s="143">
        <v>360</v>
      </c>
      <c r="I7294" s="86" t="s">
        <v>1060</v>
      </c>
      <c r="J7294" s="47" t="s">
        <v>3325</v>
      </c>
      <c r="K7294" s="47" t="s">
        <v>3767</v>
      </c>
      <c r="L7294" s="47" t="s">
        <v>35</v>
      </c>
      <c r="M7294" s="86" t="s">
        <v>1563</v>
      </c>
      <c r="O7294" s="47" t="s">
        <v>410</v>
      </c>
      <c r="P7294" s="47" t="s">
        <v>46</v>
      </c>
      <c r="Q7294" s="14">
        <v>0.02</v>
      </c>
      <c r="R7294" s="143" t="s">
        <v>1565</v>
      </c>
      <c r="S7294" s="47"/>
      <c r="T7294" s="6">
        <v>13445.4</v>
      </c>
      <c r="U7294" s="6">
        <v>-13445.4</v>
      </c>
      <c r="V7294" s="6">
        <v>0</v>
      </c>
      <c r="W7294" s="6">
        <f t="shared" si="1128"/>
        <v>0</v>
      </c>
      <c r="X7294" s="6">
        <f t="shared" si="1133"/>
        <v>0</v>
      </c>
      <c r="Y7294" s="13">
        <f t="shared" si="1125"/>
        <v>0</v>
      </c>
      <c r="Z7294" s="66">
        <v>0</v>
      </c>
      <c r="AA7294" s="6">
        <v>0</v>
      </c>
      <c r="AB7294" s="4">
        <f t="shared" si="1126"/>
        <v>0</v>
      </c>
      <c r="AC7294" s="6">
        <f t="shared" ref="AC7294:AC7357" si="1134">IF(P7294="返现",X7294*Q7294,V7294-X7294)</f>
        <v>0</v>
      </c>
      <c r="AD7294" s="6">
        <f t="shared" si="1129"/>
        <v>0</v>
      </c>
      <c r="AE7294" s="14">
        <f>VLOOKUP(I7294,[2]媒体政策预估表!A:N,MATCH(O7294,[2]媒体政策预估表!$A$2:$M$2,0),0)</f>
        <v>7.0000000000000007E-2</v>
      </c>
      <c r="AF7294" s="6">
        <f t="shared" si="1131"/>
        <v>0</v>
      </c>
      <c r="AG7294" s="14">
        <v>0</v>
      </c>
      <c r="AH7294" s="64">
        <f t="shared" si="1130"/>
        <v>0</v>
      </c>
      <c r="AJ7294" s="126" t="e">
        <v>#N/A</v>
      </c>
      <c r="AK7294" s="80">
        <f t="shared" si="1127"/>
        <v>0</v>
      </c>
      <c r="AL7294" s="85"/>
      <c r="AM7294" s="85"/>
    </row>
    <row r="7295" spans="1:39" s="86" customFormat="1" ht="13.25" hidden="1" customHeight="1" x14ac:dyDescent="0.3">
      <c r="A7295" s="89" t="s">
        <v>3978</v>
      </c>
      <c r="B7295" s="86" t="s">
        <v>35</v>
      </c>
      <c r="C7295" s="86" t="s">
        <v>164</v>
      </c>
      <c r="D7295" s="86" t="s">
        <v>305</v>
      </c>
      <c r="E7295" s="86" t="s">
        <v>1566</v>
      </c>
      <c r="F7295" s="86" t="s">
        <v>1566</v>
      </c>
      <c r="G7295" s="86" t="s">
        <v>1566</v>
      </c>
      <c r="H7295" s="144">
        <v>360</v>
      </c>
      <c r="I7295" s="86" t="s">
        <v>1060</v>
      </c>
      <c r="J7295" s="47" t="s">
        <v>3325</v>
      </c>
      <c r="K7295" s="47" t="s">
        <v>3767</v>
      </c>
      <c r="L7295" s="47" t="s">
        <v>35</v>
      </c>
      <c r="M7295" s="86" t="s">
        <v>1566</v>
      </c>
      <c r="O7295" s="47" t="s">
        <v>410</v>
      </c>
      <c r="P7295" s="47" t="s">
        <v>41</v>
      </c>
      <c r="Q7295" s="14">
        <v>0</v>
      </c>
      <c r="R7295" s="143" t="s">
        <v>1567</v>
      </c>
      <c r="S7295" s="47"/>
      <c r="T7295" s="6">
        <v>14092.910000000062</v>
      </c>
      <c r="U7295" s="6">
        <v>180000</v>
      </c>
      <c r="V7295" s="6">
        <v>164437.79999999999</v>
      </c>
      <c r="W7295" s="6">
        <f t="shared" si="1128"/>
        <v>29655.110000000073</v>
      </c>
      <c r="X7295" s="6">
        <f t="shared" si="1133"/>
        <v>164437.79999999999</v>
      </c>
      <c r="Y7295" s="13">
        <f t="shared" si="1125"/>
        <v>0</v>
      </c>
      <c r="Z7295" s="66">
        <v>0</v>
      </c>
      <c r="AA7295" s="6">
        <v>0</v>
      </c>
      <c r="AB7295" s="4">
        <f t="shared" si="1126"/>
        <v>164437.79999999999</v>
      </c>
      <c r="AC7295" s="6">
        <f t="shared" si="1134"/>
        <v>0</v>
      </c>
      <c r="AD7295" s="6">
        <f t="shared" si="1129"/>
        <v>164437.79999999999</v>
      </c>
      <c r="AE7295" s="14">
        <f>VLOOKUP(I7295,[2]媒体政策预估表!A:N,MATCH(O7295,[2]媒体政策预估表!$A$2:$M$2,0),0)</f>
        <v>7.0000000000000007E-2</v>
      </c>
      <c r="AF7295" s="6">
        <f t="shared" si="1131"/>
        <v>11510.646000000001</v>
      </c>
      <c r="AG7295" s="14">
        <v>0</v>
      </c>
      <c r="AH7295" s="64">
        <f t="shared" si="1130"/>
        <v>164437.79999999999</v>
      </c>
      <c r="AJ7295" s="126" t="e">
        <v>#N/A</v>
      </c>
      <c r="AK7295" s="80">
        <f t="shared" si="1127"/>
        <v>0</v>
      </c>
      <c r="AL7295" s="85"/>
      <c r="AM7295" s="85"/>
    </row>
    <row r="7296" spans="1:39" s="86" customFormat="1" ht="13.25" hidden="1" customHeight="1" x14ac:dyDescent="0.3">
      <c r="A7296" s="89" t="s">
        <v>3978</v>
      </c>
      <c r="B7296" s="86" t="s">
        <v>35</v>
      </c>
      <c r="C7296" s="86" t="s">
        <v>164</v>
      </c>
      <c r="D7296" s="86" t="s">
        <v>305</v>
      </c>
      <c r="E7296" s="86" t="s">
        <v>1570</v>
      </c>
      <c r="F7296" s="86" t="s">
        <v>1570</v>
      </c>
      <c r="G7296" s="86" t="s">
        <v>1570</v>
      </c>
      <c r="H7296" s="144">
        <v>360</v>
      </c>
      <c r="I7296" s="86" t="s">
        <v>1060</v>
      </c>
      <c r="J7296" s="47" t="s">
        <v>3325</v>
      </c>
      <c r="K7296" s="47" t="s">
        <v>3767</v>
      </c>
      <c r="L7296" s="47" t="s">
        <v>35</v>
      </c>
      <c r="M7296" s="86" t="s">
        <v>1570</v>
      </c>
      <c r="O7296" s="47" t="s">
        <v>410</v>
      </c>
      <c r="P7296" s="47" t="s">
        <v>41</v>
      </c>
      <c r="Q7296" s="14">
        <v>0</v>
      </c>
      <c r="R7296" s="143">
        <v>17638827813</v>
      </c>
      <c r="S7296" s="47"/>
      <c r="T7296" s="6">
        <v>4841.7000000000007</v>
      </c>
      <c r="U7296" s="6">
        <v>10000</v>
      </c>
      <c r="V7296" s="6">
        <v>5971.5</v>
      </c>
      <c r="W7296" s="6">
        <f t="shared" si="1128"/>
        <v>8870.2000000000007</v>
      </c>
      <c r="X7296" s="6">
        <f t="shared" si="1133"/>
        <v>5971.5</v>
      </c>
      <c r="Y7296" s="13">
        <f t="shared" si="1125"/>
        <v>0</v>
      </c>
      <c r="Z7296" s="66">
        <v>0</v>
      </c>
      <c r="AA7296" s="6">
        <v>0</v>
      </c>
      <c r="AB7296" s="4">
        <f t="shared" si="1126"/>
        <v>5971.5</v>
      </c>
      <c r="AC7296" s="6">
        <f t="shared" si="1134"/>
        <v>0</v>
      </c>
      <c r="AD7296" s="6">
        <f t="shared" si="1129"/>
        <v>5971.5</v>
      </c>
      <c r="AE7296" s="14">
        <f>VLOOKUP(I7296,[2]媒体政策预估表!A:N,MATCH(O7296,[2]媒体政策预估表!$A$2:$M$2,0),0)</f>
        <v>7.0000000000000007E-2</v>
      </c>
      <c r="AF7296" s="6">
        <f t="shared" si="1131"/>
        <v>418.00500000000005</v>
      </c>
      <c r="AG7296" s="14">
        <v>0</v>
      </c>
      <c r="AH7296" s="64">
        <f t="shared" si="1130"/>
        <v>5971.5</v>
      </c>
      <c r="AJ7296" s="126" t="e">
        <v>#N/A</v>
      </c>
      <c r="AK7296" s="80">
        <f t="shared" si="1127"/>
        <v>0</v>
      </c>
      <c r="AL7296" s="85"/>
      <c r="AM7296" s="85"/>
    </row>
    <row r="7297" spans="1:39" s="86" customFormat="1" ht="13.25" hidden="1" customHeight="1" x14ac:dyDescent="0.3">
      <c r="A7297" s="89" t="s">
        <v>3978</v>
      </c>
      <c r="B7297" s="86" t="s">
        <v>35</v>
      </c>
      <c r="C7297" s="86" t="s">
        <v>164</v>
      </c>
      <c r="D7297" s="86" t="s">
        <v>305</v>
      </c>
      <c r="E7297" s="86" t="s">
        <v>1571</v>
      </c>
      <c r="F7297" s="86" t="s">
        <v>1571</v>
      </c>
      <c r="G7297" s="86" t="s">
        <v>1571</v>
      </c>
      <c r="H7297" s="144">
        <v>360</v>
      </c>
      <c r="I7297" s="86" t="s">
        <v>1060</v>
      </c>
      <c r="J7297" s="47" t="s">
        <v>3325</v>
      </c>
      <c r="K7297" s="47" t="s">
        <v>3767</v>
      </c>
      <c r="L7297" s="47" t="s">
        <v>35</v>
      </c>
      <c r="M7297" s="86" t="s">
        <v>1571</v>
      </c>
      <c r="O7297" s="47" t="s">
        <v>410</v>
      </c>
      <c r="P7297" s="47" t="s">
        <v>41</v>
      </c>
      <c r="Q7297" s="14">
        <v>0</v>
      </c>
      <c r="R7297" s="143" t="s">
        <v>1572</v>
      </c>
      <c r="S7297" s="47"/>
      <c r="T7297" s="6">
        <v>12663.685010000008</v>
      </c>
      <c r="U7297" s="6">
        <v>100000</v>
      </c>
      <c r="V7297" s="6">
        <v>87450.22</v>
      </c>
      <c r="W7297" s="6">
        <f t="shared" si="1128"/>
        <v>25213.465010000014</v>
      </c>
      <c r="X7297" s="6">
        <f t="shared" si="1133"/>
        <v>87450.22</v>
      </c>
      <c r="Y7297" s="13">
        <f t="shared" si="1125"/>
        <v>0</v>
      </c>
      <c r="Z7297" s="66">
        <v>0</v>
      </c>
      <c r="AA7297" s="6">
        <v>0</v>
      </c>
      <c r="AB7297" s="4">
        <f t="shared" si="1126"/>
        <v>87450.22</v>
      </c>
      <c r="AC7297" s="6">
        <f t="shared" si="1134"/>
        <v>0</v>
      </c>
      <c r="AD7297" s="6">
        <f t="shared" si="1129"/>
        <v>87450.22</v>
      </c>
      <c r="AE7297" s="14">
        <f>VLOOKUP(I7297,[2]媒体政策预估表!A:N,MATCH(O7297,[2]媒体政策预估表!$A$2:$M$2,0),0)</f>
        <v>7.0000000000000007E-2</v>
      </c>
      <c r="AF7297" s="6">
        <f t="shared" si="1131"/>
        <v>6121.5154000000002</v>
      </c>
      <c r="AG7297" s="14">
        <v>0</v>
      </c>
      <c r="AH7297" s="64">
        <f t="shared" si="1130"/>
        <v>87450.22</v>
      </c>
      <c r="AJ7297" s="126" t="e">
        <v>#N/A</v>
      </c>
      <c r="AK7297" s="80">
        <f t="shared" si="1127"/>
        <v>0</v>
      </c>
      <c r="AL7297" s="85"/>
      <c r="AM7297" s="85"/>
    </row>
    <row r="7298" spans="1:39" s="86" customFormat="1" ht="13.25" hidden="1" customHeight="1" x14ac:dyDescent="0.3">
      <c r="A7298" s="89" t="s">
        <v>3978</v>
      </c>
      <c r="B7298" s="86" t="s">
        <v>35</v>
      </c>
      <c r="C7298" s="86" t="s">
        <v>164</v>
      </c>
      <c r="D7298" s="86" t="s">
        <v>169</v>
      </c>
      <c r="E7298" s="86" t="s">
        <v>1573</v>
      </c>
      <c r="F7298" s="86" t="s">
        <v>1573</v>
      </c>
      <c r="G7298" s="86" t="s">
        <v>1573</v>
      </c>
      <c r="H7298" s="144">
        <v>360</v>
      </c>
      <c r="I7298" s="86" t="s">
        <v>1060</v>
      </c>
      <c r="J7298" s="47" t="s">
        <v>3325</v>
      </c>
      <c r="K7298" s="47" t="s">
        <v>3767</v>
      </c>
      <c r="L7298" s="47" t="s">
        <v>35</v>
      </c>
      <c r="M7298" s="86" t="s">
        <v>1573</v>
      </c>
      <c r="O7298" s="47" t="s">
        <v>410</v>
      </c>
      <c r="P7298" s="47" t="s">
        <v>41</v>
      </c>
      <c r="Q7298" s="14">
        <v>0</v>
      </c>
      <c r="R7298" s="143" t="s">
        <v>1574</v>
      </c>
      <c r="S7298" s="47"/>
      <c r="T7298" s="6">
        <v>24068.1</v>
      </c>
      <c r="U7298" s="6">
        <v>1768.2000000000007</v>
      </c>
      <c r="V7298" s="6">
        <v>25836.3</v>
      </c>
      <c r="W7298" s="6">
        <f t="shared" si="1128"/>
        <v>0</v>
      </c>
      <c r="X7298" s="6">
        <f t="shared" si="1133"/>
        <v>25836.3</v>
      </c>
      <c r="Y7298" s="13">
        <f t="shared" si="1125"/>
        <v>0</v>
      </c>
      <c r="Z7298" s="66">
        <v>0</v>
      </c>
      <c r="AA7298" s="6">
        <v>0</v>
      </c>
      <c r="AB7298" s="4">
        <f t="shared" si="1126"/>
        <v>25836.3</v>
      </c>
      <c r="AC7298" s="6">
        <f t="shared" si="1134"/>
        <v>0</v>
      </c>
      <c r="AD7298" s="6">
        <f t="shared" si="1129"/>
        <v>25836.3</v>
      </c>
      <c r="AE7298" s="14">
        <f>VLOOKUP(I7298,[2]媒体政策预估表!A:N,MATCH(O7298,[2]媒体政策预估表!$A$2:$M$2,0),0)</f>
        <v>7.0000000000000007E-2</v>
      </c>
      <c r="AF7298" s="6">
        <f t="shared" si="1131"/>
        <v>1808.5410000000002</v>
      </c>
      <c r="AG7298" s="14">
        <v>0</v>
      </c>
      <c r="AH7298" s="64">
        <f t="shared" si="1130"/>
        <v>25836.3</v>
      </c>
      <c r="AJ7298" s="126" t="e">
        <v>#N/A</v>
      </c>
      <c r="AK7298" s="80">
        <f t="shared" si="1127"/>
        <v>0</v>
      </c>
      <c r="AL7298" s="85"/>
      <c r="AM7298" s="85"/>
    </row>
    <row r="7299" spans="1:39" s="86" customFormat="1" ht="13.25" hidden="1" customHeight="1" x14ac:dyDescent="0.3">
      <c r="A7299" s="89" t="s">
        <v>3978</v>
      </c>
      <c r="B7299" s="86" t="s">
        <v>35</v>
      </c>
      <c r="C7299" s="86" t="s">
        <v>164</v>
      </c>
      <c r="D7299" s="86" t="s">
        <v>169</v>
      </c>
      <c r="E7299" s="86" t="s">
        <v>1575</v>
      </c>
      <c r="F7299" s="86" t="s">
        <v>1575</v>
      </c>
      <c r="G7299" s="86" t="s">
        <v>1575</v>
      </c>
      <c r="H7299" s="144">
        <v>360</v>
      </c>
      <c r="I7299" s="86" t="s">
        <v>1060</v>
      </c>
      <c r="J7299" s="47" t="s">
        <v>3325</v>
      </c>
      <c r="K7299" s="47" t="s">
        <v>3767</v>
      </c>
      <c r="L7299" s="47" t="s">
        <v>35</v>
      </c>
      <c r="M7299" s="86" t="s">
        <v>1575</v>
      </c>
      <c r="O7299" s="47" t="s">
        <v>410</v>
      </c>
      <c r="P7299" s="47" t="s">
        <v>41</v>
      </c>
      <c r="Q7299" s="14">
        <v>0</v>
      </c>
      <c r="R7299" s="143" t="s">
        <v>1576</v>
      </c>
      <c r="S7299" s="47"/>
      <c r="T7299" s="6">
        <v>858371.99999999977</v>
      </c>
      <c r="U7299" s="6">
        <v>800000</v>
      </c>
      <c r="V7299" s="6">
        <v>1266843.21976</v>
      </c>
      <c r="W7299" s="6">
        <f t="shared" si="1128"/>
        <v>391528.78023999976</v>
      </c>
      <c r="X7299" s="6">
        <f t="shared" si="1133"/>
        <v>1266843.21976</v>
      </c>
      <c r="Y7299" s="13">
        <f t="shared" ref="Y7299:Y7362" si="1135">IF(X7299-AD7299&lt;=0,0,IF(P7299="返现",MAX(X7299-AC7299-AD7299,0),MAX(X7299-AD7299)))</f>
        <v>0</v>
      </c>
      <c r="Z7299" s="66">
        <v>0</v>
      </c>
      <c r="AA7299" s="6">
        <v>0</v>
      </c>
      <c r="AB7299" s="4">
        <f t="shared" ref="AB7299:AB7362" si="1136">X7299+AA7299</f>
        <v>1266843.21976</v>
      </c>
      <c r="AC7299" s="6">
        <f t="shared" si="1134"/>
        <v>0</v>
      </c>
      <c r="AD7299" s="6">
        <f t="shared" si="1129"/>
        <v>1266843.21976</v>
      </c>
      <c r="AE7299" s="14">
        <f>VLOOKUP(I7299,[2]媒体政策预估表!A:N,MATCH(O7299,[2]媒体政策预估表!$A$2:$M$2,0),0)</f>
        <v>7.0000000000000007E-2</v>
      </c>
      <c r="AF7299" s="6">
        <f t="shared" si="1131"/>
        <v>88679.025383200002</v>
      </c>
      <c r="AG7299" s="14">
        <v>0</v>
      </c>
      <c r="AH7299" s="64">
        <f t="shared" si="1130"/>
        <v>1266843.21976</v>
      </c>
      <c r="AJ7299" s="126" t="e">
        <v>#N/A</v>
      </c>
      <c r="AK7299" s="80">
        <f t="shared" ref="AK7299:AK7362" si="1137">X7299+AA7299-AB7299</f>
        <v>0</v>
      </c>
      <c r="AL7299" s="85"/>
      <c r="AM7299" s="85"/>
    </row>
    <row r="7300" spans="1:39" s="86" customFormat="1" ht="13.25" hidden="1" customHeight="1" x14ac:dyDescent="0.3">
      <c r="A7300" s="89" t="s">
        <v>3978</v>
      </c>
      <c r="B7300" s="86" t="s">
        <v>35</v>
      </c>
      <c r="C7300" s="86" t="s">
        <v>164</v>
      </c>
      <c r="D7300" s="86" t="s">
        <v>169</v>
      </c>
      <c r="E7300" s="86" t="s">
        <v>1575</v>
      </c>
      <c r="F7300" s="86" t="s">
        <v>1575</v>
      </c>
      <c r="G7300" s="86" t="s">
        <v>1575</v>
      </c>
      <c r="H7300" s="144">
        <v>360</v>
      </c>
      <c r="I7300" s="86" t="s">
        <v>1060</v>
      </c>
      <c r="J7300" s="47" t="s">
        <v>3325</v>
      </c>
      <c r="K7300" s="47" t="s">
        <v>3767</v>
      </c>
      <c r="L7300" s="47" t="s">
        <v>35</v>
      </c>
      <c r="M7300" s="86" t="s">
        <v>1575</v>
      </c>
      <c r="O7300" s="47" t="s">
        <v>410</v>
      </c>
      <c r="P7300" s="47" t="s">
        <v>41</v>
      </c>
      <c r="Q7300" s="14">
        <v>0</v>
      </c>
      <c r="R7300" s="143" t="s">
        <v>4072</v>
      </c>
      <c r="S7300" s="47"/>
      <c r="T7300" s="6">
        <v>0</v>
      </c>
      <c r="U7300" s="6">
        <v>20000</v>
      </c>
      <c r="V7300" s="6">
        <v>8496</v>
      </c>
      <c r="W7300" s="6">
        <f t="shared" si="1128"/>
        <v>11504</v>
      </c>
      <c r="X7300" s="6">
        <f t="shared" si="1133"/>
        <v>8496</v>
      </c>
      <c r="Y7300" s="13">
        <f t="shared" si="1135"/>
        <v>0</v>
      </c>
      <c r="Z7300" s="66">
        <v>0</v>
      </c>
      <c r="AA7300" s="6">
        <v>0</v>
      </c>
      <c r="AB7300" s="4">
        <f t="shared" si="1136"/>
        <v>8496</v>
      </c>
      <c r="AC7300" s="6">
        <f t="shared" si="1134"/>
        <v>0</v>
      </c>
      <c r="AD7300" s="6">
        <f t="shared" si="1129"/>
        <v>8496</v>
      </c>
      <c r="AE7300" s="14">
        <f>VLOOKUP(I7300,[2]媒体政策预估表!A:N,MATCH(O7300,[2]媒体政策预估表!$A$2:$M$2,0),0)</f>
        <v>7.0000000000000007E-2</v>
      </c>
      <c r="AF7300" s="6">
        <f t="shared" si="1131"/>
        <v>594.72</v>
      </c>
      <c r="AG7300" s="14">
        <v>0</v>
      </c>
      <c r="AH7300" s="64">
        <f t="shared" si="1130"/>
        <v>8496</v>
      </c>
      <c r="AJ7300" s="126" t="e">
        <v>#N/A</v>
      </c>
      <c r="AK7300" s="80">
        <f t="shared" si="1137"/>
        <v>0</v>
      </c>
      <c r="AL7300" s="85"/>
      <c r="AM7300" s="85"/>
    </row>
    <row r="7301" spans="1:39" s="86" customFormat="1" ht="13.25" hidden="1" customHeight="1" x14ac:dyDescent="0.3">
      <c r="A7301" s="89" t="s">
        <v>3978</v>
      </c>
      <c r="B7301" s="86" t="s">
        <v>35</v>
      </c>
      <c r="C7301" s="86" t="s">
        <v>164</v>
      </c>
      <c r="D7301" s="86" t="s">
        <v>169</v>
      </c>
      <c r="E7301" s="86" t="s">
        <v>1577</v>
      </c>
      <c r="F7301" s="86" t="s">
        <v>1577</v>
      </c>
      <c r="G7301" s="86" t="s">
        <v>1577</v>
      </c>
      <c r="H7301" s="144">
        <v>360</v>
      </c>
      <c r="I7301" s="86" t="s">
        <v>1060</v>
      </c>
      <c r="J7301" s="47" t="s">
        <v>3325</v>
      </c>
      <c r="K7301" s="47" t="s">
        <v>3767</v>
      </c>
      <c r="L7301" s="47" t="s">
        <v>35</v>
      </c>
      <c r="M7301" s="86" t="s">
        <v>1577</v>
      </c>
      <c r="O7301" s="47" t="s">
        <v>45</v>
      </c>
      <c r="P7301" s="47" t="s">
        <v>41</v>
      </c>
      <c r="Q7301" s="14">
        <v>0</v>
      </c>
      <c r="R7301" s="143" t="s">
        <v>4073</v>
      </c>
      <c r="S7301" s="47"/>
      <c r="T7301" s="6">
        <v>0</v>
      </c>
      <c r="U7301" s="6">
        <v>50000</v>
      </c>
      <c r="V7301" s="6">
        <v>3618.9989799999998</v>
      </c>
      <c r="W7301" s="6">
        <f t="shared" si="1128"/>
        <v>46381.001020000003</v>
      </c>
      <c r="X7301" s="6">
        <f t="shared" si="1133"/>
        <v>3618.9989799999998</v>
      </c>
      <c r="Y7301" s="13">
        <f t="shared" si="1135"/>
        <v>0</v>
      </c>
      <c r="Z7301" s="66">
        <v>0</v>
      </c>
      <c r="AA7301" s="6">
        <v>0</v>
      </c>
      <c r="AB7301" s="4">
        <f t="shared" si="1136"/>
        <v>3618.9989799999998</v>
      </c>
      <c r="AC7301" s="6">
        <f t="shared" si="1134"/>
        <v>0</v>
      </c>
      <c r="AD7301" s="6">
        <f t="shared" si="1129"/>
        <v>3618.9989799999998</v>
      </c>
      <c r="AE7301" s="14">
        <f>VLOOKUP(I7301,[2]媒体政策预估表!A:N,MATCH(O7301,[2]媒体政策预估表!$A$2:$M$2,0),0)</f>
        <v>0.1</v>
      </c>
      <c r="AF7301" s="6">
        <f t="shared" si="1131"/>
        <v>361.89989800000001</v>
      </c>
      <c r="AG7301" s="14">
        <v>0</v>
      </c>
      <c r="AH7301" s="64">
        <f t="shared" si="1130"/>
        <v>3618.9989799999998</v>
      </c>
      <c r="AJ7301" s="126" t="e">
        <v>#N/A</v>
      </c>
      <c r="AK7301" s="80">
        <f t="shared" si="1137"/>
        <v>0</v>
      </c>
      <c r="AL7301" s="85"/>
      <c r="AM7301" s="85"/>
    </row>
    <row r="7302" spans="1:39" s="86" customFormat="1" ht="13.25" hidden="1" customHeight="1" x14ac:dyDescent="0.3">
      <c r="A7302" s="89" t="s">
        <v>3978</v>
      </c>
      <c r="B7302" s="86" t="s">
        <v>35</v>
      </c>
      <c r="C7302" s="86" t="s">
        <v>164</v>
      </c>
      <c r="D7302" s="86" t="s">
        <v>169</v>
      </c>
      <c r="E7302" s="86" t="s">
        <v>1577</v>
      </c>
      <c r="F7302" s="86" t="s">
        <v>1577</v>
      </c>
      <c r="G7302" s="86" t="s">
        <v>1577</v>
      </c>
      <c r="H7302" s="144">
        <v>360</v>
      </c>
      <c r="I7302" s="86" t="s">
        <v>1060</v>
      </c>
      <c r="J7302" s="47" t="s">
        <v>3325</v>
      </c>
      <c r="K7302" s="47" t="s">
        <v>3767</v>
      </c>
      <c r="L7302" s="47" t="s">
        <v>35</v>
      </c>
      <c r="M7302" s="86" t="s">
        <v>1577</v>
      </c>
      <c r="O7302" s="47" t="s">
        <v>410</v>
      </c>
      <c r="P7302" s="47" t="s">
        <v>41</v>
      </c>
      <c r="Q7302" s="14">
        <v>0</v>
      </c>
      <c r="R7302" s="143" t="s">
        <v>1578</v>
      </c>
      <c r="S7302" s="47"/>
      <c r="T7302" s="6">
        <v>151790.2408400001</v>
      </c>
      <c r="U7302" s="6">
        <v>1800000</v>
      </c>
      <c r="V7302" s="6">
        <v>1820170.19</v>
      </c>
      <c r="W7302" s="6">
        <f t="shared" si="1128"/>
        <v>131620.05084000016</v>
      </c>
      <c r="X7302" s="6">
        <f t="shared" si="1133"/>
        <v>1820170.19</v>
      </c>
      <c r="Y7302" s="13">
        <f t="shared" si="1135"/>
        <v>0</v>
      </c>
      <c r="Z7302" s="66">
        <v>0</v>
      </c>
      <c r="AA7302" s="6">
        <v>0</v>
      </c>
      <c r="AB7302" s="4">
        <f t="shared" si="1136"/>
        <v>1820170.19</v>
      </c>
      <c r="AC7302" s="6">
        <f t="shared" si="1134"/>
        <v>0</v>
      </c>
      <c r="AD7302" s="6">
        <f t="shared" si="1129"/>
        <v>1820170.19</v>
      </c>
      <c r="AE7302" s="14">
        <f>VLOOKUP(I7302,[2]媒体政策预估表!A:N,MATCH(O7302,[2]媒体政策预估表!$A$2:$M$2,0),0)</f>
        <v>7.0000000000000007E-2</v>
      </c>
      <c r="AF7302" s="6">
        <f t="shared" si="1131"/>
        <v>127411.91330000001</v>
      </c>
      <c r="AG7302" s="14">
        <v>0</v>
      </c>
      <c r="AH7302" s="64">
        <f t="shared" si="1130"/>
        <v>1820170.19</v>
      </c>
      <c r="AJ7302" s="126" t="e">
        <v>#N/A</v>
      </c>
      <c r="AK7302" s="80">
        <f t="shared" si="1137"/>
        <v>0</v>
      </c>
      <c r="AL7302" s="85"/>
      <c r="AM7302" s="85"/>
    </row>
    <row r="7303" spans="1:39" s="86" customFormat="1" ht="13.25" hidden="1" customHeight="1" x14ac:dyDescent="0.3">
      <c r="A7303" s="89" t="s">
        <v>3978</v>
      </c>
      <c r="B7303" s="86" t="s">
        <v>35</v>
      </c>
      <c r="C7303" s="86" t="s">
        <v>164</v>
      </c>
      <c r="D7303" s="86" t="s">
        <v>169</v>
      </c>
      <c r="E7303" s="86" t="s">
        <v>1579</v>
      </c>
      <c r="F7303" s="86" t="s">
        <v>1579</v>
      </c>
      <c r="G7303" s="86" t="s">
        <v>1579</v>
      </c>
      <c r="H7303" s="144">
        <v>360</v>
      </c>
      <c r="I7303" s="86" t="s">
        <v>1060</v>
      </c>
      <c r="J7303" s="47" t="s">
        <v>3325</v>
      </c>
      <c r="K7303" s="47" t="s">
        <v>3767</v>
      </c>
      <c r="L7303" s="47" t="s">
        <v>35</v>
      </c>
      <c r="M7303" s="86" t="s">
        <v>1579</v>
      </c>
      <c r="O7303" s="47" t="s">
        <v>410</v>
      </c>
      <c r="P7303" s="47" t="s">
        <v>41</v>
      </c>
      <c r="Q7303" s="14">
        <v>0</v>
      </c>
      <c r="R7303" s="143" t="s">
        <v>1580</v>
      </c>
      <c r="S7303" s="47"/>
      <c r="T7303" s="6">
        <v>187207.30000000005</v>
      </c>
      <c r="U7303" s="6">
        <v>400000</v>
      </c>
      <c r="V7303" s="6">
        <v>457240.4</v>
      </c>
      <c r="W7303" s="6">
        <f t="shared" si="1128"/>
        <v>129966.90000000002</v>
      </c>
      <c r="X7303" s="6">
        <f t="shared" si="1133"/>
        <v>457240.4</v>
      </c>
      <c r="Y7303" s="13">
        <f t="shared" si="1135"/>
        <v>0</v>
      </c>
      <c r="Z7303" s="66">
        <v>0</v>
      </c>
      <c r="AA7303" s="6">
        <v>0</v>
      </c>
      <c r="AB7303" s="4">
        <f t="shared" si="1136"/>
        <v>457240.4</v>
      </c>
      <c r="AC7303" s="6">
        <f t="shared" si="1134"/>
        <v>0</v>
      </c>
      <c r="AD7303" s="6">
        <f t="shared" si="1129"/>
        <v>457240.4</v>
      </c>
      <c r="AE7303" s="14">
        <f>VLOOKUP(I7303,[2]媒体政策预估表!A:N,MATCH(O7303,[2]媒体政策预估表!$A$2:$M$2,0),0)</f>
        <v>7.0000000000000007E-2</v>
      </c>
      <c r="AF7303" s="6">
        <f t="shared" si="1131"/>
        <v>32006.828000000005</v>
      </c>
      <c r="AG7303" s="14">
        <v>0</v>
      </c>
      <c r="AH7303" s="64">
        <f t="shared" si="1130"/>
        <v>457240.4</v>
      </c>
      <c r="AJ7303" s="126" t="e">
        <v>#N/A</v>
      </c>
      <c r="AK7303" s="80">
        <f t="shared" si="1137"/>
        <v>0</v>
      </c>
      <c r="AL7303" s="85"/>
      <c r="AM7303" s="85"/>
    </row>
    <row r="7304" spans="1:39" s="86" customFormat="1" ht="13.25" hidden="1" customHeight="1" x14ac:dyDescent="0.3">
      <c r="A7304" s="89" t="s">
        <v>3978</v>
      </c>
      <c r="B7304" s="86" t="s">
        <v>35</v>
      </c>
      <c r="C7304" s="86" t="s">
        <v>164</v>
      </c>
      <c r="D7304" s="86" t="s">
        <v>169</v>
      </c>
      <c r="E7304" s="86" t="s">
        <v>724</v>
      </c>
      <c r="F7304" s="86" t="s">
        <v>724</v>
      </c>
      <c r="G7304" s="86" t="s">
        <v>724</v>
      </c>
      <c r="H7304" s="144">
        <v>360</v>
      </c>
      <c r="I7304" s="86" t="s">
        <v>1060</v>
      </c>
      <c r="J7304" s="47" t="s">
        <v>3325</v>
      </c>
      <c r="K7304" s="47" t="s">
        <v>3767</v>
      </c>
      <c r="L7304" s="47" t="s">
        <v>35</v>
      </c>
      <c r="M7304" s="86" t="s">
        <v>1581</v>
      </c>
      <c r="O7304" s="47" t="s">
        <v>410</v>
      </c>
      <c r="P7304" s="47" t="s">
        <v>41</v>
      </c>
      <c r="Q7304" s="14">
        <v>0</v>
      </c>
      <c r="R7304" s="143" t="s">
        <v>1582</v>
      </c>
      <c r="S7304" s="47"/>
      <c r="T7304" s="6">
        <v>9134.4000000000015</v>
      </c>
      <c r="U7304" s="6">
        <v>20000</v>
      </c>
      <c r="V7304" s="6">
        <v>22678.7</v>
      </c>
      <c r="W7304" s="6">
        <f t="shared" si="1128"/>
        <v>6455.7000000000007</v>
      </c>
      <c r="X7304" s="6">
        <f t="shared" si="1133"/>
        <v>22678.7</v>
      </c>
      <c r="Y7304" s="13">
        <f t="shared" si="1135"/>
        <v>0</v>
      </c>
      <c r="Z7304" s="66">
        <v>0</v>
      </c>
      <c r="AA7304" s="6">
        <v>0</v>
      </c>
      <c r="AB7304" s="4">
        <f t="shared" si="1136"/>
        <v>22678.7</v>
      </c>
      <c r="AC7304" s="6">
        <f t="shared" si="1134"/>
        <v>0</v>
      </c>
      <c r="AD7304" s="6">
        <f t="shared" si="1129"/>
        <v>22678.7</v>
      </c>
      <c r="AE7304" s="14">
        <f>VLOOKUP(I7304,[2]媒体政策预估表!A:N,MATCH(O7304,[2]媒体政策预估表!$A$2:$M$2,0),0)</f>
        <v>7.0000000000000007E-2</v>
      </c>
      <c r="AF7304" s="6">
        <f t="shared" si="1131"/>
        <v>1587.5090000000002</v>
      </c>
      <c r="AG7304" s="14">
        <v>0</v>
      </c>
      <c r="AH7304" s="64">
        <f t="shared" si="1130"/>
        <v>22678.7</v>
      </c>
      <c r="AJ7304" s="126" t="e">
        <v>#N/A</v>
      </c>
      <c r="AK7304" s="80">
        <f t="shared" si="1137"/>
        <v>0</v>
      </c>
      <c r="AL7304" s="85"/>
      <c r="AM7304" s="85"/>
    </row>
    <row r="7305" spans="1:39" s="86" customFormat="1" ht="13.25" hidden="1" customHeight="1" x14ac:dyDescent="0.3">
      <c r="A7305" s="89" t="s">
        <v>3978</v>
      </c>
      <c r="B7305" s="86" t="s">
        <v>35</v>
      </c>
      <c r="C7305" s="86" t="s">
        <v>164</v>
      </c>
      <c r="D7305" s="86" t="s">
        <v>169</v>
      </c>
      <c r="E7305" s="86" t="s">
        <v>724</v>
      </c>
      <c r="F7305" s="86" t="s">
        <v>724</v>
      </c>
      <c r="G7305" s="86" t="s">
        <v>724</v>
      </c>
      <c r="H7305" s="144">
        <v>360</v>
      </c>
      <c r="I7305" s="86" t="s">
        <v>1060</v>
      </c>
      <c r="J7305" s="47" t="s">
        <v>3325</v>
      </c>
      <c r="K7305" s="47" t="s">
        <v>3767</v>
      </c>
      <c r="L7305" s="47" t="s">
        <v>35</v>
      </c>
      <c r="M7305" s="86" t="s">
        <v>1583</v>
      </c>
      <c r="O7305" s="47" t="s">
        <v>410</v>
      </c>
      <c r="P7305" s="47" t="s">
        <v>41</v>
      </c>
      <c r="Q7305" s="14">
        <v>0</v>
      </c>
      <c r="R7305" s="143" t="s">
        <v>1584</v>
      </c>
      <c r="S7305" s="47"/>
      <c r="T7305" s="6">
        <v>5272.2999999999993</v>
      </c>
      <c r="U7305" s="6">
        <v>60000</v>
      </c>
      <c r="V7305" s="6">
        <v>41011.199999999997</v>
      </c>
      <c r="W7305" s="6">
        <f t="shared" si="1128"/>
        <v>24261.100000000006</v>
      </c>
      <c r="X7305" s="6">
        <f t="shared" si="1133"/>
        <v>41011.199999999997</v>
      </c>
      <c r="Y7305" s="13">
        <f t="shared" si="1135"/>
        <v>0</v>
      </c>
      <c r="Z7305" s="66">
        <v>0</v>
      </c>
      <c r="AA7305" s="6">
        <v>0</v>
      </c>
      <c r="AB7305" s="4">
        <f t="shared" si="1136"/>
        <v>41011.199999999997</v>
      </c>
      <c r="AC7305" s="6">
        <f t="shared" si="1134"/>
        <v>0</v>
      </c>
      <c r="AD7305" s="6">
        <f t="shared" si="1129"/>
        <v>41011.199999999997</v>
      </c>
      <c r="AE7305" s="14">
        <f>VLOOKUP(I7305,[2]媒体政策预估表!A:N,MATCH(O7305,[2]媒体政策预估表!$A$2:$M$2,0),0)</f>
        <v>7.0000000000000007E-2</v>
      </c>
      <c r="AF7305" s="6">
        <f t="shared" si="1131"/>
        <v>2870.7840000000001</v>
      </c>
      <c r="AG7305" s="14">
        <v>0</v>
      </c>
      <c r="AH7305" s="64">
        <f t="shared" si="1130"/>
        <v>41011.199999999997</v>
      </c>
      <c r="AJ7305" s="126" t="e">
        <v>#N/A</v>
      </c>
      <c r="AK7305" s="80">
        <f t="shared" si="1137"/>
        <v>0</v>
      </c>
      <c r="AL7305" s="85"/>
      <c r="AM7305" s="85"/>
    </row>
    <row r="7306" spans="1:39" s="86" customFormat="1" ht="13.25" hidden="1" customHeight="1" x14ac:dyDescent="0.3">
      <c r="A7306" s="89" t="s">
        <v>3978</v>
      </c>
      <c r="B7306" s="86" t="s">
        <v>35</v>
      </c>
      <c r="C7306" s="86" t="s">
        <v>164</v>
      </c>
      <c r="D7306" s="86" t="s">
        <v>169</v>
      </c>
      <c r="E7306" s="86" t="s">
        <v>724</v>
      </c>
      <c r="F7306" s="86" t="s">
        <v>724</v>
      </c>
      <c r="G7306" s="86" t="s">
        <v>724</v>
      </c>
      <c r="H7306" s="144">
        <v>360</v>
      </c>
      <c r="I7306" s="86" t="s">
        <v>1060</v>
      </c>
      <c r="J7306" s="47" t="s">
        <v>3325</v>
      </c>
      <c r="K7306" s="47" t="s">
        <v>3767</v>
      </c>
      <c r="L7306" s="47" t="s">
        <v>35</v>
      </c>
      <c r="M7306" s="86" t="s">
        <v>724</v>
      </c>
      <c r="O7306" s="47" t="s">
        <v>410</v>
      </c>
      <c r="P7306" s="47" t="s">
        <v>41</v>
      </c>
      <c r="Q7306" s="14">
        <v>0</v>
      </c>
      <c r="R7306" s="143" t="s">
        <v>1585</v>
      </c>
      <c r="S7306" s="47"/>
      <c r="T7306" s="6">
        <v>88143.5</v>
      </c>
      <c r="U7306" s="6">
        <v>480000</v>
      </c>
      <c r="V7306" s="6">
        <v>481358.3</v>
      </c>
      <c r="W7306" s="6">
        <f t="shared" si="1128"/>
        <v>86785.200000000012</v>
      </c>
      <c r="X7306" s="6">
        <f t="shared" si="1133"/>
        <v>481358.3</v>
      </c>
      <c r="Y7306" s="13">
        <f t="shared" si="1135"/>
        <v>0</v>
      </c>
      <c r="Z7306" s="66">
        <v>0</v>
      </c>
      <c r="AA7306" s="6">
        <v>0</v>
      </c>
      <c r="AB7306" s="4">
        <f t="shared" si="1136"/>
        <v>481358.3</v>
      </c>
      <c r="AC7306" s="6">
        <f t="shared" si="1134"/>
        <v>0</v>
      </c>
      <c r="AD7306" s="6">
        <f t="shared" si="1129"/>
        <v>481358.3</v>
      </c>
      <c r="AE7306" s="14">
        <f>VLOOKUP(I7306,[2]媒体政策预估表!A:N,MATCH(O7306,[2]媒体政策预估表!$A$2:$M$2,0),0)</f>
        <v>7.0000000000000007E-2</v>
      </c>
      <c r="AF7306" s="6">
        <f t="shared" si="1131"/>
        <v>33695.081000000006</v>
      </c>
      <c r="AG7306" s="14">
        <v>0</v>
      </c>
      <c r="AH7306" s="64">
        <f t="shared" si="1130"/>
        <v>481358.3</v>
      </c>
      <c r="AJ7306" s="126" t="e">
        <v>#N/A</v>
      </c>
      <c r="AK7306" s="80">
        <f t="shared" si="1137"/>
        <v>0</v>
      </c>
      <c r="AL7306" s="85"/>
      <c r="AM7306" s="85"/>
    </row>
    <row r="7307" spans="1:39" s="86" customFormat="1" ht="13.25" hidden="1" customHeight="1" x14ac:dyDescent="0.3">
      <c r="A7307" s="89" t="s">
        <v>3978</v>
      </c>
      <c r="B7307" s="86" t="s">
        <v>35</v>
      </c>
      <c r="C7307" s="86" t="s">
        <v>164</v>
      </c>
      <c r="D7307" s="86" t="s">
        <v>169</v>
      </c>
      <c r="E7307" s="86" t="s">
        <v>724</v>
      </c>
      <c r="F7307" s="86" t="s">
        <v>724</v>
      </c>
      <c r="G7307" s="86" t="s">
        <v>724</v>
      </c>
      <c r="H7307" s="144">
        <v>360</v>
      </c>
      <c r="I7307" s="86" t="s">
        <v>1060</v>
      </c>
      <c r="J7307" s="47" t="s">
        <v>3325</v>
      </c>
      <c r="K7307" s="47" t="s">
        <v>3767</v>
      </c>
      <c r="L7307" s="47" t="s">
        <v>35</v>
      </c>
      <c r="M7307" s="86" t="s">
        <v>1586</v>
      </c>
      <c r="O7307" s="47" t="s">
        <v>45</v>
      </c>
      <c r="P7307" s="47" t="s">
        <v>41</v>
      </c>
      <c r="Q7307" s="14">
        <v>0</v>
      </c>
      <c r="R7307" s="143" t="s">
        <v>4074</v>
      </c>
      <c r="S7307" s="47"/>
      <c r="T7307" s="6">
        <v>0</v>
      </c>
      <c r="U7307" s="6">
        <v>20000</v>
      </c>
      <c r="V7307" s="6">
        <v>2559.1167</v>
      </c>
      <c r="W7307" s="6">
        <f t="shared" si="1128"/>
        <v>17440.883300000001</v>
      </c>
      <c r="X7307" s="6">
        <f t="shared" si="1133"/>
        <v>2559.1167</v>
      </c>
      <c r="Y7307" s="13">
        <f t="shared" si="1135"/>
        <v>0</v>
      </c>
      <c r="Z7307" s="66">
        <v>0</v>
      </c>
      <c r="AA7307" s="6">
        <v>0</v>
      </c>
      <c r="AB7307" s="4">
        <f t="shared" si="1136"/>
        <v>2559.1167</v>
      </c>
      <c r="AC7307" s="6">
        <f t="shared" si="1134"/>
        <v>0</v>
      </c>
      <c r="AD7307" s="6">
        <f t="shared" si="1129"/>
        <v>2559.1167</v>
      </c>
      <c r="AE7307" s="14">
        <f>VLOOKUP(I7307,[2]媒体政策预估表!A:N,MATCH(O7307,[2]媒体政策预估表!$A$2:$M$2,0),0)</f>
        <v>0.1</v>
      </c>
      <c r="AF7307" s="6">
        <f t="shared" si="1131"/>
        <v>255.91167000000002</v>
      </c>
      <c r="AG7307" s="14">
        <v>0</v>
      </c>
      <c r="AH7307" s="64">
        <f t="shared" si="1130"/>
        <v>2559.1167</v>
      </c>
      <c r="AJ7307" s="126" t="e">
        <v>#N/A</v>
      </c>
      <c r="AK7307" s="80">
        <f t="shared" si="1137"/>
        <v>0</v>
      </c>
      <c r="AL7307" s="85"/>
      <c r="AM7307" s="85"/>
    </row>
    <row r="7308" spans="1:39" s="86" customFormat="1" ht="13.25" hidden="1" customHeight="1" x14ac:dyDescent="0.3">
      <c r="A7308" s="89" t="s">
        <v>3978</v>
      </c>
      <c r="B7308" s="86" t="s">
        <v>35</v>
      </c>
      <c r="C7308" s="86" t="s">
        <v>164</v>
      </c>
      <c r="D7308" s="86" t="s">
        <v>169</v>
      </c>
      <c r="E7308" s="86" t="s">
        <v>724</v>
      </c>
      <c r="F7308" s="86" t="s">
        <v>724</v>
      </c>
      <c r="G7308" s="86" t="s">
        <v>724</v>
      </c>
      <c r="H7308" s="144">
        <v>360</v>
      </c>
      <c r="I7308" s="86" t="s">
        <v>1060</v>
      </c>
      <c r="J7308" s="47" t="s">
        <v>3325</v>
      </c>
      <c r="K7308" s="47" t="s">
        <v>3767</v>
      </c>
      <c r="L7308" s="47" t="s">
        <v>35</v>
      </c>
      <c r="M7308" s="86" t="s">
        <v>1586</v>
      </c>
      <c r="O7308" s="47" t="s">
        <v>410</v>
      </c>
      <c r="P7308" s="47" t="s">
        <v>41</v>
      </c>
      <c r="Q7308" s="14">
        <v>0</v>
      </c>
      <c r="R7308" s="143" t="s">
        <v>1587</v>
      </c>
      <c r="S7308" s="47"/>
      <c r="T7308" s="6">
        <v>44266.499999999993</v>
      </c>
      <c r="U7308" s="6">
        <v>40000</v>
      </c>
      <c r="V7308" s="6">
        <v>68077.3</v>
      </c>
      <c r="W7308" s="6">
        <f t="shared" si="1128"/>
        <v>16189.199999999997</v>
      </c>
      <c r="X7308" s="6">
        <f t="shared" si="1133"/>
        <v>68077.3</v>
      </c>
      <c r="Y7308" s="13">
        <f t="shared" si="1135"/>
        <v>0</v>
      </c>
      <c r="Z7308" s="66">
        <v>0</v>
      </c>
      <c r="AA7308" s="6">
        <v>0</v>
      </c>
      <c r="AB7308" s="4">
        <f t="shared" si="1136"/>
        <v>68077.3</v>
      </c>
      <c r="AC7308" s="6">
        <f t="shared" si="1134"/>
        <v>0</v>
      </c>
      <c r="AD7308" s="6">
        <f t="shared" si="1129"/>
        <v>68077.3</v>
      </c>
      <c r="AE7308" s="14">
        <f>VLOOKUP(I7308,[2]媒体政策预估表!A:N,MATCH(O7308,[2]媒体政策预估表!$A$2:$M$2,0),0)</f>
        <v>7.0000000000000007E-2</v>
      </c>
      <c r="AF7308" s="6">
        <f t="shared" si="1131"/>
        <v>4765.411000000001</v>
      </c>
      <c r="AG7308" s="14">
        <v>0</v>
      </c>
      <c r="AH7308" s="64">
        <f t="shared" si="1130"/>
        <v>68077.3</v>
      </c>
      <c r="AJ7308" s="126" t="e">
        <v>#N/A</v>
      </c>
      <c r="AK7308" s="80">
        <f t="shared" si="1137"/>
        <v>0</v>
      </c>
      <c r="AL7308" s="85"/>
      <c r="AM7308" s="85"/>
    </row>
    <row r="7309" spans="1:39" s="86" customFormat="1" ht="13.25" hidden="1" customHeight="1" x14ac:dyDescent="0.3">
      <c r="A7309" s="89" t="s">
        <v>3978</v>
      </c>
      <c r="B7309" s="86" t="s">
        <v>35</v>
      </c>
      <c r="C7309" s="86" t="s">
        <v>164</v>
      </c>
      <c r="D7309" s="86" t="s">
        <v>169</v>
      </c>
      <c r="E7309" s="86" t="s">
        <v>1588</v>
      </c>
      <c r="F7309" s="86" t="s">
        <v>1588</v>
      </c>
      <c r="G7309" s="86" t="s">
        <v>1588</v>
      </c>
      <c r="H7309" s="144">
        <v>360</v>
      </c>
      <c r="I7309" s="86" t="s">
        <v>1060</v>
      </c>
      <c r="J7309" s="47" t="s">
        <v>3325</v>
      </c>
      <c r="K7309" s="47" t="s">
        <v>3767</v>
      </c>
      <c r="L7309" s="47" t="s">
        <v>35</v>
      </c>
      <c r="M7309" s="86" t="s">
        <v>1589</v>
      </c>
      <c r="O7309" s="47" t="s">
        <v>410</v>
      </c>
      <c r="P7309" s="47" t="s">
        <v>41</v>
      </c>
      <c r="Q7309" s="14">
        <v>0</v>
      </c>
      <c r="R7309" s="143" t="s">
        <v>1590</v>
      </c>
      <c r="S7309" s="47"/>
      <c r="T7309" s="6">
        <v>29869.699999999997</v>
      </c>
      <c r="U7309" s="6">
        <v>40000</v>
      </c>
      <c r="V7309" s="6">
        <v>47441</v>
      </c>
      <c r="W7309" s="6">
        <f t="shared" si="1128"/>
        <v>22428.699999999997</v>
      </c>
      <c r="X7309" s="6">
        <f t="shared" si="1133"/>
        <v>47441</v>
      </c>
      <c r="Y7309" s="13">
        <f t="shared" si="1135"/>
        <v>0</v>
      </c>
      <c r="Z7309" s="66">
        <v>0</v>
      </c>
      <c r="AA7309" s="6">
        <v>0</v>
      </c>
      <c r="AB7309" s="4">
        <f t="shared" si="1136"/>
        <v>47441</v>
      </c>
      <c r="AC7309" s="6">
        <f t="shared" si="1134"/>
        <v>0</v>
      </c>
      <c r="AD7309" s="6">
        <f t="shared" si="1129"/>
        <v>47441</v>
      </c>
      <c r="AE7309" s="14">
        <f>VLOOKUP(I7309,[2]媒体政策预估表!A:N,MATCH(O7309,[2]媒体政策预估表!$A$2:$M$2,0),0)</f>
        <v>7.0000000000000007E-2</v>
      </c>
      <c r="AF7309" s="6">
        <f t="shared" si="1131"/>
        <v>3320.8700000000003</v>
      </c>
      <c r="AG7309" s="14">
        <v>0</v>
      </c>
      <c r="AH7309" s="64">
        <f t="shared" si="1130"/>
        <v>47441</v>
      </c>
      <c r="AJ7309" s="126" t="e">
        <v>#N/A</v>
      </c>
      <c r="AK7309" s="80">
        <f t="shared" si="1137"/>
        <v>0</v>
      </c>
      <c r="AL7309" s="85"/>
      <c r="AM7309" s="85"/>
    </row>
    <row r="7310" spans="1:39" s="86" customFormat="1" ht="13.25" hidden="1" customHeight="1" x14ac:dyDescent="0.3">
      <c r="A7310" s="89" t="s">
        <v>3978</v>
      </c>
      <c r="B7310" s="86" t="s">
        <v>35</v>
      </c>
      <c r="C7310" s="86" t="s">
        <v>164</v>
      </c>
      <c r="D7310" s="86" t="s">
        <v>169</v>
      </c>
      <c r="E7310" s="86" t="s">
        <v>1588</v>
      </c>
      <c r="F7310" s="86" t="s">
        <v>1588</v>
      </c>
      <c r="G7310" s="86" t="s">
        <v>1588</v>
      </c>
      <c r="H7310" s="144">
        <v>360</v>
      </c>
      <c r="I7310" s="86" t="s">
        <v>1060</v>
      </c>
      <c r="J7310" s="47" t="s">
        <v>3325</v>
      </c>
      <c r="K7310" s="47" t="s">
        <v>3767</v>
      </c>
      <c r="L7310" s="47" t="s">
        <v>35</v>
      </c>
      <c r="M7310" s="86" t="s">
        <v>1591</v>
      </c>
      <c r="O7310" s="47" t="s">
        <v>410</v>
      </c>
      <c r="P7310" s="47" t="s">
        <v>41</v>
      </c>
      <c r="Q7310" s="14">
        <v>0</v>
      </c>
      <c r="R7310" s="143" t="s">
        <v>1592</v>
      </c>
      <c r="S7310" s="47"/>
      <c r="T7310" s="6">
        <v>31999.400000000023</v>
      </c>
      <c r="U7310" s="6">
        <v>20000</v>
      </c>
      <c r="V7310" s="6">
        <v>26292.3</v>
      </c>
      <c r="W7310" s="6">
        <f t="shared" si="1128"/>
        <v>25707.100000000024</v>
      </c>
      <c r="X7310" s="6">
        <f t="shared" si="1133"/>
        <v>26292.3</v>
      </c>
      <c r="Y7310" s="13">
        <f t="shared" si="1135"/>
        <v>0</v>
      </c>
      <c r="Z7310" s="66">
        <v>0</v>
      </c>
      <c r="AA7310" s="6">
        <v>0</v>
      </c>
      <c r="AB7310" s="4">
        <f t="shared" si="1136"/>
        <v>26292.3</v>
      </c>
      <c r="AC7310" s="6">
        <f t="shared" si="1134"/>
        <v>0</v>
      </c>
      <c r="AD7310" s="6">
        <f t="shared" si="1129"/>
        <v>26292.3</v>
      </c>
      <c r="AE7310" s="14">
        <f>VLOOKUP(I7310,[2]媒体政策预估表!A:N,MATCH(O7310,[2]媒体政策预估表!$A$2:$M$2,0),0)</f>
        <v>7.0000000000000007E-2</v>
      </c>
      <c r="AF7310" s="6">
        <f t="shared" si="1131"/>
        <v>1840.461</v>
      </c>
      <c r="AG7310" s="14">
        <v>0</v>
      </c>
      <c r="AH7310" s="64">
        <f t="shared" si="1130"/>
        <v>26292.3</v>
      </c>
      <c r="AJ7310" s="126" t="e">
        <v>#N/A</v>
      </c>
      <c r="AK7310" s="80">
        <f t="shared" si="1137"/>
        <v>0</v>
      </c>
      <c r="AL7310" s="85"/>
      <c r="AM7310" s="85"/>
    </row>
    <row r="7311" spans="1:39" s="86" customFormat="1" ht="13.25" hidden="1" customHeight="1" x14ac:dyDescent="0.3">
      <c r="A7311" s="89" t="s">
        <v>3978</v>
      </c>
      <c r="B7311" s="86" t="s">
        <v>35</v>
      </c>
      <c r="C7311" s="86" t="s">
        <v>164</v>
      </c>
      <c r="D7311" s="86" t="s">
        <v>169</v>
      </c>
      <c r="E7311" s="86" t="s">
        <v>1958</v>
      </c>
      <c r="F7311" s="86" t="s">
        <v>1958</v>
      </c>
      <c r="G7311" s="86" t="s">
        <v>1958</v>
      </c>
      <c r="H7311" s="144">
        <v>360</v>
      </c>
      <c r="I7311" s="86" t="s">
        <v>1060</v>
      </c>
      <c r="J7311" s="47" t="s">
        <v>3325</v>
      </c>
      <c r="K7311" s="47" t="s">
        <v>3767</v>
      </c>
      <c r="L7311" s="47" t="s">
        <v>35</v>
      </c>
      <c r="M7311" s="86" t="s">
        <v>1958</v>
      </c>
      <c r="O7311" s="47" t="s">
        <v>410</v>
      </c>
      <c r="P7311" s="47" t="s">
        <v>41</v>
      </c>
      <c r="Q7311" s="14">
        <v>0</v>
      </c>
      <c r="R7311" s="143" t="s">
        <v>1959</v>
      </c>
      <c r="S7311" s="47"/>
      <c r="T7311" s="6">
        <v>39699</v>
      </c>
      <c r="U7311" s="6">
        <v>100000</v>
      </c>
      <c r="V7311" s="6">
        <v>82325.7</v>
      </c>
      <c r="W7311" s="6">
        <f t="shared" si="1128"/>
        <v>57373.3</v>
      </c>
      <c r="X7311" s="6">
        <f t="shared" si="1133"/>
        <v>82325.7</v>
      </c>
      <c r="Y7311" s="13">
        <f t="shared" si="1135"/>
        <v>0</v>
      </c>
      <c r="Z7311" s="66">
        <v>0</v>
      </c>
      <c r="AA7311" s="6">
        <v>0</v>
      </c>
      <c r="AB7311" s="4">
        <f t="shared" si="1136"/>
        <v>82325.7</v>
      </c>
      <c r="AC7311" s="6">
        <f t="shared" si="1134"/>
        <v>0</v>
      </c>
      <c r="AD7311" s="6">
        <f t="shared" si="1129"/>
        <v>82325.7</v>
      </c>
      <c r="AE7311" s="14">
        <f>VLOOKUP(I7311,[2]媒体政策预估表!A:N,MATCH(O7311,[2]媒体政策预估表!$A$2:$M$2,0),0)</f>
        <v>7.0000000000000007E-2</v>
      </c>
      <c r="AF7311" s="6">
        <f t="shared" si="1131"/>
        <v>5762.799</v>
      </c>
      <c r="AG7311" s="14">
        <v>0</v>
      </c>
      <c r="AH7311" s="64">
        <f t="shared" si="1130"/>
        <v>82325.7</v>
      </c>
      <c r="AJ7311" s="126" t="e">
        <v>#N/A</v>
      </c>
      <c r="AK7311" s="80">
        <f t="shared" si="1137"/>
        <v>0</v>
      </c>
      <c r="AL7311" s="85"/>
      <c r="AM7311" s="85"/>
    </row>
    <row r="7312" spans="1:39" s="86" customFormat="1" ht="13.25" hidden="1" customHeight="1" x14ac:dyDescent="0.3">
      <c r="A7312" s="89" t="s">
        <v>3978</v>
      </c>
      <c r="B7312" s="86" t="s">
        <v>35</v>
      </c>
      <c r="C7312" s="86" t="s">
        <v>164</v>
      </c>
      <c r="D7312" s="86" t="s">
        <v>174</v>
      </c>
      <c r="E7312" s="86" t="s">
        <v>1593</v>
      </c>
      <c r="F7312" s="86" t="s">
        <v>1594</v>
      </c>
      <c r="G7312" s="86" t="s">
        <v>1593</v>
      </c>
      <c r="H7312" s="144">
        <v>360</v>
      </c>
      <c r="I7312" s="86" t="s">
        <v>1060</v>
      </c>
      <c r="J7312" s="47" t="s">
        <v>3325</v>
      </c>
      <c r="K7312" s="47" t="s">
        <v>3767</v>
      </c>
      <c r="L7312" s="47" t="s">
        <v>35</v>
      </c>
      <c r="M7312" s="86" t="s">
        <v>1595</v>
      </c>
      <c r="O7312" s="47" t="s">
        <v>410</v>
      </c>
      <c r="P7312" s="47" t="s">
        <v>41</v>
      </c>
      <c r="Q7312" s="14">
        <v>0</v>
      </c>
      <c r="R7312" s="143" t="s">
        <v>3555</v>
      </c>
      <c r="S7312" s="47"/>
      <c r="T7312" s="6">
        <v>391328.67312999995</v>
      </c>
      <c r="U7312" s="6">
        <v>170000</v>
      </c>
      <c r="V7312" s="6">
        <v>169229.46780000001</v>
      </c>
      <c r="W7312" s="6">
        <f t="shared" si="1128"/>
        <v>392099.20533000003</v>
      </c>
      <c r="X7312" s="6">
        <f t="shared" si="1133"/>
        <v>169229.46780000001</v>
      </c>
      <c r="Y7312" s="13">
        <f t="shared" si="1135"/>
        <v>0</v>
      </c>
      <c r="Z7312" s="66">
        <v>0</v>
      </c>
      <c r="AA7312" s="6">
        <v>0</v>
      </c>
      <c r="AB7312" s="4">
        <f t="shared" si="1136"/>
        <v>169229.46780000001</v>
      </c>
      <c r="AC7312" s="6">
        <f t="shared" si="1134"/>
        <v>0</v>
      </c>
      <c r="AD7312" s="6">
        <f t="shared" si="1129"/>
        <v>169229.46780000001</v>
      </c>
      <c r="AE7312" s="14">
        <f>VLOOKUP(I7312,[2]媒体政策预估表!A:N,MATCH(O7312,[2]媒体政策预估表!$A$2:$M$2,0),0)</f>
        <v>7.0000000000000007E-2</v>
      </c>
      <c r="AF7312" s="6">
        <f t="shared" si="1131"/>
        <v>11846.062746000001</v>
      </c>
      <c r="AG7312" s="14">
        <v>0</v>
      </c>
      <c r="AH7312" s="64">
        <f t="shared" si="1130"/>
        <v>169229.46780000001</v>
      </c>
      <c r="AJ7312" s="126" t="e">
        <v>#N/A</v>
      </c>
      <c r="AK7312" s="80">
        <f t="shared" si="1137"/>
        <v>0</v>
      </c>
      <c r="AL7312" s="85"/>
      <c r="AM7312" s="85"/>
    </row>
    <row r="7313" spans="1:39" s="86" customFormat="1" ht="13.25" hidden="1" customHeight="1" x14ac:dyDescent="0.3">
      <c r="A7313" s="89" t="s">
        <v>3978</v>
      </c>
      <c r="B7313" s="86" t="s">
        <v>35</v>
      </c>
      <c r="C7313" s="86" t="s">
        <v>164</v>
      </c>
      <c r="D7313" s="86" t="s">
        <v>174</v>
      </c>
      <c r="E7313" s="86" t="s">
        <v>1597</v>
      </c>
      <c r="F7313" s="86" t="s">
        <v>1597</v>
      </c>
      <c r="G7313" s="86" t="s">
        <v>1597</v>
      </c>
      <c r="H7313" s="144">
        <v>360</v>
      </c>
      <c r="I7313" s="86" t="s">
        <v>1060</v>
      </c>
      <c r="J7313" s="47" t="s">
        <v>3325</v>
      </c>
      <c r="K7313" s="47" t="s">
        <v>3767</v>
      </c>
      <c r="L7313" s="47" t="s">
        <v>35</v>
      </c>
      <c r="M7313" s="86" t="s">
        <v>1597</v>
      </c>
      <c r="O7313" s="47" t="s">
        <v>410</v>
      </c>
      <c r="P7313" s="47" t="s">
        <v>46</v>
      </c>
      <c r="Q7313" s="14">
        <v>0.01</v>
      </c>
      <c r="R7313" s="143" t="s">
        <v>1599</v>
      </c>
      <c r="S7313" s="47"/>
      <c r="T7313" s="6">
        <v>97879.740000000093</v>
      </c>
      <c r="U7313" s="6">
        <v>50000</v>
      </c>
      <c r="V7313" s="6">
        <v>93165.3</v>
      </c>
      <c r="W7313" s="6">
        <f t="shared" si="1128"/>
        <v>54714.440000000104</v>
      </c>
      <c r="X7313" s="6">
        <f t="shared" si="1133"/>
        <v>92242.871287128713</v>
      </c>
      <c r="Y7313" s="13">
        <f t="shared" si="1135"/>
        <v>0</v>
      </c>
      <c r="Z7313" s="66">
        <v>0</v>
      </c>
      <c r="AA7313" s="6">
        <v>0</v>
      </c>
      <c r="AB7313" s="4">
        <f t="shared" si="1136"/>
        <v>92242.871287128713</v>
      </c>
      <c r="AC7313" s="6">
        <f t="shared" si="1134"/>
        <v>922.42871287128946</v>
      </c>
      <c r="AD7313" s="6">
        <f t="shared" si="1129"/>
        <v>93165.3</v>
      </c>
      <c r="AE7313" s="14">
        <f>VLOOKUP(I7313,[2]媒体政策预估表!A:N,MATCH(O7313,[2]媒体政策预估表!$A$2:$M$2,0),0)</f>
        <v>7.0000000000000007E-2</v>
      </c>
      <c r="AF7313" s="6">
        <f t="shared" si="1131"/>
        <v>6521.5710000000008</v>
      </c>
      <c r="AG7313" s="14">
        <v>0</v>
      </c>
      <c r="AH7313" s="64">
        <f t="shared" si="1130"/>
        <v>93165.3</v>
      </c>
      <c r="AJ7313" s="126" t="e">
        <v>#N/A</v>
      </c>
      <c r="AK7313" s="80">
        <f t="shared" si="1137"/>
        <v>0</v>
      </c>
      <c r="AL7313" s="85"/>
      <c r="AM7313" s="85"/>
    </row>
    <row r="7314" spans="1:39" s="86" customFormat="1" ht="13.25" hidden="1" customHeight="1" x14ac:dyDescent="0.3">
      <c r="A7314" s="89" t="s">
        <v>3978</v>
      </c>
      <c r="B7314" s="86" t="s">
        <v>35</v>
      </c>
      <c r="C7314" s="86" t="s">
        <v>164</v>
      </c>
      <c r="D7314" s="86" t="s">
        <v>174</v>
      </c>
      <c r="E7314" s="86" t="s">
        <v>1600</v>
      </c>
      <c r="F7314" s="86" t="s">
        <v>1600</v>
      </c>
      <c r="G7314" s="86" t="s">
        <v>1600</v>
      </c>
      <c r="H7314" s="143">
        <v>360</v>
      </c>
      <c r="I7314" s="86" t="s">
        <v>1060</v>
      </c>
      <c r="J7314" s="47" t="s">
        <v>3325</v>
      </c>
      <c r="K7314" s="47" t="s">
        <v>3767</v>
      </c>
      <c r="L7314" s="47" t="s">
        <v>35</v>
      </c>
      <c r="M7314" s="86" t="s">
        <v>1601</v>
      </c>
      <c r="O7314" s="47" t="s">
        <v>45</v>
      </c>
      <c r="P7314" s="47" t="s">
        <v>41</v>
      </c>
      <c r="Q7314" s="14">
        <v>0</v>
      </c>
      <c r="R7314" s="143" t="s">
        <v>4075</v>
      </c>
      <c r="S7314" s="47"/>
      <c r="T7314" s="6">
        <v>0</v>
      </c>
      <c r="U7314" s="6">
        <v>20000</v>
      </c>
      <c r="V7314" s="6">
        <v>0</v>
      </c>
      <c r="W7314" s="6">
        <f t="shared" si="1128"/>
        <v>20000</v>
      </c>
      <c r="X7314" s="6">
        <f t="shared" si="1133"/>
        <v>0</v>
      </c>
      <c r="Y7314" s="13">
        <f t="shared" si="1135"/>
        <v>0</v>
      </c>
      <c r="Z7314" s="66">
        <v>0</v>
      </c>
      <c r="AA7314" s="6">
        <v>0</v>
      </c>
      <c r="AB7314" s="4">
        <f t="shared" si="1136"/>
        <v>0</v>
      </c>
      <c r="AC7314" s="6">
        <f t="shared" si="1134"/>
        <v>0</v>
      </c>
      <c r="AD7314" s="6">
        <f t="shared" si="1129"/>
        <v>0</v>
      </c>
      <c r="AE7314" s="14">
        <f>VLOOKUP(I7314,[2]媒体政策预估表!A:N,MATCH(O7314,[2]媒体政策预估表!$A$2:$M$2,0),0)</f>
        <v>0.1</v>
      </c>
      <c r="AF7314" s="6">
        <f t="shared" si="1131"/>
        <v>0</v>
      </c>
      <c r="AG7314" s="14">
        <v>0</v>
      </c>
      <c r="AH7314" s="64">
        <f t="shared" si="1130"/>
        <v>0</v>
      </c>
      <c r="AJ7314" s="126" t="e">
        <v>#N/A</v>
      </c>
      <c r="AK7314" s="80">
        <f t="shared" si="1137"/>
        <v>0</v>
      </c>
      <c r="AL7314" s="85"/>
      <c r="AM7314" s="85"/>
    </row>
    <row r="7315" spans="1:39" s="86" customFormat="1" ht="13.25" hidden="1" customHeight="1" x14ac:dyDescent="0.3">
      <c r="A7315" s="89" t="s">
        <v>3978</v>
      </c>
      <c r="B7315" s="86" t="s">
        <v>35</v>
      </c>
      <c r="C7315" s="86" t="s">
        <v>164</v>
      </c>
      <c r="D7315" s="86" t="s">
        <v>174</v>
      </c>
      <c r="E7315" s="86" t="s">
        <v>1600</v>
      </c>
      <c r="F7315" s="86" t="s">
        <v>1600</v>
      </c>
      <c r="G7315" s="86" t="s">
        <v>1600</v>
      </c>
      <c r="H7315" s="144">
        <v>360</v>
      </c>
      <c r="I7315" s="86" t="s">
        <v>1060</v>
      </c>
      <c r="J7315" s="47" t="s">
        <v>3325</v>
      </c>
      <c r="K7315" s="47" t="s">
        <v>3767</v>
      </c>
      <c r="L7315" s="47" t="s">
        <v>35</v>
      </c>
      <c r="M7315" s="86" t="s">
        <v>1601</v>
      </c>
      <c r="O7315" s="47" t="s">
        <v>410</v>
      </c>
      <c r="P7315" s="47" t="s">
        <v>41</v>
      </c>
      <c r="Q7315" s="14">
        <v>0</v>
      </c>
      <c r="R7315" s="143" t="s">
        <v>1602</v>
      </c>
      <c r="S7315" s="47"/>
      <c r="T7315" s="6">
        <v>1246807.3415999999</v>
      </c>
      <c r="U7315" s="6">
        <v>2410000</v>
      </c>
      <c r="V7315" s="6">
        <v>1439345.33317</v>
      </c>
      <c r="W7315" s="6">
        <f t="shared" si="1128"/>
        <v>2217462.0084299999</v>
      </c>
      <c r="X7315" s="6">
        <f t="shared" si="1133"/>
        <v>1439345.33317</v>
      </c>
      <c r="Y7315" s="13">
        <f t="shared" si="1135"/>
        <v>0</v>
      </c>
      <c r="Z7315" s="66">
        <v>0</v>
      </c>
      <c r="AA7315" s="6">
        <v>0</v>
      </c>
      <c r="AB7315" s="4">
        <f t="shared" si="1136"/>
        <v>1439345.33317</v>
      </c>
      <c r="AC7315" s="6">
        <f t="shared" si="1134"/>
        <v>0</v>
      </c>
      <c r="AD7315" s="6">
        <f t="shared" si="1129"/>
        <v>1439345.33317</v>
      </c>
      <c r="AE7315" s="14">
        <f>VLOOKUP(I7315,[2]媒体政策预估表!A:N,MATCH(O7315,[2]媒体政策预估表!$A$2:$M$2,0),0)</f>
        <v>7.0000000000000007E-2</v>
      </c>
      <c r="AF7315" s="6">
        <f t="shared" si="1131"/>
        <v>100754.17332190002</v>
      </c>
      <c r="AG7315" s="14">
        <v>0</v>
      </c>
      <c r="AH7315" s="64">
        <f t="shared" si="1130"/>
        <v>1439345.33317</v>
      </c>
      <c r="AJ7315" s="126" t="e">
        <v>#N/A</v>
      </c>
      <c r="AK7315" s="80">
        <f t="shared" si="1137"/>
        <v>0</v>
      </c>
      <c r="AL7315" s="85"/>
      <c r="AM7315" s="85"/>
    </row>
    <row r="7316" spans="1:39" s="86" customFormat="1" ht="13.25" hidden="1" customHeight="1" x14ac:dyDescent="0.3">
      <c r="A7316" s="89" t="s">
        <v>3978</v>
      </c>
      <c r="B7316" s="86" t="s">
        <v>35</v>
      </c>
      <c r="C7316" s="86" t="s">
        <v>164</v>
      </c>
      <c r="D7316" s="86" t="s">
        <v>174</v>
      </c>
      <c r="E7316" s="86" t="s">
        <v>1608</v>
      </c>
      <c r="F7316" s="86" t="s">
        <v>1608</v>
      </c>
      <c r="G7316" s="86" t="s">
        <v>1608</v>
      </c>
      <c r="H7316" s="144">
        <v>360</v>
      </c>
      <c r="I7316" s="86" t="s">
        <v>1060</v>
      </c>
      <c r="J7316" s="47" t="s">
        <v>3325</v>
      </c>
      <c r="K7316" s="47" t="s">
        <v>3767</v>
      </c>
      <c r="L7316" s="47" t="s">
        <v>35</v>
      </c>
      <c r="M7316" s="86" t="s">
        <v>1608</v>
      </c>
      <c r="O7316" s="47" t="s">
        <v>410</v>
      </c>
      <c r="P7316" s="47" t="s">
        <v>41</v>
      </c>
      <c r="Q7316" s="14">
        <v>0</v>
      </c>
      <c r="R7316" s="143" t="s">
        <v>1609</v>
      </c>
      <c r="S7316" s="47"/>
      <c r="T7316" s="6">
        <v>20426.399999999994</v>
      </c>
      <c r="U7316" s="6">
        <v>200000</v>
      </c>
      <c r="V7316" s="6">
        <v>118313.60000000001</v>
      </c>
      <c r="W7316" s="6">
        <f t="shared" si="1128"/>
        <v>102112.79999999999</v>
      </c>
      <c r="X7316" s="6">
        <f t="shared" si="1133"/>
        <v>118313.60000000001</v>
      </c>
      <c r="Y7316" s="13">
        <f t="shared" si="1135"/>
        <v>0</v>
      </c>
      <c r="Z7316" s="66">
        <v>0</v>
      </c>
      <c r="AA7316" s="6">
        <v>0</v>
      </c>
      <c r="AB7316" s="4">
        <f t="shared" si="1136"/>
        <v>118313.60000000001</v>
      </c>
      <c r="AC7316" s="6">
        <f t="shared" si="1134"/>
        <v>0</v>
      </c>
      <c r="AD7316" s="6">
        <f t="shared" si="1129"/>
        <v>118313.60000000001</v>
      </c>
      <c r="AE7316" s="14">
        <f>VLOOKUP(I7316,[2]媒体政策预估表!A:N,MATCH(O7316,[2]媒体政策预估表!$A$2:$M$2,0),0)</f>
        <v>7.0000000000000007E-2</v>
      </c>
      <c r="AF7316" s="6">
        <f t="shared" si="1131"/>
        <v>8281.9520000000011</v>
      </c>
      <c r="AG7316" s="14">
        <v>0</v>
      </c>
      <c r="AH7316" s="64">
        <f t="shared" si="1130"/>
        <v>118313.60000000001</v>
      </c>
      <c r="AJ7316" s="126" t="e">
        <v>#N/A</v>
      </c>
      <c r="AK7316" s="80">
        <f t="shared" si="1137"/>
        <v>0</v>
      </c>
      <c r="AL7316" s="85"/>
      <c r="AM7316" s="85"/>
    </row>
    <row r="7317" spans="1:39" s="86" customFormat="1" ht="13.25" hidden="1" customHeight="1" x14ac:dyDescent="0.3">
      <c r="A7317" s="89" t="s">
        <v>3978</v>
      </c>
      <c r="B7317" s="86" t="s">
        <v>35</v>
      </c>
      <c r="C7317" s="86" t="s">
        <v>164</v>
      </c>
      <c r="D7317" s="86" t="s">
        <v>174</v>
      </c>
      <c r="E7317" s="86" t="s">
        <v>1610</v>
      </c>
      <c r="F7317" s="86" t="s">
        <v>1610</v>
      </c>
      <c r="G7317" s="86" t="s">
        <v>1610</v>
      </c>
      <c r="H7317" s="144">
        <v>360</v>
      </c>
      <c r="I7317" s="86" t="s">
        <v>1060</v>
      </c>
      <c r="J7317" s="47" t="s">
        <v>3325</v>
      </c>
      <c r="K7317" s="47" t="s">
        <v>3767</v>
      </c>
      <c r="L7317" s="47" t="s">
        <v>35</v>
      </c>
      <c r="M7317" s="86" t="s">
        <v>1610</v>
      </c>
      <c r="O7317" s="47" t="s">
        <v>410</v>
      </c>
      <c r="P7317" s="47" t="s">
        <v>41</v>
      </c>
      <c r="Q7317" s="14">
        <v>0</v>
      </c>
      <c r="R7317" s="143" t="s">
        <v>1611</v>
      </c>
      <c r="S7317" s="47"/>
      <c r="T7317" s="6">
        <v>1825.46</v>
      </c>
      <c r="U7317" s="6">
        <v>10000</v>
      </c>
      <c r="V7317" s="6">
        <v>9040.4</v>
      </c>
      <c r="W7317" s="6">
        <f t="shared" si="1128"/>
        <v>2785.0599999999995</v>
      </c>
      <c r="X7317" s="6">
        <f t="shared" si="1133"/>
        <v>9040.4</v>
      </c>
      <c r="Y7317" s="13">
        <f t="shared" si="1135"/>
        <v>0</v>
      </c>
      <c r="Z7317" s="66">
        <v>0</v>
      </c>
      <c r="AA7317" s="6">
        <v>0</v>
      </c>
      <c r="AB7317" s="4">
        <f t="shared" si="1136"/>
        <v>9040.4</v>
      </c>
      <c r="AC7317" s="6">
        <f t="shared" si="1134"/>
        <v>0</v>
      </c>
      <c r="AD7317" s="6">
        <f t="shared" si="1129"/>
        <v>9040.4</v>
      </c>
      <c r="AE7317" s="14">
        <f>VLOOKUP(I7317,[2]媒体政策预估表!A:N,MATCH(O7317,[2]媒体政策预估表!$A$2:$M$2,0),0)</f>
        <v>7.0000000000000007E-2</v>
      </c>
      <c r="AF7317" s="6">
        <f t="shared" si="1131"/>
        <v>632.82800000000009</v>
      </c>
      <c r="AG7317" s="14">
        <v>0</v>
      </c>
      <c r="AH7317" s="64">
        <f t="shared" si="1130"/>
        <v>9040.4</v>
      </c>
      <c r="AJ7317" s="126" t="e">
        <v>#N/A</v>
      </c>
      <c r="AK7317" s="80">
        <f t="shared" si="1137"/>
        <v>0</v>
      </c>
      <c r="AL7317" s="85"/>
      <c r="AM7317" s="85"/>
    </row>
    <row r="7318" spans="1:39" s="86" customFormat="1" ht="13.25" hidden="1" customHeight="1" x14ac:dyDescent="0.3">
      <c r="A7318" s="89" t="s">
        <v>3978</v>
      </c>
      <c r="B7318" s="86" t="s">
        <v>35</v>
      </c>
      <c r="C7318" s="86" t="s">
        <v>164</v>
      </c>
      <c r="D7318" s="86" t="s">
        <v>174</v>
      </c>
      <c r="E7318" s="86" t="s">
        <v>1612</v>
      </c>
      <c r="F7318" s="86" t="s">
        <v>1612</v>
      </c>
      <c r="G7318" s="86" t="s">
        <v>1612</v>
      </c>
      <c r="H7318" s="144">
        <v>360</v>
      </c>
      <c r="I7318" s="86" t="s">
        <v>1060</v>
      </c>
      <c r="J7318" s="47" t="s">
        <v>3325</v>
      </c>
      <c r="K7318" s="47" t="s">
        <v>3767</v>
      </c>
      <c r="L7318" s="47" t="s">
        <v>35</v>
      </c>
      <c r="M7318" s="86" t="s">
        <v>1612</v>
      </c>
      <c r="O7318" s="47" t="s">
        <v>410</v>
      </c>
      <c r="P7318" s="47" t="s">
        <v>41</v>
      </c>
      <c r="Q7318" s="14">
        <v>0</v>
      </c>
      <c r="R7318" s="143" t="s">
        <v>1613</v>
      </c>
      <c r="S7318" s="47"/>
      <c r="T7318" s="6">
        <v>9069.0200000000041</v>
      </c>
      <c r="U7318" s="6">
        <v>67058</v>
      </c>
      <c r="V7318" s="6">
        <v>62935.1</v>
      </c>
      <c r="W7318" s="6">
        <f t="shared" si="1128"/>
        <v>13191.920000000006</v>
      </c>
      <c r="X7318" s="6">
        <f t="shared" si="1133"/>
        <v>62935.1</v>
      </c>
      <c r="Y7318" s="13">
        <f t="shared" si="1135"/>
        <v>0</v>
      </c>
      <c r="Z7318" s="66">
        <v>0</v>
      </c>
      <c r="AA7318" s="6">
        <v>0</v>
      </c>
      <c r="AB7318" s="4">
        <f t="shared" si="1136"/>
        <v>62935.1</v>
      </c>
      <c r="AC7318" s="6">
        <f t="shared" si="1134"/>
        <v>0</v>
      </c>
      <c r="AD7318" s="6">
        <f t="shared" si="1129"/>
        <v>62935.1</v>
      </c>
      <c r="AE7318" s="14">
        <f>VLOOKUP(I7318,[2]媒体政策预估表!A:N,MATCH(O7318,[2]媒体政策预估表!$A$2:$M$2,0),0)</f>
        <v>7.0000000000000007E-2</v>
      </c>
      <c r="AF7318" s="6">
        <f t="shared" si="1131"/>
        <v>4405.4570000000003</v>
      </c>
      <c r="AG7318" s="14">
        <v>0</v>
      </c>
      <c r="AH7318" s="64">
        <f t="shared" si="1130"/>
        <v>62935.1</v>
      </c>
      <c r="AJ7318" s="126" t="e">
        <v>#N/A</v>
      </c>
      <c r="AK7318" s="80">
        <f t="shared" si="1137"/>
        <v>0</v>
      </c>
      <c r="AL7318" s="85"/>
      <c r="AM7318" s="85"/>
    </row>
    <row r="7319" spans="1:39" s="86" customFormat="1" ht="13.25" hidden="1" customHeight="1" x14ac:dyDescent="0.3">
      <c r="A7319" s="89" t="s">
        <v>3978</v>
      </c>
      <c r="B7319" s="86" t="s">
        <v>35</v>
      </c>
      <c r="C7319" s="86" t="s">
        <v>164</v>
      </c>
      <c r="D7319" s="86" t="s">
        <v>174</v>
      </c>
      <c r="E7319" s="86" t="s">
        <v>1612</v>
      </c>
      <c r="F7319" s="86" t="s">
        <v>4076</v>
      </c>
      <c r="G7319" s="86" t="s">
        <v>1612</v>
      </c>
      <c r="H7319" s="144">
        <v>360</v>
      </c>
      <c r="I7319" s="86" t="s">
        <v>1060</v>
      </c>
      <c r="J7319" s="47" t="s">
        <v>3325</v>
      </c>
      <c r="K7319" s="47" t="s">
        <v>3767</v>
      </c>
      <c r="L7319" s="47" t="s">
        <v>35</v>
      </c>
      <c r="M7319" s="86" t="s">
        <v>4077</v>
      </c>
      <c r="O7319" s="47" t="s">
        <v>410</v>
      </c>
      <c r="P7319" s="47" t="s">
        <v>46</v>
      </c>
      <c r="Q7319" s="14">
        <v>0.02</v>
      </c>
      <c r="R7319" s="143">
        <v>1163122208</v>
      </c>
      <c r="S7319" s="47"/>
      <c r="T7319" s="6">
        <v>0</v>
      </c>
      <c r="U7319" s="6">
        <v>3000</v>
      </c>
      <c r="V7319" s="6">
        <v>924</v>
      </c>
      <c r="W7319" s="6">
        <f t="shared" si="1128"/>
        <v>2076</v>
      </c>
      <c r="X7319" s="6">
        <f t="shared" si="1133"/>
        <v>905.88235294117646</v>
      </c>
      <c r="Y7319" s="13">
        <f t="shared" si="1135"/>
        <v>0</v>
      </c>
      <c r="Z7319" s="66">
        <v>0</v>
      </c>
      <c r="AA7319" s="6">
        <v>0</v>
      </c>
      <c r="AB7319" s="4">
        <f t="shared" si="1136"/>
        <v>905.88235294117646</v>
      </c>
      <c r="AC7319" s="6">
        <f t="shared" si="1134"/>
        <v>18.117647058823536</v>
      </c>
      <c r="AD7319" s="6">
        <f t="shared" si="1129"/>
        <v>924</v>
      </c>
      <c r="AE7319" s="14">
        <f>VLOOKUP(I7319,[2]媒体政策预估表!A:N,MATCH(O7319,[2]媒体政策预估表!$A$2:$M$2,0),0)</f>
        <v>7.0000000000000007E-2</v>
      </c>
      <c r="AF7319" s="6">
        <f t="shared" si="1131"/>
        <v>64.680000000000007</v>
      </c>
      <c r="AG7319" s="14">
        <v>0</v>
      </c>
      <c r="AH7319" s="64">
        <f t="shared" si="1130"/>
        <v>924</v>
      </c>
      <c r="AJ7319" s="126" t="e">
        <v>#N/A</v>
      </c>
      <c r="AK7319" s="80">
        <f t="shared" si="1137"/>
        <v>0</v>
      </c>
      <c r="AL7319" s="85"/>
      <c r="AM7319" s="85"/>
    </row>
    <row r="7320" spans="1:39" s="86" customFormat="1" ht="13.25" hidden="1" customHeight="1" x14ac:dyDescent="0.3">
      <c r="A7320" s="89" t="s">
        <v>3978</v>
      </c>
      <c r="B7320" s="86" t="s">
        <v>35</v>
      </c>
      <c r="C7320" s="86" t="s">
        <v>164</v>
      </c>
      <c r="D7320" s="86" t="s">
        <v>174</v>
      </c>
      <c r="E7320" s="86" t="s">
        <v>644</v>
      </c>
      <c r="F7320" s="86" t="s">
        <v>644</v>
      </c>
      <c r="G7320" s="86" t="s">
        <v>644</v>
      </c>
      <c r="H7320" s="144">
        <v>360</v>
      </c>
      <c r="I7320" s="86" t="s">
        <v>1060</v>
      </c>
      <c r="J7320" s="47" t="s">
        <v>3325</v>
      </c>
      <c r="K7320" s="47" t="s">
        <v>3767</v>
      </c>
      <c r="L7320" s="47" t="s">
        <v>35</v>
      </c>
      <c r="M7320" s="86" t="s">
        <v>1614</v>
      </c>
      <c r="O7320" s="47" t="s">
        <v>410</v>
      </c>
      <c r="P7320" s="47" t="s">
        <v>41</v>
      </c>
      <c r="Q7320" s="14">
        <v>0</v>
      </c>
      <c r="R7320" s="143" t="s">
        <v>1615</v>
      </c>
      <c r="S7320" s="47"/>
      <c r="T7320" s="6">
        <v>14419.3</v>
      </c>
      <c r="U7320" s="6">
        <v>60000</v>
      </c>
      <c r="V7320" s="6">
        <v>39058.199999999997</v>
      </c>
      <c r="W7320" s="6">
        <f t="shared" si="1128"/>
        <v>35361.100000000006</v>
      </c>
      <c r="X7320" s="6">
        <f t="shared" si="1133"/>
        <v>39058.199999999997</v>
      </c>
      <c r="Y7320" s="13">
        <f t="shared" si="1135"/>
        <v>0</v>
      </c>
      <c r="Z7320" s="66">
        <v>0</v>
      </c>
      <c r="AA7320" s="6">
        <v>0</v>
      </c>
      <c r="AB7320" s="4">
        <f t="shared" si="1136"/>
        <v>39058.199999999997</v>
      </c>
      <c r="AC7320" s="6">
        <f t="shared" si="1134"/>
        <v>0</v>
      </c>
      <c r="AD7320" s="6">
        <f t="shared" si="1129"/>
        <v>39058.199999999997</v>
      </c>
      <c r="AE7320" s="14">
        <f>VLOOKUP(I7320,[2]媒体政策预估表!A:N,MATCH(O7320,[2]媒体政策预估表!$A$2:$M$2,0),0)</f>
        <v>7.0000000000000007E-2</v>
      </c>
      <c r="AF7320" s="6">
        <f t="shared" si="1131"/>
        <v>2734.0740000000001</v>
      </c>
      <c r="AG7320" s="14">
        <v>0</v>
      </c>
      <c r="AH7320" s="64">
        <f t="shared" si="1130"/>
        <v>39058.199999999997</v>
      </c>
      <c r="AJ7320" s="126" t="e">
        <v>#N/A</v>
      </c>
      <c r="AK7320" s="80">
        <f t="shared" si="1137"/>
        <v>0</v>
      </c>
      <c r="AL7320" s="85"/>
      <c r="AM7320" s="85"/>
    </row>
    <row r="7321" spans="1:39" s="86" customFormat="1" ht="13.25" hidden="1" customHeight="1" x14ac:dyDescent="0.3">
      <c r="A7321" s="89" t="s">
        <v>3978</v>
      </c>
      <c r="B7321" s="86" t="s">
        <v>35</v>
      </c>
      <c r="C7321" s="86" t="s">
        <v>164</v>
      </c>
      <c r="D7321" s="86" t="s">
        <v>174</v>
      </c>
      <c r="E7321" s="86" t="s">
        <v>4078</v>
      </c>
      <c r="F7321" s="86" t="s">
        <v>4078</v>
      </c>
      <c r="G7321" s="86" t="s">
        <v>4078</v>
      </c>
      <c r="H7321" s="144">
        <v>360</v>
      </c>
      <c r="I7321" s="86" t="s">
        <v>1060</v>
      </c>
      <c r="J7321" s="47" t="s">
        <v>3325</v>
      </c>
      <c r="K7321" s="47" t="s">
        <v>3767</v>
      </c>
      <c r="L7321" s="47" t="s">
        <v>35</v>
      </c>
      <c r="M7321" s="86" t="s">
        <v>4078</v>
      </c>
      <c r="O7321" s="47" t="s">
        <v>410</v>
      </c>
      <c r="P7321" s="47" t="s">
        <v>41</v>
      </c>
      <c r="Q7321" s="14">
        <v>0</v>
      </c>
      <c r="R7321" s="143" t="s">
        <v>4079</v>
      </c>
      <c r="S7321" s="47"/>
      <c r="T7321" s="6">
        <v>0</v>
      </c>
      <c r="U7321" s="6">
        <v>10000</v>
      </c>
      <c r="V7321" s="6">
        <v>9934.7000000000007</v>
      </c>
      <c r="W7321" s="6">
        <f t="shared" ref="W7321:W7384" si="1138">T7321+U7321-V7321</f>
        <v>65.299999999999272</v>
      </c>
      <c r="X7321" s="6">
        <f t="shared" si="1133"/>
        <v>9934.7000000000007</v>
      </c>
      <c r="Y7321" s="13">
        <f t="shared" si="1135"/>
        <v>0</v>
      </c>
      <c r="Z7321" s="66">
        <v>0</v>
      </c>
      <c r="AA7321" s="6">
        <v>0</v>
      </c>
      <c r="AB7321" s="4">
        <f t="shared" si="1136"/>
        <v>9934.7000000000007</v>
      </c>
      <c r="AC7321" s="6">
        <f t="shared" si="1134"/>
        <v>0</v>
      </c>
      <c r="AD7321" s="6">
        <f t="shared" ref="AD7321:AD7384" si="1139">V7321</f>
        <v>9934.7000000000007</v>
      </c>
      <c r="AE7321" s="14">
        <f>VLOOKUP(I7321,[2]媒体政策预估表!A:N,MATCH(O7321,[2]媒体政策预估表!$A$2:$M$2,0),0)</f>
        <v>7.0000000000000007E-2</v>
      </c>
      <c r="AF7321" s="6">
        <f t="shared" si="1131"/>
        <v>695.42900000000009</v>
      </c>
      <c r="AG7321" s="14">
        <v>0</v>
      </c>
      <c r="AH7321" s="64">
        <f t="shared" ref="AH7321:AH7384" si="1140">V7321</f>
        <v>9934.7000000000007</v>
      </c>
      <c r="AJ7321" s="126" t="e">
        <v>#N/A</v>
      </c>
      <c r="AK7321" s="80">
        <f t="shared" si="1137"/>
        <v>0</v>
      </c>
      <c r="AL7321" s="85"/>
      <c r="AM7321" s="85"/>
    </row>
    <row r="7322" spans="1:39" s="86" customFormat="1" ht="13.25" hidden="1" customHeight="1" x14ac:dyDescent="0.3">
      <c r="A7322" s="89" t="s">
        <v>3978</v>
      </c>
      <c r="B7322" s="86" t="s">
        <v>35</v>
      </c>
      <c r="C7322" s="86" t="s">
        <v>164</v>
      </c>
      <c r="D7322" s="86" t="s">
        <v>174</v>
      </c>
      <c r="E7322" s="86" t="s">
        <v>646</v>
      </c>
      <c r="F7322" s="86" t="s">
        <v>646</v>
      </c>
      <c r="G7322" s="86" t="s">
        <v>646</v>
      </c>
      <c r="H7322" s="144">
        <v>360</v>
      </c>
      <c r="I7322" s="86" t="s">
        <v>1060</v>
      </c>
      <c r="J7322" s="47" t="s">
        <v>3325</v>
      </c>
      <c r="K7322" s="47" t="s">
        <v>3767</v>
      </c>
      <c r="L7322" s="47" t="s">
        <v>35</v>
      </c>
      <c r="M7322" s="86" t="s">
        <v>646</v>
      </c>
      <c r="O7322" s="47" t="s">
        <v>410</v>
      </c>
      <c r="P7322" s="47" t="s">
        <v>41</v>
      </c>
      <c r="Q7322" s="14">
        <v>0</v>
      </c>
      <c r="R7322" s="143" t="s">
        <v>1616</v>
      </c>
      <c r="S7322" s="47"/>
      <c r="T7322" s="6">
        <v>26725.5</v>
      </c>
      <c r="U7322" s="6">
        <v>50000</v>
      </c>
      <c r="V7322" s="6">
        <v>28139.5</v>
      </c>
      <c r="W7322" s="6">
        <f t="shared" si="1138"/>
        <v>48586</v>
      </c>
      <c r="X7322" s="6">
        <f t="shared" si="1133"/>
        <v>28139.5</v>
      </c>
      <c r="Y7322" s="13">
        <f t="shared" si="1135"/>
        <v>0</v>
      </c>
      <c r="Z7322" s="66">
        <v>0</v>
      </c>
      <c r="AA7322" s="6">
        <v>0</v>
      </c>
      <c r="AB7322" s="4">
        <f t="shared" si="1136"/>
        <v>28139.5</v>
      </c>
      <c r="AC7322" s="6">
        <f t="shared" si="1134"/>
        <v>0</v>
      </c>
      <c r="AD7322" s="6">
        <f t="shared" si="1139"/>
        <v>28139.5</v>
      </c>
      <c r="AE7322" s="14">
        <f>VLOOKUP(I7322,[2]媒体政策预估表!A:N,MATCH(O7322,[2]媒体政策预估表!$A$2:$M$2,0),0)</f>
        <v>7.0000000000000007E-2</v>
      </c>
      <c r="AF7322" s="6">
        <f t="shared" si="1131"/>
        <v>1969.7650000000001</v>
      </c>
      <c r="AG7322" s="14">
        <v>0</v>
      </c>
      <c r="AH7322" s="64">
        <f t="shared" si="1140"/>
        <v>28139.5</v>
      </c>
      <c r="AJ7322" s="126" t="e">
        <v>#N/A</v>
      </c>
      <c r="AK7322" s="80">
        <f t="shared" si="1137"/>
        <v>0</v>
      </c>
      <c r="AL7322" s="85"/>
      <c r="AM7322" s="85"/>
    </row>
    <row r="7323" spans="1:39" s="86" customFormat="1" ht="13.25" hidden="1" customHeight="1" x14ac:dyDescent="0.3">
      <c r="A7323" s="89" t="s">
        <v>3978</v>
      </c>
      <c r="B7323" s="86" t="s">
        <v>35</v>
      </c>
      <c r="C7323" s="86" t="s">
        <v>164</v>
      </c>
      <c r="D7323" s="86" t="s">
        <v>174</v>
      </c>
      <c r="E7323" s="86" t="s">
        <v>1617</v>
      </c>
      <c r="F7323" s="86" t="s">
        <v>1617</v>
      </c>
      <c r="G7323" s="86" t="s">
        <v>1617</v>
      </c>
      <c r="H7323" s="144">
        <v>360</v>
      </c>
      <c r="I7323" s="86" t="s">
        <v>1060</v>
      </c>
      <c r="J7323" s="47" t="s">
        <v>3325</v>
      </c>
      <c r="K7323" s="47" t="s">
        <v>3767</v>
      </c>
      <c r="L7323" s="47" t="s">
        <v>35</v>
      </c>
      <c r="M7323" s="86" t="s">
        <v>1617</v>
      </c>
      <c r="O7323" s="47" t="s">
        <v>45</v>
      </c>
      <c r="P7323" s="47" t="s">
        <v>46</v>
      </c>
      <c r="Q7323" s="14">
        <v>0.01</v>
      </c>
      <c r="R7323" s="143" t="s">
        <v>1618</v>
      </c>
      <c r="S7323" s="47"/>
      <c r="T7323" s="6">
        <v>243081.61856000003</v>
      </c>
      <c r="U7323" s="6">
        <v>100000</v>
      </c>
      <c r="V7323" s="6">
        <v>71227.074110000001</v>
      </c>
      <c r="W7323" s="6">
        <f t="shared" si="1138"/>
        <v>271854.54445000004</v>
      </c>
      <c r="X7323" s="6">
        <f t="shared" si="1133"/>
        <v>70521.85555445544</v>
      </c>
      <c r="Y7323" s="13">
        <f t="shared" si="1135"/>
        <v>0</v>
      </c>
      <c r="Z7323" s="66">
        <v>0</v>
      </c>
      <c r="AA7323" s="6">
        <v>0</v>
      </c>
      <c r="AB7323" s="4">
        <f t="shared" si="1136"/>
        <v>70521.85555445544</v>
      </c>
      <c r="AC7323" s="6">
        <f t="shared" si="1134"/>
        <v>705.21855554456124</v>
      </c>
      <c r="AD7323" s="6">
        <f t="shared" si="1139"/>
        <v>71227.074110000001</v>
      </c>
      <c r="AE7323" s="14">
        <f>VLOOKUP(I7323,[2]媒体政策预估表!A:N,MATCH(O7323,[2]媒体政策预估表!$A$2:$M$2,0),0)</f>
        <v>0.1</v>
      </c>
      <c r="AF7323" s="6">
        <f t="shared" si="1131"/>
        <v>7122.7074110000003</v>
      </c>
      <c r="AG7323" s="14">
        <v>0</v>
      </c>
      <c r="AH7323" s="64">
        <f t="shared" si="1140"/>
        <v>71227.074110000001</v>
      </c>
      <c r="AJ7323" s="126" t="e">
        <v>#N/A</v>
      </c>
      <c r="AK7323" s="80">
        <f t="shared" si="1137"/>
        <v>0</v>
      </c>
      <c r="AL7323" s="85"/>
      <c r="AM7323" s="85"/>
    </row>
    <row r="7324" spans="1:39" s="86" customFormat="1" ht="13.25" hidden="1" customHeight="1" x14ac:dyDescent="0.3">
      <c r="A7324" s="89" t="s">
        <v>3978</v>
      </c>
      <c r="B7324" s="86" t="s">
        <v>35</v>
      </c>
      <c r="C7324" s="86" t="s">
        <v>164</v>
      </c>
      <c r="D7324" s="86" t="s">
        <v>174</v>
      </c>
      <c r="E7324" s="86" t="s">
        <v>1617</v>
      </c>
      <c r="F7324" s="86" t="s">
        <v>1617</v>
      </c>
      <c r="G7324" s="86" t="s">
        <v>1617</v>
      </c>
      <c r="H7324" s="144">
        <v>360</v>
      </c>
      <c r="I7324" s="86" t="s">
        <v>1060</v>
      </c>
      <c r="J7324" s="47" t="s">
        <v>3325</v>
      </c>
      <c r="K7324" s="47" t="s">
        <v>3767</v>
      </c>
      <c r="L7324" s="47" t="s">
        <v>35</v>
      </c>
      <c r="M7324" s="86" t="s">
        <v>1617</v>
      </c>
      <c r="O7324" s="47" t="s">
        <v>45</v>
      </c>
      <c r="P7324" s="47" t="s">
        <v>46</v>
      </c>
      <c r="Q7324" s="14">
        <v>0.01</v>
      </c>
      <c r="R7324" s="143" t="s">
        <v>1619</v>
      </c>
      <c r="S7324" s="47"/>
      <c r="T7324" s="6">
        <v>799036.7885299999</v>
      </c>
      <c r="U7324" s="6">
        <v>100000</v>
      </c>
      <c r="V7324" s="6">
        <v>9711.8921599999994</v>
      </c>
      <c r="W7324" s="6">
        <f t="shared" si="1138"/>
        <v>889324.89636999986</v>
      </c>
      <c r="X7324" s="6">
        <f t="shared" si="1133"/>
        <v>9615.7348118811879</v>
      </c>
      <c r="Y7324" s="13">
        <f t="shared" si="1135"/>
        <v>0</v>
      </c>
      <c r="Z7324" s="66">
        <v>0</v>
      </c>
      <c r="AA7324" s="6">
        <v>0</v>
      </c>
      <c r="AB7324" s="4">
        <f t="shared" si="1136"/>
        <v>9615.7348118811879</v>
      </c>
      <c r="AC7324" s="6">
        <f t="shared" si="1134"/>
        <v>96.157348118811569</v>
      </c>
      <c r="AD7324" s="6">
        <f t="shared" si="1139"/>
        <v>9711.8921599999994</v>
      </c>
      <c r="AE7324" s="14">
        <f>VLOOKUP(I7324,[2]媒体政策预估表!A:N,MATCH(O7324,[2]媒体政策预估表!$A$2:$M$2,0),0)</f>
        <v>0.1</v>
      </c>
      <c r="AF7324" s="6">
        <f t="shared" si="1131"/>
        <v>971.18921599999999</v>
      </c>
      <c r="AG7324" s="14">
        <v>0</v>
      </c>
      <c r="AH7324" s="64">
        <f t="shared" si="1140"/>
        <v>9711.8921599999994</v>
      </c>
      <c r="AJ7324" s="126" t="e">
        <v>#N/A</v>
      </c>
      <c r="AK7324" s="80">
        <f t="shared" si="1137"/>
        <v>0</v>
      </c>
      <c r="AL7324" s="85"/>
      <c r="AM7324" s="85"/>
    </row>
    <row r="7325" spans="1:39" s="86" customFormat="1" ht="13.25" hidden="1" customHeight="1" x14ac:dyDescent="0.3">
      <c r="A7325" s="89" t="s">
        <v>3978</v>
      </c>
      <c r="B7325" s="86" t="s">
        <v>35</v>
      </c>
      <c r="C7325" s="86" t="s">
        <v>164</v>
      </c>
      <c r="D7325" s="86" t="s">
        <v>174</v>
      </c>
      <c r="E7325" s="86" t="s">
        <v>1617</v>
      </c>
      <c r="F7325" s="86" t="s">
        <v>1617</v>
      </c>
      <c r="G7325" s="86" t="s">
        <v>1617</v>
      </c>
      <c r="H7325" s="144">
        <v>360</v>
      </c>
      <c r="I7325" s="86" t="s">
        <v>1060</v>
      </c>
      <c r="J7325" s="47" t="s">
        <v>3325</v>
      </c>
      <c r="K7325" s="47" t="s">
        <v>3767</v>
      </c>
      <c r="L7325" s="47" t="s">
        <v>35</v>
      </c>
      <c r="M7325" s="86" t="s">
        <v>1617</v>
      </c>
      <c r="O7325" s="47" t="s">
        <v>45</v>
      </c>
      <c r="P7325" s="47" t="s">
        <v>46</v>
      </c>
      <c r="Q7325" s="14">
        <v>0.01</v>
      </c>
      <c r="R7325" s="143" t="s">
        <v>1620</v>
      </c>
      <c r="S7325" s="47"/>
      <c r="T7325" s="6">
        <v>289715.71581000002</v>
      </c>
      <c r="U7325" s="6">
        <v>70000</v>
      </c>
      <c r="V7325" s="6">
        <v>19795.563559999999</v>
      </c>
      <c r="W7325" s="6">
        <f t="shared" si="1138"/>
        <v>339920.15225000004</v>
      </c>
      <c r="X7325" s="6">
        <f t="shared" si="1133"/>
        <v>19599.567881188119</v>
      </c>
      <c r="Y7325" s="13">
        <f t="shared" si="1135"/>
        <v>0</v>
      </c>
      <c r="Z7325" s="66">
        <v>0</v>
      </c>
      <c r="AA7325" s="6">
        <v>0</v>
      </c>
      <c r="AB7325" s="4">
        <f t="shared" si="1136"/>
        <v>19599.567881188119</v>
      </c>
      <c r="AC7325" s="6">
        <f t="shared" si="1134"/>
        <v>195.99567881187977</v>
      </c>
      <c r="AD7325" s="6">
        <f t="shared" si="1139"/>
        <v>19795.563559999999</v>
      </c>
      <c r="AE7325" s="14">
        <f>VLOOKUP(I7325,[2]媒体政策预估表!A:N,MATCH(O7325,[2]媒体政策预估表!$A$2:$M$2,0),0)</f>
        <v>0.1</v>
      </c>
      <c r="AF7325" s="6">
        <f t="shared" si="1131"/>
        <v>1979.5563560000001</v>
      </c>
      <c r="AG7325" s="14">
        <v>0</v>
      </c>
      <c r="AH7325" s="64">
        <f t="shared" si="1140"/>
        <v>19795.563559999999</v>
      </c>
      <c r="AJ7325" s="126" t="e">
        <v>#N/A</v>
      </c>
      <c r="AK7325" s="80">
        <f t="shared" si="1137"/>
        <v>0</v>
      </c>
      <c r="AL7325" s="85"/>
      <c r="AM7325" s="85"/>
    </row>
    <row r="7326" spans="1:39" s="86" customFormat="1" ht="13.25" hidden="1" customHeight="1" x14ac:dyDescent="0.3">
      <c r="A7326" s="89" t="s">
        <v>3978</v>
      </c>
      <c r="B7326" s="86" t="s">
        <v>35</v>
      </c>
      <c r="C7326" s="86" t="s">
        <v>164</v>
      </c>
      <c r="D7326" s="86" t="s">
        <v>174</v>
      </c>
      <c r="E7326" s="86" t="s">
        <v>1617</v>
      </c>
      <c r="F7326" s="86" t="s">
        <v>1617</v>
      </c>
      <c r="G7326" s="86" t="s">
        <v>1617</v>
      </c>
      <c r="H7326" s="144">
        <v>360</v>
      </c>
      <c r="I7326" s="86" t="s">
        <v>1060</v>
      </c>
      <c r="J7326" s="47" t="s">
        <v>3325</v>
      </c>
      <c r="K7326" s="47" t="s">
        <v>3767</v>
      </c>
      <c r="L7326" s="47" t="s">
        <v>35</v>
      </c>
      <c r="M7326" s="86" t="s">
        <v>1617</v>
      </c>
      <c r="O7326" s="47" t="s">
        <v>45</v>
      </c>
      <c r="P7326" s="47" t="s">
        <v>46</v>
      </c>
      <c r="Q7326" s="14">
        <v>0.01</v>
      </c>
      <c r="R7326" s="143" t="s">
        <v>1621</v>
      </c>
      <c r="S7326" s="47"/>
      <c r="T7326" s="6">
        <v>23684.943940000001</v>
      </c>
      <c r="U7326" s="6">
        <v>50000</v>
      </c>
      <c r="V7326" s="6">
        <v>45612.637089999997</v>
      </c>
      <c r="W7326" s="6">
        <f t="shared" si="1138"/>
        <v>28072.306850000001</v>
      </c>
      <c r="X7326" s="6">
        <f t="shared" si="1133"/>
        <v>45161.026821782172</v>
      </c>
      <c r="Y7326" s="13">
        <f t="shared" si="1135"/>
        <v>0</v>
      </c>
      <c r="Z7326" s="66">
        <v>0</v>
      </c>
      <c r="AA7326" s="6">
        <v>0</v>
      </c>
      <c r="AB7326" s="4">
        <f t="shared" si="1136"/>
        <v>45161.026821782172</v>
      </c>
      <c r="AC7326" s="6">
        <f t="shared" si="1134"/>
        <v>451.61026821782434</v>
      </c>
      <c r="AD7326" s="6">
        <f t="shared" si="1139"/>
        <v>45612.637089999997</v>
      </c>
      <c r="AE7326" s="14">
        <f>VLOOKUP(I7326,[2]媒体政策预估表!A:N,MATCH(O7326,[2]媒体政策预估表!$A$2:$M$2,0),0)</f>
        <v>0.1</v>
      </c>
      <c r="AF7326" s="6">
        <f t="shared" si="1131"/>
        <v>4561.2637089999998</v>
      </c>
      <c r="AG7326" s="14">
        <v>0</v>
      </c>
      <c r="AH7326" s="64">
        <f t="shared" si="1140"/>
        <v>45612.637089999997</v>
      </c>
      <c r="AJ7326" s="126" t="e">
        <v>#N/A</v>
      </c>
      <c r="AK7326" s="80">
        <f t="shared" si="1137"/>
        <v>0</v>
      </c>
      <c r="AL7326" s="85"/>
      <c r="AM7326" s="85"/>
    </row>
    <row r="7327" spans="1:39" s="86" customFormat="1" ht="13.25" hidden="1" customHeight="1" x14ac:dyDescent="0.3">
      <c r="A7327" s="89" t="s">
        <v>3978</v>
      </c>
      <c r="B7327" s="86" t="s">
        <v>35</v>
      </c>
      <c r="C7327" s="86" t="s">
        <v>164</v>
      </c>
      <c r="D7327" s="86" t="s">
        <v>174</v>
      </c>
      <c r="E7327" s="86" t="s">
        <v>1617</v>
      </c>
      <c r="F7327" s="86" t="s">
        <v>1617</v>
      </c>
      <c r="G7327" s="86" t="s">
        <v>1617</v>
      </c>
      <c r="H7327" s="144">
        <v>360</v>
      </c>
      <c r="I7327" s="86" t="s">
        <v>1060</v>
      </c>
      <c r="J7327" s="47" t="s">
        <v>3325</v>
      </c>
      <c r="K7327" s="47" t="s">
        <v>3767</v>
      </c>
      <c r="L7327" s="47" t="s">
        <v>35</v>
      </c>
      <c r="M7327" s="86" t="s">
        <v>1617</v>
      </c>
      <c r="O7327" s="47" t="s">
        <v>45</v>
      </c>
      <c r="P7327" s="47" t="s">
        <v>46</v>
      </c>
      <c r="Q7327" s="14">
        <v>0.01</v>
      </c>
      <c r="R7327" s="143" t="s">
        <v>1622</v>
      </c>
      <c r="S7327" s="47"/>
      <c r="T7327" s="6">
        <v>134157.08465</v>
      </c>
      <c r="U7327" s="6">
        <v>50000</v>
      </c>
      <c r="V7327" s="6">
        <v>1076.5068900000001</v>
      </c>
      <c r="W7327" s="6">
        <f t="shared" si="1138"/>
        <v>183080.57776000001</v>
      </c>
      <c r="X7327" s="6">
        <f t="shared" si="1133"/>
        <v>1065.8484059405941</v>
      </c>
      <c r="Y7327" s="13">
        <f t="shared" si="1135"/>
        <v>0</v>
      </c>
      <c r="Z7327" s="66">
        <v>0</v>
      </c>
      <c r="AA7327" s="6">
        <v>0</v>
      </c>
      <c r="AB7327" s="4">
        <f t="shared" si="1136"/>
        <v>1065.8484059405941</v>
      </c>
      <c r="AC7327" s="6">
        <f t="shared" si="1134"/>
        <v>10.658484059405964</v>
      </c>
      <c r="AD7327" s="6">
        <f t="shared" si="1139"/>
        <v>1076.5068900000001</v>
      </c>
      <c r="AE7327" s="14">
        <f>VLOOKUP(I7327,[2]媒体政策预估表!A:N,MATCH(O7327,[2]媒体政策预估表!$A$2:$M$2,0),0)</f>
        <v>0.1</v>
      </c>
      <c r="AF7327" s="6">
        <f t="shared" si="1131"/>
        <v>107.65068900000001</v>
      </c>
      <c r="AG7327" s="14">
        <v>0</v>
      </c>
      <c r="AH7327" s="64">
        <f t="shared" si="1140"/>
        <v>1076.5068900000001</v>
      </c>
      <c r="AJ7327" s="126" t="e">
        <v>#N/A</v>
      </c>
      <c r="AK7327" s="80">
        <f t="shared" si="1137"/>
        <v>0</v>
      </c>
      <c r="AL7327" s="85"/>
      <c r="AM7327" s="85"/>
    </row>
    <row r="7328" spans="1:39" s="86" customFormat="1" ht="13.25" hidden="1" customHeight="1" x14ac:dyDescent="0.3">
      <c r="A7328" s="89" t="s">
        <v>3978</v>
      </c>
      <c r="B7328" s="86" t="s">
        <v>35</v>
      </c>
      <c r="C7328" s="86" t="s">
        <v>164</v>
      </c>
      <c r="D7328" s="86" t="s">
        <v>174</v>
      </c>
      <c r="E7328" s="86" t="s">
        <v>1617</v>
      </c>
      <c r="F7328" s="86" t="s">
        <v>1617</v>
      </c>
      <c r="G7328" s="86" t="s">
        <v>1617</v>
      </c>
      <c r="H7328" s="144">
        <v>360</v>
      </c>
      <c r="I7328" s="86" t="s">
        <v>1060</v>
      </c>
      <c r="J7328" s="47" t="s">
        <v>3325</v>
      </c>
      <c r="K7328" s="47" t="s">
        <v>3767</v>
      </c>
      <c r="L7328" s="47" t="s">
        <v>35</v>
      </c>
      <c r="M7328" s="86" t="s">
        <v>1617</v>
      </c>
      <c r="O7328" s="47" t="s">
        <v>410</v>
      </c>
      <c r="P7328" s="47" t="s">
        <v>41</v>
      </c>
      <c r="Q7328" s="14">
        <v>0</v>
      </c>
      <c r="R7328" s="143" t="s">
        <v>1623</v>
      </c>
      <c r="S7328" s="47"/>
      <c r="T7328" s="6">
        <v>2146152.3859100016</v>
      </c>
      <c r="U7328" s="6">
        <v>6200000</v>
      </c>
      <c r="V7328" s="6">
        <v>6037870.3398799999</v>
      </c>
      <c r="W7328" s="6">
        <f t="shared" si="1138"/>
        <v>2308282.0460300017</v>
      </c>
      <c r="X7328" s="6">
        <f t="shared" si="1133"/>
        <v>6037870.3398799999</v>
      </c>
      <c r="Y7328" s="13">
        <f t="shared" si="1135"/>
        <v>0</v>
      </c>
      <c r="Z7328" s="66">
        <v>0</v>
      </c>
      <c r="AA7328" s="6">
        <v>0</v>
      </c>
      <c r="AB7328" s="4">
        <f t="shared" si="1136"/>
        <v>6037870.3398799999</v>
      </c>
      <c r="AC7328" s="6">
        <f t="shared" si="1134"/>
        <v>0</v>
      </c>
      <c r="AD7328" s="6">
        <f t="shared" si="1139"/>
        <v>6037870.3398799999</v>
      </c>
      <c r="AE7328" s="14">
        <f>VLOOKUP(I7328,[2]媒体政策预估表!A:N,MATCH(O7328,[2]媒体政策预估表!$A$2:$M$2,0),0)</f>
        <v>7.0000000000000007E-2</v>
      </c>
      <c r="AF7328" s="6">
        <f t="shared" si="1131"/>
        <v>422650.92379160004</v>
      </c>
      <c r="AG7328" s="14">
        <v>0</v>
      </c>
      <c r="AH7328" s="64">
        <f t="shared" si="1140"/>
        <v>6037870.3398799999</v>
      </c>
      <c r="AJ7328" s="126" t="e">
        <v>#N/A</v>
      </c>
      <c r="AK7328" s="80">
        <f t="shared" si="1137"/>
        <v>0</v>
      </c>
      <c r="AL7328" s="85"/>
      <c r="AM7328" s="85"/>
    </row>
    <row r="7329" spans="1:39" s="86" customFormat="1" ht="13.25" hidden="1" customHeight="1" x14ac:dyDescent="0.3">
      <c r="A7329" s="89" t="s">
        <v>3978</v>
      </c>
      <c r="B7329" s="86" t="s">
        <v>35</v>
      </c>
      <c r="C7329" s="86" t="s">
        <v>164</v>
      </c>
      <c r="D7329" s="86" t="s">
        <v>174</v>
      </c>
      <c r="E7329" s="86" t="s">
        <v>1624</v>
      </c>
      <c r="F7329" s="86" t="s">
        <v>1624</v>
      </c>
      <c r="G7329" s="86" t="s">
        <v>1624</v>
      </c>
      <c r="H7329" s="144">
        <v>360</v>
      </c>
      <c r="I7329" s="86" t="s">
        <v>1060</v>
      </c>
      <c r="J7329" s="47" t="s">
        <v>3325</v>
      </c>
      <c r="K7329" s="47" t="s">
        <v>3767</v>
      </c>
      <c r="L7329" s="47" t="s">
        <v>35</v>
      </c>
      <c r="M7329" s="86" t="s">
        <v>1625</v>
      </c>
      <c r="O7329" s="47" t="s">
        <v>410</v>
      </c>
      <c r="P7329" s="47" t="s">
        <v>41</v>
      </c>
      <c r="Q7329" s="14">
        <v>0</v>
      </c>
      <c r="R7329" s="143" t="s">
        <v>1626</v>
      </c>
      <c r="S7329" s="47"/>
      <c r="T7329" s="6">
        <v>57793</v>
      </c>
      <c r="U7329" s="6">
        <v>200000</v>
      </c>
      <c r="V7329" s="6">
        <v>198539.3</v>
      </c>
      <c r="W7329" s="6">
        <f t="shared" si="1138"/>
        <v>59253.700000000012</v>
      </c>
      <c r="X7329" s="6">
        <f t="shared" si="1133"/>
        <v>198539.3</v>
      </c>
      <c r="Y7329" s="13">
        <f t="shared" si="1135"/>
        <v>0</v>
      </c>
      <c r="Z7329" s="66">
        <v>0</v>
      </c>
      <c r="AA7329" s="6">
        <v>0</v>
      </c>
      <c r="AB7329" s="4">
        <f t="shared" si="1136"/>
        <v>198539.3</v>
      </c>
      <c r="AC7329" s="6">
        <f t="shared" si="1134"/>
        <v>0</v>
      </c>
      <c r="AD7329" s="6">
        <f t="shared" si="1139"/>
        <v>198539.3</v>
      </c>
      <c r="AE7329" s="14">
        <f>VLOOKUP(I7329,[2]媒体政策预估表!A:N,MATCH(O7329,[2]媒体政策预估表!$A$2:$M$2,0),0)</f>
        <v>7.0000000000000007E-2</v>
      </c>
      <c r="AF7329" s="6">
        <f t="shared" si="1131"/>
        <v>13897.751</v>
      </c>
      <c r="AG7329" s="14">
        <v>0</v>
      </c>
      <c r="AH7329" s="64">
        <f t="shared" si="1140"/>
        <v>198539.3</v>
      </c>
      <c r="AJ7329" s="126" t="e">
        <v>#N/A</v>
      </c>
      <c r="AK7329" s="80">
        <f t="shared" si="1137"/>
        <v>0</v>
      </c>
      <c r="AL7329" s="85"/>
      <c r="AM7329" s="85"/>
    </row>
    <row r="7330" spans="1:39" s="86" customFormat="1" ht="13.25" hidden="1" customHeight="1" x14ac:dyDescent="0.3">
      <c r="A7330" s="89" t="s">
        <v>3978</v>
      </c>
      <c r="B7330" s="86" t="s">
        <v>35</v>
      </c>
      <c r="C7330" s="86" t="s">
        <v>164</v>
      </c>
      <c r="D7330" s="86" t="s">
        <v>174</v>
      </c>
      <c r="E7330" s="86" t="s">
        <v>1624</v>
      </c>
      <c r="F7330" s="86" t="s">
        <v>1624</v>
      </c>
      <c r="G7330" s="86" t="s">
        <v>1624</v>
      </c>
      <c r="H7330" s="144">
        <v>360</v>
      </c>
      <c r="I7330" s="86" t="s">
        <v>1060</v>
      </c>
      <c r="J7330" s="47" t="s">
        <v>3325</v>
      </c>
      <c r="K7330" s="47" t="s">
        <v>3767</v>
      </c>
      <c r="L7330" s="47" t="s">
        <v>35</v>
      </c>
      <c r="M7330" s="86" t="s">
        <v>1624</v>
      </c>
      <c r="O7330" s="47" t="s">
        <v>410</v>
      </c>
      <c r="P7330" s="47" t="s">
        <v>41</v>
      </c>
      <c r="Q7330" s="14">
        <v>0</v>
      </c>
      <c r="R7330" s="143" t="s">
        <v>1627</v>
      </c>
      <c r="S7330" s="47"/>
      <c r="T7330" s="6">
        <v>95077.590000000026</v>
      </c>
      <c r="U7330" s="6">
        <v>200000</v>
      </c>
      <c r="V7330" s="6">
        <v>193667.9</v>
      </c>
      <c r="W7330" s="6">
        <f t="shared" si="1138"/>
        <v>101409.69000000003</v>
      </c>
      <c r="X7330" s="6">
        <f t="shared" si="1133"/>
        <v>193667.9</v>
      </c>
      <c r="Y7330" s="13">
        <f t="shared" si="1135"/>
        <v>0</v>
      </c>
      <c r="Z7330" s="66">
        <v>0</v>
      </c>
      <c r="AA7330" s="6">
        <v>0</v>
      </c>
      <c r="AB7330" s="4">
        <f t="shared" si="1136"/>
        <v>193667.9</v>
      </c>
      <c r="AC7330" s="6">
        <f t="shared" si="1134"/>
        <v>0</v>
      </c>
      <c r="AD7330" s="6">
        <f t="shared" si="1139"/>
        <v>193667.9</v>
      </c>
      <c r="AE7330" s="14">
        <f>VLOOKUP(I7330,[2]媒体政策预估表!A:N,MATCH(O7330,[2]媒体政策预估表!$A$2:$M$2,0),0)</f>
        <v>7.0000000000000007E-2</v>
      </c>
      <c r="AF7330" s="6">
        <f t="shared" si="1131"/>
        <v>13556.753000000001</v>
      </c>
      <c r="AG7330" s="14">
        <v>0</v>
      </c>
      <c r="AH7330" s="64">
        <f t="shared" si="1140"/>
        <v>193667.9</v>
      </c>
      <c r="AJ7330" s="126" t="e">
        <v>#N/A</v>
      </c>
      <c r="AK7330" s="80">
        <f t="shared" si="1137"/>
        <v>0</v>
      </c>
      <c r="AL7330" s="85"/>
      <c r="AM7330" s="85"/>
    </row>
    <row r="7331" spans="1:39" s="86" customFormat="1" ht="13.25" hidden="1" customHeight="1" x14ac:dyDescent="0.3">
      <c r="A7331" s="89" t="s">
        <v>3978</v>
      </c>
      <c r="B7331" s="86" t="s">
        <v>35</v>
      </c>
      <c r="C7331" s="86" t="s">
        <v>164</v>
      </c>
      <c r="D7331" s="86" t="s">
        <v>174</v>
      </c>
      <c r="E7331" s="86" t="s">
        <v>4080</v>
      </c>
      <c r="F7331" s="86" t="s">
        <v>4080</v>
      </c>
      <c r="G7331" s="86" t="s">
        <v>4080</v>
      </c>
      <c r="H7331" s="144">
        <v>360</v>
      </c>
      <c r="I7331" s="86" t="s">
        <v>1060</v>
      </c>
      <c r="J7331" s="47" t="s">
        <v>3325</v>
      </c>
      <c r="K7331" s="47" t="s">
        <v>3767</v>
      </c>
      <c r="L7331" s="47" t="s">
        <v>35</v>
      </c>
      <c r="M7331" s="86" t="s">
        <v>2023</v>
      </c>
      <c r="O7331" s="47" t="s">
        <v>410</v>
      </c>
      <c r="P7331" s="47" t="s">
        <v>41</v>
      </c>
      <c r="Q7331" s="14">
        <v>0</v>
      </c>
      <c r="R7331" s="143" t="s">
        <v>2024</v>
      </c>
      <c r="S7331" s="47"/>
      <c r="T7331" s="6">
        <v>0</v>
      </c>
      <c r="U7331" s="6">
        <v>30000</v>
      </c>
      <c r="V7331" s="6">
        <v>11244.999999999995</v>
      </c>
      <c r="W7331" s="6">
        <f t="shared" si="1138"/>
        <v>18755.000000000007</v>
      </c>
      <c r="X7331" s="6">
        <f t="shared" si="1133"/>
        <v>11244.999999999995</v>
      </c>
      <c r="Y7331" s="13">
        <f t="shared" si="1135"/>
        <v>0</v>
      </c>
      <c r="Z7331" s="66">
        <v>0</v>
      </c>
      <c r="AA7331" s="6">
        <v>0</v>
      </c>
      <c r="AB7331" s="4">
        <f t="shared" si="1136"/>
        <v>11244.999999999995</v>
      </c>
      <c r="AC7331" s="6">
        <f t="shared" si="1134"/>
        <v>0</v>
      </c>
      <c r="AD7331" s="6">
        <f t="shared" si="1139"/>
        <v>11244.999999999995</v>
      </c>
      <c r="AE7331" s="14">
        <f>VLOOKUP(I7331,[2]媒体政策预估表!A:N,MATCH(O7331,[2]媒体政策预估表!$A$2:$M$2,0),0)</f>
        <v>7.0000000000000007E-2</v>
      </c>
      <c r="AF7331" s="6">
        <f t="shared" si="1131"/>
        <v>787.14999999999964</v>
      </c>
      <c r="AG7331" s="14">
        <v>0</v>
      </c>
      <c r="AH7331" s="64">
        <f t="shared" si="1140"/>
        <v>11244.999999999995</v>
      </c>
      <c r="AJ7331" s="126" t="e">
        <v>#N/A</v>
      </c>
      <c r="AK7331" s="80">
        <f t="shared" si="1137"/>
        <v>0</v>
      </c>
      <c r="AL7331" s="85"/>
      <c r="AM7331" s="85"/>
    </row>
    <row r="7332" spans="1:39" s="86" customFormat="1" ht="13.25" hidden="1" customHeight="1" x14ac:dyDescent="0.3">
      <c r="A7332" s="89" t="s">
        <v>3978</v>
      </c>
      <c r="B7332" s="86" t="s">
        <v>35</v>
      </c>
      <c r="C7332" s="86" t="s">
        <v>164</v>
      </c>
      <c r="D7332" s="86" t="s">
        <v>174</v>
      </c>
      <c r="E7332" s="86" t="s">
        <v>1642</v>
      </c>
      <c r="F7332" s="86" t="s">
        <v>1642</v>
      </c>
      <c r="G7332" s="86" t="s">
        <v>1642</v>
      </c>
      <c r="H7332" s="144">
        <v>360</v>
      </c>
      <c r="I7332" s="86" t="s">
        <v>1060</v>
      </c>
      <c r="J7332" s="47" t="s">
        <v>3325</v>
      </c>
      <c r="K7332" s="47" t="s">
        <v>3767</v>
      </c>
      <c r="L7332" s="47" t="s">
        <v>35</v>
      </c>
      <c r="M7332" s="86" t="s">
        <v>1644</v>
      </c>
      <c r="O7332" s="47" t="s">
        <v>410</v>
      </c>
      <c r="P7332" s="47" t="s">
        <v>46</v>
      </c>
      <c r="Q7332" s="14">
        <v>0.02</v>
      </c>
      <c r="R7332" s="143" t="s">
        <v>1645</v>
      </c>
      <c r="S7332" s="47"/>
      <c r="T7332" s="6">
        <v>279963.31</v>
      </c>
      <c r="U7332" s="6">
        <v>116064.2</v>
      </c>
      <c r="V7332" s="6">
        <v>270936.8</v>
      </c>
      <c r="W7332" s="6">
        <f t="shared" si="1138"/>
        <v>125090.71000000002</v>
      </c>
      <c r="X7332" s="6">
        <f t="shared" si="1133"/>
        <v>265624.31372549018</v>
      </c>
      <c r="Y7332" s="13">
        <f t="shared" si="1135"/>
        <v>0</v>
      </c>
      <c r="Z7332" s="66">
        <v>0</v>
      </c>
      <c r="AA7332" s="6">
        <v>0</v>
      </c>
      <c r="AB7332" s="4">
        <f t="shared" si="1136"/>
        <v>265624.31372549018</v>
      </c>
      <c r="AC7332" s="6">
        <f t="shared" si="1134"/>
        <v>5312.4862745098071</v>
      </c>
      <c r="AD7332" s="6">
        <f t="shared" si="1139"/>
        <v>270936.8</v>
      </c>
      <c r="AE7332" s="14">
        <f>VLOOKUP(I7332,[2]媒体政策预估表!A:N,MATCH(O7332,[2]媒体政策预估表!$A$2:$M$2,0),0)</f>
        <v>7.0000000000000007E-2</v>
      </c>
      <c r="AF7332" s="6">
        <f t="shared" ref="AF7332:AF7395" si="1141">AD7332*AE7332</f>
        <v>18965.576000000001</v>
      </c>
      <c r="AG7332" s="14">
        <v>0</v>
      </c>
      <c r="AH7332" s="64">
        <f t="shared" si="1140"/>
        <v>270936.8</v>
      </c>
      <c r="AJ7332" s="126" t="e">
        <v>#N/A</v>
      </c>
      <c r="AK7332" s="80">
        <f t="shared" si="1137"/>
        <v>0</v>
      </c>
      <c r="AL7332" s="85"/>
      <c r="AM7332" s="85"/>
    </row>
    <row r="7333" spans="1:39" s="86" customFormat="1" ht="13.25" hidden="1" customHeight="1" x14ac:dyDescent="0.3">
      <c r="A7333" s="89" t="s">
        <v>3978</v>
      </c>
      <c r="B7333" s="86" t="s">
        <v>35</v>
      </c>
      <c r="C7333" s="86" t="s">
        <v>164</v>
      </c>
      <c r="D7333" s="86" t="s">
        <v>174</v>
      </c>
      <c r="E7333" s="86" t="s">
        <v>1642</v>
      </c>
      <c r="F7333" s="86" t="s">
        <v>1642</v>
      </c>
      <c r="G7333" s="86" t="s">
        <v>1642</v>
      </c>
      <c r="H7333" s="144">
        <v>360</v>
      </c>
      <c r="I7333" s="86" t="s">
        <v>1060</v>
      </c>
      <c r="J7333" s="47" t="s">
        <v>3325</v>
      </c>
      <c r="K7333" s="47" t="s">
        <v>3767</v>
      </c>
      <c r="L7333" s="47" t="s">
        <v>35</v>
      </c>
      <c r="M7333" s="86" t="s">
        <v>1997</v>
      </c>
      <c r="O7333" s="47" t="s">
        <v>410</v>
      </c>
      <c r="P7333" s="47" t="s">
        <v>46</v>
      </c>
      <c r="Q7333" s="14">
        <v>0.02</v>
      </c>
      <c r="R7333" s="143" t="s">
        <v>1998</v>
      </c>
      <c r="S7333" s="47"/>
      <c r="T7333" s="6">
        <v>0</v>
      </c>
      <c r="U7333" s="6">
        <v>-16064.2</v>
      </c>
      <c r="V7333" s="6">
        <v>-16064.2</v>
      </c>
      <c r="W7333" s="6">
        <f t="shared" si="1138"/>
        <v>0</v>
      </c>
      <c r="X7333" s="6">
        <f t="shared" si="1133"/>
        <v>-15749.215686274511</v>
      </c>
      <c r="Y7333" s="13">
        <f t="shared" si="1135"/>
        <v>314.98431372549021</v>
      </c>
      <c r="Z7333" s="66">
        <v>0</v>
      </c>
      <c r="AA7333" s="6">
        <v>0</v>
      </c>
      <c r="AB7333" s="4">
        <f t="shared" si="1136"/>
        <v>-15749.215686274511</v>
      </c>
      <c r="AC7333" s="6">
        <f t="shared" si="1134"/>
        <v>-314.98431372549021</v>
      </c>
      <c r="AD7333" s="6">
        <f t="shared" si="1139"/>
        <v>-16064.2</v>
      </c>
      <c r="AE7333" s="14">
        <f>VLOOKUP(I7333,[2]媒体政策预估表!A:N,MATCH(O7333,[2]媒体政策预估表!$A$2:$M$2,0),0)</f>
        <v>7.0000000000000007E-2</v>
      </c>
      <c r="AF7333" s="6">
        <f t="shared" si="1141"/>
        <v>-1124.4940000000001</v>
      </c>
      <c r="AG7333" s="14">
        <v>0</v>
      </c>
      <c r="AH7333" s="64">
        <f t="shared" si="1140"/>
        <v>-16064.2</v>
      </c>
      <c r="AJ7333" s="126" t="e">
        <v>#N/A</v>
      </c>
      <c r="AK7333" s="80">
        <f t="shared" si="1137"/>
        <v>0</v>
      </c>
      <c r="AL7333" s="85"/>
      <c r="AM7333" s="85"/>
    </row>
    <row r="7334" spans="1:39" s="86" customFormat="1" ht="13.25" hidden="1" customHeight="1" x14ac:dyDescent="0.3">
      <c r="A7334" s="89" t="s">
        <v>3978</v>
      </c>
      <c r="B7334" s="86" t="s">
        <v>35</v>
      </c>
      <c r="C7334" s="86" t="s">
        <v>164</v>
      </c>
      <c r="D7334" s="86" t="s">
        <v>174</v>
      </c>
      <c r="E7334" s="86" t="s">
        <v>2072</v>
      </c>
      <c r="F7334" s="86" t="s">
        <v>2072</v>
      </c>
      <c r="G7334" s="86" t="s">
        <v>2072</v>
      </c>
      <c r="H7334" s="144">
        <v>360</v>
      </c>
      <c r="I7334" s="86" t="s">
        <v>1060</v>
      </c>
      <c r="J7334" s="47" t="s">
        <v>3325</v>
      </c>
      <c r="K7334" s="47" t="s">
        <v>3767</v>
      </c>
      <c r="L7334" s="47" t="s">
        <v>35</v>
      </c>
      <c r="M7334" s="86" t="s">
        <v>3981</v>
      </c>
      <c r="O7334" s="47" t="s">
        <v>410</v>
      </c>
      <c r="P7334" s="47" t="s">
        <v>41</v>
      </c>
      <c r="Q7334" s="14">
        <v>0</v>
      </c>
      <c r="R7334" s="143" t="s">
        <v>4081</v>
      </c>
      <c r="S7334" s="47"/>
      <c r="T7334" s="6">
        <v>0</v>
      </c>
      <c r="U7334" s="6">
        <v>10000</v>
      </c>
      <c r="V7334" s="6">
        <v>5576.1</v>
      </c>
      <c r="W7334" s="6">
        <f t="shared" si="1138"/>
        <v>4423.8999999999996</v>
      </c>
      <c r="X7334" s="6">
        <f t="shared" si="1133"/>
        <v>5576.1</v>
      </c>
      <c r="Y7334" s="13">
        <f t="shared" si="1135"/>
        <v>0</v>
      </c>
      <c r="Z7334" s="66">
        <v>0</v>
      </c>
      <c r="AA7334" s="6">
        <v>0</v>
      </c>
      <c r="AB7334" s="4">
        <f t="shared" si="1136"/>
        <v>5576.1</v>
      </c>
      <c r="AC7334" s="6">
        <f t="shared" si="1134"/>
        <v>0</v>
      </c>
      <c r="AD7334" s="6">
        <f t="shared" si="1139"/>
        <v>5576.1</v>
      </c>
      <c r="AE7334" s="14">
        <f>VLOOKUP(I7334,[2]媒体政策预估表!A:N,MATCH(O7334,[2]媒体政策预估表!$A$2:$M$2,0),0)</f>
        <v>7.0000000000000007E-2</v>
      </c>
      <c r="AF7334" s="6">
        <f t="shared" si="1141"/>
        <v>390.32700000000006</v>
      </c>
      <c r="AG7334" s="14">
        <v>0</v>
      </c>
      <c r="AH7334" s="64">
        <f t="shared" si="1140"/>
        <v>5576.1</v>
      </c>
      <c r="AJ7334" s="126" t="e">
        <v>#N/A</v>
      </c>
      <c r="AK7334" s="80">
        <f t="shared" si="1137"/>
        <v>0</v>
      </c>
      <c r="AL7334" s="85"/>
      <c r="AM7334" s="85"/>
    </row>
    <row r="7335" spans="1:39" s="86" customFormat="1" ht="13.25" hidden="1" customHeight="1" x14ac:dyDescent="0.3">
      <c r="A7335" s="89" t="s">
        <v>3978</v>
      </c>
      <c r="B7335" s="86" t="s">
        <v>35</v>
      </c>
      <c r="C7335" s="86" t="s">
        <v>164</v>
      </c>
      <c r="D7335" s="86" t="s">
        <v>174</v>
      </c>
      <c r="E7335" s="86" t="s">
        <v>1651</v>
      </c>
      <c r="F7335" s="86" t="s">
        <v>1651</v>
      </c>
      <c r="G7335" s="86" t="s">
        <v>1651</v>
      </c>
      <c r="H7335" s="144">
        <v>360</v>
      </c>
      <c r="I7335" s="86" t="s">
        <v>1060</v>
      </c>
      <c r="J7335" s="47" t="s">
        <v>3325</v>
      </c>
      <c r="K7335" s="47" t="s">
        <v>3767</v>
      </c>
      <c r="L7335" s="47" t="s">
        <v>35</v>
      </c>
      <c r="M7335" s="86" t="s">
        <v>1652</v>
      </c>
      <c r="O7335" s="47" t="s">
        <v>410</v>
      </c>
      <c r="P7335" s="47" t="s">
        <v>41</v>
      </c>
      <c r="Q7335" s="14">
        <v>0</v>
      </c>
      <c r="R7335" s="143" t="s">
        <v>1653</v>
      </c>
      <c r="S7335" s="47"/>
      <c r="T7335" s="6">
        <v>893.03999999999905</v>
      </c>
      <c r="U7335" s="6">
        <v>13000</v>
      </c>
      <c r="V7335" s="6">
        <v>12355.4</v>
      </c>
      <c r="W7335" s="6">
        <f t="shared" si="1138"/>
        <v>1537.6399999999994</v>
      </c>
      <c r="X7335" s="6">
        <f t="shared" si="1133"/>
        <v>12355.4</v>
      </c>
      <c r="Y7335" s="13">
        <f t="shared" si="1135"/>
        <v>0</v>
      </c>
      <c r="Z7335" s="66">
        <v>0</v>
      </c>
      <c r="AA7335" s="6">
        <v>0</v>
      </c>
      <c r="AB7335" s="4">
        <f t="shared" si="1136"/>
        <v>12355.4</v>
      </c>
      <c r="AC7335" s="6">
        <f t="shared" si="1134"/>
        <v>0</v>
      </c>
      <c r="AD7335" s="6">
        <f t="shared" si="1139"/>
        <v>12355.4</v>
      </c>
      <c r="AE7335" s="14">
        <f>VLOOKUP(I7335,[2]媒体政策预估表!A:N,MATCH(O7335,[2]媒体政策预估表!$A$2:$M$2,0),0)</f>
        <v>7.0000000000000007E-2</v>
      </c>
      <c r="AF7335" s="6">
        <f t="shared" si="1141"/>
        <v>864.87800000000004</v>
      </c>
      <c r="AG7335" s="14">
        <v>0</v>
      </c>
      <c r="AH7335" s="64">
        <f t="shared" si="1140"/>
        <v>12355.4</v>
      </c>
      <c r="AJ7335" s="126" t="e">
        <v>#N/A</v>
      </c>
      <c r="AK7335" s="80">
        <f t="shared" si="1137"/>
        <v>0</v>
      </c>
      <c r="AL7335" s="85"/>
      <c r="AM7335" s="85"/>
    </row>
    <row r="7336" spans="1:39" s="86" customFormat="1" ht="13.25" hidden="1" customHeight="1" x14ac:dyDescent="0.3">
      <c r="A7336" s="89" t="s">
        <v>3978</v>
      </c>
      <c r="B7336" s="86" t="s">
        <v>35</v>
      </c>
      <c r="C7336" s="86" t="s">
        <v>164</v>
      </c>
      <c r="D7336" s="86" t="s">
        <v>174</v>
      </c>
      <c r="E7336" s="86" t="s">
        <v>1654</v>
      </c>
      <c r="F7336" s="86" t="s">
        <v>1654</v>
      </c>
      <c r="G7336" s="86" t="s">
        <v>1654</v>
      </c>
      <c r="H7336" s="144">
        <v>360</v>
      </c>
      <c r="I7336" s="86" t="s">
        <v>1060</v>
      </c>
      <c r="J7336" s="47" t="s">
        <v>3325</v>
      </c>
      <c r="K7336" s="47" t="s">
        <v>3767</v>
      </c>
      <c r="L7336" s="47" t="s">
        <v>35</v>
      </c>
      <c r="M7336" s="86" t="s">
        <v>1654</v>
      </c>
      <c r="O7336" s="47" t="s">
        <v>410</v>
      </c>
      <c r="P7336" s="47" t="s">
        <v>41</v>
      </c>
      <c r="Q7336" s="14">
        <v>0</v>
      </c>
      <c r="R7336" s="143" t="s">
        <v>1655</v>
      </c>
      <c r="S7336" s="47"/>
      <c r="T7336" s="6">
        <v>2525.2500000000018</v>
      </c>
      <c r="U7336" s="6">
        <v>6000</v>
      </c>
      <c r="V7336" s="6">
        <v>6587.1</v>
      </c>
      <c r="W7336" s="6">
        <f t="shared" si="1138"/>
        <v>1938.1500000000015</v>
      </c>
      <c r="X7336" s="6">
        <f t="shared" si="1133"/>
        <v>6587.1</v>
      </c>
      <c r="Y7336" s="13">
        <f t="shared" si="1135"/>
        <v>0</v>
      </c>
      <c r="Z7336" s="66">
        <v>0</v>
      </c>
      <c r="AA7336" s="6">
        <v>0</v>
      </c>
      <c r="AB7336" s="4">
        <f t="shared" si="1136"/>
        <v>6587.1</v>
      </c>
      <c r="AC7336" s="6">
        <f t="shared" si="1134"/>
        <v>0</v>
      </c>
      <c r="AD7336" s="6">
        <f t="shared" si="1139"/>
        <v>6587.1</v>
      </c>
      <c r="AE7336" s="14">
        <f>VLOOKUP(I7336,[2]媒体政策预估表!A:N,MATCH(O7336,[2]媒体政策预估表!$A$2:$M$2,0),0)</f>
        <v>7.0000000000000007E-2</v>
      </c>
      <c r="AF7336" s="6">
        <f t="shared" si="1141"/>
        <v>461.09700000000009</v>
      </c>
      <c r="AG7336" s="14">
        <v>0</v>
      </c>
      <c r="AH7336" s="64">
        <f t="shared" si="1140"/>
        <v>6587.1</v>
      </c>
      <c r="AJ7336" s="126" t="e">
        <v>#N/A</v>
      </c>
      <c r="AK7336" s="80">
        <f t="shared" si="1137"/>
        <v>0</v>
      </c>
      <c r="AL7336" s="85"/>
      <c r="AM7336" s="85"/>
    </row>
    <row r="7337" spans="1:39" s="86" customFormat="1" ht="13.25" hidden="1" customHeight="1" x14ac:dyDescent="0.3">
      <c r="A7337" s="89" t="s">
        <v>3978</v>
      </c>
      <c r="B7337" s="86" t="s">
        <v>35</v>
      </c>
      <c r="C7337" s="86" t="s">
        <v>164</v>
      </c>
      <c r="D7337" s="86" t="s">
        <v>174</v>
      </c>
      <c r="E7337" s="86" t="s">
        <v>1656</v>
      </c>
      <c r="F7337" s="86" t="s">
        <v>1656</v>
      </c>
      <c r="G7337" s="86" t="s">
        <v>1656</v>
      </c>
      <c r="H7337" s="143">
        <v>360</v>
      </c>
      <c r="I7337" s="86" t="s">
        <v>1060</v>
      </c>
      <c r="J7337" s="47" t="s">
        <v>3325</v>
      </c>
      <c r="K7337" s="47" t="s">
        <v>3767</v>
      </c>
      <c r="L7337" s="47" t="s">
        <v>35</v>
      </c>
      <c r="M7337" s="86" t="s">
        <v>1656</v>
      </c>
      <c r="O7337" s="47" t="s">
        <v>410</v>
      </c>
      <c r="P7337" s="47" t="s">
        <v>41</v>
      </c>
      <c r="Q7337" s="14">
        <v>0</v>
      </c>
      <c r="R7337" s="143" t="s">
        <v>1657</v>
      </c>
      <c r="S7337" s="47"/>
      <c r="T7337" s="6">
        <v>1685.5</v>
      </c>
      <c r="U7337" s="6">
        <v>10000</v>
      </c>
      <c r="V7337" s="6">
        <v>7358</v>
      </c>
      <c r="W7337" s="6">
        <f t="shared" si="1138"/>
        <v>4327.5</v>
      </c>
      <c r="X7337" s="6">
        <f t="shared" si="1133"/>
        <v>7358</v>
      </c>
      <c r="Y7337" s="13">
        <f t="shared" si="1135"/>
        <v>0</v>
      </c>
      <c r="Z7337" s="66">
        <v>0</v>
      </c>
      <c r="AA7337" s="6">
        <v>0</v>
      </c>
      <c r="AB7337" s="4"/>
      <c r="AC7337" s="6">
        <f t="shared" si="1134"/>
        <v>0</v>
      </c>
      <c r="AD7337" s="6">
        <f t="shared" si="1139"/>
        <v>7358</v>
      </c>
      <c r="AE7337" s="14">
        <f>VLOOKUP(I7337,[2]媒体政策预估表!A:N,MATCH(O7337,[2]媒体政策预估表!$A$2:$M$2,0),0)</f>
        <v>7.0000000000000007E-2</v>
      </c>
      <c r="AF7337" s="6">
        <f t="shared" si="1141"/>
        <v>515.06000000000006</v>
      </c>
      <c r="AG7337" s="14">
        <v>0</v>
      </c>
      <c r="AH7337" s="64">
        <f t="shared" si="1140"/>
        <v>7358</v>
      </c>
      <c r="AJ7337" s="126">
        <v>114</v>
      </c>
      <c r="AK7337" s="80">
        <f t="shared" si="1137"/>
        <v>7358</v>
      </c>
      <c r="AL7337" s="85"/>
      <c r="AM7337" s="85"/>
    </row>
    <row r="7338" spans="1:39" s="86" customFormat="1" ht="13.25" hidden="1" customHeight="1" x14ac:dyDescent="0.3">
      <c r="A7338" s="89" t="s">
        <v>3978</v>
      </c>
      <c r="B7338" s="86" t="s">
        <v>35</v>
      </c>
      <c r="C7338" s="86" t="s">
        <v>164</v>
      </c>
      <c r="D7338" s="86" t="s">
        <v>174</v>
      </c>
      <c r="E7338" s="86" t="s">
        <v>3825</v>
      </c>
      <c r="F7338" s="86" t="s">
        <v>3825</v>
      </c>
      <c r="G7338" s="86" t="s">
        <v>3825</v>
      </c>
      <c r="H7338" s="144">
        <v>360</v>
      </c>
      <c r="I7338" s="86" t="s">
        <v>1060</v>
      </c>
      <c r="J7338" s="47" t="s">
        <v>3325</v>
      </c>
      <c r="K7338" s="47" t="s">
        <v>3767</v>
      </c>
      <c r="L7338" s="47" t="s">
        <v>35</v>
      </c>
      <c r="M7338" s="86" t="s">
        <v>3825</v>
      </c>
      <c r="O7338" s="47" t="s">
        <v>410</v>
      </c>
      <c r="P7338" s="47" t="s">
        <v>46</v>
      </c>
      <c r="Q7338" s="14">
        <v>0.02</v>
      </c>
      <c r="R7338" s="143">
        <v>15859196703</v>
      </c>
      <c r="S7338" s="47"/>
      <c r="T7338" s="6">
        <v>0</v>
      </c>
      <c r="U7338" s="6">
        <v>23659.08</v>
      </c>
      <c r="V7338" s="6">
        <v>21216.400000000001</v>
      </c>
      <c r="W7338" s="6">
        <f t="shared" si="1138"/>
        <v>2442.6800000000003</v>
      </c>
      <c r="X7338" s="6">
        <f t="shared" si="1133"/>
        <v>20800.392156862745</v>
      </c>
      <c r="Y7338" s="13">
        <f t="shared" si="1135"/>
        <v>0</v>
      </c>
      <c r="Z7338" s="66">
        <v>0</v>
      </c>
      <c r="AA7338" s="6">
        <v>0</v>
      </c>
      <c r="AB7338" s="4">
        <f t="shared" si="1136"/>
        <v>20800.392156862745</v>
      </c>
      <c r="AC7338" s="6">
        <f t="shared" si="1134"/>
        <v>416.00784313725671</v>
      </c>
      <c r="AD7338" s="6">
        <f t="shared" si="1139"/>
        <v>21216.400000000001</v>
      </c>
      <c r="AE7338" s="14">
        <f>VLOOKUP(I7338,[2]媒体政策预估表!A:N,MATCH(O7338,[2]媒体政策预估表!$A$2:$M$2,0),0)</f>
        <v>7.0000000000000007E-2</v>
      </c>
      <c r="AF7338" s="6">
        <f t="shared" si="1141"/>
        <v>1485.1480000000001</v>
      </c>
      <c r="AG7338" s="14">
        <v>0</v>
      </c>
      <c r="AH7338" s="64">
        <f t="shared" si="1140"/>
        <v>21216.400000000001</v>
      </c>
      <c r="AJ7338" s="126" t="e">
        <v>#N/A</v>
      </c>
      <c r="AK7338" s="80">
        <f t="shared" si="1137"/>
        <v>0</v>
      </c>
      <c r="AL7338" s="85"/>
      <c r="AM7338" s="85"/>
    </row>
    <row r="7339" spans="1:39" s="86" customFormat="1" ht="13.25" hidden="1" customHeight="1" x14ac:dyDescent="0.3">
      <c r="A7339" s="89" t="s">
        <v>3978</v>
      </c>
      <c r="B7339" s="86" t="s">
        <v>35</v>
      </c>
      <c r="C7339" s="86" t="s">
        <v>164</v>
      </c>
      <c r="D7339" s="86" t="s">
        <v>174</v>
      </c>
      <c r="E7339" s="86" t="s">
        <v>1658</v>
      </c>
      <c r="F7339" s="86" t="s">
        <v>1658</v>
      </c>
      <c r="G7339" s="86" t="s">
        <v>1658</v>
      </c>
      <c r="H7339" s="144">
        <v>360</v>
      </c>
      <c r="I7339" s="86" t="s">
        <v>1060</v>
      </c>
      <c r="J7339" s="47" t="s">
        <v>3325</v>
      </c>
      <c r="K7339" s="47" t="s">
        <v>3767</v>
      </c>
      <c r="L7339" s="47" t="s">
        <v>35</v>
      </c>
      <c r="M7339" s="86" t="s">
        <v>1659</v>
      </c>
      <c r="O7339" s="47" t="s">
        <v>410</v>
      </c>
      <c r="P7339" s="47" t="s">
        <v>41</v>
      </c>
      <c r="Q7339" s="14">
        <v>0</v>
      </c>
      <c r="R7339" s="143" t="s">
        <v>1660</v>
      </c>
      <c r="S7339" s="47"/>
      <c r="T7339" s="6">
        <v>11943.439999999999</v>
      </c>
      <c r="U7339" s="6">
        <v>60000</v>
      </c>
      <c r="V7339" s="6">
        <v>53653.9</v>
      </c>
      <c r="W7339" s="6">
        <f t="shared" si="1138"/>
        <v>18289.54</v>
      </c>
      <c r="X7339" s="6">
        <f t="shared" si="1133"/>
        <v>53653.9</v>
      </c>
      <c r="Y7339" s="13">
        <f t="shared" si="1135"/>
        <v>0</v>
      </c>
      <c r="Z7339" s="66">
        <v>0</v>
      </c>
      <c r="AA7339" s="6">
        <v>0</v>
      </c>
      <c r="AB7339" s="4">
        <f t="shared" si="1136"/>
        <v>53653.9</v>
      </c>
      <c r="AC7339" s="6">
        <f t="shared" si="1134"/>
        <v>0</v>
      </c>
      <c r="AD7339" s="6">
        <f t="shared" si="1139"/>
        <v>53653.9</v>
      </c>
      <c r="AE7339" s="14">
        <f>VLOOKUP(I7339,[2]媒体政策预估表!A:N,MATCH(O7339,[2]媒体政策预估表!$A$2:$M$2,0),0)</f>
        <v>7.0000000000000007E-2</v>
      </c>
      <c r="AF7339" s="6">
        <f t="shared" si="1141"/>
        <v>3755.7730000000006</v>
      </c>
      <c r="AG7339" s="14">
        <v>0</v>
      </c>
      <c r="AH7339" s="64">
        <f t="shared" si="1140"/>
        <v>53653.9</v>
      </c>
      <c r="AJ7339" s="126" t="e">
        <v>#N/A</v>
      </c>
      <c r="AK7339" s="80">
        <f t="shared" si="1137"/>
        <v>0</v>
      </c>
      <c r="AL7339" s="85"/>
      <c r="AM7339" s="85"/>
    </row>
    <row r="7340" spans="1:39" s="86" customFormat="1" ht="13.25" hidden="1" customHeight="1" x14ac:dyDescent="0.3">
      <c r="A7340" s="89" t="s">
        <v>3978</v>
      </c>
      <c r="B7340" s="86" t="s">
        <v>35</v>
      </c>
      <c r="C7340" s="86" t="s">
        <v>164</v>
      </c>
      <c r="D7340" s="86" t="s">
        <v>174</v>
      </c>
      <c r="E7340" s="86" t="s">
        <v>1661</v>
      </c>
      <c r="F7340" s="86" t="s">
        <v>1661</v>
      </c>
      <c r="G7340" s="86" t="s">
        <v>1661</v>
      </c>
      <c r="H7340" s="143">
        <v>360</v>
      </c>
      <c r="I7340" s="86" t="s">
        <v>1060</v>
      </c>
      <c r="J7340" s="47" t="s">
        <v>3325</v>
      </c>
      <c r="K7340" s="47" t="s">
        <v>3767</v>
      </c>
      <c r="L7340" s="47" t="s">
        <v>35</v>
      </c>
      <c r="M7340" s="86" t="s">
        <v>1661</v>
      </c>
      <c r="O7340" s="47" t="s">
        <v>410</v>
      </c>
      <c r="P7340" s="47" t="s">
        <v>41</v>
      </c>
      <c r="Q7340" s="14">
        <v>0</v>
      </c>
      <c r="R7340" s="143">
        <v>3157172745</v>
      </c>
      <c r="S7340" s="47"/>
      <c r="T7340" s="6">
        <v>20117.130000000005</v>
      </c>
      <c r="U7340" s="6">
        <v>-20117.13</v>
      </c>
      <c r="V7340" s="6">
        <v>0</v>
      </c>
      <c r="W7340" s="6">
        <f t="shared" si="1138"/>
        <v>3.637978807091713E-12</v>
      </c>
      <c r="X7340" s="6">
        <f t="shared" si="1133"/>
        <v>0</v>
      </c>
      <c r="Y7340" s="13">
        <f t="shared" si="1135"/>
        <v>0</v>
      </c>
      <c r="Z7340" s="66">
        <v>0</v>
      </c>
      <c r="AA7340" s="6">
        <v>0</v>
      </c>
      <c r="AB7340" s="4">
        <f t="shared" si="1136"/>
        <v>0</v>
      </c>
      <c r="AC7340" s="6">
        <f t="shared" si="1134"/>
        <v>0</v>
      </c>
      <c r="AD7340" s="6">
        <f t="shared" si="1139"/>
        <v>0</v>
      </c>
      <c r="AE7340" s="14">
        <f>VLOOKUP(I7340,[2]媒体政策预估表!A:N,MATCH(O7340,[2]媒体政策预估表!$A$2:$M$2,0),0)</f>
        <v>7.0000000000000007E-2</v>
      </c>
      <c r="AF7340" s="6">
        <f t="shared" si="1141"/>
        <v>0</v>
      </c>
      <c r="AG7340" s="14">
        <v>0</v>
      </c>
      <c r="AH7340" s="64">
        <f t="shared" si="1140"/>
        <v>0</v>
      </c>
      <c r="AJ7340" s="126" t="e">
        <v>#N/A</v>
      </c>
      <c r="AK7340" s="80">
        <f t="shared" si="1137"/>
        <v>0</v>
      </c>
      <c r="AL7340" s="85"/>
      <c r="AM7340" s="85"/>
    </row>
    <row r="7341" spans="1:39" s="86" customFormat="1" ht="13.25" hidden="1" customHeight="1" x14ac:dyDescent="0.3">
      <c r="A7341" s="89" t="s">
        <v>3978</v>
      </c>
      <c r="B7341" s="86" t="s">
        <v>35</v>
      </c>
      <c r="C7341" s="86" t="s">
        <v>164</v>
      </c>
      <c r="D7341" s="86" t="s">
        <v>174</v>
      </c>
      <c r="E7341" s="86" t="s">
        <v>1662</v>
      </c>
      <c r="F7341" s="86" t="s">
        <v>1662</v>
      </c>
      <c r="G7341" s="86" t="s">
        <v>1662</v>
      </c>
      <c r="H7341" s="144">
        <v>360</v>
      </c>
      <c r="I7341" s="86" t="s">
        <v>1060</v>
      </c>
      <c r="J7341" s="47" t="s">
        <v>3325</v>
      </c>
      <c r="K7341" s="47" t="s">
        <v>3767</v>
      </c>
      <c r="L7341" s="47" t="s">
        <v>35</v>
      </c>
      <c r="M7341" s="86" t="s">
        <v>1662</v>
      </c>
      <c r="O7341" s="47" t="s">
        <v>410</v>
      </c>
      <c r="P7341" s="47" t="s">
        <v>41</v>
      </c>
      <c r="Q7341" s="14">
        <v>0</v>
      </c>
      <c r="R7341" s="143" t="s">
        <v>1663</v>
      </c>
      <c r="S7341" s="47"/>
      <c r="T7341" s="6">
        <v>5442.4000000000015</v>
      </c>
      <c r="U7341" s="6">
        <v>30000</v>
      </c>
      <c r="V7341" s="6">
        <v>31978</v>
      </c>
      <c r="W7341" s="6">
        <f t="shared" si="1138"/>
        <v>3464.4000000000015</v>
      </c>
      <c r="X7341" s="6">
        <f t="shared" si="1133"/>
        <v>31978</v>
      </c>
      <c r="Y7341" s="13">
        <f t="shared" si="1135"/>
        <v>0</v>
      </c>
      <c r="Z7341" s="66">
        <v>0</v>
      </c>
      <c r="AA7341" s="6">
        <v>0</v>
      </c>
      <c r="AB7341" s="4">
        <f t="shared" si="1136"/>
        <v>31978</v>
      </c>
      <c r="AC7341" s="6">
        <f t="shared" si="1134"/>
        <v>0</v>
      </c>
      <c r="AD7341" s="6">
        <f t="shared" si="1139"/>
        <v>31978</v>
      </c>
      <c r="AE7341" s="14">
        <f>VLOOKUP(I7341,[2]媒体政策预估表!A:N,MATCH(O7341,[2]媒体政策预估表!$A$2:$M$2,0),0)</f>
        <v>7.0000000000000007E-2</v>
      </c>
      <c r="AF7341" s="6">
        <f t="shared" si="1141"/>
        <v>2238.46</v>
      </c>
      <c r="AG7341" s="14">
        <v>0</v>
      </c>
      <c r="AH7341" s="64">
        <f t="shared" si="1140"/>
        <v>31978</v>
      </c>
      <c r="AJ7341" s="126" t="e">
        <v>#N/A</v>
      </c>
      <c r="AK7341" s="80">
        <f t="shared" si="1137"/>
        <v>0</v>
      </c>
      <c r="AL7341" s="85"/>
      <c r="AM7341" s="85"/>
    </row>
    <row r="7342" spans="1:39" s="86" customFormat="1" ht="13.25" hidden="1" customHeight="1" x14ac:dyDescent="0.3">
      <c r="A7342" s="89" t="s">
        <v>3978</v>
      </c>
      <c r="B7342" s="86" t="s">
        <v>35</v>
      </c>
      <c r="C7342" s="86" t="s">
        <v>164</v>
      </c>
      <c r="D7342" s="86" t="s">
        <v>174</v>
      </c>
      <c r="E7342" s="86" t="s">
        <v>1664</v>
      </c>
      <c r="F7342" s="86" t="s">
        <v>1664</v>
      </c>
      <c r="G7342" s="86" t="s">
        <v>1664</v>
      </c>
      <c r="H7342" s="144">
        <v>360</v>
      </c>
      <c r="I7342" s="86" t="s">
        <v>1060</v>
      </c>
      <c r="J7342" s="47" t="s">
        <v>3325</v>
      </c>
      <c r="K7342" s="47" t="s">
        <v>3767</v>
      </c>
      <c r="L7342" s="47" t="s">
        <v>35</v>
      </c>
      <c r="M7342" s="86" t="s">
        <v>1664</v>
      </c>
      <c r="O7342" s="47" t="s">
        <v>410</v>
      </c>
      <c r="P7342" s="47" t="s">
        <v>41</v>
      </c>
      <c r="Q7342" s="14">
        <v>0</v>
      </c>
      <c r="R7342" s="143" t="s">
        <v>1665</v>
      </c>
      <c r="S7342" s="47"/>
      <c r="T7342" s="6">
        <v>122101.80000000008</v>
      </c>
      <c r="U7342" s="6">
        <v>230000</v>
      </c>
      <c r="V7342" s="6">
        <v>202296.2</v>
      </c>
      <c r="W7342" s="6">
        <f t="shared" si="1138"/>
        <v>149805.60000000003</v>
      </c>
      <c r="X7342" s="6">
        <f t="shared" si="1133"/>
        <v>202296.2</v>
      </c>
      <c r="Y7342" s="13">
        <f t="shared" si="1135"/>
        <v>0</v>
      </c>
      <c r="Z7342" s="66">
        <v>0</v>
      </c>
      <c r="AA7342" s="6">
        <v>0</v>
      </c>
      <c r="AB7342" s="4">
        <f t="shared" si="1136"/>
        <v>202296.2</v>
      </c>
      <c r="AC7342" s="6">
        <f t="shared" si="1134"/>
        <v>0</v>
      </c>
      <c r="AD7342" s="6">
        <f t="shared" si="1139"/>
        <v>202296.2</v>
      </c>
      <c r="AE7342" s="14">
        <f>VLOOKUP(I7342,[2]媒体政策预估表!A:N,MATCH(O7342,[2]媒体政策预估表!$A$2:$M$2,0),0)</f>
        <v>7.0000000000000007E-2</v>
      </c>
      <c r="AF7342" s="6">
        <f t="shared" si="1141"/>
        <v>14160.734000000002</v>
      </c>
      <c r="AG7342" s="14">
        <v>0</v>
      </c>
      <c r="AH7342" s="64">
        <f t="shared" si="1140"/>
        <v>202296.2</v>
      </c>
      <c r="AJ7342" s="126" t="e">
        <v>#N/A</v>
      </c>
      <c r="AK7342" s="80">
        <f t="shared" si="1137"/>
        <v>0</v>
      </c>
      <c r="AL7342" s="85"/>
      <c r="AM7342" s="85"/>
    </row>
    <row r="7343" spans="1:39" s="86" customFormat="1" ht="13.25" hidden="1" customHeight="1" x14ac:dyDescent="0.3">
      <c r="A7343" s="89" t="s">
        <v>3978</v>
      </c>
      <c r="B7343" s="86" t="s">
        <v>35</v>
      </c>
      <c r="C7343" s="86" t="s">
        <v>164</v>
      </c>
      <c r="D7343" s="86" t="s">
        <v>174</v>
      </c>
      <c r="E7343" s="86" t="s">
        <v>1666</v>
      </c>
      <c r="F7343" s="86" t="s">
        <v>1666</v>
      </c>
      <c r="G7343" s="86" t="s">
        <v>1666</v>
      </c>
      <c r="H7343" s="143">
        <v>360</v>
      </c>
      <c r="I7343" s="86" t="s">
        <v>1060</v>
      </c>
      <c r="J7343" s="47" t="s">
        <v>3325</v>
      </c>
      <c r="K7343" s="47" t="s">
        <v>3767</v>
      </c>
      <c r="L7343" s="47" t="s">
        <v>35</v>
      </c>
      <c r="M7343" s="86" t="s">
        <v>1666</v>
      </c>
      <c r="O7343" s="47" t="s">
        <v>410</v>
      </c>
      <c r="P7343" s="47" t="s">
        <v>41</v>
      </c>
      <c r="Q7343" s="14">
        <v>0</v>
      </c>
      <c r="R7343" s="143" t="s">
        <v>1667</v>
      </c>
      <c r="S7343" s="47"/>
      <c r="T7343" s="6">
        <v>7492.4</v>
      </c>
      <c r="U7343" s="6">
        <v>5000</v>
      </c>
      <c r="V7343" s="6">
        <v>10203.1</v>
      </c>
      <c r="W7343" s="6">
        <f t="shared" si="1138"/>
        <v>2289.2999999999993</v>
      </c>
      <c r="X7343" s="6">
        <f t="shared" si="1133"/>
        <v>10203.1</v>
      </c>
      <c r="Y7343" s="13">
        <f t="shared" si="1135"/>
        <v>0</v>
      </c>
      <c r="Z7343" s="66">
        <v>0</v>
      </c>
      <c r="AA7343" s="6">
        <v>0</v>
      </c>
      <c r="AB7343" s="4"/>
      <c r="AC7343" s="6">
        <f t="shared" si="1134"/>
        <v>0</v>
      </c>
      <c r="AD7343" s="6">
        <f t="shared" si="1139"/>
        <v>10203.1</v>
      </c>
      <c r="AE7343" s="14">
        <f>VLOOKUP(I7343,[2]媒体政策预估表!A:N,MATCH(O7343,[2]媒体政策预估表!$A$2:$M$2,0),0)</f>
        <v>7.0000000000000007E-2</v>
      </c>
      <c r="AF7343" s="6">
        <f t="shared" si="1141"/>
        <v>714.2170000000001</v>
      </c>
      <c r="AG7343" s="14">
        <v>0</v>
      </c>
      <c r="AH7343" s="64">
        <f t="shared" si="1140"/>
        <v>10203.1</v>
      </c>
      <c r="AJ7343" s="126">
        <v>111</v>
      </c>
      <c r="AK7343" s="80">
        <f t="shared" si="1137"/>
        <v>10203.1</v>
      </c>
      <c r="AL7343" s="85"/>
      <c r="AM7343" s="85"/>
    </row>
    <row r="7344" spans="1:39" s="86" customFormat="1" ht="13.25" hidden="1" customHeight="1" x14ac:dyDescent="0.3">
      <c r="A7344" s="89" t="s">
        <v>3978</v>
      </c>
      <c r="B7344" s="86" t="s">
        <v>35</v>
      </c>
      <c r="C7344" s="86" t="s">
        <v>164</v>
      </c>
      <c r="D7344" s="86" t="s">
        <v>174</v>
      </c>
      <c r="E7344" s="86" t="s">
        <v>1671</v>
      </c>
      <c r="F7344" s="86" t="s">
        <v>1671</v>
      </c>
      <c r="G7344" s="86" t="s">
        <v>1671</v>
      </c>
      <c r="H7344" s="144">
        <v>360</v>
      </c>
      <c r="I7344" s="86" t="s">
        <v>1060</v>
      </c>
      <c r="J7344" s="47" t="s">
        <v>3325</v>
      </c>
      <c r="K7344" s="47" t="s">
        <v>3767</v>
      </c>
      <c r="L7344" s="47" t="s">
        <v>35</v>
      </c>
      <c r="M7344" s="86" t="s">
        <v>1671</v>
      </c>
      <c r="O7344" s="47" t="s">
        <v>410</v>
      </c>
      <c r="P7344" s="47" t="s">
        <v>41</v>
      </c>
      <c r="Q7344" s="14">
        <v>0</v>
      </c>
      <c r="R7344" s="143" t="s">
        <v>1672</v>
      </c>
      <c r="S7344" s="47"/>
      <c r="T7344" s="6">
        <v>434.04999999998836</v>
      </c>
      <c r="U7344" s="6">
        <v>120000</v>
      </c>
      <c r="V7344" s="6">
        <v>70849.899999999994</v>
      </c>
      <c r="W7344" s="6">
        <f t="shared" si="1138"/>
        <v>49584.149999999994</v>
      </c>
      <c r="X7344" s="6">
        <f t="shared" ref="X7344:X7407" si="1142">IF(P7344="折扣",V7344*Q7344,IF(P7344="返现",V7344,V7344/(1+Q7344)))</f>
        <v>70849.899999999994</v>
      </c>
      <c r="Y7344" s="13">
        <f t="shared" si="1135"/>
        <v>0</v>
      </c>
      <c r="Z7344" s="66">
        <v>0</v>
      </c>
      <c r="AA7344" s="6">
        <v>0</v>
      </c>
      <c r="AB7344" s="4">
        <f t="shared" si="1136"/>
        <v>70849.899999999994</v>
      </c>
      <c r="AC7344" s="6">
        <f t="shared" si="1134"/>
        <v>0</v>
      </c>
      <c r="AD7344" s="6">
        <f t="shared" si="1139"/>
        <v>70849.899999999994</v>
      </c>
      <c r="AE7344" s="14">
        <f>VLOOKUP(I7344,[2]媒体政策预估表!A:N,MATCH(O7344,[2]媒体政策预估表!$A$2:$M$2,0),0)</f>
        <v>7.0000000000000007E-2</v>
      </c>
      <c r="AF7344" s="6">
        <f t="shared" si="1141"/>
        <v>4959.4930000000004</v>
      </c>
      <c r="AG7344" s="14">
        <v>0</v>
      </c>
      <c r="AH7344" s="64">
        <f t="shared" si="1140"/>
        <v>70849.899999999994</v>
      </c>
      <c r="AJ7344" s="126" t="e">
        <v>#N/A</v>
      </c>
      <c r="AK7344" s="80">
        <f t="shared" si="1137"/>
        <v>0</v>
      </c>
      <c r="AL7344" s="85"/>
      <c r="AM7344" s="85"/>
    </row>
    <row r="7345" spans="1:39" s="86" customFormat="1" ht="13.25" hidden="1" customHeight="1" x14ac:dyDescent="0.3">
      <c r="A7345" s="89" t="s">
        <v>3978</v>
      </c>
      <c r="B7345" s="86" t="s">
        <v>35</v>
      </c>
      <c r="C7345" s="86" t="s">
        <v>164</v>
      </c>
      <c r="D7345" s="86" t="s">
        <v>174</v>
      </c>
      <c r="E7345" s="86" t="s">
        <v>1673</v>
      </c>
      <c r="F7345" s="86" t="s">
        <v>1674</v>
      </c>
      <c r="G7345" s="86" t="s">
        <v>1673</v>
      </c>
      <c r="H7345" s="144">
        <v>360</v>
      </c>
      <c r="I7345" s="86" t="s">
        <v>1060</v>
      </c>
      <c r="J7345" s="47" t="s">
        <v>3325</v>
      </c>
      <c r="K7345" s="47" t="s">
        <v>3767</v>
      </c>
      <c r="L7345" s="47" t="s">
        <v>35</v>
      </c>
      <c r="M7345" s="86" t="s">
        <v>1673</v>
      </c>
      <c r="O7345" s="47" t="s">
        <v>410</v>
      </c>
      <c r="P7345" s="47" t="s">
        <v>41</v>
      </c>
      <c r="Q7345" s="14">
        <v>0</v>
      </c>
      <c r="R7345" s="143" t="s">
        <v>1675</v>
      </c>
      <c r="S7345" s="47"/>
      <c r="T7345" s="6">
        <v>5178.6000000000058</v>
      </c>
      <c r="U7345" s="6">
        <v>150000</v>
      </c>
      <c r="V7345" s="6">
        <v>132100.5</v>
      </c>
      <c r="W7345" s="6">
        <f t="shared" si="1138"/>
        <v>23078.100000000006</v>
      </c>
      <c r="X7345" s="6">
        <f t="shared" si="1142"/>
        <v>132100.5</v>
      </c>
      <c r="Y7345" s="13">
        <f t="shared" si="1135"/>
        <v>0</v>
      </c>
      <c r="Z7345" s="66">
        <v>0</v>
      </c>
      <c r="AA7345" s="6">
        <v>0</v>
      </c>
      <c r="AB7345" s="4">
        <f t="shared" si="1136"/>
        <v>132100.5</v>
      </c>
      <c r="AC7345" s="6">
        <f t="shared" si="1134"/>
        <v>0</v>
      </c>
      <c r="AD7345" s="6">
        <f t="shared" si="1139"/>
        <v>132100.5</v>
      </c>
      <c r="AE7345" s="14">
        <f>VLOOKUP(I7345,[2]媒体政策预估表!A:N,MATCH(O7345,[2]媒体政策预估表!$A$2:$M$2,0),0)</f>
        <v>7.0000000000000007E-2</v>
      </c>
      <c r="AF7345" s="6">
        <f t="shared" si="1141"/>
        <v>9247.0350000000017</v>
      </c>
      <c r="AG7345" s="14">
        <v>0</v>
      </c>
      <c r="AH7345" s="64">
        <f t="shared" si="1140"/>
        <v>132100.5</v>
      </c>
      <c r="AJ7345" s="126" t="e">
        <v>#N/A</v>
      </c>
      <c r="AK7345" s="80">
        <f t="shared" si="1137"/>
        <v>0</v>
      </c>
      <c r="AL7345" s="85"/>
      <c r="AM7345" s="85"/>
    </row>
    <row r="7346" spans="1:39" s="86" customFormat="1" ht="13.25" hidden="1" customHeight="1" x14ac:dyDescent="0.3">
      <c r="A7346" s="89" t="s">
        <v>3978</v>
      </c>
      <c r="B7346" s="86" t="s">
        <v>35</v>
      </c>
      <c r="C7346" s="86" t="s">
        <v>164</v>
      </c>
      <c r="D7346" s="86" t="s">
        <v>174</v>
      </c>
      <c r="E7346" s="86" t="s">
        <v>1681</v>
      </c>
      <c r="F7346" s="86" t="s">
        <v>1682</v>
      </c>
      <c r="G7346" s="86" t="s">
        <v>1681</v>
      </c>
      <c r="H7346" s="144">
        <v>360</v>
      </c>
      <c r="I7346" s="86" t="s">
        <v>1060</v>
      </c>
      <c r="J7346" s="47" t="s">
        <v>3325</v>
      </c>
      <c r="K7346" s="47" t="s">
        <v>3767</v>
      </c>
      <c r="L7346" s="47" t="s">
        <v>35</v>
      </c>
      <c r="M7346" s="86" t="s">
        <v>1683</v>
      </c>
      <c r="O7346" s="47" t="s">
        <v>410</v>
      </c>
      <c r="P7346" s="47" t="s">
        <v>41</v>
      </c>
      <c r="Q7346" s="14">
        <v>0</v>
      </c>
      <c r="R7346" s="143" t="s">
        <v>1684</v>
      </c>
      <c r="S7346" s="47"/>
      <c r="T7346" s="6">
        <v>21802.410000000003</v>
      </c>
      <c r="U7346" s="6">
        <v>410000</v>
      </c>
      <c r="V7346" s="6">
        <v>339227.5</v>
      </c>
      <c r="W7346" s="6">
        <f t="shared" si="1138"/>
        <v>92574.910000000033</v>
      </c>
      <c r="X7346" s="6">
        <f t="shared" si="1142"/>
        <v>339227.5</v>
      </c>
      <c r="Y7346" s="13">
        <f t="shared" si="1135"/>
        <v>0</v>
      </c>
      <c r="Z7346" s="66">
        <v>0</v>
      </c>
      <c r="AA7346" s="6">
        <v>0</v>
      </c>
      <c r="AB7346" s="4">
        <f t="shared" si="1136"/>
        <v>339227.5</v>
      </c>
      <c r="AC7346" s="6">
        <f t="shared" si="1134"/>
        <v>0</v>
      </c>
      <c r="AD7346" s="6">
        <f t="shared" si="1139"/>
        <v>339227.5</v>
      </c>
      <c r="AE7346" s="14">
        <f>VLOOKUP(I7346,[2]媒体政策预估表!A:N,MATCH(O7346,[2]媒体政策预估表!$A$2:$M$2,0),0)</f>
        <v>7.0000000000000007E-2</v>
      </c>
      <c r="AF7346" s="6">
        <f t="shared" si="1141"/>
        <v>23745.925000000003</v>
      </c>
      <c r="AG7346" s="14">
        <v>0</v>
      </c>
      <c r="AH7346" s="64">
        <f t="shared" si="1140"/>
        <v>339227.5</v>
      </c>
      <c r="AJ7346" s="126" t="e">
        <v>#N/A</v>
      </c>
      <c r="AK7346" s="80">
        <f t="shared" si="1137"/>
        <v>0</v>
      </c>
      <c r="AL7346" s="85"/>
      <c r="AM7346" s="85"/>
    </row>
    <row r="7347" spans="1:39" s="86" customFormat="1" ht="13.25" hidden="1" customHeight="1" x14ac:dyDescent="0.3">
      <c r="A7347" s="89" t="s">
        <v>3978</v>
      </c>
      <c r="B7347" s="86" t="s">
        <v>35</v>
      </c>
      <c r="C7347" s="86" t="s">
        <v>164</v>
      </c>
      <c r="D7347" s="86" t="s">
        <v>174</v>
      </c>
      <c r="E7347" s="86" t="s">
        <v>1681</v>
      </c>
      <c r="F7347" s="86" t="s">
        <v>1682</v>
      </c>
      <c r="G7347" s="86" t="s">
        <v>1681</v>
      </c>
      <c r="H7347" s="144">
        <v>360</v>
      </c>
      <c r="I7347" s="86" t="s">
        <v>1060</v>
      </c>
      <c r="J7347" s="47" t="s">
        <v>3325</v>
      </c>
      <c r="K7347" s="47" t="s">
        <v>3767</v>
      </c>
      <c r="L7347" s="47" t="s">
        <v>35</v>
      </c>
      <c r="M7347" s="86" t="s">
        <v>1685</v>
      </c>
      <c r="O7347" s="47" t="s">
        <v>410</v>
      </c>
      <c r="P7347" s="47" t="s">
        <v>41</v>
      </c>
      <c r="Q7347" s="14">
        <v>0</v>
      </c>
      <c r="R7347" s="143" t="s">
        <v>1686</v>
      </c>
      <c r="S7347" s="47"/>
      <c r="T7347" s="6">
        <v>39121.160000000033</v>
      </c>
      <c r="U7347" s="6">
        <v>200000</v>
      </c>
      <c r="V7347" s="6">
        <v>153266.6</v>
      </c>
      <c r="W7347" s="6">
        <f t="shared" si="1138"/>
        <v>85854.560000000027</v>
      </c>
      <c r="X7347" s="6">
        <f t="shared" si="1142"/>
        <v>153266.6</v>
      </c>
      <c r="Y7347" s="13">
        <f t="shared" si="1135"/>
        <v>0</v>
      </c>
      <c r="Z7347" s="66">
        <v>0</v>
      </c>
      <c r="AA7347" s="6">
        <v>0</v>
      </c>
      <c r="AB7347" s="4">
        <f t="shared" si="1136"/>
        <v>153266.6</v>
      </c>
      <c r="AC7347" s="6">
        <f t="shared" si="1134"/>
        <v>0</v>
      </c>
      <c r="AD7347" s="6">
        <f t="shared" si="1139"/>
        <v>153266.6</v>
      </c>
      <c r="AE7347" s="14">
        <f>VLOOKUP(I7347,[2]媒体政策预估表!A:N,MATCH(O7347,[2]媒体政策预估表!$A$2:$M$2,0),0)</f>
        <v>7.0000000000000007E-2</v>
      </c>
      <c r="AF7347" s="6">
        <f t="shared" si="1141"/>
        <v>10728.662000000002</v>
      </c>
      <c r="AG7347" s="14">
        <v>0</v>
      </c>
      <c r="AH7347" s="64">
        <f t="shared" si="1140"/>
        <v>153266.6</v>
      </c>
      <c r="AJ7347" s="126" t="e">
        <v>#N/A</v>
      </c>
      <c r="AK7347" s="80">
        <f t="shared" si="1137"/>
        <v>0</v>
      </c>
      <c r="AL7347" s="85"/>
      <c r="AM7347" s="85"/>
    </row>
    <row r="7348" spans="1:39" s="86" customFormat="1" ht="13.25" hidden="1" customHeight="1" x14ac:dyDescent="0.3">
      <c r="A7348" s="89" t="s">
        <v>3978</v>
      </c>
      <c r="B7348" s="86" t="s">
        <v>35</v>
      </c>
      <c r="C7348" s="86" t="s">
        <v>164</v>
      </c>
      <c r="D7348" s="86" t="s">
        <v>174</v>
      </c>
      <c r="E7348" s="86" t="s">
        <v>1687</v>
      </c>
      <c r="F7348" s="86" t="s">
        <v>1687</v>
      </c>
      <c r="G7348" s="86" t="s">
        <v>1687</v>
      </c>
      <c r="H7348" s="144">
        <v>360</v>
      </c>
      <c r="I7348" s="86" t="s">
        <v>1060</v>
      </c>
      <c r="J7348" s="47" t="s">
        <v>3325</v>
      </c>
      <c r="K7348" s="47" t="s">
        <v>3767</v>
      </c>
      <c r="L7348" s="47" t="s">
        <v>35</v>
      </c>
      <c r="M7348" s="86" t="s">
        <v>4082</v>
      </c>
      <c r="O7348" s="47" t="s">
        <v>410</v>
      </c>
      <c r="P7348" s="47" t="s">
        <v>46</v>
      </c>
      <c r="Q7348" s="14">
        <v>0.02</v>
      </c>
      <c r="R7348" s="143" t="s">
        <v>4083</v>
      </c>
      <c r="S7348" s="47"/>
      <c r="T7348" s="6">
        <v>0</v>
      </c>
      <c r="U7348" s="6">
        <v>50000</v>
      </c>
      <c r="V7348" s="6">
        <v>16649.400000000001</v>
      </c>
      <c r="W7348" s="6">
        <f t="shared" si="1138"/>
        <v>33350.6</v>
      </c>
      <c r="X7348" s="6">
        <f t="shared" si="1142"/>
        <v>16322.941176470589</v>
      </c>
      <c r="Y7348" s="13">
        <f t="shared" si="1135"/>
        <v>0</v>
      </c>
      <c r="Z7348" s="66">
        <v>0</v>
      </c>
      <c r="AA7348" s="6">
        <v>0</v>
      </c>
      <c r="AB7348" s="4">
        <f t="shared" si="1136"/>
        <v>16322.941176470589</v>
      </c>
      <c r="AC7348" s="6">
        <f t="shared" si="1134"/>
        <v>326.45882352941226</v>
      </c>
      <c r="AD7348" s="6">
        <f t="shared" si="1139"/>
        <v>16649.400000000001</v>
      </c>
      <c r="AE7348" s="14">
        <f>VLOOKUP(I7348,[2]媒体政策预估表!A:N,MATCH(O7348,[2]媒体政策预估表!$A$2:$M$2,0),0)</f>
        <v>7.0000000000000007E-2</v>
      </c>
      <c r="AF7348" s="6">
        <f t="shared" si="1141"/>
        <v>1165.4580000000003</v>
      </c>
      <c r="AG7348" s="14">
        <v>0</v>
      </c>
      <c r="AH7348" s="64">
        <f t="shared" si="1140"/>
        <v>16649.400000000001</v>
      </c>
      <c r="AJ7348" s="126" t="e">
        <v>#N/A</v>
      </c>
      <c r="AK7348" s="80">
        <f t="shared" si="1137"/>
        <v>0</v>
      </c>
      <c r="AL7348" s="85"/>
      <c r="AM7348" s="85"/>
    </row>
    <row r="7349" spans="1:39" s="86" customFormat="1" ht="13.25" hidden="1" customHeight="1" x14ac:dyDescent="0.3">
      <c r="A7349" s="89" t="s">
        <v>3978</v>
      </c>
      <c r="B7349" s="86" t="s">
        <v>35</v>
      </c>
      <c r="C7349" s="86" t="s">
        <v>164</v>
      </c>
      <c r="D7349" s="86" t="s">
        <v>174</v>
      </c>
      <c r="E7349" s="86" t="s">
        <v>4084</v>
      </c>
      <c r="F7349" s="86" t="s">
        <v>4084</v>
      </c>
      <c r="G7349" s="86" t="s">
        <v>4084</v>
      </c>
      <c r="H7349" s="144">
        <v>360</v>
      </c>
      <c r="I7349" s="86" t="s">
        <v>1060</v>
      </c>
      <c r="J7349" s="47" t="s">
        <v>3325</v>
      </c>
      <c r="K7349" s="47" t="s">
        <v>3767</v>
      </c>
      <c r="L7349" s="47" t="s">
        <v>35</v>
      </c>
      <c r="M7349" s="86" t="s">
        <v>4085</v>
      </c>
      <c r="O7349" s="47" t="s">
        <v>410</v>
      </c>
      <c r="P7349" s="47" t="s">
        <v>46</v>
      </c>
      <c r="Q7349" s="14">
        <v>0.02</v>
      </c>
      <c r="R7349" s="143" t="s">
        <v>4086</v>
      </c>
      <c r="S7349" s="47"/>
      <c r="T7349" s="6">
        <v>0</v>
      </c>
      <c r="U7349" s="6">
        <v>10000</v>
      </c>
      <c r="V7349" s="6">
        <v>5688.8</v>
      </c>
      <c r="W7349" s="6">
        <f t="shared" si="1138"/>
        <v>4311.2</v>
      </c>
      <c r="X7349" s="6">
        <f t="shared" si="1142"/>
        <v>5577.2549019607841</v>
      </c>
      <c r="Y7349" s="13">
        <f t="shared" si="1135"/>
        <v>0</v>
      </c>
      <c r="Z7349" s="66">
        <v>0</v>
      </c>
      <c r="AA7349" s="6">
        <v>0</v>
      </c>
      <c r="AB7349" s="4">
        <f t="shared" si="1136"/>
        <v>5577.2549019607841</v>
      </c>
      <c r="AC7349" s="6">
        <f t="shared" si="1134"/>
        <v>111.5450980392161</v>
      </c>
      <c r="AD7349" s="6">
        <f t="shared" si="1139"/>
        <v>5688.8</v>
      </c>
      <c r="AE7349" s="14">
        <f>VLOOKUP(I7349,[2]媒体政策预估表!A:N,MATCH(O7349,[2]媒体政策预估表!$A$2:$M$2,0),0)</f>
        <v>7.0000000000000007E-2</v>
      </c>
      <c r="AF7349" s="6">
        <f t="shared" si="1141"/>
        <v>398.21600000000007</v>
      </c>
      <c r="AG7349" s="14">
        <v>0</v>
      </c>
      <c r="AH7349" s="64">
        <f t="shared" si="1140"/>
        <v>5688.8</v>
      </c>
      <c r="AJ7349" s="126" t="e">
        <v>#N/A</v>
      </c>
      <c r="AK7349" s="80">
        <f t="shared" si="1137"/>
        <v>0</v>
      </c>
      <c r="AL7349" s="85"/>
      <c r="AM7349" s="85"/>
    </row>
    <row r="7350" spans="1:39" s="86" customFormat="1" ht="13.25" hidden="1" customHeight="1" x14ac:dyDescent="0.3">
      <c r="A7350" s="89" t="s">
        <v>3978</v>
      </c>
      <c r="B7350" s="86" t="s">
        <v>35</v>
      </c>
      <c r="C7350" s="86" t="s">
        <v>164</v>
      </c>
      <c r="D7350" s="86" t="s">
        <v>174</v>
      </c>
      <c r="E7350" s="86" t="s">
        <v>1696</v>
      </c>
      <c r="F7350" s="86" t="s">
        <v>1696</v>
      </c>
      <c r="G7350" s="86" t="s">
        <v>1696</v>
      </c>
      <c r="H7350" s="144">
        <v>360</v>
      </c>
      <c r="I7350" s="86" t="s">
        <v>1060</v>
      </c>
      <c r="J7350" s="47" t="s">
        <v>3325</v>
      </c>
      <c r="K7350" s="47" t="s">
        <v>3767</v>
      </c>
      <c r="L7350" s="47" t="s">
        <v>35</v>
      </c>
      <c r="M7350" s="86" t="s">
        <v>1696</v>
      </c>
      <c r="O7350" s="47" t="s">
        <v>410</v>
      </c>
      <c r="P7350" s="47" t="s">
        <v>46</v>
      </c>
      <c r="Q7350" s="14">
        <v>0.02</v>
      </c>
      <c r="R7350" s="143" t="s">
        <v>1697</v>
      </c>
      <c r="S7350" s="47"/>
      <c r="T7350" s="6">
        <v>64388.5</v>
      </c>
      <c r="U7350" s="6">
        <v>700000</v>
      </c>
      <c r="V7350" s="6">
        <v>634641.9</v>
      </c>
      <c r="W7350" s="6">
        <f t="shared" si="1138"/>
        <v>129746.59999999998</v>
      </c>
      <c r="X7350" s="6">
        <f t="shared" si="1142"/>
        <v>622197.9411764706</v>
      </c>
      <c r="Y7350" s="13">
        <f t="shared" si="1135"/>
        <v>0</v>
      </c>
      <c r="Z7350" s="66">
        <v>0</v>
      </c>
      <c r="AA7350" s="6">
        <v>0</v>
      </c>
      <c r="AB7350" s="4">
        <f t="shared" si="1136"/>
        <v>622197.9411764706</v>
      </c>
      <c r="AC7350" s="6">
        <f t="shared" si="1134"/>
        <v>12443.958823529421</v>
      </c>
      <c r="AD7350" s="6">
        <f t="shared" si="1139"/>
        <v>634641.9</v>
      </c>
      <c r="AE7350" s="14">
        <f>VLOOKUP(I7350,[2]媒体政策预估表!A:N,MATCH(O7350,[2]媒体政策预估表!$A$2:$M$2,0),0)</f>
        <v>7.0000000000000007E-2</v>
      </c>
      <c r="AF7350" s="6">
        <f t="shared" si="1141"/>
        <v>44424.933000000005</v>
      </c>
      <c r="AG7350" s="14">
        <v>0</v>
      </c>
      <c r="AH7350" s="64">
        <f t="shared" si="1140"/>
        <v>634641.9</v>
      </c>
      <c r="AJ7350" s="126" t="e">
        <v>#N/A</v>
      </c>
      <c r="AK7350" s="80">
        <f t="shared" si="1137"/>
        <v>0</v>
      </c>
      <c r="AL7350" s="85"/>
      <c r="AM7350" s="85"/>
    </row>
    <row r="7351" spans="1:39" s="86" customFormat="1" ht="13.25" hidden="1" customHeight="1" x14ac:dyDescent="0.3">
      <c r="A7351" s="89" t="s">
        <v>3978</v>
      </c>
      <c r="B7351" s="86" t="s">
        <v>35</v>
      </c>
      <c r="C7351" s="86" t="s">
        <v>164</v>
      </c>
      <c r="D7351" s="86" t="s">
        <v>174</v>
      </c>
      <c r="E7351" s="86" t="s">
        <v>1700</v>
      </c>
      <c r="F7351" s="86" t="s">
        <v>1700</v>
      </c>
      <c r="G7351" s="86" t="s">
        <v>1700</v>
      </c>
      <c r="H7351" s="144">
        <v>360</v>
      </c>
      <c r="I7351" s="86" t="s">
        <v>1060</v>
      </c>
      <c r="J7351" s="47" t="s">
        <v>3325</v>
      </c>
      <c r="K7351" s="47" t="s">
        <v>3767</v>
      </c>
      <c r="L7351" s="47" t="s">
        <v>35</v>
      </c>
      <c r="M7351" s="86" t="s">
        <v>1700</v>
      </c>
      <c r="O7351" s="47" t="s">
        <v>410</v>
      </c>
      <c r="P7351" s="47" t="s">
        <v>41</v>
      </c>
      <c r="Q7351" s="14">
        <v>0</v>
      </c>
      <c r="R7351" s="143" t="s">
        <v>2055</v>
      </c>
      <c r="S7351" s="47"/>
      <c r="T7351" s="6">
        <v>0</v>
      </c>
      <c r="U7351" s="6">
        <v>50000</v>
      </c>
      <c r="V7351" s="6">
        <v>22799.799999999996</v>
      </c>
      <c r="W7351" s="6">
        <f t="shared" si="1138"/>
        <v>27200.200000000004</v>
      </c>
      <c r="X7351" s="6">
        <f t="shared" si="1142"/>
        <v>22799.799999999996</v>
      </c>
      <c r="Y7351" s="13">
        <f t="shared" si="1135"/>
        <v>0</v>
      </c>
      <c r="Z7351" s="66">
        <v>0</v>
      </c>
      <c r="AA7351" s="6">
        <v>0</v>
      </c>
      <c r="AB7351" s="4">
        <f t="shared" si="1136"/>
        <v>22799.799999999996</v>
      </c>
      <c r="AC7351" s="6">
        <f t="shared" si="1134"/>
        <v>0</v>
      </c>
      <c r="AD7351" s="6">
        <f t="shared" si="1139"/>
        <v>22799.799999999996</v>
      </c>
      <c r="AE7351" s="14">
        <f>VLOOKUP(I7351,[2]媒体政策预估表!A:N,MATCH(O7351,[2]媒体政策预估表!$A$2:$M$2,0),0)</f>
        <v>7.0000000000000007E-2</v>
      </c>
      <c r="AF7351" s="6">
        <f t="shared" si="1141"/>
        <v>1595.9859999999999</v>
      </c>
      <c r="AG7351" s="14">
        <v>0</v>
      </c>
      <c r="AH7351" s="64">
        <f t="shared" si="1140"/>
        <v>22799.799999999996</v>
      </c>
      <c r="AJ7351" s="126" t="e">
        <v>#N/A</v>
      </c>
      <c r="AK7351" s="80">
        <f t="shared" si="1137"/>
        <v>0</v>
      </c>
      <c r="AL7351" s="85"/>
      <c r="AM7351" s="85"/>
    </row>
    <row r="7352" spans="1:39" s="86" customFormat="1" ht="13.25" hidden="1" customHeight="1" x14ac:dyDescent="0.3">
      <c r="A7352" s="89" t="s">
        <v>3978</v>
      </c>
      <c r="B7352" s="86" t="s">
        <v>35</v>
      </c>
      <c r="C7352" s="86" t="s">
        <v>164</v>
      </c>
      <c r="D7352" s="86" t="s">
        <v>174</v>
      </c>
      <c r="E7352" s="86" t="s">
        <v>1700</v>
      </c>
      <c r="F7352" s="86" t="s">
        <v>1700</v>
      </c>
      <c r="G7352" s="86" t="s">
        <v>1700</v>
      </c>
      <c r="H7352" s="144">
        <v>360</v>
      </c>
      <c r="I7352" s="86" t="s">
        <v>1060</v>
      </c>
      <c r="J7352" s="47" t="s">
        <v>3325</v>
      </c>
      <c r="K7352" s="47" t="s">
        <v>3767</v>
      </c>
      <c r="L7352" s="47" t="s">
        <v>35</v>
      </c>
      <c r="M7352" s="86" t="s">
        <v>1701</v>
      </c>
      <c r="O7352" s="47" t="s">
        <v>410</v>
      </c>
      <c r="P7352" s="47" t="s">
        <v>41</v>
      </c>
      <c r="Q7352" s="14">
        <v>0</v>
      </c>
      <c r="R7352" s="143" t="s">
        <v>1702</v>
      </c>
      <c r="S7352" s="47"/>
      <c r="T7352" s="6">
        <v>12699.910000000003</v>
      </c>
      <c r="U7352" s="6">
        <v>150000</v>
      </c>
      <c r="V7352" s="6">
        <v>137539.9</v>
      </c>
      <c r="W7352" s="6">
        <f t="shared" si="1138"/>
        <v>25160.010000000009</v>
      </c>
      <c r="X7352" s="6">
        <f t="shared" si="1142"/>
        <v>137539.9</v>
      </c>
      <c r="Y7352" s="13">
        <f t="shared" si="1135"/>
        <v>0</v>
      </c>
      <c r="Z7352" s="66">
        <v>0</v>
      </c>
      <c r="AA7352" s="6">
        <v>0</v>
      </c>
      <c r="AB7352" s="4">
        <f t="shared" si="1136"/>
        <v>137539.9</v>
      </c>
      <c r="AC7352" s="6">
        <f t="shared" si="1134"/>
        <v>0</v>
      </c>
      <c r="AD7352" s="6">
        <f t="shared" si="1139"/>
        <v>137539.9</v>
      </c>
      <c r="AE7352" s="14">
        <f>VLOOKUP(I7352,[2]媒体政策预估表!A:N,MATCH(O7352,[2]媒体政策预估表!$A$2:$M$2,0),0)</f>
        <v>7.0000000000000007E-2</v>
      </c>
      <c r="AF7352" s="6">
        <f t="shared" si="1141"/>
        <v>9627.7929999999997</v>
      </c>
      <c r="AG7352" s="14">
        <v>0</v>
      </c>
      <c r="AH7352" s="64">
        <f t="shared" si="1140"/>
        <v>137539.9</v>
      </c>
      <c r="AJ7352" s="126" t="e">
        <v>#N/A</v>
      </c>
      <c r="AK7352" s="80">
        <f t="shared" si="1137"/>
        <v>0</v>
      </c>
      <c r="AL7352" s="85"/>
      <c r="AM7352" s="85"/>
    </row>
    <row r="7353" spans="1:39" s="86" customFormat="1" ht="13.25" hidden="1" customHeight="1" x14ac:dyDescent="0.3">
      <c r="A7353" s="89" t="s">
        <v>3978</v>
      </c>
      <c r="B7353" s="86" t="s">
        <v>35</v>
      </c>
      <c r="C7353" s="86" t="s">
        <v>164</v>
      </c>
      <c r="D7353" s="86" t="s">
        <v>174</v>
      </c>
      <c r="E7353" s="86" t="s">
        <v>1703</v>
      </c>
      <c r="F7353" s="86" t="s">
        <v>1703</v>
      </c>
      <c r="G7353" s="86" t="s">
        <v>1703</v>
      </c>
      <c r="H7353" s="144">
        <v>360</v>
      </c>
      <c r="I7353" s="86" t="s">
        <v>1060</v>
      </c>
      <c r="J7353" s="47" t="s">
        <v>3325</v>
      </c>
      <c r="K7353" s="47" t="s">
        <v>3767</v>
      </c>
      <c r="L7353" s="47" t="s">
        <v>35</v>
      </c>
      <c r="M7353" s="86" t="s">
        <v>1703</v>
      </c>
      <c r="O7353" s="47" t="s">
        <v>410</v>
      </c>
      <c r="P7353" s="47" t="s">
        <v>41</v>
      </c>
      <c r="Q7353" s="14">
        <v>0</v>
      </c>
      <c r="R7353" s="143" t="s">
        <v>1704</v>
      </c>
      <c r="S7353" s="47"/>
      <c r="T7353" s="6">
        <v>8427.3099999999831</v>
      </c>
      <c r="U7353" s="6">
        <v>50000</v>
      </c>
      <c r="V7353" s="6">
        <v>51621.7</v>
      </c>
      <c r="W7353" s="6">
        <f t="shared" si="1138"/>
        <v>6805.609999999986</v>
      </c>
      <c r="X7353" s="6">
        <f t="shared" si="1142"/>
        <v>51621.7</v>
      </c>
      <c r="Y7353" s="13">
        <f t="shared" si="1135"/>
        <v>0</v>
      </c>
      <c r="Z7353" s="66">
        <v>0</v>
      </c>
      <c r="AA7353" s="6">
        <v>0</v>
      </c>
      <c r="AB7353" s="4">
        <f t="shared" si="1136"/>
        <v>51621.7</v>
      </c>
      <c r="AC7353" s="6">
        <f t="shared" si="1134"/>
        <v>0</v>
      </c>
      <c r="AD7353" s="6">
        <f t="shared" si="1139"/>
        <v>51621.7</v>
      </c>
      <c r="AE7353" s="14">
        <f>VLOOKUP(I7353,[2]媒体政策预估表!A:N,MATCH(O7353,[2]媒体政策预估表!$A$2:$M$2,0),0)</f>
        <v>7.0000000000000007E-2</v>
      </c>
      <c r="AF7353" s="6">
        <f t="shared" si="1141"/>
        <v>3613.5190000000002</v>
      </c>
      <c r="AG7353" s="14">
        <v>0</v>
      </c>
      <c r="AH7353" s="64">
        <f t="shared" si="1140"/>
        <v>51621.7</v>
      </c>
      <c r="AJ7353" s="126" t="e">
        <v>#N/A</v>
      </c>
      <c r="AK7353" s="80">
        <f t="shared" si="1137"/>
        <v>0</v>
      </c>
      <c r="AL7353" s="85"/>
      <c r="AM7353" s="85"/>
    </row>
    <row r="7354" spans="1:39" s="86" customFormat="1" ht="13.25" hidden="1" customHeight="1" x14ac:dyDescent="0.3">
      <c r="A7354" s="89" t="s">
        <v>3978</v>
      </c>
      <c r="B7354" s="86" t="s">
        <v>35</v>
      </c>
      <c r="C7354" s="86" t="s">
        <v>164</v>
      </c>
      <c r="D7354" s="86" t="s">
        <v>174</v>
      </c>
      <c r="E7354" s="86" t="s">
        <v>1703</v>
      </c>
      <c r="F7354" s="86" t="s">
        <v>1703</v>
      </c>
      <c r="G7354" s="86" t="s">
        <v>1703</v>
      </c>
      <c r="H7354" s="144">
        <v>360</v>
      </c>
      <c r="I7354" s="86" t="s">
        <v>1060</v>
      </c>
      <c r="J7354" s="47" t="s">
        <v>3325</v>
      </c>
      <c r="K7354" s="47" t="s">
        <v>3767</v>
      </c>
      <c r="L7354" s="47" t="s">
        <v>35</v>
      </c>
      <c r="M7354" s="86" t="s">
        <v>1707</v>
      </c>
      <c r="O7354" s="47" t="s">
        <v>410</v>
      </c>
      <c r="P7354" s="47" t="s">
        <v>41</v>
      </c>
      <c r="Q7354" s="14">
        <v>0</v>
      </c>
      <c r="R7354" s="143" t="s">
        <v>1708</v>
      </c>
      <c r="S7354" s="47"/>
      <c r="T7354" s="6">
        <v>7795.3599999999933</v>
      </c>
      <c r="U7354" s="6">
        <v>40000</v>
      </c>
      <c r="V7354" s="6">
        <v>43418.8</v>
      </c>
      <c r="W7354" s="6">
        <f t="shared" si="1138"/>
        <v>4376.5599999999904</v>
      </c>
      <c r="X7354" s="6">
        <f t="shared" si="1142"/>
        <v>43418.8</v>
      </c>
      <c r="Y7354" s="13">
        <f t="shared" si="1135"/>
        <v>0</v>
      </c>
      <c r="Z7354" s="66">
        <v>0</v>
      </c>
      <c r="AA7354" s="6">
        <v>0</v>
      </c>
      <c r="AB7354" s="4">
        <f t="shared" si="1136"/>
        <v>43418.8</v>
      </c>
      <c r="AC7354" s="6">
        <f t="shared" si="1134"/>
        <v>0</v>
      </c>
      <c r="AD7354" s="6">
        <f t="shared" si="1139"/>
        <v>43418.8</v>
      </c>
      <c r="AE7354" s="14">
        <f>VLOOKUP(I7354,[2]媒体政策预估表!A:N,MATCH(O7354,[2]媒体政策预估表!$A$2:$M$2,0),0)</f>
        <v>7.0000000000000007E-2</v>
      </c>
      <c r="AF7354" s="6">
        <f t="shared" si="1141"/>
        <v>3039.3160000000007</v>
      </c>
      <c r="AG7354" s="14">
        <v>0</v>
      </c>
      <c r="AH7354" s="64">
        <f t="shared" si="1140"/>
        <v>43418.8</v>
      </c>
      <c r="AJ7354" s="126" t="e">
        <v>#N/A</v>
      </c>
      <c r="AK7354" s="80">
        <f t="shared" si="1137"/>
        <v>0</v>
      </c>
      <c r="AL7354" s="85"/>
      <c r="AM7354" s="85"/>
    </row>
    <row r="7355" spans="1:39" s="86" customFormat="1" ht="13.25" hidden="1" customHeight="1" x14ac:dyDescent="0.3">
      <c r="A7355" s="89" t="s">
        <v>3978</v>
      </c>
      <c r="B7355" s="86" t="s">
        <v>35</v>
      </c>
      <c r="C7355" s="86" t="s">
        <v>164</v>
      </c>
      <c r="D7355" s="86" t="s">
        <v>174</v>
      </c>
      <c r="E7355" s="86" t="s">
        <v>1703</v>
      </c>
      <c r="F7355" s="86" t="s">
        <v>1703</v>
      </c>
      <c r="G7355" s="86" t="s">
        <v>1703</v>
      </c>
      <c r="H7355" s="144">
        <v>360</v>
      </c>
      <c r="I7355" s="86" t="s">
        <v>1060</v>
      </c>
      <c r="J7355" s="47" t="s">
        <v>3325</v>
      </c>
      <c r="K7355" s="47" t="s">
        <v>3767</v>
      </c>
      <c r="L7355" s="47" t="s">
        <v>35</v>
      </c>
      <c r="M7355" s="86" t="s">
        <v>1709</v>
      </c>
      <c r="O7355" s="47" t="s">
        <v>410</v>
      </c>
      <c r="P7355" s="47" t="s">
        <v>41</v>
      </c>
      <c r="Q7355" s="14">
        <v>0</v>
      </c>
      <c r="R7355" s="143" t="s">
        <v>1710</v>
      </c>
      <c r="S7355" s="47"/>
      <c r="T7355" s="6">
        <v>5794.2000000000153</v>
      </c>
      <c r="U7355" s="6">
        <v>5000</v>
      </c>
      <c r="V7355" s="6">
        <v>9787.1</v>
      </c>
      <c r="W7355" s="6">
        <f t="shared" si="1138"/>
        <v>1007.1000000000149</v>
      </c>
      <c r="X7355" s="6">
        <f t="shared" si="1142"/>
        <v>9787.1</v>
      </c>
      <c r="Y7355" s="13">
        <f t="shared" si="1135"/>
        <v>0</v>
      </c>
      <c r="Z7355" s="66">
        <v>0</v>
      </c>
      <c r="AA7355" s="6">
        <v>0</v>
      </c>
      <c r="AB7355" s="4">
        <f t="shared" si="1136"/>
        <v>9787.1</v>
      </c>
      <c r="AC7355" s="6">
        <f t="shared" si="1134"/>
        <v>0</v>
      </c>
      <c r="AD7355" s="6">
        <f t="shared" si="1139"/>
        <v>9787.1</v>
      </c>
      <c r="AE7355" s="14">
        <f>VLOOKUP(I7355,[2]媒体政策预估表!A:N,MATCH(O7355,[2]媒体政策预估表!$A$2:$M$2,0),0)</f>
        <v>7.0000000000000007E-2</v>
      </c>
      <c r="AF7355" s="6">
        <f t="shared" si="1141"/>
        <v>685.09700000000009</v>
      </c>
      <c r="AG7355" s="14">
        <v>0</v>
      </c>
      <c r="AH7355" s="64">
        <f t="shared" si="1140"/>
        <v>9787.1</v>
      </c>
      <c r="AJ7355" s="126" t="e">
        <v>#N/A</v>
      </c>
      <c r="AK7355" s="80">
        <f t="shared" si="1137"/>
        <v>0</v>
      </c>
      <c r="AL7355" s="85"/>
      <c r="AM7355" s="85"/>
    </row>
    <row r="7356" spans="1:39" s="86" customFormat="1" ht="13.25" hidden="1" customHeight="1" x14ac:dyDescent="0.3">
      <c r="A7356" s="89" t="s">
        <v>3978</v>
      </c>
      <c r="B7356" s="86" t="s">
        <v>35</v>
      </c>
      <c r="C7356" s="86" t="s">
        <v>164</v>
      </c>
      <c r="D7356" s="86" t="s">
        <v>174</v>
      </c>
      <c r="E7356" s="86" t="s">
        <v>1711</v>
      </c>
      <c r="F7356" s="86" t="s">
        <v>1711</v>
      </c>
      <c r="G7356" s="86" t="s">
        <v>1711</v>
      </c>
      <c r="H7356" s="143">
        <v>360</v>
      </c>
      <c r="I7356" s="86" t="s">
        <v>1060</v>
      </c>
      <c r="J7356" s="47" t="s">
        <v>3325</v>
      </c>
      <c r="K7356" s="47" t="s">
        <v>3767</v>
      </c>
      <c r="L7356" s="47" t="s">
        <v>35</v>
      </c>
      <c r="M7356" s="86" t="s">
        <v>1711</v>
      </c>
      <c r="O7356" s="47" t="s">
        <v>45</v>
      </c>
      <c r="P7356" s="47" t="s">
        <v>41</v>
      </c>
      <c r="Q7356" s="14">
        <v>0</v>
      </c>
      <c r="R7356" s="143" t="s">
        <v>1712</v>
      </c>
      <c r="S7356" s="47"/>
      <c r="T7356" s="6">
        <v>43826.424679999996</v>
      </c>
      <c r="U7356" s="6">
        <v>-13565.03</v>
      </c>
      <c r="V7356" s="6">
        <v>0</v>
      </c>
      <c r="W7356" s="6">
        <f t="shared" si="1138"/>
        <v>30261.394679999998</v>
      </c>
      <c r="X7356" s="6">
        <f t="shared" si="1142"/>
        <v>0</v>
      </c>
      <c r="Y7356" s="13">
        <f t="shared" si="1135"/>
        <v>0</v>
      </c>
      <c r="Z7356" s="66">
        <v>0</v>
      </c>
      <c r="AA7356" s="6">
        <v>0</v>
      </c>
      <c r="AB7356" s="4">
        <f t="shared" si="1136"/>
        <v>0</v>
      </c>
      <c r="AC7356" s="6">
        <f t="shared" si="1134"/>
        <v>0</v>
      </c>
      <c r="AD7356" s="6">
        <f t="shared" si="1139"/>
        <v>0</v>
      </c>
      <c r="AE7356" s="14">
        <f>VLOOKUP(I7356,[2]媒体政策预估表!A:N,MATCH(O7356,[2]媒体政策预估表!$A$2:$M$2,0),0)</f>
        <v>0.1</v>
      </c>
      <c r="AF7356" s="6">
        <f t="shared" si="1141"/>
        <v>0</v>
      </c>
      <c r="AG7356" s="14">
        <v>0</v>
      </c>
      <c r="AH7356" s="64">
        <f t="shared" si="1140"/>
        <v>0</v>
      </c>
      <c r="AJ7356" s="126" t="e">
        <v>#N/A</v>
      </c>
      <c r="AK7356" s="80">
        <f t="shared" si="1137"/>
        <v>0</v>
      </c>
      <c r="AL7356" s="85"/>
      <c r="AM7356" s="85"/>
    </row>
    <row r="7357" spans="1:39" s="86" customFormat="1" ht="13.25" hidden="1" customHeight="1" x14ac:dyDescent="0.3">
      <c r="A7357" s="89" t="s">
        <v>3978</v>
      </c>
      <c r="B7357" s="86" t="s">
        <v>35</v>
      </c>
      <c r="C7357" s="86" t="s">
        <v>164</v>
      </c>
      <c r="D7357" s="86" t="s">
        <v>174</v>
      </c>
      <c r="E7357" s="86" t="s">
        <v>1711</v>
      </c>
      <c r="F7357" s="86" t="s">
        <v>1711</v>
      </c>
      <c r="G7357" s="86" t="s">
        <v>1711</v>
      </c>
      <c r="H7357" s="143">
        <v>360</v>
      </c>
      <c r="I7357" s="86" t="s">
        <v>1060</v>
      </c>
      <c r="J7357" s="47" t="s">
        <v>3325</v>
      </c>
      <c r="K7357" s="47" t="s">
        <v>3767</v>
      </c>
      <c r="L7357" s="47" t="s">
        <v>35</v>
      </c>
      <c r="M7357" s="86" t="s">
        <v>1711</v>
      </c>
      <c r="O7357" s="47" t="s">
        <v>45</v>
      </c>
      <c r="P7357" s="47" t="s">
        <v>41</v>
      </c>
      <c r="Q7357" s="14">
        <v>0</v>
      </c>
      <c r="R7357" s="143" t="s">
        <v>1987</v>
      </c>
      <c r="S7357" s="47"/>
      <c r="T7357" s="6">
        <v>21906.031590000006</v>
      </c>
      <c r="U7357" s="6">
        <v>-21906.03</v>
      </c>
      <c r="V7357" s="6">
        <v>0</v>
      </c>
      <c r="W7357" s="6">
        <f t="shared" si="1138"/>
        <v>1.590000007126946E-3</v>
      </c>
      <c r="X7357" s="6">
        <f t="shared" si="1142"/>
        <v>0</v>
      </c>
      <c r="Y7357" s="13">
        <f t="shared" si="1135"/>
        <v>0</v>
      </c>
      <c r="Z7357" s="66">
        <v>0</v>
      </c>
      <c r="AA7357" s="6">
        <v>0</v>
      </c>
      <c r="AB7357" s="4">
        <f t="shared" si="1136"/>
        <v>0</v>
      </c>
      <c r="AC7357" s="6">
        <f t="shared" si="1134"/>
        <v>0</v>
      </c>
      <c r="AD7357" s="6">
        <f t="shared" si="1139"/>
        <v>0</v>
      </c>
      <c r="AE7357" s="14">
        <f>VLOOKUP(I7357,[2]媒体政策预估表!A:N,MATCH(O7357,[2]媒体政策预估表!$A$2:$M$2,0),0)</f>
        <v>0.1</v>
      </c>
      <c r="AF7357" s="6">
        <f t="shared" si="1141"/>
        <v>0</v>
      </c>
      <c r="AG7357" s="14">
        <v>0</v>
      </c>
      <c r="AH7357" s="64">
        <f t="shared" si="1140"/>
        <v>0</v>
      </c>
      <c r="AJ7357" s="126" t="e">
        <v>#N/A</v>
      </c>
      <c r="AK7357" s="80">
        <f t="shared" si="1137"/>
        <v>0</v>
      </c>
      <c r="AL7357" s="85"/>
      <c r="AM7357" s="85"/>
    </row>
    <row r="7358" spans="1:39" s="86" customFormat="1" ht="13.25" hidden="1" customHeight="1" x14ac:dyDescent="0.3">
      <c r="A7358" s="89" t="s">
        <v>3978</v>
      </c>
      <c r="B7358" s="86" t="s">
        <v>35</v>
      </c>
      <c r="C7358" s="86" t="s">
        <v>164</v>
      </c>
      <c r="D7358" s="86" t="s">
        <v>174</v>
      </c>
      <c r="E7358" s="86" t="s">
        <v>1711</v>
      </c>
      <c r="F7358" s="86" t="s">
        <v>1711</v>
      </c>
      <c r="G7358" s="86" t="s">
        <v>1711</v>
      </c>
      <c r="H7358" s="143">
        <v>360</v>
      </c>
      <c r="I7358" s="86" t="s">
        <v>1060</v>
      </c>
      <c r="J7358" s="47" t="s">
        <v>3325</v>
      </c>
      <c r="K7358" s="47" t="s">
        <v>3767</v>
      </c>
      <c r="L7358" s="47" t="s">
        <v>35</v>
      </c>
      <c r="M7358" s="86" t="s">
        <v>1711</v>
      </c>
      <c r="O7358" s="47" t="s">
        <v>410</v>
      </c>
      <c r="P7358" s="47" t="s">
        <v>41</v>
      </c>
      <c r="Q7358" s="14">
        <v>0</v>
      </c>
      <c r="R7358" s="143" t="s">
        <v>1713</v>
      </c>
      <c r="S7358" s="47"/>
      <c r="T7358" s="6">
        <v>75961.850000000006</v>
      </c>
      <c r="U7358" s="6">
        <v>-75957.25</v>
      </c>
      <c r="V7358" s="6">
        <v>0</v>
      </c>
      <c r="W7358" s="6">
        <f t="shared" si="1138"/>
        <v>4.6000000000058208</v>
      </c>
      <c r="X7358" s="6">
        <f t="shared" si="1142"/>
        <v>0</v>
      </c>
      <c r="Y7358" s="13">
        <f t="shared" si="1135"/>
        <v>0</v>
      </c>
      <c r="Z7358" s="66">
        <v>0</v>
      </c>
      <c r="AA7358" s="6">
        <v>0</v>
      </c>
      <c r="AB7358" s="4">
        <f t="shared" si="1136"/>
        <v>0</v>
      </c>
      <c r="AC7358" s="6">
        <f t="shared" ref="AC7358:AC7421" si="1143">IF(P7358="返现",X7358*Q7358,V7358-X7358)</f>
        <v>0</v>
      </c>
      <c r="AD7358" s="6">
        <f t="shared" si="1139"/>
        <v>0</v>
      </c>
      <c r="AE7358" s="14">
        <f>VLOOKUP(I7358,[2]媒体政策预估表!A:N,MATCH(O7358,[2]媒体政策预估表!$A$2:$M$2,0),0)</f>
        <v>7.0000000000000007E-2</v>
      </c>
      <c r="AF7358" s="6">
        <f t="shared" si="1141"/>
        <v>0</v>
      </c>
      <c r="AG7358" s="14">
        <v>0</v>
      </c>
      <c r="AH7358" s="64">
        <f t="shared" si="1140"/>
        <v>0</v>
      </c>
      <c r="AJ7358" s="126" t="e">
        <v>#N/A</v>
      </c>
      <c r="AK7358" s="80">
        <f t="shared" si="1137"/>
        <v>0</v>
      </c>
      <c r="AL7358" s="85"/>
      <c r="AM7358" s="85"/>
    </row>
    <row r="7359" spans="1:39" s="86" customFormat="1" ht="13.25" hidden="1" customHeight="1" x14ac:dyDescent="0.3">
      <c r="A7359" s="89" t="s">
        <v>3978</v>
      </c>
      <c r="B7359" s="86" t="s">
        <v>35</v>
      </c>
      <c r="C7359" s="86" t="s">
        <v>164</v>
      </c>
      <c r="D7359" s="86" t="s">
        <v>174</v>
      </c>
      <c r="E7359" s="86" t="s">
        <v>1715</v>
      </c>
      <c r="F7359" s="86" t="s">
        <v>1716</v>
      </c>
      <c r="G7359" s="86" t="s">
        <v>1715</v>
      </c>
      <c r="H7359" s="144">
        <v>360</v>
      </c>
      <c r="I7359" s="86" t="s">
        <v>1060</v>
      </c>
      <c r="J7359" s="47" t="s">
        <v>3325</v>
      </c>
      <c r="K7359" s="47" t="s">
        <v>3767</v>
      </c>
      <c r="L7359" s="47" t="s">
        <v>35</v>
      </c>
      <c r="M7359" s="86" t="s">
        <v>1715</v>
      </c>
      <c r="O7359" s="47" t="s">
        <v>410</v>
      </c>
      <c r="P7359" s="47" t="s">
        <v>41</v>
      </c>
      <c r="Q7359" s="14">
        <v>0</v>
      </c>
      <c r="R7359" s="143" t="s">
        <v>1717</v>
      </c>
      <c r="S7359" s="47"/>
      <c r="T7359" s="6">
        <v>10098.170000000042</v>
      </c>
      <c r="U7359" s="6">
        <v>130000</v>
      </c>
      <c r="V7359" s="6">
        <v>139548</v>
      </c>
      <c r="W7359" s="6">
        <f t="shared" si="1138"/>
        <v>550.17000000004191</v>
      </c>
      <c r="X7359" s="6">
        <f t="shared" si="1142"/>
        <v>139548</v>
      </c>
      <c r="Y7359" s="13">
        <f t="shared" si="1135"/>
        <v>0</v>
      </c>
      <c r="Z7359" s="66">
        <v>0</v>
      </c>
      <c r="AA7359" s="6">
        <v>0</v>
      </c>
      <c r="AB7359" s="4">
        <f t="shared" si="1136"/>
        <v>139548</v>
      </c>
      <c r="AC7359" s="6">
        <f t="shared" si="1143"/>
        <v>0</v>
      </c>
      <c r="AD7359" s="6">
        <f t="shared" si="1139"/>
        <v>139548</v>
      </c>
      <c r="AE7359" s="14">
        <f>VLOOKUP(I7359,[2]媒体政策预估表!A:N,MATCH(O7359,[2]媒体政策预估表!$A$2:$M$2,0),0)</f>
        <v>7.0000000000000007E-2</v>
      </c>
      <c r="AF7359" s="6">
        <f t="shared" si="1141"/>
        <v>9768.36</v>
      </c>
      <c r="AG7359" s="14">
        <v>0</v>
      </c>
      <c r="AH7359" s="64">
        <f t="shared" si="1140"/>
        <v>139548</v>
      </c>
      <c r="AJ7359" s="126" t="e">
        <v>#N/A</v>
      </c>
      <c r="AK7359" s="80">
        <f t="shared" si="1137"/>
        <v>0</v>
      </c>
      <c r="AL7359" s="85"/>
      <c r="AM7359" s="85"/>
    </row>
    <row r="7360" spans="1:39" s="86" customFormat="1" ht="13.25" hidden="1" customHeight="1" x14ac:dyDescent="0.3">
      <c r="A7360" s="89" t="s">
        <v>3978</v>
      </c>
      <c r="B7360" s="86" t="s">
        <v>35</v>
      </c>
      <c r="C7360" s="86" t="s">
        <v>164</v>
      </c>
      <c r="D7360" s="86" t="s">
        <v>174</v>
      </c>
      <c r="E7360" s="86" t="s">
        <v>1718</v>
      </c>
      <c r="F7360" s="86" t="s">
        <v>1719</v>
      </c>
      <c r="G7360" s="86" t="s">
        <v>1718</v>
      </c>
      <c r="H7360" s="144">
        <v>360</v>
      </c>
      <c r="I7360" s="86" t="s">
        <v>1060</v>
      </c>
      <c r="J7360" s="47" t="s">
        <v>3325</v>
      </c>
      <c r="K7360" s="47" t="s">
        <v>3767</v>
      </c>
      <c r="L7360" s="47" t="s">
        <v>35</v>
      </c>
      <c r="M7360" s="86" t="s">
        <v>1720</v>
      </c>
      <c r="O7360" s="47" t="s">
        <v>410</v>
      </c>
      <c r="P7360" s="47" t="s">
        <v>41</v>
      </c>
      <c r="Q7360" s="14">
        <v>0</v>
      </c>
      <c r="R7360" s="143" t="s">
        <v>1721</v>
      </c>
      <c r="S7360" s="47"/>
      <c r="T7360" s="6">
        <v>69771.268420000037</v>
      </c>
      <c r="U7360" s="6">
        <v>100000</v>
      </c>
      <c r="V7360" s="6">
        <v>114423.26</v>
      </c>
      <c r="W7360" s="6">
        <f t="shared" si="1138"/>
        <v>55348.008420000042</v>
      </c>
      <c r="X7360" s="6">
        <f t="shared" si="1142"/>
        <v>114423.26</v>
      </c>
      <c r="Y7360" s="13">
        <f t="shared" si="1135"/>
        <v>0</v>
      </c>
      <c r="Z7360" s="66">
        <v>0</v>
      </c>
      <c r="AA7360" s="6">
        <v>0</v>
      </c>
      <c r="AB7360" s="4">
        <f t="shared" si="1136"/>
        <v>114423.26</v>
      </c>
      <c r="AC7360" s="6">
        <f t="shared" si="1143"/>
        <v>0</v>
      </c>
      <c r="AD7360" s="6">
        <f t="shared" si="1139"/>
        <v>114423.26</v>
      </c>
      <c r="AE7360" s="14">
        <f>VLOOKUP(I7360,[2]媒体政策预估表!A:N,MATCH(O7360,[2]媒体政策预估表!$A$2:$M$2,0),0)</f>
        <v>7.0000000000000007E-2</v>
      </c>
      <c r="AF7360" s="6">
        <f t="shared" si="1141"/>
        <v>8009.6282000000001</v>
      </c>
      <c r="AG7360" s="14">
        <v>0</v>
      </c>
      <c r="AH7360" s="64">
        <f t="shared" si="1140"/>
        <v>114423.26</v>
      </c>
      <c r="AJ7360" s="126" t="e">
        <v>#N/A</v>
      </c>
      <c r="AK7360" s="80">
        <f t="shared" si="1137"/>
        <v>0</v>
      </c>
      <c r="AL7360" s="85"/>
      <c r="AM7360" s="85"/>
    </row>
    <row r="7361" spans="1:39" s="86" customFormat="1" ht="13.25" hidden="1" customHeight="1" x14ac:dyDescent="0.3">
      <c r="A7361" s="89" t="s">
        <v>3978</v>
      </c>
      <c r="B7361" s="86" t="s">
        <v>35</v>
      </c>
      <c r="C7361" s="86" t="s">
        <v>164</v>
      </c>
      <c r="D7361" s="86" t="s">
        <v>174</v>
      </c>
      <c r="E7361" s="86" t="s">
        <v>1718</v>
      </c>
      <c r="F7361" s="86" t="s">
        <v>1719</v>
      </c>
      <c r="G7361" s="86" t="s">
        <v>1718</v>
      </c>
      <c r="H7361" s="144">
        <v>360</v>
      </c>
      <c r="I7361" s="86" t="s">
        <v>1060</v>
      </c>
      <c r="J7361" s="47" t="s">
        <v>3325</v>
      </c>
      <c r="K7361" s="47" t="s">
        <v>3767</v>
      </c>
      <c r="L7361" s="47" t="s">
        <v>35</v>
      </c>
      <c r="M7361" s="86" t="s">
        <v>1722</v>
      </c>
      <c r="O7361" s="47" t="s">
        <v>410</v>
      </c>
      <c r="P7361" s="47" t="s">
        <v>41</v>
      </c>
      <c r="Q7361" s="14">
        <v>0</v>
      </c>
      <c r="R7361" s="143" t="s">
        <v>1988</v>
      </c>
      <c r="S7361" s="47"/>
      <c r="T7361" s="6">
        <v>20971.199999999997</v>
      </c>
      <c r="U7361" s="6">
        <v>50000</v>
      </c>
      <c r="V7361" s="6">
        <v>45024.5</v>
      </c>
      <c r="W7361" s="6">
        <f t="shared" si="1138"/>
        <v>25946.699999999997</v>
      </c>
      <c r="X7361" s="6">
        <f t="shared" si="1142"/>
        <v>45024.5</v>
      </c>
      <c r="Y7361" s="13">
        <f t="shared" si="1135"/>
        <v>0</v>
      </c>
      <c r="Z7361" s="66">
        <v>0</v>
      </c>
      <c r="AA7361" s="6">
        <v>0</v>
      </c>
      <c r="AB7361" s="4">
        <f t="shared" si="1136"/>
        <v>45024.5</v>
      </c>
      <c r="AC7361" s="6">
        <f t="shared" si="1143"/>
        <v>0</v>
      </c>
      <c r="AD7361" s="6">
        <f t="shared" si="1139"/>
        <v>45024.5</v>
      </c>
      <c r="AE7361" s="14">
        <f>VLOOKUP(I7361,[2]媒体政策预估表!A:N,MATCH(O7361,[2]媒体政策预估表!$A$2:$M$2,0),0)</f>
        <v>7.0000000000000007E-2</v>
      </c>
      <c r="AF7361" s="6">
        <f t="shared" si="1141"/>
        <v>3151.7150000000001</v>
      </c>
      <c r="AG7361" s="14">
        <v>0</v>
      </c>
      <c r="AH7361" s="64">
        <f t="shared" si="1140"/>
        <v>45024.5</v>
      </c>
      <c r="AJ7361" s="126" t="e">
        <v>#N/A</v>
      </c>
      <c r="AK7361" s="80">
        <f t="shared" si="1137"/>
        <v>0</v>
      </c>
      <c r="AL7361" s="85"/>
      <c r="AM7361" s="85"/>
    </row>
    <row r="7362" spans="1:39" s="86" customFormat="1" ht="13.25" hidden="1" customHeight="1" x14ac:dyDescent="0.3">
      <c r="A7362" s="89" t="s">
        <v>3978</v>
      </c>
      <c r="B7362" s="86" t="s">
        <v>35</v>
      </c>
      <c r="C7362" s="86" t="s">
        <v>164</v>
      </c>
      <c r="D7362" s="86" t="s">
        <v>174</v>
      </c>
      <c r="E7362" s="86" t="s">
        <v>1718</v>
      </c>
      <c r="F7362" s="86" t="s">
        <v>1719</v>
      </c>
      <c r="G7362" s="86" t="s">
        <v>1718</v>
      </c>
      <c r="H7362" s="144">
        <v>360</v>
      </c>
      <c r="I7362" s="86" t="s">
        <v>1060</v>
      </c>
      <c r="J7362" s="47" t="s">
        <v>3325</v>
      </c>
      <c r="K7362" s="47" t="s">
        <v>3767</v>
      </c>
      <c r="L7362" s="47" t="s">
        <v>35</v>
      </c>
      <c r="M7362" s="86" t="s">
        <v>1722</v>
      </c>
      <c r="O7362" s="47" t="s">
        <v>410</v>
      </c>
      <c r="P7362" s="47" t="s">
        <v>41</v>
      </c>
      <c r="Q7362" s="14">
        <v>0</v>
      </c>
      <c r="R7362" s="143" t="s">
        <v>1724</v>
      </c>
      <c r="S7362" s="47"/>
      <c r="T7362" s="6">
        <v>216716.5</v>
      </c>
      <c r="U7362" s="6">
        <v>100000</v>
      </c>
      <c r="V7362" s="6">
        <v>274966.5</v>
      </c>
      <c r="W7362" s="6">
        <f t="shared" si="1138"/>
        <v>41750</v>
      </c>
      <c r="X7362" s="6">
        <f t="shared" si="1142"/>
        <v>274966.5</v>
      </c>
      <c r="Y7362" s="13">
        <f t="shared" si="1135"/>
        <v>0</v>
      </c>
      <c r="Z7362" s="66">
        <v>0</v>
      </c>
      <c r="AA7362" s="6">
        <v>0</v>
      </c>
      <c r="AB7362" s="4">
        <f t="shared" si="1136"/>
        <v>274966.5</v>
      </c>
      <c r="AC7362" s="6">
        <f t="shared" si="1143"/>
        <v>0</v>
      </c>
      <c r="AD7362" s="6">
        <f t="shared" si="1139"/>
        <v>274966.5</v>
      </c>
      <c r="AE7362" s="14">
        <f>VLOOKUP(I7362,[2]媒体政策预估表!A:N,MATCH(O7362,[2]媒体政策预估表!$A$2:$M$2,0),0)</f>
        <v>7.0000000000000007E-2</v>
      </c>
      <c r="AF7362" s="6">
        <f t="shared" si="1141"/>
        <v>19247.655000000002</v>
      </c>
      <c r="AG7362" s="14">
        <v>0</v>
      </c>
      <c r="AH7362" s="64">
        <f t="shared" si="1140"/>
        <v>274966.5</v>
      </c>
      <c r="AJ7362" s="126" t="e">
        <v>#N/A</v>
      </c>
      <c r="AK7362" s="80">
        <f t="shared" si="1137"/>
        <v>0</v>
      </c>
      <c r="AL7362" s="85"/>
      <c r="AM7362" s="85"/>
    </row>
    <row r="7363" spans="1:39" s="86" customFormat="1" ht="13.25" hidden="1" customHeight="1" x14ac:dyDescent="0.3">
      <c r="A7363" s="89" t="s">
        <v>3978</v>
      </c>
      <c r="B7363" s="86" t="s">
        <v>35</v>
      </c>
      <c r="C7363" s="86" t="s">
        <v>164</v>
      </c>
      <c r="D7363" s="86" t="s">
        <v>174</v>
      </c>
      <c r="E7363" s="86" t="s">
        <v>1718</v>
      </c>
      <c r="F7363" s="86" t="s">
        <v>1719</v>
      </c>
      <c r="G7363" s="86" t="s">
        <v>1718</v>
      </c>
      <c r="H7363" s="144">
        <v>360</v>
      </c>
      <c r="I7363" s="86" t="s">
        <v>1060</v>
      </c>
      <c r="J7363" s="47" t="s">
        <v>3325</v>
      </c>
      <c r="K7363" s="47" t="s">
        <v>3767</v>
      </c>
      <c r="L7363" s="47" t="s">
        <v>35</v>
      </c>
      <c r="M7363" s="86" t="s">
        <v>1725</v>
      </c>
      <c r="O7363" s="47" t="s">
        <v>410</v>
      </c>
      <c r="P7363" s="47" t="s">
        <v>41</v>
      </c>
      <c r="Q7363" s="14">
        <v>0</v>
      </c>
      <c r="R7363" s="143" t="s">
        <v>1726</v>
      </c>
      <c r="S7363" s="47"/>
      <c r="T7363" s="6">
        <v>43323.400000000009</v>
      </c>
      <c r="U7363" s="6">
        <v>100000</v>
      </c>
      <c r="V7363" s="6">
        <v>92843.199999999997</v>
      </c>
      <c r="W7363" s="6">
        <f t="shared" si="1138"/>
        <v>50480.200000000026</v>
      </c>
      <c r="X7363" s="6">
        <f t="shared" si="1142"/>
        <v>92843.199999999997</v>
      </c>
      <c r="Y7363" s="13">
        <f t="shared" ref="Y7363:Y7426" si="1144">IF(X7363-AD7363&lt;=0,0,IF(P7363="返现",MAX(X7363-AC7363-AD7363,0),MAX(X7363-AD7363)))</f>
        <v>0</v>
      </c>
      <c r="Z7363" s="66">
        <v>0</v>
      </c>
      <c r="AA7363" s="6">
        <v>0</v>
      </c>
      <c r="AB7363" s="4">
        <f t="shared" ref="AB7363:AB7426" si="1145">X7363+AA7363</f>
        <v>92843.199999999997</v>
      </c>
      <c r="AC7363" s="6">
        <f t="shared" si="1143"/>
        <v>0</v>
      </c>
      <c r="AD7363" s="6">
        <f t="shared" si="1139"/>
        <v>92843.199999999997</v>
      </c>
      <c r="AE7363" s="14">
        <f>VLOOKUP(I7363,[2]媒体政策预估表!A:N,MATCH(O7363,[2]媒体政策预估表!$A$2:$M$2,0),0)</f>
        <v>7.0000000000000007E-2</v>
      </c>
      <c r="AF7363" s="6">
        <f t="shared" si="1141"/>
        <v>6499.0240000000003</v>
      </c>
      <c r="AG7363" s="14">
        <v>0</v>
      </c>
      <c r="AH7363" s="64">
        <f t="shared" si="1140"/>
        <v>92843.199999999997</v>
      </c>
      <c r="AJ7363" s="126" t="e">
        <v>#N/A</v>
      </c>
      <c r="AK7363" s="80">
        <f t="shared" ref="AK7363:AK7426" si="1146">X7363+AA7363-AB7363</f>
        <v>0</v>
      </c>
      <c r="AL7363" s="85"/>
      <c r="AM7363" s="85"/>
    </row>
    <row r="7364" spans="1:39" s="86" customFormat="1" ht="13.25" hidden="1" customHeight="1" x14ac:dyDescent="0.3">
      <c r="A7364" s="89" t="s">
        <v>3978</v>
      </c>
      <c r="B7364" s="86" t="s">
        <v>35</v>
      </c>
      <c r="C7364" s="86" t="s">
        <v>164</v>
      </c>
      <c r="D7364" s="86" t="s">
        <v>174</v>
      </c>
      <c r="E7364" s="86" t="s">
        <v>1730</v>
      </c>
      <c r="F7364" s="86" t="s">
        <v>1730</v>
      </c>
      <c r="G7364" s="86" t="s">
        <v>1730</v>
      </c>
      <c r="H7364" s="144">
        <v>360</v>
      </c>
      <c r="I7364" s="86" t="s">
        <v>1060</v>
      </c>
      <c r="J7364" s="47" t="s">
        <v>3325</v>
      </c>
      <c r="K7364" s="47" t="s">
        <v>3767</v>
      </c>
      <c r="L7364" s="47" t="s">
        <v>35</v>
      </c>
      <c r="M7364" s="86" t="s">
        <v>1730</v>
      </c>
      <c r="O7364" s="47" t="s">
        <v>410</v>
      </c>
      <c r="P7364" s="47" t="s">
        <v>41</v>
      </c>
      <c r="Q7364" s="14">
        <v>0</v>
      </c>
      <c r="R7364" s="143" t="s">
        <v>1731</v>
      </c>
      <c r="S7364" s="47"/>
      <c r="T7364" s="6">
        <v>4758.82</v>
      </c>
      <c r="U7364" s="6">
        <v>25000</v>
      </c>
      <c r="V7364" s="6">
        <v>28179.599999999999</v>
      </c>
      <c r="W7364" s="6">
        <f t="shared" si="1138"/>
        <v>1579.2200000000012</v>
      </c>
      <c r="X7364" s="6">
        <f t="shared" si="1142"/>
        <v>28179.599999999999</v>
      </c>
      <c r="Y7364" s="13">
        <f t="shared" si="1144"/>
        <v>0</v>
      </c>
      <c r="Z7364" s="66">
        <v>0</v>
      </c>
      <c r="AA7364" s="6">
        <v>0</v>
      </c>
      <c r="AB7364" s="4">
        <v>20988.212156862748</v>
      </c>
      <c r="AC7364" s="6">
        <f t="shared" si="1143"/>
        <v>0</v>
      </c>
      <c r="AD7364" s="6">
        <f t="shared" si="1139"/>
        <v>28179.599999999999</v>
      </c>
      <c r="AE7364" s="14">
        <f>VLOOKUP(I7364,[2]媒体政策预估表!A:N,MATCH(O7364,[2]媒体政策预估表!$A$2:$M$2,0),0)</f>
        <v>7.0000000000000007E-2</v>
      </c>
      <c r="AF7364" s="6">
        <f t="shared" si="1141"/>
        <v>1972.5720000000001</v>
      </c>
      <c r="AG7364" s="14">
        <v>0</v>
      </c>
      <c r="AH7364" s="64">
        <f t="shared" si="1140"/>
        <v>28179.599999999999</v>
      </c>
      <c r="AJ7364" s="126" t="s">
        <v>4225</v>
      </c>
      <c r="AK7364" s="80">
        <f t="shared" si="1146"/>
        <v>7191.3878431372505</v>
      </c>
      <c r="AL7364" s="85"/>
      <c r="AM7364" s="85"/>
    </row>
    <row r="7365" spans="1:39" s="86" customFormat="1" ht="13.25" hidden="1" customHeight="1" x14ac:dyDescent="0.3">
      <c r="A7365" s="89" t="s">
        <v>3978</v>
      </c>
      <c r="B7365" s="86" t="s">
        <v>35</v>
      </c>
      <c r="C7365" s="86" t="s">
        <v>164</v>
      </c>
      <c r="D7365" s="86" t="s">
        <v>174</v>
      </c>
      <c r="E7365" s="86" t="s">
        <v>1732</v>
      </c>
      <c r="F7365" s="86" t="s">
        <v>1732</v>
      </c>
      <c r="G7365" s="86" t="s">
        <v>1732</v>
      </c>
      <c r="H7365" s="144">
        <v>360</v>
      </c>
      <c r="I7365" s="86" t="s">
        <v>1060</v>
      </c>
      <c r="J7365" s="47" t="s">
        <v>3325</v>
      </c>
      <c r="K7365" s="47" t="s">
        <v>3767</v>
      </c>
      <c r="L7365" s="47" t="s">
        <v>35</v>
      </c>
      <c r="M7365" s="86" t="s">
        <v>1733</v>
      </c>
      <c r="O7365" s="47" t="s">
        <v>410</v>
      </c>
      <c r="P7365" s="47" t="s">
        <v>41</v>
      </c>
      <c r="Q7365" s="14">
        <v>0</v>
      </c>
      <c r="R7365" s="143" t="s">
        <v>1734</v>
      </c>
      <c r="S7365" s="47"/>
      <c r="T7365" s="6">
        <v>14524.100000000006</v>
      </c>
      <c r="U7365" s="6">
        <v>120000</v>
      </c>
      <c r="V7365" s="6">
        <v>107191.9</v>
      </c>
      <c r="W7365" s="6">
        <f t="shared" si="1138"/>
        <v>27332.200000000012</v>
      </c>
      <c r="X7365" s="6">
        <f t="shared" si="1142"/>
        <v>107191.9</v>
      </c>
      <c r="Y7365" s="13">
        <f t="shared" si="1144"/>
        <v>0</v>
      </c>
      <c r="Z7365" s="66">
        <v>0</v>
      </c>
      <c r="AA7365" s="6">
        <v>0</v>
      </c>
      <c r="AB7365" s="4">
        <f t="shared" si="1145"/>
        <v>107191.9</v>
      </c>
      <c r="AC7365" s="6">
        <f t="shared" si="1143"/>
        <v>0</v>
      </c>
      <c r="AD7365" s="6">
        <f t="shared" si="1139"/>
        <v>107191.9</v>
      </c>
      <c r="AE7365" s="14">
        <f>VLOOKUP(I7365,[2]媒体政策预估表!A:N,MATCH(O7365,[2]媒体政策预估表!$A$2:$M$2,0),0)</f>
        <v>7.0000000000000007E-2</v>
      </c>
      <c r="AF7365" s="6">
        <f t="shared" si="1141"/>
        <v>7503.433</v>
      </c>
      <c r="AG7365" s="14">
        <v>0</v>
      </c>
      <c r="AH7365" s="64">
        <f t="shared" si="1140"/>
        <v>107191.9</v>
      </c>
      <c r="AJ7365" s="126" t="e">
        <v>#N/A</v>
      </c>
      <c r="AK7365" s="80">
        <f t="shared" si="1146"/>
        <v>0</v>
      </c>
      <c r="AL7365" s="85"/>
      <c r="AM7365" s="85"/>
    </row>
    <row r="7366" spans="1:39" s="86" customFormat="1" ht="13.25" hidden="1" customHeight="1" x14ac:dyDescent="0.3">
      <c r="A7366" s="89" t="s">
        <v>3978</v>
      </c>
      <c r="B7366" s="86" t="s">
        <v>35</v>
      </c>
      <c r="C7366" s="86" t="s">
        <v>164</v>
      </c>
      <c r="D7366" s="86" t="s">
        <v>174</v>
      </c>
      <c r="E7366" s="86" t="s">
        <v>1735</v>
      </c>
      <c r="F7366" s="86" t="s">
        <v>1735</v>
      </c>
      <c r="G7366" s="86" t="s">
        <v>1735</v>
      </c>
      <c r="H7366" s="144">
        <v>360</v>
      </c>
      <c r="I7366" s="86" t="s">
        <v>1060</v>
      </c>
      <c r="J7366" s="47" t="s">
        <v>3325</v>
      </c>
      <c r="K7366" s="47" t="s">
        <v>3767</v>
      </c>
      <c r="L7366" s="47" t="s">
        <v>35</v>
      </c>
      <c r="M7366" s="86" t="s">
        <v>1735</v>
      </c>
      <c r="O7366" s="47" t="s">
        <v>410</v>
      </c>
      <c r="P7366" s="47" t="s">
        <v>41</v>
      </c>
      <c r="Q7366" s="14">
        <v>0</v>
      </c>
      <c r="R7366" s="143" t="s">
        <v>1736</v>
      </c>
      <c r="S7366" s="47"/>
      <c r="T7366" s="6">
        <v>77056.989999999932</v>
      </c>
      <c r="U7366" s="6">
        <v>41495.71</v>
      </c>
      <c r="V7366" s="6">
        <v>118552.7</v>
      </c>
      <c r="W7366" s="6">
        <f t="shared" si="1138"/>
        <v>0</v>
      </c>
      <c r="X7366" s="6">
        <f t="shared" si="1142"/>
        <v>118552.7</v>
      </c>
      <c r="Y7366" s="13">
        <f t="shared" si="1144"/>
        <v>0</v>
      </c>
      <c r="Z7366" s="66">
        <v>0</v>
      </c>
      <c r="AA7366" s="6">
        <v>0</v>
      </c>
      <c r="AB7366" s="4">
        <f t="shared" si="1145"/>
        <v>118552.7</v>
      </c>
      <c r="AC7366" s="6">
        <f t="shared" si="1143"/>
        <v>0</v>
      </c>
      <c r="AD7366" s="6">
        <f t="shared" si="1139"/>
        <v>118552.7</v>
      </c>
      <c r="AE7366" s="14">
        <f>VLOOKUP(I7366,[2]媒体政策预估表!A:N,MATCH(O7366,[2]媒体政策预估表!$A$2:$M$2,0),0)</f>
        <v>7.0000000000000007E-2</v>
      </c>
      <c r="AF7366" s="6">
        <f t="shared" si="1141"/>
        <v>8298.6890000000003</v>
      </c>
      <c r="AG7366" s="14">
        <v>0</v>
      </c>
      <c r="AH7366" s="64">
        <f t="shared" si="1140"/>
        <v>118552.7</v>
      </c>
      <c r="AJ7366" s="126" t="e">
        <v>#N/A</v>
      </c>
      <c r="AK7366" s="80">
        <f t="shared" si="1146"/>
        <v>0</v>
      </c>
      <c r="AL7366" s="85"/>
      <c r="AM7366" s="85"/>
    </row>
    <row r="7367" spans="1:39" s="86" customFormat="1" ht="13.25" hidden="1" customHeight="1" x14ac:dyDescent="0.3">
      <c r="A7367" s="89" t="s">
        <v>3978</v>
      </c>
      <c r="B7367" s="86" t="s">
        <v>35</v>
      </c>
      <c r="C7367" s="86" t="s">
        <v>164</v>
      </c>
      <c r="D7367" s="86" t="s">
        <v>174</v>
      </c>
      <c r="E7367" s="86" t="s">
        <v>1737</v>
      </c>
      <c r="F7367" s="86" t="s">
        <v>1737</v>
      </c>
      <c r="G7367" s="86" t="s">
        <v>1737</v>
      </c>
      <c r="H7367" s="144">
        <v>360</v>
      </c>
      <c r="I7367" s="86" t="s">
        <v>1060</v>
      </c>
      <c r="J7367" s="47" t="s">
        <v>3325</v>
      </c>
      <c r="K7367" s="47" t="s">
        <v>3767</v>
      </c>
      <c r="L7367" s="47" t="s">
        <v>35</v>
      </c>
      <c r="M7367" s="86" t="s">
        <v>1740</v>
      </c>
      <c r="O7367" s="47" t="s">
        <v>410</v>
      </c>
      <c r="P7367" s="47" t="s">
        <v>46</v>
      </c>
      <c r="Q7367" s="14">
        <v>0.01</v>
      </c>
      <c r="R7367" s="143" t="s">
        <v>1741</v>
      </c>
      <c r="S7367" s="47"/>
      <c r="T7367" s="6">
        <v>26817.9</v>
      </c>
      <c r="U7367" s="6">
        <v>10000</v>
      </c>
      <c r="V7367" s="6">
        <v>27024.2</v>
      </c>
      <c r="W7367" s="6">
        <f t="shared" si="1138"/>
        <v>9793.7000000000007</v>
      </c>
      <c r="X7367" s="6">
        <f t="shared" si="1142"/>
        <v>26756.633663366338</v>
      </c>
      <c r="Y7367" s="13">
        <f t="shared" si="1144"/>
        <v>0</v>
      </c>
      <c r="Z7367" s="66">
        <v>0</v>
      </c>
      <c r="AA7367" s="6">
        <v>0</v>
      </c>
      <c r="AB7367" s="4">
        <f t="shared" si="1145"/>
        <v>26756.633663366338</v>
      </c>
      <c r="AC7367" s="6">
        <f t="shared" si="1143"/>
        <v>267.56633663366301</v>
      </c>
      <c r="AD7367" s="6">
        <f t="shared" si="1139"/>
        <v>27024.2</v>
      </c>
      <c r="AE7367" s="14">
        <f>VLOOKUP(I7367,[2]媒体政策预估表!A:N,MATCH(O7367,[2]媒体政策预估表!$A$2:$M$2,0),0)</f>
        <v>7.0000000000000007E-2</v>
      </c>
      <c r="AF7367" s="6">
        <f t="shared" si="1141"/>
        <v>1891.6940000000002</v>
      </c>
      <c r="AG7367" s="14">
        <v>0</v>
      </c>
      <c r="AH7367" s="64">
        <f t="shared" si="1140"/>
        <v>27024.2</v>
      </c>
      <c r="AJ7367" s="126" t="e">
        <v>#N/A</v>
      </c>
      <c r="AK7367" s="80">
        <f t="shared" si="1146"/>
        <v>0</v>
      </c>
      <c r="AL7367" s="85"/>
      <c r="AM7367" s="85"/>
    </row>
    <row r="7368" spans="1:39" s="86" customFormat="1" ht="13.25" hidden="1" customHeight="1" x14ac:dyDescent="0.3">
      <c r="A7368" s="89" t="s">
        <v>3978</v>
      </c>
      <c r="B7368" s="86" t="s">
        <v>35</v>
      </c>
      <c r="C7368" s="86" t="s">
        <v>164</v>
      </c>
      <c r="D7368" s="86" t="s">
        <v>174</v>
      </c>
      <c r="E7368" s="86" t="s">
        <v>1742</v>
      </c>
      <c r="F7368" s="86" t="s">
        <v>1742</v>
      </c>
      <c r="G7368" s="86" t="s">
        <v>1742</v>
      </c>
      <c r="H7368" s="144">
        <v>360</v>
      </c>
      <c r="I7368" s="86" t="s">
        <v>1060</v>
      </c>
      <c r="J7368" s="47" t="s">
        <v>3325</v>
      </c>
      <c r="K7368" s="47" t="s">
        <v>3767</v>
      </c>
      <c r="L7368" s="47" t="s">
        <v>35</v>
      </c>
      <c r="M7368" s="86" t="s">
        <v>1743</v>
      </c>
      <c r="O7368" s="47" t="s">
        <v>410</v>
      </c>
      <c r="P7368" s="47" t="s">
        <v>41</v>
      </c>
      <c r="Q7368" s="14">
        <v>0</v>
      </c>
      <c r="R7368" s="143" t="s">
        <v>1744</v>
      </c>
      <c r="S7368" s="47"/>
      <c r="T7368" s="6">
        <v>51142.65000000014</v>
      </c>
      <c r="U7368" s="6">
        <v>450000</v>
      </c>
      <c r="V7368" s="6">
        <v>351364.2</v>
      </c>
      <c r="W7368" s="6">
        <f t="shared" si="1138"/>
        <v>149778.45000000013</v>
      </c>
      <c r="X7368" s="6">
        <f t="shared" si="1142"/>
        <v>351364.2</v>
      </c>
      <c r="Y7368" s="13">
        <f t="shared" si="1144"/>
        <v>0</v>
      </c>
      <c r="Z7368" s="66">
        <v>0</v>
      </c>
      <c r="AA7368" s="6">
        <v>0</v>
      </c>
      <c r="AB7368" s="4">
        <f t="shared" si="1145"/>
        <v>351364.2</v>
      </c>
      <c r="AC7368" s="6">
        <f t="shared" si="1143"/>
        <v>0</v>
      </c>
      <c r="AD7368" s="6">
        <f t="shared" si="1139"/>
        <v>351364.2</v>
      </c>
      <c r="AE7368" s="14">
        <f>VLOOKUP(I7368,[2]媒体政策预估表!A:N,MATCH(O7368,[2]媒体政策预估表!$A$2:$M$2,0),0)</f>
        <v>7.0000000000000007E-2</v>
      </c>
      <c r="AF7368" s="6">
        <f t="shared" si="1141"/>
        <v>24595.494000000002</v>
      </c>
      <c r="AG7368" s="14">
        <v>0</v>
      </c>
      <c r="AH7368" s="64">
        <f t="shared" si="1140"/>
        <v>351364.2</v>
      </c>
      <c r="AJ7368" s="126" t="e">
        <v>#N/A</v>
      </c>
      <c r="AK7368" s="80">
        <f t="shared" si="1146"/>
        <v>0</v>
      </c>
      <c r="AL7368" s="85"/>
      <c r="AM7368" s="85"/>
    </row>
    <row r="7369" spans="1:39" s="86" customFormat="1" ht="13.25" hidden="1" customHeight="1" x14ac:dyDescent="0.3">
      <c r="A7369" s="89" t="s">
        <v>3978</v>
      </c>
      <c r="B7369" s="86" t="s">
        <v>35</v>
      </c>
      <c r="C7369" s="86" t="s">
        <v>164</v>
      </c>
      <c r="D7369" s="86" t="s">
        <v>174</v>
      </c>
      <c r="E7369" s="86" t="s">
        <v>1742</v>
      </c>
      <c r="F7369" s="86" t="s">
        <v>1742</v>
      </c>
      <c r="G7369" s="86" t="s">
        <v>1742</v>
      </c>
      <c r="H7369" s="144">
        <v>360</v>
      </c>
      <c r="I7369" s="86" t="s">
        <v>1060</v>
      </c>
      <c r="J7369" s="47" t="s">
        <v>3325</v>
      </c>
      <c r="K7369" s="47" t="s">
        <v>3767</v>
      </c>
      <c r="L7369" s="47" t="s">
        <v>35</v>
      </c>
      <c r="M7369" s="86" t="s">
        <v>1742</v>
      </c>
      <c r="O7369" s="47" t="s">
        <v>410</v>
      </c>
      <c r="P7369" s="47" t="s">
        <v>41</v>
      </c>
      <c r="Q7369" s="14">
        <v>0</v>
      </c>
      <c r="R7369" s="143" t="s">
        <v>1745</v>
      </c>
      <c r="S7369" s="47"/>
      <c r="T7369" s="6">
        <v>130676.05006999976</v>
      </c>
      <c r="U7369" s="6">
        <v>700000</v>
      </c>
      <c r="V7369" s="6">
        <v>662413.5</v>
      </c>
      <c r="W7369" s="6">
        <f t="shared" si="1138"/>
        <v>168262.55006999976</v>
      </c>
      <c r="X7369" s="6">
        <f t="shared" si="1142"/>
        <v>662413.5</v>
      </c>
      <c r="Y7369" s="13">
        <f t="shared" si="1144"/>
        <v>0</v>
      </c>
      <c r="Z7369" s="66">
        <v>0</v>
      </c>
      <c r="AA7369" s="6">
        <v>0</v>
      </c>
      <c r="AB7369" s="4">
        <f t="shared" si="1145"/>
        <v>662413.5</v>
      </c>
      <c r="AC7369" s="6">
        <f t="shared" si="1143"/>
        <v>0</v>
      </c>
      <c r="AD7369" s="6">
        <f t="shared" si="1139"/>
        <v>662413.5</v>
      </c>
      <c r="AE7369" s="14">
        <f>VLOOKUP(I7369,[2]媒体政策预估表!A:N,MATCH(O7369,[2]媒体政策预估表!$A$2:$M$2,0),0)</f>
        <v>7.0000000000000007E-2</v>
      </c>
      <c r="AF7369" s="6">
        <f t="shared" si="1141"/>
        <v>46368.945000000007</v>
      </c>
      <c r="AG7369" s="14">
        <v>0</v>
      </c>
      <c r="AH7369" s="64">
        <f t="shared" si="1140"/>
        <v>662413.5</v>
      </c>
      <c r="AJ7369" s="126" t="e">
        <v>#N/A</v>
      </c>
      <c r="AK7369" s="80">
        <f t="shared" si="1146"/>
        <v>0</v>
      </c>
      <c r="AL7369" s="85"/>
      <c r="AM7369" s="85"/>
    </row>
    <row r="7370" spans="1:39" s="86" customFormat="1" ht="13.25" hidden="1" customHeight="1" x14ac:dyDescent="0.3">
      <c r="A7370" s="89" t="s">
        <v>3978</v>
      </c>
      <c r="B7370" s="86" t="s">
        <v>35</v>
      </c>
      <c r="C7370" s="86" t="s">
        <v>164</v>
      </c>
      <c r="D7370" s="86" t="s">
        <v>174</v>
      </c>
      <c r="E7370" s="86" t="s">
        <v>1748</v>
      </c>
      <c r="F7370" s="86" t="s">
        <v>1748</v>
      </c>
      <c r="G7370" s="86" t="s">
        <v>1748</v>
      </c>
      <c r="H7370" s="144">
        <v>360</v>
      </c>
      <c r="I7370" s="86" t="s">
        <v>1060</v>
      </c>
      <c r="J7370" s="47" t="s">
        <v>3325</v>
      </c>
      <c r="K7370" s="47" t="s">
        <v>3767</v>
      </c>
      <c r="L7370" s="47" t="s">
        <v>35</v>
      </c>
      <c r="M7370" s="86" t="s">
        <v>1748</v>
      </c>
      <c r="O7370" s="47" t="s">
        <v>410</v>
      </c>
      <c r="P7370" s="47" t="s">
        <v>46</v>
      </c>
      <c r="Q7370" s="14">
        <v>0.02</v>
      </c>
      <c r="R7370" s="143" t="s">
        <v>1749</v>
      </c>
      <c r="S7370" s="47"/>
      <c r="T7370" s="6">
        <v>282681.03000000003</v>
      </c>
      <c r="U7370" s="6">
        <v>1100000</v>
      </c>
      <c r="V7370" s="6">
        <v>1224023.1000000001</v>
      </c>
      <c r="W7370" s="6">
        <f t="shared" si="1138"/>
        <v>158657.92999999993</v>
      </c>
      <c r="X7370" s="6">
        <f t="shared" si="1142"/>
        <v>1200022.6470588236</v>
      </c>
      <c r="Y7370" s="13">
        <f t="shared" si="1144"/>
        <v>0</v>
      </c>
      <c r="Z7370" s="66">
        <v>0</v>
      </c>
      <c r="AA7370" s="6">
        <v>0</v>
      </c>
      <c r="AB7370" s="4">
        <f t="shared" si="1145"/>
        <v>1200022.6470588236</v>
      </c>
      <c r="AC7370" s="6">
        <f t="shared" si="1143"/>
        <v>24000.452941176482</v>
      </c>
      <c r="AD7370" s="6">
        <f t="shared" si="1139"/>
        <v>1224023.1000000001</v>
      </c>
      <c r="AE7370" s="14">
        <f>VLOOKUP(I7370,[2]媒体政策预估表!A:N,MATCH(O7370,[2]媒体政策预估表!$A$2:$M$2,0),0)</f>
        <v>7.0000000000000007E-2</v>
      </c>
      <c r="AF7370" s="6">
        <f t="shared" si="1141"/>
        <v>85681.617000000013</v>
      </c>
      <c r="AG7370" s="14">
        <v>0</v>
      </c>
      <c r="AH7370" s="64">
        <f t="shared" si="1140"/>
        <v>1224023.1000000001</v>
      </c>
      <c r="AJ7370" s="126" t="e">
        <v>#N/A</v>
      </c>
      <c r="AK7370" s="80">
        <f t="shared" si="1146"/>
        <v>0</v>
      </c>
      <c r="AL7370" s="85"/>
      <c r="AM7370" s="85"/>
    </row>
    <row r="7371" spans="1:39" s="86" customFormat="1" ht="13.25" hidden="1" customHeight="1" x14ac:dyDescent="0.3">
      <c r="A7371" s="89" t="s">
        <v>3978</v>
      </c>
      <c r="B7371" s="86" t="s">
        <v>35</v>
      </c>
      <c r="C7371" s="86" t="s">
        <v>164</v>
      </c>
      <c r="D7371" s="86" t="s">
        <v>174</v>
      </c>
      <c r="E7371" s="86" t="s">
        <v>1750</v>
      </c>
      <c r="F7371" s="86" t="s">
        <v>1750</v>
      </c>
      <c r="G7371" s="86" t="s">
        <v>1750</v>
      </c>
      <c r="H7371" s="144">
        <v>360</v>
      </c>
      <c r="I7371" s="86" t="s">
        <v>1060</v>
      </c>
      <c r="J7371" s="47" t="s">
        <v>3325</v>
      </c>
      <c r="K7371" s="47" t="s">
        <v>3767</v>
      </c>
      <c r="L7371" s="47" t="s">
        <v>35</v>
      </c>
      <c r="M7371" s="86" t="s">
        <v>1751</v>
      </c>
      <c r="O7371" s="47" t="s">
        <v>410</v>
      </c>
      <c r="P7371" s="47" t="s">
        <v>41</v>
      </c>
      <c r="Q7371" s="14">
        <v>0</v>
      </c>
      <c r="R7371" s="143" t="s">
        <v>1752</v>
      </c>
      <c r="S7371" s="47"/>
      <c r="T7371" s="6">
        <v>59398.700000000004</v>
      </c>
      <c r="U7371" s="6">
        <v>80000</v>
      </c>
      <c r="V7371" s="6">
        <v>80740.7</v>
      </c>
      <c r="W7371" s="6">
        <f t="shared" si="1138"/>
        <v>58658.000000000015</v>
      </c>
      <c r="X7371" s="6">
        <f t="shared" si="1142"/>
        <v>80740.7</v>
      </c>
      <c r="Y7371" s="13">
        <f t="shared" si="1144"/>
        <v>0</v>
      </c>
      <c r="Z7371" s="66">
        <v>0</v>
      </c>
      <c r="AA7371" s="6">
        <v>0</v>
      </c>
      <c r="AB7371" s="4">
        <f t="shared" si="1145"/>
        <v>80740.7</v>
      </c>
      <c r="AC7371" s="6">
        <f t="shared" si="1143"/>
        <v>0</v>
      </c>
      <c r="AD7371" s="6">
        <f t="shared" si="1139"/>
        <v>80740.7</v>
      </c>
      <c r="AE7371" s="14">
        <f>VLOOKUP(I7371,[2]媒体政策预估表!A:N,MATCH(O7371,[2]媒体政策预估表!$A$2:$M$2,0),0)</f>
        <v>7.0000000000000007E-2</v>
      </c>
      <c r="AF7371" s="6">
        <f t="shared" si="1141"/>
        <v>5651.8490000000002</v>
      </c>
      <c r="AG7371" s="14">
        <v>0</v>
      </c>
      <c r="AH7371" s="64">
        <f t="shared" si="1140"/>
        <v>80740.7</v>
      </c>
      <c r="AJ7371" s="126" t="e">
        <v>#N/A</v>
      </c>
      <c r="AK7371" s="80">
        <f t="shared" si="1146"/>
        <v>0</v>
      </c>
      <c r="AL7371" s="85"/>
      <c r="AM7371" s="85"/>
    </row>
    <row r="7372" spans="1:39" s="86" customFormat="1" ht="13.25" hidden="1" customHeight="1" x14ac:dyDescent="0.3">
      <c r="A7372" s="89" t="s">
        <v>3978</v>
      </c>
      <c r="B7372" s="86" t="s">
        <v>35</v>
      </c>
      <c r="C7372" s="86" t="s">
        <v>164</v>
      </c>
      <c r="D7372" s="86" t="s">
        <v>174</v>
      </c>
      <c r="E7372" s="86" t="s">
        <v>1750</v>
      </c>
      <c r="F7372" s="86" t="s">
        <v>1750</v>
      </c>
      <c r="G7372" s="86" t="s">
        <v>1750</v>
      </c>
      <c r="H7372" s="144">
        <v>360</v>
      </c>
      <c r="I7372" s="86" t="s">
        <v>1060</v>
      </c>
      <c r="J7372" s="47" t="s">
        <v>3325</v>
      </c>
      <c r="K7372" s="47" t="s">
        <v>3767</v>
      </c>
      <c r="L7372" s="47" t="s">
        <v>35</v>
      </c>
      <c r="M7372" s="86" t="s">
        <v>1750</v>
      </c>
      <c r="O7372" s="47" t="s">
        <v>410</v>
      </c>
      <c r="P7372" s="47" t="s">
        <v>41</v>
      </c>
      <c r="Q7372" s="14">
        <v>0</v>
      </c>
      <c r="R7372" s="143" t="s">
        <v>1753</v>
      </c>
      <c r="S7372" s="47"/>
      <c r="T7372" s="6">
        <v>52849.799999999996</v>
      </c>
      <c r="U7372" s="6">
        <v>30000</v>
      </c>
      <c r="V7372" s="6">
        <v>52363.3</v>
      </c>
      <c r="W7372" s="6">
        <f t="shared" si="1138"/>
        <v>30486.499999999985</v>
      </c>
      <c r="X7372" s="6">
        <f t="shared" si="1142"/>
        <v>52363.3</v>
      </c>
      <c r="Y7372" s="13">
        <f t="shared" si="1144"/>
        <v>0</v>
      </c>
      <c r="Z7372" s="66">
        <v>0</v>
      </c>
      <c r="AA7372" s="6">
        <v>0</v>
      </c>
      <c r="AB7372" s="4">
        <f t="shared" si="1145"/>
        <v>52363.3</v>
      </c>
      <c r="AC7372" s="6">
        <f t="shared" si="1143"/>
        <v>0</v>
      </c>
      <c r="AD7372" s="6">
        <f t="shared" si="1139"/>
        <v>52363.3</v>
      </c>
      <c r="AE7372" s="14">
        <f>VLOOKUP(I7372,[2]媒体政策预估表!A:N,MATCH(O7372,[2]媒体政策预估表!$A$2:$M$2,0),0)</f>
        <v>7.0000000000000007E-2</v>
      </c>
      <c r="AF7372" s="6">
        <f t="shared" si="1141"/>
        <v>3665.4310000000005</v>
      </c>
      <c r="AG7372" s="14">
        <v>0</v>
      </c>
      <c r="AH7372" s="64">
        <f t="shared" si="1140"/>
        <v>52363.3</v>
      </c>
      <c r="AJ7372" s="126" t="e">
        <v>#N/A</v>
      </c>
      <c r="AK7372" s="80">
        <f t="shared" si="1146"/>
        <v>0</v>
      </c>
      <c r="AL7372" s="85"/>
      <c r="AM7372" s="85"/>
    </row>
    <row r="7373" spans="1:39" s="86" customFormat="1" ht="13.25" hidden="1" customHeight="1" x14ac:dyDescent="0.3">
      <c r="A7373" s="89" t="s">
        <v>3978</v>
      </c>
      <c r="B7373" s="86" t="s">
        <v>35</v>
      </c>
      <c r="C7373" s="86" t="s">
        <v>164</v>
      </c>
      <c r="D7373" s="86" t="s">
        <v>174</v>
      </c>
      <c r="E7373" s="86" t="s">
        <v>1756</v>
      </c>
      <c r="F7373" s="86" t="s">
        <v>1756</v>
      </c>
      <c r="G7373" s="86" t="s">
        <v>1756</v>
      </c>
      <c r="H7373" s="144">
        <v>360</v>
      </c>
      <c r="I7373" s="86" t="s">
        <v>1060</v>
      </c>
      <c r="J7373" s="47" t="s">
        <v>3325</v>
      </c>
      <c r="K7373" s="47" t="s">
        <v>3767</v>
      </c>
      <c r="L7373" s="47" t="s">
        <v>35</v>
      </c>
      <c r="M7373" s="86" t="s">
        <v>1757</v>
      </c>
      <c r="O7373" s="47" t="s">
        <v>410</v>
      </c>
      <c r="P7373" s="47" t="s">
        <v>41</v>
      </c>
      <c r="Q7373" s="14">
        <v>0</v>
      </c>
      <c r="R7373" s="143" t="s">
        <v>1758</v>
      </c>
      <c r="S7373" s="47"/>
      <c r="T7373" s="6">
        <v>208108.69999999998</v>
      </c>
      <c r="U7373" s="6">
        <v>11450.09</v>
      </c>
      <c r="V7373" s="6">
        <v>24703.200000000001</v>
      </c>
      <c r="W7373" s="6">
        <f t="shared" si="1138"/>
        <v>194855.58999999997</v>
      </c>
      <c r="X7373" s="6">
        <f t="shared" si="1142"/>
        <v>24703.200000000001</v>
      </c>
      <c r="Y7373" s="13">
        <f t="shared" si="1144"/>
        <v>0</v>
      </c>
      <c r="Z7373" s="66">
        <v>0</v>
      </c>
      <c r="AA7373" s="6">
        <v>0</v>
      </c>
      <c r="AB7373" s="4">
        <f t="shared" si="1145"/>
        <v>24703.200000000001</v>
      </c>
      <c r="AC7373" s="6">
        <f t="shared" si="1143"/>
        <v>0</v>
      </c>
      <c r="AD7373" s="6">
        <f t="shared" si="1139"/>
        <v>24703.200000000001</v>
      </c>
      <c r="AE7373" s="14">
        <f>VLOOKUP(I7373,[2]媒体政策预估表!A:N,MATCH(O7373,[2]媒体政策预估表!$A$2:$M$2,0),0)</f>
        <v>7.0000000000000007E-2</v>
      </c>
      <c r="AF7373" s="6">
        <f t="shared" si="1141"/>
        <v>1729.2240000000002</v>
      </c>
      <c r="AG7373" s="14">
        <v>0</v>
      </c>
      <c r="AH7373" s="64">
        <f t="shared" si="1140"/>
        <v>24703.200000000001</v>
      </c>
      <c r="AJ7373" s="126" t="e">
        <v>#N/A</v>
      </c>
      <c r="AK7373" s="80">
        <f t="shared" si="1146"/>
        <v>0</v>
      </c>
      <c r="AL7373" s="85"/>
      <c r="AM7373" s="85"/>
    </row>
    <row r="7374" spans="1:39" s="86" customFormat="1" ht="13.25" hidden="1" customHeight="1" x14ac:dyDescent="0.3">
      <c r="A7374" s="89" t="s">
        <v>3978</v>
      </c>
      <c r="B7374" s="86" t="s">
        <v>35</v>
      </c>
      <c r="C7374" s="86" t="s">
        <v>164</v>
      </c>
      <c r="D7374" s="86" t="s">
        <v>174</v>
      </c>
      <c r="E7374" s="86" t="s">
        <v>1756</v>
      </c>
      <c r="F7374" s="86" t="s">
        <v>1756</v>
      </c>
      <c r="G7374" s="86" t="s">
        <v>1756</v>
      </c>
      <c r="H7374" s="144">
        <v>360</v>
      </c>
      <c r="I7374" s="86" t="s">
        <v>1060</v>
      </c>
      <c r="J7374" s="47" t="s">
        <v>3325</v>
      </c>
      <c r="K7374" s="47" t="s">
        <v>3767</v>
      </c>
      <c r="L7374" s="47" t="s">
        <v>35</v>
      </c>
      <c r="M7374" s="86" t="s">
        <v>1759</v>
      </c>
      <c r="O7374" s="47" t="s">
        <v>410</v>
      </c>
      <c r="P7374" s="47" t="s">
        <v>41</v>
      </c>
      <c r="Q7374" s="14">
        <v>0</v>
      </c>
      <c r="R7374" s="143" t="s">
        <v>1760</v>
      </c>
      <c r="S7374" s="47"/>
      <c r="T7374" s="6">
        <v>769493.39999999991</v>
      </c>
      <c r="U7374" s="6">
        <v>63105.69</v>
      </c>
      <c r="V7374" s="6">
        <v>14961.9</v>
      </c>
      <c r="W7374" s="6">
        <f t="shared" si="1138"/>
        <v>817637.18999999983</v>
      </c>
      <c r="X7374" s="6">
        <f t="shared" si="1142"/>
        <v>14961.9</v>
      </c>
      <c r="Y7374" s="13">
        <f t="shared" si="1144"/>
        <v>0</v>
      </c>
      <c r="Z7374" s="66">
        <v>0</v>
      </c>
      <c r="AA7374" s="6">
        <v>0</v>
      </c>
      <c r="AB7374" s="4">
        <f t="shared" si="1145"/>
        <v>14961.9</v>
      </c>
      <c r="AC7374" s="6">
        <f t="shared" si="1143"/>
        <v>0</v>
      </c>
      <c r="AD7374" s="6">
        <f t="shared" si="1139"/>
        <v>14961.9</v>
      </c>
      <c r="AE7374" s="14">
        <f>VLOOKUP(I7374,[2]媒体政策预估表!A:N,MATCH(O7374,[2]媒体政策预估表!$A$2:$M$2,0),0)</f>
        <v>7.0000000000000007E-2</v>
      </c>
      <c r="AF7374" s="6">
        <f t="shared" si="1141"/>
        <v>1047.3330000000001</v>
      </c>
      <c r="AG7374" s="14">
        <v>0</v>
      </c>
      <c r="AH7374" s="64">
        <f t="shared" si="1140"/>
        <v>14961.9</v>
      </c>
      <c r="AJ7374" s="126" t="e">
        <v>#N/A</v>
      </c>
      <c r="AK7374" s="80">
        <f t="shared" si="1146"/>
        <v>0</v>
      </c>
      <c r="AL7374" s="85"/>
      <c r="AM7374" s="85"/>
    </row>
    <row r="7375" spans="1:39" s="86" customFormat="1" ht="13.25" hidden="1" customHeight="1" x14ac:dyDescent="0.3">
      <c r="A7375" s="89" t="s">
        <v>3978</v>
      </c>
      <c r="B7375" s="86" t="s">
        <v>35</v>
      </c>
      <c r="C7375" s="86" t="s">
        <v>164</v>
      </c>
      <c r="D7375" s="86" t="s">
        <v>174</v>
      </c>
      <c r="E7375" s="86" t="s">
        <v>1761</v>
      </c>
      <c r="F7375" s="86" t="s">
        <v>1761</v>
      </c>
      <c r="G7375" s="86" t="s">
        <v>1761</v>
      </c>
      <c r="H7375" s="144">
        <v>360</v>
      </c>
      <c r="I7375" s="86" t="s">
        <v>1060</v>
      </c>
      <c r="J7375" s="47" t="s">
        <v>3325</v>
      </c>
      <c r="K7375" s="47" t="s">
        <v>3767</v>
      </c>
      <c r="L7375" s="47" t="s">
        <v>35</v>
      </c>
      <c r="M7375" s="86" t="s">
        <v>1761</v>
      </c>
      <c r="O7375" s="47" t="s">
        <v>410</v>
      </c>
      <c r="P7375" s="47" t="s">
        <v>41</v>
      </c>
      <c r="Q7375" s="14">
        <v>0</v>
      </c>
      <c r="R7375" s="143" t="s">
        <v>1762</v>
      </c>
      <c r="S7375" s="47"/>
      <c r="T7375" s="6">
        <v>30131.799999999988</v>
      </c>
      <c r="U7375" s="6">
        <v>250000</v>
      </c>
      <c r="V7375" s="6">
        <v>242596.8</v>
      </c>
      <c r="W7375" s="6">
        <f t="shared" si="1138"/>
        <v>37535</v>
      </c>
      <c r="X7375" s="6">
        <f t="shared" si="1142"/>
        <v>242596.8</v>
      </c>
      <c r="Y7375" s="13">
        <f t="shared" si="1144"/>
        <v>0</v>
      </c>
      <c r="Z7375" s="66">
        <v>0</v>
      </c>
      <c r="AA7375" s="6">
        <v>0</v>
      </c>
      <c r="AB7375" s="4">
        <f t="shared" si="1145"/>
        <v>242596.8</v>
      </c>
      <c r="AC7375" s="6">
        <f t="shared" si="1143"/>
        <v>0</v>
      </c>
      <c r="AD7375" s="6">
        <f t="shared" si="1139"/>
        <v>242596.8</v>
      </c>
      <c r="AE7375" s="14">
        <f>VLOOKUP(I7375,[2]媒体政策预估表!A:N,MATCH(O7375,[2]媒体政策预估表!$A$2:$M$2,0),0)</f>
        <v>7.0000000000000007E-2</v>
      </c>
      <c r="AF7375" s="6">
        <f t="shared" si="1141"/>
        <v>16981.776000000002</v>
      </c>
      <c r="AG7375" s="14">
        <v>0</v>
      </c>
      <c r="AH7375" s="64">
        <f t="shared" si="1140"/>
        <v>242596.8</v>
      </c>
      <c r="AJ7375" s="126" t="e">
        <v>#N/A</v>
      </c>
      <c r="AK7375" s="80">
        <f t="shared" si="1146"/>
        <v>0</v>
      </c>
      <c r="AL7375" s="85"/>
      <c r="AM7375" s="85"/>
    </row>
    <row r="7376" spans="1:39" s="86" customFormat="1" ht="13.25" hidden="1" customHeight="1" x14ac:dyDescent="0.3">
      <c r="A7376" s="89" t="s">
        <v>3978</v>
      </c>
      <c r="B7376" s="86" t="s">
        <v>35</v>
      </c>
      <c r="C7376" s="86" t="s">
        <v>164</v>
      </c>
      <c r="D7376" s="86" t="s">
        <v>174</v>
      </c>
      <c r="E7376" s="86" t="s">
        <v>1763</v>
      </c>
      <c r="F7376" s="86" t="s">
        <v>1763</v>
      </c>
      <c r="G7376" s="86" t="s">
        <v>1763</v>
      </c>
      <c r="H7376" s="144">
        <v>360</v>
      </c>
      <c r="I7376" s="86" t="s">
        <v>1060</v>
      </c>
      <c r="J7376" s="47" t="s">
        <v>3325</v>
      </c>
      <c r="K7376" s="47" t="s">
        <v>3767</v>
      </c>
      <c r="L7376" s="47" t="s">
        <v>35</v>
      </c>
      <c r="M7376" s="86" t="s">
        <v>4087</v>
      </c>
      <c r="O7376" s="47" t="s">
        <v>410</v>
      </c>
      <c r="P7376" s="47" t="s">
        <v>41</v>
      </c>
      <c r="Q7376" s="14">
        <v>0</v>
      </c>
      <c r="R7376" s="143" t="s">
        <v>4088</v>
      </c>
      <c r="S7376" s="47"/>
      <c r="T7376" s="6">
        <v>0</v>
      </c>
      <c r="U7376" s="6">
        <v>10000</v>
      </c>
      <c r="V7376" s="6">
        <v>7628.3</v>
      </c>
      <c r="W7376" s="6">
        <f t="shared" si="1138"/>
        <v>2371.6999999999998</v>
      </c>
      <c r="X7376" s="6">
        <f t="shared" si="1142"/>
        <v>7628.3</v>
      </c>
      <c r="Y7376" s="13">
        <f t="shared" si="1144"/>
        <v>0</v>
      </c>
      <c r="Z7376" s="66">
        <v>0</v>
      </c>
      <c r="AA7376" s="6">
        <v>0</v>
      </c>
      <c r="AB7376" s="4">
        <f t="shared" si="1145"/>
        <v>7628.3</v>
      </c>
      <c r="AC7376" s="6">
        <f t="shared" si="1143"/>
        <v>0</v>
      </c>
      <c r="AD7376" s="6">
        <f t="shared" si="1139"/>
        <v>7628.3</v>
      </c>
      <c r="AE7376" s="14">
        <f>VLOOKUP(I7376,[2]媒体政策预估表!A:N,MATCH(O7376,[2]媒体政策预估表!$A$2:$M$2,0),0)</f>
        <v>7.0000000000000007E-2</v>
      </c>
      <c r="AF7376" s="6">
        <f t="shared" si="1141"/>
        <v>533.98100000000011</v>
      </c>
      <c r="AG7376" s="14">
        <v>0</v>
      </c>
      <c r="AH7376" s="64">
        <f t="shared" si="1140"/>
        <v>7628.3</v>
      </c>
      <c r="AJ7376" s="126" t="e">
        <v>#N/A</v>
      </c>
      <c r="AK7376" s="80">
        <f t="shared" si="1146"/>
        <v>0</v>
      </c>
      <c r="AL7376" s="85"/>
      <c r="AM7376" s="85"/>
    </row>
    <row r="7377" spans="1:39" s="86" customFormat="1" ht="13.25" hidden="1" customHeight="1" x14ac:dyDescent="0.3">
      <c r="A7377" s="89" t="s">
        <v>3978</v>
      </c>
      <c r="B7377" s="86" t="s">
        <v>35</v>
      </c>
      <c r="C7377" s="86" t="s">
        <v>164</v>
      </c>
      <c r="D7377" s="86" t="s">
        <v>174</v>
      </c>
      <c r="E7377" s="86" t="s">
        <v>1763</v>
      </c>
      <c r="F7377" s="86" t="s">
        <v>1763</v>
      </c>
      <c r="G7377" s="86" t="s">
        <v>1763</v>
      </c>
      <c r="H7377" s="144">
        <v>360</v>
      </c>
      <c r="I7377" s="86" t="s">
        <v>1060</v>
      </c>
      <c r="J7377" s="47" t="s">
        <v>3325</v>
      </c>
      <c r="K7377" s="47" t="s">
        <v>3767</v>
      </c>
      <c r="L7377" s="47" t="s">
        <v>35</v>
      </c>
      <c r="M7377" s="86" t="s">
        <v>1763</v>
      </c>
      <c r="O7377" s="47" t="s">
        <v>410</v>
      </c>
      <c r="P7377" s="47" t="s">
        <v>41</v>
      </c>
      <c r="Q7377" s="14">
        <v>0</v>
      </c>
      <c r="R7377" s="143" t="s">
        <v>1764</v>
      </c>
      <c r="S7377" s="47"/>
      <c r="T7377" s="6">
        <v>7139.2000000000007</v>
      </c>
      <c r="U7377" s="6">
        <v>30000</v>
      </c>
      <c r="V7377" s="6">
        <v>9285.5</v>
      </c>
      <c r="W7377" s="6">
        <f t="shared" si="1138"/>
        <v>27853.699999999997</v>
      </c>
      <c r="X7377" s="6">
        <f t="shared" si="1142"/>
        <v>9285.5</v>
      </c>
      <c r="Y7377" s="13">
        <f t="shared" si="1144"/>
        <v>0</v>
      </c>
      <c r="Z7377" s="66">
        <v>0</v>
      </c>
      <c r="AA7377" s="6">
        <v>0</v>
      </c>
      <c r="AB7377" s="4">
        <f t="shared" si="1145"/>
        <v>9285.5</v>
      </c>
      <c r="AC7377" s="6">
        <f t="shared" si="1143"/>
        <v>0</v>
      </c>
      <c r="AD7377" s="6">
        <f t="shared" si="1139"/>
        <v>9285.5</v>
      </c>
      <c r="AE7377" s="14">
        <f>VLOOKUP(I7377,[2]媒体政策预估表!A:N,MATCH(O7377,[2]媒体政策预估表!$A$2:$M$2,0),0)</f>
        <v>7.0000000000000007E-2</v>
      </c>
      <c r="AF7377" s="6">
        <f t="shared" si="1141"/>
        <v>649.98500000000001</v>
      </c>
      <c r="AG7377" s="14">
        <v>0</v>
      </c>
      <c r="AH7377" s="64">
        <f t="shared" si="1140"/>
        <v>9285.5</v>
      </c>
      <c r="AJ7377" s="126" t="e">
        <v>#N/A</v>
      </c>
      <c r="AK7377" s="80">
        <f t="shared" si="1146"/>
        <v>0</v>
      </c>
      <c r="AL7377" s="85"/>
      <c r="AM7377" s="85"/>
    </row>
    <row r="7378" spans="1:39" s="86" customFormat="1" ht="13.25" hidden="1" customHeight="1" x14ac:dyDescent="0.3">
      <c r="A7378" s="89" t="s">
        <v>3978</v>
      </c>
      <c r="B7378" s="86" t="s">
        <v>35</v>
      </c>
      <c r="C7378" s="86" t="s">
        <v>164</v>
      </c>
      <c r="D7378" s="86" t="s">
        <v>174</v>
      </c>
      <c r="E7378" s="86" t="s">
        <v>1765</v>
      </c>
      <c r="F7378" s="86" t="s">
        <v>1765</v>
      </c>
      <c r="G7378" s="86" t="s">
        <v>1765</v>
      </c>
      <c r="H7378" s="144">
        <v>360</v>
      </c>
      <c r="I7378" s="86" t="s">
        <v>1060</v>
      </c>
      <c r="J7378" s="47" t="s">
        <v>3325</v>
      </c>
      <c r="K7378" s="47" t="s">
        <v>3767</v>
      </c>
      <c r="L7378" s="47" t="s">
        <v>35</v>
      </c>
      <c r="M7378" s="86" t="s">
        <v>1766</v>
      </c>
      <c r="O7378" s="47" t="s">
        <v>410</v>
      </c>
      <c r="P7378" s="47" t="s">
        <v>41</v>
      </c>
      <c r="Q7378" s="14">
        <v>0</v>
      </c>
      <c r="R7378" s="143" t="s">
        <v>1767</v>
      </c>
      <c r="S7378" s="47"/>
      <c r="T7378" s="6">
        <v>10304.800000000003</v>
      </c>
      <c r="U7378" s="6">
        <v>20000</v>
      </c>
      <c r="V7378" s="6">
        <v>17770</v>
      </c>
      <c r="W7378" s="6">
        <f t="shared" si="1138"/>
        <v>12534.800000000003</v>
      </c>
      <c r="X7378" s="6">
        <f t="shared" si="1142"/>
        <v>17770</v>
      </c>
      <c r="Y7378" s="13">
        <f t="shared" si="1144"/>
        <v>0</v>
      </c>
      <c r="Z7378" s="66">
        <v>0</v>
      </c>
      <c r="AA7378" s="6">
        <v>0</v>
      </c>
      <c r="AB7378" s="4">
        <f t="shared" si="1145"/>
        <v>17770</v>
      </c>
      <c r="AC7378" s="6">
        <f t="shared" si="1143"/>
        <v>0</v>
      </c>
      <c r="AD7378" s="6">
        <f t="shared" si="1139"/>
        <v>17770</v>
      </c>
      <c r="AE7378" s="14">
        <f>VLOOKUP(I7378,[2]媒体政策预估表!A:N,MATCH(O7378,[2]媒体政策预估表!$A$2:$M$2,0),0)</f>
        <v>7.0000000000000007E-2</v>
      </c>
      <c r="AF7378" s="6">
        <f t="shared" si="1141"/>
        <v>1243.9000000000001</v>
      </c>
      <c r="AG7378" s="14">
        <v>0</v>
      </c>
      <c r="AH7378" s="64">
        <f t="shared" si="1140"/>
        <v>17770</v>
      </c>
      <c r="AJ7378" s="126" t="e">
        <v>#N/A</v>
      </c>
      <c r="AK7378" s="80">
        <f t="shared" si="1146"/>
        <v>0</v>
      </c>
      <c r="AL7378" s="85"/>
      <c r="AM7378" s="85"/>
    </row>
    <row r="7379" spans="1:39" s="86" customFormat="1" ht="13.25" hidden="1" customHeight="1" x14ac:dyDescent="0.3">
      <c r="A7379" s="89" t="s">
        <v>3978</v>
      </c>
      <c r="B7379" s="86" t="s">
        <v>35</v>
      </c>
      <c r="C7379" s="86" t="s">
        <v>164</v>
      </c>
      <c r="D7379" s="86" t="s">
        <v>174</v>
      </c>
      <c r="E7379" s="86" t="s">
        <v>3566</v>
      </c>
      <c r="F7379" s="86" t="s">
        <v>3566</v>
      </c>
      <c r="G7379" s="86" t="s">
        <v>3566</v>
      </c>
      <c r="H7379" s="144">
        <v>360</v>
      </c>
      <c r="I7379" s="86" t="s">
        <v>1060</v>
      </c>
      <c r="J7379" s="47" t="s">
        <v>3325</v>
      </c>
      <c r="K7379" s="47" t="s">
        <v>3767</v>
      </c>
      <c r="L7379" s="47" t="s">
        <v>35</v>
      </c>
      <c r="M7379" s="86" t="s">
        <v>3567</v>
      </c>
      <c r="O7379" s="47" t="s">
        <v>410</v>
      </c>
      <c r="P7379" s="47" t="s">
        <v>41</v>
      </c>
      <c r="Q7379" s="14">
        <v>0</v>
      </c>
      <c r="R7379" s="143" t="s">
        <v>3568</v>
      </c>
      <c r="S7379" s="47"/>
      <c r="T7379" s="6">
        <v>17007.5</v>
      </c>
      <c r="U7379" s="6">
        <v>20000</v>
      </c>
      <c r="V7379" s="6">
        <v>30373.8</v>
      </c>
      <c r="W7379" s="6">
        <f t="shared" si="1138"/>
        <v>6633.7000000000007</v>
      </c>
      <c r="X7379" s="6">
        <f t="shared" si="1142"/>
        <v>30373.8</v>
      </c>
      <c r="Y7379" s="13">
        <f t="shared" si="1144"/>
        <v>0</v>
      </c>
      <c r="Z7379" s="66">
        <v>0</v>
      </c>
      <c r="AA7379" s="6">
        <v>0</v>
      </c>
      <c r="AB7379" s="4">
        <f t="shared" si="1145"/>
        <v>30373.8</v>
      </c>
      <c r="AC7379" s="6">
        <f t="shared" si="1143"/>
        <v>0</v>
      </c>
      <c r="AD7379" s="6">
        <f t="shared" si="1139"/>
        <v>30373.8</v>
      </c>
      <c r="AE7379" s="14">
        <f>VLOOKUP(I7379,[2]媒体政策预估表!A:N,MATCH(O7379,[2]媒体政策预估表!$A$2:$M$2,0),0)</f>
        <v>7.0000000000000007E-2</v>
      </c>
      <c r="AF7379" s="6">
        <f t="shared" si="1141"/>
        <v>2126.1660000000002</v>
      </c>
      <c r="AG7379" s="14">
        <v>0</v>
      </c>
      <c r="AH7379" s="64">
        <f t="shared" si="1140"/>
        <v>30373.8</v>
      </c>
      <c r="AJ7379" s="126" t="e">
        <v>#N/A</v>
      </c>
      <c r="AK7379" s="80">
        <f t="shared" si="1146"/>
        <v>0</v>
      </c>
      <c r="AL7379" s="85"/>
      <c r="AM7379" s="85"/>
    </row>
    <row r="7380" spans="1:39" s="86" customFormat="1" ht="13.25" hidden="1" customHeight="1" x14ac:dyDescent="0.3">
      <c r="A7380" s="89" t="s">
        <v>3978</v>
      </c>
      <c r="B7380" s="86" t="s">
        <v>35</v>
      </c>
      <c r="C7380" s="86" t="s">
        <v>164</v>
      </c>
      <c r="D7380" s="86" t="s">
        <v>174</v>
      </c>
      <c r="E7380" s="86" t="s">
        <v>1769</v>
      </c>
      <c r="F7380" s="86" t="s">
        <v>1769</v>
      </c>
      <c r="G7380" s="86" t="s">
        <v>1769</v>
      </c>
      <c r="H7380" s="143">
        <v>360</v>
      </c>
      <c r="I7380" s="86" t="s">
        <v>1060</v>
      </c>
      <c r="J7380" s="47" t="s">
        <v>3325</v>
      </c>
      <c r="K7380" s="47" t="s">
        <v>3767</v>
      </c>
      <c r="L7380" s="47" t="s">
        <v>35</v>
      </c>
      <c r="M7380" s="86" t="s">
        <v>1770</v>
      </c>
      <c r="O7380" s="47" t="s">
        <v>410</v>
      </c>
      <c r="P7380" s="47" t="s">
        <v>41</v>
      </c>
      <c r="Q7380" s="14">
        <v>0</v>
      </c>
      <c r="R7380" s="143" t="s">
        <v>1771</v>
      </c>
      <c r="S7380" s="47"/>
      <c r="T7380" s="6">
        <v>2396</v>
      </c>
      <c r="U7380" s="6">
        <v>60000</v>
      </c>
      <c r="V7380" s="6">
        <v>61633.3</v>
      </c>
      <c r="W7380" s="6">
        <f t="shared" si="1138"/>
        <v>762.69999999999709</v>
      </c>
      <c r="X7380" s="6">
        <f t="shared" si="1142"/>
        <v>61633.3</v>
      </c>
      <c r="Y7380" s="13">
        <f t="shared" si="1144"/>
        <v>0</v>
      </c>
      <c r="Z7380" s="66">
        <v>0</v>
      </c>
      <c r="AA7380" s="6">
        <v>0</v>
      </c>
      <c r="AB7380" s="4"/>
      <c r="AC7380" s="6">
        <f t="shared" si="1143"/>
        <v>0</v>
      </c>
      <c r="AD7380" s="6">
        <f t="shared" si="1139"/>
        <v>61633.3</v>
      </c>
      <c r="AE7380" s="14">
        <f>VLOOKUP(I7380,[2]媒体政策预估表!A:N,MATCH(O7380,[2]媒体政策预估表!$A$2:$M$2,0),0)</f>
        <v>7.0000000000000007E-2</v>
      </c>
      <c r="AF7380" s="6">
        <f t="shared" si="1141"/>
        <v>4314.331000000001</v>
      </c>
      <c r="AG7380" s="14">
        <v>0</v>
      </c>
      <c r="AH7380" s="64">
        <f t="shared" si="1140"/>
        <v>61633.3</v>
      </c>
      <c r="AJ7380" s="126">
        <v>113</v>
      </c>
      <c r="AK7380" s="80">
        <f t="shared" si="1146"/>
        <v>61633.3</v>
      </c>
      <c r="AL7380" s="85"/>
      <c r="AM7380" s="85"/>
    </row>
    <row r="7381" spans="1:39" s="86" customFormat="1" ht="13.25" hidden="1" customHeight="1" x14ac:dyDescent="0.3">
      <c r="A7381" s="89" t="s">
        <v>3978</v>
      </c>
      <c r="B7381" s="86" t="s">
        <v>35</v>
      </c>
      <c r="C7381" s="86" t="s">
        <v>164</v>
      </c>
      <c r="D7381" s="86" t="s">
        <v>174</v>
      </c>
      <c r="E7381" s="86" t="s">
        <v>1772</v>
      </c>
      <c r="F7381" s="86" t="s">
        <v>1772</v>
      </c>
      <c r="G7381" s="86" t="s">
        <v>1772</v>
      </c>
      <c r="H7381" s="144">
        <v>360</v>
      </c>
      <c r="I7381" s="86" t="s">
        <v>1060</v>
      </c>
      <c r="J7381" s="47" t="s">
        <v>3325</v>
      </c>
      <c r="K7381" s="47" t="s">
        <v>3767</v>
      </c>
      <c r="L7381" s="47" t="s">
        <v>35</v>
      </c>
      <c r="M7381" s="86" t="s">
        <v>1773</v>
      </c>
      <c r="O7381" s="47" t="s">
        <v>410</v>
      </c>
      <c r="P7381" s="47" t="s">
        <v>41</v>
      </c>
      <c r="Q7381" s="14">
        <v>0</v>
      </c>
      <c r="R7381" s="143" t="s">
        <v>1774</v>
      </c>
      <c r="S7381" s="47"/>
      <c r="T7381" s="6">
        <v>37240.049999999988</v>
      </c>
      <c r="U7381" s="6">
        <v>50000</v>
      </c>
      <c r="V7381" s="6">
        <v>87240.049999999988</v>
      </c>
      <c r="W7381" s="6">
        <f t="shared" si="1138"/>
        <v>0</v>
      </c>
      <c r="X7381" s="6">
        <f t="shared" si="1142"/>
        <v>87240.049999999988</v>
      </c>
      <c r="Y7381" s="13">
        <f t="shared" si="1144"/>
        <v>0</v>
      </c>
      <c r="Z7381" s="66">
        <v>0</v>
      </c>
      <c r="AA7381" s="6">
        <v>0</v>
      </c>
      <c r="AB7381" s="4">
        <f t="shared" si="1145"/>
        <v>87240.049999999988</v>
      </c>
      <c r="AC7381" s="6">
        <f t="shared" si="1143"/>
        <v>0</v>
      </c>
      <c r="AD7381" s="6">
        <f t="shared" si="1139"/>
        <v>87240.049999999988</v>
      </c>
      <c r="AE7381" s="14">
        <f>VLOOKUP(I7381,[2]媒体政策预估表!A:N,MATCH(O7381,[2]媒体政策预估表!$A$2:$M$2,0),0)</f>
        <v>7.0000000000000007E-2</v>
      </c>
      <c r="AF7381" s="6">
        <f t="shared" si="1141"/>
        <v>6106.8035</v>
      </c>
      <c r="AG7381" s="14">
        <v>0</v>
      </c>
      <c r="AH7381" s="64">
        <f t="shared" si="1140"/>
        <v>87240.049999999988</v>
      </c>
      <c r="AJ7381" s="126" t="e">
        <v>#N/A</v>
      </c>
      <c r="AK7381" s="80">
        <f t="shared" si="1146"/>
        <v>0</v>
      </c>
      <c r="AL7381" s="85"/>
      <c r="AM7381" s="85"/>
    </row>
    <row r="7382" spans="1:39" s="86" customFormat="1" ht="13.25" hidden="1" customHeight="1" x14ac:dyDescent="0.3">
      <c r="A7382" s="89" t="s">
        <v>3978</v>
      </c>
      <c r="B7382" s="86" t="s">
        <v>35</v>
      </c>
      <c r="C7382" s="86" t="s">
        <v>164</v>
      </c>
      <c r="D7382" s="86" t="s">
        <v>174</v>
      </c>
      <c r="E7382" s="86" t="s">
        <v>1772</v>
      </c>
      <c r="F7382" s="86" t="s">
        <v>1772</v>
      </c>
      <c r="G7382" s="86" t="s">
        <v>1772</v>
      </c>
      <c r="H7382" s="144">
        <v>360</v>
      </c>
      <c r="I7382" s="86" t="s">
        <v>1060</v>
      </c>
      <c r="J7382" s="47" t="s">
        <v>3325</v>
      </c>
      <c r="K7382" s="47" t="s">
        <v>3767</v>
      </c>
      <c r="L7382" s="47" t="s">
        <v>35</v>
      </c>
      <c r="M7382" s="86" t="s">
        <v>1772</v>
      </c>
      <c r="O7382" s="47" t="s">
        <v>410</v>
      </c>
      <c r="P7382" s="47" t="s">
        <v>41</v>
      </c>
      <c r="Q7382" s="14">
        <v>0</v>
      </c>
      <c r="R7382" s="143" t="s">
        <v>1774</v>
      </c>
      <c r="S7382" s="47"/>
      <c r="T7382" s="6">
        <v>0</v>
      </c>
      <c r="U7382" s="6">
        <v>100000</v>
      </c>
      <c r="V7382" s="6">
        <v>53198.150000000023</v>
      </c>
      <c r="W7382" s="6">
        <f t="shared" si="1138"/>
        <v>46801.849999999977</v>
      </c>
      <c r="X7382" s="6">
        <f t="shared" si="1142"/>
        <v>53198.150000000023</v>
      </c>
      <c r="Y7382" s="13">
        <f t="shared" si="1144"/>
        <v>0</v>
      </c>
      <c r="Z7382" s="66">
        <v>0</v>
      </c>
      <c r="AA7382" s="6">
        <v>0</v>
      </c>
      <c r="AB7382" s="4">
        <f t="shared" si="1145"/>
        <v>53198.150000000023</v>
      </c>
      <c r="AC7382" s="6">
        <f t="shared" si="1143"/>
        <v>0</v>
      </c>
      <c r="AD7382" s="6">
        <f t="shared" si="1139"/>
        <v>53198.150000000023</v>
      </c>
      <c r="AE7382" s="14">
        <f>VLOOKUP(I7382,[2]媒体政策预估表!A:N,MATCH(O7382,[2]媒体政策预估表!$A$2:$M$2,0),0)</f>
        <v>7.0000000000000007E-2</v>
      </c>
      <c r="AF7382" s="6">
        <f t="shared" si="1141"/>
        <v>3723.8705000000018</v>
      </c>
      <c r="AG7382" s="14">
        <v>0</v>
      </c>
      <c r="AH7382" s="64">
        <f t="shared" si="1140"/>
        <v>53198.150000000023</v>
      </c>
      <c r="AJ7382" s="126" t="e">
        <v>#N/A</v>
      </c>
      <c r="AK7382" s="80">
        <f t="shared" si="1146"/>
        <v>0</v>
      </c>
      <c r="AL7382" s="85"/>
      <c r="AM7382" s="85"/>
    </row>
    <row r="7383" spans="1:39" s="86" customFormat="1" ht="13.25" hidden="1" customHeight="1" x14ac:dyDescent="0.3">
      <c r="A7383" s="89" t="s">
        <v>3978</v>
      </c>
      <c r="B7383" s="86" t="s">
        <v>35</v>
      </c>
      <c r="C7383" s="86" t="s">
        <v>164</v>
      </c>
      <c r="D7383" s="86" t="s">
        <v>174</v>
      </c>
      <c r="E7383" s="86" t="s">
        <v>1775</v>
      </c>
      <c r="F7383" s="86" t="s">
        <v>1775</v>
      </c>
      <c r="G7383" s="86" t="s">
        <v>1775</v>
      </c>
      <c r="H7383" s="144">
        <v>360</v>
      </c>
      <c r="I7383" s="86" t="s">
        <v>1060</v>
      </c>
      <c r="J7383" s="47" t="s">
        <v>3325</v>
      </c>
      <c r="K7383" s="47" t="s">
        <v>3767</v>
      </c>
      <c r="L7383" s="47" t="s">
        <v>35</v>
      </c>
      <c r="M7383" s="86" t="s">
        <v>1775</v>
      </c>
      <c r="O7383" s="47" t="s">
        <v>410</v>
      </c>
      <c r="P7383" s="47" t="s">
        <v>41</v>
      </c>
      <c r="Q7383" s="14">
        <v>0</v>
      </c>
      <c r="R7383" s="143" t="s">
        <v>1776</v>
      </c>
      <c r="S7383" s="47"/>
      <c r="T7383" s="6">
        <v>3627.2000000000007</v>
      </c>
      <c r="U7383" s="6">
        <v>59000</v>
      </c>
      <c r="V7383" s="6">
        <v>59612.2</v>
      </c>
      <c r="W7383" s="6">
        <f t="shared" si="1138"/>
        <v>3015</v>
      </c>
      <c r="X7383" s="6">
        <f t="shared" si="1142"/>
        <v>59612.2</v>
      </c>
      <c r="Y7383" s="13">
        <f t="shared" si="1144"/>
        <v>0</v>
      </c>
      <c r="Z7383" s="66">
        <v>0</v>
      </c>
      <c r="AA7383" s="6">
        <v>0</v>
      </c>
      <c r="AB7383" s="4">
        <f t="shared" si="1145"/>
        <v>59612.2</v>
      </c>
      <c r="AC7383" s="6">
        <f t="shared" si="1143"/>
        <v>0</v>
      </c>
      <c r="AD7383" s="6">
        <f t="shared" si="1139"/>
        <v>59612.2</v>
      </c>
      <c r="AE7383" s="14">
        <f>VLOOKUP(I7383,[2]媒体政策预估表!A:N,MATCH(O7383,[2]媒体政策预估表!$A$2:$M$2,0),0)</f>
        <v>7.0000000000000007E-2</v>
      </c>
      <c r="AF7383" s="6">
        <f t="shared" si="1141"/>
        <v>4172.8540000000003</v>
      </c>
      <c r="AG7383" s="14">
        <v>0</v>
      </c>
      <c r="AH7383" s="64">
        <f t="shared" si="1140"/>
        <v>59612.2</v>
      </c>
      <c r="AJ7383" s="126" t="e">
        <v>#N/A</v>
      </c>
      <c r="AK7383" s="80">
        <f t="shared" si="1146"/>
        <v>0</v>
      </c>
      <c r="AL7383" s="85"/>
      <c r="AM7383" s="85"/>
    </row>
    <row r="7384" spans="1:39" s="86" customFormat="1" ht="13.25" hidden="1" customHeight="1" x14ac:dyDescent="0.3">
      <c r="A7384" s="89" t="s">
        <v>3978</v>
      </c>
      <c r="B7384" s="86" t="s">
        <v>35</v>
      </c>
      <c r="C7384" s="86" t="s">
        <v>164</v>
      </c>
      <c r="D7384" s="86" t="s">
        <v>174</v>
      </c>
      <c r="E7384" s="86" t="s">
        <v>1777</v>
      </c>
      <c r="F7384" s="86" t="s">
        <v>1777</v>
      </c>
      <c r="G7384" s="86" t="s">
        <v>1777</v>
      </c>
      <c r="H7384" s="144">
        <v>360</v>
      </c>
      <c r="I7384" s="86" t="s">
        <v>1060</v>
      </c>
      <c r="J7384" s="47" t="s">
        <v>3325</v>
      </c>
      <c r="K7384" s="47" t="s">
        <v>3767</v>
      </c>
      <c r="L7384" s="47" t="s">
        <v>35</v>
      </c>
      <c r="M7384" s="86" t="s">
        <v>1780</v>
      </c>
      <c r="O7384" s="47" t="s">
        <v>410</v>
      </c>
      <c r="P7384" s="47" t="s">
        <v>46</v>
      </c>
      <c r="Q7384" s="14">
        <v>0.01</v>
      </c>
      <c r="R7384" s="143" t="s">
        <v>1781</v>
      </c>
      <c r="S7384" s="47"/>
      <c r="T7384" s="6">
        <v>10236.379999999997</v>
      </c>
      <c r="U7384" s="6">
        <v>40000</v>
      </c>
      <c r="V7384" s="6">
        <v>41587.4</v>
      </c>
      <c r="W7384" s="6">
        <f t="shared" si="1138"/>
        <v>8648.9799999999959</v>
      </c>
      <c r="X7384" s="6">
        <f t="shared" si="1142"/>
        <v>41175.64356435644</v>
      </c>
      <c r="Y7384" s="13">
        <f t="shared" si="1144"/>
        <v>0</v>
      </c>
      <c r="Z7384" s="66">
        <v>0</v>
      </c>
      <c r="AA7384" s="6">
        <v>0</v>
      </c>
      <c r="AB7384" s="4">
        <f t="shared" si="1145"/>
        <v>41175.64356435644</v>
      </c>
      <c r="AC7384" s="6">
        <f t="shared" si="1143"/>
        <v>411.75643564356142</v>
      </c>
      <c r="AD7384" s="6">
        <f t="shared" si="1139"/>
        <v>41587.4</v>
      </c>
      <c r="AE7384" s="14">
        <f>VLOOKUP(I7384,[2]媒体政策预估表!A:N,MATCH(O7384,[2]媒体政策预估表!$A$2:$M$2,0),0)</f>
        <v>7.0000000000000007E-2</v>
      </c>
      <c r="AF7384" s="6">
        <f t="shared" si="1141"/>
        <v>2911.1180000000004</v>
      </c>
      <c r="AG7384" s="14">
        <v>0</v>
      </c>
      <c r="AH7384" s="64">
        <f t="shared" si="1140"/>
        <v>41587.4</v>
      </c>
      <c r="AJ7384" s="126" t="e">
        <v>#N/A</v>
      </c>
      <c r="AK7384" s="80">
        <f t="shared" si="1146"/>
        <v>0</v>
      </c>
      <c r="AL7384" s="85"/>
      <c r="AM7384" s="85"/>
    </row>
    <row r="7385" spans="1:39" s="86" customFormat="1" ht="13.25" hidden="1" customHeight="1" x14ac:dyDescent="0.3">
      <c r="A7385" s="89" t="s">
        <v>3978</v>
      </c>
      <c r="B7385" s="86" t="s">
        <v>35</v>
      </c>
      <c r="C7385" s="86" t="s">
        <v>164</v>
      </c>
      <c r="D7385" s="86" t="s">
        <v>174</v>
      </c>
      <c r="E7385" s="86" t="s">
        <v>1777</v>
      </c>
      <c r="F7385" s="86" t="s">
        <v>1777</v>
      </c>
      <c r="G7385" s="86" t="s">
        <v>1777</v>
      </c>
      <c r="H7385" s="144">
        <v>360</v>
      </c>
      <c r="I7385" s="86" t="s">
        <v>1060</v>
      </c>
      <c r="J7385" s="47" t="s">
        <v>3325</v>
      </c>
      <c r="K7385" s="47" t="s">
        <v>3767</v>
      </c>
      <c r="L7385" s="47" t="s">
        <v>35</v>
      </c>
      <c r="M7385" s="86" t="s">
        <v>4089</v>
      </c>
      <c r="O7385" s="47" t="s">
        <v>410</v>
      </c>
      <c r="P7385" s="47" t="s">
        <v>46</v>
      </c>
      <c r="Q7385" s="14">
        <v>0.01</v>
      </c>
      <c r="R7385" s="143" t="s">
        <v>1782</v>
      </c>
      <c r="S7385" s="47"/>
      <c r="T7385" s="6">
        <v>0</v>
      </c>
      <c r="U7385" s="6">
        <v>40000</v>
      </c>
      <c r="V7385" s="6">
        <v>11787.999999999971</v>
      </c>
      <c r="W7385" s="6">
        <f t="shared" ref="W7385:W7448" si="1147">T7385+U7385-V7385</f>
        <v>28212.000000000029</v>
      </c>
      <c r="X7385" s="6">
        <f t="shared" si="1142"/>
        <v>11671.287128712842</v>
      </c>
      <c r="Y7385" s="13">
        <f t="shared" si="1144"/>
        <v>0</v>
      </c>
      <c r="Z7385" s="66">
        <v>0</v>
      </c>
      <c r="AA7385" s="6">
        <v>0</v>
      </c>
      <c r="AB7385" s="4">
        <f t="shared" si="1145"/>
        <v>11671.287128712842</v>
      </c>
      <c r="AC7385" s="6">
        <f t="shared" si="1143"/>
        <v>116.71287128712902</v>
      </c>
      <c r="AD7385" s="6">
        <f t="shared" ref="AD7385:AD7448" si="1148">V7385</f>
        <v>11787.999999999971</v>
      </c>
      <c r="AE7385" s="14">
        <f>VLOOKUP(I7385,[2]媒体政策预估表!A:N,MATCH(O7385,[2]媒体政策预估表!$A$2:$M$2,0),0)</f>
        <v>7.0000000000000007E-2</v>
      </c>
      <c r="AF7385" s="6">
        <f t="shared" si="1141"/>
        <v>825.15999999999804</v>
      </c>
      <c r="AG7385" s="14">
        <v>0</v>
      </c>
      <c r="AH7385" s="64">
        <f t="shared" ref="AH7385:AH7448" si="1149">V7385</f>
        <v>11787.999999999971</v>
      </c>
      <c r="AJ7385" s="126" t="e">
        <v>#N/A</v>
      </c>
      <c r="AK7385" s="80">
        <f t="shared" si="1146"/>
        <v>0</v>
      </c>
      <c r="AL7385" s="85"/>
      <c r="AM7385" s="85"/>
    </row>
    <row r="7386" spans="1:39" s="86" customFormat="1" ht="13.25" hidden="1" customHeight="1" x14ac:dyDescent="0.3">
      <c r="A7386" s="89" t="s">
        <v>3792</v>
      </c>
      <c r="B7386" s="86" t="s">
        <v>35</v>
      </c>
      <c r="C7386" s="86" t="s">
        <v>164</v>
      </c>
      <c r="D7386" s="86" t="s">
        <v>174</v>
      </c>
      <c r="E7386" s="86" t="s">
        <v>1777</v>
      </c>
      <c r="F7386" s="86" t="s">
        <v>1777</v>
      </c>
      <c r="G7386" s="86" t="s">
        <v>1777</v>
      </c>
      <c r="H7386" s="144">
        <v>360</v>
      </c>
      <c r="I7386" s="86" t="s">
        <v>1060</v>
      </c>
      <c r="J7386" s="47" t="s">
        <v>3325</v>
      </c>
      <c r="K7386" s="47" t="s">
        <v>3767</v>
      </c>
      <c r="L7386" s="47" t="s">
        <v>35</v>
      </c>
      <c r="M7386" s="86" t="s">
        <v>1777</v>
      </c>
      <c r="O7386" s="47" t="s">
        <v>410</v>
      </c>
      <c r="P7386" s="47" t="s">
        <v>46</v>
      </c>
      <c r="Q7386" s="14">
        <v>0.01</v>
      </c>
      <c r="R7386" s="143" t="s">
        <v>1782</v>
      </c>
      <c r="S7386" s="47"/>
      <c r="T7386" s="6">
        <v>20098.600000000035</v>
      </c>
      <c r="U7386" s="6">
        <v>120000</v>
      </c>
      <c r="V7386" s="6">
        <v>140098.60000000003</v>
      </c>
      <c r="W7386" s="6">
        <f t="shared" si="1147"/>
        <v>0</v>
      </c>
      <c r="X7386" s="6">
        <f t="shared" si="1142"/>
        <v>138711.48514851488</v>
      </c>
      <c r="Y7386" s="13">
        <f t="shared" si="1144"/>
        <v>0</v>
      </c>
      <c r="Z7386" s="66">
        <v>0</v>
      </c>
      <c r="AA7386" s="6">
        <v>0</v>
      </c>
      <c r="AB7386" s="4">
        <f t="shared" si="1145"/>
        <v>138711.48514851488</v>
      </c>
      <c r="AC7386" s="6">
        <f t="shared" si="1143"/>
        <v>1387.114851485152</v>
      </c>
      <c r="AD7386" s="6">
        <f t="shared" si="1148"/>
        <v>140098.60000000003</v>
      </c>
      <c r="AE7386" s="14">
        <f>VLOOKUP(I7386,[2]媒体政策预估表!A:N,MATCH(O7386,[2]媒体政策预估表!$A$2:$M$2,0),0)</f>
        <v>7.0000000000000007E-2</v>
      </c>
      <c r="AF7386" s="6">
        <f t="shared" si="1141"/>
        <v>9806.9020000000037</v>
      </c>
      <c r="AG7386" s="14">
        <v>0</v>
      </c>
      <c r="AH7386" s="64">
        <f t="shared" si="1149"/>
        <v>140098.60000000003</v>
      </c>
      <c r="AJ7386" s="126" t="e">
        <v>#N/A</v>
      </c>
      <c r="AK7386" s="80">
        <f t="shared" si="1146"/>
        <v>0</v>
      </c>
      <c r="AL7386" s="85"/>
      <c r="AM7386" s="85"/>
    </row>
    <row r="7387" spans="1:39" s="86" customFormat="1" ht="13.25" hidden="1" customHeight="1" x14ac:dyDescent="0.3">
      <c r="A7387" s="89" t="s">
        <v>3978</v>
      </c>
      <c r="B7387" s="86" t="s">
        <v>35</v>
      </c>
      <c r="C7387" s="86" t="s">
        <v>164</v>
      </c>
      <c r="D7387" s="86" t="s">
        <v>174</v>
      </c>
      <c r="E7387" s="86" t="s">
        <v>1785</v>
      </c>
      <c r="F7387" s="86" t="s">
        <v>1785</v>
      </c>
      <c r="G7387" s="86" t="s">
        <v>1785</v>
      </c>
      <c r="H7387" s="144">
        <v>360</v>
      </c>
      <c r="I7387" s="86" t="s">
        <v>1060</v>
      </c>
      <c r="J7387" s="47" t="s">
        <v>3325</v>
      </c>
      <c r="K7387" s="47" t="s">
        <v>3767</v>
      </c>
      <c r="L7387" s="47" t="s">
        <v>35</v>
      </c>
      <c r="M7387" s="86" t="s">
        <v>3569</v>
      </c>
      <c r="O7387" s="47" t="s">
        <v>410</v>
      </c>
      <c r="P7387" s="47" t="s">
        <v>46</v>
      </c>
      <c r="Q7387" s="14">
        <v>0.02</v>
      </c>
      <c r="R7387" s="143" t="s">
        <v>3570</v>
      </c>
      <c r="S7387" s="47"/>
      <c r="T7387" s="6">
        <v>136858.40000000002</v>
      </c>
      <c r="U7387" s="6">
        <v>705662.83</v>
      </c>
      <c r="V7387" s="6">
        <v>775352.39997000003</v>
      </c>
      <c r="W7387" s="6">
        <f t="shared" si="1147"/>
        <v>67168.830029999954</v>
      </c>
      <c r="X7387" s="6">
        <f t="shared" si="1142"/>
        <v>760149.41173529415</v>
      </c>
      <c r="Y7387" s="13">
        <f t="shared" si="1144"/>
        <v>0</v>
      </c>
      <c r="Z7387" s="66">
        <v>0</v>
      </c>
      <c r="AA7387" s="6">
        <v>0</v>
      </c>
      <c r="AB7387" s="4">
        <f t="shared" si="1145"/>
        <v>760149.41173529415</v>
      </c>
      <c r="AC7387" s="6">
        <f t="shared" si="1143"/>
        <v>15202.988234705874</v>
      </c>
      <c r="AD7387" s="6">
        <f t="shared" si="1148"/>
        <v>775352.39997000003</v>
      </c>
      <c r="AE7387" s="14">
        <f>VLOOKUP(I7387,[2]媒体政策预估表!A:N,MATCH(O7387,[2]媒体政策预估表!$A$2:$M$2,0),0)</f>
        <v>7.0000000000000007E-2</v>
      </c>
      <c r="AF7387" s="6">
        <f t="shared" si="1141"/>
        <v>54274.667997900004</v>
      </c>
      <c r="AG7387" s="14">
        <v>0</v>
      </c>
      <c r="AH7387" s="64">
        <f t="shared" si="1149"/>
        <v>775352.39997000003</v>
      </c>
      <c r="AJ7387" s="126" t="e">
        <v>#N/A</v>
      </c>
      <c r="AK7387" s="80">
        <f t="shared" si="1146"/>
        <v>0</v>
      </c>
      <c r="AL7387" s="85"/>
      <c r="AM7387" s="85"/>
    </row>
    <row r="7388" spans="1:39" s="86" customFormat="1" ht="13.25" hidden="1" customHeight="1" x14ac:dyDescent="0.3">
      <c r="A7388" s="89" t="s">
        <v>3978</v>
      </c>
      <c r="B7388" s="86" t="s">
        <v>35</v>
      </c>
      <c r="C7388" s="86" t="s">
        <v>164</v>
      </c>
      <c r="D7388" s="86" t="s">
        <v>174</v>
      </c>
      <c r="E7388" s="86" t="s">
        <v>1785</v>
      </c>
      <c r="F7388" s="86" t="s">
        <v>1785</v>
      </c>
      <c r="G7388" s="86" t="s">
        <v>1785</v>
      </c>
      <c r="H7388" s="144">
        <v>360</v>
      </c>
      <c r="I7388" s="86" t="s">
        <v>1060</v>
      </c>
      <c r="J7388" s="47" t="s">
        <v>3325</v>
      </c>
      <c r="K7388" s="47" t="s">
        <v>3767</v>
      </c>
      <c r="L7388" s="47" t="s">
        <v>35</v>
      </c>
      <c r="M7388" s="86" t="s">
        <v>1783</v>
      </c>
      <c r="O7388" s="47" t="s">
        <v>410</v>
      </c>
      <c r="P7388" s="47" t="s">
        <v>46</v>
      </c>
      <c r="Q7388" s="14">
        <v>0.02</v>
      </c>
      <c r="R7388" s="143" t="s">
        <v>1784</v>
      </c>
      <c r="S7388" s="47"/>
      <c r="T7388" s="6">
        <v>84806.790000000037</v>
      </c>
      <c r="U7388" s="6">
        <v>1111285.1299999999</v>
      </c>
      <c r="V7388" s="6">
        <v>1042863.3</v>
      </c>
      <c r="W7388" s="6">
        <f t="shared" si="1147"/>
        <v>153228.61999999988</v>
      </c>
      <c r="X7388" s="6">
        <f t="shared" si="1142"/>
        <v>1022415</v>
      </c>
      <c r="Y7388" s="13">
        <f t="shared" si="1144"/>
        <v>0</v>
      </c>
      <c r="Z7388" s="66">
        <v>0</v>
      </c>
      <c r="AA7388" s="6">
        <v>0</v>
      </c>
      <c r="AB7388" s="4">
        <f t="shared" si="1145"/>
        <v>1022415</v>
      </c>
      <c r="AC7388" s="6">
        <f t="shared" si="1143"/>
        <v>20448.300000000047</v>
      </c>
      <c r="AD7388" s="6">
        <f t="shared" si="1148"/>
        <v>1042863.3</v>
      </c>
      <c r="AE7388" s="14">
        <f>VLOOKUP(I7388,[2]媒体政策预估表!A:N,MATCH(O7388,[2]媒体政策预估表!$A$2:$M$2,0),0)</f>
        <v>7.0000000000000007E-2</v>
      </c>
      <c r="AF7388" s="6">
        <f t="shared" si="1141"/>
        <v>73000.431000000011</v>
      </c>
      <c r="AG7388" s="14">
        <v>0</v>
      </c>
      <c r="AH7388" s="64">
        <f t="shared" si="1149"/>
        <v>1042863.3</v>
      </c>
      <c r="AJ7388" s="126" t="e">
        <v>#N/A</v>
      </c>
      <c r="AK7388" s="80">
        <f t="shared" si="1146"/>
        <v>0</v>
      </c>
      <c r="AL7388" s="85"/>
      <c r="AM7388" s="85"/>
    </row>
    <row r="7389" spans="1:39" s="86" customFormat="1" ht="13.25" hidden="1" customHeight="1" x14ac:dyDescent="0.3">
      <c r="A7389" s="89" t="s">
        <v>3978</v>
      </c>
      <c r="B7389" s="86" t="s">
        <v>35</v>
      </c>
      <c r="C7389" s="86" t="s">
        <v>164</v>
      </c>
      <c r="D7389" s="86" t="s">
        <v>174</v>
      </c>
      <c r="E7389" s="86" t="s">
        <v>1786</v>
      </c>
      <c r="F7389" s="86" t="s">
        <v>1786</v>
      </c>
      <c r="G7389" s="86" t="s">
        <v>1786</v>
      </c>
      <c r="H7389" s="144">
        <v>360</v>
      </c>
      <c r="I7389" s="86" t="s">
        <v>1060</v>
      </c>
      <c r="J7389" s="47" t="s">
        <v>3325</v>
      </c>
      <c r="K7389" s="47" t="s">
        <v>3767</v>
      </c>
      <c r="L7389" s="47" t="s">
        <v>35</v>
      </c>
      <c r="M7389" s="86" t="s">
        <v>1786</v>
      </c>
      <c r="O7389" s="47" t="s">
        <v>410</v>
      </c>
      <c r="P7389" s="47" t="s">
        <v>46</v>
      </c>
      <c r="Q7389" s="14">
        <v>0.02</v>
      </c>
      <c r="R7389" s="143" t="s">
        <v>1787</v>
      </c>
      <c r="S7389" s="47"/>
      <c r="T7389" s="6">
        <v>11153.700000000004</v>
      </c>
      <c r="U7389" s="6">
        <v>10000</v>
      </c>
      <c r="V7389" s="6">
        <v>15341.9</v>
      </c>
      <c r="W7389" s="6">
        <f t="shared" si="1147"/>
        <v>5811.8000000000047</v>
      </c>
      <c r="X7389" s="6">
        <f t="shared" si="1142"/>
        <v>15041.078431372549</v>
      </c>
      <c r="Y7389" s="13">
        <f t="shared" si="1144"/>
        <v>0</v>
      </c>
      <c r="Z7389" s="66">
        <v>0</v>
      </c>
      <c r="AA7389" s="6">
        <v>0</v>
      </c>
      <c r="AB7389" s="4">
        <f t="shared" si="1145"/>
        <v>15041.078431372549</v>
      </c>
      <c r="AC7389" s="6">
        <f t="shared" si="1143"/>
        <v>300.82156862745069</v>
      </c>
      <c r="AD7389" s="6">
        <f t="shared" si="1148"/>
        <v>15341.9</v>
      </c>
      <c r="AE7389" s="14">
        <f>VLOOKUP(I7389,[2]媒体政策预估表!A:N,MATCH(O7389,[2]媒体政策预估表!$A$2:$M$2,0),0)</f>
        <v>7.0000000000000007E-2</v>
      </c>
      <c r="AF7389" s="6">
        <f t="shared" si="1141"/>
        <v>1073.933</v>
      </c>
      <c r="AG7389" s="14">
        <v>0</v>
      </c>
      <c r="AH7389" s="64">
        <f t="shared" si="1149"/>
        <v>15341.9</v>
      </c>
      <c r="AJ7389" s="126" t="e">
        <v>#N/A</v>
      </c>
      <c r="AK7389" s="80">
        <f t="shared" si="1146"/>
        <v>0</v>
      </c>
      <c r="AL7389" s="85"/>
      <c r="AM7389" s="85"/>
    </row>
    <row r="7390" spans="1:39" s="86" customFormat="1" ht="13.25" hidden="1" customHeight="1" x14ac:dyDescent="0.3">
      <c r="A7390" s="89" t="s">
        <v>3792</v>
      </c>
      <c r="B7390" s="86" t="s">
        <v>35</v>
      </c>
      <c r="C7390" s="86" t="s">
        <v>164</v>
      </c>
      <c r="D7390" s="86" t="s">
        <v>174</v>
      </c>
      <c r="E7390" s="86" t="s">
        <v>685</v>
      </c>
      <c r="F7390" s="86" t="s">
        <v>686</v>
      </c>
      <c r="G7390" s="86" t="s">
        <v>685</v>
      </c>
      <c r="H7390" s="144">
        <v>360</v>
      </c>
      <c r="I7390" s="86" t="s">
        <v>1060</v>
      </c>
      <c r="J7390" s="47" t="s">
        <v>3325</v>
      </c>
      <c r="K7390" s="47" t="s">
        <v>3767</v>
      </c>
      <c r="L7390" s="47" t="s">
        <v>35</v>
      </c>
      <c r="M7390" s="86" t="s">
        <v>685</v>
      </c>
      <c r="O7390" s="47" t="s">
        <v>410</v>
      </c>
      <c r="P7390" s="47" t="s">
        <v>41</v>
      </c>
      <c r="Q7390" s="14">
        <v>0</v>
      </c>
      <c r="R7390" s="143" t="s">
        <v>1788</v>
      </c>
      <c r="S7390" s="47"/>
      <c r="T7390" s="6">
        <v>1699.5</v>
      </c>
      <c r="U7390" s="6">
        <v>20000</v>
      </c>
      <c r="V7390" s="6">
        <v>15222</v>
      </c>
      <c r="W7390" s="6">
        <f t="shared" si="1147"/>
        <v>6477.5</v>
      </c>
      <c r="X7390" s="6">
        <f t="shared" si="1142"/>
        <v>15222</v>
      </c>
      <c r="Y7390" s="13">
        <f t="shared" si="1144"/>
        <v>0</v>
      </c>
      <c r="Z7390" s="66">
        <v>0</v>
      </c>
      <c r="AA7390" s="6">
        <v>0</v>
      </c>
      <c r="AB7390" s="4">
        <f t="shared" si="1145"/>
        <v>15222</v>
      </c>
      <c r="AC7390" s="6">
        <f t="shared" si="1143"/>
        <v>0</v>
      </c>
      <c r="AD7390" s="6">
        <f t="shared" si="1148"/>
        <v>15222</v>
      </c>
      <c r="AE7390" s="14">
        <f>VLOOKUP(I7390,[2]媒体政策预估表!A:N,MATCH(O7390,[2]媒体政策预估表!$A$2:$M$2,0),0)</f>
        <v>7.0000000000000007E-2</v>
      </c>
      <c r="AF7390" s="6">
        <f t="shared" si="1141"/>
        <v>1065.5400000000002</v>
      </c>
      <c r="AG7390" s="14">
        <v>0</v>
      </c>
      <c r="AH7390" s="64">
        <f t="shared" si="1149"/>
        <v>15222</v>
      </c>
      <c r="AJ7390" s="126" t="e">
        <v>#N/A</v>
      </c>
      <c r="AK7390" s="80">
        <f t="shared" si="1146"/>
        <v>0</v>
      </c>
      <c r="AL7390" s="85"/>
      <c r="AM7390" s="85"/>
    </row>
    <row r="7391" spans="1:39" s="86" customFormat="1" ht="13.25" hidden="1" customHeight="1" x14ac:dyDescent="0.3">
      <c r="A7391" s="89" t="s">
        <v>3978</v>
      </c>
      <c r="B7391" s="86" t="s">
        <v>35</v>
      </c>
      <c r="C7391" s="86" t="s">
        <v>164</v>
      </c>
      <c r="D7391" s="86" t="s">
        <v>174</v>
      </c>
      <c r="E7391" s="86" t="s">
        <v>1800</v>
      </c>
      <c r="F7391" s="86" t="s">
        <v>1800</v>
      </c>
      <c r="G7391" s="86" t="s">
        <v>1800</v>
      </c>
      <c r="H7391" s="144">
        <v>360</v>
      </c>
      <c r="I7391" s="86" t="s">
        <v>1060</v>
      </c>
      <c r="J7391" s="47" t="s">
        <v>3325</v>
      </c>
      <c r="K7391" s="47" t="s">
        <v>3767</v>
      </c>
      <c r="L7391" s="47" t="s">
        <v>35</v>
      </c>
      <c r="M7391" s="86" t="s">
        <v>1800</v>
      </c>
      <c r="O7391" s="47" t="s">
        <v>410</v>
      </c>
      <c r="P7391" s="47" t="s">
        <v>46</v>
      </c>
      <c r="Q7391" s="14">
        <v>0.01</v>
      </c>
      <c r="R7391" s="143" t="s">
        <v>1801</v>
      </c>
      <c r="S7391" s="47"/>
      <c r="T7391" s="6">
        <v>55429.400000000023</v>
      </c>
      <c r="U7391" s="6">
        <v>100000</v>
      </c>
      <c r="V7391" s="6">
        <v>106315.9</v>
      </c>
      <c r="W7391" s="6">
        <f t="shared" si="1147"/>
        <v>49113.500000000029</v>
      </c>
      <c r="X7391" s="6">
        <f t="shared" si="1142"/>
        <v>105263.26732673266</v>
      </c>
      <c r="Y7391" s="13">
        <f t="shared" si="1144"/>
        <v>0</v>
      </c>
      <c r="Z7391" s="66">
        <v>0</v>
      </c>
      <c r="AA7391" s="6">
        <v>0</v>
      </c>
      <c r="AB7391" s="4">
        <f t="shared" si="1145"/>
        <v>105263.26732673266</v>
      </c>
      <c r="AC7391" s="6">
        <f t="shared" si="1143"/>
        <v>1052.6326732673333</v>
      </c>
      <c r="AD7391" s="6">
        <f t="shared" si="1148"/>
        <v>106315.9</v>
      </c>
      <c r="AE7391" s="14">
        <f>VLOOKUP(I7391,[2]媒体政策预估表!A:N,MATCH(O7391,[2]媒体政策预估表!$A$2:$M$2,0),0)</f>
        <v>7.0000000000000007E-2</v>
      </c>
      <c r="AF7391" s="6">
        <f t="shared" si="1141"/>
        <v>7442.1130000000003</v>
      </c>
      <c r="AG7391" s="14">
        <v>0</v>
      </c>
      <c r="AH7391" s="64">
        <f t="shared" si="1149"/>
        <v>106315.9</v>
      </c>
      <c r="AJ7391" s="126" t="e">
        <v>#N/A</v>
      </c>
      <c r="AK7391" s="80">
        <f t="shared" si="1146"/>
        <v>0</v>
      </c>
      <c r="AL7391" s="85"/>
      <c r="AM7391" s="85"/>
    </row>
    <row r="7392" spans="1:39" s="86" customFormat="1" ht="13.25" hidden="1" customHeight="1" x14ac:dyDescent="0.3">
      <c r="A7392" s="89" t="s">
        <v>3978</v>
      </c>
      <c r="B7392" s="86" t="s">
        <v>35</v>
      </c>
      <c r="C7392" s="86" t="s">
        <v>164</v>
      </c>
      <c r="D7392" s="86" t="s">
        <v>174</v>
      </c>
      <c r="E7392" s="86" t="s">
        <v>178</v>
      </c>
      <c r="F7392" s="86" t="s">
        <v>178</v>
      </c>
      <c r="G7392" s="86" t="s">
        <v>178</v>
      </c>
      <c r="H7392" s="144">
        <v>360</v>
      </c>
      <c r="I7392" s="86" t="s">
        <v>1060</v>
      </c>
      <c r="J7392" s="47" t="s">
        <v>3325</v>
      </c>
      <c r="K7392" s="47" t="s">
        <v>3767</v>
      </c>
      <c r="L7392" s="47" t="s">
        <v>35</v>
      </c>
      <c r="M7392" s="86" t="s">
        <v>178</v>
      </c>
      <c r="O7392" s="47" t="s">
        <v>410</v>
      </c>
      <c r="P7392" s="47" t="s">
        <v>41</v>
      </c>
      <c r="Q7392" s="14">
        <v>0</v>
      </c>
      <c r="R7392" s="143" t="s">
        <v>1806</v>
      </c>
      <c r="S7392" s="47"/>
      <c r="T7392" s="6">
        <v>313005.30000000005</v>
      </c>
      <c r="U7392" s="6">
        <v>1200000</v>
      </c>
      <c r="V7392" s="6">
        <v>1253324.3999999999</v>
      </c>
      <c r="W7392" s="6">
        <f t="shared" si="1147"/>
        <v>259680.90000000014</v>
      </c>
      <c r="X7392" s="6">
        <f t="shared" si="1142"/>
        <v>1253324.3999999999</v>
      </c>
      <c r="Y7392" s="13">
        <f t="shared" si="1144"/>
        <v>0</v>
      </c>
      <c r="Z7392" s="66">
        <v>0</v>
      </c>
      <c r="AA7392" s="6">
        <v>0</v>
      </c>
      <c r="AB7392" s="4">
        <f t="shared" si="1145"/>
        <v>1253324.3999999999</v>
      </c>
      <c r="AC7392" s="6">
        <f t="shared" si="1143"/>
        <v>0</v>
      </c>
      <c r="AD7392" s="6">
        <f t="shared" si="1148"/>
        <v>1253324.3999999999</v>
      </c>
      <c r="AE7392" s="14">
        <f>VLOOKUP(I7392,[2]媒体政策预估表!A:N,MATCH(O7392,[2]媒体政策预估表!$A$2:$M$2,0),0)</f>
        <v>7.0000000000000007E-2</v>
      </c>
      <c r="AF7392" s="6">
        <f t="shared" si="1141"/>
        <v>87732.707999999999</v>
      </c>
      <c r="AG7392" s="14">
        <v>0</v>
      </c>
      <c r="AH7392" s="64">
        <f t="shared" si="1149"/>
        <v>1253324.3999999999</v>
      </c>
      <c r="AJ7392" s="126" t="e">
        <v>#N/A</v>
      </c>
      <c r="AK7392" s="80">
        <f t="shared" si="1146"/>
        <v>0</v>
      </c>
      <c r="AL7392" s="85"/>
      <c r="AM7392" s="85"/>
    </row>
    <row r="7393" spans="1:39" s="86" customFormat="1" ht="13.25" hidden="1" customHeight="1" x14ac:dyDescent="0.3">
      <c r="A7393" s="89" t="s">
        <v>3978</v>
      </c>
      <c r="B7393" s="86" t="s">
        <v>35</v>
      </c>
      <c r="C7393" s="86" t="s">
        <v>164</v>
      </c>
      <c r="D7393" s="86" t="s">
        <v>174</v>
      </c>
      <c r="E7393" s="86" t="s">
        <v>1809</v>
      </c>
      <c r="F7393" s="86" t="s">
        <v>1809</v>
      </c>
      <c r="G7393" s="86" t="s">
        <v>1809</v>
      </c>
      <c r="H7393" s="144">
        <v>360</v>
      </c>
      <c r="I7393" s="86" t="s">
        <v>1060</v>
      </c>
      <c r="J7393" s="47" t="s">
        <v>3325</v>
      </c>
      <c r="K7393" s="47" t="s">
        <v>3767</v>
      </c>
      <c r="L7393" s="47" t="s">
        <v>35</v>
      </c>
      <c r="M7393" s="86" t="s">
        <v>1678</v>
      </c>
      <c r="O7393" s="47" t="s">
        <v>410</v>
      </c>
      <c r="P7393" s="47" t="s">
        <v>41</v>
      </c>
      <c r="Q7393" s="14">
        <v>0</v>
      </c>
      <c r="R7393" s="143" t="s">
        <v>1680</v>
      </c>
      <c r="S7393" s="47"/>
      <c r="T7393" s="6">
        <v>89746.229999999981</v>
      </c>
      <c r="U7393" s="6">
        <v>100000</v>
      </c>
      <c r="V7393" s="6">
        <v>126300.3</v>
      </c>
      <c r="W7393" s="6">
        <f t="shared" si="1147"/>
        <v>63445.929999999978</v>
      </c>
      <c r="X7393" s="6">
        <f t="shared" si="1142"/>
        <v>126300.3</v>
      </c>
      <c r="Y7393" s="13">
        <f t="shared" si="1144"/>
        <v>0</v>
      </c>
      <c r="Z7393" s="66">
        <v>0</v>
      </c>
      <c r="AA7393" s="6">
        <v>0</v>
      </c>
      <c r="AB7393" s="4">
        <f t="shared" si="1145"/>
        <v>126300.3</v>
      </c>
      <c r="AC7393" s="6">
        <f t="shared" si="1143"/>
        <v>0</v>
      </c>
      <c r="AD7393" s="6">
        <f t="shared" si="1148"/>
        <v>126300.3</v>
      </c>
      <c r="AE7393" s="14">
        <f>VLOOKUP(I7393,[2]媒体政策预估表!A:N,MATCH(O7393,[2]媒体政策预估表!$A$2:$M$2,0),0)</f>
        <v>7.0000000000000007E-2</v>
      </c>
      <c r="AF7393" s="6">
        <f t="shared" si="1141"/>
        <v>8841.0210000000006</v>
      </c>
      <c r="AG7393" s="14">
        <v>0</v>
      </c>
      <c r="AH7393" s="64">
        <f t="shared" si="1149"/>
        <v>126300.3</v>
      </c>
      <c r="AJ7393" s="126" t="e">
        <v>#N/A</v>
      </c>
      <c r="AK7393" s="80">
        <f t="shared" si="1146"/>
        <v>0</v>
      </c>
      <c r="AL7393" s="85"/>
      <c r="AM7393" s="85"/>
    </row>
    <row r="7394" spans="1:39" s="86" customFormat="1" ht="13.25" hidden="1" customHeight="1" x14ac:dyDescent="0.3">
      <c r="A7394" s="89" t="s">
        <v>3792</v>
      </c>
      <c r="B7394" s="86" t="s">
        <v>35</v>
      </c>
      <c r="C7394" s="86" t="s">
        <v>164</v>
      </c>
      <c r="D7394" s="86" t="s">
        <v>174</v>
      </c>
      <c r="E7394" s="86" t="s">
        <v>4090</v>
      </c>
      <c r="F7394" s="86" t="s">
        <v>4090</v>
      </c>
      <c r="G7394" s="86" t="s">
        <v>4090</v>
      </c>
      <c r="H7394" s="144">
        <v>360</v>
      </c>
      <c r="I7394" s="86" t="s">
        <v>1060</v>
      </c>
      <c r="J7394" s="47" t="s">
        <v>3325</v>
      </c>
      <c r="K7394" s="47" t="s">
        <v>3767</v>
      </c>
      <c r="L7394" s="47" t="s">
        <v>35</v>
      </c>
      <c r="M7394" s="86" t="s">
        <v>4090</v>
      </c>
      <c r="O7394" s="47" t="s">
        <v>410</v>
      </c>
      <c r="P7394" s="47" t="s">
        <v>41</v>
      </c>
      <c r="Q7394" s="14">
        <v>0</v>
      </c>
      <c r="R7394" s="143" t="s">
        <v>4091</v>
      </c>
      <c r="S7394" s="47"/>
      <c r="T7394" s="6">
        <v>0</v>
      </c>
      <c r="U7394" s="6">
        <v>90000</v>
      </c>
      <c r="V7394" s="6">
        <v>61875.08</v>
      </c>
      <c r="W7394" s="6">
        <f t="shared" si="1147"/>
        <v>28124.92</v>
      </c>
      <c r="X7394" s="6">
        <f t="shared" si="1142"/>
        <v>61875.08</v>
      </c>
      <c r="Y7394" s="13">
        <f t="shared" si="1144"/>
        <v>0</v>
      </c>
      <c r="Z7394" s="66">
        <v>0</v>
      </c>
      <c r="AA7394" s="6">
        <v>0</v>
      </c>
      <c r="AB7394" s="4">
        <f t="shared" si="1145"/>
        <v>61875.08</v>
      </c>
      <c r="AC7394" s="6">
        <f t="shared" si="1143"/>
        <v>0</v>
      </c>
      <c r="AD7394" s="6">
        <f t="shared" si="1148"/>
        <v>61875.08</v>
      </c>
      <c r="AE7394" s="14">
        <f>VLOOKUP(I7394,[2]媒体政策预估表!A:N,MATCH(O7394,[2]媒体政策预估表!$A$2:$M$2,0),0)</f>
        <v>7.0000000000000007E-2</v>
      </c>
      <c r="AF7394" s="6">
        <f t="shared" si="1141"/>
        <v>4331.2556000000004</v>
      </c>
      <c r="AG7394" s="14">
        <v>0</v>
      </c>
      <c r="AH7394" s="64">
        <f t="shared" si="1149"/>
        <v>61875.08</v>
      </c>
      <c r="AJ7394" s="126" t="e">
        <v>#N/A</v>
      </c>
      <c r="AK7394" s="80">
        <f t="shared" si="1146"/>
        <v>0</v>
      </c>
      <c r="AL7394" s="85"/>
      <c r="AM7394" s="85"/>
    </row>
    <row r="7395" spans="1:39" s="86" customFormat="1" ht="13.25" hidden="1" customHeight="1" x14ac:dyDescent="0.3">
      <c r="A7395" s="89" t="s">
        <v>3978</v>
      </c>
      <c r="B7395" s="86" t="s">
        <v>35</v>
      </c>
      <c r="C7395" s="86" t="s">
        <v>164</v>
      </c>
      <c r="D7395" s="86" t="s">
        <v>174</v>
      </c>
      <c r="E7395" s="86" t="s">
        <v>180</v>
      </c>
      <c r="F7395" s="86" t="s">
        <v>180</v>
      </c>
      <c r="G7395" s="86" t="s">
        <v>180</v>
      </c>
      <c r="H7395" s="143">
        <v>360</v>
      </c>
      <c r="I7395" s="86" t="s">
        <v>1060</v>
      </c>
      <c r="J7395" s="47" t="s">
        <v>3325</v>
      </c>
      <c r="K7395" s="47" t="s">
        <v>3767</v>
      </c>
      <c r="L7395" s="47" t="s">
        <v>35</v>
      </c>
      <c r="M7395" s="86" t="s">
        <v>1816</v>
      </c>
      <c r="O7395" s="47" t="s">
        <v>410</v>
      </c>
      <c r="P7395" s="47" t="s">
        <v>41</v>
      </c>
      <c r="Q7395" s="14">
        <v>0</v>
      </c>
      <c r="R7395" s="143" t="s">
        <v>1817</v>
      </c>
      <c r="S7395" s="47"/>
      <c r="T7395" s="6">
        <v>540000</v>
      </c>
      <c r="U7395" s="6">
        <v>160000</v>
      </c>
      <c r="V7395" s="6">
        <v>0</v>
      </c>
      <c r="W7395" s="6">
        <f t="shared" si="1147"/>
        <v>700000</v>
      </c>
      <c r="X7395" s="6">
        <f t="shared" si="1142"/>
        <v>0</v>
      </c>
      <c r="Y7395" s="13">
        <f t="shared" si="1144"/>
        <v>0</v>
      </c>
      <c r="Z7395" s="66">
        <v>0</v>
      </c>
      <c r="AA7395" s="6">
        <v>0</v>
      </c>
      <c r="AB7395" s="4">
        <f t="shared" si="1145"/>
        <v>0</v>
      </c>
      <c r="AC7395" s="6">
        <f t="shared" si="1143"/>
        <v>0</v>
      </c>
      <c r="AD7395" s="6">
        <f t="shared" si="1148"/>
        <v>0</v>
      </c>
      <c r="AE7395" s="14">
        <f>VLOOKUP(I7395,[2]媒体政策预估表!A:N,MATCH(O7395,[2]媒体政策预估表!$A$2:$M$2,0),0)</f>
        <v>7.0000000000000007E-2</v>
      </c>
      <c r="AF7395" s="6">
        <f t="shared" si="1141"/>
        <v>0</v>
      </c>
      <c r="AG7395" s="14">
        <v>0</v>
      </c>
      <c r="AH7395" s="64">
        <f t="shared" si="1149"/>
        <v>0</v>
      </c>
      <c r="AJ7395" s="126" t="e">
        <v>#N/A</v>
      </c>
      <c r="AK7395" s="80">
        <f t="shared" si="1146"/>
        <v>0</v>
      </c>
      <c r="AL7395" s="85"/>
      <c r="AM7395" s="85"/>
    </row>
    <row r="7396" spans="1:39" s="86" customFormat="1" ht="13.25" hidden="1" customHeight="1" x14ac:dyDescent="0.3">
      <c r="A7396" s="89" t="s">
        <v>3978</v>
      </c>
      <c r="B7396" s="86" t="s">
        <v>35</v>
      </c>
      <c r="C7396" s="86" t="s">
        <v>164</v>
      </c>
      <c r="D7396" s="86" t="s">
        <v>174</v>
      </c>
      <c r="E7396" s="86" t="s">
        <v>180</v>
      </c>
      <c r="F7396" s="86" t="s">
        <v>180</v>
      </c>
      <c r="G7396" s="86" t="s">
        <v>180</v>
      </c>
      <c r="H7396" s="143">
        <v>360</v>
      </c>
      <c r="I7396" s="86" t="s">
        <v>1060</v>
      </c>
      <c r="J7396" s="47" t="s">
        <v>3325</v>
      </c>
      <c r="K7396" s="47" t="s">
        <v>3767</v>
      </c>
      <c r="L7396" s="47" t="s">
        <v>35</v>
      </c>
      <c r="M7396" s="86" t="s">
        <v>1818</v>
      </c>
      <c r="O7396" s="47" t="s">
        <v>410</v>
      </c>
      <c r="P7396" s="47" t="s">
        <v>41</v>
      </c>
      <c r="Q7396" s="14">
        <v>0</v>
      </c>
      <c r="R7396" s="143" t="s">
        <v>1819</v>
      </c>
      <c r="S7396" s="47"/>
      <c r="T7396" s="6">
        <v>480000</v>
      </c>
      <c r="U7396" s="6">
        <v>150000</v>
      </c>
      <c r="V7396" s="6">
        <v>0</v>
      </c>
      <c r="W7396" s="6">
        <f t="shared" si="1147"/>
        <v>630000</v>
      </c>
      <c r="X7396" s="6">
        <f t="shared" si="1142"/>
        <v>0</v>
      </c>
      <c r="Y7396" s="13">
        <f t="shared" si="1144"/>
        <v>0</v>
      </c>
      <c r="Z7396" s="66">
        <v>0</v>
      </c>
      <c r="AA7396" s="6">
        <v>0</v>
      </c>
      <c r="AB7396" s="4">
        <f t="shared" si="1145"/>
        <v>0</v>
      </c>
      <c r="AC7396" s="6">
        <f t="shared" si="1143"/>
        <v>0</v>
      </c>
      <c r="AD7396" s="6">
        <f t="shared" si="1148"/>
        <v>0</v>
      </c>
      <c r="AE7396" s="14">
        <f>VLOOKUP(I7396,[2]媒体政策预估表!A:N,MATCH(O7396,[2]媒体政策预估表!$A$2:$M$2,0),0)</f>
        <v>7.0000000000000007E-2</v>
      </c>
      <c r="AF7396" s="6">
        <f t="shared" ref="AF7396:AF7459" si="1150">AD7396*AE7396</f>
        <v>0</v>
      </c>
      <c r="AG7396" s="14">
        <v>0</v>
      </c>
      <c r="AH7396" s="64">
        <f t="shared" si="1149"/>
        <v>0</v>
      </c>
      <c r="AJ7396" s="126" t="e">
        <v>#N/A</v>
      </c>
      <c r="AK7396" s="80">
        <f t="shared" si="1146"/>
        <v>0</v>
      </c>
      <c r="AL7396" s="85"/>
      <c r="AM7396" s="85"/>
    </row>
    <row r="7397" spans="1:39" s="86" customFormat="1" ht="13.25" hidden="1" customHeight="1" x14ac:dyDescent="0.3">
      <c r="A7397" s="89" t="s">
        <v>3978</v>
      </c>
      <c r="B7397" s="86" t="s">
        <v>35</v>
      </c>
      <c r="C7397" s="86" t="s">
        <v>164</v>
      </c>
      <c r="D7397" s="86" t="s">
        <v>174</v>
      </c>
      <c r="E7397" s="86" t="s">
        <v>180</v>
      </c>
      <c r="F7397" s="86" t="s">
        <v>180</v>
      </c>
      <c r="G7397" s="86" t="s">
        <v>180</v>
      </c>
      <c r="H7397" s="143">
        <v>360</v>
      </c>
      <c r="I7397" s="86" t="s">
        <v>1060</v>
      </c>
      <c r="J7397" s="47" t="s">
        <v>3325</v>
      </c>
      <c r="K7397" s="47" t="s">
        <v>3767</v>
      </c>
      <c r="L7397" s="47" t="s">
        <v>35</v>
      </c>
      <c r="M7397" s="86" t="s">
        <v>1820</v>
      </c>
      <c r="O7397" s="47" t="s">
        <v>410</v>
      </c>
      <c r="P7397" s="47" t="s">
        <v>41</v>
      </c>
      <c r="Q7397" s="14">
        <v>0</v>
      </c>
      <c r="R7397" s="143" t="s">
        <v>1821</v>
      </c>
      <c r="S7397" s="47"/>
      <c r="T7397" s="6">
        <v>1950000</v>
      </c>
      <c r="U7397" s="6">
        <v>130000</v>
      </c>
      <c r="V7397" s="6">
        <v>0</v>
      </c>
      <c r="W7397" s="6">
        <f t="shared" si="1147"/>
        <v>2080000</v>
      </c>
      <c r="X7397" s="6">
        <f t="shared" si="1142"/>
        <v>0</v>
      </c>
      <c r="Y7397" s="13">
        <f t="shared" si="1144"/>
        <v>0</v>
      </c>
      <c r="Z7397" s="66">
        <v>0</v>
      </c>
      <c r="AA7397" s="6">
        <v>0</v>
      </c>
      <c r="AB7397" s="4">
        <f t="shared" si="1145"/>
        <v>0</v>
      </c>
      <c r="AC7397" s="6">
        <f t="shared" si="1143"/>
        <v>0</v>
      </c>
      <c r="AD7397" s="6">
        <f t="shared" si="1148"/>
        <v>0</v>
      </c>
      <c r="AE7397" s="14">
        <f>VLOOKUP(I7397,[2]媒体政策预估表!A:N,MATCH(O7397,[2]媒体政策预估表!$A$2:$M$2,0),0)</f>
        <v>7.0000000000000007E-2</v>
      </c>
      <c r="AF7397" s="6">
        <f t="shared" si="1150"/>
        <v>0</v>
      </c>
      <c r="AG7397" s="14">
        <v>0</v>
      </c>
      <c r="AH7397" s="64">
        <f t="shared" si="1149"/>
        <v>0</v>
      </c>
      <c r="AJ7397" s="126" t="e">
        <v>#N/A</v>
      </c>
      <c r="AK7397" s="80">
        <f t="shared" si="1146"/>
        <v>0</v>
      </c>
      <c r="AL7397" s="85"/>
      <c r="AM7397" s="85"/>
    </row>
    <row r="7398" spans="1:39" s="86" customFormat="1" ht="13.25" hidden="1" customHeight="1" x14ac:dyDescent="0.3">
      <c r="A7398" s="89" t="s">
        <v>3978</v>
      </c>
      <c r="B7398" s="86" t="s">
        <v>35</v>
      </c>
      <c r="C7398" s="86" t="s">
        <v>164</v>
      </c>
      <c r="D7398" s="86" t="s">
        <v>174</v>
      </c>
      <c r="E7398" s="86" t="s">
        <v>180</v>
      </c>
      <c r="F7398" s="86" t="s">
        <v>180</v>
      </c>
      <c r="G7398" s="86" t="s">
        <v>180</v>
      </c>
      <c r="H7398" s="144">
        <v>360</v>
      </c>
      <c r="I7398" s="86" t="s">
        <v>1060</v>
      </c>
      <c r="J7398" s="47" t="s">
        <v>3325</v>
      </c>
      <c r="K7398" s="47" t="s">
        <v>3767</v>
      </c>
      <c r="L7398" s="47" t="s">
        <v>35</v>
      </c>
      <c r="M7398" s="86" t="s">
        <v>180</v>
      </c>
      <c r="O7398" s="47" t="s">
        <v>410</v>
      </c>
      <c r="P7398" s="47" t="s">
        <v>41</v>
      </c>
      <c r="Q7398" s="14">
        <v>0</v>
      </c>
      <c r="R7398" s="143" t="s">
        <v>1823</v>
      </c>
      <c r="S7398" s="47"/>
      <c r="T7398" s="6">
        <v>2532719.7000000002</v>
      </c>
      <c r="U7398" s="6">
        <v>240000</v>
      </c>
      <c r="V7398" s="6">
        <v>365.9</v>
      </c>
      <c r="W7398" s="6">
        <f t="shared" si="1147"/>
        <v>2772353.8000000003</v>
      </c>
      <c r="X7398" s="6">
        <f t="shared" si="1142"/>
        <v>365.9</v>
      </c>
      <c r="Y7398" s="13">
        <f t="shared" si="1144"/>
        <v>0</v>
      </c>
      <c r="Z7398" s="66">
        <v>0</v>
      </c>
      <c r="AA7398" s="6">
        <v>0</v>
      </c>
      <c r="AB7398" s="4">
        <f t="shared" si="1145"/>
        <v>365.9</v>
      </c>
      <c r="AC7398" s="6">
        <f t="shared" si="1143"/>
        <v>0</v>
      </c>
      <c r="AD7398" s="6">
        <f t="shared" si="1148"/>
        <v>365.9</v>
      </c>
      <c r="AE7398" s="14">
        <f>VLOOKUP(I7398,[2]媒体政策预估表!A:N,MATCH(O7398,[2]媒体政策预估表!$A$2:$M$2,0),0)</f>
        <v>7.0000000000000007E-2</v>
      </c>
      <c r="AF7398" s="6">
        <f t="shared" si="1150"/>
        <v>25.613</v>
      </c>
      <c r="AG7398" s="14">
        <v>0</v>
      </c>
      <c r="AH7398" s="64">
        <f t="shared" si="1149"/>
        <v>365.9</v>
      </c>
      <c r="AJ7398" s="126" t="e">
        <v>#N/A</v>
      </c>
      <c r="AK7398" s="80">
        <f t="shared" si="1146"/>
        <v>0</v>
      </c>
      <c r="AL7398" s="85"/>
      <c r="AM7398" s="85"/>
    </row>
    <row r="7399" spans="1:39" s="86" customFormat="1" ht="13.25" hidden="1" customHeight="1" x14ac:dyDescent="0.3">
      <c r="A7399" s="89" t="s">
        <v>3978</v>
      </c>
      <c r="B7399" s="86" t="s">
        <v>35</v>
      </c>
      <c r="C7399" s="86" t="s">
        <v>164</v>
      </c>
      <c r="D7399" s="86" t="s">
        <v>174</v>
      </c>
      <c r="E7399" s="86" t="s">
        <v>180</v>
      </c>
      <c r="F7399" s="86" t="s">
        <v>180</v>
      </c>
      <c r="G7399" s="86" t="s">
        <v>180</v>
      </c>
      <c r="H7399" s="143">
        <v>360</v>
      </c>
      <c r="I7399" s="86" t="s">
        <v>1060</v>
      </c>
      <c r="J7399" s="47" t="s">
        <v>3325</v>
      </c>
      <c r="K7399" s="47" t="s">
        <v>3767</v>
      </c>
      <c r="L7399" s="47" t="s">
        <v>35</v>
      </c>
      <c r="M7399" s="86" t="s">
        <v>180</v>
      </c>
      <c r="O7399" s="47" t="s">
        <v>410</v>
      </c>
      <c r="P7399" s="47" t="s">
        <v>41</v>
      </c>
      <c r="Q7399" s="14">
        <v>0</v>
      </c>
      <c r="R7399" s="143" t="s">
        <v>1824</v>
      </c>
      <c r="S7399" s="47"/>
      <c r="T7399" s="6">
        <v>2880000</v>
      </c>
      <c r="U7399" s="6">
        <v>200000</v>
      </c>
      <c r="V7399" s="6">
        <v>0</v>
      </c>
      <c r="W7399" s="6">
        <f t="shared" si="1147"/>
        <v>3080000</v>
      </c>
      <c r="X7399" s="6">
        <f t="shared" si="1142"/>
        <v>0</v>
      </c>
      <c r="Y7399" s="13">
        <f t="shared" si="1144"/>
        <v>0</v>
      </c>
      <c r="Z7399" s="66">
        <v>0</v>
      </c>
      <c r="AA7399" s="6">
        <v>0</v>
      </c>
      <c r="AB7399" s="4">
        <f t="shared" si="1145"/>
        <v>0</v>
      </c>
      <c r="AC7399" s="6">
        <f t="shared" si="1143"/>
        <v>0</v>
      </c>
      <c r="AD7399" s="6">
        <f t="shared" si="1148"/>
        <v>0</v>
      </c>
      <c r="AE7399" s="14">
        <f>VLOOKUP(I7399,[2]媒体政策预估表!A:N,MATCH(O7399,[2]媒体政策预估表!$A$2:$M$2,0),0)</f>
        <v>7.0000000000000007E-2</v>
      </c>
      <c r="AF7399" s="6">
        <f t="shared" si="1150"/>
        <v>0</v>
      </c>
      <c r="AG7399" s="14">
        <v>0</v>
      </c>
      <c r="AH7399" s="64">
        <f t="shared" si="1149"/>
        <v>0</v>
      </c>
      <c r="AJ7399" s="126" t="e">
        <v>#N/A</v>
      </c>
      <c r="AK7399" s="80">
        <f t="shared" si="1146"/>
        <v>0</v>
      </c>
      <c r="AL7399" s="85"/>
      <c r="AM7399" s="85"/>
    </row>
    <row r="7400" spans="1:39" s="86" customFormat="1" ht="13.25" hidden="1" customHeight="1" x14ac:dyDescent="0.3">
      <c r="A7400" s="89" t="s">
        <v>3792</v>
      </c>
      <c r="B7400" s="86" t="s">
        <v>35</v>
      </c>
      <c r="C7400" s="86" t="s">
        <v>164</v>
      </c>
      <c r="D7400" s="86" t="s">
        <v>174</v>
      </c>
      <c r="E7400" s="86" t="s">
        <v>180</v>
      </c>
      <c r="F7400" s="86" t="s">
        <v>180</v>
      </c>
      <c r="G7400" s="86" t="s">
        <v>180</v>
      </c>
      <c r="H7400" s="143">
        <v>360</v>
      </c>
      <c r="I7400" s="86" t="s">
        <v>1060</v>
      </c>
      <c r="J7400" s="47" t="s">
        <v>3325</v>
      </c>
      <c r="K7400" s="47" t="s">
        <v>3767</v>
      </c>
      <c r="L7400" s="47" t="s">
        <v>35</v>
      </c>
      <c r="M7400" s="86" t="s">
        <v>1825</v>
      </c>
      <c r="O7400" s="47" t="s">
        <v>410</v>
      </c>
      <c r="P7400" s="47" t="s">
        <v>41</v>
      </c>
      <c r="Q7400" s="14">
        <v>0</v>
      </c>
      <c r="R7400" s="143" t="s">
        <v>1826</v>
      </c>
      <c r="S7400" s="47"/>
      <c r="T7400" s="6">
        <v>850000</v>
      </c>
      <c r="U7400" s="6">
        <v>100000</v>
      </c>
      <c r="V7400" s="6">
        <v>0</v>
      </c>
      <c r="W7400" s="6">
        <f t="shared" si="1147"/>
        <v>950000</v>
      </c>
      <c r="X7400" s="6">
        <f t="shared" si="1142"/>
        <v>0</v>
      </c>
      <c r="Y7400" s="13">
        <f t="shared" si="1144"/>
        <v>0</v>
      </c>
      <c r="Z7400" s="66">
        <v>0</v>
      </c>
      <c r="AA7400" s="6">
        <v>0</v>
      </c>
      <c r="AB7400" s="4">
        <f t="shared" si="1145"/>
        <v>0</v>
      </c>
      <c r="AC7400" s="6">
        <f t="shared" si="1143"/>
        <v>0</v>
      </c>
      <c r="AD7400" s="6">
        <f t="shared" si="1148"/>
        <v>0</v>
      </c>
      <c r="AE7400" s="14">
        <f>VLOOKUP(I7400,[2]媒体政策预估表!A:N,MATCH(O7400,[2]媒体政策预估表!$A$2:$M$2,0),0)</f>
        <v>7.0000000000000007E-2</v>
      </c>
      <c r="AF7400" s="6">
        <f t="shared" si="1150"/>
        <v>0</v>
      </c>
      <c r="AG7400" s="14">
        <v>0</v>
      </c>
      <c r="AH7400" s="64">
        <f t="shared" si="1149"/>
        <v>0</v>
      </c>
      <c r="AJ7400" s="126" t="e">
        <v>#N/A</v>
      </c>
      <c r="AK7400" s="80">
        <f t="shared" si="1146"/>
        <v>0</v>
      </c>
      <c r="AL7400" s="85"/>
      <c r="AM7400" s="85"/>
    </row>
    <row r="7401" spans="1:39" s="86" customFormat="1" ht="13.25" hidden="1" customHeight="1" x14ac:dyDescent="0.3">
      <c r="A7401" s="89" t="s">
        <v>3978</v>
      </c>
      <c r="B7401" s="86" t="s">
        <v>35</v>
      </c>
      <c r="C7401" s="86" t="s">
        <v>164</v>
      </c>
      <c r="D7401" s="86" t="s">
        <v>174</v>
      </c>
      <c r="E7401" s="86" t="s">
        <v>1827</v>
      </c>
      <c r="F7401" s="86" t="s">
        <v>1827</v>
      </c>
      <c r="G7401" s="86" t="s">
        <v>1827</v>
      </c>
      <c r="H7401" s="144">
        <v>360</v>
      </c>
      <c r="I7401" s="86" t="s">
        <v>1060</v>
      </c>
      <c r="J7401" s="47" t="s">
        <v>3325</v>
      </c>
      <c r="K7401" s="47" t="s">
        <v>3767</v>
      </c>
      <c r="L7401" s="47" t="s">
        <v>35</v>
      </c>
      <c r="M7401" s="86" t="s">
        <v>1827</v>
      </c>
      <c r="O7401" s="47" t="s">
        <v>410</v>
      </c>
      <c r="P7401" s="47" t="s">
        <v>41</v>
      </c>
      <c r="Q7401" s="14">
        <v>0</v>
      </c>
      <c r="R7401" s="143" t="s">
        <v>1828</v>
      </c>
      <c r="S7401" s="47"/>
      <c r="T7401" s="6">
        <v>1197.5</v>
      </c>
      <c r="U7401" s="6">
        <v>20000</v>
      </c>
      <c r="V7401" s="6">
        <v>9635.6</v>
      </c>
      <c r="W7401" s="6">
        <f t="shared" si="1147"/>
        <v>11561.9</v>
      </c>
      <c r="X7401" s="6">
        <f t="shared" si="1142"/>
        <v>9635.6</v>
      </c>
      <c r="Y7401" s="13">
        <f t="shared" si="1144"/>
        <v>0</v>
      </c>
      <c r="Z7401" s="66">
        <v>0</v>
      </c>
      <c r="AA7401" s="6">
        <v>0</v>
      </c>
      <c r="AB7401" s="4">
        <f t="shared" si="1145"/>
        <v>9635.6</v>
      </c>
      <c r="AC7401" s="6">
        <f t="shared" si="1143"/>
        <v>0</v>
      </c>
      <c r="AD7401" s="6">
        <f t="shared" si="1148"/>
        <v>9635.6</v>
      </c>
      <c r="AE7401" s="14">
        <f>VLOOKUP(I7401,[2]媒体政策预估表!A:N,MATCH(O7401,[2]媒体政策预估表!$A$2:$M$2,0),0)</f>
        <v>7.0000000000000007E-2</v>
      </c>
      <c r="AF7401" s="6">
        <f t="shared" si="1150"/>
        <v>674.49200000000008</v>
      </c>
      <c r="AG7401" s="14">
        <v>0</v>
      </c>
      <c r="AH7401" s="64">
        <f t="shared" si="1149"/>
        <v>9635.6</v>
      </c>
      <c r="AJ7401" s="126" t="e">
        <v>#N/A</v>
      </c>
      <c r="AK7401" s="80">
        <f t="shared" si="1146"/>
        <v>0</v>
      </c>
      <c r="AL7401" s="85"/>
      <c r="AM7401" s="85"/>
    </row>
    <row r="7402" spans="1:39" s="86" customFormat="1" ht="13.25" hidden="1" customHeight="1" x14ac:dyDescent="0.3">
      <c r="A7402" s="89" t="s">
        <v>3978</v>
      </c>
      <c r="B7402" s="86" t="s">
        <v>35</v>
      </c>
      <c r="C7402" s="86" t="s">
        <v>184</v>
      </c>
      <c r="D7402" s="86" t="s">
        <v>224</v>
      </c>
      <c r="E7402" s="86" t="s">
        <v>1095</v>
      </c>
      <c r="F7402" s="86" t="s">
        <v>1095</v>
      </c>
      <c r="G7402" s="86" t="s">
        <v>1095</v>
      </c>
      <c r="H7402" s="144">
        <v>360</v>
      </c>
      <c r="I7402" s="86" t="s">
        <v>1060</v>
      </c>
      <c r="J7402" s="47" t="s">
        <v>3325</v>
      </c>
      <c r="K7402" s="47" t="s">
        <v>3767</v>
      </c>
      <c r="L7402" s="47" t="s">
        <v>35</v>
      </c>
      <c r="M7402" s="86" t="s">
        <v>1095</v>
      </c>
      <c r="O7402" s="47" t="s">
        <v>410</v>
      </c>
      <c r="P7402" s="47" t="s">
        <v>46</v>
      </c>
      <c r="Q7402" s="14">
        <v>0.02</v>
      </c>
      <c r="R7402" s="143" t="s">
        <v>1096</v>
      </c>
      <c r="S7402" s="47"/>
      <c r="T7402" s="6">
        <v>6534.1</v>
      </c>
      <c r="U7402" s="6">
        <v>143200</v>
      </c>
      <c r="V7402" s="6">
        <v>87795.3</v>
      </c>
      <c r="W7402" s="6">
        <f t="shared" si="1147"/>
        <v>61938.8</v>
      </c>
      <c r="X7402" s="6">
        <f t="shared" si="1142"/>
        <v>86073.823529411762</v>
      </c>
      <c r="Y7402" s="13">
        <f t="shared" si="1144"/>
        <v>0</v>
      </c>
      <c r="Z7402" s="66">
        <v>0</v>
      </c>
      <c r="AA7402" s="6">
        <v>0</v>
      </c>
      <c r="AB7402" s="4">
        <f t="shared" si="1145"/>
        <v>86073.823529411762</v>
      </c>
      <c r="AC7402" s="6">
        <f t="shared" si="1143"/>
        <v>1721.4764705882408</v>
      </c>
      <c r="AD7402" s="6">
        <f t="shared" si="1148"/>
        <v>87795.3</v>
      </c>
      <c r="AE7402" s="14">
        <f>VLOOKUP(I7402,[2]媒体政策预估表!A:N,MATCH(O7402,[2]媒体政策预估表!$A$2:$M$2,0),0)</f>
        <v>7.0000000000000007E-2</v>
      </c>
      <c r="AF7402" s="6">
        <f t="shared" si="1150"/>
        <v>6145.6710000000012</v>
      </c>
      <c r="AG7402" s="14">
        <v>0</v>
      </c>
      <c r="AH7402" s="64">
        <f t="shared" si="1149"/>
        <v>87795.3</v>
      </c>
      <c r="AJ7402" s="126" t="e">
        <v>#N/A</v>
      </c>
      <c r="AK7402" s="80">
        <f t="shared" si="1146"/>
        <v>0</v>
      </c>
      <c r="AL7402" s="85"/>
      <c r="AM7402" s="85"/>
    </row>
    <row r="7403" spans="1:39" s="86" customFormat="1" ht="13.25" hidden="1" customHeight="1" x14ac:dyDescent="0.3">
      <c r="A7403" s="89" t="s">
        <v>3978</v>
      </c>
      <c r="B7403" s="86" t="s">
        <v>35</v>
      </c>
      <c r="C7403" s="86" t="s">
        <v>184</v>
      </c>
      <c r="D7403" s="86" t="s">
        <v>224</v>
      </c>
      <c r="E7403" s="86" t="s">
        <v>1097</v>
      </c>
      <c r="F7403" s="86" t="s">
        <v>1097</v>
      </c>
      <c r="G7403" s="86" t="s">
        <v>1097</v>
      </c>
      <c r="H7403" s="144">
        <v>360</v>
      </c>
      <c r="I7403" s="86" t="s">
        <v>1060</v>
      </c>
      <c r="J7403" s="47" t="s">
        <v>3325</v>
      </c>
      <c r="K7403" s="47" t="s">
        <v>3767</v>
      </c>
      <c r="L7403" s="47" t="s">
        <v>35</v>
      </c>
      <c r="M7403" s="86" t="s">
        <v>1097</v>
      </c>
      <c r="O7403" s="47" t="s">
        <v>410</v>
      </c>
      <c r="P7403" s="47" t="s">
        <v>41</v>
      </c>
      <c r="Q7403" s="14">
        <v>0</v>
      </c>
      <c r="R7403" s="143" t="s">
        <v>1098</v>
      </c>
      <c r="S7403" s="47"/>
      <c r="T7403" s="6">
        <v>21633.100000000035</v>
      </c>
      <c r="U7403" s="6">
        <v>85000</v>
      </c>
      <c r="V7403" s="6">
        <v>94246.2</v>
      </c>
      <c r="W7403" s="6">
        <f t="shared" si="1147"/>
        <v>12386.900000000038</v>
      </c>
      <c r="X7403" s="6">
        <f t="shared" si="1142"/>
        <v>94246.2</v>
      </c>
      <c r="Y7403" s="13">
        <f t="shared" si="1144"/>
        <v>0</v>
      </c>
      <c r="Z7403" s="66">
        <v>0</v>
      </c>
      <c r="AA7403" s="6">
        <v>0</v>
      </c>
      <c r="AB7403" s="4">
        <f t="shared" si="1145"/>
        <v>94246.2</v>
      </c>
      <c r="AC7403" s="6">
        <f t="shared" si="1143"/>
        <v>0</v>
      </c>
      <c r="AD7403" s="6">
        <f t="shared" si="1148"/>
        <v>94246.2</v>
      </c>
      <c r="AE7403" s="14">
        <f>VLOOKUP(I7403,[2]媒体政策预估表!A:N,MATCH(O7403,[2]媒体政策预估表!$A$2:$M$2,0),0)</f>
        <v>7.0000000000000007E-2</v>
      </c>
      <c r="AF7403" s="6">
        <f t="shared" si="1150"/>
        <v>6597.2340000000004</v>
      </c>
      <c r="AG7403" s="14">
        <v>0</v>
      </c>
      <c r="AH7403" s="64">
        <f t="shared" si="1149"/>
        <v>94246.2</v>
      </c>
      <c r="AJ7403" s="126" t="e">
        <v>#N/A</v>
      </c>
      <c r="AK7403" s="80">
        <f t="shared" si="1146"/>
        <v>0</v>
      </c>
      <c r="AL7403" s="85"/>
      <c r="AM7403" s="85"/>
    </row>
    <row r="7404" spans="1:39" s="86" customFormat="1" ht="13.25" hidden="1" customHeight="1" x14ac:dyDescent="0.3">
      <c r="A7404" s="89" t="s">
        <v>3792</v>
      </c>
      <c r="B7404" s="86" t="s">
        <v>35</v>
      </c>
      <c r="C7404" s="86" t="s">
        <v>184</v>
      </c>
      <c r="D7404" s="86" t="s">
        <v>224</v>
      </c>
      <c r="E7404" s="86" t="s">
        <v>1097</v>
      </c>
      <c r="F7404" s="86" t="s">
        <v>1097</v>
      </c>
      <c r="G7404" s="86" t="s">
        <v>1097</v>
      </c>
      <c r="H7404" s="144">
        <v>360</v>
      </c>
      <c r="I7404" s="86" t="s">
        <v>1060</v>
      </c>
      <c r="J7404" s="47" t="s">
        <v>3325</v>
      </c>
      <c r="K7404" s="47" t="s">
        <v>3767</v>
      </c>
      <c r="L7404" s="47" t="s">
        <v>35</v>
      </c>
      <c r="M7404" s="86" t="s">
        <v>4092</v>
      </c>
      <c r="O7404" s="47" t="s">
        <v>410</v>
      </c>
      <c r="P7404" s="47" t="s">
        <v>41</v>
      </c>
      <c r="Q7404" s="14">
        <v>0</v>
      </c>
      <c r="R7404" s="143" t="s">
        <v>4093</v>
      </c>
      <c r="S7404" s="47"/>
      <c r="T7404" s="6">
        <v>0</v>
      </c>
      <c r="U7404" s="6">
        <v>20000</v>
      </c>
      <c r="V7404" s="6">
        <v>5141.7</v>
      </c>
      <c r="W7404" s="6">
        <f t="shared" si="1147"/>
        <v>14858.3</v>
      </c>
      <c r="X7404" s="6">
        <f t="shared" si="1142"/>
        <v>5141.7</v>
      </c>
      <c r="Y7404" s="13">
        <f t="shared" si="1144"/>
        <v>0</v>
      </c>
      <c r="Z7404" s="66">
        <v>0</v>
      </c>
      <c r="AA7404" s="6">
        <v>0</v>
      </c>
      <c r="AB7404" s="4">
        <f t="shared" si="1145"/>
        <v>5141.7</v>
      </c>
      <c r="AC7404" s="6">
        <f t="shared" si="1143"/>
        <v>0</v>
      </c>
      <c r="AD7404" s="6">
        <f t="shared" si="1148"/>
        <v>5141.7</v>
      </c>
      <c r="AE7404" s="14">
        <f>VLOOKUP(I7404,[2]媒体政策预估表!A:N,MATCH(O7404,[2]媒体政策预估表!$A$2:$M$2,0),0)</f>
        <v>7.0000000000000007E-2</v>
      </c>
      <c r="AF7404" s="6">
        <f t="shared" si="1150"/>
        <v>359.91900000000004</v>
      </c>
      <c r="AG7404" s="14">
        <v>0</v>
      </c>
      <c r="AH7404" s="64">
        <f t="shared" si="1149"/>
        <v>5141.7</v>
      </c>
      <c r="AJ7404" s="126" t="e">
        <v>#N/A</v>
      </c>
      <c r="AK7404" s="80">
        <f t="shared" si="1146"/>
        <v>0</v>
      </c>
      <c r="AL7404" s="85"/>
      <c r="AM7404" s="85"/>
    </row>
    <row r="7405" spans="1:39" s="86" customFormat="1" ht="13.25" hidden="1" customHeight="1" x14ac:dyDescent="0.3">
      <c r="A7405" s="89" t="s">
        <v>3978</v>
      </c>
      <c r="B7405" s="86" t="s">
        <v>35</v>
      </c>
      <c r="C7405" s="86" t="s">
        <v>184</v>
      </c>
      <c r="D7405" s="86" t="s">
        <v>224</v>
      </c>
      <c r="E7405" s="86" t="s">
        <v>1101</v>
      </c>
      <c r="F7405" s="86" t="s">
        <v>1101</v>
      </c>
      <c r="G7405" s="86" t="s">
        <v>1101</v>
      </c>
      <c r="H7405" s="144">
        <v>360</v>
      </c>
      <c r="I7405" s="86" t="s">
        <v>1060</v>
      </c>
      <c r="J7405" s="47" t="s">
        <v>3325</v>
      </c>
      <c r="K7405" s="47" t="s">
        <v>3767</v>
      </c>
      <c r="L7405" s="47" t="s">
        <v>35</v>
      </c>
      <c r="M7405" s="86" t="s">
        <v>1101</v>
      </c>
      <c r="O7405" s="47" t="s">
        <v>410</v>
      </c>
      <c r="P7405" s="47" t="s">
        <v>41</v>
      </c>
      <c r="Q7405" s="14">
        <v>0</v>
      </c>
      <c r="R7405" s="143" t="s">
        <v>1102</v>
      </c>
      <c r="S7405" s="47"/>
      <c r="T7405" s="6">
        <v>17394.060000000012</v>
      </c>
      <c r="U7405" s="6">
        <v>100000</v>
      </c>
      <c r="V7405" s="6">
        <v>95676.1</v>
      </c>
      <c r="W7405" s="6">
        <f t="shared" si="1147"/>
        <v>21717.960000000006</v>
      </c>
      <c r="X7405" s="6">
        <f t="shared" si="1142"/>
        <v>95676.1</v>
      </c>
      <c r="Y7405" s="13">
        <f t="shared" si="1144"/>
        <v>0</v>
      </c>
      <c r="Z7405" s="66">
        <v>0</v>
      </c>
      <c r="AA7405" s="6">
        <v>0</v>
      </c>
      <c r="AB7405" s="4">
        <f t="shared" si="1145"/>
        <v>95676.1</v>
      </c>
      <c r="AC7405" s="6">
        <f t="shared" si="1143"/>
        <v>0</v>
      </c>
      <c r="AD7405" s="6">
        <f t="shared" si="1148"/>
        <v>95676.1</v>
      </c>
      <c r="AE7405" s="14">
        <f>VLOOKUP(I7405,[2]媒体政策预估表!A:N,MATCH(O7405,[2]媒体政策预估表!$A$2:$M$2,0),0)</f>
        <v>7.0000000000000007E-2</v>
      </c>
      <c r="AF7405" s="6">
        <f t="shared" si="1150"/>
        <v>6697.3270000000011</v>
      </c>
      <c r="AG7405" s="14">
        <v>0</v>
      </c>
      <c r="AH7405" s="64">
        <f t="shared" si="1149"/>
        <v>95676.1</v>
      </c>
      <c r="AJ7405" s="126" t="e">
        <v>#N/A</v>
      </c>
      <c r="AK7405" s="80">
        <f t="shared" si="1146"/>
        <v>0</v>
      </c>
      <c r="AL7405" s="85"/>
      <c r="AM7405" s="85"/>
    </row>
    <row r="7406" spans="1:39" s="86" customFormat="1" ht="13.25" hidden="1" customHeight="1" x14ac:dyDescent="0.3">
      <c r="A7406" s="89" t="s">
        <v>3792</v>
      </c>
      <c r="B7406" s="86" t="s">
        <v>35</v>
      </c>
      <c r="C7406" s="86" t="s">
        <v>184</v>
      </c>
      <c r="D7406" s="86" t="s">
        <v>224</v>
      </c>
      <c r="E7406" s="86" t="s">
        <v>1106</v>
      </c>
      <c r="F7406" s="86" t="s">
        <v>1106</v>
      </c>
      <c r="G7406" s="86" t="s">
        <v>1106</v>
      </c>
      <c r="H7406" s="144">
        <v>360</v>
      </c>
      <c r="I7406" s="86" t="s">
        <v>1060</v>
      </c>
      <c r="J7406" s="47" t="s">
        <v>3325</v>
      </c>
      <c r="K7406" s="47" t="s">
        <v>3767</v>
      </c>
      <c r="L7406" s="47" t="s">
        <v>35</v>
      </c>
      <c r="M7406" s="86" t="s">
        <v>1106</v>
      </c>
      <c r="O7406" s="47" t="s">
        <v>410</v>
      </c>
      <c r="P7406" s="47" t="s">
        <v>41</v>
      </c>
      <c r="Q7406" s="14">
        <v>0</v>
      </c>
      <c r="R7406" s="143" t="s">
        <v>1107</v>
      </c>
      <c r="S7406" s="47"/>
      <c r="T7406" s="6">
        <v>2626.8000000000029</v>
      </c>
      <c r="U7406" s="6">
        <v>15000</v>
      </c>
      <c r="V7406" s="6">
        <v>17220.099999999999</v>
      </c>
      <c r="W7406" s="6">
        <f t="shared" si="1147"/>
        <v>406.70000000000437</v>
      </c>
      <c r="X7406" s="6">
        <f t="shared" si="1142"/>
        <v>17220.099999999999</v>
      </c>
      <c r="Y7406" s="13">
        <f t="shared" si="1144"/>
        <v>0</v>
      </c>
      <c r="Z7406" s="66">
        <v>0</v>
      </c>
      <c r="AA7406" s="6">
        <v>0</v>
      </c>
      <c r="AB7406" s="4">
        <f t="shared" si="1145"/>
        <v>17220.099999999999</v>
      </c>
      <c r="AC7406" s="6">
        <f t="shared" si="1143"/>
        <v>0</v>
      </c>
      <c r="AD7406" s="6">
        <f t="shared" si="1148"/>
        <v>17220.099999999999</v>
      </c>
      <c r="AE7406" s="14">
        <f>VLOOKUP(I7406,[2]媒体政策预估表!A:N,MATCH(O7406,[2]媒体政策预估表!$A$2:$M$2,0),0)</f>
        <v>7.0000000000000007E-2</v>
      </c>
      <c r="AF7406" s="6">
        <f t="shared" si="1150"/>
        <v>1205.4069999999999</v>
      </c>
      <c r="AG7406" s="14">
        <v>0</v>
      </c>
      <c r="AH7406" s="64">
        <f t="shared" si="1149"/>
        <v>17220.099999999999</v>
      </c>
      <c r="AJ7406" s="126" t="e">
        <v>#N/A</v>
      </c>
      <c r="AK7406" s="80">
        <f t="shared" si="1146"/>
        <v>0</v>
      </c>
      <c r="AL7406" s="85"/>
      <c r="AM7406" s="85"/>
    </row>
    <row r="7407" spans="1:39" s="86" customFormat="1" ht="13.25" hidden="1" customHeight="1" x14ac:dyDescent="0.3">
      <c r="A7407" s="89" t="s">
        <v>3978</v>
      </c>
      <c r="B7407" s="86" t="s">
        <v>35</v>
      </c>
      <c r="C7407" s="86" t="s">
        <v>184</v>
      </c>
      <c r="D7407" s="86" t="s">
        <v>224</v>
      </c>
      <c r="E7407" s="86" t="s">
        <v>2658</v>
      </c>
      <c r="F7407" s="86" t="s">
        <v>4094</v>
      </c>
      <c r="G7407" s="86" t="s">
        <v>2658</v>
      </c>
      <c r="H7407" s="144">
        <v>360</v>
      </c>
      <c r="I7407" s="86" t="s">
        <v>1060</v>
      </c>
      <c r="J7407" s="47" t="s">
        <v>3325</v>
      </c>
      <c r="K7407" s="47" t="s">
        <v>3767</v>
      </c>
      <c r="L7407" s="47" t="s">
        <v>35</v>
      </c>
      <c r="M7407" s="86" t="s">
        <v>2658</v>
      </c>
      <c r="O7407" s="47" t="s">
        <v>410</v>
      </c>
      <c r="P7407" s="47" t="s">
        <v>41</v>
      </c>
      <c r="Q7407" s="14">
        <v>0</v>
      </c>
      <c r="R7407" s="143" t="s">
        <v>4095</v>
      </c>
      <c r="S7407" s="47"/>
      <c r="T7407" s="6">
        <v>0</v>
      </c>
      <c r="U7407" s="6">
        <v>30000</v>
      </c>
      <c r="V7407" s="6">
        <v>15130.2</v>
      </c>
      <c r="W7407" s="6">
        <f t="shared" si="1147"/>
        <v>14869.8</v>
      </c>
      <c r="X7407" s="6">
        <f t="shared" si="1142"/>
        <v>15130.2</v>
      </c>
      <c r="Y7407" s="13">
        <f t="shared" si="1144"/>
        <v>0</v>
      </c>
      <c r="Z7407" s="66">
        <v>0</v>
      </c>
      <c r="AA7407" s="6">
        <v>0</v>
      </c>
      <c r="AB7407" s="4">
        <f t="shared" si="1145"/>
        <v>15130.2</v>
      </c>
      <c r="AC7407" s="6">
        <f t="shared" si="1143"/>
        <v>0</v>
      </c>
      <c r="AD7407" s="6">
        <f t="shared" si="1148"/>
        <v>15130.2</v>
      </c>
      <c r="AE7407" s="14">
        <f>VLOOKUP(I7407,[2]媒体政策预估表!A:N,MATCH(O7407,[2]媒体政策预估表!$A$2:$M$2,0),0)</f>
        <v>7.0000000000000007E-2</v>
      </c>
      <c r="AF7407" s="6">
        <f t="shared" si="1150"/>
        <v>1059.1140000000003</v>
      </c>
      <c r="AG7407" s="14">
        <v>0</v>
      </c>
      <c r="AH7407" s="64">
        <f t="shared" si="1149"/>
        <v>15130.2</v>
      </c>
      <c r="AJ7407" s="126" t="e">
        <v>#N/A</v>
      </c>
      <c r="AK7407" s="80">
        <f t="shared" si="1146"/>
        <v>0</v>
      </c>
      <c r="AL7407" s="85"/>
      <c r="AM7407" s="85"/>
    </row>
    <row r="7408" spans="1:39" s="86" customFormat="1" ht="13.25" hidden="1" customHeight="1" x14ac:dyDescent="0.3">
      <c r="A7408" s="89" t="s">
        <v>3978</v>
      </c>
      <c r="B7408" s="86" t="s">
        <v>35</v>
      </c>
      <c r="C7408" s="86" t="s">
        <v>184</v>
      </c>
      <c r="D7408" s="86" t="s">
        <v>224</v>
      </c>
      <c r="E7408" s="86" t="s">
        <v>1114</v>
      </c>
      <c r="F7408" s="86" t="s">
        <v>1114</v>
      </c>
      <c r="G7408" s="86" t="s">
        <v>1114</v>
      </c>
      <c r="H7408" s="144">
        <v>360</v>
      </c>
      <c r="I7408" s="86" t="s">
        <v>1060</v>
      </c>
      <c r="J7408" s="47" t="s">
        <v>3325</v>
      </c>
      <c r="K7408" s="47" t="s">
        <v>3767</v>
      </c>
      <c r="L7408" s="47" t="s">
        <v>35</v>
      </c>
      <c r="M7408" s="86" t="s">
        <v>4096</v>
      </c>
      <c r="O7408" s="47" t="s">
        <v>410</v>
      </c>
      <c r="P7408" s="47" t="s">
        <v>41</v>
      </c>
      <c r="Q7408" s="14">
        <v>0</v>
      </c>
      <c r="R7408" s="143" t="s">
        <v>1115</v>
      </c>
      <c r="S7408" s="47"/>
      <c r="T7408" s="6">
        <v>4</v>
      </c>
      <c r="U7408" s="6">
        <v>10000</v>
      </c>
      <c r="V7408" s="6">
        <v>7912.3</v>
      </c>
      <c r="W7408" s="6">
        <f t="shared" si="1147"/>
        <v>2091.6999999999998</v>
      </c>
      <c r="X7408" s="6">
        <f t="shared" ref="X7408:X7471" si="1151">IF(P7408="折扣",V7408*Q7408,IF(P7408="返现",V7408,V7408/(1+Q7408)))</f>
        <v>7912.3</v>
      </c>
      <c r="Y7408" s="13">
        <f t="shared" si="1144"/>
        <v>0</v>
      </c>
      <c r="Z7408" s="66">
        <v>0</v>
      </c>
      <c r="AA7408" s="6">
        <v>0</v>
      </c>
      <c r="AB7408" s="4">
        <f t="shared" si="1145"/>
        <v>7912.3</v>
      </c>
      <c r="AC7408" s="6">
        <f t="shared" si="1143"/>
        <v>0</v>
      </c>
      <c r="AD7408" s="6">
        <f t="shared" si="1148"/>
        <v>7912.3</v>
      </c>
      <c r="AE7408" s="14">
        <f>VLOOKUP(I7408,[2]媒体政策预估表!A:N,MATCH(O7408,[2]媒体政策预估表!$A$2:$M$2,0),0)</f>
        <v>7.0000000000000007E-2</v>
      </c>
      <c r="AF7408" s="6">
        <f t="shared" si="1150"/>
        <v>553.8610000000001</v>
      </c>
      <c r="AG7408" s="14">
        <v>0</v>
      </c>
      <c r="AH7408" s="64">
        <f t="shared" si="1149"/>
        <v>7912.3</v>
      </c>
      <c r="AJ7408" s="126" t="e">
        <v>#N/A</v>
      </c>
      <c r="AK7408" s="80">
        <f t="shared" si="1146"/>
        <v>0</v>
      </c>
      <c r="AL7408" s="85"/>
      <c r="AM7408" s="85"/>
    </row>
    <row r="7409" spans="1:39" s="86" customFormat="1" ht="13.25" hidden="1" customHeight="1" x14ac:dyDescent="0.3">
      <c r="A7409" s="89" t="s">
        <v>3978</v>
      </c>
      <c r="B7409" s="86" t="s">
        <v>35</v>
      </c>
      <c r="C7409" s="86" t="s">
        <v>184</v>
      </c>
      <c r="D7409" s="86" t="s">
        <v>224</v>
      </c>
      <c r="E7409" s="86" t="s">
        <v>1116</v>
      </c>
      <c r="F7409" s="86" t="s">
        <v>1116</v>
      </c>
      <c r="G7409" s="86" t="s">
        <v>1116</v>
      </c>
      <c r="H7409" s="144">
        <v>360</v>
      </c>
      <c r="I7409" s="86" t="s">
        <v>1060</v>
      </c>
      <c r="J7409" s="47" t="s">
        <v>3325</v>
      </c>
      <c r="K7409" s="47" t="s">
        <v>3767</v>
      </c>
      <c r="L7409" s="47" t="s">
        <v>35</v>
      </c>
      <c r="M7409" s="86" t="s">
        <v>1116</v>
      </c>
      <c r="O7409" s="47" t="s">
        <v>410</v>
      </c>
      <c r="P7409" s="47" t="s">
        <v>41</v>
      </c>
      <c r="Q7409" s="14">
        <v>0</v>
      </c>
      <c r="R7409" s="143" t="s">
        <v>1117</v>
      </c>
      <c r="S7409" s="47"/>
      <c r="T7409" s="6">
        <v>4817.2000000000007</v>
      </c>
      <c r="U7409" s="6">
        <v>20000</v>
      </c>
      <c r="V7409" s="6">
        <v>19782.5</v>
      </c>
      <c r="W7409" s="6">
        <f t="shared" si="1147"/>
        <v>5034.7000000000007</v>
      </c>
      <c r="X7409" s="6">
        <f t="shared" si="1151"/>
        <v>19782.5</v>
      </c>
      <c r="Y7409" s="13">
        <f t="shared" si="1144"/>
        <v>0</v>
      </c>
      <c r="Z7409" s="66">
        <v>0</v>
      </c>
      <c r="AA7409" s="6">
        <v>0</v>
      </c>
      <c r="AB7409" s="4">
        <f t="shared" si="1145"/>
        <v>19782.5</v>
      </c>
      <c r="AC7409" s="6">
        <f t="shared" si="1143"/>
        <v>0</v>
      </c>
      <c r="AD7409" s="6">
        <f t="shared" si="1148"/>
        <v>19782.5</v>
      </c>
      <c r="AE7409" s="14">
        <f>VLOOKUP(I7409,[2]媒体政策预估表!A:N,MATCH(O7409,[2]媒体政策预估表!$A$2:$M$2,0),0)</f>
        <v>7.0000000000000007E-2</v>
      </c>
      <c r="AF7409" s="6">
        <f t="shared" si="1150"/>
        <v>1384.7750000000001</v>
      </c>
      <c r="AG7409" s="14">
        <v>0</v>
      </c>
      <c r="AH7409" s="64">
        <f t="shared" si="1149"/>
        <v>19782.5</v>
      </c>
      <c r="AJ7409" s="126" t="e">
        <v>#N/A</v>
      </c>
      <c r="AK7409" s="80">
        <f t="shared" si="1146"/>
        <v>0</v>
      </c>
      <c r="AL7409" s="85"/>
      <c r="AM7409" s="85"/>
    </row>
    <row r="7410" spans="1:39" s="86" customFormat="1" ht="13.25" hidden="1" customHeight="1" x14ac:dyDescent="0.3">
      <c r="A7410" s="89" t="s">
        <v>3792</v>
      </c>
      <c r="B7410" s="86" t="s">
        <v>35</v>
      </c>
      <c r="C7410" s="86" t="s">
        <v>184</v>
      </c>
      <c r="D7410" s="86" t="s">
        <v>224</v>
      </c>
      <c r="E7410" s="86" t="s">
        <v>4097</v>
      </c>
      <c r="F7410" s="86" t="s">
        <v>4097</v>
      </c>
      <c r="G7410" s="86" t="s">
        <v>4097</v>
      </c>
      <c r="H7410" s="144">
        <v>360</v>
      </c>
      <c r="I7410" s="86" t="s">
        <v>1060</v>
      </c>
      <c r="J7410" s="47" t="s">
        <v>3325</v>
      </c>
      <c r="K7410" s="47" t="s">
        <v>3767</v>
      </c>
      <c r="L7410" s="47" t="s">
        <v>35</v>
      </c>
      <c r="M7410" s="86" t="s">
        <v>4098</v>
      </c>
      <c r="O7410" s="47" t="s">
        <v>410</v>
      </c>
      <c r="P7410" s="47" t="s">
        <v>41</v>
      </c>
      <c r="Q7410" s="14">
        <v>0</v>
      </c>
      <c r="R7410" s="143">
        <v>3150667517</v>
      </c>
      <c r="S7410" s="47"/>
      <c r="T7410" s="6">
        <v>0</v>
      </c>
      <c r="U7410" s="6">
        <v>35250</v>
      </c>
      <c r="V7410" s="6">
        <v>35250</v>
      </c>
      <c r="W7410" s="6">
        <f t="shared" si="1147"/>
        <v>0</v>
      </c>
      <c r="X7410" s="6">
        <f t="shared" si="1151"/>
        <v>35250</v>
      </c>
      <c r="Y7410" s="13">
        <f t="shared" si="1144"/>
        <v>0</v>
      </c>
      <c r="Z7410" s="66">
        <v>0</v>
      </c>
      <c r="AA7410" s="6">
        <v>0</v>
      </c>
      <c r="AB7410" s="4">
        <f t="shared" si="1145"/>
        <v>35250</v>
      </c>
      <c r="AC7410" s="6">
        <f t="shared" si="1143"/>
        <v>0</v>
      </c>
      <c r="AD7410" s="6">
        <f t="shared" si="1148"/>
        <v>35250</v>
      </c>
      <c r="AE7410" s="14">
        <f>VLOOKUP(I7410,[2]媒体政策预估表!A:N,MATCH(O7410,[2]媒体政策预估表!$A$2:$M$2,0),0)</f>
        <v>7.0000000000000007E-2</v>
      </c>
      <c r="AF7410" s="6">
        <f t="shared" si="1150"/>
        <v>2467.5000000000005</v>
      </c>
      <c r="AG7410" s="14">
        <v>0</v>
      </c>
      <c r="AH7410" s="64">
        <f t="shared" si="1149"/>
        <v>35250</v>
      </c>
      <c r="AJ7410" s="126" t="e">
        <v>#N/A</v>
      </c>
      <c r="AK7410" s="80">
        <f t="shared" si="1146"/>
        <v>0</v>
      </c>
      <c r="AL7410" s="85"/>
      <c r="AM7410" s="85"/>
    </row>
    <row r="7411" spans="1:39" s="86" customFormat="1" ht="13.25" hidden="1" customHeight="1" x14ac:dyDescent="0.3">
      <c r="A7411" s="89" t="s">
        <v>3978</v>
      </c>
      <c r="B7411" s="86" t="s">
        <v>35</v>
      </c>
      <c r="C7411" s="86" t="s">
        <v>184</v>
      </c>
      <c r="D7411" s="86" t="s">
        <v>224</v>
      </c>
      <c r="E7411" s="86" t="s">
        <v>1125</v>
      </c>
      <c r="F7411" s="86" t="s">
        <v>1125</v>
      </c>
      <c r="G7411" s="86" t="s">
        <v>1125</v>
      </c>
      <c r="H7411" s="143">
        <v>360</v>
      </c>
      <c r="I7411" s="86" t="s">
        <v>1060</v>
      </c>
      <c r="J7411" s="47" t="s">
        <v>3325</v>
      </c>
      <c r="K7411" s="47" t="s">
        <v>3767</v>
      </c>
      <c r="L7411" s="47" t="s">
        <v>35</v>
      </c>
      <c r="M7411" s="86" t="s">
        <v>1126</v>
      </c>
      <c r="O7411" s="47" t="s">
        <v>410</v>
      </c>
      <c r="P7411" s="47" t="s">
        <v>46</v>
      </c>
      <c r="Q7411" s="14">
        <v>0.02</v>
      </c>
      <c r="R7411" s="143" t="s">
        <v>1127</v>
      </c>
      <c r="S7411" s="47"/>
      <c r="T7411" s="6">
        <v>5177.3</v>
      </c>
      <c r="U7411" s="6">
        <v>-5177.3</v>
      </c>
      <c r="V7411" s="6">
        <v>0</v>
      </c>
      <c r="W7411" s="6">
        <f t="shared" si="1147"/>
        <v>0</v>
      </c>
      <c r="X7411" s="6">
        <f t="shared" si="1151"/>
        <v>0</v>
      </c>
      <c r="Y7411" s="13">
        <f t="shared" si="1144"/>
        <v>0</v>
      </c>
      <c r="Z7411" s="66">
        <v>0</v>
      </c>
      <c r="AA7411" s="6">
        <v>0</v>
      </c>
      <c r="AB7411" s="4">
        <f t="shared" si="1145"/>
        <v>0</v>
      </c>
      <c r="AC7411" s="6">
        <f t="shared" si="1143"/>
        <v>0</v>
      </c>
      <c r="AD7411" s="6">
        <f t="shared" si="1148"/>
        <v>0</v>
      </c>
      <c r="AE7411" s="14">
        <f>VLOOKUP(I7411,[2]媒体政策预估表!A:N,MATCH(O7411,[2]媒体政策预估表!$A$2:$M$2,0),0)</f>
        <v>7.0000000000000007E-2</v>
      </c>
      <c r="AF7411" s="6">
        <f t="shared" si="1150"/>
        <v>0</v>
      </c>
      <c r="AG7411" s="14">
        <v>0</v>
      </c>
      <c r="AH7411" s="64">
        <f t="shared" si="1149"/>
        <v>0</v>
      </c>
      <c r="AJ7411" s="126" t="e">
        <v>#N/A</v>
      </c>
      <c r="AK7411" s="80">
        <f t="shared" si="1146"/>
        <v>0</v>
      </c>
      <c r="AL7411" s="85"/>
      <c r="AM7411" s="85"/>
    </row>
    <row r="7412" spans="1:39" s="86" customFormat="1" ht="13.25" hidden="1" customHeight="1" x14ac:dyDescent="0.3">
      <c r="A7412" s="89" t="s">
        <v>3978</v>
      </c>
      <c r="B7412" s="86" t="s">
        <v>35</v>
      </c>
      <c r="C7412" s="86" t="s">
        <v>184</v>
      </c>
      <c r="D7412" s="86" t="s">
        <v>224</v>
      </c>
      <c r="E7412" s="86" t="s">
        <v>1125</v>
      </c>
      <c r="F7412" s="86" t="s">
        <v>1125</v>
      </c>
      <c r="G7412" s="86" t="s">
        <v>1125</v>
      </c>
      <c r="H7412" s="144">
        <v>360</v>
      </c>
      <c r="I7412" s="86" t="s">
        <v>1060</v>
      </c>
      <c r="J7412" s="47" t="s">
        <v>3325</v>
      </c>
      <c r="K7412" s="47" t="s">
        <v>3767</v>
      </c>
      <c r="L7412" s="47" t="s">
        <v>35</v>
      </c>
      <c r="M7412" s="86" t="s">
        <v>4099</v>
      </c>
      <c r="O7412" s="47" t="s">
        <v>410</v>
      </c>
      <c r="P7412" s="47" t="s">
        <v>46</v>
      </c>
      <c r="Q7412" s="14">
        <v>0.02</v>
      </c>
      <c r="R7412" s="143" t="s">
        <v>4100</v>
      </c>
      <c r="S7412" s="47"/>
      <c r="T7412" s="6">
        <v>0</v>
      </c>
      <c r="U7412" s="6">
        <v>15177.3</v>
      </c>
      <c r="V7412" s="6">
        <v>5529.5</v>
      </c>
      <c r="W7412" s="6">
        <f t="shared" si="1147"/>
        <v>9647.7999999999993</v>
      </c>
      <c r="X7412" s="6">
        <f t="shared" si="1151"/>
        <v>5421.0784313725489</v>
      </c>
      <c r="Y7412" s="13">
        <f t="shared" si="1144"/>
        <v>0</v>
      </c>
      <c r="Z7412" s="66">
        <v>0</v>
      </c>
      <c r="AA7412" s="6">
        <v>0</v>
      </c>
      <c r="AB7412" s="4">
        <f t="shared" si="1145"/>
        <v>5421.0784313725489</v>
      </c>
      <c r="AC7412" s="6">
        <f t="shared" si="1143"/>
        <v>108.42156862745105</v>
      </c>
      <c r="AD7412" s="6">
        <f t="shared" si="1148"/>
        <v>5529.5</v>
      </c>
      <c r="AE7412" s="14">
        <f>VLOOKUP(I7412,[2]媒体政策预估表!A:N,MATCH(O7412,[2]媒体政策预估表!$A$2:$M$2,0),0)</f>
        <v>7.0000000000000007E-2</v>
      </c>
      <c r="AF7412" s="6">
        <f t="shared" si="1150"/>
        <v>387.06500000000005</v>
      </c>
      <c r="AG7412" s="14">
        <v>0</v>
      </c>
      <c r="AH7412" s="64">
        <f t="shared" si="1149"/>
        <v>5529.5</v>
      </c>
      <c r="AJ7412" s="126" t="e">
        <v>#N/A</v>
      </c>
      <c r="AK7412" s="80">
        <f t="shared" si="1146"/>
        <v>0</v>
      </c>
      <c r="AL7412" s="85"/>
      <c r="AM7412" s="85"/>
    </row>
    <row r="7413" spans="1:39" s="86" customFormat="1" ht="13.25" hidden="1" customHeight="1" x14ac:dyDescent="0.3">
      <c r="A7413" s="89" t="s">
        <v>3978</v>
      </c>
      <c r="B7413" s="86" t="s">
        <v>35</v>
      </c>
      <c r="C7413" s="86" t="s">
        <v>184</v>
      </c>
      <c r="D7413" s="86" t="s">
        <v>224</v>
      </c>
      <c r="E7413" s="86" t="s">
        <v>1136</v>
      </c>
      <c r="F7413" s="86" t="s">
        <v>1136</v>
      </c>
      <c r="G7413" s="86" t="s">
        <v>1136</v>
      </c>
      <c r="H7413" s="144">
        <v>360</v>
      </c>
      <c r="I7413" s="86" t="s">
        <v>1060</v>
      </c>
      <c r="J7413" s="47" t="s">
        <v>3325</v>
      </c>
      <c r="K7413" s="47" t="s">
        <v>3767</v>
      </c>
      <c r="L7413" s="47" t="s">
        <v>35</v>
      </c>
      <c r="M7413" s="86" t="s">
        <v>1136</v>
      </c>
      <c r="O7413" s="47" t="s">
        <v>410</v>
      </c>
      <c r="P7413" s="47" t="s">
        <v>46</v>
      </c>
      <c r="Q7413" s="14">
        <v>0.02</v>
      </c>
      <c r="R7413" s="143" t="s">
        <v>1137</v>
      </c>
      <c r="S7413" s="47"/>
      <c r="T7413" s="6">
        <v>477.19999999999709</v>
      </c>
      <c r="U7413" s="6">
        <v>10000</v>
      </c>
      <c r="V7413" s="6">
        <v>9986.5</v>
      </c>
      <c r="W7413" s="6">
        <f t="shared" si="1147"/>
        <v>490.69999999999709</v>
      </c>
      <c r="X7413" s="6">
        <f t="shared" si="1151"/>
        <v>9790.6862745098042</v>
      </c>
      <c r="Y7413" s="13">
        <f t="shared" si="1144"/>
        <v>0</v>
      </c>
      <c r="Z7413" s="66">
        <v>0</v>
      </c>
      <c r="AA7413" s="6">
        <v>0</v>
      </c>
      <c r="AB7413" s="4">
        <f t="shared" si="1145"/>
        <v>9790.6862745098042</v>
      </c>
      <c r="AC7413" s="6">
        <f t="shared" si="1143"/>
        <v>195.81372549019579</v>
      </c>
      <c r="AD7413" s="6">
        <f t="shared" si="1148"/>
        <v>9986.5</v>
      </c>
      <c r="AE7413" s="14">
        <f>VLOOKUP(I7413,[2]媒体政策预估表!A:N,MATCH(O7413,[2]媒体政策预估表!$A$2:$M$2,0),0)</f>
        <v>7.0000000000000007E-2</v>
      </c>
      <c r="AF7413" s="6">
        <f t="shared" si="1150"/>
        <v>699.05500000000006</v>
      </c>
      <c r="AG7413" s="14">
        <v>0</v>
      </c>
      <c r="AH7413" s="64">
        <f t="shared" si="1149"/>
        <v>9986.5</v>
      </c>
      <c r="AJ7413" s="126" t="e">
        <v>#N/A</v>
      </c>
      <c r="AK7413" s="80">
        <f t="shared" si="1146"/>
        <v>0</v>
      </c>
      <c r="AL7413" s="85"/>
      <c r="AM7413" s="85"/>
    </row>
    <row r="7414" spans="1:39" s="86" customFormat="1" ht="13.25" hidden="1" customHeight="1" x14ac:dyDescent="0.3">
      <c r="A7414" s="89" t="s">
        <v>3978</v>
      </c>
      <c r="B7414" s="86" t="s">
        <v>35</v>
      </c>
      <c r="C7414" s="86" t="s">
        <v>184</v>
      </c>
      <c r="D7414" s="86" t="s">
        <v>224</v>
      </c>
      <c r="E7414" s="86" t="s">
        <v>1138</v>
      </c>
      <c r="F7414" s="86" t="s">
        <v>1138</v>
      </c>
      <c r="G7414" s="86" t="s">
        <v>1138</v>
      </c>
      <c r="H7414" s="144">
        <v>360</v>
      </c>
      <c r="I7414" s="86" t="s">
        <v>1060</v>
      </c>
      <c r="J7414" s="47" t="s">
        <v>3325</v>
      </c>
      <c r="K7414" s="47" t="s">
        <v>3767</v>
      </c>
      <c r="L7414" s="47" t="s">
        <v>35</v>
      </c>
      <c r="M7414" s="86" t="s">
        <v>1138</v>
      </c>
      <c r="O7414" s="47" t="s">
        <v>410</v>
      </c>
      <c r="P7414" s="47" t="s">
        <v>41</v>
      </c>
      <c r="Q7414" s="14">
        <v>0</v>
      </c>
      <c r="R7414" s="143">
        <v>905160651</v>
      </c>
      <c r="S7414" s="47"/>
      <c r="T7414" s="6">
        <v>23904.300000000003</v>
      </c>
      <c r="U7414" s="6">
        <v>49000</v>
      </c>
      <c r="V7414" s="6">
        <v>63772.1</v>
      </c>
      <c r="W7414" s="6">
        <f t="shared" si="1147"/>
        <v>9132.2000000000044</v>
      </c>
      <c r="X7414" s="6">
        <f t="shared" si="1151"/>
        <v>63772.1</v>
      </c>
      <c r="Y7414" s="13">
        <f t="shared" si="1144"/>
        <v>0</v>
      </c>
      <c r="Z7414" s="66">
        <v>0</v>
      </c>
      <c r="AA7414" s="6">
        <v>0</v>
      </c>
      <c r="AB7414" s="4">
        <f t="shared" si="1145"/>
        <v>63772.1</v>
      </c>
      <c r="AC7414" s="6">
        <f t="shared" si="1143"/>
        <v>0</v>
      </c>
      <c r="AD7414" s="6">
        <f t="shared" si="1148"/>
        <v>63772.1</v>
      </c>
      <c r="AE7414" s="14">
        <f>VLOOKUP(I7414,[2]媒体政策预估表!A:N,MATCH(O7414,[2]媒体政策预估表!$A$2:$M$2,0),0)</f>
        <v>7.0000000000000007E-2</v>
      </c>
      <c r="AF7414" s="6">
        <f t="shared" si="1150"/>
        <v>4464.0470000000005</v>
      </c>
      <c r="AG7414" s="14">
        <v>0</v>
      </c>
      <c r="AH7414" s="64">
        <f t="shared" si="1149"/>
        <v>63772.1</v>
      </c>
      <c r="AJ7414" s="126" t="e">
        <v>#N/A</v>
      </c>
      <c r="AK7414" s="80">
        <f t="shared" si="1146"/>
        <v>0</v>
      </c>
      <c r="AL7414" s="85"/>
      <c r="AM7414" s="85"/>
    </row>
    <row r="7415" spans="1:39" s="86" customFormat="1" ht="13.25" hidden="1" customHeight="1" x14ac:dyDescent="0.3">
      <c r="A7415" s="89" t="s">
        <v>3978</v>
      </c>
      <c r="B7415" s="86" t="s">
        <v>35</v>
      </c>
      <c r="C7415" s="86" t="s">
        <v>184</v>
      </c>
      <c r="D7415" s="86" t="s">
        <v>224</v>
      </c>
      <c r="E7415" s="86" t="s">
        <v>1139</v>
      </c>
      <c r="F7415" s="86" t="s">
        <v>1139</v>
      </c>
      <c r="G7415" s="86" t="s">
        <v>1139</v>
      </c>
      <c r="H7415" s="144">
        <v>360</v>
      </c>
      <c r="I7415" s="86" t="s">
        <v>1060</v>
      </c>
      <c r="J7415" s="47" t="s">
        <v>3325</v>
      </c>
      <c r="K7415" s="47" t="s">
        <v>3767</v>
      </c>
      <c r="L7415" s="47" t="s">
        <v>35</v>
      </c>
      <c r="M7415" s="86" t="s">
        <v>1139</v>
      </c>
      <c r="O7415" s="47" t="s">
        <v>410</v>
      </c>
      <c r="P7415" s="47" t="s">
        <v>41</v>
      </c>
      <c r="Q7415" s="14">
        <v>0</v>
      </c>
      <c r="R7415" s="143" t="s">
        <v>1140</v>
      </c>
      <c r="S7415" s="47"/>
      <c r="T7415" s="6">
        <v>50520.300000000017</v>
      </c>
      <c r="U7415" s="6">
        <v>90000</v>
      </c>
      <c r="V7415" s="6">
        <v>123083.5</v>
      </c>
      <c r="W7415" s="6">
        <f t="shared" si="1147"/>
        <v>17436.800000000017</v>
      </c>
      <c r="X7415" s="6">
        <f t="shared" si="1151"/>
        <v>123083.5</v>
      </c>
      <c r="Y7415" s="13">
        <f t="shared" si="1144"/>
        <v>0</v>
      </c>
      <c r="Z7415" s="66">
        <v>0</v>
      </c>
      <c r="AA7415" s="6">
        <v>0</v>
      </c>
      <c r="AB7415" s="4">
        <f t="shared" si="1145"/>
        <v>123083.5</v>
      </c>
      <c r="AC7415" s="6">
        <f t="shared" si="1143"/>
        <v>0</v>
      </c>
      <c r="AD7415" s="6">
        <f t="shared" si="1148"/>
        <v>123083.5</v>
      </c>
      <c r="AE7415" s="14">
        <f>VLOOKUP(I7415,[2]媒体政策预估表!A:N,MATCH(O7415,[2]媒体政策预估表!$A$2:$M$2,0),0)</f>
        <v>7.0000000000000007E-2</v>
      </c>
      <c r="AF7415" s="6">
        <f t="shared" si="1150"/>
        <v>8615.8450000000012</v>
      </c>
      <c r="AG7415" s="14">
        <v>0</v>
      </c>
      <c r="AH7415" s="64">
        <f t="shared" si="1149"/>
        <v>123083.5</v>
      </c>
      <c r="AJ7415" s="126" t="e">
        <v>#N/A</v>
      </c>
      <c r="AK7415" s="80">
        <f t="shared" si="1146"/>
        <v>0</v>
      </c>
      <c r="AL7415" s="85"/>
      <c r="AM7415" s="85"/>
    </row>
    <row r="7416" spans="1:39" s="86" customFormat="1" ht="13.25" hidden="1" customHeight="1" x14ac:dyDescent="0.3">
      <c r="A7416" s="89" t="s">
        <v>3978</v>
      </c>
      <c r="B7416" s="86" t="s">
        <v>35</v>
      </c>
      <c r="C7416" s="86" t="s">
        <v>184</v>
      </c>
      <c r="D7416" s="86" t="s">
        <v>224</v>
      </c>
      <c r="E7416" s="86" t="s">
        <v>1141</v>
      </c>
      <c r="F7416" s="86" t="s">
        <v>1141</v>
      </c>
      <c r="G7416" s="86" t="s">
        <v>1141</v>
      </c>
      <c r="H7416" s="144">
        <v>360</v>
      </c>
      <c r="I7416" s="86" t="s">
        <v>1060</v>
      </c>
      <c r="J7416" s="47" t="s">
        <v>3325</v>
      </c>
      <c r="K7416" s="47" t="s">
        <v>3767</v>
      </c>
      <c r="L7416" s="47" t="s">
        <v>35</v>
      </c>
      <c r="M7416" s="86" t="s">
        <v>1141</v>
      </c>
      <c r="O7416" s="47" t="s">
        <v>410</v>
      </c>
      <c r="P7416" s="47" t="s">
        <v>46</v>
      </c>
      <c r="Q7416" s="14">
        <v>0.01</v>
      </c>
      <c r="R7416" s="143" t="s">
        <v>1142</v>
      </c>
      <c r="S7416" s="47"/>
      <c r="T7416" s="6">
        <v>73282.615939999931</v>
      </c>
      <c r="U7416" s="6">
        <v>2100000</v>
      </c>
      <c r="V7416" s="6">
        <v>2082815.0528200001</v>
      </c>
      <c r="W7416" s="6">
        <f t="shared" si="1147"/>
        <v>90467.563119999832</v>
      </c>
      <c r="X7416" s="6">
        <f t="shared" si="1151"/>
        <v>2062193.1216039604</v>
      </c>
      <c r="Y7416" s="13">
        <f t="shared" si="1144"/>
        <v>0</v>
      </c>
      <c r="Z7416" s="66">
        <v>0</v>
      </c>
      <c r="AA7416" s="6">
        <v>0</v>
      </c>
      <c r="AB7416" s="4">
        <f t="shared" si="1145"/>
        <v>2062193.1216039604</v>
      </c>
      <c r="AC7416" s="6">
        <f t="shared" si="1143"/>
        <v>20621.931216039695</v>
      </c>
      <c r="AD7416" s="6">
        <f t="shared" si="1148"/>
        <v>2082815.0528200001</v>
      </c>
      <c r="AE7416" s="14">
        <f>VLOOKUP(I7416,[2]媒体政策预估表!A:N,MATCH(O7416,[2]媒体政策预估表!$A$2:$M$2,0),0)</f>
        <v>7.0000000000000007E-2</v>
      </c>
      <c r="AF7416" s="6">
        <f t="shared" si="1150"/>
        <v>145797.05369740003</v>
      </c>
      <c r="AG7416" s="14">
        <v>0</v>
      </c>
      <c r="AH7416" s="64">
        <f t="shared" si="1149"/>
        <v>2082815.0528200001</v>
      </c>
      <c r="AJ7416" s="126" t="e">
        <v>#N/A</v>
      </c>
      <c r="AK7416" s="80">
        <f t="shared" si="1146"/>
        <v>0</v>
      </c>
      <c r="AL7416" s="85"/>
      <c r="AM7416" s="85"/>
    </row>
    <row r="7417" spans="1:39" s="86" customFormat="1" ht="13.25" hidden="1" customHeight="1" x14ac:dyDescent="0.3">
      <c r="A7417" s="89" t="s">
        <v>3978</v>
      </c>
      <c r="B7417" s="86" t="s">
        <v>35</v>
      </c>
      <c r="C7417" s="86" t="s">
        <v>184</v>
      </c>
      <c r="D7417" s="86" t="s">
        <v>224</v>
      </c>
      <c r="E7417" s="86" t="s">
        <v>1143</v>
      </c>
      <c r="F7417" s="86" t="s">
        <v>1143</v>
      </c>
      <c r="G7417" s="86" t="s">
        <v>1143</v>
      </c>
      <c r="H7417" s="144">
        <v>360</v>
      </c>
      <c r="I7417" s="86" t="s">
        <v>1060</v>
      </c>
      <c r="J7417" s="47" t="s">
        <v>3325</v>
      </c>
      <c r="K7417" s="47" t="s">
        <v>3767</v>
      </c>
      <c r="L7417" s="47" t="s">
        <v>35</v>
      </c>
      <c r="M7417" s="86" t="s">
        <v>1143</v>
      </c>
      <c r="O7417" s="47" t="s">
        <v>410</v>
      </c>
      <c r="P7417" s="47" t="s">
        <v>41</v>
      </c>
      <c r="Q7417" s="14">
        <v>0</v>
      </c>
      <c r="R7417" s="143" t="s">
        <v>1144</v>
      </c>
      <c r="S7417" s="47"/>
      <c r="T7417" s="6">
        <v>1767.8999999999996</v>
      </c>
      <c r="U7417" s="6">
        <v>10000</v>
      </c>
      <c r="V7417" s="6">
        <v>8744.2000000000007</v>
      </c>
      <c r="W7417" s="6">
        <f t="shared" si="1147"/>
        <v>3023.6999999999989</v>
      </c>
      <c r="X7417" s="6">
        <f t="shared" si="1151"/>
        <v>8744.2000000000007</v>
      </c>
      <c r="Y7417" s="13">
        <f t="shared" si="1144"/>
        <v>0</v>
      </c>
      <c r="Z7417" s="66">
        <v>0</v>
      </c>
      <c r="AA7417" s="6">
        <v>0</v>
      </c>
      <c r="AB7417" s="4">
        <f t="shared" si="1145"/>
        <v>8744.2000000000007</v>
      </c>
      <c r="AC7417" s="6">
        <f t="shared" si="1143"/>
        <v>0</v>
      </c>
      <c r="AD7417" s="6">
        <f t="shared" si="1148"/>
        <v>8744.2000000000007</v>
      </c>
      <c r="AE7417" s="14">
        <f>VLOOKUP(I7417,[2]媒体政策预估表!A:N,MATCH(O7417,[2]媒体政策预估表!$A$2:$M$2,0),0)</f>
        <v>7.0000000000000007E-2</v>
      </c>
      <c r="AF7417" s="6">
        <f t="shared" si="1150"/>
        <v>612.09400000000016</v>
      </c>
      <c r="AG7417" s="14">
        <v>0</v>
      </c>
      <c r="AH7417" s="64">
        <f t="shared" si="1149"/>
        <v>8744.2000000000007</v>
      </c>
      <c r="AJ7417" s="126" t="e">
        <v>#N/A</v>
      </c>
      <c r="AK7417" s="80">
        <f t="shared" si="1146"/>
        <v>0</v>
      </c>
      <c r="AL7417" s="85"/>
      <c r="AM7417" s="85"/>
    </row>
    <row r="7418" spans="1:39" s="86" customFormat="1" ht="13.25" hidden="1" customHeight="1" x14ac:dyDescent="0.3">
      <c r="A7418" s="89" t="s">
        <v>3792</v>
      </c>
      <c r="B7418" s="86" t="s">
        <v>35</v>
      </c>
      <c r="C7418" s="86" t="s">
        <v>184</v>
      </c>
      <c r="D7418" s="86" t="s">
        <v>224</v>
      </c>
      <c r="E7418" s="86" t="s">
        <v>1145</v>
      </c>
      <c r="F7418" s="86" t="s">
        <v>1145</v>
      </c>
      <c r="G7418" s="86" t="s">
        <v>1145</v>
      </c>
      <c r="H7418" s="144">
        <v>360</v>
      </c>
      <c r="I7418" s="86" t="s">
        <v>1060</v>
      </c>
      <c r="J7418" s="47" t="s">
        <v>3325</v>
      </c>
      <c r="K7418" s="47" t="s">
        <v>3767</v>
      </c>
      <c r="L7418" s="47" t="s">
        <v>35</v>
      </c>
      <c r="M7418" s="86" t="s">
        <v>1145</v>
      </c>
      <c r="O7418" s="47" t="s">
        <v>410</v>
      </c>
      <c r="P7418" s="47" t="s">
        <v>41</v>
      </c>
      <c r="Q7418" s="14">
        <v>0</v>
      </c>
      <c r="R7418" s="143" t="s">
        <v>1146</v>
      </c>
      <c r="S7418" s="47"/>
      <c r="T7418" s="6">
        <v>3316.4600099999952</v>
      </c>
      <c r="U7418" s="6">
        <v>28309.85</v>
      </c>
      <c r="V7418" s="6">
        <v>28498.1</v>
      </c>
      <c r="W7418" s="6">
        <f t="shared" si="1147"/>
        <v>3128.2100099999952</v>
      </c>
      <c r="X7418" s="6">
        <f t="shared" si="1151"/>
        <v>28498.1</v>
      </c>
      <c r="Y7418" s="13">
        <f t="shared" si="1144"/>
        <v>0</v>
      </c>
      <c r="Z7418" s="66">
        <v>0</v>
      </c>
      <c r="AA7418" s="6">
        <v>0</v>
      </c>
      <c r="AB7418" s="4">
        <f t="shared" si="1145"/>
        <v>28498.1</v>
      </c>
      <c r="AC7418" s="6">
        <f t="shared" si="1143"/>
        <v>0</v>
      </c>
      <c r="AD7418" s="6">
        <f t="shared" si="1148"/>
        <v>28498.1</v>
      </c>
      <c r="AE7418" s="14">
        <f>VLOOKUP(I7418,[2]媒体政策预估表!A:N,MATCH(O7418,[2]媒体政策预估表!$A$2:$M$2,0),0)</f>
        <v>7.0000000000000007E-2</v>
      </c>
      <c r="AF7418" s="6">
        <f t="shared" si="1150"/>
        <v>1994.8670000000002</v>
      </c>
      <c r="AG7418" s="14">
        <v>0</v>
      </c>
      <c r="AH7418" s="64">
        <f t="shared" si="1149"/>
        <v>28498.1</v>
      </c>
      <c r="AJ7418" s="126" t="e">
        <v>#N/A</v>
      </c>
      <c r="AK7418" s="80">
        <f t="shared" si="1146"/>
        <v>0</v>
      </c>
      <c r="AL7418" s="85"/>
      <c r="AM7418" s="85"/>
    </row>
    <row r="7419" spans="1:39" s="86" customFormat="1" ht="13.25" hidden="1" customHeight="1" x14ac:dyDescent="0.3">
      <c r="A7419" s="89" t="s">
        <v>3978</v>
      </c>
      <c r="B7419" s="86" t="s">
        <v>35</v>
      </c>
      <c r="C7419" s="86" t="s">
        <v>184</v>
      </c>
      <c r="D7419" s="86" t="s">
        <v>224</v>
      </c>
      <c r="E7419" s="86" t="s">
        <v>1145</v>
      </c>
      <c r="F7419" s="86" t="s">
        <v>1145</v>
      </c>
      <c r="G7419" s="86" t="s">
        <v>1145</v>
      </c>
      <c r="H7419" s="144">
        <v>360</v>
      </c>
      <c r="I7419" s="86" t="s">
        <v>1060</v>
      </c>
      <c r="J7419" s="47" t="s">
        <v>3325</v>
      </c>
      <c r="K7419" s="47" t="s">
        <v>3767</v>
      </c>
      <c r="L7419" s="47" t="s">
        <v>35</v>
      </c>
      <c r="M7419" s="86" t="s">
        <v>1147</v>
      </c>
      <c r="O7419" s="47" t="s">
        <v>410</v>
      </c>
      <c r="P7419" s="47" t="s">
        <v>41</v>
      </c>
      <c r="Q7419" s="14">
        <v>0</v>
      </c>
      <c r="R7419" s="143" t="s">
        <v>1148</v>
      </c>
      <c r="S7419" s="47"/>
      <c r="T7419" s="6">
        <v>16038.660000000003</v>
      </c>
      <c r="U7419" s="6">
        <v>135000</v>
      </c>
      <c r="V7419" s="6">
        <v>145801.9</v>
      </c>
      <c r="W7419" s="6">
        <f t="shared" si="1147"/>
        <v>5236.7600000000093</v>
      </c>
      <c r="X7419" s="6">
        <f t="shared" si="1151"/>
        <v>145801.9</v>
      </c>
      <c r="Y7419" s="13">
        <f t="shared" si="1144"/>
        <v>0</v>
      </c>
      <c r="Z7419" s="66">
        <v>0</v>
      </c>
      <c r="AA7419" s="6">
        <v>0</v>
      </c>
      <c r="AB7419" s="4">
        <f t="shared" si="1145"/>
        <v>145801.9</v>
      </c>
      <c r="AC7419" s="6">
        <f t="shared" si="1143"/>
        <v>0</v>
      </c>
      <c r="AD7419" s="6">
        <f t="shared" si="1148"/>
        <v>145801.9</v>
      </c>
      <c r="AE7419" s="14">
        <f>VLOOKUP(I7419,[2]媒体政策预估表!A:N,MATCH(O7419,[2]媒体政策预估表!$A$2:$M$2,0),0)</f>
        <v>7.0000000000000007E-2</v>
      </c>
      <c r="AF7419" s="6">
        <f t="shared" si="1150"/>
        <v>10206.133</v>
      </c>
      <c r="AG7419" s="14">
        <v>0</v>
      </c>
      <c r="AH7419" s="64">
        <f t="shared" si="1149"/>
        <v>145801.9</v>
      </c>
      <c r="AJ7419" s="126" t="e">
        <v>#N/A</v>
      </c>
      <c r="AK7419" s="80">
        <f t="shared" si="1146"/>
        <v>0</v>
      </c>
      <c r="AL7419" s="85"/>
      <c r="AM7419" s="85"/>
    </row>
    <row r="7420" spans="1:39" s="86" customFormat="1" ht="13.25" hidden="1" customHeight="1" x14ac:dyDescent="0.3">
      <c r="A7420" s="89" t="s">
        <v>3978</v>
      </c>
      <c r="B7420" s="86" t="s">
        <v>35</v>
      </c>
      <c r="C7420" s="86" t="s">
        <v>184</v>
      </c>
      <c r="D7420" s="86" t="s">
        <v>224</v>
      </c>
      <c r="E7420" s="86" t="s">
        <v>1145</v>
      </c>
      <c r="F7420" s="86" t="s">
        <v>1145</v>
      </c>
      <c r="G7420" s="86" t="s">
        <v>1145</v>
      </c>
      <c r="H7420" s="144">
        <v>360</v>
      </c>
      <c r="I7420" s="86" t="s">
        <v>1060</v>
      </c>
      <c r="J7420" s="47" t="s">
        <v>3325</v>
      </c>
      <c r="K7420" s="47" t="s">
        <v>3767</v>
      </c>
      <c r="L7420" s="47" t="s">
        <v>35</v>
      </c>
      <c r="M7420" s="86" t="s">
        <v>1149</v>
      </c>
      <c r="O7420" s="47" t="s">
        <v>410</v>
      </c>
      <c r="P7420" s="47" t="s">
        <v>41</v>
      </c>
      <c r="Q7420" s="14">
        <v>0</v>
      </c>
      <c r="R7420" s="143" t="s">
        <v>1150</v>
      </c>
      <c r="S7420" s="47"/>
      <c r="T7420" s="6">
        <v>3355.4500000000262</v>
      </c>
      <c r="U7420" s="6">
        <v>-309.85000000000036</v>
      </c>
      <c r="V7420" s="6">
        <v>3045.6</v>
      </c>
      <c r="W7420" s="6">
        <f t="shared" si="1147"/>
        <v>2.5920599000528455E-11</v>
      </c>
      <c r="X7420" s="6">
        <f t="shared" si="1151"/>
        <v>3045.6</v>
      </c>
      <c r="Y7420" s="13">
        <f t="shared" si="1144"/>
        <v>0</v>
      </c>
      <c r="Z7420" s="66">
        <v>0</v>
      </c>
      <c r="AA7420" s="6">
        <v>0</v>
      </c>
      <c r="AB7420" s="4">
        <f t="shared" si="1145"/>
        <v>3045.6</v>
      </c>
      <c r="AC7420" s="6">
        <f t="shared" si="1143"/>
        <v>0</v>
      </c>
      <c r="AD7420" s="6">
        <f t="shared" si="1148"/>
        <v>3045.6</v>
      </c>
      <c r="AE7420" s="14">
        <f>VLOOKUP(I7420,[2]媒体政策预估表!A:N,MATCH(O7420,[2]媒体政策预估表!$A$2:$M$2,0),0)</f>
        <v>7.0000000000000007E-2</v>
      </c>
      <c r="AF7420" s="6">
        <f t="shared" si="1150"/>
        <v>213.19200000000001</v>
      </c>
      <c r="AG7420" s="14">
        <v>0</v>
      </c>
      <c r="AH7420" s="64">
        <f t="shared" si="1149"/>
        <v>3045.6</v>
      </c>
      <c r="AJ7420" s="126" t="e">
        <v>#N/A</v>
      </c>
      <c r="AK7420" s="80">
        <f t="shared" si="1146"/>
        <v>0</v>
      </c>
      <c r="AL7420" s="85"/>
      <c r="AM7420" s="85"/>
    </row>
    <row r="7421" spans="1:39" s="86" customFormat="1" ht="13.25" hidden="1" customHeight="1" x14ac:dyDescent="0.3">
      <c r="A7421" s="89" t="s">
        <v>3978</v>
      </c>
      <c r="B7421" s="86" t="s">
        <v>35</v>
      </c>
      <c r="C7421" s="86" t="s">
        <v>184</v>
      </c>
      <c r="D7421" s="86" t="s">
        <v>224</v>
      </c>
      <c r="E7421" s="86" t="s">
        <v>1151</v>
      </c>
      <c r="F7421" s="86" t="s">
        <v>1151</v>
      </c>
      <c r="G7421" s="86" t="s">
        <v>1151</v>
      </c>
      <c r="H7421" s="144">
        <v>360</v>
      </c>
      <c r="I7421" s="86" t="s">
        <v>1060</v>
      </c>
      <c r="J7421" s="47" t="s">
        <v>3325</v>
      </c>
      <c r="K7421" s="47" t="s">
        <v>3767</v>
      </c>
      <c r="L7421" s="47" t="s">
        <v>35</v>
      </c>
      <c r="M7421" s="86" t="s">
        <v>644</v>
      </c>
      <c r="O7421" s="47" t="s">
        <v>410</v>
      </c>
      <c r="P7421" s="47" t="s">
        <v>46</v>
      </c>
      <c r="Q7421" s="14">
        <v>0.02</v>
      </c>
      <c r="R7421" s="143" t="s">
        <v>1152</v>
      </c>
      <c r="S7421" s="47"/>
      <c r="T7421" s="6">
        <v>24381.520000000019</v>
      </c>
      <c r="U7421" s="6">
        <v>350000</v>
      </c>
      <c r="V7421" s="6">
        <v>307877.96999999997</v>
      </c>
      <c r="W7421" s="6">
        <f t="shared" si="1147"/>
        <v>66503.550000000047</v>
      </c>
      <c r="X7421" s="6">
        <f t="shared" si="1151"/>
        <v>301841.1470588235</v>
      </c>
      <c r="Y7421" s="13">
        <f t="shared" si="1144"/>
        <v>0</v>
      </c>
      <c r="Z7421" s="66">
        <v>0</v>
      </c>
      <c r="AA7421" s="6">
        <v>0</v>
      </c>
      <c r="AB7421" s="4">
        <f t="shared" si="1145"/>
        <v>301841.1470588235</v>
      </c>
      <c r="AC7421" s="6">
        <f t="shared" si="1143"/>
        <v>6036.8229411764769</v>
      </c>
      <c r="AD7421" s="6">
        <f t="shared" si="1148"/>
        <v>307877.96999999997</v>
      </c>
      <c r="AE7421" s="14">
        <f>VLOOKUP(I7421,[2]媒体政策预估表!A:N,MATCH(O7421,[2]媒体政策预估表!$A$2:$M$2,0),0)</f>
        <v>7.0000000000000007E-2</v>
      </c>
      <c r="AF7421" s="6">
        <f t="shared" si="1150"/>
        <v>21551.457900000001</v>
      </c>
      <c r="AG7421" s="14">
        <v>0</v>
      </c>
      <c r="AH7421" s="64">
        <f t="shared" si="1149"/>
        <v>307877.96999999997</v>
      </c>
      <c r="AJ7421" s="126" t="e">
        <v>#N/A</v>
      </c>
      <c r="AK7421" s="80">
        <f t="shared" si="1146"/>
        <v>0</v>
      </c>
      <c r="AL7421" s="85"/>
      <c r="AM7421" s="85"/>
    </row>
    <row r="7422" spans="1:39" s="86" customFormat="1" ht="13.25" hidden="1" customHeight="1" x14ac:dyDescent="0.3">
      <c r="A7422" s="89" t="s">
        <v>3792</v>
      </c>
      <c r="B7422" s="86" t="s">
        <v>35</v>
      </c>
      <c r="C7422" s="86" t="s">
        <v>184</v>
      </c>
      <c r="D7422" s="86" t="s">
        <v>224</v>
      </c>
      <c r="E7422" s="86" t="s">
        <v>1151</v>
      </c>
      <c r="F7422" s="86" t="s">
        <v>1151</v>
      </c>
      <c r="G7422" s="86" t="s">
        <v>1151</v>
      </c>
      <c r="H7422" s="144">
        <v>360</v>
      </c>
      <c r="I7422" s="86" t="s">
        <v>1060</v>
      </c>
      <c r="J7422" s="47" t="s">
        <v>3325</v>
      </c>
      <c r="K7422" s="47" t="s">
        <v>3767</v>
      </c>
      <c r="L7422" s="47" t="s">
        <v>35</v>
      </c>
      <c r="M7422" s="86" t="s">
        <v>1153</v>
      </c>
      <c r="O7422" s="47" t="s">
        <v>410</v>
      </c>
      <c r="P7422" s="47" t="s">
        <v>46</v>
      </c>
      <c r="Q7422" s="14">
        <v>0.02</v>
      </c>
      <c r="R7422" s="143" t="s">
        <v>1154</v>
      </c>
      <c r="S7422" s="47"/>
      <c r="T7422" s="6">
        <v>98817</v>
      </c>
      <c r="U7422" s="6">
        <v>520000</v>
      </c>
      <c r="V7422" s="6">
        <v>465126.99611000001</v>
      </c>
      <c r="W7422" s="6">
        <f t="shared" si="1147"/>
        <v>153690.00388999999</v>
      </c>
      <c r="X7422" s="6">
        <f t="shared" si="1151"/>
        <v>456006.85893137252</v>
      </c>
      <c r="Y7422" s="13">
        <f t="shared" si="1144"/>
        <v>0</v>
      </c>
      <c r="Z7422" s="66">
        <v>0</v>
      </c>
      <c r="AA7422" s="6">
        <v>0</v>
      </c>
      <c r="AB7422" s="4">
        <f t="shared" si="1145"/>
        <v>456006.85893137252</v>
      </c>
      <c r="AC7422" s="6">
        <f t="shared" ref="AC7422:AC7485" si="1152">IF(P7422="返现",X7422*Q7422,V7422-X7422)</f>
        <v>9120.1371786274831</v>
      </c>
      <c r="AD7422" s="6">
        <f t="shared" si="1148"/>
        <v>465126.99611000001</v>
      </c>
      <c r="AE7422" s="14">
        <f>VLOOKUP(I7422,[2]媒体政策预估表!A:N,MATCH(O7422,[2]媒体政策预估表!$A$2:$M$2,0),0)</f>
        <v>7.0000000000000007E-2</v>
      </c>
      <c r="AF7422" s="6">
        <f t="shared" si="1150"/>
        <v>32558.889727700003</v>
      </c>
      <c r="AG7422" s="14">
        <v>0</v>
      </c>
      <c r="AH7422" s="64">
        <f t="shared" si="1149"/>
        <v>465126.99611000001</v>
      </c>
      <c r="AJ7422" s="126" t="e">
        <v>#N/A</v>
      </c>
      <c r="AK7422" s="80">
        <f t="shared" si="1146"/>
        <v>0</v>
      </c>
      <c r="AL7422" s="85"/>
      <c r="AM7422" s="85"/>
    </row>
    <row r="7423" spans="1:39" s="86" customFormat="1" ht="13.25" hidden="1" customHeight="1" x14ac:dyDescent="0.3">
      <c r="A7423" s="89" t="s">
        <v>3978</v>
      </c>
      <c r="B7423" s="86" t="s">
        <v>35</v>
      </c>
      <c r="C7423" s="86" t="s">
        <v>184</v>
      </c>
      <c r="D7423" s="86" t="s">
        <v>224</v>
      </c>
      <c r="E7423" s="86" t="s">
        <v>1151</v>
      </c>
      <c r="F7423" s="86" t="s">
        <v>1151</v>
      </c>
      <c r="G7423" s="86" t="s">
        <v>1151</v>
      </c>
      <c r="H7423" s="144">
        <v>360</v>
      </c>
      <c r="I7423" s="86" t="s">
        <v>1060</v>
      </c>
      <c r="J7423" s="47" t="s">
        <v>3325</v>
      </c>
      <c r="K7423" s="47" t="s">
        <v>3767</v>
      </c>
      <c r="L7423" s="47" t="s">
        <v>35</v>
      </c>
      <c r="M7423" s="86" t="s">
        <v>1155</v>
      </c>
      <c r="O7423" s="47" t="s">
        <v>410</v>
      </c>
      <c r="P7423" s="47" t="s">
        <v>46</v>
      </c>
      <c r="Q7423" s="14">
        <v>0.02</v>
      </c>
      <c r="R7423" s="143" t="s">
        <v>1156</v>
      </c>
      <c r="S7423" s="47"/>
      <c r="T7423" s="6">
        <v>277834.79849000019</v>
      </c>
      <c r="U7423" s="6">
        <v>1960000</v>
      </c>
      <c r="V7423" s="6">
        <v>1937677.2874400001</v>
      </c>
      <c r="W7423" s="6">
        <f t="shared" si="1147"/>
        <v>300157.51104999986</v>
      </c>
      <c r="X7423" s="6">
        <f t="shared" si="1151"/>
        <v>1899683.6151372551</v>
      </c>
      <c r="Y7423" s="13">
        <f t="shared" si="1144"/>
        <v>0</v>
      </c>
      <c r="Z7423" s="66">
        <v>0</v>
      </c>
      <c r="AA7423" s="6">
        <v>0</v>
      </c>
      <c r="AB7423" s="4">
        <f t="shared" si="1145"/>
        <v>1899683.6151372551</v>
      </c>
      <c r="AC7423" s="6">
        <f t="shared" si="1152"/>
        <v>37993.67230274505</v>
      </c>
      <c r="AD7423" s="6">
        <f t="shared" si="1148"/>
        <v>1937677.2874400001</v>
      </c>
      <c r="AE7423" s="14">
        <f>VLOOKUP(I7423,[2]媒体政策预估表!A:N,MATCH(O7423,[2]媒体政策预估表!$A$2:$M$2,0),0)</f>
        <v>7.0000000000000007E-2</v>
      </c>
      <c r="AF7423" s="6">
        <f t="shared" si="1150"/>
        <v>135637.41012080002</v>
      </c>
      <c r="AG7423" s="14">
        <v>0</v>
      </c>
      <c r="AH7423" s="64">
        <f t="shared" si="1149"/>
        <v>1937677.2874400001</v>
      </c>
      <c r="AJ7423" s="126" t="e">
        <v>#N/A</v>
      </c>
      <c r="AK7423" s="80">
        <f t="shared" si="1146"/>
        <v>0</v>
      </c>
      <c r="AL7423" s="85"/>
      <c r="AM7423" s="85"/>
    </row>
    <row r="7424" spans="1:39" s="86" customFormat="1" ht="13.25" hidden="1" customHeight="1" x14ac:dyDescent="0.3">
      <c r="A7424" s="89" t="s">
        <v>3978</v>
      </c>
      <c r="B7424" s="86" t="s">
        <v>35</v>
      </c>
      <c r="C7424" s="86" t="s">
        <v>184</v>
      </c>
      <c r="D7424" s="86" t="s">
        <v>224</v>
      </c>
      <c r="E7424" s="86" t="s">
        <v>1151</v>
      </c>
      <c r="F7424" s="86" t="s">
        <v>1151</v>
      </c>
      <c r="G7424" s="86" t="s">
        <v>1151</v>
      </c>
      <c r="H7424" s="144">
        <v>360</v>
      </c>
      <c r="I7424" s="86" t="s">
        <v>1060</v>
      </c>
      <c r="J7424" s="47" t="s">
        <v>3325</v>
      </c>
      <c r="K7424" s="47" t="s">
        <v>3767</v>
      </c>
      <c r="L7424" s="47" t="s">
        <v>35</v>
      </c>
      <c r="M7424" s="86" t="s">
        <v>1157</v>
      </c>
      <c r="O7424" s="47" t="s">
        <v>410</v>
      </c>
      <c r="P7424" s="47" t="s">
        <v>46</v>
      </c>
      <c r="Q7424" s="14">
        <v>0.02</v>
      </c>
      <c r="R7424" s="143" t="s">
        <v>1158</v>
      </c>
      <c r="S7424" s="47"/>
      <c r="T7424" s="6">
        <v>398443.2281200001</v>
      </c>
      <c r="U7424" s="6">
        <v>1610000</v>
      </c>
      <c r="V7424" s="6">
        <v>1780955.06571</v>
      </c>
      <c r="W7424" s="6">
        <f t="shared" si="1147"/>
        <v>227488.16241000011</v>
      </c>
      <c r="X7424" s="6">
        <f t="shared" si="1151"/>
        <v>1746034.3781470589</v>
      </c>
      <c r="Y7424" s="13">
        <f t="shared" si="1144"/>
        <v>0</v>
      </c>
      <c r="Z7424" s="66">
        <v>0</v>
      </c>
      <c r="AA7424" s="6">
        <v>0</v>
      </c>
      <c r="AB7424" s="4">
        <f t="shared" si="1145"/>
        <v>1746034.3781470589</v>
      </c>
      <c r="AC7424" s="6">
        <f t="shared" si="1152"/>
        <v>34920.687562941108</v>
      </c>
      <c r="AD7424" s="6">
        <f t="shared" si="1148"/>
        <v>1780955.06571</v>
      </c>
      <c r="AE7424" s="14">
        <f>VLOOKUP(I7424,[2]媒体政策预估表!A:N,MATCH(O7424,[2]媒体政策预估表!$A$2:$M$2,0),0)</f>
        <v>7.0000000000000007E-2</v>
      </c>
      <c r="AF7424" s="6">
        <f t="shared" si="1150"/>
        <v>124666.85459970002</v>
      </c>
      <c r="AG7424" s="14">
        <v>0</v>
      </c>
      <c r="AH7424" s="64">
        <f t="shared" si="1149"/>
        <v>1780955.06571</v>
      </c>
      <c r="AJ7424" s="126" t="e">
        <v>#N/A</v>
      </c>
      <c r="AK7424" s="80">
        <f t="shared" si="1146"/>
        <v>0</v>
      </c>
      <c r="AL7424" s="85"/>
      <c r="AM7424" s="85"/>
    </row>
    <row r="7425" spans="1:39" s="86" customFormat="1" ht="13.25" hidden="1" customHeight="1" x14ac:dyDescent="0.3">
      <c r="A7425" s="89" t="s">
        <v>3978</v>
      </c>
      <c r="B7425" s="86" t="s">
        <v>35</v>
      </c>
      <c r="C7425" s="86" t="s">
        <v>184</v>
      </c>
      <c r="D7425" s="86" t="s">
        <v>224</v>
      </c>
      <c r="E7425" s="86" t="s">
        <v>1151</v>
      </c>
      <c r="F7425" s="86" t="s">
        <v>1151</v>
      </c>
      <c r="G7425" s="86" t="s">
        <v>1151</v>
      </c>
      <c r="H7425" s="144">
        <v>360</v>
      </c>
      <c r="I7425" s="86" t="s">
        <v>1060</v>
      </c>
      <c r="J7425" s="47" t="s">
        <v>3325</v>
      </c>
      <c r="K7425" s="47" t="s">
        <v>3767</v>
      </c>
      <c r="L7425" s="47" t="s">
        <v>35</v>
      </c>
      <c r="M7425" s="86" t="s">
        <v>1159</v>
      </c>
      <c r="O7425" s="47" t="s">
        <v>410</v>
      </c>
      <c r="P7425" s="47" t="s">
        <v>46</v>
      </c>
      <c r="Q7425" s="14">
        <v>0.02</v>
      </c>
      <c r="R7425" s="143">
        <v>18917841742</v>
      </c>
      <c r="S7425" s="47"/>
      <c r="T7425" s="6">
        <v>338396.55870000017</v>
      </c>
      <c r="U7425" s="6">
        <v>1410000</v>
      </c>
      <c r="V7425" s="6">
        <v>1562534.95584</v>
      </c>
      <c r="W7425" s="6">
        <f t="shared" si="1147"/>
        <v>185861.60286000022</v>
      </c>
      <c r="X7425" s="6">
        <f t="shared" si="1151"/>
        <v>1531897.0155294116</v>
      </c>
      <c r="Y7425" s="13">
        <f t="shared" si="1144"/>
        <v>0</v>
      </c>
      <c r="Z7425" s="66">
        <v>0</v>
      </c>
      <c r="AA7425" s="6">
        <v>0</v>
      </c>
      <c r="AB7425" s="4">
        <f t="shared" si="1145"/>
        <v>1531897.0155294116</v>
      </c>
      <c r="AC7425" s="6">
        <f t="shared" si="1152"/>
        <v>30637.940310588339</v>
      </c>
      <c r="AD7425" s="6">
        <f t="shared" si="1148"/>
        <v>1562534.95584</v>
      </c>
      <c r="AE7425" s="14">
        <f>VLOOKUP(I7425,[2]媒体政策预估表!A:N,MATCH(O7425,[2]媒体政策预估表!$A$2:$M$2,0),0)</f>
        <v>7.0000000000000007E-2</v>
      </c>
      <c r="AF7425" s="6">
        <f t="shared" si="1150"/>
        <v>109377.4469088</v>
      </c>
      <c r="AG7425" s="14">
        <v>0</v>
      </c>
      <c r="AH7425" s="64">
        <f t="shared" si="1149"/>
        <v>1562534.95584</v>
      </c>
      <c r="AJ7425" s="126" t="e">
        <v>#N/A</v>
      </c>
      <c r="AK7425" s="80">
        <f t="shared" si="1146"/>
        <v>0</v>
      </c>
      <c r="AL7425" s="85"/>
      <c r="AM7425" s="85"/>
    </row>
    <row r="7426" spans="1:39" s="86" customFormat="1" ht="13.25" hidden="1" customHeight="1" x14ac:dyDescent="0.3">
      <c r="A7426" s="89" t="s">
        <v>3978</v>
      </c>
      <c r="B7426" s="86" t="s">
        <v>35</v>
      </c>
      <c r="C7426" s="86" t="s">
        <v>184</v>
      </c>
      <c r="D7426" s="86" t="s">
        <v>224</v>
      </c>
      <c r="E7426" s="86" t="s">
        <v>1160</v>
      </c>
      <c r="F7426" s="86" t="s">
        <v>1160</v>
      </c>
      <c r="G7426" s="86" t="s">
        <v>1160</v>
      </c>
      <c r="H7426" s="144">
        <v>360</v>
      </c>
      <c r="I7426" s="86" t="s">
        <v>1060</v>
      </c>
      <c r="J7426" s="47" t="s">
        <v>3325</v>
      </c>
      <c r="K7426" s="47" t="s">
        <v>3767</v>
      </c>
      <c r="L7426" s="47" t="s">
        <v>35</v>
      </c>
      <c r="M7426" s="86" t="s">
        <v>1161</v>
      </c>
      <c r="O7426" s="47" t="s">
        <v>410</v>
      </c>
      <c r="P7426" s="47" t="s">
        <v>41</v>
      </c>
      <c r="Q7426" s="14">
        <v>0</v>
      </c>
      <c r="R7426" s="143" t="s">
        <v>1162</v>
      </c>
      <c r="S7426" s="47"/>
      <c r="T7426" s="6">
        <v>25760.319999999992</v>
      </c>
      <c r="U7426" s="6">
        <v>20000</v>
      </c>
      <c r="V7426" s="6">
        <v>41032.9</v>
      </c>
      <c r="W7426" s="6">
        <f t="shared" si="1147"/>
        <v>4727.419999999991</v>
      </c>
      <c r="X7426" s="6">
        <f t="shared" si="1151"/>
        <v>41032.9</v>
      </c>
      <c r="Y7426" s="13">
        <f t="shared" si="1144"/>
        <v>0</v>
      </c>
      <c r="Z7426" s="66">
        <v>0</v>
      </c>
      <c r="AA7426" s="6">
        <v>0</v>
      </c>
      <c r="AB7426" s="4">
        <f t="shared" si="1145"/>
        <v>41032.9</v>
      </c>
      <c r="AC7426" s="6">
        <f t="shared" si="1152"/>
        <v>0</v>
      </c>
      <c r="AD7426" s="6">
        <f t="shared" si="1148"/>
        <v>41032.9</v>
      </c>
      <c r="AE7426" s="14">
        <f>VLOOKUP(I7426,[2]媒体政策预估表!A:N,MATCH(O7426,[2]媒体政策预估表!$A$2:$M$2,0),0)</f>
        <v>7.0000000000000007E-2</v>
      </c>
      <c r="AF7426" s="6">
        <f t="shared" si="1150"/>
        <v>2872.3030000000003</v>
      </c>
      <c r="AG7426" s="14">
        <v>0</v>
      </c>
      <c r="AH7426" s="64">
        <f t="shared" si="1149"/>
        <v>41032.9</v>
      </c>
      <c r="AJ7426" s="126" t="e">
        <v>#N/A</v>
      </c>
      <c r="AK7426" s="80">
        <f t="shared" si="1146"/>
        <v>0</v>
      </c>
      <c r="AL7426" s="85"/>
      <c r="AM7426" s="85"/>
    </row>
    <row r="7427" spans="1:39" s="86" customFormat="1" ht="13.25" hidden="1" customHeight="1" x14ac:dyDescent="0.3">
      <c r="A7427" s="89" t="s">
        <v>3978</v>
      </c>
      <c r="B7427" s="86" t="s">
        <v>35</v>
      </c>
      <c r="C7427" s="86" t="s">
        <v>184</v>
      </c>
      <c r="D7427" s="86" t="s">
        <v>224</v>
      </c>
      <c r="E7427" s="86" t="s">
        <v>1163</v>
      </c>
      <c r="F7427" s="86" t="s">
        <v>1163</v>
      </c>
      <c r="G7427" s="86" t="s">
        <v>1163</v>
      </c>
      <c r="H7427" s="144">
        <v>360</v>
      </c>
      <c r="I7427" s="86" t="s">
        <v>1060</v>
      </c>
      <c r="J7427" s="47" t="s">
        <v>3325</v>
      </c>
      <c r="K7427" s="47" t="s">
        <v>3767</v>
      </c>
      <c r="L7427" s="47" t="s">
        <v>35</v>
      </c>
      <c r="M7427" s="86" t="s">
        <v>1163</v>
      </c>
      <c r="O7427" s="47" t="s">
        <v>410</v>
      </c>
      <c r="P7427" s="47" t="s">
        <v>41</v>
      </c>
      <c r="Q7427" s="14">
        <v>0</v>
      </c>
      <c r="R7427" s="143" t="s">
        <v>1164</v>
      </c>
      <c r="S7427" s="47"/>
      <c r="T7427" s="6">
        <v>1974.4000000000015</v>
      </c>
      <c r="U7427" s="6">
        <v>30000</v>
      </c>
      <c r="V7427" s="6">
        <v>18391.8</v>
      </c>
      <c r="W7427" s="6">
        <f t="shared" si="1147"/>
        <v>13582.600000000002</v>
      </c>
      <c r="X7427" s="6">
        <f t="shared" si="1151"/>
        <v>18391.8</v>
      </c>
      <c r="Y7427" s="13">
        <f t="shared" ref="Y7427:Y7490" si="1153">IF(X7427-AD7427&lt;=0,0,IF(P7427="返现",MAX(X7427-AC7427-AD7427,0),MAX(X7427-AD7427)))</f>
        <v>0</v>
      </c>
      <c r="Z7427" s="66">
        <v>0</v>
      </c>
      <c r="AA7427" s="6">
        <v>0</v>
      </c>
      <c r="AB7427" s="4">
        <f t="shared" ref="AB7427:AB7490" si="1154">X7427+AA7427</f>
        <v>18391.8</v>
      </c>
      <c r="AC7427" s="6">
        <f t="shared" si="1152"/>
        <v>0</v>
      </c>
      <c r="AD7427" s="6">
        <f t="shared" si="1148"/>
        <v>18391.8</v>
      </c>
      <c r="AE7427" s="14">
        <f>VLOOKUP(I7427,[2]媒体政策预估表!A:N,MATCH(O7427,[2]媒体政策预估表!$A$2:$M$2,0),0)</f>
        <v>7.0000000000000007E-2</v>
      </c>
      <c r="AF7427" s="6">
        <f t="shared" si="1150"/>
        <v>1287.4260000000002</v>
      </c>
      <c r="AG7427" s="14">
        <v>0</v>
      </c>
      <c r="AH7427" s="64">
        <f t="shared" si="1149"/>
        <v>18391.8</v>
      </c>
      <c r="AJ7427" s="126" t="e">
        <v>#N/A</v>
      </c>
      <c r="AK7427" s="80">
        <f t="shared" ref="AK7427:AK7490" si="1155">X7427+AA7427-AB7427</f>
        <v>0</v>
      </c>
      <c r="AL7427" s="85"/>
      <c r="AM7427" s="85"/>
    </row>
    <row r="7428" spans="1:39" s="86" customFormat="1" ht="13.25" hidden="1" customHeight="1" x14ac:dyDescent="0.3">
      <c r="A7428" s="89" t="s">
        <v>3978</v>
      </c>
      <c r="B7428" s="86" t="s">
        <v>35</v>
      </c>
      <c r="C7428" s="86" t="s">
        <v>184</v>
      </c>
      <c r="D7428" s="86" t="s">
        <v>224</v>
      </c>
      <c r="E7428" s="86" t="s">
        <v>1169</v>
      </c>
      <c r="F7428" s="86" t="s">
        <v>1169</v>
      </c>
      <c r="G7428" s="86" t="s">
        <v>1169</v>
      </c>
      <c r="H7428" s="144">
        <v>360</v>
      </c>
      <c r="I7428" s="86" t="s">
        <v>1060</v>
      </c>
      <c r="J7428" s="47" t="s">
        <v>3325</v>
      </c>
      <c r="K7428" s="47" t="s">
        <v>3767</v>
      </c>
      <c r="L7428" s="47" t="s">
        <v>35</v>
      </c>
      <c r="M7428" s="86" t="s">
        <v>1170</v>
      </c>
      <c r="O7428" s="47" t="s">
        <v>410</v>
      </c>
      <c r="P7428" s="47" t="s">
        <v>41</v>
      </c>
      <c r="Q7428" s="14">
        <v>0</v>
      </c>
      <c r="R7428" s="143" t="s">
        <v>1171</v>
      </c>
      <c r="S7428" s="47"/>
      <c r="T7428" s="6">
        <v>7834.3000000000029</v>
      </c>
      <c r="U7428" s="6">
        <v>25000</v>
      </c>
      <c r="V7428" s="6">
        <v>29654.5</v>
      </c>
      <c r="W7428" s="6">
        <f t="shared" si="1147"/>
        <v>3179.8000000000029</v>
      </c>
      <c r="X7428" s="6">
        <f t="shared" si="1151"/>
        <v>29654.5</v>
      </c>
      <c r="Y7428" s="13">
        <f t="shared" si="1153"/>
        <v>0</v>
      </c>
      <c r="Z7428" s="66">
        <v>0</v>
      </c>
      <c r="AA7428" s="6">
        <v>0</v>
      </c>
      <c r="AB7428" s="4">
        <f t="shared" si="1154"/>
        <v>29654.5</v>
      </c>
      <c r="AC7428" s="6">
        <f t="shared" si="1152"/>
        <v>0</v>
      </c>
      <c r="AD7428" s="6">
        <f t="shared" si="1148"/>
        <v>29654.5</v>
      </c>
      <c r="AE7428" s="14">
        <f>VLOOKUP(I7428,[2]媒体政策预估表!A:N,MATCH(O7428,[2]媒体政策预估表!$A$2:$M$2,0),0)</f>
        <v>7.0000000000000007E-2</v>
      </c>
      <c r="AF7428" s="6">
        <f t="shared" si="1150"/>
        <v>2075.8150000000001</v>
      </c>
      <c r="AG7428" s="14">
        <v>0</v>
      </c>
      <c r="AH7428" s="64">
        <f t="shared" si="1149"/>
        <v>29654.5</v>
      </c>
      <c r="AJ7428" s="126" t="e">
        <v>#N/A</v>
      </c>
      <c r="AK7428" s="80">
        <f t="shared" si="1155"/>
        <v>0</v>
      </c>
      <c r="AL7428" s="85"/>
      <c r="AM7428" s="85"/>
    </row>
    <row r="7429" spans="1:39" s="86" customFormat="1" ht="13.25" hidden="1" customHeight="1" x14ac:dyDescent="0.3">
      <c r="A7429" s="89" t="s">
        <v>3978</v>
      </c>
      <c r="B7429" s="86" t="s">
        <v>35</v>
      </c>
      <c r="C7429" s="86" t="s">
        <v>184</v>
      </c>
      <c r="D7429" s="86" t="s">
        <v>224</v>
      </c>
      <c r="E7429" s="86" t="s">
        <v>1172</v>
      </c>
      <c r="F7429" s="86" t="s">
        <v>1172</v>
      </c>
      <c r="G7429" s="86" t="s">
        <v>1172</v>
      </c>
      <c r="H7429" s="144">
        <v>360</v>
      </c>
      <c r="I7429" s="86" t="s">
        <v>1060</v>
      </c>
      <c r="J7429" s="47" t="s">
        <v>3325</v>
      </c>
      <c r="K7429" s="47" t="s">
        <v>3767</v>
      </c>
      <c r="L7429" s="47" t="s">
        <v>35</v>
      </c>
      <c r="M7429" s="86" t="s">
        <v>1172</v>
      </c>
      <c r="O7429" s="47" t="s">
        <v>410</v>
      </c>
      <c r="P7429" s="47" t="s">
        <v>41</v>
      </c>
      <c r="Q7429" s="14">
        <v>0</v>
      </c>
      <c r="R7429" s="143" t="s">
        <v>1173</v>
      </c>
      <c r="S7429" s="47"/>
      <c r="T7429" s="6">
        <v>6893.3000000000029</v>
      </c>
      <c r="U7429" s="6">
        <v>90000</v>
      </c>
      <c r="V7429" s="6">
        <v>73961.2</v>
      </c>
      <c r="W7429" s="6">
        <f t="shared" si="1147"/>
        <v>22932.100000000006</v>
      </c>
      <c r="X7429" s="6">
        <f t="shared" si="1151"/>
        <v>73961.2</v>
      </c>
      <c r="Y7429" s="13">
        <f t="shared" si="1153"/>
        <v>0</v>
      </c>
      <c r="Z7429" s="66">
        <v>0</v>
      </c>
      <c r="AA7429" s="6">
        <v>0</v>
      </c>
      <c r="AB7429" s="4">
        <f t="shared" si="1154"/>
        <v>73961.2</v>
      </c>
      <c r="AC7429" s="6">
        <f t="shared" si="1152"/>
        <v>0</v>
      </c>
      <c r="AD7429" s="6">
        <f t="shared" si="1148"/>
        <v>73961.2</v>
      </c>
      <c r="AE7429" s="14">
        <f>VLOOKUP(I7429,[2]媒体政策预估表!A:N,MATCH(O7429,[2]媒体政策预估表!$A$2:$M$2,0),0)</f>
        <v>7.0000000000000007E-2</v>
      </c>
      <c r="AF7429" s="6">
        <f t="shared" si="1150"/>
        <v>5177.2840000000006</v>
      </c>
      <c r="AG7429" s="14">
        <v>0</v>
      </c>
      <c r="AH7429" s="64">
        <f t="shared" si="1149"/>
        <v>73961.2</v>
      </c>
      <c r="AJ7429" s="126" t="e">
        <v>#N/A</v>
      </c>
      <c r="AK7429" s="80">
        <f t="shared" si="1155"/>
        <v>0</v>
      </c>
      <c r="AL7429" s="85"/>
      <c r="AM7429" s="85"/>
    </row>
    <row r="7430" spans="1:39" s="86" customFormat="1" ht="13.25" hidden="1" customHeight="1" x14ac:dyDescent="0.3">
      <c r="A7430" s="89" t="s">
        <v>3978</v>
      </c>
      <c r="B7430" s="86" t="s">
        <v>35</v>
      </c>
      <c r="C7430" s="86" t="s">
        <v>184</v>
      </c>
      <c r="D7430" s="86" t="s">
        <v>224</v>
      </c>
      <c r="E7430" s="86" t="s">
        <v>1174</v>
      </c>
      <c r="F7430" s="86" t="s">
        <v>1175</v>
      </c>
      <c r="G7430" s="86" t="s">
        <v>1174</v>
      </c>
      <c r="H7430" s="144">
        <v>360</v>
      </c>
      <c r="I7430" s="86" t="s">
        <v>1060</v>
      </c>
      <c r="J7430" s="47" t="s">
        <v>3325</v>
      </c>
      <c r="K7430" s="47" t="s">
        <v>3767</v>
      </c>
      <c r="L7430" s="47" t="s">
        <v>35</v>
      </c>
      <c r="M7430" s="86" t="s">
        <v>1174</v>
      </c>
      <c r="O7430" s="47" t="s">
        <v>410</v>
      </c>
      <c r="P7430" s="47" t="s">
        <v>41</v>
      </c>
      <c r="Q7430" s="14">
        <v>0</v>
      </c>
      <c r="R7430" s="143" t="s">
        <v>1178</v>
      </c>
      <c r="S7430" s="47"/>
      <c r="T7430" s="6">
        <v>1320.8899999999994</v>
      </c>
      <c r="U7430" s="6">
        <v>10000</v>
      </c>
      <c r="V7430" s="6">
        <v>10843.5</v>
      </c>
      <c r="W7430" s="6">
        <f t="shared" si="1147"/>
        <v>477.38999999999942</v>
      </c>
      <c r="X7430" s="6">
        <f t="shared" si="1151"/>
        <v>10843.5</v>
      </c>
      <c r="Y7430" s="13">
        <f t="shared" si="1153"/>
        <v>0</v>
      </c>
      <c r="Z7430" s="66">
        <v>0</v>
      </c>
      <c r="AA7430" s="6">
        <v>0</v>
      </c>
      <c r="AB7430" s="4">
        <f t="shared" si="1154"/>
        <v>10843.5</v>
      </c>
      <c r="AC7430" s="6">
        <f t="shared" si="1152"/>
        <v>0</v>
      </c>
      <c r="AD7430" s="6">
        <f t="shared" si="1148"/>
        <v>10843.5</v>
      </c>
      <c r="AE7430" s="14">
        <f>VLOOKUP(I7430,[2]媒体政策预估表!A:N,MATCH(O7430,[2]媒体政策预估表!$A$2:$M$2,0),0)</f>
        <v>7.0000000000000007E-2</v>
      </c>
      <c r="AF7430" s="6">
        <f t="shared" si="1150"/>
        <v>759.04500000000007</v>
      </c>
      <c r="AG7430" s="14">
        <v>0</v>
      </c>
      <c r="AH7430" s="64">
        <f t="shared" si="1149"/>
        <v>10843.5</v>
      </c>
      <c r="AJ7430" s="126" t="s">
        <v>4221</v>
      </c>
      <c r="AK7430" s="80">
        <f t="shared" si="1155"/>
        <v>0</v>
      </c>
      <c r="AL7430" s="150"/>
      <c r="AM7430" s="85"/>
    </row>
    <row r="7431" spans="1:39" s="86" customFormat="1" ht="13.25" hidden="1" customHeight="1" x14ac:dyDescent="0.3">
      <c r="A7431" s="89" t="s">
        <v>3978</v>
      </c>
      <c r="B7431" s="86" t="s">
        <v>35</v>
      </c>
      <c r="C7431" s="86" t="s">
        <v>184</v>
      </c>
      <c r="D7431" s="86" t="s">
        <v>224</v>
      </c>
      <c r="E7431" s="86" t="s">
        <v>1174</v>
      </c>
      <c r="F7431" s="86" t="s">
        <v>1179</v>
      </c>
      <c r="G7431" s="86" t="s">
        <v>1174</v>
      </c>
      <c r="H7431" s="144">
        <v>360</v>
      </c>
      <c r="I7431" s="86" t="s">
        <v>1060</v>
      </c>
      <c r="J7431" s="47" t="s">
        <v>3325</v>
      </c>
      <c r="K7431" s="47" t="s">
        <v>3767</v>
      </c>
      <c r="L7431" s="47" t="s">
        <v>35</v>
      </c>
      <c r="M7431" s="86" t="s">
        <v>1180</v>
      </c>
      <c r="O7431" s="47" t="s">
        <v>410</v>
      </c>
      <c r="P7431" s="47" t="s">
        <v>41</v>
      </c>
      <c r="Q7431" s="14">
        <v>0</v>
      </c>
      <c r="R7431" s="143" t="s">
        <v>1181</v>
      </c>
      <c r="S7431" s="47"/>
      <c r="T7431" s="6">
        <v>10.970000000000255</v>
      </c>
      <c r="U7431" s="6">
        <v>4253.53</v>
      </c>
      <c r="V7431" s="6">
        <v>4264.5</v>
      </c>
      <c r="W7431" s="6">
        <f t="shared" si="1147"/>
        <v>0</v>
      </c>
      <c r="X7431" s="6">
        <f t="shared" si="1151"/>
        <v>4264.5</v>
      </c>
      <c r="Y7431" s="13">
        <f t="shared" si="1153"/>
        <v>0</v>
      </c>
      <c r="Z7431" s="66">
        <v>0</v>
      </c>
      <c r="AA7431" s="6">
        <v>0</v>
      </c>
      <c r="AB7431" s="4">
        <f t="shared" si="1154"/>
        <v>4264.5</v>
      </c>
      <c r="AC7431" s="6">
        <f t="shared" si="1152"/>
        <v>0</v>
      </c>
      <c r="AD7431" s="6">
        <f t="shared" si="1148"/>
        <v>4264.5</v>
      </c>
      <c r="AE7431" s="14">
        <f>VLOOKUP(I7431,[2]媒体政策预估表!A:N,MATCH(O7431,[2]媒体政策预估表!$A$2:$M$2,0),0)</f>
        <v>7.0000000000000007E-2</v>
      </c>
      <c r="AF7431" s="6">
        <f t="shared" si="1150"/>
        <v>298.51500000000004</v>
      </c>
      <c r="AG7431" s="14">
        <v>0</v>
      </c>
      <c r="AH7431" s="64">
        <f t="shared" si="1149"/>
        <v>4264.5</v>
      </c>
      <c r="AJ7431" s="126" t="s">
        <v>4221</v>
      </c>
      <c r="AK7431" s="80">
        <f t="shared" si="1155"/>
        <v>0</v>
      </c>
      <c r="AL7431" s="150"/>
      <c r="AM7431" s="85"/>
    </row>
    <row r="7432" spans="1:39" s="86" customFormat="1" ht="13.25" hidden="1" customHeight="1" x14ac:dyDescent="0.3">
      <c r="A7432" s="89" t="s">
        <v>3978</v>
      </c>
      <c r="B7432" s="86" t="s">
        <v>35</v>
      </c>
      <c r="C7432" s="86" t="s">
        <v>184</v>
      </c>
      <c r="D7432" s="86" t="s">
        <v>224</v>
      </c>
      <c r="E7432" s="86" t="s">
        <v>1174</v>
      </c>
      <c r="F7432" s="86" t="s">
        <v>1179</v>
      </c>
      <c r="G7432" s="86" t="s">
        <v>1174</v>
      </c>
      <c r="H7432" s="144">
        <v>360</v>
      </c>
      <c r="I7432" s="86" t="s">
        <v>1060</v>
      </c>
      <c r="J7432" s="47" t="s">
        <v>3325</v>
      </c>
      <c r="K7432" s="47" t="s">
        <v>3767</v>
      </c>
      <c r="L7432" s="47" t="s">
        <v>35</v>
      </c>
      <c r="M7432" s="86" t="s">
        <v>1174</v>
      </c>
      <c r="O7432" s="47" t="s">
        <v>410</v>
      </c>
      <c r="P7432" s="47" t="s">
        <v>41</v>
      </c>
      <c r="Q7432" s="14">
        <v>0</v>
      </c>
      <c r="R7432" s="143" t="s">
        <v>1182</v>
      </c>
      <c r="S7432" s="47"/>
      <c r="T7432" s="6">
        <v>6828.2999999999993</v>
      </c>
      <c r="U7432" s="6">
        <v>10000</v>
      </c>
      <c r="V7432" s="6">
        <v>16338.8</v>
      </c>
      <c r="W7432" s="6">
        <f t="shared" si="1147"/>
        <v>489.5</v>
      </c>
      <c r="X7432" s="6">
        <f t="shared" si="1151"/>
        <v>16338.8</v>
      </c>
      <c r="Y7432" s="13">
        <f t="shared" si="1153"/>
        <v>0</v>
      </c>
      <c r="Z7432" s="66">
        <v>0</v>
      </c>
      <c r="AA7432" s="6">
        <v>0</v>
      </c>
      <c r="AB7432" s="4">
        <f t="shared" si="1154"/>
        <v>16338.8</v>
      </c>
      <c r="AC7432" s="6">
        <f t="shared" si="1152"/>
        <v>0</v>
      </c>
      <c r="AD7432" s="6">
        <f t="shared" si="1148"/>
        <v>16338.8</v>
      </c>
      <c r="AE7432" s="14">
        <f>VLOOKUP(I7432,[2]媒体政策预估表!A:N,MATCH(O7432,[2]媒体政策预估表!$A$2:$M$2,0),0)</f>
        <v>7.0000000000000007E-2</v>
      </c>
      <c r="AF7432" s="6">
        <f t="shared" si="1150"/>
        <v>1143.7160000000001</v>
      </c>
      <c r="AG7432" s="14">
        <v>0</v>
      </c>
      <c r="AH7432" s="64">
        <f t="shared" si="1149"/>
        <v>16338.8</v>
      </c>
      <c r="AJ7432" s="126" t="s">
        <v>4221</v>
      </c>
      <c r="AK7432" s="80">
        <f t="shared" si="1155"/>
        <v>0</v>
      </c>
      <c r="AL7432" s="150"/>
      <c r="AM7432" s="85"/>
    </row>
    <row r="7433" spans="1:39" s="86" customFormat="1" ht="13.25" hidden="1" customHeight="1" x14ac:dyDescent="0.3">
      <c r="A7433" s="89" t="s">
        <v>3792</v>
      </c>
      <c r="B7433" s="86" t="s">
        <v>35</v>
      </c>
      <c r="C7433" s="86" t="s">
        <v>184</v>
      </c>
      <c r="D7433" s="86" t="s">
        <v>224</v>
      </c>
      <c r="E7433" s="86" t="s">
        <v>1174</v>
      </c>
      <c r="F7433" s="86" t="s">
        <v>1179</v>
      </c>
      <c r="G7433" s="86" t="s">
        <v>1174</v>
      </c>
      <c r="H7433" s="144">
        <v>360</v>
      </c>
      <c r="I7433" s="86" t="s">
        <v>1060</v>
      </c>
      <c r="J7433" s="47" t="s">
        <v>3325</v>
      </c>
      <c r="K7433" s="47" t="s">
        <v>3767</v>
      </c>
      <c r="L7433" s="47" t="s">
        <v>35</v>
      </c>
      <c r="M7433" s="86" t="s">
        <v>1183</v>
      </c>
      <c r="O7433" s="47" t="s">
        <v>410</v>
      </c>
      <c r="P7433" s="47" t="s">
        <v>41</v>
      </c>
      <c r="Q7433" s="14">
        <v>0</v>
      </c>
      <c r="R7433" s="143" t="s">
        <v>1184</v>
      </c>
      <c r="S7433" s="47"/>
      <c r="T7433" s="6">
        <v>10186.400000000001</v>
      </c>
      <c r="U7433" s="6">
        <v>10746.470000000001</v>
      </c>
      <c r="V7433" s="6">
        <v>19815</v>
      </c>
      <c r="W7433" s="6">
        <f t="shared" si="1147"/>
        <v>1117.8700000000026</v>
      </c>
      <c r="X7433" s="6">
        <f t="shared" si="1151"/>
        <v>19815</v>
      </c>
      <c r="Y7433" s="13">
        <f t="shared" si="1153"/>
        <v>0</v>
      </c>
      <c r="Z7433" s="66">
        <v>0</v>
      </c>
      <c r="AA7433" s="6">
        <v>0</v>
      </c>
      <c r="AB7433" s="4">
        <f>X7433+AA7433-10000</f>
        <v>9815</v>
      </c>
      <c r="AC7433" s="6">
        <f t="shared" si="1152"/>
        <v>0</v>
      </c>
      <c r="AD7433" s="6">
        <f t="shared" si="1148"/>
        <v>19815</v>
      </c>
      <c r="AE7433" s="14">
        <f>VLOOKUP(I7433,[2]媒体政策预估表!A:N,MATCH(O7433,[2]媒体政策预估表!$A$2:$M$2,0),0)</f>
        <v>7.0000000000000007E-2</v>
      </c>
      <c r="AF7433" s="6">
        <f t="shared" si="1150"/>
        <v>1387.0500000000002</v>
      </c>
      <c r="AG7433" s="14">
        <v>0</v>
      </c>
      <c r="AH7433" s="64">
        <f t="shared" si="1149"/>
        <v>19815</v>
      </c>
      <c r="AJ7433" s="126" t="s">
        <v>4221</v>
      </c>
      <c r="AK7433" s="80">
        <f t="shared" si="1155"/>
        <v>10000</v>
      </c>
      <c r="AL7433" s="150"/>
      <c r="AM7433" s="85"/>
    </row>
    <row r="7434" spans="1:39" s="86" customFormat="1" ht="13.25" hidden="1" customHeight="1" x14ac:dyDescent="0.3">
      <c r="A7434" s="89" t="s">
        <v>3978</v>
      </c>
      <c r="B7434" s="86" t="s">
        <v>35</v>
      </c>
      <c r="C7434" s="86" t="s">
        <v>184</v>
      </c>
      <c r="D7434" s="86" t="s">
        <v>224</v>
      </c>
      <c r="E7434" s="86" t="s">
        <v>3485</v>
      </c>
      <c r="F7434" s="86" t="s">
        <v>3485</v>
      </c>
      <c r="G7434" s="86" t="s">
        <v>3485</v>
      </c>
      <c r="H7434" s="144">
        <v>360</v>
      </c>
      <c r="I7434" s="86" t="s">
        <v>1060</v>
      </c>
      <c r="J7434" s="47" t="s">
        <v>3325</v>
      </c>
      <c r="K7434" s="47" t="s">
        <v>3767</v>
      </c>
      <c r="L7434" s="47" t="s">
        <v>35</v>
      </c>
      <c r="M7434" s="86" t="s">
        <v>3485</v>
      </c>
      <c r="O7434" s="47" t="s">
        <v>410</v>
      </c>
      <c r="P7434" s="47" t="s">
        <v>41</v>
      </c>
      <c r="Q7434" s="14">
        <v>0</v>
      </c>
      <c r="R7434" s="143">
        <v>305327016</v>
      </c>
      <c r="S7434" s="47"/>
      <c r="T7434" s="6">
        <v>5009.5</v>
      </c>
      <c r="U7434" s="6">
        <v>10000</v>
      </c>
      <c r="V7434" s="6">
        <v>5975.41</v>
      </c>
      <c r="W7434" s="6">
        <f t="shared" si="1147"/>
        <v>9034.09</v>
      </c>
      <c r="X7434" s="6">
        <f t="shared" si="1151"/>
        <v>5975.41</v>
      </c>
      <c r="Y7434" s="13">
        <f t="shared" si="1153"/>
        <v>0</v>
      </c>
      <c r="Z7434" s="66">
        <v>0</v>
      </c>
      <c r="AA7434" s="6">
        <v>0</v>
      </c>
      <c r="AB7434" s="4">
        <f t="shared" si="1154"/>
        <v>5975.41</v>
      </c>
      <c r="AC7434" s="6">
        <f t="shared" si="1152"/>
        <v>0</v>
      </c>
      <c r="AD7434" s="6">
        <f t="shared" si="1148"/>
        <v>5975.41</v>
      </c>
      <c r="AE7434" s="14">
        <f>VLOOKUP(I7434,[2]媒体政策预估表!A:N,MATCH(O7434,[2]媒体政策预估表!$A$2:$M$2,0),0)</f>
        <v>7.0000000000000007E-2</v>
      </c>
      <c r="AF7434" s="6">
        <f t="shared" si="1150"/>
        <v>418.27870000000001</v>
      </c>
      <c r="AG7434" s="14">
        <v>0</v>
      </c>
      <c r="AH7434" s="64">
        <f t="shared" si="1149"/>
        <v>5975.41</v>
      </c>
      <c r="AJ7434" s="126" t="e">
        <v>#N/A</v>
      </c>
      <c r="AK7434" s="80">
        <f t="shared" si="1155"/>
        <v>0</v>
      </c>
      <c r="AL7434" s="85"/>
      <c r="AM7434" s="85"/>
    </row>
    <row r="7435" spans="1:39" s="86" customFormat="1" ht="13.25" hidden="1" customHeight="1" x14ac:dyDescent="0.3">
      <c r="A7435" s="89" t="s">
        <v>3792</v>
      </c>
      <c r="B7435" s="86" t="s">
        <v>35</v>
      </c>
      <c r="C7435" s="86" t="s">
        <v>184</v>
      </c>
      <c r="D7435" s="86" t="s">
        <v>224</v>
      </c>
      <c r="E7435" s="86" t="s">
        <v>4101</v>
      </c>
      <c r="F7435" s="86" t="s">
        <v>4101</v>
      </c>
      <c r="G7435" s="86" t="s">
        <v>4101</v>
      </c>
      <c r="H7435" s="144">
        <v>360</v>
      </c>
      <c r="I7435" s="86" t="s">
        <v>1060</v>
      </c>
      <c r="J7435" s="47" t="s">
        <v>3325</v>
      </c>
      <c r="K7435" s="47" t="s">
        <v>3767</v>
      </c>
      <c r="L7435" s="47" t="s">
        <v>35</v>
      </c>
      <c r="M7435" s="86" t="s">
        <v>4101</v>
      </c>
      <c r="O7435" s="47" t="s">
        <v>410</v>
      </c>
      <c r="P7435" s="47" t="s">
        <v>41</v>
      </c>
      <c r="Q7435" s="14">
        <v>0</v>
      </c>
      <c r="R7435" s="143" t="s">
        <v>4102</v>
      </c>
      <c r="S7435" s="47"/>
      <c r="T7435" s="6">
        <v>0</v>
      </c>
      <c r="U7435" s="6">
        <v>10000</v>
      </c>
      <c r="V7435" s="6">
        <v>4573.78</v>
      </c>
      <c r="W7435" s="6">
        <f t="shared" si="1147"/>
        <v>5426.22</v>
      </c>
      <c r="X7435" s="6">
        <f t="shared" si="1151"/>
        <v>4573.78</v>
      </c>
      <c r="Y7435" s="13">
        <f t="shared" si="1153"/>
        <v>0</v>
      </c>
      <c r="Z7435" s="66">
        <v>0</v>
      </c>
      <c r="AA7435" s="6">
        <v>0</v>
      </c>
      <c r="AB7435" s="4">
        <f t="shared" si="1154"/>
        <v>4573.78</v>
      </c>
      <c r="AC7435" s="6">
        <f t="shared" si="1152"/>
        <v>0</v>
      </c>
      <c r="AD7435" s="6">
        <f t="shared" si="1148"/>
        <v>4573.78</v>
      </c>
      <c r="AE7435" s="14">
        <f>VLOOKUP(I7435,[2]媒体政策预估表!A:N,MATCH(O7435,[2]媒体政策预估表!$A$2:$M$2,0),0)</f>
        <v>7.0000000000000007E-2</v>
      </c>
      <c r="AF7435" s="6">
        <f t="shared" si="1150"/>
        <v>320.16460000000001</v>
      </c>
      <c r="AG7435" s="14">
        <v>0</v>
      </c>
      <c r="AH7435" s="64">
        <f t="shared" si="1149"/>
        <v>4573.78</v>
      </c>
      <c r="AJ7435" s="126" t="e">
        <v>#N/A</v>
      </c>
      <c r="AK7435" s="80">
        <f t="shared" si="1155"/>
        <v>0</v>
      </c>
      <c r="AL7435" s="85"/>
      <c r="AM7435" s="85"/>
    </row>
    <row r="7436" spans="1:39" s="86" customFormat="1" ht="13.25" hidden="1" customHeight="1" x14ac:dyDescent="0.3">
      <c r="A7436" s="89" t="s">
        <v>3792</v>
      </c>
      <c r="B7436" s="86" t="s">
        <v>35</v>
      </c>
      <c r="C7436" s="86" t="s">
        <v>184</v>
      </c>
      <c r="D7436" s="86" t="s">
        <v>224</v>
      </c>
      <c r="E7436" s="86" t="s">
        <v>1187</v>
      </c>
      <c r="F7436" s="86" t="s">
        <v>1187</v>
      </c>
      <c r="G7436" s="86" t="s">
        <v>1187</v>
      </c>
      <c r="H7436" s="144">
        <v>360</v>
      </c>
      <c r="I7436" s="86" t="s">
        <v>1060</v>
      </c>
      <c r="J7436" s="47" t="s">
        <v>3325</v>
      </c>
      <c r="K7436" s="47" t="s">
        <v>3767</v>
      </c>
      <c r="L7436" s="47" t="s">
        <v>35</v>
      </c>
      <c r="M7436" s="86" t="s">
        <v>1188</v>
      </c>
      <c r="O7436" s="47" t="s">
        <v>410</v>
      </c>
      <c r="P7436" s="47" t="s">
        <v>41</v>
      </c>
      <c r="Q7436" s="14">
        <v>0</v>
      </c>
      <c r="R7436" s="143" t="s">
        <v>1189</v>
      </c>
      <c r="S7436" s="47"/>
      <c r="T7436" s="6">
        <v>18284.200000000004</v>
      </c>
      <c r="U7436" s="6">
        <v>45000</v>
      </c>
      <c r="V7436" s="6">
        <v>40993.18</v>
      </c>
      <c r="W7436" s="6">
        <f t="shared" si="1147"/>
        <v>22291.020000000004</v>
      </c>
      <c r="X7436" s="6">
        <f t="shared" si="1151"/>
        <v>40993.18</v>
      </c>
      <c r="Y7436" s="13">
        <f t="shared" si="1153"/>
        <v>0</v>
      </c>
      <c r="Z7436" s="66">
        <v>0</v>
      </c>
      <c r="AA7436" s="6">
        <v>0</v>
      </c>
      <c r="AB7436" s="4">
        <f t="shared" si="1154"/>
        <v>40993.18</v>
      </c>
      <c r="AC7436" s="6">
        <f t="shared" si="1152"/>
        <v>0</v>
      </c>
      <c r="AD7436" s="6">
        <f t="shared" si="1148"/>
        <v>40993.18</v>
      </c>
      <c r="AE7436" s="14">
        <f>VLOOKUP(I7436,[2]媒体政策预估表!A:N,MATCH(O7436,[2]媒体政策预估表!$A$2:$M$2,0),0)</f>
        <v>7.0000000000000007E-2</v>
      </c>
      <c r="AF7436" s="6">
        <f t="shared" si="1150"/>
        <v>2869.5226000000002</v>
      </c>
      <c r="AG7436" s="14">
        <v>0</v>
      </c>
      <c r="AH7436" s="64">
        <f t="shared" si="1149"/>
        <v>40993.18</v>
      </c>
      <c r="AJ7436" s="126" t="e">
        <v>#N/A</v>
      </c>
      <c r="AK7436" s="80">
        <f t="shared" si="1155"/>
        <v>0</v>
      </c>
      <c r="AL7436" s="85"/>
      <c r="AM7436" s="85"/>
    </row>
    <row r="7437" spans="1:39" s="86" customFormat="1" ht="13.25" hidden="1" customHeight="1" x14ac:dyDescent="0.3">
      <c r="A7437" s="89" t="s">
        <v>3978</v>
      </c>
      <c r="B7437" s="86" t="s">
        <v>35</v>
      </c>
      <c r="C7437" s="86" t="s">
        <v>184</v>
      </c>
      <c r="D7437" s="86" t="s">
        <v>224</v>
      </c>
      <c r="E7437" s="86" t="s">
        <v>1190</v>
      </c>
      <c r="F7437" s="86" t="s">
        <v>1190</v>
      </c>
      <c r="G7437" s="86" t="s">
        <v>1190</v>
      </c>
      <c r="H7437" s="144">
        <v>360</v>
      </c>
      <c r="I7437" s="86" t="s">
        <v>1060</v>
      </c>
      <c r="J7437" s="47" t="s">
        <v>3325</v>
      </c>
      <c r="K7437" s="47" t="s">
        <v>3767</v>
      </c>
      <c r="L7437" s="47" t="s">
        <v>35</v>
      </c>
      <c r="M7437" s="86" t="s">
        <v>1190</v>
      </c>
      <c r="O7437" s="47" t="s">
        <v>410</v>
      </c>
      <c r="P7437" s="47" t="s">
        <v>41</v>
      </c>
      <c r="Q7437" s="14">
        <v>0</v>
      </c>
      <c r="R7437" s="143" t="s">
        <v>1191</v>
      </c>
      <c r="S7437" s="47"/>
      <c r="T7437" s="6">
        <v>14520.699999999997</v>
      </c>
      <c r="U7437" s="6">
        <v>15000</v>
      </c>
      <c r="V7437" s="6">
        <v>24385.200000000001</v>
      </c>
      <c r="W7437" s="6">
        <f t="shared" si="1147"/>
        <v>5135.4999999999964</v>
      </c>
      <c r="X7437" s="6">
        <f t="shared" si="1151"/>
        <v>24385.200000000001</v>
      </c>
      <c r="Y7437" s="13">
        <f t="shared" si="1153"/>
        <v>0</v>
      </c>
      <c r="Z7437" s="66">
        <v>0</v>
      </c>
      <c r="AA7437" s="6">
        <v>0</v>
      </c>
      <c r="AB7437" s="4">
        <f t="shared" si="1154"/>
        <v>24385.200000000001</v>
      </c>
      <c r="AC7437" s="6">
        <f t="shared" si="1152"/>
        <v>0</v>
      </c>
      <c r="AD7437" s="6">
        <f t="shared" si="1148"/>
        <v>24385.200000000001</v>
      </c>
      <c r="AE7437" s="14">
        <f>VLOOKUP(I7437,[2]媒体政策预估表!A:N,MATCH(O7437,[2]媒体政策预估表!$A$2:$M$2,0),0)</f>
        <v>7.0000000000000007E-2</v>
      </c>
      <c r="AF7437" s="6">
        <f t="shared" si="1150"/>
        <v>1706.9640000000002</v>
      </c>
      <c r="AG7437" s="14">
        <v>0</v>
      </c>
      <c r="AH7437" s="64">
        <f t="shared" si="1149"/>
        <v>24385.200000000001</v>
      </c>
      <c r="AJ7437" s="126" t="e">
        <v>#N/A</v>
      </c>
      <c r="AK7437" s="80">
        <f t="shared" si="1155"/>
        <v>0</v>
      </c>
      <c r="AL7437" s="85"/>
      <c r="AM7437" s="85"/>
    </row>
    <row r="7438" spans="1:39" s="86" customFormat="1" ht="13.25" hidden="1" customHeight="1" x14ac:dyDescent="0.3">
      <c r="A7438" s="89" t="s">
        <v>3792</v>
      </c>
      <c r="B7438" s="86" t="s">
        <v>35</v>
      </c>
      <c r="C7438" s="86" t="s">
        <v>184</v>
      </c>
      <c r="D7438" s="86" t="s">
        <v>54</v>
      </c>
      <c r="E7438" s="86" t="s">
        <v>1200</v>
      </c>
      <c r="F7438" s="86" t="s">
        <v>1201</v>
      </c>
      <c r="G7438" s="86" t="s">
        <v>1200</v>
      </c>
      <c r="H7438" s="144">
        <v>360</v>
      </c>
      <c r="I7438" s="86" t="s">
        <v>1060</v>
      </c>
      <c r="J7438" s="47" t="s">
        <v>3325</v>
      </c>
      <c r="K7438" s="47" t="s">
        <v>3767</v>
      </c>
      <c r="L7438" s="47" t="s">
        <v>35</v>
      </c>
      <c r="M7438" s="86" t="s">
        <v>1200</v>
      </c>
      <c r="O7438" s="47" t="s">
        <v>410</v>
      </c>
      <c r="P7438" s="47" t="s">
        <v>41</v>
      </c>
      <c r="Q7438" s="14">
        <v>0</v>
      </c>
      <c r="R7438" s="143" t="s">
        <v>1202</v>
      </c>
      <c r="S7438" s="47"/>
      <c r="T7438" s="6">
        <v>27081.479999999981</v>
      </c>
      <c r="U7438" s="6">
        <v>75000</v>
      </c>
      <c r="V7438" s="6">
        <v>78057.3</v>
      </c>
      <c r="W7438" s="6">
        <f t="shared" si="1147"/>
        <v>24024.179999999978</v>
      </c>
      <c r="X7438" s="6">
        <f t="shared" si="1151"/>
        <v>78057.3</v>
      </c>
      <c r="Y7438" s="13">
        <f t="shared" si="1153"/>
        <v>0</v>
      </c>
      <c r="Z7438" s="66">
        <v>0</v>
      </c>
      <c r="AA7438" s="6">
        <v>0</v>
      </c>
      <c r="AB7438" s="4">
        <f t="shared" si="1154"/>
        <v>78057.3</v>
      </c>
      <c r="AC7438" s="6">
        <f t="shared" si="1152"/>
        <v>0</v>
      </c>
      <c r="AD7438" s="6">
        <f t="shared" si="1148"/>
        <v>78057.3</v>
      </c>
      <c r="AE7438" s="14">
        <f>VLOOKUP(I7438,[2]媒体政策预估表!A:N,MATCH(O7438,[2]媒体政策预估表!$A$2:$M$2,0),0)</f>
        <v>7.0000000000000007E-2</v>
      </c>
      <c r="AF7438" s="6">
        <f t="shared" si="1150"/>
        <v>5464.0110000000004</v>
      </c>
      <c r="AG7438" s="14">
        <v>0</v>
      </c>
      <c r="AH7438" s="64">
        <f t="shared" si="1149"/>
        <v>78057.3</v>
      </c>
      <c r="AJ7438" s="126" t="e">
        <v>#N/A</v>
      </c>
      <c r="AK7438" s="80">
        <f t="shared" si="1155"/>
        <v>0</v>
      </c>
      <c r="AL7438" s="85"/>
      <c r="AM7438" s="85"/>
    </row>
    <row r="7439" spans="1:39" s="86" customFormat="1" ht="13.25" hidden="1" customHeight="1" x14ac:dyDescent="0.3">
      <c r="A7439" s="89" t="s">
        <v>3978</v>
      </c>
      <c r="B7439" s="86" t="s">
        <v>35</v>
      </c>
      <c r="C7439" s="86" t="s">
        <v>184</v>
      </c>
      <c r="D7439" s="86" t="s">
        <v>54</v>
      </c>
      <c r="E7439" s="86" t="s">
        <v>1200</v>
      </c>
      <c r="F7439" s="86" t="s">
        <v>4103</v>
      </c>
      <c r="G7439" s="86" t="s">
        <v>1200</v>
      </c>
      <c r="H7439" s="144">
        <v>360</v>
      </c>
      <c r="I7439" s="86" t="s">
        <v>1060</v>
      </c>
      <c r="J7439" s="47" t="s">
        <v>3325</v>
      </c>
      <c r="K7439" s="47" t="s">
        <v>3767</v>
      </c>
      <c r="L7439" s="47" t="s">
        <v>35</v>
      </c>
      <c r="M7439" s="86" t="s">
        <v>1200</v>
      </c>
      <c r="O7439" s="47" t="s">
        <v>410</v>
      </c>
      <c r="P7439" s="47" t="s">
        <v>46</v>
      </c>
      <c r="Q7439" s="14">
        <v>0.02</v>
      </c>
      <c r="R7439" s="143" t="s">
        <v>4104</v>
      </c>
      <c r="S7439" s="47"/>
      <c r="T7439" s="6">
        <v>0</v>
      </c>
      <c r="U7439" s="6">
        <v>10000</v>
      </c>
      <c r="V7439" s="6">
        <v>2711.7</v>
      </c>
      <c r="W7439" s="6">
        <f t="shared" si="1147"/>
        <v>7288.3</v>
      </c>
      <c r="X7439" s="6">
        <f t="shared" si="1151"/>
        <v>2658.5294117647059</v>
      </c>
      <c r="Y7439" s="13">
        <f t="shared" si="1153"/>
        <v>0</v>
      </c>
      <c r="Z7439" s="66">
        <v>0</v>
      </c>
      <c r="AA7439" s="6">
        <v>0</v>
      </c>
      <c r="AB7439" s="4">
        <f t="shared" si="1154"/>
        <v>2658.5294117647059</v>
      </c>
      <c r="AC7439" s="6">
        <f t="shared" si="1152"/>
        <v>53.170588235293962</v>
      </c>
      <c r="AD7439" s="6">
        <f t="shared" si="1148"/>
        <v>2711.7</v>
      </c>
      <c r="AE7439" s="14">
        <f>VLOOKUP(I7439,[2]媒体政策预估表!A:N,MATCH(O7439,[2]媒体政策预估表!$A$2:$M$2,0),0)</f>
        <v>7.0000000000000007E-2</v>
      </c>
      <c r="AF7439" s="6">
        <f t="shared" si="1150"/>
        <v>189.81900000000002</v>
      </c>
      <c r="AG7439" s="14">
        <v>0</v>
      </c>
      <c r="AH7439" s="64">
        <f t="shared" si="1149"/>
        <v>2711.7</v>
      </c>
      <c r="AJ7439" s="126" t="e">
        <v>#N/A</v>
      </c>
      <c r="AK7439" s="80">
        <f t="shared" si="1155"/>
        <v>0</v>
      </c>
      <c r="AL7439" s="85"/>
      <c r="AM7439" s="85"/>
    </row>
    <row r="7440" spans="1:39" s="86" customFormat="1" ht="13.25" hidden="1" customHeight="1" x14ac:dyDescent="0.3">
      <c r="A7440" s="89" t="s">
        <v>3792</v>
      </c>
      <c r="B7440" s="86" t="s">
        <v>35</v>
      </c>
      <c r="C7440" s="86" t="s">
        <v>184</v>
      </c>
      <c r="D7440" s="86" t="s">
        <v>54</v>
      </c>
      <c r="E7440" s="86" t="s">
        <v>4105</v>
      </c>
      <c r="F7440" s="86" t="s">
        <v>4105</v>
      </c>
      <c r="G7440" s="86" t="s">
        <v>4105</v>
      </c>
      <c r="H7440" s="143">
        <v>360</v>
      </c>
      <c r="I7440" s="86" t="s">
        <v>1060</v>
      </c>
      <c r="J7440" s="47" t="s">
        <v>3325</v>
      </c>
      <c r="K7440" s="47" t="s">
        <v>3767</v>
      </c>
      <c r="L7440" s="47" t="s">
        <v>35</v>
      </c>
      <c r="M7440" s="86" t="s">
        <v>4105</v>
      </c>
      <c r="O7440" s="47" t="s">
        <v>410</v>
      </c>
      <c r="P7440" s="47" t="s">
        <v>41</v>
      </c>
      <c r="Q7440" s="14">
        <v>0</v>
      </c>
      <c r="R7440" s="143" t="s">
        <v>4106</v>
      </c>
      <c r="S7440" s="47"/>
      <c r="T7440" s="6">
        <v>0</v>
      </c>
      <c r="U7440" s="6">
        <v>10000</v>
      </c>
      <c r="V7440" s="6">
        <v>0</v>
      </c>
      <c r="W7440" s="6">
        <f t="shared" si="1147"/>
        <v>10000</v>
      </c>
      <c r="X7440" s="6">
        <f t="shared" si="1151"/>
        <v>0</v>
      </c>
      <c r="Y7440" s="13">
        <f t="shared" si="1153"/>
        <v>0</v>
      </c>
      <c r="Z7440" s="66">
        <v>0</v>
      </c>
      <c r="AA7440" s="6">
        <v>0</v>
      </c>
      <c r="AB7440" s="4">
        <f t="shared" si="1154"/>
        <v>0</v>
      </c>
      <c r="AC7440" s="6">
        <f t="shared" si="1152"/>
        <v>0</v>
      </c>
      <c r="AD7440" s="6">
        <f t="shared" si="1148"/>
        <v>0</v>
      </c>
      <c r="AE7440" s="14">
        <f>VLOOKUP(I7440,[2]媒体政策预估表!A:N,MATCH(O7440,[2]媒体政策预估表!$A$2:$M$2,0),0)</f>
        <v>7.0000000000000007E-2</v>
      </c>
      <c r="AF7440" s="6">
        <f t="shared" si="1150"/>
        <v>0</v>
      </c>
      <c r="AG7440" s="14">
        <v>0</v>
      </c>
      <c r="AH7440" s="64">
        <f t="shared" si="1149"/>
        <v>0</v>
      </c>
      <c r="AJ7440" s="126" t="e">
        <v>#N/A</v>
      </c>
      <c r="AK7440" s="80">
        <f t="shared" si="1155"/>
        <v>0</v>
      </c>
      <c r="AL7440" s="85"/>
      <c r="AM7440" s="85"/>
    </row>
    <row r="7441" spans="1:39" s="86" customFormat="1" ht="13.25" hidden="1" customHeight="1" x14ac:dyDescent="0.3">
      <c r="A7441" s="89" t="s">
        <v>3978</v>
      </c>
      <c r="B7441" s="86" t="s">
        <v>35</v>
      </c>
      <c r="C7441" s="86" t="s">
        <v>184</v>
      </c>
      <c r="D7441" s="86" t="s">
        <v>54</v>
      </c>
      <c r="E7441" s="86" t="s">
        <v>1206</v>
      </c>
      <c r="F7441" s="86" t="s">
        <v>1207</v>
      </c>
      <c r="G7441" s="86" t="s">
        <v>1206</v>
      </c>
      <c r="H7441" s="144">
        <v>360</v>
      </c>
      <c r="I7441" s="86" t="s">
        <v>1060</v>
      </c>
      <c r="J7441" s="47" t="s">
        <v>3325</v>
      </c>
      <c r="K7441" s="47" t="s">
        <v>3767</v>
      </c>
      <c r="L7441" s="47" t="s">
        <v>35</v>
      </c>
      <c r="M7441" s="86" t="s">
        <v>1208</v>
      </c>
      <c r="O7441" s="47" t="s">
        <v>410</v>
      </c>
      <c r="P7441" s="47" t="s">
        <v>46</v>
      </c>
      <c r="Q7441" s="14">
        <v>0.02</v>
      </c>
      <c r="R7441" s="143" t="s">
        <v>3487</v>
      </c>
      <c r="S7441" s="47"/>
      <c r="T7441" s="6">
        <v>45960.9</v>
      </c>
      <c r="U7441" s="6">
        <v>50000</v>
      </c>
      <c r="V7441" s="6">
        <v>56046.15</v>
      </c>
      <c r="W7441" s="6">
        <f t="shared" si="1147"/>
        <v>39914.749999999993</v>
      </c>
      <c r="X7441" s="6">
        <f t="shared" si="1151"/>
        <v>54947.205882352944</v>
      </c>
      <c r="Y7441" s="13">
        <f t="shared" si="1153"/>
        <v>0</v>
      </c>
      <c r="Z7441" s="66">
        <v>0</v>
      </c>
      <c r="AA7441" s="6">
        <v>0</v>
      </c>
      <c r="AB7441" s="4">
        <f t="shared" si="1154"/>
        <v>54947.205882352944</v>
      </c>
      <c r="AC7441" s="6">
        <f t="shared" si="1152"/>
        <v>1098.9441176470573</v>
      </c>
      <c r="AD7441" s="6">
        <f t="shared" si="1148"/>
        <v>56046.15</v>
      </c>
      <c r="AE7441" s="14">
        <f>VLOOKUP(I7441,[2]媒体政策预估表!A:N,MATCH(O7441,[2]媒体政策预估表!$A$2:$M$2,0),0)</f>
        <v>7.0000000000000007E-2</v>
      </c>
      <c r="AF7441" s="6">
        <f t="shared" si="1150"/>
        <v>3923.2305000000006</v>
      </c>
      <c r="AG7441" s="14">
        <v>0</v>
      </c>
      <c r="AH7441" s="64">
        <f t="shared" si="1149"/>
        <v>56046.15</v>
      </c>
      <c r="AJ7441" s="126" t="e">
        <v>#N/A</v>
      </c>
      <c r="AK7441" s="80">
        <f t="shared" si="1155"/>
        <v>0</v>
      </c>
      <c r="AL7441" s="85"/>
      <c r="AM7441" s="85"/>
    </row>
    <row r="7442" spans="1:39" s="86" customFormat="1" ht="13.25" hidden="1" customHeight="1" x14ac:dyDescent="0.3">
      <c r="A7442" s="89" t="s">
        <v>3978</v>
      </c>
      <c r="B7442" s="86" t="s">
        <v>35</v>
      </c>
      <c r="C7442" s="86" t="s">
        <v>184</v>
      </c>
      <c r="D7442" s="86" t="s">
        <v>54</v>
      </c>
      <c r="E7442" s="86" t="s">
        <v>1206</v>
      </c>
      <c r="F7442" s="86" t="s">
        <v>1207</v>
      </c>
      <c r="G7442" s="86" t="s">
        <v>1206</v>
      </c>
      <c r="H7442" s="144">
        <v>360</v>
      </c>
      <c r="I7442" s="86" t="s">
        <v>1060</v>
      </c>
      <c r="J7442" s="47" t="s">
        <v>3325</v>
      </c>
      <c r="K7442" s="47" t="s">
        <v>3767</v>
      </c>
      <c r="L7442" s="47" t="s">
        <v>35</v>
      </c>
      <c r="M7442" s="86" t="s">
        <v>1208</v>
      </c>
      <c r="O7442" s="47" t="s">
        <v>410</v>
      </c>
      <c r="P7442" s="47" t="s">
        <v>46</v>
      </c>
      <c r="Q7442" s="14">
        <v>0.02</v>
      </c>
      <c r="R7442" s="143" t="s">
        <v>1209</v>
      </c>
      <c r="S7442" s="47"/>
      <c r="T7442" s="6">
        <v>54380.399999999994</v>
      </c>
      <c r="U7442" s="6">
        <v>50000</v>
      </c>
      <c r="V7442" s="6">
        <v>43727</v>
      </c>
      <c r="W7442" s="6">
        <f t="shared" si="1147"/>
        <v>60653.399999999994</v>
      </c>
      <c r="X7442" s="6">
        <f t="shared" si="1151"/>
        <v>42869.607843137252</v>
      </c>
      <c r="Y7442" s="13">
        <f t="shared" si="1153"/>
        <v>0</v>
      </c>
      <c r="Z7442" s="66">
        <v>0</v>
      </c>
      <c r="AA7442" s="6">
        <v>0</v>
      </c>
      <c r="AB7442" s="4">
        <f t="shared" si="1154"/>
        <v>42869.607843137252</v>
      </c>
      <c r="AC7442" s="6">
        <f t="shared" si="1152"/>
        <v>857.39215686274838</v>
      </c>
      <c r="AD7442" s="6">
        <f t="shared" si="1148"/>
        <v>43727</v>
      </c>
      <c r="AE7442" s="14">
        <f>VLOOKUP(I7442,[2]媒体政策预估表!A:N,MATCH(O7442,[2]媒体政策预估表!$A$2:$M$2,0),0)</f>
        <v>7.0000000000000007E-2</v>
      </c>
      <c r="AF7442" s="6">
        <f t="shared" si="1150"/>
        <v>3060.8900000000003</v>
      </c>
      <c r="AG7442" s="14">
        <v>0</v>
      </c>
      <c r="AH7442" s="64">
        <f t="shared" si="1149"/>
        <v>43727</v>
      </c>
      <c r="AJ7442" s="126" t="e">
        <v>#N/A</v>
      </c>
      <c r="AK7442" s="80">
        <f t="shared" si="1155"/>
        <v>0</v>
      </c>
      <c r="AL7442" s="85"/>
      <c r="AM7442" s="85"/>
    </row>
    <row r="7443" spans="1:39" s="86" customFormat="1" ht="13.25" hidden="1" customHeight="1" x14ac:dyDescent="0.3">
      <c r="A7443" s="89" t="s">
        <v>3978</v>
      </c>
      <c r="B7443" s="86" t="s">
        <v>35</v>
      </c>
      <c r="C7443" s="86" t="s">
        <v>184</v>
      </c>
      <c r="D7443" s="86" t="s">
        <v>54</v>
      </c>
      <c r="E7443" s="86" t="s">
        <v>4107</v>
      </c>
      <c r="F7443" s="86" t="s">
        <v>4107</v>
      </c>
      <c r="G7443" s="86" t="s">
        <v>4107</v>
      </c>
      <c r="H7443" s="144">
        <v>360</v>
      </c>
      <c r="I7443" s="86" t="s">
        <v>1060</v>
      </c>
      <c r="J7443" s="47" t="s">
        <v>3325</v>
      </c>
      <c r="K7443" s="47" t="s">
        <v>3767</v>
      </c>
      <c r="L7443" s="47" t="s">
        <v>35</v>
      </c>
      <c r="M7443" s="86" t="s">
        <v>4107</v>
      </c>
      <c r="O7443" s="47" t="s">
        <v>410</v>
      </c>
      <c r="P7443" s="47" t="s">
        <v>41</v>
      </c>
      <c r="Q7443" s="14">
        <v>0</v>
      </c>
      <c r="R7443" s="143" t="s">
        <v>4108</v>
      </c>
      <c r="S7443" s="47"/>
      <c r="T7443" s="6">
        <v>0</v>
      </c>
      <c r="U7443" s="6">
        <v>10000</v>
      </c>
      <c r="V7443" s="6">
        <v>766.3</v>
      </c>
      <c r="W7443" s="6">
        <f t="shared" si="1147"/>
        <v>9233.7000000000007</v>
      </c>
      <c r="X7443" s="6">
        <f t="shared" si="1151"/>
        <v>766.3</v>
      </c>
      <c r="Y7443" s="13">
        <f t="shared" si="1153"/>
        <v>0</v>
      </c>
      <c r="Z7443" s="66">
        <v>0</v>
      </c>
      <c r="AA7443" s="6">
        <v>0</v>
      </c>
      <c r="AB7443" s="4">
        <f t="shared" si="1154"/>
        <v>766.3</v>
      </c>
      <c r="AC7443" s="6">
        <f t="shared" si="1152"/>
        <v>0</v>
      </c>
      <c r="AD7443" s="6">
        <f t="shared" si="1148"/>
        <v>766.3</v>
      </c>
      <c r="AE7443" s="14">
        <f>VLOOKUP(I7443,[2]媒体政策预估表!A:N,MATCH(O7443,[2]媒体政策预估表!$A$2:$M$2,0),0)</f>
        <v>7.0000000000000007E-2</v>
      </c>
      <c r="AF7443" s="6">
        <f t="shared" si="1150"/>
        <v>53.641000000000005</v>
      </c>
      <c r="AG7443" s="14">
        <v>0</v>
      </c>
      <c r="AH7443" s="64">
        <f t="shared" si="1149"/>
        <v>766.3</v>
      </c>
      <c r="AJ7443" s="126" t="e">
        <v>#N/A</v>
      </c>
      <c r="AK7443" s="80">
        <f t="shared" si="1155"/>
        <v>0</v>
      </c>
      <c r="AL7443" s="85"/>
      <c r="AM7443" s="85"/>
    </row>
    <row r="7444" spans="1:39" s="86" customFormat="1" ht="13.25" hidden="1" customHeight="1" x14ac:dyDescent="0.3">
      <c r="A7444" s="89" t="s">
        <v>3792</v>
      </c>
      <c r="B7444" s="86" t="s">
        <v>35</v>
      </c>
      <c r="C7444" s="86" t="s">
        <v>184</v>
      </c>
      <c r="D7444" s="86" t="s">
        <v>37</v>
      </c>
      <c r="E7444" s="86" t="s">
        <v>285</v>
      </c>
      <c r="F7444" s="86" t="s">
        <v>460</v>
      </c>
      <c r="G7444" s="86" t="s">
        <v>285</v>
      </c>
      <c r="H7444" s="144">
        <v>360</v>
      </c>
      <c r="I7444" s="86" t="s">
        <v>1060</v>
      </c>
      <c r="J7444" s="47" t="s">
        <v>3325</v>
      </c>
      <c r="K7444" s="47" t="s">
        <v>3767</v>
      </c>
      <c r="L7444" s="47" t="s">
        <v>35</v>
      </c>
      <c r="M7444" s="86" t="s">
        <v>1217</v>
      </c>
      <c r="O7444" s="47" t="s">
        <v>410</v>
      </c>
      <c r="P7444" s="47" t="s">
        <v>41</v>
      </c>
      <c r="Q7444" s="14">
        <v>0</v>
      </c>
      <c r="R7444" s="143" t="s">
        <v>1218</v>
      </c>
      <c r="S7444" s="47"/>
      <c r="T7444" s="6">
        <v>4739.5999999999985</v>
      </c>
      <c r="U7444" s="6">
        <v>30000</v>
      </c>
      <c r="V7444" s="6">
        <v>28460.39</v>
      </c>
      <c r="W7444" s="6">
        <f t="shared" si="1147"/>
        <v>6279.2099999999991</v>
      </c>
      <c r="X7444" s="6">
        <f t="shared" si="1151"/>
        <v>28460.39</v>
      </c>
      <c r="Y7444" s="13">
        <f t="shared" si="1153"/>
        <v>0</v>
      </c>
      <c r="Z7444" s="66">
        <v>0</v>
      </c>
      <c r="AA7444" s="6">
        <v>0</v>
      </c>
      <c r="AB7444" s="4">
        <f t="shared" si="1154"/>
        <v>28460.39</v>
      </c>
      <c r="AC7444" s="6">
        <f t="shared" si="1152"/>
        <v>0</v>
      </c>
      <c r="AD7444" s="6">
        <f t="shared" si="1148"/>
        <v>28460.39</v>
      </c>
      <c r="AE7444" s="14">
        <f>VLOOKUP(I7444,[2]媒体政策预估表!A:N,MATCH(O7444,[2]媒体政策预估表!$A$2:$M$2,0),0)</f>
        <v>7.0000000000000007E-2</v>
      </c>
      <c r="AF7444" s="6">
        <f t="shared" si="1150"/>
        <v>1992.2273000000002</v>
      </c>
      <c r="AG7444" s="14">
        <v>0</v>
      </c>
      <c r="AH7444" s="64">
        <f t="shared" si="1149"/>
        <v>28460.39</v>
      </c>
      <c r="AJ7444" s="126" t="e">
        <v>#N/A</v>
      </c>
      <c r="AK7444" s="80">
        <f t="shared" si="1155"/>
        <v>0</v>
      </c>
      <c r="AL7444" s="85"/>
      <c r="AM7444" s="85"/>
    </row>
    <row r="7445" spans="1:39" s="86" customFormat="1" ht="13.25" hidden="1" customHeight="1" x14ac:dyDescent="0.3">
      <c r="A7445" s="89" t="s">
        <v>3792</v>
      </c>
      <c r="B7445" s="86" t="s">
        <v>35</v>
      </c>
      <c r="C7445" s="86" t="s">
        <v>184</v>
      </c>
      <c r="D7445" s="86" t="s">
        <v>37</v>
      </c>
      <c r="E7445" s="86" t="s">
        <v>285</v>
      </c>
      <c r="F7445" s="86" t="s">
        <v>460</v>
      </c>
      <c r="G7445" s="86" t="s">
        <v>285</v>
      </c>
      <c r="H7445" s="144">
        <v>360</v>
      </c>
      <c r="I7445" s="86" t="s">
        <v>1060</v>
      </c>
      <c r="J7445" s="47" t="s">
        <v>3325</v>
      </c>
      <c r="K7445" s="47" t="s">
        <v>3767</v>
      </c>
      <c r="L7445" s="47" t="s">
        <v>35</v>
      </c>
      <c r="M7445" s="86" t="s">
        <v>1219</v>
      </c>
      <c r="O7445" s="47" t="s">
        <v>410</v>
      </c>
      <c r="P7445" s="47" t="s">
        <v>41</v>
      </c>
      <c r="Q7445" s="14">
        <v>0</v>
      </c>
      <c r="R7445" s="143" t="s">
        <v>1220</v>
      </c>
      <c r="S7445" s="47"/>
      <c r="T7445" s="6">
        <v>40890.299999999974</v>
      </c>
      <c r="U7445" s="6">
        <v>110000</v>
      </c>
      <c r="V7445" s="6">
        <v>130581.72</v>
      </c>
      <c r="W7445" s="6">
        <f t="shared" si="1147"/>
        <v>20308.579999999987</v>
      </c>
      <c r="X7445" s="6">
        <f t="shared" si="1151"/>
        <v>130581.72</v>
      </c>
      <c r="Y7445" s="13">
        <f t="shared" si="1153"/>
        <v>0</v>
      </c>
      <c r="Z7445" s="66">
        <v>0</v>
      </c>
      <c r="AA7445" s="6">
        <v>0</v>
      </c>
      <c r="AB7445" s="4">
        <f t="shared" si="1154"/>
        <v>130581.72</v>
      </c>
      <c r="AC7445" s="6">
        <f t="shared" si="1152"/>
        <v>0</v>
      </c>
      <c r="AD7445" s="6">
        <f t="shared" si="1148"/>
        <v>130581.72</v>
      </c>
      <c r="AE7445" s="14">
        <f>VLOOKUP(I7445,[2]媒体政策预估表!A:N,MATCH(O7445,[2]媒体政策预估表!$A$2:$M$2,0),0)</f>
        <v>7.0000000000000007E-2</v>
      </c>
      <c r="AF7445" s="6">
        <f t="shared" si="1150"/>
        <v>9140.7204000000002</v>
      </c>
      <c r="AG7445" s="14">
        <v>0</v>
      </c>
      <c r="AH7445" s="64">
        <f t="shared" si="1149"/>
        <v>130581.72</v>
      </c>
      <c r="AJ7445" s="126" t="e">
        <v>#N/A</v>
      </c>
      <c r="AK7445" s="80">
        <f t="shared" si="1155"/>
        <v>0</v>
      </c>
      <c r="AL7445" s="85"/>
      <c r="AM7445" s="85"/>
    </row>
    <row r="7446" spans="1:39" s="86" customFormat="1" ht="13.25" hidden="1" customHeight="1" x14ac:dyDescent="0.3">
      <c r="A7446" s="89" t="s">
        <v>3792</v>
      </c>
      <c r="B7446" s="86" t="s">
        <v>35</v>
      </c>
      <c r="C7446" s="86" t="s">
        <v>184</v>
      </c>
      <c r="D7446" s="86" t="s">
        <v>37</v>
      </c>
      <c r="E7446" s="86" t="s">
        <v>1223</v>
      </c>
      <c r="F7446" s="86" t="s">
        <v>1223</v>
      </c>
      <c r="G7446" s="86" t="s">
        <v>1223</v>
      </c>
      <c r="H7446" s="144">
        <v>360</v>
      </c>
      <c r="I7446" s="86" t="s">
        <v>1060</v>
      </c>
      <c r="J7446" s="47" t="s">
        <v>3325</v>
      </c>
      <c r="K7446" s="47" t="s">
        <v>3767</v>
      </c>
      <c r="L7446" s="47" t="s">
        <v>35</v>
      </c>
      <c r="M7446" s="86" t="s">
        <v>1223</v>
      </c>
      <c r="O7446" s="47" t="s">
        <v>410</v>
      </c>
      <c r="P7446" s="47" t="s">
        <v>41</v>
      </c>
      <c r="Q7446" s="14">
        <v>0</v>
      </c>
      <c r="R7446" s="143" t="s">
        <v>1224</v>
      </c>
      <c r="S7446" s="47"/>
      <c r="T7446" s="6">
        <v>35207.200000000012</v>
      </c>
      <c r="U7446" s="6">
        <v>300000</v>
      </c>
      <c r="V7446" s="6">
        <v>141722.70000000001</v>
      </c>
      <c r="W7446" s="6">
        <f t="shared" si="1147"/>
        <v>193484.5</v>
      </c>
      <c r="X7446" s="6">
        <f t="shared" si="1151"/>
        <v>141722.70000000001</v>
      </c>
      <c r="Y7446" s="13">
        <f t="shared" si="1153"/>
        <v>0</v>
      </c>
      <c r="Z7446" s="66">
        <v>0</v>
      </c>
      <c r="AA7446" s="6">
        <v>0</v>
      </c>
      <c r="AB7446" s="4">
        <f t="shared" si="1154"/>
        <v>141722.70000000001</v>
      </c>
      <c r="AC7446" s="6">
        <f t="shared" si="1152"/>
        <v>0</v>
      </c>
      <c r="AD7446" s="6">
        <f t="shared" si="1148"/>
        <v>141722.70000000001</v>
      </c>
      <c r="AE7446" s="14">
        <f>VLOOKUP(I7446,[2]媒体政策预估表!A:N,MATCH(O7446,[2]媒体政策预估表!$A$2:$M$2,0),0)</f>
        <v>7.0000000000000007E-2</v>
      </c>
      <c r="AF7446" s="6">
        <f t="shared" si="1150"/>
        <v>9920.5890000000018</v>
      </c>
      <c r="AG7446" s="14">
        <v>0</v>
      </c>
      <c r="AH7446" s="64">
        <f t="shared" si="1149"/>
        <v>141722.70000000001</v>
      </c>
      <c r="AJ7446" s="126" t="e">
        <v>#N/A</v>
      </c>
      <c r="AK7446" s="80">
        <f t="shared" si="1155"/>
        <v>0</v>
      </c>
      <c r="AL7446" s="85"/>
      <c r="AM7446" s="85"/>
    </row>
    <row r="7447" spans="1:39" s="86" customFormat="1" ht="13.25" hidden="1" customHeight="1" x14ac:dyDescent="0.3">
      <c r="A7447" s="89" t="s">
        <v>3792</v>
      </c>
      <c r="B7447" s="86" t="s">
        <v>35</v>
      </c>
      <c r="C7447" s="86" t="s">
        <v>184</v>
      </c>
      <c r="D7447" s="86" t="s">
        <v>37</v>
      </c>
      <c r="E7447" s="86" t="s">
        <v>1225</v>
      </c>
      <c r="F7447" s="86" t="s">
        <v>1226</v>
      </c>
      <c r="G7447" s="86" t="s">
        <v>1225</v>
      </c>
      <c r="H7447" s="144">
        <v>360</v>
      </c>
      <c r="I7447" s="86" t="s">
        <v>1060</v>
      </c>
      <c r="J7447" s="47" t="s">
        <v>3325</v>
      </c>
      <c r="K7447" s="47" t="s">
        <v>3767</v>
      </c>
      <c r="L7447" s="47" t="s">
        <v>35</v>
      </c>
      <c r="M7447" s="86" t="s">
        <v>1225</v>
      </c>
      <c r="O7447" s="47" t="s">
        <v>410</v>
      </c>
      <c r="P7447" s="47" t="s">
        <v>41</v>
      </c>
      <c r="Q7447" s="14">
        <v>0</v>
      </c>
      <c r="R7447" s="143" t="s">
        <v>1227</v>
      </c>
      <c r="S7447" s="47"/>
      <c r="T7447" s="6">
        <v>143317.20000000001</v>
      </c>
      <c r="U7447" s="6">
        <v>250000</v>
      </c>
      <c r="V7447" s="6">
        <v>368537.4</v>
      </c>
      <c r="W7447" s="6">
        <f t="shared" si="1147"/>
        <v>24779.799999999988</v>
      </c>
      <c r="X7447" s="6">
        <f t="shared" si="1151"/>
        <v>368537.4</v>
      </c>
      <c r="Y7447" s="13">
        <f t="shared" si="1153"/>
        <v>0</v>
      </c>
      <c r="Z7447" s="66">
        <v>0</v>
      </c>
      <c r="AA7447" s="6">
        <v>0</v>
      </c>
      <c r="AB7447" s="4">
        <f t="shared" si="1154"/>
        <v>368537.4</v>
      </c>
      <c r="AC7447" s="6">
        <f t="shared" si="1152"/>
        <v>0</v>
      </c>
      <c r="AD7447" s="6">
        <f t="shared" si="1148"/>
        <v>368537.4</v>
      </c>
      <c r="AE7447" s="14">
        <f>VLOOKUP(I7447,[2]媒体政策预估表!A:N,MATCH(O7447,[2]媒体政策预估表!$A$2:$M$2,0),0)</f>
        <v>7.0000000000000007E-2</v>
      </c>
      <c r="AF7447" s="6">
        <f t="shared" si="1150"/>
        <v>25797.618000000006</v>
      </c>
      <c r="AG7447" s="14">
        <v>0</v>
      </c>
      <c r="AH7447" s="64">
        <f t="shared" si="1149"/>
        <v>368537.4</v>
      </c>
      <c r="AJ7447" s="126" t="e">
        <v>#N/A</v>
      </c>
      <c r="AK7447" s="80">
        <f t="shared" si="1155"/>
        <v>0</v>
      </c>
      <c r="AL7447" s="85"/>
      <c r="AM7447" s="85"/>
    </row>
    <row r="7448" spans="1:39" s="86" customFormat="1" ht="13.25" hidden="1" customHeight="1" x14ac:dyDescent="0.3">
      <c r="A7448" s="89" t="s">
        <v>3792</v>
      </c>
      <c r="B7448" s="86" t="s">
        <v>35</v>
      </c>
      <c r="C7448" s="86" t="s">
        <v>184</v>
      </c>
      <c r="D7448" s="86" t="s">
        <v>3849</v>
      </c>
      <c r="E7448" s="86" t="s">
        <v>1347</v>
      </c>
      <c r="F7448" s="86" t="s">
        <v>1347</v>
      </c>
      <c r="G7448" s="86" t="s">
        <v>1347</v>
      </c>
      <c r="H7448" s="144">
        <v>360</v>
      </c>
      <c r="I7448" s="86" t="s">
        <v>1060</v>
      </c>
      <c r="J7448" s="47" t="s">
        <v>3325</v>
      </c>
      <c r="K7448" s="47" t="s">
        <v>3767</v>
      </c>
      <c r="L7448" s="47" t="s">
        <v>35</v>
      </c>
      <c r="M7448" s="86" t="s">
        <v>1347</v>
      </c>
      <c r="O7448" s="47" t="s">
        <v>410</v>
      </c>
      <c r="P7448" s="47" t="s">
        <v>46</v>
      </c>
      <c r="Q7448" s="14">
        <v>0.02</v>
      </c>
      <c r="R7448" s="143" t="s">
        <v>1348</v>
      </c>
      <c r="S7448" s="47"/>
      <c r="T7448" s="6">
        <v>118976.80000000005</v>
      </c>
      <c r="U7448" s="6">
        <v>200000</v>
      </c>
      <c r="V7448" s="6">
        <v>127066</v>
      </c>
      <c r="W7448" s="6">
        <f t="shared" si="1147"/>
        <v>191910.80000000005</v>
      </c>
      <c r="X7448" s="6">
        <f t="shared" si="1151"/>
        <v>124574.50980392157</v>
      </c>
      <c r="Y7448" s="13">
        <f t="shared" si="1153"/>
        <v>0</v>
      </c>
      <c r="Z7448" s="66">
        <v>0</v>
      </c>
      <c r="AA7448" s="6">
        <v>0</v>
      </c>
      <c r="AB7448" s="4">
        <f t="shared" si="1154"/>
        <v>124574.50980392157</v>
      </c>
      <c r="AC7448" s="6">
        <f t="shared" si="1152"/>
        <v>2491.4901960784337</v>
      </c>
      <c r="AD7448" s="6">
        <f t="shared" si="1148"/>
        <v>127066</v>
      </c>
      <c r="AE7448" s="14">
        <f>VLOOKUP(I7448,[2]媒体政策预估表!A:N,MATCH(O7448,[2]媒体政策预估表!$A$2:$M$2,0),0)</f>
        <v>7.0000000000000007E-2</v>
      </c>
      <c r="AF7448" s="6">
        <f t="shared" si="1150"/>
        <v>8894.6200000000008</v>
      </c>
      <c r="AG7448" s="14">
        <v>0</v>
      </c>
      <c r="AH7448" s="64">
        <f t="shared" si="1149"/>
        <v>127066</v>
      </c>
      <c r="AJ7448" s="126" t="e">
        <v>#N/A</v>
      </c>
      <c r="AK7448" s="80">
        <f t="shared" si="1155"/>
        <v>0</v>
      </c>
      <c r="AL7448" s="85"/>
      <c r="AM7448" s="85"/>
    </row>
    <row r="7449" spans="1:39" s="86" customFormat="1" ht="13.25" hidden="1" customHeight="1" x14ac:dyDescent="0.3">
      <c r="A7449" s="89" t="s">
        <v>3978</v>
      </c>
      <c r="B7449" s="86" t="s">
        <v>35</v>
      </c>
      <c r="C7449" s="86" t="s">
        <v>184</v>
      </c>
      <c r="D7449" s="86" t="s">
        <v>3849</v>
      </c>
      <c r="E7449" s="86" t="s">
        <v>1349</v>
      </c>
      <c r="F7449" s="86" t="s">
        <v>1349</v>
      </c>
      <c r="G7449" s="86" t="s">
        <v>1349</v>
      </c>
      <c r="H7449" s="144">
        <v>360</v>
      </c>
      <c r="I7449" s="86" t="s">
        <v>1060</v>
      </c>
      <c r="J7449" s="47" t="s">
        <v>3325</v>
      </c>
      <c r="K7449" s="47" t="s">
        <v>3767</v>
      </c>
      <c r="L7449" s="47" t="s">
        <v>35</v>
      </c>
      <c r="M7449" s="86" t="s">
        <v>1350</v>
      </c>
      <c r="O7449" s="47" t="s">
        <v>410</v>
      </c>
      <c r="P7449" s="47" t="s">
        <v>41</v>
      </c>
      <c r="Q7449" s="14">
        <v>0</v>
      </c>
      <c r="R7449" s="143" t="s">
        <v>1351</v>
      </c>
      <c r="S7449" s="47"/>
      <c r="T7449" s="6">
        <v>43967.100000000035</v>
      </c>
      <c r="U7449" s="6">
        <v>600000</v>
      </c>
      <c r="V7449" s="6">
        <v>300620.5</v>
      </c>
      <c r="W7449" s="6">
        <f t="shared" ref="W7449:W7512" si="1156">T7449+U7449-V7449</f>
        <v>343346.60000000009</v>
      </c>
      <c r="X7449" s="6">
        <f t="shared" si="1151"/>
        <v>300620.5</v>
      </c>
      <c r="Y7449" s="13">
        <f t="shared" si="1153"/>
        <v>0</v>
      </c>
      <c r="Z7449" s="66">
        <v>0</v>
      </c>
      <c r="AA7449" s="6">
        <v>0</v>
      </c>
      <c r="AB7449" s="4">
        <f t="shared" si="1154"/>
        <v>300620.5</v>
      </c>
      <c r="AC7449" s="6">
        <f t="shared" si="1152"/>
        <v>0</v>
      </c>
      <c r="AD7449" s="6">
        <f t="shared" ref="AD7449:AD7512" si="1157">V7449</f>
        <v>300620.5</v>
      </c>
      <c r="AE7449" s="14">
        <f>VLOOKUP(I7449,[2]媒体政策预估表!A:N,MATCH(O7449,[2]媒体政策预估表!$A$2:$M$2,0),0)</f>
        <v>7.0000000000000007E-2</v>
      </c>
      <c r="AF7449" s="6">
        <f t="shared" si="1150"/>
        <v>21043.435000000001</v>
      </c>
      <c r="AG7449" s="14">
        <v>0</v>
      </c>
      <c r="AH7449" s="64">
        <f t="shared" ref="AH7449:AH7512" si="1158">V7449</f>
        <v>300620.5</v>
      </c>
      <c r="AJ7449" s="126" t="e">
        <v>#N/A</v>
      </c>
      <c r="AK7449" s="80">
        <f t="shared" si="1155"/>
        <v>0</v>
      </c>
      <c r="AL7449" s="85"/>
      <c r="AM7449" s="85"/>
    </row>
    <row r="7450" spans="1:39" s="86" customFormat="1" ht="13.25" hidden="1" customHeight="1" x14ac:dyDescent="0.3">
      <c r="A7450" s="89" t="s">
        <v>3792</v>
      </c>
      <c r="B7450" s="86" t="s">
        <v>35</v>
      </c>
      <c r="C7450" s="86" t="s">
        <v>184</v>
      </c>
      <c r="D7450" s="86" t="s">
        <v>3849</v>
      </c>
      <c r="E7450" s="86" t="s">
        <v>1349</v>
      </c>
      <c r="F7450" s="86" t="s">
        <v>1352</v>
      </c>
      <c r="G7450" s="86" t="s">
        <v>1349</v>
      </c>
      <c r="H7450" s="144">
        <v>360</v>
      </c>
      <c r="I7450" s="86" t="s">
        <v>1060</v>
      </c>
      <c r="J7450" s="47" t="s">
        <v>3325</v>
      </c>
      <c r="K7450" s="47" t="s">
        <v>3767</v>
      </c>
      <c r="L7450" s="47" t="s">
        <v>35</v>
      </c>
      <c r="M7450" s="86" t="s">
        <v>1349</v>
      </c>
      <c r="O7450" s="47" t="s">
        <v>410</v>
      </c>
      <c r="P7450" s="47" t="s">
        <v>41</v>
      </c>
      <c r="Q7450" s="14">
        <v>0</v>
      </c>
      <c r="R7450" s="143" t="s">
        <v>1353</v>
      </c>
      <c r="S7450" s="47"/>
      <c r="T7450" s="6">
        <v>198228.09999999998</v>
      </c>
      <c r="U7450" s="6">
        <v>600000</v>
      </c>
      <c r="V7450" s="6">
        <v>630411.19999999995</v>
      </c>
      <c r="W7450" s="6">
        <f t="shared" si="1156"/>
        <v>167816.90000000002</v>
      </c>
      <c r="X7450" s="6">
        <f t="shared" si="1151"/>
        <v>630411.19999999995</v>
      </c>
      <c r="Y7450" s="13">
        <f t="shared" si="1153"/>
        <v>0</v>
      </c>
      <c r="Z7450" s="66">
        <v>0</v>
      </c>
      <c r="AA7450" s="6">
        <v>0</v>
      </c>
      <c r="AB7450" s="4">
        <f t="shared" si="1154"/>
        <v>630411.19999999995</v>
      </c>
      <c r="AC7450" s="6">
        <f t="shared" si="1152"/>
        <v>0</v>
      </c>
      <c r="AD7450" s="6">
        <f t="shared" si="1157"/>
        <v>630411.19999999995</v>
      </c>
      <c r="AE7450" s="14">
        <f>VLOOKUP(I7450,[2]媒体政策预估表!A:N,MATCH(O7450,[2]媒体政策预估表!$A$2:$M$2,0),0)</f>
        <v>7.0000000000000007E-2</v>
      </c>
      <c r="AF7450" s="6">
        <f t="shared" si="1150"/>
        <v>44128.784</v>
      </c>
      <c r="AG7450" s="14">
        <v>0</v>
      </c>
      <c r="AH7450" s="64">
        <f t="shared" si="1158"/>
        <v>630411.19999999995</v>
      </c>
      <c r="AJ7450" s="126" t="e">
        <v>#N/A</v>
      </c>
      <c r="AK7450" s="80">
        <f t="shared" si="1155"/>
        <v>0</v>
      </c>
      <c r="AL7450" s="85"/>
      <c r="AM7450" s="85"/>
    </row>
    <row r="7451" spans="1:39" s="86" customFormat="1" ht="13.25" hidden="1" customHeight="1" x14ac:dyDescent="0.3">
      <c r="A7451" s="89" t="s">
        <v>3978</v>
      </c>
      <c r="B7451" s="86" t="s">
        <v>35</v>
      </c>
      <c r="C7451" s="86" t="s">
        <v>184</v>
      </c>
      <c r="D7451" s="86" t="s">
        <v>3849</v>
      </c>
      <c r="E7451" s="86" t="s">
        <v>4109</v>
      </c>
      <c r="F7451" s="86" t="s">
        <v>4110</v>
      </c>
      <c r="G7451" s="86" t="s">
        <v>4109</v>
      </c>
      <c r="H7451" s="144">
        <v>360</v>
      </c>
      <c r="I7451" s="86" t="s">
        <v>1060</v>
      </c>
      <c r="J7451" s="47" t="s">
        <v>3325</v>
      </c>
      <c r="K7451" s="47" t="s">
        <v>3767</v>
      </c>
      <c r="L7451" s="47" t="s">
        <v>35</v>
      </c>
      <c r="M7451" s="86" t="s">
        <v>521</v>
      </c>
      <c r="O7451" s="47" t="s">
        <v>410</v>
      </c>
      <c r="P7451" s="47" t="s">
        <v>41</v>
      </c>
      <c r="Q7451" s="14">
        <v>0</v>
      </c>
      <c r="R7451" s="143" t="s">
        <v>4111</v>
      </c>
      <c r="S7451" s="47"/>
      <c r="T7451" s="6">
        <v>0</v>
      </c>
      <c r="U7451" s="6">
        <v>50000</v>
      </c>
      <c r="V7451" s="6">
        <v>10492.59</v>
      </c>
      <c r="W7451" s="6">
        <f t="shared" si="1156"/>
        <v>39507.410000000003</v>
      </c>
      <c r="X7451" s="6">
        <f t="shared" si="1151"/>
        <v>10492.59</v>
      </c>
      <c r="Y7451" s="13">
        <f t="shared" si="1153"/>
        <v>0</v>
      </c>
      <c r="Z7451" s="66">
        <v>0</v>
      </c>
      <c r="AA7451" s="6">
        <v>0</v>
      </c>
      <c r="AB7451" s="4">
        <f t="shared" si="1154"/>
        <v>10492.59</v>
      </c>
      <c r="AC7451" s="6">
        <f t="shared" si="1152"/>
        <v>0</v>
      </c>
      <c r="AD7451" s="6">
        <f t="shared" si="1157"/>
        <v>10492.59</v>
      </c>
      <c r="AE7451" s="14">
        <f>VLOOKUP(I7451,[2]媒体政策预估表!A:N,MATCH(O7451,[2]媒体政策预估表!$A$2:$M$2,0),0)</f>
        <v>7.0000000000000007E-2</v>
      </c>
      <c r="AF7451" s="6">
        <f t="shared" si="1150"/>
        <v>734.48130000000003</v>
      </c>
      <c r="AG7451" s="14">
        <v>0</v>
      </c>
      <c r="AH7451" s="64">
        <f t="shared" si="1158"/>
        <v>10492.59</v>
      </c>
      <c r="AJ7451" s="126" t="e">
        <v>#N/A</v>
      </c>
      <c r="AK7451" s="80">
        <f t="shared" si="1155"/>
        <v>0</v>
      </c>
      <c r="AL7451" s="85"/>
      <c r="AM7451" s="85"/>
    </row>
    <row r="7452" spans="1:39" s="86" customFormat="1" ht="13.25" hidden="1" customHeight="1" x14ac:dyDescent="0.3">
      <c r="A7452" s="89" t="s">
        <v>3978</v>
      </c>
      <c r="B7452" s="86" t="s">
        <v>35</v>
      </c>
      <c r="C7452" s="86" t="s">
        <v>184</v>
      </c>
      <c r="D7452" s="86" t="s">
        <v>3849</v>
      </c>
      <c r="E7452" s="86" t="s">
        <v>540</v>
      </c>
      <c r="F7452" s="86" t="s">
        <v>541</v>
      </c>
      <c r="G7452" s="86" t="s">
        <v>540</v>
      </c>
      <c r="H7452" s="143">
        <v>360</v>
      </c>
      <c r="I7452" s="86" t="s">
        <v>1060</v>
      </c>
      <c r="J7452" s="47" t="s">
        <v>3325</v>
      </c>
      <c r="K7452" s="47" t="s">
        <v>3767</v>
      </c>
      <c r="L7452" s="47" t="s">
        <v>35</v>
      </c>
      <c r="M7452" s="86" t="s">
        <v>540</v>
      </c>
      <c r="O7452" s="47" t="s">
        <v>410</v>
      </c>
      <c r="P7452" s="47" t="s">
        <v>41</v>
      </c>
      <c r="Q7452" s="14">
        <v>0</v>
      </c>
      <c r="R7452" s="143" t="s">
        <v>1370</v>
      </c>
      <c r="S7452" s="47"/>
      <c r="T7452" s="6">
        <v>-4250.7</v>
      </c>
      <c r="U7452" s="6">
        <v>4252.9399999999996</v>
      </c>
      <c r="V7452" s="6">
        <v>0</v>
      </c>
      <c r="W7452" s="6">
        <v>0</v>
      </c>
      <c r="X7452" s="6">
        <f t="shared" si="1151"/>
        <v>0</v>
      </c>
      <c r="Y7452" s="13">
        <f t="shared" si="1153"/>
        <v>0</v>
      </c>
      <c r="Z7452" s="66">
        <v>0</v>
      </c>
      <c r="AA7452" s="6">
        <v>0</v>
      </c>
      <c r="AB7452" s="4">
        <f t="shared" si="1154"/>
        <v>0</v>
      </c>
      <c r="AC7452" s="6">
        <f t="shared" si="1152"/>
        <v>0</v>
      </c>
      <c r="AD7452" s="6">
        <f t="shared" si="1157"/>
        <v>0</v>
      </c>
      <c r="AE7452" s="14">
        <f>VLOOKUP(I7452,[2]媒体政策预估表!A:N,MATCH(O7452,[2]媒体政策预估表!$A$2:$M$2,0),0)</f>
        <v>7.0000000000000007E-2</v>
      </c>
      <c r="AF7452" s="6">
        <f t="shared" si="1150"/>
        <v>0</v>
      </c>
      <c r="AG7452" s="14">
        <v>0</v>
      </c>
      <c r="AH7452" s="64">
        <f t="shared" si="1158"/>
        <v>0</v>
      </c>
      <c r="AJ7452" s="126" t="e">
        <v>#N/A</v>
      </c>
      <c r="AK7452" s="80">
        <f t="shared" si="1155"/>
        <v>0</v>
      </c>
      <c r="AL7452" s="85"/>
      <c r="AM7452" s="85"/>
    </row>
    <row r="7453" spans="1:39" s="86" customFormat="1" ht="13.25" hidden="1" customHeight="1" x14ac:dyDescent="0.3">
      <c r="A7453" s="89" t="s">
        <v>3978</v>
      </c>
      <c r="B7453" s="86" t="s">
        <v>35</v>
      </c>
      <c r="C7453" s="86" t="s">
        <v>184</v>
      </c>
      <c r="D7453" s="86" t="s">
        <v>3849</v>
      </c>
      <c r="E7453" s="86" t="s">
        <v>540</v>
      </c>
      <c r="F7453" s="86" t="s">
        <v>541</v>
      </c>
      <c r="G7453" s="86" t="s">
        <v>540</v>
      </c>
      <c r="H7453" s="144">
        <v>360</v>
      </c>
      <c r="I7453" s="86" t="s">
        <v>1060</v>
      </c>
      <c r="J7453" s="47" t="s">
        <v>3325</v>
      </c>
      <c r="K7453" s="47" t="s">
        <v>3767</v>
      </c>
      <c r="L7453" s="47" t="s">
        <v>35</v>
      </c>
      <c r="M7453" s="86" t="s">
        <v>540</v>
      </c>
      <c r="O7453" s="47" t="s">
        <v>410</v>
      </c>
      <c r="P7453" s="47" t="s">
        <v>41</v>
      </c>
      <c r="Q7453" s="14">
        <v>0</v>
      </c>
      <c r="R7453" s="143" t="s">
        <v>1355</v>
      </c>
      <c r="S7453" s="47"/>
      <c r="T7453" s="6">
        <v>108856.40000000002</v>
      </c>
      <c r="U7453" s="6">
        <v>100000</v>
      </c>
      <c r="V7453" s="6">
        <v>144674</v>
      </c>
      <c r="W7453" s="6">
        <f t="shared" si="1156"/>
        <v>64182.400000000023</v>
      </c>
      <c r="X7453" s="6">
        <f t="shared" si="1151"/>
        <v>144674</v>
      </c>
      <c r="Y7453" s="13">
        <f t="shared" si="1153"/>
        <v>0</v>
      </c>
      <c r="Z7453" s="66">
        <v>0</v>
      </c>
      <c r="AA7453" s="6">
        <v>0</v>
      </c>
      <c r="AB7453" s="4">
        <f t="shared" si="1154"/>
        <v>144674</v>
      </c>
      <c r="AC7453" s="6">
        <f t="shared" si="1152"/>
        <v>0</v>
      </c>
      <c r="AD7453" s="6">
        <f t="shared" si="1157"/>
        <v>144674</v>
      </c>
      <c r="AE7453" s="14">
        <f>VLOOKUP(I7453,[2]媒体政策预估表!A:N,MATCH(O7453,[2]媒体政策预估表!$A$2:$M$2,0),0)</f>
        <v>7.0000000000000007E-2</v>
      </c>
      <c r="AF7453" s="6">
        <f t="shared" si="1150"/>
        <v>10127.18</v>
      </c>
      <c r="AG7453" s="14">
        <v>0</v>
      </c>
      <c r="AH7453" s="64">
        <f t="shared" si="1158"/>
        <v>144674</v>
      </c>
      <c r="AJ7453" s="126" t="e">
        <v>#N/A</v>
      </c>
      <c r="AK7453" s="80">
        <f t="shared" si="1155"/>
        <v>0</v>
      </c>
      <c r="AL7453" s="85"/>
      <c r="AM7453" s="85"/>
    </row>
    <row r="7454" spans="1:39" s="86" customFormat="1" ht="13.25" hidden="1" customHeight="1" x14ac:dyDescent="0.3">
      <c r="A7454" s="89" t="s">
        <v>3978</v>
      </c>
      <c r="B7454" s="86" t="s">
        <v>35</v>
      </c>
      <c r="C7454" s="86" t="s">
        <v>184</v>
      </c>
      <c r="D7454" s="86" t="s">
        <v>3849</v>
      </c>
      <c r="E7454" s="86" t="s">
        <v>1356</v>
      </c>
      <c r="F7454" s="86" t="s">
        <v>1356</v>
      </c>
      <c r="G7454" s="86" t="s">
        <v>1356</v>
      </c>
      <c r="H7454" s="144">
        <v>360</v>
      </c>
      <c r="I7454" s="86" t="s">
        <v>1060</v>
      </c>
      <c r="J7454" s="47" t="s">
        <v>3325</v>
      </c>
      <c r="K7454" s="47" t="s">
        <v>3767</v>
      </c>
      <c r="L7454" s="47" t="s">
        <v>35</v>
      </c>
      <c r="M7454" s="86" t="s">
        <v>1357</v>
      </c>
      <c r="O7454" s="47" t="s">
        <v>410</v>
      </c>
      <c r="P7454" s="47" t="s">
        <v>46</v>
      </c>
      <c r="Q7454" s="14">
        <v>0.02</v>
      </c>
      <c r="R7454" s="143" t="s">
        <v>1358</v>
      </c>
      <c r="S7454" s="47"/>
      <c r="T7454" s="6">
        <v>50183.39003000001</v>
      </c>
      <c r="U7454" s="6">
        <v>100000</v>
      </c>
      <c r="V7454" s="6">
        <v>132895.20000000001</v>
      </c>
      <c r="W7454" s="6">
        <f t="shared" si="1156"/>
        <v>17288.190029999998</v>
      </c>
      <c r="X7454" s="6">
        <f t="shared" si="1151"/>
        <v>130289.41176470589</v>
      </c>
      <c r="Y7454" s="13">
        <f t="shared" si="1153"/>
        <v>0</v>
      </c>
      <c r="Z7454" s="66">
        <v>0</v>
      </c>
      <c r="AA7454" s="6">
        <v>0</v>
      </c>
      <c r="AB7454" s="4">
        <f t="shared" si="1154"/>
        <v>130289.41176470589</v>
      </c>
      <c r="AC7454" s="6">
        <f t="shared" si="1152"/>
        <v>2605.7882352941233</v>
      </c>
      <c r="AD7454" s="6">
        <f t="shared" si="1157"/>
        <v>132895.20000000001</v>
      </c>
      <c r="AE7454" s="14">
        <f>VLOOKUP(I7454,[2]媒体政策预估表!A:N,MATCH(O7454,[2]媒体政策预估表!$A$2:$M$2,0),0)</f>
        <v>7.0000000000000007E-2</v>
      </c>
      <c r="AF7454" s="6">
        <f t="shared" si="1150"/>
        <v>9302.6640000000025</v>
      </c>
      <c r="AG7454" s="14">
        <v>0</v>
      </c>
      <c r="AH7454" s="64">
        <f t="shared" si="1158"/>
        <v>132895.20000000001</v>
      </c>
      <c r="AJ7454" s="126" t="e">
        <v>#N/A</v>
      </c>
      <c r="AK7454" s="80">
        <f t="shared" si="1155"/>
        <v>0</v>
      </c>
      <c r="AL7454" s="85"/>
      <c r="AM7454" s="85"/>
    </row>
    <row r="7455" spans="1:39" s="86" customFormat="1" ht="13.25" hidden="1" customHeight="1" x14ac:dyDescent="0.3">
      <c r="A7455" s="89" t="s">
        <v>3792</v>
      </c>
      <c r="B7455" s="86" t="s">
        <v>35</v>
      </c>
      <c r="C7455" s="86" t="s">
        <v>184</v>
      </c>
      <c r="D7455" s="86" t="s">
        <v>3849</v>
      </c>
      <c r="E7455" s="86" t="s">
        <v>1356</v>
      </c>
      <c r="F7455" s="86" t="s">
        <v>1356</v>
      </c>
      <c r="G7455" s="86" t="s">
        <v>1356</v>
      </c>
      <c r="H7455" s="144">
        <v>360</v>
      </c>
      <c r="I7455" s="86" t="s">
        <v>1060</v>
      </c>
      <c r="J7455" s="47" t="s">
        <v>3325</v>
      </c>
      <c r="K7455" s="47" t="s">
        <v>3767</v>
      </c>
      <c r="L7455" s="47" t="s">
        <v>35</v>
      </c>
      <c r="M7455" s="86" t="s">
        <v>1359</v>
      </c>
      <c r="O7455" s="47" t="s">
        <v>410</v>
      </c>
      <c r="P7455" s="47" t="s">
        <v>46</v>
      </c>
      <c r="Q7455" s="14">
        <v>0.02</v>
      </c>
      <c r="R7455" s="143" t="s">
        <v>1360</v>
      </c>
      <c r="S7455" s="47"/>
      <c r="T7455" s="6">
        <v>24292.00999999998</v>
      </c>
      <c r="U7455" s="6">
        <v>120000</v>
      </c>
      <c r="V7455" s="6">
        <v>124537.60000000001</v>
      </c>
      <c r="W7455" s="6">
        <f t="shared" si="1156"/>
        <v>19754.409999999974</v>
      </c>
      <c r="X7455" s="6">
        <f t="shared" si="1151"/>
        <v>122095.6862745098</v>
      </c>
      <c r="Y7455" s="13">
        <f t="shared" si="1153"/>
        <v>0</v>
      </c>
      <c r="Z7455" s="66">
        <v>0</v>
      </c>
      <c r="AA7455" s="6">
        <v>0</v>
      </c>
      <c r="AB7455" s="4">
        <f t="shared" si="1154"/>
        <v>122095.6862745098</v>
      </c>
      <c r="AC7455" s="6">
        <f t="shared" si="1152"/>
        <v>2441.9137254902016</v>
      </c>
      <c r="AD7455" s="6">
        <f t="shared" si="1157"/>
        <v>124537.60000000001</v>
      </c>
      <c r="AE7455" s="14">
        <f>VLOOKUP(I7455,[2]媒体政策预估表!A:N,MATCH(O7455,[2]媒体政策预估表!$A$2:$M$2,0),0)</f>
        <v>7.0000000000000007E-2</v>
      </c>
      <c r="AF7455" s="6">
        <f t="shared" si="1150"/>
        <v>8717.6320000000014</v>
      </c>
      <c r="AG7455" s="14">
        <v>0</v>
      </c>
      <c r="AH7455" s="64">
        <f t="shared" si="1158"/>
        <v>124537.60000000001</v>
      </c>
      <c r="AJ7455" s="126" t="e">
        <v>#N/A</v>
      </c>
      <c r="AK7455" s="80">
        <f t="shared" si="1155"/>
        <v>0</v>
      </c>
      <c r="AL7455" s="85"/>
      <c r="AM7455" s="85"/>
    </row>
    <row r="7456" spans="1:39" s="86" customFormat="1" ht="13.25" hidden="1" customHeight="1" x14ac:dyDescent="0.3">
      <c r="A7456" s="89" t="s">
        <v>3792</v>
      </c>
      <c r="B7456" s="86" t="s">
        <v>35</v>
      </c>
      <c r="C7456" s="86" t="s">
        <v>184</v>
      </c>
      <c r="D7456" s="86" t="s">
        <v>3849</v>
      </c>
      <c r="E7456" s="86" t="s">
        <v>1325</v>
      </c>
      <c r="F7456" s="86" t="s">
        <v>1325</v>
      </c>
      <c r="G7456" s="86" t="s">
        <v>1325</v>
      </c>
      <c r="H7456" s="144">
        <v>360</v>
      </c>
      <c r="I7456" s="86" t="s">
        <v>1060</v>
      </c>
      <c r="J7456" s="47" t="s">
        <v>3325</v>
      </c>
      <c r="K7456" s="47" t="s">
        <v>3767</v>
      </c>
      <c r="L7456" s="47" t="s">
        <v>35</v>
      </c>
      <c r="M7456" s="86" t="s">
        <v>1325</v>
      </c>
      <c r="O7456" s="47" t="s">
        <v>410</v>
      </c>
      <c r="P7456" s="47" t="s">
        <v>41</v>
      </c>
      <c r="Q7456" s="14">
        <v>0</v>
      </c>
      <c r="R7456" s="143" t="s">
        <v>1326</v>
      </c>
      <c r="S7456" s="47"/>
      <c r="T7456" s="6">
        <v>5689.3700000000099</v>
      </c>
      <c r="U7456" s="6">
        <v>65000</v>
      </c>
      <c r="V7456" s="6">
        <v>68517.8</v>
      </c>
      <c r="W7456" s="6">
        <f t="shared" si="1156"/>
        <v>2171.570000000007</v>
      </c>
      <c r="X7456" s="6">
        <f t="shared" si="1151"/>
        <v>68517.8</v>
      </c>
      <c r="Y7456" s="13">
        <f t="shared" si="1153"/>
        <v>0</v>
      </c>
      <c r="Z7456" s="66">
        <v>0</v>
      </c>
      <c r="AA7456" s="6">
        <v>0</v>
      </c>
      <c r="AB7456" s="4">
        <f t="shared" si="1154"/>
        <v>68517.8</v>
      </c>
      <c r="AC7456" s="6">
        <f t="shared" si="1152"/>
        <v>0</v>
      </c>
      <c r="AD7456" s="6">
        <f t="shared" si="1157"/>
        <v>68517.8</v>
      </c>
      <c r="AE7456" s="14">
        <f>VLOOKUP(I7456,[2]媒体政策预估表!A:N,MATCH(O7456,[2]媒体政策预估表!$A$2:$M$2,0),0)</f>
        <v>7.0000000000000007E-2</v>
      </c>
      <c r="AF7456" s="6">
        <f t="shared" si="1150"/>
        <v>4796.246000000001</v>
      </c>
      <c r="AG7456" s="14">
        <v>0</v>
      </c>
      <c r="AH7456" s="64">
        <f t="shared" si="1158"/>
        <v>68517.8</v>
      </c>
      <c r="AJ7456" s="126" t="e">
        <v>#N/A</v>
      </c>
      <c r="AK7456" s="80">
        <f t="shared" si="1155"/>
        <v>0</v>
      </c>
      <c r="AL7456" s="85"/>
      <c r="AM7456" s="85"/>
    </row>
    <row r="7457" spans="1:39" s="86" customFormat="1" ht="13.25" hidden="1" customHeight="1" x14ac:dyDescent="0.3">
      <c r="A7457" s="89" t="s">
        <v>3978</v>
      </c>
      <c r="B7457" s="86" t="s">
        <v>35</v>
      </c>
      <c r="C7457" s="86" t="s">
        <v>184</v>
      </c>
      <c r="D7457" s="86" t="s">
        <v>3849</v>
      </c>
      <c r="E7457" s="86" t="s">
        <v>1361</v>
      </c>
      <c r="F7457" s="86" t="s">
        <v>1361</v>
      </c>
      <c r="G7457" s="86" t="s">
        <v>1361</v>
      </c>
      <c r="H7457" s="144">
        <v>360</v>
      </c>
      <c r="I7457" s="86" t="s">
        <v>1060</v>
      </c>
      <c r="J7457" s="47" t="s">
        <v>3325</v>
      </c>
      <c r="K7457" s="47" t="s">
        <v>3767</v>
      </c>
      <c r="L7457" s="47" t="s">
        <v>35</v>
      </c>
      <c r="M7457" s="86" t="s">
        <v>1362</v>
      </c>
      <c r="O7457" s="47" t="s">
        <v>410</v>
      </c>
      <c r="P7457" s="47" t="s">
        <v>41</v>
      </c>
      <c r="Q7457" s="14">
        <v>0</v>
      </c>
      <c r="R7457" s="143" t="s">
        <v>1363</v>
      </c>
      <c r="S7457" s="47"/>
      <c r="T7457" s="6">
        <v>65310.399999999994</v>
      </c>
      <c r="U7457" s="6">
        <v>100000</v>
      </c>
      <c r="V7457" s="6">
        <v>116667.9</v>
      </c>
      <c r="W7457" s="6">
        <f t="shared" si="1156"/>
        <v>48642.5</v>
      </c>
      <c r="X7457" s="6">
        <f t="shared" si="1151"/>
        <v>116667.9</v>
      </c>
      <c r="Y7457" s="13">
        <f t="shared" si="1153"/>
        <v>0</v>
      </c>
      <c r="Z7457" s="66">
        <v>0</v>
      </c>
      <c r="AA7457" s="6">
        <v>0</v>
      </c>
      <c r="AB7457" s="4">
        <f t="shared" si="1154"/>
        <v>116667.9</v>
      </c>
      <c r="AC7457" s="6">
        <f t="shared" si="1152"/>
        <v>0</v>
      </c>
      <c r="AD7457" s="6">
        <f t="shared" si="1157"/>
        <v>116667.9</v>
      </c>
      <c r="AE7457" s="14">
        <f>VLOOKUP(I7457,[2]媒体政策预估表!A:N,MATCH(O7457,[2]媒体政策预估表!$A$2:$M$2,0),0)</f>
        <v>7.0000000000000007E-2</v>
      </c>
      <c r="AF7457" s="6">
        <f t="shared" si="1150"/>
        <v>8166.7530000000006</v>
      </c>
      <c r="AG7457" s="14">
        <v>0</v>
      </c>
      <c r="AH7457" s="64">
        <f t="shared" si="1158"/>
        <v>116667.9</v>
      </c>
      <c r="AJ7457" s="126" t="e">
        <v>#N/A</v>
      </c>
      <c r="AK7457" s="80">
        <f t="shared" si="1155"/>
        <v>0</v>
      </c>
      <c r="AL7457" s="85"/>
      <c r="AM7457" s="85"/>
    </row>
    <row r="7458" spans="1:39" s="86" customFormat="1" ht="13.25" hidden="1" customHeight="1" x14ac:dyDescent="0.3">
      <c r="A7458" s="89" t="s">
        <v>3978</v>
      </c>
      <c r="B7458" s="86" t="s">
        <v>35</v>
      </c>
      <c r="C7458" s="86" t="s">
        <v>184</v>
      </c>
      <c r="D7458" s="86" t="s">
        <v>3849</v>
      </c>
      <c r="E7458" s="86" t="s">
        <v>1318</v>
      </c>
      <c r="F7458" s="86" t="s">
        <v>1318</v>
      </c>
      <c r="G7458" s="86" t="s">
        <v>1318</v>
      </c>
      <c r="H7458" s="144">
        <v>360</v>
      </c>
      <c r="I7458" s="86" t="s">
        <v>1060</v>
      </c>
      <c r="J7458" s="47" t="s">
        <v>3325</v>
      </c>
      <c r="K7458" s="47" t="s">
        <v>3767</v>
      </c>
      <c r="L7458" s="47" t="s">
        <v>35</v>
      </c>
      <c r="M7458" s="86" t="s">
        <v>1318</v>
      </c>
      <c r="O7458" s="47" t="s">
        <v>410</v>
      </c>
      <c r="P7458" s="47" t="s">
        <v>41</v>
      </c>
      <c r="Q7458" s="14">
        <v>0</v>
      </c>
      <c r="R7458" s="143" t="s">
        <v>1319</v>
      </c>
      <c r="S7458" s="47"/>
      <c r="T7458" s="6">
        <v>13750.739999999998</v>
      </c>
      <c r="U7458" s="6">
        <v>10000</v>
      </c>
      <c r="V7458" s="6">
        <v>13413</v>
      </c>
      <c r="W7458" s="6">
        <f t="shared" si="1156"/>
        <v>10337.739999999998</v>
      </c>
      <c r="X7458" s="6">
        <f t="shared" si="1151"/>
        <v>13413</v>
      </c>
      <c r="Y7458" s="13">
        <f t="shared" si="1153"/>
        <v>0</v>
      </c>
      <c r="Z7458" s="66">
        <v>0</v>
      </c>
      <c r="AA7458" s="6">
        <v>0</v>
      </c>
      <c r="AB7458" s="4">
        <f t="shared" si="1154"/>
        <v>13413</v>
      </c>
      <c r="AC7458" s="6">
        <f t="shared" si="1152"/>
        <v>0</v>
      </c>
      <c r="AD7458" s="6">
        <f t="shared" si="1157"/>
        <v>13413</v>
      </c>
      <c r="AE7458" s="14">
        <f>VLOOKUP(I7458,[2]媒体政策预估表!A:N,MATCH(O7458,[2]媒体政策预估表!$A$2:$M$2,0),0)</f>
        <v>7.0000000000000007E-2</v>
      </c>
      <c r="AF7458" s="6">
        <f t="shared" si="1150"/>
        <v>938.91000000000008</v>
      </c>
      <c r="AG7458" s="14">
        <v>0</v>
      </c>
      <c r="AH7458" s="64">
        <f t="shared" si="1158"/>
        <v>13413</v>
      </c>
      <c r="AJ7458" s="126" t="e">
        <v>#N/A</v>
      </c>
      <c r="AK7458" s="80">
        <f t="shared" si="1155"/>
        <v>0</v>
      </c>
      <c r="AL7458" s="85"/>
      <c r="AM7458" s="85"/>
    </row>
    <row r="7459" spans="1:39" s="86" customFormat="1" ht="13.25" hidden="1" customHeight="1" x14ac:dyDescent="0.3">
      <c r="A7459" s="89" t="s">
        <v>3978</v>
      </c>
      <c r="B7459" s="86" t="s">
        <v>35</v>
      </c>
      <c r="C7459" s="86" t="s">
        <v>184</v>
      </c>
      <c r="D7459" s="86" t="s">
        <v>3849</v>
      </c>
      <c r="E7459" s="86" t="s">
        <v>3513</v>
      </c>
      <c r="F7459" s="86" t="s">
        <v>3513</v>
      </c>
      <c r="G7459" s="86" t="s">
        <v>3513</v>
      </c>
      <c r="H7459" s="144">
        <v>360</v>
      </c>
      <c r="I7459" s="86" t="s">
        <v>1060</v>
      </c>
      <c r="J7459" s="47" t="s">
        <v>3325</v>
      </c>
      <c r="K7459" s="47" t="s">
        <v>3767</v>
      </c>
      <c r="L7459" s="47" t="s">
        <v>35</v>
      </c>
      <c r="M7459" s="86" t="s">
        <v>4112</v>
      </c>
      <c r="O7459" s="47" t="s">
        <v>410</v>
      </c>
      <c r="P7459" s="47" t="s">
        <v>41</v>
      </c>
      <c r="Q7459" s="14">
        <v>0</v>
      </c>
      <c r="R7459" s="143" t="s">
        <v>3514</v>
      </c>
      <c r="S7459" s="47"/>
      <c r="T7459" s="6">
        <v>0</v>
      </c>
      <c r="U7459" s="6">
        <v>10000</v>
      </c>
      <c r="V7459" s="6">
        <v>3372.4799999999996</v>
      </c>
      <c r="W7459" s="6">
        <f t="shared" si="1156"/>
        <v>6627.52</v>
      </c>
      <c r="X7459" s="6">
        <f t="shared" si="1151"/>
        <v>3372.4799999999996</v>
      </c>
      <c r="Y7459" s="13">
        <f t="shared" si="1153"/>
        <v>0</v>
      </c>
      <c r="Z7459" s="66">
        <v>0</v>
      </c>
      <c r="AA7459" s="6">
        <v>0</v>
      </c>
      <c r="AB7459" s="4">
        <f t="shared" si="1154"/>
        <v>3372.4799999999996</v>
      </c>
      <c r="AC7459" s="6">
        <f t="shared" si="1152"/>
        <v>0</v>
      </c>
      <c r="AD7459" s="6">
        <f t="shared" si="1157"/>
        <v>3372.4799999999996</v>
      </c>
      <c r="AE7459" s="14">
        <f>VLOOKUP(I7459,[2]媒体政策预估表!A:N,MATCH(O7459,[2]媒体政策预估表!$A$2:$M$2,0),0)</f>
        <v>7.0000000000000007E-2</v>
      </c>
      <c r="AF7459" s="6">
        <f t="shared" si="1150"/>
        <v>236.0736</v>
      </c>
      <c r="AG7459" s="14">
        <v>0</v>
      </c>
      <c r="AH7459" s="64">
        <f t="shared" si="1158"/>
        <v>3372.4799999999996</v>
      </c>
      <c r="AJ7459" s="126" t="e">
        <v>#N/A</v>
      </c>
      <c r="AK7459" s="80">
        <f t="shared" si="1155"/>
        <v>0</v>
      </c>
      <c r="AL7459" s="85"/>
      <c r="AM7459" s="85"/>
    </row>
    <row r="7460" spans="1:39" s="86" customFormat="1" ht="13.25" hidden="1" customHeight="1" x14ac:dyDescent="0.3">
      <c r="A7460" s="89" t="s">
        <v>3792</v>
      </c>
      <c r="B7460" s="86" t="s">
        <v>35</v>
      </c>
      <c r="C7460" s="86" t="s">
        <v>184</v>
      </c>
      <c r="D7460" s="86" t="s">
        <v>3849</v>
      </c>
      <c r="E7460" s="86" t="s">
        <v>3513</v>
      </c>
      <c r="F7460" s="86" t="s">
        <v>3513</v>
      </c>
      <c r="G7460" s="86" t="s">
        <v>3513</v>
      </c>
      <c r="H7460" s="144">
        <v>360</v>
      </c>
      <c r="I7460" s="86" t="s">
        <v>1060</v>
      </c>
      <c r="J7460" s="47" t="s">
        <v>3325</v>
      </c>
      <c r="K7460" s="47" t="s">
        <v>3767</v>
      </c>
      <c r="L7460" s="47" t="s">
        <v>35</v>
      </c>
      <c r="M7460" s="86" t="s">
        <v>3513</v>
      </c>
      <c r="O7460" s="47" t="s">
        <v>410</v>
      </c>
      <c r="P7460" s="47" t="s">
        <v>41</v>
      </c>
      <c r="Q7460" s="14">
        <v>0</v>
      </c>
      <c r="R7460" s="143" t="s">
        <v>3514</v>
      </c>
      <c r="S7460" s="47"/>
      <c r="T7460" s="6">
        <v>2.0200000000004366</v>
      </c>
      <c r="U7460" s="6">
        <v>10000</v>
      </c>
      <c r="V7460" s="6">
        <v>10002.02</v>
      </c>
      <c r="W7460" s="6">
        <f t="shared" si="1156"/>
        <v>0</v>
      </c>
      <c r="X7460" s="6">
        <f t="shared" si="1151"/>
        <v>10002.02</v>
      </c>
      <c r="Y7460" s="13">
        <f t="shared" si="1153"/>
        <v>0</v>
      </c>
      <c r="Z7460" s="66">
        <v>0</v>
      </c>
      <c r="AA7460" s="6">
        <v>0</v>
      </c>
      <c r="AB7460" s="4">
        <f t="shared" si="1154"/>
        <v>10002.02</v>
      </c>
      <c r="AC7460" s="6">
        <f t="shared" si="1152"/>
        <v>0</v>
      </c>
      <c r="AD7460" s="6">
        <f t="shared" si="1157"/>
        <v>10002.02</v>
      </c>
      <c r="AE7460" s="14">
        <f>VLOOKUP(I7460,[2]媒体政策预估表!A:N,MATCH(O7460,[2]媒体政策预估表!$A$2:$M$2,0),0)</f>
        <v>7.0000000000000007E-2</v>
      </c>
      <c r="AF7460" s="6">
        <f t="shared" ref="AF7460:AF7523" si="1159">AD7460*AE7460</f>
        <v>700.14140000000009</v>
      </c>
      <c r="AG7460" s="14">
        <v>0</v>
      </c>
      <c r="AH7460" s="64">
        <f t="shared" si="1158"/>
        <v>10002.02</v>
      </c>
      <c r="AJ7460" s="126" t="e">
        <v>#N/A</v>
      </c>
      <c r="AK7460" s="80">
        <f t="shared" si="1155"/>
        <v>0</v>
      </c>
      <c r="AL7460" s="85"/>
      <c r="AM7460" s="85"/>
    </row>
    <row r="7461" spans="1:39" s="86" customFormat="1" ht="13.25" hidden="1" customHeight="1" x14ac:dyDescent="0.3">
      <c r="A7461" s="89" t="s">
        <v>3792</v>
      </c>
      <c r="B7461" s="86" t="s">
        <v>35</v>
      </c>
      <c r="C7461" s="86" t="s">
        <v>184</v>
      </c>
      <c r="D7461" s="86" t="s">
        <v>3849</v>
      </c>
      <c r="E7461" s="86" t="s">
        <v>3512</v>
      </c>
      <c r="F7461" s="86" t="s">
        <v>3512</v>
      </c>
      <c r="G7461" s="86" t="s">
        <v>3512</v>
      </c>
      <c r="H7461" s="144">
        <v>360</v>
      </c>
      <c r="I7461" s="86" t="s">
        <v>1060</v>
      </c>
      <c r="J7461" s="47" t="s">
        <v>3325</v>
      </c>
      <c r="K7461" s="47" t="s">
        <v>3767</v>
      </c>
      <c r="L7461" s="47" t="s">
        <v>35</v>
      </c>
      <c r="M7461" s="86" t="s">
        <v>1328</v>
      </c>
      <c r="O7461" s="47" t="s">
        <v>410</v>
      </c>
      <c r="P7461" s="47" t="s">
        <v>41</v>
      </c>
      <c r="Q7461" s="14">
        <v>0</v>
      </c>
      <c r="R7461" s="143">
        <v>18122458657</v>
      </c>
      <c r="S7461" s="47"/>
      <c r="T7461" s="6">
        <v>0</v>
      </c>
      <c r="U7461" s="6">
        <v>30000</v>
      </c>
      <c r="V7461" s="6">
        <v>5456.9499299999952</v>
      </c>
      <c r="W7461" s="6">
        <f t="shared" si="1156"/>
        <v>24543.050070000005</v>
      </c>
      <c r="X7461" s="6">
        <f t="shared" si="1151"/>
        <v>5456.9499299999952</v>
      </c>
      <c r="Y7461" s="13">
        <f t="shared" si="1153"/>
        <v>0</v>
      </c>
      <c r="Z7461" s="66">
        <v>0</v>
      </c>
      <c r="AA7461" s="6">
        <v>0</v>
      </c>
      <c r="AB7461" s="4">
        <f t="shared" si="1154"/>
        <v>5456.9499299999952</v>
      </c>
      <c r="AC7461" s="6">
        <f t="shared" si="1152"/>
        <v>0</v>
      </c>
      <c r="AD7461" s="6">
        <f t="shared" si="1157"/>
        <v>5456.9499299999952</v>
      </c>
      <c r="AE7461" s="14">
        <f>VLOOKUP(I7461,[2]媒体政策预估表!A:N,MATCH(O7461,[2]媒体政策预估表!$A$2:$M$2,0),0)</f>
        <v>7.0000000000000007E-2</v>
      </c>
      <c r="AF7461" s="6">
        <f t="shared" si="1159"/>
        <v>381.98649509999973</v>
      </c>
      <c r="AG7461" s="14">
        <v>0</v>
      </c>
      <c r="AH7461" s="64">
        <f t="shared" si="1158"/>
        <v>5456.9499299999952</v>
      </c>
      <c r="AJ7461" s="126" t="e">
        <v>#N/A</v>
      </c>
      <c r="AK7461" s="80">
        <f t="shared" si="1155"/>
        <v>0</v>
      </c>
      <c r="AL7461" s="85"/>
      <c r="AM7461" s="85"/>
    </row>
    <row r="7462" spans="1:39" s="86" customFormat="1" ht="13.25" hidden="1" customHeight="1" x14ac:dyDescent="0.3">
      <c r="A7462" s="89" t="s">
        <v>3978</v>
      </c>
      <c r="B7462" s="86" t="s">
        <v>35</v>
      </c>
      <c r="C7462" s="86" t="s">
        <v>184</v>
      </c>
      <c r="D7462" s="86" t="s">
        <v>3849</v>
      </c>
      <c r="E7462" s="86" t="s">
        <v>3512</v>
      </c>
      <c r="F7462" s="86" t="s">
        <v>3512</v>
      </c>
      <c r="G7462" s="86" t="s">
        <v>3512</v>
      </c>
      <c r="H7462" s="144">
        <v>360</v>
      </c>
      <c r="I7462" s="86" t="s">
        <v>1060</v>
      </c>
      <c r="J7462" s="47" t="s">
        <v>3325</v>
      </c>
      <c r="K7462" s="47" t="s">
        <v>3767</v>
      </c>
      <c r="L7462" s="47" t="s">
        <v>35</v>
      </c>
      <c r="M7462" s="86" t="s">
        <v>3512</v>
      </c>
      <c r="O7462" s="47" t="s">
        <v>410</v>
      </c>
      <c r="P7462" s="47" t="s">
        <v>41</v>
      </c>
      <c r="Q7462" s="14">
        <v>0</v>
      </c>
      <c r="R7462" s="143">
        <v>18122458657</v>
      </c>
      <c r="S7462" s="47"/>
      <c r="T7462" s="6">
        <v>10765.050070000005</v>
      </c>
      <c r="U7462" s="6">
        <v>25000</v>
      </c>
      <c r="V7462" s="6">
        <v>35765.050070000005</v>
      </c>
      <c r="W7462" s="6">
        <f t="shared" si="1156"/>
        <v>0</v>
      </c>
      <c r="X7462" s="6">
        <f t="shared" si="1151"/>
        <v>35765.050070000005</v>
      </c>
      <c r="Y7462" s="13">
        <f t="shared" si="1153"/>
        <v>0</v>
      </c>
      <c r="Z7462" s="66">
        <v>0</v>
      </c>
      <c r="AA7462" s="6">
        <v>0</v>
      </c>
      <c r="AB7462" s="4">
        <f t="shared" si="1154"/>
        <v>35765.050070000005</v>
      </c>
      <c r="AC7462" s="6">
        <f t="shared" si="1152"/>
        <v>0</v>
      </c>
      <c r="AD7462" s="6">
        <f t="shared" si="1157"/>
        <v>35765.050070000005</v>
      </c>
      <c r="AE7462" s="14">
        <f>VLOOKUP(I7462,[2]媒体政策预估表!A:N,MATCH(O7462,[2]媒体政策预估表!$A$2:$M$2,0),0)</f>
        <v>7.0000000000000007E-2</v>
      </c>
      <c r="AF7462" s="6">
        <f t="shared" si="1159"/>
        <v>2503.5535049000005</v>
      </c>
      <c r="AG7462" s="14">
        <v>0</v>
      </c>
      <c r="AH7462" s="64">
        <f t="shared" si="1158"/>
        <v>35765.050070000005</v>
      </c>
      <c r="AJ7462" s="126" t="e">
        <v>#N/A</v>
      </c>
      <c r="AK7462" s="80">
        <f t="shared" si="1155"/>
        <v>0</v>
      </c>
      <c r="AL7462" s="85"/>
      <c r="AM7462" s="85"/>
    </row>
    <row r="7463" spans="1:39" s="86" customFormat="1" ht="13.25" hidden="1" customHeight="1" x14ac:dyDescent="0.3">
      <c r="A7463" s="89" t="s">
        <v>3978</v>
      </c>
      <c r="B7463" s="86" t="s">
        <v>35</v>
      </c>
      <c r="C7463" s="86" t="s">
        <v>184</v>
      </c>
      <c r="D7463" s="86" t="s">
        <v>3849</v>
      </c>
      <c r="E7463" s="86" t="s">
        <v>1334</v>
      </c>
      <c r="F7463" s="86" t="s">
        <v>1334</v>
      </c>
      <c r="G7463" s="86" t="s">
        <v>1334</v>
      </c>
      <c r="H7463" s="144">
        <v>360</v>
      </c>
      <c r="I7463" s="86" t="s">
        <v>1060</v>
      </c>
      <c r="J7463" s="47" t="s">
        <v>3325</v>
      </c>
      <c r="K7463" s="47" t="s">
        <v>3767</v>
      </c>
      <c r="L7463" s="47" t="s">
        <v>35</v>
      </c>
      <c r="M7463" s="86" t="s">
        <v>1334</v>
      </c>
      <c r="O7463" s="47" t="s">
        <v>410</v>
      </c>
      <c r="P7463" s="47" t="s">
        <v>41</v>
      </c>
      <c r="Q7463" s="14">
        <v>0</v>
      </c>
      <c r="R7463" s="143" t="s">
        <v>1335</v>
      </c>
      <c r="S7463" s="47"/>
      <c r="T7463" s="6">
        <v>47677.030000000006</v>
      </c>
      <c r="U7463" s="6">
        <v>170000</v>
      </c>
      <c r="V7463" s="6">
        <v>187506.5</v>
      </c>
      <c r="W7463" s="6">
        <f t="shared" si="1156"/>
        <v>30170.53</v>
      </c>
      <c r="X7463" s="6">
        <f t="shared" si="1151"/>
        <v>187506.5</v>
      </c>
      <c r="Y7463" s="13">
        <f t="shared" si="1153"/>
        <v>0</v>
      </c>
      <c r="Z7463" s="66">
        <v>0</v>
      </c>
      <c r="AA7463" s="6">
        <v>0</v>
      </c>
      <c r="AB7463" s="4">
        <f t="shared" si="1154"/>
        <v>187506.5</v>
      </c>
      <c r="AC7463" s="6">
        <f t="shared" si="1152"/>
        <v>0</v>
      </c>
      <c r="AD7463" s="6">
        <f t="shared" si="1157"/>
        <v>187506.5</v>
      </c>
      <c r="AE7463" s="14">
        <f>VLOOKUP(I7463,[2]媒体政策预估表!A:N,MATCH(O7463,[2]媒体政策预估表!$A$2:$M$2,0),0)</f>
        <v>7.0000000000000007E-2</v>
      </c>
      <c r="AF7463" s="6">
        <f t="shared" si="1159"/>
        <v>13125.455000000002</v>
      </c>
      <c r="AG7463" s="14">
        <v>0</v>
      </c>
      <c r="AH7463" s="64">
        <f t="shared" si="1158"/>
        <v>187506.5</v>
      </c>
      <c r="AJ7463" s="126" t="e">
        <v>#N/A</v>
      </c>
      <c r="AK7463" s="80">
        <f t="shared" si="1155"/>
        <v>0</v>
      </c>
      <c r="AL7463" s="85"/>
      <c r="AM7463" s="85"/>
    </row>
    <row r="7464" spans="1:39" s="86" customFormat="1" ht="13.25" hidden="1" customHeight="1" x14ac:dyDescent="0.3">
      <c r="A7464" s="89" t="s">
        <v>3792</v>
      </c>
      <c r="B7464" s="86" t="s">
        <v>35</v>
      </c>
      <c r="C7464" s="86" t="s">
        <v>184</v>
      </c>
      <c r="D7464" s="86" t="s">
        <v>3849</v>
      </c>
      <c r="E7464" s="86" t="s">
        <v>1366</v>
      </c>
      <c r="F7464" s="86" t="s">
        <v>1367</v>
      </c>
      <c r="G7464" s="86" t="s">
        <v>1366</v>
      </c>
      <c r="H7464" s="144">
        <v>360</v>
      </c>
      <c r="I7464" s="86" t="s">
        <v>1060</v>
      </c>
      <c r="J7464" s="47" t="s">
        <v>3325</v>
      </c>
      <c r="K7464" s="47" t="s">
        <v>3767</v>
      </c>
      <c r="L7464" s="47" t="s">
        <v>35</v>
      </c>
      <c r="M7464" s="86" t="s">
        <v>1368</v>
      </c>
      <c r="O7464" s="47" t="s">
        <v>410</v>
      </c>
      <c r="P7464" s="47" t="s">
        <v>41</v>
      </c>
      <c r="Q7464" s="14">
        <v>0</v>
      </c>
      <c r="R7464" s="143" t="s">
        <v>1369</v>
      </c>
      <c r="S7464" s="47"/>
      <c r="T7464" s="6">
        <v>480682.58370999992</v>
      </c>
      <c r="U7464" s="6">
        <v>300000</v>
      </c>
      <c r="V7464" s="6">
        <v>193438.22213000001</v>
      </c>
      <c r="W7464" s="6">
        <f t="shared" si="1156"/>
        <v>587244.36157999991</v>
      </c>
      <c r="X7464" s="6">
        <f t="shared" si="1151"/>
        <v>193438.22213000001</v>
      </c>
      <c r="Y7464" s="13">
        <f t="shared" si="1153"/>
        <v>0</v>
      </c>
      <c r="Z7464" s="66">
        <v>0</v>
      </c>
      <c r="AA7464" s="6">
        <v>0</v>
      </c>
      <c r="AB7464" s="4">
        <f t="shared" si="1154"/>
        <v>193438.22213000001</v>
      </c>
      <c r="AC7464" s="6">
        <f t="shared" si="1152"/>
        <v>0</v>
      </c>
      <c r="AD7464" s="6">
        <f t="shared" si="1157"/>
        <v>193438.22213000001</v>
      </c>
      <c r="AE7464" s="14">
        <f>VLOOKUP(I7464,[2]媒体政策预估表!A:N,MATCH(O7464,[2]媒体政策预估表!$A$2:$M$2,0),0)</f>
        <v>7.0000000000000007E-2</v>
      </c>
      <c r="AF7464" s="6">
        <f t="shared" si="1159"/>
        <v>13540.675549100002</v>
      </c>
      <c r="AG7464" s="14">
        <v>0</v>
      </c>
      <c r="AH7464" s="64">
        <f t="shared" si="1158"/>
        <v>193438.22213000001</v>
      </c>
      <c r="AJ7464" s="126" t="e">
        <v>#N/A</v>
      </c>
      <c r="AK7464" s="80">
        <f t="shared" si="1155"/>
        <v>0</v>
      </c>
      <c r="AL7464" s="85"/>
      <c r="AM7464" s="85"/>
    </row>
    <row r="7465" spans="1:39" s="86" customFormat="1" ht="13.25" hidden="1" customHeight="1" x14ac:dyDescent="0.3">
      <c r="A7465" s="89" t="s">
        <v>3978</v>
      </c>
      <c r="B7465" s="86" t="s">
        <v>35</v>
      </c>
      <c r="C7465" s="86" t="s">
        <v>184</v>
      </c>
      <c r="D7465" s="86" t="s">
        <v>3849</v>
      </c>
      <c r="E7465" s="86" t="s">
        <v>1366</v>
      </c>
      <c r="F7465" s="86" t="s">
        <v>1367</v>
      </c>
      <c r="G7465" s="86" t="s">
        <v>1366</v>
      </c>
      <c r="H7465" s="143">
        <v>360</v>
      </c>
      <c r="I7465" s="86" t="s">
        <v>1060</v>
      </c>
      <c r="J7465" s="47" t="s">
        <v>3325</v>
      </c>
      <c r="K7465" s="47" t="s">
        <v>3767</v>
      </c>
      <c r="L7465" s="47" t="s">
        <v>35</v>
      </c>
      <c r="M7465" s="86" t="s">
        <v>540</v>
      </c>
      <c r="O7465" s="47" t="s">
        <v>410</v>
      </c>
      <c r="P7465" s="47" t="s">
        <v>41</v>
      </c>
      <c r="Q7465" s="14">
        <v>0</v>
      </c>
      <c r="R7465" s="143" t="s">
        <v>1370</v>
      </c>
      <c r="S7465" s="47"/>
      <c r="T7465" s="6">
        <v>4250</v>
      </c>
      <c r="U7465" s="6">
        <v>-4252.9399999999996</v>
      </c>
      <c r="V7465" s="6">
        <v>0</v>
      </c>
      <c r="W7465" s="6">
        <f t="shared" si="1156"/>
        <v>-2.9399999999995998</v>
      </c>
      <c r="X7465" s="6">
        <f t="shared" si="1151"/>
        <v>0</v>
      </c>
      <c r="Y7465" s="13">
        <f t="shared" si="1153"/>
        <v>0</v>
      </c>
      <c r="Z7465" s="66">
        <v>0</v>
      </c>
      <c r="AA7465" s="6">
        <v>0</v>
      </c>
      <c r="AB7465" s="4">
        <f t="shared" si="1154"/>
        <v>0</v>
      </c>
      <c r="AC7465" s="6">
        <f t="shared" si="1152"/>
        <v>0</v>
      </c>
      <c r="AD7465" s="6">
        <f t="shared" si="1157"/>
        <v>0</v>
      </c>
      <c r="AE7465" s="14">
        <f>VLOOKUP(I7465,[2]媒体政策预估表!A:N,MATCH(O7465,[2]媒体政策预估表!$A$2:$M$2,0),0)</f>
        <v>7.0000000000000007E-2</v>
      </c>
      <c r="AF7465" s="6">
        <f t="shared" si="1159"/>
        <v>0</v>
      </c>
      <c r="AG7465" s="14">
        <v>0</v>
      </c>
      <c r="AH7465" s="64">
        <f t="shared" si="1158"/>
        <v>0</v>
      </c>
      <c r="AJ7465" s="126" t="e">
        <v>#N/A</v>
      </c>
      <c r="AK7465" s="80">
        <f t="shared" si="1155"/>
        <v>0</v>
      </c>
      <c r="AL7465" s="85"/>
      <c r="AM7465" s="85"/>
    </row>
    <row r="7466" spans="1:39" s="86" customFormat="1" ht="13.25" hidden="1" customHeight="1" x14ac:dyDescent="0.3">
      <c r="A7466" s="89" t="s">
        <v>3978</v>
      </c>
      <c r="B7466" s="86" t="s">
        <v>35</v>
      </c>
      <c r="C7466" s="86" t="s">
        <v>184</v>
      </c>
      <c r="D7466" s="86" t="s">
        <v>3849</v>
      </c>
      <c r="E7466" s="86" t="s">
        <v>1336</v>
      </c>
      <c r="F7466" s="86" t="s">
        <v>1337</v>
      </c>
      <c r="G7466" s="86" t="s">
        <v>1336</v>
      </c>
      <c r="H7466" s="143">
        <v>360</v>
      </c>
      <c r="I7466" s="86" t="s">
        <v>1060</v>
      </c>
      <c r="J7466" s="47" t="s">
        <v>3325</v>
      </c>
      <c r="K7466" s="47" t="s">
        <v>3767</v>
      </c>
      <c r="L7466" s="47" t="s">
        <v>35</v>
      </c>
      <c r="M7466" s="86" t="s">
        <v>1336</v>
      </c>
      <c r="O7466" s="47" t="s">
        <v>45</v>
      </c>
      <c r="P7466" s="47" t="s">
        <v>41</v>
      </c>
      <c r="Q7466" s="14">
        <v>0</v>
      </c>
      <c r="R7466" s="143" t="s">
        <v>1338</v>
      </c>
      <c r="S7466" s="47"/>
      <c r="T7466" s="6">
        <v>400000</v>
      </c>
      <c r="U7466" s="6">
        <v>200000</v>
      </c>
      <c r="V7466" s="6">
        <v>0</v>
      </c>
      <c r="W7466" s="6">
        <f t="shared" si="1156"/>
        <v>600000</v>
      </c>
      <c r="X7466" s="6">
        <f t="shared" si="1151"/>
        <v>0</v>
      </c>
      <c r="Y7466" s="13">
        <f t="shared" si="1153"/>
        <v>0</v>
      </c>
      <c r="Z7466" s="66">
        <v>0</v>
      </c>
      <c r="AA7466" s="6">
        <v>0</v>
      </c>
      <c r="AB7466" s="4">
        <f t="shared" si="1154"/>
        <v>0</v>
      </c>
      <c r="AC7466" s="6">
        <f t="shared" si="1152"/>
        <v>0</v>
      </c>
      <c r="AD7466" s="6">
        <f t="shared" si="1157"/>
        <v>0</v>
      </c>
      <c r="AE7466" s="14">
        <f>VLOOKUP(I7466,[2]媒体政策预估表!A:N,MATCH(O7466,[2]媒体政策预估表!$A$2:$M$2,0),0)</f>
        <v>0.1</v>
      </c>
      <c r="AF7466" s="6">
        <f t="shared" si="1159"/>
        <v>0</v>
      </c>
      <c r="AG7466" s="14">
        <v>0</v>
      </c>
      <c r="AH7466" s="64">
        <f t="shared" si="1158"/>
        <v>0</v>
      </c>
      <c r="AJ7466" s="126" t="e">
        <v>#N/A</v>
      </c>
      <c r="AK7466" s="80">
        <f t="shared" si="1155"/>
        <v>0</v>
      </c>
      <c r="AL7466" s="85"/>
      <c r="AM7466" s="85"/>
    </row>
    <row r="7467" spans="1:39" s="86" customFormat="1" ht="13.25" hidden="1" customHeight="1" x14ac:dyDescent="0.3">
      <c r="A7467" s="89" t="s">
        <v>3978</v>
      </c>
      <c r="B7467" s="86" t="s">
        <v>35</v>
      </c>
      <c r="C7467" s="86" t="s">
        <v>184</v>
      </c>
      <c r="D7467" s="86" t="s">
        <v>3849</v>
      </c>
      <c r="E7467" s="86" t="s">
        <v>1336</v>
      </c>
      <c r="F7467" s="86" t="s">
        <v>1337</v>
      </c>
      <c r="G7467" s="86" t="s">
        <v>1336</v>
      </c>
      <c r="H7467" s="144">
        <v>360</v>
      </c>
      <c r="I7467" s="86" t="s">
        <v>1060</v>
      </c>
      <c r="J7467" s="47" t="s">
        <v>3325</v>
      </c>
      <c r="K7467" s="47" t="s">
        <v>3767</v>
      </c>
      <c r="L7467" s="47" t="s">
        <v>35</v>
      </c>
      <c r="M7467" s="86" t="s">
        <v>1336</v>
      </c>
      <c r="O7467" s="47" t="s">
        <v>45</v>
      </c>
      <c r="P7467" s="47" t="s">
        <v>41</v>
      </c>
      <c r="Q7467" s="14">
        <v>0</v>
      </c>
      <c r="R7467" s="143" t="s">
        <v>1339</v>
      </c>
      <c r="S7467" s="47"/>
      <c r="T7467" s="6">
        <v>2170029.3499999996</v>
      </c>
      <c r="U7467" s="6">
        <v>600000</v>
      </c>
      <c r="V7467" s="6">
        <v>42565.8</v>
      </c>
      <c r="W7467" s="6">
        <f t="shared" si="1156"/>
        <v>2727463.55</v>
      </c>
      <c r="X7467" s="6">
        <f t="shared" si="1151"/>
        <v>42565.8</v>
      </c>
      <c r="Y7467" s="13">
        <f t="shared" si="1153"/>
        <v>0</v>
      </c>
      <c r="Z7467" s="66">
        <v>0</v>
      </c>
      <c r="AA7467" s="6">
        <v>0</v>
      </c>
      <c r="AB7467" s="4">
        <f t="shared" si="1154"/>
        <v>42565.8</v>
      </c>
      <c r="AC7467" s="6">
        <f t="shared" si="1152"/>
        <v>0</v>
      </c>
      <c r="AD7467" s="6">
        <f t="shared" si="1157"/>
        <v>42565.8</v>
      </c>
      <c r="AE7467" s="14">
        <f>VLOOKUP(I7467,[2]媒体政策预估表!A:N,MATCH(O7467,[2]媒体政策预估表!$A$2:$M$2,0),0)</f>
        <v>0.1</v>
      </c>
      <c r="AF7467" s="6">
        <f t="shared" si="1159"/>
        <v>4256.5800000000008</v>
      </c>
      <c r="AG7467" s="14">
        <v>0</v>
      </c>
      <c r="AH7467" s="64">
        <f t="shared" si="1158"/>
        <v>42565.8</v>
      </c>
      <c r="AJ7467" s="126" t="e">
        <v>#N/A</v>
      </c>
      <c r="AK7467" s="80">
        <f t="shared" si="1155"/>
        <v>0</v>
      </c>
      <c r="AL7467" s="85"/>
      <c r="AM7467" s="85"/>
    </row>
    <row r="7468" spans="1:39" s="86" customFormat="1" ht="13.25" hidden="1" customHeight="1" x14ac:dyDescent="0.3">
      <c r="A7468" s="89" t="s">
        <v>3792</v>
      </c>
      <c r="B7468" s="86" t="s">
        <v>35</v>
      </c>
      <c r="C7468" s="86" t="s">
        <v>184</v>
      </c>
      <c r="D7468" s="86" t="s">
        <v>3849</v>
      </c>
      <c r="E7468" s="86" t="s">
        <v>1336</v>
      </c>
      <c r="F7468" s="86" t="s">
        <v>1337</v>
      </c>
      <c r="G7468" s="86" t="s">
        <v>1336</v>
      </c>
      <c r="H7468" s="144">
        <v>360</v>
      </c>
      <c r="I7468" s="86" t="s">
        <v>1060</v>
      </c>
      <c r="J7468" s="47" t="s">
        <v>3325</v>
      </c>
      <c r="K7468" s="47" t="s">
        <v>3767</v>
      </c>
      <c r="L7468" s="47" t="s">
        <v>35</v>
      </c>
      <c r="M7468" s="86" t="s">
        <v>1336</v>
      </c>
      <c r="O7468" s="47" t="s">
        <v>410</v>
      </c>
      <c r="P7468" s="47" t="s">
        <v>41</v>
      </c>
      <c r="Q7468" s="14">
        <v>0</v>
      </c>
      <c r="R7468" s="143" t="s">
        <v>1340</v>
      </c>
      <c r="S7468" s="47"/>
      <c r="T7468" s="6">
        <v>56919.100000000006</v>
      </c>
      <c r="U7468" s="6">
        <v>150000</v>
      </c>
      <c r="V7468" s="6">
        <v>153926.1</v>
      </c>
      <c r="W7468" s="6">
        <f t="shared" si="1156"/>
        <v>52993</v>
      </c>
      <c r="X7468" s="6">
        <f t="shared" si="1151"/>
        <v>153926.1</v>
      </c>
      <c r="Y7468" s="13">
        <f t="shared" si="1153"/>
        <v>0</v>
      </c>
      <c r="Z7468" s="66">
        <v>0</v>
      </c>
      <c r="AA7468" s="6">
        <v>0</v>
      </c>
      <c r="AB7468" s="4">
        <f t="shared" si="1154"/>
        <v>153926.1</v>
      </c>
      <c r="AC7468" s="6">
        <f t="shared" si="1152"/>
        <v>0</v>
      </c>
      <c r="AD7468" s="6">
        <f t="shared" si="1157"/>
        <v>153926.1</v>
      </c>
      <c r="AE7468" s="14">
        <f>VLOOKUP(I7468,[2]媒体政策预估表!A:N,MATCH(O7468,[2]媒体政策预估表!$A$2:$M$2,0),0)</f>
        <v>7.0000000000000007E-2</v>
      </c>
      <c r="AF7468" s="6">
        <f t="shared" si="1159"/>
        <v>10774.827000000001</v>
      </c>
      <c r="AG7468" s="14">
        <v>0</v>
      </c>
      <c r="AH7468" s="64">
        <f t="shared" si="1158"/>
        <v>153926.1</v>
      </c>
      <c r="AJ7468" s="126" t="e">
        <v>#N/A</v>
      </c>
      <c r="AK7468" s="80">
        <f t="shared" si="1155"/>
        <v>0</v>
      </c>
      <c r="AL7468" s="85"/>
      <c r="AM7468" s="85"/>
    </row>
    <row r="7469" spans="1:39" s="86" customFormat="1" ht="13.25" hidden="1" customHeight="1" x14ac:dyDescent="0.3">
      <c r="A7469" s="89" t="s">
        <v>3978</v>
      </c>
      <c r="B7469" s="86" t="s">
        <v>35</v>
      </c>
      <c r="C7469" s="86" t="s">
        <v>184</v>
      </c>
      <c r="D7469" s="86" t="s">
        <v>3849</v>
      </c>
      <c r="E7469" s="86" t="s">
        <v>1336</v>
      </c>
      <c r="F7469" s="86" t="s">
        <v>1337</v>
      </c>
      <c r="G7469" s="86" t="s">
        <v>1336</v>
      </c>
      <c r="H7469" s="143">
        <v>360</v>
      </c>
      <c r="I7469" s="86" t="s">
        <v>1060</v>
      </c>
      <c r="J7469" s="47" t="s">
        <v>3325</v>
      </c>
      <c r="K7469" s="47" t="s">
        <v>3767</v>
      </c>
      <c r="L7469" s="47" t="s">
        <v>35</v>
      </c>
      <c r="M7469" s="86" t="s">
        <v>1336</v>
      </c>
      <c r="O7469" s="47" t="s">
        <v>410</v>
      </c>
      <c r="P7469" s="47" t="s">
        <v>41</v>
      </c>
      <c r="Q7469" s="14">
        <v>0</v>
      </c>
      <c r="R7469" s="143" t="s">
        <v>1338</v>
      </c>
      <c r="S7469" s="47"/>
      <c r="T7469" s="6">
        <v>0</v>
      </c>
      <c r="U7469" s="6">
        <v>600000</v>
      </c>
      <c r="V7469" s="6">
        <v>0</v>
      </c>
      <c r="W7469" s="6">
        <f t="shared" si="1156"/>
        <v>600000</v>
      </c>
      <c r="X7469" s="6">
        <f t="shared" si="1151"/>
        <v>0</v>
      </c>
      <c r="Y7469" s="13">
        <f t="shared" si="1153"/>
        <v>0</v>
      </c>
      <c r="Z7469" s="66">
        <v>0</v>
      </c>
      <c r="AA7469" s="6">
        <v>0</v>
      </c>
      <c r="AB7469" s="4">
        <f t="shared" si="1154"/>
        <v>0</v>
      </c>
      <c r="AC7469" s="6">
        <f t="shared" si="1152"/>
        <v>0</v>
      </c>
      <c r="AD7469" s="6">
        <f t="shared" si="1157"/>
        <v>0</v>
      </c>
      <c r="AE7469" s="14">
        <f>VLOOKUP(I7469,[2]媒体政策预估表!A:N,MATCH(O7469,[2]媒体政策预估表!$A$2:$M$2,0),0)</f>
        <v>7.0000000000000007E-2</v>
      </c>
      <c r="AF7469" s="6">
        <f t="shared" si="1159"/>
        <v>0</v>
      </c>
      <c r="AG7469" s="14">
        <v>0</v>
      </c>
      <c r="AH7469" s="64">
        <f t="shared" si="1158"/>
        <v>0</v>
      </c>
      <c r="AJ7469" s="126" t="e">
        <v>#N/A</v>
      </c>
      <c r="AK7469" s="80">
        <f t="shared" si="1155"/>
        <v>0</v>
      </c>
      <c r="AL7469" s="85"/>
      <c r="AM7469" s="85"/>
    </row>
    <row r="7470" spans="1:39" s="86" customFormat="1" ht="13.25" hidden="1" customHeight="1" x14ac:dyDescent="0.3">
      <c r="A7470" s="89" t="s">
        <v>3792</v>
      </c>
      <c r="B7470" s="86" t="s">
        <v>35</v>
      </c>
      <c r="C7470" s="86" t="s">
        <v>184</v>
      </c>
      <c r="D7470" s="86" t="s">
        <v>3849</v>
      </c>
      <c r="E7470" s="86" t="s">
        <v>1336</v>
      </c>
      <c r="F7470" s="86" t="s">
        <v>1337</v>
      </c>
      <c r="G7470" s="86" t="s">
        <v>1336</v>
      </c>
      <c r="H7470" s="143">
        <v>360</v>
      </c>
      <c r="I7470" s="86" t="s">
        <v>1060</v>
      </c>
      <c r="J7470" s="47" t="s">
        <v>3325</v>
      </c>
      <c r="K7470" s="47" t="s">
        <v>3767</v>
      </c>
      <c r="L7470" s="47" t="s">
        <v>35</v>
      </c>
      <c r="M7470" s="86" t="s">
        <v>1336</v>
      </c>
      <c r="O7470" s="47" t="s">
        <v>410</v>
      </c>
      <c r="P7470" s="47" t="s">
        <v>41</v>
      </c>
      <c r="Q7470" s="14">
        <v>0</v>
      </c>
      <c r="R7470" s="143" t="s">
        <v>4113</v>
      </c>
      <c r="S7470" s="47"/>
      <c r="T7470" s="6">
        <v>0</v>
      </c>
      <c r="U7470" s="6">
        <v>100000</v>
      </c>
      <c r="V7470" s="6">
        <v>0</v>
      </c>
      <c r="W7470" s="6">
        <f t="shared" si="1156"/>
        <v>100000</v>
      </c>
      <c r="X7470" s="6">
        <f t="shared" si="1151"/>
        <v>0</v>
      </c>
      <c r="Y7470" s="13">
        <f t="shared" si="1153"/>
        <v>0</v>
      </c>
      <c r="Z7470" s="66">
        <v>0</v>
      </c>
      <c r="AA7470" s="6">
        <v>0</v>
      </c>
      <c r="AB7470" s="4">
        <f t="shared" si="1154"/>
        <v>0</v>
      </c>
      <c r="AC7470" s="6">
        <f t="shared" si="1152"/>
        <v>0</v>
      </c>
      <c r="AD7470" s="6">
        <f t="shared" si="1157"/>
        <v>0</v>
      </c>
      <c r="AE7470" s="14">
        <f>VLOOKUP(I7470,[2]媒体政策预估表!A:N,MATCH(O7470,[2]媒体政策预估表!$A$2:$M$2,0),0)</f>
        <v>7.0000000000000007E-2</v>
      </c>
      <c r="AF7470" s="6">
        <f t="shared" si="1159"/>
        <v>0</v>
      </c>
      <c r="AG7470" s="14">
        <v>0</v>
      </c>
      <c r="AH7470" s="64">
        <f t="shared" si="1158"/>
        <v>0</v>
      </c>
      <c r="AJ7470" s="126" t="e">
        <v>#N/A</v>
      </c>
      <c r="AK7470" s="80">
        <f t="shared" si="1155"/>
        <v>0</v>
      </c>
      <c r="AL7470" s="85"/>
      <c r="AM7470" s="85"/>
    </row>
    <row r="7471" spans="1:39" s="86" customFormat="1" ht="13.25" hidden="1" customHeight="1" x14ac:dyDescent="0.3">
      <c r="A7471" s="89" t="s">
        <v>3792</v>
      </c>
      <c r="B7471" s="86" t="s">
        <v>35</v>
      </c>
      <c r="C7471" s="86" t="s">
        <v>184</v>
      </c>
      <c r="D7471" s="86" t="s">
        <v>3849</v>
      </c>
      <c r="E7471" s="86" t="s">
        <v>1336</v>
      </c>
      <c r="F7471" s="86" t="s">
        <v>1337</v>
      </c>
      <c r="G7471" s="86" t="s">
        <v>1336</v>
      </c>
      <c r="H7471" s="143">
        <v>360</v>
      </c>
      <c r="I7471" s="86" t="s">
        <v>1060</v>
      </c>
      <c r="J7471" s="47" t="s">
        <v>3325</v>
      </c>
      <c r="K7471" s="47" t="s">
        <v>3767</v>
      </c>
      <c r="L7471" s="47" t="s">
        <v>35</v>
      </c>
      <c r="M7471" s="86" t="s">
        <v>1336</v>
      </c>
      <c r="O7471" s="47" t="s">
        <v>410</v>
      </c>
      <c r="P7471" s="47" t="s">
        <v>41</v>
      </c>
      <c r="Q7471" s="14">
        <v>0</v>
      </c>
      <c r="R7471" s="143" t="s">
        <v>1339</v>
      </c>
      <c r="S7471" s="47"/>
      <c r="T7471" s="6">
        <v>600000</v>
      </c>
      <c r="U7471" s="6">
        <v>950000</v>
      </c>
      <c r="V7471" s="6">
        <v>0</v>
      </c>
      <c r="W7471" s="6">
        <f t="shared" si="1156"/>
        <v>1550000</v>
      </c>
      <c r="X7471" s="6">
        <f t="shared" si="1151"/>
        <v>0</v>
      </c>
      <c r="Y7471" s="13">
        <f t="shared" si="1153"/>
        <v>0</v>
      </c>
      <c r="Z7471" s="66">
        <v>0</v>
      </c>
      <c r="AA7471" s="6">
        <v>0</v>
      </c>
      <c r="AB7471" s="4">
        <f t="shared" si="1154"/>
        <v>0</v>
      </c>
      <c r="AC7471" s="6">
        <f t="shared" si="1152"/>
        <v>0</v>
      </c>
      <c r="AD7471" s="6">
        <f t="shared" si="1157"/>
        <v>0</v>
      </c>
      <c r="AE7471" s="14">
        <f>VLOOKUP(I7471,[2]媒体政策预估表!A:N,MATCH(O7471,[2]媒体政策预估表!$A$2:$M$2,0),0)</f>
        <v>7.0000000000000007E-2</v>
      </c>
      <c r="AF7471" s="6">
        <f t="shared" si="1159"/>
        <v>0</v>
      </c>
      <c r="AG7471" s="14">
        <v>0</v>
      </c>
      <c r="AH7471" s="64">
        <f t="shared" si="1158"/>
        <v>0</v>
      </c>
      <c r="AJ7471" s="126" t="e">
        <v>#N/A</v>
      </c>
      <c r="AK7471" s="80">
        <f t="shared" si="1155"/>
        <v>0</v>
      </c>
      <c r="AL7471" s="85"/>
      <c r="AM7471" s="85"/>
    </row>
    <row r="7472" spans="1:39" s="86" customFormat="1" ht="13.25" hidden="1" customHeight="1" x14ac:dyDescent="0.3">
      <c r="A7472" s="89" t="s">
        <v>3978</v>
      </c>
      <c r="B7472" s="86" t="s">
        <v>35</v>
      </c>
      <c r="C7472" s="86" t="s">
        <v>184</v>
      </c>
      <c r="D7472" s="86" t="s">
        <v>3849</v>
      </c>
      <c r="E7472" s="86" t="s">
        <v>1336</v>
      </c>
      <c r="F7472" s="86" t="s">
        <v>1337</v>
      </c>
      <c r="G7472" s="86" t="s">
        <v>1336</v>
      </c>
      <c r="H7472" s="144">
        <v>360</v>
      </c>
      <c r="I7472" s="86" t="s">
        <v>1060</v>
      </c>
      <c r="J7472" s="47" t="s">
        <v>3325</v>
      </c>
      <c r="K7472" s="47" t="s">
        <v>3767</v>
      </c>
      <c r="L7472" s="47" t="s">
        <v>35</v>
      </c>
      <c r="M7472" s="86" t="s">
        <v>1341</v>
      </c>
      <c r="O7472" s="47" t="s">
        <v>410</v>
      </c>
      <c r="P7472" s="47" t="s">
        <v>41</v>
      </c>
      <c r="Q7472" s="14">
        <v>0</v>
      </c>
      <c r="R7472" s="143" t="s">
        <v>1342</v>
      </c>
      <c r="S7472" s="47"/>
      <c r="T7472" s="6">
        <v>17240.199999999983</v>
      </c>
      <c r="U7472" s="6">
        <v>400000</v>
      </c>
      <c r="V7472" s="6">
        <v>323606.40000000002</v>
      </c>
      <c r="W7472" s="6">
        <f t="shared" si="1156"/>
        <v>93633.79999999993</v>
      </c>
      <c r="X7472" s="6">
        <f t="shared" ref="X7472:X7535" si="1160">IF(P7472="折扣",V7472*Q7472,IF(P7472="返现",V7472,V7472/(1+Q7472)))</f>
        <v>323606.40000000002</v>
      </c>
      <c r="Y7472" s="13">
        <f t="shared" si="1153"/>
        <v>0</v>
      </c>
      <c r="Z7472" s="66">
        <v>0</v>
      </c>
      <c r="AA7472" s="6">
        <v>0</v>
      </c>
      <c r="AB7472" s="4">
        <f t="shared" si="1154"/>
        <v>323606.40000000002</v>
      </c>
      <c r="AC7472" s="6">
        <f t="shared" si="1152"/>
        <v>0</v>
      </c>
      <c r="AD7472" s="6">
        <f t="shared" si="1157"/>
        <v>323606.40000000002</v>
      </c>
      <c r="AE7472" s="14">
        <f>VLOOKUP(I7472,[2]媒体政策预估表!A:N,MATCH(O7472,[2]媒体政策预估表!$A$2:$M$2,0),0)</f>
        <v>7.0000000000000007E-2</v>
      </c>
      <c r="AF7472" s="6">
        <f t="shared" si="1159"/>
        <v>22652.448000000004</v>
      </c>
      <c r="AG7472" s="14">
        <v>0</v>
      </c>
      <c r="AH7472" s="64">
        <f t="shared" si="1158"/>
        <v>323606.40000000002</v>
      </c>
      <c r="AJ7472" s="126" t="e">
        <v>#N/A</v>
      </c>
      <c r="AK7472" s="80">
        <f t="shared" si="1155"/>
        <v>0</v>
      </c>
      <c r="AL7472" s="85"/>
      <c r="AM7472" s="85"/>
    </row>
    <row r="7473" spans="1:39" s="86" customFormat="1" ht="13.25" hidden="1" customHeight="1" x14ac:dyDescent="0.3">
      <c r="A7473" s="89" t="s">
        <v>3792</v>
      </c>
      <c r="B7473" s="86" t="s">
        <v>35</v>
      </c>
      <c r="C7473" s="86" t="s">
        <v>184</v>
      </c>
      <c r="D7473" s="86" t="s">
        <v>3849</v>
      </c>
      <c r="E7473" s="86" t="s">
        <v>64</v>
      </c>
      <c r="F7473" s="86" t="s">
        <v>1343</v>
      </c>
      <c r="G7473" s="86" t="s">
        <v>64</v>
      </c>
      <c r="H7473" s="143">
        <v>360</v>
      </c>
      <c r="I7473" s="86" t="s">
        <v>1060</v>
      </c>
      <c r="J7473" s="47" t="s">
        <v>3325</v>
      </c>
      <c r="K7473" s="47" t="s">
        <v>3767</v>
      </c>
      <c r="L7473" s="47" t="s">
        <v>35</v>
      </c>
      <c r="M7473" s="86" t="s">
        <v>64</v>
      </c>
      <c r="O7473" s="47" t="s">
        <v>45</v>
      </c>
      <c r="P7473" s="47" t="s">
        <v>46</v>
      </c>
      <c r="Q7473" s="14">
        <v>0.04</v>
      </c>
      <c r="R7473" s="143" t="s">
        <v>1344</v>
      </c>
      <c r="S7473" s="47"/>
      <c r="T7473" s="6">
        <v>237058.83</v>
      </c>
      <c r="U7473" s="6">
        <v>-223231.15</v>
      </c>
      <c r="V7473" s="6">
        <v>0</v>
      </c>
      <c r="W7473" s="6">
        <f t="shared" si="1156"/>
        <v>13827.679999999993</v>
      </c>
      <c r="X7473" s="6">
        <f t="shared" si="1160"/>
        <v>0</v>
      </c>
      <c r="Y7473" s="13">
        <f t="shared" si="1153"/>
        <v>0</v>
      </c>
      <c r="Z7473" s="66">
        <v>0</v>
      </c>
      <c r="AA7473" s="6">
        <v>0</v>
      </c>
      <c r="AB7473" s="4">
        <f t="shared" si="1154"/>
        <v>0</v>
      </c>
      <c r="AC7473" s="6">
        <f t="shared" si="1152"/>
        <v>0</v>
      </c>
      <c r="AD7473" s="6">
        <f t="shared" si="1157"/>
        <v>0</v>
      </c>
      <c r="AE7473" s="14">
        <f>VLOOKUP(I7473,[2]媒体政策预估表!A:N,MATCH(O7473,[2]媒体政策预估表!$A$2:$M$2,0),0)</f>
        <v>0.1</v>
      </c>
      <c r="AF7473" s="6">
        <f t="shared" si="1159"/>
        <v>0</v>
      </c>
      <c r="AG7473" s="14">
        <v>0</v>
      </c>
      <c r="AH7473" s="64">
        <f t="shared" si="1158"/>
        <v>0</v>
      </c>
      <c r="AJ7473" s="126" t="e">
        <v>#N/A</v>
      </c>
      <c r="AK7473" s="80">
        <f t="shared" si="1155"/>
        <v>0</v>
      </c>
      <c r="AL7473" s="85"/>
      <c r="AM7473" s="85"/>
    </row>
    <row r="7474" spans="1:39" s="86" customFormat="1" ht="13.25" hidden="1" customHeight="1" x14ac:dyDescent="0.3">
      <c r="A7474" s="89" t="s">
        <v>3792</v>
      </c>
      <c r="B7474" s="86" t="s">
        <v>35</v>
      </c>
      <c r="C7474" s="86" t="s">
        <v>184</v>
      </c>
      <c r="D7474" s="86" t="s">
        <v>3849</v>
      </c>
      <c r="E7474" s="86" t="s">
        <v>64</v>
      </c>
      <c r="F7474" s="86" t="s">
        <v>1343</v>
      </c>
      <c r="G7474" s="86" t="s">
        <v>64</v>
      </c>
      <c r="H7474" s="143">
        <v>360</v>
      </c>
      <c r="I7474" s="86" t="s">
        <v>1060</v>
      </c>
      <c r="J7474" s="47" t="s">
        <v>3325</v>
      </c>
      <c r="K7474" s="47" t="s">
        <v>3767</v>
      </c>
      <c r="L7474" s="47" t="s">
        <v>35</v>
      </c>
      <c r="M7474" s="86" t="s">
        <v>64</v>
      </c>
      <c r="O7474" s="47" t="s">
        <v>45</v>
      </c>
      <c r="P7474" s="47" t="s">
        <v>46</v>
      </c>
      <c r="Q7474" s="14">
        <v>0.04</v>
      </c>
      <c r="R7474" s="143" t="s">
        <v>4114</v>
      </c>
      <c r="S7474" s="47"/>
      <c r="T7474" s="6">
        <v>0</v>
      </c>
      <c r="U7474" s="6">
        <v>332913.09000000003</v>
      </c>
      <c r="V7474" s="6">
        <v>0</v>
      </c>
      <c r="W7474" s="6">
        <f t="shared" si="1156"/>
        <v>332913.09000000003</v>
      </c>
      <c r="X7474" s="6">
        <f t="shared" si="1160"/>
        <v>0</v>
      </c>
      <c r="Y7474" s="13">
        <f t="shared" si="1153"/>
        <v>0</v>
      </c>
      <c r="Z7474" s="66">
        <v>0</v>
      </c>
      <c r="AA7474" s="6">
        <v>0</v>
      </c>
      <c r="AB7474" s="4">
        <f t="shared" si="1154"/>
        <v>0</v>
      </c>
      <c r="AC7474" s="6">
        <f t="shared" si="1152"/>
        <v>0</v>
      </c>
      <c r="AD7474" s="6">
        <f t="shared" si="1157"/>
        <v>0</v>
      </c>
      <c r="AE7474" s="14">
        <f>VLOOKUP(I7474,[2]媒体政策预估表!A:N,MATCH(O7474,[2]媒体政策预估表!$A$2:$M$2,0),0)</f>
        <v>0.1</v>
      </c>
      <c r="AF7474" s="6">
        <f t="shared" si="1159"/>
        <v>0</v>
      </c>
      <c r="AG7474" s="14">
        <v>0</v>
      </c>
      <c r="AH7474" s="64">
        <f t="shared" si="1158"/>
        <v>0</v>
      </c>
      <c r="AJ7474" s="126" t="e">
        <v>#N/A</v>
      </c>
      <c r="AK7474" s="80">
        <f t="shared" si="1155"/>
        <v>0</v>
      </c>
      <c r="AL7474" s="85"/>
      <c r="AM7474" s="85"/>
    </row>
    <row r="7475" spans="1:39" s="86" customFormat="1" ht="13.25" hidden="1" customHeight="1" x14ac:dyDescent="0.3">
      <c r="A7475" s="89" t="s">
        <v>3978</v>
      </c>
      <c r="B7475" s="86" t="s">
        <v>35</v>
      </c>
      <c r="C7475" s="86" t="s">
        <v>184</v>
      </c>
      <c r="D7475" s="86" t="s">
        <v>3849</v>
      </c>
      <c r="E7475" s="86" t="s">
        <v>64</v>
      </c>
      <c r="F7475" s="86" t="s">
        <v>1343</v>
      </c>
      <c r="G7475" s="86" t="s">
        <v>64</v>
      </c>
      <c r="H7475" s="143">
        <v>360</v>
      </c>
      <c r="I7475" s="86" t="s">
        <v>1060</v>
      </c>
      <c r="J7475" s="47" t="s">
        <v>3325</v>
      </c>
      <c r="K7475" s="47" t="s">
        <v>3767</v>
      </c>
      <c r="L7475" s="47" t="s">
        <v>35</v>
      </c>
      <c r="M7475" s="86" t="s">
        <v>64</v>
      </c>
      <c r="O7475" s="47" t="s">
        <v>45</v>
      </c>
      <c r="P7475" s="47" t="s">
        <v>46</v>
      </c>
      <c r="Q7475" s="14">
        <v>0.04</v>
      </c>
      <c r="R7475" s="143" t="s">
        <v>1345</v>
      </c>
      <c r="S7475" s="47"/>
      <c r="T7475" s="6">
        <v>110000</v>
      </c>
      <c r="U7475" s="6">
        <v>-109681.94</v>
      </c>
      <c r="V7475" s="6">
        <v>0</v>
      </c>
      <c r="W7475" s="6">
        <f t="shared" si="1156"/>
        <v>318.05999999999767</v>
      </c>
      <c r="X7475" s="6">
        <f t="shared" si="1160"/>
        <v>0</v>
      </c>
      <c r="Y7475" s="13">
        <f t="shared" si="1153"/>
        <v>0</v>
      </c>
      <c r="Z7475" s="66">
        <v>0</v>
      </c>
      <c r="AA7475" s="6">
        <v>0</v>
      </c>
      <c r="AB7475" s="4">
        <f t="shared" si="1154"/>
        <v>0</v>
      </c>
      <c r="AC7475" s="6">
        <f t="shared" si="1152"/>
        <v>0</v>
      </c>
      <c r="AD7475" s="6">
        <f t="shared" si="1157"/>
        <v>0</v>
      </c>
      <c r="AE7475" s="14">
        <f>VLOOKUP(I7475,[2]媒体政策预估表!A:N,MATCH(O7475,[2]媒体政策预估表!$A$2:$M$2,0),0)</f>
        <v>0.1</v>
      </c>
      <c r="AF7475" s="6">
        <f t="shared" si="1159"/>
        <v>0</v>
      </c>
      <c r="AG7475" s="14">
        <v>0</v>
      </c>
      <c r="AH7475" s="64">
        <f t="shared" si="1158"/>
        <v>0</v>
      </c>
      <c r="AJ7475" s="126" t="e">
        <v>#N/A</v>
      </c>
      <c r="AK7475" s="80">
        <f t="shared" si="1155"/>
        <v>0</v>
      </c>
      <c r="AL7475" s="85"/>
      <c r="AM7475" s="85"/>
    </row>
    <row r="7476" spans="1:39" s="86" customFormat="1" ht="13.25" hidden="1" customHeight="1" x14ac:dyDescent="0.3">
      <c r="A7476" s="89" t="s">
        <v>3978</v>
      </c>
      <c r="B7476" s="86" t="s">
        <v>35</v>
      </c>
      <c r="C7476" s="86" t="s">
        <v>59</v>
      </c>
      <c r="D7476" s="86" t="s">
        <v>60</v>
      </c>
      <c r="E7476" s="86" t="s">
        <v>412</v>
      </c>
      <c r="F7476" s="86" t="s">
        <v>412</v>
      </c>
      <c r="G7476" s="86" t="s">
        <v>412</v>
      </c>
      <c r="H7476" s="144">
        <v>360</v>
      </c>
      <c r="I7476" s="86" t="s">
        <v>1060</v>
      </c>
      <c r="J7476" s="47" t="s">
        <v>3325</v>
      </c>
      <c r="K7476" s="47" t="s">
        <v>3767</v>
      </c>
      <c r="L7476" s="47" t="s">
        <v>35</v>
      </c>
      <c r="M7476" s="86" t="s">
        <v>412</v>
      </c>
      <c r="O7476" s="47" t="s">
        <v>410</v>
      </c>
      <c r="P7476" s="14" t="s">
        <v>46</v>
      </c>
      <c r="Q7476" s="14">
        <v>0.02</v>
      </c>
      <c r="R7476" s="143" t="s">
        <v>1064</v>
      </c>
      <c r="S7476" s="47"/>
      <c r="T7476" s="6">
        <v>2846.0600000000049</v>
      </c>
      <c r="U7476" s="6"/>
      <c r="V7476" s="6">
        <v>2454</v>
      </c>
      <c r="W7476" s="6">
        <f t="shared" si="1156"/>
        <v>392.06000000000495</v>
      </c>
      <c r="X7476" s="6">
        <f t="shared" si="1160"/>
        <v>2405.8823529411766</v>
      </c>
      <c r="Y7476" s="13">
        <f t="shared" si="1153"/>
        <v>0</v>
      </c>
      <c r="Z7476" s="14">
        <v>0</v>
      </c>
      <c r="AA7476" s="6">
        <v>0</v>
      </c>
      <c r="AB7476" s="4">
        <f t="shared" si="1154"/>
        <v>2405.8823529411766</v>
      </c>
      <c r="AC7476" s="6">
        <f t="shared" si="1152"/>
        <v>48.117647058823422</v>
      </c>
      <c r="AD7476" s="6">
        <f t="shared" si="1157"/>
        <v>2454</v>
      </c>
      <c r="AE7476" s="14">
        <f>VLOOKUP(I7476,[2]媒体政策预估表!A:N,MATCH(O7476,[2]媒体政策预估表!$A$2:$M$2,0),0)</f>
        <v>7.0000000000000007E-2</v>
      </c>
      <c r="AF7476" s="6">
        <f t="shared" si="1159"/>
        <v>171.78000000000003</v>
      </c>
      <c r="AG7476" s="14">
        <v>0</v>
      </c>
      <c r="AH7476" s="64">
        <f t="shared" si="1158"/>
        <v>2454</v>
      </c>
      <c r="AJ7476" s="126" t="e">
        <v>#N/A</v>
      </c>
      <c r="AK7476" s="80">
        <f t="shared" si="1155"/>
        <v>0</v>
      </c>
      <c r="AL7476" s="85"/>
      <c r="AM7476" s="85"/>
    </row>
    <row r="7477" spans="1:39" s="86" customFormat="1" ht="13.25" hidden="1" customHeight="1" x14ac:dyDescent="0.3">
      <c r="A7477" s="89" t="s">
        <v>3978</v>
      </c>
      <c r="B7477" s="86" t="s">
        <v>35</v>
      </c>
      <c r="C7477" s="86" t="s">
        <v>59</v>
      </c>
      <c r="D7477" s="86" t="s">
        <v>60</v>
      </c>
      <c r="E7477" s="86" t="s">
        <v>61</v>
      </c>
      <c r="F7477" s="86" t="s">
        <v>62</v>
      </c>
      <c r="G7477" s="86" t="s">
        <v>61</v>
      </c>
      <c r="H7477" s="144">
        <v>360</v>
      </c>
      <c r="I7477" s="86" t="s">
        <v>1060</v>
      </c>
      <c r="J7477" s="47" t="s">
        <v>3325</v>
      </c>
      <c r="K7477" s="47" t="s">
        <v>3767</v>
      </c>
      <c r="L7477" s="47" t="s">
        <v>35</v>
      </c>
      <c r="M7477" s="86" t="s">
        <v>61</v>
      </c>
      <c r="O7477" s="47" t="s">
        <v>410</v>
      </c>
      <c r="P7477" s="14" t="s">
        <v>46</v>
      </c>
      <c r="Q7477" s="14">
        <v>0.02</v>
      </c>
      <c r="R7477" s="143" t="s">
        <v>1074</v>
      </c>
      <c r="S7477" s="47"/>
      <c r="T7477" s="6">
        <v>53313.179999999993</v>
      </c>
      <c r="U7477" s="6"/>
      <c r="V7477" s="6">
        <v>8306.4</v>
      </c>
      <c r="W7477" s="6">
        <f t="shared" si="1156"/>
        <v>45006.779999999992</v>
      </c>
      <c r="X7477" s="6">
        <f t="shared" si="1160"/>
        <v>8143.5294117647054</v>
      </c>
      <c r="Y7477" s="13">
        <f t="shared" si="1153"/>
        <v>0</v>
      </c>
      <c r="Z7477" s="14">
        <v>0</v>
      </c>
      <c r="AA7477" s="6">
        <v>0</v>
      </c>
      <c r="AB7477" s="4">
        <f t="shared" si="1154"/>
        <v>8143.5294117647054</v>
      </c>
      <c r="AC7477" s="6">
        <f t="shared" si="1152"/>
        <v>162.87058823529424</v>
      </c>
      <c r="AD7477" s="6">
        <f t="shared" si="1157"/>
        <v>8306.4</v>
      </c>
      <c r="AE7477" s="14">
        <f>VLOOKUP(I7477,[2]媒体政策预估表!A:N,MATCH(O7477,[2]媒体政策预估表!$A$2:$M$2,0),0)</f>
        <v>7.0000000000000007E-2</v>
      </c>
      <c r="AF7477" s="6">
        <f t="shared" si="1159"/>
        <v>581.44799999999998</v>
      </c>
      <c r="AG7477" s="14">
        <v>0</v>
      </c>
      <c r="AH7477" s="64">
        <f t="shared" si="1158"/>
        <v>8306.4</v>
      </c>
      <c r="AJ7477" s="126" t="e">
        <v>#N/A</v>
      </c>
      <c r="AK7477" s="80">
        <f t="shared" si="1155"/>
        <v>0</v>
      </c>
      <c r="AL7477" s="85"/>
      <c r="AM7477" s="85"/>
    </row>
    <row r="7478" spans="1:39" s="86" customFormat="1" ht="13.25" hidden="1" customHeight="1" x14ac:dyDescent="0.3">
      <c r="A7478" s="89" t="s">
        <v>3978</v>
      </c>
      <c r="B7478" s="86" t="s">
        <v>35</v>
      </c>
      <c r="C7478" s="86" t="s">
        <v>59</v>
      </c>
      <c r="D7478" s="86" t="s">
        <v>60</v>
      </c>
      <c r="E7478" s="86" t="s">
        <v>774</v>
      </c>
      <c r="F7478" s="86" t="s">
        <v>774</v>
      </c>
      <c r="G7478" s="86" t="s">
        <v>774</v>
      </c>
      <c r="H7478" s="143">
        <v>360</v>
      </c>
      <c r="I7478" s="86" t="s">
        <v>1060</v>
      </c>
      <c r="J7478" s="47" t="s">
        <v>3325</v>
      </c>
      <c r="K7478" s="47" t="s">
        <v>3767</v>
      </c>
      <c r="L7478" s="47" t="s">
        <v>35</v>
      </c>
      <c r="M7478" s="86" t="s">
        <v>784</v>
      </c>
      <c r="O7478" s="47" t="s">
        <v>410</v>
      </c>
      <c r="P7478" s="14" t="s">
        <v>46</v>
      </c>
      <c r="Q7478" s="14">
        <v>0.02</v>
      </c>
      <c r="R7478" s="143" t="s">
        <v>1079</v>
      </c>
      <c r="S7478" s="47"/>
      <c r="T7478" s="6">
        <v>40000</v>
      </c>
      <c r="U7478" s="6"/>
      <c r="V7478" s="6">
        <v>0</v>
      </c>
      <c r="W7478" s="6">
        <f t="shared" si="1156"/>
        <v>40000</v>
      </c>
      <c r="X7478" s="6">
        <f t="shared" si="1160"/>
        <v>0</v>
      </c>
      <c r="Y7478" s="13">
        <f t="shared" si="1153"/>
        <v>0</v>
      </c>
      <c r="Z7478" s="14">
        <v>0</v>
      </c>
      <c r="AA7478" s="6">
        <v>0</v>
      </c>
      <c r="AB7478" s="4">
        <f t="shared" si="1154"/>
        <v>0</v>
      </c>
      <c r="AC7478" s="6">
        <f t="shared" si="1152"/>
        <v>0</v>
      </c>
      <c r="AD7478" s="6">
        <f t="shared" si="1157"/>
        <v>0</v>
      </c>
      <c r="AE7478" s="14">
        <f>VLOOKUP(I7478,[2]媒体政策预估表!A:N,MATCH(O7478,[2]媒体政策预估表!$A$2:$M$2,0),0)</f>
        <v>7.0000000000000007E-2</v>
      </c>
      <c r="AF7478" s="6">
        <f t="shared" si="1159"/>
        <v>0</v>
      </c>
      <c r="AG7478" s="14">
        <v>0</v>
      </c>
      <c r="AH7478" s="64">
        <f t="shared" si="1158"/>
        <v>0</v>
      </c>
      <c r="AJ7478" s="126" t="e">
        <v>#N/A</v>
      </c>
      <c r="AK7478" s="80">
        <f t="shared" si="1155"/>
        <v>0</v>
      </c>
      <c r="AL7478" s="85"/>
      <c r="AM7478" s="85"/>
    </row>
    <row r="7479" spans="1:39" s="86" customFormat="1" ht="13.25" hidden="1" customHeight="1" x14ac:dyDescent="0.3">
      <c r="A7479" s="89" t="s">
        <v>3792</v>
      </c>
      <c r="B7479" s="86" t="s">
        <v>35</v>
      </c>
      <c r="C7479" s="86" t="s">
        <v>59</v>
      </c>
      <c r="D7479" s="86" t="s">
        <v>60</v>
      </c>
      <c r="E7479" s="86" t="s">
        <v>1083</v>
      </c>
      <c r="F7479" s="86" t="s">
        <v>1084</v>
      </c>
      <c r="G7479" s="86" t="s">
        <v>1083</v>
      </c>
      <c r="H7479" s="144">
        <v>360</v>
      </c>
      <c r="I7479" s="86" t="s">
        <v>1060</v>
      </c>
      <c r="J7479" s="47" t="s">
        <v>3325</v>
      </c>
      <c r="K7479" s="47" t="s">
        <v>3767</v>
      </c>
      <c r="L7479" s="47" t="s">
        <v>35</v>
      </c>
      <c r="M7479" s="86" t="s">
        <v>1087</v>
      </c>
      <c r="O7479" s="47" t="s">
        <v>410</v>
      </c>
      <c r="P7479" s="14" t="s">
        <v>41</v>
      </c>
      <c r="Q7479" s="14">
        <v>0</v>
      </c>
      <c r="R7479" s="143" t="s">
        <v>1088</v>
      </c>
      <c r="S7479" s="47"/>
      <c r="T7479" s="6">
        <v>12527</v>
      </c>
      <c r="U7479" s="6"/>
      <c r="V7479" s="6">
        <v>6127.2</v>
      </c>
      <c r="W7479" s="6">
        <f t="shared" si="1156"/>
        <v>6399.8</v>
      </c>
      <c r="X7479" s="6">
        <f t="shared" si="1160"/>
        <v>6127.2</v>
      </c>
      <c r="Y7479" s="13">
        <f t="shared" si="1153"/>
        <v>0</v>
      </c>
      <c r="Z7479" s="14">
        <v>0</v>
      </c>
      <c r="AA7479" s="6">
        <v>0</v>
      </c>
      <c r="AB7479" s="4">
        <f t="shared" si="1154"/>
        <v>6127.2</v>
      </c>
      <c r="AC7479" s="6">
        <f t="shared" si="1152"/>
        <v>0</v>
      </c>
      <c r="AD7479" s="6">
        <f t="shared" si="1157"/>
        <v>6127.2</v>
      </c>
      <c r="AE7479" s="14">
        <f>VLOOKUP(I7479,[2]媒体政策预估表!A:N,MATCH(O7479,[2]媒体政策预估表!$A$2:$M$2,0),0)</f>
        <v>7.0000000000000007E-2</v>
      </c>
      <c r="AF7479" s="6">
        <f t="shared" si="1159"/>
        <v>428.90400000000005</v>
      </c>
      <c r="AG7479" s="14">
        <v>0</v>
      </c>
      <c r="AH7479" s="64">
        <f t="shared" si="1158"/>
        <v>6127.2</v>
      </c>
      <c r="AJ7479" s="126" t="e">
        <v>#N/A</v>
      </c>
      <c r="AK7479" s="80">
        <f t="shared" si="1155"/>
        <v>0</v>
      </c>
      <c r="AL7479" s="85"/>
      <c r="AM7479" s="85"/>
    </row>
    <row r="7480" spans="1:39" s="86" customFormat="1" ht="13.25" hidden="1" customHeight="1" x14ac:dyDescent="0.3">
      <c r="A7480" s="89" t="s">
        <v>3978</v>
      </c>
      <c r="B7480" s="86" t="s">
        <v>35</v>
      </c>
      <c r="C7480" s="86" t="s">
        <v>184</v>
      </c>
      <c r="D7480" s="86" t="s">
        <v>224</v>
      </c>
      <c r="E7480" s="86" t="s">
        <v>1103</v>
      </c>
      <c r="F7480" s="86" t="s">
        <v>1103</v>
      </c>
      <c r="G7480" s="86" t="s">
        <v>1103</v>
      </c>
      <c r="H7480" s="144">
        <v>360</v>
      </c>
      <c r="I7480" s="86" t="s">
        <v>1060</v>
      </c>
      <c r="J7480" s="47" t="s">
        <v>3325</v>
      </c>
      <c r="K7480" s="47" t="s">
        <v>3767</v>
      </c>
      <c r="L7480" s="47" t="s">
        <v>35</v>
      </c>
      <c r="M7480" s="86" t="s">
        <v>1104</v>
      </c>
      <c r="O7480" s="47" t="s">
        <v>410</v>
      </c>
      <c r="P7480" s="14" t="s">
        <v>41</v>
      </c>
      <c r="Q7480" s="14">
        <v>0</v>
      </c>
      <c r="R7480" s="143" t="s">
        <v>1105</v>
      </c>
      <c r="S7480" s="47"/>
      <c r="T7480" s="6">
        <v>99100.2</v>
      </c>
      <c r="U7480" s="6"/>
      <c r="V7480" s="6">
        <v>60464.9</v>
      </c>
      <c r="W7480" s="6">
        <f t="shared" si="1156"/>
        <v>38635.299999999996</v>
      </c>
      <c r="X7480" s="6">
        <f t="shared" si="1160"/>
        <v>60464.9</v>
      </c>
      <c r="Y7480" s="13">
        <f t="shared" si="1153"/>
        <v>0</v>
      </c>
      <c r="Z7480" s="14">
        <v>0</v>
      </c>
      <c r="AA7480" s="6">
        <v>0</v>
      </c>
      <c r="AB7480" s="4">
        <f t="shared" si="1154"/>
        <v>60464.9</v>
      </c>
      <c r="AC7480" s="6">
        <f t="shared" si="1152"/>
        <v>0</v>
      </c>
      <c r="AD7480" s="6">
        <f t="shared" si="1157"/>
        <v>60464.9</v>
      </c>
      <c r="AE7480" s="14">
        <f>VLOOKUP(I7480,[2]媒体政策预估表!A:N,MATCH(O7480,[2]媒体政策预估表!$A$2:$M$2,0),0)</f>
        <v>7.0000000000000007E-2</v>
      </c>
      <c r="AF7480" s="6">
        <f t="shared" si="1159"/>
        <v>4232.5430000000006</v>
      </c>
      <c r="AG7480" s="14">
        <v>0</v>
      </c>
      <c r="AH7480" s="64">
        <f t="shared" si="1158"/>
        <v>60464.9</v>
      </c>
      <c r="AJ7480" s="126" t="e">
        <v>#N/A</v>
      </c>
      <c r="AK7480" s="80">
        <f t="shared" si="1155"/>
        <v>0</v>
      </c>
      <c r="AL7480" s="85"/>
      <c r="AM7480" s="85"/>
    </row>
    <row r="7481" spans="1:39" s="86" customFormat="1" ht="13.25" hidden="1" customHeight="1" x14ac:dyDescent="0.3">
      <c r="A7481" s="89" t="s">
        <v>3978</v>
      </c>
      <c r="B7481" s="86" t="s">
        <v>35</v>
      </c>
      <c r="C7481" s="86" t="s">
        <v>184</v>
      </c>
      <c r="D7481" s="86" t="s">
        <v>224</v>
      </c>
      <c r="E7481" s="86" t="s">
        <v>1123</v>
      </c>
      <c r="F7481" s="86" t="s">
        <v>1123</v>
      </c>
      <c r="G7481" s="86" t="s">
        <v>1123</v>
      </c>
      <c r="H7481" s="144">
        <v>360</v>
      </c>
      <c r="I7481" s="86" t="s">
        <v>1060</v>
      </c>
      <c r="J7481" s="47" t="s">
        <v>3325</v>
      </c>
      <c r="K7481" s="47" t="s">
        <v>3767</v>
      </c>
      <c r="L7481" s="47" t="s">
        <v>35</v>
      </c>
      <c r="M7481" s="86" t="s">
        <v>1123</v>
      </c>
      <c r="O7481" s="47" t="s">
        <v>410</v>
      </c>
      <c r="P7481" s="14" t="s">
        <v>41</v>
      </c>
      <c r="Q7481" s="14">
        <v>0</v>
      </c>
      <c r="R7481" s="143" t="s">
        <v>1124</v>
      </c>
      <c r="S7481" s="47"/>
      <c r="T7481" s="6">
        <v>9053.1799999999985</v>
      </c>
      <c r="U7481" s="6"/>
      <c r="V7481" s="6">
        <v>5653.5</v>
      </c>
      <c r="W7481" s="6">
        <f t="shared" si="1156"/>
        <v>3399.6799999999985</v>
      </c>
      <c r="X7481" s="6">
        <f t="shared" si="1160"/>
        <v>5653.5</v>
      </c>
      <c r="Y7481" s="13">
        <f t="shared" si="1153"/>
        <v>0</v>
      </c>
      <c r="Z7481" s="14">
        <v>0</v>
      </c>
      <c r="AA7481" s="6">
        <v>0</v>
      </c>
      <c r="AB7481" s="4">
        <f t="shared" si="1154"/>
        <v>5653.5</v>
      </c>
      <c r="AC7481" s="6">
        <f t="shared" si="1152"/>
        <v>0</v>
      </c>
      <c r="AD7481" s="6">
        <f t="shared" si="1157"/>
        <v>5653.5</v>
      </c>
      <c r="AE7481" s="14">
        <f>VLOOKUP(I7481,[2]媒体政策预估表!A:N,MATCH(O7481,[2]媒体政策预估表!$A$2:$M$2,0),0)</f>
        <v>7.0000000000000007E-2</v>
      </c>
      <c r="AF7481" s="6">
        <f t="shared" si="1159"/>
        <v>395.74500000000006</v>
      </c>
      <c r="AG7481" s="14">
        <v>0</v>
      </c>
      <c r="AH7481" s="64">
        <f t="shared" si="1158"/>
        <v>5653.5</v>
      </c>
      <c r="AJ7481" s="126" t="e">
        <v>#N/A</v>
      </c>
      <c r="AK7481" s="80">
        <f t="shared" si="1155"/>
        <v>0</v>
      </c>
      <c r="AL7481" s="85"/>
      <c r="AM7481" s="85"/>
    </row>
    <row r="7482" spans="1:39" s="86" customFormat="1" ht="13.25" hidden="1" customHeight="1" x14ac:dyDescent="0.3">
      <c r="A7482" s="89" t="s">
        <v>3978</v>
      </c>
      <c r="B7482" s="86" t="s">
        <v>35</v>
      </c>
      <c r="C7482" s="86" t="s">
        <v>184</v>
      </c>
      <c r="D7482" s="86" t="s">
        <v>224</v>
      </c>
      <c r="E7482" s="86" t="s">
        <v>1130</v>
      </c>
      <c r="F7482" s="86" t="s">
        <v>1130</v>
      </c>
      <c r="G7482" s="86" t="s">
        <v>1130</v>
      </c>
      <c r="H7482" s="144">
        <v>360</v>
      </c>
      <c r="I7482" s="86" t="s">
        <v>1060</v>
      </c>
      <c r="J7482" s="47" t="s">
        <v>3325</v>
      </c>
      <c r="K7482" s="47" t="s">
        <v>3767</v>
      </c>
      <c r="L7482" s="47" t="s">
        <v>35</v>
      </c>
      <c r="M7482" s="86" t="s">
        <v>1130</v>
      </c>
      <c r="O7482" s="47" t="s">
        <v>410</v>
      </c>
      <c r="P7482" s="14" t="s">
        <v>41</v>
      </c>
      <c r="Q7482" s="14">
        <v>0</v>
      </c>
      <c r="R7482" s="143" t="s">
        <v>1131</v>
      </c>
      <c r="S7482" s="47"/>
      <c r="T7482" s="6">
        <v>17272.099999999995</v>
      </c>
      <c r="U7482" s="6"/>
      <c r="V7482" s="6">
        <v>13479</v>
      </c>
      <c r="W7482" s="6">
        <f t="shared" si="1156"/>
        <v>3793.0999999999949</v>
      </c>
      <c r="X7482" s="6">
        <f t="shared" si="1160"/>
        <v>13479</v>
      </c>
      <c r="Y7482" s="13">
        <f t="shared" si="1153"/>
        <v>0</v>
      </c>
      <c r="Z7482" s="14">
        <v>0</v>
      </c>
      <c r="AA7482" s="6">
        <v>0</v>
      </c>
      <c r="AB7482" s="4">
        <f t="shared" si="1154"/>
        <v>13479</v>
      </c>
      <c r="AC7482" s="6">
        <f t="shared" si="1152"/>
        <v>0</v>
      </c>
      <c r="AD7482" s="6">
        <f t="shared" si="1157"/>
        <v>13479</v>
      </c>
      <c r="AE7482" s="14">
        <f>VLOOKUP(I7482,[2]媒体政策预估表!A:N,MATCH(O7482,[2]媒体政策预估表!$A$2:$M$2,0),0)</f>
        <v>7.0000000000000007E-2</v>
      </c>
      <c r="AF7482" s="6">
        <f t="shared" si="1159"/>
        <v>943.53000000000009</v>
      </c>
      <c r="AG7482" s="14">
        <v>0</v>
      </c>
      <c r="AH7482" s="64">
        <f t="shared" si="1158"/>
        <v>13479</v>
      </c>
      <c r="AJ7482" s="126" t="e">
        <v>#N/A</v>
      </c>
      <c r="AK7482" s="80">
        <f t="shared" si="1155"/>
        <v>0</v>
      </c>
      <c r="AL7482" s="85"/>
      <c r="AM7482" s="85"/>
    </row>
    <row r="7483" spans="1:39" s="86" customFormat="1" ht="13.25" hidden="1" customHeight="1" x14ac:dyDescent="0.3">
      <c r="A7483" s="89" t="s">
        <v>3978</v>
      </c>
      <c r="B7483" s="86" t="s">
        <v>35</v>
      </c>
      <c r="C7483" s="86" t="s">
        <v>184</v>
      </c>
      <c r="D7483" s="86" t="s">
        <v>224</v>
      </c>
      <c r="E7483" s="86" t="s">
        <v>1132</v>
      </c>
      <c r="F7483" s="86" t="s">
        <v>1132</v>
      </c>
      <c r="G7483" s="86" t="s">
        <v>1132</v>
      </c>
      <c r="H7483" s="144">
        <v>360</v>
      </c>
      <c r="I7483" s="86" t="s">
        <v>1060</v>
      </c>
      <c r="J7483" s="47" t="s">
        <v>3325</v>
      </c>
      <c r="K7483" s="47" t="s">
        <v>3767</v>
      </c>
      <c r="L7483" s="47" t="s">
        <v>35</v>
      </c>
      <c r="M7483" s="86" t="s">
        <v>1132</v>
      </c>
      <c r="O7483" s="47" t="s">
        <v>410</v>
      </c>
      <c r="P7483" s="14" t="s">
        <v>41</v>
      </c>
      <c r="Q7483" s="14">
        <v>0</v>
      </c>
      <c r="R7483" s="143" t="s">
        <v>1133</v>
      </c>
      <c r="S7483" s="47"/>
      <c r="T7483" s="6">
        <v>10185.419999999998</v>
      </c>
      <c r="U7483" s="6"/>
      <c r="V7483" s="6">
        <v>5893.2</v>
      </c>
      <c r="W7483" s="6">
        <f t="shared" si="1156"/>
        <v>4292.2199999999984</v>
      </c>
      <c r="X7483" s="6">
        <f t="shared" si="1160"/>
        <v>5893.2</v>
      </c>
      <c r="Y7483" s="13">
        <f t="shared" si="1153"/>
        <v>0</v>
      </c>
      <c r="Z7483" s="14">
        <v>0</v>
      </c>
      <c r="AA7483" s="6">
        <v>0</v>
      </c>
      <c r="AB7483" s="4">
        <f t="shared" si="1154"/>
        <v>5893.2</v>
      </c>
      <c r="AC7483" s="6">
        <f t="shared" si="1152"/>
        <v>0</v>
      </c>
      <c r="AD7483" s="6">
        <f t="shared" si="1157"/>
        <v>5893.2</v>
      </c>
      <c r="AE7483" s="14">
        <f>VLOOKUP(I7483,[2]媒体政策预估表!A:N,MATCH(O7483,[2]媒体政策预估表!$A$2:$M$2,0),0)</f>
        <v>7.0000000000000007E-2</v>
      </c>
      <c r="AF7483" s="6">
        <f t="shared" si="1159"/>
        <v>412.524</v>
      </c>
      <c r="AG7483" s="14">
        <v>0</v>
      </c>
      <c r="AH7483" s="64">
        <f t="shared" si="1158"/>
        <v>5893.2</v>
      </c>
      <c r="AJ7483" s="126" t="e">
        <v>#N/A</v>
      </c>
      <c r="AK7483" s="80">
        <f t="shared" si="1155"/>
        <v>0</v>
      </c>
      <c r="AL7483" s="85"/>
      <c r="AM7483" s="85"/>
    </row>
    <row r="7484" spans="1:39" s="86" customFormat="1" ht="13.25" hidden="1" customHeight="1" x14ac:dyDescent="0.3">
      <c r="A7484" s="89" t="s">
        <v>3978</v>
      </c>
      <c r="B7484" s="86" t="s">
        <v>35</v>
      </c>
      <c r="C7484" s="86" t="s">
        <v>184</v>
      </c>
      <c r="D7484" s="86" t="s">
        <v>224</v>
      </c>
      <c r="E7484" s="86" t="s">
        <v>1165</v>
      </c>
      <c r="F7484" s="86" t="s">
        <v>1165</v>
      </c>
      <c r="G7484" s="86" t="s">
        <v>1165</v>
      </c>
      <c r="H7484" s="144">
        <v>360</v>
      </c>
      <c r="I7484" s="86" t="s">
        <v>1060</v>
      </c>
      <c r="J7484" s="47" t="s">
        <v>3325</v>
      </c>
      <c r="K7484" s="47" t="s">
        <v>3767</v>
      </c>
      <c r="L7484" s="47" t="s">
        <v>35</v>
      </c>
      <c r="M7484" s="86" t="s">
        <v>1165</v>
      </c>
      <c r="O7484" s="47" t="s">
        <v>410</v>
      </c>
      <c r="P7484" s="14" t="s">
        <v>41</v>
      </c>
      <c r="Q7484" s="14">
        <v>0</v>
      </c>
      <c r="R7484" s="143" t="s">
        <v>1166</v>
      </c>
      <c r="S7484" s="47"/>
      <c r="T7484" s="6">
        <v>213118.27999999997</v>
      </c>
      <c r="U7484" s="6"/>
      <c r="V7484" s="6">
        <v>123333.3</v>
      </c>
      <c r="W7484" s="6">
        <f t="shared" si="1156"/>
        <v>89784.979999999967</v>
      </c>
      <c r="X7484" s="6">
        <f t="shared" si="1160"/>
        <v>123333.3</v>
      </c>
      <c r="Y7484" s="13">
        <f t="shared" si="1153"/>
        <v>0</v>
      </c>
      <c r="Z7484" s="14">
        <v>0</v>
      </c>
      <c r="AA7484" s="6">
        <v>0</v>
      </c>
      <c r="AB7484" s="4">
        <f t="shared" si="1154"/>
        <v>123333.3</v>
      </c>
      <c r="AC7484" s="6">
        <f t="shared" si="1152"/>
        <v>0</v>
      </c>
      <c r="AD7484" s="6">
        <f t="shared" si="1157"/>
        <v>123333.3</v>
      </c>
      <c r="AE7484" s="14">
        <f>VLOOKUP(I7484,[2]媒体政策预估表!A:N,MATCH(O7484,[2]媒体政策预估表!$A$2:$M$2,0),0)</f>
        <v>7.0000000000000007E-2</v>
      </c>
      <c r="AF7484" s="6">
        <f t="shared" si="1159"/>
        <v>8633.3310000000001</v>
      </c>
      <c r="AG7484" s="14">
        <v>0</v>
      </c>
      <c r="AH7484" s="64">
        <f t="shared" si="1158"/>
        <v>123333.3</v>
      </c>
      <c r="AJ7484" s="126" t="e">
        <v>#N/A</v>
      </c>
      <c r="AK7484" s="80">
        <f t="shared" si="1155"/>
        <v>0</v>
      </c>
      <c r="AL7484" s="85"/>
      <c r="AM7484" s="85"/>
    </row>
    <row r="7485" spans="1:39" s="86" customFormat="1" ht="13.25" hidden="1" customHeight="1" x14ac:dyDescent="0.3">
      <c r="A7485" s="89" t="s">
        <v>3978</v>
      </c>
      <c r="B7485" s="86" t="s">
        <v>35</v>
      </c>
      <c r="C7485" s="86" t="s">
        <v>184</v>
      </c>
      <c r="D7485" s="86" t="s">
        <v>224</v>
      </c>
      <c r="E7485" s="86" t="s">
        <v>1174</v>
      </c>
      <c r="F7485" s="86" t="s">
        <v>1175</v>
      </c>
      <c r="G7485" s="86" t="s">
        <v>1174</v>
      </c>
      <c r="H7485" s="144">
        <v>360</v>
      </c>
      <c r="I7485" s="86" t="s">
        <v>1060</v>
      </c>
      <c r="J7485" s="47" t="s">
        <v>3325</v>
      </c>
      <c r="K7485" s="47" t="s">
        <v>3767</v>
      </c>
      <c r="L7485" s="47" t="s">
        <v>35</v>
      </c>
      <c r="M7485" s="86" t="s">
        <v>1176</v>
      </c>
      <c r="O7485" s="47" t="s">
        <v>410</v>
      </c>
      <c r="P7485" s="14" t="s">
        <v>41</v>
      </c>
      <c r="Q7485" s="14">
        <v>0</v>
      </c>
      <c r="R7485" s="143" t="s">
        <v>1177</v>
      </c>
      <c r="S7485" s="47"/>
      <c r="T7485" s="6">
        <v>2880.6000000000004</v>
      </c>
      <c r="U7485" s="6"/>
      <c r="V7485" s="6">
        <v>2410.9</v>
      </c>
      <c r="W7485" s="6">
        <f t="shared" si="1156"/>
        <v>469.70000000000027</v>
      </c>
      <c r="X7485" s="6">
        <f t="shared" si="1160"/>
        <v>2410.9</v>
      </c>
      <c r="Y7485" s="13">
        <f t="shared" si="1153"/>
        <v>0</v>
      </c>
      <c r="Z7485" s="14">
        <v>0</v>
      </c>
      <c r="AA7485" s="6">
        <v>0</v>
      </c>
      <c r="AB7485" s="4">
        <f t="shared" si="1154"/>
        <v>2410.9</v>
      </c>
      <c r="AC7485" s="6">
        <f t="shared" si="1152"/>
        <v>0</v>
      </c>
      <c r="AD7485" s="6">
        <f t="shared" si="1157"/>
        <v>2410.9</v>
      </c>
      <c r="AE7485" s="14">
        <f>VLOOKUP(I7485,[2]媒体政策预估表!A:N,MATCH(O7485,[2]媒体政策预估表!$A$2:$M$2,0),0)</f>
        <v>7.0000000000000007E-2</v>
      </c>
      <c r="AF7485" s="6">
        <f t="shared" si="1159"/>
        <v>168.76300000000003</v>
      </c>
      <c r="AG7485" s="14">
        <v>0</v>
      </c>
      <c r="AH7485" s="64">
        <f t="shared" si="1158"/>
        <v>2410.9</v>
      </c>
      <c r="AJ7485" s="126" t="s">
        <v>4221</v>
      </c>
      <c r="AK7485" s="80">
        <f t="shared" si="1155"/>
        <v>0</v>
      </c>
      <c r="AL7485" s="150"/>
      <c r="AM7485" s="85"/>
    </row>
    <row r="7486" spans="1:39" s="86" customFormat="1" ht="13.25" hidden="1" customHeight="1" x14ac:dyDescent="0.3">
      <c r="A7486" s="89" t="s">
        <v>3978</v>
      </c>
      <c r="B7486" s="86" t="s">
        <v>35</v>
      </c>
      <c r="C7486" s="86" t="s">
        <v>184</v>
      </c>
      <c r="D7486" s="86" t="s">
        <v>54</v>
      </c>
      <c r="E7486" s="86" t="s">
        <v>1069</v>
      </c>
      <c r="F7486" s="86" t="s">
        <v>1194</v>
      </c>
      <c r="G7486" s="86" t="s">
        <v>1069</v>
      </c>
      <c r="H7486" s="143">
        <v>360</v>
      </c>
      <c r="I7486" s="86" t="s">
        <v>1060</v>
      </c>
      <c r="J7486" s="47" t="s">
        <v>3325</v>
      </c>
      <c r="K7486" s="47" t="s">
        <v>3767</v>
      </c>
      <c r="L7486" s="47" t="s">
        <v>35</v>
      </c>
      <c r="M7486" s="86" t="s">
        <v>1195</v>
      </c>
      <c r="O7486" s="47" t="s">
        <v>410</v>
      </c>
      <c r="P7486" s="14" t="s">
        <v>46</v>
      </c>
      <c r="Q7486" s="14">
        <v>0.03</v>
      </c>
      <c r="R7486" s="143" t="s">
        <v>1199</v>
      </c>
      <c r="S7486" s="47"/>
      <c r="T7486" s="6">
        <v>53645.8</v>
      </c>
      <c r="U7486" s="6"/>
      <c r="V7486" s="6">
        <v>0</v>
      </c>
      <c r="W7486" s="6">
        <f t="shared" si="1156"/>
        <v>53645.8</v>
      </c>
      <c r="X7486" s="6">
        <f t="shared" si="1160"/>
        <v>0</v>
      </c>
      <c r="Y7486" s="13">
        <f t="shared" si="1153"/>
        <v>0</v>
      </c>
      <c r="Z7486" s="14">
        <v>0</v>
      </c>
      <c r="AA7486" s="6">
        <v>0</v>
      </c>
      <c r="AB7486" s="4">
        <f t="shared" si="1154"/>
        <v>0</v>
      </c>
      <c r="AC7486" s="6">
        <f t="shared" ref="AC7486:AC7549" si="1161">IF(P7486="返现",X7486*Q7486,V7486-X7486)</f>
        <v>0</v>
      </c>
      <c r="AD7486" s="6">
        <f t="shared" si="1157"/>
        <v>0</v>
      </c>
      <c r="AE7486" s="14">
        <f>VLOOKUP(I7486,[2]媒体政策预估表!A:N,MATCH(O7486,[2]媒体政策预估表!$A$2:$M$2,0),0)</f>
        <v>7.0000000000000007E-2</v>
      </c>
      <c r="AF7486" s="6">
        <f t="shared" si="1159"/>
        <v>0</v>
      </c>
      <c r="AG7486" s="14">
        <v>0</v>
      </c>
      <c r="AH7486" s="64">
        <f t="shared" si="1158"/>
        <v>0</v>
      </c>
      <c r="AJ7486" s="126" t="e">
        <v>#N/A</v>
      </c>
      <c r="AK7486" s="80">
        <f t="shared" si="1155"/>
        <v>0</v>
      </c>
      <c r="AL7486" s="85"/>
      <c r="AM7486" s="85"/>
    </row>
    <row r="7487" spans="1:39" s="86" customFormat="1" ht="13.25" hidden="1" customHeight="1" x14ac:dyDescent="0.3">
      <c r="A7487" s="89" t="s">
        <v>3978</v>
      </c>
      <c r="B7487" s="86" t="s">
        <v>35</v>
      </c>
      <c r="C7487" s="86" t="s">
        <v>184</v>
      </c>
      <c r="D7487" s="86" t="s">
        <v>3849</v>
      </c>
      <c r="E7487" s="86" t="s">
        <v>64</v>
      </c>
      <c r="F7487" s="86" t="s">
        <v>1343</v>
      </c>
      <c r="G7487" s="86" t="s">
        <v>64</v>
      </c>
      <c r="H7487" s="144">
        <v>360</v>
      </c>
      <c r="I7487" s="86" t="s">
        <v>1060</v>
      </c>
      <c r="J7487" s="47" t="s">
        <v>3325</v>
      </c>
      <c r="K7487" s="47" t="s">
        <v>3767</v>
      </c>
      <c r="L7487" s="47" t="s">
        <v>35</v>
      </c>
      <c r="M7487" s="86" t="s">
        <v>64</v>
      </c>
      <c r="O7487" s="47" t="s">
        <v>410</v>
      </c>
      <c r="P7487" s="14" t="s">
        <v>46</v>
      </c>
      <c r="Q7487" s="14">
        <v>0.02</v>
      </c>
      <c r="R7487" s="143" t="s">
        <v>1346</v>
      </c>
      <c r="S7487" s="47"/>
      <c r="T7487" s="6">
        <v>2358184.1571499999</v>
      </c>
      <c r="U7487" s="6"/>
      <c r="V7487" s="6">
        <v>1498377.1476400001</v>
      </c>
      <c r="W7487" s="6">
        <f t="shared" si="1156"/>
        <v>859807.00950999977</v>
      </c>
      <c r="X7487" s="6">
        <f t="shared" si="1160"/>
        <v>1468997.2035686276</v>
      </c>
      <c r="Y7487" s="13">
        <f t="shared" si="1153"/>
        <v>0</v>
      </c>
      <c r="Z7487" s="14">
        <v>0</v>
      </c>
      <c r="AA7487" s="6">
        <v>0</v>
      </c>
      <c r="AB7487" s="4">
        <f t="shared" si="1154"/>
        <v>1468997.2035686276</v>
      </c>
      <c r="AC7487" s="6">
        <f t="shared" si="1161"/>
        <v>29379.944071372505</v>
      </c>
      <c r="AD7487" s="6">
        <f t="shared" si="1157"/>
        <v>1498377.1476400001</v>
      </c>
      <c r="AE7487" s="14">
        <f>VLOOKUP(I7487,[2]媒体政策预估表!A:N,MATCH(O7487,[2]媒体政策预估表!$A$2:$M$2,0),0)</f>
        <v>7.0000000000000007E-2</v>
      </c>
      <c r="AF7487" s="6">
        <f t="shared" si="1159"/>
        <v>104886.40033480001</v>
      </c>
      <c r="AG7487" s="14">
        <v>0</v>
      </c>
      <c r="AH7487" s="64">
        <f t="shared" si="1158"/>
        <v>1498377.1476400001</v>
      </c>
      <c r="AJ7487" s="126" t="e">
        <v>#N/A</v>
      </c>
      <c r="AK7487" s="80">
        <f t="shared" si="1155"/>
        <v>0</v>
      </c>
      <c r="AL7487" s="85"/>
      <c r="AM7487" s="85"/>
    </row>
    <row r="7488" spans="1:39" s="86" customFormat="1" ht="13.25" hidden="1" customHeight="1" x14ac:dyDescent="0.3">
      <c r="A7488" s="89" t="s">
        <v>3805</v>
      </c>
      <c r="B7488" s="86" t="s">
        <v>35</v>
      </c>
      <c r="C7488" s="86" t="s">
        <v>184</v>
      </c>
      <c r="D7488" s="86" t="s">
        <v>37</v>
      </c>
      <c r="E7488" s="86" t="s">
        <v>1221</v>
      </c>
      <c r="F7488" s="86" t="s">
        <v>1221</v>
      </c>
      <c r="G7488" s="86" t="s">
        <v>1221</v>
      </c>
      <c r="H7488" s="144">
        <v>360</v>
      </c>
      <c r="I7488" s="86" t="s">
        <v>1060</v>
      </c>
      <c r="J7488" s="47" t="s">
        <v>3325</v>
      </c>
      <c r="K7488" s="47" t="s">
        <v>3767</v>
      </c>
      <c r="L7488" s="47" t="s">
        <v>35</v>
      </c>
      <c r="M7488" s="86" t="s">
        <v>1221</v>
      </c>
      <c r="O7488" s="47" t="s">
        <v>410</v>
      </c>
      <c r="P7488" s="14" t="s">
        <v>41</v>
      </c>
      <c r="Q7488" s="14">
        <v>0</v>
      </c>
      <c r="R7488" s="143" t="s">
        <v>1222</v>
      </c>
      <c r="S7488" s="47"/>
      <c r="T7488" s="6">
        <v>271465.80000000005</v>
      </c>
      <c r="U7488" s="6"/>
      <c r="V7488" s="6">
        <v>217516.3</v>
      </c>
      <c r="W7488" s="6">
        <f t="shared" si="1156"/>
        <v>53949.500000000058</v>
      </c>
      <c r="X7488" s="6">
        <f t="shared" si="1160"/>
        <v>217516.3</v>
      </c>
      <c r="Y7488" s="13">
        <f t="shared" si="1153"/>
        <v>0</v>
      </c>
      <c r="Z7488" s="14">
        <v>0</v>
      </c>
      <c r="AA7488" s="6">
        <v>0</v>
      </c>
      <c r="AB7488" s="4">
        <f t="shared" si="1154"/>
        <v>217516.3</v>
      </c>
      <c r="AC7488" s="6">
        <f t="shared" si="1161"/>
        <v>0</v>
      </c>
      <c r="AD7488" s="6">
        <f t="shared" si="1157"/>
        <v>217516.3</v>
      </c>
      <c r="AE7488" s="14">
        <f>VLOOKUP(I7488,[2]媒体政策预估表!A:N,MATCH(O7488,[2]媒体政策预估表!$A$2:$M$2,0),0)</f>
        <v>7.0000000000000007E-2</v>
      </c>
      <c r="AF7488" s="6">
        <f t="shared" si="1159"/>
        <v>15226.141000000001</v>
      </c>
      <c r="AG7488" s="14">
        <v>0</v>
      </c>
      <c r="AH7488" s="64">
        <f t="shared" si="1158"/>
        <v>217516.3</v>
      </c>
      <c r="AJ7488" s="126" t="e">
        <v>#N/A</v>
      </c>
      <c r="AK7488" s="80">
        <f t="shared" si="1155"/>
        <v>0</v>
      </c>
      <c r="AL7488" s="85"/>
      <c r="AM7488" s="85"/>
    </row>
    <row r="7489" spans="1:39" s="86" customFormat="1" ht="13.25" hidden="1" customHeight="1" x14ac:dyDescent="0.3">
      <c r="A7489" s="89" t="s">
        <v>3978</v>
      </c>
      <c r="B7489" s="86" t="s">
        <v>35</v>
      </c>
      <c r="C7489" s="86" t="s">
        <v>65</v>
      </c>
      <c r="D7489" s="86" t="s">
        <v>66</v>
      </c>
      <c r="E7489" s="86" t="s">
        <v>491</v>
      </c>
      <c r="F7489" s="86" t="s">
        <v>491</v>
      </c>
      <c r="G7489" s="86" t="s">
        <v>491</v>
      </c>
      <c r="H7489" s="144">
        <v>360</v>
      </c>
      <c r="I7489" s="86" t="s">
        <v>1060</v>
      </c>
      <c r="J7489" s="47" t="s">
        <v>3325</v>
      </c>
      <c r="K7489" s="47" t="s">
        <v>3767</v>
      </c>
      <c r="L7489" s="47" t="s">
        <v>35</v>
      </c>
      <c r="M7489" s="86" t="s">
        <v>491</v>
      </c>
      <c r="O7489" s="47" t="s">
        <v>410</v>
      </c>
      <c r="P7489" s="14" t="s">
        <v>46</v>
      </c>
      <c r="Q7489" s="14">
        <v>0.02</v>
      </c>
      <c r="R7489" s="143" t="s">
        <v>1230</v>
      </c>
      <c r="S7489" s="47"/>
      <c r="T7489" s="6">
        <v>97302.900000000009</v>
      </c>
      <c r="U7489" s="6"/>
      <c r="V7489" s="6">
        <v>39492.1</v>
      </c>
      <c r="W7489" s="6">
        <f t="shared" si="1156"/>
        <v>57810.80000000001</v>
      </c>
      <c r="X7489" s="6">
        <f t="shared" si="1160"/>
        <v>38717.745098039217</v>
      </c>
      <c r="Y7489" s="13">
        <f t="shared" si="1153"/>
        <v>0</v>
      </c>
      <c r="Z7489" s="14">
        <v>0</v>
      </c>
      <c r="AA7489" s="6">
        <v>0</v>
      </c>
      <c r="AB7489" s="4">
        <f t="shared" si="1154"/>
        <v>38717.745098039217</v>
      </c>
      <c r="AC7489" s="6">
        <f t="shared" si="1161"/>
        <v>774.35490196078172</v>
      </c>
      <c r="AD7489" s="6">
        <f t="shared" si="1157"/>
        <v>39492.1</v>
      </c>
      <c r="AE7489" s="14">
        <f>VLOOKUP(I7489,[2]媒体政策预估表!A:N,MATCH(O7489,[2]媒体政策预估表!$A$2:$M$2,0),0)</f>
        <v>7.0000000000000007E-2</v>
      </c>
      <c r="AF7489" s="6">
        <f t="shared" si="1159"/>
        <v>2764.4470000000001</v>
      </c>
      <c r="AG7489" s="14">
        <v>0</v>
      </c>
      <c r="AH7489" s="64">
        <f t="shared" si="1158"/>
        <v>39492.1</v>
      </c>
      <c r="AJ7489" s="126" t="e">
        <v>#N/A</v>
      </c>
      <c r="AK7489" s="80">
        <f t="shared" si="1155"/>
        <v>0</v>
      </c>
      <c r="AL7489" s="85"/>
      <c r="AM7489" s="85"/>
    </row>
    <row r="7490" spans="1:39" s="86" customFormat="1" ht="13.25" hidden="1" customHeight="1" x14ac:dyDescent="0.3">
      <c r="A7490" s="89" t="s">
        <v>3978</v>
      </c>
      <c r="B7490" s="86" t="s">
        <v>35</v>
      </c>
      <c r="C7490" s="86" t="s">
        <v>65</v>
      </c>
      <c r="D7490" s="86" t="s">
        <v>66</v>
      </c>
      <c r="E7490" s="86" t="s">
        <v>3489</v>
      </c>
      <c r="F7490" s="86" t="s">
        <v>3489</v>
      </c>
      <c r="G7490" s="86" t="s">
        <v>3489</v>
      </c>
      <c r="H7490" s="144">
        <v>360</v>
      </c>
      <c r="I7490" s="86" t="s">
        <v>1060</v>
      </c>
      <c r="J7490" s="47" t="s">
        <v>3325</v>
      </c>
      <c r="K7490" s="47" t="s">
        <v>3767</v>
      </c>
      <c r="L7490" s="47" t="s">
        <v>35</v>
      </c>
      <c r="M7490" s="86" t="s">
        <v>3489</v>
      </c>
      <c r="O7490" s="47" t="s">
        <v>410</v>
      </c>
      <c r="P7490" s="14" t="s">
        <v>41</v>
      </c>
      <c r="Q7490" s="14">
        <v>0</v>
      </c>
      <c r="R7490" s="143" t="s">
        <v>3490</v>
      </c>
      <c r="S7490" s="47"/>
      <c r="T7490" s="6">
        <v>19764.5</v>
      </c>
      <c r="U7490" s="6"/>
      <c r="V7490" s="6">
        <v>19764.5</v>
      </c>
      <c r="W7490" s="6">
        <f t="shared" si="1156"/>
        <v>0</v>
      </c>
      <c r="X7490" s="6">
        <f t="shared" si="1160"/>
        <v>19764.5</v>
      </c>
      <c r="Y7490" s="13">
        <f t="shared" si="1153"/>
        <v>0</v>
      </c>
      <c r="Z7490" s="14">
        <v>0</v>
      </c>
      <c r="AA7490" s="6">
        <v>0</v>
      </c>
      <c r="AB7490" s="4">
        <f t="shared" si="1154"/>
        <v>19764.5</v>
      </c>
      <c r="AC7490" s="6">
        <f t="shared" si="1161"/>
        <v>0</v>
      </c>
      <c r="AD7490" s="6">
        <f t="shared" si="1157"/>
        <v>19764.5</v>
      </c>
      <c r="AE7490" s="14">
        <f>VLOOKUP(I7490,[2]媒体政策预估表!A:N,MATCH(O7490,[2]媒体政策预估表!$A$2:$M$2,0),0)</f>
        <v>7.0000000000000007E-2</v>
      </c>
      <c r="AF7490" s="6">
        <f t="shared" si="1159"/>
        <v>1383.5150000000001</v>
      </c>
      <c r="AG7490" s="14">
        <v>0</v>
      </c>
      <c r="AH7490" s="64">
        <f t="shared" si="1158"/>
        <v>19764.5</v>
      </c>
      <c r="AJ7490" s="126" t="e">
        <v>#N/A</v>
      </c>
      <c r="AK7490" s="80">
        <f t="shared" si="1155"/>
        <v>0</v>
      </c>
      <c r="AL7490" s="85"/>
      <c r="AM7490" s="85"/>
    </row>
    <row r="7491" spans="1:39" s="86" customFormat="1" ht="13.25" hidden="1" customHeight="1" x14ac:dyDescent="0.3">
      <c r="A7491" s="89" t="s">
        <v>3978</v>
      </c>
      <c r="B7491" s="86" t="s">
        <v>35</v>
      </c>
      <c r="C7491" s="86" t="s">
        <v>65</v>
      </c>
      <c r="D7491" s="86" t="s">
        <v>66</v>
      </c>
      <c r="E7491" s="86" t="s">
        <v>1881</v>
      </c>
      <c r="F7491" s="86" t="s">
        <v>1881</v>
      </c>
      <c r="G7491" s="86" t="s">
        <v>1881</v>
      </c>
      <c r="H7491" s="143">
        <v>360</v>
      </c>
      <c r="I7491" s="86" t="s">
        <v>1060</v>
      </c>
      <c r="J7491" s="47" t="s">
        <v>3325</v>
      </c>
      <c r="K7491" s="47" t="s">
        <v>3767</v>
      </c>
      <c r="L7491" s="47" t="s">
        <v>35</v>
      </c>
      <c r="M7491" s="86" t="s">
        <v>1881</v>
      </c>
      <c r="O7491" s="47" t="s">
        <v>45</v>
      </c>
      <c r="P7491" s="14" t="s">
        <v>46</v>
      </c>
      <c r="Q7491" s="14">
        <v>0.02</v>
      </c>
      <c r="R7491" s="143" t="s">
        <v>3491</v>
      </c>
      <c r="S7491" s="47"/>
      <c r="T7491" s="6">
        <v>700000</v>
      </c>
      <c r="U7491" s="6"/>
      <c r="V7491" s="6">
        <v>0</v>
      </c>
      <c r="W7491" s="6">
        <f t="shared" si="1156"/>
        <v>700000</v>
      </c>
      <c r="X7491" s="6">
        <f t="shared" si="1160"/>
        <v>0</v>
      </c>
      <c r="Y7491" s="13">
        <f t="shared" ref="Y7491:Y7554" si="1162">IF(X7491-AD7491&lt;=0,0,IF(P7491="返现",MAX(X7491-AC7491-AD7491,0),MAX(X7491-AD7491)))</f>
        <v>0</v>
      </c>
      <c r="Z7491" s="14">
        <v>0</v>
      </c>
      <c r="AA7491" s="6">
        <v>0</v>
      </c>
      <c r="AB7491" s="4">
        <f t="shared" ref="AB7491:AB7554" si="1163">X7491+AA7491</f>
        <v>0</v>
      </c>
      <c r="AC7491" s="6">
        <f t="shared" si="1161"/>
        <v>0</v>
      </c>
      <c r="AD7491" s="6">
        <f t="shared" si="1157"/>
        <v>0</v>
      </c>
      <c r="AE7491" s="14">
        <f>VLOOKUP(I7491,[2]媒体政策预估表!A:N,MATCH(O7491,[2]媒体政策预估表!$A$2:$M$2,0),0)</f>
        <v>0.1</v>
      </c>
      <c r="AF7491" s="6">
        <f t="shared" si="1159"/>
        <v>0</v>
      </c>
      <c r="AG7491" s="14">
        <v>0</v>
      </c>
      <c r="AH7491" s="64">
        <f t="shared" si="1158"/>
        <v>0</v>
      </c>
      <c r="AJ7491" s="126" t="e">
        <v>#N/A</v>
      </c>
      <c r="AK7491" s="80">
        <f t="shared" ref="AK7491:AK7554" si="1164">X7491+AA7491-AB7491</f>
        <v>0</v>
      </c>
      <c r="AL7491" s="85"/>
      <c r="AM7491" s="85"/>
    </row>
    <row r="7492" spans="1:39" s="86" customFormat="1" ht="13.25" hidden="1" customHeight="1" x14ac:dyDescent="0.3">
      <c r="A7492" s="89" t="s">
        <v>3978</v>
      </c>
      <c r="B7492" s="86" t="s">
        <v>35</v>
      </c>
      <c r="C7492" s="86" t="s">
        <v>65</v>
      </c>
      <c r="D7492" s="86" t="s">
        <v>66</v>
      </c>
      <c r="E7492" s="86" t="s">
        <v>1881</v>
      </c>
      <c r="F7492" s="86" t="s">
        <v>1881</v>
      </c>
      <c r="G7492" s="86" t="s">
        <v>1881</v>
      </c>
      <c r="H7492" s="143">
        <v>360</v>
      </c>
      <c r="I7492" s="86" t="s">
        <v>1060</v>
      </c>
      <c r="J7492" s="47" t="s">
        <v>3325</v>
      </c>
      <c r="K7492" s="47" t="s">
        <v>3767</v>
      </c>
      <c r="L7492" s="47" t="s">
        <v>35</v>
      </c>
      <c r="M7492" s="86" t="s">
        <v>1881</v>
      </c>
      <c r="O7492" s="47" t="s">
        <v>45</v>
      </c>
      <c r="P7492" s="14" t="s">
        <v>46</v>
      </c>
      <c r="Q7492" s="14">
        <v>0.02</v>
      </c>
      <c r="R7492" s="143" t="s">
        <v>3492</v>
      </c>
      <c r="S7492" s="47"/>
      <c r="T7492" s="6">
        <v>1000000</v>
      </c>
      <c r="U7492" s="6"/>
      <c r="V7492" s="6">
        <v>0</v>
      </c>
      <c r="W7492" s="6">
        <f t="shared" si="1156"/>
        <v>1000000</v>
      </c>
      <c r="X7492" s="6">
        <f t="shared" si="1160"/>
        <v>0</v>
      </c>
      <c r="Y7492" s="13">
        <f t="shared" si="1162"/>
        <v>0</v>
      </c>
      <c r="Z7492" s="14">
        <v>0</v>
      </c>
      <c r="AA7492" s="6">
        <v>0</v>
      </c>
      <c r="AB7492" s="4">
        <f t="shared" si="1163"/>
        <v>0</v>
      </c>
      <c r="AC7492" s="6">
        <f t="shared" si="1161"/>
        <v>0</v>
      </c>
      <c r="AD7492" s="6">
        <f t="shared" si="1157"/>
        <v>0</v>
      </c>
      <c r="AE7492" s="14">
        <f>VLOOKUP(I7492,[2]媒体政策预估表!A:N,MATCH(O7492,[2]媒体政策预估表!$A$2:$M$2,0),0)</f>
        <v>0.1</v>
      </c>
      <c r="AF7492" s="6">
        <f t="shared" si="1159"/>
        <v>0</v>
      </c>
      <c r="AG7492" s="14">
        <v>0</v>
      </c>
      <c r="AH7492" s="64">
        <f t="shared" si="1158"/>
        <v>0</v>
      </c>
      <c r="AJ7492" s="126" t="e">
        <v>#N/A</v>
      </c>
      <c r="AK7492" s="80">
        <f t="shared" si="1164"/>
        <v>0</v>
      </c>
      <c r="AL7492" s="85"/>
      <c r="AM7492" s="85"/>
    </row>
    <row r="7493" spans="1:39" s="86" customFormat="1" ht="13.25" hidden="1" customHeight="1" x14ac:dyDescent="0.3">
      <c r="A7493" s="89" t="s">
        <v>3978</v>
      </c>
      <c r="B7493" s="86" t="s">
        <v>35</v>
      </c>
      <c r="C7493" s="86" t="s">
        <v>65</v>
      </c>
      <c r="D7493" s="86" t="s">
        <v>66</v>
      </c>
      <c r="E7493" s="86" t="s">
        <v>1881</v>
      </c>
      <c r="F7493" s="86" t="s">
        <v>1881</v>
      </c>
      <c r="G7493" s="86" t="s">
        <v>1881</v>
      </c>
      <c r="H7493" s="143">
        <v>360</v>
      </c>
      <c r="I7493" s="86" t="s">
        <v>1060</v>
      </c>
      <c r="J7493" s="47" t="s">
        <v>3325</v>
      </c>
      <c r="K7493" s="47" t="s">
        <v>3767</v>
      </c>
      <c r="L7493" s="47" t="s">
        <v>35</v>
      </c>
      <c r="M7493" s="86" t="s">
        <v>1881</v>
      </c>
      <c r="O7493" s="47" t="s">
        <v>45</v>
      </c>
      <c r="P7493" s="14" t="s">
        <v>46</v>
      </c>
      <c r="Q7493" s="14">
        <v>0.02</v>
      </c>
      <c r="R7493" s="143" t="s">
        <v>1883</v>
      </c>
      <c r="S7493" s="47"/>
      <c r="T7493" s="6">
        <v>-5079.5</v>
      </c>
      <c r="U7493" s="6"/>
      <c r="V7493" s="6">
        <v>0</v>
      </c>
      <c r="W7493" s="6">
        <f t="shared" si="1156"/>
        <v>-5079.5</v>
      </c>
      <c r="X7493" s="6">
        <f t="shared" si="1160"/>
        <v>0</v>
      </c>
      <c r="Y7493" s="13">
        <f t="shared" si="1162"/>
        <v>0</v>
      </c>
      <c r="Z7493" s="14">
        <v>0</v>
      </c>
      <c r="AA7493" s="6">
        <v>0</v>
      </c>
      <c r="AB7493" s="4">
        <f t="shared" si="1163"/>
        <v>0</v>
      </c>
      <c r="AC7493" s="6">
        <f t="shared" si="1161"/>
        <v>0</v>
      </c>
      <c r="AD7493" s="6">
        <f t="shared" si="1157"/>
        <v>0</v>
      </c>
      <c r="AE7493" s="14">
        <f>VLOOKUP(I7493,[2]媒体政策预估表!A:N,MATCH(O7493,[2]媒体政策预估表!$A$2:$M$2,0),0)</f>
        <v>0.1</v>
      </c>
      <c r="AF7493" s="6">
        <f t="shared" si="1159"/>
        <v>0</v>
      </c>
      <c r="AG7493" s="14">
        <v>0</v>
      </c>
      <c r="AH7493" s="64">
        <f t="shared" si="1158"/>
        <v>0</v>
      </c>
      <c r="AJ7493" s="126" t="e">
        <v>#N/A</v>
      </c>
      <c r="AK7493" s="80">
        <f t="shared" si="1164"/>
        <v>0</v>
      </c>
      <c r="AL7493" s="85"/>
      <c r="AM7493" s="85"/>
    </row>
    <row r="7494" spans="1:39" s="86" customFormat="1" ht="13.25" hidden="1" customHeight="1" x14ac:dyDescent="0.3">
      <c r="A7494" s="89" t="s">
        <v>3978</v>
      </c>
      <c r="B7494" s="86" t="s">
        <v>35</v>
      </c>
      <c r="C7494" s="86" t="s">
        <v>65</v>
      </c>
      <c r="D7494" s="86" t="s">
        <v>66</v>
      </c>
      <c r="E7494" s="86" t="s">
        <v>1881</v>
      </c>
      <c r="F7494" s="86" t="s">
        <v>1881</v>
      </c>
      <c r="G7494" s="86" t="s">
        <v>1881</v>
      </c>
      <c r="H7494" s="143">
        <v>360</v>
      </c>
      <c r="I7494" s="86" t="s">
        <v>1060</v>
      </c>
      <c r="J7494" s="47" t="s">
        <v>3325</v>
      </c>
      <c r="K7494" s="47" t="s">
        <v>3767</v>
      </c>
      <c r="L7494" s="47" t="s">
        <v>35</v>
      </c>
      <c r="M7494" s="86" t="s">
        <v>1881</v>
      </c>
      <c r="O7494" s="47" t="s">
        <v>410</v>
      </c>
      <c r="P7494" s="14" t="s">
        <v>41</v>
      </c>
      <c r="Q7494" s="14">
        <v>0</v>
      </c>
      <c r="R7494" s="143" t="s">
        <v>3491</v>
      </c>
      <c r="S7494" s="47"/>
      <c r="T7494" s="6">
        <v>-700000</v>
      </c>
      <c r="U7494" s="6"/>
      <c r="V7494" s="6">
        <v>0</v>
      </c>
      <c r="W7494" s="6">
        <f t="shared" si="1156"/>
        <v>-700000</v>
      </c>
      <c r="X7494" s="6">
        <f t="shared" si="1160"/>
        <v>0</v>
      </c>
      <c r="Y7494" s="13">
        <f t="shared" si="1162"/>
        <v>0</v>
      </c>
      <c r="Z7494" s="14">
        <v>0</v>
      </c>
      <c r="AA7494" s="6">
        <v>0</v>
      </c>
      <c r="AB7494" s="4">
        <f t="shared" si="1163"/>
        <v>0</v>
      </c>
      <c r="AC7494" s="6">
        <f t="shared" si="1161"/>
        <v>0</v>
      </c>
      <c r="AD7494" s="6">
        <f t="shared" si="1157"/>
        <v>0</v>
      </c>
      <c r="AE7494" s="14">
        <f>VLOOKUP(I7494,[2]媒体政策预估表!A:N,MATCH(O7494,[2]媒体政策预估表!$A$2:$M$2,0),0)</f>
        <v>7.0000000000000007E-2</v>
      </c>
      <c r="AF7494" s="6">
        <f t="shared" si="1159"/>
        <v>0</v>
      </c>
      <c r="AG7494" s="14">
        <v>0</v>
      </c>
      <c r="AH7494" s="64">
        <f t="shared" si="1158"/>
        <v>0</v>
      </c>
      <c r="AJ7494" s="126" t="e">
        <v>#N/A</v>
      </c>
      <c r="AK7494" s="80">
        <f t="shared" si="1164"/>
        <v>0</v>
      </c>
      <c r="AL7494" s="85"/>
      <c r="AM7494" s="85"/>
    </row>
    <row r="7495" spans="1:39" s="86" customFormat="1" ht="13.25" hidden="1" customHeight="1" x14ac:dyDescent="0.3">
      <c r="A7495" s="89" t="s">
        <v>3978</v>
      </c>
      <c r="B7495" s="86" t="s">
        <v>35</v>
      </c>
      <c r="C7495" s="86" t="s">
        <v>65</v>
      </c>
      <c r="D7495" s="86" t="s">
        <v>66</v>
      </c>
      <c r="E7495" s="86" t="s">
        <v>1881</v>
      </c>
      <c r="F7495" s="86" t="s">
        <v>1881</v>
      </c>
      <c r="G7495" s="86" t="s">
        <v>1881</v>
      </c>
      <c r="H7495" s="143">
        <v>360</v>
      </c>
      <c r="I7495" s="86" t="s">
        <v>1060</v>
      </c>
      <c r="J7495" s="47" t="s">
        <v>3325</v>
      </c>
      <c r="K7495" s="47" t="s">
        <v>3767</v>
      </c>
      <c r="L7495" s="47" t="s">
        <v>35</v>
      </c>
      <c r="M7495" s="86" t="s">
        <v>1881</v>
      </c>
      <c r="O7495" s="47" t="s">
        <v>410</v>
      </c>
      <c r="P7495" s="14" t="s">
        <v>41</v>
      </c>
      <c r="Q7495" s="14">
        <v>0</v>
      </c>
      <c r="R7495" s="143" t="s">
        <v>3492</v>
      </c>
      <c r="S7495" s="47"/>
      <c r="T7495" s="6">
        <v>-1000000</v>
      </c>
      <c r="U7495" s="6"/>
      <c r="V7495" s="6">
        <v>0</v>
      </c>
      <c r="W7495" s="6">
        <f t="shared" si="1156"/>
        <v>-1000000</v>
      </c>
      <c r="X7495" s="6">
        <f t="shared" si="1160"/>
        <v>0</v>
      </c>
      <c r="Y7495" s="13">
        <f t="shared" si="1162"/>
        <v>0</v>
      </c>
      <c r="Z7495" s="14">
        <v>0</v>
      </c>
      <c r="AA7495" s="6">
        <v>0</v>
      </c>
      <c r="AB7495" s="4">
        <f t="shared" si="1163"/>
        <v>0</v>
      </c>
      <c r="AC7495" s="6">
        <f t="shared" si="1161"/>
        <v>0</v>
      </c>
      <c r="AD7495" s="6">
        <f t="shared" si="1157"/>
        <v>0</v>
      </c>
      <c r="AE7495" s="14">
        <f>VLOOKUP(I7495,[2]媒体政策预估表!A:N,MATCH(O7495,[2]媒体政策预估表!$A$2:$M$2,0),0)</f>
        <v>7.0000000000000007E-2</v>
      </c>
      <c r="AF7495" s="6">
        <f t="shared" si="1159"/>
        <v>0</v>
      </c>
      <c r="AG7495" s="14">
        <v>0</v>
      </c>
      <c r="AH7495" s="64">
        <f t="shared" si="1158"/>
        <v>0</v>
      </c>
      <c r="AJ7495" s="126" t="e">
        <v>#N/A</v>
      </c>
      <c r="AK7495" s="80">
        <f t="shared" si="1164"/>
        <v>0</v>
      </c>
      <c r="AL7495" s="85"/>
      <c r="AM7495" s="85"/>
    </row>
    <row r="7496" spans="1:39" s="86" customFormat="1" ht="13.25" hidden="1" customHeight="1" x14ac:dyDescent="0.3">
      <c r="A7496" s="89" t="s">
        <v>3792</v>
      </c>
      <c r="B7496" s="86" t="s">
        <v>35</v>
      </c>
      <c r="C7496" s="86" t="s">
        <v>65</v>
      </c>
      <c r="D7496" s="86" t="s">
        <v>66</v>
      </c>
      <c r="E7496" s="86" t="s">
        <v>1881</v>
      </c>
      <c r="F7496" s="86" t="s">
        <v>1881</v>
      </c>
      <c r="G7496" s="86" t="s">
        <v>1881</v>
      </c>
      <c r="H7496" s="143">
        <v>360</v>
      </c>
      <c r="I7496" s="86" t="s">
        <v>1060</v>
      </c>
      <c r="J7496" s="47" t="s">
        <v>3325</v>
      </c>
      <c r="K7496" s="47" t="s">
        <v>3767</v>
      </c>
      <c r="L7496" s="47" t="s">
        <v>35</v>
      </c>
      <c r="M7496" s="86" t="s">
        <v>1881</v>
      </c>
      <c r="O7496" s="47" t="s">
        <v>410</v>
      </c>
      <c r="P7496" s="14" t="s">
        <v>41</v>
      </c>
      <c r="Q7496" s="14">
        <v>0</v>
      </c>
      <c r="R7496" s="143" t="s">
        <v>1883</v>
      </c>
      <c r="S7496" s="47"/>
      <c r="T7496" s="6">
        <v>127.78238000068814</v>
      </c>
      <c r="U7496" s="6"/>
      <c r="V7496" s="6">
        <v>0</v>
      </c>
      <c r="W7496" s="6">
        <f t="shared" si="1156"/>
        <v>127.78238000068814</v>
      </c>
      <c r="X7496" s="6">
        <f t="shared" si="1160"/>
        <v>0</v>
      </c>
      <c r="Y7496" s="13">
        <f t="shared" si="1162"/>
        <v>0</v>
      </c>
      <c r="Z7496" s="14">
        <v>0</v>
      </c>
      <c r="AA7496" s="6">
        <v>0</v>
      </c>
      <c r="AB7496" s="4">
        <f t="shared" si="1163"/>
        <v>0</v>
      </c>
      <c r="AC7496" s="6">
        <f t="shared" si="1161"/>
        <v>0</v>
      </c>
      <c r="AD7496" s="6">
        <f t="shared" si="1157"/>
        <v>0</v>
      </c>
      <c r="AE7496" s="14">
        <f>VLOOKUP(I7496,[2]媒体政策预估表!A:N,MATCH(O7496,[2]媒体政策预估表!$A$2:$M$2,0),0)</f>
        <v>7.0000000000000007E-2</v>
      </c>
      <c r="AF7496" s="6">
        <f t="shared" si="1159"/>
        <v>0</v>
      </c>
      <c r="AG7496" s="14">
        <v>0</v>
      </c>
      <c r="AH7496" s="64">
        <f t="shared" si="1158"/>
        <v>0</v>
      </c>
      <c r="AJ7496" s="126" t="e">
        <v>#N/A</v>
      </c>
      <c r="AK7496" s="80">
        <f t="shared" si="1164"/>
        <v>0</v>
      </c>
      <c r="AL7496" s="85"/>
      <c r="AM7496" s="85"/>
    </row>
    <row r="7497" spans="1:39" s="86" customFormat="1" ht="13.25" hidden="1" customHeight="1" x14ac:dyDescent="0.3">
      <c r="A7497" s="89" t="s">
        <v>3978</v>
      </c>
      <c r="B7497" s="86" t="s">
        <v>35</v>
      </c>
      <c r="C7497" s="86" t="s">
        <v>65</v>
      </c>
      <c r="D7497" s="86" t="s">
        <v>66</v>
      </c>
      <c r="E7497" s="86" t="s">
        <v>3493</v>
      </c>
      <c r="F7497" s="86" t="s">
        <v>3493</v>
      </c>
      <c r="G7497" s="86" t="s">
        <v>3493</v>
      </c>
      <c r="H7497" s="144">
        <v>360</v>
      </c>
      <c r="I7497" s="86" t="s">
        <v>1060</v>
      </c>
      <c r="J7497" s="47" t="s">
        <v>3325</v>
      </c>
      <c r="K7497" s="47" t="s">
        <v>3767</v>
      </c>
      <c r="L7497" s="47" t="s">
        <v>35</v>
      </c>
      <c r="M7497" s="86" t="s">
        <v>3493</v>
      </c>
      <c r="O7497" s="47" t="s">
        <v>410</v>
      </c>
      <c r="P7497" s="14" t="s">
        <v>46</v>
      </c>
      <c r="Q7497" s="14">
        <v>0.01</v>
      </c>
      <c r="R7497" s="143" t="s">
        <v>3494</v>
      </c>
      <c r="S7497" s="47"/>
      <c r="T7497" s="6">
        <v>112226.685</v>
      </c>
      <c r="U7497" s="6"/>
      <c r="V7497" s="6">
        <v>89069.82</v>
      </c>
      <c r="W7497" s="6">
        <f t="shared" si="1156"/>
        <v>23156.864999999991</v>
      </c>
      <c r="X7497" s="6">
        <f t="shared" si="1160"/>
        <v>88187.940594059415</v>
      </c>
      <c r="Y7497" s="13">
        <f t="shared" si="1162"/>
        <v>0</v>
      </c>
      <c r="Z7497" s="14">
        <v>0</v>
      </c>
      <c r="AA7497" s="6">
        <v>0</v>
      </c>
      <c r="AB7497" s="4">
        <f t="shared" si="1163"/>
        <v>88187.940594059415</v>
      </c>
      <c r="AC7497" s="6">
        <f t="shared" si="1161"/>
        <v>881.87940594059182</v>
      </c>
      <c r="AD7497" s="6">
        <f t="shared" si="1157"/>
        <v>89069.82</v>
      </c>
      <c r="AE7497" s="14">
        <f>VLOOKUP(I7497,[2]媒体政策预估表!A:N,MATCH(O7497,[2]媒体政策预估表!$A$2:$M$2,0),0)</f>
        <v>7.0000000000000007E-2</v>
      </c>
      <c r="AF7497" s="6">
        <f t="shared" si="1159"/>
        <v>6234.8874000000014</v>
      </c>
      <c r="AG7497" s="14">
        <v>0</v>
      </c>
      <c r="AH7497" s="64">
        <f t="shared" si="1158"/>
        <v>89069.82</v>
      </c>
      <c r="AJ7497" s="126" t="e">
        <v>#N/A</v>
      </c>
      <c r="AK7497" s="80">
        <f t="shared" si="1164"/>
        <v>0</v>
      </c>
      <c r="AL7497" s="85"/>
      <c r="AM7497" s="85"/>
    </row>
    <row r="7498" spans="1:39" s="86" customFormat="1" ht="13.25" hidden="1" customHeight="1" x14ac:dyDescent="0.3">
      <c r="A7498" s="89" t="s">
        <v>3978</v>
      </c>
      <c r="B7498" s="86" t="s">
        <v>35</v>
      </c>
      <c r="C7498" s="86" t="s">
        <v>65</v>
      </c>
      <c r="D7498" s="86" t="s">
        <v>66</v>
      </c>
      <c r="E7498" s="86" t="s">
        <v>1234</v>
      </c>
      <c r="F7498" s="86" t="s">
        <v>1234</v>
      </c>
      <c r="G7498" s="86" t="s">
        <v>1234</v>
      </c>
      <c r="H7498" s="144">
        <v>360</v>
      </c>
      <c r="I7498" s="86" t="s">
        <v>1060</v>
      </c>
      <c r="J7498" s="47" t="s">
        <v>3325</v>
      </c>
      <c r="K7498" s="47" t="s">
        <v>3767</v>
      </c>
      <c r="L7498" s="47" t="s">
        <v>35</v>
      </c>
      <c r="M7498" s="86" t="s">
        <v>1237</v>
      </c>
      <c r="O7498" s="47" t="s">
        <v>410</v>
      </c>
      <c r="P7498" s="14" t="s">
        <v>46</v>
      </c>
      <c r="Q7498" s="14">
        <v>0.02</v>
      </c>
      <c r="R7498" s="143" t="s">
        <v>1238</v>
      </c>
      <c r="S7498" s="47"/>
      <c r="T7498" s="6">
        <v>90366.7</v>
      </c>
      <c r="U7498" s="6"/>
      <c r="V7498" s="6">
        <v>82616.2</v>
      </c>
      <c r="W7498" s="6">
        <f t="shared" si="1156"/>
        <v>7750.5</v>
      </c>
      <c r="X7498" s="6">
        <f t="shared" si="1160"/>
        <v>80996.274509803916</v>
      </c>
      <c r="Y7498" s="13">
        <f t="shared" si="1162"/>
        <v>0</v>
      </c>
      <c r="Z7498" s="14">
        <v>0</v>
      </c>
      <c r="AA7498" s="6">
        <v>0</v>
      </c>
      <c r="AB7498" s="4">
        <f t="shared" si="1163"/>
        <v>80996.274509803916</v>
      </c>
      <c r="AC7498" s="6">
        <f t="shared" si="1161"/>
        <v>1619.9254901960812</v>
      </c>
      <c r="AD7498" s="6">
        <f t="shared" si="1157"/>
        <v>82616.2</v>
      </c>
      <c r="AE7498" s="14">
        <f>VLOOKUP(I7498,[2]媒体政策预估表!A:N,MATCH(O7498,[2]媒体政策预估表!$A$2:$M$2,0),0)</f>
        <v>7.0000000000000007E-2</v>
      </c>
      <c r="AF7498" s="6">
        <f t="shared" si="1159"/>
        <v>5783.134</v>
      </c>
      <c r="AG7498" s="14">
        <v>0</v>
      </c>
      <c r="AH7498" s="64">
        <f t="shared" si="1158"/>
        <v>82616.2</v>
      </c>
      <c r="AJ7498" s="126" t="e">
        <v>#N/A</v>
      </c>
      <c r="AK7498" s="80">
        <f t="shared" si="1164"/>
        <v>0</v>
      </c>
      <c r="AL7498" s="85"/>
      <c r="AM7498" s="85"/>
    </row>
    <row r="7499" spans="1:39" s="86" customFormat="1" ht="13.25" hidden="1" customHeight="1" x14ac:dyDescent="0.3">
      <c r="A7499" s="89" t="s">
        <v>3792</v>
      </c>
      <c r="B7499" s="86" t="s">
        <v>35</v>
      </c>
      <c r="C7499" s="86" t="s">
        <v>65</v>
      </c>
      <c r="D7499" s="86" t="s">
        <v>122</v>
      </c>
      <c r="E7499" s="86" t="s">
        <v>1245</v>
      </c>
      <c r="F7499" s="86" t="s">
        <v>1245</v>
      </c>
      <c r="G7499" s="86" t="s">
        <v>1246</v>
      </c>
      <c r="H7499" s="144">
        <v>360</v>
      </c>
      <c r="I7499" s="86" t="s">
        <v>1060</v>
      </c>
      <c r="J7499" s="47" t="s">
        <v>3325</v>
      </c>
      <c r="K7499" s="47" t="s">
        <v>3767</v>
      </c>
      <c r="L7499" s="47" t="s">
        <v>35</v>
      </c>
      <c r="M7499" s="86" t="s">
        <v>1245</v>
      </c>
      <c r="O7499" s="47" t="s">
        <v>410</v>
      </c>
      <c r="P7499" s="14" t="s">
        <v>41</v>
      </c>
      <c r="Q7499" s="14">
        <v>0</v>
      </c>
      <c r="R7499" s="143" t="s">
        <v>1247</v>
      </c>
      <c r="S7499" s="47"/>
      <c r="T7499" s="6">
        <v>69959.83</v>
      </c>
      <c r="U7499" s="6"/>
      <c r="V7499" s="6">
        <v>56481</v>
      </c>
      <c r="W7499" s="6">
        <f t="shared" si="1156"/>
        <v>13478.830000000002</v>
      </c>
      <c r="X7499" s="6">
        <f t="shared" si="1160"/>
        <v>56481</v>
      </c>
      <c r="Y7499" s="13">
        <f t="shared" si="1162"/>
        <v>0</v>
      </c>
      <c r="Z7499" s="14">
        <v>0</v>
      </c>
      <c r="AA7499" s="6">
        <v>0</v>
      </c>
      <c r="AB7499" s="4">
        <f t="shared" si="1163"/>
        <v>56481</v>
      </c>
      <c r="AC7499" s="6">
        <f t="shared" si="1161"/>
        <v>0</v>
      </c>
      <c r="AD7499" s="6">
        <f t="shared" si="1157"/>
        <v>56481</v>
      </c>
      <c r="AE7499" s="14">
        <f>VLOOKUP(I7499,[2]媒体政策预估表!A:N,MATCH(O7499,[2]媒体政策预估表!$A$2:$M$2,0),0)</f>
        <v>7.0000000000000007E-2</v>
      </c>
      <c r="AF7499" s="6">
        <f t="shared" si="1159"/>
        <v>3953.6700000000005</v>
      </c>
      <c r="AG7499" s="14">
        <v>0</v>
      </c>
      <c r="AH7499" s="64">
        <f t="shared" si="1158"/>
        <v>56481</v>
      </c>
      <c r="AJ7499" s="126" t="e">
        <v>#N/A</v>
      </c>
      <c r="AK7499" s="80">
        <f t="shared" si="1164"/>
        <v>0</v>
      </c>
      <c r="AL7499" s="85"/>
      <c r="AM7499" s="85"/>
    </row>
    <row r="7500" spans="1:39" s="86" customFormat="1" ht="13.25" hidden="1" customHeight="1" x14ac:dyDescent="0.3">
      <c r="A7500" s="89" t="s">
        <v>3978</v>
      </c>
      <c r="B7500" s="86" t="s">
        <v>35</v>
      </c>
      <c r="C7500" s="86" t="s">
        <v>65</v>
      </c>
      <c r="D7500" s="86" t="s">
        <v>122</v>
      </c>
      <c r="E7500" s="86" t="s">
        <v>1253</v>
      </c>
      <c r="F7500" s="86" t="s">
        <v>1253</v>
      </c>
      <c r="G7500" s="86" t="s">
        <v>1253</v>
      </c>
      <c r="H7500" s="144">
        <v>360</v>
      </c>
      <c r="I7500" s="86" t="s">
        <v>1060</v>
      </c>
      <c r="J7500" s="47" t="s">
        <v>3325</v>
      </c>
      <c r="K7500" s="47" t="s">
        <v>3767</v>
      </c>
      <c r="L7500" s="47" t="s">
        <v>35</v>
      </c>
      <c r="M7500" s="86" t="s">
        <v>1259</v>
      </c>
      <c r="O7500" s="47" t="s">
        <v>410</v>
      </c>
      <c r="P7500" s="14" t="s">
        <v>41</v>
      </c>
      <c r="Q7500" s="14">
        <v>0</v>
      </c>
      <c r="R7500" s="143" t="s">
        <v>3499</v>
      </c>
      <c r="S7500" s="47"/>
      <c r="T7500" s="6">
        <v>9127</v>
      </c>
      <c r="U7500" s="6"/>
      <c r="V7500" s="6">
        <v>164.6</v>
      </c>
      <c r="W7500" s="6">
        <f t="shared" si="1156"/>
        <v>8962.4</v>
      </c>
      <c r="X7500" s="6">
        <f t="shared" si="1160"/>
        <v>164.6</v>
      </c>
      <c r="Y7500" s="13">
        <f t="shared" si="1162"/>
        <v>0</v>
      </c>
      <c r="Z7500" s="14">
        <v>0</v>
      </c>
      <c r="AA7500" s="6">
        <v>0</v>
      </c>
      <c r="AB7500" s="4">
        <f t="shared" si="1163"/>
        <v>164.6</v>
      </c>
      <c r="AC7500" s="6">
        <f t="shared" si="1161"/>
        <v>0</v>
      </c>
      <c r="AD7500" s="6">
        <f t="shared" si="1157"/>
        <v>164.6</v>
      </c>
      <c r="AE7500" s="14">
        <f>VLOOKUP(I7500,[2]媒体政策预估表!A:N,MATCH(O7500,[2]媒体政策预估表!$A$2:$M$2,0),0)</f>
        <v>7.0000000000000007E-2</v>
      </c>
      <c r="AF7500" s="6">
        <f t="shared" si="1159"/>
        <v>11.522</v>
      </c>
      <c r="AG7500" s="14">
        <v>0</v>
      </c>
      <c r="AH7500" s="64">
        <f t="shared" si="1158"/>
        <v>164.6</v>
      </c>
      <c r="AJ7500" s="126" t="e">
        <v>#N/A</v>
      </c>
      <c r="AK7500" s="80">
        <f t="shared" si="1164"/>
        <v>0</v>
      </c>
      <c r="AL7500" s="85"/>
      <c r="AM7500" s="85"/>
    </row>
    <row r="7501" spans="1:39" s="86" customFormat="1" ht="13.25" hidden="1" customHeight="1" x14ac:dyDescent="0.3">
      <c r="A7501" s="89" t="s">
        <v>3978</v>
      </c>
      <c r="B7501" s="86" t="s">
        <v>35</v>
      </c>
      <c r="C7501" s="86" t="s">
        <v>65</v>
      </c>
      <c r="D7501" s="86" t="s">
        <v>122</v>
      </c>
      <c r="E7501" s="86" t="s">
        <v>1253</v>
      </c>
      <c r="F7501" s="86" t="s">
        <v>1253</v>
      </c>
      <c r="G7501" s="86" t="s">
        <v>1253</v>
      </c>
      <c r="H7501" s="144">
        <v>360</v>
      </c>
      <c r="I7501" s="86" t="s">
        <v>1060</v>
      </c>
      <c r="J7501" s="47" t="s">
        <v>3325</v>
      </c>
      <c r="K7501" s="47" t="s">
        <v>3767</v>
      </c>
      <c r="L7501" s="47" t="s">
        <v>35</v>
      </c>
      <c r="M7501" s="86" t="s">
        <v>3500</v>
      </c>
      <c r="O7501" s="47" t="s">
        <v>410</v>
      </c>
      <c r="P7501" s="14" t="s">
        <v>41</v>
      </c>
      <c r="Q7501" s="14">
        <v>0</v>
      </c>
      <c r="R7501" s="143">
        <v>2818921990</v>
      </c>
      <c r="S7501" s="47"/>
      <c r="T7501" s="6">
        <v>18168.5</v>
      </c>
      <c r="U7501" s="6"/>
      <c r="V7501" s="6">
        <v>3799.5</v>
      </c>
      <c r="W7501" s="6">
        <f t="shared" si="1156"/>
        <v>14369</v>
      </c>
      <c r="X7501" s="6">
        <f t="shared" si="1160"/>
        <v>3799.5</v>
      </c>
      <c r="Y7501" s="13">
        <f t="shared" si="1162"/>
        <v>0</v>
      </c>
      <c r="Z7501" s="14">
        <v>0</v>
      </c>
      <c r="AA7501" s="6">
        <v>0</v>
      </c>
      <c r="AB7501" s="4">
        <f t="shared" si="1163"/>
        <v>3799.5</v>
      </c>
      <c r="AC7501" s="6">
        <f t="shared" si="1161"/>
        <v>0</v>
      </c>
      <c r="AD7501" s="6">
        <f t="shared" si="1157"/>
        <v>3799.5</v>
      </c>
      <c r="AE7501" s="14">
        <f>VLOOKUP(I7501,[2]媒体政策预估表!A:N,MATCH(O7501,[2]媒体政策预估表!$A$2:$M$2,0),0)</f>
        <v>7.0000000000000007E-2</v>
      </c>
      <c r="AF7501" s="6">
        <f t="shared" si="1159"/>
        <v>265.96500000000003</v>
      </c>
      <c r="AG7501" s="14">
        <v>0</v>
      </c>
      <c r="AH7501" s="64">
        <f t="shared" si="1158"/>
        <v>3799.5</v>
      </c>
      <c r="AJ7501" s="126" t="e">
        <v>#N/A</v>
      </c>
      <c r="AK7501" s="80">
        <f t="shared" si="1164"/>
        <v>0</v>
      </c>
      <c r="AL7501" s="85"/>
      <c r="AM7501" s="85"/>
    </row>
    <row r="7502" spans="1:39" s="86" customFormat="1" ht="13.25" hidden="1" customHeight="1" x14ac:dyDescent="0.3">
      <c r="A7502" s="89" t="s">
        <v>3792</v>
      </c>
      <c r="B7502" s="86" t="s">
        <v>35</v>
      </c>
      <c r="C7502" s="86" t="s">
        <v>65</v>
      </c>
      <c r="D7502" s="86" t="s">
        <v>122</v>
      </c>
      <c r="E7502" s="86" t="s">
        <v>1264</v>
      </c>
      <c r="F7502" s="86" t="s">
        <v>1264</v>
      </c>
      <c r="G7502" s="86" t="s">
        <v>1264</v>
      </c>
      <c r="H7502" s="143">
        <v>360</v>
      </c>
      <c r="I7502" s="86" t="s">
        <v>1060</v>
      </c>
      <c r="J7502" s="47" t="s">
        <v>3325</v>
      </c>
      <c r="K7502" s="47" t="s">
        <v>3767</v>
      </c>
      <c r="L7502" s="47" t="s">
        <v>35</v>
      </c>
      <c r="M7502" s="86" t="s">
        <v>1264</v>
      </c>
      <c r="O7502" s="47" t="s">
        <v>410</v>
      </c>
      <c r="P7502" s="14" t="s">
        <v>41</v>
      </c>
      <c r="Q7502" s="14">
        <v>0</v>
      </c>
      <c r="R7502" s="143" t="s">
        <v>1265</v>
      </c>
      <c r="S7502" s="47"/>
      <c r="T7502" s="6">
        <v>119353.55</v>
      </c>
      <c r="U7502" s="6"/>
      <c r="V7502" s="6">
        <v>0</v>
      </c>
      <c r="W7502" s="6">
        <f t="shared" si="1156"/>
        <v>119353.55</v>
      </c>
      <c r="X7502" s="6">
        <f t="shared" si="1160"/>
        <v>0</v>
      </c>
      <c r="Y7502" s="13">
        <f t="shared" si="1162"/>
        <v>0</v>
      </c>
      <c r="Z7502" s="14">
        <v>0</v>
      </c>
      <c r="AA7502" s="6">
        <v>0</v>
      </c>
      <c r="AB7502" s="4">
        <f t="shared" si="1163"/>
        <v>0</v>
      </c>
      <c r="AC7502" s="6">
        <f t="shared" si="1161"/>
        <v>0</v>
      </c>
      <c r="AD7502" s="6">
        <f t="shared" si="1157"/>
        <v>0</v>
      </c>
      <c r="AE7502" s="14">
        <f>VLOOKUP(I7502,[2]媒体政策预估表!A:N,MATCH(O7502,[2]媒体政策预估表!$A$2:$M$2,0),0)</f>
        <v>7.0000000000000007E-2</v>
      </c>
      <c r="AF7502" s="6">
        <f t="shared" si="1159"/>
        <v>0</v>
      </c>
      <c r="AG7502" s="14">
        <v>0</v>
      </c>
      <c r="AH7502" s="64">
        <f t="shared" si="1158"/>
        <v>0</v>
      </c>
      <c r="AJ7502" s="126" t="e">
        <v>#N/A</v>
      </c>
      <c r="AK7502" s="80">
        <f t="shared" si="1164"/>
        <v>0</v>
      </c>
      <c r="AL7502" s="85"/>
      <c r="AM7502" s="85"/>
    </row>
    <row r="7503" spans="1:39" s="86" customFormat="1" ht="13.25" hidden="1" customHeight="1" x14ac:dyDescent="0.3">
      <c r="A7503" s="89" t="s">
        <v>3978</v>
      </c>
      <c r="B7503" s="86" t="s">
        <v>35</v>
      </c>
      <c r="C7503" s="86" t="s">
        <v>65</v>
      </c>
      <c r="D7503" s="86" t="s">
        <v>122</v>
      </c>
      <c r="E7503" s="86" t="s">
        <v>1266</v>
      </c>
      <c r="F7503" s="86" t="s">
        <v>1266</v>
      </c>
      <c r="G7503" s="86" t="s">
        <v>1266</v>
      </c>
      <c r="H7503" s="144">
        <v>360</v>
      </c>
      <c r="I7503" s="86" t="s">
        <v>1060</v>
      </c>
      <c r="J7503" s="47" t="s">
        <v>3325</v>
      </c>
      <c r="K7503" s="47" t="s">
        <v>3767</v>
      </c>
      <c r="L7503" s="47" t="s">
        <v>35</v>
      </c>
      <c r="M7503" s="86" t="s">
        <v>3505</v>
      </c>
      <c r="O7503" s="47" t="s">
        <v>45</v>
      </c>
      <c r="P7503" s="14" t="s">
        <v>41</v>
      </c>
      <c r="Q7503" s="14">
        <v>0</v>
      </c>
      <c r="R7503" s="143" t="s">
        <v>3506</v>
      </c>
      <c r="S7503" s="47"/>
      <c r="T7503" s="6">
        <v>13390.781419999999</v>
      </c>
      <c r="U7503" s="6"/>
      <c r="V7503" s="6">
        <v>7454.4656599999998</v>
      </c>
      <c r="W7503" s="6">
        <f t="shared" si="1156"/>
        <v>5936.3157599999995</v>
      </c>
      <c r="X7503" s="6">
        <f t="shared" si="1160"/>
        <v>7454.4656599999998</v>
      </c>
      <c r="Y7503" s="13">
        <f t="shared" si="1162"/>
        <v>0</v>
      </c>
      <c r="Z7503" s="14">
        <v>0</v>
      </c>
      <c r="AA7503" s="6">
        <v>0</v>
      </c>
      <c r="AB7503" s="4">
        <f t="shared" si="1163"/>
        <v>7454.4656599999998</v>
      </c>
      <c r="AC7503" s="6">
        <f t="shared" si="1161"/>
        <v>0</v>
      </c>
      <c r="AD7503" s="6">
        <f t="shared" si="1157"/>
        <v>7454.4656599999998</v>
      </c>
      <c r="AE7503" s="14">
        <f>VLOOKUP(I7503,[2]媒体政策预估表!A:N,MATCH(O7503,[2]媒体政策预估表!$A$2:$M$2,0),0)</f>
        <v>0.1</v>
      </c>
      <c r="AF7503" s="6">
        <f t="shared" si="1159"/>
        <v>745.44656600000008</v>
      </c>
      <c r="AG7503" s="14">
        <v>0</v>
      </c>
      <c r="AH7503" s="64">
        <f t="shared" si="1158"/>
        <v>7454.4656599999998</v>
      </c>
      <c r="AJ7503" s="126" t="e">
        <v>#N/A</v>
      </c>
      <c r="AK7503" s="80">
        <f t="shared" si="1164"/>
        <v>0</v>
      </c>
      <c r="AL7503" s="85"/>
      <c r="AM7503" s="85"/>
    </row>
    <row r="7504" spans="1:39" s="86" customFormat="1" ht="13.25" hidden="1" customHeight="1" x14ac:dyDescent="0.3">
      <c r="A7504" s="89" t="s">
        <v>3978</v>
      </c>
      <c r="B7504" s="86" t="s">
        <v>35</v>
      </c>
      <c r="C7504" s="86" t="s">
        <v>65</v>
      </c>
      <c r="D7504" s="86" t="s">
        <v>122</v>
      </c>
      <c r="E7504" s="86" t="s">
        <v>1266</v>
      </c>
      <c r="F7504" s="86" t="s">
        <v>1266</v>
      </c>
      <c r="G7504" s="86" t="s">
        <v>1266</v>
      </c>
      <c r="H7504" s="143">
        <v>360</v>
      </c>
      <c r="I7504" s="86" t="s">
        <v>1060</v>
      </c>
      <c r="J7504" s="47" t="s">
        <v>3325</v>
      </c>
      <c r="K7504" s="47" t="s">
        <v>3767</v>
      </c>
      <c r="L7504" s="47" t="s">
        <v>35</v>
      </c>
      <c r="M7504" s="86" t="s">
        <v>3505</v>
      </c>
      <c r="O7504" s="47" t="s">
        <v>410</v>
      </c>
      <c r="P7504" s="14" t="s">
        <v>41</v>
      </c>
      <c r="Q7504" s="14">
        <v>0</v>
      </c>
      <c r="R7504" s="143" t="s">
        <v>3506</v>
      </c>
      <c r="S7504" s="47"/>
      <c r="T7504" s="6">
        <v>100000</v>
      </c>
      <c r="U7504" s="6"/>
      <c r="V7504" s="6">
        <v>0</v>
      </c>
      <c r="W7504" s="6">
        <f t="shared" si="1156"/>
        <v>100000</v>
      </c>
      <c r="X7504" s="6">
        <f t="shared" si="1160"/>
        <v>0</v>
      </c>
      <c r="Y7504" s="13">
        <f t="shared" si="1162"/>
        <v>0</v>
      </c>
      <c r="Z7504" s="14">
        <v>0</v>
      </c>
      <c r="AA7504" s="6">
        <v>0</v>
      </c>
      <c r="AB7504" s="4">
        <f t="shared" si="1163"/>
        <v>0</v>
      </c>
      <c r="AC7504" s="6">
        <f t="shared" si="1161"/>
        <v>0</v>
      </c>
      <c r="AD7504" s="6">
        <f t="shared" si="1157"/>
        <v>0</v>
      </c>
      <c r="AE7504" s="14">
        <f>VLOOKUP(I7504,[2]媒体政策预估表!A:N,MATCH(O7504,[2]媒体政策预估表!$A$2:$M$2,0),0)</f>
        <v>7.0000000000000007E-2</v>
      </c>
      <c r="AF7504" s="6">
        <f t="shared" si="1159"/>
        <v>0</v>
      </c>
      <c r="AG7504" s="14">
        <v>0</v>
      </c>
      <c r="AH7504" s="64">
        <f t="shared" si="1158"/>
        <v>0</v>
      </c>
      <c r="AJ7504" s="126" t="e">
        <v>#N/A</v>
      </c>
      <c r="AK7504" s="80">
        <f t="shared" si="1164"/>
        <v>0</v>
      </c>
      <c r="AL7504" s="85"/>
      <c r="AM7504" s="85"/>
    </row>
    <row r="7505" spans="1:39" s="86" customFormat="1" ht="13.25" hidden="1" customHeight="1" x14ac:dyDescent="0.3">
      <c r="A7505" s="89" t="s">
        <v>3978</v>
      </c>
      <c r="B7505" s="86" t="s">
        <v>35</v>
      </c>
      <c r="C7505" s="86" t="s">
        <v>65</v>
      </c>
      <c r="D7505" s="86" t="s">
        <v>122</v>
      </c>
      <c r="E7505" s="86" t="s">
        <v>1266</v>
      </c>
      <c r="F7505" s="86" t="s">
        <v>1266</v>
      </c>
      <c r="G7505" s="86" t="s">
        <v>1266</v>
      </c>
      <c r="H7505" s="144">
        <v>360</v>
      </c>
      <c r="I7505" s="86" t="s">
        <v>1060</v>
      </c>
      <c r="J7505" s="47" t="s">
        <v>3325</v>
      </c>
      <c r="K7505" s="47" t="s">
        <v>3767</v>
      </c>
      <c r="L7505" s="47" t="s">
        <v>35</v>
      </c>
      <c r="M7505" s="86" t="s">
        <v>1274</v>
      </c>
      <c r="O7505" s="47" t="s">
        <v>45</v>
      </c>
      <c r="P7505" s="14" t="s">
        <v>41</v>
      </c>
      <c r="Q7505" s="14">
        <v>0</v>
      </c>
      <c r="R7505" s="143" t="s">
        <v>3507</v>
      </c>
      <c r="S7505" s="47"/>
      <c r="T7505" s="6">
        <v>83870.386889999994</v>
      </c>
      <c r="U7505" s="6"/>
      <c r="V7505" s="6">
        <v>8202.32798</v>
      </c>
      <c r="W7505" s="6">
        <f t="shared" si="1156"/>
        <v>75668.058909999992</v>
      </c>
      <c r="X7505" s="6">
        <f t="shared" si="1160"/>
        <v>8202.32798</v>
      </c>
      <c r="Y7505" s="13">
        <f t="shared" si="1162"/>
        <v>0</v>
      </c>
      <c r="Z7505" s="14">
        <v>0</v>
      </c>
      <c r="AA7505" s="6">
        <v>0</v>
      </c>
      <c r="AB7505" s="4">
        <f t="shared" si="1163"/>
        <v>8202.32798</v>
      </c>
      <c r="AC7505" s="6">
        <f t="shared" si="1161"/>
        <v>0</v>
      </c>
      <c r="AD7505" s="6">
        <f t="shared" si="1157"/>
        <v>8202.32798</v>
      </c>
      <c r="AE7505" s="14">
        <f>VLOOKUP(I7505,[2]媒体政策预估表!A:N,MATCH(O7505,[2]媒体政策预估表!$A$2:$M$2,0),0)</f>
        <v>0.1</v>
      </c>
      <c r="AF7505" s="6">
        <f t="shared" si="1159"/>
        <v>820.232798</v>
      </c>
      <c r="AG7505" s="14">
        <v>0</v>
      </c>
      <c r="AH7505" s="64">
        <f t="shared" si="1158"/>
        <v>8202.32798</v>
      </c>
      <c r="AJ7505" s="126" t="e">
        <v>#N/A</v>
      </c>
      <c r="AK7505" s="80">
        <f t="shared" si="1164"/>
        <v>0</v>
      </c>
      <c r="AL7505" s="85"/>
      <c r="AM7505" s="85"/>
    </row>
    <row r="7506" spans="1:39" s="86" customFormat="1" ht="13.25" hidden="1" customHeight="1" x14ac:dyDescent="0.3">
      <c r="A7506" s="89" t="s">
        <v>3792</v>
      </c>
      <c r="B7506" s="86" t="s">
        <v>35</v>
      </c>
      <c r="C7506" s="86" t="s">
        <v>65</v>
      </c>
      <c r="D7506" s="86" t="s">
        <v>66</v>
      </c>
      <c r="E7506" s="86" t="s">
        <v>1295</v>
      </c>
      <c r="F7506" s="86" t="s">
        <v>1295</v>
      </c>
      <c r="G7506" s="86" t="s">
        <v>1295</v>
      </c>
      <c r="H7506" s="144">
        <v>360</v>
      </c>
      <c r="I7506" s="86" t="s">
        <v>1060</v>
      </c>
      <c r="J7506" s="47" t="s">
        <v>3325</v>
      </c>
      <c r="K7506" s="47" t="s">
        <v>3767</v>
      </c>
      <c r="L7506" s="47" t="s">
        <v>35</v>
      </c>
      <c r="M7506" s="86" t="s">
        <v>1295</v>
      </c>
      <c r="O7506" s="47" t="s">
        <v>410</v>
      </c>
      <c r="P7506" s="14" t="s">
        <v>46</v>
      </c>
      <c r="Q7506" s="14">
        <v>0.01</v>
      </c>
      <c r="R7506" s="143" t="s">
        <v>1296</v>
      </c>
      <c r="S7506" s="47"/>
      <c r="T7506" s="6">
        <v>20032.400000000001</v>
      </c>
      <c r="U7506" s="6"/>
      <c r="V7506" s="6">
        <v>18892</v>
      </c>
      <c r="W7506" s="6">
        <f t="shared" si="1156"/>
        <v>1140.4000000000015</v>
      </c>
      <c r="X7506" s="6">
        <f t="shared" si="1160"/>
        <v>18704.950495049507</v>
      </c>
      <c r="Y7506" s="13">
        <f t="shared" si="1162"/>
        <v>0</v>
      </c>
      <c r="Z7506" s="14">
        <v>0</v>
      </c>
      <c r="AA7506" s="6">
        <v>0</v>
      </c>
      <c r="AB7506" s="4">
        <f t="shared" si="1163"/>
        <v>18704.950495049507</v>
      </c>
      <c r="AC7506" s="6">
        <f t="shared" si="1161"/>
        <v>187.04950495049343</v>
      </c>
      <c r="AD7506" s="6">
        <f t="shared" si="1157"/>
        <v>18892</v>
      </c>
      <c r="AE7506" s="14">
        <f>VLOOKUP(I7506,[2]媒体政策预估表!A:N,MATCH(O7506,[2]媒体政策预估表!$A$2:$M$2,0),0)</f>
        <v>7.0000000000000007E-2</v>
      </c>
      <c r="AF7506" s="6">
        <f t="shared" si="1159"/>
        <v>1322.44</v>
      </c>
      <c r="AG7506" s="14">
        <v>0</v>
      </c>
      <c r="AH7506" s="64">
        <f t="shared" si="1158"/>
        <v>18892</v>
      </c>
      <c r="AJ7506" s="126" t="e">
        <v>#N/A</v>
      </c>
      <c r="AK7506" s="80">
        <f t="shared" si="1164"/>
        <v>0</v>
      </c>
      <c r="AL7506" s="85"/>
      <c r="AM7506" s="85"/>
    </row>
    <row r="7507" spans="1:39" s="86" customFormat="1" ht="13.25" hidden="1" customHeight="1" x14ac:dyDescent="0.3">
      <c r="A7507" s="89" t="s">
        <v>3978</v>
      </c>
      <c r="B7507" s="86" t="s">
        <v>35</v>
      </c>
      <c r="C7507" s="86" t="s">
        <v>65</v>
      </c>
      <c r="D7507" s="86" t="s">
        <v>1291</v>
      </c>
      <c r="E7507" s="86" t="s">
        <v>1297</v>
      </c>
      <c r="F7507" s="86" t="s">
        <v>1297</v>
      </c>
      <c r="G7507" s="86" t="s">
        <v>1297</v>
      </c>
      <c r="H7507" s="144">
        <v>360</v>
      </c>
      <c r="I7507" s="86" t="s">
        <v>1060</v>
      </c>
      <c r="J7507" s="47" t="s">
        <v>3325</v>
      </c>
      <c r="K7507" s="47" t="s">
        <v>3767</v>
      </c>
      <c r="L7507" s="47" t="s">
        <v>35</v>
      </c>
      <c r="M7507" s="86" t="s">
        <v>1297</v>
      </c>
      <c r="O7507" s="47" t="s">
        <v>410</v>
      </c>
      <c r="P7507" s="14" t="s">
        <v>41</v>
      </c>
      <c r="Q7507" s="14">
        <v>0</v>
      </c>
      <c r="R7507" s="143" t="s">
        <v>1298</v>
      </c>
      <c r="S7507" s="47"/>
      <c r="T7507" s="6">
        <v>14336.4</v>
      </c>
      <c r="U7507" s="6"/>
      <c r="V7507" s="6">
        <v>6046.2</v>
      </c>
      <c r="W7507" s="6">
        <f t="shared" si="1156"/>
        <v>8290.2000000000007</v>
      </c>
      <c r="X7507" s="6">
        <f t="shared" si="1160"/>
        <v>6046.2</v>
      </c>
      <c r="Y7507" s="13">
        <f t="shared" si="1162"/>
        <v>0</v>
      </c>
      <c r="Z7507" s="14">
        <v>0</v>
      </c>
      <c r="AA7507" s="6">
        <v>0</v>
      </c>
      <c r="AB7507" s="4">
        <f t="shared" si="1163"/>
        <v>6046.2</v>
      </c>
      <c r="AC7507" s="6">
        <f t="shared" si="1161"/>
        <v>0</v>
      </c>
      <c r="AD7507" s="6">
        <f t="shared" si="1157"/>
        <v>6046.2</v>
      </c>
      <c r="AE7507" s="14">
        <f>VLOOKUP(I7507,[2]媒体政策预估表!A:N,MATCH(O7507,[2]媒体政策预估表!$A$2:$M$2,0),0)</f>
        <v>7.0000000000000007E-2</v>
      </c>
      <c r="AF7507" s="6">
        <f t="shared" si="1159"/>
        <v>423.23400000000004</v>
      </c>
      <c r="AG7507" s="14">
        <v>0</v>
      </c>
      <c r="AH7507" s="64">
        <f t="shared" si="1158"/>
        <v>6046.2</v>
      </c>
      <c r="AJ7507" s="126" t="e">
        <v>#N/A</v>
      </c>
      <c r="AK7507" s="80">
        <f t="shared" si="1164"/>
        <v>0</v>
      </c>
      <c r="AL7507" s="85"/>
      <c r="AM7507" s="85"/>
    </row>
    <row r="7508" spans="1:39" s="86" customFormat="1" ht="13.25" hidden="1" customHeight="1" x14ac:dyDescent="0.3">
      <c r="A7508" s="89" t="s">
        <v>3978</v>
      </c>
      <c r="B7508" s="86" t="s">
        <v>35</v>
      </c>
      <c r="C7508" s="86" t="s">
        <v>65</v>
      </c>
      <c r="D7508" s="86" t="s">
        <v>1291</v>
      </c>
      <c r="E7508" s="86" t="s">
        <v>1306</v>
      </c>
      <c r="F7508" s="86" t="s">
        <v>1306</v>
      </c>
      <c r="G7508" s="86" t="s">
        <v>1306</v>
      </c>
      <c r="H7508" s="143">
        <v>360</v>
      </c>
      <c r="I7508" s="86" t="s">
        <v>1060</v>
      </c>
      <c r="J7508" s="47" t="s">
        <v>3325</v>
      </c>
      <c r="K7508" s="47" t="s">
        <v>3767</v>
      </c>
      <c r="L7508" s="47" t="s">
        <v>35</v>
      </c>
      <c r="M7508" s="86" t="s">
        <v>1306</v>
      </c>
      <c r="O7508" s="47" t="s">
        <v>410</v>
      </c>
      <c r="P7508" s="14" t="s">
        <v>41</v>
      </c>
      <c r="Q7508" s="14">
        <v>0</v>
      </c>
      <c r="R7508" s="143" t="s">
        <v>1307</v>
      </c>
      <c r="S7508" s="47"/>
      <c r="T7508" s="6">
        <v>22000</v>
      </c>
      <c r="U7508" s="6"/>
      <c r="V7508" s="6">
        <v>0</v>
      </c>
      <c r="W7508" s="6">
        <f t="shared" si="1156"/>
        <v>22000</v>
      </c>
      <c r="X7508" s="6">
        <f t="shared" si="1160"/>
        <v>0</v>
      </c>
      <c r="Y7508" s="13">
        <f t="shared" si="1162"/>
        <v>0</v>
      </c>
      <c r="Z7508" s="14">
        <v>0</v>
      </c>
      <c r="AA7508" s="6">
        <v>0</v>
      </c>
      <c r="AB7508" s="4">
        <f t="shared" si="1163"/>
        <v>0</v>
      </c>
      <c r="AC7508" s="6">
        <f t="shared" si="1161"/>
        <v>0</v>
      </c>
      <c r="AD7508" s="6">
        <f t="shared" si="1157"/>
        <v>0</v>
      </c>
      <c r="AE7508" s="14">
        <f>VLOOKUP(I7508,[2]媒体政策预估表!A:N,MATCH(O7508,[2]媒体政策预估表!$A$2:$M$2,0),0)</f>
        <v>7.0000000000000007E-2</v>
      </c>
      <c r="AF7508" s="6">
        <f t="shared" si="1159"/>
        <v>0</v>
      </c>
      <c r="AG7508" s="14">
        <v>0</v>
      </c>
      <c r="AH7508" s="64">
        <f t="shared" si="1158"/>
        <v>0</v>
      </c>
      <c r="AJ7508" s="126" t="e">
        <v>#N/A</v>
      </c>
      <c r="AK7508" s="80">
        <f t="shared" si="1164"/>
        <v>0</v>
      </c>
      <c r="AL7508" s="85"/>
      <c r="AM7508" s="85"/>
    </row>
    <row r="7509" spans="1:39" s="86" customFormat="1" ht="13.25" hidden="1" customHeight="1" x14ac:dyDescent="0.3">
      <c r="A7509" s="89" t="s">
        <v>3978</v>
      </c>
      <c r="B7509" s="86" t="s">
        <v>35</v>
      </c>
      <c r="C7509" s="86" t="s">
        <v>65</v>
      </c>
      <c r="D7509" s="86" t="s">
        <v>1291</v>
      </c>
      <c r="E7509" s="86" t="s">
        <v>1300</v>
      </c>
      <c r="F7509" s="86" t="s">
        <v>1300</v>
      </c>
      <c r="G7509" s="86" t="s">
        <v>1300</v>
      </c>
      <c r="H7509" s="144">
        <v>360</v>
      </c>
      <c r="I7509" s="86" t="s">
        <v>1060</v>
      </c>
      <c r="J7509" s="47" t="s">
        <v>3325</v>
      </c>
      <c r="K7509" s="47" t="s">
        <v>3767</v>
      </c>
      <c r="L7509" s="47" t="s">
        <v>35</v>
      </c>
      <c r="M7509" s="86" t="s">
        <v>1300</v>
      </c>
      <c r="O7509" s="47" t="s">
        <v>410</v>
      </c>
      <c r="P7509" s="14" t="s">
        <v>41</v>
      </c>
      <c r="Q7509" s="14">
        <v>0</v>
      </c>
      <c r="R7509" s="143" t="s">
        <v>1301</v>
      </c>
      <c r="S7509" s="47"/>
      <c r="T7509" s="6">
        <v>16802.5</v>
      </c>
      <c r="U7509" s="6"/>
      <c r="V7509" s="6">
        <v>16802.5</v>
      </c>
      <c r="W7509" s="6">
        <f t="shared" si="1156"/>
        <v>0</v>
      </c>
      <c r="X7509" s="6">
        <f t="shared" si="1160"/>
        <v>16802.5</v>
      </c>
      <c r="Y7509" s="13">
        <f t="shared" si="1162"/>
        <v>0</v>
      </c>
      <c r="Z7509" s="14">
        <v>0</v>
      </c>
      <c r="AA7509" s="6">
        <v>0</v>
      </c>
      <c r="AB7509" s="4">
        <f t="shared" si="1163"/>
        <v>16802.5</v>
      </c>
      <c r="AC7509" s="6">
        <f t="shared" si="1161"/>
        <v>0</v>
      </c>
      <c r="AD7509" s="6">
        <f t="shared" si="1157"/>
        <v>16802.5</v>
      </c>
      <c r="AE7509" s="14">
        <f>VLOOKUP(I7509,[2]媒体政策预估表!A:N,MATCH(O7509,[2]媒体政策预估表!$A$2:$M$2,0),0)</f>
        <v>7.0000000000000007E-2</v>
      </c>
      <c r="AF7509" s="6">
        <f t="shared" si="1159"/>
        <v>1176.1750000000002</v>
      </c>
      <c r="AG7509" s="14">
        <v>0</v>
      </c>
      <c r="AH7509" s="64">
        <f t="shared" si="1158"/>
        <v>16802.5</v>
      </c>
      <c r="AJ7509" s="126" t="e">
        <v>#N/A</v>
      </c>
      <c r="AK7509" s="80">
        <f t="shared" si="1164"/>
        <v>0</v>
      </c>
      <c r="AL7509" s="85"/>
      <c r="AM7509" s="85"/>
    </row>
    <row r="7510" spans="1:39" s="86" customFormat="1" ht="13.25" hidden="1" customHeight="1" x14ac:dyDescent="0.3">
      <c r="A7510" s="89" t="s">
        <v>3978</v>
      </c>
      <c r="B7510" s="86" t="s">
        <v>35</v>
      </c>
      <c r="C7510" s="86" t="s">
        <v>65</v>
      </c>
      <c r="D7510" s="86" t="s">
        <v>66</v>
      </c>
      <c r="E7510" s="86" t="s">
        <v>1314</v>
      </c>
      <c r="F7510" s="86" t="s">
        <v>1314</v>
      </c>
      <c r="G7510" s="86" t="s">
        <v>1314</v>
      </c>
      <c r="H7510" s="144">
        <v>360</v>
      </c>
      <c r="I7510" s="86" t="s">
        <v>1060</v>
      </c>
      <c r="J7510" s="47" t="s">
        <v>3325</v>
      </c>
      <c r="K7510" s="47" t="s">
        <v>3767</v>
      </c>
      <c r="L7510" s="47" t="s">
        <v>35</v>
      </c>
      <c r="M7510" s="86" t="s">
        <v>1315</v>
      </c>
      <c r="O7510" s="47" t="s">
        <v>410</v>
      </c>
      <c r="P7510" s="14" t="s">
        <v>41</v>
      </c>
      <c r="Q7510" s="14">
        <v>0</v>
      </c>
      <c r="R7510" s="143" t="s">
        <v>1316</v>
      </c>
      <c r="S7510" s="47"/>
      <c r="T7510" s="6">
        <v>2337.8000000000029</v>
      </c>
      <c r="U7510" s="6"/>
      <c r="V7510" s="6">
        <v>2336.1999999999998</v>
      </c>
      <c r="W7510" s="6">
        <f t="shared" si="1156"/>
        <v>1.6000000000030923</v>
      </c>
      <c r="X7510" s="6">
        <f t="shared" si="1160"/>
        <v>2336.1999999999998</v>
      </c>
      <c r="Y7510" s="13">
        <f t="shared" si="1162"/>
        <v>0</v>
      </c>
      <c r="Z7510" s="14">
        <v>0</v>
      </c>
      <c r="AA7510" s="6">
        <v>0</v>
      </c>
      <c r="AB7510" s="4">
        <f t="shared" si="1163"/>
        <v>2336.1999999999998</v>
      </c>
      <c r="AC7510" s="6">
        <f t="shared" si="1161"/>
        <v>0</v>
      </c>
      <c r="AD7510" s="6">
        <f t="shared" si="1157"/>
        <v>2336.1999999999998</v>
      </c>
      <c r="AE7510" s="14">
        <f>VLOOKUP(I7510,[2]媒体政策预估表!A:N,MATCH(O7510,[2]媒体政策预估表!$A$2:$M$2,0),0)</f>
        <v>7.0000000000000007E-2</v>
      </c>
      <c r="AF7510" s="6">
        <f t="shared" si="1159"/>
        <v>163.53399999999999</v>
      </c>
      <c r="AG7510" s="14">
        <v>0</v>
      </c>
      <c r="AH7510" s="64">
        <f t="shared" si="1158"/>
        <v>2336.1999999999998</v>
      </c>
      <c r="AJ7510" s="126" t="e">
        <v>#N/A</v>
      </c>
      <c r="AK7510" s="80">
        <f t="shared" si="1164"/>
        <v>0</v>
      </c>
      <c r="AL7510" s="85"/>
      <c r="AM7510" s="85"/>
    </row>
    <row r="7511" spans="1:39" s="86" customFormat="1" ht="13.25" hidden="1" customHeight="1" x14ac:dyDescent="0.3">
      <c r="A7511" s="89" t="s">
        <v>3792</v>
      </c>
      <c r="B7511" s="86" t="s">
        <v>35</v>
      </c>
      <c r="C7511" s="86" t="s">
        <v>184</v>
      </c>
      <c r="D7511" s="86" t="s">
        <v>3849</v>
      </c>
      <c r="E7511" s="86" t="s">
        <v>1364</v>
      </c>
      <c r="F7511" s="86" t="s">
        <v>1364</v>
      </c>
      <c r="G7511" s="86" t="s">
        <v>1364</v>
      </c>
      <c r="H7511" s="144">
        <v>360</v>
      </c>
      <c r="I7511" s="86" t="s">
        <v>1060</v>
      </c>
      <c r="J7511" s="47" t="s">
        <v>3325</v>
      </c>
      <c r="K7511" s="47" t="s">
        <v>3767</v>
      </c>
      <c r="L7511" s="47" t="s">
        <v>35</v>
      </c>
      <c r="M7511" s="86" t="s">
        <v>1364</v>
      </c>
      <c r="O7511" s="47" t="s">
        <v>410</v>
      </c>
      <c r="P7511" s="14" t="s">
        <v>41</v>
      </c>
      <c r="Q7511" s="14">
        <v>0</v>
      </c>
      <c r="R7511" s="143" t="s">
        <v>1365</v>
      </c>
      <c r="S7511" s="47"/>
      <c r="T7511" s="6">
        <v>160308.94</v>
      </c>
      <c r="U7511" s="6"/>
      <c r="V7511" s="6">
        <v>70240.800000000003</v>
      </c>
      <c r="W7511" s="6">
        <f t="shared" si="1156"/>
        <v>90068.14</v>
      </c>
      <c r="X7511" s="6">
        <f t="shared" si="1160"/>
        <v>70240.800000000003</v>
      </c>
      <c r="Y7511" s="13">
        <f t="shared" si="1162"/>
        <v>0</v>
      </c>
      <c r="Z7511" s="14">
        <v>0</v>
      </c>
      <c r="AA7511" s="6">
        <v>0</v>
      </c>
      <c r="AB7511" s="4">
        <f t="shared" si="1163"/>
        <v>70240.800000000003</v>
      </c>
      <c r="AC7511" s="6">
        <f t="shared" si="1161"/>
        <v>0</v>
      </c>
      <c r="AD7511" s="6">
        <f t="shared" si="1157"/>
        <v>70240.800000000003</v>
      </c>
      <c r="AE7511" s="14">
        <f>VLOOKUP(I7511,[2]媒体政策预估表!A:N,MATCH(O7511,[2]媒体政策预估表!$A$2:$M$2,0),0)</f>
        <v>7.0000000000000007E-2</v>
      </c>
      <c r="AF7511" s="6">
        <f t="shared" si="1159"/>
        <v>4916.8560000000007</v>
      </c>
      <c r="AG7511" s="14">
        <v>0</v>
      </c>
      <c r="AH7511" s="64">
        <f t="shared" si="1158"/>
        <v>70240.800000000003</v>
      </c>
      <c r="AJ7511" s="126" t="e">
        <v>#N/A</v>
      </c>
      <c r="AK7511" s="80">
        <f t="shared" si="1164"/>
        <v>0</v>
      </c>
      <c r="AL7511" s="85"/>
      <c r="AM7511" s="85"/>
    </row>
    <row r="7512" spans="1:39" s="86" customFormat="1" ht="13.25" hidden="1" customHeight="1" x14ac:dyDescent="0.3">
      <c r="A7512" s="89" t="s">
        <v>3792</v>
      </c>
      <c r="B7512" s="86" t="s">
        <v>35</v>
      </c>
      <c r="C7512" s="86" t="s">
        <v>144</v>
      </c>
      <c r="D7512" s="86" t="s">
        <v>145</v>
      </c>
      <c r="E7512" s="86" t="s">
        <v>1374</v>
      </c>
      <c r="F7512" s="86" t="s">
        <v>1374</v>
      </c>
      <c r="G7512" s="86" t="s">
        <v>1374</v>
      </c>
      <c r="H7512" s="143">
        <v>360</v>
      </c>
      <c r="I7512" s="86" t="s">
        <v>1060</v>
      </c>
      <c r="J7512" s="47" t="s">
        <v>3325</v>
      </c>
      <c r="K7512" s="47" t="s">
        <v>3767</v>
      </c>
      <c r="L7512" s="47" t="s">
        <v>35</v>
      </c>
      <c r="M7512" s="86" t="s">
        <v>3515</v>
      </c>
      <c r="O7512" s="47" t="s">
        <v>410</v>
      </c>
      <c r="P7512" s="14" t="s">
        <v>46</v>
      </c>
      <c r="Q7512" s="14">
        <v>0.02</v>
      </c>
      <c r="R7512" s="143" t="s">
        <v>3516</v>
      </c>
      <c r="S7512" s="47"/>
      <c r="T7512" s="6">
        <v>483.70000000000005</v>
      </c>
      <c r="U7512" s="6"/>
      <c r="V7512" s="6">
        <v>0</v>
      </c>
      <c r="W7512" s="6">
        <f t="shared" si="1156"/>
        <v>483.70000000000005</v>
      </c>
      <c r="X7512" s="6">
        <f t="shared" si="1160"/>
        <v>0</v>
      </c>
      <c r="Y7512" s="13">
        <f t="shared" si="1162"/>
        <v>0</v>
      </c>
      <c r="Z7512" s="14">
        <v>0</v>
      </c>
      <c r="AA7512" s="6">
        <v>0</v>
      </c>
      <c r="AB7512" s="4">
        <f t="shared" si="1163"/>
        <v>0</v>
      </c>
      <c r="AC7512" s="6">
        <f t="shared" si="1161"/>
        <v>0</v>
      </c>
      <c r="AD7512" s="6">
        <f t="shared" si="1157"/>
        <v>0</v>
      </c>
      <c r="AE7512" s="14">
        <f>VLOOKUP(I7512,[2]媒体政策预估表!A:N,MATCH(O7512,[2]媒体政策预估表!$A$2:$M$2,0),0)</f>
        <v>7.0000000000000007E-2</v>
      </c>
      <c r="AF7512" s="6">
        <f t="shared" si="1159"/>
        <v>0</v>
      </c>
      <c r="AG7512" s="14">
        <v>0</v>
      </c>
      <c r="AH7512" s="64">
        <f t="shared" si="1158"/>
        <v>0</v>
      </c>
      <c r="AJ7512" s="126" t="e">
        <v>#N/A</v>
      </c>
      <c r="AK7512" s="80">
        <f t="shared" si="1164"/>
        <v>0</v>
      </c>
      <c r="AL7512" s="85"/>
      <c r="AM7512" s="85"/>
    </row>
    <row r="7513" spans="1:39" s="86" customFormat="1" ht="13.25" hidden="1" customHeight="1" x14ac:dyDescent="0.3">
      <c r="A7513" s="89" t="s">
        <v>3792</v>
      </c>
      <c r="B7513" s="86" t="s">
        <v>35</v>
      </c>
      <c r="C7513" s="86" t="s">
        <v>144</v>
      </c>
      <c r="D7513" s="86" t="s">
        <v>145</v>
      </c>
      <c r="E7513" s="86" t="s">
        <v>1399</v>
      </c>
      <c r="F7513" s="86" t="s">
        <v>1399</v>
      </c>
      <c r="G7513" s="86" t="s">
        <v>1399</v>
      </c>
      <c r="H7513" s="144">
        <v>360</v>
      </c>
      <c r="I7513" s="86" t="s">
        <v>1060</v>
      </c>
      <c r="J7513" s="47" t="s">
        <v>3325</v>
      </c>
      <c r="K7513" s="47" t="s">
        <v>3767</v>
      </c>
      <c r="L7513" s="47" t="s">
        <v>35</v>
      </c>
      <c r="M7513" s="86" t="s">
        <v>1399</v>
      </c>
      <c r="O7513" s="47" t="s">
        <v>410</v>
      </c>
      <c r="P7513" s="14" t="s">
        <v>41</v>
      </c>
      <c r="Q7513" s="14">
        <v>0</v>
      </c>
      <c r="R7513" s="143" t="s">
        <v>1400</v>
      </c>
      <c r="S7513" s="47"/>
      <c r="T7513" s="6">
        <v>105665.1</v>
      </c>
      <c r="U7513" s="6"/>
      <c r="V7513" s="6">
        <v>73981.899999999994</v>
      </c>
      <c r="W7513" s="6">
        <f t="shared" ref="W7513:W7576" si="1165">T7513+U7513-V7513</f>
        <v>31683.200000000012</v>
      </c>
      <c r="X7513" s="6">
        <f t="shared" si="1160"/>
        <v>73981.899999999994</v>
      </c>
      <c r="Y7513" s="13">
        <f t="shared" si="1162"/>
        <v>0</v>
      </c>
      <c r="Z7513" s="14">
        <v>0</v>
      </c>
      <c r="AA7513" s="6">
        <v>0</v>
      </c>
      <c r="AB7513" s="4">
        <f t="shared" si="1163"/>
        <v>73981.899999999994</v>
      </c>
      <c r="AC7513" s="6">
        <f t="shared" si="1161"/>
        <v>0</v>
      </c>
      <c r="AD7513" s="6">
        <f t="shared" ref="AD7513:AD7576" si="1166">V7513</f>
        <v>73981.899999999994</v>
      </c>
      <c r="AE7513" s="14">
        <f>VLOOKUP(I7513,[2]媒体政策预估表!A:N,MATCH(O7513,[2]媒体政策预估表!$A$2:$M$2,0),0)</f>
        <v>7.0000000000000007E-2</v>
      </c>
      <c r="AF7513" s="6">
        <f t="shared" si="1159"/>
        <v>5178.7330000000002</v>
      </c>
      <c r="AG7513" s="14">
        <v>0</v>
      </c>
      <c r="AH7513" s="64">
        <f t="shared" ref="AH7513:AH7576" si="1167">V7513</f>
        <v>73981.899999999994</v>
      </c>
      <c r="AJ7513" s="126" t="e">
        <v>#N/A</v>
      </c>
      <c r="AK7513" s="80">
        <f t="shared" si="1164"/>
        <v>0</v>
      </c>
      <c r="AL7513" s="85"/>
      <c r="AM7513" s="85"/>
    </row>
    <row r="7514" spans="1:39" s="86" customFormat="1" ht="13.25" hidden="1" customHeight="1" x14ac:dyDescent="0.3">
      <c r="A7514" s="89" t="s">
        <v>3978</v>
      </c>
      <c r="B7514" s="86" t="s">
        <v>35</v>
      </c>
      <c r="C7514" s="86" t="s">
        <v>144</v>
      </c>
      <c r="D7514" s="86" t="s">
        <v>145</v>
      </c>
      <c r="E7514" s="86" t="s">
        <v>925</v>
      </c>
      <c r="F7514" s="86" t="s">
        <v>925</v>
      </c>
      <c r="G7514" s="86" t="s">
        <v>925</v>
      </c>
      <c r="H7514" s="143">
        <v>360</v>
      </c>
      <c r="I7514" s="86" t="s">
        <v>1060</v>
      </c>
      <c r="J7514" s="47" t="s">
        <v>3325</v>
      </c>
      <c r="K7514" s="47" t="s">
        <v>3767</v>
      </c>
      <c r="L7514" s="47" t="s">
        <v>35</v>
      </c>
      <c r="M7514" s="86" t="s">
        <v>2189</v>
      </c>
      <c r="O7514" s="47" t="s">
        <v>45</v>
      </c>
      <c r="P7514" s="14" t="s">
        <v>46</v>
      </c>
      <c r="Q7514" s="14">
        <v>0.02</v>
      </c>
      <c r="R7514" s="143" t="s">
        <v>2190</v>
      </c>
      <c r="S7514" s="47"/>
      <c r="T7514" s="6">
        <v>9914.01</v>
      </c>
      <c r="U7514" s="6"/>
      <c r="V7514" s="6">
        <v>0</v>
      </c>
      <c r="W7514" s="6">
        <f t="shared" si="1165"/>
        <v>9914.01</v>
      </c>
      <c r="X7514" s="6">
        <f t="shared" si="1160"/>
        <v>0</v>
      </c>
      <c r="Y7514" s="13">
        <f t="shared" si="1162"/>
        <v>0</v>
      </c>
      <c r="Z7514" s="14">
        <v>0</v>
      </c>
      <c r="AA7514" s="6">
        <v>0</v>
      </c>
      <c r="AB7514" s="4">
        <f t="shared" si="1163"/>
        <v>0</v>
      </c>
      <c r="AC7514" s="6">
        <f t="shared" si="1161"/>
        <v>0</v>
      </c>
      <c r="AD7514" s="6">
        <f t="shared" si="1166"/>
        <v>0</v>
      </c>
      <c r="AE7514" s="14">
        <f>VLOOKUP(I7514,[2]媒体政策预估表!A:N,MATCH(O7514,[2]媒体政策预估表!$A$2:$M$2,0),0)</f>
        <v>0.1</v>
      </c>
      <c r="AF7514" s="6">
        <f t="shared" si="1159"/>
        <v>0</v>
      </c>
      <c r="AG7514" s="14">
        <v>0</v>
      </c>
      <c r="AH7514" s="64">
        <f t="shared" si="1167"/>
        <v>0</v>
      </c>
      <c r="AJ7514" s="126" t="e">
        <v>#N/A</v>
      </c>
      <c r="AK7514" s="80">
        <f t="shared" si="1164"/>
        <v>0</v>
      </c>
      <c r="AL7514" s="85"/>
      <c r="AM7514" s="85"/>
    </row>
    <row r="7515" spans="1:39" s="86" customFormat="1" ht="13.25" hidden="1" customHeight="1" x14ac:dyDescent="0.3">
      <c r="A7515" s="89" t="s">
        <v>3978</v>
      </c>
      <c r="B7515" s="86" t="s">
        <v>35</v>
      </c>
      <c r="C7515" s="86" t="s">
        <v>144</v>
      </c>
      <c r="D7515" s="86" t="s">
        <v>145</v>
      </c>
      <c r="E7515" s="86" t="s">
        <v>1447</v>
      </c>
      <c r="F7515" s="86" t="s">
        <v>1447</v>
      </c>
      <c r="G7515" s="86" t="s">
        <v>1447</v>
      </c>
      <c r="H7515" s="144">
        <v>360</v>
      </c>
      <c r="I7515" s="86" t="s">
        <v>1060</v>
      </c>
      <c r="J7515" s="47" t="s">
        <v>3325</v>
      </c>
      <c r="K7515" s="47" t="s">
        <v>3767</v>
      </c>
      <c r="L7515" s="47" t="s">
        <v>35</v>
      </c>
      <c r="M7515" s="86" t="s">
        <v>1447</v>
      </c>
      <c r="O7515" s="47" t="s">
        <v>410</v>
      </c>
      <c r="P7515" s="14" t="s">
        <v>46</v>
      </c>
      <c r="Q7515" s="14">
        <v>0.01</v>
      </c>
      <c r="R7515" s="143" t="s">
        <v>1448</v>
      </c>
      <c r="S7515" s="47"/>
      <c r="T7515" s="6">
        <v>13317.380000000001</v>
      </c>
      <c r="U7515" s="6"/>
      <c r="V7515" s="6">
        <v>5212.3</v>
      </c>
      <c r="W7515" s="6">
        <f t="shared" si="1165"/>
        <v>8105.0800000000008</v>
      </c>
      <c r="X7515" s="6">
        <f t="shared" si="1160"/>
        <v>5160.6930693069307</v>
      </c>
      <c r="Y7515" s="13">
        <f t="shared" si="1162"/>
        <v>0</v>
      </c>
      <c r="Z7515" s="14">
        <v>0</v>
      </c>
      <c r="AA7515" s="6">
        <v>0</v>
      </c>
      <c r="AB7515" s="4">
        <f t="shared" si="1163"/>
        <v>5160.6930693069307</v>
      </c>
      <c r="AC7515" s="6">
        <f t="shared" si="1161"/>
        <v>51.606930693069444</v>
      </c>
      <c r="AD7515" s="6">
        <f t="shared" si="1166"/>
        <v>5212.3</v>
      </c>
      <c r="AE7515" s="14">
        <f>VLOOKUP(I7515,[2]媒体政策预估表!A:N,MATCH(O7515,[2]媒体政策预估表!$A$2:$M$2,0),0)</f>
        <v>7.0000000000000007E-2</v>
      </c>
      <c r="AF7515" s="6">
        <f t="shared" si="1159"/>
        <v>364.86100000000005</v>
      </c>
      <c r="AG7515" s="14">
        <v>0</v>
      </c>
      <c r="AH7515" s="64">
        <f t="shared" si="1167"/>
        <v>5212.3</v>
      </c>
      <c r="AJ7515" s="126" t="e">
        <v>#N/A</v>
      </c>
      <c r="AK7515" s="80">
        <f t="shared" si="1164"/>
        <v>0</v>
      </c>
      <c r="AL7515" s="85"/>
      <c r="AM7515" s="85"/>
    </row>
    <row r="7516" spans="1:39" s="86" customFormat="1" ht="13.25" hidden="1" customHeight="1" x14ac:dyDescent="0.3">
      <c r="A7516" s="89" t="s">
        <v>3792</v>
      </c>
      <c r="B7516" s="86" t="s">
        <v>35</v>
      </c>
      <c r="C7516" s="86" t="s">
        <v>144</v>
      </c>
      <c r="D7516" s="86" t="s">
        <v>152</v>
      </c>
      <c r="E7516" s="86" t="s">
        <v>1478</v>
      </c>
      <c r="F7516" s="86" t="s">
        <v>1478</v>
      </c>
      <c r="G7516" s="86" t="s">
        <v>1478</v>
      </c>
      <c r="H7516" s="143">
        <v>360</v>
      </c>
      <c r="I7516" s="86" t="s">
        <v>1060</v>
      </c>
      <c r="J7516" s="47" t="s">
        <v>3325</v>
      </c>
      <c r="K7516" s="47" t="s">
        <v>3767</v>
      </c>
      <c r="L7516" s="47" t="s">
        <v>35</v>
      </c>
      <c r="M7516" s="86" t="s">
        <v>1479</v>
      </c>
      <c r="O7516" s="47" t="s">
        <v>410</v>
      </c>
      <c r="P7516" s="14" t="s">
        <v>46</v>
      </c>
      <c r="Q7516" s="14">
        <v>0.02</v>
      </c>
      <c r="R7516" s="143" t="s">
        <v>3533</v>
      </c>
      <c r="S7516" s="47"/>
      <c r="T7516" s="6">
        <v>120000</v>
      </c>
      <c r="U7516" s="6"/>
      <c r="V7516" s="6">
        <v>0</v>
      </c>
      <c r="W7516" s="6">
        <f t="shared" si="1165"/>
        <v>120000</v>
      </c>
      <c r="X7516" s="6">
        <f t="shared" si="1160"/>
        <v>0</v>
      </c>
      <c r="Y7516" s="13">
        <f t="shared" si="1162"/>
        <v>0</v>
      </c>
      <c r="Z7516" s="14">
        <v>0</v>
      </c>
      <c r="AA7516" s="6">
        <v>0</v>
      </c>
      <c r="AB7516" s="4">
        <f t="shared" si="1163"/>
        <v>0</v>
      </c>
      <c r="AC7516" s="6">
        <f t="shared" si="1161"/>
        <v>0</v>
      </c>
      <c r="AD7516" s="6">
        <f t="shared" si="1166"/>
        <v>0</v>
      </c>
      <c r="AE7516" s="14">
        <f>VLOOKUP(I7516,[2]媒体政策预估表!A:N,MATCH(O7516,[2]媒体政策预估表!$A$2:$M$2,0),0)</f>
        <v>7.0000000000000007E-2</v>
      </c>
      <c r="AF7516" s="6">
        <f t="shared" si="1159"/>
        <v>0</v>
      </c>
      <c r="AG7516" s="14">
        <v>0</v>
      </c>
      <c r="AH7516" s="64">
        <f t="shared" si="1167"/>
        <v>0</v>
      </c>
      <c r="AJ7516" s="126" t="e">
        <v>#N/A</v>
      </c>
      <c r="AK7516" s="80">
        <f t="shared" si="1164"/>
        <v>0</v>
      </c>
      <c r="AL7516" s="85"/>
      <c r="AM7516" s="85"/>
    </row>
    <row r="7517" spans="1:39" s="86" customFormat="1" ht="13.25" hidden="1" customHeight="1" x14ac:dyDescent="0.3">
      <c r="A7517" s="89" t="s">
        <v>3978</v>
      </c>
      <c r="B7517" s="86" t="s">
        <v>35</v>
      </c>
      <c r="C7517" s="86" t="s">
        <v>144</v>
      </c>
      <c r="D7517" s="86" t="s">
        <v>152</v>
      </c>
      <c r="E7517" s="86" t="s">
        <v>1484</v>
      </c>
      <c r="F7517" s="86" t="s">
        <v>1485</v>
      </c>
      <c r="G7517" s="86" t="s">
        <v>1484</v>
      </c>
      <c r="H7517" s="144">
        <v>360</v>
      </c>
      <c r="I7517" s="86" t="s">
        <v>1060</v>
      </c>
      <c r="J7517" s="47" t="s">
        <v>3325</v>
      </c>
      <c r="K7517" s="47" t="s">
        <v>3767</v>
      </c>
      <c r="L7517" s="47" t="s">
        <v>35</v>
      </c>
      <c r="M7517" s="86" t="s">
        <v>1486</v>
      </c>
      <c r="O7517" s="47" t="s">
        <v>941</v>
      </c>
      <c r="P7517" s="47" t="s">
        <v>41</v>
      </c>
      <c r="Q7517" s="14">
        <v>0</v>
      </c>
      <c r="R7517" s="143" t="s">
        <v>1487</v>
      </c>
      <c r="S7517" s="47"/>
      <c r="T7517" s="6">
        <v>0</v>
      </c>
      <c r="U7517" s="6"/>
      <c r="V7517" s="6">
        <v>298.3</v>
      </c>
      <c r="W7517" s="6">
        <f t="shared" si="1165"/>
        <v>-298.3</v>
      </c>
      <c r="X7517" s="6">
        <f t="shared" si="1160"/>
        <v>298.3</v>
      </c>
      <c r="Y7517" s="13">
        <f t="shared" si="1162"/>
        <v>0</v>
      </c>
      <c r="Z7517" s="14">
        <v>0</v>
      </c>
      <c r="AA7517" s="6">
        <v>0</v>
      </c>
      <c r="AB7517" s="4">
        <f t="shared" si="1163"/>
        <v>298.3</v>
      </c>
      <c r="AC7517" s="6">
        <f t="shared" si="1161"/>
        <v>0</v>
      </c>
      <c r="AD7517" s="6">
        <f t="shared" si="1166"/>
        <v>298.3</v>
      </c>
      <c r="AE7517" s="14">
        <f>VLOOKUP(I7517,[2]媒体政策预估表!A:N,MATCH(O7517,[2]媒体政策预估表!$A$2:$M$2,0),0)</f>
        <v>0.15</v>
      </c>
      <c r="AF7517" s="6">
        <f t="shared" si="1159"/>
        <v>44.744999999999997</v>
      </c>
      <c r="AG7517" s="14">
        <v>0</v>
      </c>
      <c r="AH7517" s="64">
        <f t="shared" si="1167"/>
        <v>298.3</v>
      </c>
      <c r="AJ7517" s="126" t="e">
        <v>#N/A</v>
      </c>
      <c r="AK7517" s="80">
        <f t="shared" si="1164"/>
        <v>0</v>
      </c>
      <c r="AL7517" s="85"/>
      <c r="AM7517" s="85"/>
    </row>
    <row r="7518" spans="1:39" s="86" customFormat="1" ht="13.25" hidden="1" customHeight="1" x14ac:dyDescent="0.3">
      <c r="A7518" s="89" t="s">
        <v>3978</v>
      </c>
      <c r="B7518" s="86" t="s">
        <v>35</v>
      </c>
      <c r="C7518" s="86" t="s">
        <v>144</v>
      </c>
      <c r="D7518" s="86" t="s">
        <v>152</v>
      </c>
      <c r="E7518" s="86" t="s">
        <v>1493</v>
      </c>
      <c r="F7518" s="86" t="s">
        <v>1493</v>
      </c>
      <c r="G7518" s="86" t="s">
        <v>1493</v>
      </c>
      <c r="H7518" s="143">
        <v>360</v>
      </c>
      <c r="I7518" s="86" t="s">
        <v>1060</v>
      </c>
      <c r="J7518" s="47" t="s">
        <v>3325</v>
      </c>
      <c r="K7518" s="47" t="s">
        <v>3767</v>
      </c>
      <c r="L7518" s="47" t="s">
        <v>35</v>
      </c>
      <c r="M7518" s="86" t="s">
        <v>1494</v>
      </c>
      <c r="O7518" s="47" t="s">
        <v>410</v>
      </c>
      <c r="P7518" s="14" t="s">
        <v>46</v>
      </c>
      <c r="Q7518" s="14">
        <v>0.01</v>
      </c>
      <c r="R7518" s="143" t="s">
        <v>1495</v>
      </c>
      <c r="S7518" s="47"/>
      <c r="T7518" s="6">
        <v>30032.000000000007</v>
      </c>
      <c r="U7518" s="6"/>
      <c r="V7518" s="6">
        <v>0</v>
      </c>
      <c r="W7518" s="6">
        <f t="shared" si="1165"/>
        <v>30032.000000000007</v>
      </c>
      <c r="X7518" s="6">
        <f t="shared" si="1160"/>
        <v>0</v>
      </c>
      <c r="Y7518" s="13">
        <f t="shared" si="1162"/>
        <v>0</v>
      </c>
      <c r="Z7518" s="14">
        <v>0</v>
      </c>
      <c r="AA7518" s="6">
        <v>0</v>
      </c>
      <c r="AB7518" s="4">
        <f t="shared" si="1163"/>
        <v>0</v>
      </c>
      <c r="AC7518" s="6">
        <f t="shared" si="1161"/>
        <v>0</v>
      </c>
      <c r="AD7518" s="6">
        <f t="shared" si="1166"/>
        <v>0</v>
      </c>
      <c r="AE7518" s="14">
        <f>VLOOKUP(I7518,[2]媒体政策预估表!A:N,MATCH(O7518,[2]媒体政策预估表!$A$2:$M$2,0),0)</f>
        <v>7.0000000000000007E-2</v>
      </c>
      <c r="AF7518" s="6">
        <f t="shared" si="1159"/>
        <v>0</v>
      </c>
      <c r="AG7518" s="14">
        <v>0</v>
      </c>
      <c r="AH7518" s="64">
        <f t="shared" si="1167"/>
        <v>0</v>
      </c>
      <c r="AJ7518" s="126" t="e">
        <v>#N/A</v>
      </c>
      <c r="AK7518" s="80">
        <f t="shared" si="1164"/>
        <v>0</v>
      </c>
      <c r="AL7518" s="85"/>
      <c r="AM7518" s="85"/>
    </row>
    <row r="7519" spans="1:39" s="86" customFormat="1" ht="13.25" hidden="1" customHeight="1" x14ac:dyDescent="0.3">
      <c r="A7519" s="89" t="s">
        <v>3978</v>
      </c>
      <c r="B7519" s="86" t="s">
        <v>35</v>
      </c>
      <c r="C7519" s="86" t="s">
        <v>144</v>
      </c>
      <c r="D7519" s="86" t="s">
        <v>152</v>
      </c>
      <c r="E7519" s="86" t="s">
        <v>178</v>
      </c>
      <c r="F7519" s="86" t="s">
        <v>3534</v>
      </c>
      <c r="G7519" s="86" t="s">
        <v>178</v>
      </c>
      <c r="H7519" s="143">
        <v>360</v>
      </c>
      <c r="I7519" s="86" t="s">
        <v>1060</v>
      </c>
      <c r="J7519" s="47" t="s">
        <v>3325</v>
      </c>
      <c r="K7519" s="47" t="s">
        <v>3767</v>
      </c>
      <c r="L7519" s="47" t="s">
        <v>35</v>
      </c>
      <c r="M7519" s="86" t="s">
        <v>3535</v>
      </c>
      <c r="O7519" s="47" t="s">
        <v>410</v>
      </c>
      <c r="P7519" s="14" t="s">
        <v>41</v>
      </c>
      <c r="Q7519" s="14">
        <v>0</v>
      </c>
      <c r="R7519" s="143" t="s">
        <v>3536</v>
      </c>
      <c r="S7519" s="47"/>
      <c r="T7519" s="6">
        <v>18990</v>
      </c>
      <c r="U7519" s="6"/>
      <c r="V7519" s="6">
        <v>0</v>
      </c>
      <c r="W7519" s="6">
        <f t="shared" si="1165"/>
        <v>18990</v>
      </c>
      <c r="X7519" s="6">
        <f t="shared" si="1160"/>
        <v>0</v>
      </c>
      <c r="Y7519" s="13">
        <f t="shared" si="1162"/>
        <v>0</v>
      </c>
      <c r="Z7519" s="14">
        <v>0</v>
      </c>
      <c r="AA7519" s="6">
        <v>0</v>
      </c>
      <c r="AB7519" s="4">
        <f t="shared" si="1163"/>
        <v>0</v>
      </c>
      <c r="AC7519" s="6">
        <f t="shared" si="1161"/>
        <v>0</v>
      </c>
      <c r="AD7519" s="6">
        <f t="shared" si="1166"/>
        <v>0</v>
      </c>
      <c r="AE7519" s="14">
        <f>VLOOKUP(I7519,[2]媒体政策预估表!A:N,MATCH(O7519,[2]媒体政策预估表!$A$2:$M$2,0),0)</f>
        <v>7.0000000000000007E-2</v>
      </c>
      <c r="AF7519" s="6">
        <f t="shared" si="1159"/>
        <v>0</v>
      </c>
      <c r="AG7519" s="14">
        <v>0</v>
      </c>
      <c r="AH7519" s="64">
        <f t="shared" si="1167"/>
        <v>0</v>
      </c>
      <c r="AJ7519" s="126" t="e">
        <v>#N/A</v>
      </c>
      <c r="AK7519" s="80">
        <f t="shared" si="1164"/>
        <v>0</v>
      </c>
      <c r="AL7519" s="85"/>
      <c r="AM7519" s="85"/>
    </row>
    <row r="7520" spans="1:39" s="86" customFormat="1" ht="13.25" hidden="1" customHeight="1" x14ac:dyDescent="0.3">
      <c r="A7520" s="89" t="s">
        <v>3978</v>
      </c>
      <c r="B7520" s="86" t="s">
        <v>35</v>
      </c>
      <c r="C7520" s="86" t="s">
        <v>144</v>
      </c>
      <c r="D7520" s="86" t="s">
        <v>161</v>
      </c>
      <c r="E7520" s="86" t="s">
        <v>1512</v>
      </c>
      <c r="F7520" s="86" t="s">
        <v>1512</v>
      </c>
      <c r="G7520" s="86" t="s">
        <v>1512</v>
      </c>
      <c r="H7520" s="144">
        <v>360</v>
      </c>
      <c r="I7520" s="86" t="s">
        <v>1060</v>
      </c>
      <c r="J7520" s="47" t="s">
        <v>3325</v>
      </c>
      <c r="K7520" s="47" t="s">
        <v>3767</v>
      </c>
      <c r="L7520" s="47" t="s">
        <v>35</v>
      </c>
      <c r="M7520" s="86" t="s">
        <v>1512</v>
      </c>
      <c r="O7520" s="47" t="s">
        <v>410</v>
      </c>
      <c r="P7520" s="14" t="s">
        <v>46</v>
      </c>
      <c r="Q7520" s="14">
        <v>0.02</v>
      </c>
      <c r="R7520" s="143" t="s">
        <v>1513</v>
      </c>
      <c r="S7520" s="47"/>
      <c r="T7520" s="6">
        <v>2746.8399999999965</v>
      </c>
      <c r="U7520" s="6"/>
      <c r="V7520" s="6">
        <v>2746.8399999999965</v>
      </c>
      <c r="W7520" s="6">
        <f t="shared" si="1165"/>
        <v>0</v>
      </c>
      <c r="X7520" s="6">
        <f t="shared" si="1160"/>
        <v>2692.9803921568591</v>
      </c>
      <c r="Y7520" s="13">
        <f t="shared" si="1162"/>
        <v>0</v>
      </c>
      <c r="Z7520" s="14">
        <v>0</v>
      </c>
      <c r="AA7520" s="6">
        <v>0</v>
      </c>
      <c r="AB7520" s="4">
        <f t="shared" si="1163"/>
        <v>2692.9803921568591</v>
      </c>
      <c r="AC7520" s="6">
        <f t="shared" si="1161"/>
        <v>53.859607843137383</v>
      </c>
      <c r="AD7520" s="6">
        <f t="shared" si="1166"/>
        <v>2746.8399999999965</v>
      </c>
      <c r="AE7520" s="14">
        <f>VLOOKUP(I7520,[2]媒体政策预估表!A:N,MATCH(O7520,[2]媒体政策预估表!$A$2:$M$2,0),0)</f>
        <v>7.0000000000000007E-2</v>
      </c>
      <c r="AF7520" s="6">
        <f t="shared" si="1159"/>
        <v>192.27879999999976</v>
      </c>
      <c r="AG7520" s="14">
        <v>0</v>
      </c>
      <c r="AH7520" s="64">
        <f t="shared" si="1167"/>
        <v>2746.8399999999965</v>
      </c>
      <c r="AJ7520" s="126" t="e">
        <v>#N/A</v>
      </c>
      <c r="AK7520" s="80">
        <f t="shared" si="1164"/>
        <v>0</v>
      </c>
      <c r="AL7520" s="85"/>
      <c r="AM7520" s="85"/>
    </row>
    <row r="7521" spans="1:39" s="86" customFormat="1" ht="13.25" hidden="1" customHeight="1" x14ac:dyDescent="0.3">
      <c r="A7521" s="89" t="s">
        <v>3978</v>
      </c>
      <c r="B7521" s="86" t="s">
        <v>35</v>
      </c>
      <c r="C7521" s="86" t="s">
        <v>144</v>
      </c>
      <c r="D7521" s="86" t="s">
        <v>161</v>
      </c>
      <c r="E7521" s="86" t="s">
        <v>1514</v>
      </c>
      <c r="F7521" s="86" t="s">
        <v>1514</v>
      </c>
      <c r="G7521" s="86" t="s">
        <v>1514</v>
      </c>
      <c r="H7521" s="144">
        <v>360</v>
      </c>
      <c r="I7521" s="86" t="s">
        <v>1060</v>
      </c>
      <c r="J7521" s="47" t="s">
        <v>3325</v>
      </c>
      <c r="K7521" s="47" t="s">
        <v>3767</v>
      </c>
      <c r="L7521" s="47" t="s">
        <v>35</v>
      </c>
      <c r="M7521" s="86" t="s">
        <v>1515</v>
      </c>
      <c r="O7521" s="47" t="s">
        <v>410</v>
      </c>
      <c r="P7521" s="14" t="s">
        <v>46</v>
      </c>
      <c r="Q7521" s="14">
        <v>0.02</v>
      </c>
      <c r="R7521" s="143" t="s">
        <v>1516</v>
      </c>
      <c r="S7521" s="47"/>
      <c r="T7521" s="6">
        <v>38654.340000000011</v>
      </c>
      <c r="U7521" s="6"/>
      <c r="V7521" s="6">
        <v>16099</v>
      </c>
      <c r="W7521" s="6">
        <f t="shared" si="1165"/>
        <v>22555.340000000011</v>
      </c>
      <c r="X7521" s="6">
        <f t="shared" si="1160"/>
        <v>15783.333333333334</v>
      </c>
      <c r="Y7521" s="13">
        <f t="shared" si="1162"/>
        <v>0</v>
      </c>
      <c r="Z7521" s="14">
        <v>0</v>
      </c>
      <c r="AA7521" s="6">
        <v>0</v>
      </c>
      <c r="AB7521" s="4">
        <f t="shared" si="1163"/>
        <v>15783.333333333334</v>
      </c>
      <c r="AC7521" s="6">
        <f t="shared" si="1161"/>
        <v>315.66666666666606</v>
      </c>
      <c r="AD7521" s="6">
        <f t="shared" si="1166"/>
        <v>16099</v>
      </c>
      <c r="AE7521" s="14">
        <f>VLOOKUP(I7521,[2]媒体政策预估表!A:N,MATCH(O7521,[2]媒体政策预估表!$A$2:$M$2,0),0)</f>
        <v>7.0000000000000007E-2</v>
      </c>
      <c r="AF7521" s="6">
        <f t="shared" si="1159"/>
        <v>1126.93</v>
      </c>
      <c r="AG7521" s="14">
        <v>0</v>
      </c>
      <c r="AH7521" s="64">
        <f t="shared" si="1167"/>
        <v>16099</v>
      </c>
      <c r="AJ7521" s="126" t="e">
        <v>#N/A</v>
      </c>
      <c r="AK7521" s="80">
        <f t="shared" si="1164"/>
        <v>0</v>
      </c>
      <c r="AL7521" s="85"/>
      <c r="AM7521" s="85"/>
    </row>
    <row r="7522" spans="1:39" s="86" customFormat="1" ht="13.25" hidden="1" customHeight="1" x14ac:dyDescent="0.3">
      <c r="A7522" s="89" t="s">
        <v>3978</v>
      </c>
      <c r="B7522" s="86" t="s">
        <v>35</v>
      </c>
      <c r="C7522" s="86" t="s">
        <v>144</v>
      </c>
      <c r="D7522" s="86" t="s">
        <v>161</v>
      </c>
      <c r="E7522" s="86" t="s">
        <v>1519</v>
      </c>
      <c r="F7522" s="86" t="s">
        <v>1519</v>
      </c>
      <c r="G7522" s="86" t="s">
        <v>1519</v>
      </c>
      <c r="H7522" s="144">
        <v>360</v>
      </c>
      <c r="I7522" s="86" t="s">
        <v>1060</v>
      </c>
      <c r="J7522" s="47" t="s">
        <v>3325</v>
      </c>
      <c r="K7522" s="47" t="s">
        <v>3767</v>
      </c>
      <c r="L7522" s="47" t="s">
        <v>35</v>
      </c>
      <c r="M7522" s="86" t="s">
        <v>1519</v>
      </c>
      <c r="O7522" s="47" t="s">
        <v>410</v>
      </c>
      <c r="P7522" s="14" t="s">
        <v>46</v>
      </c>
      <c r="Q7522" s="14">
        <v>0.02</v>
      </c>
      <c r="R7522" s="143" t="s">
        <v>1520</v>
      </c>
      <c r="S7522" s="47"/>
      <c r="T7522" s="6">
        <v>8519</v>
      </c>
      <c r="U7522" s="6"/>
      <c r="V7522" s="6">
        <v>8127.8</v>
      </c>
      <c r="W7522" s="6">
        <f t="shared" si="1165"/>
        <v>391.19999999999982</v>
      </c>
      <c r="X7522" s="6">
        <f t="shared" si="1160"/>
        <v>7968.4313725490192</v>
      </c>
      <c r="Y7522" s="13">
        <f t="shared" si="1162"/>
        <v>0</v>
      </c>
      <c r="Z7522" s="14">
        <v>0</v>
      </c>
      <c r="AA7522" s="6">
        <v>0</v>
      </c>
      <c r="AB7522" s="4">
        <f t="shared" si="1163"/>
        <v>7968.4313725490192</v>
      </c>
      <c r="AC7522" s="6">
        <f t="shared" si="1161"/>
        <v>159.36862745098097</v>
      </c>
      <c r="AD7522" s="6">
        <f t="shared" si="1166"/>
        <v>8127.8</v>
      </c>
      <c r="AE7522" s="14">
        <f>VLOOKUP(I7522,[2]媒体政策预估表!A:N,MATCH(O7522,[2]媒体政策预估表!$A$2:$M$2,0),0)</f>
        <v>7.0000000000000007E-2</v>
      </c>
      <c r="AF7522" s="6">
        <f t="shared" si="1159"/>
        <v>568.94600000000003</v>
      </c>
      <c r="AG7522" s="14">
        <v>0</v>
      </c>
      <c r="AH7522" s="64">
        <f t="shared" si="1167"/>
        <v>8127.8</v>
      </c>
      <c r="AJ7522" s="126" t="e">
        <v>#N/A</v>
      </c>
      <c r="AK7522" s="80">
        <f t="shared" si="1164"/>
        <v>0</v>
      </c>
      <c r="AL7522" s="85"/>
      <c r="AM7522" s="85"/>
    </row>
    <row r="7523" spans="1:39" s="86" customFormat="1" ht="13.25" hidden="1" customHeight="1" x14ac:dyDescent="0.3">
      <c r="A7523" s="89" t="s">
        <v>3792</v>
      </c>
      <c r="B7523" s="86" t="s">
        <v>35</v>
      </c>
      <c r="C7523" s="86" t="s">
        <v>144</v>
      </c>
      <c r="D7523" s="86" t="s">
        <v>161</v>
      </c>
      <c r="E7523" s="86" t="s">
        <v>1529</v>
      </c>
      <c r="F7523" s="86" t="s">
        <v>1529</v>
      </c>
      <c r="G7523" s="86" t="s">
        <v>1529</v>
      </c>
      <c r="H7523" s="143">
        <v>360</v>
      </c>
      <c r="I7523" s="86" t="s">
        <v>1060</v>
      </c>
      <c r="J7523" s="47" t="s">
        <v>3325</v>
      </c>
      <c r="K7523" s="47" t="s">
        <v>3767</v>
      </c>
      <c r="L7523" s="47" t="s">
        <v>35</v>
      </c>
      <c r="M7523" s="86" t="s">
        <v>1529</v>
      </c>
      <c r="O7523" s="47" t="s">
        <v>410</v>
      </c>
      <c r="P7523" s="14" t="s">
        <v>41</v>
      </c>
      <c r="Q7523" s="14">
        <v>0</v>
      </c>
      <c r="R7523" s="143" t="s">
        <v>1530</v>
      </c>
      <c r="S7523" s="47"/>
      <c r="T7523" s="6">
        <v>1447976.7</v>
      </c>
      <c r="U7523" s="6"/>
      <c r="V7523" s="6">
        <v>0</v>
      </c>
      <c r="W7523" s="6">
        <v>0</v>
      </c>
      <c r="X7523" s="6">
        <f t="shared" si="1160"/>
        <v>0</v>
      </c>
      <c r="Y7523" s="13">
        <f t="shared" si="1162"/>
        <v>0</v>
      </c>
      <c r="Z7523" s="14">
        <v>0</v>
      </c>
      <c r="AA7523" s="6">
        <v>0</v>
      </c>
      <c r="AB7523" s="4">
        <f t="shared" si="1163"/>
        <v>0</v>
      </c>
      <c r="AC7523" s="6">
        <f t="shared" si="1161"/>
        <v>0</v>
      </c>
      <c r="AD7523" s="6">
        <f t="shared" si="1166"/>
        <v>0</v>
      </c>
      <c r="AE7523" s="14">
        <f>VLOOKUP(I7523,[2]媒体政策预估表!A:N,MATCH(O7523,[2]媒体政策预估表!$A$2:$M$2,0),0)</f>
        <v>7.0000000000000007E-2</v>
      </c>
      <c r="AF7523" s="6">
        <f t="shared" si="1159"/>
        <v>0</v>
      </c>
      <c r="AG7523" s="14">
        <v>0</v>
      </c>
      <c r="AH7523" s="64">
        <f t="shared" si="1167"/>
        <v>0</v>
      </c>
      <c r="AJ7523" s="126" t="e">
        <v>#N/A</v>
      </c>
      <c r="AK7523" s="80">
        <f t="shared" si="1164"/>
        <v>0</v>
      </c>
      <c r="AL7523" s="85"/>
      <c r="AM7523" s="85"/>
    </row>
    <row r="7524" spans="1:39" s="86" customFormat="1" ht="13.25" hidden="1" customHeight="1" x14ac:dyDescent="0.3">
      <c r="A7524" s="89" t="s">
        <v>3978</v>
      </c>
      <c r="B7524" s="86" t="s">
        <v>35</v>
      </c>
      <c r="C7524" s="86" t="s">
        <v>164</v>
      </c>
      <c r="D7524" s="86" t="s">
        <v>305</v>
      </c>
      <c r="E7524" s="86" t="s">
        <v>1544</v>
      </c>
      <c r="F7524" s="86" t="s">
        <v>1544</v>
      </c>
      <c r="G7524" s="86" t="s">
        <v>1544</v>
      </c>
      <c r="H7524" s="144">
        <v>360</v>
      </c>
      <c r="I7524" s="86" t="s">
        <v>1060</v>
      </c>
      <c r="J7524" s="47" t="s">
        <v>3325</v>
      </c>
      <c r="K7524" s="47" t="s">
        <v>3767</v>
      </c>
      <c r="L7524" s="47" t="s">
        <v>35</v>
      </c>
      <c r="M7524" s="86" t="s">
        <v>1545</v>
      </c>
      <c r="O7524" s="47" t="s">
        <v>410</v>
      </c>
      <c r="P7524" s="14" t="s">
        <v>41</v>
      </c>
      <c r="Q7524" s="14">
        <v>0</v>
      </c>
      <c r="R7524" s="143" t="s">
        <v>1546</v>
      </c>
      <c r="S7524" s="47"/>
      <c r="T7524" s="6">
        <v>18834.5</v>
      </c>
      <c r="U7524" s="6"/>
      <c r="V7524" s="6">
        <v>13325.2</v>
      </c>
      <c r="W7524" s="6">
        <f t="shared" si="1165"/>
        <v>5509.2999999999993</v>
      </c>
      <c r="X7524" s="6">
        <f t="shared" si="1160"/>
        <v>13325.2</v>
      </c>
      <c r="Y7524" s="13">
        <f t="shared" si="1162"/>
        <v>0</v>
      </c>
      <c r="Z7524" s="14">
        <v>0</v>
      </c>
      <c r="AA7524" s="6">
        <v>0</v>
      </c>
      <c r="AB7524" s="4">
        <f t="shared" si="1163"/>
        <v>13325.2</v>
      </c>
      <c r="AC7524" s="6">
        <f t="shared" si="1161"/>
        <v>0</v>
      </c>
      <c r="AD7524" s="6">
        <f t="shared" si="1166"/>
        <v>13325.2</v>
      </c>
      <c r="AE7524" s="14">
        <f>VLOOKUP(I7524,[2]媒体政策预估表!A:N,MATCH(O7524,[2]媒体政策预估表!$A$2:$M$2,0),0)</f>
        <v>7.0000000000000007E-2</v>
      </c>
      <c r="AF7524" s="6">
        <f t="shared" ref="AF7524:AF7587" si="1168">AD7524*AE7524</f>
        <v>932.76400000000012</v>
      </c>
      <c r="AG7524" s="14">
        <v>0</v>
      </c>
      <c r="AH7524" s="64">
        <f t="shared" si="1167"/>
        <v>13325.2</v>
      </c>
      <c r="AJ7524" s="126" t="e">
        <v>#N/A</v>
      </c>
      <c r="AK7524" s="80">
        <f t="shared" si="1164"/>
        <v>0</v>
      </c>
      <c r="AL7524" s="85"/>
      <c r="AM7524" s="85"/>
    </row>
    <row r="7525" spans="1:39" s="86" customFormat="1" ht="13.25" hidden="1" customHeight="1" x14ac:dyDescent="0.3">
      <c r="A7525" s="89" t="s">
        <v>3978</v>
      </c>
      <c r="B7525" s="86" t="s">
        <v>35</v>
      </c>
      <c r="C7525" s="86" t="s">
        <v>164</v>
      </c>
      <c r="D7525" s="86" t="s">
        <v>305</v>
      </c>
      <c r="E7525" s="86" t="s">
        <v>1544</v>
      </c>
      <c r="F7525" s="86" t="s">
        <v>1544</v>
      </c>
      <c r="G7525" s="86" t="s">
        <v>1544</v>
      </c>
      <c r="H7525" s="143">
        <v>360</v>
      </c>
      <c r="I7525" s="86" t="s">
        <v>1060</v>
      </c>
      <c r="J7525" s="47" t="s">
        <v>3325</v>
      </c>
      <c r="K7525" s="47" t="s">
        <v>3767</v>
      </c>
      <c r="L7525" s="47" t="s">
        <v>35</v>
      </c>
      <c r="M7525" s="86" t="s">
        <v>3544</v>
      </c>
      <c r="O7525" s="47" t="s">
        <v>410</v>
      </c>
      <c r="P7525" s="14" t="s">
        <v>41</v>
      </c>
      <c r="Q7525" s="14">
        <v>0</v>
      </c>
      <c r="R7525" s="143" t="s">
        <v>3545</v>
      </c>
      <c r="S7525" s="47"/>
      <c r="T7525" s="6">
        <v>2517.3000000000002</v>
      </c>
      <c r="U7525" s="6"/>
      <c r="V7525" s="6">
        <v>0</v>
      </c>
      <c r="W7525" s="6">
        <f t="shared" si="1165"/>
        <v>2517.3000000000002</v>
      </c>
      <c r="X7525" s="6">
        <f t="shared" si="1160"/>
        <v>0</v>
      </c>
      <c r="Y7525" s="13">
        <f t="shared" si="1162"/>
        <v>0</v>
      </c>
      <c r="Z7525" s="14">
        <v>0</v>
      </c>
      <c r="AA7525" s="6">
        <v>0</v>
      </c>
      <c r="AB7525" s="4">
        <f t="shared" si="1163"/>
        <v>0</v>
      </c>
      <c r="AC7525" s="6">
        <f t="shared" si="1161"/>
        <v>0</v>
      </c>
      <c r="AD7525" s="6">
        <f t="shared" si="1166"/>
        <v>0</v>
      </c>
      <c r="AE7525" s="14">
        <f>VLOOKUP(I7525,[2]媒体政策预估表!A:N,MATCH(O7525,[2]媒体政策预估表!$A$2:$M$2,0),0)</f>
        <v>7.0000000000000007E-2</v>
      </c>
      <c r="AF7525" s="6">
        <f t="shared" si="1168"/>
        <v>0</v>
      </c>
      <c r="AG7525" s="14">
        <v>0</v>
      </c>
      <c r="AH7525" s="64">
        <f t="shared" si="1167"/>
        <v>0</v>
      </c>
      <c r="AJ7525" s="126" t="e">
        <v>#N/A</v>
      </c>
      <c r="AK7525" s="80">
        <f t="shared" si="1164"/>
        <v>0</v>
      </c>
      <c r="AL7525" s="85"/>
      <c r="AM7525" s="85"/>
    </row>
    <row r="7526" spans="1:39" s="86" customFormat="1" ht="13.25" hidden="1" customHeight="1" x14ac:dyDescent="0.3">
      <c r="A7526" s="89" t="s">
        <v>3792</v>
      </c>
      <c r="B7526" s="86" t="s">
        <v>35</v>
      </c>
      <c r="C7526" s="86" t="s">
        <v>164</v>
      </c>
      <c r="D7526" s="86" t="s">
        <v>305</v>
      </c>
      <c r="E7526" s="86" t="s">
        <v>3546</v>
      </c>
      <c r="F7526" s="86" t="s">
        <v>3546</v>
      </c>
      <c r="G7526" s="86" t="s">
        <v>3546</v>
      </c>
      <c r="H7526" s="144">
        <v>360</v>
      </c>
      <c r="I7526" s="86" t="s">
        <v>1060</v>
      </c>
      <c r="J7526" s="47" t="s">
        <v>3325</v>
      </c>
      <c r="K7526" s="47" t="s">
        <v>3767</v>
      </c>
      <c r="L7526" s="47" t="s">
        <v>35</v>
      </c>
      <c r="M7526" s="86" t="s">
        <v>3546</v>
      </c>
      <c r="O7526" s="47" t="s">
        <v>410</v>
      </c>
      <c r="P7526" s="14" t="s">
        <v>41</v>
      </c>
      <c r="Q7526" s="14">
        <v>0</v>
      </c>
      <c r="R7526" s="143" t="s">
        <v>3547</v>
      </c>
      <c r="S7526" s="47"/>
      <c r="T7526" s="6">
        <v>5000</v>
      </c>
      <c r="U7526" s="6"/>
      <c r="V7526" s="6">
        <v>5000</v>
      </c>
      <c r="W7526" s="6">
        <f t="shared" si="1165"/>
        <v>0</v>
      </c>
      <c r="X7526" s="6">
        <f t="shared" si="1160"/>
        <v>5000</v>
      </c>
      <c r="Y7526" s="13">
        <f t="shared" si="1162"/>
        <v>0</v>
      </c>
      <c r="Z7526" s="14">
        <v>0</v>
      </c>
      <c r="AA7526" s="6">
        <v>0</v>
      </c>
      <c r="AB7526" s="4">
        <f t="shared" si="1163"/>
        <v>5000</v>
      </c>
      <c r="AC7526" s="6">
        <f t="shared" si="1161"/>
        <v>0</v>
      </c>
      <c r="AD7526" s="6">
        <f t="shared" si="1166"/>
        <v>5000</v>
      </c>
      <c r="AE7526" s="14">
        <f>VLOOKUP(I7526,[2]媒体政策预估表!A:N,MATCH(O7526,[2]媒体政策预估表!$A$2:$M$2,0),0)</f>
        <v>7.0000000000000007E-2</v>
      </c>
      <c r="AF7526" s="6">
        <f t="shared" si="1168"/>
        <v>350.00000000000006</v>
      </c>
      <c r="AG7526" s="14">
        <v>0</v>
      </c>
      <c r="AH7526" s="64">
        <f t="shared" si="1167"/>
        <v>5000</v>
      </c>
      <c r="AJ7526" s="126" t="e">
        <v>#N/A</v>
      </c>
      <c r="AK7526" s="80">
        <f t="shared" si="1164"/>
        <v>0</v>
      </c>
      <c r="AL7526" s="85"/>
      <c r="AM7526" s="85"/>
    </row>
    <row r="7527" spans="1:39" s="86" customFormat="1" ht="13.25" hidden="1" customHeight="1" x14ac:dyDescent="0.3">
      <c r="A7527" s="89" t="s">
        <v>3792</v>
      </c>
      <c r="B7527" s="86" t="s">
        <v>35</v>
      </c>
      <c r="C7527" s="86" t="s">
        <v>164</v>
      </c>
      <c r="D7527" s="86" t="s">
        <v>305</v>
      </c>
      <c r="E7527" s="86" t="s">
        <v>3548</v>
      </c>
      <c r="F7527" s="86" t="s">
        <v>3548</v>
      </c>
      <c r="G7527" s="86" t="s">
        <v>3548</v>
      </c>
      <c r="H7527" s="143">
        <v>360</v>
      </c>
      <c r="I7527" s="86" t="s">
        <v>1060</v>
      </c>
      <c r="J7527" s="47" t="s">
        <v>3325</v>
      </c>
      <c r="K7527" s="47" t="s">
        <v>3767</v>
      </c>
      <c r="L7527" s="47" t="s">
        <v>35</v>
      </c>
      <c r="M7527" s="86" t="s">
        <v>3548</v>
      </c>
      <c r="O7527" s="47" t="s">
        <v>410</v>
      </c>
      <c r="P7527" s="14" t="s">
        <v>41</v>
      </c>
      <c r="Q7527" s="14">
        <v>0</v>
      </c>
      <c r="R7527" s="143">
        <v>13666008323</v>
      </c>
      <c r="S7527" s="47"/>
      <c r="T7527" s="6">
        <v>20000</v>
      </c>
      <c r="U7527" s="6"/>
      <c r="V7527" s="6">
        <v>0</v>
      </c>
      <c r="W7527" s="6">
        <f t="shared" si="1165"/>
        <v>20000</v>
      </c>
      <c r="X7527" s="6">
        <f t="shared" si="1160"/>
        <v>0</v>
      </c>
      <c r="Y7527" s="13">
        <f t="shared" si="1162"/>
        <v>0</v>
      </c>
      <c r="Z7527" s="14">
        <v>0</v>
      </c>
      <c r="AA7527" s="6">
        <v>0</v>
      </c>
      <c r="AB7527" s="4">
        <f t="shared" si="1163"/>
        <v>0</v>
      </c>
      <c r="AC7527" s="6">
        <f t="shared" si="1161"/>
        <v>0</v>
      </c>
      <c r="AD7527" s="6">
        <f t="shared" si="1166"/>
        <v>0</v>
      </c>
      <c r="AE7527" s="14">
        <f>VLOOKUP(I7527,[2]媒体政策预估表!A:N,MATCH(O7527,[2]媒体政策预估表!$A$2:$M$2,0),0)</f>
        <v>7.0000000000000007E-2</v>
      </c>
      <c r="AF7527" s="6">
        <f t="shared" si="1168"/>
        <v>0</v>
      </c>
      <c r="AG7527" s="14">
        <v>0</v>
      </c>
      <c r="AH7527" s="64">
        <f t="shared" si="1167"/>
        <v>0</v>
      </c>
      <c r="AJ7527" s="126" t="e">
        <v>#N/A</v>
      </c>
      <c r="AK7527" s="80">
        <f t="shared" si="1164"/>
        <v>0</v>
      </c>
      <c r="AL7527" s="85"/>
      <c r="AM7527" s="85"/>
    </row>
    <row r="7528" spans="1:39" s="86" customFormat="1" ht="13.25" hidden="1" customHeight="1" x14ac:dyDescent="0.3">
      <c r="A7528" s="89" t="s">
        <v>3978</v>
      </c>
      <c r="B7528" s="86" t="s">
        <v>35</v>
      </c>
      <c r="C7528" s="86" t="s">
        <v>164</v>
      </c>
      <c r="D7528" s="86" t="s">
        <v>174</v>
      </c>
      <c r="E7528" s="86" t="s">
        <v>3556</v>
      </c>
      <c r="F7528" s="86" t="s">
        <v>3557</v>
      </c>
      <c r="G7528" s="86" t="s">
        <v>3556</v>
      </c>
      <c r="H7528" s="144">
        <v>360</v>
      </c>
      <c r="I7528" s="86" t="s">
        <v>1060</v>
      </c>
      <c r="J7528" s="47" t="s">
        <v>3325</v>
      </c>
      <c r="K7528" s="47" t="s">
        <v>3767</v>
      </c>
      <c r="L7528" s="47" t="s">
        <v>35</v>
      </c>
      <c r="M7528" s="86" t="s">
        <v>3558</v>
      </c>
      <c r="O7528" s="47" t="s">
        <v>410</v>
      </c>
      <c r="P7528" s="14" t="s">
        <v>46</v>
      </c>
      <c r="Q7528" s="14">
        <v>0.02</v>
      </c>
      <c r="R7528" s="143" t="s">
        <v>3559</v>
      </c>
      <c r="S7528" s="47"/>
      <c r="T7528" s="6">
        <v>9416.5</v>
      </c>
      <c r="U7528" s="6"/>
      <c r="V7528" s="6">
        <v>7907.7</v>
      </c>
      <c r="W7528" s="6">
        <f t="shared" si="1165"/>
        <v>1508.8000000000002</v>
      </c>
      <c r="X7528" s="6">
        <f t="shared" si="1160"/>
        <v>7752.6470588235288</v>
      </c>
      <c r="Y7528" s="13">
        <f t="shared" si="1162"/>
        <v>0</v>
      </c>
      <c r="Z7528" s="14">
        <v>0</v>
      </c>
      <c r="AA7528" s="6">
        <v>0</v>
      </c>
      <c r="AB7528" s="4">
        <f t="shared" si="1163"/>
        <v>7752.6470588235288</v>
      </c>
      <c r="AC7528" s="6">
        <f t="shared" si="1161"/>
        <v>155.05294117647099</v>
      </c>
      <c r="AD7528" s="6">
        <f t="shared" si="1166"/>
        <v>7907.7</v>
      </c>
      <c r="AE7528" s="14">
        <f>VLOOKUP(I7528,[2]媒体政策预估表!A:N,MATCH(O7528,[2]媒体政策预估表!$A$2:$M$2,0),0)</f>
        <v>7.0000000000000007E-2</v>
      </c>
      <c r="AF7528" s="6">
        <f t="shared" si="1168"/>
        <v>553.53899999999999</v>
      </c>
      <c r="AG7528" s="14">
        <v>0</v>
      </c>
      <c r="AH7528" s="64">
        <f t="shared" si="1167"/>
        <v>7907.7</v>
      </c>
      <c r="AJ7528" s="126" t="e">
        <v>#N/A</v>
      </c>
      <c r="AK7528" s="80">
        <f t="shared" si="1164"/>
        <v>0</v>
      </c>
      <c r="AL7528" s="85"/>
      <c r="AM7528" s="85"/>
    </row>
    <row r="7529" spans="1:39" s="86" customFormat="1" ht="13.25" hidden="1" customHeight="1" x14ac:dyDescent="0.3">
      <c r="A7529" s="89" t="s">
        <v>3978</v>
      </c>
      <c r="B7529" s="86" t="s">
        <v>35</v>
      </c>
      <c r="C7529" s="86" t="s">
        <v>164</v>
      </c>
      <c r="D7529" s="86" t="s">
        <v>174</v>
      </c>
      <c r="E7529" s="86" t="s">
        <v>1639</v>
      </c>
      <c r="F7529" s="86" t="s">
        <v>1639</v>
      </c>
      <c r="G7529" s="86" t="s">
        <v>1639</v>
      </c>
      <c r="H7529" s="144">
        <v>360</v>
      </c>
      <c r="I7529" s="86" t="s">
        <v>1060</v>
      </c>
      <c r="J7529" s="47" t="s">
        <v>3325</v>
      </c>
      <c r="K7529" s="47" t="s">
        <v>3767</v>
      </c>
      <c r="L7529" s="47" t="s">
        <v>35</v>
      </c>
      <c r="M7529" s="86" t="s">
        <v>1639</v>
      </c>
      <c r="O7529" s="47" t="s">
        <v>410</v>
      </c>
      <c r="P7529" s="14" t="s">
        <v>41</v>
      </c>
      <c r="Q7529" s="14">
        <v>0</v>
      </c>
      <c r="R7529" s="143" t="s">
        <v>1641</v>
      </c>
      <c r="S7529" s="47"/>
      <c r="T7529" s="6">
        <v>61601.34</v>
      </c>
      <c r="U7529" s="6"/>
      <c r="V7529" s="6">
        <v>36886.199999999997</v>
      </c>
      <c r="W7529" s="6">
        <f t="shared" si="1165"/>
        <v>24715.14</v>
      </c>
      <c r="X7529" s="6">
        <f t="shared" si="1160"/>
        <v>36886.199999999997</v>
      </c>
      <c r="Y7529" s="13">
        <f t="shared" si="1162"/>
        <v>0</v>
      </c>
      <c r="Z7529" s="14">
        <v>0</v>
      </c>
      <c r="AA7529" s="6">
        <v>0</v>
      </c>
      <c r="AB7529" s="4">
        <f t="shared" si="1163"/>
        <v>36886.199999999997</v>
      </c>
      <c r="AC7529" s="6">
        <f t="shared" si="1161"/>
        <v>0</v>
      </c>
      <c r="AD7529" s="6">
        <f t="shared" si="1166"/>
        <v>36886.199999999997</v>
      </c>
      <c r="AE7529" s="14">
        <f>VLOOKUP(I7529,[2]媒体政策预估表!A:N,MATCH(O7529,[2]媒体政策预估表!$A$2:$M$2,0),0)</f>
        <v>7.0000000000000007E-2</v>
      </c>
      <c r="AF7529" s="6">
        <f t="shared" si="1168"/>
        <v>2582.0340000000001</v>
      </c>
      <c r="AG7529" s="14">
        <v>0</v>
      </c>
      <c r="AH7529" s="64">
        <f t="shared" si="1167"/>
        <v>36886.199999999997</v>
      </c>
      <c r="AJ7529" s="126" t="e">
        <v>#N/A</v>
      </c>
      <c r="AK7529" s="80">
        <f t="shared" si="1164"/>
        <v>0</v>
      </c>
      <c r="AL7529" s="85"/>
      <c r="AM7529" s="85"/>
    </row>
    <row r="7530" spans="1:39" s="86" customFormat="1" ht="13.25" hidden="1" customHeight="1" x14ac:dyDescent="0.3">
      <c r="A7530" s="89" t="s">
        <v>3978</v>
      </c>
      <c r="B7530" s="86" t="s">
        <v>35</v>
      </c>
      <c r="C7530" s="86" t="s">
        <v>164</v>
      </c>
      <c r="D7530" s="86" t="s">
        <v>174</v>
      </c>
      <c r="E7530" s="86" t="s">
        <v>3561</v>
      </c>
      <c r="F7530" s="86" t="s">
        <v>3561</v>
      </c>
      <c r="G7530" s="86" t="s">
        <v>3561</v>
      </c>
      <c r="H7530" s="144">
        <v>360</v>
      </c>
      <c r="I7530" s="86" t="s">
        <v>1060</v>
      </c>
      <c r="J7530" s="47" t="s">
        <v>3325</v>
      </c>
      <c r="K7530" s="47" t="s">
        <v>3767</v>
      </c>
      <c r="L7530" s="47" t="s">
        <v>35</v>
      </c>
      <c r="M7530" s="86" t="s">
        <v>3563</v>
      </c>
      <c r="O7530" s="47" t="s">
        <v>410</v>
      </c>
      <c r="P7530" s="14" t="s">
        <v>41</v>
      </c>
      <c r="Q7530" s="14">
        <v>0</v>
      </c>
      <c r="R7530" s="143" t="s">
        <v>3564</v>
      </c>
      <c r="S7530" s="47"/>
      <c r="T7530" s="6">
        <v>15902.2</v>
      </c>
      <c r="U7530" s="6"/>
      <c r="V7530" s="6">
        <v>14668</v>
      </c>
      <c r="W7530" s="6">
        <f t="shared" si="1165"/>
        <v>1234.2000000000007</v>
      </c>
      <c r="X7530" s="6">
        <f t="shared" si="1160"/>
        <v>14668</v>
      </c>
      <c r="Y7530" s="13">
        <f t="shared" si="1162"/>
        <v>0</v>
      </c>
      <c r="Z7530" s="14">
        <v>0</v>
      </c>
      <c r="AA7530" s="6">
        <v>0</v>
      </c>
      <c r="AB7530" s="4">
        <f t="shared" si="1163"/>
        <v>14668</v>
      </c>
      <c r="AC7530" s="6">
        <f t="shared" si="1161"/>
        <v>0</v>
      </c>
      <c r="AD7530" s="6">
        <f t="shared" si="1166"/>
        <v>14668</v>
      </c>
      <c r="AE7530" s="14">
        <f>VLOOKUP(I7530,[2]媒体政策预估表!A:N,MATCH(O7530,[2]媒体政策预估表!$A$2:$M$2,0),0)</f>
        <v>7.0000000000000007E-2</v>
      </c>
      <c r="AF7530" s="6">
        <f t="shared" si="1168"/>
        <v>1026.76</v>
      </c>
      <c r="AG7530" s="14">
        <v>0</v>
      </c>
      <c r="AH7530" s="64">
        <f t="shared" si="1167"/>
        <v>14668</v>
      </c>
      <c r="AJ7530" s="126" t="e">
        <v>#N/A</v>
      </c>
      <c r="AK7530" s="80">
        <f t="shared" si="1164"/>
        <v>0</v>
      </c>
      <c r="AL7530" s="85"/>
      <c r="AM7530" s="85"/>
    </row>
    <row r="7531" spans="1:39" s="86" customFormat="1" ht="13.25" hidden="1" customHeight="1" x14ac:dyDescent="0.3">
      <c r="A7531" s="89" t="s">
        <v>3792</v>
      </c>
      <c r="B7531" s="86" t="s">
        <v>35</v>
      </c>
      <c r="C7531" s="86" t="s">
        <v>164</v>
      </c>
      <c r="D7531" s="86" t="s">
        <v>174</v>
      </c>
      <c r="E7531" s="86" t="s">
        <v>1668</v>
      </c>
      <c r="F7531" s="86" t="s">
        <v>1669</v>
      </c>
      <c r="G7531" s="86" t="s">
        <v>1668</v>
      </c>
      <c r="H7531" s="143">
        <v>360</v>
      </c>
      <c r="I7531" s="86" t="s">
        <v>1060</v>
      </c>
      <c r="J7531" s="47" t="s">
        <v>3325</v>
      </c>
      <c r="K7531" s="47" t="s">
        <v>3767</v>
      </c>
      <c r="L7531" s="47" t="s">
        <v>35</v>
      </c>
      <c r="M7531" s="86" t="s">
        <v>1668</v>
      </c>
      <c r="O7531" s="47" t="s">
        <v>410</v>
      </c>
      <c r="P7531" s="14" t="s">
        <v>46</v>
      </c>
      <c r="Q7531" s="14">
        <v>0.02</v>
      </c>
      <c r="R7531" s="143" t="s">
        <v>1670</v>
      </c>
      <c r="S7531" s="47"/>
      <c r="T7531" s="6">
        <v>714.33999999999651</v>
      </c>
      <c r="U7531" s="6"/>
      <c r="V7531" s="6">
        <v>0</v>
      </c>
      <c r="W7531" s="6">
        <f t="shared" si="1165"/>
        <v>714.33999999999651</v>
      </c>
      <c r="X7531" s="6">
        <f t="shared" si="1160"/>
        <v>0</v>
      </c>
      <c r="Y7531" s="13">
        <f t="shared" si="1162"/>
        <v>0</v>
      </c>
      <c r="Z7531" s="14">
        <v>0</v>
      </c>
      <c r="AA7531" s="6">
        <v>0</v>
      </c>
      <c r="AB7531" s="4">
        <f t="shared" si="1163"/>
        <v>0</v>
      </c>
      <c r="AC7531" s="6">
        <f t="shared" si="1161"/>
        <v>0</v>
      </c>
      <c r="AD7531" s="6">
        <f t="shared" si="1166"/>
        <v>0</v>
      </c>
      <c r="AE7531" s="14">
        <f>VLOOKUP(I7531,[2]媒体政策预估表!A:N,MATCH(O7531,[2]媒体政策预估表!$A$2:$M$2,0),0)</f>
        <v>7.0000000000000007E-2</v>
      </c>
      <c r="AF7531" s="6">
        <f t="shared" si="1168"/>
        <v>0</v>
      </c>
      <c r="AG7531" s="14">
        <v>0</v>
      </c>
      <c r="AH7531" s="64">
        <f t="shared" si="1167"/>
        <v>0</v>
      </c>
      <c r="AJ7531" s="126" t="e">
        <v>#N/A</v>
      </c>
      <c r="AK7531" s="80">
        <f t="shared" si="1164"/>
        <v>0</v>
      </c>
      <c r="AL7531" s="85"/>
      <c r="AM7531" s="85"/>
    </row>
    <row r="7532" spans="1:39" s="86" customFormat="1" ht="13.25" hidden="1" customHeight="1" x14ac:dyDescent="0.3">
      <c r="A7532" s="89" t="s">
        <v>3978</v>
      </c>
      <c r="B7532" s="86" t="s">
        <v>35</v>
      </c>
      <c r="C7532" s="86" t="s">
        <v>164</v>
      </c>
      <c r="D7532" s="86" t="s">
        <v>174</v>
      </c>
      <c r="E7532" s="86" t="s">
        <v>1694</v>
      </c>
      <c r="F7532" s="86" t="s">
        <v>1694</v>
      </c>
      <c r="G7532" s="86" t="s">
        <v>1694</v>
      </c>
      <c r="H7532" s="144">
        <v>360</v>
      </c>
      <c r="I7532" s="86" t="s">
        <v>1060</v>
      </c>
      <c r="J7532" s="47" t="s">
        <v>3325</v>
      </c>
      <c r="K7532" s="47" t="s">
        <v>3767</v>
      </c>
      <c r="L7532" s="47" t="s">
        <v>35</v>
      </c>
      <c r="M7532" s="86" t="s">
        <v>1694</v>
      </c>
      <c r="O7532" s="47" t="s">
        <v>410</v>
      </c>
      <c r="P7532" s="14" t="s">
        <v>41</v>
      </c>
      <c r="Q7532" s="14">
        <v>0</v>
      </c>
      <c r="R7532" s="143" t="s">
        <v>1695</v>
      </c>
      <c r="S7532" s="47"/>
      <c r="T7532" s="6">
        <v>4938.2250000000013</v>
      </c>
      <c r="U7532" s="6"/>
      <c r="V7532" s="6">
        <v>1801.7</v>
      </c>
      <c r="W7532" s="6">
        <f t="shared" si="1165"/>
        <v>3136.5250000000015</v>
      </c>
      <c r="X7532" s="6">
        <f t="shared" si="1160"/>
        <v>1801.7</v>
      </c>
      <c r="Y7532" s="13">
        <f t="shared" si="1162"/>
        <v>0</v>
      </c>
      <c r="Z7532" s="14">
        <v>0</v>
      </c>
      <c r="AA7532" s="6">
        <v>0</v>
      </c>
      <c r="AB7532" s="4">
        <f t="shared" si="1163"/>
        <v>1801.7</v>
      </c>
      <c r="AC7532" s="6">
        <f t="shared" si="1161"/>
        <v>0</v>
      </c>
      <c r="AD7532" s="6">
        <f t="shared" si="1166"/>
        <v>1801.7</v>
      </c>
      <c r="AE7532" s="14">
        <f>VLOOKUP(I7532,[2]媒体政策预估表!A:N,MATCH(O7532,[2]媒体政策预估表!$A$2:$M$2,0),0)</f>
        <v>7.0000000000000007E-2</v>
      </c>
      <c r="AF7532" s="6">
        <f t="shared" si="1168"/>
        <v>126.11900000000001</v>
      </c>
      <c r="AG7532" s="14">
        <v>0</v>
      </c>
      <c r="AH7532" s="64">
        <f t="shared" si="1167"/>
        <v>1801.7</v>
      </c>
      <c r="AJ7532" s="126" t="e">
        <v>#N/A</v>
      </c>
      <c r="AK7532" s="80">
        <f t="shared" si="1164"/>
        <v>0</v>
      </c>
      <c r="AL7532" s="85"/>
      <c r="AM7532" s="85"/>
    </row>
    <row r="7533" spans="1:39" s="86" customFormat="1" ht="13.25" hidden="1" customHeight="1" x14ac:dyDescent="0.3">
      <c r="A7533" s="89" t="s">
        <v>3792</v>
      </c>
      <c r="B7533" s="86" t="s">
        <v>35</v>
      </c>
      <c r="C7533" s="86" t="s">
        <v>164</v>
      </c>
      <c r="D7533" s="86" t="s">
        <v>174</v>
      </c>
      <c r="E7533" s="86" t="s">
        <v>1698</v>
      </c>
      <c r="F7533" s="86" t="s">
        <v>1699</v>
      </c>
      <c r="G7533" s="86" t="s">
        <v>1698</v>
      </c>
      <c r="H7533" s="144">
        <v>360</v>
      </c>
      <c r="I7533" s="86" t="s">
        <v>1060</v>
      </c>
      <c r="J7533" s="47" t="s">
        <v>3325</v>
      </c>
      <c r="K7533" s="47" t="s">
        <v>3767</v>
      </c>
      <c r="L7533" s="47" t="s">
        <v>35</v>
      </c>
      <c r="M7533" s="86" t="s">
        <v>1698</v>
      </c>
      <c r="O7533" s="47" t="s">
        <v>410</v>
      </c>
      <c r="P7533" s="14" t="s">
        <v>41</v>
      </c>
      <c r="Q7533" s="14">
        <v>0</v>
      </c>
      <c r="R7533" s="143">
        <v>13989814374</v>
      </c>
      <c r="S7533" s="47"/>
      <c r="T7533" s="6">
        <v>9565.3000000000011</v>
      </c>
      <c r="U7533" s="6"/>
      <c r="V7533" s="6">
        <v>9036.9</v>
      </c>
      <c r="W7533" s="6">
        <f t="shared" si="1165"/>
        <v>528.40000000000146</v>
      </c>
      <c r="X7533" s="6">
        <f t="shared" si="1160"/>
        <v>9036.9</v>
      </c>
      <c r="Y7533" s="13">
        <f t="shared" si="1162"/>
        <v>0</v>
      </c>
      <c r="Z7533" s="14">
        <v>0</v>
      </c>
      <c r="AA7533" s="6">
        <v>0</v>
      </c>
      <c r="AB7533" s="4">
        <f t="shared" si="1163"/>
        <v>9036.9</v>
      </c>
      <c r="AC7533" s="6">
        <f t="shared" si="1161"/>
        <v>0</v>
      </c>
      <c r="AD7533" s="6">
        <f t="shared" si="1166"/>
        <v>9036.9</v>
      </c>
      <c r="AE7533" s="14">
        <f>VLOOKUP(I7533,[2]媒体政策预估表!A:N,MATCH(O7533,[2]媒体政策预估表!$A$2:$M$2,0),0)</f>
        <v>7.0000000000000007E-2</v>
      </c>
      <c r="AF7533" s="6">
        <f t="shared" si="1168"/>
        <v>632.58300000000008</v>
      </c>
      <c r="AG7533" s="14">
        <v>0</v>
      </c>
      <c r="AH7533" s="64">
        <f t="shared" si="1167"/>
        <v>9036.9</v>
      </c>
      <c r="AJ7533" s="126" t="e">
        <v>#N/A</v>
      </c>
      <c r="AK7533" s="80">
        <f t="shared" si="1164"/>
        <v>0</v>
      </c>
      <c r="AL7533" s="85"/>
      <c r="AM7533" s="85"/>
    </row>
    <row r="7534" spans="1:39" s="86" customFormat="1" ht="13.25" hidden="1" customHeight="1" x14ac:dyDescent="0.3">
      <c r="A7534" s="89" t="s">
        <v>3792</v>
      </c>
      <c r="B7534" s="86" t="s">
        <v>35</v>
      </c>
      <c r="C7534" s="86" t="s">
        <v>164</v>
      </c>
      <c r="D7534" s="86" t="s">
        <v>174</v>
      </c>
      <c r="E7534" s="86" t="s">
        <v>1703</v>
      </c>
      <c r="F7534" s="86" t="s">
        <v>1703</v>
      </c>
      <c r="G7534" s="86" t="s">
        <v>1703</v>
      </c>
      <c r="H7534" s="143">
        <v>360</v>
      </c>
      <c r="I7534" s="86" t="s">
        <v>1060</v>
      </c>
      <c r="J7534" s="47" t="s">
        <v>3325</v>
      </c>
      <c r="K7534" s="47" t="s">
        <v>3767</v>
      </c>
      <c r="L7534" s="47" t="s">
        <v>35</v>
      </c>
      <c r="M7534" s="86" t="s">
        <v>1705</v>
      </c>
      <c r="O7534" s="47" t="s">
        <v>410</v>
      </c>
      <c r="P7534" s="14" t="s">
        <v>41</v>
      </c>
      <c r="Q7534" s="14">
        <v>0</v>
      </c>
      <c r="R7534" s="143" t="s">
        <v>1706</v>
      </c>
      <c r="S7534" s="47"/>
      <c r="T7534" s="6">
        <v>4722.0999999999995</v>
      </c>
      <c r="U7534" s="6"/>
      <c r="V7534" s="6">
        <v>0</v>
      </c>
      <c r="W7534" s="6">
        <f t="shared" si="1165"/>
        <v>4722.0999999999995</v>
      </c>
      <c r="X7534" s="6">
        <f t="shared" si="1160"/>
        <v>0</v>
      </c>
      <c r="Y7534" s="13">
        <f t="shared" si="1162"/>
        <v>0</v>
      </c>
      <c r="Z7534" s="14">
        <v>0</v>
      </c>
      <c r="AA7534" s="6">
        <v>0</v>
      </c>
      <c r="AB7534" s="4">
        <f t="shared" si="1163"/>
        <v>0</v>
      </c>
      <c r="AC7534" s="6">
        <f t="shared" si="1161"/>
        <v>0</v>
      </c>
      <c r="AD7534" s="6">
        <f t="shared" si="1166"/>
        <v>0</v>
      </c>
      <c r="AE7534" s="14">
        <f>VLOOKUP(I7534,[2]媒体政策预估表!A:N,MATCH(O7534,[2]媒体政策预估表!$A$2:$M$2,0),0)</f>
        <v>7.0000000000000007E-2</v>
      </c>
      <c r="AF7534" s="6">
        <f t="shared" si="1168"/>
        <v>0</v>
      </c>
      <c r="AG7534" s="14">
        <v>0</v>
      </c>
      <c r="AH7534" s="64">
        <f t="shared" si="1167"/>
        <v>0</v>
      </c>
      <c r="AJ7534" s="126" t="e">
        <v>#N/A</v>
      </c>
      <c r="AK7534" s="80">
        <f t="shared" si="1164"/>
        <v>0</v>
      </c>
      <c r="AL7534" s="85"/>
      <c r="AM7534" s="85"/>
    </row>
    <row r="7535" spans="1:39" s="86" customFormat="1" ht="13.25" hidden="1" customHeight="1" x14ac:dyDescent="0.3">
      <c r="A7535" s="89" t="s">
        <v>3978</v>
      </c>
      <c r="B7535" s="86" t="s">
        <v>35</v>
      </c>
      <c r="C7535" s="86" t="s">
        <v>164</v>
      </c>
      <c r="D7535" s="86" t="s">
        <v>174</v>
      </c>
      <c r="E7535" s="86" t="s">
        <v>1727</v>
      </c>
      <c r="F7535" s="86" t="s">
        <v>1727</v>
      </c>
      <c r="G7535" s="86" t="s">
        <v>1727</v>
      </c>
      <c r="H7535" s="144">
        <v>360</v>
      </c>
      <c r="I7535" s="86" t="s">
        <v>1060</v>
      </c>
      <c r="J7535" s="47" t="s">
        <v>3325</v>
      </c>
      <c r="K7535" s="47" t="s">
        <v>3767</v>
      </c>
      <c r="L7535" s="47" t="s">
        <v>35</v>
      </c>
      <c r="M7535" s="86" t="s">
        <v>1728</v>
      </c>
      <c r="O7535" s="47" t="s">
        <v>410</v>
      </c>
      <c r="P7535" s="14" t="s">
        <v>41</v>
      </c>
      <c r="Q7535" s="14">
        <v>0</v>
      </c>
      <c r="R7535" s="143" t="s">
        <v>1729</v>
      </c>
      <c r="S7535" s="47"/>
      <c r="T7535" s="6">
        <v>7397.1000000000058</v>
      </c>
      <c r="U7535" s="6"/>
      <c r="V7535" s="6">
        <v>3497.9</v>
      </c>
      <c r="W7535" s="6">
        <f t="shared" si="1165"/>
        <v>3899.2000000000057</v>
      </c>
      <c r="X7535" s="6">
        <f t="shared" si="1160"/>
        <v>3497.9</v>
      </c>
      <c r="Y7535" s="13">
        <f t="shared" si="1162"/>
        <v>0</v>
      </c>
      <c r="Z7535" s="14">
        <v>0</v>
      </c>
      <c r="AA7535" s="6">
        <v>0</v>
      </c>
      <c r="AB7535" s="4">
        <f t="shared" si="1163"/>
        <v>3497.9</v>
      </c>
      <c r="AC7535" s="6">
        <f t="shared" si="1161"/>
        <v>0</v>
      </c>
      <c r="AD7535" s="6">
        <f t="shared" si="1166"/>
        <v>3497.9</v>
      </c>
      <c r="AE7535" s="14">
        <f>VLOOKUP(I7535,[2]媒体政策预估表!A:N,MATCH(O7535,[2]媒体政策预估表!$A$2:$M$2,0),0)</f>
        <v>7.0000000000000007E-2</v>
      </c>
      <c r="AF7535" s="6">
        <f t="shared" si="1168"/>
        <v>244.85300000000004</v>
      </c>
      <c r="AG7535" s="14">
        <v>0</v>
      </c>
      <c r="AH7535" s="64">
        <f t="shared" si="1167"/>
        <v>3497.9</v>
      </c>
      <c r="AJ7535" s="126" t="e">
        <v>#N/A</v>
      </c>
      <c r="AK7535" s="80">
        <f t="shared" si="1164"/>
        <v>0</v>
      </c>
      <c r="AL7535" s="85"/>
      <c r="AM7535" s="85"/>
    </row>
    <row r="7536" spans="1:39" s="86" customFormat="1" ht="13.25" hidden="1" customHeight="1" x14ac:dyDescent="0.3">
      <c r="A7536" s="89" t="s">
        <v>3978</v>
      </c>
      <c r="B7536" s="86" t="s">
        <v>35</v>
      </c>
      <c r="C7536" s="86" t="s">
        <v>164</v>
      </c>
      <c r="D7536" s="86" t="s">
        <v>174</v>
      </c>
      <c r="E7536" s="86" t="s">
        <v>1737</v>
      </c>
      <c r="F7536" s="86" t="s">
        <v>1737</v>
      </c>
      <c r="G7536" s="86" t="s">
        <v>1737</v>
      </c>
      <c r="H7536" s="144">
        <v>360</v>
      </c>
      <c r="I7536" s="86" t="s">
        <v>1060</v>
      </c>
      <c r="J7536" s="47" t="s">
        <v>3325</v>
      </c>
      <c r="K7536" s="47" t="s">
        <v>3767</v>
      </c>
      <c r="L7536" s="47" t="s">
        <v>35</v>
      </c>
      <c r="M7536" s="86" t="s">
        <v>1738</v>
      </c>
      <c r="O7536" s="47" t="s">
        <v>410</v>
      </c>
      <c r="P7536" s="14" t="s">
        <v>46</v>
      </c>
      <c r="Q7536" s="14">
        <v>0.01</v>
      </c>
      <c r="R7536" s="143" t="s">
        <v>1739</v>
      </c>
      <c r="S7536" s="47"/>
      <c r="T7536" s="6">
        <v>3336.8999999999978</v>
      </c>
      <c r="U7536" s="6"/>
      <c r="V7536" s="6">
        <v>3336.7</v>
      </c>
      <c r="W7536" s="6">
        <f t="shared" si="1165"/>
        <v>0.19999999999799911</v>
      </c>
      <c r="X7536" s="6">
        <f t="shared" ref="X7536:X7599" si="1169">IF(P7536="折扣",V7536*Q7536,IF(P7536="返现",V7536,V7536/(1+Q7536)))</f>
        <v>3303.6633663366333</v>
      </c>
      <c r="Y7536" s="13">
        <f t="shared" si="1162"/>
        <v>0</v>
      </c>
      <c r="Z7536" s="14">
        <v>0</v>
      </c>
      <c r="AA7536" s="6">
        <v>0</v>
      </c>
      <c r="AB7536" s="4">
        <f t="shared" si="1163"/>
        <v>3303.6633663366333</v>
      </c>
      <c r="AC7536" s="6">
        <f t="shared" si="1161"/>
        <v>33.036633663366501</v>
      </c>
      <c r="AD7536" s="6">
        <f t="shared" si="1166"/>
        <v>3336.7</v>
      </c>
      <c r="AE7536" s="14">
        <f>VLOOKUP(I7536,[2]媒体政策预估表!A:N,MATCH(O7536,[2]媒体政策预估表!$A$2:$M$2,0),0)</f>
        <v>7.0000000000000007E-2</v>
      </c>
      <c r="AF7536" s="6">
        <f t="shared" si="1168"/>
        <v>233.56900000000002</v>
      </c>
      <c r="AG7536" s="14">
        <v>0</v>
      </c>
      <c r="AH7536" s="64">
        <f t="shared" si="1167"/>
        <v>3336.7</v>
      </c>
      <c r="AJ7536" s="126" t="e">
        <v>#N/A</v>
      </c>
      <c r="AK7536" s="80">
        <f t="shared" si="1164"/>
        <v>0</v>
      </c>
      <c r="AL7536" s="85"/>
      <c r="AM7536" s="85"/>
    </row>
    <row r="7537" spans="1:39" s="86" customFormat="1" ht="13.25" hidden="1" customHeight="1" x14ac:dyDescent="0.3">
      <c r="A7537" s="89" t="s">
        <v>3792</v>
      </c>
      <c r="B7537" s="86" t="s">
        <v>35</v>
      </c>
      <c r="C7537" s="86" t="s">
        <v>164</v>
      </c>
      <c r="D7537" s="86" t="s">
        <v>174</v>
      </c>
      <c r="E7537" s="86" t="s">
        <v>1999</v>
      </c>
      <c r="F7537" s="86" t="s">
        <v>1999</v>
      </c>
      <c r="G7537" s="86" t="s">
        <v>1999</v>
      </c>
      <c r="H7537" s="144">
        <v>360</v>
      </c>
      <c r="I7537" s="86" t="s">
        <v>1060</v>
      </c>
      <c r="J7537" s="47" t="s">
        <v>3325</v>
      </c>
      <c r="K7537" s="47" t="s">
        <v>3767</v>
      </c>
      <c r="L7537" s="47" t="s">
        <v>35</v>
      </c>
      <c r="M7537" s="86" t="s">
        <v>1999</v>
      </c>
      <c r="O7537" s="47" t="s">
        <v>410</v>
      </c>
      <c r="P7537" s="14" t="s">
        <v>41</v>
      </c>
      <c r="Q7537" s="14">
        <v>0</v>
      </c>
      <c r="R7537" s="143" t="s">
        <v>2000</v>
      </c>
      <c r="S7537" s="47"/>
      <c r="T7537" s="6">
        <v>8013.1900000000005</v>
      </c>
      <c r="U7537" s="6"/>
      <c r="V7537" s="6">
        <v>7523.1</v>
      </c>
      <c r="W7537" s="6">
        <f t="shared" si="1165"/>
        <v>490.09000000000015</v>
      </c>
      <c r="X7537" s="6">
        <f t="shared" si="1169"/>
        <v>7523.1</v>
      </c>
      <c r="Y7537" s="13">
        <f t="shared" si="1162"/>
        <v>0</v>
      </c>
      <c r="Z7537" s="14">
        <v>0</v>
      </c>
      <c r="AA7537" s="6">
        <v>0</v>
      </c>
      <c r="AB7537" s="4">
        <f t="shared" si="1163"/>
        <v>7523.1</v>
      </c>
      <c r="AC7537" s="6">
        <f t="shared" si="1161"/>
        <v>0</v>
      </c>
      <c r="AD7537" s="6">
        <f t="shared" si="1166"/>
        <v>7523.1</v>
      </c>
      <c r="AE7537" s="14">
        <f>VLOOKUP(I7537,[2]媒体政策预估表!A:N,MATCH(O7537,[2]媒体政策预估表!$A$2:$M$2,0),0)</f>
        <v>7.0000000000000007E-2</v>
      </c>
      <c r="AF7537" s="6">
        <f t="shared" si="1168"/>
        <v>526.61700000000008</v>
      </c>
      <c r="AG7537" s="14">
        <v>0</v>
      </c>
      <c r="AH7537" s="64">
        <f t="shared" si="1167"/>
        <v>7523.1</v>
      </c>
      <c r="AJ7537" s="126" t="e">
        <v>#N/A</v>
      </c>
      <c r="AK7537" s="80">
        <f t="shared" si="1164"/>
        <v>0</v>
      </c>
      <c r="AL7537" s="85"/>
      <c r="AM7537" s="85"/>
    </row>
    <row r="7538" spans="1:39" s="86" customFormat="1" ht="13.25" hidden="1" customHeight="1" x14ac:dyDescent="0.3">
      <c r="A7538" s="89" t="s">
        <v>3978</v>
      </c>
      <c r="B7538" s="86" t="s">
        <v>35</v>
      </c>
      <c r="C7538" s="86" t="s">
        <v>164</v>
      </c>
      <c r="D7538" s="86" t="s">
        <v>174</v>
      </c>
      <c r="E7538" s="86" t="s">
        <v>1789</v>
      </c>
      <c r="F7538" s="86" t="s">
        <v>1789</v>
      </c>
      <c r="G7538" s="86" t="s">
        <v>1789</v>
      </c>
      <c r="H7538" s="143">
        <v>360</v>
      </c>
      <c r="I7538" s="86" t="s">
        <v>1060</v>
      </c>
      <c r="J7538" s="47" t="s">
        <v>3325</v>
      </c>
      <c r="K7538" s="47" t="s">
        <v>3767</v>
      </c>
      <c r="L7538" s="47" t="s">
        <v>35</v>
      </c>
      <c r="M7538" s="86" t="s">
        <v>1789</v>
      </c>
      <c r="O7538" s="47" t="s">
        <v>410</v>
      </c>
      <c r="P7538" s="14" t="s">
        <v>41</v>
      </c>
      <c r="Q7538" s="14">
        <v>0</v>
      </c>
      <c r="R7538" s="143" t="s">
        <v>1790</v>
      </c>
      <c r="S7538" s="47"/>
      <c r="T7538" s="6">
        <v>0.80000000000291038</v>
      </c>
      <c r="U7538" s="6"/>
      <c r="V7538" s="6">
        <v>0</v>
      </c>
      <c r="W7538" s="6">
        <f t="shared" si="1165"/>
        <v>0.80000000000291038</v>
      </c>
      <c r="X7538" s="6">
        <f t="shared" si="1169"/>
        <v>0</v>
      </c>
      <c r="Y7538" s="13">
        <f t="shared" si="1162"/>
        <v>0</v>
      </c>
      <c r="Z7538" s="14">
        <v>0</v>
      </c>
      <c r="AA7538" s="6">
        <v>0</v>
      </c>
      <c r="AB7538" s="4">
        <f t="shared" si="1163"/>
        <v>0</v>
      </c>
      <c r="AC7538" s="6">
        <f t="shared" si="1161"/>
        <v>0</v>
      </c>
      <c r="AD7538" s="6">
        <f t="shared" si="1166"/>
        <v>0</v>
      </c>
      <c r="AE7538" s="14">
        <f>VLOOKUP(I7538,[2]媒体政策预估表!A:N,MATCH(O7538,[2]媒体政策预估表!$A$2:$M$2,0),0)</f>
        <v>7.0000000000000007E-2</v>
      </c>
      <c r="AF7538" s="6">
        <f t="shared" si="1168"/>
        <v>0</v>
      </c>
      <c r="AG7538" s="14">
        <v>0</v>
      </c>
      <c r="AH7538" s="64">
        <f t="shared" si="1167"/>
        <v>0</v>
      </c>
      <c r="AJ7538" s="126" t="e">
        <v>#N/A</v>
      </c>
      <c r="AK7538" s="80">
        <f t="shared" si="1164"/>
        <v>0</v>
      </c>
      <c r="AL7538" s="85"/>
      <c r="AM7538" s="85"/>
    </row>
    <row r="7539" spans="1:39" s="86" customFormat="1" ht="13.25" hidden="1" customHeight="1" x14ac:dyDescent="0.3">
      <c r="A7539" s="89" t="s">
        <v>3978</v>
      </c>
      <c r="B7539" s="86" t="s">
        <v>35</v>
      </c>
      <c r="C7539" s="86" t="s">
        <v>164</v>
      </c>
      <c r="D7539" s="86" t="s">
        <v>174</v>
      </c>
      <c r="E7539" s="86" t="s">
        <v>1804</v>
      </c>
      <c r="F7539" s="86" t="s">
        <v>1804</v>
      </c>
      <c r="G7539" s="86" t="s">
        <v>1804</v>
      </c>
      <c r="H7539" s="144">
        <v>360</v>
      </c>
      <c r="I7539" s="86" t="s">
        <v>1060</v>
      </c>
      <c r="J7539" s="47" t="s">
        <v>3325</v>
      </c>
      <c r="K7539" s="47" t="s">
        <v>3767</v>
      </c>
      <c r="L7539" s="47" t="s">
        <v>35</v>
      </c>
      <c r="M7539" s="86" t="s">
        <v>1804</v>
      </c>
      <c r="O7539" s="47" t="s">
        <v>410</v>
      </c>
      <c r="P7539" s="14" t="s">
        <v>41</v>
      </c>
      <c r="Q7539" s="14">
        <v>0</v>
      </c>
      <c r="R7539" s="143" t="s">
        <v>1805</v>
      </c>
      <c r="S7539" s="47"/>
      <c r="T7539" s="6">
        <v>14609</v>
      </c>
      <c r="U7539" s="6"/>
      <c r="V7539" s="6">
        <v>4974.5</v>
      </c>
      <c r="W7539" s="6">
        <f t="shared" si="1165"/>
        <v>9634.5</v>
      </c>
      <c r="X7539" s="6">
        <f t="shared" si="1169"/>
        <v>4974.5</v>
      </c>
      <c r="Y7539" s="13">
        <f t="shared" si="1162"/>
        <v>0</v>
      </c>
      <c r="Z7539" s="14">
        <v>0</v>
      </c>
      <c r="AA7539" s="6">
        <v>0</v>
      </c>
      <c r="AB7539" s="4">
        <f t="shared" si="1163"/>
        <v>4974.5</v>
      </c>
      <c r="AC7539" s="6">
        <f t="shared" si="1161"/>
        <v>0</v>
      </c>
      <c r="AD7539" s="6">
        <f t="shared" si="1166"/>
        <v>4974.5</v>
      </c>
      <c r="AE7539" s="14">
        <f>VLOOKUP(I7539,[2]媒体政策预估表!A:N,MATCH(O7539,[2]媒体政策预估表!$A$2:$M$2,0),0)</f>
        <v>7.0000000000000007E-2</v>
      </c>
      <c r="AF7539" s="6">
        <f t="shared" si="1168"/>
        <v>348.21500000000003</v>
      </c>
      <c r="AG7539" s="14">
        <v>0</v>
      </c>
      <c r="AH7539" s="64">
        <f t="shared" si="1167"/>
        <v>4974.5</v>
      </c>
      <c r="AJ7539" s="126" t="e">
        <v>#N/A</v>
      </c>
      <c r="AK7539" s="80">
        <f t="shared" si="1164"/>
        <v>0</v>
      </c>
      <c r="AL7539" s="85"/>
      <c r="AM7539" s="85"/>
    </row>
    <row r="7540" spans="1:39" s="86" customFormat="1" ht="13.25" hidden="1" customHeight="1" x14ac:dyDescent="0.3">
      <c r="A7540" s="89" t="s">
        <v>3792</v>
      </c>
      <c r="B7540" s="86" t="s">
        <v>35</v>
      </c>
      <c r="C7540" s="86" t="s">
        <v>164</v>
      </c>
      <c r="D7540" s="86" t="s">
        <v>174</v>
      </c>
      <c r="E7540" s="86" t="s">
        <v>2007</v>
      </c>
      <c r="F7540" s="86" t="s">
        <v>2007</v>
      </c>
      <c r="G7540" s="86" t="s">
        <v>2007</v>
      </c>
      <c r="H7540" s="143">
        <v>360</v>
      </c>
      <c r="I7540" s="86" t="s">
        <v>1060</v>
      </c>
      <c r="J7540" s="47" t="s">
        <v>3325</v>
      </c>
      <c r="K7540" s="47" t="s">
        <v>3767</v>
      </c>
      <c r="L7540" s="47" t="s">
        <v>35</v>
      </c>
      <c r="M7540" s="86" t="s">
        <v>2007</v>
      </c>
      <c r="O7540" s="47" t="s">
        <v>45</v>
      </c>
      <c r="P7540" s="14" t="s">
        <v>41</v>
      </c>
      <c r="Q7540" s="14">
        <v>0</v>
      </c>
      <c r="R7540" s="143" t="s">
        <v>3571</v>
      </c>
      <c r="S7540" s="47"/>
      <c r="T7540" s="6">
        <v>10000</v>
      </c>
      <c r="U7540" s="6"/>
      <c r="V7540" s="6">
        <v>0</v>
      </c>
      <c r="W7540" s="6">
        <f t="shared" si="1165"/>
        <v>10000</v>
      </c>
      <c r="X7540" s="6">
        <f t="shared" si="1169"/>
        <v>0</v>
      </c>
      <c r="Y7540" s="13">
        <f t="shared" si="1162"/>
        <v>0</v>
      </c>
      <c r="Z7540" s="14">
        <v>0</v>
      </c>
      <c r="AA7540" s="6">
        <v>0</v>
      </c>
      <c r="AB7540" s="4">
        <f t="shared" si="1163"/>
        <v>0</v>
      </c>
      <c r="AC7540" s="6">
        <f t="shared" si="1161"/>
        <v>0</v>
      </c>
      <c r="AD7540" s="6">
        <f t="shared" si="1166"/>
        <v>0</v>
      </c>
      <c r="AE7540" s="14">
        <f>VLOOKUP(I7540,[2]媒体政策预估表!A:N,MATCH(O7540,[2]媒体政策预估表!$A$2:$M$2,0),0)</f>
        <v>0.1</v>
      </c>
      <c r="AF7540" s="6">
        <f t="shared" si="1168"/>
        <v>0</v>
      </c>
      <c r="AG7540" s="14">
        <v>0</v>
      </c>
      <c r="AH7540" s="64">
        <f t="shared" si="1167"/>
        <v>0</v>
      </c>
      <c r="AJ7540" s="126" t="e">
        <v>#N/A</v>
      </c>
      <c r="AK7540" s="80">
        <f t="shared" si="1164"/>
        <v>0</v>
      </c>
      <c r="AL7540" s="85"/>
      <c r="AM7540" s="85"/>
    </row>
    <row r="7541" spans="1:39" s="86" customFormat="1" ht="13.25" hidden="1" customHeight="1" x14ac:dyDescent="0.3">
      <c r="A7541" s="89" t="s">
        <v>3792</v>
      </c>
      <c r="B7541" s="86" t="s">
        <v>35</v>
      </c>
      <c r="C7541" s="86" t="s">
        <v>164</v>
      </c>
      <c r="D7541" s="86" t="s">
        <v>174</v>
      </c>
      <c r="E7541" s="86" t="s">
        <v>2007</v>
      </c>
      <c r="F7541" s="86" t="s">
        <v>2007</v>
      </c>
      <c r="G7541" s="86" t="s">
        <v>2007</v>
      </c>
      <c r="H7541" s="144">
        <v>360</v>
      </c>
      <c r="I7541" s="86" t="s">
        <v>1060</v>
      </c>
      <c r="J7541" s="47" t="s">
        <v>3325</v>
      </c>
      <c r="K7541" s="47" t="s">
        <v>3767</v>
      </c>
      <c r="L7541" s="47" t="s">
        <v>35</v>
      </c>
      <c r="M7541" s="86" t="s">
        <v>2007</v>
      </c>
      <c r="O7541" s="47" t="s">
        <v>410</v>
      </c>
      <c r="P7541" s="14" t="s">
        <v>41</v>
      </c>
      <c r="Q7541" s="14">
        <v>0</v>
      </c>
      <c r="R7541" s="143" t="s">
        <v>2008</v>
      </c>
      <c r="S7541" s="47"/>
      <c r="T7541" s="6">
        <v>58154.799999999996</v>
      </c>
      <c r="U7541" s="6"/>
      <c r="V7541" s="6">
        <v>13311.2</v>
      </c>
      <c r="W7541" s="6">
        <f t="shared" si="1165"/>
        <v>44843.599999999991</v>
      </c>
      <c r="X7541" s="6">
        <f t="shared" si="1169"/>
        <v>13311.2</v>
      </c>
      <c r="Y7541" s="13">
        <f t="shared" si="1162"/>
        <v>0</v>
      </c>
      <c r="Z7541" s="14">
        <v>0</v>
      </c>
      <c r="AA7541" s="6">
        <v>0</v>
      </c>
      <c r="AB7541" s="4">
        <f t="shared" si="1163"/>
        <v>13311.2</v>
      </c>
      <c r="AC7541" s="6">
        <f t="shared" si="1161"/>
        <v>0</v>
      </c>
      <c r="AD7541" s="6">
        <f t="shared" si="1166"/>
        <v>13311.2</v>
      </c>
      <c r="AE7541" s="14">
        <f>VLOOKUP(I7541,[2]媒体政策预估表!A:N,MATCH(O7541,[2]媒体政策预估表!$A$2:$M$2,0),0)</f>
        <v>7.0000000000000007E-2</v>
      </c>
      <c r="AF7541" s="6">
        <f t="shared" si="1168"/>
        <v>931.78400000000011</v>
      </c>
      <c r="AG7541" s="14">
        <v>0</v>
      </c>
      <c r="AH7541" s="64">
        <f t="shared" si="1167"/>
        <v>13311.2</v>
      </c>
      <c r="AJ7541" s="126" t="e">
        <v>#N/A</v>
      </c>
      <c r="AK7541" s="80">
        <f t="shared" si="1164"/>
        <v>0</v>
      </c>
      <c r="AL7541" s="85"/>
      <c r="AM7541" s="85"/>
    </row>
    <row r="7542" spans="1:39" s="86" customFormat="1" ht="13.25" hidden="1" customHeight="1" x14ac:dyDescent="0.3">
      <c r="A7542" s="89" t="s">
        <v>3978</v>
      </c>
      <c r="B7542" s="86" t="s">
        <v>35</v>
      </c>
      <c r="C7542" s="86" t="s">
        <v>164</v>
      </c>
      <c r="D7542" s="86" t="s">
        <v>174</v>
      </c>
      <c r="E7542" s="86" t="s">
        <v>1813</v>
      </c>
      <c r="F7542" s="86" t="s">
        <v>1813</v>
      </c>
      <c r="G7542" s="86" t="s">
        <v>1813</v>
      </c>
      <c r="H7542" s="144">
        <v>360</v>
      </c>
      <c r="I7542" s="86" t="s">
        <v>1060</v>
      </c>
      <c r="J7542" s="47" t="s">
        <v>3325</v>
      </c>
      <c r="K7542" s="47" t="s">
        <v>3767</v>
      </c>
      <c r="L7542" s="47" t="s">
        <v>35</v>
      </c>
      <c r="M7542" s="86" t="s">
        <v>1814</v>
      </c>
      <c r="O7542" s="47" t="s">
        <v>410</v>
      </c>
      <c r="P7542" s="14" t="s">
        <v>41</v>
      </c>
      <c r="Q7542" s="14">
        <v>0</v>
      </c>
      <c r="R7542" s="143" t="s">
        <v>1815</v>
      </c>
      <c r="S7542" s="47"/>
      <c r="T7542" s="6">
        <v>226022.69999999998</v>
      </c>
      <c r="U7542" s="6"/>
      <c r="V7542" s="6">
        <v>26599.200000000001</v>
      </c>
      <c r="W7542" s="6">
        <f t="shared" si="1165"/>
        <v>199423.49999999997</v>
      </c>
      <c r="X7542" s="6">
        <f t="shared" si="1169"/>
        <v>26599.200000000001</v>
      </c>
      <c r="Y7542" s="13">
        <f t="shared" si="1162"/>
        <v>0</v>
      </c>
      <c r="Z7542" s="14">
        <v>0</v>
      </c>
      <c r="AA7542" s="6">
        <v>0</v>
      </c>
      <c r="AB7542" s="4">
        <f t="shared" si="1163"/>
        <v>26599.200000000001</v>
      </c>
      <c r="AC7542" s="6">
        <f t="shared" si="1161"/>
        <v>0</v>
      </c>
      <c r="AD7542" s="6">
        <f t="shared" si="1166"/>
        <v>26599.200000000001</v>
      </c>
      <c r="AE7542" s="14">
        <f>VLOOKUP(I7542,[2]媒体政策预估表!A:N,MATCH(O7542,[2]媒体政策预估表!$A$2:$M$2,0),0)</f>
        <v>7.0000000000000007E-2</v>
      </c>
      <c r="AF7542" s="6">
        <f t="shared" si="1168"/>
        <v>1861.9440000000002</v>
      </c>
      <c r="AG7542" s="14">
        <v>0</v>
      </c>
      <c r="AH7542" s="64">
        <f t="shared" si="1167"/>
        <v>26599.200000000001</v>
      </c>
      <c r="AJ7542" s="126" t="e">
        <v>#N/A</v>
      </c>
      <c r="AK7542" s="80">
        <f t="shared" si="1164"/>
        <v>0</v>
      </c>
      <c r="AL7542" s="85"/>
      <c r="AM7542" s="85"/>
    </row>
    <row r="7543" spans="1:39" s="86" customFormat="1" ht="13.25" hidden="1" customHeight="1" x14ac:dyDescent="0.3">
      <c r="A7543" s="89" t="s">
        <v>3792</v>
      </c>
      <c r="B7543" s="86" t="s">
        <v>35</v>
      </c>
      <c r="C7543" s="86" t="s">
        <v>59</v>
      </c>
      <c r="D7543" s="86" t="s">
        <v>60</v>
      </c>
      <c r="E7543" s="86" t="s">
        <v>1075</v>
      </c>
      <c r="F7543" s="86" t="s">
        <v>1076</v>
      </c>
      <c r="G7543" s="86" t="s">
        <v>1075</v>
      </c>
      <c r="H7543" s="143">
        <v>360</v>
      </c>
      <c r="I7543" s="86" t="s">
        <v>1060</v>
      </c>
      <c r="J7543" s="47" t="s">
        <v>3325</v>
      </c>
      <c r="K7543" s="47" t="s">
        <v>3767</v>
      </c>
      <c r="L7543" s="47" t="s">
        <v>35</v>
      </c>
      <c r="M7543" s="86" t="s">
        <v>1075</v>
      </c>
      <c r="O7543" s="47" t="s">
        <v>410</v>
      </c>
      <c r="P7543" s="14" t="s">
        <v>46</v>
      </c>
      <c r="Q7543" s="14">
        <v>0.02</v>
      </c>
      <c r="R7543" s="143" t="s">
        <v>1077</v>
      </c>
      <c r="S7543" s="47"/>
      <c r="T7543" s="6">
        <v>65.099999999998545</v>
      </c>
      <c r="U7543" s="6"/>
      <c r="V7543" s="6">
        <v>0</v>
      </c>
      <c r="W7543" s="6">
        <f t="shared" si="1165"/>
        <v>65.099999999998545</v>
      </c>
      <c r="X7543" s="6">
        <f t="shared" si="1169"/>
        <v>0</v>
      </c>
      <c r="Y7543" s="13">
        <f t="shared" si="1162"/>
        <v>0</v>
      </c>
      <c r="Z7543" s="14">
        <v>0</v>
      </c>
      <c r="AA7543" s="6">
        <v>0</v>
      </c>
      <c r="AB7543" s="4">
        <f t="shared" si="1163"/>
        <v>0</v>
      </c>
      <c r="AC7543" s="6">
        <f t="shared" si="1161"/>
        <v>0</v>
      </c>
      <c r="AD7543" s="6">
        <f t="shared" si="1166"/>
        <v>0</v>
      </c>
      <c r="AE7543" s="14">
        <f>VLOOKUP(I7543,[2]媒体政策预估表!A:N,MATCH(O7543,[2]媒体政策预估表!$A$2:$M$2,0),0)</f>
        <v>7.0000000000000007E-2</v>
      </c>
      <c r="AF7543" s="6">
        <f t="shared" si="1168"/>
        <v>0</v>
      </c>
      <c r="AG7543" s="14">
        <v>0</v>
      </c>
      <c r="AH7543" s="64">
        <f t="shared" si="1167"/>
        <v>0</v>
      </c>
      <c r="AJ7543" s="126" t="e">
        <v>#N/A</v>
      </c>
      <c r="AK7543" s="80">
        <f t="shared" si="1164"/>
        <v>0</v>
      </c>
      <c r="AL7543" s="85"/>
      <c r="AM7543" s="85"/>
    </row>
    <row r="7544" spans="1:39" s="86" customFormat="1" ht="13.25" hidden="1" customHeight="1" x14ac:dyDescent="0.3">
      <c r="A7544" s="89" t="s">
        <v>3978</v>
      </c>
      <c r="B7544" s="86" t="s">
        <v>35</v>
      </c>
      <c r="C7544" s="86" t="s">
        <v>59</v>
      </c>
      <c r="D7544" s="86" t="s">
        <v>60</v>
      </c>
      <c r="E7544" s="86" t="s">
        <v>1080</v>
      </c>
      <c r="F7544" s="86" t="s">
        <v>1080</v>
      </c>
      <c r="G7544" s="86" t="s">
        <v>1080</v>
      </c>
      <c r="H7544" s="143">
        <v>360</v>
      </c>
      <c r="I7544" s="86" t="s">
        <v>1060</v>
      </c>
      <c r="J7544" s="47" t="s">
        <v>3325</v>
      </c>
      <c r="K7544" s="47" t="s">
        <v>3767</v>
      </c>
      <c r="L7544" s="47" t="s">
        <v>35</v>
      </c>
      <c r="M7544" s="86" t="s">
        <v>1080</v>
      </c>
      <c r="O7544" s="47" t="s">
        <v>410</v>
      </c>
      <c r="P7544" s="14" t="s">
        <v>46</v>
      </c>
      <c r="Q7544" s="14">
        <v>0.02</v>
      </c>
      <c r="R7544" s="143" t="s">
        <v>1081</v>
      </c>
      <c r="S7544" s="47"/>
      <c r="T7544" s="6">
        <v>381</v>
      </c>
      <c r="U7544" s="6"/>
      <c r="V7544" s="6">
        <v>0</v>
      </c>
      <c r="W7544" s="6">
        <f t="shared" si="1165"/>
        <v>381</v>
      </c>
      <c r="X7544" s="6">
        <f t="shared" si="1169"/>
        <v>0</v>
      </c>
      <c r="Y7544" s="13">
        <f t="shared" si="1162"/>
        <v>0</v>
      </c>
      <c r="Z7544" s="14">
        <v>0</v>
      </c>
      <c r="AA7544" s="6">
        <v>0</v>
      </c>
      <c r="AB7544" s="4">
        <f t="shared" si="1163"/>
        <v>0</v>
      </c>
      <c r="AC7544" s="6">
        <f t="shared" si="1161"/>
        <v>0</v>
      </c>
      <c r="AD7544" s="6">
        <f t="shared" si="1166"/>
        <v>0</v>
      </c>
      <c r="AE7544" s="14">
        <f>VLOOKUP(I7544,[2]媒体政策预估表!A:N,MATCH(O7544,[2]媒体政策预估表!$A$2:$M$2,0),0)</f>
        <v>7.0000000000000007E-2</v>
      </c>
      <c r="AF7544" s="6">
        <f t="shared" si="1168"/>
        <v>0</v>
      </c>
      <c r="AG7544" s="14">
        <v>0</v>
      </c>
      <c r="AH7544" s="64">
        <f t="shared" si="1167"/>
        <v>0</v>
      </c>
      <c r="AJ7544" s="126" t="e">
        <v>#N/A</v>
      </c>
      <c r="AK7544" s="80">
        <f t="shared" si="1164"/>
        <v>0</v>
      </c>
      <c r="AL7544" s="85"/>
      <c r="AM7544" s="85"/>
    </row>
    <row r="7545" spans="1:39" s="86" customFormat="1" ht="13.25" hidden="1" customHeight="1" x14ac:dyDescent="0.3">
      <c r="A7545" s="89" t="s">
        <v>3978</v>
      </c>
      <c r="B7545" s="86" t="s">
        <v>35</v>
      </c>
      <c r="C7545" s="86" t="s">
        <v>59</v>
      </c>
      <c r="D7545" s="86" t="s">
        <v>60</v>
      </c>
      <c r="E7545" s="86" t="s">
        <v>784</v>
      </c>
      <c r="F7545" s="86" t="s">
        <v>784</v>
      </c>
      <c r="G7545" s="86" t="s">
        <v>784</v>
      </c>
      <c r="H7545" s="144">
        <v>360</v>
      </c>
      <c r="I7545" s="86" t="s">
        <v>1060</v>
      </c>
      <c r="J7545" s="47" t="s">
        <v>3325</v>
      </c>
      <c r="K7545" s="47" t="s">
        <v>3767</v>
      </c>
      <c r="L7545" s="47" t="s">
        <v>35</v>
      </c>
      <c r="M7545" s="86" t="s">
        <v>784</v>
      </c>
      <c r="O7545" s="47" t="s">
        <v>410</v>
      </c>
      <c r="P7545" s="14" t="s">
        <v>46</v>
      </c>
      <c r="Q7545" s="14">
        <v>0.02</v>
      </c>
      <c r="R7545" s="143" t="s">
        <v>1079</v>
      </c>
      <c r="S7545" s="47"/>
      <c r="T7545" s="6">
        <v>11869.46</v>
      </c>
      <c r="U7545" s="6"/>
      <c r="V7545" s="6">
        <v>6190.5</v>
      </c>
      <c r="W7545" s="6">
        <f t="shared" si="1165"/>
        <v>5678.9599999999991</v>
      </c>
      <c r="X7545" s="6">
        <f t="shared" si="1169"/>
        <v>6069.1176470588234</v>
      </c>
      <c r="Y7545" s="13">
        <f t="shared" si="1162"/>
        <v>0</v>
      </c>
      <c r="Z7545" s="14">
        <v>0</v>
      </c>
      <c r="AA7545" s="6">
        <v>0</v>
      </c>
      <c r="AB7545" s="4">
        <f t="shared" si="1163"/>
        <v>6069.1176470588234</v>
      </c>
      <c r="AC7545" s="6">
        <f t="shared" si="1161"/>
        <v>121.38235294117658</v>
      </c>
      <c r="AD7545" s="6">
        <f t="shared" si="1166"/>
        <v>6190.5</v>
      </c>
      <c r="AE7545" s="14">
        <f>VLOOKUP(I7545,[2]媒体政策预估表!A:N,MATCH(O7545,[2]媒体政策预估表!$A$2:$M$2,0),0)</f>
        <v>7.0000000000000007E-2</v>
      </c>
      <c r="AF7545" s="6">
        <f t="shared" si="1168"/>
        <v>433.33500000000004</v>
      </c>
      <c r="AG7545" s="14">
        <v>0</v>
      </c>
      <c r="AH7545" s="64">
        <f t="shared" si="1167"/>
        <v>6190.5</v>
      </c>
      <c r="AJ7545" s="126" t="e">
        <v>#N/A</v>
      </c>
      <c r="AK7545" s="80">
        <f t="shared" si="1164"/>
        <v>0</v>
      </c>
      <c r="AL7545" s="85"/>
      <c r="AM7545" s="85"/>
    </row>
    <row r="7546" spans="1:39" s="86" customFormat="1" ht="13.25" hidden="1" customHeight="1" x14ac:dyDescent="0.3">
      <c r="A7546" s="89" t="s">
        <v>3792</v>
      </c>
      <c r="B7546" s="86" t="s">
        <v>35</v>
      </c>
      <c r="C7546" s="86" t="s">
        <v>59</v>
      </c>
      <c r="D7546" s="86" t="s">
        <v>60</v>
      </c>
      <c r="E7546" s="86" t="s">
        <v>1093</v>
      </c>
      <c r="F7546" s="86" t="s">
        <v>1093</v>
      </c>
      <c r="G7546" s="86" t="s">
        <v>1093</v>
      </c>
      <c r="H7546" s="143">
        <v>360</v>
      </c>
      <c r="I7546" s="86" t="s">
        <v>1060</v>
      </c>
      <c r="J7546" s="47" t="s">
        <v>3325</v>
      </c>
      <c r="K7546" s="47" t="s">
        <v>3767</v>
      </c>
      <c r="L7546" s="47" t="s">
        <v>35</v>
      </c>
      <c r="M7546" s="86" t="s">
        <v>1093</v>
      </c>
      <c r="O7546" s="47" t="s">
        <v>410</v>
      </c>
      <c r="P7546" s="14" t="s">
        <v>41</v>
      </c>
      <c r="Q7546" s="14">
        <v>0</v>
      </c>
      <c r="R7546" s="143" t="s">
        <v>1094</v>
      </c>
      <c r="S7546" s="47"/>
      <c r="T7546" s="6">
        <v>1</v>
      </c>
      <c r="U7546" s="6"/>
      <c r="V7546" s="6">
        <v>0</v>
      </c>
      <c r="W7546" s="6">
        <f t="shared" si="1165"/>
        <v>1</v>
      </c>
      <c r="X7546" s="6">
        <f t="shared" si="1169"/>
        <v>0</v>
      </c>
      <c r="Y7546" s="13">
        <f t="shared" si="1162"/>
        <v>0</v>
      </c>
      <c r="Z7546" s="14">
        <v>0</v>
      </c>
      <c r="AA7546" s="6">
        <v>0</v>
      </c>
      <c r="AB7546" s="4">
        <f t="shared" si="1163"/>
        <v>0</v>
      </c>
      <c r="AC7546" s="6">
        <f t="shared" si="1161"/>
        <v>0</v>
      </c>
      <c r="AD7546" s="6">
        <f t="shared" si="1166"/>
        <v>0</v>
      </c>
      <c r="AE7546" s="14">
        <f>VLOOKUP(I7546,[2]媒体政策预估表!A:N,MATCH(O7546,[2]媒体政策预估表!$A$2:$M$2,0),0)</f>
        <v>7.0000000000000007E-2</v>
      </c>
      <c r="AF7546" s="6">
        <f t="shared" si="1168"/>
        <v>0</v>
      </c>
      <c r="AG7546" s="14">
        <v>0</v>
      </c>
      <c r="AH7546" s="64">
        <f t="shared" si="1167"/>
        <v>0</v>
      </c>
      <c r="AJ7546" s="126" t="e">
        <v>#N/A</v>
      </c>
      <c r="AK7546" s="80">
        <f t="shared" si="1164"/>
        <v>0</v>
      </c>
      <c r="AL7546" s="85"/>
      <c r="AM7546" s="85"/>
    </row>
    <row r="7547" spans="1:39" s="86" customFormat="1" ht="13.25" hidden="1" customHeight="1" x14ac:dyDescent="0.3">
      <c r="A7547" s="89" t="s">
        <v>3978</v>
      </c>
      <c r="B7547" s="86" t="s">
        <v>35</v>
      </c>
      <c r="C7547" s="86" t="s">
        <v>184</v>
      </c>
      <c r="D7547" s="86" t="s">
        <v>224</v>
      </c>
      <c r="E7547" s="86" t="s">
        <v>1099</v>
      </c>
      <c r="F7547" s="86" t="s">
        <v>1099</v>
      </c>
      <c r="G7547" s="86" t="s">
        <v>1099</v>
      </c>
      <c r="H7547" s="143">
        <v>360</v>
      </c>
      <c r="I7547" s="86" t="s">
        <v>1060</v>
      </c>
      <c r="J7547" s="47" t="s">
        <v>3325</v>
      </c>
      <c r="K7547" s="47" t="s">
        <v>3767</v>
      </c>
      <c r="L7547" s="47" t="s">
        <v>35</v>
      </c>
      <c r="M7547" s="86" t="s">
        <v>1099</v>
      </c>
      <c r="O7547" s="47" t="s">
        <v>410</v>
      </c>
      <c r="P7547" s="14" t="s">
        <v>41</v>
      </c>
      <c r="Q7547" s="14">
        <v>0</v>
      </c>
      <c r="R7547" s="143" t="s">
        <v>1100</v>
      </c>
      <c r="S7547" s="47"/>
      <c r="T7547" s="6">
        <v>1</v>
      </c>
      <c r="U7547" s="6"/>
      <c r="V7547" s="6">
        <v>0</v>
      </c>
      <c r="W7547" s="6">
        <f t="shared" si="1165"/>
        <v>1</v>
      </c>
      <c r="X7547" s="6">
        <f t="shared" si="1169"/>
        <v>0</v>
      </c>
      <c r="Y7547" s="13">
        <f t="shared" si="1162"/>
        <v>0</v>
      </c>
      <c r="Z7547" s="14">
        <v>0</v>
      </c>
      <c r="AA7547" s="6">
        <v>0</v>
      </c>
      <c r="AB7547" s="4">
        <f t="shared" si="1163"/>
        <v>0</v>
      </c>
      <c r="AC7547" s="6">
        <f t="shared" si="1161"/>
        <v>0</v>
      </c>
      <c r="AD7547" s="6">
        <f t="shared" si="1166"/>
        <v>0</v>
      </c>
      <c r="AE7547" s="14">
        <f>VLOOKUP(I7547,[2]媒体政策预估表!A:N,MATCH(O7547,[2]媒体政策预估表!$A$2:$M$2,0),0)</f>
        <v>7.0000000000000007E-2</v>
      </c>
      <c r="AF7547" s="6">
        <f t="shared" si="1168"/>
        <v>0</v>
      </c>
      <c r="AG7547" s="14">
        <v>0</v>
      </c>
      <c r="AH7547" s="64">
        <f t="shared" si="1167"/>
        <v>0</v>
      </c>
      <c r="AJ7547" s="126" t="e">
        <v>#N/A</v>
      </c>
      <c r="AK7547" s="80">
        <f t="shared" si="1164"/>
        <v>0</v>
      </c>
      <c r="AL7547" s="85"/>
      <c r="AM7547" s="85"/>
    </row>
    <row r="7548" spans="1:39" s="86" customFormat="1" ht="13.25" hidden="1" customHeight="1" x14ac:dyDescent="0.3">
      <c r="A7548" s="89" t="s">
        <v>3978</v>
      </c>
      <c r="B7548" s="86" t="s">
        <v>35</v>
      </c>
      <c r="C7548" s="86" t="s">
        <v>184</v>
      </c>
      <c r="D7548" s="86" t="s">
        <v>224</v>
      </c>
      <c r="E7548" s="86" t="s">
        <v>1108</v>
      </c>
      <c r="F7548" s="86" t="s">
        <v>1108</v>
      </c>
      <c r="G7548" s="86" t="s">
        <v>1108</v>
      </c>
      <c r="H7548" s="144">
        <v>360</v>
      </c>
      <c r="I7548" s="86" t="s">
        <v>1060</v>
      </c>
      <c r="J7548" s="47" t="s">
        <v>3325</v>
      </c>
      <c r="K7548" s="47" t="s">
        <v>3767</v>
      </c>
      <c r="L7548" s="47" t="s">
        <v>35</v>
      </c>
      <c r="M7548" s="86" t="s">
        <v>1108</v>
      </c>
      <c r="O7548" s="47" t="s">
        <v>410</v>
      </c>
      <c r="P7548" s="14" t="s">
        <v>41</v>
      </c>
      <c r="Q7548" s="14">
        <v>0</v>
      </c>
      <c r="R7548" s="143" t="s">
        <v>1109</v>
      </c>
      <c r="S7548" s="47"/>
      <c r="T7548" s="6">
        <v>6007.3</v>
      </c>
      <c r="U7548" s="6"/>
      <c r="V7548" s="6">
        <v>4307.8999999999996</v>
      </c>
      <c r="W7548" s="6">
        <f t="shared" si="1165"/>
        <v>1699.4000000000005</v>
      </c>
      <c r="X7548" s="6">
        <f t="shared" si="1169"/>
        <v>4307.8999999999996</v>
      </c>
      <c r="Y7548" s="13">
        <f t="shared" si="1162"/>
        <v>0</v>
      </c>
      <c r="Z7548" s="14">
        <v>0</v>
      </c>
      <c r="AA7548" s="6">
        <v>0</v>
      </c>
      <c r="AB7548" s="4">
        <f t="shared" si="1163"/>
        <v>4307.8999999999996</v>
      </c>
      <c r="AC7548" s="6">
        <f t="shared" si="1161"/>
        <v>0</v>
      </c>
      <c r="AD7548" s="6">
        <f t="shared" si="1166"/>
        <v>4307.8999999999996</v>
      </c>
      <c r="AE7548" s="14">
        <f>VLOOKUP(I7548,[2]媒体政策预估表!A:N,MATCH(O7548,[2]媒体政策预估表!$A$2:$M$2,0),0)</f>
        <v>7.0000000000000007E-2</v>
      </c>
      <c r="AF7548" s="6">
        <f t="shared" si="1168"/>
        <v>301.553</v>
      </c>
      <c r="AG7548" s="14">
        <v>0</v>
      </c>
      <c r="AH7548" s="64">
        <f t="shared" si="1167"/>
        <v>4307.8999999999996</v>
      </c>
      <c r="AJ7548" s="126" t="e">
        <v>#N/A</v>
      </c>
      <c r="AK7548" s="80">
        <f t="shared" si="1164"/>
        <v>0</v>
      </c>
      <c r="AL7548" s="85"/>
      <c r="AM7548" s="85"/>
    </row>
    <row r="7549" spans="1:39" s="86" customFormat="1" ht="13.25" hidden="1" customHeight="1" x14ac:dyDescent="0.3">
      <c r="A7549" s="89" t="s">
        <v>3978</v>
      </c>
      <c r="B7549" s="86" t="s">
        <v>35</v>
      </c>
      <c r="C7549" s="86" t="s">
        <v>184</v>
      </c>
      <c r="D7549" s="86" t="s">
        <v>224</v>
      </c>
      <c r="E7549" s="86" t="s">
        <v>1120</v>
      </c>
      <c r="F7549" s="86" t="s">
        <v>1121</v>
      </c>
      <c r="G7549" s="86" t="s">
        <v>1120</v>
      </c>
      <c r="H7549" s="144">
        <v>360</v>
      </c>
      <c r="I7549" s="86" t="s">
        <v>1060</v>
      </c>
      <c r="J7549" s="47" t="s">
        <v>3325</v>
      </c>
      <c r="K7549" s="47" t="s">
        <v>3767</v>
      </c>
      <c r="L7549" s="47" t="s">
        <v>35</v>
      </c>
      <c r="M7549" s="86" t="s">
        <v>1120</v>
      </c>
      <c r="O7549" s="47" t="s">
        <v>410</v>
      </c>
      <c r="P7549" s="14" t="s">
        <v>41</v>
      </c>
      <c r="Q7549" s="14">
        <v>0</v>
      </c>
      <c r="R7549" s="143" t="s">
        <v>1122</v>
      </c>
      <c r="S7549" s="47"/>
      <c r="T7549" s="6">
        <v>6833.9</v>
      </c>
      <c r="U7549" s="6"/>
      <c r="V7549" s="6">
        <v>3259.5</v>
      </c>
      <c r="W7549" s="6">
        <f t="shared" si="1165"/>
        <v>3574.3999999999996</v>
      </c>
      <c r="X7549" s="6">
        <f t="shared" si="1169"/>
        <v>3259.5</v>
      </c>
      <c r="Y7549" s="13">
        <f t="shared" si="1162"/>
        <v>0</v>
      </c>
      <c r="Z7549" s="14">
        <v>0</v>
      </c>
      <c r="AA7549" s="6">
        <v>0</v>
      </c>
      <c r="AB7549" s="4">
        <f t="shared" si="1163"/>
        <v>3259.5</v>
      </c>
      <c r="AC7549" s="6">
        <f t="shared" si="1161"/>
        <v>0</v>
      </c>
      <c r="AD7549" s="6">
        <f t="shared" si="1166"/>
        <v>3259.5</v>
      </c>
      <c r="AE7549" s="14">
        <f>VLOOKUP(I7549,[2]媒体政策预估表!A:N,MATCH(O7549,[2]媒体政策预估表!$A$2:$M$2,0),0)</f>
        <v>7.0000000000000007E-2</v>
      </c>
      <c r="AF7549" s="6">
        <f t="shared" si="1168"/>
        <v>228.16500000000002</v>
      </c>
      <c r="AG7549" s="14">
        <v>0</v>
      </c>
      <c r="AH7549" s="64">
        <f t="shared" si="1167"/>
        <v>3259.5</v>
      </c>
      <c r="AJ7549" s="126" t="e">
        <v>#N/A</v>
      </c>
      <c r="AK7549" s="80">
        <f t="shared" si="1164"/>
        <v>0</v>
      </c>
      <c r="AL7549" s="85"/>
      <c r="AM7549" s="85"/>
    </row>
    <row r="7550" spans="1:39" s="86" customFormat="1" ht="13.25" hidden="1" customHeight="1" x14ac:dyDescent="0.3">
      <c r="A7550" s="89" t="s">
        <v>3805</v>
      </c>
      <c r="B7550" s="86" t="s">
        <v>35</v>
      </c>
      <c r="C7550" s="86" t="s">
        <v>184</v>
      </c>
      <c r="D7550" s="86" t="s">
        <v>224</v>
      </c>
      <c r="E7550" s="86" t="s">
        <v>1185</v>
      </c>
      <c r="F7550" s="86" t="s">
        <v>1185</v>
      </c>
      <c r="G7550" s="86" t="s">
        <v>1185</v>
      </c>
      <c r="H7550" s="143">
        <v>360</v>
      </c>
      <c r="I7550" s="86" t="s">
        <v>1060</v>
      </c>
      <c r="J7550" s="47" t="s">
        <v>3325</v>
      </c>
      <c r="K7550" s="47" t="s">
        <v>3767</v>
      </c>
      <c r="L7550" s="47" t="s">
        <v>35</v>
      </c>
      <c r="M7550" s="86" t="s">
        <v>1185</v>
      </c>
      <c r="O7550" s="47" t="s">
        <v>410</v>
      </c>
      <c r="P7550" s="14" t="s">
        <v>41</v>
      </c>
      <c r="Q7550" s="14">
        <v>0</v>
      </c>
      <c r="R7550" s="143" t="s">
        <v>1186</v>
      </c>
      <c r="S7550" s="47"/>
      <c r="T7550" s="6">
        <v>0.90000000000509317</v>
      </c>
      <c r="U7550" s="6"/>
      <c r="V7550" s="6">
        <v>0</v>
      </c>
      <c r="W7550" s="6">
        <f t="shared" si="1165"/>
        <v>0.90000000000509317</v>
      </c>
      <c r="X7550" s="6">
        <f t="shared" si="1169"/>
        <v>0</v>
      </c>
      <c r="Y7550" s="13">
        <f t="shared" si="1162"/>
        <v>0</v>
      </c>
      <c r="Z7550" s="14">
        <v>0</v>
      </c>
      <c r="AA7550" s="6">
        <v>0</v>
      </c>
      <c r="AB7550" s="4">
        <f t="shared" si="1163"/>
        <v>0</v>
      </c>
      <c r="AC7550" s="6">
        <f t="shared" ref="AC7550:AC7613" si="1170">IF(P7550="返现",X7550*Q7550,V7550-X7550)</f>
        <v>0</v>
      </c>
      <c r="AD7550" s="6">
        <f t="shared" si="1166"/>
        <v>0</v>
      </c>
      <c r="AE7550" s="14">
        <f>VLOOKUP(I7550,[2]媒体政策预估表!A:N,MATCH(O7550,[2]媒体政策预估表!$A$2:$M$2,0),0)</f>
        <v>7.0000000000000007E-2</v>
      </c>
      <c r="AF7550" s="6">
        <f t="shared" si="1168"/>
        <v>0</v>
      </c>
      <c r="AG7550" s="14">
        <v>0</v>
      </c>
      <c r="AH7550" s="64">
        <f t="shared" si="1167"/>
        <v>0</v>
      </c>
      <c r="AJ7550" s="126" t="e">
        <v>#N/A</v>
      </c>
      <c r="AK7550" s="80">
        <f t="shared" si="1164"/>
        <v>0</v>
      </c>
      <c r="AL7550" s="85"/>
      <c r="AM7550" s="85"/>
    </row>
    <row r="7551" spans="1:39" s="86" customFormat="1" ht="13.25" hidden="1" customHeight="1" x14ac:dyDescent="0.3">
      <c r="A7551" s="89" t="s">
        <v>3978</v>
      </c>
      <c r="B7551" s="86" t="s">
        <v>35</v>
      </c>
      <c r="C7551" s="86" t="s">
        <v>184</v>
      </c>
      <c r="D7551" s="86" t="s">
        <v>54</v>
      </c>
      <c r="E7551" s="86" t="s">
        <v>1069</v>
      </c>
      <c r="F7551" s="86" t="s">
        <v>1194</v>
      </c>
      <c r="G7551" s="86" t="s">
        <v>1069</v>
      </c>
      <c r="H7551" s="143">
        <v>360</v>
      </c>
      <c r="I7551" s="86" t="s">
        <v>1060</v>
      </c>
      <c r="J7551" s="47" t="s">
        <v>3325</v>
      </c>
      <c r="K7551" s="47" t="s">
        <v>3767</v>
      </c>
      <c r="L7551" s="47" t="s">
        <v>35</v>
      </c>
      <c r="M7551" s="86" t="s">
        <v>1195</v>
      </c>
      <c r="O7551" s="47" t="s">
        <v>45</v>
      </c>
      <c r="P7551" s="14" t="s">
        <v>46</v>
      </c>
      <c r="Q7551" s="14">
        <v>0.04</v>
      </c>
      <c r="R7551" s="143" t="s">
        <v>1197</v>
      </c>
      <c r="S7551" s="47"/>
      <c r="T7551" s="6">
        <v>10000</v>
      </c>
      <c r="U7551" s="6"/>
      <c r="V7551" s="6">
        <v>0</v>
      </c>
      <c r="W7551" s="6">
        <f t="shared" si="1165"/>
        <v>10000</v>
      </c>
      <c r="X7551" s="6">
        <f t="shared" si="1169"/>
        <v>0</v>
      </c>
      <c r="Y7551" s="13">
        <f t="shared" si="1162"/>
        <v>0</v>
      </c>
      <c r="Z7551" s="14">
        <v>0</v>
      </c>
      <c r="AA7551" s="6">
        <v>0</v>
      </c>
      <c r="AB7551" s="4">
        <f t="shared" si="1163"/>
        <v>0</v>
      </c>
      <c r="AC7551" s="6">
        <f t="shared" si="1170"/>
        <v>0</v>
      </c>
      <c r="AD7551" s="6">
        <f t="shared" si="1166"/>
        <v>0</v>
      </c>
      <c r="AE7551" s="14">
        <f>VLOOKUP(I7551,[2]媒体政策预估表!A:N,MATCH(O7551,[2]媒体政策预估表!$A$2:$M$2,0),0)</f>
        <v>0.1</v>
      </c>
      <c r="AF7551" s="6">
        <f t="shared" si="1168"/>
        <v>0</v>
      </c>
      <c r="AG7551" s="14">
        <v>0</v>
      </c>
      <c r="AH7551" s="64">
        <f t="shared" si="1167"/>
        <v>0</v>
      </c>
      <c r="AJ7551" s="126" t="e">
        <v>#N/A</v>
      </c>
      <c r="AK7551" s="80">
        <f t="shared" si="1164"/>
        <v>0</v>
      </c>
      <c r="AL7551" s="85"/>
      <c r="AM7551" s="85"/>
    </row>
    <row r="7552" spans="1:39" s="86" customFormat="1" ht="13.25" hidden="1" customHeight="1" x14ac:dyDescent="0.3">
      <c r="A7552" s="89" t="s">
        <v>3978</v>
      </c>
      <c r="B7552" s="86" t="s">
        <v>35</v>
      </c>
      <c r="C7552" s="86" t="s">
        <v>184</v>
      </c>
      <c r="D7552" s="86" t="s">
        <v>54</v>
      </c>
      <c r="E7552" s="86" t="s">
        <v>1069</v>
      </c>
      <c r="F7552" s="86" t="s">
        <v>1194</v>
      </c>
      <c r="G7552" s="86" t="s">
        <v>1069</v>
      </c>
      <c r="H7552" s="143">
        <v>360</v>
      </c>
      <c r="I7552" s="86" t="s">
        <v>1060</v>
      </c>
      <c r="J7552" s="47" t="s">
        <v>3325</v>
      </c>
      <c r="K7552" s="47" t="s">
        <v>3767</v>
      </c>
      <c r="L7552" s="47" t="s">
        <v>35</v>
      </c>
      <c r="M7552" s="86" t="s">
        <v>1195</v>
      </c>
      <c r="O7552" s="47" t="s">
        <v>45</v>
      </c>
      <c r="P7552" s="14" t="s">
        <v>46</v>
      </c>
      <c r="Q7552" s="14">
        <v>0.04</v>
      </c>
      <c r="R7552" s="143" t="s">
        <v>1198</v>
      </c>
      <c r="S7552" s="47"/>
      <c r="T7552" s="6">
        <v>109868.69971</v>
      </c>
      <c r="U7552" s="6"/>
      <c r="V7552" s="6">
        <v>0</v>
      </c>
      <c r="W7552" s="6">
        <f t="shared" si="1165"/>
        <v>109868.69971</v>
      </c>
      <c r="X7552" s="6">
        <f t="shared" si="1169"/>
        <v>0</v>
      </c>
      <c r="Y7552" s="13">
        <f t="shared" si="1162"/>
        <v>0</v>
      </c>
      <c r="Z7552" s="14">
        <v>0</v>
      </c>
      <c r="AA7552" s="6">
        <v>0</v>
      </c>
      <c r="AB7552" s="4">
        <f t="shared" si="1163"/>
        <v>0</v>
      </c>
      <c r="AC7552" s="6">
        <f t="shared" si="1170"/>
        <v>0</v>
      </c>
      <c r="AD7552" s="6">
        <f t="shared" si="1166"/>
        <v>0</v>
      </c>
      <c r="AE7552" s="14">
        <f>VLOOKUP(I7552,[2]媒体政策预估表!A:N,MATCH(O7552,[2]媒体政策预估表!$A$2:$M$2,0),0)</f>
        <v>0.1</v>
      </c>
      <c r="AF7552" s="6">
        <f t="shared" si="1168"/>
        <v>0</v>
      </c>
      <c r="AG7552" s="14">
        <v>0</v>
      </c>
      <c r="AH7552" s="64">
        <f t="shared" si="1167"/>
        <v>0</v>
      </c>
      <c r="AJ7552" s="126" t="e">
        <v>#N/A</v>
      </c>
      <c r="AK7552" s="80">
        <f t="shared" si="1164"/>
        <v>0</v>
      </c>
      <c r="AL7552" s="85"/>
      <c r="AM7552" s="85"/>
    </row>
    <row r="7553" spans="1:39" s="86" customFormat="1" ht="13.25" hidden="1" customHeight="1" x14ac:dyDescent="0.3">
      <c r="A7553" s="89" t="s">
        <v>3978</v>
      </c>
      <c r="B7553" s="86" t="s">
        <v>35</v>
      </c>
      <c r="C7553" s="86" t="s">
        <v>184</v>
      </c>
      <c r="D7553" s="86" t="s">
        <v>54</v>
      </c>
      <c r="E7553" s="86" t="s">
        <v>1200</v>
      </c>
      <c r="F7553" s="86" t="s">
        <v>1201</v>
      </c>
      <c r="G7553" s="86" t="s">
        <v>1200</v>
      </c>
      <c r="H7553" s="143">
        <v>360</v>
      </c>
      <c r="I7553" s="86" t="s">
        <v>1060</v>
      </c>
      <c r="J7553" s="47" t="s">
        <v>3325</v>
      </c>
      <c r="K7553" s="47" t="s">
        <v>3767</v>
      </c>
      <c r="L7553" s="47" t="s">
        <v>35</v>
      </c>
      <c r="M7553" s="86" t="s">
        <v>1200</v>
      </c>
      <c r="O7553" s="47" t="s">
        <v>45</v>
      </c>
      <c r="P7553" s="14" t="s">
        <v>41</v>
      </c>
      <c r="Q7553" s="14">
        <v>0</v>
      </c>
      <c r="R7553" s="143" t="s">
        <v>1202</v>
      </c>
      <c r="S7553" s="47"/>
      <c r="T7553" s="6">
        <v>-788.25945000000002</v>
      </c>
      <c r="U7553" s="6"/>
      <c r="V7553" s="6">
        <v>0</v>
      </c>
      <c r="W7553" s="6">
        <f t="shared" si="1165"/>
        <v>-788.25945000000002</v>
      </c>
      <c r="X7553" s="6">
        <f t="shared" si="1169"/>
        <v>0</v>
      </c>
      <c r="Y7553" s="13">
        <f t="shared" si="1162"/>
        <v>0</v>
      </c>
      <c r="Z7553" s="14">
        <v>0</v>
      </c>
      <c r="AA7553" s="6">
        <v>0</v>
      </c>
      <c r="AB7553" s="4">
        <f t="shared" si="1163"/>
        <v>0</v>
      </c>
      <c r="AC7553" s="6">
        <f t="shared" si="1170"/>
        <v>0</v>
      </c>
      <c r="AD7553" s="6">
        <f t="shared" si="1166"/>
        <v>0</v>
      </c>
      <c r="AE7553" s="14">
        <f>VLOOKUP(I7553,[2]媒体政策预估表!A:N,MATCH(O7553,[2]媒体政策预估表!$A$2:$M$2,0),0)</f>
        <v>0.1</v>
      </c>
      <c r="AF7553" s="6">
        <f t="shared" si="1168"/>
        <v>0</v>
      </c>
      <c r="AG7553" s="14">
        <v>0</v>
      </c>
      <c r="AH7553" s="64">
        <f t="shared" si="1167"/>
        <v>0</v>
      </c>
      <c r="AJ7553" s="126" t="e">
        <v>#N/A</v>
      </c>
      <c r="AK7553" s="80">
        <f t="shared" si="1164"/>
        <v>0</v>
      </c>
      <c r="AL7553" s="85"/>
      <c r="AM7553" s="85"/>
    </row>
    <row r="7554" spans="1:39" s="86" customFormat="1" ht="13.25" hidden="1" customHeight="1" x14ac:dyDescent="0.3">
      <c r="A7554" s="89" t="s">
        <v>3978</v>
      </c>
      <c r="B7554" s="86" t="s">
        <v>35</v>
      </c>
      <c r="C7554" s="86" t="s">
        <v>184</v>
      </c>
      <c r="D7554" s="86" t="s">
        <v>54</v>
      </c>
      <c r="E7554" s="86" t="s">
        <v>1204</v>
      </c>
      <c r="F7554" s="86" t="s">
        <v>1204</v>
      </c>
      <c r="G7554" s="86" t="s">
        <v>1204</v>
      </c>
      <c r="H7554" s="143">
        <v>360</v>
      </c>
      <c r="I7554" s="86" t="s">
        <v>1060</v>
      </c>
      <c r="J7554" s="47" t="s">
        <v>3325</v>
      </c>
      <c r="K7554" s="47" t="s">
        <v>3767</v>
      </c>
      <c r="L7554" s="47" t="s">
        <v>35</v>
      </c>
      <c r="M7554" s="86" t="s">
        <v>1204</v>
      </c>
      <c r="O7554" s="47" t="s">
        <v>410</v>
      </c>
      <c r="P7554" s="14" t="s">
        <v>41</v>
      </c>
      <c r="Q7554" s="14">
        <v>0</v>
      </c>
      <c r="R7554" s="143" t="s">
        <v>1205</v>
      </c>
      <c r="S7554" s="47"/>
      <c r="T7554" s="6">
        <v>8412.8999999999978</v>
      </c>
      <c r="U7554" s="6"/>
      <c r="V7554" s="6">
        <v>0</v>
      </c>
      <c r="W7554" s="6">
        <f t="shared" si="1165"/>
        <v>8412.8999999999978</v>
      </c>
      <c r="X7554" s="6">
        <f t="shared" si="1169"/>
        <v>0</v>
      </c>
      <c r="Y7554" s="13">
        <f t="shared" si="1162"/>
        <v>0</v>
      </c>
      <c r="Z7554" s="14">
        <v>0</v>
      </c>
      <c r="AA7554" s="6">
        <v>0</v>
      </c>
      <c r="AB7554" s="4">
        <f t="shared" si="1163"/>
        <v>0</v>
      </c>
      <c r="AC7554" s="6">
        <f t="shared" si="1170"/>
        <v>0</v>
      </c>
      <c r="AD7554" s="6">
        <f t="shared" si="1166"/>
        <v>0</v>
      </c>
      <c r="AE7554" s="14">
        <f>VLOOKUP(I7554,[2]媒体政策预估表!A:N,MATCH(O7554,[2]媒体政策预估表!$A$2:$M$2,0),0)</f>
        <v>7.0000000000000007E-2</v>
      </c>
      <c r="AF7554" s="6">
        <f t="shared" si="1168"/>
        <v>0</v>
      </c>
      <c r="AG7554" s="14">
        <v>0</v>
      </c>
      <c r="AH7554" s="64">
        <f t="shared" si="1167"/>
        <v>0</v>
      </c>
      <c r="AJ7554" s="126" t="e">
        <v>#N/A</v>
      </c>
      <c r="AK7554" s="80">
        <f t="shared" si="1164"/>
        <v>0</v>
      </c>
      <c r="AL7554" s="85"/>
      <c r="AM7554" s="85"/>
    </row>
    <row r="7555" spans="1:39" s="86" customFormat="1" ht="13.25" hidden="1" customHeight="1" x14ac:dyDescent="0.3">
      <c r="A7555" s="89" t="s">
        <v>3978</v>
      </c>
      <c r="B7555" s="86" t="s">
        <v>35</v>
      </c>
      <c r="C7555" s="86" t="s">
        <v>184</v>
      </c>
      <c r="D7555" s="86" t="s">
        <v>54</v>
      </c>
      <c r="E7555" s="86" t="s">
        <v>1210</v>
      </c>
      <c r="F7555" s="86" t="s">
        <v>1210</v>
      </c>
      <c r="G7555" s="86" t="s">
        <v>1210</v>
      </c>
      <c r="H7555" s="143">
        <v>360</v>
      </c>
      <c r="I7555" s="86" t="s">
        <v>1060</v>
      </c>
      <c r="J7555" s="47" t="s">
        <v>3325</v>
      </c>
      <c r="K7555" s="47" t="s">
        <v>3767</v>
      </c>
      <c r="L7555" s="47" t="s">
        <v>35</v>
      </c>
      <c r="M7555" s="86" t="s">
        <v>1211</v>
      </c>
      <c r="O7555" s="47" t="s">
        <v>45</v>
      </c>
      <c r="P7555" s="14" t="s">
        <v>46</v>
      </c>
      <c r="Q7555" s="14">
        <v>0.02</v>
      </c>
      <c r="R7555" s="143" t="s">
        <v>1212</v>
      </c>
      <c r="S7555" s="47"/>
      <c r="T7555" s="6">
        <v>-0.01</v>
      </c>
      <c r="U7555" s="6"/>
      <c r="V7555" s="6">
        <v>0</v>
      </c>
      <c r="W7555" s="6">
        <f t="shared" si="1165"/>
        <v>-0.01</v>
      </c>
      <c r="X7555" s="6">
        <f t="shared" si="1169"/>
        <v>0</v>
      </c>
      <c r="Y7555" s="13">
        <f t="shared" ref="Y7555:Y7618" si="1171">IF(X7555-AD7555&lt;=0,0,IF(P7555="返现",MAX(X7555-AC7555-AD7555,0),MAX(X7555-AD7555)))</f>
        <v>0</v>
      </c>
      <c r="Z7555" s="14">
        <v>0</v>
      </c>
      <c r="AA7555" s="6">
        <v>0</v>
      </c>
      <c r="AB7555" s="4">
        <f t="shared" ref="AB7555:AB7618" si="1172">X7555+AA7555</f>
        <v>0</v>
      </c>
      <c r="AC7555" s="6">
        <f t="shared" si="1170"/>
        <v>0</v>
      </c>
      <c r="AD7555" s="6">
        <f t="shared" si="1166"/>
        <v>0</v>
      </c>
      <c r="AE7555" s="14">
        <f>VLOOKUP(I7555,[2]媒体政策预估表!A:N,MATCH(O7555,[2]媒体政策预估表!$A$2:$M$2,0),0)</f>
        <v>0.1</v>
      </c>
      <c r="AF7555" s="6">
        <f t="shared" si="1168"/>
        <v>0</v>
      </c>
      <c r="AG7555" s="14">
        <v>0</v>
      </c>
      <c r="AH7555" s="64">
        <f t="shared" si="1167"/>
        <v>0</v>
      </c>
      <c r="AJ7555" s="126" t="e">
        <v>#N/A</v>
      </c>
      <c r="AK7555" s="80">
        <f t="shared" ref="AK7555:AK7618" si="1173">X7555+AA7555-AB7555</f>
        <v>0</v>
      </c>
      <c r="AL7555" s="85"/>
      <c r="AM7555" s="85"/>
    </row>
    <row r="7556" spans="1:39" s="86" customFormat="1" ht="13.25" hidden="1" customHeight="1" x14ac:dyDescent="0.3">
      <c r="A7556" s="89" t="s">
        <v>3978</v>
      </c>
      <c r="B7556" s="86" t="s">
        <v>35</v>
      </c>
      <c r="C7556" s="86" t="s">
        <v>184</v>
      </c>
      <c r="D7556" s="86" t="s">
        <v>54</v>
      </c>
      <c r="E7556" s="86" t="s">
        <v>1215</v>
      </c>
      <c r="F7556" s="86" t="s">
        <v>1215</v>
      </c>
      <c r="G7556" s="86" t="s">
        <v>1215</v>
      </c>
      <c r="H7556" s="143">
        <v>360</v>
      </c>
      <c r="I7556" s="86" t="s">
        <v>1060</v>
      </c>
      <c r="J7556" s="47" t="s">
        <v>3325</v>
      </c>
      <c r="K7556" s="47" t="s">
        <v>3767</v>
      </c>
      <c r="L7556" s="47" t="s">
        <v>35</v>
      </c>
      <c r="M7556" s="86" t="s">
        <v>1215</v>
      </c>
      <c r="O7556" s="47" t="s">
        <v>410</v>
      </c>
      <c r="P7556" s="14" t="s">
        <v>41</v>
      </c>
      <c r="Q7556" s="14">
        <v>0</v>
      </c>
      <c r="R7556" s="143" t="s">
        <v>1216</v>
      </c>
      <c r="S7556" s="47"/>
      <c r="T7556" s="6">
        <v>5.7999999999992724</v>
      </c>
      <c r="U7556" s="6"/>
      <c r="V7556" s="6">
        <v>0</v>
      </c>
      <c r="W7556" s="6">
        <f t="shared" si="1165"/>
        <v>5.7999999999992724</v>
      </c>
      <c r="X7556" s="6">
        <f t="shared" si="1169"/>
        <v>0</v>
      </c>
      <c r="Y7556" s="13">
        <f t="shared" si="1171"/>
        <v>0</v>
      </c>
      <c r="Z7556" s="14">
        <v>0</v>
      </c>
      <c r="AA7556" s="6">
        <v>0</v>
      </c>
      <c r="AB7556" s="4">
        <f t="shared" si="1172"/>
        <v>0</v>
      </c>
      <c r="AC7556" s="6">
        <f t="shared" si="1170"/>
        <v>0</v>
      </c>
      <c r="AD7556" s="6">
        <f t="shared" si="1166"/>
        <v>0</v>
      </c>
      <c r="AE7556" s="14">
        <f>VLOOKUP(I7556,[2]媒体政策预估表!A:N,MATCH(O7556,[2]媒体政策预估表!$A$2:$M$2,0),0)</f>
        <v>7.0000000000000007E-2</v>
      </c>
      <c r="AF7556" s="6">
        <f t="shared" si="1168"/>
        <v>0</v>
      </c>
      <c r="AG7556" s="14">
        <v>0</v>
      </c>
      <c r="AH7556" s="64">
        <f t="shared" si="1167"/>
        <v>0</v>
      </c>
      <c r="AJ7556" s="126" t="e">
        <v>#N/A</v>
      </c>
      <c r="AK7556" s="80">
        <f t="shared" si="1173"/>
        <v>0</v>
      </c>
      <c r="AL7556" s="85"/>
      <c r="AM7556" s="85"/>
    </row>
    <row r="7557" spans="1:39" s="86" customFormat="1" ht="13.25" hidden="1" customHeight="1" x14ac:dyDescent="0.3">
      <c r="A7557" s="89" t="s">
        <v>3978</v>
      </c>
      <c r="B7557" s="86" t="s">
        <v>35</v>
      </c>
      <c r="C7557" s="86" t="s">
        <v>65</v>
      </c>
      <c r="D7557" s="86" t="s">
        <v>66</v>
      </c>
      <c r="E7557" s="86" t="s">
        <v>1243</v>
      </c>
      <c r="F7557" s="86" t="s">
        <v>1243</v>
      </c>
      <c r="G7557" s="86" t="s">
        <v>1243</v>
      </c>
      <c r="H7557" s="143">
        <v>360</v>
      </c>
      <c r="I7557" s="86" t="s">
        <v>1060</v>
      </c>
      <c r="J7557" s="47" t="s">
        <v>3325</v>
      </c>
      <c r="K7557" s="47" t="s">
        <v>3767</v>
      </c>
      <c r="L7557" s="47" t="s">
        <v>35</v>
      </c>
      <c r="M7557" s="86" t="s">
        <v>1243</v>
      </c>
      <c r="O7557" s="47" t="s">
        <v>410</v>
      </c>
      <c r="P7557" s="14" t="s">
        <v>41</v>
      </c>
      <c r="Q7557" s="14">
        <v>0</v>
      </c>
      <c r="R7557" s="143" t="s">
        <v>1244</v>
      </c>
      <c r="S7557" s="47"/>
      <c r="T7557" s="6">
        <v>456.5</v>
      </c>
      <c r="U7557" s="6"/>
      <c r="V7557" s="6">
        <v>0</v>
      </c>
      <c r="W7557" s="6">
        <f t="shared" si="1165"/>
        <v>456.5</v>
      </c>
      <c r="X7557" s="6">
        <f t="shared" si="1169"/>
        <v>0</v>
      </c>
      <c r="Y7557" s="13">
        <f t="shared" si="1171"/>
        <v>0</v>
      </c>
      <c r="Z7557" s="14">
        <v>0</v>
      </c>
      <c r="AA7557" s="6">
        <v>0</v>
      </c>
      <c r="AB7557" s="4">
        <f t="shared" si="1172"/>
        <v>0</v>
      </c>
      <c r="AC7557" s="6">
        <f t="shared" si="1170"/>
        <v>0</v>
      </c>
      <c r="AD7557" s="6">
        <f t="shared" si="1166"/>
        <v>0</v>
      </c>
      <c r="AE7557" s="14">
        <f>VLOOKUP(I7557,[2]媒体政策预估表!A:N,MATCH(O7557,[2]媒体政策预估表!$A$2:$M$2,0),0)</f>
        <v>7.0000000000000007E-2</v>
      </c>
      <c r="AF7557" s="6">
        <f t="shared" si="1168"/>
        <v>0</v>
      </c>
      <c r="AG7557" s="14">
        <v>0</v>
      </c>
      <c r="AH7557" s="64">
        <f t="shared" si="1167"/>
        <v>0</v>
      </c>
      <c r="AJ7557" s="126" t="e">
        <v>#N/A</v>
      </c>
      <c r="AK7557" s="80">
        <f t="shared" si="1173"/>
        <v>0</v>
      </c>
      <c r="AL7557" s="85"/>
      <c r="AM7557" s="85"/>
    </row>
    <row r="7558" spans="1:39" s="86" customFormat="1" ht="13.25" hidden="1" customHeight="1" x14ac:dyDescent="0.3">
      <c r="A7558" s="89" t="s">
        <v>3978</v>
      </c>
      <c r="B7558" s="86" t="s">
        <v>35</v>
      </c>
      <c r="C7558" s="86" t="s">
        <v>65</v>
      </c>
      <c r="D7558" s="86" t="s">
        <v>122</v>
      </c>
      <c r="E7558" s="86" t="s">
        <v>1253</v>
      </c>
      <c r="F7558" s="86" t="s">
        <v>1253</v>
      </c>
      <c r="G7558" s="86" t="s">
        <v>1253</v>
      </c>
      <c r="H7558" s="144">
        <v>360</v>
      </c>
      <c r="I7558" s="86" t="s">
        <v>1060</v>
      </c>
      <c r="J7558" s="47" t="s">
        <v>3325</v>
      </c>
      <c r="K7558" s="47" t="s">
        <v>3767</v>
      </c>
      <c r="L7558" s="47" t="s">
        <v>35</v>
      </c>
      <c r="M7558" s="86" t="s">
        <v>1256</v>
      </c>
      <c r="O7558" s="47" t="s">
        <v>410</v>
      </c>
      <c r="P7558" s="14" t="s">
        <v>41</v>
      </c>
      <c r="Q7558" s="14">
        <v>0</v>
      </c>
      <c r="R7558" s="143" t="s">
        <v>1257</v>
      </c>
      <c r="S7558" s="47"/>
      <c r="T7558" s="6">
        <v>8705</v>
      </c>
      <c r="U7558" s="6"/>
      <c r="V7558" s="6">
        <v>784.5</v>
      </c>
      <c r="W7558" s="6">
        <f t="shared" si="1165"/>
        <v>7920.5</v>
      </c>
      <c r="X7558" s="6">
        <f t="shared" si="1169"/>
        <v>784.5</v>
      </c>
      <c r="Y7558" s="13">
        <f t="shared" si="1171"/>
        <v>0</v>
      </c>
      <c r="Z7558" s="14">
        <v>0</v>
      </c>
      <c r="AA7558" s="6">
        <v>0</v>
      </c>
      <c r="AB7558" s="4">
        <f t="shared" si="1172"/>
        <v>784.5</v>
      </c>
      <c r="AC7558" s="6">
        <f t="shared" si="1170"/>
        <v>0</v>
      </c>
      <c r="AD7558" s="6">
        <f t="shared" si="1166"/>
        <v>784.5</v>
      </c>
      <c r="AE7558" s="14">
        <f>VLOOKUP(I7558,[2]媒体政策预估表!A:N,MATCH(O7558,[2]媒体政策预估表!$A$2:$M$2,0),0)</f>
        <v>7.0000000000000007E-2</v>
      </c>
      <c r="AF7558" s="6">
        <f t="shared" si="1168"/>
        <v>54.915000000000006</v>
      </c>
      <c r="AG7558" s="14">
        <v>0</v>
      </c>
      <c r="AH7558" s="64">
        <f t="shared" si="1167"/>
        <v>784.5</v>
      </c>
      <c r="AJ7558" s="126" t="e">
        <v>#N/A</v>
      </c>
      <c r="AK7558" s="80">
        <f t="shared" si="1173"/>
        <v>0</v>
      </c>
      <c r="AL7558" s="85"/>
      <c r="AM7558" s="85"/>
    </row>
    <row r="7559" spans="1:39" s="86" customFormat="1" ht="13.25" hidden="1" customHeight="1" x14ac:dyDescent="0.3">
      <c r="A7559" s="89" t="s">
        <v>3978</v>
      </c>
      <c r="B7559" s="86" t="s">
        <v>35</v>
      </c>
      <c r="C7559" s="86" t="s">
        <v>65</v>
      </c>
      <c r="D7559" s="86" t="s">
        <v>122</v>
      </c>
      <c r="E7559" s="86" t="s">
        <v>1253</v>
      </c>
      <c r="F7559" s="86" t="s">
        <v>1253</v>
      </c>
      <c r="G7559" s="86" t="s">
        <v>1253</v>
      </c>
      <c r="H7559" s="143">
        <v>360</v>
      </c>
      <c r="I7559" s="86" t="s">
        <v>1060</v>
      </c>
      <c r="J7559" s="47" t="s">
        <v>3325</v>
      </c>
      <c r="K7559" s="47" t="s">
        <v>3767</v>
      </c>
      <c r="L7559" s="47" t="s">
        <v>35</v>
      </c>
      <c r="M7559" s="86" t="s">
        <v>1253</v>
      </c>
      <c r="O7559" s="47" t="s">
        <v>410</v>
      </c>
      <c r="P7559" s="14" t="s">
        <v>41</v>
      </c>
      <c r="Q7559" s="14">
        <v>0</v>
      </c>
      <c r="R7559" s="143" t="s">
        <v>1258</v>
      </c>
      <c r="S7559" s="47"/>
      <c r="T7559" s="6">
        <v>9367</v>
      </c>
      <c r="U7559" s="6"/>
      <c r="V7559" s="6">
        <v>0</v>
      </c>
      <c r="W7559" s="6">
        <f t="shared" si="1165"/>
        <v>9367</v>
      </c>
      <c r="X7559" s="6">
        <f t="shared" si="1169"/>
        <v>0</v>
      </c>
      <c r="Y7559" s="13">
        <f t="shared" si="1171"/>
        <v>0</v>
      </c>
      <c r="Z7559" s="14">
        <v>0</v>
      </c>
      <c r="AA7559" s="6">
        <v>0</v>
      </c>
      <c r="AB7559" s="4">
        <f t="shared" si="1172"/>
        <v>0</v>
      </c>
      <c r="AC7559" s="6">
        <f t="shared" si="1170"/>
        <v>0</v>
      </c>
      <c r="AD7559" s="6">
        <f t="shared" si="1166"/>
        <v>0</v>
      </c>
      <c r="AE7559" s="14">
        <f>VLOOKUP(I7559,[2]媒体政策预估表!A:N,MATCH(O7559,[2]媒体政策预估表!$A$2:$M$2,0),0)</f>
        <v>7.0000000000000007E-2</v>
      </c>
      <c r="AF7559" s="6">
        <f t="shared" si="1168"/>
        <v>0</v>
      </c>
      <c r="AG7559" s="14">
        <v>0</v>
      </c>
      <c r="AH7559" s="64">
        <f t="shared" si="1167"/>
        <v>0</v>
      </c>
      <c r="AJ7559" s="126" t="e">
        <v>#N/A</v>
      </c>
      <c r="AK7559" s="80">
        <f t="shared" si="1173"/>
        <v>0</v>
      </c>
      <c r="AL7559" s="85"/>
      <c r="AM7559" s="85"/>
    </row>
    <row r="7560" spans="1:39" s="86" customFormat="1" ht="13.25" hidden="1" customHeight="1" x14ac:dyDescent="0.3">
      <c r="A7560" s="89" t="s">
        <v>3978</v>
      </c>
      <c r="B7560" s="86" t="s">
        <v>35</v>
      </c>
      <c r="C7560" s="86" t="s">
        <v>65</v>
      </c>
      <c r="D7560" s="86" t="s">
        <v>122</v>
      </c>
      <c r="E7560" s="86" t="s">
        <v>1253</v>
      </c>
      <c r="F7560" s="86" t="s">
        <v>1253</v>
      </c>
      <c r="G7560" s="86" t="s">
        <v>1253</v>
      </c>
      <c r="H7560" s="143">
        <v>360</v>
      </c>
      <c r="I7560" s="86" t="s">
        <v>1060</v>
      </c>
      <c r="J7560" s="47" t="s">
        <v>3325</v>
      </c>
      <c r="K7560" s="47" t="s">
        <v>3767</v>
      </c>
      <c r="L7560" s="47" t="s">
        <v>35</v>
      </c>
      <c r="M7560" s="86" t="s">
        <v>1261</v>
      </c>
      <c r="O7560" s="47" t="s">
        <v>410</v>
      </c>
      <c r="P7560" s="14" t="s">
        <v>41</v>
      </c>
      <c r="Q7560" s="14">
        <v>0</v>
      </c>
      <c r="R7560" s="143" t="s">
        <v>1263</v>
      </c>
      <c r="S7560" s="47"/>
      <c r="T7560" s="6">
        <v>7640.5</v>
      </c>
      <c r="U7560" s="6"/>
      <c r="V7560" s="6">
        <v>0</v>
      </c>
      <c r="W7560" s="6">
        <f t="shared" si="1165"/>
        <v>7640.5</v>
      </c>
      <c r="X7560" s="6">
        <f t="shared" si="1169"/>
        <v>0</v>
      </c>
      <c r="Y7560" s="13">
        <f t="shared" si="1171"/>
        <v>0</v>
      </c>
      <c r="Z7560" s="14">
        <v>0</v>
      </c>
      <c r="AA7560" s="6">
        <v>0</v>
      </c>
      <c r="AB7560" s="4">
        <f t="shared" si="1172"/>
        <v>0</v>
      </c>
      <c r="AC7560" s="6">
        <f t="shared" si="1170"/>
        <v>0</v>
      </c>
      <c r="AD7560" s="6">
        <f t="shared" si="1166"/>
        <v>0</v>
      </c>
      <c r="AE7560" s="14">
        <f>VLOOKUP(I7560,[2]媒体政策预估表!A:N,MATCH(O7560,[2]媒体政策预估表!$A$2:$M$2,0),0)</f>
        <v>7.0000000000000007E-2</v>
      </c>
      <c r="AF7560" s="6">
        <f t="shared" si="1168"/>
        <v>0</v>
      </c>
      <c r="AG7560" s="14">
        <v>0</v>
      </c>
      <c r="AH7560" s="64">
        <f t="shared" si="1167"/>
        <v>0</v>
      </c>
      <c r="AJ7560" s="126" t="e">
        <v>#N/A</v>
      </c>
      <c r="AK7560" s="80">
        <f t="shared" si="1173"/>
        <v>0</v>
      </c>
      <c r="AL7560" s="85"/>
      <c r="AM7560" s="85"/>
    </row>
    <row r="7561" spans="1:39" s="86" customFormat="1" ht="13.25" hidden="1" customHeight="1" x14ac:dyDescent="0.3">
      <c r="A7561" s="89" t="s">
        <v>3978</v>
      </c>
      <c r="B7561" s="86" t="s">
        <v>35</v>
      </c>
      <c r="C7561" s="86" t="s">
        <v>65</v>
      </c>
      <c r="D7561" s="86" t="s">
        <v>122</v>
      </c>
      <c r="E7561" s="86" t="s">
        <v>1266</v>
      </c>
      <c r="F7561" s="86" t="s">
        <v>1266</v>
      </c>
      <c r="G7561" s="86" t="s">
        <v>1266</v>
      </c>
      <c r="H7561" s="143">
        <v>360</v>
      </c>
      <c r="I7561" s="86" t="s">
        <v>1060</v>
      </c>
      <c r="J7561" s="47" t="s">
        <v>3325</v>
      </c>
      <c r="K7561" s="47" t="s">
        <v>3767</v>
      </c>
      <c r="L7561" s="47" t="s">
        <v>35</v>
      </c>
      <c r="M7561" s="86" t="s">
        <v>1266</v>
      </c>
      <c r="O7561" s="47" t="s">
        <v>45</v>
      </c>
      <c r="P7561" s="14" t="s">
        <v>41</v>
      </c>
      <c r="Q7561" s="14">
        <v>0</v>
      </c>
      <c r="R7561" s="143" t="s">
        <v>1270</v>
      </c>
      <c r="S7561" s="47"/>
      <c r="T7561" s="6">
        <v>22478.863280000001</v>
      </c>
      <c r="U7561" s="6"/>
      <c r="V7561" s="6">
        <v>0</v>
      </c>
      <c r="W7561" s="6">
        <f t="shared" si="1165"/>
        <v>22478.863280000001</v>
      </c>
      <c r="X7561" s="6">
        <f t="shared" si="1169"/>
        <v>0</v>
      </c>
      <c r="Y7561" s="13">
        <f t="shared" si="1171"/>
        <v>0</v>
      </c>
      <c r="Z7561" s="14">
        <v>0</v>
      </c>
      <c r="AA7561" s="6">
        <v>0</v>
      </c>
      <c r="AB7561" s="4">
        <f t="shared" si="1172"/>
        <v>0</v>
      </c>
      <c r="AC7561" s="6">
        <f t="shared" si="1170"/>
        <v>0</v>
      </c>
      <c r="AD7561" s="6">
        <f t="shared" si="1166"/>
        <v>0</v>
      </c>
      <c r="AE7561" s="14">
        <f>VLOOKUP(I7561,[2]媒体政策预估表!A:N,MATCH(O7561,[2]媒体政策预估表!$A$2:$M$2,0),0)</f>
        <v>0.1</v>
      </c>
      <c r="AF7561" s="6">
        <f t="shared" si="1168"/>
        <v>0</v>
      </c>
      <c r="AG7561" s="14">
        <v>0</v>
      </c>
      <c r="AH7561" s="64">
        <f t="shared" si="1167"/>
        <v>0</v>
      </c>
      <c r="AJ7561" s="126" t="e">
        <v>#N/A</v>
      </c>
      <c r="AK7561" s="80">
        <f t="shared" si="1173"/>
        <v>0</v>
      </c>
      <c r="AL7561" s="85"/>
      <c r="AM7561" s="85"/>
    </row>
    <row r="7562" spans="1:39" s="86" customFormat="1" ht="13.25" hidden="1" customHeight="1" x14ac:dyDescent="0.3">
      <c r="A7562" s="89" t="s">
        <v>3978</v>
      </c>
      <c r="B7562" s="86" t="s">
        <v>35</v>
      </c>
      <c r="C7562" s="86" t="s">
        <v>65</v>
      </c>
      <c r="D7562" s="86" t="s">
        <v>125</v>
      </c>
      <c r="E7562" s="86" t="s">
        <v>1286</v>
      </c>
      <c r="F7562" s="86" t="s">
        <v>1286</v>
      </c>
      <c r="G7562" s="86" t="s">
        <v>1286</v>
      </c>
      <c r="H7562" s="143">
        <v>360</v>
      </c>
      <c r="I7562" s="86" t="s">
        <v>1060</v>
      </c>
      <c r="J7562" s="47" t="s">
        <v>3325</v>
      </c>
      <c r="K7562" s="47" t="s">
        <v>3767</v>
      </c>
      <c r="L7562" s="47" t="s">
        <v>35</v>
      </c>
      <c r="M7562" s="86" t="s">
        <v>1287</v>
      </c>
      <c r="O7562" s="47" t="s">
        <v>410</v>
      </c>
      <c r="P7562" s="14" t="s">
        <v>46</v>
      </c>
      <c r="Q7562" s="14">
        <v>0.01</v>
      </c>
      <c r="R7562" s="143" t="s">
        <v>1288</v>
      </c>
      <c r="S7562" s="47"/>
      <c r="T7562" s="6">
        <v>-3.8000000000104706</v>
      </c>
      <c r="U7562" s="6"/>
      <c r="V7562" s="6">
        <v>0</v>
      </c>
      <c r="W7562" s="6">
        <f t="shared" si="1165"/>
        <v>-3.8000000000104706</v>
      </c>
      <c r="X7562" s="6">
        <f t="shared" si="1169"/>
        <v>0</v>
      </c>
      <c r="Y7562" s="13">
        <f t="shared" si="1171"/>
        <v>0</v>
      </c>
      <c r="Z7562" s="14">
        <v>0</v>
      </c>
      <c r="AA7562" s="6">
        <v>0</v>
      </c>
      <c r="AB7562" s="4">
        <f t="shared" si="1172"/>
        <v>0</v>
      </c>
      <c r="AC7562" s="6">
        <f t="shared" si="1170"/>
        <v>0</v>
      </c>
      <c r="AD7562" s="6">
        <f t="shared" si="1166"/>
        <v>0</v>
      </c>
      <c r="AE7562" s="14">
        <f>VLOOKUP(I7562,[2]媒体政策预估表!A:N,MATCH(O7562,[2]媒体政策预估表!$A$2:$M$2,0),0)</f>
        <v>7.0000000000000007E-2</v>
      </c>
      <c r="AF7562" s="6">
        <f t="shared" si="1168"/>
        <v>0</v>
      </c>
      <c r="AG7562" s="14">
        <v>0</v>
      </c>
      <c r="AH7562" s="64">
        <f t="shared" si="1167"/>
        <v>0</v>
      </c>
      <c r="AJ7562" s="126" t="e">
        <v>#N/A</v>
      </c>
      <c r="AK7562" s="80">
        <f t="shared" si="1173"/>
        <v>0</v>
      </c>
      <c r="AL7562" s="85"/>
      <c r="AM7562" s="85"/>
    </row>
    <row r="7563" spans="1:39" s="86" customFormat="1" ht="13.25" hidden="1" customHeight="1" x14ac:dyDescent="0.3">
      <c r="A7563" s="89" t="s">
        <v>3978</v>
      </c>
      <c r="B7563" s="86" t="s">
        <v>35</v>
      </c>
      <c r="C7563" s="86" t="s">
        <v>65</v>
      </c>
      <c r="D7563" s="86" t="s">
        <v>125</v>
      </c>
      <c r="E7563" s="86" t="s">
        <v>1289</v>
      </c>
      <c r="F7563" s="86" t="s">
        <v>1289</v>
      </c>
      <c r="G7563" s="86" t="s">
        <v>1289</v>
      </c>
      <c r="H7563" s="143">
        <v>360</v>
      </c>
      <c r="I7563" s="86" t="s">
        <v>1060</v>
      </c>
      <c r="J7563" s="47" t="s">
        <v>3325</v>
      </c>
      <c r="K7563" s="47" t="s">
        <v>3767</v>
      </c>
      <c r="L7563" s="47" t="s">
        <v>35</v>
      </c>
      <c r="M7563" s="86" t="s">
        <v>1289</v>
      </c>
      <c r="O7563" s="47" t="s">
        <v>410</v>
      </c>
      <c r="P7563" s="14" t="s">
        <v>41</v>
      </c>
      <c r="Q7563" s="14">
        <v>0</v>
      </c>
      <c r="R7563" s="143" t="s">
        <v>1290</v>
      </c>
      <c r="S7563" s="47"/>
      <c r="T7563" s="6">
        <v>0.7000000000007276</v>
      </c>
      <c r="U7563" s="6"/>
      <c r="V7563" s="6">
        <v>0</v>
      </c>
      <c r="W7563" s="6">
        <f t="shared" si="1165"/>
        <v>0.7000000000007276</v>
      </c>
      <c r="X7563" s="6">
        <f t="shared" si="1169"/>
        <v>0</v>
      </c>
      <c r="Y7563" s="13">
        <f t="shared" si="1171"/>
        <v>0</v>
      </c>
      <c r="Z7563" s="14">
        <v>0</v>
      </c>
      <c r="AA7563" s="6">
        <v>0</v>
      </c>
      <c r="AB7563" s="4">
        <f t="shared" si="1172"/>
        <v>0</v>
      </c>
      <c r="AC7563" s="6">
        <f t="shared" si="1170"/>
        <v>0</v>
      </c>
      <c r="AD7563" s="6">
        <f t="shared" si="1166"/>
        <v>0</v>
      </c>
      <c r="AE7563" s="14">
        <f>VLOOKUP(I7563,[2]媒体政策预估表!A:N,MATCH(O7563,[2]媒体政策预估表!$A$2:$M$2,0),0)</f>
        <v>7.0000000000000007E-2</v>
      </c>
      <c r="AF7563" s="6">
        <f t="shared" si="1168"/>
        <v>0</v>
      </c>
      <c r="AG7563" s="14">
        <v>0</v>
      </c>
      <c r="AH7563" s="64">
        <f t="shared" si="1167"/>
        <v>0</v>
      </c>
      <c r="AJ7563" s="126" t="e">
        <v>#N/A</v>
      </c>
      <c r="AK7563" s="80">
        <f t="shared" si="1173"/>
        <v>0</v>
      </c>
      <c r="AL7563" s="85"/>
      <c r="AM7563" s="85"/>
    </row>
    <row r="7564" spans="1:39" s="86" customFormat="1" ht="13.25" hidden="1" customHeight="1" x14ac:dyDescent="0.3">
      <c r="A7564" s="89" t="s">
        <v>3978</v>
      </c>
      <c r="B7564" s="86" t="s">
        <v>35</v>
      </c>
      <c r="C7564" s="86" t="s">
        <v>184</v>
      </c>
      <c r="D7564" s="86" t="s">
        <v>3849</v>
      </c>
      <c r="E7564" s="86" t="s">
        <v>1323</v>
      </c>
      <c r="F7564" s="86" t="s">
        <v>1323</v>
      </c>
      <c r="G7564" s="86" t="s">
        <v>1323</v>
      </c>
      <c r="H7564" s="144">
        <v>360</v>
      </c>
      <c r="I7564" s="86" t="s">
        <v>1060</v>
      </c>
      <c r="J7564" s="47" t="s">
        <v>3325</v>
      </c>
      <c r="K7564" s="47" t="s">
        <v>3767</v>
      </c>
      <c r="L7564" s="47" t="s">
        <v>35</v>
      </c>
      <c r="M7564" s="86" t="s">
        <v>1323</v>
      </c>
      <c r="O7564" s="47" t="s">
        <v>410</v>
      </c>
      <c r="P7564" s="14" t="s">
        <v>92</v>
      </c>
      <c r="Q7564" s="14">
        <v>0.98</v>
      </c>
      <c r="R7564" s="143" t="s">
        <v>1324</v>
      </c>
      <c r="S7564" s="47"/>
      <c r="T7564" s="6">
        <v>21986</v>
      </c>
      <c r="U7564" s="6"/>
      <c r="V7564" s="6">
        <v>4648.6000000000004</v>
      </c>
      <c r="W7564" s="6">
        <f t="shared" si="1165"/>
        <v>17337.400000000001</v>
      </c>
      <c r="X7564" s="6">
        <f t="shared" si="1169"/>
        <v>4555.6280000000006</v>
      </c>
      <c r="Y7564" s="13">
        <f t="shared" si="1171"/>
        <v>0</v>
      </c>
      <c r="Z7564" s="14">
        <v>0</v>
      </c>
      <c r="AA7564" s="6">
        <v>0</v>
      </c>
      <c r="AB7564" s="4">
        <f t="shared" si="1172"/>
        <v>4555.6280000000006</v>
      </c>
      <c r="AC7564" s="6">
        <f t="shared" si="1170"/>
        <v>92.971999999999753</v>
      </c>
      <c r="AD7564" s="6">
        <f t="shared" si="1166"/>
        <v>4648.6000000000004</v>
      </c>
      <c r="AE7564" s="14">
        <f>VLOOKUP(I7564,[2]媒体政策预估表!A:N,MATCH(O7564,[2]媒体政策预估表!$A$2:$M$2,0),0)</f>
        <v>7.0000000000000007E-2</v>
      </c>
      <c r="AF7564" s="6">
        <f t="shared" si="1168"/>
        <v>325.40200000000004</v>
      </c>
      <c r="AG7564" s="14">
        <v>0</v>
      </c>
      <c r="AH7564" s="64">
        <f t="shared" si="1167"/>
        <v>4648.6000000000004</v>
      </c>
      <c r="AJ7564" s="126" t="e">
        <v>#N/A</v>
      </c>
      <c r="AK7564" s="80">
        <f t="shared" si="1173"/>
        <v>0</v>
      </c>
      <c r="AL7564" s="85"/>
      <c r="AM7564" s="85"/>
    </row>
    <row r="7565" spans="1:39" s="86" customFormat="1" ht="13.25" hidden="1" customHeight="1" x14ac:dyDescent="0.3">
      <c r="A7565" s="89" t="s">
        <v>3978</v>
      </c>
      <c r="B7565" s="86" t="s">
        <v>35</v>
      </c>
      <c r="C7565" s="86" t="s">
        <v>59</v>
      </c>
      <c r="D7565" s="86" t="s">
        <v>60</v>
      </c>
      <c r="E7565" s="86" t="s">
        <v>1329</v>
      </c>
      <c r="F7565" s="86" t="s">
        <v>1330</v>
      </c>
      <c r="G7565" s="86" t="s">
        <v>1329</v>
      </c>
      <c r="H7565" s="143">
        <v>360</v>
      </c>
      <c r="I7565" s="86" t="s">
        <v>1060</v>
      </c>
      <c r="J7565" s="47" t="s">
        <v>3325</v>
      </c>
      <c r="K7565" s="47" t="s">
        <v>3767</v>
      </c>
      <c r="L7565" s="47" t="s">
        <v>35</v>
      </c>
      <c r="M7565" s="86" t="s">
        <v>1329</v>
      </c>
      <c r="O7565" s="47" t="s">
        <v>410</v>
      </c>
      <c r="P7565" s="14" t="s">
        <v>46</v>
      </c>
      <c r="Q7565" s="14">
        <v>0.02</v>
      </c>
      <c r="R7565" s="143" t="s">
        <v>1331</v>
      </c>
      <c r="S7565" s="47"/>
      <c r="T7565" s="6">
        <v>36961.9</v>
      </c>
      <c r="U7565" s="6"/>
      <c r="V7565" s="6">
        <v>0</v>
      </c>
      <c r="W7565" s="6">
        <f t="shared" si="1165"/>
        <v>36961.9</v>
      </c>
      <c r="X7565" s="6">
        <f t="shared" si="1169"/>
        <v>0</v>
      </c>
      <c r="Y7565" s="13">
        <f t="shared" si="1171"/>
        <v>0</v>
      </c>
      <c r="Z7565" s="14">
        <v>0</v>
      </c>
      <c r="AA7565" s="6">
        <v>0</v>
      </c>
      <c r="AB7565" s="4">
        <f t="shared" si="1172"/>
        <v>0</v>
      </c>
      <c r="AC7565" s="6">
        <f t="shared" si="1170"/>
        <v>0</v>
      </c>
      <c r="AD7565" s="6">
        <f t="shared" si="1166"/>
        <v>0</v>
      </c>
      <c r="AE7565" s="14">
        <f>VLOOKUP(I7565,[2]媒体政策预估表!A:N,MATCH(O7565,[2]媒体政策预估表!$A$2:$M$2,0),0)</f>
        <v>7.0000000000000007E-2</v>
      </c>
      <c r="AF7565" s="6">
        <f t="shared" si="1168"/>
        <v>0</v>
      </c>
      <c r="AG7565" s="14">
        <v>0</v>
      </c>
      <c r="AH7565" s="64">
        <f t="shared" si="1167"/>
        <v>0</v>
      </c>
      <c r="AJ7565" s="126" t="e">
        <v>#N/A</v>
      </c>
      <c r="AK7565" s="80">
        <f t="shared" si="1173"/>
        <v>0</v>
      </c>
      <c r="AL7565" s="85"/>
      <c r="AM7565" s="85"/>
    </row>
    <row r="7566" spans="1:39" s="86" customFormat="1" ht="13.25" hidden="1" customHeight="1" x14ac:dyDescent="0.3">
      <c r="A7566" s="89" t="s">
        <v>3792</v>
      </c>
      <c r="B7566" s="86" t="s">
        <v>35</v>
      </c>
      <c r="C7566" s="86" t="s">
        <v>184</v>
      </c>
      <c r="D7566" s="86" t="s">
        <v>3849</v>
      </c>
      <c r="E7566" s="86" t="s">
        <v>540</v>
      </c>
      <c r="F7566" s="86" t="s">
        <v>541</v>
      </c>
      <c r="G7566" s="86" t="s">
        <v>540</v>
      </c>
      <c r="H7566" s="143">
        <v>360</v>
      </c>
      <c r="I7566" s="86" t="s">
        <v>1060</v>
      </c>
      <c r="J7566" s="47" t="s">
        <v>3325</v>
      </c>
      <c r="K7566" s="47" t="s">
        <v>3767</v>
      </c>
      <c r="L7566" s="47" t="s">
        <v>35</v>
      </c>
      <c r="M7566" s="86" t="s">
        <v>540</v>
      </c>
      <c r="O7566" s="47" t="s">
        <v>410</v>
      </c>
      <c r="P7566" s="14" t="s">
        <v>41</v>
      </c>
      <c r="Q7566" s="14">
        <v>0</v>
      </c>
      <c r="R7566" s="143" t="s">
        <v>1354</v>
      </c>
      <c r="S7566" s="47"/>
      <c r="T7566" s="6">
        <v>37145.1</v>
      </c>
      <c r="U7566" s="6"/>
      <c r="V7566" s="6">
        <v>0</v>
      </c>
      <c r="W7566" s="6">
        <f t="shared" si="1165"/>
        <v>37145.1</v>
      </c>
      <c r="X7566" s="6">
        <f t="shared" si="1169"/>
        <v>0</v>
      </c>
      <c r="Y7566" s="13">
        <f t="shared" si="1171"/>
        <v>0</v>
      </c>
      <c r="Z7566" s="14">
        <v>0</v>
      </c>
      <c r="AA7566" s="6">
        <v>0</v>
      </c>
      <c r="AB7566" s="4">
        <f t="shared" si="1172"/>
        <v>0</v>
      </c>
      <c r="AC7566" s="6">
        <f t="shared" si="1170"/>
        <v>0</v>
      </c>
      <c r="AD7566" s="6">
        <f t="shared" si="1166"/>
        <v>0</v>
      </c>
      <c r="AE7566" s="14">
        <f>VLOOKUP(I7566,[2]媒体政策预估表!A:N,MATCH(O7566,[2]媒体政策预估表!$A$2:$M$2,0),0)</f>
        <v>7.0000000000000007E-2</v>
      </c>
      <c r="AF7566" s="6">
        <f t="shared" si="1168"/>
        <v>0</v>
      </c>
      <c r="AG7566" s="14">
        <v>0</v>
      </c>
      <c r="AH7566" s="64">
        <f t="shared" si="1167"/>
        <v>0</v>
      </c>
      <c r="AJ7566" s="126" t="e">
        <v>#N/A</v>
      </c>
      <c r="AK7566" s="80">
        <f t="shared" si="1173"/>
        <v>0</v>
      </c>
      <c r="AL7566" s="85"/>
      <c r="AM7566" s="85"/>
    </row>
    <row r="7567" spans="1:39" s="86" customFormat="1" ht="13.25" hidden="1" customHeight="1" x14ac:dyDescent="0.3">
      <c r="A7567" s="89" t="s">
        <v>3978</v>
      </c>
      <c r="B7567" s="86" t="s">
        <v>35</v>
      </c>
      <c r="C7567" s="86" t="s">
        <v>184</v>
      </c>
      <c r="D7567" s="86" t="s">
        <v>3849</v>
      </c>
      <c r="E7567" s="86" t="s">
        <v>1366</v>
      </c>
      <c r="F7567" s="86" t="s">
        <v>1367</v>
      </c>
      <c r="G7567" s="86" t="s">
        <v>1366</v>
      </c>
      <c r="H7567" s="143">
        <v>360</v>
      </c>
      <c r="I7567" s="86" t="s">
        <v>1060</v>
      </c>
      <c r="J7567" s="47" t="s">
        <v>3325</v>
      </c>
      <c r="K7567" s="47" t="s">
        <v>3767</v>
      </c>
      <c r="L7567" s="47" t="s">
        <v>35</v>
      </c>
      <c r="M7567" s="86" t="s">
        <v>1366</v>
      </c>
      <c r="O7567" s="47" t="s">
        <v>410</v>
      </c>
      <c r="P7567" s="14" t="s">
        <v>41</v>
      </c>
      <c r="Q7567" s="14">
        <v>0</v>
      </c>
      <c r="R7567" s="143" t="s">
        <v>1371</v>
      </c>
      <c r="S7567" s="47"/>
      <c r="T7567" s="6">
        <v>45402.7</v>
      </c>
      <c r="U7567" s="6"/>
      <c r="V7567" s="6">
        <v>0</v>
      </c>
      <c r="W7567" s="6">
        <f t="shared" si="1165"/>
        <v>45402.7</v>
      </c>
      <c r="X7567" s="6">
        <f t="shared" si="1169"/>
        <v>0</v>
      </c>
      <c r="Y7567" s="13">
        <f t="shared" si="1171"/>
        <v>0</v>
      </c>
      <c r="Z7567" s="14">
        <v>0</v>
      </c>
      <c r="AA7567" s="6">
        <v>0</v>
      </c>
      <c r="AB7567" s="4">
        <f t="shared" si="1172"/>
        <v>0</v>
      </c>
      <c r="AC7567" s="6">
        <f t="shared" si="1170"/>
        <v>0</v>
      </c>
      <c r="AD7567" s="6">
        <f t="shared" si="1166"/>
        <v>0</v>
      </c>
      <c r="AE7567" s="14">
        <f>VLOOKUP(I7567,[2]媒体政策预估表!A:N,MATCH(O7567,[2]媒体政策预估表!$A$2:$M$2,0),0)</f>
        <v>7.0000000000000007E-2</v>
      </c>
      <c r="AF7567" s="6">
        <f t="shared" si="1168"/>
        <v>0</v>
      </c>
      <c r="AG7567" s="14">
        <v>0</v>
      </c>
      <c r="AH7567" s="64">
        <f t="shared" si="1167"/>
        <v>0</v>
      </c>
      <c r="AJ7567" s="126" t="e">
        <v>#N/A</v>
      </c>
      <c r="AK7567" s="80">
        <f t="shared" si="1173"/>
        <v>0</v>
      </c>
      <c r="AL7567" s="85"/>
      <c r="AM7567" s="85"/>
    </row>
    <row r="7568" spans="1:39" s="86" customFormat="1" ht="13.25" hidden="1" customHeight="1" x14ac:dyDescent="0.3">
      <c r="A7568" s="89" t="s">
        <v>3792</v>
      </c>
      <c r="B7568" s="86" t="s">
        <v>35</v>
      </c>
      <c r="C7568" s="86" t="s">
        <v>184</v>
      </c>
      <c r="D7568" s="86" t="s">
        <v>3849</v>
      </c>
      <c r="E7568" s="86" t="s">
        <v>1366</v>
      </c>
      <c r="F7568" s="86" t="s">
        <v>1367</v>
      </c>
      <c r="G7568" s="86" t="s">
        <v>1366</v>
      </c>
      <c r="H7568" s="143">
        <v>360</v>
      </c>
      <c r="I7568" s="86" t="s">
        <v>1060</v>
      </c>
      <c r="J7568" s="47" t="s">
        <v>3325</v>
      </c>
      <c r="K7568" s="47" t="s">
        <v>3767</v>
      </c>
      <c r="L7568" s="47" t="s">
        <v>35</v>
      </c>
      <c r="M7568" s="86" t="s">
        <v>1366</v>
      </c>
      <c r="O7568" s="47" t="s">
        <v>410</v>
      </c>
      <c r="P7568" s="14" t="s">
        <v>41</v>
      </c>
      <c r="Q7568" s="14">
        <v>0</v>
      </c>
      <c r="R7568" s="143" t="s">
        <v>1372</v>
      </c>
      <c r="S7568" s="47"/>
      <c r="T7568" s="6">
        <v>38794.9</v>
      </c>
      <c r="U7568" s="6"/>
      <c r="V7568" s="6">
        <v>0</v>
      </c>
      <c r="W7568" s="6">
        <f t="shared" si="1165"/>
        <v>38794.9</v>
      </c>
      <c r="X7568" s="6">
        <f t="shared" si="1169"/>
        <v>0</v>
      </c>
      <c r="Y7568" s="13">
        <f t="shared" si="1171"/>
        <v>0</v>
      </c>
      <c r="Z7568" s="14">
        <v>0</v>
      </c>
      <c r="AA7568" s="6">
        <v>0</v>
      </c>
      <c r="AB7568" s="4">
        <f t="shared" si="1172"/>
        <v>0</v>
      </c>
      <c r="AC7568" s="6">
        <f t="shared" si="1170"/>
        <v>0</v>
      </c>
      <c r="AD7568" s="6">
        <f t="shared" si="1166"/>
        <v>0</v>
      </c>
      <c r="AE7568" s="14">
        <f>VLOOKUP(I7568,[2]媒体政策预估表!A:N,MATCH(O7568,[2]媒体政策预估表!$A$2:$M$2,0),0)</f>
        <v>7.0000000000000007E-2</v>
      </c>
      <c r="AF7568" s="6">
        <f t="shared" si="1168"/>
        <v>0</v>
      </c>
      <c r="AG7568" s="14">
        <v>0</v>
      </c>
      <c r="AH7568" s="64">
        <f t="shared" si="1167"/>
        <v>0</v>
      </c>
      <c r="AJ7568" s="126" t="e">
        <v>#N/A</v>
      </c>
      <c r="AK7568" s="80">
        <f t="shared" si="1173"/>
        <v>0</v>
      </c>
      <c r="AL7568" s="85"/>
      <c r="AM7568" s="85"/>
    </row>
    <row r="7569" spans="1:39" s="86" customFormat="1" ht="13.25" hidden="1" customHeight="1" x14ac:dyDescent="0.3">
      <c r="A7569" s="89" t="s">
        <v>3792</v>
      </c>
      <c r="B7569" s="86" t="s">
        <v>35</v>
      </c>
      <c r="C7569" s="86" t="s">
        <v>144</v>
      </c>
      <c r="D7569" s="86" t="s">
        <v>145</v>
      </c>
      <c r="E7569" s="86" t="s">
        <v>1385</v>
      </c>
      <c r="F7569" s="86" t="s">
        <v>1386</v>
      </c>
      <c r="G7569" s="86" t="s">
        <v>1385</v>
      </c>
      <c r="H7569" s="144">
        <v>360</v>
      </c>
      <c r="I7569" s="86" t="s">
        <v>1060</v>
      </c>
      <c r="J7569" s="47" t="s">
        <v>3325</v>
      </c>
      <c r="K7569" s="47" t="s">
        <v>3767</v>
      </c>
      <c r="L7569" s="47" t="s">
        <v>35</v>
      </c>
      <c r="M7569" s="86" t="s">
        <v>1385</v>
      </c>
      <c r="O7569" s="47" t="s">
        <v>410</v>
      </c>
      <c r="P7569" s="14" t="s">
        <v>41</v>
      </c>
      <c r="Q7569" s="14">
        <v>0</v>
      </c>
      <c r="R7569" s="143" t="s">
        <v>1387</v>
      </c>
      <c r="S7569" s="47"/>
      <c r="T7569" s="6">
        <v>94875.700000000041</v>
      </c>
      <c r="U7569" s="6"/>
      <c r="V7569" s="6">
        <v>28487.200000000001</v>
      </c>
      <c r="W7569" s="6">
        <f t="shared" si="1165"/>
        <v>66388.500000000044</v>
      </c>
      <c r="X7569" s="6">
        <f t="shared" si="1169"/>
        <v>28487.200000000001</v>
      </c>
      <c r="Y7569" s="13">
        <f t="shared" si="1171"/>
        <v>0</v>
      </c>
      <c r="Z7569" s="14">
        <v>0</v>
      </c>
      <c r="AA7569" s="6">
        <v>0</v>
      </c>
      <c r="AB7569" s="4">
        <f t="shared" si="1172"/>
        <v>28487.200000000001</v>
      </c>
      <c r="AC7569" s="6">
        <f t="shared" si="1170"/>
        <v>0</v>
      </c>
      <c r="AD7569" s="6">
        <f t="shared" si="1166"/>
        <v>28487.200000000001</v>
      </c>
      <c r="AE7569" s="14">
        <f>VLOOKUP(I7569,[2]媒体政策预估表!A:N,MATCH(O7569,[2]媒体政策预估表!$A$2:$M$2,0),0)</f>
        <v>7.0000000000000007E-2</v>
      </c>
      <c r="AF7569" s="6">
        <f t="shared" si="1168"/>
        <v>1994.1040000000003</v>
      </c>
      <c r="AG7569" s="14">
        <v>0</v>
      </c>
      <c r="AH7569" s="64">
        <f t="shared" si="1167"/>
        <v>28487.200000000001</v>
      </c>
      <c r="AJ7569" s="126" t="e">
        <v>#N/A</v>
      </c>
      <c r="AK7569" s="80">
        <f t="shared" si="1173"/>
        <v>0</v>
      </c>
      <c r="AL7569" s="85"/>
      <c r="AM7569" s="85"/>
    </row>
    <row r="7570" spans="1:39" s="86" customFormat="1" ht="13.25" hidden="1" customHeight="1" x14ac:dyDescent="0.3">
      <c r="A7570" s="89" t="s">
        <v>3792</v>
      </c>
      <c r="B7570" s="86" t="s">
        <v>35</v>
      </c>
      <c r="C7570" s="86" t="s">
        <v>144</v>
      </c>
      <c r="D7570" s="86" t="s">
        <v>145</v>
      </c>
      <c r="E7570" s="86" t="s">
        <v>1388</v>
      </c>
      <c r="F7570" s="86" t="s">
        <v>1388</v>
      </c>
      <c r="G7570" s="86" t="s">
        <v>1388</v>
      </c>
      <c r="H7570" s="144">
        <v>360</v>
      </c>
      <c r="I7570" s="86" t="s">
        <v>1060</v>
      </c>
      <c r="J7570" s="47" t="s">
        <v>3325</v>
      </c>
      <c r="K7570" s="47" t="s">
        <v>3767</v>
      </c>
      <c r="L7570" s="47" t="s">
        <v>35</v>
      </c>
      <c r="M7570" s="86" t="s">
        <v>1388</v>
      </c>
      <c r="O7570" s="47" t="s">
        <v>410</v>
      </c>
      <c r="P7570" s="14" t="s">
        <v>41</v>
      </c>
      <c r="Q7570" s="14">
        <v>0</v>
      </c>
      <c r="R7570" s="143" t="s">
        <v>1389</v>
      </c>
      <c r="S7570" s="47"/>
      <c r="T7570" s="6">
        <v>10195.59</v>
      </c>
      <c r="U7570" s="6"/>
      <c r="V7570" s="6">
        <v>5975.2</v>
      </c>
      <c r="W7570" s="6">
        <f t="shared" si="1165"/>
        <v>4220.3900000000003</v>
      </c>
      <c r="X7570" s="6">
        <f t="shared" si="1169"/>
        <v>5975.2</v>
      </c>
      <c r="Y7570" s="13">
        <f t="shared" si="1171"/>
        <v>0</v>
      </c>
      <c r="Z7570" s="14">
        <v>0</v>
      </c>
      <c r="AA7570" s="6">
        <v>0</v>
      </c>
      <c r="AB7570" s="4">
        <f t="shared" si="1172"/>
        <v>5975.2</v>
      </c>
      <c r="AC7570" s="6">
        <f t="shared" si="1170"/>
        <v>0</v>
      </c>
      <c r="AD7570" s="6">
        <f t="shared" si="1166"/>
        <v>5975.2</v>
      </c>
      <c r="AE7570" s="14">
        <f>VLOOKUP(I7570,[2]媒体政策预估表!A:N,MATCH(O7570,[2]媒体政策预估表!$A$2:$M$2,0),0)</f>
        <v>7.0000000000000007E-2</v>
      </c>
      <c r="AF7570" s="6">
        <f t="shared" si="1168"/>
        <v>418.26400000000001</v>
      </c>
      <c r="AG7570" s="14">
        <v>0</v>
      </c>
      <c r="AH7570" s="64">
        <f t="shared" si="1167"/>
        <v>5975.2</v>
      </c>
      <c r="AJ7570" s="126" t="e">
        <v>#N/A</v>
      </c>
      <c r="AK7570" s="80">
        <f t="shared" si="1173"/>
        <v>0</v>
      </c>
      <c r="AL7570" s="85"/>
      <c r="AM7570" s="85"/>
    </row>
    <row r="7571" spans="1:39" s="86" customFormat="1" ht="13.25" hidden="1" customHeight="1" x14ac:dyDescent="0.3">
      <c r="A7571" s="89" t="s">
        <v>3792</v>
      </c>
      <c r="B7571" s="86" t="s">
        <v>35</v>
      </c>
      <c r="C7571" s="86" t="s">
        <v>144</v>
      </c>
      <c r="D7571" s="86" t="s">
        <v>145</v>
      </c>
      <c r="E7571" s="86" t="s">
        <v>1392</v>
      </c>
      <c r="F7571" s="86" t="s">
        <v>1392</v>
      </c>
      <c r="G7571" s="86" t="s">
        <v>1392</v>
      </c>
      <c r="H7571" s="144">
        <v>360</v>
      </c>
      <c r="I7571" s="86" t="s">
        <v>1060</v>
      </c>
      <c r="J7571" s="47" t="s">
        <v>3325</v>
      </c>
      <c r="K7571" s="47" t="s">
        <v>3767</v>
      </c>
      <c r="L7571" s="47" t="s">
        <v>35</v>
      </c>
      <c r="M7571" s="86" t="s">
        <v>1392</v>
      </c>
      <c r="O7571" s="47" t="s">
        <v>410</v>
      </c>
      <c r="P7571" s="14" t="s">
        <v>41</v>
      </c>
      <c r="Q7571" s="14">
        <v>0</v>
      </c>
      <c r="R7571" s="143" t="s">
        <v>1393</v>
      </c>
      <c r="S7571" s="47"/>
      <c r="T7571" s="6">
        <v>10516.5</v>
      </c>
      <c r="U7571" s="6"/>
      <c r="V7571" s="6">
        <v>10023.1</v>
      </c>
      <c r="W7571" s="6">
        <f t="shared" si="1165"/>
        <v>493.39999999999964</v>
      </c>
      <c r="X7571" s="6">
        <f t="shared" si="1169"/>
        <v>10023.1</v>
      </c>
      <c r="Y7571" s="13">
        <f t="shared" si="1171"/>
        <v>0</v>
      </c>
      <c r="Z7571" s="14">
        <v>0</v>
      </c>
      <c r="AA7571" s="6">
        <v>0</v>
      </c>
      <c r="AB7571" s="4">
        <f t="shared" si="1172"/>
        <v>10023.1</v>
      </c>
      <c r="AC7571" s="6">
        <f t="shared" si="1170"/>
        <v>0</v>
      </c>
      <c r="AD7571" s="6">
        <f t="shared" si="1166"/>
        <v>10023.1</v>
      </c>
      <c r="AE7571" s="14">
        <f>VLOOKUP(I7571,[2]媒体政策预估表!A:N,MATCH(O7571,[2]媒体政策预估表!$A$2:$M$2,0),0)</f>
        <v>7.0000000000000007E-2</v>
      </c>
      <c r="AF7571" s="6">
        <f t="shared" si="1168"/>
        <v>701.61700000000008</v>
      </c>
      <c r="AG7571" s="14">
        <v>0</v>
      </c>
      <c r="AH7571" s="64">
        <f t="shared" si="1167"/>
        <v>10023.1</v>
      </c>
      <c r="AJ7571" s="126" t="e">
        <v>#N/A</v>
      </c>
      <c r="AK7571" s="80">
        <f t="shared" si="1173"/>
        <v>0</v>
      </c>
      <c r="AL7571" s="85"/>
      <c r="AM7571" s="85"/>
    </row>
    <row r="7572" spans="1:39" s="86" customFormat="1" ht="13.25" hidden="1" customHeight="1" x14ac:dyDescent="0.3">
      <c r="A7572" s="89" t="s">
        <v>3978</v>
      </c>
      <c r="B7572" s="86" t="s">
        <v>35</v>
      </c>
      <c r="C7572" s="86" t="s">
        <v>144</v>
      </c>
      <c r="D7572" s="86" t="s">
        <v>145</v>
      </c>
      <c r="E7572" s="86" t="s">
        <v>1394</v>
      </c>
      <c r="F7572" s="86" t="s">
        <v>1394</v>
      </c>
      <c r="G7572" s="86" t="s">
        <v>1394</v>
      </c>
      <c r="H7572" s="144">
        <v>360</v>
      </c>
      <c r="I7572" s="86" t="s">
        <v>1060</v>
      </c>
      <c r="J7572" s="47" t="s">
        <v>3325</v>
      </c>
      <c r="K7572" s="47" t="s">
        <v>3767</v>
      </c>
      <c r="L7572" s="47" t="s">
        <v>35</v>
      </c>
      <c r="M7572" s="86" t="s">
        <v>1394</v>
      </c>
      <c r="O7572" s="47" t="s">
        <v>410</v>
      </c>
      <c r="P7572" s="14" t="s">
        <v>41</v>
      </c>
      <c r="Q7572" s="14">
        <v>0</v>
      </c>
      <c r="R7572" s="143">
        <v>9925076</v>
      </c>
      <c r="S7572" s="47"/>
      <c r="T7572" s="6">
        <v>7034.0999999999985</v>
      </c>
      <c r="U7572" s="6"/>
      <c r="V7572" s="6">
        <v>6539.2</v>
      </c>
      <c r="W7572" s="6">
        <f t="shared" si="1165"/>
        <v>494.89999999999873</v>
      </c>
      <c r="X7572" s="6">
        <f t="shared" si="1169"/>
        <v>6539.2</v>
      </c>
      <c r="Y7572" s="13">
        <f t="shared" si="1171"/>
        <v>0</v>
      </c>
      <c r="Z7572" s="14">
        <v>0</v>
      </c>
      <c r="AA7572" s="6">
        <v>0</v>
      </c>
      <c r="AB7572" s="4">
        <f t="shared" si="1172"/>
        <v>6539.2</v>
      </c>
      <c r="AC7572" s="6">
        <f t="shared" si="1170"/>
        <v>0</v>
      </c>
      <c r="AD7572" s="6">
        <f t="shared" si="1166"/>
        <v>6539.2</v>
      </c>
      <c r="AE7572" s="14">
        <f>VLOOKUP(I7572,[2]媒体政策预估表!A:N,MATCH(O7572,[2]媒体政策预估表!$A$2:$M$2,0),0)</f>
        <v>7.0000000000000007E-2</v>
      </c>
      <c r="AF7572" s="6">
        <f t="shared" si="1168"/>
        <v>457.74400000000003</v>
      </c>
      <c r="AG7572" s="14">
        <v>0</v>
      </c>
      <c r="AH7572" s="64">
        <f t="shared" si="1167"/>
        <v>6539.2</v>
      </c>
      <c r="AJ7572" s="126" t="e">
        <v>#N/A</v>
      </c>
      <c r="AK7572" s="80">
        <f t="shared" si="1173"/>
        <v>0</v>
      </c>
      <c r="AL7572" s="85"/>
      <c r="AM7572" s="85"/>
    </row>
    <row r="7573" spans="1:39" s="86" customFormat="1" ht="13.25" hidden="1" customHeight="1" x14ac:dyDescent="0.3">
      <c r="A7573" s="89" t="s">
        <v>3792</v>
      </c>
      <c r="B7573" s="86" t="s">
        <v>35</v>
      </c>
      <c r="C7573" s="86" t="s">
        <v>144</v>
      </c>
      <c r="D7573" s="86" t="s">
        <v>145</v>
      </c>
      <c r="E7573" s="86" t="s">
        <v>805</v>
      </c>
      <c r="F7573" s="86" t="s">
        <v>805</v>
      </c>
      <c r="G7573" s="86" t="s">
        <v>805</v>
      </c>
      <c r="H7573" s="144">
        <v>360</v>
      </c>
      <c r="I7573" s="86" t="s">
        <v>1060</v>
      </c>
      <c r="J7573" s="47" t="s">
        <v>3325</v>
      </c>
      <c r="K7573" s="47" t="s">
        <v>3767</v>
      </c>
      <c r="L7573" s="47" t="s">
        <v>35</v>
      </c>
      <c r="M7573" s="86" t="s">
        <v>805</v>
      </c>
      <c r="O7573" s="47" t="s">
        <v>410</v>
      </c>
      <c r="P7573" s="14" t="s">
        <v>46</v>
      </c>
      <c r="Q7573" s="14">
        <v>0.02</v>
      </c>
      <c r="R7573" s="143" t="s">
        <v>1401</v>
      </c>
      <c r="S7573" s="47"/>
      <c r="T7573" s="6">
        <v>20000</v>
      </c>
      <c r="U7573" s="6"/>
      <c r="V7573" s="6">
        <v>2660.6699999999</v>
      </c>
      <c r="W7573" s="6">
        <f t="shared" si="1165"/>
        <v>17339.3300000001</v>
      </c>
      <c r="X7573" s="6">
        <f t="shared" si="1169"/>
        <v>2608.4999999999018</v>
      </c>
      <c r="Y7573" s="13">
        <f t="shared" si="1171"/>
        <v>0</v>
      </c>
      <c r="Z7573" s="14">
        <v>0</v>
      </c>
      <c r="AA7573" s="6">
        <v>0</v>
      </c>
      <c r="AB7573" s="4">
        <f t="shared" si="1172"/>
        <v>2608.4999999999018</v>
      </c>
      <c r="AC7573" s="6">
        <f t="shared" si="1170"/>
        <v>52.169999999998254</v>
      </c>
      <c r="AD7573" s="6">
        <f t="shared" si="1166"/>
        <v>2660.6699999999</v>
      </c>
      <c r="AE7573" s="14">
        <f>VLOOKUP(I7573,[2]媒体政策预估表!A:N,MATCH(O7573,[2]媒体政策预估表!$A$2:$M$2,0),0)</f>
        <v>7.0000000000000007E-2</v>
      </c>
      <c r="AF7573" s="6">
        <f t="shared" si="1168"/>
        <v>186.24689999999302</v>
      </c>
      <c r="AG7573" s="14">
        <v>0</v>
      </c>
      <c r="AH7573" s="64">
        <f t="shared" si="1167"/>
        <v>2660.6699999999</v>
      </c>
      <c r="AJ7573" s="126" t="e">
        <v>#N/A</v>
      </c>
      <c r="AK7573" s="80">
        <f t="shared" si="1173"/>
        <v>0</v>
      </c>
      <c r="AL7573" s="85"/>
      <c r="AM7573" s="85"/>
    </row>
    <row r="7574" spans="1:39" s="86" customFormat="1" ht="13.25" hidden="1" customHeight="1" x14ac:dyDescent="0.3">
      <c r="A7574" s="89" t="s">
        <v>3978</v>
      </c>
      <c r="B7574" s="86" t="s">
        <v>35</v>
      </c>
      <c r="C7574" s="86" t="s">
        <v>144</v>
      </c>
      <c r="D7574" s="86" t="s">
        <v>145</v>
      </c>
      <c r="E7574" s="86" t="s">
        <v>1419</v>
      </c>
      <c r="F7574" s="86" t="s">
        <v>1419</v>
      </c>
      <c r="G7574" s="86" t="s">
        <v>1419</v>
      </c>
      <c r="H7574" s="143">
        <v>360</v>
      </c>
      <c r="I7574" s="86" t="s">
        <v>1060</v>
      </c>
      <c r="J7574" s="47" t="s">
        <v>3325</v>
      </c>
      <c r="K7574" s="47" t="s">
        <v>3767</v>
      </c>
      <c r="L7574" s="47" t="s">
        <v>35</v>
      </c>
      <c r="M7574" s="86" t="s">
        <v>1419</v>
      </c>
      <c r="O7574" s="47" t="s">
        <v>410</v>
      </c>
      <c r="P7574" s="14" t="s">
        <v>41</v>
      </c>
      <c r="Q7574" s="14">
        <v>0</v>
      </c>
      <c r="R7574" s="143" t="s">
        <v>1420</v>
      </c>
      <c r="S7574" s="47"/>
      <c r="T7574" s="6">
        <v>450.50000000000034</v>
      </c>
      <c r="U7574" s="6"/>
      <c r="V7574" s="6">
        <v>0</v>
      </c>
      <c r="W7574" s="6">
        <f t="shared" si="1165"/>
        <v>450.50000000000034</v>
      </c>
      <c r="X7574" s="6">
        <f t="shared" si="1169"/>
        <v>0</v>
      </c>
      <c r="Y7574" s="13">
        <f t="shared" si="1171"/>
        <v>0</v>
      </c>
      <c r="Z7574" s="14">
        <v>0</v>
      </c>
      <c r="AA7574" s="6">
        <v>0</v>
      </c>
      <c r="AB7574" s="4">
        <f t="shared" si="1172"/>
        <v>0</v>
      </c>
      <c r="AC7574" s="6">
        <f t="shared" si="1170"/>
        <v>0</v>
      </c>
      <c r="AD7574" s="6">
        <f t="shared" si="1166"/>
        <v>0</v>
      </c>
      <c r="AE7574" s="14">
        <f>VLOOKUP(I7574,[2]媒体政策预估表!A:N,MATCH(O7574,[2]媒体政策预估表!$A$2:$M$2,0),0)</f>
        <v>7.0000000000000007E-2</v>
      </c>
      <c r="AF7574" s="6">
        <f t="shared" si="1168"/>
        <v>0</v>
      </c>
      <c r="AG7574" s="14">
        <v>0</v>
      </c>
      <c r="AH7574" s="64">
        <f t="shared" si="1167"/>
        <v>0</v>
      </c>
      <c r="AJ7574" s="126" t="e">
        <v>#N/A</v>
      </c>
      <c r="AK7574" s="80">
        <f t="shared" si="1173"/>
        <v>0</v>
      </c>
      <c r="AL7574" s="85"/>
      <c r="AM7574" s="85"/>
    </row>
    <row r="7575" spans="1:39" s="86" customFormat="1" ht="13.25" hidden="1" customHeight="1" x14ac:dyDescent="0.3">
      <c r="A7575" s="89" t="s">
        <v>3978</v>
      </c>
      <c r="B7575" s="86" t="s">
        <v>35</v>
      </c>
      <c r="C7575" s="86" t="s">
        <v>144</v>
      </c>
      <c r="D7575" s="86" t="s">
        <v>152</v>
      </c>
      <c r="E7575" s="86" t="s">
        <v>1463</v>
      </c>
      <c r="F7575" s="86" t="s">
        <v>1463</v>
      </c>
      <c r="G7575" s="86" t="s">
        <v>1463</v>
      </c>
      <c r="H7575" s="143">
        <v>360</v>
      </c>
      <c r="I7575" s="86" t="s">
        <v>1060</v>
      </c>
      <c r="J7575" s="47" t="s">
        <v>3325</v>
      </c>
      <c r="K7575" s="47" t="s">
        <v>3767</v>
      </c>
      <c r="L7575" s="47" t="s">
        <v>35</v>
      </c>
      <c r="M7575" s="86" t="s">
        <v>1463</v>
      </c>
      <c r="O7575" s="47" t="s">
        <v>410</v>
      </c>
      <c r="P7575" s="14" t="s">
        <v>41</v>
      </c>
      <c r="Q7575" s="14">
        <v>0</v>
      </c>
      <c r="R7575" s="143" t="s">
        <v>1464</v>
      </c>
      <c r="S7575" s="47"/>
      <c r="T7575" s="6">
        <v>50392.36</v>
      </c>
      <c r="U7575" s="6"/>
      <c r="V7575" s="6">
        <v>0</v>
      </c>
      <c r="W7575" s="6">
        <f t="shared" si="1165"/>
        <v>50392.36</v>
      </c>
      <c r="X7575" s="6">
        <f t="shared" si="1169"/>
        <v>0</v>
      </c>
      <c r="Y7575" s="13">
        <f t="shared" si="1171"/>
        <v>0</v>
      </c>
      <c r="Z7575" s="14">
        <v>0</v>
      </c>
      <c r="AA7575" s="6">
        <v>0</v>
      </c>
      <c r="AB7575" s="4">
        <f t="shared" si="1172"/>
        <v>0</v>
      </c>
      <c r="AC7575" s="6">
        <f t="shared" si="1170"/>
        <v>0</v>
      </c>
      <c r="AD7575" s="6">
        <f t="shared" si="1166"/>
        <v>0</v>
      </c>
      <c r="AE7575" s="14">
        <f>VLOOKUP(I7575,[2]媒体政策预估表!A:N,MATCH(O7575,[2]媒体政策预估表!$A$2:$M$2,0),0)</f>
        <v>7.0000000000000007E-2</v>
      </c>
      <c r="AF7575" s="6">
        <f t="shared" si="1168"/>
        <v>0</v>
      </c>
      <c r="AG7575" s="14">
        <v>0</v>
      </c>
      <c r="AH7575" s="64">
        <f t="shared" si="1167"/>
        <v>0</v>
      </c>
      <c r="AJ7575" s="126" t="e">
        <v>#N/A</v>
      </c>
      <c r="AK7575" s="80">
        <f t="shared" si="1173"/>
        <v>0</v>
      </c>
      <c r="AL7575" s="85"/>
      <c r="AM7575" s="85"/>
    </row>
    <row r="7576" spans="1:39" s="86" customFormat="1" ht="13.25" hidden="1" customHeight="1" x14ac:dyDescent="0.3">
      <c r="A7576" s="89" t="s">
        <v>3978</v>
      </c>
      <c r="B7576" s="86" t="s">
        <v>35</v>
      </c>
      <c r="C7576" s="86" t="s">
        <v>144</v>
      </c>
      <c r="D7576" s="86" t="s">
        <v>152</v>
      </c>
      <c r="E7576" s="86" t="s">
        <v>157</v>
      </c>
      <c r="F7576" s="86" t="s">
        <v>157</v>
      </c>
      <c r="G7576" s="86" t="s">
        <v>157</v>
      </c>
      <c r="H7576" s="143">
        <v>360</v>
      </c>
      <c r="I7576" s="86" t="s">
        <v>1060</v>
      </c>
      <c r="J7576" s="47" t="s">
        <v>3325</v>
      </c>
      <c r="K7576" s="47" t="s">
        <v>3767</v>
      </c>
      <c r="L7576" s="47" t="s">
        <v>35</v>
      </c>
      <c r="M7576" s="86" t="s">
        <v>157</v>
      </c>
      <c r="O7576" s="47" t="s">
        <v>45</v>
      </c>
      <c r="P7576" s="14" t="s">
        <v>41</v>
      </c>
      <c r="Q7576" s="14">
        <v>0</v>
      </c>
      <c r="R7576" s="143" t="s">
        <v>1470</v>
      </c>
      <c r="S7576" s="47"/>
      <c r="T7576" s="6">
        <v>23099.7</v>
      </c>
      <c r="U7576" s="6"/>
      <c r="V7576" s="6">
        <v>0</v>
      </c>
      <c r="W7576" s="6">
        <f t="shared" si="1165"/>
        <v>23099.7</v>
      </c>
      <c r="X7576" s="6">
        <f t="shared" si="1169"/>
        <v>0</v>
      </c>
      <c r="Y7576" s="13">
        <f t="shared" si="1171"/>
        <v>0</v>
      </c>
      <c r="Z7576" s="14">
        <v>0</v>
      </c>
      <c r="AA7576" s="6">
        <v>0</v>
      </c>
      <c r="AB7576" s="4">
        <f t="shared" si="1172"/>
        <v>0</v>
      </c>
      <c r="AC7576" s="6">
        <f t="shared" si="1170"/>
        <v>0</v>
      </c>
      <c r="AD7576" s="6">
        <f t="shared" si="1166"/>
        <v>0</v>
      </c>
      <c r="AE7576" s="14">
        <f>VLOOKUP(I7576,[2]媒体政策预估表!A:N,MATCH(O7576,[2]媒体政策预估表!$A$2:$M$2,0),0)</f>
        <v>0.1</v>
      </c>
      <c r="AF7576" s="6">
        <f t="shared" si="1168"/>
        <v>0</v>
      </c>
      <c r="AG7576" s="14">
        <v>0</v>
      </c>
      <c r="AH7576" s="64">
        <f t="shared" si="1167"/>
        <v>0</v>
      </c>
      <c r="AJ7576" s="126" t="e">
        <v>#N/A</v>
      </c>
      <c r="AK7576" s="80">
        <f t="shared" si="1173"/>
        <v>0</v>
      </c>
      <c r="AL7576" s="85"/>
      <c r="AM7576" s="85"/>
    </row>
    <row r="7577" spans="1:39" s="86" customFormat="1" ht="13.25" hidden="1" customHeight="1" x14ac:dyDescent="0.3">
      <c r="A7577" s="89" t="s">
        <v>3978</v>
      </c>
      <c r="B7577" s="86" t="s">
        <v>35</v>
      </c>
      <c r="C7577" s="86" t="s">
        <v>144</v>
      </c>
      <c r="D7577" s="86" t="s">
        <v>152</v>
      </c>
      <c r="E7577" s="86" t="s">
        <v>157</v>
      </c>
      <c r="F7577" s="86" t="s">
        <v>157</v>
      </c>
      <c r="G7577" s="86" t="s">
        <v>157</v>
      </c>
      <c r="H7577" s="143">
        <v>360</v>
      </c>
      <c r="I7577" s="86" t="s">
        <v>1060</v>
      </c>
      <c r="J7577" s="47" t="s">
        <v>3325</v>
      </c>
      <c r="K7577" s="47" t="s">
        <v>3767</v>
      </c>
      <c r="L7577" s="47" t="s">
        <v>35</v>
      </c>
      <c r="M7577" s="86" t="s">
        <v>157</v>
      </c>
      <c r="O7577" s="47" t="s">
        <v>45</v>
      </c>
      <c r="P7577" s="14" t="s">
        <v>41</v>
      </c>
      <c r="Q7577" s="14">
        <v>0</v>
      </c>
      <c r="R7577" s="143" t="s">
        <v>1471</v>
      </c>
      <c r="S7577" s="47"/>
      <c r="T7577" s="6">
        <v>100000</v>
      </c>
      <c r="U7577" s="6"/>
      <c r="V7577" s="6">
        <v>0</v>
      </c>
      <c r="W7577" s="6">
        <f t="shared" ref="W7577:W7640" si="1174">T7577+U7577-V7577</f>
        <v>100000</v>
      </c>
      <c r="X7577" s="6">
        <f t="shared" si="1169"/>
        <v>0</v>
      </c>
      <c r="Y7577" s="13">
        <f t="shared" si="1171"/>
        <v>0</v>
      </c>
      <c r="Z7577" s="14">
        <v>0</v>
      </c>
      <c r="AA7577" s="6">
        <v>0</v>
      </c>
      <c r="AB7577" s="4">
        <f t="shared" si="1172"/>
        <v>0</v>
      </c>
      <c r="AC7577" s="6">
        <f t="shared" si="1170"/>
        <v>0</v>
      </c>
      <c r="AD7577" s="6">
        <f t="shared" ref="AD7577:AD7640" si="1175">V7577</f>
        <v>0</v>
      </c>
      <c r="AE7577" s="14">
        <f>VLOOKUP(I7577,[2]媒体政策预估表!A:N,MATCH(O7577,[2]媒体政策预估表!$A$2:$M$2,0),0)</f>
        <v>0.1</v>
      </c>
      <c r="AF7577" s="6">
        <f t="shared" si="1168"/>
        <v>0</v>
      </c>
      <c r="AG7577" s="14">
        <v>0</v>
      </c>
      <c r="AH7577" s="64">
        <f t="shared" ref="AH7577:AH7640" si="1176">V7577</f>
        <v>0</v>
      </c>
      <c r="AJ7577" s="126" t="e">
        <v>#N/A</v>
      </c>
      <c r="AK7577" s="80">
        <f t="shared" si="1173"/>
        <v>0</v>
      </c>
      <c r="AL7577" s="85"/>
      <c r="AM7577" s="85"/>
    </row>
    <row r="7578" spans="1:39" s="86" customFormat="1" ht="13.25" hidden="1" customHeight="1" x14ac:dyDescent="0.3">
      <c r="A7578" s="89" t="s">
        <v>3978</v>
      </c>
      <c r="B7578" s="86" t="s">
        <v>35</v>
      </c>
      <c r="C7578" s="86" t="s">
        <v>144</v>
      </c>
      <c r="D7578" s="86" t="s">
        <v>152</v>
      </c>
      <c r="E7578" s="86" t="s">
        <v>1478</v>
      </c>
      <c r="F7578" s="86" t="s">
        <v>1478</v>
      </c>
      <c r="G7578" s="86" t="s">
        <v>1478</v>
      </c>
      <c r="H7578" s="144">
        <v>360</v>
      </c>
      <c r="I7578" s="86" t="s">
        <v>1060</v>
      </c>
      <c r="J7578" s="47" t="s">
        <v>3325</v>
      </c>
      <c r="K7578" s="47" t="s">
        <v>3767</v>
      </c>
      <c r="L7578" s="47" t="s">
        <v>35</v>
      </c>
      <c r="M7578" s="86" t="s">
        <v>1479</v>
      </c>
      <c r="O7578" s="47" t="s">
        <v>45</v>
      </c>
      <c r="P7578" s="14" t="s">
        <v>46</v>
      </c>
      <c r="Q7578" s="14">
        <v>0.02</v>
      </c>
      <c r="R7578" s="143" t="s">
        <v>1480</v>
      </c>
      <c r="S7578" s="47"/>
      <c r="T7578" s="6">
        <v>37213.663619999999</v>
      </c>
      <c r="U7578" s="6"/>
      <c r="V7578" s="6">
        <v>9560.3164699999998</v>
      </c>
      <c r="W7578" s="6">
        <f t="shared" si="1174"/>
        <v>27653.347150000001</v>
      </c>
      <c r="X7578" s="6">
        <f t="shared" si="1169"/>
        <v>9372.8592843137249</v>
      </c>
      <c r="Y7578" s="13">
        <f t="shared" si="1171"/>
        <v>0</v>
      </c>
      <c r="Z7578" s="14">
        <v>0</v>
      </c>
      <c r="AA7578" s="6">
        <v>0</v>
      </c>
      <c r="AB7578" s="4">
        <f t="shared" si="1172"/>
        <v>9372.8592843137249</v>
      </c>
      <c r="AC7578" s="6">
        <f t="shared" si="1170"/>
        <v>187.4571856862749</v>
      </c>
      <c r="AD7578" s="6">
        <f t="shared" si="1175"/>
        <v>9560.3164699999998</v>
      </c>
      <c r="AE7578" s="14">
        <f>VLOOKUP(I7578,[2]媒体政策预估表!A:N,MATCH(O7578,[2]媒体政策预估表!$A$2:$M$2,0),0)</f>
        <v>0.1</v>
      </c>
      <c r="AF7578" s="6">
        <f t="shared" si="1168"/>
        <v>956.03164700000002</v>
      </c>
      <c r="AG7578" s="14">
        <v>0</v>
      </c>
      <c r="AH7578" s="64">
        <f t="shared" si="1176"/>
        <v>9560.3164699999998</v>
      </c>
      <c r="AJ7578" s="126" t="e">
        <v>#N/A</v>
      </c>
      <c r="AK7578" s="80">
        <f t="shared" si="1173"/>
        <v>0</v>
      </c>
      <c r="AL7578" s="85"/>
      <c r="AM7578" s="85"/>
    </row>
    <row r="7579" spans="1:39" s="86" customFormat="1" ht="13.25" hidden="1" customHeight="1" x14ac:dyDescent="0.3">
      <c r="A7579" s="89" t="s">
        <v>3978</v>
      </c>
      <c r="B7579" s="86" t="s">
        <v>35</v>
      </c>
      <c r="C7579" s="86" t="s">
        <v>144</v>
      </c>
      <c r="D7579" s="86" t="s">
        <v>152</v>
      </c>
      <c r="E7579" s="86" t="s">
        <v>1496</v>
      </c>
      <c r="F7579" s="86" t="s">
        <v>1497</v>
      </c>
      <c r="G7579" s="86" t="s">
        <v>1496</v>
      </c>
      <c r="H7579" s="143">
        <v>360</v>
      </c>
      <c r="I7579" s="86" t="s">
        <v>1060</v>
      </c>
      <c r="J7579" s="47" t="s">
        <v>3325</v>
      </c>
      <c r="K7579" s="47" t="s">
        <v>3767</v>
      </c>
      <c r="L7579" s="47" t="s">
        <v>35</v>
      </c>
      <c r="M7579" s="86" t="s">
        <v>1500</v>
      </c>
      <c r="O7579" s="47" t="s">
        <v>410</v>
      </c>
      <c r="P7579" s="14" t="s">
        <v>46</v>
      </c>
      <c r="Q7579" s="14">
        <v>0.02</v>
      </c>
      <c r="R7579" s="143" t="s">
        <v>1501</v>
      </c>
      <c r="S7579" s="47"/>
      <c r="T7579" s="6">
        <v>1.1000000000003638</v>
      </c>
      <c r="U7579" s="6"/>
      <c r="V7579" s="6">
        <v>0</v>
      </c>
      <c r="W7579" s="6">
        <f t="shared" si="1174"/>
        <v>1.1000000000003638</v>
      </c>
      <c r="X7579" s="6">
        <f t="shared" si="1169"/>
        <v>0</v>
      </c>
      <c r="Y7579" s="13">
        <f t="shared" si="1171"/>
        <v>0</v>
      </c>
      <c r="Z7579" s="14">
        <v>0</v>
      </c>
      <c r="AA7579" s="6">
        <v>0</v>
      </c>
      <c r="AB7579" s="4">
        <f t="shared" si="1172"/>
        <v>0</v>
      </c>
      <c r="AC7579" s="6">
        <f t="shared" si="1170"/>
        <v>0</v>
      </c>
      <c r="AD7579" s="6">
        <f t="shared" si="1175"/>
        <v>0</v>
      </c>
      <c r="AE7579" s="14">
        <f>VLOOKUP(I7579,[2]媒体政策预估表!A:N,MATCH(O7579,[2]媒体政策预估表!$A$2:$M$2,0),0)</f>
        <v>7.0000000000000007E-2</v>
      </c>
      <c r="AF7579" s="6">
        <f t="shared" si="1168"/>
        <v>0</v>
      </c>
      <c r="AG7579" s="14">
        <v>0</v>
      </c>
      <c r="AH7579" s="64">
        <f t="shared" si="1176"/>
        <v>0</v>
      </c>
      <c r="AJ7579" s="126" t="e">
        <v>#N/A</v>
      </c>
      <c r="AK7579" s="80">
        <f t="shared" si="1173"/>
        <v>0</v>
      </c>
      <c r="AL7579" s="85"/>
      <c r="AM7579" s="85"/>
    </row>
    <row r="7580" spans="1:39" s="86" customFormat="1" ht="13.25" hidden="1" customHeight="1" x14ac:dyDescent="0.3">
      <c r="A7580" s="89" t="s">
        <v>3978</v>
      </c>
      <c r="B7580" s="86" t="s">
        <v>35</v>
      </c>
      <c r="C7580" s="86" t="s">
        <v>144</v>
      </c>
      <c r="D7580" s="86" t="s">
        <v>152</v>
      </c>
      <c r="E7580" s="86" t="s">
        <v>1496</v>
      </c>
      <c r="F7580" s="86" t="s">
        <v>1497</v>
      </c>
      <c r="G7580" s="86" t="s">
        <v>1496</v>
      </c>
      <c r="H7580" s="143">
        <v>360</v>
      </c>
      <c r="I7580" s="86" t="s">
        <v>1060</v>
      </c>
      <c r="J7580" s="47" t="s">
        <v>3325</v>
      </c>
      <c r="K7580" s="47" t="s">
        <v>3767</v>
      </c>
      <c r="L7580" s="47" t="s">
        <v>35</v>
      </c>
      <c r="M7580" s="86" t="s">
        <v>1502</v>
      </c>
      <c r="O7580" s="47" t="s">
        <v>410</v>
      </c>
      <c r="P7580" s="14" t="s">
        <v>46</v>
      </c>
      <c r="Q7580" s="14">
        <v>0.02</v>
      </c>
      <c r="R7580" s="143" t="s">
        <v>1503</v>
      </c>
      <c r="S7580" s="47"/>
      <c r="T7580" s="6">
        <v>482.10000000000036</v>
      </c>
      <c r="U7580" s="6"/>
      <c r="V7580" s="6">
        <v>0</v>
      </c>
      <c r="W7580" s="6">
        <f t="shared" si="1174"/>
        <v>482.10000000000036</v>
      </c>
      <c r="X7580" s="6">
        <f t="shared" si="1169"/>
        <v>0</v>
      </c>
      <c r="Y7580" s="13">
        <f t="shared" si="1171"/>
        <v>0</v>
      </c>
      <c r="Z7580" s="14">
        <v>0</v>
      </c>
      <c r="AA7580" s="6">
        <v>0</v>
      </c>
      <c r="AB7580" s="4">
        <f t="shared" si="1172"/>
        <v>0</v>
      </c>
      <c r="AC7580" s="6">
        <f t="shared" si="1170"/>
        <v>0</v>
      </c>
      <c r="AD7580" s="6">
        <f t="shared" si="1175"/>
        <v>0</v>
      </c>
      <c r="AE7580" s="14">
        <f>VLOOKUP(I7580,[2]媒体政策预估表!A:N,MATCH(O7580,[2]媒体政策预估表!$A$2:$M$2,0),0)</f>
        <v>7.0000000000000007E-2</v>
      </c>
      <c r="AF7580" s="6">
        <f t="shared" si="1168"/>
        <v>0</v>
      </c>
      <c r="AG7580" s="14">
        <v>0</v>
      </c>
      <c r="AH7580" s="64">
        <f t="shared" si="1176"/>
        <v>0</v>
      </c>
      <c r="AJ7580" s="126" t="e">
        <v>#N/A</v>
      </c>
      <c r="AK7580" s="80">
        <f t="shared" si="1173"/>
        <v>0</v>
      </c>
      <c r="AL7580" s="85"/>
      <c r="AM7580" s="85"/>
    </row>
    <row r="7581" spans="1:39" s="86" customFormat="1" ht="13.25" hidden="1" customHeight="1" x14ac:dyDescent="0.3">
      <c r="A7581" s="89" t="s">
        <v>3978</v>
      </c>
      <c r="B7581" s="86" t="s">
        <v>35</v>
      </c>
      <c r="C7581" s="86" t="s">
        <v>144</v>
      </c>
      <c r="D7581" s="86" t="s">
        <v>161</v>
      </c>
      <c r="E7581" s="86" t="s">
        <v>162</v>
      </c>
      <c r="F7581" s="86" t="s">
        <v>162</v>
      </c>
      <c r="G7581" s="86" t="s">
        <v>162</v>
      </c>
      <c r="H7581" s="143">
        <v>360</v>
      </c>
      <c r="I7581" s="86" t="s">
        <v>1060</v>
      </c>
      <c r="J7581" s="47" t="s">
        <v>3325</v>
      </c>
      <c r="K7581" s="47" t="s">
        <v>3767</v>
      </c>
      <c r="L7581" s="47" t="s">
        <v>35</v>
      </c>
      <c r="M7581" s="86" t="s">
        <v>162</v>
      </c>
      <c r="O7581" s="47" t="s">
        <v>410</v>
      </c>
      <c r="P7581" s="14" t="s">
        <v>46</v>
      </c>
      <c r="Q7581" s="14">
        <v>0.02</v>
      </c>
      <c r="R7581" s="143" t="s">
        <v>1508</v>
      </c>
      <c r="S7581" s="47"/>
      <c r="T7581" s="6">
        <v>100000</v>
      </c>
      <c r="U7581" s="6"/>
      <c r="V7581" s="6">
        <v>0</v>
      </c>
      <c r="W7581" s="6">
        <f t="shared" si="1174"/>
        <v>100000</v>
      </c>
      <c r="X7581" s="6">
        <f t="shared" si="1169"/>
        <v>0</v>
      </c>
      <c r="Y7581" s="13">
        <f t="shared" si="1171"/>
        <v>0</v>
      </c>
      <c r="Z7581" s="14">
        <v>0</v>
      </c>
      <c r="AA7581" s="6">
        <v>0</v>
      </c>
      <c r="AB7581" s="4">
        <f t="shared" si="1172"/>
        <v>0</v>
      </c>
      <c r="AC7581" s="6">
        <f t="shared" si="1170"/>
        <v>0</v>
      </c>
      <c r="AD7581" s="6">
        <f t="shared" si="1175"/>
        <v>0</v>
      </c>
      <c r="AE7581" s="14">
        <f>VLOOKUP(I7581,[2]媒体政策预估表!A:N,MATCH(O7581,[2]媒体政策预估表!$A$2:$M$2,0),0)</f>
        <v>7.0000000000000007E-2</v>
      </c>
      <c r="AF7581" s="6">
        <f t="shared" si="1168"/>
        <v>0</v>
      </c>
      <c r="AG7581" s="14">
        <v>0</v>
      </c>
      <c r="AH7581" s="64">
        <f t="shared" si="1176"/>
        <v>0</v>
      </c>
      <c r="AJ7581" s="126" t="e">
        <v>#N/A</v>
      </c>
      <c r="AK7581" s="80">
        <f t="shared" si="1173"/>
        <v>0</v>
      </c>
      <c r="AL7581" s="85"/>
      <c r="AM7581" s="85"/>
    </row>
    <row r="7582" spans="1:39" s="86" customFormat="1" ht="13.25" hidden="1" customHeight="1" x14ac:dyDescent="0.3">
      <c r="A7582" s="89" t="s">
        <v>3978</v>
      </c>
      <c r="B7582" s="86" t="s">
        <v>35</v>
      </c>
      <c r="C7582" s="86" t="s">
        <v>144</v>
      </c>
      <c r="D7582" s="86" t="s">
        <v>161</v>
      </c>
      <c r="E7582" s="86" t="s">
        <v>3759</v>
      </c>
      <c r="F7582" s="86" t="s">
        <v>3759</v>
      </c>
      <c r="G7582" s="86" t="s">
        <v>3759</v>
      </c>
      <c r="H7582" s="143">
        <v>360</v>
      </c>
      <c r="I7582" s="86" t="s">
        <v>1060</v>
      </c>
      <c r="J7582" s="47" t="s">
        <v>3325</v>
      </c>
      <c r="K7582" s="47" t="s">
        <v>3767</v>
      </c>
      <c r="L7582" s="47" t="s">
        <v>35</v>
      </c>
      <c r="M7582" s="86" t="s">
        <v>605</v>
      </c>
      <c r="O7582" s="47" t="s">
        <v>410</v>
      </c>
      <c r="P7582" s="14" t="s">
        <v>46</v>
      </c>
      <c r="Q7582" s="14">
        <v>0.02</v>
      </c>
      <c r="R7582" s="143" t="s">
        <v>1521</v>
      </c>
      <c r="S7582" s="47"/>
      <c r="T7582" s="6">
        <v>6953.7</v>
      </c>
      <c r="U7582" s="6"/>
      <c r="V7582" s="6">
        <v>0</v>
      </c>
      <c r="W7582" s="6">
        <f t="shared" si="1174"/>
        <v>6953.7</v>
      </c>
      <c r="X7582" s="6">
        <f t="shared" si="1169"/>
        <v>0</v>
      </c>
      <c r="Y7582" s="13">
        <f t="shared" si="1171"/>
        <v>0</v>
      </c>
      <c r="Z7582" s="14">
        <v>0</v>
      </c>
      <c r="AA7582" s="6">
        <v>0</v>
      </c>
      <c r="AB7582" s="4">
        <f t="shared" si="1172"/>
        <v>0</v>
      </c>
      <c r="AC7582" s="6">
        <f t="shared" si="1170"/>
        <v>0</v>
      </c>
      <c r="AD7582" s="6">
        <f t="shared" si="1175"/>
        <v>0</v>
      </c>
      <c r="AE7582" s="14">
        <f>VLOOKUP(I7582,[2]媒体政策预估表!A:N,MATCH(O7582,[2]媒体政策预估表!$A$2:$M$2,0),0)</f>
        <v>7.0000000000000007E-2</v>
      </c>
      <c r="AF7582" s="6">
        <f t="shared" si="1168"/>
        <v>0</v>
      </c>
      <c r="AG7582" s="14">
        <v>0</v>
      </c>
      <c r="AH7582" s="64">
        <f t="shared" si="1176"/>
        <v>0</v>
      </c>
      <c r="AJ7582" s="126" t="e">
        <v>#N/A</v>
      </c>
      <c r="AK7582" s="80">
        <f t="shared" si="1173"/>
        <v>0</v>
      </c>
      <c r="AL7582" s="85"/>
      <c r="AM7582" s="85"/>
    </row>
    <row r="7583" spans="1:39" s="86" customFormat="1" ht="13.25" hidden="1" customHeight="1" x14ac:dyDescent="0.3">
      <c r="A7583" s="89" t="s">
        <v>3978</v>
      </c>
      <c r="B7583" s="86" t="s">
        <v>35</v>
      </c>
      <c r="C7583" s="86" t="s">
        <v>144</v>
      </c>
      <c r="D7583" s="86" t="s">
        <v>161</v>
      </c>
      <c r="E7583" s="86" t="s">
        <v>1522</v>
      </c>
      <c r="F7583" s="86" t="s">
        <v>1522</v>
      </c>
      <c r="G7583" s="86" t="s">
        <v>1522</v>
      </c>
      <c r="H7583" s="143">
        <v>360</v>
      </c>
      <c r="I7583" s="86" t="s">
        <v>1060</v>
      </c>
      <c r="J7583" s="47" t="s">
        <v>3325</v>
      </c>
      <c r="K7583" s="47" t="s">
        <v>3767</v>
      </c>
      <c r="L7583" s="47" t="s">
        <v>35</v>
      </c>
      <c r="M7583" s="86" t="s">
        <v>1522</v>
      </c>
      <c r="O7583" s="47" t="s">
        <v>45</v>
      </c>
      <c r="P7583" s="14" t="s">
        <v>41</v>
      </c>
      <c r="Q7583" s="14">
        <v>0</v>
      </c>
      <c r="R7583" s="143" t="s">
        <v>1527</v>
      </c>
      <c r="S7583" s="47"/>
      <c r="T7583" s="6">
        <v>2338.2554</v>
      </c>
      <c r="U7583" s="6"/>
      <c r="V7583" s="6">
        <v>0</v>
      </c>
      <c r="W7583" s="6">
        <f t="shared" si="1174"/>
        <v>2338.2554</v>
      </c>
      <c r="X7583" s="6">
        <f t="shared" si="1169"/>
        <v>0</v>
      </c>
      <c r="Y7583" s="13">
        <f t="shared" si="1171"/>
        <v>0</v>
      </c>
      <c r="Z7583" s="14">
        <v>0</v>
      </c>
      <c r="AA7583" s="6">
        <v>0</v>
      </c>
      <c r="AB7583" s="4">
        <f t="shared" si="1172"/>
        <v>0</v>
      </c>
      <c r="AC7583" s="6">
        <f t="shared" si="1170"/>
        <v>0</v>
      </c>
      <c r="AD7583" s="6">
        <f t="shared" si="1175"/>
        <v>0</v>
      </c>
      <c r="AE7583" s="14">
        <f>VLOOKUP(I7583,[2]媒体政策预估表!A:N,MATCH(O7583,[2]媒体政策预估表!$A$2:$M$2,0),0)</f>
        <v>0.1</v>
      </c>
      <c r="AF7583" s="6">
        <f t="shared" si="1168"/>
        <v>0</v>
      </c>
      <c r="AG7583" s="14">
        <v>0</v>
      </c>
      <c r="AH7583" s="64">
        <f t="shared" si="1176"/>
        <v>0</v>
      </c>
      <c r="AJ7583" s="126" t="e">
        <v>#N/A</v>
      </c>
      <c r="AK7583" s="80">
        <f t="shared" si="1173"/>
        <v>0</v>
      </c>
      <c r="AL7583" s="85"/>
      <c r="AM7583" s="85"/>
    </row>
    <row r="7584" spans="1:39" s="86" customFormat="1" ht="13.25" hidden="1" customHeight="1" x14ac:dyDescent="0.3">
      <c r="A7584" s="89" t="s">
        <v>3792</v>
      </c>
      <c r="B7584" s="86" t="s">
        <v>35</v>
      </c>
      <c r="C7584" s="86" t="s">
        <v>144</v>
      </c>
      <c r="D7584" s="86" t="s">
        <v>161</v>
      </c>
      <c r="E7584" s="86" t="s">
        <v>1532</v>
      </c>
      <c r="F7584" s="86" t="s">
        <v>1532</v>
      </c>
      <c r="G7584" s="86" t="s">
        <v>1532</v>
      </c>
      <c r="H7584" s="143">
        <v>360</v>
      </c>
      <c r="I7584" s="86" t="s">
        <v>1060</v>
      </c>
      <c r="J7584" s="47" t="s">
        <v>3325</v>
      </c>
      <c r="K7584" s="47" t="s">
        <v>3767</v>
      </c>
      <c r="L7584" s="47" t="s">
        <v>35</v>
      </c>
      <c r="M7584" s="86" t="s">
        <v>1532</v>
      </c>
      <c r="O7584" s="47" t="s">
        <v>410</v>
      </c>
      <c r="P7584" s="14" t="s">
        <v>41</v>
      </c>
      <c r="Q7584" s="14">
        <v>0</v>
      </c>
      <c r="R7584" s="143" t="s">
        <v>1533</v>
      </c>
      <c r="S7584" s="47"/>
      <c r="T7584" s="6">
        <v>24827.5</v>
      </c>
      <c r="U7584" s="6"/>
      <c r="V7584" s="6">
        <v>0</v>
      </c>
      <c r="W7584" s="6">
        <f t="shared" si="1174"/>
        <v>24827.5</v>
      </c>
      <c r="X7584" s="6">
        <f t="shared" si="1169"/>
        <v>0</v>
      </c>
      <c r="Y7584" s="13">
        <f t="shared" si="1171"/>
        <v>0</v>
      </c>
      <c r="Z7584" s="14">
        <v>0</v>
      </c>
      <c r="AA7584" s="6">
        <v>0</v>
      </c>
      <c r="AB7584" s="4">
        <f t="shared" si="1172"/>
        <v>0</v>
      </c>
      <c r="AC7584" s="6">
        <f t="shared" si="1170"/>
        <v>0</v>
      </c>
      <c r="AD7584" s="6">
        <f t="shared" si="1175"/>
        <v>0</v>
      </c>
      <c r="AE7584" s="14">
        <f>VLOOKUP(I7584,[2]媒体政策预估表!A:N,MATCH(O7584,[2]媒体政策预估表!$A$2:$M$2,0),0)</f>
        <v>7.0000000000000007E-2</v>
      </c>
      <c r="AF7584" s="6">
        <f t="shared" si="1168"/>
        <v>0</v>
      </c>
      <c r="AG7584" s="14">
        <v>0</v>
      </c>
      <c r="AH7584" s="64">
        <f t="shared" si="1176"/>
        <v>0</v>
      </c>
      <c r="AJ7584" s="126" t="e">
        <v>#N/A</v>
      </c>
      <c r="AK7584" s="80">
        <f t="shared" si="1173"/>
        <v>0</v>
      </c>
      <c r="AL7584" s="85"/>
      <c r="AM7584" s="85"/>
    </row>
    <row r="7585" spans="1:39" s="86" customFormat="1" ht="13.25" hidden="1" customHeight="1" x14ac:dyDescent="0.3">
      <c r="A7585" s="89" t="s">
        <v>3978</v>
      </c>
      <c r="B7585" s="86" t="s">
        <v>35</v>
      </c>
      <c r="C7585" s="86" t="s">
        <v>164</v>
      </c>
      <c r="D7585" s="86" t="s">
        <v>165</v>
      </c>
      <c r="E7585" s="86" t="s">
        <v>619</v>
      </c>
      <c r="F7585" s="86" t="s">
        <v>620</v>
      </c>
      <c r="G7585" s="86" t="s">
        <v>619</v>
      </c>
      <c r="H7585" s="143">
        <v>360</v>
      </c>
      <c r="I7585" s="86" t="s">
        <v>1060</v>
      </c>
      <c r="J7585" s="47" t="s">
        <v>3325</v>
      </c>
      <c r="K7585" s="47" t="s">
        <v>3767</v>
      </c>
      <c r="L7585" s="47" t="s">
        <v>35</v>
      </c>
      <c r="M7585" s="86" t="s">
        <v>619</v>
      </c>
      <c r="O7585" s="47" t="s">
        <v>410</v>
      </c>
      <c r="P7585" s="14" t="s">
        <v>46</v>
      </c>
      <c r="Q7585" s="14">
        <v>0.02</v>
      </c>
      <c r="R7585" s="143" t="s">
        <v>1534</v>
      </c>
      <c r="S7585" s="47"/>
      <c r="T7585" s="6">
        <v>-14999.999960000094</v>
      </c>
      <c r="U7585" s="6"/>
      <c r="V7585" s="6">
        <v>0</v>
      </c>
      <c r="W7585" s="6">
        <f t="shared" si="1174"/>
        <v>-14999.999960000094</v>
      </c>
      <c r="X7585" s="6">
        <f t="shared" si="1169"/>
        <v>0</v>
      </c>
      <c r="Y7585" s="13">
        <f t="shared" si="1171"/>
        <v>0</v>
      </c>
      <c r="Z7585" s="14">
        <v>0</v>
      </c>
      <c r="AA7585" s="6">
        <v>0</v>
      </c>
      <c r="AB7585" s="4">
        <f t="shared" si="1172"/>
        <v>0</v>
      </c>
      <c r="AC7585" s="6">
        <f t="shared" si="1170"/>
        <v>0</v>
      </c>
      <c r="AD7585" s="6">
        <f t="shared" si="1175"/>
        <v>0</v>
      </c>
      <c r="AE7585" s="14">
        <f>VLOOKUP(I7585,[2]媒体政策预估表!A:N,MATCH(O7585,[2]媒体政策预估表!$A$2:$M$2,0),0)</f>
        <v>7.0000000000000007E-2</v>
      </c>
      <c r="AF7585" s="6">
        <f t="shared" si="1168"/>
        <v>0</v>
      </c>
      <c r="AG7585" s="14">
        <v>0</v>
      </c>
      <c r="AH7585" s="64">
        <f t="shared" si="1176"/>
        <v>0</v>
      </c>
      <c r="AJ7585" s="126" t="e">
        <v>#N/A</v>
      </c>
      <c r="AK7585" s="80">
        <f t="shared" si="1173"/>
        <v>0</v>
      </c>
      <c r="AL7585" s="85"/>
      <c r="AM7585" s="85"/>
    </row>
    <row r="7586" spans="1:39" s="86" customFormat="1" ht="13.25" hidden="1" customHeight="1" x14ac:dyDescent="0.3">
      <c r="A7586" s="89" t="s">
        <v>3792</v>
      </c>
      <c r="B7586" s="86" t="s">
        <v>35</v>
      </c>
      <c r="C7586" s="86" t="s">
        <v>164</v>
      </c>
      <c r="D7586" s="86" t="s">
        <v>305</v>
      </c>
      <c r="E7586" s="86" t="s">
        <v>1568</v>
      </c>
      <c r="F7586" s="86" t="s">
        <v>1568</v>
      </c>
      <c r="G7586" s="86" t="s">
        <v>1568</v>
      </c>
      <c r="H7586" s="143">
        <v>360</v>
      </c>
      <c r="I7586" s="86" t="s">
        <v>1060</v>
      </c>
      <c r="J7586" s="47" t="s">
        <v>3325</v>
      </c>
      <c r="K7586" s="47" t="s">
        <v>3767</v>
      </c>
      <c r="L7586" s="47" t="s">
        <v>35</v>
      </c>
      <c r="M7586" s="86" t="s">
        <v>1568</v>
      </c>
      <c r="O7586" s="47" t="s">
        <v>410</v>
      </c>
      <c r="P7586" s="14" t="s">
        <v>41</v>
      </c>
      <c r="Q7586" s="14">
        <v>0</v>
      </c>
      <c r="R7586" s="143" t="s">
        <v>1569</v>
      </c>
      <c r="S7586" s="47"/>
      <c r="T7586" s="6">
        <v>7604.6500000000087</v>
      </c>
      <c r="U7586" s="6"/>
      <c r="V7586" s="6">
        <v>0</v>
      </c>
      <c r="W7586" s="6">
        <f t="shared" si="1174"/>
        <v>7604.6500000000087</v>
      </c>
      <c r="X7586" s="6">
        <f t="shared" si="1169"/>
        <v>0</v>
      </c>
      <c r="Y7586" s="13">
        <f t="shared" si="1171"/>
        <v>0</v>
      </c>
      <c r="Z7586" s="14">
        <v>0</v>
      </c>
      <c r="AA7586" s="6">
        <v>0</v>
      </c>
      <c r="AB7586" s="4">
        <f t="shared" si="1172"/>
        <v>0</v>
      </c>
      <c r="AC7586" s="6">
        <f t="shared" si="1170"/>
        <v>0</v>
      </c>
      <c r="AD7586" s="6">
        <f t="shared" si="1175"/>
        <v>0</v>
      </c>
      <c r="AE7586" s="14">
        <f>VLOOKUP(I7586,[2]媒体政策预估表!A:N,MATCH(O7586,[2]媒体政策预估表!$A$2:$M$2,0),0)</f>
        <v>7.0000000000000007E-2</v>
      </c>
      <c r="AF7586" s="6">
        <f t="shared" si="1168"/>
        <v>0</v>
      </c>
      <c r="AG7586" s="14">
        <v>0</v>
      </c>
      <c r="AH7586" s="64">
        <f t="shared" si="1176"/>
        <v>0</v>
      </c>
      <c r="AJ7586" s="126" t="e">
        <v>#N/A</v>
      </c>
      <c r="AK7586" s="80">
        <f t="shared" si="1173"/>
        <v>0</v>
      </c>
      <c r="AL7586" s="85"/>
      <c r="AM7586" s="85"/>
    </row>
    <row r="7587" spans="1:39" s="86" customFormat="1" ht="13.25" hidden="1" customHeight="1" x14ac:dyDescent="0.3">
      <c r="A7587" s="89" t="s">
        <v>3978</v>
      </c>
      <c r="B7587" s="86" t="s">
        <v>35</v>
      </c>
      <c r="C7587" s="86" t="s">
        <v>164</v>
      </c>
      <c r="D7587" s="86" t="s">
        <v>169</v>
      </c>
      <c r="E7587" s="86" t="s">
        <v>1575</v>
      </c>
      <c r="F7587" s="86" t="s">
        <v>1575</v>
      </c>
      <c r="G7587" s="86" t="s">
        <v>1575</v>
      </c>
      <c r="H7587" s="144">
        <v>360</v>
      </c>
      <c r="I7587" s="86" t="s">
        <v>1060</v>
      </c>
      <c r="J7587" s="47" t="s">
        <v>3325</v>
      </c>
      <c r="K7587" s="47" t="s">
        <v>3767</v>
      </c>
      <c r="L7587" s="47" t="s">
        <v>35</v>
      </c>
      <c r="M7587" s="86" t="s">
        <v>1575</v>
      </c>
      <c r="O7587" s="47" t="s">
        <v>45</v>
      </c>
      <c r="P7587" s="14" t="s">
        <v>41</v>
      </c>
      <c r="Q7587" s="14">
        <v>0</v>
      </c>
      <c r="R7587" s="143" t="s">
        <v>1576</v>
      </c>
      <c r="S7587" s="47"/>
      <c r="T7587" s="6">
        <v>109713.1969</v>
      </c>
      <c r="U7587" s="6"/>
      <c r="V7587" s="6">
        <v>19271.71329</v>
      </c>
      <c r="W7587" s="6">
        <f t="shared" si="1174"/>
        <v>90441.483609999996</v>
      </c>
      <c r="X7587" s="6">
        <f t="shared" si="1169"/>
        <v>19271.71329</v>
      </c>
      <c r="Y7587" s="13">
        <f t="shared" si="1171"/>
        <v>0</v>
      </c>
      <c r="Z7587" s="14">
        <v>0</v>
      </c>
      <c r="AA7587" s="6">
        <v>0</v>
      </c>
      <c r="AB7587" s="4">
        <f t="shared" si="1172"/>
        <v>19271.71329</v>
      </c>
      <c r="AC7587" s="6">
        <f t="shared" si="1170"/>
        <v>0</v>
      </c>
      <c r="AD7587" s="6">
        <f t="shared" si="1175"/>
        <v>19271.71329</v>
      </c>
      <c r="AE7587" s="14">
        <f>VLOOKUP(I7587,[2]媒体政策预估表!A:N,MATCH(O7587,[2]媒体政策预估表!$A$2:$M$2,0),0)</f>
        <v>0.1</v>
      </c>
      <c r="AF7587" s="6">
        <f t="shared" si="1168"/>
        <v>1927.171329</v>
      </c>
      <c r="AG7587" s="14">
        <v>0</v>
      </c>
      <c r="AH7587" s="64">
        <f t="shared" si="1176"/>
        <v>19271.71329</v>
      </c>
      <c r="AJ7587" s="126" t="e">
        <v>#N/A</v>
      </c>
      <c r="AK7587" s="80">
        <f t="shared" si="1173"/>
        <v>0</v>
      </c>
      <c r="AL7587" s="85"/>
      <c r="AM7587" s="85"/>
    </row>
    <row r="7588" spans="1:39" s="86" customFormat="1" ht="13.25" hidden="1" customHeight="1" x14ac:dyDescent="0.3">
      <c r="A7588" s="89" t="s">
        <v>3792</v>
      </c>
      <c r="B7588" s="86" t="s">
        <v>35</v>
      </c>
      <c r="C7588" s="86" t="s">
        <v>164</v>
      </c>
      <c r="D7588" s="86" t="s">
        <v>174</v>
      </c>
      <c r="E7588" s="86" t="s">
        <v>1597</v>
      </c>
      <c r="F7588" s="86" t="s">
        <v>1597</v>
      </c>
      <c r="G7588" s="86" t="s">
        <v>1597</v>
      </c>
      <c r="H7588" s="143">
        <v>360</v>
      </c>
      <c r="I7588" s="86" t="s">
        <v>1060</v>
      </c>
      <c r="J7588" s="47" t="s">
        <v>3325</v>
      </c>
      <c r="K7588" s="47" t="s">
        <v>3767</v>
      </c>
      <c r="L7588" s="47" t="s">
        <v>35</v>
      </c>
      <c r="M7588" s="86" t="s">
        <v>1597</v>
      </c>
      <c r="O7588" s="47" t="s">
        <v>45</v>
      </c>
      <c r="P7588" s="14" t="s">
        <v>46</v>
      </c>
      <c r="Q7588" s="14">
        <v>0.02</v>
      </c>
      <c r="R7588" s="143" t="s">
        <v>1598</v>
      </c>
      <c r="S7588" s="47"/>
      <c r="T7588" s="6">
        <v>18510.2</v>
      </c>
      <c r="U7588" s="6"/>
      <c r="V7588" s="6">
        <v>0</v>
      </c>
      <c r="W7588" s="6">
        <f t="shared" si="1174"/>
        <v>18510.2</v>
      </c>
      <c r="X7588" s="6">
        <f t="shared" si="1169"/>
        <v>0</v>
      </c>
      <c r="Y7588" s="13">
        <f t="shared" si="1171"/>
        <v>0</v>
      </c>
      <c r="Z7588" s="14">
        <v>0</v>
      </c>
      <c r="AA7588" s="6">
        <v>0</v>
      </c>
      <c r="AB7588" s="4">
        <f t="shared" si="1172"/>
        <v>0</v>
      </c>
      <c r="AC7588" s="6">
        <f t="shared" si="1170"/>
        <v>0</v>
      </c>
      <c r="AD7588" s="6">
        <f t="shared" si="1175"/>
        <v>0</v>
      </c>
      <c r="AE7588" s="14">
        <f>VLOOKUP(I7588,[2]媒体政策预估表!A:N,MATCH(O7588,[2]媒体政策预估表!$A$2:$M$2,0),0)</f>
        <v>0.1</v>
      </c>
      <c r="AF7588" s="6">
        <f t="shared" ref="AF7588:AF7651" si="1177">AD7588*AE7588</f>
        <v>0</v>
      </c>
      <c r="AG7588" s="14">
        <v>0</v>
      </c>
      <c r="AH7588" s="64">
        <f t="shared" si="1176"/>
        <v>0</v>
      </c>
      <c r="AJ7588" s="126" t="e">
        <v>#N/A</v>
      </c>
      <c r="AK7588" s="80">
        <f t="shared" si="1173"/>
        <v>0</v>
      </c>
      <c r="AL7588" s="85"/>
      <c r="AM7588" s="85"/>
    </row>
    <row r="7589" spans="1:39" s="86" customFormat="1" ht="13.25" hidden="1" customHeight="1" x14ac:dyDescent="0.3">
      <c r="A7589" s="89" t="s">
        <v>3978</v>
      </c>
      <c r="B7589" s="86" t="s">
        <v>35</v>
      </c>
      <c r="C7589" s="86" t="s">
        <v>164</v>
      </c>
      <c r="D7589" s="86" t="s">
        <v>174</v>
      </c>
      <c r="E7589" s="86" t="s">
        <v>1624</v>
      </c>
      <c r="F7589" s="86" t="s">
        <v>1624</v>
      </c>
      <c r="G7589" s="86" t="s">
        <v>1624</v>
      </c>
      <c r="H7589" s="143">
        <v>360</v>
      </c>
      <c r="I7589" s="86" t="s">
        <v>1060</v>
      </c>
      <c r="J7589" s="47" t="s">
        <v>3325</v>
      </c>
      <c r="K7589" s="47" t="s">
        <v>3767</v>
      </c>
      <c r="L7589" s="47" t="s">
        <v>35</v>
      </c>
      <c r="M7589" s="86" t="s">
        <v>1624</v>
      </c>
      <c r="O7589" s="47" t="s">
        <v>410</v>
      </c>
      <c r="P7589" s="14" t="s">
        <v>41</v>
      </c>
      <c r="Q7589" s="14">
        <v>0</v>
      </c>
      <c r="R7589" s="143" t="s">
        <v>1628</v>
      </c>
      <c r="S7589" s="47"/>
      <c r="T7589" s="6">
        <v>40017.4</v>
      </c>
      <c r="U7589" s="6"/>
      <c r="V7589" s="6">
        <v>0</v>
      </c>
      <c r="W7589" s="6">
        <f t="shared" si="1174"/>
        <v>40017.4</v>
      </c>
      <c r="X7589" s="6">
        <f t="shared" si="1169"/>
        <v>0</v>
      </c>
      <c r="Y7589" s="13">
        <f t="shared" si="1171"/>
        <v>0</v>
      </c>
      <c r="Z7589" s="14">
        <v>0</v>
      </c>
      <c r="AA7589" s="6">
        <v>0</v>
      </c>
      <c r="AB7589" s="4">
        <f t="shared" si="1172"/>
        <v>0</v>
      </c>
      <c r="AC7589" s="6">
        <f t="shared" si="1170"/>
        <v>0</v>
      </c>
      <c r="AD7589" s="6">
        <f t="shared" si="1175"/>
        <v>0</v>
      </c>
      <c r="AE7589" s="14">
        <f>VLOOKUP(I7589,[2]媒体政策预估表!A:N,MATCH(O7589,[2]媒体政策预估表!$A$2:$M$2,0),0)</f>
        <v>7.0000000000000007E-2</v>
      </c>
      <c r="AF7589" s="6">
        <f t="shared" si="1177"/>
        <v>0</v>
      </c>
      <c r="AG7589" s="14">
        <v>0</v>
      </c>
      <c r="AH7589" s="64">
        <f t="shared" si="1176"/>
        <v>0</v>
      </c>
      <c r="AJ7589" s="126" t="e">
        <v>#N/A</v>
      </c>
      <c r="AK7589" s="80">
        <f t="shared" si="1173"/>
        <v>0</v>
      </c>
      <c r="AL7589" s="85"/>
      <c r="AM7589" s="85"/>
    </row>
    <row r="7590" spans="1:39" s="86" customFormat="1" ht="13.25" hidden="1" customHeight="1" x14ac:dyDescent="0.3">
      <c r="A7590" s="89" t="s">
        <v>3978</v>
      </c>
      <c r="B7590" s="86" t="s">
        <v>35</v>
      </c>
      <c r="C7590" s="86" t="s">
        <v>164</v>
      </c>
      <c r="D7590" s="86" t="s">
        <v>174</v>
      </c>
      <c r="E7590" s="86" t="s">
        <v>651</v>
      </c>
      <c r="F7590" s="86" t="s">
        <v>651</v>
      </c>
      <c r="G7590" s="86" t="s">
        <v>651</v>
      </c>
      <c r="H7590" s="143">
        <v>360</v>
      </c>
      <c r="I7590" s="86" t="s">
        <v>1060</v>
      </c>
      <c r="J7590" s="47" t="s">
        <v>3325</v>
      </c>
      <c r="K7590" s="47" t="s">
        <v>3767</v>
      </c>
      <c r="L7590" s="47" t="s">
        <v>35</v>
      </c>
      <c r="M7590" s="86" t="s">
        <v>1629</v>
      </c>
      <c r="O7590" s="47" t="s">
        <v>45</v>
      </c>
      <c r="P7590" s="14" t="s">
        <v>46</v>
      </c>
      <c r="Q7590" s="14">
        <v>0.06</v>
      </c>
      <c r="R7590" s="143" t="s">
        <v>1630</v>
      </c>
      <c r="S7590" s="47"/>
      <c r="T7590" s="6">
        <v>579382.51341000001</v>
      </c>
      <c r="U7590" s="6"/>
      <c r="V7590" s="6">
        <v>0</v>
      </c>
      <c r="W7590" s="6">
        <f t="shared" si="1174"/>
        <v>579382.51341000001</v>
      </c>
      <c r="X7590" s="6">
        <f t="shared" si="1169"/>
        <v>0</v>
      </c>
      <c r="Y7590" s="13">
        <f t="shared" si="1171"/>
        <v>0</v>
      </c>
      <c r="Z7590" s="14">
        <v>0</v>
      </c>
      <c r="AA7590" s="6">
        <v>0</v>
      </c>
      <c r="AB7590" s="4">
        <f t="shared" si="1172"/>
        <v>0</v>
      </c>
      <c r="AC7590" s="6">
        <f t="shared" si="1170"/>
        <v>0</v>
      </c>
      <c r="AD7590" s="6">
        <f t="shared" si="1175"/>
        <v>0</v>
      </c>
      <c r="AE7590" s="14">
        <f>VLOOKUP(I7590,[2]媒体政策预估表!A:N,MATCH(O7590,[2]媒体政策预估表!$A$2:$M$2,0),0)</f>
        <v>0.1</v>
      </c>
      <c r="AF7590" s="6">
        <f t="shared" si="1177"/>
        <v>0</v>
      </c>
      <c r="AG7590" s="14">
        <v>0</v>
      </c>
      <c r="AH7590" s="64">
        <f t="shared" si="1176"/>
        <v>0</v>
      </c>
      <c r="AJ7590" s="126" t="e">
        <v>#N/A</v>
      </c>
      <c r="AK7590" s="80">
        <f t="shared" si="1173"/>
        <v>0</v>
      </c>
      <c r="AL7590" s="85"/>
      <c r="AM7590" s="85"/>
    </row>
    <row r="7591" spans="1:39" s="86" customFormat="1" ht="13.25" hidden="1" customHeight="1" x14ac:dyDescent="0.3">
      <c r="A7591" s="89" t="s">
        <v>3978</v>
      </c>
      <c r="B7591" s="86" t="s">
        <v>35</v>
      </c>
      <c r="C7591" s="86" t="s">
        <v>164</v>
      </c>
      <c r="D7591" s="86" t="s">
        <v>174</v>
      </c>
      <c r="E7591" s="86" t="s">
        <v>1631</v>
      </c>
      <c r="F7591" s="86" t="s">
        <v>1632</v>
      </c>
      <c r="G7591" s="86" t="s">
        <v>1631</v>
      </c>
      <c r="H7591" s="144">
        <v>360</v>
      </c>
      <c r="I7591" s="86" t="s">
        <v>1060</v>
      </c>
      <c r="J7591" s="47" t="s">
        <v>3325</v>
      </c>
      <c r="K7591" s="47" t="s">
        <v>3767</v>
      </c>
      <c r="L7591" s="47" t="s">
        <v>35</v>
      </c>
      <c r="M7591" s="86" t="s">
        <v>1631</v>
      </c>
      <c r="O7591" s="47" t="s">
        <v>410</v>
      </c>
      <c r="P7591" s="14" t="s">
        <v>41</v>
      </c>
      <c r="Q7591" s="14">
        <v>0</v>
      </c>
      <c r="R7591" s="143" t="s">
        <v>1633</v>
      </c>
      <c r="S7591" s="47"/>
      <c r="T7591" s="6">
        <v>57616.800000000003</v>
      </c>
      <c r="U7591" s="6"/>
      <c r="V7591" s="6">
        <v>57616.7</v>
      </c>
      <c r="W7591" s="6">
        <f t="shared" si="1174"/>
        <v>0.10000000000582077</v>
      </c>
      <c r="X7591" s="6">
        <f t="shared" si="1169"/>
        <v>57616.7</v>
      </c>
      <c r="Y7591" s="13">
        <f t="shared" si="1171"/>
        <v>0</v>
      </c>
      <c r="Z7591" s="14">
        <v>0</v>
      </c>
      <c r="AA7591" s="6">
        <v>0</v>
      </c>
      <c r="AB7591" s="4">
        <f t="shared" si="1172"/>
        <v>57616.7</v>
      </c>
      <c r="AC7591" s="6">
        <f t="shared" si="1170"/>
        <v>0</v>
      </c>
      <c r="AD7591" s="6">
        <f t="shared" si="1175"/>
        <v>57616.7</v>
      </c>
      <c r="AE7591" s="14">
        <f>VLOOKUP(I7591,[2]媒体政策预估表!A:N,MATCH(O7591,[2]媒体政策预估表!$A$2:$M$2,0),0)</f>
        <v>7.0000000000000007E-2</v>
      </c>
      <c r="AF7591" s="6">
        <f t="shared" si="1177"/>
        <v>4033.1690000000003</v>
      </c>
      <c r="AG7591" s="14">
        <v>0</v>
      </c>
      <c r="AH7591" s="64">
        <f t="shared" si="1176"/>
        <v>57616.7</v>
      </c>
      <c r="AJ7591" s="126" t="e">
        <v>#N/A</v>
      </c>
      <c r="AK7591" s="80">
        <f t="shared" si="1173"/>
        <v>0</v>
      </c>
      <c r="AL7591" s="85"/>
      <c r="AM7591" s="85"/>
    </row>
    <row r="7592" spans="1:39" s="86" customFormat="1" ht="13.25" hidden="1" customHeight="1" x14ac:dyDescent="0.3">
      <c r="A7592" s="89" t="s">
        <v>3978</v>
      </c>
      <c r="B7592" s="86" t="s">
        <v>35</v>
      </c>
      <c r="C7592" s="86" t="s">
        <v>164</v>
      </c>
      <c r="D7592" s="86" t="s">
        <v>174</v>
      </c>
      <c r="E7592" s="86" t="s">
        <v>1634</v>
      </c>
      <c r="F7592" s="86" t="s">
        <v>1635</v>
      </c>
      <c r="G7592" s="86" t="s">
        <v>1634</v>
      </c>
      <c r="H7592" s="143">
        <v>360</v>
      </c>
      <c r="I7592" s="86" t="s">
        <v>1060</v>
      </c>
      <c r="J7592" s="47" t="s">
        <v>3325</v>
      </c>
      <c r="K7592" s="47" t="s">
        <v>3767</v>
      </c>
      <c r="L7592" s="47" t="s">
        <v>35</v>
      </c>
      <c r="M7592" s="86" t="s">
        <v>1634</v>
      </c>
      <c r="O7592" s="47" t="s">
        <v>410</v>
      </c>
      <c r="P7592" s="14" t="s">
        <v>41</v>
      </c>
      <c r="Q7592" s="14">
        <v>0</v>
      </c>
      <c r="R7592" s="143" t="s">
        <v>1636</v>
      </c>
      <c r="S7592" s="47"/>
      <c r="T7592" s="6">
        <v>-4.3100000000849832</v>
      </c>
      <c r="U7592" s="6"/>
      <c r="V7592" s="6">
        <v>0</v>
      </c>
      <c r="W7592" s="6">
        <f t="shared" si="1174"/>
        <v>-4.3100000000849832</v>
      </c>
      <c r="X7592" s="6">
        <f t="shared" si="1169"/>
        <v>0</v>
      </c>
      <c r="Y7592" s="13">
        <f t="shared" si="1171"/>
        <v>0</v>
      </c>
      <c r="Z7592" s="14">
        <v>0</v>
      </c>
      <c r="AA7592" s="6">
        <v>0</v>
      </c>
      <c r="AB7592" s="4">
        <f t="shared" si="1172"/>
        <v>0</v>
      </c>
      <c r="AC7592" s="6">
        <f t="shared" si="1170"/>
        <v>0</v>
      </c>
      <c r="AD7592" s="6">
        <f t="shared" si="1175"/>
        <v>0</v>
      </c>
      <c r="AE7592" s="14">
        <f>VLOOKUP(I7592,[2]媒体政策预估表!A:N,MATCH(O7592,[2]媒体政策预估表!$A$2:$M$2,0),0)</f>
        <v>7.0000000000000007E-2</v>
      </c>
      <c r="AF7592" s="6">
        <f t="shared" si="1177"/>
        <v>0</v>
      </c>
      <c r="AG7592" s="14">
        <v>0</v>
      </c>
      <c r="AH7592" s="64">
        <f t="shared" si="1176"/>
        <v>0</v>
      </c>
      <c r="AJ7592" s="126" t="e">
        <v>#N/A</v>
      </c>
      <c r="AK7592" s="80">
        <f t="shared" si="1173"/>
        <v>0</v>
      </c>
      <c r="AL7592" s="85"/>
      <c r="AM7592" s="85"/>
    </row>
    <row r="7593" spans="1:39" s="86" customFormat="1" ht="13.25" hidden="1" customHeight="1" x14ac:dyDescent="0.3">
      <c r="A7593" s="89" t="s">
        <v>3978</v>
      </c>
      <c r="B7593" s="86" t="s">
        <v>35</v>
      </c>
      <c r="C7593" s="86" t="s">
        <v>164</v>
      </c>
      <c r="D7593" s="86" t="s">
        <v>174</v>
      </c>
      <c r="E7593" s="86" t="s">
        <v>1637</v>
      </c>
      <c r="F7593" s="86" t="s">
        <v>1637</v>
      </c>
      <c r="G7593" s="86" t="s">
        <v>1637</v>
      </c>
      <c r="H7593" s="143">
        <v>360</v>
      </c>
      <c r="I7593" s="86" t="s">
        <v>1060</v>
      </c>
      <c r="J7593" s="47" t="s">
        <v>3325</v>
      </c>
      <c r="K7593" s="47" t="s">
        <v>3767</v>
      </c>
      <c r="L7593" s="47" t="s">
        <v>35</v>
      </c>
      <c r="M7593" s="86" t="s">
        <v>1637</v>
      </c>
      <c r="O7593" s="47" t="s">
        <v>410</v>
      </c>
      <c r="P7593" s="14" t="s">
        <v>41</v>
      </c>
      <c r="Q7593" s="14">
        <v>0</v>
      </c>
      <c r="R7593" s="143" t="s">
        <v>1638</v>
      </c>
      <c r="S7593" s="47"/>
      <c r="T7593" s="6">
        <v>1023.3999999999996</v>
      </c>
      <c r="U7593" s="6"/>
      <c r="V7593" s="6">
        <v>0</v>
      </c>
      <c r="W7593" s="6">
        <f t="shared" si="1174"/>
        <v>1023.3999999999996</v>
      </c>
      <c r="X7593" s="6">
        <f t="shared" si="1169"/>
        <v>0</v>
      </c>
      <c r="Y7593" s="13">
        <f t="shared" si="1171"/>
        <v>0</v>
      </c>
      <c r="Z7593" s="14">
        <v>0</v>
      </c>
      <c r="AA7593" s="6">
        <v>0</v>
      </c>
      <c r="AB7593" s="4">
        <f t="shared" si="1172"/>
        <v>0</v>
      </c>
      <c r="AC7593" s="6">
        <f t="shared" si="1170"/>
        <v>0</v>
      </c>
      <c r="AD7593" s="6">
        <f t="shared" si="1175"/>
        <v>0</v>
      </c>
      <c r="AE7593" s="14">
        <f>VLOOKUP(I7593,[2]媒体政策预估表!A:N,MATCH(O7593,[2]媒体政策预估表!$A$2:$M$2,0),0)</f>
        <v>7.0000000000000007E-2</v>
      </c>
      <c r="AF7593" s="6">
        <f t="shared" si="1177"/>
        <v>0</v>
      </c>
      <c r="AG7593" s="14">
        <v>0</v>
      </c>
      <c r="AH7593" s="64">
        <f t="shared" si="1176"/>
        <v>0</v>
      </c>
      <c r="AJ7593" s="126" t="e">
        <v>#N/A</v>
      </c>
      <c r="AK7593" s="80">
        <f t="shared" si="1173"/>
        <v>0</v>
      </c>
      <c r="AL7593" s="85"/>
      <c r="AM7593" s="85"/>
    </row>
    <row r="7594" spans="1:39" s="86" customFormat="1" ht="13.25" hidden="1" customHeight="1" x14ac:dyDescent="0.3">
      <c r="A7594" s="89" t="s">
        <v>3978</v>
      </c>
      <c r="B7594" s="86" t="s">
        <v>35</v>
      </c>
      <c r="C7594" s="86" t="s">
        <v>164</v>
      </c>
      <c r="D7594" s="86" t="s">
        <v>174</v>
      </c>
      <c r="E7594" s="86" t="s">
        <v>1687</v>
      </c>
      <c r="F7594" s="86" t="s">
        <v>1687</v>
      </c>
      <c r="G7594" s="86" t="s">
        <v>1687</v>
      </c>
      <c r="H7594" s="143">
        <v>360</v>
      </c>
      <c r="I7594" s="86" t="s">
        <v>1060</v>
      </c>
      <c r="J7594" s="47" t="s">
        <v>3325</v>
      </c>
      <c r="K7594" s="47" t="s">
        <v>3767</v>
      </c>
      <c r="L7594" s="47" t="s">
        <v>35</v>
      </c>
      <c r="M7594" s="86" t="s">
        <v>1687</v>
      </c>
      <c r="O7594" s="47" t="s">
        <v>410</v>
      </c>
      <c r="P7594" s="14" t="s">
        <v>41</v>
      </c>
      <c r="Q7594" s="14">
        <v>0</v>
      </c>
      <c r="R7594" s="143">
        <v>18668181711</v>
      </c>
      <c r="S7594" s="47"/>
      <c r="T7594" s="6">
        <v>-1.2800000001006993</v>
      </c>
      <c r="U7594" s="6"/>
      <c r="V7594" s="6">
        <v>0</v>
      </c>
      <c r="W7594" s="6">
        <f t="shared" si="1174"/>
        <v>-1.2800000001006993</v>
      </c>
      <c r="X7594" s="6">
        <f t="shared" si="1169"/>
        <v>0</v>
      </c>
      <c r="Y7594" s="13">
        <f t="shared" si="1171"/>
        <v>0</v>
      </c>
      <c r="Z7594" s="14">
        <v>0</v>
      </c>
      <c r="AA7594" s="6">
        <v>0</v>
      </c>
      <c r="AB7594" s="4">
        <f t="shared" si="1172"/>
        <v>0</v>
      </c>
      <c r="AC7594" s="6">
        <f t="shared" si="1170"/>
        <v>0</v>
      </c>
      <c r="AD7594" s="6">
        <f t="shared" si="1175"/>
        <v>0</v>
      </c>
      <c r="AE7594" s="14">
        <f>VLOOKUP(I7594,[2]媒体政策预估表!A:N,MATCH(O7594,[2]媒体政策预估表!$A$2:$M$2,0),0)</f>
        <v>7.0000000000000007E-2</v>
      </c>
      <c r="AF7594" s="6">
        <f t="shared" si="1177"/>
        <v>0</v>
      </c>
      <c r="AG7594" s="14">
        <v>0</v>
      </c>
      <c r="AH7594" s="64">
        <f t="shared" si="1176"/>
        <v>0</v>
      </c>
      <c r="AJ7594" s="126" t="e">
        <v>#N/A</v>
      </c>
      <c r="AK7594" s="80">
        <f t="shared" si="1173"/>
        <v>0</v>
      </c>
      <c r="AL7594" s="85"/>
      <c r="AM7594" s="85"/>
    </row>
    <row r="7595" spans="1:39" s="86" customFormat="1" ht="13.25" hidden="1" customHeight="1" x14ac:dyDescent="0.3">
      <c r="A7595" s="89" t="s">
        <v>3978</v>
      </c>
      <c r="B7595" s="86" t="s">
        <v>35</v>
      </c>
      <c r="C7595" s="86" t="s">
        <v>164</v>
      </c>
      <c r="D7595" s="86" t="s">
        <v>174</v>
      </c>
      <c r="E7595" s="86" t="s">
        <v>1687</v>
      </c>
      <c r="F7595" s="86" t="s">
        <v>1687</v>
      </c>
      <c r="G7595" s="86" t="s">
        <v>1687</v>
      </c>
      <c r="H7595" s="143">
        <v>360</v>
      </c>
      <c r="I7595" s="86" t="s">
        <v>1060</v>
      </c>
      <c r="J7595" s="47" t="s">
        <v>3325</v>
      </c>
      <c r="K7595" s="47" t="s">
        <v>3767</v>
      </c>
      <c r="L7595" s="47" t="s">
        <v>35</v>
      </c>
      <c r="M7595" s="86" t="s">
        <v>1687</v>
      </c>
      <c r="O7595" s="47" t="s">
        <v>410</v>
      </c>
      <c r="P7595" s="14" t="s">
        <v>41</v>
      </c>
      <c r="Q7595" s="14">
        <v>0</v>
      </c>
      <c r="R7595" s="143" t="s">
        <v>1688</v>
      </c>
      <c r="S7595" s="47"/>
      <c r="T7595" s="6">
        <v>7.0950400000074296</v>
      </c>
      <c r="U7595" s="6"/>
      <c r="V7595" s="6">
        <v>0</v>
      </c>
      <c r="W7595" s="6">
        <f t="shared" si="1174"/>
        <v>7.0950400000074296</v>
      </c>
      <c r="X7595" s="6">
        <f t="shared" si="1169"/>
        <v>0</v>
      </c>
      <c r="Y7595" s="13">
        <f t="shared" si="1171"/>
        <v>0</v>
      </c>
      <c r="Z7595" s="14">
        <v>0</v>
      </c>
      <c r="AA7595" s="6">
        <v>0</v>
      </c>
      <c r="AB7595" s="4">
        <f t="shared" si="1172"/>
        <v>0</v>
      </c>
      <c r="AC7595" s="6">
        <f t="shared" si="1170"/>
        <v>0</v>
      </c>
      <c r="AD7595" s="6">
        <f t="shared" si="1175"/>
        <v>0</v>
      </c>
      <c r="AE7595" s="14">
        <f>VLOOKUP(I7595,[2]媒体政策预估表!A:N,MATCH(O7595,[2]媒体政策预估表!$A$2:$M$2,0),0)</f>
        <v>7.0000000000000007E-2</v>
      </c>
      <c r="AF7595" s="6">
        <f t="shared" si="1177"/>
        <v>0</v>
      </c>
      <c r="AG7595" s="14">
        <v>0</v>
      </c>
      <c r="AH7595" s="64">
        <f t="shared" si="1176"/>
        <v>0</v>
      </c>
      <c r="AJ7595" s="126" t="e">
        <v>#N/A</v>
      </c>
      <c r="AK7595" s="80">
        <f t="shared" si="1173"/>
        <v>0</v>
      </c>
      <c r="AL7595" s="85"/>
      <c r="AM7595" s="85"/>
    </row>
    <row r="7596" spans="1:39" s="86" customFormat="1" ht="13.25" hidden="1" customHeight="1" x14ac:dyDescent="0.3">
      <c r="A7596" s="89" t="s">
        <v>3978</v>
      </c>
      <c r="B7596" s="86" t="s">
        <v>35</v>
      </c>
      <c r="C7596" s="86" t="s">
        <v>164</v>
      </c>
      <c r="D7596" s="86" t="s">
        <v>174</v>
      </c>
      <c r="E7596" s="86" t="s">
        <v>1687</v>
      </c>
      <c r="F7596" s="86" t="s">
        <v>1687</v>
      </c>
      <c r="G7596" s="86" t="s">
        <v>1687</v>
      </c>
      <c r="H7596" s="143">
        <v>360</v>
      </c>
      <c r="I7596" s="86" t="s">
        <v>1060</v>
      </c>
      <c r="J7596" s="47" t="s">
        <v>3325</v>
      </c>
      <c r="K7596" s="47" t="s">
        <v>3767</v>
      </c>
      <c r="L7596" s="47" t="s">
        <v>35</v>
      </c>
      <c r="M7596" s="86" t="s">
        <v>1689</v>
      </c>
      <c r="O7596" s="47" t="s">
        <v>410</v>
      </c>
      <c r="P7596" s="14" t="s">
        <v>41</v>
      </c>
      <c r="Q7596" s="14">
        <v>0</v>
      </c>
      <c r="R7596" s="143" t="s">
        <v>1690</v>
      </c>
      <c r="S7596" s="47"/>
      <c r="T7596" s="6">
        <v>-4.9999999964711606E-2</v>
      </c>
      <c r="U7596" s="6"/>
      <c r="V7596" s="6">
        <v>0</v>
      </c>
      <c r="W7596" s="6">
        <f t="shared" si="1174"/>
        <v>-4.9999999964711606E-2</v>
      </c>
      <c r="X7596" s="6">
        <f t="shared" si="1169"/>
        <v>0</v>
      </c>
      <c r="Y7596" s="13">
        <f t="shared" si="1171"/>
        <v>0</v>
      </c>
      <c r="Z7596" s="14">
        <v>0</v>
      </c>
      <c r="AA7596" s="6">
        <v>0</v>
      </c>
      <c r="AB7596" s="4">
        <f t="shared" si="1172"/>
        <v>0</v>
      </c>
      <c r="AC7596" s="6">
        <f t="shared" si="1170"/>
        <v>0</v>
      </c>
      <c r="AD7596" s="6">
        <f t="shared" si="1175"/>
        <v>0</v>
      </c>
      <c r="AE7596" s="14">
        <f>VLOOKUP(I7596,[2]媒体政策预估表!A:N,MATCH(O7596,[2]媒体政策预估表!$A$2:$M$2,0),0)</f>
        <v>7.0000000000000007E-2</v>
      </c>
      <c r="AF7596" s="6">
        <f t="shared" si="1177"/>
        <v>0</v>
      </c>
      <c r="AG7596" s="14">
        <v>0</v>
      </c>
      <c r="AH7596" s="64">
        <f t="shared" si="1176"/>
        <v>0</v>
      </c>
      <c r="AJ7596" s="126" t="e">
        <v>#N/A</v>
      </c>
      <c r="AK7596" s="80">
        <f t="shared" si="1173"/>
        <v>0</v>
      </c>
      <c r="AL7596" s="85"/>
      <c r="AM7596" s="85"/>
    </row>
    <row r="7597" spans="1:39" s="86" customFormat="1" ht="13.25" hidden="1" customHeight="1" x14ac:dyDescent="0.3">
      <c r="A7597" s="89" t="s">
        <v>3792</v>
      </c>
      <c r="B7597" s="86" t="s">
        <v>35</v>
      </c>
      <c r="C7597" s="86" t="s">
        <v>164</v>
      </c>
      <c r="D7597" s="86" t="s">
        <v>174</v>
      </c>
      <c r="E7597" s="86" t="s">
        <v>1687</v>
      </c>
      <c r="F7597" s="86" t="s">
        <v>1687</v>
      </c>
      <c r="G7597" s="86" t="s">
        <v>1687</v>
      </c>
      <c r="H7597" s="143">
        <v>360</v>
      </c>
      <c r="I7597" s="86" t="s">
        <v>1060</v>
      </c>
      <c r="J7597" s="47" t="s">
        <v>3325</v>
      </c>
      <c r="K7597" s="47" t="s">
        <v>3767</v>
      </c>
      <c r="L7597" s="47" t="s">
        <v>35</v>
      </c>
      <c r="M7597" s="86" t="s">
        <v>1692</v>
      </c>
      <c r="O7597" s="47" t="s">
        <v>410</v>
      </c>
      <c r="P7597" s="14" t="s">
        <v>41</v>
      </c>
      <c r="Q7597" s="14">
        <v>0</v>
      </c>
      <c r="R7597" s="143" t="s">
        <v>1693</v>
      </c>
      <c r="S7597" s="47"/>
      <c r="T7597" s="6">
        <v>-1.9999999995889084E-2</v>
      </c>
      <c r="U7597" s="6"/>
      <c r="V7597" s="6">
        <v>0</v>
      </c>
      <c r="W7597" s="6">
        <f t="shared" si="1174"/>
        <v>-1.9999999995889084E-2</v>
      </c>
      <c r="X7597" s="6">
        <f t="shared" si="1169"/>
        <v>0</v>
      </c>
      <c r="Y7597" s="13">
        <f t="shared" si="1171"/>
        <v>0</v>
      </c>
      <c r="Z7597" s="14">
        <v>0</v>
      </c>
      <c r="AA7597" s="6">
        <v>0</v>
      </c>
      <c r="AB7597" s="4">
        <f t="shared" si="1172"/>
        <v>0</v>
      </c>
      <c r="AC7597" s="6">
        <f t="shared" si="1170"/>
        <v>0</v>
      </c>
      <c r="AD7597" s="6">
        <f t="shared" si="1175"/>
        <v>0</v>
      </c>
      <c r="AE7597" s="14">
        <f>VLOOKUP(I7597,[2]媒体政策预估表!A:N,MATCH(O7597,[2]媒体政策预估表!$A$2:$M$2,0),0)</f>
        <v>7.0000000000000007E-2</v>
      </c>
      <c r="AF7597" s="6">
        <f t="shared" si="1177"/>
        <v>0</v>
      </c>
      <c r="AG7597" s="14">
        <v>0</v>
      </c>
      <c r="AH7597" s="64">
        <f t="shared" si="1176"/>
        <v>0</v>
      </c>
      <c r="AJ7597" s="126" t="e">
        <v>#N/A</v>
      </c>
      <c r="AK7597" s="80">
        <f t="shared" si="1173"/>
        <v>0</v>
      </c>
      <c r="AL7597" s="85"/>
      <c r="AM7597" s="85"/>
    </row>
    <row r="7598" spans="1:39" s="86" customFormat="1" ht="13.25" hidden="1" customHeight="1" x14ac:dyDescent="0.3">
      <c r="A7598" s="89" t="s">
        <v>3978</v>
      </c>
      <c r="B7598" s="86" t="s">
        <v>35</v>
      </c>
      <c r="C7598" s="86" t="s">
        <v>164</v>
      </c>
      <c r="D7598" s="86" t="s">
        <v>174</v>
      </c>
      <c r="E7598" s="86" t="s">
        <v>666</v>
      </c>
      <c r="F7598" s="86" t="s">
        <v>666</v>
      </c>
      <c r="G7598" s="86" t="s">
        <v>666</v>
      </c>
      <c r="H7598" s="143">
        <v>360</v>
      </c>
      <c r="I7598" s="86" t="s">
        <v>1060</v>
      </c>
      <c r="J7598" s="47" t="s">
        <v>3325</v>
      </c>
      <c r="K7598" s="47" t="s">
        <v>3767</v>
      </c>
      <c r="L7598" s="47" t="s">
        <v>35</v>
      </c>
      <c r="M7598" s="86" t="s">
        <v>666</v>
      </c>
      <c r="O7598" s="47" t="s">
        <v>410</v>
      </c>
      <c r="P7598" s="14" t="s">
        <v>41</v>
      </c>
      <c r="Q7598" s="14">
        <v>0</v>
      </c>
      <c r="R7598" s="143" t="s">
        <v>1714</v>
      </c>
      <c r="S7598" s="47"/>
      <c r="T7598" s="6">
        <v>352.89999999999964</v>
      </c>
      <c r="U7598" s="6"/>
      <c r="V7598" s="6">
        <v>0</v>
      </c>
      <c r="W7598" s="6">
        <f t="shared" si="1174"/>
        <v>352.89999999999964</v>
      </c>
      <c r="X7598" s="6">
        <f t="shared" si="1169"/>
        <v>0</v>
      </c>
      <c r="Y7598" s="13">
        <f t="shared" si="1171"/>
        <v>0</v>
      </c>
      <c r="Z7598" s="14">
        <v>0</v>
      </c>
      <c r="AA7598" s="6">
        <v>0</v>
      </c>
      <c r="AB7598" s="4">
        <f t="shared" si="1172"/>
        <v>0</v>
      </c>
      <c r="AC7598" s="6">
        <f t="shared" si="1170"/>
        <v>0</v>
      </c>
      <c r="AD7598" s="6">
        <f t="shared" si="1175"/>
        <v>0</v>
      </c>
      <c r="AE7598" s="14">
        <f>VLOOKUP(I7598,[2]媒体政策预估表!A:N,MATCH(O7598,[2]媒体政策预估表!$A$2:$M$2,0),0)</f>
        <v>7.0000000000000007E-2</v>
      </c>
      <c r="AF7598" s="6">
        <f t="shared" si="1177"/>
        <v>0</v>
      </c>
      <c r="AG7598" s="14">
        <v>0</v>
      </c>
      <c r="AH7598" s="64">
        <f t="shared" si="1176"/>
        <v>0</v>
      </c>
      <c r="AJ7598" s="126" t="e">
        <v>#N/A</v>
      </c>
      <c r="AK7598" s="80">
        <f t="shared" si="1173"/>
        <v>0</v>
      </c>
      <c r="AL7598" s="85"/>
      <c r="AM7598" s="85"/>
    </row>
    <row r="7599" spans="1:39" s="86" customFormat="1" ht="13.25" hidden="1" customHeight="1" x14ac:dyDescent="0.3">
      <c r="A7599" s="89" t="s">
        <v>3792</v>
      </c>
      <c r="B7599" s="86" t="s">
        <v>35</v>
      </c>
      <c r="C7599" s="86" t="s">
        <v>164</v>
      </c>
      <c r="D7599" s="86" t="s">
        <v>174</v>
      </c>
      <c r="E7599" s="86" t="s">
        <v>1746</v>
      </c>
      <c r="F7599" s="86" t="s">
        <v>1746</v>
      </c>
      <c r="G7599" s="86" t="s">
        <v>1746</v>
      </c>
      <c r="H7599" s="143">
        <v>360</v>
      </c>
      <c r="I7599" s="86" t="s">
        <v>1060</v>
      </c>
      <c r="J7599" s="47" t="s">
        <v>3325</v>
      </c>
      <c r="K7599" s="47" t="s">
        <v>3767</v>
      </c>
      <c r="L7599" s="47" t="s">
        <v>35</v>
      </c>
      <c r="M7599" s="86" t="s">
        <v>1746</v>
      </c>
      <c r="O7599" s="47" t="s">
        <v>410</v>
      </c>
      <c r="P7599" s="14" t="s">
        <v>41</v>
      </c>
      <c r="Q7599" s="14">
        <v>0</v>
      </c>
      <c r="R7599" s="143" t="s">
        <v>1747</v>
      </c>
      <c r="S7599" s="47"/>
      <c r="T7599" s="6">
        <v>15374.4</v>
      </c>
      <c r="U7599" s="6"/>
      <c r="V7599" s="6">
        <v>0</v>
      </c>
      <c r="W7599" s="6">
        <f t="shared" si="1174"/>
        <v>15374.4</v>
      </c>
      <c r="X7599" s="6">
        <f t="shared" si="1169"/>
        <v>0</v>
      </c>
      <c r="Y7599" s="13">
        <f t="shared" si="1171"/>
        <v>0</v>
      </c>
      <c r="Z7599" s="14">
        <v>0</v>
      </c>
      <c r="AA7599" s="6">
        <v>0</v>
      </c>
      <c r="AB7599" s="4">
        <f t="shared" si="1172"/>
        <v>0</v>
      </c>
      <c r="AC7599" s="6">
        <f t="shared" si="1170"/>
        <v>0</v>
      </c>
      <c r="AD7599" s="6">
        <f t="shared" si="1175"/>
        <v>0</v>
      </c>
      <c r="AE7599" s="14">
        <f>VLOOKUP(I7599,[2]媒体政策预估表!A:N,MATCH(O7599,[2]媒体政策预估表!$A$2:$M$2,0),0)</f>
        <v>7.0000000000000007E-2</v>
      </c>
      <c r="AF7599" s="6">
        <f t="shared" si="1177"/>
        <v>0</v>
      </c>
      <c r="AG7599" s="14">
        <v>0</v>
      </c>
      <c r="AH7599" s="64">
        <f t="shared" si="1176"/>
        <v>0</v>
      </c>
      <c r="AJ7599" s="126" t="e">
        <v>#N/A</v>
      </c>
      <c r="AK7599" s="80">
        <f t="shared" si="1173"/>
        <v>0</v>
      </c>
      <c r="AL7599" s="85"/>
      <c r="AM7599" s="85"/>
    </row>
    <row r="7600" spans="1:39" s="86" customFormat="1" ht="13.25" hidden="1" customHeight="1" x14ac:dyDescent="0.3">
      <c r="A7600" s="89" t="s">
        <v>3792</v>
      </c>
      <c r="B7600" s="86" t="s">
        <v>35</v>
      </c>
      <c r="C7600" s="86" t="s">
        <v>164</v>
      </c>
      <c r="D7600" s="86" t="s">
        <v>174</v>
      </c>
      <c r="E7600" s="86" t="s">
        <v>1754</v>
      </c>
      <c r="F7600" s="86" t="s">
        <v>1754</v>
      </c>
      <c r="G7600" s="86" t="s">
        <v>1754</v>
      </c>
      <c r="H7600" s="143">
        <v>360</v>
      </c>
      <c r="I7600" s="86" t="s">
        <v>1060</v>
      </c>
      <c r="J7600" s="47" t="s">
        <v>3325</v>
      </c>
      <c r="K7600" s="47" t="s">
        <v>3767</v>
      </c>
      <c r="L7600" s="47" t="s">
        <v>35</v>
      </c>
      <c r="M7600" s="86" t="s">
        <v>1754</v>
      </c>
      <c r="O7600" s="47" t="s">
        <v>410</v>
      </c>
      <c r="P7600" s="14" t="s">
        <v>41</v>
      </c>
      <c r="Q7600" s="14">
        <v>0</v>
      </c>
      <c r="R7600" s="143" t="s">
        <v>1755</v>
      </c>
      <c r="S7600" s="47"/>
      <c r="T7600" s="6">
        <v>456</v>
      </c>
      <c r="U7600" s="6"/>
      <c r="V7600" s="6">
        <v>0</v>
      </c>
      <c r="W7600" s="6">
        <f t="shared" si="1174"/>
        <v>456</v>
      </c>
      <c r="X7600" s="6">
        <f t="shared" ref="X7600:X7663" si="1178">IF(P7600="折扣",V7600*Q7600,IF(P7600="返现",V7600,V7600/(1+Q7600)))</f>
        <v>0</v>
      </c>
      <c r="Y7600" s="13">
        <f t="shared" si="1171"/>
        <v>0</v>
      </c>
      <c r="Z7600" s="14">
        <v>0</v>
      </c>
      <c r="AA7600" s="6">
        <v>0</v>
      </c>
      <c r="AB7600" s="4">
        <f t="shared" si="1172"/>
        <v>0</v>
      </c>
      <c r="AC7600" s="6">
        <f t="shared" si="1170"/>
        <v>0</v>
      </c>
      <c r="AD7600" s="6">
        <f t="shared" si="1175"/>
        <v>0</v>
      </c>
      <c r="AE7600" s="14">
        <f>VLOOKUP(I7600,[2]媒体政策预估表!A:N,MATCH(O7600,[2]媒体政策预估表!$A$2:$M$2,0),0)</f>
        <v>7.0000000000000007E-2</v>
      </c>
      <c r="AF7600" s="6">
        <f t="shared" si="1177"/>
        <v>0</v>
      </c>
      <c r="AG7600" s="14">
        <v>0</v>
      </c>
      <c r="AH7600" s="64">
        <f t="shared" si="1176"/>
        <v>0</v>
      </c>
      <c r="AJ7600" s="126" t="e">
        <v>#N/A</v>
      </c>
      <c r="AK7600" s="80">
        <f t="shared" si="1173"/>
        <v>0</v>
      </c>
      <c r="AL7600" s="85"/>
      <c r="AM7600" s="85"/>
    </row>
    <row r="7601" spans="1:39" s="86" customFormat="1" ht="13.25" hidden="1" customHeight="1" x14ac:dyDescent="0.3">
      <c r="A7601" s="89" t="s">
        <v>3978</v>
      </c>
      <c r="B7601" s="86" t="s">
        <v>35</v>
      </c>
      <c r="C7601" s="86" t="s">
        <v>164</v>
      </c>
      <c r="D7601" s="86" t="s">
        <v>174</v>
      </c>
      <c r="E7601" s="86" t="s">
        <v>1765</v>
      </c>
      <c r="F7601" s="86" t="s">
        <v>1765</v>
      </c>
      <c r="G7601" s="86" t="s">
        <v>1765</v>
      </c>
      <c r="H7601" s="143">
        <v>360</v>
      </c>
      <c r="I7601" s="86" t="s">
        <v>1060</v>
      </c>
      <c r="J7601" s="47" t="s">
        <v>3325</v>
      </c>
      <c r="K7601" s="47" t="s">
        <v>3767</v>
      </c>
      <c r="L7601" s="47" t="s">
        <v>35</v>
      </c>
      <c r="M7601" s="86" t="s">
        <v>1766</v>
      </c>
      <c r="O7601" s="47" t="s">
        <v>410</v>
      </c>
      <c r="P7601" s="14" t="s">
        <v>41</v>
      </c>
      <c r="Q7601" s="14">
        <v>0</v>
      </c>
      <c r="R7601" s="143" t="s">
        <v>1768</v>
      </c>
      <c r="S7601" s="47"/>
      <c r="T7601" s="6">
        <v>2371.5999999999985</v>
      </c>
      <c r="U7601" s="6"/>
      <c r="V7601" s="6">
        <v>0</v>
      </c>
      <c r="W7601" s="6">
        <f t="shared" si="1174"/>
        <v>2371.5999999999985</v>
      </c>
      <c r="X7601" s="6">
        <f t="shared" si="1178"/>
        <v>0</v>
      </c>
      <c r="Y7601" s="13">
        <f t="shared" si="1171"/>
        <v>0</v>
      </c>
      <c r="Z7601" s="14">
        <v>0</v>
      </c>
      <c r="AA7601" s="6">
        <v>0</v>
      </c>
      <c r="AB7601" s="4">
        <f t="shared" si="1172"/>
        <v>0</v>
      </c>
      <c r="AC7601" s="6">
        <f t="shared" si="1170"/>
        <v>0</v>
      </c>
      <c r="AD7601" s="6">
        <f t="shared" si="1175"/>
        <v>0</v>
      </c>
      <c r="AE7601" s="14">
        <f>VLOOKUP(I7601,[2]媒体政策预估表!A:N,MATCH(O7601,[2]媒体政策预估表!$A$2:$M$2,0),0)</f>
        <v>7.0000000000000007E-2</v>
      </c>
      <c r="AF7601" s="6">
        <f t="shared" si="1177"/>
        <v>0</v>
      </c>
      <c r="AG7601" s="14">
        <v>0</v>
      </c>
      <c r="AH7601" s="64">
        <f t="shared" si="1176"/>
        <v>0</v>
      </c>
      <c r="AJ7601" s="126" t="e">
        <v>#N/A</v>
      </c>
      <c r="AK7601" s="80">
        <f t="shared" si="1173"/>
        <v>0</v>
      </c>
      <c r="AL7601" s="85"/>
      <c r="AM7601" s="85"/>
    </row>
    <row r="7602" spans="1:39" s="86" customFormat="1" ht="13.25" hidden="1" customHeight="1" x14ac:dyDescent="0.3">
      <c r="A7602" s="89" t="s">
        <v>3978</v>
      </c>
      <c r="B7602" s="86" t="s">
        <v>35</v>
      </c>
      <c r="C7602" s="86" t="s">
        <v>164</v>
      </c>
      <c r="D7602" s="86" t="s">
        <v>174</v>
      </c>
      <c r="E7602" s="86" t="s">
        <v>1769</v>
      </c>
      <c r="F7602" s="86" t="s">
        <v>1769</v>
      </c>
      <c r="G7602" s="86" t="s">
        <v>1769</v>
      </c>
      <c r="H7602" s="143">
        <v>360</v>
      </c>
      <c r="I7602" s="86" t="s">
        <v>1060</v>
      </c>
      <c r="J7602" s="47" t="s">
        <v>3325</v>
      </c>
      <c r="K7602" s="47" t="s">
        <v>3767</v>
      </c>
      <c r="L7602" s="47" t="s">
        <v>35</v>
      </c>
      <c r="M7602" s="86" t="s">
        <v>1769</v>
      </c>
      <c r="O7602" s="47" t="s">
        <v>410</v>
      </c>
      <c r="P7602" s="14" t="s">
        <v>41</v>
      </c>
      <c r="Q7602" s="14">
        <v>0</v>
      </c>
      <c r="R7602" s="143" t="s">
        <v>1640</v>
      </c>
      <c r="S7602" s="47"/>
      <c r="T7602" s="6">
        <v>492.72000000000071</v>
      </c>
      <c r="U7602" s="6"/>
      <c r="V7602" s="6">
        <v>0</v>
      </c>
      <c r="W7602" s="6">
        <f t="shared" si="1174"/>
        <v>492.72000000000071</v>
      </c>
      <c r="X7602" s="6">
        <f t="shared" si="1178"/>
        <v>0</v>
      </c>
      <c r="Y7602" s="13">
        <f t="shared" si="1171"/>
        <v>0</v>
      </c>
      <c r="Z7602" s="14">
        <v>0</v>
      </c>
      <c r="AA7602" s="6">
        <v>0</v>
      </c>
      <c r="AB7602" s="4"/>
      <c r="AC7602" s="6">
        <f t="shared" si="1170"/>
        <v>0</v>
      </c>
      <c r="AD7602" s="6">
        <f t="shared" si="1175"/>
        <v>0</v>
      </c>
      <c r="AE7602" s="14">
        <f>VLOOKUP(I7602,[2]媒体政策预估表!A:N,MATCH(O7602,[2]媒体政策预估表!$A$2:$M$2,0),0)</f>
        <v>7.0000000000000007E-2</v>
      </c>
      <c r="AF7602" s="6">
        <f t="shared" si="1177"/>
        <v>0</v>
      </c>
      <c r="AG7602" s="14">
        <v>0</v>
      </c>
      <c r="AH7602" s="64">
        <f t="shared" si="1176"/>
        <v>0</v>
      </c>
      <c r="AJ7602" s="126">
        <v>113</v>
      </c>
      <c r="AK7602" s="80">
        <f t="shared" si="1173"/>
        <v>0</v>
      </c>
      <c r="AL7602" s="85"/>
      <c r="AM7602" s="85"/>
    </row>
    <row r="7603" spans="1:39" s="86" customFormat="1" ht="13.25" hidden="1" customHeight="1" x14ac:dyDescent="0.3">
      <c r="A7603" s="89" t="s">
        <v>3978</v>
      </c>
      <c r="B7603" s="86" t="s">
        <v>35</v>
      </c>
      <c r="C7603" s="86" t="s">
        <v>164</v>
      </c>
      <c r="D7603" s="86" t="s">
        <v>174</v>
      </c>
      <c r="E7603" s="86" t="s">
        <v>1793</v>
      </c>
      <c r="F7603" s="86" t="s">
        <v>1793</v>
      </c>
      <c r="G7603" s="86" t="s">
        <v>1793</v>
      </c>
      <c r="H7603" s="144">
        <v>360</v>
      </c>
      <c r="I7603" s="86" t="s">
        <v>1060</v>
      </c>
      <c r="J7603" s="47" t="s">
        <v>3325</v>
      </c>
      <c r="K7603" s="47" t="s">
        <v>3767</v>
      </c>
      <c r="L7603" s="47" t="s">
        <v>35</v>
      </c>
      <c r="M7603" s="86" t="s">
        <v>1793</v>
      </c>
      <c r="O7603" s="47" t="s">
        <v>410</v>
      </c>
      <c r="P7603" s="14" t="s">
        <v>41</v>
      </c>
      <c r="Q7603" s="14">
        <v>0</v>
      </c>
      <c r="R7603" s="143" t="s">
        <v>1794</v>
      </c>
      <c r="S7603" s="47"/>
      <c r="T7603" s="6">
        <v>1404.8000000000002</v>
      </c>
      <c r="U7603" s="6"/>
      <c r="V7603" s="6">
        <v>299.89999999999998</v>
      </c>
      <c r="W7603" s="6">
        <f t="shared" si="1174"/>
        <v>1104.9000000000001</v>
      </c>
      <c r="X7603" s="6">
        <f t="shared" si="1178"/>
        <v>299.89999999999998</v>
      </c>
      <c r="Y7603" s="13">
        <f t="shared" si="1171"/>
        <v>0</v>
      </c>
      <c r="Z7603" s="14">
        <v>0</v>
      </c>
      <c r="AA7603" s="6">
        <v>0</v>
      </c>
      <c r="AB7603" s="4">
        <f t="shared" si="1172"/>
        <v>299.89999999999998</v>
      </c>
      <c r="AC7603" s="6">
        <f t="shared" si="1170"/>
        <v>0</v>
      </c>
      <c r="AD7603" s="6">
        <f t="shared" si="1175"/>
        <v>299.89999999999998</v>
      </c>
      <c r="AE7603" s="14">
        <f>VLOOKUP(I7603,[2]媒体政策预估表!A:N,MATCH(O7603,[2]媒体政策预估表!$A$2:$M$2,0),0)</f>
        <v>7.0000000000000007E-2</v>
      </c>
      <c r="AF7603" s="6">
        <f t="shared" si="1177"/>
        <v>20.993000000000002</v>
      </c>
      <c r="AG7603" s="14">
        <v>0</v>
      </c>
      <c r="AH7603" s="64">
        <f t="shared" si="1176"/>
        <v>299.89999999999998</v>
      </c>
      <c r="AJ7603" s="126" t="e">
        <v>#N/A</v>
      </c>
      <c r="AK7603" s="80">
        <f t="shared" si="1173"/>
        <v>0</v>
      </c>
      <c r="AL7603" s="85"/>
      <c r="AM7603" s="85"/>
    </row>
    <row r="7604" spans="1:39" s="86" customFormat="1" ht="13.25" hidden="1" customHeight="1" x14ac:dyDescent="0.3">
      <c r="A7604" s="89" t="s">
        <v>3978</v>
      </c>
      <c r="B7604" s="86" t="s">
        <v>35</v>
      </c>
      <c r="C7604" s="86" t="s">
        <v>164</v>
      </c>
      <c r="D7604" s="86" t="s">
        <v>174</v>
      </c>
      <c r="E7604" s="86" t="s">
        <v>1802</v>
      </c>
      <c r="F7604" s="86" t="s">
        <v>1802</v>
      </c>
      <c r="G7604" s="86" t="s">
        <v>1802</v>
      </c>
      <c r="H7604" s="143">
        <v>360</v>
      </c>
      <c r="I7604" s="86" t="s">
        <v>1060</v>
      </c>
      <c r="J7604" s="47" t="s">
        <v>3325</v>
      </c>
      <c r="K7604" s="47" t="s">
        <v>3767</v>
      </c>
      <c r="L7604" s="47" t="s">
        <v>35</v>
      </c>
      <c r="M7604" s="86" t="s">
        <v>1802</v>
      </c>
      <c r="O7604" s="47" t="s">
        <v>410</v>
      </c>
      <c r="P7604" s="14" t="s">
        <v>41</v>
      </c>
      <c r="Q7604" s="14">
        <v>0</v>
      </c>
      <c r="R7604" s="143" t="s">
        <v>1803</v>
      </c>
      <c r="S7604" s="47"/>
      <c r="T7604" s="6">
        <v>2741</v>
      </c>
      <c r="U7604" s="6"/>
      <c r="V7604" s="6">
        <v>0</v>
      </c>
      <c r="W7604" s="6">
        <f t="shared" si="1174"/>
        <v>2741</v>
      </c>
      <c r="X7604" s="6">
        <f t="shared" si="1178"/>
        <v>0</v>
      </c>
      <c r="Y7604" s="13">
        <f t="shared" si="1171"/>
        <v>0</v>
      </c>
      <c r="Z7604" s="14">
        <v>0</v>
      </c>
      <c r="AA7604" s="6">
        <v>0</v>
      </c>
      <c r="AB7604" s="4">
        <f t="shared" si="1172"/>
        <v>0</v>
      </c>
      <c r="AC7604" s="6">
        <f t="shared" si="1170"/>
        <v>0</v>
      </c>
      <c r="AD7604" s="6">
        <f t="shared" si="1175"/>
        <v>0</v>
      </c>
      <c r="AE7604" s="14">
        <f>VLOOKUP(I7604,[2]媒体政策预估表!A:N,MATCH(O7604,[2]媒体政策预估表!$A$2:$M$2,0),0)</f>
        <v>7.0000000000000007E-2</v>
      </c>
      <c r="AF7604" s="6">
        <f t="shared" si="1177"/>
        <v>0</v>
      </c>
      <c r="AG7604" s="14">
        <v>0</v>
      </c>
      <c r="AH7604" s="64">
        <f t="shared" si="1176"/>
        <v>0</v>
      </c>
      <c r="AJ7604" s="126" t="e">
        <v>#N/A</v>
      </c>
      <c r="AK7604" s="80">
        <f t="shared" si="1173"/>
        <v>0</v>
      </c>
      <c r="AL7604" s="85"/>
      <c r="AM7604" s="85"/>
    </row>
    <row r="7605" spans="1:39" s="86" customFormat="1" ht="13.25" hidden="1" customHeight="1" x14ac:dyDescent="0.3">
      <c r="A7605" s="89" t="s">
        <v>3978</v>
      </c>
      <c r="B7605" s="86" t="s">
        <v>35</v>
      </c>
      <c r="C7605" s="86" t="s">
        <v>164</v>
      </c>
      <c r="D7605" s="86" t="s">
        <v>174</v>
      </c>
      <c r="E7605" s="86" t="s">
        <v>1807</v>
      </c>
      <c r="F7605" s="86" t="s">
        <v>1807</v>
      </c>
      <c r="G7605" s="86" t="s">
        <v>1807</v>
      </c>
      <c r="H7605" s="144">
        <v>360</v>
      </c>
      <c r="I7605" s="86" t="s">
        <v>1060</v>
      </c>
      <c r="J7605" s="47" t="s">
        <v>3325</v>
      </c>
      <c r="K7605" s="47" t="s">
        <v>3767</v>
      </c>
      <c r="L7605" s="47" t="s">
        <v>35</v>
      </c>
      <c r="M7605" s="86" t="s">
        <v>1807</v>
      </c>
      <c r="O7605" s="47" t="s">
        <v>410</v>
      </c>
      <c r="P7605" s="14" t="s">
        <v>41</v>
      </c>
      <c r="Q7605" s="14">
        <v>0</v>
      </c>
      <c r="R7605" s="143" t="s">
        <v>1808</v>
      </c>
      <c r="S7605" s="47"/>
      <c r="T7605" s="6">
        <v>4047.0999999999995</v>
      </c>
      <c r="U7605" s="6"/>
      <c r="V7605" s="6">
        <v>192.1</v>
      </c>
      <c r="W7605" s="6">
        <f t="shared" si="1174"/>
        <v>3854.9999999999995</v>
      </c>
      <c r="X7605" s="6">
        <f t="shared" si="1178"/>
        <v>192.1</v>
      </c>
      <c r="Y7605" s="13">
        <f t="shared" si="1171"/>
        <v>0</v>
      </c>
      <c r="Z7605" s="14">
        <v>0</v>
      </c>
      <c r="AA7605" s="6">
        <v>0</v>
      </c>
      <c r="AB7605" s="4">
        <f t="shared" si="1172"/>
        <v>192.1</v>
      </c>
      <c r="AC7605" s="6">
        <f t="shared" si="1170"/>
        <v>0</v>
      </c>
      <c r="AD7605" s="6">
        <f t="shared" si="1175"/>
        <v>192.1</v>
      </c>
      <c r="AE7605" s="14">
        <f>VLOOKUP(I7605,[2]媒体政策预估表!A:N,MATCH(O7605,[2]媒体政策预估表!$A$2:$M$2,0),0)</f>
        <v>7.0000000000000007E-2</v>
      </c>
      <c r="AF7605" s="6">
        <f t="shared" si="1177"/>
        <v>13.447000000000001</v>
      </c>
      <c r="AG7605" s="14">
        <v>0</v>
      </c>
      <c r="AH7605" s="64">
        <f t="shared" si="1176"/>
        <v>192.1</v>
      </c>
      <c r="AJ7605" s="126" t="e">
        <v>#N/A</v>
      </c>
      <c r="AK7605" s="80">
        <f t="shared" si="1173"/>
        <v>0</v>
      </c>
      <c r="AL7605" s="85"/>
      <c r="AM7605" s="85"/>
    </row>
    <row r="7606" spans="1:39" s="86" customFormat="1" ht="13.25" hidden="1" customHeight="1" x14ac:dyDescent="0.3">
      <c r="A7606" s="89" t="s">
        <v>3978</v>
      </c>
      <c r="B7606" s="86" t="s">
        <v>35</v>
      </c>
      <c r="C7606" s="86" t="s">
        <v>164</v>
      </c>
      <c r="D7606" s="86" t="s">
        <v>174</v>
      </c>
      <c r="E7606" s="86" t="s">
        <v>692</v>
      </c>
      <c r="F7606" s="86" t="s">
        <v>692</v>
      </c>
      <c r="G7606" s="86" t="s">
        <v>692</v>
      </c>
      <c r="H7606" s="143">
        <v>360</v>
      </c>
      <c r="I7606" s="86" t="s">
        <v>1060</v>
      </c>
      <c r="J7606" s="47" t="s">
        <v>3325</v>
      </c>
      <c r="K7606" s="47" t="s">
        <v>3767</v>
      </c>
      <c r="L7606" s="47" t="s">
        <v>35</v>
      </c>
      <c r="M7606" s="86" t="s">
        <v>1811</v>
      </c>
      <c r="O7606" s="47" t="s">
        <v>410</v>
      </c>
      <c r="P7606" s="14" t="s">
        <v>41</v>
      </c>
      <c r="Q7606" s="14">
        <v>0</v>
      </c>
      <c r="R7606" s="143" t="s">
        <v>1812</v>
      </c>
      <c r="S7606" s="47"/>
      <c r="T7606" s="6">
        <v>-3.3000000000029104</v>
      </c>
      <c r="U7606" s="6"/>
      <c r="V7606" s="6">
        <v>0</v>
      </c>
      <c r="W7606" s="6">
        <f t="shared" si="1174"/>
        <v>-3.3000000000029104</v>
      </c>
      <c r="X7606" s="6">
        <f t="shared" si="1178"/>
        <v>0</v>
      </c>
      <c r="Y7606" s="13">
        <f t="shared" si="1171"/>
        <v>0</v>
      </c>
      <c r="Z7606" s="14">
        <v>0</v>
      </c>
      <c r="AA7606" s="6">
        <v>0</v>
      </c>
      <c r="AB7606" s="4">
        <f t="shared" si="1172"/>
        <v>0</v>
      </c>
      <c r="AC7606" s="6">
        <f t="shared" si="1170"/>
        <v>0</v>
      </c>
      <c r="AD7606" s="6">
        <f t="shared" si="1175"/>
        <v>0</v>
      </c>
      <c r="AE7606" s="14">
        <f>VLOOKUP(I7606,[2]媒体政策预估表!A:N,MATCH(O7606,[2]媒体政策预估表!$A$2:$M$2,0),0)</f>
        <v>7.0000000000000007E-2</v>
      </c>
      <c r="AF7606" s="6">
        <f t="shared" si="1177"/>
        <v>0</v>
      </c>
      <c r="AG7606" s="14">
        <v>0</v>
      </c>
      <c r="AH7606" s="64">
        <f t="shared" si="1176"/>
        <v>0</v>
      </c>
      <c r="AJ7606" s="126" t="e">
        <v>#N/A</v>
      </c>
      <c r="AK7606" s="80">
        <f t="shared" si="1173"/>
        <v>0</v>
      </c>
      <c r="AL7606" s="85"/>
      <c r="AM7606" s="85"/>
    </row>
    <row r="7607" spans="1:39" s="86" customFormat="1" ht="13.25" hidden="1" customHeight="1" x14ac:dyDescent="0.3">
      <c r="A7607" s="89" t="s">
        <v>3792</v>
      </c>
      <c r="B7607" s="86" t="s">
        <v>35</v>
      </c>
      <c r="C7607" s="86" t="s">
        <v>164</v>
      </c>
      <c r="D7607" s="86" t="s">
        <v>3407</v>
      </c>
      <c r="E7607" s="86" t="s">
        <v>182</v>
      </c>
      <c r="F7607" s="86" t="s">
        <v>183</v>
      </c>
      <c r="G7607" s="86" t="s">
        <v>182</v>
      </c>
      <c r="H7607" s="143">
        <v>304</v>
      </c>
      <c r="I7607" s="86" t="s">
        <v>610</v>
      </c>
      <c r="J7607" s="47" t="s">
        <v>3323</v>
      </c>
      <c r="K7607" s="47" t="s">
        <v>3275</v>
      </c>
      <c r="L7607" s="47" t="s">
        <v>35</v>
      </c>
      <c r="M7607" s="86" t="s">
        <v>1829</v>
      </c>
      <c r="O7607" s="47" t="s">
        <v>410</v>
      </c>
      <c r="P7607" s="14" t="s">
        <v>41</v>
      </c>
      <c r="Q7607" s="14">
        <v>0</v>
      </c>
      <c r="R7607" s="143" t="s">
        <v>1830</v>
      </c>
      <c r="S7607" s="47"/>
      <c r="T7607" s="6">
        <v>1.1299999999682768</v>
      </c>
      <c r="U7607" s="6"/>
      <c r="V7607" s="6"/>
      <c r="W7607" s="6">
        <f t="shared" si="1174"/>
        <v>1.1299999999682768</v>
      </c>
      <c r="X7607" s="6">
        <f t="shared" si="1178"/>
        <v>0</v>
      </c>
      <c r="Y7607" s="13">
        <f t="shared" si="1171"/>
        <v>0</v>
      </c>
      <c r="Z7607" s="14">
        <v>0.02</v>
      </c>
      <c r="AA7607" s="6">
        <f t="shared" ref="AA7607:AA7608" si="1179">X7607/(1-Z7607)*Z7607</f>
        <v>0</v>
      </c>
      <c r="AB7607" s="4">
        <f t="shared" si="1172"/>
        <v>0</v>
      </c>
      <c r="AC7607" s="6">
        <f t="shared" si="1170"/>
        <v>0</v>
      </c>
      <c r="AD7607" s="6">
        <f t="shared" si="1175"/>
        <v>0</v>
      </c>
      <c r="AE7607" s="14">
        <f>VLOOKUP(I7607,[2]媒体政策预估表!A:N,MATCH(O7607,[2]媒体政策预估表!$A$2:$M$2,0),0)</f>
        <v>0.02</v>
      </c>
      <c r="AF7607" s="6">
        <f t="shared" si="1177"/>
        <v>0</v>
      </c>
      <c r="AG7607" s="14">
        <v>0</v>
      </c>
      <c r="AH7607" s="64">
        <f t="shared" si="1176"/>
        <v>0</v>
      </c>
      <c r="AJ7607" s="126" t="e">
        <v>#N/A</v>
      </c>
      <c r="AK7607" s="80">
        <f t="shared" si="1173"/>
        <v>0</v>
      </c>
      <c r="AL7607" s="85"/>
      <c r="AM7607" s="85"/>
    </row>
    <row r="7608" spans="1:39" s="86" customFormat="1" ht="13.25" hidden="1" customHeight="1" x14ac:dyDescent="0.3">
      <c r="A7608" s="89" t="s">
        <v>3978</v>
      </c>
      <c r="B7608" s="86" t="s">
        <v>35</v>
      </c>
      <c r="C7608" s="86" t="s">
        <v>164</v>
      </c>
      <c r="D7608" s="86" t="s">
        <v>181</v>
      </c>
      <c r="E7608" s="86" t="s">
        <v>182</v>
      </c>
      <c r="F7608" s="86" t="s">
        <v>183</v>
      </c>
      <c r="G7608" s="86" t="s">
        <v>182</v>
      </c>
      <c r="H7608" s="144">
        <v>360</v>
      </c>
      <c r="I7608" s="86" t="s">
        <v>1060</v>
      </c>
      <c r="J7608" s="47" t="s">
        <v>3325</v>
      </c>
      <c r="K7608" s="47" t="s">
        <v>3767</v>
      </c>
      <c r="L7608" s="47" t="s">
        <v>35</v>
      </c>
      <c r="M7608" s="86" t="s">
        <v>1829</v>
      </c>
      <c r="O7608" s="47" t="s">
        <v>410</v>
      </c>
      <c r="P7608" s="14" t="s">
        <v>41</v>
      </c>
      <c r="Q7608" s="14">
        <v>0</v>
      </c>
      <c r="R7608" s="143" t="s">
        <v>1830</v>
      </c>
      <c r="S7608" s="47" t="s">
        <v>4115</v>
      </c>
      <c r="T7608" s="6">
        <v>23987.050000000338</v>
      </c>
      <c r="U7608" s="6"/>
      <c r="V7608" s="6">
        <v>0</v>
      </c>
      <c r="W7608" s="6">
        <f t="shared" si="1174"/>
        <v>23987.050000000338</v>
      </c>
      <c r="X7608" s="6">
        <v>1.5</v>
      </c>
      <c r="Y7608" s="13">
        <f t="shared" si="1171"/>
        <v>1.5</v>
      </c>
      <c r="Z7608" s="14">
        <v>0.02</v>
      </c>
      <c r="AA7608" s="6">
        <f t="shared" si="1179"/>
        <v>3.0612244897959183E-2</v>
      </c>
      <c r="AB7608" s="4">
        <f t="shared" si="1172"/>
        <v>1.5306122448979591</v>
      </c>
      <c r="AC7608" s="6">
        <f t="shared" si="1170"/>
        <v>-1.5</v>
      </c>
      <c r="AD7608" s="6">
        <f t="shared" si="1175"/>
        <v>0</v>
      </c>
      <c r="AE7608" s="14">
        <f>VLOOKUP(I7608,[2]媒体政策预估表!A:N,MATCH(O7608,[2]媒体政策预估表!$A$2:$M$2,0),0)</f>
        <v>7.0000000000000007E-2</v>
      </c>
      <c r="AF7608" s="6">
        <f t="shared" si="1177"/>
        <v>0</v>
      </c>
      <c r="AG7608" s="14">
        <v>0</v>
      </c>
      <c r="AH7608" s="64">
        <f t="shared" si="1176"/>
        <v>0</v>
      </c>
      <c r="AJ7608" s="126" t="e">
        <v>#N/A</v>
      </c>
      <c r="AK7608" s="80">
        <f t="shared" si="1173"/>
        <v>0</v>
      </c>
      <c r="AL7608" s="85"/>
      <c r="AM7608" s="85"/>
    </row>
    <row r="7609" spans="1:39" s="86" customFormat="1" ht="13.25" hidden="1" customHeight="1" x14ac:dyDescent="0.3">
      <c r="A7609" s="89" t="s">
        <v>3978</v>
      </c>
      <c r="B7609" s="86" t="s">
        <v>35</v>
      </c>
      <c r="C7609" s="86" t="s">
        <v>36</v>
      </c>
      <c r="D7609" s="86" t="s">
        <v>298</v>
      </c>
      <c r="E7609" s="86" t="s">
        <v>1547</v>
      </c>
      <c r="F7609" s="86" t="s">
        <v>1547</v>
      </c>
      <c r="G7609" s="86" t="s">
        <v>1547</v>
      </c>
      <c r="H7609" s="143">
        <v>360</v>
      </c>
      <c r="I7609" s="86" t="s">
        <v>1060</v>
      </c>
      <c r="J7609" s="47" t="s">
        <v>3325</v>
      </c>
      <c r="K7609" s="47" t="s">
        <v>3767</v>
      </c>
      <c r="L7609" s="47" t="s">
        <v>35</v>
      </c>
      <c r="M7609" s="86" t="s">
        <v>1835</v>
      </c>
      <c r="O7609" s="47" t="s">
        <v>410</v>
      </c>
      <c r="P7609" s="14" t="s">
        <v>46</v>
      </c>
      <c r="Q7609" s="14">
        <v>0.02</v>
      </c>
      <c r="R7609" s="143" t="s">
        <v>1837</v>
      </c>
      <c r="S7609" s="47"/>
      <c r="T7609" s="6">
        <v>12.100000000010368</v>
      </c>
      <c r="U7609" s="6"/>
      <c r="V7609" s="6">
        <v>0</v>
      </c>
      <c r="W7609" s="6">
        <f t="shared" si="1174"/>
        <v>12.100000000010368</v>
      </c>
      <c r="X7609" s="6">
        <f t="shared" si="1178"/>
        <v>0</v>
      </c>
      <c r="Y7609" s="13">
        <f t="shared" si="1171"/>
        <v>0</v>
      </c>
      <c r="Z7609" s="14">
        <v>0</v>
      </c>
      <c r="AA7609" s="6">
        <v>0</v>
      </c>
      <c r="AB7609" s="4">
        <f t="shared" si="1172"/>
        <v>0</v>
      </c>
      <c r="AC7609" s="6">
        <f t="shared" si="1170"/>
        <v>0</v>
      </c>
      <c r="AD7609" s="6">
        <f t="shared" si="1175"/>
        <v>0</v>
      </c>
      <c r="AE7609" s="14">
        <f>VLOOKUP(I7609,[2]媒体政策预估表!A:N,MATCH(O7609,[2]媒体政策预估表!$A$2:$M$2,0),0)</f>
        <v>7.0000000000000007E-2</v>
      </c>
      <c r="AF7609" s="6">
        <f t="shared" si="1177"/>
        <v>0</v>
      </c>
      <c r="AG7609" s="14">
        <v>0</v>
      </c>
      <c r="AH7609" s="64">
        <f t="shared" si="1176"/>
        <v>0</v>
      </c>
      <c r="AJ7609" s="126" t="e">
        <v>#N/A</v>
      </c>
      <c r="AK7609" s="80">
        <f t="shared" si="1173"/>
        <v>0</v>
      </c>
      <c r="AL7609" s="85"/>
      <c r="AM7609" s="85"/>
    </row>
    <row r="7610" spans="1:39" s="86" customFormat="1" ht="13.25" hidden="1" customHeight="1" x14ac:dyDescent="0.3">
      <c r="A7610" s="89" t="s">
        <v>3978</v>
      </c>
      <c r="B7610" s="86" t="s">
        <v>35</v>
      </c>
      <c r="C7610" s="86" t="s">
        <v>36</v>
      </c>
      <c r="D7610" s="86" t="s">
        <v>298</v>
      </c>
      <c r="E7610" s="86" t="s">
        <v>1547</v>
      </c>
      <c r="F7610" s="86" t="s">
        <v>1547</v>
      </c>
      <c r="G7610" s="86" t="s">
        <v>1547</v>
      </c>
      <c r="H7610" s="143">
        <v>360</v>
      </c>
      <c r="I7610" s="86" t="s">
        <v>1060</v>
      </c>
      <c r="J7610" s="47" t="s">
        <v>3325</v>
      </c>
      <c r="K7610" s="47" t="s">
        <v>3767</v>
      </c>
      <c r="L7610" s="47" t="s">
        <v>35</v>
      </c>
      <c r="M7610" s="86" t="s">
        <v>1545</v>
      </c>
      <c r="O7610" s="47" t="s">
        <v>45</v>
      </c>
      <c r="P7610" s="14" t="s">
        <v>46</v>
      </c>
      <c r="Q7610" s="14">
        <v>0.04</v>
      </c>
      <c r="R7610" s="143" t="s">
        <v>1546</v>
      </c>
      <c r="S7610" s="47"/>
      <c r="T7610" s="6">
        <v>160</v>
      </c>
      <c r="U7610" s="6"/>
      <c r="V7610" s="6">
        <v>0</v>
      </c>
      <c r="W7610" s="6">
        <f t="shared" si="1174"/>
        <v>160</v>
      </c>
      <c r="X7610" s="6">
        <f t="shared" si="1178"/>
        <v>0</v>
      </c>
      <c r="Y7610" s="13">
        <f t="shared" si="1171"/>
        <v>0</v>
      </c>
      <c r="Z7610" s="14">
        <v>0</v>
      </c>
      <c r="AA7610" s="6">
        <v>0</v>
      </c>
      <c r="AB7610" s="4">
        <f t="shared" si="1172"/>
        <v>0</v>
      </c>
      <c r="AC7610" s="6">
        <f t="shared" si="1170"/>
        <v>0</v>
      </c>
      <c r="AD7610" s="6">
        <f t="shared" si="1175"/>
        <v>0</v>
      </c>
      <c r="AE7610" s="14">
        <f>VLOOKUP(I7610,[2]媒体政策预估表!A:N,MATCH(O7610,[2]媒体政策预估表!$A$2:$M$2,0),0)</f>
        <v>0.1</v>
      </c>
      <c r="AF7610" s="6">
        <f t="shared" si="1177"/>
        <v>0</v>
      </c>
      <c r="AG7610" s="14">
        <v>0</v>
      </c>
      <c r="AH7610" s="64">
        <f t="shared" si="1176"/>
        <v>0</v>
      </c>
      <c r="AJ7610" s="126" t="e">
        <v>#N/A</v>
      </c>
      <c r="AK7610" s="80">
        <f t="shared" si="1173"/>
        <v>0</v>
      </c>
      <c r="AL7610" s="85"/>
      <c r="AM7610" s="85"/>
    </row>
    <row r="7611" spans="1:39" s="86" customFormat="1" ht="13.25" hidden="1" customHeight="1" x14ac:dyDescent="0.3">
      <c r="A7611" s="89" t="s">
        <v>3792</v>
      </c>
      <c r="B7611" s="86" t="s">
        <v>35</v>
      </c>
      <c r="C7611" s="86" t="s">
        <v>59</v>
      </c>
      <c r="D7611" s="86" t="s">
        <v>60</v>
      </c>
      <c r="E7611" s="86" t="s">
        <v>61</v>
      </c>
      <c r="F7611" s="86" t="s">
        <v>62</v>
      </c>
      <c r="G7611" s="86" t="s">
        <v>61</v>
      </c>
      <c r="H7611" s="143">
        <v>360</v>
      </c>
      <c r="I7611" s="86" t="s">
        <v>1060</v>
      </c>
      <c r="J7611" s="47" t="s">
        <v>3325</v>
      </c>
      <c r="K7611" s="47" t="s">
        <v>3767</v>
      </c>
      <c r="L7611" s="47" t="s">
        <v>35</v>
      </c>
      <c r="M7611" s="86" t="s">
        <v>61</v>
      </c>
      <c r="O7611" s="47" t="s">
        <v>410</v>
      </c>
      <c r="P7611" s="14" t="s">
        <v>41</v>
      </c>
      <c r="Q7611" s="14">
        <v>0</v>
      </c>
      <c r="R7611" s="143" t="s">
        <v>1841</v>
      </c>
      <c r="S7611" s="47"/>
      <c r="T7611" s="6">
        <v>1166028.6700099998</v>
      </c>
      <c r="U7611" s="6"/>
      <c r="V7611" s="6">
        <v>0</v>
      </c>
      <c r="W7611" s="6">
        <f t="shared" si="1174"/>
        <v>1166028.6700099998</v>
      </c>
      <c r="X7611" s="6">
        <f t="shared" si="1178"/>
        <v>0</v>
      </c>
      <c r="Y7611" s="13">
        <f t="shared" si="1171"/>
        <v>0</v>
      </c>
      <c r="Z7611" s="14">
        <v>0</v>
      </c>
      <c r="AA7611" s="6">
        <v>0</v>
      </c>
      <c r="AB7611" s="4">
        <f t="shared" si="1172"/>
        <v>0</v>
      </c>
      <c r="AC7611" s="6">
        <f t="shared" si="1170"/>
        <v>0</v>
      </c>
      <c r="AD7611" s="6">
        <f t="shared" si="1175"/>
        <v>0</v>
      </c>
      <c r="AE7611" s="14">
        <f>VLOOKUP(I7611,[2]媒体政策预估表!A:N,MATCH(O7611,[2]媒体政策预估表!$A$2:$M$2,0),0)</f>
        <v>7.0000000000000007E-2</v>
      </c>
      <c r="AF7611" s="6">
        <f t="shared" si="1177"/>
        <v>0</v>
      </c>
      <c r="AG7611" s="14">
        <v>0</v>
      </c>
      <c r="AH7611" s="64">
        <f t="shared" si="1176"/>
        <v>0</v>
      </c>
      <c r="AJ7611" s="126" t="e">
        <v>#N/A</v>
      </c>
      <c r="AK7611" s="80">
        <f t="shared" si="1173"/>
        <v>0</v>
      </c>
      <c r="AL7611" s="85"/>
      <c r="AM7611" s="85"/>
    </row>
    <row r="7612" spans="1:39" s="86" customFormat="1" ht="13.25" hidden="1" customHeight="1" x14ac:dyDescent="0.3">
      <c r="A7612" s="89" t="s">
        <v>3978</v>
      </c>
      <c r="B7612" s="86" t="s">
        <v>35</v>
      </c>
      <c r="C7612" s="86" t="s">
        <v>59</v>
      </c>
      <c r="D7612" s="86" t="s">
        <v>60</v>
      </c>
      <c r="E7612" s="86" t="s">
        <v>417</v>
      </c>
      <c r="F7612" s="86" t="s">
        <v>418</v>
      </c>
      <c r="G7612" s="86" t="s">
        <v>417</v>
      </c>
      <c r="H7612" s="143">
        <v>360</v>
      </c>
      <c r="I7612" s="86" t="s">
        <v>1060</v>
      </c>
      <c r="J7612" s="47" t="s">
        <v>3325</v>
      </c>
      <c r="K7612" s="47" t="s">
        <v>3767</v>
      </c>
      <c r="L7612" s="47" t="s">
        <v>35</v>
      </c>
      <c r="M7612" s="86" t="s">
        <v>417</v>
      </c>
      <c r="O7612" s="47" t="s">
        <v>410</v>
      </c>
      <c r="P7612" s="14" t="s">
        <v>41</v>
      </c>
      <c r="Q7612" s="14">
        <v>0</v>
      </c>
      <c r="R7612" s="143" t="s">
        <v>1843</v>
      </c>
      <c r="S7612" s="47"/>
      <c r="T7612" s="6">
        <v>-24.899999999994179</v>
      </c>
      <c r="U7612" s="6"/>
      <c r="V7612" s="6">
        <v>0</v>
      </c>
      <c r="W7612" s="6">
        <f t="shared" si="1174"/>
        <v>-24.899999999994179</v>
      </c>
      <c r="X7612" s="6">
        <f t="shared" si="1178"/>
        <v>0</v>
      </c>
      <c r="Y7612" s="13">
        <f t="shared" si="1171"/>
        <v>0</v>
      </c>
      <c r="Z7612" s="14">
        <v>0</v>
      </c>
      <c r="AA7612" s="6">
        <v>0</v>
      </c>
      <c r="AB7612" s="4">
        <f t="shared" si="1172"/>
        <v>0</v>
      </c>
      <c r="AC7612" s="6">
        <f t="shared" si="1170"/>
        <v>0</v>
      </c>
      <c r="AD7612" s="6">
        <f t="shared" si="1175"/>
        <v>0</v>
      </c>
      <c r="AE7612" s="14">
        <f>VLOOKUP(I7612,[2]媒体政策预估表!A:N,MATCH(O7612,[2]媒体政策预估表!$A$2:$M$2,0),0)</f>
        <v>7.0000000000000007E-2</v>
      </c>
      <c r="AF7612" s="6">
        <f t="shared" si="1177"/>
        <v>0</v>
      </c>
      <c r="AG7612" s="14">
        <v>0</v>
      </c>
      <c r="AH7612" s="64">
        <f t="shared" si="1176"/>
        <v>0</v>
      </c>
      <c r="AJ7612" s="126" t="e">
        <v>#N/A</v>
      </c>
      <c r="AK7612" s="80">
        <f t="shared" si="1173"/>
        <v>0</v>
      </c>
      <c r="AL7612" s="85"/>
      <c r="AM7612" s="85"/>
    </row>
    <row r="7613" spans="1:39" s="86" customFormat="1" ht="13.25" hidden="1" customHeight="1" x14ac:dyDescent="0.3">
      <c r="A7613" s="89" t="s">
        <v>3792</v>
      </c>
      <c r="B7613" s="86" t="s">
        <v>35</v>
      </c>
      <c r="C7613" s="86" t="s">
        <v>59</v>
      </c>
      <c r="D7613" s="86" t="s">
        <v>60</v>
      </c>
      <c r="E7613" s="86" t="s">
        <v>1844</v>
      </c>
      <c r="F7613" s="86" t="s">
        <v>1844</v>
      </c>
      <c r="G7613" s="86" t="s">
        <v>1844</v>
      </c>
      <c r="H7613" s="143">
        <v>360</v>
      </c>
      <c r="I7613" s="86" t="s">
        <v>1060</v>
      </c>
      <c r="J7613" s="47" t="s">
        <v>3325</v>
      </c>
      <c r="K7613" s="47" t="s">
        <v>3767</v>
      </c>
      <c r="L7613" s="47" t="s">
        <v>35</v>
      </c>
      <c r="M7613" s="86" t="s">
        <v>1845</v>
      </c>
      <c r="O7613" s="47" t="s">
        <v>410</v>
      </c>
      <c r="P7613" s="14" t="s">
        <v>41</v>
      </c>
      <c r="Q7613" s="14">
        <v>0</v>
      </c>
      <c r="R7613" s="143" t="s">
        <v>1846</v>
      </c>
      <c r="S7613" s="47"/>
      <c r="T7613" s="6">
        <v>7.999999999992724E-2</v>
      </c>
      <c r="U7613" s="6"/>
      <c r="V7613" s="6">
        <v>0</v>
      </c>
      <c r="W7613" s="6">
        <f t="shared" si="1174"/>
        <v>7.999999999992724E-2</v>
      </c>
      <c r="X7613" s="6">
        <f t="shared" si="1178"/>
        <v>0</v>
      </c>
      <c r="Y7613" s="13">
        <f t="shared" si="1171"/>
        <v>0</v>
      </c>
      <c r="Z7613" s="14">
        <v>0</v>
      </c>
      <c r="AA7613" s="6">
        <v>0</v>
      </c>
      <c r="AB7613" s="4">
        <f t="shared" si="1172"/>
        <v>0</v>
      </c>
      <c r="AC7613" s="6">
        <f t="shared" si="1170"/>
        <v>0</v>
      </c>
      <c r="AD7613" s="6">
        <f t="shared" si="1175"/>
        <v>0</v>
      </c>
      <c r="AE7613" s="14">
        <f>VLOOKUP(I7613,[2]媒体政策预估表!A:N,MATCH(O7613,[2]媒体政策预估表!$A$2:$M$2,0),0)</f>
        <v>7.0000000000000007E-2</v>
      </c>
      <c r="AF7613" s="6">
        <f t="shared" si="1177"/>
        <v>0</v>
      </c>
      <c r="AG7613" s="14">
        <v>0</v>
      </c>
      <c r="AH7613" s="64">
        <f t="shared" si="1176"/>
        <v>0</v>
      </c>
      <c r="AJ7613" s="126" t="e">
        <v>#N/A</v>
      </c>
      <c r="AK7613" s="80">
        <f t="shared" si="1173"/>
        <v>0</v>
      </c>
      <c r="AL7613" s="85"/>
      <c r="AM7613" s="85"/>
    </row>
    <row r="7614" spans="1:39" s="86" customFormat="1" ht="13.25" hidden="1" customHeight="1" x14ac:dyDescent="0.3">
      <c r="A7614" s="89" t="s">
        <v>3978</v>
      </c>
      <c r="B7614" s="86" t="s">
        <v>35</v>
      </c>
      <c r="C7614" s="86" t="s">
        <v>59</v>
      </c>
      <c r="D7614" s="86" t="s">
        <v>60</v>
      </c>
      <c r="E7614" s="86" t="s">
        <v>1844</v>
      </c>
      <c r="F7614" s="86" t="s">
        <v>1844</v>
      </c>
      <c r="G7614" s="86" t="s">
        <v>1844</v>
      </c>
      <c r="H7614" s="143">
        <v>360</v>
      </c>
      <c r="I7614" s="86" t="s">
        <v>1060</v>
      </c>
      <c r="J7614" s="47" t="s">
        <v>3325</v>
      </c>
      <c r="K7614" s="47" t="s">
        <v>3767</v>
      </c>
      <c r="L7614" s="47" t="s">
        <v>35</v>
      </c>
      <c r="M7614" s="86" t="s">
        <v>1847</v>
      </c>
      <c r="O7614" s="47" t="s">
        <v>410</v>
      </c>
      <c r="P7614" s="14" t="s">
        <v>41</v>
      </c>
      <c r="Q7614" s="14">
        <v>0</v>
      </c>
      <c r="R7614" s="143" t="s">
        <v>1848</v>
      </c>
      <c r="S7614" s="47"/>
      <c r="T7614" s="6">
        <v>5.0000000082945917E-2</v>
      </c>
      <c r="U7614" s="6"/>
      <c r="V7614" s="6">
        <v>0</v>
      </c>
      <c r="W7614" s="6">
        <f t="shared" si="1174"/>
        <v>5.0000000082945917E-2</v>
      </c>
      <c r="X7614" s="6">
        <f t="shared" si="1178"/>
        <v>0</v>
      </c>
      <c r="Y7614" s="13">
        <f t="shared" si="1171"/>
        <v>0</v>
      </c>
      <c r="Z7614" s="14">
        <v>0</v>
      </c>
      <c r="AA7614" s="6">
        <v>0</v>
      </c>
      <c r="AB7614" s="4">
        <f t="shared" si="1172"/>
        <v>0</v>
      </c>
      <c r="AC7614" s="6">
        <f t="shared" ref="AC7614:AC7677" si="1180">IF(P7614="返现",X7614*Q7614,V7614-X7614)</f>
        <v>0</v>
      </c>
      <c r="AD7614" s="6">
        <f t="shared" si="1175"/>
        <v>0</v>
      </c>
      <c r="AE7614" s="14">
        <f>VLOOKUP(I7614,[2]媒体政策预估表!A:N,MATCH(O7614,[2]媒体政策预估表!$A$2:$M$2,0),0)</f>
        <v>7.0000000000000007E-2</v>
      </c>
      <c r="AF7614" s="6">
        <f t="shared" si="1177"/>
        <v>0</v>
      </c>
      <c r="AG7614" s="14">
        <v>0</v>
      </c>
      <c r="AH7614" s="64">
        <f t="shared" si="1176"/>
        <v>0</v>
      </c>
      <c r="AJ7614" s="126" t="e">
        <v>#N/A</v>
      </c>
      <c r="AK7614" s="80">
        <f t="shared" si="1173"/>
        <v>0</v>
      </c>
      <c r="AL7614" s="85"/>
      <c r="AM7614" s="85"/>
    </row>
    <row r="7615" spans="1:39" s="86" customFormat="1" ht="13.25" hidden="1" customHeight="1" x14ac:dyDescent="0.3">
      <c r="A7615" s="89" t="s">
        <v>3978</v>
      </c>
      <c r="B7615" s="86" t="s">
        <v>35</v>
      </c>
      <c r="C7615" s="86" t="s">
        <v>59</v>
      </c>
      <c r="D7615" s="86" t="s">
        <v>60</v>
      </c>
      <c r="E7615" s="86" t="s">
        <v>1844</v>
      </c>
      <c r="F7615" s="86" t="s">
        <v>1844</v>
      </c>
      <c r="G7615" s="86" t="s">
        <v>1844</v>
      </c>
      <c r="H7615" s="143">
        <v>360</v>
      </c>
      <c r="I7615" s="86" t="s">
        <v>1060</v>
      </c>
      <c r="J7615" s="47" t="s">
        <v>3325</v>
      </c>
      <c r="K7615" s="47" t="s">
        <v>3767</v>
      </c>
      <c r="L7615" s="47" t="s">
        <v>35</v>
      </c>
      <c r="M7615" s="86" t="s">
        <v>1849</v>
      </c>
      <c r="O7615" s="47" t="s">
        <v>410</v>
      </c>
      <c r="P7615" s="14" t="s">
        <v>41</v>
      </c>
      <c r="Q7615" s="14">
        <v>0</v>
      </c>
      <c r="R7615" s="143" t="s">
        <v>1850</v>
      </c>
      <c r="S7615" s="47"/>
      <c r="T7615" s="6">
        <v>8.9999999981955625E-2</v>
      </c>
      <c r="U7615" s="6"/>
      <c r="V7615" s="6">
        <v>0</v>
      </c>
      <c r="W7615" s="6">
        <f t="shared" si="1174"/>
        <v>8.9999999981955625E-2</v>
      </c>
      <c r="X7615" s="6">
        <f t="shared" si="1178"/>
        <v>0</v>
      </c>
      <c r="Y7615" s="13">
        <f t="shared" si="1171"/>
        <v>0</v>
      </c>
      <c r="Z7615" s="14">
        <v>0</v>
      </c>
      <c r="AA7615" s="6">
        <v>0</v>
      </c>
      <c r="AB7615" s="4">
        <f t="shared" si="1172"/>
        <v>0</v>
      </c>
      <c r="AC7615" s="6">
        <f t="shared" si="1180"/>
        <v>0</v>
      </c>
      <c r="AD7615" s="6">
        <f t="shared" si="1175"/>
        <v>0</v>
      </c>
      <c r="AE7615" s="14">
        <f>VLOOKUP(I7615,[2]媒体政策预估表!A:N,MATCH(O7615,[2]媒体政策预估表!$A$2:$M$2,0),0)</f>
        <v>7.0000000000000007E-2</v>
      </c>
      <c r="AF7615" s="6">
        <f t="shared" si="1177"/>
        <v>0</v>
      </c>
      <c r="AG7615" s="14">
        <v>0</v>
      </c>
      <c r="AH7615" s="64">
        <f t="shared" si="1176"/>
        <v>0</v>
      </c>
      <c r="AJ7615" s="126" t="e">
        <v>#N/A</v>
      </c>
      <c r="AK7615" s="80">
        <f t="shared" si="1173"/>
        <v>0</v>
      </c>
      <c r="AL7615" s="85"/>
      <c r="AM7615" s="85"/>
    </row>
    <row r="7616" spans="1:39" s="86" customFormat="1" ht="13.25" hidden="1" customHeight="1" x14ac:dyDescent="0.3">
      <c r="A7616" s="89" t="s">
        <v>3792</v>
      </c>
      <c r="B7616" s="86" t="s">
        <v>35</v>
      </c>
      <c r="C7616" s="86" t="s">
        <v>59</v>
      </c>
      <c r="D7616" s="86" t="s">
        <v>60</v>
      </c>
      <c r="E7616" s="86" t="s">
        <v>784</v>
      </c>
      <c r="F7616" s="86" t="s">
        <v>784</v>
      </c>
      <c r="G7616" s="86" t="s">
        <v>784</v>
      </c>
      <c r="H7616" s="143">
        <v>360</v>
      </c>
      <c r="I7616" s="86" t="s">
        <v>1060</v>
      </c>
      <c r="J7616" s="47" t="s">
        <v>3325</v>
      </c>
      <c r="K7616" s="47" t="s">
        <v>3767</v>
      </c>
      <c r="L7616" s="47" t="s">
        <v>35</v>
      </c>
      <c r="M7616" s="86" t="s">
        <v>774</v>
      </c>
      <c r="O7616" s="47" t="s">
        <v>410</v>
      </c>
      <c r="P7616" s="14" t="s">
        <v>46</v>
      </c>
      <c r="Q7616" s="14">
        <v>0.04</v>
      </c>
      <c r="R7616" s="143" t="s">
        <v>1851</v>
      </c>
      <c r="S7616" s="47"/>
      <c r="T7616" s="6">
        <v>23338.525000000023</v>
      </c>
      <c r="U7616" s="6"/>
      <c r="V7616" s="6">
        <v>0</v>
      </c>
      <c r="W7616" s="6">
        <f t="shared" si="1174"/>
        <v>23338.525000000023</v>
      </c>
      <c r="X7616" s="6">
        <f t="shared" si="1178"/>
        <v>0</v>
      </c>
      <c r="Y7616" s="13">
        <f t="shared" si="1171"/>
        <v>0</v>
      </c>
      <c r="Z7616" s="14">
        <v>0</v>
      </c>
      <c r="AA7616" s="6">
        <v>0</v>
      </c>
      <c r="AB7616" s="4">
        <f t="shared" si="1172"/>
        <v>0</v>
      </c>
      <c r="AC7616" s="6">
        <f t="shared" si="1180"/>
        <v>0</v>
      </c>
      <c r="AD7616" s="6">
        <f t="shared" si="1175"/>
        <v>0</v>
      </c>
      <c r="AE7616" s="14">
        <f>VLOOKUP(I7616,[2]媒体政策预估表!A:N,MATCH(O7616,[2]媒体政策预估表!$A$2:$M$2,0),0)</f>
        <v>7.0000000000000007E-2</v>
      </c>
      <c r="AF7616" s="6">
        <f t="shared" si="1177"/>
        <v>0</v>
      </c>
      <c r="AG7616" s="14">
        <v>0</v>
      </c>
      <c r="AH7616" s="64">
        <f t="shared" si="1176"/>
        <v>0</v>
      </c>
      <c r="AJ7616" s="126" t="e">
        <v>#N/A</v>
      </c>
      <c r="AK7616" s="80">
        <f t="shared" si="1173"/>
        <v>0</v>
      </c>
      <c r="AL7616" s="85"/>
      <c r="AM7616" s="85"/>
    </row>
    <row r="7617" spans="1:39" s="86" customFormat="1" ht="13.25" hidden="1" customHeight="1" x14ac:dyDescent="0.3">
      <c r="A7617" s="89" t="s">
        <v>3805</v>
      </c>
      <c r="B7617" s="86" t="s">
        <v>35</v>
      </c>
      <c r="C7617" s="86" t="s">
        <v>184</v>
      </c>
      <c r="D7617" s="86" t="s">
        <v>224</v>
      </c>
      <c r="E7617" s="86" t="s">
        <v>1852</v>
      </c>
      <c r="F7617" s="86" t="s">
        <v>1852</v>
      </c>
      <c r="G7617" s="86" t="s">
        <v>1852</v>
      </c>
      <c r="H7617" s="143">
        <v>360</v>
      </c>
      <c r="I7617" s="86" t="s">
        <v>1060</v>
      </c>
      <c r="J7617" s="47" t="s">
        <v>3325</v>
      </c>
      <c r="K7617" s="47" t="s">
        <v>3767</v>
      </c>
      <c r="L7617" s="47" t="s">
        <v>35</v>
      </c>
      <c r="M7617" s="86" t="s">
        <v>1852</v>
      </c>
      <c r="O7617" s="47" t="s">
        <v>410</v>
      </c>
      <c r="P7617" s="14" t="s">
        <v>46</v>
      </c>
      <c r="Q7617" s="14">
        <v>0.02</v>
      </c>
      <c r="R7617" s="143" t="s">
        <v>1853</v>
      </c>
      <c r="S7617" s="47"/>
      <c r="T7617" s="6">
        <v>-1.1999999999534339</v>
      </c>
      <c r="U7617" s="6"/>
      <c r="V7617" s="6">
        <v>0</v>
      </c>
      <c r="W7617" s="6">
        <f t="shared" si="1174"/>
        <v>-1.1999999999534339</v>
      </c>
      <c r="X7617" s="6">
        <f t="shared" si="1178"/>
        <v>0</v>
      </c>
      <c r="Y7617" s="13">
        <f t="shared" si="1171"/>
        <v>0</v>
      </c>
      <c r="Z7617" s="14">
        <v>0</v>
      </c>
      <c r="AA7617" s="6">
        <v>0</v>
      </c>
      <c r="AB7617" s="4">
        <f t="shared" si="1172"/>
        <v>0</v>
      </c>
      <c r="AC7617" s="6">
        <f t="shared" si="1180"/>
        <v>0</v>
      </c>
      <c r="AD7617" s="6">
        <f t="shared" si="1175"/>
        <v>0</v>
      </c>
      <c r="AE7617" s="14">
        <f>VLOOKUP(I7617,[2]媒体政策预估表!A:N,MATCH(O7617,[2]媒体政策预估表!$A$2:$M$2,0),0)</f>
        <v>7.0000000000000007E-2</v>
      </c>
      <c r="AF7617" s="6">
        <f t="shared" si="1177"/>
        <v>0</v>
      </c>
      <c r="AG7617" s="14">
        <v>0</v>
      </c>
      <c r="AH7617" s="64">
        <f t="shared" si="1176"/>
        <v>0</v>
      </c>
      <c r="AJ7617" s="126" t="e">
        <v>#N/A</v>
      </c>
      <c r="AK7617" s="80">
        <f t="shared" si="1173"/>
        <v>0</v>
      </c>
      <c r="AL7617" s="85"/>
      <c r="AM7617" s="85"/>
    </row>
    <row r="7618" spans="1:39" s="86" customFormat="1" ht="13.25" hidden="1" customHeight="1" x14ac:dyDescent="0.3">
      <c r="A7618" s="89" t="s">
        <v>3978</v>
      </c>
      <c r="B7618" s="86" t="s">
        <v>35</v>
      </c>
      <c r="C7618" s="86" t="s">
        <v>184</v>
      </c>
      <c r="D7618" s="86" t="s">
        <v>224</v>
      </c>
      <c r="E7618" s="86" t="s">
        <v>1149</v>
      </c>
      <c r="F7618" s="86" t="s">
        <v>1149</v>
      </c>
      <c r="G7618" s="86" t="s">
        <v>1149</v>
      </c>
      <c r="H7618" s="143">
        <v>360</v>
      </c>
      <c r="I7618" s="86" t="s">
        <v>1060</v>
      </c>
      <c r="J7618" s="47" t="s">
        <v>3325</v>
      </c>
      <c r="K7618" s="47" t="s">
        <v>3767</v>
      </c>
      <c r="L7618" s="47" t="s">
        <v>35</v>
      </c>
      <c r="M7618" s="86" t="s">
        <v>1854</v>
      </c>
      <c r="O7618" s="47" t="s">
        <v>410</v>
      </c>
      <c r="P7618" s="14" t="s">
        <v>41</v>
      </c>
      <c r="Q7618" s="14">
        <v>0</v>
      </c>
      <c r="R7618" s="143" t="s">
        <v>1855</v>
      </c>
      <c r="S7618" s="47"/>
      <c r="T7618" s="6">
        <v>-52.80000000002326</v>
      </c>
      <c r="U7618" s="6"/>
      <c r="V7618" s="6">
        <v>0</v>
      </c>
      <c r="W7618" s="6">
        <f t="shared" si="1174"/>
        <v>-52.80000000002326</v>
      </c>
      <c r="X7618" s="6">
        <f t="shared" si="1178"/>
        <v>0</v>
      </c>
      <c r="Y7618" s="13">
        <f t="shared" si="1171"/>
        <v>0</v>
      </c>
      <c r="Z7618" s="14">
        <v>0</v>
      </c>
      <c r="AA7618" s="6">
        <v>0</v>
      </c>
      <c r="AB7618" s="4">
        <f t="shared" si="1172"/>
        <v>0</v>
      </c>
      <c r="AC7618" s="6">
        <f t="shared" si="1180"/>
        <v>0</v>
      </c>
      <c r="AD7618" s="6">
        <f t="shared" si="1175"/>
        <v>0</v>
      </c>
      <c r="AE7618" s="14">
        <f>VLOOKUP(I7618,[2]媒体政策预估表!A:N,MATCH(O7618,[2]媒体政策预估表!$A$2:$M$2,0),0)</f>
        <v>7.0000000000000007E-2</v>
      </c>
      <c r="AF7618" s="6">
        <f t="shared" si="1177"/>
        <v>0</v>
      </c>
      <c r="AG7618" s="14">
        <v>0</v>
      </c>
      <c r="AH7618" s="64">
        <f t="shared" si="1176"/>
        <v>0</v>
      </c>
      <c r="AJ7618" s="126" t="e">
        <v>#N/A</v>
      </c>
      <c r="AK7618" s="80">
        <f t="shared" si="1173"/>
        <v>0</v>
      </c>
      <c r="AL7618" s="85"/>
      <c r="AM7618" s="85"/>
    </row>
    <row r="7619" spans="1:39" s="86" customFormat="1" ht="13.25" hidden="1" customHeight="1" x14ac:dyDescent="0.3">
      <c r="A7619" s="89" t="s">
        <v>3978</v>
      </c>
      <c r="B7619" s="86" t="s">
        <v>35</v>
      </c>
      <c r="C7619" s="86" t="s">
        <v>184</v>
      </c>
      <c r="D7619" s="86" t="s">
        <v>224</v>
      </c>
      <c r="E7619" s="86" t="s">
        <v>1149</v>
      </c>
      <c r="F7619" s="86" t="s">
        <v>1149</v>
      </c>
      <c r="G7619" s="86" t="s">
        <v>1149</v>
      </c>
      <c r="H7619" s="143">
        <v>360</v>
      </c>
      <c r="I7619" s="86" t="s">
        <v>1060</v>
      </c>
      <c r="J7619" s="47" t="s">
        <v>3325</v>
      </c>
      <c r="K7619" s="47" t="s">
        <v>3767</v>
      </c>
      <c r="L7619" s="47" t="s">
        <v>35</v>
      </c>
      <c r="M7619" s="86" t="s">
        <v>1856</v>
      </c>
      <c r="O7619" s="47" t="s">
        <v>410</v>
      </c>
      <c r="P7619" s="14" t="s">
        <v>41</v>
      </c>
      <c r="Q7619" s="14">
        <v>0</v>
      </c>
      <c r="R7619" s="143" t="s">
        <v>1857</v>
      </c>
      <c r="S7619" s="47"/>
      <c r="T7619" s="6">
        <v>0.18000000003667083</v>
      </c>
      <c r="U7619" s="6"/>
      <c r="V7619" s="6">
        <v>0</v>
      </c>
      <c r="W7619" s="6">
        <f t="shared" si="1174"/>
        <v>0.18000000003667083</v>
      </c>
      <c r="X7619" s="6">
        <f t="shared" si="1178"/>
        <v>0</v>
      </c>
      <c r="Y7619" s="13">
        <f t="shared" ref="Y7619:Y7682" si="1181">IF(X7619-AD7619&lt;=0,0,IF(P7619="返现",MAX(X7619-AC7619-AD7619,0),MAX(X7619-AD7619)))</f>
        <v>0</v>
      </c>
      <c r="Z7619" s="14">
        <v>0</v>
      </c>
      <c r="AA7619" s="6">
        <v>0</v>
      </c>
      <c r="AB7619" s="4">
        <f t="shared" ref="AB7619:AB7681" si="1182">X7619+AA7619</f>
        <v>0</v>
      </c>
      <c r="AC7619" s="6">
        <f t="shared" si="1180"/>
        <v>0</v>
      </c>
      <c r="AD7619" s="6">
        <f t="shared" si="1175"/>
        <v>0</v>
      </c>
      <c r="AE7619" s="14">
        <f>VLOOKUP(I7619,[2]媒体政策预估表!A:N,MATCH(O7619,[2]媒体政策预估表!$A$2:$M$2,0),0)</f>
        <v>7.0000000000000007E-2</v>
      </c>
      <c r="AF7619" s="6">
        <f t="shared" si="1177"/>
        <v>0</v>
      </c>
      <c r="AG7619" s="14">
        <v>0</v>
      </c>
      <c r="AH7619" s="64">
        <f t="shared" si="1176"/>
        <v>0</v>
      </c>
      <c r="AJ7619" s="126" t="e">
        <v>#N/A</v>
      </c>
      <c r="AK7619" s="80">
        <f t="shared" ref="AK7619:AK7682" si="1183">X7619+AA7619-AB7619</f>
        <v>0</v>
      </c>
      <c r="AL7619" s="85"/>
      <c r="AM7619" s="85"/>
    </row>
    <row r="7620" spans="1:39" s="86" customFormat="1" ht="13.25" hidden="1" customHeight="1" x14ac:dyDescent="0.3">
      <c r="A7620" s="89" t="s">
        <v>3978</v>
      </c>
      <c r="B7620" s="86" t="s">
        <v>35</v>
      </c>
      <c r="C7620" s="86" t="s">
        <v>184</v>
      </c>
      <c r="D7620" s="86" t="s">
        <v>54</v>
      </c>
      <c r="E7620" s="86" t="s">
        <v>71</v>
      </c>
      <c r="F7620" s="86" t="s">
        <v>71</v>
      </c>
      <c r="G7620" s="86" t="s">
        <v>71</v>
      </c>
      <c r="H7620" s="143">
        <v>360</v>
      </c>
      <c r="I7620" s="86" t="s">
        <v>1060</v>
      </c>
      <c r="J7620" s="47" t="s">
        <v>3325</v>
      </c>
      <c r="K7620" s="47" t="s">
        <v>3767</v>
      </c>
      <c r="L7620" s="47" t="s">
        <v>35</v>
      </c>
      <c r="M7620" s="86" t="s">
        <v>1858</v>
      </c>
      <c r="O7620" s="47" t="s">
        <v>410</v>
      </c>
      <c r="P7620" s="14" t="s">
        <v>41</v>
      </c>
      <c r="Q7620" s="14">
        <v>0</v>
      </c>
      <c r="R7620" s="143" t="s">
        <v>1859</v>
      </c>
      <c r="S7620" s="47"/>
      <c r="T7620" s="6">
        <v>477114.46809999994</v>
      </c>
      <c r="U7620" s="6"/>
      <c r="V7620" s="6">
        <v>0</v>
      </c>
      <c r="W7620" s="6">
        <f t="shared" si="1174"/>
        <v>477114.46809999994</v>
      </c>
      <c r="X7620" s="6">
        <f t="shared" si="1178"/>
        <v>0</v>
      </c>
      <c r="Y7620" s="13">
        <f t="shared" si="1181"/>
        <v>0</v>
      </c>
      <c r="Z7620" s="14">
        <v>0</v>
      </c>
      <c r="AA7620" s="6">
        <v>0</v>
      </c>
      <c r="AB7620" s="4">
        <f t="shared" si="1182"/>
        <v>0</v>
      </c>
      <c r="AC7620" s="6">
        <f t="shared" si="1180"/>
        <v>0</v>
      </c>
      <c r="AD7620" s="6">
        <f t="shared" si="1175"/>
        <v>0</v>
      </c>
      <c r="AE7620" s="14">
        <f>VLOOKUP(I7620,[2]媒体政策预估表!A:N,MATCH(O7620,[2]媒体政策预估表!$A$2:$M$2,0),0)</f>
        <v>7.0000000000000007E-2</v>
      </c>
      <c r="AF7620" s="6">
        <f t="shared" si="1177"/>
        <v>0</v>
      </c>
      <c r="AG7620" s="14">
        <v>0</v>
      </c>
      <c r="AH7620" s="64">
        <f t="shared" si="1176"/>
        <v>0</v>
      </c>
      <c r="AJ7620" s="126" t="e">
        <v>#N/A</v>
      </c>
      <c r="AK7620" s="80">
        <f t="shared" si="1183"/>
        <v>0</v>
      </c>
      <c r="AL7620" s="85"/>
      <c r="AM7620" s="85"/>
    </row>
    <row r="7621" spans="1:39" s="86" customFormat="1" ht="13.25" hidden="1" customHeight="1" x14ac:dyDescent="0.3">
      <c r="A7621" s="89" t="s">
        <v>3978</v>
      </c>
      <c r="B7621" s="86" t="s">
        <v>35</v>
      </c>
      <c r="C7621" s="86" t="s">
        <v>184</v>
      </c>
      <c r="D7621" s="86" t="s">
        <v>54</v>
      </c>
      <c r="E7621" s="86" t="s">
        <v>71</v>
      </c>
      <c r="F7621" s="86" t="s">
        <v>71</v>
      </c>
      <c r="G7621" s="86" t="s">
        <v>71</v>
      </c>
      <c r="H7621" s="143">
        <v>360</v>
      </c>
      <c r="I7621" s="86" t="s">
        <v>1060</v>
      </c>
      <c r="J7621" s="47" t="s">
        <v>3325</v>
      </c>
      <c r="K7621" s="47" t="s">
        <v>3767</v>
      </c>
      <c r="L7621" s="47" t="s">
        <v>35</v>
      </c>
      <c r="M7621" s="86" t="s">
        <v>73</v>
      </c>
      <c r="O7621" s="47" t="s">
        <v>410</v>
      </c>
      <c r="P7621" s="14" t="s">
        <v>41</v>
      </c>
      <c r="Q7621" s="14">
        <v>0</v>
      </c>
      <c r="R7621" s="143" t="s">
        <v>1860</v>
      </c>
      <c r="S7621" s="47"/>
      <c r="T7621" s="6">
        <v>3848357.4428999987</v>
      </c>
      <c r="U7621" s="6"/>
      <c r="V7621" s="6">
        <v>0</v>
      </c>
      <c r="W7621" s="6">
        <f t="shared" si="1174"/>
        <v>3848357.4428999987</v>
      </c>
      <c r="X7621" s="6">
        <f t="shared" si="1178"/>
        <v>0</v>
      </c>
      <c r="Y7621" s="13">
        <f t="shared" si="1181"/>
        <v>0</v>
      </c>
      <c r="Z7621" s="14">
        <v>0</v>
      </c>
      <c r="AA7621" s="6">
        <v>0</v>
      </c>
      <c r="AB7621" s="4">
        <f t="shared" si="1182"/>
        <v>0</v>
      </c>
      <c r="AC7621" s="6">
        <f t="shared" si="1180"/>
        <v>0</v>
      </c>
      <c r="AD7621" s="6">
        <f t="shared" si="1175"/>
        <v>0</v>
      </c>
      <c r="AE7621" s="14">
        <f>VLOOKUP(I7621,[2]媒体政策预估表!A:N,MATCH(O7621,[2]媒体政策预估表!$A$2:$M$2,0),0)</f>
        <v>7.0000000000000007E-2</v>
      </c>
      <c r="AF7621" s="6">
        <f t="shared" si="1177"/>
        <v>0</v>
      </c>
      <c r="AG7621" s="14">
        <v>0</v>
      </c>
      <c r="AH7621" s="64">
        <f t="shared" si="1176"/>
        <v>0</v>
      </c>
      <c r="AJ7621" s="126" t="e">
        <v>#N/A</v>
      </c>
      <c r="AK7621" s="80">
        <f t="shared" si="1183"/>
        <v>0</v>
      </c>
      <c r="AL7621" s="85"/>
      <c r="AM7621" s="85"/>
    </row>
    <row r="7622" spans="1:39" s="86" customFormat="1" ht="13.25" hidden="1" customHeight="1" x14ac:dyDescent="0.3">
      <c r="A7622" s="89" t="s">
        <v>3978</v>
      </c>
      <c r="B7622" s="86" t="s">
        <v>35</v>
      </c>
      <c r="C7622" s="86" t="s">
        <v>184</v>
      </c>
      <c r="D7622" s="86" t="s">
        <v>54</v>
      </c>
      <c r="E7622" s="86" t="s">
        <v>1863</v>
      </c>
      <c r="F7622" s="86" t="s">
        <v>1863</v>
      </c>
      <c r="G7622" s="86" t="s">
        <v>1863</v>
      </c>
      <c r="H7622" s="143">
        <v>360</v>
      </c>
      <c r="I7622" s="86" t="s">
        <v>1060</v>
      </c>
      <c r="J7622" s="47" t="s">
        <v>3325</v>
      </c>
      <c r="K7622" s="47" t="s">
        <v>3767</v>
      </c>
      <c r="L7622" s="47" t="s">
        <v>35</v>
      </c>
      <c r="M7622" s="86" t="s">
        <v>1864</v>
      </c>
      <c r="O7622" s="47" t="s">
        <v>410</v>
      </c>
      <c r="P7622" s="14" t="s">
        <v>46</v>
      </c>
      <c r="Q7622" s="14">
        <v>0.02</v>
      </c>
      <c r="R7622" s="143" t="s">
        <v>1865</v>
      </c>
      <c r="S7622" s="47"/>
      <c r="T7622" s="6">
        <v>42528.9</v>
      </c>
      <c r="U7622" s="6"/>
      <c r="V7622" s="6">
        <v>0</v>
      </c>
      <c r="W7622" s="6">
        <f t="shared" si="1174"/>
        <v>42528.9</v>
      </c>
      <c r="X7622" s="6">
        <f t="shared" si="1178"/>
        <v>0</v>
      </c>
      <c r="Y7622" s="13">
        <f t="shared" si="1181"/>
        <v>0</v>
      </c>
      <c r="Z7622" s="14">
        <v>0</v>
      </c>
      <c r="AA7622" s="6">
        <v>0</v>
      </c>
      <c r="AB7622" s="4">
        <f t="shared" si="1182"/>
        <v>0</v>
      </c>
      <c r="AC7622" s="6">
        <f t="shared" si="1180"/>
        <v>0</v>
      </c>
      <c r="AD7622" s="6">
        <f t="shared" si="1175"/>
        <v>0</v>
      </c>
      <c r="AE7622" s="14">
        <f>VLOOKUP(I7622,[2]媒体政策预估表!A:N,MATCH(O7622,[2]媒体政策预估表!$A$2:$M$2,0),0)</f>
        <v>7.0000000000000007E-2</v>
      </c>
      <c r="AF7622" s="6">
        <f t="shared" si="1177"/>
        <v>0</v>
      </c>
      <c r="AG7622" s="14">
        <v>0</v>
      </c>
      <c r="AH7622" s="64">
        <f t="shared" si="1176"/>
        <v>0</v>
      </c>
      <c r="AJ7622" s="126" t="e">
        <v>#N/A</v>
      </c>
      <c r="AK7622" s="80">
        <f t="shared" si="1183"/>
        <v>0</v>
      </c>
      <c r="AL7622" s="85"/>
      <c r="AM7622" s="85"/>
    </row>
    <row r="7623" spans="1:39" s="86" customFormat="1" ht="13.25" hidden="1" customHeight="1" x14ac:dyDescent="0.3">
      <c r="A7623" s="89" t="s">
        <v>3792</v>
      </c>
      <c r="B7623" s="86" t="s">
        <v>35</v>
      </c>
      <c r="C7623" s="86" t="s">
        <v>184</v>
      </c>
      <c r="D7623" s="86" t="s">
        <v>54</v>
      </c>
      <c r="E7623" s="86" t="s">
        <v>114</v>
      </c>
      <c r="F7623" s="86" t="s">
        <v>114</v>
      </c>
      <c r="G7623" s="86" t="s">
        <v>114</v>
      </c>
      <c r="H7623" s="143">
        <v>360</v>
      </c>
      <c r="I7623" s="86" t="s">
        <v>1060</v>
      </c>
      <c r="J7623" s="47" t="s">
        <v>3325</v>
      </c>
      <c r="K7623" s="47" t="s">
        <v>3767</v>
      </c>
      <c r="L7623" s="47" t="s">
        <v>35</v>
      </c>
      <c r="M7623" s="86" t="s">
        <v>1866</v>
      </c>
      <c r="O7623" s="47" t="s">
        <v>410</v>
      </c>
      <c r="P7623" s="14" t="s">
        <v>41</v>
      </c>
      <c r="Q7623" s="14">
        <v>0</v>
      </c>
      <c r="R7623" s="143" t="s">
        <v>1867</v>
      </c>
      <c r="S7623" s="47"/>
      <c r="T7623" s="6">
        <v>21736.292979998965</v>
      </c>
      <c r="U7623" s="6"/>
      <c r="V7623" s="6">
        <v>0</v>
      </c>
      <c r="W7623" s="6">
        <f t="shared" si="1174"/>
        <v>21736.292979998965</v>
      </c>
      <c r="X7623" s="6">
        <f t="shared" si="1178"/>
        <v>0</v>
      </c>
      <c r="Y7623" s="13">
        <f t="shared" si="1181"/>
        <v>0</v>
      </c>
      <c r="Z7623" s="14">
        <v>0</v>
      </c>
      <c r="AA7623" s="6">
        <v>0</v>
      </c>
      <c r="AB7623" s="4">
        <f t="shared" si="1182"/>
        <v>0</v>
      </c>
      <c r="AC7623" s="6">
        <f t="shared" si="1180"/>
        <v>0</v>
      </c>
      <c r="AD7623" s="6">
        <f t="shared" si="1175"/>
        <v>0</v>
      </c>
      <c r="AE7623" s="14">
        <f>VLOOKUP(I7623,[2]媒体政策预估表!A:N,MATCH(O7623,[2]媒体政策预估表!$A$2:$M$2,0),0)</f>
        <v>7.0000000000000007E-2</v>
      </c>
      <c r="AF7623" s="6">
        <f t="shared" si="1177"/>
        <v>0</v>
      </c>
      <c r="AG7623" s="14">
        <v>0</v>
      </c>
      <c r="AH7623" s="64">
        <f t="shared" si="1176"/>
        <v>0</v>
      </c>
      <c r="AJ7623" s="126" t="e">
        <v>#N/A</v>
      </c>
      <c r="AK7623" s="80">
        <f t="shared" si="1183"/>
        <v>0</v>
      </c>
      <c r="AL7623" s="85"/>
      <c r="AM7623" s="85"/>
    </row>
    <row r="7624" spans="1:39" s="86" customFormat="1" ht="13.25" hidden="1" customHeight="1" x14ac:dyDescent="0.3">
      <c r="A7624" s="89" t="s">
        <v>3978</v>
      </c>
      <c r="B7624" s="86" t="s">
        <v>35</v>
      </c>
      <c r="C7624" s="86" t="s">
        <v>184</v>
      </c>
      <c r="D7624" s="86" t="s">
        <v>54</v>
      </c>
      <c r="E7624" s="86" t="s">
        <v>55</v>
      </c>
      <c r="F7624" s="86" t="s">
        <v>55</v>
      </c>
      <c r="G7624" s="86" t="s">
        <v>55</v>
      </c>
      <c r="H7624" s="143">
        <v>360</v>
      </c>
      <c r="I7624" s="86" t="s">
        <v>1060</v>
      </c>
      <c r="J7624" s="47" t="s">
        <v>3325</v>
      </c>
      <c r="K7624" s="47" t="s">
        <v>3767</v>
      </c>
      <c r="L7624" s="47" t="s">
        <v>35</v>
      </c>
      <c r="M7624" s="86" t="s">
        <v>55</v>
      </c>
      <c r="O7624" s="47" t="s">
        <v>410</v>
      </c>
      <c r="P7624" s="14" t="s">
        <v>41</v>
      </c>
      <c r="Q7624" s="14">
        <v>0</v>
      </c>
      <c r="R7624" s="143" t="s">
        <v>1869</v>
      </c>
      <c r="S7624" s="47"/>
      <c r="T7624" s="6">
        <v>7908627.8600000003</v>
      </c>
      <c r="U7624" s="6"/>
      <c r="V7624" s="6">
        <v>0</v>
      </c>
      <c r="W7624" s="6">
        <f t="shared" si="1174"/>
        <v>7908627.8600000003</v>
      </c>
      <c r="X7624" s="6">
        <f t="shared" si="1178"/>
        <v>0</v>
      </c>
      <c r="Y7624" s="13">
        <f t="shared" si="1181"/>
        <v>0</v>
      </c>
      <c r="Z7624" s="14">
        <v>0</v>
      </c>
      <c r="AA7624" s="6">
        <v>0</v>
      </c>
      <c r="AB7624" s="4">
        <f t="shared" si="1182"/>
        <v>0</v>
      </c>
      <c r="AC7624" s="6">
        <f t="shared" si="1180"/>
        <v>0</v>
      </c>
      <c r="AD7624" s="6">
        <f t="shared" si="1175"/>
        <v>0</v>
      </c>
      <c r="AE7624" s="14">
        <f>VLOOKUP(I7624,[2]媒体政策预估表!A:N,MATCH(O7624,[2]媒体政策预估表!$A$2:$M$2,0),0)</f>
        <v>7.0000000000000007E-2</v>
      </c>
      <c r="AF7624" s="6">
        <f t="shared" si="1177"/>
        <v>0</v>
      </c>
      <c r="AG7624" s="14">
        <v>0</v>
      </c>
      <c r="AH7624" s="64">
        <f t="shared" si="1176"/>
        <v>0</v>
      </c>
      <c r="AJ7624" s="126" t="e">
        <v>#N/A</v>
      </c>
      <c r="AK7624" s="80">
        <f t="shared" si="1183"/>
        <v>0</v>
      </c>
      <c r="AL7624" s="85"/>
      <c r="AM7624" s="85"/>
    </row>
    <row r="7625" spans="1:39" s="86" customFormat="1" ht="13.25" hidden="1" customHeight="1" x14ac:dyDescent="0.3">
      <c r="A7625" s="89" t="s">
        <v>3978</v>
      </c>
      <c r="B7625" s="86" t="s">
        <v>35</v>
      </c>
      <c r="C7625" s="86" t="s">
        <v>184</v>
      </c>
      <c r="D7625" s="86" t="s">
        <v>37</v>
      </c>
      <c r="E7625" s="86" t="s">
        <v>1870</v>
      </c>
      <c r="F7625" s="86" t="s">
        <v>1871</v>
      </c>
      <c r="G7625" s="86" t="s">
        <v>1870</v>
      </c>
      <c r="H7625" s="143">
        <v>360</v>
      </c>
      <c r="I7625" s="86" t="s">
        <v>1060</v>
      </c>
      <c r="J7625" s="47" t="s">
        <v>3325</v>
      </c>
      <c r="K7625" s="47" t="s">
        <v>3767</v>
      </c>
      <c r="L7625" s="47" t="s">
        <v>35</v>
      </c>
      <c r="M7625" s="86" t="s">
        <v>1870</v>
      </c>
      <c r="O7625" s="47" t="s">
        <v>410</v>
      </c>
      <c r="P7625" s="14" t="s">
        <v>41</v>
      </c>
      <c r="Q7625" s="14">
        <v>0</v>
      </c>
      <c r="R7625" s="143" t="s">
        <v>1872</v>
      </c>
      <c r="S7625" s="47"/>
      <c r="T7625" s="6">
        <v>-12.799999999988358</v>
      </c>
      <c r="U7625" s="6"/>
      <c r="V7625" s="6">
        <v>0</v>
      </c>
      <c r="W7625" s="6">
        <f t="shared" si="1174"/>
        <v>-12.799999999988358</v>
      </c>
      <c r="X7625" s="6">
        <f t="shared" si="1178"/>
        <v>0</v>
      </c>
      <c r="Y7625" s="13">
        <f t="shared" si="1181"/>
        <v>0</v>
      </c>
      <c r="Z7625" s="14">
        <v>0</v>
      </c>
      <c r="AA7625" s="6">
        <v>0</v>
      </c>
      <c r="AB7625" s="4">
        <f t="shared" si="1182"/>
        <v>0</v>
      </c>
      <c r="AC7625" s="6">
        <f t="shared" si="1180"/>
        <v>0</v>
      </c>
      <c r="AD7625" s="6">
        <f t="shared" si="1175"/>
        <v>0</v>
      </c>
      <c r="AE7625" s="14">
        <f>VLOOKUP(I7625,[2]媒体政策预估表!A:N,MATCH(O7625,[2]媒体政策预估表!$A$2:$M$2,0),0)</f>
        <v>7.0000000000000007E-2</v>
      </c>
      <c r="AF7625" s="6">
        <f t="shared" si="1177"/>
        <v>0</v>
      </c>
      <c r="AG7625" s="14">
        <v>0</v>
      </c>
      <c r="AH7625" s="64">
        <f t="shared" si="1176"/>
        <v>0</v>
      </c>
      <c r="AJ7625" s="126" t="e">
        <v>#N/A</v>
      </c>
      <c r="AK7625" s="80">
        <f t="shared" si="1183"/>
        <v>0</v>
      </c>
      <c r="AL7625" s="85"/>
      <c r="AM7625" s="85"/>
    </row>
    <row r="7626" spans="1:39" s="86" customFormat="1" ht="13.25" hidden="1" customHeight="1" x14ac:dyDescent="0.3">
      <c r="A7626" s="89" t="s">
        <v>3792</v>
      </c>
      <c r="B7626" s="86" t="s">
        <v>35</v>
      </c>
      <c r="C7626" s="86" t="s">
        <v>184</v>
      </c>
      <c r="D7626" s="86" t="s">
        <v>37</v>
      </c>
      <c r="E7626" s="86" t="s">
        <v>57</v>
      </c>
      <c r="F7626" s="86" t="s">
        <v>57</v>
      </c>
      <c r="G7626" s="86" t="s">
        <v>57</v>
      </c>
      <c r="H7626" s="143">
        <v>360</v>
      </c>
      <c r="I7626" s="86" t="s">
        <v>1060</v>
      </c>
      <c r="J7626" s="47" t="s">
        <v>3325</v>
      </c>
      <c r="K7626" s="47" t="s">
        <v>3767</v>
      </c>
      <c r="L7626" s="47" t="s">
        <v>35</v>
      </c>
      <c r="M7626" s="86" t="s">
        <v>57</v>
      </c>
      <c r="O7626" s="47" t="s">
        <v>410</v>
      </c>
      <c r="P7626" s="14" t="s">
        <v>41</v>
      </c>
      <c r="Q7626" s="14">
        <v>0</v>
      </c>
      <c r="R7626" s="143" t="s">
        <v>1873</v>
      </c>
      <c r="S7626" s="47"/>
      <c r="T7626" s="6">
        <v>-5.2999999999919964</v>
      </c>
      <c r="U7626" s="6"/>
      <c r="V7626" s="6">
        <v>0</v>
      </c>
      <c r="W7626" s="6">
        <f t="shared" si="1174"/>
        <v>-5.2999999999919964</v>
      </c>
      <c r="X7626" s="6">
        <f t="shared" si="1178"/>
        <v>0</v>
      </c>
      <c r="Y7626" s="13">
        <f t="shared" si="1181"/>
        <v>0</v>
      </c>
      <c r="Z7626" s="14">
        <v>0</v>
      </c>
      <c r="AA7626" s="6">
        <v>0</v>
      </c>
      <c r="AB7626" s="4">
        <f t="shared" si="1182"/>
        <v>0</v>
      </c>
      <c r="AC7626" s="6">
        <f t="shared" si="1180"/>
        <v>0</v>
      </c>
      <c r="AD7626" s="6">
        <f t="shared" si="1175"/>
        <v>0</v>
      </c>
      <c r="AE7626" s="14">
        <f>VLOOKUP(I7626,[2]媒体政策预估表!A:N,MATCH(O7626,[2]媒体政策预估表!$A$2:$M$2,0),0)</f>
        <v>7.0000000000000007E-2</v>
      </c>
      <c r="AF7626" s="6">
        <f t="shared" si="1177"/>
        <v>0</v>
      </c>
      <c r="AG7626" s="14">
        <v>0</v>
      </c>
      <c r="AH7626" s="64">
        <f t="shared" si="1176"/>
        <v>0</v>
      </c>
      <c r="AJ7626" s="126" t="e">
        <v>#N/A</v>
      </c>
      <c r="AK7626" s="80">
        <f t="shared" si="1183"/>
        <v>0</v>
      </c>
      <c r="AL7626" s="85"/>
      <c r="AM7626" s="85"/>
    </row>
    <row r="7627" spans="1:39" s="86" customFormat="1" ht="13.25" hidden="1" customHeight="1" x14ac:dyDescent="0.3">
      <c r="A7627" s="89" t="s">
        <v>3792</v>
      </c>
      <c r="B7627" s="86" t="s">
        <v>35</v>
      </c>
      <c r="C7627" s="86" t="s">
        <v>65</v>
      </c>
      <c r="D7627" s="86" t="s">
        <v>66</v>
      </c>
      <c r="E7627" s="86" t="s">
        <v>713</v>
      </c>
      <c r="F7627" s="86" t="s">
        <v>713</v>
      </c>
      <c r="G7627" s="86" t="s">
        <v>713</v>
      </c>
      <c r="H7627" s="143">
        <v>360</v>
      </c>
      <c r="I7627" s="86" t="s">
        <v>1060</v>
      </c>
      <c r="J7627" s="47" t="s">
        <v>3325</v>
      </c>
      <c r="K7627" s="47" t="s">
        <v>3767</v>
      </c>
      <c r="L7627" s="47" t="s">
        <v>35</v>
      </c>
      <c r="M7627" s="86" t="s">
        <v>1874</v>
      </c>
      <c r="O7627" s="47" t="s">
        <v>410</v>
      </c>
      <c r="P7627" s="14" t="s">
        <v>46</v>
      </c>
      <c r="Q7627" s="14">
        <v>0.02</v>
      </c>
      <c r="R7627" s="143" t="s">
        <v>1875</v>
      </c>
      <c r="S7627" s="47"/>
      <c r="T7627" s="6">
        <v>10000</v>
      </c>
      <c r="U7627" s="6"/>
      <c r="V7627" s="6">
        <v>0</v>
      </c>
      <c r="W7627" s="6">
        <f t="shared" si="1174"/>
        <v>10000</v>
      </c>
      <c r="X7627" s="6">
        <f t="shared" si="1178"/>
        <v>0</v>
      </c>
      <c r="Y7627" s="13">
        <f t="shared" si="1181"/>
        <v>0</v>
      </c>
      <c r="Z7627" s="14">
        <v>0</v>
      </c>
      <c r="AA7627" s="6">
        <v>0</v>
      </c>
      <c r="AB7627" s="4">
        <f t="shared" si="1182"/>
        <v>0</v>
      </c>
      <c r="AC7627" s="6">
        <f t="shared" si="1180"/>
        <v>0</v>
      </c>
      <c r="AD7627" s="6">
        <f t="shared" si="1175"/>
        <v>0</v>
      </c>
      <c r="AE7627" s="14">
        <f>VLOOKUP(I7627,[2]媒体政策预估表!A:N,MATCH(O7627,[2]媒体政策预估表!$A$2:$M$2,0),0)</f>
        <v>7.0000000000000007E-2</v>
      </c>
      <c r="AF7627" s="6">
        <f t="shared" si="1177"/>
        <v>0</v>
      </c>
      <c r="AG7627" s="14">
        <v>0</v>
      </c>
      <c r="AH7627" s="64">
        <f t="shared" si="1176"/>
        <v>0</v>
      </c>
      <c r="AJ7627" s="126" t="e">
        <v>#N/A</v>
      </c>
      <c r="AK7627" s="80">
        <f t="shared" si="1183"/>
        <v>0</v>
      </c>
      <c r="AL7627" s="85"/>
      <c r="AM7627" s="85"/>
    </row>
    <row r="7628" spans="1:39" s="86" customFormat="1" ht="13.25" hidden="1" customHeight="1" x14ac:dyDescent="0.3">
      <c r="A7628" s="89" t="s">
        <v>3792</v>
      </c>
      <c r="B7628" s="86" t="s">
        <v>35</v>
      </c>
      <c r="C7628" s="86" t="s">
        <v>65</v>
      </c>
      <c r="D7628" s="86" t="s">
        <v>66</v>
      </c>
      <c r="E7628" s="86" t="s">
        <v>493</v>
      </c>
      <c r="F7628" s="86" t="s">
        <v>493</v>
      </c>
      <c r="G7628" s="86" t="s">
        <v>493</v>
      </c>
      <c r="H7628" s="143">
        <v>360</v>
      </c>
      <c r="I7628" s="86" t="s">
        <v>1060</v>
      </c>
      <c r="J7628" s="47" t="s">
        <v>3325</v>
      </c>
      <c r="K7628" s="47" t="s">
        <v>3767</v>
      </c>
      <c r="L7628" s="47" t="s">
        <v>35</v>
      </c>
      <c r="M7628" s="86" t="s">
        <v>493</v>
      </c>
      <c r="O7628" s="47" t="s">
        <v>410</v>
      </c>
      <c r="P7628" s="14" t="s">
        <v>41</v>
      </c>
      <c r="Q7628" s="14">
        <v>0</v>
      </c>
      <c r="R7628" s="143" t="s">
        <v>1876</v>
      </c>
      <c r="S7628" s="47"/>
      <c r="T7628" s="6">
        <v>-28.555000000167638</v>
      </c>
      <c r="U7628" s="6"/>
      <c r="V7628" s="6">
        <v>0</v>
      </c>
      <c r="W7628" s="6">
        <f t="shared" si="1174"/>
        <v>-28.555000000167638</v>
      </c>
      <c r="X7628" s="6">
        <f t="shared" si="1178"/>
        <v>0</v>
      </c>
      <c r="Y7628" s="13">
        <f t="shared" si="1181"/>
        <v>0</v>
      </c>
      <c r="Z7628" s="14">
        <v>0</v>
      </c>
      <c r="AA7628" s="6">
        <v>0</v>
      </c>
      <c r="AB7628" s="4">
        <f t="shared" si="1182"/>
        <v>0</v>
      </c>
      <c r="AC7628" s="6">
        <f t="shared" si="1180"/>
        <v>0</v>
      </c>
      <c r="AD7628" s="6">
        <f t="shared" si="1175"/>
        <v>0</v>
      </c>
      <c r="AE7628" s="14">
        <f>VLOOKUP(I7628,[2]媒体政策预估表!A:N,MATCH(O7628,[2]媒体政策预估表!$A$2:$M$2,0),0)</f>
        <v>7.0000000000000007E-2</v>
      </c>
      <c r="AF7628" s="6">
        <f t="shared" si="1177"/>
        <v>0</v>
      </c>
      <c r="AG7628" s="14">
        <v>0</v>
      </c>
      <c r="AH7628" s="64">
        <f t="shared" si="1176"/>
        <v>0</v>
      </c>
      <c r="AJ7628" s="126" t="e">
        <v>#N/A</v>
      </c>
      <c r="AK7628" s="80">
        <f t="shared" si="1183"/>
        <v>0</v>
      </c>
      <c r="AL7628" s="85"/>
      <c r="AM7628" s="85"/>
    </row>
    <row r="7629" spans="1:39" s="86" customFormat="1" ht="13.25" hidden="1" customHeight="1" x14ac:dyDescent="0.3">
      <c r="A7629" s="89" t="s">
        <v>3805</v>
      </c>
      <c r="B7629" s="86" t="s">
        <v>35</v>
      </c>
      <c r="C7629" s="86" t="s">
        <v>65</v>
      </c>
      <c r="D7629" s="86" t="s">
        <v>66</v>
      </c>
      <c r="E7629" s="86" t="s">
        <v>1877</v>
      </c>
      <c r="F7629" s="86" t="s">
        <v>1877</v>
      </c>
      <c r="G7629" s="86" t="s">
        <v>1877</v>
      </c>
      <c r="H7629" s="143">
        <v>360</v>
      </c>
      <c r="I7629" s="86" t="s">
        <v>1060</v>
      </c>
      <c r="J7629" s="47" t="s">
        <v>3325</v>
      </c>
      <c r="K7629" s="47" t="s">
        <v>3767</v>
      </c>
      <c r="L7629" s="47" t="s">
        <v>35</v>
      </c>
      <c r="M7629" s="86" t="s">
        <v>1877</v>
      </c>
      <c r="O7629" s="47" t="s">
        <v>45</v>
      </c>
      <c r="P7629" s="14" t="s">
        <v>41</v>
      </c>
      <c r="Q7629" s="14">
        <v>0</v>
      </c>
      <c r="R7629" s="143" t="s">
        <v>1878</v>
      </c>
      <c r="S7629" s="47"/>
      <c r="T7629" s="6">
        <v>283.4900000000016</v>
      </c>
      <c r="U7629" s="6"/>
      <c r="V7629" s="6">
        <v>0</v>
      </c>
      <c r="W7629" s="6">
        <f t="shared" si="1174"/>
        <v>283.4900000000016</v>
      </c>
      <c r="X7629" s="6">
        <f t="shared" si="1178"/>
        <v>0</v>
      </c>
      <c r="Y7629" s="13">
        <f t="shared" si="1181"/>
        <v>0</v>
      </c>
      <c r="Z7629" s="14">
        <v>0</v>
      </c>
      <c r="AA7629" s="6">
        <v>0</v>
      </c>
      <c r="AB7629" s="4">
        <f t="shared" si="1182"/>
        <v>0</v>
      </c>
      <c r="AC7629" s="6">
        <f t="shared" si="1180"/>
        <v>0</v>
      </c>
      <c r="AD7629" s="6">
        <f t="shared" si="1175"/>
        <v>0</v>
      </c>
      <c r="AE7629" s="14">
        <f>VLOOKUP(I7629,[2]媒体政策预估表!A:N,MATCH(O7629,[2]媒体政策预估表!$A$2:$M$2,0),0)</f>
        <v>0.1</v>
      </c>
      <c r="AF7629" s="6">
        <f t="shared" si="1177"/>
        <v>0</v>
      </c>
      <c r="AG7629" s="14">
        <v>0</v>
      </c>
      <c r="AH7629" s="64">
        <f t="shared" si="1176"/>
        <v>0</v>
      </c>
      <c r="AJ7629" s="126" t="e">
        <v>#N/A</v>
      </c>
      <c r="AK7629" s="80">
        <f t="shared" si="1183"/>
        <v>0</v>
      </c>
      <c r="AL7629" s="85"/>
      <c r="AM7629" s="85"/>
    </row>
    <row r="7630" spans="1:39" s="86" customFormat="1" ht="13.25" hidden="1" customHeight="1" x14ac:dyDescent="0.3">
      <c r="A7630" s="89" t="s">
        <v>3792</v>
      </c>
      <c r="B7630" s="86" t="s">
        <v>35</v>
      </c>
      <c r="C7630" s="86" t="s">
        <v>65</v>
      </c>
      <c r="D7630" s="86" t="s">
        <v>66</v>
      </c>
      <c r="E7630" s="86" t="s">
        <v>494</v>
      </c>
      <c r="F7630" s="86" t="s">
        <v>494</v>
      </c>
      <c r="G7630" s="86" t="s">
        <v>494</v>
      </c>
      <c r="H7630" s="143">
        <v>360</v>
      </c>
      <c r="I7630" s="86" t="s">
        <v>1060</v>
      </c>
      <c r="J7630" s="47" t="s">
        <v>3325</v>
      </c>
      <c r="K7630" s="47" t="s">
        <v>3767</v>
      </c>
      <c r="L7630" s="47" t="s">
        <v>35</v>
      </c>
      <c r="M7630" s="86" t="s">
        <v>495</v>
      </c>
      <c r="O7630" s="47" t="s">
        <v>45</v>
      </c>
      <c r="P7630" s="14" t="s">
        <v>46</v>
      </c>
      <c r="Q7630" s="14">
        <v>0.02</v>
      </c>
      <c r="R7630" s="143" t="s">
        <v>1879</v>
      </c>
      <c r="S7630" s="47"/>
      <c r="T7630" s="6">
        <v>108831.65385999993</v>
      </c>
      <c r="U7630" s="6"/>
      <c r="V7630" s="6">
        <v>0</v>
      </c>
      <c r="W7630" s="6">
        <f t="shared" si="1174"/>
        <v>108831.65385999993</v>
      </c>
      <c r="X7630" s="6">
        <f t="shared" si="1178"/>
        <v>0</v>
      </c>
      <c r="Y7630" s="13">
        <f t="shared" si="1181"/>
        <v>0</v>
      </c>
      <c r="Z7630" s="14">
        <v>0</v>
      </c>
      <c r="AA7630" s="6">
        <v>0</v>
      </c>
      <c r="AB7630" s="4">
        <f t="shared" si="1182"/>
        <v>0</v>
      </c>
      <c r="AC7630" s="6">
        <f t="shared" si="1180"/>
        <v>0</v>
      </c>
      <c r="AD7630" s="6">
        <f t="shared" si="1175"/>
        <v>0</v>
      </c>
      <c r="AE7630" s="14">
        <f>VLOOKUP(I7630,[2]媒体政策预估表!A:N,MATCH(O7630,[2]媒体政策预估表!$A$2:$M$2,0),0)</f>
        <v>0.1</v>
      </c>
      <c r="AF7630" s="6">
        <f t="shared" si="1177"/>
        <v>0</v>
      </c>
      <c r="AG7630" s="14">
        <v>0</v>
      </c>
      <c r="AH7630" s="64">
        <f t="shared" si="1176"/>
        <v>0</v>
      </c>
      <c r="AJ7630" s="126" t="e">
        <v>#N/A</v>
      </c>
      <c r="AK7630" s="80">
        <f t="shared" si="1183"/>
        <v>0</v>
      </c>
      <c r="AL7630" s="85"/>
      <c r="AM7630" s="85"/>
    </row>
    <row r="7631" spans="1:39" s="86" customFormat="1" ht="13.25" hidden="1" customHeight="1" x14ac:dyDescent="0.3">
      <c r="A7631" s="89" t="s">
        <v>3978</v>
      </c>
      <c r="B7631" s="86" t="s">
        <v>35</v>
      </c>
      <c r="C7631" s="86" t="s">
        <v>65</v>
      </c>
      <c r="D7631" s="86" t="s">
        <v>66</v>
      </c>
      <c r="E7631" s="86" t="s">
        <v>494</v>
      </c>
      <c r="F7631" s="86" t="s">
        <v>494</v>
      </c>
      <c r="G7631" s="86" t="s">
        <v>494</v>
      </c>
      <c r="H7631" s="143">
        <v>360</v>
      </c>
      <c r="I7631" s="86" t="s">
        <v>1060</v>
      </c>
      <c r="J7631" s="47" t="s">
        <v>3325</v>
      </c>
      <c r="K7631" s="47" t="s">
        <v>3767</v>
      </c>
      <c r="L7631" s="47" t="s">
        <v>35</v>
      </c>
      <c r="M7631" s="86" t="s">
        <v>495</v>
      </c>
      <c r="O7631" s="47" t="s">
        <v>410</v>
      </c>
      <c r="P7631" s="14" t="s">
        <v>41</v>
      </c>
      <c r="Q7631" s="14">
        <v>0</v>
      </c>
      <c r="R7631" s="143" t="s">
        <v>1880</v>
      </c>
      <c r="S7631" s="47"/>
      <c r="T7631" s="6">
        <v>13.353929999982938</v>
      </c>
      <c r="U7631" s="6"/>
      <c r="V7631" s="6">
        <v>0</v>
      </c>
      <c r="W7631" s="6">
        <f t="shared" si="1174"/>
        <v>13.353929999982938</v>
      </c>
      <c r="X7631" s="6">
        <f t="shared" si="1178"/>
        <v>0</v>
      </c>
      <c r="Y7631" s="13">
        <f t="shared" si="1181"/>
        <v>0</v>
      </c>
      <c r="Z7631" s="14">
        <v>0</v>
      </c>
      <c r="AA7631" s="6">
        <v>0</v>
      </c>
      <c r="AB7631" s="4">
        <f t="shared" si="1182"/>
        <v>0</v>
      </c>
      <c r="AC7631" s="6">
        <f t="shared" si="1180"/>
        <v>0</v>
      </c>
      <c r="AD7631" s="6">
        <f t="shared" si="1175"/>
        <v>0</v>
      </c>
      <c r="AE7631" s="14">
        <f>VLOOKUP(I7631,[2]媒体政策预估表!A:N,MATCH(O7631,[2]媒体政策预估表!$A$2:$M$2,0),0)</f>
        <v>7.0000000000000007E-2</v>
      </c>
      <c r="AF7631" s="6">
        <f t="shared" si="1177"/>
        <v>0</v>
      </c>
      <c r="AG7631" s="14">
        <v>0</v>
      </c>
      <c r="AH7631" s="64">
        <f t="shared" si="1176"/>
        <v>0</v>
      </c>
      <c r="AJ7631" s="126" t="e">
        <v>#N/A</v>
      </c>
      <c r="AK7631" s="80">
        <f t="shared" si="1183"/>
        <v>0</v>
      </c>
      <c r="AL7631" s="85"/>
      <c r="AM7631" s="85"/>
    </row>
    <row r="7632" spans="1:39" s="86" customFormat="1" ht="13.25" hidden="1" customHeight="1" x14ac:dyDescent="0.3">
      <c r="A7632" s="89" t="s">
        <v>3792</v>
      </c>
      <c r="B7632" s="86" t="s">
        <v>35</v>
      </c>
      <c r="C7632" s="86" t="s">
        <v>65</v>
      </c>
      <c r="D7632" s="86" t="s">
        <v>66</v>
      </c>
      <c r="E7632" s="86" t="s">
        <v>496</v>
      </c>
      <c r="F7632" s="86" t="s">
        <v>497</v>
      </c>
      <c r="G7632" s="86" t="s">
        <v>496</v>
      </c>
      <c r="H7632" s="143">
        <v>360</v>
      </c>
      <c r="I7632" s="86" t="s">
        <v>1060</v>
      </c>
      <c r="J7632" s="47" t="s">
        <v>3325</v>
      </c>
      <c r="K7632" s="47" t="s">
        <v>3767</v>
      </c>
      <c r="L7632" s="47" t="s">
        <v>35</v>
      </c>
      <c r="M7632" s="86" t="s">
        <v>498</v>
      </c>
      <c r="O7632" s="47" t="s">
        <v>410</v>
      </c>
      <c r="P7632" s="14" t="s">
        <v>46</v>
      </c>
      <c r="Q7632" s="14">
        <v>0.02</v>
      </c>
      <c r="R7632" s="143" t="s">
        <v>1884</v>
      </c>
      <c r="S7632" s="47"/>
      <c r="T7632" s="6">
        <v>656.99999999994179</v>
      </c>
      <c r="U7632" s="6"/>
      <c r="V7632" s="6">
        <v>0</v>
      </c>
      <c r="W7632" s="6">
        <f t="shared" si="1174"/>
        <v>656.99999999994179</v>
      </c>
      <c r="X7632" s="6">
        <f t="shared" si="1178"/>
        <v>0</v>
      </c>
      <c r="Y7632" s="13">
        <f t="shared" si="1181"/>
        <v>0</v>
      </c>
      <c r="Z7632" s="14">
        <v>0</v>
      </c>
      <c r="AA7632" s="6">
        <v>0</v>
      </c>
      <c r="AB7632" s="4">
        <f t="shared" si="1182"/>
        <v>0</v>
      </c>
      <c r="AC7632" s="6">
        <f t="shared" si="1180"/>
        <v>0</v>
      </c>
      <c r="AD7632" s="6">
        <f t="shared" si="1175"/>
        <v>0</v>
      </c>
      <c r="AE7632" s="14">
        <f>VLOOKUP(I7632,[2]媒体政策预估表!A:N,MATCH(O7632,[2]媒体政策预估表!$A$2:$M$2,0),0)</f>
        <v>7.0000000000000007E-2</v>
      </c>
      <c r="AF7632" s="6">
        <f t="shared" si="1177"/>
        <v>0</v>
      </c>
      <c r="AG7632" s="14">
        <v>0</v>
      </c>
      <c r="AH7632" s="64">
        <f t="shared" si="1176"/>
        <v>0</v>
      </c>
      <c r="AJ7632" s="126" t="e">
        <v>#N/A</v>
      </c>
      <c r="AK7632" s="80">
        <f t="shared" si="1183"/>
        <v>0</v>
      </c>
      <c r="AL7632" s="85"/>
      <c r="AM7632" s="85"/>
    </row>
    <row r="7633" spans="1:39" s="86" customFormat="1" ht="13.25" hidden="1" customHeight="1" x14ac:dyDescent="0.3">
      <c r="A7633" s="89" t="s">
        <v>3978</v>
      </c>
      <c r="B7633" s="86" t="s">
        <v>35</v>
      </c>
      <c r="C7633" s="86" t="s">
        <v>65</v>
      </c>
      <c r="D7633" s="86" t="s">
        <v>66</v>
      </c>
      <c r="E7633" s="86" t="s">
        <v>1234</v>
      </c>
      <c r="F7633" s="86" t="s">
        <v>1234</v>
      </c>
      <c r="G7633" s="86" t="s">
        <v>1234</v>
      </c>
      <c r="H7633" s="143">
        <v>360</v>
      </c>
      <c r="I7633" s="86" t="s">
        <v>1060</v>
      </c>
      <c r="J7633" s="47" t="s">
        <v>3325</v>
      </c>
      <c r="K7633" s="47" t="s">
        <v>3767</v>
      </c>
      <c r="L7633" s="47" t="s">
        <v>35</v>
      </c>
      <c r="M7633" s="86" t="s">
        <v>1234</v>
      </c>
      <c r="O7633" s="47" t="s">
        <v>410</v>
      </c>
      <c r="P7633" s="14" t="s">
        <v>41</v>
      </c>
      <c r="Q7633" s="14">
        <v>0</v>
      </c>
      <c r="R7633" s="143" t="s">
        <v>1885</v>
      </c>
      <c r="S7633" s="47"/>
      <c r="T7633" s="6">
        <v>-47.45000000030268</v>
      </c>
      <c r="U7633" s="6"/>
      <c r="V7633" s="6">
        <v>0</v>
      </c>
      <c r="W7633" s="6">
        <f t="shared" si="1174"/>
        <v>-47.45000000030268</v>
      </c>
      <c r="X7633" s="6">
        <f t="shared" si="1178"/>
        <v>0</v>
      </c>
      <c r="Y7633" s="13">
        <f t="shared" si="1181"/>
        <v>0</v>
      </c>
      <c r="Z7633" s="14">
        <v>0</v>
      </c>
      <c r="AA7633" s="6">
        <v>0</v>
      </c>
      <c r="AB7633" s="4">
        <f t="shared" si="1182"/>
        <v>0</v>
      </c>
      <c r="AC7633" s="6">
        <f t="shared" si="1180"/>
        <v>0</v>
      </c>
      <c r="AD7633" s="6">
        <f t="shared" si="1175"/>
        <v>0</v>
      </c>
      <c r="AE7633" s="14">
        <f>VLOOKUP(I7633,[2]媒体政策预估表!A:N,MATCH(O7633,[2]媒体政策预估表!$A$2:$M$2,0),0)</f>
        <v>7.0000000000000007E-2</v>
      </c>
      <c r="AF7633" s="6">
        <f t="shared" si="1177"/>
        <v>0</v>
      </c>
      <c r="AG7633" s="14">
        <v>0</v>
      </c>
      <c r="AH7633" s="64">
        <f t="shared" si="1176"/>
        <v>0</v>
      </c>
      <c r="AJ7633" s="126" t="e">
        <v>#N/A</v>
      </c>
      <c r="AK7633" s="80">
        <f t="shared" si="1183"/>
        <v>0</v>
      </c>
      <c r="AL7633" s="85"/>
      <c r="AM7633" s="85"/>
    </row>
    <row r="7634" spans="1:39" s="86" customFormat="1" ht="13.25" hidden="1" customHeight="1" x14ac:dyDescent="0.3">
      <c r="A7634" s="89" t="s">
        <v>3978</v>
      </c>
      <c r="B7634" s="86" t="s">
        <v>35</v>
      </c>
      <c r="C7634" s="86" t="s">
        <v>65</v>
      </c>
      <c r="D7634" s="86" t="s">
        <v>66</v>
      </c>
      <c r="E7634" s="86" t="s">
        <v>1234</v>
      </c>
      <c r="F7634" s="86" t="s">
        <v>1886</v>
      </c>
      <c r="G7634" s="86" t="s">
        <v>1234</v>
      </c>
      <c r="H7634" s="143">
        <v>360</v>
      </c>
      <c r="I7634" s="86" t="s">
        <v>1060</v>
      </c>
      <c r="J7634" s="47" t="s">
        <v>3325</v>
      </c>
      <c r="K7634" s="47" t="s">
        <v>3767</v>
      </c>
      <c r="L7634" s="47" t="s">
        <v>35</v>
      </c>
      <c r="M7634" s="86" t="s">
        <v>1235</v>
      </c>
      <c r="O7634" s="47" t="s">
        <v>410</v>
      </c>
      <c r="P7634" s="14" t="s">
        <v>46</v>
      </c>
      <c r="Q7634" s="14">
        <v>0.02</v>
      </c>
      <c r="R7634" s="143" t="s">
        <v>1887</v>
      </c>
      <c r="S7634" s="47"/>
      <c r="T7634" s="6">
        <v>-2.4999999999892566</v>
      </c>
      <c r="U7634" s="6"/>
      <c r="V7634" s="6">
        <v>0</v>
      </c>
      <c r="W7634" s="6">
        <f t="shared" si="1174"/>
        <v>-2.4999999999892566</v>
      </c>
      <c r="X7634" s="6">
        <f t="shared" si="1178"/>
        <v>0</v>
      </c>
      <c r="Y7634" s="13">
        <f t="shared" si="1181"/>
        <v>0</v>
      </c>
      <c r="Z7634" s="14">
        <v>0</v>
      </c>
      <c r="AA7634" s="6">
        <v>0</v>
      </c>
      <c r="AB7634" s="4">
        <f t="shared" si="1182"/>
        <v>0</v>
      </c>
      <c r="AC7634" s="6">
        <f t="shared" si="1180"/>
        <v>0</v>
      </c>
      <c r="AD7634" s="6">
        <f t="shared" si="1175"/>
        <v>0</v>
      </c>
      <c r="AE7634" s="14">
        <f>VLOOKUP(I7634,[2]媒体政策预估表!A:N,MATCH(O7634,[2]媒体政策预估表!$A$2:$M$2,0),0)</f>
        <v>7.0000000000000007E-2</v>
      </c>
      <c r="AF7634" s="6">
        <f t="shared" si="1177"/>
        <v>0</v>
      </c>
      <c r="AG7634" s="14">
        <v>0</v>
      </c>
      <c r="AH7634" s="64">
        <f t="shared" si="1176"/>
        <v>0</v>
      </c>
      <c r="AJ7634" s="126" t="e">
        <v>#N/A</v>
      </c>
      <c r="AK7634" s="80">
        <f t="shared" si="1183"/>
        <v>0</v>
      </c>
      <c r="AL7634" s="85"/>
      <c r="AM7634" s="85"/>
    </row>
    <row r="7635" spans="1:39" s="86" customFormat="1" ht="13.25" hidden="1" customHeight="1" x14ac:dyDescent="0.3">
      <c r="A7635" s="89" t="s">
        <v>3978</v>
      </c>
      <c r="B7635" s="86" t="s">
        <v>35</v>
      </c>
      <c r="C7635" s="86" t="s">
        <v>65</v>
      </c>
      <c r="D7635" s="86" t="s">
        <v>66</v>
      </c>
      <c r="E7635" s="86" t="s">
        <v>501</v>
      </c>
      <c r="F7635" s="86" t="s">
        <v>501</v>
      </c>
      <c r="G7635" s="86" t="s">
        <v>501</v>
      </c>
      <c r="H7635" s="143">
        <v>360</v>
      </c>
      <c r="I7635" s="86" t="s">
        <v>1060</v>
      </c>
      <c r="J7635" s="47" t="s">
        <v>3325</v>
      </c>
      <c r="K7635" s="47" t="s">
        <v>3767</v>
      </c>
      <c r="L7635" s="47" t="s">
        <v>35</v>
      </c>
      <c r="M7635" s="86" t="s">
        <v>501</v>
      </c>
      <c r="O7635" s="47" t="s">
        <v>410</v>
      </c>
      <c r="P7635" s="14" t="s">
        <v>41</v>
      </c>
      <c r="Q7635" s="14">
        <v>0</v>
      </c>
      <c r="R7635" s="143" t="s">
        <v>1888</v>
      </c>
      <c r="S7635" s="47"/>
      <c r="T7635" s="6">
        <v>-4.4999999998719433</v>
      </c>
      <c r="U7635" s="6"/>
      <c r="V7635" s="6">
        <v>0</v>
      </c>
      <c r="W7635" s="6">
        <f t="shared" si="1174"/>
        <v>-4.4999999998719433</v>
      </c>
      <c r="X7635" s="6">
        <f t="shared" si="1178"/>
        <v>0</v>
      </c>
      <c r="Y7635" s="13">
        <f t="shared" si="1181"/>
        <v>0</v>
      </c>
      <c r="Z7635" s="14">
        <v>0</v>
      </c>
      <c r="AA7635" s="6">
        <v>0</v>
      </c>
      <c r="AB7635" s="4">
        <f t="shared" si="1182"/>
        <v>0</v>
      </c>
      <c r="AC7635" s="6">
        <f t="shared" si="1180"/>
        <v>0</v>
      </c>
      <c r="AD7635" s="6">
        <f t="shared" si="1175"/>
        <v>0</v>
      </c>
      <c r="AE7635" s="14">
        <f>VLOOKUP(I7635,[2]媒体政策预估表!A:N,MATCH(O7635,[2]媒体政策预估表!$A$2:$M$2,0),0)</f>
        <v>7.0000000000000007E-2</v>
      </c>
      <c r="AF7635" s="6">
        <f t="shared" si="1177"/>
        <v>0</v>
      </c>
      <c r="AG7635" s="14">
        <v>0</v>
      </c>
      <c r="AH7635" s="64">
        <f t="shared" si="1176"/>
        <v>0</v>
      </c>
      <c r="AJ7635" s="126" t="e">
        <v>#N/A</v>
      </c>
      <c r="AK7635" s="80">
        <f t="shared" si="1183"/>
        <v>0</v>
      </c>
      <c r="AL7635" s="85"/>
      <c r="AM7635" s="85"/>
    </row>
    <row r="7636" spans="1:39" s="86" customFormat="1" ht="13.25" hidden="1" customHeight="1" x14ac:dyDescent="0.3">
      <c r="A7636" s="89" t="s">
        <v>3792</v>
      </c>
      <c r="B7636" s="86" t="s">
        <v>35</v>
      </c>
      <c r="C7636" s="86" t="s">
        <v>65</v>
      </c>
      <c r="D7636" s="86" t="s">
        <v>66</v>
      </c>
      <c r="E7636" s="86" t="s">
        <v>1889</v>
      </c>
      <c r="F7636" s="86" t="s">
        <v>1889</v>
      </c>
      <c r="G7636" s="86" t="s">
        <v>1889</v>
      </c>
      <c r="H7636" s="143">
        <v>360</v>
      </c>
      <c r="I7636" s="86" t="s">
        <v>1060</v>
      </c>
      <c r="J7636" s="47" t="s">
        <v>3325</v>
      </c>
      <c r="K7636" s="47" t="s">
        <v>3767</v>
      </c>
      <c r="L7636" s="47" t="s">
        <v>35</v>
      </c>
      <c r="M7636" s="86" t="s">
        <v>1889</v>
      </c>
      <c r="O7636" s="47" t="s">
        <v>410</v>
      </c>
      <c r="P7636" s="14" t="s">
        <v>46</v>
      </c>
      <c r="Q7636" s="14">
        <v>0.01</v>
      </c>
      <c r="R7636" s="143" t="s">
        <v>1890</v>
      </c>
      <c r="S7636" s="47"/>
      <c r="T7636" s="6">
        <v>-4.1000000000065029</v>
      </c>
      <c r="U7636" s="6"/>
      <c r="V7636" s="6">
        <v>0</v>
      </c>
      <c r="W7636" s="6">
        <f t="shared" si="1174"/>
        <v>-4.1000000000065029</v>
      </c>
      <c r="X7636" s="6">
        <f t="shared" si="1178"/>
        <v>0</v>
      </c>
      <c r="Y7636" s="13">
        <f t="shared" si="1181"/>
        <v>0</v>
      </c>
      <c r="Z7636" s="14">
        <v>0</v>
      </c>
      <c r="AA7636" s="6">
        <v>0</v>
      </c>
      <c r="AB7636" s="4">
        <f t="shared" si="1182"/>
        <v>0</v>
      </c>
      <c r="AC7636" s="6">
        <f t="shared" si="1180"/>
        <v>0</v>
      </c>
      <c r="AD7636" s="6">
        <f t="shared" si="1175"/>
        <v>0</v>
      </c>
      <c r="AE7636" s="14">
        <f>VLOOKUP(I7636,[2]媒体政策预估表!A:N,MATCH(O7636,[2]媒体政策预估表!$A$2:$M$2,0),0)</f>
        <v>7.0000000000000007E-2</v>
      </c>
      <c r="AF7636" s="6">
        <f t="shared" si="1177"/>
        <v>0</v>
      </c>
      <c r="AG7636" s="14">
        <v>0</v>
      </c>
      <c r="AH7636" s="64">
        <f t="shared" si="1176"/>
        <v>0</v>
      </c>
      <c r="AJ7636" s="126" t="e">
        <v>#N/A</v>
      </c>
      <c r="AK7636" s="80">
        <f t="shared" si="1183"/>
        <v>0</v>
      </c>
      <c r="AL7636" s="85"/>
      <c r="AM7636" s="85"/>
    </row>
    <row r="7637" spans="1:39" s="86" customFormat="1" ht="13.25" hidden="1" customHeight="1" x14ac:dyDescent="0.3">
      <c r="A7637" s="89" t="s">
        <v>3978</v>
      </c>
      <c r="B7637" s="86" t="s">
        <v>35</v>
      </c>
      <c r="C7637" s="86" t="s">
        <v>65</v>
      </c>
      <c r="D7637" s="86" t="s">
        <v>122</v>
      </c>
      <c r="E7637" s="86" t="s">
        <v>1894</v>
      </c>
      <c r="F7637" s="86" t="s">
        <v>1894</v>
      </c>
      <c r="G7637" s="86" t="s">
        <v>1894</v>
      </c>
      <c r="H7637" s="143">
        <v>360</v>
      </c>
      <c r="I7637" s="86" t="s">
        <v>1060</v>
      </c>
      <c r="J7637" s="47" t="s">
        <v>3325</v>
      </c>
      <c r="K7637" s="47" t="s">
        <v>3767</v>
      </c>
      <c r="L7637" s="47" t="s">
        <v>35</v>
      </c>
      <c r="M7637" s="86" t="s">
        <v>1894</v>
      </c>
      <c r="O7637" s="47" t="s">
        <v>410</v>
      </c>
      <c r="P7637" s="14" t="s">
        <v>41</v>
      </c>
      <c r="Q7637" s="14">
        <v>0</v>
      </c>
      <c r="R7637" s="143" t="s">
        <v>1895</v>
      </c>
      <c r="S7637" s="47"/>
      <c r="T7637" s="6">
        <v>-88.000000000025466</v>
      </c>
      <c r="U7637" s="6"/>
      <c r="V7637" s="6">
        <v>0</v>
      </c>
      <c r="W7637" s="6">
        <f t="shared" si="1174"/>
        <v>-88.000000000025466</v>
      </c>
      <c r="X7637" s="6">
        <f t="shared" si="1178"/>
        <v>0</v>
      </c>
      <c r="Y7637" s="13">
        <f t="shared" si="1181"/>
        <v>0</v>
      </c>
      <c r="Z7637" s="14">
        <v>0</v>
      </c>
      <c r="AA7637" s="6">
        <v>0</v>
      </c>
      <c r="AB7637" s="4">
        <f t="shared" si="1182"/>
        <v>0</v>
      </c>
      <c r="AC7637" s="6">
        <f t="shared" si="1180"/>
        <v>0</v>
      </c>
      <c r="AD7637" s="6">
        <f t="shared" si="1175"/>
        <v>0</v>
      </c>
      <c r="AE7637" s="14">
        <f>VLOOKUP(I7637,[2]媒体政策预估表!A:N,MATCH(O7637,[2]媒体政策预估表!$A$2:$M$2,0),0)</f>
        <v>7.0000000000000007E-2</v>
      </c>
      <c r="AF7637" s="6">
        <f t="shared" si="1177"/>
        <v>0</v>
      </c>
      <c r="AG7637" s="14">
        <v>0</v>
      </c>
      <c r="AH7637" s="64">
        <f t="shared" si="1176"/>
        <v>0</v>
      </c>
      <c r="AJ7637" s="126" t="e">
        <v>#N/A</v>
      </c>
      <c r="AK7637" s="80">
        <f t="shared" si="1183"/>
        <v>0</v>
      </c>
      <c r="AL7637" s="85"/>
      <c r="AM7637" s="85"/>
    </row>
    <row r="7638" spans="1:39" s="86" customFormat="1" ht="13.25" hidden="1" customHeight="1" x14ac:dyDescent="0.3">
      <c r="A7638" s="89" t="s">
        <v>3792</v>
      </c>
      <c r="B7638" s="86" t="s">
        <v>35</v>
      </c>
      <c r="C7638" s="86" t="s">
        <v>65</v>
      </c>
      <c r="D7638" s="86" t="s">
        <v>122</v>
      </c>
      <c r="E7638" s="86" t="s">
        <v>1896</v>
      </c>
      <c r="F7638" s="86" t="s">
        <v>1896</v>
      </c>
      <c r="G7638" s="86" t="s">
        <v>1896</v>
      </c>
      <c r="H7638" s="143">
        <v>360</v>
      </c>
      <c r="I7638" s="86" t="s">
        <v>1060</v>
      </c>
      <c r="J7638" s="47" t="s">
        <v>3325</v>
      </c>
      <c r="K7638" s="47" t="s">
        <v>3767</v>
      </c>
      <c r="L7638" s="47" t="s">
        <v>35</v>
      </c>
      <c r="M7638" s="86" t="s">
        <v>1896</v>
      </c>
      <c r="O7638" s="47" t="s">
        <v>410</v>
      </c>
      <c r="P7638" s="14" t="s">
        <v>46</v>
      </c>
      <c r="Q7638" s="14">
        <v>0.02</v>
      </c>
      <c r="R7638" s="143" t="s">
        <v>1897</v>
      </c>
      <c r="S7638" s="47"/>
      <c r="T7638" s="6">
        <v>-1.45</v>
      </c>
      <c r="U7638" s="6"/>
      <c r="V7638" s="6">
        <v>0</v>
      </c>
      <c r="W7638" s="6">
        <f t="shared" si="1174"/>
        <v>-1.45</v>
      </c>
      <c r="X7638" s="6">
        <f t="shared" si="1178"/>
        <v>0</v>
      </c>
      <c r="Y7638" s="13">
        <f t="shared" si="1181"/>
        <v>0</v>
      </c>
      <c r="Z7638" s="14">
        <v>0</v>
      </c>
      <c r="AA7638" s="6">
        <v>0</v>
      </c>
      <c r="AB7638" s="4">
        <f t="shared" si="1182"/>
        <v>0</v>
      </c>
      <c r="AC7638" s="6">
        <f t="shared" si="1180"/>
        <v>0</v>
      </c>
      <c r="AD7638" s="6">
        <f t="shared" si="1175"/>
        <v>0</v>
      </c>
      <c r="AE7638" s="14">
        <f>VLOOKUP(I7638,[2]媒体政策预估表!A:N,MATCH(O7638,[2]媒体政策预估表!$A$2:$M$2,0),0)</f>
        <v>7.0000000000000007E-2</v>
      </c>
      <c r="AF7638" s="6">
        <f t="shared" si="1177"/>
        <v>0</v>
      </c>
      <c r="AG7638" s="14">
        <v>0</v>
      </c>
      <c r="AH7638" s="64">
        <f t="shared" si="1176"/>
        <v>0</v>
      </c>
      <c r="AJ7638" s="126" t="e">
        <v>#N/A</v>
      </c>
      <c r="AK7638" s="80">
        <f t="shared" si="1183"/>
        <v>0</v>
      </c>
      <c r="AL7638" s="85"/>
      <c r="AM7638" s="85"/>
    </row>
    <row r="7639" spans="1:39" s="86" customFormat="1" ht="13.25" hidden="1" customHeight="1" x14ac:dyDescent="0.3">
      <c r="A7639" s="89" t="s">
        <v>3978</v>
      </c>
      <c r="B7639" s="86" t="s">
        <v>35</v>
      </c>
      <c r="C7639" s="86" t="s">
        <v>65</v>
      </c>
      <c r="D7639" s="86" t="s">
        <v>122</v>
      </c>
      <c r="E7639" s="86" t="s">
        <v>1898</v>
      </c>
      <c r="F7639" s="86" t="s">
        <v>1898</v>
      </c>
      <c r="G7639" s="86" t="s">
        <v>1898</v>
      </c>
      <c r="H7639" s="143">
        <v>360</v>
      </c>
      <c r="I7639" s="86" t="s">
        <v>1060</v>
      </c>
      <c r="J7639" s="47" t="s">
        <v>3325</v>
      </c>
      <c r="K7639" s="47" t="s">
        <v>3767</v>
      </c>
      <c r="L7639" s="47" t="s">
        <v>35</v>
      </c>
      <c r="M7639" s="86" t="s">
        <v>1898</v>
      </c>
      <c r="O7639" s="47" t="s">
        <v>45</v>
      </c>
      <c r="P7639" s="14" t="s">
        <v>46</v>
      </c>
      <c r="Q7639" s="14">
        <v>0.08</v>
      </c>
      <c r="R7639" s="143" t="s">
        <v>1899</v>
      </c>
      <c r="S7639" s="47"/>
      <c r="T7639" s="6">
        <v>0.29000000000145504</v>
      </c>
      <c r="U7639" s="6"/>
      <c r="V7639" s="6">
        <v>0</v>
      </c>
      <c r="W7639" s="6">
        <f t="shared" si="1174"/>
        <v>0.29000000000145504</v>
      </c>
      <c r="X7639" s="6">
        <f t="shared" si="1178"/>
        <v>0</v>
      </c>
      <c r="Y7639" s="13">
        <f t="shared" si="1181"/>
        <v>0</v>
      </c>
      <c r="Z7639" s="14">
        <v>0</v>
      </c>
      <c r="AA7639" s="6">
        <v>0</v>
      </c>
      <c r="AB7639" s="4">
        <f t="shared" si="1182"/>
        <v>0</v>
      </c>
      <c r="AC7639" s="6">
        <f t="shared" si="1180"/>
        <v>0</v>
      </c>
      <c r="AD7639" s="6">
        <f t="shared" si="1175"/>
        <v>0</v>
      </c>
      <c r="AE7639" s="14">
        <f>VLOOKUP(I7639,[2]媒体政策预估表!A:N,MATCH(O7639,[2]媒体政策预估表!$A$2:$M$2,0),0)</f>
        <v>0.1</v>
      </c>
      <c r="AF7639" s="6">
        <f t="shared" si="1177"/>
        <v>0</v>
      </c>
      <c r="AG7639" s="14">
        <v>0</v>
      </c>
      <c r="AH7639" s="64">
        <f t="shared" si="1176"/>
        <v>0</v>
      </c>
      <c r="AJ7639" s="126" t="e">
        <v>#N/A</v>
      </c>
      <c r="AK7639" s="80">
        <f t="shared" si="1183"/>
        <v>0</v>
      </c>
      <c r="AL7639" s="85"/>
      <c r="AM7639" s="85"/>
    </row>
    <row r="7640" spans="1:39" s="86" customFormat="1" ht="13.25" hidden="1" customHeight="1" x14ac:dyDescent="0.3">
      <c r="A7640" s="89" t="s">
        <v>3805</v>
      </c>
      <c r="B7640" s="86" t="s">
        <v>35</v>
      </c>
      <c r="C7640" s="86" t="s">
        <v>65</v>
      </c>
      <c r="D7640" s="86" t="s">
        <v>125</v>
      </c>
      <c r="E7640" s="86" t="s">
        <v>1903</v>
      </c>
      <c r="F7640" s="86" t="s">
        <v>1904</v>
      </c>
      <c r="G7640" s="86" t="s">
        <v>1903</v>
      </c>
      <c r="H7640" s="143">
        <v>360</v>
      </c>
      <c r="I7640" s="86" t="s">
        <v>1060</v>
      </c>
      <c r="J7640" s="47" t="s">
        <v>3325</v>
      </c>
      <c r="K7640" s="47" t="s">
        <v>3767</v>
      </c>
      <c r="L7640" s="47" t="s">
        <v>35</v>
      </c>
      <c r="M7640" s="86" t="s">
        <v>1905</v>
      </c>
      <c r="O7640" s="47" t="s">
        <v>410</v>
      </c>
      <c r="P7640" s="14" t="s">
        <v>41</v>
      </c>
      <c r="Q7640" s="14">
        <v>0</v>
      </c>
      <c r="R7640" s="143" t="s">
        <v>1906</v>
      </c>
      <c r="S7640" s="47"/>
      <c r="T7640" s="6">
        <v>2768595.0750100003</v>
      </c>
      <c r="U7640" s="6"/>
      <c r="V7640" s="6">
        <v>0</v>
      </c>
      <c r="W7640" s="6">
        <f t="shared" si="1174"/>
        <v>2768595.0750100003</v>
      </c>
      <c r="X7640" s="6">
        <f t="shared" si="1178"/>
        <v>0</v>
      </c>
      <c r="Y7640" s="13">
        <f t="shared" si="1181"/>
        <v>0</v>
      </c>
      <c r="Z7640" s="14">
        <v>0</v>
      </c>
      <c r="AA7640" s="6">
        <v>0</v>
      </c>
      <c r="AB7640" s="4">
        <f t="shared" si="1182"/>
        <v>0</v>
      </c>
      <c r="AC7640" s="6">
        <f t="shared" si="1180"/>
        <v>0</v>
      </c>
      <c r="AD7640" s="6">
        <f t="shared" si="1175"/>
        <v>0</v>
      </c>
      <c r="AE7640" s="14">
        <f>VLOOKUP(I7640,[2]媒体政策预估表!A:N,MATCH(O7640,[2]媒体政策预估表!$A$2:$M$2,0),0)</f>
        <v>7.0000000000000007E-2</v>
      </c>
      <c r="AF7640" s="6">
        <f t="shared" si="1177"/>
        <v>0</v>
      </c>
      <c r="AG7640" s="14">
        <v>0</v>
      </c>
      <c r="AH7640" s="64">
        <f t="shared" si="1176"/>
        <v>0</v>
      </c>
      <c r="AJ7640" s="126" t="e">
        <v>#N/A</v>
      </c>
      <c r="AK7640" s="80">
        <f t="shared" si="1183"/>
        <v>0</v>
      </c>
      <c r="AL7640" s="85"/>
      <c r="AM7640" s="85"/>
    </row>
    <row r="7641" spans="1:39" s="86" customFormat="1" ht="13.25" hidden="1" customHeight="1" x14ac:dyDescent="0.3">
      <c r="A7641" s="89" t="s">
        <v>3805</v>
      </c>
      <c r="B7641" s="86" t="s">
        <v>35</v>
      </c>
      <c r="C7641" s="86" t="s">
        <v>65</v>
      </c>
      <c r="D7641" s="86" t="s">
        <v>232</v>
      </c>
      <c r="E7641" s="86" t="s">
        <v>1907</v>
      </c>
      <c r="F7641" s="86" t="s">
        <v>1908</v>
      </c>
      <c r="G7641" s="86" t="s">
        <v>1907</v>
      </c>
      <c r="H7641" s="143">
        <v>360</v>
      </c>
      <c r="I7641" s="86" t="s">
        <v>1060</v>
      </c>
      <c r="J7641" s="47" t="s">
        <v>3325</v>
      </c>
      <c r="K7641" s="47" t="s">
        <v>3767</v>
      </c>
      <c r="L7641" s="47" t="s">
        <v>35</v>
      </c>
      <c r="M7641" s="86" t="s">
        <v>484</v>
      </c>
      <c r="O7641" s="47" t="s">
        <v>410</v>
      </c>
      <c r="P7641" s="14" t="s">
        <v>41</v>
      </c>
      <c r="Q7641" s="14">
        <v>0</v>
      </c>
      <c r="R7641" s="143" t="s">
        <v>1909</v>
      </c>
      <c r="S7641" s="47"/>
      <c r="T7641" s="6">
        <v>-6.5200000000186265</v>
      </c>
      <c r="U7641" s="6"/>
      <c r="V7641" s="6">
        <v>0</v>
      </c>
      <c r="W7641" s="6">
        <f t="shared" ref="W7641:W7704" si="1184">T7641+U7641-V7641</f>
        <v>-6.5200000000186265</v>
      </c>
      <c r="X7641" s="6">
        <f t="shared" si="1178"/>
        <v>0</v>
      </c>
      <c r="Y7641" s="13">
        <f t="shared" si="1181"/>
        <v>0</v>
      </c>
      <c r="Z7641" s="14">
        <v>0</v>
      </c>
      <c r="AA7641" s="6">
        <v>0</v>
      </c>
      <c r="AB7641" s="4">
        <f t="shared" si="1182"/>
        <v>0</v>
      </c>
      <c r="AC7641" s="6">
        <f t="shared" si="1180"/>
        <v>0</v>
      </c>
      <c r="AD7641" s="6">
        <f t="shared" ref="AD7641:AD7704" si="1185">V7641</f>
        <v>0</v>
      </c>
      <c r="AE7641" s="14">
        <f>VLOOKUP(I7641,[2]媒体政策预估表!A:N,MATCH(O7641,[2]媒体政策预估表!$A$2:$M$2,0),0)</f>
        <v>7.0000000000000007E-2</v>
      </c>
      <c r="AF7641" s="6">
        <f t="shared" si="1177"/>
        <v>0</v>
      </c>
      <c r="AG7641" s="14">
        <v>0</v>
      </c>
      <c r="AH7641" s="64">
        <f t="shared" ref="AH7641:AH7704" si="1186">V7641</f>
        <v>0</v>
      </c>
      <c r="AJ7641" s="126" t="e">
        <v>#N/A</v>
      </c>
      <c r="AK7641" s="80">
        <f t="shared" si="1183"/>
        <v>0</v>
      </c>
      <c r="AL7641" s="85"/>
      <c r="AM7641" s="85"/>
    </row>
    <row r="7642" spans="1:39" s="86" customFormat="1" ht="13.25" hidden="1" customHeight="1" x14ac:dyDescent="0.3">
      <c r="A7642" s="89" t="s">
        <v>3978</v>
      </c>
      <c r="B7642" s="86" t="s">
        <v>35</v>
      </c>
      <c r="C7642" s="86" t="s">
        <v>47</v>
      </c>
      <c r="D7642" s="86" t="s">
        <v>878</v>
      </c>
      <c r="E7642" s="86" t="s">
        <v>1910</v>
      </c>
      <c r="F7642" s="86" t="s">
        <v>1910</v>
      </c>
      <c r="G7642" s="86" t="s">
        <v>1910</v>
      </c>
      <c r="H7642" s="143">
        <v>360</v>
      </c>
      <c r="I7642" s="86" t="s">
        <v>1060</v>
      </c>
      <c r="J7642" s="47" t="s">
        <v>3325</v>
      </c>
      <c r="K7642" s="47" t="s">
        <v>3767</v>
      </c>
      <c r="L7642" s="47" t="s">
        <v>35</v>
      </c>
      <c r="M7642" s="86" t="s">
        <v>1910</v>
      </c>
      <c r="O7642" s="47" t="s">
        <v>45</v>
      </c>
      <c r="P7642" s="14" t="s">
        <v>46</v>
      </c>
      <c r="Q7642" s="14">
        <v>0.02</v>
      </c>
      <c r="R7642" s="143" t="s">
        <v>1911</v>
      </c>
      <c r="S7642" s="47"/>
      <c r="T7642" s="6">
        <v>0.34000000000014552</v>
      </c>
      <c r="U7642" s="6"/>
      <c r="V7642" s="6">
        <v>0</v>
      </c>
      <c r="W7642" s="6">
        <f t="shared" si="1184"/>
        <v>0.34000000000014552</v>
      </c>
      <c r="X7642" s="6">
        <f t="shared" si="1178"/>
        <v>0</v>
      </c>
      <c r="Y7642" s="13">
        <f t="shared" si="1181"/>
        <v>0</v>
      </c>
      <c r="Z7642" s="14">
        <v>0</v>
      </c>
      <c r="AA7642" s="6">
        <v>0</v>
      </c>
      <c r="AB7642" s="4">
        <f t="shared" si="1182"/>
        <v>0</v>
      </c>
      <c r="AC7642" s="6">
        <f t="shared" si="1180"/>
        <v>0</v>
      </c>
      <c r="AD7642" s="6">
        <f t="shared" si="1185"/>
        <v>0</v>
      </c>
      <c r="AE7642" s="14">
        <f>VLOOKUP(I7642,[2]媒体政策预估表!A:N,MATCH(O7642,[2]媒体政策预估表!$A$2:$M$2,0),0)</f>
        <v>0.1</v>
      </c>
      <c r="AF7642" s="6">
        <f t="shared" si="1177"/>
        <v>0</v>
      </c>
      <c r="AG7642" s="14">
        <v>0</v>
      </c>
      <c r="AH7642" s="64">
        <f t="shared" si="1186"/>
        <v>0</v>
      </c>
      <c r="AJ7642" s="126" t="e">
        <v>#N/A</v>
      </c>
      <c r="AK7642" s="80">
        <f t="shared" si="1183"/>
        <v>0</v>
      </c>
      <c r="AL7642" s="85"/>
      <c r="AM7642" s="85"/>
    </row>
    <row r="7643" spans="1:39" s="86" customFormat="1" ht="13.25" hidden="1" customHeight="1" x14ac:dyDescent="0.3">
      <c r="A7643" s="89" t="s">
        <v>3978</v>
      </c>
      <c r="B7643" s="86" t="s">
        <v>35</v>
      </c>
      <c r="C7643" s="86" t="s">
        <v>47</v>
      </c>
      <c r="D7643" s="86" t="s">
        <v>63</v>
      </c>
      <c r="E7643" s="86" t="s">
        <v>1912</v>
      </c>
      <c r="F7643" s="86" t="s">
        <v>1912</v>
      </c>
      <c r="G7643" s="86" t="s">
        <v>1912</v>
      </c>
      <c r="H7643" s="143">
        <v>360</v>
      </c>
      <c r="I7643" s="86" t="s">
        <v>1060</v>
      </c>
      <c r="J7643" s="47" t="s">
        <v>3325</v>
      </c>
      <c r="K7643" s="47" t="s">
        <v>3767</v>
      </c>
      <c r="L7643" s="47" t="s">
        <v>35</v>
      </c>
      <c r="M7643" s="86" t="s">
        <v>1912</v>
      </c>
      <c r="O7643" s="47" t="s">
        <v>410</v>
      </c>
      <c r="P7643" s="14" t="s">
        <v>46</v>
      </c>
      <c r="Q7643" s="14">
        <v>0.02</v>
      </c>
      <c r="R7643" s="143" t="s">
        <v>1913</v>
      </c>
      <c r="S7643" s="47"/>
      <c r="T7643" s="6">
        <v>-4.0000000007012204E-2</v>
      </c>
      <c r="U7643" s="6"/>
      <c r="V7643" s="6">
        <v>0</v>
      </c>
      <c r="W7643" s="6">
        <f t="shared" si="1184"/>
        <v>-4.0000000007012204E-2</v>
      </c>
      <c r="X7643" s="6">
        <f t="shared" si="1178"/>
        <v>0</v>
      </c>
      <c r="Y7643" s="13">
        <f t="shared" si="1181"/>
        <v>0</v>
      </c>
      <c r="Z7643" s="14">
        <v>0</v>
      </c>
      <c r="AA7643" s="6">
        <v>0</v>
      </c>
      <c r="AB7643" s="4">
        <f t="shared" si="1182"/>
        <v>0</v>
      </c>
      <c r="AC7643" s="6">
        <f t="shared" si="1180"/>
        <v>0</v>
      </c>
      <c r="AD7643" s="6">
        <f t="shared" si="1185"/>
        <v>0</v>
      </c>
      <c r="AE7643" s="14">
        <f>VLOOKUP(I7643,[2]媒体政策预估表!A:N,MATCH(O7643,[2]媒体政策预估表!$A$2:$M$2,0),0)</f>
        <v>7.0000000000000007E-2</v>
      </c>
      <c r="AF7643" s="6">
        <f t="shared" si="1177"/>
        <v>0</v>
      </c>
      <c r="AG7643" s="14">
        <v>0</v>
      </c>
      <c r="AH7643" s="64">
        <f t="shared" si="1186"/>
        <v>0</v>
      </c>
      <c r="AJ7643" s="126" t="e">
        <v>#N/A</v>
      </c>
      <c r="AK7643" s="80">
        <f t="shared" si="1183"/>
        <v>0</v>
      </c>
      <c r="AL7643" s="85"/>
      <c r="AM7643" s="85"/>
    </row>
    <row r="7644" spans="1:39" s="86" customFormat="1" ht="13.25" hidden="1" customHeight="1" x14ac:dyDescent="0.3">
      <c r="A7644" s="89" t="s">
        <v>3978</v>
      </c>
      <c r="B7644" s="86" t="s">
        <v>35</v>
      </c>
      <c r="C7644" s="86" t="s">
        <v>47</v>
      </c>
      <c r="D7644" s="86" t="s">
        <v>63</v>
      </c>
      <c r="E7644" s="86" t="s">
        <v>1914</v>
      </c>
      <c r="F7644" s="86" t="s">
        <v>1914</v>
      </c>
      <c r="G7644" s="86" t="s">
        <v>1914</v>
      </c>
      <c r="H7644" s="143">
        <v>360</v>
      </c>
      <c r="I7644" s="86" t="s">
        <v>1060</v>
      </c>
      <c r="J7644" s="47" t="s">
        <v>3325</v>
      </c>
      <c r="K7644" s="47" t="s">
        <v>3767</v>
      </c>
      <c r="L7644" s="47" t="s">
        <v>35</v>
      </c>
      <c r="M7644" s="86" t="s">
        <v>1914</v>
      </c>
      <c r="O7644" s="47" t="s">
        <v>410</v>
      </c>
      <c r="P7644" s="14" t="s">
        <v>46</v>
      </c>
      <c r="Q7644" s="14">
        <v>0.02</v>
      </c>
      <c r="R7644" s="143" t="s">
        <v>1915</v>
      </c>
      <c r="S7644" s="47"/>
      <c r="T7644" s="6">
        <v>-245.00000000000364</v>
      </c>
      <c r="U7644" s="6"/>
      <c r="V7644" s="6">
        <v>0</v>
      </c>
      <c r="W7644" s="6">
        <f t="shared" si="1184"/>
        <v>-245.00000000000364</v>
      </c>
      <c r="X7644" s="6">
        <f t="shared" si="1178"/>
        <v>0</v>
      </c>
      <c r="Y7644" s="13">
        <f t="shared" si="1181"/>
        <v>0</v>
      </c>
      <c r="Z7644" s="14">
        <v>0</v>
      </c>
      <c r="AA7644" s="6">
        <v>0</v>
      </c>
      <c r="AB7644" s="4">
        <f t="shared" si="1182"/>
        <v>0</v>
      </c>
      <c r="AC7644" s="6">
        <f t="shared" si="1180"/>
        <v>0</v>
      </c>
      <c r="AD7644" s="6">
        <f t="shared" si="1185"/>
        <v>0</v>
      </c>
      <c r="AE7644" s="14">
        <f>VLOOKUP(I7644,[2]媒体政策预估表!A:N,MATCH(O7644,[2]媒体政策预估表!$A$2:$M$2,0),0)</f>
        <v>7.0000000000000007E-2</v>
      </c>
      <c r="AF7644" s="6">
        <f t="shared" si="1177"/>
        <v>0</v>
      </c>
      <c r="AG7644" s="14">
        <v>0</v>
      </c>
      <c r="AH7644" s="64">
        <f t="shared" si="1186"/>
        <v>0</v>
      </c>
      <c r="AJ7644" s="126" t="e">
        <v>#N/A</v>
      </c>
      <c r="AK7644" s="80">
        <f t="shared" si="1183"/>
        <v>0</v>
      </c>
      <c r="AL7644" s="85"/>
      <c r="AM7644" s="85"/>
    </row>
    <row r="7645" spans="1:39" s="86" customFormat="1" ht="13.25" hidden="1" customHeight="1" x14ac:dyDescent="0.3">
      <c r="A7645" s="89" t="s">
        <v>3978</v>
      </c>
      <c r="B7645" s="86" t="s">
        <v>35</v>
      </c>
      <c r="C7645" s="86" t="s">
        <v>47</v>
      </c>
      <c r="D7645" s="86" t="s">
        <v>48</v>
      </c>
      <c r="E7645" s="86" t="s">
        <v>1916</v>
      </c>
      <c r="F7645" s="86" t="s">
        <v>1916</v>
      </c>
      <c r="G7645" s="86" t="s">
        <v>1916</v>
      </c>
      <c r="H7645" s="143">
        <v>360</v>
      </c>
      <c r="I7645" s="86" t="s">
        <v>1060</v>
      </c>
      <c r="J7645" s="47" t="s">
        <v>3325</v>
      </c>
      <c r="K7645" s="47" t="s">
        <v>3767</v>
      </c>
      <c r="L7645" s="47" t="s">
        <v>35</v>
      </c>
      <c r="M7645" s="86" t="s">
        <v>1917</v>
      </c>
      <c r="O7645" s="47" t="s">
        <v>410</v>
      </c>
      <c r="P7645" s="14" t="s">
        <v>41</v>
      </c>
      <c r="Q7645" s="14">
        <v>0</v>
      </c>
      <c r="R7645" s="143" t="s">
        <v>1918</v>
      </c>
      <c r="S7645" s="47"/>
      <c r="T7645" s="6">
        <v>5.8789900001138449</v>
      </c>
      <c r="U7645" s="6"/>
      <c r="V7645" s="6">
        <v>0</v>
      </c>
      <c r="W7645" s="6">
        <f t="shared" si="1184"/>
        <v>5.8789900001138449</v>
      </c>
      <c r="X7645" s="6">
        <f t="shared" si="1178"/>
        <v>0</v>
      </c>
      <c r="Y7645" s="13">
        <f t="shared" si="1181"/>
        <v>0</v>
      </c>
      <c r="Z7645" s="14">
        <v>0</v>
      </c>
      <c r="AA7645" s="6">
        <v>0</v>
      </c>
      <c r="AB7645" s="4">
        <f t="shared" si="1182"/>
        <v>0</v>
      </c>
      <c r="AC7645" s="6">
        <f t="shared" si="1180"/>
        <v>0</v>
      </c>
      <c r="AD7645" s="6">
        <f t="shared" si="1185"/>
        <v>0</v>
      </c>
      <c r="AE7645" s="14">
        <f>VLOOKUP(I7645,[2]媒体政策预估表!A:N,MATCH(O7645,[2]媒体政策预估表!$A$2:$M$2,0),0)</f>
        <v>7.0000000000000007E-2</v>
      </c>
      <c r="AF7645" s="6">
        <f t="shared" si="1177"/>
        <v>0</v>
      </c>
      <c r="AG7645" s="14">
        <v>0</v>
      </c>
      <c r="AH7645" s="64">
        <f t="shared" si="1186"/>
        <v>0</v>
      </c>
      <c r="AJ7645" s="126" t="e">
        <v>#N/A</v>
      </c>
      <c r="AK7645" s="80">
        <f t="shared" si="1183"/>
        <v>0</v>
      </c>
      <c r="AL7645" s="85"/>
      <c r="AM7645" s="85"/>
    </row>
    <row r="7646" spans="1:39" s="86" customFormat="1" ht="13.25" hidden="1" customHeight="1" x14ac:dyDescent="0.3">
      <c r="A7646" s="89" t="s">
        <v>3792</v>
      </c>
      <c r="B7646" s="86" t="s">
        <v>35</v>
      </c>
      <c r="C7646" s="86" t="s">
        <v>47</v>
      </c>
      <c r="D7646" s="86" t="s">
        <v>48</v>
      </c>
      <c r="E7646" s="86" t="s">
        <v>542</v>
      </c>
      <c r="F7646" s="86" t="s">
        <v>543</v>
      </c>
      <c r="G7646" s="86" t="s">
        <v>542</v>
      </c>
      <c r="H7646" s="143">
        <v>360</v>
      </c>
      <c r="I7646" s="86" t="s">
        <v>1060</v>
      </c>
      <c r="J7646" s="47" t="s">
        <v>3325</v>
      </c>
      <c r="K7646" s="47" t="s">
        <v>3767</v>
      </c>
      <c r="L7646" s="47" t="s">
        <v>35</v>
      </c>
      <c r="M7646" s="86" t="s">
        <v>542</v>
      </c>
      <c r="O7646" s="47" t="s">
        <v>410</v>
      </c>
      <c r="P7646" s="14" t="s">
        <v>41</v>
      </c>
      <c r="Q7646" s="14">
        <v>0</v>
      </c>
      <c r="R7646" s="143" t="s">
        <v>1919</v>
      </c>
      <c r="S7646" s="47"/>
      <c r="T7646" s="6">
        <v>35.500050000031479</v>
      </c>
      <c r="U7646" s="6"/>
      <c r="V7646" s="6">
        <v>0</v>
      </c>
      <c r="W7646" s="6">
        <f t="shared" si="1184"/>
        <v>35.500050000031479</v>
      </c>
      <c r="X7646" s="6">
        <f t="shared" si="1178"/>
        <v>0</v>
      </c>
      <c r="Y7646" s="13">
        <f t="shared" si="1181"/>
        <v>0</v>
      </c>
      <c r="Z7646" s="14">
        <v>0</v>
      </c>
      <c r="AA7646" s="6">
        <v>0</v>
      </c>
      <c r="AB7646" s="4">
        <f t="shared" si="1182"/>
        <v>0</v>
      </c>
      <c r="AC7646" s="6">
        <f t="shared" si="1180"/>
        <v>0</v>
      </c>
      <c r="AD7646" s="6">
        <f t="shared" si="1185"/>
        <v>0</v>
      </c>
      <c r="AE7646" s="14">
        <f>VLOOKUP(I7646,[2]媒体政策预估表!A:N,MATCH(O7646,[2]媒体政策预估表!$A$2:$M$2,0),0)</f>
        <v>7.0000000000000007E-2</v>
      </c>
      <c r="AF7646" s="6">
        <f t="shared" si="1177"/>
        <v>0</v>
      </c>
      <c r="AG7646" s="14">
        <v>0</v>
      </c>
      <c r="AH7646" s="64">
        <f t="shared" si="1186"/>
        <v>0</v>
      </c>
      <c r="AJ7646" s="126" t="e">
        <v>#N/A</v>
      </c>
      <c r="AK7646" s="80">
        <f t="shared" si="1183"/>
        <v>0</v>
      </c>
      <c r="AL7646" s="85"/>
      <c r="AM7646" s="85"/>
    </row>
    <row r="7647" spans="1:39" s="86" customFormat="1" ht="13.25" hidden="1" customHeight="1" x14ac:dyDescent="0.3">
      <c r="A7647" s="89" t="s">
        <v>3978</v>
      </c>
      <c r="B7647" s="86" t="s">
        <v>35</v>
      </c>
      <c r="C7647" s="86" t="s">
        <v>47</v>
      </c>
      <c r="D7647" s="86" t="s">
        <v>48</v>
      </c>
      <c r="E7647" s="86" t="s">
        <v>550</v>
      </c>
      <c r="F7647" s="86" t="s">
        <v>551</v>
      </c>
      <c r="G7647" s="86" t="s">
        <v>550</v>
      </c>
      <c r="H7647" s="143">
        <v>360</v>
      </c>
      <c r="I7647" s="86" t="s">
        <v>1060</v>
      </c>
      <c r="J7647" s="47" t="s">
        <v>3325</v>
      </c>
      <c r="K7647" s="47" t="s">
        <v>3767</v>
      </c>
      <c r="L7647" s="47" t="s">
        <v>35</v>
      </c>
      <c r="M7647" s="86" t="s">
        <v>550</v>
      </c>
      <c r="O7647" s="47" t="s">
        <v>410</v>
      </c>
      <c r="P7647" s="14" t="s">
        <v>41</v>
      </c>
      <c r="Q7647" s="14">
        <v>0</v>
      </c>
      <c r="R7647" s="143" t="s">
        <v>1920</v>
      </c>
      <c r="S7647" s="47"/>
      <c r="T7647" s="6">
        <v>190585.96999999997</v>
      </c>
      <c r="U7647" s="6"/>
      <c r="V7647" s="6">
        <v>0</v>
      </c>
      <c r="W7647" s="6">
        <f t="shared" si="1184"/>
        <v>190585.96999999997</v>
      </c>
      <c r="X7647" s="6">
        <f t="shared" si="1178"/>
        <v>0</v>
      </c>
      <c r="Y7647" s="13">
        <f t="shared" si="1181"/>
        <v>0</v>
      </c>
      <c r="Z7647" s="14">
        <v>0</v>
      </c>
      <c r="AA7647" s="6">
        <v>0</v>
      </c>
      <c r="AB7647" s="4">
        <f t="shared" si="1182"/>
        <v>0</v>
      </c>
      <c r="AC7647" s="6">
        <f t="shared" si="1180"/>
        <v>0</v>
      </c>
      <c r="AD7647" s="6">
        <f t="shared" si="1185"/>
        <v>0</v>
      </c>
      <c r="AE7647" s="14">
        <f>VLOOKUP(I7647,[2]媒体政策预估表!A:N,MATCH(O7647,[2]媒体政策预估表!$A$2:$M$2,0),0)</f>
        <v>7.0000000000000007E-2</v>
      </c>
      <c r="AF7647" s="6">
        <f t="shared" si="1177"/>
        <v>0</v>
      </c>
      <c r="AG7647" s="14">
        <v>0</v>
      </c>
      <c r="AH7647" s="64">
        <f t="shared" si="1186"/>
        <v>0</v>
      </c>
      <c r="AJ7647" s="126" t="e">
        <v>#N/A</v>
      </c>
      <c r="AK7647" s="80">
        <f t="shared" si="1183"/>
        <v>0</v>
      </c>
      <c r="AL7647" s="85"/>
      <c r="AM7647" s="85"/>
    </row>
    <row r="7648" spans="1:39" s="86" customFormat="1" ht="13.25" hidden="1" customHeight="1" x14ac:dyDescent="0.3">
      <c r="A7648" s="89" t="s">
        <v>3978</v>
      </c>
      <c r="B7648" s="86" t="s">
        <v>35</v>
      </c>
      <c r="C7648" s="86" t="s">
        <v>47</v>
      </c>
      <c r="D7648" s="86" t="s">
        <v>48</v>
      </c>
      <c r="E7648" s="86" t="s">
        <v>1921</v>
      </c>
      <c r="F7648" s="86" t="s">
        <v>1921</v>
      </c>
      <c r="G7648" s="86" t="s">
        <v>1921</v>
      </c>
      <c r="H7648" s="143">
        <v>360</v>
      </c>
      <c r="I7648" s="86" t="s">
        <v>1060</v>
      </c>
      <c r="J7648" s="47" t="s">
        <v>3325</v>
      </c>
      <c r="K7648" s="47" t="s">
        <v>3767</v>
      </c>
      <c r="L7648" s="47" t="s">
        <v>35</v>
      </c>
      <c r="M7648" s="86" t="s">
        <v>1921</v>
      </c>
      <c r="O7648" s="47" t="s">
        <v>410</v>
      </c>
      <c r="P7648" s="14" t="s">
        <v>41</v>
      </c>
      <c r="Q7648" s="14">
        <v>0</v>
      </c>
      <c r="R7648" s="143" t="s">
        <v>1922</v>
      </c>
      <c r="S7648" s="47"/>
      <c r="T7648" s="6">
        <v>478.91000000000031</v>
      </c>
      <c r="U7648" s="6"/>
      <c r="V7648" s="6">
        <v>0</v>
      </c>
      <c r="W7648" s="6">
        <f t="shared" si="1184"/>
        <v>478.91000000000031</v>
      </c>
      <c r="X7648" s="6">
        <f t="shared" si="1178"/>
        <v>0</v>
      </c>
      <c r="Y7648" s="13">
        <f t="shared" si="1181"/>
        <v>0</v>
      </c>
      <c r="Z7648" s="14">
        <v>0</v>
      </c>
      <c r="AA7648" s="6">
        <v>0</v>
      </c>
      <c r="AB7648" s="4">
        <f t="shared" si="1182"/>
        <v>0</v>
      </c>
      <c r="AC7648" s="6">
        <f t="shared" si="1180"/>
        <v>0</v>
      </c>
      <c r="AD7648" s="6">
        <f t="shared" si="1185"/>
        <v>0</v>
      </c>
      <c r="AE7648" s="14">
        <f>VLOOKUP(I7648,[2]媒体政策预估表!A:N,MATCH(O7648,[2]媒体政策预估表!$A$2:$M$2,0),0)</f>
        <v>7.0000000000000007E-2</v>
      </c>
      <c r="AF7648" s="6">
        <f t="shared" si="1177"/>
        <v>0</v>
      </c>
      <c r="AG7648" s="14">
        <v>0</v>
      </c>
      <c r="AH7648" s="64">
        <f t="shared" si="1186"/>
        <v>0</v>
      </c>
      <c r="AJ7648" s="126" t="e">
        <v>#N/A</v>
      </c>
      <c r="AK7648" s="80">
        <f t="shared" si="1183"/>
        <v>0</v>
      </c>
      <c r="AL7648" s="85"/>
      <c r="AM7648" s="85"/>
    </row>
    <row r="7649" spans="1:39" s="86" customFormat="1" ht="13.25" hidden="1" customHeight="1" x14ac:dyDescent="0.3">
      <c r="A7649" s="89" t="s">
        <v>3978</v>
      </c>
      <c r="B7649" s="86" t="s">
        <v>35</v>
      </c>
      <c r="C7649" s="86" t="s">
        <v>144</v>
      </c>
      <c r="D7649" s="86" t="s">
        <v>145</v>
      </c>
      <c r="E7649" s="86" t="s">
        <v>805</v>
      </c>
      <c r="F7649" s="86" t="s">
        <v>805</v>
      </c>
      <c r="G7649" s="86" t="s">
        <v>805</v>
      </c>
      <c r="H7649" s="144">
        <v>360</v>
      </c>
      <c r="I7649" s="86" t="s">
        <v>1060</v>
      </c>
      <c r="J7649" s="47" t="s">
        <v>3325</v>
      </c>
      <c r="K7649" s="47" t="s">
        <v>3767</v>
      </c>
      <c r="L7649" s="47" t="s">
        <v>35</v>
      </c>
      <c r="M7649" s="86" t="s">
        <v>805</v>
      </c>
      <c r="O7649" s="47" t="s">
        <v>410</v>
      </c>
      <c r="P7649" s="14" t="s">
        <v>46</v>
      </c>
      <c r="Q7649" s="14">
        <v>0.04</v>
      </c>
      <c r="R7649" s="143" t="s">
        <v>1401</v>
      </c>
      <c r="S7649" s="47"/>
      <c r="T7649" s="6">
        <v>14529.130000000099</v>
      </c>
      <c r="U7649" s="6"/>
      <c r="V7649" s="6">
        <v>14529.130000000099</v>
      </c>
      <c r="W7649" s="6">
        <f t="shared" si="1184"/>
        <v>0</v>
      </c>
      <c r="X7649" s="6">
        <f t="shared" si="1178"/>
        <v>13970.317307692403</v>
      </c>
      <c r="Y7649" s="13">
        <f t="shared" si="1181"/>
        <v>0</v>
      </c>
      <c r="Z7649" s="14">
        <v>0</v>
      </c>
      <c r="AA7649" s="6">
        <v>0</v>
      </c>
      <c r="AB7649" s="4">
        <f t="shared" si="1182"/>
        <v>13970.317307692403</v>
      </c>
      <c r="AC7649" s="6">
        <f t="shared" si="1180"/>
        <v>558.81269230769612</v>
      </c>
      <c r="AD7649" s="6">
        <f t="shared" si="1185"/>
        <v>14529.130000000099</v>
      </c>
      <c r="AE7649" s="14">
        <f>VLOOKUP(I7649,[2]媒体政策预估表!A:N,MATCH(O7649,[2]媒体政策预估表!$A$2:$M$2,0),0)</f>
        <v>7.0000000000000007E-2</v>
      </c>
      <c r="AF7649" s="6">
        <f t="shared" si="1177"/>
        <v>1017.039100000007</v>
      </c>
      <c r="AG7649" s="14">
        <v>0</v>
      </c>
      <c r="AH7649" s="64">
        <f t="shared" si="1186"/>
        <v>14529.130000000099</v>
      </c>
      <c r="AJ7649" s="126" t="e">
        <v>#N/A</v>
      </c>
      <c r="AK7649" s="80">
        <f t="shared" si="1183"/>
        <v>0</v>
      </c>
      <c r="AL7649" s="85"/>
      <c r="AM7649" s="85"/>
    </row>
    <row r="7650" spans="1:39" s="86" customFormat="1" ht="13.25" hidden="1" customHeight="1" x14ac:dyDescent="0.3">
      <c r="A7650" s="89" t="s">
        <v>3978</v>
      </c>
      <c r="B7650" s="86" t="s">
        <v>35</v>
      </c>
      <c r="C7650" s="86" t="s">
        <v>144</v>
      </c>
      <c r="D7650" s="86" t="s">
        <v>145</v>
      </c>
      <c r="E7650" s="86" t="s">
        <v>1416</v>
      </c>
      <c r="F7650" s="86" t="s">
        <v>1416</v>
      </c>
      <c r="G7650" s="86" t="s">
        <v>1416</v>
      </c>
      <c r="H7650" s="143">
        <v>360</v>
      </c>
      <c r="I7650" s="86" t="s">
        <v>1060</v>
      </c>
      <c r="J7650" s="47" t="s">
        <v>3325</v>
      </c>
      <c r="K7650" s="47" t="s">
        <v>3767</v>
      </c>
      <c r="L7650" s="47" t="s">
        <v>35</v>
      </c>
      <c r="M7650" s="86" t="s">
        <v>1417</v>
      </c>
      <c r="O7650" s="47" t="s">
        <v>45</v>
      </c>
      <c r="P7650" s="14" t="s">
        <v>46</v>
      </c>
      <c r="Q7650" s="14">
        <v>0.02</v>
      </c>
      <c r="R7650" s="143" t="s">
        <v>1924</v>
      </c>
      <c r="S7650" s="47"/>
      <c r="T7650" s="6">
        <v>21905.768390000001</v>
      </c>
      <c r="U7650" s="6"/>
      <c r="V7650" s="6">
        <v>0</v>
      </c>
      <c r="W7650" s="6">
        <f t="shared" si="1184"/>
        <v>21905.768390000001</v>
      </c>
      <c r="X7650" s="6">
        <f t="shared" si="1178"/>
        <v>0</v>
      </c>
      <c r="Y7650" s="13">
        <f t="shared" si="1181"/>
        <v>0</v>
      </c>
      <c r="Z7650" s="14">
        <v>0</v>
      </c>
      <c r="AA7650" s="6">
        <v>0</v>
      </c>
      <c r="AB7650" s="4">
        <f t="shared" si="1182"/>
        <v>0</v>
      </c>
      <c r="AC7650" s="6">
        <f t="shared" si="1180"/>
        <v>0</v>
      </c>
      <c r="AD7650" s="6">
        <f t="shared" si="1185"/>
        <v>0</v>
      </c>
      <c r="AE7650" s="14">
        <f>VLOOKUP(I7650,[2]媒体政策预估表!A:N,MATCH(O7650,[2]媒体政策预估表!$A$2:$M$2,0),0)</f>
        <v>0.1</v>
      </c>
      <c r="AF7650" s="6">
        <f t="shared" si="1177"/>
        <v>0</v>
      </c>
      <c r="AG7650" s="14">
        <v>0</v>
      </c>
      <c r="AH7650" s="64">
        <f t="shared" si="1186"/>
        <v>0</v>
      </c>
      <c r="AJ7650" s="126" t="e">
        <v>#N/A</v>
      </c>
      <c r="AK7650" s="80">
        <f t="shared" si="1183"/>
        <v>0</v>
      </c>
      <c r="AL7650" s="85"/>
      <c r="AM7650" s="85"/>
    </row>
    <row r="7651" spans="1:39" s="86" customFormat="1" ht="13.25" hidden="1" customHeight="1" x14ac:dyDescent="0.3">
      <c r="A7651" s="89" t="s">
        <v>3978</v>
      </c>
      <c r="B7651" s="86" t="s">
        <v>35</v>
      </c>
      <c r="C7651" s="86" t="s">
        <v>144</v>
      </c>
      <c r="D7651" s="86" t="s">
        <v>145</v>
      </c>
      <c r="E7651" s="86" t="s">
        <v>1925</v>
      </c>
      <c r="F7651" s="86" t="s">
        <v>1925</v>
      </c>
      <c r="G7651" s="86" t="s">
        <v>1925</v>
      </c>
      <c r="H7651" s="143">
        <v>360</v>
      </c>
      <c r="I7651" s="86" t="s">
        <v>1060</v>
      </c>
      <c r="J7651" s="47" t="s">
        <v>3325</v>
      </c>
      <c r="K7651" s="47" t="s">
        <v>3767</v>
      </c>
      <c r="L7651" s="47" t="s">
        <v>35</v>
      </c>
      <c r="M7651" s="86" t="s">
        <v>1925</v>
      </c>
      <c r="O7651" s="47" t="s">
        <v>410</v>
      </c>
      <c r="P7651" s="14" t="s">
        <v>46</v>
      </c>
      <c r="Q7651" s="14">
        <v>0.02</v>
      </c>
      <c r="R7651" s="143" t="s">
        <v>1926</v>
      </c>
      <c r="S7651" s="47"/>
      <c r="T7651" s="6">
        <v>-5.5000000007566996E-2</v>
      </c>
      <c r="U7651" s="6"/>
      <c r="V7651" s="6">
        <v>0</v>
      </c>
      <c r="W7651" s="6">
        <f t="shared" si="1184"/>
        <v>-5.5000000007566996E-2</v>
      </c>
      <c r="X7651" s="6">
        <f t="shared" si="1178"/>
        <v>0</v>
      </c>
      <c r="Y7651" s="13">
        <f t="shared" si="1181"/>
        <v>0</v>
      </c>
      <c r="Z7651" s="14">
        <v>0</v>
      </c>
      <c r="AA7651" s="6">
        <v>0</v>
      </c>
      <c r="AB7651" s="4">
        <f t="shared" si="1182"/>
        <v>0</v>
      </c>
      <c r="AC7651" s="6">
        <f t="shared" si="1180"/>
        <v>0</v>
      </c>
      <c r="AD7651" s="6">
        <f t="shared" si="1185"/>
        <v>0</v>
      </c>
      <c r="AE7651" s="14">
        <f>VLOOKUP(I7651,[2]媒体政策预估表!A:N,MATCH(O7651,[2]媒体政策预估表!$A$2:$M$2,0),0)</f>
        <v>7.0000000000000007E-2</v>
      </c>
      <c r="AF7651" s="6">
        <f t="shared" si="1177"/>
        <v>0</v>
      </c>
      <c r="AG7651" s="14">
        <v>0</v>
      </c>
      <c r="AH7651" s="64">
        <f t="shared" si="1186"/>
        <v>0</v>
      </c>
      <c r="AJ7651" s="126" t="e">
        <v>#N/A</v>
      </c>
      <c r="AK7651" s="80">
        <f t="shared" si="1183"/>
        <v>0</v>
      </c>
      <c r="AL7651" s="85"/>
      <c r="AM7651" s="85"/>
    </row>
    <row r="7652" spans="1:39" s="86" customFormat="1" ht="13.25" hidden="1" customHeight="1" x14ac:dyDescent="0.3">
      <c r="A7652" s="89" t="s">
        <v>3978</v>
      </c>
      <c r="B7652" s="86" t="s">
        <v>35</v>
      </c>
      <c r="C7652" s="86" t="s">
        <v>144</v>
      </c>
      <c r="D7652" s="86" t="s">
        <v>152</v>
      </c>
      <c r="E7652" s="86" t="s">
        <v>159</v>
      </c>
      <c r="F7652" s="86" t="s">
        <v>159</v>
      </c>
      <c r="G7652" s="86" t="s">
        <v>159</v>
      </c>
      <c r="H7652" s="143">
        <v>360</v>
      </c>
      <c r="I7652" s="86" t="s">
        <v>1060</v>
      </c>
      <c r="J7652" s="47" t="s">
        <v>3325</v>
      </c>
      <c r="K7652" s="47" t="s">
        <v>3767</v>
      </c>
      <c r="L7652" s="47" t="s">
        <v>35</v>
      </c>
      <c r="M7652" s="86" t="s">
        <v>1927</v>
      </c>
      <c r="O7652" s="47" t="s">
        <v>410</v>
      </c>
      <c r="P7652" s="14" t="s">
        <v>41</v>
      </c>
      <c r="Q7652" s="14">
        <v>0</v>
      </c>
      <c r="R7652" s="143" t="s">
        <v>1928</v>
      </c>
      <c r="S7652" s="47"/>
      <c r="T7652" s="6">
        <v>-36.899999999906868</v>
      </c>
      <c r="U7652" s="6"/>
      <c r="V7652" s="6">
        <v>0</v>
      </c>
      <c r="W7652" s="6">
        <f t="shared" si="1184"/>
        <v>-36.899999999906868</v>
      </c>
      <c r="X7652" s="6">
        <f t="shared" si="1178"/>
        <v>0</v>
      </c>
      <c r="Y7652" s="13">
        <f t="shared" si="1181"/>
        <v>0</v>
      </c>
      <c r="Z7652" s="14">
        <v>0</v>
      </c>
      <c r="AA7652" s="6">
        <v>0</v>
      </c>
      <c r="AB7652" s="4">
        <f t="shared" si="1182"/>
        <v>0</v>
      </c>
      <c r="AC7652" s="6">
        <f t="shared" si="1180"/>
        <v>0</v>
      </c>
      <c r="AD7652" s="6">
        <f t="shared" si="1185"/>
        <v>0</v>
      </c>
      <c r="AE7652" s="14">
        <f>VLOOKUP(I7652,[2]媒体政策预估表!A:N,MATCH(O7652,[2]媒体政策预估表!$A$2:$M$2,0),0)</f>
        <v>7.0000000000000007E-2</v>
      </c>
      <c r="AF7652" s="6">
        <f t="shared" ref="AF7652:AF7715" si="1187">AD7652*AE7652</f>
        <v>0</v>
      </c>
      <c r="AG7652" s="14">
        <v>0</v>
      </c>
      <c r="AH7652" s="64">
        <f t="shared" si="1186"/>
        <v>0</v>
      </c>
      <c r="AJ7652" s="126" t="e">
        <v>#N/A</v>
      </c>
      <c r="AK7652" s="80">
        <f t="shared" si="1183"/>
        <v>0</v>
      </c>
      <c r="AL7652" s="85"/>
      <c r="AM7652" s="85"/>
    </row>
    <row r="7653" spans="1:39" s="86" customFormat="1" ht="13.25" hidden="1" customHeight="1" x14ac:dyDescent="0.3">
      <c r="A7653" s="89" t="s">
        <v>3792</v>
      </c>
      <c r="B7653" s="86" t="s">
        <v>35</v>
      </c>
      <c r="C7653" s="86" t="s">
        <v>144</v>
      </c>
      <c r="D7653" s="86" t="s">
        <v>152</v>
      </c>
      <c r="E7653" s="86" t="s">
        <v>159</v>
      </c>
      <c r="F7653" s="86" t="s">
        <v>159</v>
      </c>
      <c r="G7653" s="86" t="s">
        <v>159</v>
      </c>
      <c r="H7653" s="143">
        <v>360</v>
      </c>
      <c r="I7653" s="86" t="s">
        <v>1060</v>
      </c>
      <c r="J7653" s="47" t="s">
        <v>3325</v>
      </c>
      <c r="K7653" s="47" t="s">
        <v>3767</v>
      </c>
      <c r="L7653" s="47" t="s">
        <v>35</v>
      </c>
      <c r="M7653" s="86" t="s">
        <v>159</v>
      </c>
      <c r="O7653" s="47" t="s">
        <v>410</v>
      </c>
      <c r="P7653" s="14" t="s">
        <v>41</v>
      </c>
      <c r="Q7653" s="14">
        <v>0</v>
      </c>
      <c r="R7653" s="143" t="s">
        <v>1929</v>
      </c>
      <c r="S7653" s="47"/>
      <c r="T7653" s="6">
        <v>-472.23486000046614</v>
      </c>
      <c r="U7653" s="6"/>
      <c r="V7653" s="6">
        <v>0</v>
      </c>
      <c r="W7653" s="6">
        <f t="shared" si="1184"/>
        <v>-472.23486000046614</v>
      </c>
      <c r="X7653" s="6">
        <f t="shared" si="1178"/>
        <v>0</v>
      </c>
      <c r="Y7653" s="13">
        <f t="shared" si="1181"/>
        <v>0</v>
      </c>
      <c r="Z7653" s="14">
        <v>0</v>
      </c>
      <c r="AA7653" s="6">
        <v>0</v>
      </c>
      <c r="AB7653" s="4">
        <f t="shared" si="1182"/>
        <v>0</v>
      </c>
      <c r="AC7653" s="6">
        <f t="shared" si="1180"/>
        <v>0</v>
      </c>
      <c r="AD7653" s="6">
        <f t="shared" si="1185"/>
        <v>0</v>
      </c>
      <c r="AE7653" s="14">
        <f>VLOOKUP(I7653,[2]媒体政策预估表!A:N,MATCH(O7653,[2]媒体政策预估表!$A$2:$M$2,0),0)</f>
        <v>7.0000000000000007E-2</v>
      </c>
      <c r="AF7653" s="6">
        <f t="shared" si="1187"/>
        <v>0</v>
      </c>
      <c r="AG7653" s="14">
        <v>0</v>
      </c>
      <c r="AH7653" s="64">
        <f t="shared" si="1186"/>
        <v>0</v>
      </c>
      <c r="AJ7653" s="126" t="e">
        <v>#N/A</v>
      </c>
      <c r="AK7653" s="80">
        <f t="shared" si="1183"/>
        <v>0</v>
      </c>
      <c r="AL7653" s="85"/>
      <c r="AM7653" s="85"/>
    </row>
    <row r="7654" spans="1:39" s="86" customFormat="1" ht="13.25" hidden="1" customHeight="1" x14ac:dyDescent="0.3">
      <c r="A7654" s="89" t="s">
        <v>3978</v>
      </c>
      <c r="B7654" s="86" t="s">
        <v>35</v>
      </c>
      <c r="C7654" s="86" t="s">
        <v>144</v>
      </c>
      <c r="D7654" s="86" t="s">
        <v>152</v>
      </c>
      <c r="E7654" s="86" t="s">
        <v>1931</v>
      </c>
      <c r="F7654" s="86" t="s">
        <v>1931</v>
      </c>
      <c r="G7654" s="86" t="s">
        <v>1931</v>
      </c>
      <c r="H7654" s="143">
        <v>360</v>
      </c>
      <c r="I7654" s="86" t="s">
        <v>1060</v>
      </c>
      <c r="J7654" s="47" t="s">
        <v>3325</v>
      </c>
      <c r="K7654" s="47" t="s">
        <v>3767</v>
      </c>
      <c r="L7654" s="47" t="s">
        <v>35</v>
      </c>
      <c r="M7654" s="86" t="s">
        <v>1931</v>
      </c>
      <c r="O7654" s="47" t="s">
        <v>410</v>
      </c>
      <c r="P7654" s="14" t="s">
        <v>46</v>
      </c>
      <c r="Q7654" s="14">
        <v>0.02</v>
      </c>
      <c r="R7654" s="143" t="s">
        <v>1932</v>
      </c>
      <c r="S7654" s="47"/>
      <c r="T7654" s="6">
        <v>-2.1000000000009891</v>
      </c>
      <c r="U7654" s="6"/>
      <c r="V7654" s="6">
        <v>0</v>
      </c>
      <c r="W7654" s="6">
        <f t="shared" si="1184"/>
        <v>-2.1000000000009891</v>
      </c>
      <c r="X7654" s="6">
        <f t="shared" si="1178"/>
        <v>0</v>
      </c>
      <c r="Y7654" s="13">
        <f t="shared" si="1181"/>
        <v>0</v>
      </c>
      <c r="Z7654" s="14">
        <v>0</v>
      </c>
      <c r="AA7654" s="6">
        <v>0</v>
      </c>
      <c r="AB7654" s="4">
        <f t="shared" si="1182"/>
        <v>0</v>
      </c>
      <c r="AC7654" s="6">
        <f t="shared" si="1180"/>
        <v>0</v>
      </c>
      <c r="AD7654" s="6">
        <f t="shared" si="1185"/>
        <v>0</v>
      </c>
      <c r="AE7654" s="14">
        <f>VLOOKUP(I7654,[2]媒体政策预估表!A:N,MATCH(O7654,[2]媒体政策预估表!$A$2:$M$2,0),0)</f>
        <v>7.0000000000000007E-2</v>
      </c>
      <c r="AF7654" s="6">
        <f t="shared" si="1187"/>
        <v>0</v>
      </c>
      <c r="AG7654" s="14">
        <v>0</v>
      </c>
      <c r="AH7654" s="64">
        <f t="shared" si="1186"/>
        <v>0</v>
      </c>
      <c r="AJ7654" s="126" t="e">
        <v>#N/A</v>
      </c>
      <c r="AK7654" s="80">
        <f t="shared" si="1183"/>
        <v>0</v>
      </c>
      <c r="AL7654" s="85"/>
      <c r="AM7654" s="85"/>
    </row>
    <row r="7655" spans="1:39" s="86" customFormat="1" ht="13.25" hidden="1" customHeight="1" x14ac:dyDescent="0.3">
      <c r="A7655" s="89" t="s">
        <v>3792</v>
      </c>
      <c r="B7655" s="86" t="s">
        <v>35</v>
      </c>
      <c r="C7655" s="86" t="s">
        <v>144</v>
      </c>
      <c r="D7655" s="86" t="s">
        <v>161</v>
      </c>
      <c r="E7655" s="86" t="s">
        <v>1935</v>
      </c>
      <c r="F7655" s="86" t="s">
        <v>1935</v>
      </c>
      <c r="G7655" s="86" t="s">
        <v>1935</v>
      </c>
      <c r="H7655" s="143">
        <v>360</v>
      </c>
      <c r="I7655" s="86" t="s">
        <v>1060</v>
      </c>
      <c r="J7655" s="47" t="s">
        <v>3325</v>
      </c>
      <c r="K7655" s="47" t="s">
        <v>3767</v>
      </c>
      <c r="L7655" s="47" t="s">
        <v>35</v>
      </c>
      <c r="M7655" s="86" t="s">
        <v>1935</v>
      </c>
      <c r="O7655" s="47" t="s">
        <v>410</v>
      </c>
      <c r="P7655" s="14" t="s">
        <v>41</v>
      </c>
      <c r="Q7655" s="14">
        <v>0</v>
      </c>
      <c r="R7655" s="143" t="s">
        <v>1936</v>
      </c>
      <c r="S7655" s="47"/>
      <c r="T7655" s="6">
        <v>-2.5985699997283405</v>
      </c>
      <c r="U7655" s="6"/>
      <c r="V7655" s="6">
        <v>0</v>
      </c>
      <c r="W7655" s="6">
        <f t="shared" si="1184"/>
        <v>-2.5985699997283405</v>
      </c>
      <c r="X7655" s="6">
        <f t="shared" si="1178"/>
        <v>0</v>
      </c>
      <c r="Y7655" s="13">
        <f t="shared" si="1181"/>
        <v>0</v>
      </c>
      <c r="Z7655" s="14">
        <v>0</v>
      </c>
      <c r="AA7655" s="6">
        <v>0</v>
      </c>
      <c r="AB7655" s="4">
        <f t="shared" si="1182"/>
        <v>0</v>
      </c>
      <c r="AC7655" s="6">
        <f t="shared" si="1180"/>
        <v>0</v>
      </c>
      <c r="AD7655" s="6">
        <f t="shared" si="1185"/>
        <v>0</v>
      </c>
      <c r="AE7655" s="14">
        <f>VLOOKUP(I7655,[2]媒体政策预估表!A:N,MATCH(O7655,[2]媒体政策预估表!$A$2:$M$2,0),0)</f>
        <v>7.0000000000000007E-2</v>
      </c>
      <c r="AF7655" s="6">
        <f t="shared" si="1187"/>
        <v>0</v>
      </c>
      <c r="AG7655" s="14">
        <v>0</v>
      </c>
      <c r="AH7655" s="64">
        <f t="shared" si="1186"/>
        <v>0</v>
      </c>
      <c r="AJ7655" s="126" t="e">
        <v>#N/A</v>
      </c>
      <c r="AK7655" s="80">
        <f t="shared" si="1183"/>
        <v>0</v>
      </c>
      <c r="AL7655" s="85"/>
      <c r="AM7655" s="85"/>
    </row>
    <row r="7656" spans="1:39" s="86" customFormat="1" ht="13.25" hidden="1" customHeight="1" x14ac:dyDescent="0.3">
      <c r="A7656" s="89" t="s">
        <v>3978</v>
      </c>
      <c r="B7656" s="86" t="s">
        <v>35</v>
      </c>
      <c r="C7656" s="86" t="s">
        <v>144</v>
      </c>
      <c r="D7656" s="86" t="s">
        <v>161</v>
      </c>
      <c r="E7656" s="86" t="s">
        <v>1937</v>
      </c>
      <c r="F7656" s="86" t="s">
        <v>1937</v>
      </c>
      <c r="G7656" s="86" t="s">
        <v>1937</v>
      </c>
      <c r="H7656" s="143">
        <v>360</v>
      </c>
      <c r="I7656" s="86" t="s">
        <v>1060</v>
      </c>
      <c r="J7656" s="47" t="s">
        <v>3325</v>
      </c>
      <c r="K7656" s="47" t="s">
        <v>3767</v>
      </c>
      <c r="L7656" s="47" t="s">
        <v>35</v>
      </c>
      <c r="M7656" s="86" t="s">
        <v>1938</v>
      </c>
      <c r="O7656" s="47" t="s">
        <v>410</v>
      </c>
      <c r="P7656" s="14" t="s">
        <v>46</v>
      </c>
      <c r="Q7656" s="14">
        <v>0.03</v>
      </c>
      <c r="R7656" s="143" t="s">
        <v>1939</v>
      </c>
      <c r="S7656" s="47"/>
      <c r="T7656" s="6">
        <v>-1.2099999999991269</v>
      </c>
      <c r="U7656" s="6"/>
      <c r="V7656" s="6">
        <v>0</v>
      </c>
      <c r="W7656" s="6">
        <f t="shared" si="1184"/>
        <v>-1.2099999999991269</v>
      </c>
      <c r="X7656" s="6">
        <f t="shared" si="1178"/>
        <v>0</v>
      </c>
      <c r="Y7656" s="13">
        <f t="shared" si="1181"/>
        <v>0</v>
      </c>
      <c r="Z7656" s="14">
        <v>0</v>
      </c>
      <c r="AA7656" s="6">
        <v>0</v>
      </c>
      <c r="AB7656" s="4">
        <f t="shared" si="1182"/>
        <v>0</v>
      </c>
      <c r="AC7656" s="6">
        <f t="shared" si="1180"/>
        <v>0</v>
      </c>
      <c r="AD7656" s="6">
        <f t="shared" si="1185"/>
        <v>0</v>
      </c>
      <c r="AE7656" s="14">
        <f>VLOOKUP(I7656,[2]媒体政策预估表!A:N,MATCH(O7656,[2]媒体政策预估表!$A$2:$M$2,0),0)</f>
        <v>7.0000000000000007E-2</v>
      </c>
      <c r="AF7656" s="6">
        <f t="shared" si="1187"/>
        <v>0</v>
      </c>
      <c r="AG7656" s="14">
        <v>0</v>
      </c>
      <c r="AH7656" s="64">
        <f t="shared" si="1186"/>
        <v>0</v>
      </c>
      <c r="AJ7656" s="126" t="e">
        <v>#N/A</v>
      </c>
      <c r="AK7656" s="80">
        <f t="shared" si="1183"/>
        <v>0</v>
      </c>
      <c r="AL7656" s="85"/>
      <c r="AM7656" s="85"/>
    </row>
    <row r="7657" spans="1:39" s="86" customFormat="1" ht="13.25" hidden="1" customHeight="1" x14ac:dyDescent="0.3">
      <c r="A7657" s="89" t="s">
        <v>3805</v>
      </c>
      <c r="B7657" s="86" t="s">
        <v>35</v>
      </c>
      <c r="C7657" s="86" t="s">
        <v>144</v>
      </c>
      <c r="D7657" s="86" t="s">
        <v>161</v>
      </c>
      <c r="E7657" s="86" t="s">
        <v>1937</v>
      </c>
      <c r="F7657" s="86" t="s">
        <v>1937</v>
      </c>
      <c r="G7657" s="86" t="s">
        <v>1937</v>
      </c>
      <c r="H7657" s="143">
        <v>360</v>
      </c>
      <c r="I7657" s="86" t="s">
        <v>1060</v>
      </c>
      <c r="J7657" s="47" t="s">
        <v>3325</v>
      </c>
      <c r="K7657" s="47" t="s">
        <v>3767</v>
      </c>
      <c r="L7657" s="47" t="s">
        <v>35</v>
      </c>
      <c r="M7657" s="86" t="s">
        <v>1940</v>
      </c>
      <c r="O7657" s="47" t="s">
        <v>410</v>
      </c>
      <c r="P7657" s="14" t="s">
        <v>46</v>
      </c>
      <c r="Q7657" s="14">
        <v>0.03</v>
      </c>
      <c r="R7657" s="143" t="s">
        <v>1941</v>
      </c>
      <c r="S7657" s="47"/>
      <c r="T7657" s="6">
        <v>-0.8000000000174623</v>
      </c>
      <c r="U7657" s="6"/>
      <c r="V7657" s="6">
        <v>0</v>
      </c>
      <c r="W7657" s="6">
        <f t="shared" si="1184"/>
        <v>-0.8000000000174623</v>
      </c>
      <c r="X7657" s="6">
        <f t="shared" si="1178"/>
        <v>0</v>
      </c>
      <c r="Y7657" s="13">
        <f t="shared" si="1181"/>
        <v>0</v>
      </c>
      <c r="Z7657" s="14">
        <v>0</v>
      </c>
      <c r="AA7657" s="6">
        <v>0</v>
      </c>
      <c r="AB7657" s="4">
        <f t="shared" si="1182"/>
        <v>0</v>
      </c>
      <c r="AC7657" s="6">
        <f t="shared" si="1180"/>
        <v>0</v>
      </c>
      <c r="AD7657" s="6">
        <f t="shared" si="1185"/>
        <v>0</v>
      </c>
      <c r="AE7657" s="14">
        <f>VLOOKUP(I7657,[2]媒体政策预估表!A:N,MATCH(O7657,[2]媒体政策预估表!$A$2:$M$2,0),0)</f>
        <v>7.0000000000000007E-2</v>
      </c>
      <c r="AF7657" s="6">
        <f t="shared" si="1187"/>
        <v>0</v>
      </c>
      <c r="AG7657" s="14">
        <v>0</v>
      </c>
      <c r="AH7657" s="64">
        <f t="shared" si="1186"/>
        <v>0</v>
      </c>
      <c r="AJ7657" s="126" t="e">
        <v>#N/A</v>
      </c>
      <c r="AK7657" s="80">
        <f t="shared" si="1183"/>
        <v>0</v>
      </c>
      <c r="AL7657" s="85"/>
      <c r="AM7657" s="85"/>
    </row>
    <row r="7658" spans="1:39" s="86" customFormat="1" ht="13.25" hidden="1" customHeight="1" x14ac:dyDescent="0.3">
      <c r="A7658" s="89" t="s">
        <v>3978</v>
      </c>
      <c r="B7658" s="86" t="s">
        <v>35</v>
      </c>
      <c r="C7658" s="86" t="s">
        <v>144</v>
      </c>
      <c r="D7658" s="86" t="s">
        <v>161</v>
      </c>
      <c r="E7658" s="86" t="s">
        <v>1937</v>
      </c>
      <c r="F7658" s="86" t="s">
        <v>1937</v>
      </c>
      <c r="G7658" s="86" t="s">
        <v>1937</v>
      </c>
      <c r="H7658" s="143">
        <v>360</v>
      </c>
      <c r="I7658" s="86" t="s">
        <v>1060</v>
      </c>
      <c r="J7658" s="47" t="s">
        <v>3325</v>
      </c>
      <c r="K7658" s="47" t="s">
        <v>3767</v>
      </c>
      <c r="L7658" s="47" t="s">
        <v>35</v>
      </c>
      <c r="M7658" s="86" t="s">
        <v>1937</v>
      </c>
      <c r="O7658" s="47" t="s">
        <v>410</v>
      </c>
      <c r="P7658" s="14" t="s">
        <v>46</v>
      </c>
      <c r="Q7658" s="14">
        <v>0.03</v>
      </c>
      <c r="R7658" s="143" t="s">
        <v>1942</v>
      </c>
      <c r="S7658" s="47"/>
      <c r="T7658" s="6">
        <v>7.2300000000104774</v>
      </c>
      <c r="U7658" s="6"/>
      <c r="V7658" s="6">
        <v>0</v>
      </c>
      <c r="W7658" s="6">
        <f t="shared" si="1184"/>
        <v>7.2300000000104774</v>
      </c>
      <c r="X7658" s="6">
        <f t="shared" si="1178"/>
        <v>0</v>
      </c>
      <c r="Y7658" s="13">
        <f t="shared" si="1181"/>
        <v>0</v>
      </c>
      <c r="Z7658" s="14">
        <v>0</v>
      </c>
      <c r="AA7658" s="6">
        <v>0</v>
      </c>
      <c r="AB7658" s="4">
        <f t="shared" si="1182"/>
        <v>0</v>
      </c>
      <c r="AC7658" s="6">
        <f t="shared" si="1180"/>
        <v>0</v>
      </c>
      <c r="AD7658" s="6">
        <f t="shared" si="1185"/>
        <v>0</v>
      </c>
      <c r="AE7658" s="14">
        <f>VLOOKUP(I7658,[2]媒体政策预估表!A:N,MATCH(O7658,[2]媒体政策预估表!$A$2:$M$2,0),0)</f>
        <v>7.0000000000000007E-2</v>
      </c>
      <c r="AF7658" s="6">
        <f t="shared" si="1187"/>
        <v>0</v>
      </c>
      <c r="AG7658" s="14">
        <v>0</v>
      </c>
      <c r="AH7658" s="64">
        <f t="shared" si="1186"/>
        <v>0</v>
      </c>
      <c r="AJ7658" s="126" t="e">
        <v>#N/A</v>
      </c>
      <c r="AK7658" s="80">
        <f t="shared" si="1183"/>
        <v>0</v>
      </c>
      <c r="AL7658" s="85"/>
      <c r="AM7658" s="85"/>
    </row>
    <row r="7659" spans="1:39" s="86" customFormat="1" ht="13.25" hidden="1" customHeight="1" x14ac:dyDescent="0.3">
      <c r="A7659" s="89" t="s">
        <v>3978</v>
      </c>
      <c r="B7659" s="86" t="s">
        <v>35</v>
      </c>
      <c r="C7659" s="86" t="s">
        <v>164</v>
      </c>
      <c r="D7659" s="86" t="s">
        <v>165</v>
      </c>
      <c r="E7659" s="86" t="s">
        <v>615</v>
      </c>
      <c r="F7659" s="86" t="s">
        <v>615</v>
      </c>
      <c r="G7659" s="86" t="s">
        <v>615</v>
      </c>
      <c r="H7659" s="143">
        <v>360</v>
      </c>
      <c r="I7659" s="86" t="s">
        <v>1060</v>
      </c>
      <c r="J7659" s="47" t="s">
        <v>3325</v>
      </c>
      <c r="K7659" s="47" t="s">
        <v>3767</v>
      </c>
      <c r="L7659" s="47" t="s">
        <v>35</v>
      </c>
      <c r="M7659" s="86" t="s">
        <v>616</v>
      </c>
      <c r="O7659" s="47" t="s">
        <v>410</v>
      </c>
      <c r="P7659" s="14" t="s">
        <v>46</v>
      </c>
      <c r="Q7659" s="14">
        <v>0.02</v>
      </c>
      <c r="R7659" s="143" t="s">
        <v>1943</v>
      </c>
      <c r="S7659" s="47"/>
      <c r="T7659" s="6">
        <v>-70.300000000337604</v>
      </c>
      <c r="U7659" s="6"/>
      <c r="V7659" s="6">
        <v>0</v>
      </c>
      <c r="W7659" s="6">
        <f t="shared" si="1184"/>
        <v>-70.300000000337604</v>
      </c>
      <c r="X7659" s="6">
        <f t="shared" si="1178"/>
        <v>0</v>
      </c>
      <c r="Y7659" s="13">
        <f t="shared" si="1181"/>
        <v>0</v>
      </c>
      <c r="Z7659" s="14">
        <v>0</v>
      </c>
      <c r="AA7659" s="6">
        <v>0</v>
      </c>
      <c r="AB7659" s="4">
        <f t="shared" si="1182"/>
        <v>0</v>
      </c>
      <c r="AC7659" s="6">
        <f t="shared" si="1180"/>
        <v>0</v>
      </c>
      <c r="AD7659" s="6">
        <f t="shared" si="1185"/>
        <v>0</v>
      </c>
      <c r="AE7659" s="14">
        <f>VLOOKUP(I7659,[2]媒体政策预估表!A:N,MATCH(O7659,[2]媒体政策预估表!$A$2:$M$2,0),0)</f>
        <v>7.0000000000000007E-2</v>
      </c>
      <c r="AF7659" s="6">
        <f t="shared" si="1187"/>
        <v>0</v>
      </c>
      <c r="AG7659" s="14">
        <v>0</v>
      </c>
      <c r="AH7659" s="64">
        <f t="shared" si="1186"/>
        <v>0</v>
      </c>
      <c r="AJ7659" s="126" t="e">
        <v>#N/A</v>
      </c>
      <c r="AK7659" s="80">
        <f t="shared" si="1183"/>
        <v>0</v>
      </c>
      <c r="AL7659" s="85"/>
      <c r="AM7659" s="85"/>
    </row>
    <row r="7660" spans="1:39" s="86" customFormat="1" ht="13.25" hidden="1" customHeight="1" x14ac:dyDescent="0.3">
      <c r="A7660" s="89" t="s">
        <v>3978</v>
      </c>
      <c r="B7660" s="86" t="s">
        <v>35</v>
      </c>
      <c r="C7660" s="86" t="s">
        <v>164</v>
      </c>
      <c r="D7660" s="86" t="s">
        <v>165</v>
      </c>
      <c r="E7660" s="86" t="s">
        <v>1944</v>
      </c>
      <c r="F7660" s="86" t="s">
        <v>1944</v>
      </c>
      <c r="G7660" s="86" t="s">
        <v>1944</v>
      </c>
      <c r="H7660" s="143">
        <v>360</v>
      </c>
      <c r="I7660" s="86" t="s">
        <v>1060</v>
      </c>
      <c r="J7660" s="47" t="s">
        <v>3325</v>
      </c>
      <c r="K7660" s="47" t="s">
        <v>3767</v>
      </c>
      <c r="L7660" s="47" t="s">
        <v>35</v>
      </c>
      <c r="M7660" s="86" t="s">
        <v>1945</v>
      </c>
      <c r="O7660" s="47" t="s">
        <v>410</v>
      </c>
      <c r="P7660" s="14" t="s">
        <v>46</v>
      </c>
      <c r="Q7660" s="14">
        <v>0.02</v>
      </c>
      <c r="R7660" s="143" t="s">
        <v>1946</v>
      </c>
      <c r="S7660" s="47"/>
      <c r="T7660" s="6">
        <v>-0.9</v>
      </c>
      <c r="U7660" s="6"/>
      <c r="V7660" s="6">
        <v>0</v>
      </c>
      <c r="W7660" s="6">
        <f t="shared" si="1184"/>
        <v>-0.9</v>
      </c>
      <c r="X7660" s="6">
        <f t="shared" si="1178"/>
        <v>0</v>
      </c>
      <c r="Y7660" s="13">
        <f t="shared" si="1181"/>
        <v>0</v>
      </c>
      <c r="Z7660" s="14">
        <v>0</v>
      </c>
      <c r="AA7660" s="6">
        <v>0</v>
      </c>
      <c r="AB7660" s="4">
        <f t="shared" si="1182"/>
        <v>0</v>
      </c>
      <c r="AC7660" s="6">
        <f t="shared" si="1180"/>
        <v>0</v>
      </c>
      <c r="AD7660" s="6">
        <f t="shared" si="1185"/>
        <v>0</v>
      </c>
      <c r="AE7660" s="14">
        <f>VLOOKUP(I7660,[2]媒体政策预估表!A:N,MATCH(O7660,[2]媒体政策预估表!$A$2:$M$2,0),0)</f>
        <v>7.0000000000000007E-2</v>
      </c>
      <c r="AF7660" s="6">
        <f t="shared" si="1187"/>
        <v>0</v>
      </c>
      <c r="AG7660" s="14">
        <v>0</v>
      </c>
      <c r="AH7660" s="64">
        <f t="shared" si="1186"/>
        <v>0</v>
      </c>
      <c r="AJ7660" s="126" t="e">
        <v>#N/A</v>
      </c>
      <c r="AK7660" s="80">
        <f t="shared" si="1183"/>
        <v>0</v>
      </c>
      <c r="AL7660" s="85"/>
      <c r="AM7660" s="85"/>
    </row>
    <row r="7661" spans="1:39" s="86" customFormat="1" ht="13.25" hidden="1" customHeight="1" x14ac:dyDescent="0.3">
      <c r="A7661" s="89" t="s">
        <v>3978</v>
      </c>
      <c r="B7661" s="86" t="s">
        <v>35</v>
      </c>
      <c r="C7661" s="86" t="s">
        <v>164</v>
      </c>
      <c r="D7661" s="86" t="s">
        <v>165</v>
      </c>
      <c r="E7661" s="86" t="s">
        <v>619</v>
      </c>
      <c r="F7661" s="86" t="s">
        <v>620</v>
      </c>
      <c r="G7661" s="86" t="s">
        <v>619</v>
      </c>
      <c r="H7661" s="143">
        <v>360</v>
      </c>
      <c r="I7661" s="86" t="s">
        <v>1060</v>
      </c>
      <c r="J7661" s="47" t="s">
        <v>3325</v>
      </c>
      <c r="K7661" s="47" t="s">
        <v>3767</v>
      </c>
      <c r="L7661" s="47" t="s">
        <v>35</v>
      </c>
      <c r="M7661" s="86" t="s">
        <v>619</v>
      </c>
      <c r="O7661" s="47" t="s">
        <v>45</v>
      </c>
      <c r="P7661" s="14" t="s">
        <v>46</v>
      </c>
      <c r="Q7661" s="14">
        <v>0.04</v>
      </c>
      <c r="R7661" s="143" t="s">
        <v>1534</v>
      </c>
      <c r="S7661" s="47"/>
      <c r="T7661" s="6">
        <v>15000</v>
      </c>
      <c r="U7661" s="6"/>
      <c r="V7661" s="6">
        <v>0</v>
      </c>
      <c r="W7661" s="6">
        <f t="shared" si="1184"/>
        <v>15000</v>
      </c>
      <c r="X7661" s="6">
        <f t="shared" si="1178"/>
        <v>0</v>
      </c>
      <c r="Y7661" s="13">
        <f t="shared" si="1181"/>
        <v>0</v>
      </c>
      <c r="Z7661" s="14">
        <v>0</v>
      </c>
      <c r="AA7661" s="6">
        <v>0</v>
      </c>
      <c r="AB7661" s="4">
        <f t="shared" si="1182"/>
        <v>0</v>
      </c>
      <c r="AC7661" s="6">
        <f t="shared" si="1180"/>
        <v>0</v>
      </c>
      <c r="AD7661" s="6">
        <f t="shared" si="1185"/>
        <v>0</v>
      </c>
      <c r="AE7661" s="14">
        <f>VLOOKUP(I7661,[2]媒体政策预估表!A:N,MATCH(O7661,[2]媒体政策预估表!$A$2:$M$2,0),0)</f>
        <v>0.1</v>
      </c>
      <c r="AF7661" s="6">
        <f t="shared" si="1187"/>
        <v>0</v>
      </c>
      <c r="AG7661" s="14">
        <v>0</v>
      </c>
      <c r="AH7661" s="64">
        <f t="shared" si="1186"/>
        <v>0</v>
      </c>
      <c r="AJ7661" s="126" t="e">
        <v>#N/A</v>
      </c>
      <c r="AK7661" s="80">
        <f t="shared" si="1183"/>
        <v>0</v>
      </c>
      <c r="AL7661" s="85"/>
      <c r="AM7661" s="85"/>
    </row>
    <row r="7662" spans="1:39" s="86" customFormat="1" ht="13.25" hidden="1" customHeight="1" x14ac:dyDescent="0.3">
      <c r="A7662" s="89" t="s">
        <v>3978</v>
      </c>
      <c r="B7662" s="86" t="s">
        <v>35</v>
      </c>
      <c r="C7662" s="86" t="s">
        <v>164</v>
      </c>
      <c r="D7662" s="86" t="s">
        <v>305</v>
      </c>
      <c r="E7662" s="86" t="s">
        <v>1541</v>
      </c>
      <c r="F7662" s="86" t="s">
        <v>1541</v>
      </c>
      <c r="G7662" s="86" t="s">
        <v>1541</v>
      </c>
      <c r="H7662" s="143">
        <v>360</v>
      </c>
      <c r="I7662" s="86" t="s">
        <v>1060</v>
      </c>
      <c r="J7662" s="47" t="s">
        <v>3325</v>
      </c>
      <c r="K7662" s="47" t="s">
        <v>3767</v>
      </c>
      <c r="L7662" s="47" t="s">
        <v>35</v>
      </c>
      <c r="M7662" s="86" t="s">
        <v>1947</v>
      </c>
      <c r="O7662" s="47" t="s">
        <v>410</v>
      </c>
      <c r="P7662" s="14" t="s">
        <v>46</v>
      </c>
      <c r="Q7662" s="14">
        <v>0.02</v>
      </c>
      <c r="R7662" s="143" t="s">
        <v>1948</v>
      </c>
      <c r="S7662" s="47"/>
      <c r="T7662" s="6">
        <v>412.40000000000146</v>
      </c>
      <c r="U7662" s="6"/>
      <c r="V7662" s="6">
        <v>0</v>
      </c>
      <c r="W7662" s="6">
        <f t="shared" si="1184"/>
        <v>412.40000000000146</v>
      </c>
      <c r="X7662" s="6">
        <f t="shared" si="1178"/>
        <v>0</v>
      </c>
      <c r="Y7662" s="13">
        <f t="shared" si="1181"/>
        <v>0</v>
      </c>
      <c r="Z7662" s="14">
        <v>0</v>
      </c>
      <c r="AA7662" s="6">
        <v>0</v>
      </c>
      <c r="AB7662" s="4">
        <f t="shared" si="1182"/>
        <v>0</v>
      </c>
      <c r="AC7662" s="6">
        <f t="shared" si="1180"/>
        <v>0</v>
      </c>
      <c r="AD7662" s="6">
        <f t="shared" si="1185"/>
        <v>0</v>
      </c>
      <c r="AE7662" s="14">
        <f>VLOOKUP(I7662,[2]媒体政策预估表!A:N,MATCH(O7662,[2]媒体政策预估表!$A$2:$M$2,0),0)</f>
        <v>7.0000000000000007E-2</v>
      </c>
      <c r="AF7662" s="6">
        <f t="shared" si="1187"/>
        <v>0</v>
      </c>
      <c r="AG7662" s="14">
        <v>0</v>
      </c>
      <c r="AH7662" s="64">
        <f t="shared" si="1186"/>
        <v>0</v>
      </c>
      <c r="AJ7662" s="126" t="e">
        <v>#N/A</v>
      </c>
      <c r="AK7662" s="80">
        <f t="shared" si="1183"/>
        <v>0</v>
      </c>
      <c r="AL7662" s="85"/>
      <c r="AM7662" s="85"/>
    </row>
    <row r="7663" spans="1:39" s="86" customFormat="1" ht="13.25" hidden="1" customHeight="1" x14ac:dyDescent="0.3">
      <c r="A7663" s="89" t="s">
        <v>3978</v>
      </c>
      <c r="B7663" s="86" t="s">
        <v>35</v>
      </c>
      <c r="C7663" s="86" t="s">
        <v>164</v>
      </c>
      <c r="D7663" s="86" t="s">
        <v>305</v>
      </c>
      <c r="E7663" s="86" t="s">
        <v>1949</v>
      </c>
      <c r="F7663" s="86" t="s">
        <v>1949</v>
      </c>
      <c r="G7663" s="86" t="s">
        <v>1949</v>
      </c>
      <c r="H7663" s="143">
        <v>360</v>
      </c>
      <c r="I7663" s="86" t="s">
        <v>1060</v>
      </c>
      <c r="J7663" s="47" t="s">
        <v>3325</v>
      </c>
      <c r="K7663" s="47" t="s">
        <v>3767</v>
      </c>
      <c r="L7663" s="47" t="s">
        <v>35</v>
      </c>
      <c r="M7663" s="86" t="s">
        <v>1950</v>
      </c>
      <c r="O7663" s="47" t="s">
        <v>410</v>
      </c>
      <c r="P7663" s="14" t="s">
        <v>41</v>
      </c>
      <c r="Q7663" s="14">
        <v>0</v>
      </c>
      <c r="R7663" s="143" t="s">
        <v>1951</v>
      </c>
      <c r="S7663" s="47"/>
      <c r="T7663" s="6">
        <v>442.49999999999636</v>
      </c>
      <c r="U7663" s="6"/>
      <c r="V7663" s="6">
        <v>0</v>
      </c>
      <c r="W7663" s="6">
        <f t="shared" si="1184"/>
        <v>442.49999999999636</v>
      </c>
      <c r="X7663" s="6">
        <f t="shared" si="1178"/>
        <v>0</v>
      </c>
      <c r="Y7663" s="13">
        <f t="shared" si="1181"/>
        <v>0</v>
      </c>
      <c r="Z7663" s="14">
        <v>0</v>
      </c>
      <c r="AA7663" s="6">
        <v>0</v>
      </c>
      <c r="AB7663" s="4">
        <f t="shared" si="1182"/>
        <v>0</v>
      </c>
      <c r="AC7663" s="6">
        <f t="shared" si="1180"/>
        <v>0</v>
      </c>
      <c r="AD7663" s="6">
        <f t="shared" si="1185"/>
        <v>0</v>
      </c>
      <c r="AE7663" s="14">
        <f>VLOOKUP(I7663,[2]媒体政策预估表!A:N,MATCH(O7663,[2]媒体政策预估表!$A$2:$M$2,0),0)</f>
        <v>7.0000000000000007E-2</v>
      </c>
      <c r="AF7663" s="6">
        <f t="shared" si="1187"/>
        <v>0</v>
      </c>
      <c r="AG7663" s="14">
        <v>0</v>
      </c>
      <c r="AH7663" s="64">
        <f t="shared" si="1186"/>
        <v>0</v>
      </c>
      <c r="AJ7663" s="126" t="e">
        <v>#N/A</v>
      </c>
      <c r="AK7663" s="80">
        <f t="shared" si="1183"/>
        <v>0</v>
      </c>
      <c r="AL7663" s="85"/>
      <c r="AM7663" s="85"/>
    </row>
    <row r="7664" spans="1:39" s="86" customFormat="1" ht="13.25" hidden="1" customHeight="1" x14ac:dyDescent="0.3">
      <c r="A7664" s="89" t="s">
        <v>3978</v>
      </c>
      <c r="B7664" s="86" t="s">
        <v>35</v>
      </c>
      <c r="C7664" s="86" t="s">
        <v>164</v>
      </c>
      <c r="D7664" s="86" t="s">
        <v>169</v>
      </c>
      <c r="E7664" s="86" t="s">
        <v>1952</v>
      </c>
      <c r="F7664" s="86" t="s">
        <v>1952</v>
      </c>
      <c r="G7664" s="86" t="s">
        <v>1952</v>
      </c>
      <c r="H7664" s="143">
        <v>360</v>
      </c>
      <c r="I7664" s="86" t="s">
        <v>1060</v>
      </c>
      <c r="J7664" s="47" t="s">
        <v>3325</v>
      </c>
      <c r="K7664" s="47" t="s">
        <v>3767</v>
      </c>
      <c r="L7664" s="47" t="s">
        <v>35</v>
      </c>
      <c r="M7664" s="86" t="s">
        <v>1952</v>
      </c>
      <c r="O7664" s="47" t="s">
        <v>410</v>
      </c>
      <c r="P7664" s="14" t="s">
        <v>46</v>
      </c>
      <c r="Q7664" s="14">
        <v>0.04</v>
      </c>
      <c r="R7664" s="143" t="s">
        <v>1953</v>
      </c>
      <c r="S7664" s="47"/>
      <c r="T7664" s="6">
        <v>-0.1</v>
      </c>
      <c r="U7664" s="6"/>
      <c r="V7664" s="6">
        <v>0</v>
      </c>
      <c r="W7664" s="6">
        <f t="shared" si="1184"/>
        <v>-0.1</v>
      </c>
      <c r="X7664" s="6">
        <f t="shared" ref="X7664:X7727" si="1188">IF(P7664="折扣",V7664*Q7664,IF(P7664="返现",V7664,V7664/(1+Q7664)))</f>
        <v>0</v>
      </c>
      <c r="Y7664" s="13">
        <f t="shared" si="1181"/>
        <v>0</v>
      </c>
      <c r="Z7664" s="14">
        <v>0</v>
      </c>
      <c r="AA7664" s="6">
        <v>0</v>
      </c>
      <c r="AB7664" s="4">
        <f t="shared" si="1182"/>
        <v>0</v>
      </c>
      <c r="AC7664" s="6">
        <f t="shared" si="1180"/>
        <v>0</v>
      </c>
      <c r="AD7664" s="6">
        <f t="shared" si="1185"/>
        <v>0</v>
      </c>
      <c r="AE7664" s="14">
        <f>VLOOKUP(I7664,[2]媒体政策预估表!A:N,MATCH(O7664,[2]媒体政策预估表!$A$2:$M$2,0),0)</f>
        <v>7.0000000000000007E-2</v>
      </c>
      <c r="AF7664" s="6">
        <f t="shared" si="1187"/>
        <v>0</v>
      </c>
      <c r="AG7664" s="14">
        <v>0</v>
      </c>
      <c r="AH7664" s="64">
        <f t="shared" si="1186"/>
        <v>0</v>
      </c>
      <c r="AJ7664" s="126" t="e">
        <v>#N/A</v>
      </c>
      <c r="AK7664" s="80">
        <f t="shared" si="1183"/>
        <v>0</v>
      </c>
      <c r="AL7664" s="85"/>
      <c r="AM7664" s="85"/>
    </row>
    <row r="7665" spans="1:39" s="86" customFormat="1" ht="13.25" hidden="1" customHeight="1" x14ac:dyDescent="0.3">
      <c r="A7665" s="89" t="s">
        <v>3978</v>
      </c>
      <c r="B7665" s="86" t="s">
        <v>35</v>
      </c>
      <c r="C7665" s="86" t="s">
        <v>164</v>
      </c>
      <c r="D7665" s="86" t="s">
        <v>169</v>
      </c>
      <c r="E7665" s="86" t="s">
        <v>1954</v>
      </c>
      <c r="F7665" s="86" t="s">
        <v>1954</v>
      </c>
      <c r="G7665" s="86" t="s">
        <v>1954</v>
      </c>
      <c r="H7665" s="143">
        <v>360</v>
      </c>
      <c r="I7665" s="86" t="s">
        <v>1060</v>
      </c>
      <c r="J7665" s="47" t="s">
        <v>3325</v>
      </c>
      <c r="K7665" s="47" t="s">
        <v>3767</v>
      </c>
      <c r="L7665" s="47" t="s">
        <v>35</v>
      </c>
      <c r="M7665" s="86" t="s">
        <v>1954</v>
      </c>
      <c r="O7665" s="47" t="s">
        <v>45</v>
      </c>
      <c r="P7665" s="14" t="s">
        <v>46</v>
      </c>
      <c r="Q7665" s="14">
        <v>0.02</v>
      </c>
      <c r="R7665" s="143" t="s">
        <v>1955</v>
      </c>
      <c r="S7665" s="47"/>
      <c r="T7665" s="6">
        <v>569024.13454000012</v>
      </c>
      <c r="U7665" s="6"/>
      <c r="V7665" s="6">
        <v>0</v>
      </c>
      <c r="W7665" s="6">
        <f t="shared" si="1184"/>
        <v>569024.13454000012</v>
      </c>
      <c r="X7665" s="6">
        <f t="shared" si="1188"/>
        <v>0</v>
      </c>
      <c r="Y7665" s="13">
        <f t="shared" si="1181"/>
        <v>0</v>
      </c>
      <c r="Z7665" s="14">
        <v>0</v>
      </c>
      <c r="AA7665" s="6">
        <v>0</v>
      </c>
      <c r="AB7665" s="4">
        <f t="shared" si="1182"/>
        <v>0</v>
      </c>
      <c r="AC7665" s="6">
        <f t="shared" si="1180"/>
        <v>0</v>
      </c>
      <c r="AD7665" s="6">
        <f t="shared" si="1185"/>
        <v>0</v>
      </c>
      <c r="AE7665" s="14">
        <f>VLOOKUP(I7665,[2]媒体政策预估表!A:N,MATCH(O7665,[2]媒体政策预估表!$A$2:$M$2,0),0)</f>
        <v>0.1</v>
      </c>
      <c r="AF7665" s="6">
        <f t="shared" si="1187"/>
        <v>0</v>
      </c>
      <c r="AG7665" s="14">
        <v>0</v>
      </c>
      <c r="AH7665" s="64">
        <f t="shared" si="1186"/>
        <v>0</v>
      </c>
      <c r="AJ7665" s="126" t="e">
        <v>#N/A</v>
      </c>
      <c r="AK7665" s="80">
        <f t="shared" si="1183"/>
        <v>0</v>
      </c>
      <c r="AL7665" s="85"/>
      <c r="AM7665" s="85"/>
    </row>
    <row r="7666" spans="1:39" s="86" customFormat="1" ht="13.25" hidden="1" customHeight="1" x14ac:dyDescent="0.3">
      <c r="A7666" s="89" t="s">
        <v>3978</v>
      </c>
      <c r="B7666" s="86" t="s">
        <v>35</v>
      </c>
      <c r="C7666" s="86" t="s">
        <v>164</v>
      </c>
      <c r="D7666" s="86" t="s">
        <v>169</v>
      </c>
      <c r="E7666" s="86" t="s">
        <v>1954</v>
      </c>
      <c r="F7666" s="86" t="s">
        <v>1954</v>
      </c>
      <c r="G7666" s="86" t="s">
        <v>1954</v>
      </c>
      <c r="H7666" s="143">
        <v>360</v>
      </c>
      <c r="I7666" s="86" t="s">
        <v>1060</v>
      </c>
      <c r="J7666" s="47" t="s">
        <v>3325</v>
      </c>
      <c r="K7666" s="47" t="s">
        <v>3767</v>
      </c>
      <c r="L7666" s="47" t="s">
        <v>35</v>
      </c>
      <c r="M7666" s="86" t="s">
        <v>1954</v>
      </c>
      <c r="O7666" s="47" t="s">
        <v>410</v>
      </c>
      <c r="P7666" s="14" t="s">
        <v>46</v>
      </c>
      <c r="Q7666" s="14">
        <v>0.01</v>
      </c>
      <c r="R7666" s="143" t="s">
        <v>1956</v>
      </c>
      <c r="S7666" s="47"/>
      <c r="T7666" s="6">
        <v>-95730.62</v>
      </c>
      <c r="U7666" s="6"/>
      <c r="V7666" s="6">
        <v>0</v>
      </c>
      <c r="W7666" s="6">
        <f t="shared" si="1184"/>
        <v>-95730.62</v>
      </c>
      <c r="X7666" s="6">
        <f t="shared" si="1188"/>
        <v>0</v>
      </c>
      <c r="Y7666" s="13">
        <f t="shared" si="1181"/>
        <v>0</v>
      </c>
      <c r="Z7666" s="14">
        <v>0</v>
      </c>
      <c r="AA7666" s="6">
        <v>0</v>
      </c>
      <c r="AB7666" s="4">
        <f t="shared" si="1182"/>
        <v>0</v>
      </c>
      <c r="AC7666" s="6">
        <f t="shared" si="1180"/>
        <v>0</v>
      </c>
      <c r="AD7666" s="6">
        <f t="shared" si="1185"/>
        <v>0</v>
      </c>
      <c r="AE7666" s="14">
        <f>VLOOKUP(I7666,[2]媒体政策预估表!A:N,MATCH(O7666,[2]媒体政策预估表!$A$2:$M$2,0),0)</f>
        <v>7.0000000000000007E-2</v>
      </c>
      <c r="AF7666" s="6">
        <f t="shared" si="1187"/>
        <v>0</v>
      </c>
      <c r="AG7666" s="14">
        <v>0</v>
      </c>
      <c r="AH7666" s="64">
        <f t="shared" si="1186"/>
        <v>0</v>
      </c>
      <c r="AJ7666" s="126" t="e">
        <v>#N/A</v>
      </c>
      <c r="AK7666" s="80">
        <f t="shared" si="1183"/>
        <v>0</v>
      </c>
      <c r="AL7666" s="85"/>
      <c r="AM7666" s="85"/>
    </row>
    <row r="7667" spans="1:39" s="86" customFormat="1" ht="13.25" hidden="1" customHeight="1" x14ac:dyDescent="0.3">
      <c r="A7667" s="89" t="s">
        <v>3978</v>
      </c>
      <c r="B7667" s="86" t="s">
        <v>35</v>
      </c>
      <c r="C7667" s="86" t="s">
        <v>164</v>
      </c>
      <c r="D7667" s="86" t="s">
        <v>169</v>
      </c>
      <c r="E7667" s="86" t="s">
        <v>628</v>
      </c>
      <c r="F7667" s="86" t="s">
        <v>628</v>
      </c>
      <c r="G7667" s="86" t="s">
        <v>628</v>
      </c>
      <c r="H7667" s="143">
        <v>360</v>
      </c>
      <c r="I7667" s="86" t="s">
        <v>1060</v>
      </c>
      <c r="J7667" s="47" t="s">
        <v>3325</v>
      </c>
      <c r="K7667" s="47" t="s">
        <v>3767</v>
      </c>
      <c r="L7667" s="47" t="s">
        <v>35</v>
      </c>
      <c r="M7667" s="86" t="s">
        <v>628</v>
      </c>
      <c r="O7667" s="47" t="s">
        <v>45</v>
      </c>
      <c r="P7667" s="14" t="s">
        <v>46</v>
      </c>
      <c r="Q7667" s="14">
        <v>0.1</v>
      </c>
      <c r="R7667" s="143" t="s">
        <v>1957</v>
      </c>
      <c r="S7667" s="47"/>
      <c r="T7667" s="6">
        <v>-69520.026129999998</v>
      </c>
      <c r="U7667" s="6"/>
      <c r="V7667" s="6">
        <v>0</v>
      </c>
      <c r="W7667" s="6">
        <f t="shared" si="1184"/>
        <v>-69520.026129999998</v>
      </c>
      <c r="X7667" s="6">
        <f t="shared" si="1188"/>
        <v>0</v>
      </c>
      <c r="Y7667" s="13">
        <f t="shared" si="1181"/>
        <v>0</v>
      </c>
      <c r="Z7667" s="14">
        <v>0</v>
      </c>
      <c r="AA7667" s="6">
        <v>0</v>
      </c>
      <c r="AB7667" s="4">
        <f t="shared" si="1182"/>
        <v>0</v>
      </c>
      <c r="AC7667" s="6">
        <f t="shared" si="1180"/>
        <v>0</v>
      </c>
      <c r="AD7667" s="6">
        <f t="shared" si="1185"/>
        <v>0</v>
      </c>
      <c r="AE7667" s="14">
        <f>VLOOKUP(I7667,[2]媒体政策预估表!A:N,MATCH(O7667,[2]媒体政策预估表!$A$2:$M$2,0),0)</f>
        <v>0.1</v>
      </c>
      <c r="AF7667" s="6">
        <f t="shared" si="1187"/>
        <v>0</v>
      </c>
      <c r="AG7667" s="14">
        <v>0</v>
      </c>
      <c r="AH7667" s="64">
        <f t="shared" si="1186"/>
        <v>0</v>
      </c>
      <c r="AJ7667" s="126" t="e">
        <v>#N/A</v>
      </c>
      <c r="AK7667" s="80">
        <f t="shared" si="1183"/>
        <v>0</v>
      </c>
      <c r="AL7667" s="85"/>
      <c r="AM7667" s="85"/>
    </row>
    <row r="7668" spans="1:39" s="86" customFormat="1" ht="13.25" hidden="1" customHeight="1" x14ac:dyDescent="0.3">
      <c r="A7668" s="89" t="s">
        <v>3978</v>
      </c>
      <c r="B7668" s="86" t="s">
        <v>35</v>
      </c>
      <c r="C7668" s="86" t="s">
        <v>164</v>
      </c>
      <c r="D7668" s="86" t="s">
        <v>169</v>
      </c>
      <c r="E7668" s="86" t="s">
        <v>628</v>
      </c>
      <c r="F7668" s="86" t="s">
        <v>628</v>
      </c>
      <c r="G7668" s="86" t="s">
        <v>628</v>
      </c>
      <c r="H7668" s="143">
        <v>360</v>
      </c>
      <c r="I7668" s="86" t="s">
        <v>1060</v>
      </c>
      <c r="J7668" s="47" t="s">
        <v>3325</v>
      </c>
      <c r="K7668" s="47" t="s">
        <v>3767</v>
      </c>
      <c r="L7668" s="47" t="s">
        <v>35</v>
      </c>
      <c r="M7668" s="86" t="s">
        <v>628</v>
      </c>
      <c r="O7668" s="47" t="s">
        <v>410</v>
      </c>
      <c r="P7668" s="14" t="s">
        <v>46</v>
      </c>
      <c r="Q7668" s="14">
        <v>0.05</v>
      </c>
      <c r="R7668" s="143" t="s">
        <v>1957</v>
      </c>
      <c r="S7668" s="47"/>
      <c r="T7668" s="6">
        <v>95503.372560000047</v>
      </c>
      <c r="U7668" s="6"/>
      <c r="V7668" s="6">
        <v>0</v>
      </c>
      <c r="W7668" s="6">
        <f t="shared" si="1184"/>
        <v>95503.372560000047</v>
      </c>
      <c r="X7668" s="6">
        <f t="shared" si="1188"/>
        <v>0</v>
      </c>
      <c r="Y7668" s="13">
        <f t="shared" si="1181"/>
        <v>0</v>
      </c>
      <c r="Z7668" s="14">
        <v>0</v>
      </c>
      <c r="AA7668" s="6">
        <v>0</v>
      </c>
      <c r="AB7668" s="4">
        <f t="shared" si="1182"/>
        <v>0</v>
      </c>
      <c r="AC7668" s="6">
        <f t="shared" si="1180"/>
        <v>0</v>
      </c>
      <c r="AD7668" s="6">
        <f t="shared" si="1185"/>
        <v>0</v>
      </c>
      <c r="AE7668" s="14">
        <f>VLOOKUP(I7668,[2]媒体政策预估表!A:N,MATCH(O7668,[2]媒体政策预估表!$A$2:$M$2,0),0)</f>
        <v>7.0000000000000007E-2</v>
      </c>
      <c r="AF7668" s="6">
        <f t="shared" si="1187"/>
        <v>0</v>
      </c>
      <c r="AG7668" s="14">
        <v>0</v>
      </c>
      <c r="AH7668" s="64">
        <f t="shared" si="1186"/>
        <v>0</v>
      </c>
      <c r="AJ7668" s="126" t="e">
        <v>#N/A</v>
      </c>
      <c r="AK7668" s="80">
        <f t="shared" si="1183"/>
        <v>0</v>
      </c>
      <c r="AL7668" s="85"/>
      <c r="AM7668" s="85"/>
    </row>
    <row r="7669" spans="1:39" s="86" customFormat="1" ht="13.25" hidden="1" customHeight="1" x14ac:dyDescent="0.3">
      <c r="A7669" s="89" t="s">
        <v>3805</v>
      </c>
      <c r="B7669" s="86" t="s">
        <v>35</v>
      </c>
      <c r="C7669" s="86" t="s">
        <v>164</v>
      </c>
      <c r="D7669" s="86" t="s">
        <v>174</v>
      </c>
      <c r="E7669" s="86" t="s">
        <v>1964</v>
      </c>
      <c r="F7669" s="86" t="s">
        <v>1964</v>
      </c>
      <c r="G7669" s="86" t="s">
        <v>1964</v>
      </c>
      <c r="H7669" s="143">
        <v>360</v>
      </c>
      <c r="I7669" s="86" t="s">
        <v>1060</v>
      </c>
      <c r="J7669" s="47" t="s">
        <v>3325</v>
      </c>
      <c r="K7669" s="47" t="s">
        <v>3767</v>
      </c>
      <c r="L7669" s="47" t="s">
        <v>35</v>
      </c>
      <c r="M7669" s="86" t="s">
        <v>1964</v>
      </c>
      <c r="O7669" s="47" t="s">
        <v>410</v>
      </c>
      <c r="P7669" s="14" t="s">
        <v>46</v>
      </c>
      <c r="Q7669" s="14">
        <v>0.03</v>
      </c>
      <c r="R7669" s="143" t="s">
        <v>1965</v>
      </c>
      <c r="S7669" s="47"/>
      <c r="T7669" s="6">
        <v>-1.3</v>
      </c>
      <c r="U7669" s="6"/>
      <c r="V7669" s="6">
        <v>0</v>
      </c>
      <c r="W7669" s="6">
        <f t="shared" si="1184"/>
        <v>-1.3</v>
      </c>
      <c r="X7669" s="6">
        <f t="shared" si="1188"/>
        <v>0</v>
      </c>
      <c r="Y7669" s="13">
        <f t="shared" si="1181"/>
        <v>0</v>
      </c>
      <c r="Z7669" s="14">
        <v>0</v>
      </c>
      <c r="AA7669" s="6">
        <v>0</v>
      </c>
      <c r="AB7669" s="4">
        <f t="shared" si="1182"/>
        <v>0</v>
      </c>
      <c r="AC7669" s="6">
        <f t="shared" si="1180"/>
        <v>0</v>
      </c>
      <c r="AD7669" s="6">
        <f t="shared" si="1185"/>
        <v>0</v>
      </c>
      <c r="AE7669" s="14">
        <f>VLOOKUP(I7669,[2]媒体政策预估表!A:N,MATCH(O7669,[2]媒体政策预估表!$A$2:$M$2,0),0)</f>
        <v>7.0000000000000007E-2</v>
      </c>
      <c r="AF7669" s="6">
        <f t="shared" si="1187"/>
        <v>0</v>
      </c>
      <c r="AG7669" s="14">
        <v>0</v>
      </c>
      <c r="AH7669" s="64">
        <f t="shared" si="1186"/>
        <v>0</v>
      </c>
      <c r="AJ7669" s="126" t="e">
        <v>#N/A</v>
      </c>
      <c r="AK7669" s="80">
        <f t="shared" si="1183"/>
        <v>0</v>
      </c>
      <c r="AL7669" s="85"/>
      <c r="AM7669" s="85"/>
    </row>
    <row r="7670" spans="1:39" s="86" customFormat="1" ht="13.25" hidden="1" customHeight="1" x14ac:dyDescent="0.3">
      <c r="A7670" s="89" t="s">
        <v>3978</v>
      </c>
      <c r="B7670" s="86" t="s">
        <v>35</v>
      </c>
      <c r="C7670" s="86" t="s">
        <v>164</v>
      </c>
      <c r="D7670" s="86" t="s">
        <v>174</v>
      </c>
      <c r="E7670" s="86" t="s">
        <v>1969</v>
      </c>
      <c r="F7670" s="86" t="s">
        <v>1969</v>
      </c>
      <c r="G7670" s="86" t="s">
        <v>1969</v>
      </c>
      <c r="H7670" s="144">
        <v>360</v>
      </c>
      <c r="I7670" s="86" t="s">
        <v>1060</v>
      </c>
      <c r="J7670" s="47" t="s">
        <v>3325</v>
      </c>
      <c r="K7670" s="47" t="s">
        <v>3767</v>
      </c>
      <c r="L7670" s="47" t="s">
        <v>35</v>
      </c>
      <c r="M7670" s="86" t="s">
        <v>1969</v>
      </c>
      <c r="O7670" s="47" t="s">
        <v>410</v>
      </c>
      <c r="P7670" s="14" t="s">
        <v>41</v>
      </c>
      <c r="Q7670" s="14">
        <v>0</v>
      </c>
      <c r="R7670" s="143" t="s">
        <v>1970</v>
      </c>
      <c r="S7670" s="47" t="s">
        <v>4116</v>
      </c>
      <c r="T7670" s="6">
        <v>-42.80000000003929</v>
      </c>
      <c r="U7670" s="6"/>
      <c r="V7670" s="6">
        <v>0</v>
      </c>
      <c r="W7670" s="6">
        <f t="shared" si="1184"/>
        <v>-42.80000000003929</v>
      </c>
      <c r="X7670" s="6">
        <v>184716.22</v>
      </c>
      <c r="Y7670" s="13">
        <f t="shared" si="1181"/>
        <v>184716.22</v>
      </c>
      <c r="Z7670" s="14">
        <v>0</v>
      </c>
      <c r="AA7670" s="6">
        <v>0</v>
      </c>
      <c r="AB7670" s="4">
        <f t="shared" si="1182"/>
        <v>184716.22</v>
      </c>
      <c r="AC7670" s="6">
        <f t="shared" si="1180"/>
        <v>-184716.22</v>
      </c>
      <c r="AD7670" s="6">
        <f t="shared" si="1185"/>
        <v>0</v>
      </c>
      <c r="AE7670" s="14">
        <f>VLOOKUP(I7670,[2]媒体政策预估表!A:N,MATCH(O7670,[2]媒体政策预估表!$A$2:$M$2,0),0)</f>
        <v>7.0000000000000007E-2</v>
      </c>
      <c r="AF7670" s="6">
        <f t="shared" si="1187"/>
        <v>0</v>
      </c>
      <c r="AG7670" s="14">
        <v>0</v>
      </c>
      <c r="AH7670" s="64">
        <f t="shared" si="1186"/>
        <v>0</v>
      </c>
      <c r="AJ7670" s="126" t="e">
        <v>#N/A</v>
      </c>
      <c r="AK7670" s="80">
        <f t="shared" si="1183"/>
        <v>0</v>
      </c>
      <c r="AL7670" s="85"/>
      <c r="AM7670" s="85"/>
    </row>
    <row r="7671" spans="1:39" s="86" customFormat="1" ht="13.25" hidden="1" customHeight="1" x14ac:dyDescent="0.3">
      <c r="A7671" s="89" t="s">
        <v>3978</v>
      </c>
      <c r="B7671" s="86" t="s">
        <v>35</v>
      </c>
      <c r="C7671" s="86" t="s">
        <v>164</v>
      </c>
      <c r="D7671" s="86" t="s">
        <v>174</v>
      </c>
      <c r="E7671" s="86" t="s">
        <v>1969</v>
      </c>
      <c r="F7671" s="86" t="s">
        <v>1969</v>
      </c>
      <c r="G7671" s="86" t="s">
        <v>1969</v>
      </c>
      <c r="H7671" s="143">
        <v>360</v>
      </c>
      <c r="I7671" s="86" t="s">
        <v>1060</v>
      </c>
      <c r="J7671" s="47" t="s">
        <v>3325</v>
      </c>
      <c r="K7671" s="47" t="s">
        <v>3767</v>
      </c>
      <c r="L7671" s="47" t="s">
        <v>35</v>
      </c>
      <c r="M7671" s="86" t="s">
        <v>1971</v>
      </c>
      <c r="O7671" s="47" t="s">
        <v>410</v>
      </c>
      <c r="P7671" s="14" t="s">
        <v>41</v>
      </c>
      <c r="Q7671" s="14">
        <v>0</v>
      </c>
      <c r="R7671" s="143" t="s">
        <v>1972</v>
      </c>
      <c r="S7671" s="47"/>
      <c r="T7671" s="6">
        <v>-117.30000000010477</v>
      </c>
      <c r="U7671" s="6"/>
      <c r="V7671" s="6">
        <v>0</v>
      </c>
      <c r="W7671" s="6">
        <f t="shared" si="1184"/>
        <v>-117.30000000010477</v>
      </c>
      <c r="X7671" s="6">
        <f t="shared" si="1188"/>
        <v>0</v>
      </c>
      <c r="Y7671" s="13">
        <f t="shared" si="1181"/>
        <v>0</v>
      </c>
      <c r="Z7671" s="14">
        <v>0</v>
      </c>
      <c r="AA7671" s="6">
        <v>0</v>
      </c>
      <c r="AB7671" s="4">
        <f t="shared" si="1182"/>
        <v>0</v>
      </c>
      <c r="AC7671" s="6">
        <f t="shared" si="1180"/>
        <v>0</v>
      </c>
      <c r="AD7671" s="6">
        <f t="shared" si="1185"/>
        <v>0</v>
      </c>
      <c r="AE7671" s="14">
        <f>VLOOKUP(I7671,[2]媒体政策预估表!A:N,MATCH(O7671,[2]媒体政策预估表!$A$2:$M$2,0),0)</f>
        <v>7.0000000000000007E-2</v>
      </c>
      <c r="AF7671" s="6">
        <f t="shared" si="1187"/>
        <v>0</v>
      </c>
      <c r="AG7671" s="14">
        <v>0</v>
      </c>
      <c r="AH7671" s="64">
        <f t="shared" si="1186"/>
        <v>0</v>
      </c>
      <c r="AJ7671" s="126" t="e">
        <v>#N/A</v>
      </c>
      <c r="AK7671" s="80">
        <f t="shared" si="1183"/>
        <v>0</v>
      </c>
      <c r="AL7671" s="85"/>
      <c r="AM7671" s="85"/>
    </row>
    <row r="7672" spans="1:39" s="86" customFormat="1" ht="13.25" hidden="1" customHeight="1" x14ac:dyDescent="0.3">
      <c r="A7672" s="89" t="s">
        <v>3978</v>
      </c>
      <c r="B7672" s="86" t="s">
        <v>35</v>
      </c>
      <c r="C7672" s="86" t="s">
        <v>164</v>
      </c>
      <c r="D7672" s="86" t="s">
        <v>174</v>
      </c>
      <c r="E7672" s="86" t="s">
        <v>651</v>
      </c>
      <c r="F7672" s="86" t="s">
        <v>651</v>
      </c>
      <c r="G7672" s="86" t="s">
        <v>651</v>
      </c>
      <c r="H7672" s="143">
        <v>360</v>
      </c>
      <c r="I7672" s="86" t="s">
        <v>1060</v>
      </c>
      <c r="J7672" s="47" t="s">
        <v>3325</v>
      </c>
      <c r="K7672" s="47" t="s">
        <v>3767</v>
      </c>
      <c r="L7672" s="47" t="s">
        <v>35</v>
      </c>
      <c r="M7672" s="86" t="s">
        <v>651</v>
      </c>
      <c r="O7672" s="47" t="s">
        <v>45</v>
      </c>
      <c r="P7672" s="14" t="s">
        <v>46</v>
      </c>
      <c r="Q7672" s="14">
        <v>0.06</v>
      </c>
      <c r="R7672" s="143" t="s">
        <v>1973</v>
      </c>
      <c r="S7672" s="47"/>
      <c r="T7672" s="6">
        <v>518666.41804000008</v>
      </c>
      <c r="U7672" s="6"/>
      <c r="V7672" s="6">
        <v>0</v>
      </c>
      <c r="W7672" s="6">
        <f t="shared" si="1184"/>
        <v>518666.41804000008</v>
      </c>
      <c r="X7672" s="6">
        <f t="shared" si="1188"/>
        <v>0</v>
      </c>
      <c r="Y7672" s="13">
        <f t="shared" si="1181"/>
        <v>0</v>
      </c>
      <c r="Z7672" s="14">
        <v>0</v>
      </c>
      <c r="AA7672" s="6">
        <v>0</v>
      </c>
      <c r="AB7672" s="4">
        <f t="shared" si="1182"/>
        <v>0</v>
      </c>
      <c r="AC7672" s="6">
        <f t="shared" si="1180"/>
        <v>0</v>
      </c>
      <c r="AD7672" s="6">
        <f t="shared" si="1185"/>
        <v>0</v>
      </c>
      <c r="AE7672" s="14">
        <f>VLOOKUP(I7672,[2]媒体政策预估表!A:N,MATCH(O7672,[2]媒体政策预估表!$A$2:$M$2,0),0)</f>
        <v>0.1</v>
      </c>
      <c r="AF7672" s="6">
        <f t="shared" si="1187"/>
        <v>0</v>
      </c>
      <c r="AG7672" s="14">
        <v>0</v>
      </c>
      <c r="AH7672" s="64">
        <f t="shared" si="1186"/>
        <v>0</v>
      </c>
      <c r="AJ7672" s="126" t="e">
        <v>#N/A</v>
      </c>
      <c r="AK7672" s="80">
        <f t="shared" si="1183"/>
        <v>0</v>
      </c>
      <c r="AL7672" s="85"/>
      <c r="AM7672" s="85"/>
    </row>
    <row r="7673" spans="1:39" s="86" customFormat="1" ht="13.25" hidden="1" customHeight="1" x14ac:dyDescent="0.3">
      <c r="A7673" s="89" t="s">
        <v>3978</v>
      </c>
      <c r="B7673" s="86" t="s">
        <v>35</v>
      </c>
      <c r="C7673" s="86" t="s">
        <v>164</v>
      </c>
      <c r="D7673" s="86" t="s">
        <v>174</v>
      </c>
      <c r="E7673" s="86" t="s">
        <v>651</v>
      </c>
      <c r="F7673" s="86" t="s">
        <v>651</v>
      </c>
      <c r="G7673" s="86" t="s">
        <v>651</v>
      </c>
      <c r="H7673" s="143">
        <v>360</v>
      </c>
      <c r="I7673" s="86" t="s">
        <v>1060</v>
      </c>
      <c r="J7673" s="47" t="s">
        <v>3325</v>
      </c>
      <c r="K7673" s="47" t="s">
        <v>3767</v>
      </c>
      <c r="L7673" s="47" t="s">
        <v>35</v>
      </c>
      <c r="M7673" s="86" t="s">
        <v>651</v>
      </c>
      <c r="O7673" s="47" t="s">
        <v>45</v>
      </c>
      <c r="P7673" s="14" t="s">
        <v>46</v>
      </c>
      <c r="Q7673" s="14">
        <v>0.06</v>
      </c>
      <c r="R7673" s="143" t="s">
        <v>1974</v>
      </c>
      <c r="S7673" s="47"/>
      <c r="T7673" s="6">
        <v>805462.72551999986</v>
      </c>
      <c r="U7673" s="6"/>
      <c r="V7673" s="6">
        <v>0</v>
      </c>
      <c r="W7673" s="6">
        <f t="shared" si="1184"/>
        <v>805462.72551999986</v>
      </c>
      <c r="X7673" s="6">
        <f t="shared" si="1188"/>
        <v>0</v>
      </c>
      <c r="Y7673" s="13">
        <f t="shared" si="1181"/>
        <v>0</v>
      </c>
      <c r="Z7673" s="14">
        <v>0</v>
      </c>
      <c r="AA7673" s="6">
        <v>0</v>
      </c>
      <c r="AB7673" s="4">
        <f t="shared" si="1182"/>
        <v>0</v>
      </c>
      <c r="AC7673" s="6">
        <f t="shared" si="1180"/>
        <v>0</v>
      </c>
      <c r="AD7673" s="6">
        <f t="shared" si="1185"/>
        <v>0</v>
      </c>
      <c r="AE7673" s="14">
        <f>VLOOKUP(I7673,[2]媒体政策预估表!A:N,MATCH(O7673,[2]媒体政策预估表!$A$2:$M$2,0),0)</f>
        <v>0.1</v>
      </c>
      <c r="AF7673" s="6">
        <f t="shared" si="1187"/>
        <v>0</v>
      </c>
      <c r="AG7673" s="14">
        <v>0</v>
      </c>
      <c r="AH7673" s="64">
        <f t="shared" si="1186"/>
        <v>0</v>
      </c>
      <c r="AJ7673" s="126" t="e">
        <v>#N/A</v>
      </c>
      <c r="AK7673" s="80">
        <f t="shared" si="1183"/>
        <v>0</v>
      </c>
      <c r="AL7673" s="85"/>
      <c r="AM7673" s="85"/>
    </row>
    <row r="7674" spans="1:39" s="86" customFormat="1" ht="13.25" hidden="1" customHeight="1" x14ac:dyDescent="0.3">
      <c r="A7674" s="89" t="s">
        <v>3978</v>
      </c>
      <c r="B7674" s="86" t="s">
        <v>35</v>
      </c>
      <c r="C7674" s="86" t="s">
        <v>164</v>
      </c>
      <c r="D7674" s="86" t="s">
        <v>174</v>
      </c>
      <c r="E7674" s="86" t="s">
        <v>651</v>
      </c>
      <c r="F7674" s="86" t="s">
        <v>651</v>
      </c>
      <c r="G7674" s="86" t="s">
        <v>651</v>
      </c>
      <c r="H7674" s="143">
        <v>360</v>
      </c>
      <c r="I7674" s="86" t="s">
        <v>1060</v>
      </c>
      <c r="J7674" s="47" t="s">
        <v>3325</v>
      </c>
      <c r="K7674" s="47" t="s">
        <v>3767</v>
      </c>
      <c r="L7674" s="47" t="s">
        <v>35</v>
      </c>
      <c r="M7674" s="86" t="s">
        <v>1629</v>
      </c>
      <c r="O7674" s="47" t="s">
        <v>45</v>
      </c>
      <c r="P7674" s="14" t="s">
        <v>46</v>
      </c>
      <c r="Q7674" s="14">
        <v>0.06</v>
      </c>
      <c r="R7674" s="143" t="s">
        <v>1975</v>
      </c>
      <c r="S7674" s="47"/>
      <c r="T7674" s="6">
        <v>579763.91428000014</v>
      </c>
      <c r="U7674" s="6"/>
      <c r="V7674" s="6">
        <v>0</v>
      </c>
      <c r="W7674" s="6">
        <f t="shared" si="1184"/>
        <v>579763.91428000014</v>
      </c>
      <c r="X7674" s="6">
        <f t="shared" si="1188"/>
        <v>0</v>
      </c>
      <c r="Y7674" s="13">
        <f t="shared" si="1181"/>
        <v>0</v>
      </c>
      <c r="Z7674" s="14">
        <v>0</v>
      </c>
      <c r="AA7674" s="6">
        <v>0</v>
      </c>
      <c r="AB7674" s="4">
        <f t="shared" si="1182"/>
        <v>0</v>
      </c>
      <c r="AC7674" s="6">
        <f t="shared" si="1180"/>
        <v>0</v>
      </c>
      <c r="AD7674" s="6">
        <f t="shared" si="1185"/>
        <v>0</v>
      </c>
      <c r="AE7674" s="14">
        <f>VLOOKUP(I7674,[2]媒体政策预估表!A:N,MATCH(O7674,[2]媒体政策预估表!$A$2:$M$2,0),0)</f>
        <v>0.1</v>
      </c>
      <c r="AF7674" s="6">
        <f t="shared" si="1187"/>
        <v>0</v>
      </c>
      <c r="AG7674" s="14">
        <v>0</v>
      </c>
      <c r="AH7674" s="64">
        <f t="shared" si="1186"/>
        <v>0</v>
      </c>
      <c r="AJ7674" s="126" t="e">
        <v>#N/A</v>
      </c>
      <c r="AK7674" s="80">
        <f t="shared" si="1183"/>
        <v>0</v>
      </c>
      <c r="AL7674" s="85"/>
      <c r="AM7674" s="85"/>
    </row>
    <row r="7675" spans="1:39" s="86" customFormat="1" ht="13.25" hidden="1" customHeight="1" x14ac:dyDescent="0.3">
      <c r="A7675" s="89" t="s">
        <v>3978</v>
      </c>
      <c r="B7675" s="86" t="s">
        <v>35</v>
      </c>
      <c r="C7675" s="86" t="s">
        <v>164</v>
      </c>
      <c r="D7675" s="86" t="s">
        <v>174</v>
      </c>
      <c r="E7675" s="86" t="s">
        <v>1976</v>
      </c>
      <c r="F7675" s="86" t="s">
        <v>1976</v>
      </c>
      <c r="G7675" s="86" t="s">
        <v>1976</v>
      </c>
      <c r="H7675" s="143">
        <v>360</v>
      </c>
      <c r="I7675" s="86" t="s">
        <v>1060</v>
      </c>
      <c r="J7675" s="47" t="s">
        <v>3325</v>
      </c>
      <c r="K7675" s="47" t="s">
        <v>3767</v>
      </c>
      <c r="L7675" s="47" t="s">
        <v>35</v>
      </c>
      <c r="M7675" s="86" t="s">
        <v>1976</v>
      </c>
      <c r="O7675" s="47" t="s">
        <v>410</v>
      </c>
      <c r="P7675" s="14" t="s">
        <v>46</v>
      </c>
      <c r="Q7675" s="14">
        <v>0.02</v>
      </c>
      <c r="R7675" s="143" t="s">
        <v>1977</v>
      </c>
      <c r="S7675" s="47"/>
      <c r="T7675" s="6">
        <v>-0.7</v>
      </c>
      <c r="U7675" s="6"/>
      <c r="V7675" s="6">
        <v>0</v>
      </c>
      <c r="W7675" s="6">
        <f t="shared" si="1184"/>
        <v>-0.7</v>
      </c>
      <c r="X7675" s="6">
        <f t="shared" si="1188"/>
        <v>0</v>
      </c>
      <c r="Y7675" s="13">
        <f t="shared" si="1181"/>
        <v>0</v>
      </c>
      <c r="Z7675" s="14">
        <v>0</v>
      </c>
      <c r="AA7675" s="6">
        <v>0</v>
      </c>
      <c r="AB7675" s="4">
        <f t="shared" si="1182"/>
        <v>0</v>
      </c>
      <c r="AC7675" s="6">
        <f t="shared" si="1180"/>
        <v>0</v>
      </c>
      <c r="AD7675" s="6">
        <f t="shared" si="1185"/>
        <v>0</v>
      </c>
      <c r="AE7675" s="14">
        <f>VLOOKUP(I7675,[2]媒体政策预估表!A:N,MATCH(O7675,[2]媒体政策预估表!$A$2:$M$2,0),0)</f>
        <v>7.0000000000000007E-2</v>
      </c>
      <c r="AF7675" s="6">
        <f t="shared" si="1187"/>
        <v>0</v>
      </c>
      <c r="AG7675" s="14">
        <v>0</v>
      </c>
      <c r="AH7675" s="64">
        <f t="shared" si="1186"/>
        <v>0</v>
      </c>
      <c r="AJ7675" s="126" t="e">
        <v>#N/A</v>
      </c>
      <c r="AK7675" s="80">
        <f t="shared" si="1183"/>
        <v>0</v>
      </c>
      <c r="AL7675" s="85"/>
      <c r="AM7675" s="85"/>
    </row>
    <row r="7676" spans="1:39" s="86" customFormat="1" ht="13.25" hidden="1" customHeight="1" x14ac:dyDescent="0.3">
      <c r="A7676" s="89" t="s">
        <v>3978</v>
      </c>
      <c r="B7676" s="86" t="s">
        <v>35</v>
      </c>
      <c r="C7676" s="86" t="s">
        <v>164</v>
      </c>
      <c r="D7676" s="86" t="s">
        <v>174</v>
      </c>
      <c r="E7676" s="86" t="s">
        <v>1978</v>
      </c>
      <c r="F7676" s="86" t="s">
        <v>1978</v>
      </c>
      <c r="G7676" s="86" t="s">
        <v>1978</v>
      </c>
      <c r="H7676" s="143">
        <v>360</v>
      </c>
      <c r="I7676" s="86" t="s">
        <v>1060</v>
      </c>
      <c r="J7676" s="47" t="s">
        <v>3325</v>
      </c>
      <c r="K7676" s="47" t="s">
        <v>3767</v>
      </c>
      <c r="L7676" s="47" t="s">
        <v>35</v>
      </c>
      <c r="M7676" s="86" t="s">
        <v>1978</v>
      </c>
      <c r="O7676" s="47" t="s">
        <v>410</v>
      </c>
      <c r="P7676" s="14" t="s">
        <v>41</v>
      </c>
      <c r="Q7676" s="14">
        <v>0</v>
      </c>
      <c r="R7676" s="143" t="s">
        <v>1979</v>
      </c>
      <c r="S7676" s="47"/>
      <c r="T7676" s="6">
        <v>493.73499999999967</v>
      </c>
      <c r="U7676" s="6"/>
      <c r="V7676" s="6">
        <v>0</v>
      </c>
      <c r="W7676" s="6">
        <f t="shared" si="1184"/>
        <v>493.73499999999967</v>
      </c>
      <c r="X7676" s="6">
        <f t="shared" si="1188"/>
        <v>0</v>
      </c>
      <c r="Y7676" s="13">
        <f t="shared" si="1181"/>
        <v>0</v>
      </c>
      <c r="Z7676" s="14">
        <v>0</v>
      </c>
      <c r="AA7676" s="6">
        <v>0</v>
      </c>
      <c r="AB7676" s="4">
        <f t="shared" si="1182"/>
        <v>0</v>
      </c>
      <c r="AC7676" s="6">
        <f t="shared" si="1180"/>
        <v>0</v>
      </c>
      <c r="AD7676" s="6">
        <f t="shared" si="1185"/>
        <v>0</v>
      </c>
      <c r="AE7676" s="14">
        <f>VLOOKUP(I7676,[2]媒体政策预估表!A:N,MATCH(O7676,[2]媒体政策预估表!$A$2:$M$2,0),0)</f>
        <v>7.0000000000000007E-2</v>
      </c>
      <c r="AF7676" s="6">
        <f t="shared" si="1187"/>
        <v>0</v>
      </c>
      <c r="AG7676" s="14">
        <v>0</v>
      </c>
      <c r="AH7676" s="64">
        <f t="shared" si="1186"/>
        <v>0</v>
      </c>
      <c r="AJ7676" s="126" t="e">
        <v>#N/A</v>
      </c>
      <c r="AK7676" s="80">
        <f t="shared" si="1183"/>
        <v>0</v>
      </c>
      <c r="AL7676" s="85"/>
      <c r="AM7676" s="85"/>
    </row>
    <row r="7677" spans="1:39" s="86" customFormat="1" ht="13.25" hidden="1" customHeight="1" x14ac:dyDescent="0.3">
      <c r="A7677" s="89" t="s">
        <v>3792</v>
      </c>
      <c r="B7677" s="86" t="s">
        <v>35</v>
      </c>
      <c r="C7677" s="86" t="s">
        <v>164</v>
      </c>
      <c r="D7677" s="86" t="s">
        <v>174</v>
      </c>
      <c r="E7677" s="86" t="s">
        <v>1980</v>
      </c>
      <c r="F7677" s="86" t="s">
        <v>1980</v>
      </c>
      <c r="G7677" s="86" t="s">
        <v>1980</v>
      </c>
      <c r="H7677" s="143">
        <v>360</v>
      </c>
      <c r="I7677" s="86" t="s">
        <v>1060</v>
      </c>
      <c r="J7677" s="47" t="s">
        <v>3325</v>
      </c>
      <c r="K7677" s="47" t="s">
        <v>3767</v>
      </c>
      <c r="L7677" s="47" t="s">
        <v>35</v>
      </c>
      <c r="M7677" s="86" t="s">
        <v>1981</v>
      </c>
      <c r="O7677" s="47" t="s">
        <v>410</v>
      </c>
      <c r="P7677" s="14" t="s">
        <v>46</v>
      </c>
      <c r="Q7677" s="14">
        <v>0.04</v>
      </c>
      <c r="R7677" s="143" t="s">
        <v>1982</v>
      </c>
      <c r="S7677" s="47"/>
      <c r="T7677" s="6">
        <v>-0.4</v>
      </c>
      <c r="U7677" s="6"/>
      <c r="V7677" s="6">
        <v>0</v>
      </c>
      <c r="W7677" s="6">
        <f t="shared" si="1184"/>
        <v>-0.4</v>
      </c>
      <c r="X7677" s="6">
        <f t="shared" si="1188"/>
        <v>0</v>
      </c>
      <c r="Y7677" s="13">
        <f t="shared" si="1181"/>
        <v>0</v>
      </c>
      <c r="Z7677" s="14">
        <v>0</v>
      </c>
      <c r="AA7677" s="6">
        <v>0</v>
      </c>
      <c r="AB7677" s="4">
        <f t="shared" si="1182"/>
        <v>0</v>
      </c>
      <c r="AC7677" s="6">
        <f t="shared" si="1180"/>
        <v>0</v>
      </c>
      <c r="AD7677" s="6">
        <f t="shared" si="1185"/>
        <v>0</v>
      </c>
      <c r="AE7677" s="14">
        <f>VLOOKUP(I7677,[2]媒体政策预估表!A:N,MATCH(O7677,[2]媒体政策预估表!$A$2:$M$2,0),0)</f>
        <v>7.0000000000000007E-2</v>
      </c>
      <c r="AF7677" s="6">
        <f t="shared" si="1187"/>
        <v>0</v>
      </c>
      <c r="AG7677" s="14">
        <v>0</v>
      </c>
      <c r="AH7677" s="64">
        <f t="shared" si="1186"/>
        <v>0</v>
      </c>
      <c r="AJ7677" s="126" t="e">
        <v>#N/A</v>
      </c>
      <c r="AK7677" s="80">
        <f t="shared" si="1183"/>
        <v>0</v>
      </c>
      <c r="AL7677" s="85"/>
      <c r="AM7677" s="85"/>
    </row>
    <row r="7678" spans="1:39" s="86" customFormat="1" ht="13.25" hidden="1" customHeight="1" x14ac:dyDescent="0.3">
      <c r="A7678" s="89" t="s">
        <v>3978</v>
      </c>
      <c r="B7678" s="86" t="s">
        <v>35</v>
      </c>
      <c r="C7678" s="86" t="s">
        <v>164</v>
      </c>
      <c r="D7678" s="86" t="s">
        <v>174</v>
      </c>
      <c r="E7678" s="86" t="s">
        <v>1980</v>
      </c>
      <c r="F7678" s="86" t="s">
        <v>1980</v>
      </c>
      <c r="G7678" s="86" t="s">
        <v>1980</v>
      </c>
      <c r="H7678" s="143">
        <v>360</v>
      </c>
      <c r="I7678" s="86" t="s">
        <v>1060</v>
      </c>
      <c r="J7678" s="47" t="s">
        <v>3325</v>
      </c>
      <c r="K7678" s="47" t="s">
        <v>3767</v>
      </c>
      <c r="L7678" s="47" t="s">
        <v>35</v>
      </c>
      <c r="M7678" s="86" t="s">
        <v>1983</v>
      </c>
      <c r="O7678" s="47" t="s">
        <v>410</v>
      </c>
      <c r="P7678" s="14" t="s">
        <v>46</v>
      </c>
      <c r="Q7678" s="14">
        <v>0.04</v>
      </c>
      <c r="R7678" s="143" t="s">
        <v>1984</v>
      </c>
      <c r="S7678" s="47"/>
      <c r="T7678" s="6">
        <v>-0.3</v>
      </c>
      <c r="U7678" s="6"/>
      <c r="V7678" s="6">
        <v>0</v>
      </c>
      <c r="W7678" s="6">
        <f t="shared" si="1184"/>
        <v>-0.3</v>
      </c>
      <c r="X7678" s="6">
        <f t="shared" si="1188"/>
        <v>0</v>
      </c>
      <c r="Y7678" s="13">
        <f t="shared" si="1181"/>
        <v>0</v>
      </c>
      <c r="Z7678" s="14">
        <v>0</v>
      </c>
      <c r="AA7678" s="6">
        <v>0</v>
      </c>
      <c r="AB7678" s="4">
        <f t="shared" si="1182"/>
        <v>0</v>
      </c>
      <c r="AC7678" s="6">
        <f t="shared" ref="AC7678:AC7741" si="1189">IF(P7678="返现",X7678*Q7678,V7678-X7678)</f>
        <v>0</v>
      </c>
      <c r="AD7678" s="6">
        <f t="shared" si="1185"/>
        <v>0</v>
      </c>
      <c r="AE7678" s="14">
        <f>VLOOKUP(I7678,[2]媒体政策预估表!A:N,MATCH(O7678,[2]媒体政策预估表!$A$2:$M$2,0),0)</f>
        <v>7.0000000000000007E-2</v>
      </c>
      <c r="AF7678" s="6">
        <f t="shared" si="1187"/>
        <v>0</v>
      </c>
      <c r="AG7678" s="14">
        <v>0</v>
      </c>
      <c r="AH7678" s="64">
        <f t="shared" si="1186"/>
        <v>0</v>
      </c>
      <c r="AJ7678" s="126" t="e">
        <v>#N/A</v>
      </c>
      <c r="AK7678" s="80">
        <f t="shared" si="1183"/>
        <v>0</v>
      </c>
      <c r="AL7678" s="85"/>
      <c r="AM7678" s="85"/>
    </row>
    <row r="7679" spans="1:39" s="86" customFormat="1" ht="13.25" hidden="1" customHeight="1" x14ac:dyDescent="0.3">
      <c r="A7679" s="89" t="s">
        <v>3978</v>
      </c>
      <c r="B7679" s="86" t="s">
        <v>35</v>
      </c>
      <c r="C7679" s="86" t="s">
        <v>164</v>
      </c>
      <c r="D7679" s="86" t="s">
        <v>174</v>
      </c>
      <c r="E7679" s="86" t="s">
        <v>1687</v>
      </c>
      <c r="F7679" s="86" t="s">
        <v>1687</v>
      </c>
      <c r="G7679" s="86" t="s">
        <v>1687</v>
      </c>
      <c r="H7679" s="143">
        <v>360</v>
      </c>
      <c r="I7679" s="86" t="s">
        <v>1060</v>
      </c>
      <c r="J7679" s="47" t="s">
        <v>3325</v>
      </c>
      <c r="K7679" s="47" t="s">
        <v>3767</v>
      </c>
      <c r="L7679" s="47" t="s">
        <v>35</v>
      </c>
      <c r="M7679" s="86" t="s">
        <v>1689</v>
      </c>
      <c r="O7679" s="47" t="s">
        <v>410</v>
      </c>
      <c r="P7679" s="14" t="s">
        <v>46</v>
      </c>
      <c r="Q7679" s="14">
        <v>0.02</v>
      </c>
      <c r="R7679" s="143" t="s">
        <v>1691</v>
      </c>
      <c r="S7679" s="47"/>
      <c r="T7679" s="6">
        <v>517.75000000003342</v>
      </c>
      <c r="U7679" s="6"/>
      <c r="V7679" s="6">
        <v>0</v>
      </c>
      <c r="W7679" s="6">
        <f t="shared" si="1184"/>
        <v>517.75000000003342</v>
      </c>
      <c r="X7679" s="6">
        <f t="shared" si="1188"/>
        <v>0</v>
      </c>
      <c r="Y7679" s="13">
        <f t="shared" si="1181"/>
        <v>0</v>
      </c>
      <c r="Z7679" s="14">
        <v>0</v>
      </c>
      <c r="AA7679" s="6">
        <v>0</v>
      </c>
      <c r="AB7679" s="4">
        <f t="shared" si="1182"/>
        <v>0</v>
      </c>
      <c r="AC7679" s="6">
        <f t="shared" si="1189"/>
        <v>0</v>
      </c>
      <c r="AD7679" s="6">
        <f t="shared" si="1185"/>
        <v>0</v>
      </c>
      <c r="AE7679" s="14">
        <f>VLOOKUP(I7679,[2]媒体政策预估表!A:N,MATCH(O7679,[2]媒体政策预估表!$A$2:$M$2,0),0)</f>
        <v>7.0000000000000007E-2</v>
      </c>
      <c r="AF7679" s="6">
        <f t="shared" si="1187"/>
        <v>0</v>
      </c>
      <c r="AG7679" s="14">
        <v>0</v>
      </c>
      <c r="AH7679" s="64">
        <f t="shared" si="1186"/>
        <v>0</v>
      </c>
      <c r="AJ7679" s="126" t="e">
        <v>#N/A</v>
      </c>
      <c r="AK7679" s="80">
        <f t="shared" si="1183"/>
        <v>0</v>
      </c>
      <c r="AL7679" s="85"/>
      <c r="AM7679" s="85"/>
    </row>
    <row r="7680" spans="1:39" s="86" customFormat="1" ht="13.25" hidden="1" customHeight="1" x14ac:dyDescent="0.3">
      <c r="A7680" s="89" t="s">
        <v>3978</v>
      </c>
      <c r="B7680" s="86" t="s">
        <v>35</v>
      </c>
      <c r="C7680" s="86" t="s">
        <v>164</v>
      </c>
      <c r="D7680" s="86" t="s">
        <v>174</v>
      </c>
      <c r="E7680" s="86" t="s">
        <v>1985</v>
      </c>
      <c r="F7680" s="86" t="s">
        <v>1985</v>
      </c>
      <c r="G7680" s="86" t="s">
        <v>1985</v>
      </c>
      <c r="H7680" s="143">
        <v>360</v>
      </c>
      <c r="I7680" s="86" t="s">
        <v>1060</v>
      </c>
      <c r="J7680" s="47" t="s">
        <v>3325</v>
      </c>
      <c r="K7680" s="47" t="s">
        <v>3767</v>
      </c>
      <c r="L7680" s="47" t="s">
        <v>35</v>
      </c>
      <c r="M7680" s="86" t="s">
        <v>1985</v>
      </c>
      <c r="O7680" s="47" t="s">
        <v>410</v>
      </c>
      <c r="P7680" s="14" t="s">
        <v>41</v>
      </c>
      <c r="Q7680" s="14">
        <v>0</v>
      </c>
      <c r="R7680" s="143" t="s">
        <v>1986</v>
      </c>
      <c r="S7680" s="47"/>
      <c r="T7680" s="6">
        <v>0.89999999999781721</v>
      </c>
      <c r="U7680" s="6"/>
      <c r="V7680" s="6">
        <v>0</v>
      </c>
      <c r="W7680" s="6">
        <f t="shared" si="1184"/>
        <v>0.89999999999781721</v>
      </c>
      <c r="X7680" s="6">
        <f t="shared" si="1188"/>
        <v>0</v>
      </c>
      <c r="Y7680" s="13">
        <f t="shared" si="1181"/>
        <v>0</v>
      </c>
      <c r="Z7680" s="14">
        <v>0</v>
      </c>
      <c r="AA7680" s="6">
        <v>0</v>
      </c>
      <c r="AB7680" s="4">
        <f t="shared" si="1182"/>
        <v>0</v>
      </c>
      <c r="AC7680" s="6">
        <f t="shared" si="1189"/>
        <v>0</v>
      </c>
      <c r="AD7680" s="6">
        <f t="shared" si="1185"/>
        <v>0</v>
      </c>
      <c r="AE7680" s="14">
        <f>VLOOKUP(I7680,[2]媒体政策预估表!A:N,MATCH(O7680,[2]媒体政策预估表!$A$2:$M$2,0),0)</f>
        <v>7.0000000000000007E-2</v>
      </c>
      <c r="AF7680" s="6">
        <f t="shared" si="1187"/>
        <v>0</v>
      </c>
      <c r="AG7680" s="14">
        <v>0</v>
      </c>
      <c r="AH7680" s="64">
        <f t="shared" si="1186"/>
        <v>0</v>
      </c>
      <c r="AJ7680" s="126" t="e">
        <v>#N/A</v>
      </c>
      <c r="AK7680" s="80">
        <f t="shared" si="1183"/>
        <v>0</v>
      </c>
      <c r="AL7680" s="85"/>
      <c r="AM7680" s="85"/>
    </row>
    <row r="7681" spans="1:39" s="86" customFormat="1" ht="13.25" hidden="1" customHeight="1" x14ac:dyDescent="0.3">
      <c r="A7681" s="89" t="s">
        <v>3978</v>
      </c>
      <c r="B7681" s="86" t="s">
        <v>35</v>
      </c>
      <c r="C7681" s="86" t="s">
        <v>164</v>
      </c>
      <c r="D7681" s="86" t="s">
        <v>174</v>
      </c>
      <c r="E7681" s="86" t="s">
        <v>1989</v>
      </c>
      <c r="F7681" s="86" t="s">
        <v>1989</v>
      </c>
      <c r="G7681" s="86" t="s">
        <v>1989</v>
      </c>
      <c r="H7681" s="143">
        <v>360</v>
      </c>
      <c r="I7681" s="86" t="s">
        <v>1060</v>
      </c>
      <c r="J7681" s="47" t="s">
        <v>3325</v>
      </c>
      <c r="K7681" s="47" t="s">
        <v>3767</v>
      </c>
      <c r="L7681" s="47" t="s">
        <v>35</v>
      </c>
      <c r="M7681" s="86" t="s">
        <v>1990</v>
      </c>
      <c r="O7681" s="47" t="s">
        <v>410</v>
      </c>
      <c r="P7681" s="14" t="s">
        <v>46</v>
      </c>
      <c r="Q7681" s="14">
        <v>0.02</v>
      </c>
      <c r="R7681" s="143" t="s">
        <v>1991</v>
      </c>
      <c r="S7681" s="47"/>
      <c r="T7681" s="6">
        <v>-0.8999999999888928</v>
      </c>
      <c r="U7681" s="6"/>
      <c r="V7681" s="6">
        <v>0</v>
      </c>
      <c r="W7681" s="6">
        <f t="shared" si="1184"/>
        <v>-0.8999999999888928</v>
      </c>
      <c r="X7681" s="6">
        <f t="shared" si="1188"/>
        <v>0</v>
      </c>
      <c r="Y7681" s="13">
        <f t="shared" si="1181"/>
        <v>0</v>
      </c>
      <c r="Z7681" s="14">
        <v>0</v>
      </c>
      <c r="AA7681" s="6">
        <v>0</v>
      </c>
      <c r="AB7681" s="4">
        <f t="shared" si="1182"/>
        <v>0</v>
      </c>
      <c r="AC7681" s="6">
        <f t="shared" si="1189"/>
        <v>0</v>
      </c>
      <c r="AD7681" s="6">
        <f t="shared" si="1185"/>
        <v>0</v>
      </c>
      <c r="AE7681" s="14">
        <f>VLOOKUP(I7681,[2]媒体政策预估表!A:N,MATCH(O7681,[2]媒体政策预估表!$A$2:$M$2,0),0)</f>
        <v>7.0000000000000007E-2</v>
      </c>
      <c r="AF7681" s="6">
        <f t="shared" si="1187"/>
        <v>0</v>
      </c>
      <c r="AG7681" s="14">
        <v>0</v>
      </c>
      <c r="AH7681" s="64">
        <f t="shared" si="1186"/>
        <v>0</v>
      </c>
      <c r="AJ7681" s="126" t="e">
        <v>#N/A</v>
      </c>
      <c r="AK7681" s="80">
        <f t="shared" si="1183"/>
        <v>0</v>
      </c>
      <c r="AL7681" s="85"/>
      <c r="AM7681" s="85"/>
    </row>
    <row r="7682" spans="1:39" s="86" customFormat="1" ht="13.25" hidden="1" customHeight="1" x14ac:dyDescent="0.3">
      <c r="A7682" s="89" t="s">
        <v>3978</v>
      </c>
      <c r="B7682" s="86" t="s">
        <v>35</v>
      </c>
      <c r="C7682" s="86" t="s">
        <v>164</v>
      </c>
      <c r="D7682" s="86" t="s">
        <v>174</v>
      </c>
      <c r="E7682" s="86" t="s">
        <v>1992</v>
      </c>
      <c r="F7682" s="86" t="s">
        <v>1992</v>
      </c>
      <c r="G7682" s="86" t="s">
        <v>1992</v>
      </c>
      <c r="H7682" s="143">
        <v>360</v>
      </c>
      <c r="I7682" s="86" t="s">
        <v>1060</v>
      </c>
      <c r="J7682" s="47" t="s">
        <v>3325</v>
      </c>
      <c r="K7682" s="47" t="s">
        <v>3767</v>
      </c>
      <c r="L7682" s="47" t="s">
        <v>35</v>
      </c>
      <c r="M7682" s="86" t="s">
        <v>1992</v>
      </c>
      <c r="O7682" s="47" t="s">
        <v>410</v>
      </c>
      <c r="P7682" s="14" t="s">
        <v>41</v>
      </c>
      <c r="Q7682" s="14">
        <v>0</v>
      </c>
      <c r="R7682" s="143" t="s">
        <v>1993</v>
      </c>
      <c r="S7682" s="47"/>
      <c r="T7682" s="6">
        <v>-1</v>
      </c>
      <c r="U7682" s="6"/>
      <c r="V7682" s="6">
        <v>0</v>
      </c>
      <c r="W7682" s="6">
        <f t="shared" si="1184"/>
        <v>-1</v>
      </c>
      <c r="X7682" s="6">
        <f t="shared" si="1188"/>
        <v>0</v>
      </c>
      <c r="Y7682" s="13">
        <f t="shared" si="1181"/>
        <v>0</v>
      </c>
      <c r="Z7682" s="14">
        <v>0</v>
      </c>
      <c r="AA7682" s="6">
        <v>0</v>
      </c>
      <c r="AB7682" s="4"/>
      <c r="AC7682" s="6">
        <f t="shared" si="1189"/>
        <v>0</v>
      </c>
      <c r="AD7682" s="6">
        <f t="shared" si="1185"/>
        <v>0</v>
      </c>
      <c r="AE7682" s="14">
        <f>VLOOKUP(I7682,[2]媒体政策预估表!A:N,MATCH(O7682,[2]媒体政策预估表!$A$2:$M$2,0),0)</f>
        <v>7.0000000000000007E-2</v>
      </c>
      <c r="AF7682" s="6">
        <f t="shared" si="1187"/>
        <v>0</v>
      </c>
      <c r="AG7682" s="14">
        <v>0</v>
      </c>
      <c r="AH7682" s="64">
        <f t="shared" si="1186"/>
        <v>0</v>
      </c>
      <c r="AJ7682" s="126">
        <v>81</v>
      </c>
      <c r="AK7682" s="80">
        <f t="shared" si="1183"/>
        <v>0</v>
      </c>
      <c r="AL7682" s="85"/>
      <c r="AM7682" s="85"/>
    </row>
    <row r="7683" spans="1:39" s="86" customFormat="1" ht="13.25" hidden="1" customHeight="1" x14ac:dyDescent="0.3">
      <c r="A7683" s="89" t="s">
        <v>3805</v>
      </c>
      <c r="B7683" s="86" t="s">
        <v>35</v>
      </c>
      <c r="C7683" s="86" t="s">
        <v>164</v>
      </c>
      <c r="D7683" s="86" t="s">
        <v>174</v>
      </c>
      <c r="E7683" s="86" t="s">
        <v>1994</v>
      </c>
      <c r="F7683" s="86" t="s">
        <v>1994</v>
      </c>
      <c r="G7683" s="86" t="s">
        <v>1994</v>
      </c>
      <c r="H7683" s="143">
        <v>360</v>
      </c>
      <c r="I7683" s="86" t="s">
        <v>1060</v>
      </c>
      <c r="J7683" s="47" t="s">
        <v>3325</v>
      </c>
      <c r="K7683" s="47" t="s">
        <v>3767</v>
      </c>
      <c r="L7683" s="47" t="s">
        <v>35</v>
      </c>
      <c r="M7683" s="86" t="s">
        <v>1994</v>
      </c>
      <c r="O7683" s="47" t="s">
        <v>410</v>
      </c>
      <c r="P7683" s="14" t="s">
        <v>46</v>
      </c>
      <c r="Q7683" s="14">
        <v>0.03</v>
      </c>
      <c r="R7683" s="143" t="s">
        <v>1995</v>
      </c>
      <c r="S7683" s="47"/>
      <c r="T7683" s="6">
        <v>-1.26</v>
      </c>
      <c r="U7683" s="6"/>
      <c r="V7683" s="6">
        <v>0</v>
      </c>
      <c r="W7683" s="6">
        <f t="shared" si="1184"/>
        <v>-1.26</v>
      </c>
      <c r="X7683" s="6">
        <f t="shared" si="1188"/>
        <v>0</v>
      </c>
      <c r="Y7683" s="13">
        <f t="shared" ref="Y7683:Y7746" si="1190">IF(X7683-AD7683&lt;=0,0,IF(P7683="返现",MAX(X7683-AC7683-AD7683,0),MAX(X7683-AD7683)))</f>
        <v>0</v>
      </c>
      <c r="Z7683" s="14">
        <v>0</v>
      </c>
      <c r="AA7683" s="6">
        <v>0</v>
      </c>
      <c r="AB7683" s="4">
        <f t="shared" ref="AB7683:AB7746" si="1191">X7683+AA7683</f>
        <v>0</v>
      </c>
      <c r="AC7683" s="6">
        <f t="shared" si="1189"/>
        <v>0</v>
      </c>
      <c r="AD7683" s="6">
        <f t="shared" si="1185"/>
        <v>0</v>
      </c>
      <c r="AE7683" s="14">
        <f>VLOOKUP(I7683,[2]媒体政策预估表!A:N,MATCH(O7683,[2]媒体政策预估表!$A$2:$M$2,0),0)</f>
        <v>7.0000000000000007E-2</v>
      </c>
      <c r="AF7683" s="6">
        <f t="shared" si="1187"/>
        <v>0</v>
      </c>
      <c r="AG7683" s="14">
        <v>0</v>
      </c>
      <c r="AH7683" s="64">
        <f t="shared" si="1186"/>
        <v>0</v>
      </c>
      <c r="AJ7683" s="126" t="e">
        <v>#N/A</v>
      </c>
      <c r="AK7683" s="80">
        <f t="shared" ref="AK7683:AK7746" si="1192">X7683+AA7683-AB7683</f>
        <v>0</v>
      </c>
      <c r="AL7683" s="85"/>
      <c r="AM7683" s="85"/>
    </row>
    <row r="7684" spans="1:39" s="86" customFormat="1" ht="13.25" hidden="1" customHeight="1" x14ac:dyDescent="0.3">
      <c r="A7684" s="89" t="s">
        <v>3978</v>
      </c>
      <c r="B7684" s="86" t="s">
        <v>35</v>
      </c>
      <c r="C7684" s="86" t="s">
        <v>164</v>
      </c>
      <c r="D7684" s="86" t="s">
        <v>174</v>
      </c>
      <c r="E7684" s="86" t="s">
        <v>1996</v>
      </c>
      <c r="F7684" s="86" t="s">
        <v>1996</v>
      </c>
      <c r="G7684" s="86" t="s">
        <v>1996</v>
      </c>
      <c r="H7684" s="144">
        <v>360</v>
      </c>
      <c r="I7684" s="86" t="s">
        <v>1060</v>
      </c>
      <c r="J7684" s="47" t="s">
        <v>3325</v>
      </c>
      <c r="K7684" s="47" t="s">
        <v>3767</v>
      </c>
      <c r="L7684" s="47" t="s">
        <v>35</v>
      </c>
      <c r="M7684" s="86" t="s">
        <v>1997</v>
      </c>
      <c r="O7684" s="47" t="s">
        <v>410</v>
      </c>
      <c r="P7684" s="14" t="s">
        <v>46</v>
      </c>
      <c r="Q7684" s="14">
        <v>0.02</v>
      </c>
      <c r="R7684" s="143" t="s">
        <v>1998</v>
      </c>
      <c r="S7684" s="47"/>
      <c r="T7684" s="6">
        <v>16064.199999999997</v>
      </c>
      <c r="U7684" s="6"/>
      <c r="V7684" s="6">
        <v>16064.199999999997</v>
      </c>
      <c r="W7684" s="6">
        <f t="shared" si="1184"/>
        <v>0</v>
      </c>
      <c r="X7684" s="6">
        <f t="shared" si="1188"/>
        <v>15749.215686274507</v>
      </c>
      <c r="Y7684" s="13">
        <f t="shared" si="1190"/>
        <v>0</v>
      </c>
      <c r="Z7684" s="14">
        <v>0</v>
      </c>
      <c r="AA7684" s="6">
        <v>0</v>
      </c>
      <c r="AB7684" s="4">
        <f t="shared" si="1191"/>
        <v>15749.215686274507</v>
      </c>
      <c r="AC7684" s="6">
        <f t="shared" si="1189"/>
        <v>314.98431372549021</v>
      </c>
      <c r="AD7684" s="6">
        <f t="shared" si="1185"/>
        <v>16064.199999999997</v>
      </c>
      <c r="AE7684" s="14">
        <f>VLOOKUP(I7684,[2]媒体政策预估表!A:N,MATCH(O7684,[2]媒体政策预估表!$A$2:$M$2,0),0)</f>
        <v>7.0000000000000007E-2</v>
      </c>
      <c r="AF7684" s="6">
        <f t="shared" si="1187"/>
        <v>1124.4939999999999</v>
      </c>
      <c r="AG7684" s="14">
        <v>0</v>
      </c>
      <c r="AH7684" s="64">
        <f t="shared" si="1186"/>
        <v>16064.199999999997</v>
      </c>
      <c r="AJ7684" s="126" t="e">
        <v>#N/A</v>
      </c>
      <c r="AK7684" s="80">
        <f t="shared" si="1192"/>
        <v>0</v>
      </c>
      <c r="AL7684" s="85"/>
      <c r="AM7684" s="85"/>
    </row>
    <row r="7685" spans="1:39" s="86" customFormat="1" ht="13.25" hidden="1" customHeight="1" x14ac:dyDescent="0.3">
      <c r="A7685" s="89" t="s">
        <v>3978</v>
      </c>
      <c r="B7685" s="86" t="s">
        <v>35</v>
      </c>
      <c r="C7685" s="86" t="s">
        <v>164</v>
      </c>
      <c r="D7685" s="86" t="s">
        <v>174</v>
      </c>
      <c r="E7685" s="86" t="s">
        <v>2001</v>
      </c>
      <c r="F7685" s="86" t="s">
        <v>2001</v>
      </c>
      <c r="G7685" s="86" t="s">
        <v>2001</v>
      </c>
      <c r="H7685" s="143">
        <v>360</v>
      </c>
      <c r="I7685" s="86" t="s">
        <v>1060</v>
      </c>
      <c r="J7685" s="47" t="s">
        <v>3325</v>
      </c>
      <c r="K7685" s="47" t="s">
        <v>3767</v>
      </c>
      <c r="L7685" s="47" t="s">
        <v>35</v>
      </c>
      <c r="M7685" s="86" t="s">
        <v>2001</v>
      </c>
      <c r="O7685" s="47" t="s">
        <v>410</v>
      </c>
      <c r="P7685" s="14" t="s">
        <v>46</v>
      </c>
      <c r="Q7685" s="14">
        <v>0.02</v>
      </c>
      <c r="R7685" s="143" t="s">
        <v>2002</v>
      </c>
      <c r="S7685" s="47"/>
      <c r="T7685" s="6">
        <v>386</v>
      </c>
      <c r="U7685" s="6"/>
      <c r="V7685" s="6">
        <v>0</v>
      </c>
      <c r="W7685" s="6">
        <f t="shared" si="1184"/>
        <v>386</v>
      </c>
      <c r="X7685" s="6">
        <f t="shared" si="1188"/>
        <v>0</v>
      </c>
      <c r="Y7685" s="13">
        <f t="shared" si="1190"/>
        <v>0</v>
      </c>
      <c r="Z7685" s="14">
        <v>0</v>
      </c>
      <c r="AA7685" s="6">
        <v>0</v>
      </c>
      <c r="AB7685" s="4">
        <f t="shared" si="1191"/>
        <v>0</v>
      </c>
      <c r="AC7685" s="6">
        <f t="shared" si="1189"/>
        <v>0</v>
      </c>
      <c r="AD7685" s="6">
        <f t="shared" si="1185"/>
        <v>0</v>
      </c>
      <c r="AE7685" s="14">
        <f>VLOOKUP(I7685,[2]媒体政策预估表!A:N,MATCH(O7685,[2]媒体政策预估表!$A$2:$M$2,0),0)</f>
        <v>7.0000000000000007E-2</v>
      </c>
      <c r="AF7685" s="6">
        <f t="shared" si="1187"/>
        <v>0</v>
      </c>
      <c r="AG7685" s="14">
        <v>0</v>
      </c>
      <c r="AH7685" s="64">
        <f t="shared" si="1186"/>
        <v>0</v>
      </c>
      <c r="AJ7685" s="126" t="e">
        <v>#N/A</v>
      </c>
      <c r="AK7685" s="80">
        <f t="shared" si="1192"/>
        <v>0</v>
      </c>
      <c r="AL7685" s="85"/>
      <c r="AM7685" s="85"/>
    </row>
    <row r="7686" spans="1:39" s="86" customFormat="1" ht="13.25" hidden="1" customHeight="1" x14ac:dyDescent="0.3">
      <c r="A7686" s="89" t="s">
        <v>3978</v>
      </c>
      <c r="B7686" s="86" t="s">
        <v>35</v>
      </c>
      <c r="C7686" s="86" t="s">
        <v>164</v>
      </c>
      <c r="D7686" s="86" t="s">
        <v>174</v>
      </c>
      <c r="E7686" s="86" t="s">
        <v>2003</v>
      </c>
      <c r="F7686" s="86" t="s">
        <v>2003</v>
      </c>
      <c r="G7686" s="86" t="s">
        <v>2003</v>
      </c>
      <c r="H7686" s="143">
        <v>360</v>
      </c>
      <c r="I7686" s="86" t="s">
        <v>1060</v>
      </c>
      <c r="J7686" s="47" t="s">
        <v>3325</v>
      </c>
      <c r="K7686" s="47" t="s">
        <v>3767</v>
      </c>
      <c r="L7686" s="47" t="s">
        <v>35</v>
      </c>
      <c r="M7686" s="86" t="s">
        <v>2003</v>
      </c>
      <c r="O7686" s="47" t="s">
        <v>410</v>
      </c>
      <c r="P7686" s="14" t="s">
        <v>41</v>
      </c>
      <c r="Q7686" s="14">
        <v>0</v>
      </c>
      <c r="R7686" s="143" t="s">
        <v>2004</v>
      </c>
      <c r="S7686" s="47"/>
      <c r="T7686" s="6">
        <v>0.99999999998544808</v>
      </c>
      <c r="U7686" s="6"/>
      <c r="V7686" s="6">
        <v>0</v>
      </c>
      <c r="W7686" s="6">
        <f t="shared" si="1184"/>
        <v>0.99999999998544808</v>
      </c>
      <c r="X7686" s="6">
        <f t="shared" si="1188"/>
        <v>0</v>
      </c>
      <c r="Y7686" s="13">
        <f t="shared" si="1190"/>
        <v>0</v>
      </c>
      <c r="Z7686" s="14">
        <v>0</v>
      </c>
      <c r="AA7686" s="6">
        <v>0</v>
      </c>
      <c r="AB7686" s="4">
        <f t="shared" si="1191"/>
        <v>0</v>
      </c>
      <c r="AC7686" s="6">
        <f t="shared" si="1189"/>
        <v>0</v>
      </c>
      <c r="AD7686" s="6">
        <f t="shared" si="1185"/>
        <v>0</v>
      </c>
      <c r="AE7686" s="14">
        <f>VLOOKUP(I7686,[2]媒体政策预估表!A:N,MATCH(O7686,[2]媒体政策预估表!$A$2:$M$2,0),0)</f>
        <v>7.0000000000000007E-2</v>
      </c>
      <c r="AF7686" s="6">
        <f t="shared" si="1187"/>
        <v>0</v>
      </c>
      <c r="AG7686" s="14">
        <v>0</v>
      </c>
      <c r="AH7686" s="64">
        <f t="shared" si="1186"/>
        <v>0</v>
      </c>
      <c r="AJ7686" s="126" t="e">
        <v>#N/A</v>
      </c>
      <c r="AK7686" s="80">
        <f t="shared" si="1192"/>
        <v>0</v>
      </c>
      <c r="AL7686" s="85"/>
      <c r="AM7686" s="85"/>
    </row>
    <row r="7687" spans="1:39" s="86" customFormat="1" ht="13.25" hidden="1" customHeight="1" x14ac:dyDescent="0.3">
      <c r="A7687" s="89" t="s">
        <v>3978</v>
      </c>
      <c r="B7687" s="86" t="s">
        <v>35</v>
      </c>
      <c r="C7687" s="86" t="s">
        <v>164</v>
      </c>
      <c r="D7687" s="86" t="s">
        <v>174</v>
      </c>
      <c r="E7687" s="86" t="s">
        <v>2005</v>
      </c>
      <c r="F7687" s="86" t="s">
        <v>2005</v>
      </c>
      <c r="G7687" s="86" t="s">
        <v>2005</v>
      </c>
      <c r="H7687" s="143">
        <v>360</v>
      </c>
      <c r="I7687" s="86" t="s">
        <v>1060</v>
      </c>
      <c r="J7687" s="47" t="s">
        <v>3325</v>
      </c>
      <c r="K7687" s="47" t="s">
        <v>3767</v>
      </c>
      <c r="L7687" s="47" t="s">
        <v>35</v>
      </c>
      <c r="M7687" s="86" t="s">
        <v>2005</v>
      </c>
      <c r="O7687" s="47" t="s">
        <v>410</v>
      </c>
      <c r="P7687" s="14" t="s">
        <v>46</v>
      </c>
      <c r="Q7687" s="14">
        <v>0.03</v>
      </c>
      <c r="R7687" s="143" t="s">
        <v>2006</v>
      </c>
      <c r="S7687" s="47"/>
      <c r="T7687" s="6">
        <v>-1.3</v>
      </c>
      <c r="U7687" s="6"/>
      <c r="V7687" s="6">
        <v>0</v>
      </c>
      <c r="W7687" s="6">
        <f t="shared" si="1184"/>
        <v>-1.3</v>
      </c>
      <c r="X7687" s="6">
        <f t="shared" si="1188"/>
        <v>0</v>
      </c>
      <c r="Y7687" s="13">
        <f t="shared" si="1190"/>
        <v>0</v>
      </c>
      <c r="Z7687" s="14">
        <v>0</v>
      </c>
      <c r="AA7687" s="6">
        <v>0</v>
      </c>
      <c r="AB7687" s="4">
        <f t="shared" si="1191"/>
        <v>0</v>
      </c>
      <c r="AC7687" s="6">
        <f t="shared" si="1189"/>
        <v>0</v>
      </c>
      <c r="AD7687" s="6">
        <f t="shared" si="1185"/>
        <v>0</v>
      </c>
      <c r="AE7687" s="14">
        <f>VLOOKUP(I7687,[2]媒体政策预估表!A:N,MATCH(O7687,[2]媒体政策预估表!$A$2:$M$2,0),0)</f>
        <v>7.0000000000000007E-2</v>
      </c>
      <c r="AF7687" s="6">
        <f t="shared" si="1187"/>
        <v>0</v>
      </c>
      <c r="AG7687" s="14">
        <v>0</v>
      </c>
      <c r="AH7687" s="64">
        <f t="shared" si="1186"/>
        <v>0</v>
      </c>
      <c r="AJ7687" s="126" t="e">
        <v>#N/A</v>
      </c>
      <c r="AK7687" s="80">
        <f t="shared" si="1192"/>
        <v>0</v>
      </c>
      <c r="AL7687" s="85"/>
      <c r="AM7687" s="85"/>
    </row>
    <row r="7688" spans="1:39" s="86" customFormat="1" ht="13.25" hidden="1" customHeight="1" x14ac:dyDescent="0.3">
      <c r="A7688" s="89" t="s">
        <v>3792</v>
      </c>
      <c r="B7688" s="86" t="s">
        <v>35</v>
      </c>
      <c r="C7688" s="86" t="s">
        <v>164</v>
      </c>
      <c r="D7688" s="86" t="s">
        <v>174</v>
      </c>
      <c r="E7688" s="86" t="s">
        <v>2009</v>
      </c>
      <c r="F7688" s="86" t="s">
        <v>2009</v>
      </c>
      <c r="G7688" s="86" t="s">
        <v>2009</v>
      </c>
      <c r="H7688" s="143">
        <v>360</v>
      </c>
      <c r="I7688" s="86" t="s">
        <v>1060</v>
      </c>
      <c r="J7688" s="47" t="s">
        <v>3325</v>
      </c>
      <c r="K7688" s="47" t="s">
        <v>3767</v>
      </c>
      <c r="L7688" s="47" t="s">
        <v>35</v>
      </c>
      <c r="M7688" s="86" t="s">
        <v>2010</v>
      </c>
      <c r="O7688" s="47" t="s">
        <v>410</v>
      </c>
      <c r="P7688" s="14" t="s">
        <v>46</v>
      </c>
      <c r="Q7688" s="14">
        <v>0.03</v>
      </c>
      <c r="R7688" s="143" t="s">
        <v>2011</v>
      </c>
      <c r="S7688" s="47"/>
      <c r="T7688" s="6">
        <v>234.00000000000182</v>
      </c>
      <c r="U7688" s="6"/>
      <c r="V7688" s="6">
        <v>0</v>
      </c>
      <c r="W7688" s="6">
        <f t="shared" si="1184"/>
        <v>234.00000000000182</v>
      </c>
      <c r="X7688" s="6">
        <f t="shared" si="1188"/>
        <v>0</v>
      </c>
      <c r="Y7688" s="13">
        <f t="shared" si="1190"/>
        <v>0</v>
      </c>
      <c r="Z7688" s="14">
        <v>0</v>
      </c>
      <c r="AA7688" s="6">
        <v>0</v>
      </c>
      <c r="AB7688" s="4"/>
      <c r="AC7688" s="6">
        <f t="shared" si="1189"/>
        <v>0</v>
      </c>
      <c r="AD7688" s="6">
        <f t="shared" si="1185"/>
        <v>0</v>
      </c>
      <c r="AE7688" s="14">
        <f>VLOOKUP(I7688,[2]媒体政策预估表!A:N,MATCH(O7688,[2]媒体政策预估表!$A$2:$M$2,0),0)</f>
        <v>7.0000000000000007E-2</v>
      </c>
      <c r="AF7688" s="6">
        <f t="shared" si="1187"/>
        <v>0</v>
      </c>
      <c r="AG7688" s="14">
        <v>0</v>
      </c>
      <c r="AH7688" s="64">
        <f t="shared" si="1186"/>
        <v>0</v>
      </c>
      <c r="AJ7688" s="126">
        <v>110</v>
      </c>
      <c r="AK7688" s="80">
        <f t="shared" si="1192"/>
        <v>0</v>
      </c>
      <c r="AL7688" s="85"/>
      <c r="AM7688" s="85"/>
    </row>
    <row r="7689" spans="1:39" s="86" customFormat="1" ht="13.25" hidden="1" customHeight="1" x14ac:dyDescent="0.3">
      <c r="A7689" s="89" t="s">
        <v>3978</v>
      </c>
      <c r="B7689" s="86" t="s">
        <v>35</v>
      </c>
      <c r="C7689" s="86" t="s">
        <v>164</v>
      </c>
      <c r="D7689" s="86" t="s">
        <v>174</v>
      </c>
      <c r="E7689" s="86" t="s">
        <v>2012</v>
      </c>
      <c r="F7689" s="86" t="s">
        <v>2012</v>
      </c>
      <c r="G7689" s="86" t="s">
        <v>2012</v>
      </c>
      <c r="H7689" s="143">
        <v>360</v>
      </c>
      <c r="I7689" s="86" t="s">
        <v>1060</v>
      </c>
      <c r="J7689" s="47" t="s">
        <v>3325</v>
      </c>
      <c r="K7689" s="47" t="s">
        <v>3767</v>
      </c>
      <c r="L7689" s="47" t="s">
        <v>35</v>
      </c>
      <c r="M7689" s="86" t="s">
        <v>2013</v>
      </c>
      <c r="O7689" s="47" t="s">
        <v>410</v>
      </c>
      <c r="P7689" s="14" t="s">
        <v>46</v>
      </c>
      <c r="Q7689" s="14">
        <v>0.02</v>
      </c>
      <c r="R7689" s="143" t="s">
        <v>2014</v>
      </c>
      <c r="S7689" s="47"/>
      <c r="T7689" s="6">
        <v>64863.840000000026</v>
      </c>
      <c r="U7689" s="6"/>
      <c r="V7689" s="6">
        <v>0</v>
      </c>
      <c r="W7689" s="6">
        <f t="shared" si="1184"/>
        <v>64863.840000000026</v>
      </c>
      <c r="X7689" s="6">
        <f t="shared" si="1188"/>
        <v>0</v>
      </c>
      <c r="Y7689" s="13">
        <f t="shared" si="1190"/>
        <v>0</v>
      </c>
      <c r="Z7689" s="14">
        <v>0</v>
      </c>
      <c r="AA7689" s="6">
        <v>0</v>
      </c>
      <c r="AB7689" s="4">
        <f t="shared" si="1191"/>
        <v>0</v>
      </c>
      <c r="AC7689" s="6">
        <f t="shared" si="1189"/>
        <v>0</v>
      </c>
      <c r="AD7689" s="6">
        <f t="shared" si="1185"/>
        <v>0</v>
      </c>
      <c r="AE7689" s="14">
        <f>VLOOKUP(I7689,[2]媒体政策预估表!A:N,MATCH(O7689,[2]媒体政策预估表!$A$2:$M$2,0),0)</f>
        <v>7.0000000000000007E-2</v>
      </c>
      <c r="AF7689" s="6">
        <f t="shared" si="1187"/>
        <v>0</v>
      </c>
      <c r="AG7689" s="14">
        <v>0</v>
      </c>
      <c r="AH7689" s="64">
        <f t="shared" si="1186"/>
        <v>0</v>
      </c>
      <c r="AJ7689" s="126" t="e">
        <v>#N/A</v>
      </c>
      <c r="AK7689" s="80">
        <f t="shared" si="1192"/>
        <v>0</v>
      </c>
      <c r="AL7689" s="85"/>
      <c r="AM7689" s="85"/>
    </row>
    <row r="7690" spans="1:39" s="86" customFormat="1" ht="13.25" hidden="1" customHeight="1" x14ac:dyDescent="0.3">
      <c r="A7690" s="89" t="s">
        <v>3978</v>
      </c>
      <c r="B7690" s="86" t="s">
        <v>35</v>
      </c>
      <c r="C7690" s="86" t="s">
        <v>164</v>
      </c>
      <c r="D7690" s="86" t="s">
        <v>174</v>
      </c>
      <c r="E7690" s="86" t="s">
        <v>2015</v>
      </c>
      <c r="F7690" s="86" t="s">
        <v>2015</v>
      </c>
      <c r="G7690" s="86" t="s">
        <v>2015</v>
      </c>
      <c r="H7690" s="143">
        <v>360</v>
      </c>
      <c r="I7690" s="86" t="s">
        <v>1060</v>
      </c>
      <c r="J7690" s="47" t="s">
        <v>3325</v>
      </c>
      <c r="K7690" s="47" t="s">
        <v>3767</v>
      </c>
      <c r="L7690" s="47" t="s">
        <v>35</v>
      </c>
      <c r="M7690" s="86" t="s">
        <v>2015</v>
      </c>
      <c r="O7690" s="47" t="s">
        <v>410</v>
      </c>
      <c r="P7690" s="14" t="s">
        <v>46</v>
      </c>
      <c r="Q7690" s="14">
        <v>0.04</v>
      </c>
      <c r="R7690" s="143" t="s">
        <v>2016</v>
      </c>
      <c r="S7690" s="47"/>
      <c r="T7690" s="6">
        <v>-1.4</v>
      </c>
      <c r="U7690" s="6"/>
      <c r="V7690" s="6">
        <v>0</v>
      </c>
      <c r="W7690" s="6">
        <f t="shared" si="1184"/>
        <v>-1.4</v>
      </c>
      <c r="X7690" s="6">
        <f t="shared" si="1188"/>
        <v>0</v>
      </c>
      <c r="Y7690" s="13">
        <f t="shared" si="1190"/>
        <v>0</v>
      </c>
      <c r="Z7690" s="14">
        <v>0</v>
      </c>
      <c r="AA7690" s="6">
        <v>0</v>
      </c>
      <c r="AB7690" s="4"/>
      <c r="AC7690" s="6">
        <f t="shared" si="1189"/>
        <v>0</v>
      </c>
      <c r="AD7690" s="6">
        <f t="shared" si="1185"/>
        <v>0</v>
      </c>
      <c r="AE7690" s="14">
        <f>VLOOKUP(I7690,[2]媒体政策预估表!A:N,MATCH(O7690,[2]媒体政策预估表!$A$2:$M$2,0),0)</f>
        <v>7.0000000000000007E-2</v>
      </c>
      <c r="AF7690" s="6">
        <f t="shared" si="1187"/>
        <v>0</v>
      </c>
      <c r="AG7690" s="14">
        <v>0</v>
      </c>
      <c r="AH7690" s="64">
        <f t="shared" si="1186"/>
        <v>0</v>
      </c>
      <c r="AJ7690" s="126">
        <v>17</v>
      </c>
      <c r="AK7690" s="80">
        <f t="shared" si="1192"/>
        <v>0</v>
      </c>
      <c r="AL7690" s="85"/>
      <c r="AM7690" s="85"/>
    </row>
    <row r="7691" spans="1:39" s="86" customFormat="1" ht="13.25" hidden="1" customHeight="1" x14ac:dyDescent="0.3">
      <c r="A7691" s="89" t="s">
        <v>3978</v>
      </c>
      <c r="B7691" s="86" t="s">
        <v>35</v>
      </c>
      <c r="C7691" s="86" t="s">
        <v>164</v>
      </c>
      <c r="D7691" s="86" t="s">
        <v>181</v>
      </c>
      <c r="E7691" s="86" t="s">
        <v>182</v>
      </c>
      <c r="F7691" s="86" t="s">
        <v>183</v>
      </c>
      <c r="G7691" s="86" t="s">
        <v>182</v>
      </c>
      <c r="H7691" s="144">
        <v>360</v>
      </c>
      <c r="I7691" s="86" t="s">
        <v>1060</v>
      </c>
      <c r="J7691" s="47" t="s">
        <v>3325</v>
      </c>
      <c r="K7691" s="47" t="s">
        <v>3767</v>
      </c>
      <c r="L7691" s="47" t="s">
        <v>35</v>
      </c>
      <c r="M7691" s="86" t="s">
        <v>2017</v>
      </c>
      <c r="O7691" s="47" t="s">
        <v>45</v>
      </c>
      <c r="P7691" s="14" t="s">
        <v>41</v>
      </c>
      <c r="Q7691" s="14">
        <v>0</v>
      </c>
      <c r="R7691" s="143" t="s">
        <v>2018</v>
      </c>
      <c r="S7691" s="47" t="s">
        <v>4115</v>
      </c>
      <c r="T7691" s="6">
        <v>-619057.95222000009</v>
      </c>
      <c r="U7691" s="6"/>
      <c r="V7691" s="6">
        <v>0</v>
      </c>
      <c r="W7691" s="6">
        <f t="shared" si="1184"/>
        <v>-619057.95222000009</v>
      </c>
      <c r="X7691" s="6">
        <v>497.91</v>
      </c>
      <c r="Y7691" s="13">
        <f t="shared" si="1190"/>
        <v>497.91</v>
      </c>
      <c r="Z7691" s="14">
        <v>0</v>
      </c>
      <c r="AA7691" s="6">
        <v>0</v>
      </c>
      <c r="AB7691" s="4">
        <f t="shared" si="1191"/>
        <v>497.91</v>
      </c>
      <c r="AC7691" s="6">
        <f t="shared" si="1189"/>
        <v>-497.91</v>
      </c>
      <c r="AD7691" s="6">
        <f t="shared" si="1185"/>
        <v>0</v>
      </c>
      <c r="AE7691" s="14">
        <f>VLOOKUP(I7691,[2]媒体政策预估表!A:N,MATCH(O7691,[2]媒体政策预估表!$A$2:$M$2,0),0)</f>
        <v>0.1</v>
      </c>
      <c r="AF7691" s="6">
        <f t="shared" si="1187"/>
        <v>0</v>
      </c>
      <c r="AG7691" s="14">
        <v>0</v>
      </c>
      <c r="AH7691" s="64">
        <f t="shared" si="1186"/>
        <v>0</v>
      </c>
      <c r="AJ7691" s="126" t="e">
        <v>#N/A</v>
      </c>
      <c r="AK7691" s="80">
        <f t="shared" si="1192"/>
        <v>0</v>
      </c>
      <c r="AL7691" s="85"/>
      <c r="AM7691" s="85"/>
    </row>
    <row r="7692" spans="1:39" s="86" customFormat="1" ht="13.25" hidden="1" customHeight="1" x14ac:dyDescent="0.3">
      <c r="A7692" s="89" t="s">
        <v>3978</v>
      </c>
      <c r="B7692" s="86" t="s">
        <v>35</v>
      </c>
      <c r="C7692" s="86" t="s">
        <v>164</v>
      </c>
      <c r="D7692" s="86" t="s">
        <v>181</v>
      </c>
      <c r="E7692" s="86" t="s">
        <v>182</v>
      </c>
      <c r="F7692" s="86" t="s">
        <v>183</v>
      </c>
      <c r="G7692" s="86" t="s">
        <v>182</v>
      </c>
      <c r="H7692" s="143">
        <v>360</v>
      </c>
      <c r="I7692" s="86" t="s">
        <v>1060</v>
      </c>
      <c r="J7692" s="47" t="s">
        <v>3325</v>
      </c>
      <c r="K7692" s="47" t="s">
        <v>3767</v>
      </c>
      <c r="L7692" s="47" t="s">
        <v>35</v>
      </c>
      <c r="M7692" s="86" t="s">
        <v>2017</v>
      </c>
      <c r="O7692" s="47" t="s">
        <v>410</v>
      </c>
      <c r="P7692" s="14" t="s">
        <v>41</v>
      </c>
      <c r="Q7692" s="14">
        <v>0</v>
      </c>
      <c r="R7692" s="143" t="s">
        <v>2018</v>
      </c>
      <c r="S7692" s="47"/>
      <c r="T7692" s="6">
        <v>718898.98</v>
      </c>
      <c r="U7692" s="6"/>
      <c r="V7692" s="6">
        <v>0</v>
      </c>
      <c r="W7692" s="6">
        <f t="shared" si="1184"/>
        <v>718898.98</v>
      </c>
      <c r="X7692" s="6">
        <f t="shared" si="1188"/>
        <v>0</v>
      </c>
      <c r="Y7692" s="13">
        <f t="shared" si="1190"/>
        <v>0</v>
      </c>
      <c r="Z7692" s="14">
        <v>0.02</v>
      </c>
      <c r="AA7692" s="6">
        <f>X7692/(1-Z7692)*Z7692</f>
        <v>0</v>
      </c>
      <c r="AB7692" s="4">
        <f t="shared" si="1191"/>
        <v>0</v>
      </c>
      <c r="AC7692" s="6">
        <f t="shared" si="1189"/>
        <v>0</v>
      </c>
      <c r="AD7692" s="6">
        <f t="shared" si="1185"/>
        <v>0</v>
      </c>
      <c r="AE7692" s="14">
        <f>VLOOKUP(I7692,[2]媒体政策预估表!A:N,MATCH(O7692,[2]媒体政策预估表!$A$2:$M$2,0),0)</f>
        <v>7.0000000000000007E-2</v>
      </c>
      <c r="AF7692" s="6">
        <f t="shared" si="1187"/>
        <v>0</v>
      </c>
      <c r="AG7692" s="14">
        <v>0</v>
      </c>
      <c r="AH7692" s="64">
        <f t="shared" si="1186"/>
        <v>0</v>
      </c>
      <c r="AJ7692" s="126" t="e">
        <v>#N/A</v>
      </c>
      <c r="AK7692" s="80">
        <f t="shared" si="1192"/>
        <v>0</v>
      </c>
      <c r="AL7692" s="85"/>
      <c r="AM7692" s="85"/>
    </row>
    <row r="7693" spans="1:39" s="86" customFormat="1" ht="13.25" hidden="1" customHeight="1" x14ac:dyDescent="0.3">
      <c r="A7693" s="89" t="s">
        <v>3978</v>
      </c>
      <c r="B7693" s="86" t="s">
        <v>35</v>
      </c>
      <c r="C7693" s="86" t="s">
        <v>65</v>
      </c>
      <c r="D7693" s="86" t="s">
        <v>66</v>
      </c>
      <c r="E7693" s="86" t="s">
        <v>1877</v>
      </c>
      <c r="F7693" s="86" t="s">
        <v>1877</v>
      </c>
      <c r="G7693" s="86" t="s">
        <v>1877</v>
      </c>
      <c r="H7693" s="143">
        <v>360</v>
      </c>
      <c r="I7693" s="86" t="s">
        <v>1060</v>
      </c>
      <c r="J7693" s="47" t="s">
        <v>3325</v>
      </c>
      <c r="K7693" s="47" t="s">
        <v>3767</v>
      </c>
      <c r="L7693" s="47" t="s">
        <v>35</v>
      </c>
      <c r="M7693" s="86" t="s">
        <v>1877</v>
      </c>
      <c r="O7693" s="47" t="s">
        <v>410</v>
      </c>
      <c r="P7693" s="14" t="s">
        <v>46</v>
      </c>
      <c r="Q7693" s="14">
        <v>0.03</v>
      </c>
      <c r="R7693" s="143" t="s">
        <v>2019</v>
      </c>
      <c r="S7693" s="47"/>
      <c r="T7693" s="6">
        <v>0.99999999999965894</v>
      </c>
      <c r="U7693" s="6"/>
      <c r="V7693" s="6">
        <v>0</v>
      </c>
      <c r="W7693" s="6">
        <f t="shared" si="1184"/>
        <v>0.99999999999965894</v>
      </c>
      <c r="X7693" s="6">
        <f t="shared" si="1188"/>
        <v>0</v>
      </c>
      <c r="Y7693" s="13">
        <f t="shared" si="1190"/>
        <v>0</v>
      </c>
      <c r="Z7693" s="14">
        <v>0</v>
      </c>
      <c r="AA7693" s="6">
        <v>0</v>
      </c>
      <c r="AB7693" s="4">
        <f t="shared" si="1191"/>
        <v>0</v>
      </c>
      <c r="AC7693" s="6">
        <f t="shared" si="1189"/>
        <v>0</v>
      </c>
      <c r="AD7693" s="6">
        <f t="shared" si="1185"/>
        <v>0</v>
      </c>
      <c r="AE7693" s="14">
        <f>VLOOKUP(I7693,[2]媒体政策预估表!A:N,MATCH(O7693,[2]媒体政策预估表!$A$2:$M$2,0),0)</f>
        <v>7.0000000000000007E-2</v>
      </c>
      <c r="AF7693" s="6">
        <f t="shared" si="1187"/>
        <v>0</v>
      </c>
      <c r="AG7693" s="14">
        <v>0</v>
      </c>
      <c r="AH7693" s="64">
        <f t="shared" si="1186"/>
        <v>0</v>
      </c>
      <c r="AJ7693" s="126" t="e">
        <v>#N/A</v>
      </c>
      <c r="AK7693" s="80">
        <f t="shared" si="1192"/>
        <v>0</v>
      </c>
      <c r="AL7693" s="85"/>
      <c r="AM7693" s="85"/>
    </row>
    <row r="7694" spans="1:39" s="86" customFormat="1" ht="13.25" hidden="1" customHeight="1" x14ac:dyDescent="0.3">
      <c r="A7694" s="89" t="s">
        <v>3978</v>
      </c>
      <c r="B7694" s="86" t="s">
        <v>35</v>
      </c>
      <c r="C7694" s="86" t="s">
        <v>65</v>
      </c>
      <c r="D7694" s="86" t="s">
        <v>66</v>
      </c>
      <c r="E7694" s="86" t="s">
        <v>2020</v>
      </c>
      <c r="F7694" s="86" t="s">
        <v>2020</v>
      </c>
      <c r="G7694" s="86" t="s">
        <v>2020</v>
      </c>
      <c r="H7694" s="143">
        <v>360</v>
      </c>
      <c r="I7694" s="86" t="s">
        <v>1060</v>
      </c>
      <c r="J7694" s="47" t="s">
        <v>3325</v>
      </c>
      <c r="K7694" s="47" t="s">
        <v>3767</v>
      </c>
      <c r="L7694" s="47" t="s">
        <v>35</v>
      </c>
      <c r="M7694" s="86" t="s">
        <v>2020</v>
      </c>
      <c r="O7694" s="47" t="s">
        <v>410</v>
      </c>
      <c r="P7694" s="14" t="s">
        <v>46</v>
      </c>
      <c r="Q7694" s="14">
        <v>0.02</v>
      </c>
      <c r="R7694" s="143" t="s">
        <v>2021</v>
      </c>
      <c r="S7694" s="47"/>
      <c r="T7694" s="6">
        <v>485.58999999999651</v>
      </c>
      <c r="U7694" s="6"/>
      <c r="V7694" s="6">
        <v>0</v>
      </c>
      <c r="W7694" s="6">
        <f t="shared" si="1184"/>
        <v>485.58999999999651</v>
      </c>
      <c r="X7694" s="6">
        <f t="shared" si="1188"/>
        <v>0</v>
      </c>
      <c r="Y7694" s="13">
        <f t="shared" si="1190"/>
        <v>0</v>
      </c>
      <c r="Z7694" s="14">
        <v>0</v>
      </c>
      <c r="AA7694" s="6">
        <v>0</v>
      </c>
      <c r="AB7694" s="4">
        <f t="shared" si="1191"/>
        <v>0</v>
      </c>
      <c r="AC7694" s="6">
        <f t="shared" si="1189"/>
        <v>0</v>
      </c>
      <c r="AD7694" s="6">
        <f t="shared" si="1185"/>
        <v>0</v>
      </c>
      <c r="AE7694" s="14">
        <f>VLOOKUP(I7694,[2]媒体政策预估表!A:N,MATCH(O7694,[2]媒体政策预估表!$A$2:$M$2,0),0)</f>
        <v>7.0000000000000007E-2</v>
      </c>
      <c r="AF7694" s="6">
        <f t="shared" si="1187"/>
        <v>0</v>
      </c>
      <c r="AG7694" s="14">
        <v>0</v>
      </c>
      <c r="AH7694" s="64">
        <f t="shared" si="1186"/>
        <v>0</v>
      </c>
      <c r="AJ7694" s="126" t="e">
        <v>#N/A</v>
      </c>
      <c r="AK7694" s="80">
        <f t="shared" si="1192"/>
        <v>0</v>
      </c>
      <c r="AL7694" s="85"/>
      <c r="AM7694" s="85"/>
    </row>
    <row r="7695" spans="1:39" s="86" customFormat="1" ht="13.25" hidden="1" customHeight="1" x14ac:dyDescent="0.3">
      <c r="A7695" s="89" t="s">
        <v>3978</v>
      </c>
      <c r="B7695" s="86" t="s">
        <v>35</v>
      </c>
      <c r="C7695" s="86" t="s">
        <v>184</v>
      </c>
      <c r="D7695" s="86" t="s">
        <v>3849</v>
      </c>
      <c r="E7695" s="86" t="s">
        <v>1349</v>
      </c>
      <c r="F7695" s="86" t="s">
        <v>1349</v>
      </c>
      <c r="G7695" s="86" t="s">
        <v>1349</v>
      </c>
      <c r="H7695" s="143">
        <v>360</v>
      </c>
      <c r="I7695" s="86" t="s">
        <v>1060</v>
      </c>
      <c r="J7695" s="47" t="s">
        <v>3325</v>
      </c>
      <c r="K7695" s="47" t="s">
        <v>3767</v>
      </c>
      <c r="L7695" s="47" t="s">
        <v>35</v>
      </c>
      <c r="M7695" s="86" t="s">
        <v>1349</v>
      </c>
      <c r="O7695" s="47" t="s">
        <v>410</v>
      </c>
      <c r="P7695" s="14" t="s">
        <v>41</v>
      </c>
      <c r="Q7695" s="14">
        <v>0</v>
      </c>
      <c r="R7695" s="143" t="s">
        <v>2022</v>
      </c>
      <c r="S7695" s="47"/>
      <c r="T7695" s="6">
        <v>-3.6999999999970896</v>
      </c>
      <c r="U7695" s="6"/>
      <c r="V7695" s="6">
        <v>0</v>
      </c>
      <c r="W7695" s="6">
        <f t="shared" si="1184"/>
        <v>-3.6999999999970896</v>
      </c>
      <c r="X7695" s="6">
        <f t="shared" si="1188"/>
        <v>0</v>
      </c>
      <c r="Y7695" s="13">
        <f t="shared" si="1190"/>
        <v>0</v>
      </c>
      <c r="Z7695" s="14">
        <v>0</v>
      </c>
      <c r="AA7695" s="6">
        <v>0</v>
      </c>
      <c r="AB7695" s="4">
        <f t="shared" si="1191"/>
        <v>0</v>
      </c>
      <c r="AC7695" s="6">
        <f t="shared" si="1189"/>
        <v>0</v>
      </c>
      <c r="AD7695" s="6">
        <f t="shared" si="1185"/>
        <v>0</v>
      </c>
      <c r="AE7695" s="14">
        <f>VLOOKUP(I7695,[2]媒体政策预估表!A:N,MATCH(O7695,[2]媒体政策预估表!$A$2:$M$2,0),0)</f>
        <v>7.0000000000000007E-2</v>
      </c>
      <c r="AF7695" s="6">
        <f t="shared" si="1187"/>
        <v>0</v>
      </c>
      <c r="AG7695" s="14">
        <v>0</v>
      </c>
      <c r="AH7695" s="64">
        <f t="shared" si="1186"/>
        <v>0</v>
      </c>
      <c r="AJ7695" s="126" t="e">
        <v>#N/A</v>
      </c>
      <c r="AK7695" s="80">
        <f t="shared" si="1192"/>
        <v>0</v>
      </c>
      <c r="AL7695" s="85"/>
      <c r="AM7695" s="85"/>
    </row>
    <row r="7696" spans="1:39" s="86" customFormat="1" ht="13.25" hidden="1" customHeight="1" x14ac:dyDescent="0.3">
      <c r="A7696" s="89" t="s">
        <v>3978</v>
      </c>
      <c r="B7696" s="86" t="s">
        <v>35</v>
      </c>
      <c r="C7696" s="86" t="s">
        <v>164</v>
      </c>
      <c r="D7696" s="86" t="s">
        <v>174</v>
      </c>
      <c r="E7696" s="86" t="s">
        <v>2023</v>
      </c>
      <c r="F7696" s="86" t="s">
        <v>2023</v>
      </c>
      <c r="G7696" s="86" t="s">
        <v>2023</v>
      </c>
      <c r="H7696" s="144">
        <v>360</v>
      </c>
      <c r="I7696" s="86" t="s">
        <v>1060</v>
      </c>
      <c r="J7696" s="47" t="s">
        <v>3325</v>
      </c>
      <c r="K7696" s="47" t="s">
        <v>3767</v>
      </c>
      <c r="L7696" s="47" t="s">
        <v>35</v>
      </c>
      <c r="M7696" s="86" t="s">
        <v>2023</v>
      </c>
      <c r="O7696" s="47" t="s">
        <v>410</v>
      </c>
      <c r="P7696" s="14" t="s">
        <v>46</v>
      </c>
      <c r="Q7696" s="14">
        <v>0.02</v>
      </c>
      <c r="R7696" s="143" t="s">
        <v>2024</v>
      </c>
      <c r="S7696" s="47"/>
      <c r="T7696" s="6">
        <v>4080.4000000000051</v>
      </c>
      <c r="U7696" s="6"/>
      <c r="V7696" s="6">
        <v>4080.4000000000051</v>
      </c>
      <c r="W7696" s="6">
        <f t="shared" si="1184"/>
        <v>0</v>
      </c>
      <c r="X7696" s="6">
        <f t="shared" si="1188"/>
        <v>4000.3921568627502</v>
      </c>
      <c r="Y7696" s="13">
        <f t="shared" si="1190"/>
        <v>0</v>
      </c>
      <c r="Z7696" s="14">
        <v>0</v>
      </c>
      <c r="AA7696" s="6">
        <v>0</v>
      </c>
      <c r="AB7696" s="4">
        <f t="shared" si="1191"/>
        <v>4000.3921568627502</v>
      </c>
      <c r="AC7696" s="6">
        <f t="shared" si="1189"/>
        <v>80.007843137254895</v>
      </c>
      <c r="AD7696" s="6">
        <f t="shared" si="1185"/>
        <v>4080.4000000000051</v>
      </c>
      <c r="AE7696" s="14">
        <f>VLOOKUP(I7696,[2]媒体政策预估表!A:N,MATCH(O7696,[2]媒体政策预估表!$A$2:$M$2,0),0)</f>
        <v>7.0000000000000007E-2</v>
      </c>
      <c r="AF7696" s="6">
        <f t="shared" si="1187"/>
        <v>285.62800000000038</v>
      </c>
      <c r="AG7696" s="14">
        <v>0</v>
      </c>
      <c r="AH7696" s="64">
        <f t="shared" si="1186"/>
        <v>4080.4000000000051</v>
      </c>
      <c r="AJ7696" s="126" t="e">
        <v>#N/A</v>
      </c>
      <c r="AK7696" s="80">
        <f t="shared" si="1192"/>
        <v>0</v>
      </c>
      <c r="AL7696" s="85"/>
      <c r="AM7696" s="85"/>
    </row>
    <row r="7697" spans="1:39" s="86" customFormat="1" ht="13.25" hidden="1" customHeight="1" x14ac:dyDescent="0.3">
      <c r="A7697" s="89" t="s">
        <v>3978</v>
      </c>
      <c r="B7697" s="86" t="s">
        <v>35</v>
      </c>
      <c r="C7697" s="86" t="s">
        <v>164</v>
      </c>
      <c r="D7697" s="86" t="s">
        <v>174</v>
      </c>
      <c r="E7697" s="86" t="s">
        <v>239</v>
      </c>
      <c r="F7697" s="86" t="s">
        <v>308</v>
      </c>
      <c r="G7697" s="86" t="s">
        <v>239</v>
      </c>
      <c r="H7697" s="143">
        <v>360</v>
      </c>
      <c r="I7697" s="86" t="s">
        <v>1060</v>
      </c>
      <c r="J7697" s="47" t="s">
        <v>3325</v>
      </c>
      <c r="K7697" s="47" t="s">
        <v>3767</v>
      </c>
      <c r="L7697" s="47" t="s">
        <v>35</v>
      </c>
      <c r="M7697" s="86" t="s">
        <v>239</v>
      </c>
      <c r="O7697" s="47" t="s">
        <v>410</v>
      </c>
      <c r="P7697" s="14" t="s">
        <v>41</v>
      </c>
      <c r="Q7697" s="14">
        <v>0</v>
      </c>
      <c r="R7697" s="143" t="s">
        <v>2025</v>
      </c>
      <c r="S7697" s="47"/>
      <c r="T7697" s="6">
        <v>10222.209999999999</v>
      </c>
      <c r="U7697" s="6"/>
      <c r="V7697" s="6">
        <v>0</v>
      </c>
      <c r="W7697" s="6">
        <f t="shared" si="1184"/>
        <v>10222.209999999999</v>
      </c>
      <c r="X7697" s="6">
        <f t="shared" si="1188"/>
        <v>0</v>
      </c>
      <c r="Y7697" s="13">
        <f t="shared" si="1190"/>
        <v>0</v>
      </c>
      <c r="Z7697" s="14">
        <v>0</v>
      </c>
      <c r="AA7697" s="6">
        <v>0</v>
      </c>
      <c r="AB7697" s="4">
        <f t="shared" si="1191"/>
        <v>0</v>
      </c>
      <c r="AC7697" s="6">
        <f t="shared" si="1189"/>
        <v>0</v>
      </c>
      <c r="AD7697" s="6">
        <f t="shared" si="1185"/>
        <v>0</v>
      </c>
      <c r="AE7697" s="14">
        <f>VLOOKUP(I7697,[2]媒体政策预估表!A:N,MATCH(O7697,[2]媒体政策预估表!$A$2:$M$2,0),0)</f>
        <v>7.0000000000000007E-2</v>
      </c>
      <c r="AF7697" s="6">
        <f t="shared" si="1187"/>
        <v>0</v>
      </c>
      <c r="AG7697" s="14">
        <v>0</v>
      </c>
      <c r="AH7697" s="64">
        <f t="shared" si="1186"/>
        <v>0</v>
      </c>
      <c r="AJ7697" s="126" t="e">
        <v>#N/A</v>
      </c>
      <c r="AK7697" s="80">
        <f t="shared" si="1192"/>
        <v>0</v>
      </c>
      <c r="AL7697" s="85"/>
      <c r="AM7697" s="85"/>
    </row>
    <row r="7698" spans="1:39" s="86" customFormat="1" ht="13.25" hidden="1" customHeight="1" x14ac:dyDescent="0.3">
      <c r="A7698" s="89" t="s">
        <v>3978</v>
      </c>
      <c r="B7698" s="86" t="s">
        <v>35</v>
      </c>
      <c r="C7698" s="86" t="s">
        <v>164</v>
      </c>
      <c r="D7698" s="86" t="s">
        <v>174</v>
      </c>
      <c r="E7698" s="86" t="s">
        <v>1711</v>
      </c>
      <c r="F7698" s="86" t="s">
        <v>1711</v>
      </c>
      <c r="G7698" s="86" t="s">
        <v>1711</v>
      </c>
      <c r="H7698" s="143">
        <v>360</v>
      </c>
      <c r="I7698" s="86" t="s">
        <v>1060</v>
      </c>
      <c r="J7698" s="47" t="s">
        <v>3325</v>
      </c>
      <c r="K7698" s="47" t="s">
        <v>3767</v>
      </c>
      <c r="L7698" s="47" t="s">
        <v>35</v>
      </c>
      <c r="M7698" s="86" t="s">
        <v>2026</v>
      </c>
      <c r="O7698" s="47" t="s">
        <v>410</v>
      </c>
      <c r="P7698" s="14" t="s">
        <v>46</v>
      </c>
      <c r="Q7698" s="14">
        <v>0.02</v>
      </c>
      <c r="R7698" s="143" t="s">
        <v>2027</v>
      </c>
      <c r="S7698" s="47"/>
      <c r="T7698" s="6">
        <v>30</v>
      </c>
      <c r="U7698" s="6"/>
      <c r="V7698" s="6">
        <v>0</v>
      </c>
      <c r="W7698" s="6">
        <f t="shared" si="1184"/>
        <v>30</v>
      </c>
      <c r="X7698" s="6">
        <f t="shared" si="1188"/>
        <v>0</v>
      </c>
      <c r="Y7698" s="13">
        <f t="shared" si="1190"/>
        <v>0</v>
      </c>
      <c r="Z7698" s="14">
        <v>0</v>
      </c>
      <c r="AA7698" s="6">
        <v>0</v>
      </c>
      <c r="AB7698" s="4">
        <f t="shared" si="1191"/>
        <v>0</v>
      </c>
      <c r="AC7698" s="6">
        <f t="shared" si="1189"/>
        <v>0</v>
      </c>
      <c r="AD7698" s="6">
        <f t="shared" si="1185"/>
        <v>0</v>
      </c>
      <c r="AE7698" s="14">
        <f>VLOOKUP(I7698,[2]媒体政策预估表!A:N,MATCH(O7698,[2]媒体政策预估表!$A$2:$M$2,0),0)</f>
        <v>7.0000000000000007E-2</v>
      </c>
      <c r="AF7698" s="6">
        <f t="shared" si="1187"/>
        <v>0</v>
      </c>
      <c r="AG7698" s="14">
        <v>0</v>
      </c>
      <c r="AH7698" s="64">
        <f t="shared" si="1186"/>
        <v>0</v>
      </c>
      <c r="AJ7698" s="126" t="e">
        <v>#N/A</v>
      </c>
      <c r="AK7698" s="80">
        <f t="shared" si="1192"/>
        <v>0</v>
      </c>
      <c r="AL7698" s="85"/>
      <c r="AM7698" s="85"/>
    </row>
    <row r="7699" spans="1:39" s="86" customFormat="1" ht="13.25" hidden="1" customHeight="1" x14ac:dyDescent="0.3">
      <c r="A7699" s="89" t="s">
        <v>3978</v>
      </c>
      <c r="B7699" s="86" t="s">
        <v>35</v>
      </c>
      <c r="C7699" s="86" t="s">
        <v>164</v>
      </c>
      <c r="D7699" s="86" t="s">
        <v>174</v>
      </c>
      <c r="E7699" s="86" t="s">
        <v>2028</v>
      </c>
      <c r="F7699" s="86" t="s">
        <v>2028</v>
      </c>
      <c r="G7699" s="86" t="s">
        <v>2028</v>
      </c>
      <c r="H7699" s="143">
        <v>360</v>
      </c>
      <c r="I7699" s="86" t="s">
        <v>1060</v>
      </c>
      <c r="J7699" s="47" t="s">
        <v>3325</v>
      </c>
      <c r="K7699" s="47" t="s">
        <v>3767</v>
      </c>
      <c r="L7699" s="47" t="s">
        <v>35</v>
      </c>
      <c r="M7699" s="86" t="s">
        <v>2028</v>
      </c>
      <c r="O7699" s="47" t="s">
        <v>410</v>
      </c>
      <c r="P7699" s="14" t="s">
        <v>46</v>
      </c>
      <c r="Q7699" s="14">
        <v>0.03</v>
      </c>
      <c r="R7699" s="143">
        <v>13472654320</v>
      </c>
      <c r="S7699" s="47"/>
      <c r="T7699" s="6">
        <v>459.70000000000073</v>
      </c>
      <c r="U7699" s="6"/>
      <c r="V7699" s="6">
        <v>0</v>
      </c>
      <c r="W7699" s="6">
        <f t="shared" si="1184"/>
        <v>459.70000000000073</v>
      </c>
      <c r="X7699" s="6">
        <f t="shared" si="1188"/>
        <v>0</v>
      </c>
      <c r="Y7699" s="13">
        <f t="shared" si="1190"/>
        <v>0</v>
      </c>
      <c r="Z7699" s="14">
        <v>0</v>
      </c>
      <c r="AA7699" s="6">
        <v>0</v>
      </c>
      <c r="AB7699" s="4">
        <f t="shared" si="1191"/>
        <v>0</v>
      </c>
      <c r="AC7699" s="6">
        <f t="shared" si="1189"/>
        <v>0</v>
      </c>
      <c r="AD7699" s="6">
        <f t="shared" si="1185"/>
        <v>0</v>
      </c>
      <c r="AE7699" s="14">
        <f>VLOOKUP(I7699,[2]媒体政策预估表!A:N,MATCH(O7699,[2]媒体政策预估表!$A$2:$M$2,0),0)</f>
        <v>7.0000000000000007E-2</v>
      </c>
      <c r="AF7699" s="6">
        <f t="shared" si="1187"/>
        <v>0</v>
      </c>
      <c r="AG7699" s="14">
        <v>0</v>
      </c>
      <c r="AH7699" s="64">
        <f t="shared" si="1186"/>
        <v>0</v>
      </c>
      <c r="AJ7699" s="126" t="e">
        <v>#N/A</v>
      </c>
      <c r="AK7699" s="80">
        <f t="shared" si="1192"/>
        <v>0</v>
      </c>
      <c r="AL7699" s="85"/>
      <c r="AM7699" s="85"/>
    </row>
    <row r="7700" spans="1:39" s="86" customFormat="1" ht="13.25" hidden="1" customHeight="1" x14ac:dyDescent="0.3">
      <c r="A7700" s="89" t="s">
        <v>3978</v>
      </c>
      <c r="B7700" s="86" t="s">
        <v>35</v>
      </c>
      <c r="C7700" s="86" t="s">
        <v>184</v>
      </c>
      <c r="D7700" s="86" t="s">
        <v>224</v>
      </c>
      <c r="E7700" s="86" t="s">
        <v>1108</v>
      </c>
      <c r="F7700" s="86" t="s">
        <v>1108</v>
      </c>
      <c r="G7700" s="86" t="s">
        <v>1108</v>
      </c>
      <c r="H7700" s="143">
        <v>360</v>
      </c>
      <c r="I7700" s="86" t="s">
        <v>1060</v>
      </c>
      <c r="J7700" s="47" t="s">
        <v>3325</v>
      </c>
      <c r="K7700" s="47" t="s">
        <v>3767</v>
      </c>
      <c r="L7700" s="47" t="s">
        <v>35</v>
      </c>
      <c r="M7700" s="86" t="s">
        <v>2030</v>
      </c>
      <c r="O7700" s="47" t="s">
        <v>410</v>
      </c>
      <c r="P7700" s="14" t="s">
        <v>41</v>
      </c>
      <c r="Q7700" s="14">
        <v>0</v>
      </c>
      <c r="R7700" s="143" t="s">
        <v>1112</v>
      </c>
      <c r="S7700" s="47"/>
      <c r="T7700" s="6">
        <v>7180.6399999999994</v>
      </c>
      <c r="U7700" s="6"/>
      <c r="V7700" s="6">
        <v>0</v>
      </c>
      <c r="W7700" s="6">
        <f t="shared" si="1184"/>
        <v>7180.6399999999994</v>
      </c>
      <c r="X7700" s="6">
        <f t="shared" si="1188"/>
        <v>0</v>
      </c>
      <c r="Y7700" s="13">
        <f t="shared" si="1190"/>
        <v>0</v>
      </c>
      <c r="Z7700" s="14">
        <v>0</v>
      </c>
      <c r="AA7700" s="6">
        <v>0</v>
      </c>
      <c r="AB7700" s="4">
        <f t="shared" si="1191"/>
        <v>0</v>
      </c>
      <c r="AC7700" s="6">
        <f t="shared" si="1189"/>
        <v>0</v>
      </c>
      <c r="AD7700" s="6">
        <f t="shared" si="1185"/>
        <v>0</v>
      </c>
      <c r="AE7700" s="14">
        <f>VLOOKUP(I7700,[2]媒体政策预估表!A:N,MATCH(O7700,[2]媒体政策预估表!$A$2:$M$2,0),0)</f>
        <v>7.0000000000000007E-2</v>
      </c>
      <c r="AF7700" s="6">
        <f t="shared" si="1187"/>
        <v>0</v>
      </c>
      <c r="AG7700" s="14">
        <v>0</v>
      </c>
      <c r="AH7700" s="64">
        <f t="shared" si="1186"/>
        <v>0</v>
      </c>
      <c r="AJ7700" s="126" t="e">
        <v>#N/A</v>
      </c>
      <c r="AK7700" s="80">
        <f t="shared" si="1192"/>
        <v>0</v>
      </c>
      <c r="AL7700" s="85"/>
      <c r="AM7700" s="85"/>
    </row>
    <row r="7701" spans="1:39" s="86" customFormat="1" ht="13.25" hidden="1" customHeight="1" x14ac:dyDescent="0.3">
      <c r="A7701" s="89" t="s">
        <v>3978</v>
      </c>
      <c r="B7701" s="86" t="s">
        <v>35</v>
      </c>
      <c r="C7701" s="86" t="s">
        <v>65</v>
      </c>
      <c r="D7701" s="86" t="s">
        <v>66</v>
      </c>
      <c r="E7701" s="86" t="s">
        <v>2031</v>
      </c>
      <c r="F7701" s="86" t="s">
        <v>2031</v>
      </c>
      <c r="G7701" s="86" t="s">
        <v>2031</v>
      </c>
      <c r="H7701" s="143">
        <v>360</v>
      </c>
      <c r="I7701" s="86" t="s">
        <v>1060</v>
      </c>
      <c r="J7701" s="47" t="s">
        <v>3325</v>
      </c>
      <c r="K7701" s="47" t="s">
        <v>3767</v>
      </c>
      <c r="L7701" s="47" t="s">
        <v>35</v>
      </c>
      <c r="M7701" s="86" t="s">
        <v>2032</v>
      </c>
      <c r="O7701" s="47" t="s">
        <v>410</v>
      </c>
      <c r="P7701" s="14" t="s">
        <v>41</v>
      </c>
      <c r="Q7701" s="14">
        <v>0</v>
      </c>
      <c r="R7701" s="143" t="s">
        <v>2033</v>
      </c>
      <c r="S7701" s="47"/>
      <c r="T7701" s="6">
        <v>473.05999999999767</v>
      </c>
      <c r="U7701" s="6"/>
      <c r="V7701" s="6">
        <v>0</v>
      </c>
      <c r="W7701" s="6">
        <f t="shared" si="1184"/>
        <v>473.05999999999767</v>
      </c>
      <c r="X7701" s="6">
        <f t="shared" si="1188"/>
        <v>0</v>
      </c>
      <c r="Y7701" s="13">
        <f t="shared" si="1190"/>
        <v>0</v>
      </c>
      <c r="Z7701" s="14">
        <v>0</v>
      </c>
      <c r="AA7701" s="6">
        <v>0</v>
      </c>
      <c r="AB7701" s="4">
        <f t="shared" si="1191"/>
        <v>0</v>
      </c>
      <c r="AC7701" s="6">
        <f t="shared" si="1189"/>
        <v>0</v>
      </c>
      <c r="AD7701" s="6">
        <f t="shared" si="1185"/>
        <v>0</v>
      </c>
      <c r="AE7701" s="14">
        <f>VLOOKUP(I7701,[2]媒体政策预估表!A:N,MATCH(O7701,[2]媒体政策预估表!$A$2:$M$2,0),0)</f>
        <v>7.0000000000000007E-2</v>
      </c>
      <c r="AF7701" s="6">
        <f t="shared" si="1187"/>
        <v>0</v>
      </c>
      <c r="AG7701" s="14">
        <v>0</v>
      </c>
      <c r="AH7701" s="64">
        <f t="shared" si="1186"/>
        <v>0</v>
      </c>
      <c r="AJ7701" s="126" t="e">
        <v>#N/A</v>
      </c>
      <c r="AK7701" s="80">
        <f t="shared" si="1192"/>
        <v>0</v>
      </c>
      <c r="AL7701" s="85"/>
      <c r="AM7701" s="85"/>
    </row>
    <row r="7702" spans="1:39" s="86" customFormat="1" ht="13.25" hidden="1" customHeight="1" x14ac:dyDescent="0.3">
      <c r="A7702" s="89" t="s">
        <v>3792</v>
      </c>
      <c r="B7702" s="86" t="s">
        <v>35</v>
      </c>
      <c r="C7702" s="86" t="s">
        <v>144</v>
      </c>
      <c r="D7702" s="86" t="s">
        <v>145</v>
      </c>
      <c r="E7702" s="86" t="s">
        <v>1416</v>
      </c>
      <c r="F7702" s="86" t="s">
        <v>1416</v>
      </c>
      <c r="G7702" s="86" t="s">
        <v>1416</v>
      </c>
      <c r="H7702" s="143">
        <v>360</v>
      </c>
      <c r="I7702" s="86" t="s">
        <v>1060</v>
      </c>
      <c r="J7702" s="47" t="s">
        <v>3325</v>
      </c>
      <c r="K7702" s="47" t="s">
        <v>3767</v>
      </c>
      <c r="L7702" s="47" t="s">
        <v>35</v>
      </c>
      <c r="M7702" s="86" t="s">
        <v>1416</v>
      </c>
      <c r="O7702" s="47" t="s">
        <v>45</v>
      </c>
      <c r="P7702" s="14" t="s">
        <v>46</v>
      </c>
      <c r="Q7702" s="14">
        <v>0.02</v>
      </c>
      <c r="R7702" s="143" t="s">
        <v>2034</v>
      </c>
      <c r="S7702" s="47"/>
      <c r="T7702" s="6">
        <v>1161555.46</v>
      </c>
      <c r="U7702" s="6"/>
      <c r="V7702" s="6">
        <v>0</v>
      </c>
      <c r="W7702" s="6">
        <f t="shared" si="1184"/>
        <v>1161555.46</v>
      </c>
      <c r="X7702" s="6">
        <f t="shared" si="1188"/>
        <v>0</v>
      </c>
      <c r="Y7702" s="13">
        <f t="shared" si="1190"/>
        <v>0</v>
      </c>
      <c r="Z7702" s="14">
        <v>0</v>
      </c>
      <c r="AA7702" s="6">
        <v>0</v>
      </c>
      <c r="AB7702" s="4">
        <f t="shared" si="1191"/>
        <v>0</v>
      </c>
      <c r="AC7702" s="6">
        <f t="shared" si="1189"/>
        <v>0</v>
      </c>
      <c r="AD7702" s="6">
        <f t="shared" si="1185"/>
        <v>0</v>
      </c>
      <c r="AE7702" s="14">
        <f>VLOOKUP(I7702,[2]媒体政策预估表!A:N,MATCH(O7702,[2]媒体政策预估表!$A$2:$M$2,0),0)</f>
        <v>0.1</v>
      </c>
      <c r="AF7702" s="6">
        <f t="shared" si="1187"/>
        <v>0</v>
      </c>
      <c r="AG7702" s="14">
        <v>0</v>
      </c>
      <c r="AH7702" s="64">
        <f t="shared" si="1186"/>
        <v>0</v>
      </c>
      <c r="AJ7702" s="126" t="e">
        <v>#N/A</v>
      </c>
      <c r="AK7702" s="80">
        <f t="shared" si="1192"/>
        <v>0</v>
      </c>
      <c r="AL7702" s="85"/>
      <c r="AM7702" s="85"/>
    </row>
    <row r="7703" spans="1:39" s="86" customFormat="1" ht="13.25" hidden="1" customHeight="1" x14ac:dyDescent="0.3">
      <c r="A7703" s="89" t="s">
        <v>3978</v>
      </c>
      <c r="B7703" s="86" t="s">
        <v>35</v>
      </c>
      <c r="C7703" s="86" t="s">
        <v>164</v>
      </c>
      <c r="D7703" s="86" t="s">
        <v>165</v>
      </c>
      <c r="E7703" s="86" t="s">
        <v>2035</v>
      </c>
      <c r="F7703" s="86" t="s">
        <v>2036</v>
      </c>
      <c r="G7703" s="86" t="s">
        <v>2035</v>
      </c>
      <c r="H7703" s="143">
        <v>360</v>
      </c>
      <c r="I7703" s="86" t="s">
        <v>1060</v>
      </c>
      <c r="J7703" s="47" t="s">
        <v>3325</v>
      </c>
      <c r="K7703" s="47" t="s">
        <v>3767</v>
      </c>
      <c r="L7703" s="47" t="s">
        <v>35</v>
      </c>
      <c r="M7703" s="86" t="s">
        <v>2037</v>
      </c>
      <c r="O7703" s="47" t="s">
        <v>410</v>
      </c>
      <c r="P7703" s="14" t="s">
        <v>46</v>
      </c>
      <c r="Q7703" s="14">
        <v>0.05</v>
      </c>
      <c r="R7703" s="143" t="s">
        <v>2038</v>
      </c>
      <c r="S7703" s="47"/>
      <c r="T7703" s="6">
        <v>466.36999999999972</v>
      </c>
      <c r="U7703" s="6"/>
      <c r="V7703" s="6">
        <v>0</v>
      </c>
      <c r="W7703" s="6">
        <f t="shared" si="1184"/>
        <v>466.36999999999972</v>
      </c>
      <c r="X7703" s="6">
        <f t="shared" si="1188"/>
        <v>0</v>
      </c>
      <c r="Y7703" s="13">
        <f t="shared" si="1190"/>
        <v>0</v>
      </c>
      <c r="Z7703" s="14">
        <v>0</v>
      </c>
      <c r="AA7703" s="6">
        <v>0</v>
      </c>
      <c r="AB7703" s="4">
        <f t="shared" si="1191"/>
        <v>0</v>
      </c>
      <c r="AC7703" s="6">
        <f t="shared" si="1189"/>
        <v>0</v>
      </c>
      <c r="AD7703" s="6">
        <f t="shared" si="1185"/>
        <v>0</v>
      </c>
      <c r="AE7703" s="14">
        <f>VLOOKUP(I7703,[2]媒体政策预估表!A:N,MATCH(O7703,[2]媒体政策预估表!$A$2:$M$2,0),0)</f>
        <v>7.0000000000000007E-2</v>
      </c>
      <c r="AF7703" s="6">
        <f t="shared" si="1187"/>
        <v>0</v>
      </c>
      <c r="AG7703" s="14">
        <v>0</v>
      </c>
      <c r="AH7703" s="64">
        <f t="shared" si="1186"/>
        <v>0</v>
      </c>
      <c r="AJ7703" s="126" t="e">
        <v>#N/A</v>
      </c>
      <c r="AK7703" s="80">
        <f t="shared" si="1192"/>
        <v>0</v>
      </c>
      <c r="AL7703" s="85"/>
      <c r="AM7703" s="85"/>
    </row>
    <row r="7704" spans="1:39" s="86" customFormat="1" ht="13.25" hidden="1" customHeight="1" x14ac:dyDescent="0.3">
      <c r="A7704" s="89" t="s">
        <v>3805</v>
      </c>
      <c r="B7704" s="86" t="s">
        <v>35</v>
      </c>
      <c r="C7704" s="86" t="s">
        <v>164</v>
      </c>
      <c r="D7704" s="86" t="s">
        <v>174</v>
      </c>
      <c r="E7704" s="86" t="s">
        <v>2039</v>
      </c>
      <c r="F7704" s="86" t="s">
        <v>2039</v>
      </c>
      <c r="G7704" s="86" t="s">
        <v>2039</v>
      </c>
      <c r="H7704" s="143">
        <v>360</v>
      </c>
      <c r="I7704" s="86" t="s">
        <v>1060</v>
      </c>
      <c r="J7704" s="47" t="s">
        <v>3325</v>
      </c>
      <c r="K7704" s="47" t="s">
        <v>3767</v>
      </c>
      <c r="L7704" s="47" t="s">
        <v>35</v>
      </c>
      <c r="M7704" s="86" t="s">
        <v>2039</v>
      </c>
      <c r="O7704" s="47" t="s">
        <v>410</v>
      </c>
      <c r="P7704" s="14" t="s">
        <v>46</v>
      </c>
      <c r="Q7704" s="14">
        <v>0.02</v>
      </c>
      <c r="R7704" s="143" t="s">
        <v>2040</v>
      </c>
      <c r="S7704" s="47"/>
      <c r="T7704" s="6">
        <v>485.10000000000036</v>
      </c>
      <c r="U7704" s="6"/>
      <c r="V7704" s="6">
        <v>0</v>
      </c>
      <c r="W7704" s="6">
        <f t="shared" si="1184"/>
        <v>485.10000000000036</v>
      </c>
      <c r="X7704" s="6">
        <f t="shared" si="1188"/>
        <v>0</v>
      </c>
      <c r="Y7704" s="13">
        <f t="shared" si="1190"/>
        <v>0</v>
      </c>
      <c r="Z7704" s="14">
        <v>0</v>
      </c>
      <c r="AA7704" s="6">
        <v>0</v>
      </c>
      <c r="AB7704" s="4">
        <f t="shared" si="1191"/>
        <v>0</v>
      </c>
      <c r="AC7704" s="6">
        <f t="shared" si="1189"/>
        <v>0</v>
      </c>
      <c r="AD7704" s="6">
        <f t="shared" si="1185"/>
        <v>0</v>
      </c>
      <c r="AE7704" s="14">
        <f>VLOOKUP(I7704,[2]媒体政策预估表!A:N,MATCH(O7704,[2]媒体政策预估表!$A$2:$M$2,0),0)</f>
        <v>7.0000000000000007E-2</v>
      </c>
      <c r="AF7704" s="6">
        <f t="shared" si="1187"/>
        <v>0</v>
      </c>
      <c r="AG7704" s="14">
        <v>0</v>
      </c>
      <c r="AH7704" s="64">
        <f t="shared" si="1186"/>
        <v>0</v>
      </c>
      <c r="AJ7704" s="126" t="e">
        <v>#N/A</v>
      </c>
      <c r="AK7704" s="80">
        <f t="shared" si="1192"/>
        <v>0</v>
      </c>
      <c r="AL7704" s="85"/>
      <c r="AM7704" s="85"/>
    </row>
    <row r="7705" spans="1:39" s="86" customFormat="1" ht="13.25" hidden="1" customHeight="1" x14ac:dyDescent="0.3">
      <c r="A7705" s="89" t="s">
        <v>3978</v>
      </c>
      <c r="B7705" s="86" t="s">
        <v>35</v>
      </c>
      <c r="C7705" s="86" t="s">
        <v>184</v>
      </c>
      <c r="D7705" s="86" t="s">
        <v>224</v>
      </c>
      <c r="E7705" s="86" t="s">
        <v>2042</v>
      </c>
      <c r="F7705" s="86" t="s">
        <v>2042</v>
      </c>
      <c r="G7705" s="86" t="s">
        <v>2042</v>
      </c>
      <c r="H7705" s="143">
        <v>360</v>
      </c>
      <c r="I7705" s="86" t="s">
        <v>1060</v>
      </c>
      <c r="J7705" s="47" t="s">
        <v>3325</v>
      </c>
      <c r="K7705" s="47" t="s">
        <v>3767</v>
      </c>
      <c r="L7705" s="47" t="s">
        <v>35</v>
      </c>
      <c r="M7705" s="86" t="s">
        <v>2042</v>
      </c>
      <c r="O7705" s="47" t="s">
        <v>410</v>
      </c>
      <c r="P7705" s="14" t="s">
        <v>46</v>
      </c>
      <c r="Q7705" s="14">
        <v>0.02</v>
      </c>
      <c r="R7705" s="143" t="s">
        <v>2043</v>
      </c>
      <c r="S7705" s="47"/>
      <c r="T7705" s="6">
        <v>489.29999999999927</v>
      </c>
      <c r="U7705" s="6"/>
      <c r="V7705" s="6">
        <v>0</v>
      </c>
      <c r="W7705" s="6">
        <f t="shared" ref="W7705:W7768" si="1193">T7705+U7705-V7705</f>
        <v>489.29999999999927</v>
      </c>
      <c r="X7705" s="6">
        <f t="shared" si="1188"/>
        <v>0</v>
      </c>
      <c r="Y7705" s="13">
        <f t="shared" si="1190"/>
        <v>0</v>
      </c>
      <c r="Z7705" s="14">
        <v>0</v>
      </c>
      <c r="AA7705" s="6">
        <v>0</v>
      </c>
      <c r="AB7705" s="4">
        <f t="shared" si="1191"/>
        <v>0</v>
      </c>
      <c r="AC7705" s="6">
        <f t="shared" si="1189"/>
        <v>0</v>
      </c>
      <c r="AD7705" s="6">
        <f t="shared" ref="AD7705:AD7768" si="1194">V7705</f>
        <v>0</v>
      </c>
      <c r="AE7705" s="14">
        <f>VLOOKUP(I7705,[2]媒体政策预估表!A:N,MATCH(O7705,[2]媒体政策预估表!$A$2:$M$2,0),0)</f>
        <v>7.0000000000000007E-2</v>
      </c>
      <c r="AF7705" s="6">
        <f t="shared" si="1187"/>
        <v>0</v>
      </c>
      <c r="AG7705" s="14">
        <v>0</v>
      </c>
      <c r="AH7705" s="64">
        <f t="shared" ref="AH7705:AH7768" si="1195">V7705</f>
        <v>0</v>
      </c>
      <c r="AJ7705" s="126" t="e">
        <v>#N/A</v>
      </c>
      <c r="AK7705" s="80">
        <f t="shared" si="1192"/>
        <v>0</v>
      </c>
      <c r="AL7705" s="85"/>
      <c r="AM7705" s="85"/>
    </row>
    <row r="7706" spans="1:39" s="86" customFormat="1" ht="13.25" hidden="1" customHeight="1" x14ac:dyDescent="0.3">
      <c r="A7706" s="89" t="s">
        <v>3978</v>
      </c>
      <c r="B7706" s="86" t="s">
        <v>35</v>
      </c>
      <c r="C7706" s="86" t="s">
        <v>144</v>
      </c>
      <c r="D7706" s="86" t="s">
        <v>145</v>
      </c>
      <c r="E7706" s="86" t="s">
        <v>2046</v>
      </c>
      <c r="F7706" s="86" t="s">
        <v>2046</v>
      </c>
      <c r="G7706" s="86" t="s">
        <v>2046</v>
      </c>
      <c r="H7706" s="143">
        <v>360</v>
      </c>
      <c r="I7706" s="86" t="s">
        <v>1060</v>
      </c>
      <c r="J7706" s="47" t="s">
        <v>3325</v>
      </c>
      <c r="K7706" s="47" t="s">
        <v>3767</v>
      </c>
      <c r="L7706" s="47" t="s">
        <v>35</v>
      </c>
      <c r="M7706" s="86" t="s">
        <v>2046</v>
      </c>
      <c r="O7706" s="47" t="s">
        <v>410</v>
      </c>
      <c r="P7706" s="14" t="s">
        <v>46</v>
      </c>
      <c r="Q7706" s="14">
        <v>0.02</v>
      </c>
      <c r="R7706" s="143" t="s">
        <v>2047</v>
      </c>
      <c r="S7706" s="47"/>
      <c r="T7706" s="6">
        <v>496.09999999999746</v>
      </c>
      <c r="U7706" s="6"/>
      <c r="V7706" s="6">
        <v>0</v>
      </c>
      <c r="W7706" s="6">
        <f t="shared" si="1193"/>
        <v>496.09999999999746</v>
      </c>
      <c r="X7706" s="6">
        <f t="shared" si="1188"/>
        <v>0</v>
      </c>
      <c r="Y7706" s="13">
        <f t="shared" si="1190"/>
        <v>0</v>
      </c>
      <c r="Z7706" s="14">
        <v>0</v>
      </c>
      <c r="AA7706" s="6">
        <v>0</v>
      </c>
      <c r="AB7706" s="4">
        <f t="shared" si="1191"/>
        <v>0</v>
      </c>
      <c r="AC7706" s="6">
        <f t="shared" si="1189"/>
        <v>0</v>
      </c>
      <c r="AD7706" s="6">
        <f t="shared" si="1194"/>
        <v>0</v>
      </c>
      <c r="AE7706" s="14">
        <f>VLOOKUP(I7706,[2]媒体政策预估表!A:N,MATCH(O7706,[2]媒体政策预估表!$A$2:$M$2,0),0)</f>
        <v>7.0000000000000007E-2</v>
      </c>
      <c r="AF7706" s="6">
        <f t="shared" si="1187"/>
        <v>0</v>
      </c>
      <c r="AG7706" s="14">
        <v>0</v>
      </c>
      <c r="AH7706" s="64">
        <f t="shared" si="1195"/>
        <v>0</v>
      </c>
      <c r="AJ7706" s="126" t="e">
        <v>#N/A</v>
      </c>
      <c r="AK7706" s="80">
        <f t="shared" si="1192"/>
        <v>0</v>
      </c>
      <c r="AL7706" s="85"/>
      <c r="AM7706" s="85"/>
    </row>
    <row r="7707" spans="1:39" s="86" customFormat="1" ht="13.25" hidden="1" customHeight="1" x14ac:dyDescent="0.3">
      <c r="A7707" s="89" t="s">
        <v>3978</v>
      </c>
      <c r="B7707" s="86" t="s">
        <v>35</v>
      </c>
      <c r="C7707" s="86" t="s">
        <v>144</v>
      </c>
      <c r="D7707" s="86" t="s">
        <v>152</v>
      </c>
      <c r="E7707" s="86" t="s">
        <v>2050</v>
      </c>
      <c r="F7707" s="86" t="s">
        <v>2050</v>
      </c>
      <c r="G7707" s="86" t="s">
        <v>2050</v>
      </c>
      <c r="H7707" s="143">
        <v>304</v>
      </c>
      <c r="I7707" s="86" t="s">
        <v>610</v>
      </c>
      <c r="J7707" s="47" t="s">
        <v>3323</v>
      </c>
      <c r="K7707" s="47" t="s">
        <v>3275</v>
      </c>
      <c r="L7707" s="47" t="s">
        <v>35</v>
      </c>
      <c r="M7707" s="86" t="s">
        <v>2050</v>
      </c>
      <c r="O7707" s="47" t="s">
        <v>410</v>
      </c>
      <c r="P7707" s="14" t="s">
        <v>41</v>
      </c>
      <c r="Q7707" s="14">
        <v>0</v>
      </c>
      <c r="R7707" s="143" t="s">
        <v>2051</v>
      </c>
      <c r="S7707" s="47"/>
      <c r="T7707" s="6">
        <v>60018.100000000006</v>
      </c>
      <c r="U7707" s="6"/>
      <c r="V7707" s="6"/>
      <c r="W7707" s="6">
        <f t="shared" si="1193"/>
        <v>60018.100000000006</v>
      </c>
      <c r="X7707" s="6">
        <f t="shared" si="1188"/>
        <v>0</v>
      </c>
      <c r="Y7707" s="13">
        <f t="shared" si="1190"/>
        <v>0</v>
      </c>
      <c r="Z7707" s="14">
        <v>0</v>
      </c>
      <c r="AA7707" s="6">
        <v>0</v>
      </c>
      <c r="AB7707" s="4">
        <f t="shared" si="1191"/>
        <v>0</v>
      </c>
      <c r="AC7707" s="6">
        <f t="shared" si="1189"/>
        <v>0</v>
      </c>
      <c r="AD7707" s="6">
        <f t="shared" si="1194"/>
        <v>0</v>
      </c>
      <c r="AE7707" s="14">
        <f>VLOOKUP(I7707,[2]媒体政策预估表!A:N,MATCH(O7707,[2]媒体政策预估表!$A$2:$M$2,0),0)</f>
        <v>0.02</v>
      </c>
      <c r="AF7707" s="6">
        <f t="shared" si="1187"/>
        <v>0</v>
      </c>
      <c r="AG7707" s="14">
        <v>0</v>
      </c>
      <c r="AH7707" s="64">
        <f t="shared" si="1195"/>
        <v>0</v>
      </c>
      <c r="AJ7707" s="126" t="e">
        <v>#N/A</v>
      </c>
      <c r="AK7707" s="80">
        <f t="shared" si="1192"/>
        <v>0</v>
      </c>
      <c r="AL7707" s="85"/>
      <c r="AM7707" s="85"/>
    </row>
    <row r="7708" spans="1:39" s="86" customFormat="1" ht="13.25" hidden="1" customHeight="1" x14ac:dyDescent="0.3">
      <c r="A7708" s="89" t="s">
        <v>3978</v>
      </c>
      <c r="B7708" s="86" t="s">
        <v>35</v>
      </c>
      <c r="C7708" s="86" t="s">
        <v>164</v>
      </c>
      <c r="D7708" s="86" t="s">
        <v>165</v>
      </c>
      <c r="E7708" s="86" t="s">
        <v>2052</v>
      </c>
      <c r="F7708" s="86" t="s">
        <v>2052</v>
      </c>
      <c r="G7708" s="86" t="s">
        <v>2052</v>
      </c>
      <c r="H7708" s="143">
        <v>360</v>
      </c>
      <c r="I7708" s="86" t="s">
        <v>1060</v>
      </c>
      <c r="J7708" s="47" t="s">
        <v>3325</v>
      </c>
      <c r="K7708" s="47" t="s">
        <v>3767</v>
      </c>
      <c r="L7708" s="47" t="s">
        <v>35</v>
      </c>
      <c r="M7708" s="86" t="s">
        <v>2052</v>
      </c>
      <c r="O7708" s="47" t="s">
        <v>410</v>
      </c>
      <c r="P7708" s="14" t="s">
        <v>46</v>
      </c>
      <c r="Q7708" s="14">
        <v>0.02</v>
      </c>
      <c r="R7708" s="143" t="s">
        <v>2053</v>
      </c>
      <c r="S7708" s="47"/>
      <c r="T7708" s="6">
        <v>286.97000000000116</v>
      </c>
      <c r="U7708" s="6"/>
      <c r="V7708" s="6">
        <v>0</v>
      </c>
      <c r="W7708" s="6">
        <f t="shared" si="1193"/>
        <v>286.97000000000116</v>
      </c>
      <c r="X7708" s="6">
        <f t="shared" si="1188"/>
        <v>0</v>
      </c>
      <c r="Y7708" s="13">
        <f t="shared" si="1190"/>
        <v>0</v>
      </c>
      <c r="Z7708" s="14">
        <v>0</v>
      </c>
      <c r="AA7708" s="6">
        <v>0</v>
      </c>
      <c r="AB7708" s="4">
        <f t="shared" si="1191"/>
        <v>0</v>
      </c>
      <c r="AC7708" s="6">
        <f t="shared" si="1189"/>
        <v>0</v>
      </c>
      <c r="AD7708" s="6">
        <f t="shared" si="1194"/>
        <v>0</v>
      </c>
      <c r="AE7708" s="14">
        <f>VLOOKUP(I7708,[2]媒体政策预估表!A:N,MATCH(O7708,[2]媒体政策预估表!$A$2:$M$2,0),0)</f>
        <v>7.0000000000000007E-2</v>
      </c>
      <c r="AF7708" s="6">
        <f t="shared" si="1187"/>
        <v>0</v>
      </c>
      <c r="AG7708" s="14">
        <v>0</v>
      </c>
      <c r="AH7708" s="64">
        <f t="shared" si="1195"/>
        <v>0</v>
      </c>
      <c r="AJ7708" s="126" t="e">
        <v>#N/A</v>
      </c>
      <c r="AK7708" s="80">
        <f t="shared" si="1192"/>
        <v>0</v>
      </c>
      <c r="AL7708" s="85"/>
      <c r="AM7708" s="85"/>
    </row>
    <row r="7709" spans="1:39" s="86" customFormat="1" ht="13.25" hidden="1" customHeight="1" x14ac:dyDescent="0.3">
      <c r="A7709" s="89" t="s">
        <v>3805</v>
      </c>
      <c r="B7709" s="86" t="s">
        <v>35</v>
      </c>
      <c r="C7709" s="86" t="s">
        <v>164</v>
      </c>
      <c r="D7709" s="86" t="s">
        <v>174</v>
      </c>
      <c r="E7709" s="86" t="s">
        <v>651</v>
      </c>
      <c r="F7709" s="86" t="s">
        <v>651</v>
      </c>
      <c r="G7709" s="86" t="s">
        <v>651</v>
      </c>
      <c r="H7709" s="143">
        <v>360</v>
      </c>
      <c r="I7709" s="86" t="s">
        <v>1060</v>
      </c>
      <c r="J7709" s="47" t="s">
        <v>3325</v>
      </c>
      <c r="K7709" s="47" t="s">
        <v>3767</v>
      </c>
      <c r="L7709" s="47" t="s">
        <v>35</v>
      </c>
      <c r="M7709" s="86" t="s">
        <v>651</v>
      </c>
      <c r="O7709" s="47" t="s">
        <v>2054</v>
      </c>
      <c r="P7709" s="14" t="s">
        <v>46</v>
      </c>
      <c r="Q7709" s="14">
        <v>0.06</v>
      </c>
      <c r="R7709" s="143" t="s">
        <v>1974</v>
      </c>
      <c r="S7709" s="47"/>
      <c r="T7709" s="6">
        <v>-76668.102480000001</v>
      </c>
      <c r="U7709" s="6"/>
      <c r="V7709" s="6">
        <v>0</v>
      </c>
      <c r="W7709" s="6">
        <f t="shared" si="1193"/>
        <v>-76668.102480000001</v>
      </c>
      <c r="X7709" s="6">
        <f t="shared" si="1188"/>
        <v>0</v>
      </c>
      <c r="Y7709" s="13">
        <f t="shared" si="1190"/>
        <v>0</v>
      </c>
      <c r="Z7709" s="14">
        <v>0</v>
      </c>
      <c r="AA7709" s="6">
        <v>0</v>
      </c>
      <c r="AB7709" s="4">
        <f t="shared" si="1191"/>
        <v>0</v>
      </c>
      <c r="AC7709" s="6">
        <f t="shared" si="1189"/>
        <v>0</v>
      </c>
      <c r="AD7709" s="6">
        <f t="shared" si="1194"/>
        <v>0</v>
      </c>
      <c r="AE7709" s="14">
        <f>VLOOKUP(I7709,[2]媒体政策预估表!A:N,MATCH(O7709,[2]媒体政策预估表!$A$2:$M$2,0),0)</f>
        <v>0.1</v>
      </c>
      <c r="AF7709" s="6">
        <f t="shared" si="1187"/>
        <v>0</v>
      </c>
      <c r="AG7709" s="14">
        <v>0</v>
      </c>
      <c r="AH7709" s="64">
        <f t="shared" si="1195"/>
        <v>0</v>
      </c>
      <c r="AJ7709" s="126" t="e">
        <v>#N/A</v>
      </c>
      <c r="AK7709" s="80">
        <f t="shared" si="1192"/>
        <v>0</v>
      </c>
      <c r="AL7709" s="85"/>
      <c r="AM7709" s="85"/>
    </row>
    <row r="7710" spans="1:39" s="86" customFormat="1" ht="13.25" hidden="1" customHeight="1" x14ac:dyDescent="0.3">
      <c r="A7710" s="89" t="s">
        <v>3978</v>
      </c>
      <c r="B7710" s="86" t="s">
        <v>35</v>
      </c>
      <c r="C7710" s="86" t="s">
        <v>164</v>
      </c>
      <c r="D7710" s="86" t="s">
        <v>174</v>
      </c>
      <c r="E7710" s="86" t="s">
        <v>1700</v>
      </c>
      <c r="F7710" s="86" t="s">
        <v>1700</v>
      </c>
      <c r="G7710" s="86" t="s">
        <v>1700</v>
      </c>
      <c r="H7710" s="144">
        <v>360</v>
      </c>
      <c r="I7710" s="86" t="s">
        <v>1060</v>
      </c>
      <c r="J7710" s="47" t="s">
        <v>3325</v>
      </c>
      <c r="K7710" s="47" t="s">
        <v>3767</v>
      </c>
      <c r="L7710" s="47" t="s">
        <v>35</v>
      </c>
      <c r="M7710" s="86" t="s">
        <v>1700</v>
      </c>
      <c r="O7710" s="47" t="s">
        <v>410</v>
      </c>
      <c r="P7710" s="14" t="s">
        <v>46</v>
      </c>
      <c r="Q7710" s="14">
        <v>0.03</v>
      </c>
      <c r="R7710" s="143" t="s">
        <v>2055</v>
      </c>
      <c r="S7710" s="47"/>
      <c r="T7710" s="6">
        <v>18883.900000000001</v>
      </c>
      <c r="U7710" s="6"/>
      <c r="V7710" s="6">
        <v>18883.900000000001</v>
      </c>
      <c r="W7710" s="6">
        <f t="shared" si="1193"/>
        <v>0</v>
      </c>
      <c r="X7710" s="6">
        <f t="shared" si="1188"/>
        <v>18333.883495145634</v>
      </c>
      <c r="Y7710" s="13">
        <f t="shared" si="1190"/>
        <v>0</v>
      </c>
      <c r="Z7710" s="14">
        <v>0</v>
      </c>
      <c r="AA7710" s="6">
        <v>0</v>
      </c>
      <c r="AB7710" s="4">
        <f t="shared" si="1191"/>
        <v>18333.883495145634</v>
      </c>
      <c r="AC7710" s="6">
        <f t="shared" si="1189"/>
        <v>550.01650485436767</v>
      </c>
      <c r="AD7710" s="6">
        <f t="shared" si="1194"/>
        <v>18883.900000000001</v>
      </c>
      <c r="AE7710" s="14">
        <f>VLOOKUP(I7710,[2]媒体政策预估表!A:N,MATCH(O7710,[2]媒体政策预估表!$A$2:$M$2,0),0)</f>
        <v>7.0000000000000007E-2</v>
      </c>
      <c r="AF7710" s="6">
        <f t="shared" si="1187"/>
        <v>1321.8730000000003</v>
      </c>
      <c r="AG7710" s="14">
        <v>0</v>
      </c>
      <c r="AH7710" s="64">
        <f t="shared" si="1195"/>
        <v>18883.900000000001</v>
      </c>
      <c r="AJ7710" s="126" t="e">
        <v>#N/A</v>
      </c>
      <c r="AK7710" s="80">
        <f t="shared" si="1192"/>
        <v>0</v>
      </c>
      <c r="AL7710" s="85"/>
      <c r="AM7710" s="85"/>
    </row>
    <row r="7711" spans="1:39" s="86" customFormat="1" ht="13.25" hidden="1" customHeight="1" x14ac:dyDescent="0.3">
      <c r="A7711" s="89" t="s">
        <v>3978</v>
      </c>
      <c r="B7711" s="86" t="s">
        <v>35</v>
      </c>
      <c r="C7711" s="86" t="s">
        <v>59</v>
      </c>
      <c r="D7711" s="86" t="s">
        <v>60</v>
      </c>
      <c r="E7711" s="86" t="s">
        <v>2056</v>
      </c>
      <c r="F7711" s="86" t="s">
        <v>2056</v>
      </c>
      <c r="G7711" s="86" t="s">
        <v>2056</v>
      </c>
      <c r="H7711" s="143">
        <v>360</v>
      </c>
      <c r="I7711" s="86" t="s">
        <v>1060</v>
      </c>
      <c r="J7711" s="47" t="s">
        <v>3325</v>
      </c>
      <c r="K7711" s="47" t="s">
        <v>3767</v>
      </c>
      <c r="L7711" s="47" t="s">
        <v>35</v>
      </c>
      <c r="M7711" s="86" t="s">
        <v>2057</v>
      </c>
      <c r="O7711" s="47" t="s">
        <v>45</v>
      </c>
      <c r="P7711" s="14" t="s">
        <v>46</v>
      </c>
      <c r="Q7711" s="14">
        <v>0.22</v>
      </c>
      <c r="R7711" s="143" t="s">
        <v>2058</v>
      </c>
      <c r="S7711" s="47"/>
      <c r="T7711" s="6">
        <v>1676.5299999999988</v>
      </c>
      <c r="U7711" s="6"/>
      <c r="V7711" s="6">
        <v>0</v>
      </c>
      <c r="W7711" s="6">
        <f t="shared" si="1193"/>
        <v>1676.5299999999988</v>
      </c>
      <c r="X7711" s="6">
        <f t="shared" si="1188"/>
        <v>0</v>
      </c>
      <c r="Y7711" s="13">
        <f t="shared" si="1190"/>
        <v>0</v>
      </c>
      <c r="Z7711" s="14">
        <v>0</v>
      </c>
      <c r="AA7711" s="6">
        <v>0</v>
      </c>
      <c r="AB7711" s="4"/>
      <c r="AC7711" s="6">
        <f t="shared" si="1189"/>
        <v>0</v>
      </c>
      <c r="AD7711" s="6">
        <f t="shared" si="1194"/>
        <v>0</v>
      </c>
      <c r="AE7711" s="14">
        <f>VLOOKUP(I7711,[2]媒体政策预估表!A:N,MATCH(O7711,[2]媒体政策预估表!$A$2:$M$2,0),0)</f>
        <v>0.1</v>
      </c>
      <c r="AF7711" s="6">
        <f t="shared" si="1187"/>
        <v>0</v>
      </c>
      <c r="AG7711" s="14">
        <v>0</v>
      </c>
      <c r="AH7711" s="64">
        <f t="shared" si="1195"/>
        <v>0</v>
      </c>
      <c r="AJ7711" s="126">
        <v>20</v>
      </c>
      <c r="AK7711" s="80">
        <f t="shared" si="1192"/>
        <v>0</v>
      </c>
      <c r="AL7711" s="85"/>
      <c r="AM7711" s="85"/>
    </row>
    <row r="7712" spans="1:39" s="86" customFormat="1" ht="13.25" hidden="1" customHeight="1" x14ac:dyDescent="0.3">
      <c r="A7712" s="89" t="s">
        <v>3792</v>
      </c>
      <c r="B7712" s="86" t="s">
        <v>35</v>
      </c>
      <c r="C7712" s="86" t="s">
        <v>47</v>
      </c>
      <c r="D7712" s="86" t="s">
        <v>48</v>
      </c>
      <c r="E7712" s="86" t="s">
        <v>2060</v>
      </c>
      <c r="F7712" s="86" t="s">
        <v>2060</v>
      </c>
      <c r="G7712" s="86" t="s">
        <v>2060</v>
      </c>
      <c r="H7712" s="143">
        <v>360</v>
      </c>
      <c r="I7712" s="86" t="s">
        <v>1060</v>
      </c>
      <c r="J7712" s="47" t="s">
        <v>3325</v>
      </c>
      <c r="K7712" s="47" t="s">
        <v>3767</v>
      </c>
      <c r="L7712" s="47" t="s">
        <v>35</v>
      </c>
      <c r="M7712" s="86" t="s">
        <v>2060</v>
      </c>
      <c r="O7712" s="47" t="s">
        <v>410</v>
      </c>
      <c r="P7712" s="14" t="s">
        <v>41</v>
      </c>
      <c r="Q7712" s="14">
        <v>0</v>
      </c>
      <c r="R7712" s="143" t="s">
        <v>2061</v>
      </c>
      <c r="S7712" s="47"/>
      <c r="T7712" s="6">
        <v>1716.83</v>
      </c>
      <c r="U7712" s="6"/>
      <c r="V7712" s="6">
        <v>0</v>
      </c>
      <c r="W7712" s="6">
        <f t="shared" si="1193"/>
        <v>1716.83</v>
      </c>
      <c r="X7712" s="6">
        <f t="shared" si="1188"/>
        <v>0</v>
      </c>
      <c r="Y7712" s="13">
        <f t="shared" si="1190"/>
        <v>0</v>
      </c>
      <c r="Z7712" s="14">
        <v>0</v>
      </c>
      <c r="AA7712" s="6">
        <v>0</v>
      </c>
      <c r="AB7712" s="4">
        <f t="shared" si="1191"/>
        <v>0</v>
      </c>
      <c r="AC7712" s="6">
        <f t="shared" si="1189"/>
        <v>0</v>
      </c>
      <c r="AD7712" s="6">
        <f t="shared" si="1194"/>
        <v>0</v>
      </c>
      <c r="AE7712" s="14">
        <f>VLOOKUP(I7712,[2]媒体政策预估表!A:N,MATCH(O7712,[2]媒体政策预估表!$A$2:$M$2,0),0)</f>
        <v>7.0000000000000007E-2</v>
      </c>
      <c r="AF7712" s="6">
        <f t="shared" si="1187"/>
        <v>0</v>
      </c>
      <c r="AG7712" s="14">
        <v>0</v>
      </c>
      <c r="AH7712" s="64">
        <f t="shared" si="1195"/>
        <v>0</v>
      </c>
      <c r="AJ7712" s="126" t="e">
        <v>#N/A</v>
      </c>
      <c r="AK7712" s="80">
        <f t="shared" si="1192"/>
        <v>0</v>
      </c>
      <c r="AL7712" s="85"/>
      <c r="AM7712" s="85"/>
    </row>
    <row r="7713" spans="1:39" s="86" customFormat="1" ht="13.25" hidden="1" customHeight="1" x14ac:dyDescent="0.3">
      <c r="A7713" s="89" t="s">
        <v>3978</v>
      </c>
      <c r="B7713" s="86" t="s">
        <v>35</v>
      </c>
      <c r="C7713" s="86" t="s">
        <v>144</v>
      </c>
      <c r="D7713" s="86" t="s">
        <v>161</v>
      </c>
      <c r="E7713" s="86" t="s">
        <v>1937</v>
      </c>
      <c r="F7713" s="86" t="s">
        <v>1937</v>
      </c>
      <c r="G7713" s="86" t="s">
        <v>1937</v>
      </c>
      <c r="H7713" s="143">
        <v>360</v>
      </c>
      <c r="I7713" s="86" t="s">
        <v>1060</v>
      </c>
      <c r="J7713" s="47" t="s">
        <v>3325</v>
      </c>
      <c r="K7713" s="47" t="s">
        <v>3767</v>
      </c>
      <c r="L7713" s="47" t="s">
        <v>35</v>
      </c>
      <c r="M7713" s="86" t="s">
        <v>2062</v>
      </c>
      <c r="O7713" s="47" t="s">
        <v>410</v>
      </c>
      <c r="P7713" s="14" t="s">
        <v>46</v>
      </c>
      <c r="Q7713" s="14">
        <v>0.03</v>
      </c>
      <c r="R7713" s="143" t="s">
        <v>2063</v>
      </c>
      <c r="S7713" s="47"/>
      <c r="T7713" s="6">
        <v>2.0199999999895226</v>
      </c>
      <c r="U7713" s="6"/>
      <c r="V7713" s="6">
        <v>0</v>
      </c>
      <c r="W7713" s="6">
        <f t="shared" si="1193"/>
        <v>2.0199999999895226</v>
      </c>
      <c r="X7713" s="6">
        <f t="shared" si="1188"/>
        <v>0</v>
      </c>
      <c r="Y7713" s="13">
        <f t="shared" si="1190"/>
        <v>0</v>
      </c>
      <c r="Z7713" s="14">
        <v>0</v>
      </c>
      <c r="AA7713" s="6">
        <v>0</v>
      </c>
      <c r="AB7713" s="4">
        <f t="shared" si="1191"/>
        <v>0</v>
      </c>
      <c r="AC7713" s="6">
        <f t="shared" si="1189"/>
        <v>0</v>
      </c>
      <c r="AD7713" s="6">
        <f t="shared" si="1194"/>
        <v>0</v>
      </c>
      <c r="AE7713" s="14">
        <f>VLOOKUP(I7713,[2]媒体政策预估表!A:N,MATCH(O7713,[2]媒体政策预估表!$A$2:$M$2,0),0)</f>
        <v>7.0000000000000007E-2</v>
      </c>
      <c r="AF7713" s="6">
        <f t="shared" si="1187"/>
        <v>0</v>
      </c>
      <c r="AG7713" s="14">
        <v>0</v>
      </c>
      <c r="AH7713" s="64">
        <f t="shared" si="1195"/>
        <v>0</v>
      </c>
      <c r="AJ7713" s="126" t="e">
        <v>#N/A</v>
      </c>
      <c r="AK7713" s="80">
        <f t="shared" si="1192"/>
        <v>0</v>
      </c>
      <c r="AL7713" s="85"/>
      <c r="AM7713" s="85"/>
    </row>
    <row r="7714" spans="1:39" s="86" customFormat="1" ht="13.25" hidden="1" customHeight="1" x14ac:dyDescent="0.3">
      <c r="A7714" s="89" t="s">
        <v>3978</v>
      </c>
      <c r="B7714" s="86" t="s">
        <v>35</v>
      </c>
      <c r="C7714" s="86" t="s">
        <v>164</v>
      </c>
      <c r="D7714" s="86" t="s">
        <v>165</v>
      </c>
      <c r="E7714" s="86" t="s">
        <v>619</v>
      </c>
      <c r="F7714" s="86" t="s">
        <v>620</v>
      </c>
      <c r="G7714" s="86" t="s">
        <v>619</v>
      </c>
      <c r="H7714" s="143">
        <v>360</v>
      </c>
      <c r="I7714" s="86" t="s">
        <v>1060</v>
      </c>
      <c r="J7714" s="47" t="s">
        <v>3325</v>
      </c>
      <c r="K7714" s="47" t="s">
        <v>3767</v>
      </c>
      <c r="L7714" s="47" t="s">
        <v>35</v>
      </c>
      <c r="M7714" s="86" t="s">
        <v>619</v>
      </c>
      <c r="O7714" s="47" t="s">
        <v>45</v>
      </c>
      <c r="P7714" s="14" t="s">
        <v>46</v>
      </c>
      <c r="Q7714" s="14">
        <v>0.04</v>
      </c>
      <c r="R7714" s="143" t="s">
        <v>2064</v>
      </c>
      <c r="S7714" s="47"/>
      <c r="T7714" s="6">
        <v>2027.2165199999936</v>
      </c>
      <c r="U7714" s="6"/>
      <c r="V7714" s="6">
        <v>0</v>
      </c>
      <c r="W7714" s="6">
        <f t="shared" si="1193"/>
        <v>2027.2165199999936</v>
      </c>
      <c r="X7714" s="6">
        <f t="shared" si="1188"/>
        <v>0</v>
      </c>
      <c r="Y7714" s="13">
        <f t="shared" si="1190"/>
        <v>0</v>
      </c>
      <c r="Z7714" s="14">
        <v>0</v>
      </c>
      <c r="AA7714" s="6">
        <v>0</v>
      </c>
      <c r="AB7714" s="4">
        <f t="shared" si="1191"/>
        <v>0</v>
      </c>
      <c r="AC7714" s="6">
        <f t="shared" si="1189"/>
        <v>0</v>
      </c>
      <c r="AD7714" s="6">
        <f t="shared" si="1194"/>
        <v>0</v>
      </c>
      <c r="AE7714" s="14">
        <f>VLOOKUP(I7714,[2]媒体政策预估表!A:N,MATCH(O7714,[2]媒体政策预估表!$A$2:$M$2,0),0)</f>
        <v>0.1</v>
      </c>
      <c r="AF7714" s="6">
        <f t="shared" si="1187"/>
        <v>0</v>
      </c>
      <c r="AG7714" s="14">
        <v>0</v>
      </c>
      <c r="AH7714" s="64">
        <f t="shared" si="1195"/>
        <v>0</v>
      </c>
      <c r="AJ7714" s="126" t="e">
        <v>#N/A</v>
      </c>
      <c r="AK7714" s="80">
        <f t="shared" si="1192"/>
        <v>0</v>
      </c>
      <c r="AL7714" s="85"/>
      <c r="AM7714" s="85"/>
    </row>
    <row r="7715" spans="1:39" s="86" customFormat="1" ht="13.25" hidden="1" customHeight="1" x14ac:dyDescent="0.3">
      <c r="A7715" s="89" t="s">
        <v>3978</v>
      </c>
      <c r="B7715" s="86" t="s">
        <v>35</v>
      </c>
      <c r="C7715" s="86" t="s">
        <v>184</v>
      </c>
      <c r="D7715" s="86" t="s">
        <v>224</v>
      </c>
      <c r="E7715" s="86" t="s">
        <v>2065</v>
      </c>
      <c r="F7715" s="86" t="s">
        <v>2065</v>
      </c>
      <c r="G7715" s="86" t="s">
        <v>2065</v>
      </c>
      <c r="H7715" s="143">
        <v>360</v>
      </c>
      <c r="I7715" s="86" t="s">
        <v>1060</v>
      </c>
      <c r="J7715" s="47" t="s">
        <v>3325</v>
      </c>
      <c r="K7715" s="47" t="s">
        <v>3767</v>
      </c>
      <c r="L7715" s="47" t="s">
        <v>35</v>
      </c>
      <c r="M7715" s="86" t="s">
        <v>2065</v>
      </c>
      <c r="O7715" s="47" t="s">
        <v>410</v>
      </c>
      <c r="P7715" s="14" t="s">
        <v>46</v>
      </c>
      <c r="Q7715" s="14">
        <v>0.02</v>
      </c>
      <c r="R7715" s="143">
        <v>198089020</v>
      </c>
      <c r="S7715" s="47"/>
      <c r="T7715" s="6">
        <v>397.55999999999403</v>
      </c>
      <c r="U7715" s="6"/>
      <c r="V7715" s="6">
        <v>0</v>
      </c>
      <c r="W7715" s="6">
        <f t="shared" si="1193"/>
        <v>397.55999999999403</v>
      </c>
      <c r="X7715" s="6">
        <f t="shared" si="1188"/>
        <v>0</v>
      </c>
      <c r="Y7715" s="13">
        <f t="shared" si="1190"/>
        <v>0</v>
      </c>
      <c r="Z7715" s="14">
        <v>0</v>
      </c>
      <c r="AA7715" s="6">
        <v>0</v>
      </c>
      <c r="AB7715" s="4">
        <f t="shared" si="1191"/>
        <v>0</v>
      </c>
      <c r="AC7715" s="6">
        <f t="shared" si="1189"/>
        <v>0</v>
      </c>
      <c r="AD7715" s="6">
        <f t="shared" si="1194"/>
        <v>0</v>
      </c>
      <c r="AE7715" s="14">
        <f>VLOOKUP(I7715,[2]媒体政策预估表!A:N,MATCH(O7715,[2]媒体政策预估表!$A$2:$M$2,0),0)</f>
        <v>7.0000000000000007E-2</v>
      </c>
      <c r="AF7715" s="6">
        <f t="shared" si="1187"/>
        <v>0</v>
      </c>
      <c r="AG7715" s="14">
        <v>0</v>
      </c>
      <c r="AH7715" s="64">
        <f t="shared" si="1195"/>
        <v>0</v>
      </c>
      <c r="AJ7715" s="126" t="s">
        <v>4222</v>
      </c>
      <c r="AK7715" s="80">
        <f t="shared" si="1192"/>
        <v>0</v>
      </c>
      <c r="AL7715" s="150"/>
      <c r="AM7715" s="85"/>
    </row>
    <row r="7716" spans="1:39" s="86" customFormat="1" ht="13.25" hidden="1" customHeight="1" x14ac:dyDescent="0.3">
      <c r="A7716" s="89" t="s">
        <v>3978</v>
      </c>
      <c r="B7716" s="86" t="s">
        <v>35</v>
      </c>
      <c r="C7716" s="86" t="s">
        <v>144</v>
      </c>
      <c r="D7716" s="86" t="s">
        <v>145</v>
      </c>
      <c r="E7716" s="86" t="s">
        <v>2066</v>
      </c>
      <c r="F7716" s="86" t="s">
        <v>2066</v>
      </c>
      <c r="G7716" s="86" t="s">
        <v>2066</v>
      </c>
      <c r="H7716" s="143">
        <v>360</v>
      </c>
      <c r="I7716" s="86" t="s">
        <v>1060</v>
      </c>
      <c r="J7716" s="47" t="s">
        <v>3325</v>
      </c>
      <c r="K7716" s="47" t="s">
        <v>3767</v>
      </c>
      <c r="L7716" s="47" t="s">
        <v>35</v>
      </c>
      <c r="M7716" s="86" t="s">
        <v>833</v>
      </c>
      <c r="O7716" s="47" t="s">
        <v>410</v>
      </c>
      <c r="P7716" s="14" t="s">
        <v>46</v>
      </c>
      <c r="Q7716" s="14">
        <v>0.04</v>
      </c>
      <c r="R7716" s="143" t="s">
        <v>2067</v>
      </c>
      <c r="S7716" s="47"/>
      <c r="T7716" s="6">
        <v>8138.9999999999927</v>
      </c>
      <c r="U7716" s="6"/>
      <c r="V7716" s="6">
        <v>0</v>
      </c>
      <c r="W7716" s="6">
        <f t="shared" si="1193"/>
        <v>8138.9999999999927</v>
      </c>
      <c r="X7716" s="6">
        <f t="shared" si="1188"/>
        <v>0</v>
      </c>
      <c r="Y7716" s="13">
        <f t="shared" si="1190"/>
        <v>0</v>
      </c>
      <c r="Z7716" s="14">
        <v>0</v>
      </c>
      <c r="AA7716" s="6">
        <v>0</v>
      </c>
      <c r="AB7716" s="4">
        <f t="shared" si="1191"/>
        <v>0</v>
      </c>
      <c r="AC7716" s="6">
        <f t="shared" si="1189"/>
        <v>0</v>
      </c>
      <c r="AD7716" s="6">
        <f t="shared" si="1194"/>
        <v>0</v>
      </c>
      <c r="AE7716" s="14">
        <f>VLOOKUP(I7716,[2]媒体政策预估表!A:N,MATCH(O7716,[2]媒体政策预估表!$A$2:$M$2,0),0)</f>
        <v>7.0000000000000007E-2</v>
      </c>
      <c r="AF7716" s="6">
        <f t="shared" ref="AF7716:AF7779" si="1196">AD7716*AE7716</f>
        <v>0</v>
      </c>
      <c r="AG7716" s="14">
        <v>0</v>
      </c>
      <c r="AH7716" s="64">
        <f t="shared" si="1195"/>
        <v>0</v>
      </c>
      <c r="AJ7716" s="126" t="e">
        <v>#N/A</v>
      </c>
      <c r="AK7716" s="80">
        <f t="shared" si="1192"/>
        <v>0</v>
      </c>
      <c r="AL7716" s="85"/>
      <c r="AM7716" s="85"/>
    </row>
    <row r="7717" spans="1:39" s="86" customFormat="1" ht="13.25" hidden="1" customHeight="1" x14ac:dyDescent="0.3">
      <c r="A7717" s="89" t="s">
        <v>3978</v>
      </c>
      <c r="B7717" s="86" t="s">
        <v>35</v>
      </c>
      <c r="C7717" s="86" t="s">
        <v>144</v>
      </c>
      <c r="D7717" s="86" t="s">
        <v>145</v>
      </c>
      <c r="E7717" s="86" t="s">
        <v>2068</v>
      </c>
      <c r="F7717" s="86" t="s">
        <v>2068</v>
      </c>
      <c r="G7717" s="86" t="s">
        <v>2068</v>
      </c>
      <c r="H7717" s="143">
        <v>360</v>
      </c>
      <c r="I7717" s="86" t="s">
        <v>1060</v>
      </c>
      <c r="J7717" s="47" t="s">
        <v>3325</v>
      </c>
      <c r="K7717" s="47" t="s">
        <v>3767</v>
      </c>
      <c r="L7717" s="47" t="s">
        <v>35</v>
      </c>
      <c r="M7717" s="86" t="s">
        <v>2069</v>
      </c>
      <c r="O7717" s="47" t="s">
        <v>410</v>
      </c>
      <c r="P7717" s="14" t="s">
        <v>46</v>
      </c>
      <c r="Q7717" s="14">
        <v>2.0000000000000018E-2</v>
      </c>
      <c r="R7717" s="143" t="s">
        <v>2070</v>
      </c>
      <c r="S7717" s="47"/>
      <c r="T7717" s="6">
        <v>2957.1000000000004</v>
      </c>
      <c r="U7717" s="6"/>
      <c r="V7717" s="6">
        <v>0</v>
      </c>
      <c r="W7717" s="6">
        <f t="shared" si="1193"/>
        <v>2957.1000000000004</v>
      </c>
      <c r="X7717" s="6">
        <f t="shared" si="1188"/>
        <v>0</v>
      </c>
      <c r="Y7717" s="13">
        <f t="shared" si="1190"/>
        <v>0</v>
      </c>
      <c r="Z7717" s="14">
        <v>0</v>
      </c>
      <c r="AA7717" s="6">
        <v>0</v>
      </c>
      <c r="AB7717" s="4">
        <f t="shared" si="1191"/>
        <v>0</v>
      </c>
      <c r="AC7717" s="6">
        <f t="shared" si="1189"/>
        <v>0</v>
      </c>
      <c r="AD7717" s="6">
        <f t="shared" si="1194"/>
        <v>0</v>
      </c>
      <c r="AE7717" s="14">
        <f>VLOOKUP(I7717,[2]媒体政策预估表!A:N,MATCH(O7717,[2]媒体政策预估表!$A$2:$M$2,0),0)</f>
        <v>7.0000000000000007E-2</v>
      </c>
      <c r="AF7717" s="6">
        <f t="shared" si="1196"/>
        <v>0</v>
      </c>
      <c r="AG7717" s="14">
        <v>0</v>
      </c>
      <c r="AH7717" s="64">
        <f t="shared" si="1195"/>
        <v>0</v>
      </c>
      <c r="AJ7717" s="126" t="e">
        <v>#N/A</v>
      </c>
      <c r="AK7717" s="80">
        <f t="shared" si="1192"/>
        <v>0</v>
      </c>
      <c r="AL7717" s="85"/>
      <c r="AM7717" s="85"/>
    </row>
    <row r="7718" spans="1:39" s="86" customFormat="1" ht="13.25" hidden="1" customHeight="1" x14ac:dyDescent="0.3">
      <c r="A7718" s="89" t="s">
        <v>3978</v>
      </c>
      <c r="B7718" s="86" t="s">
        <v>35</v>
      </c>
      <c r="C7718" s="86" t="s">
        <v>144</v>
      </c>
      <c r="D7718" s="86" t="s">
        <v>152</v>
      </c>
      <c r="E7718" s="86" t="s">
        <v>2071</v>
      </c>
      <c r="F7718" s="86" t="s">
        <v>2071</v>
      </c>
      <c r="G7718" s="86" t="s">
        <v>2071</v>
      </c>
      <c r="H7718" s="143">
        <v>360</v>
      </c>
      <c r="I7718" s="86" t="s">
        <v>1060</v>
      </c>
      <c r="J7718" s="47" t="s">
        <v>3325</v>
      </c>
      <c r="K7718" s="47" t="s">
        <v>3767</v>
      </c>
      <c r="L7718" s="47" t="s">
        <v>35</v>
      </c>
      <c r="M7718" s="86" t="s">
        <v>2072</v>
      </c>
      <c r="O7718" s="47" t="s">
        <v>410</v>
      </c>
      <c r="P7718" s="14" t="s">
        <v>41</v>
      </c>
      <c r="Q7718" s="14">
        <v>0</v>
      </c>
      <c r="R7718" s="143" t="s">
        <v>2073</v>
      </c>
      <c r="S7718" s="47"/>
      <c r="T7718" s="6">
        <v>376.56999999999971</v>
      </c>
      <c r="U7718" s="6"/>
      <c r="V7718" s="6">
        <v>0</v>
      </c>
      <c r="W7718" s="6">
        <f t="shared" si="1193"/>
        <v>376.56999999999971</v>
      </c>
      <c r="X7718" s="6">
        <f t="shared" si="1188"/>
        <v>0</v>
      </c>
      <c r="Y7718" s="13">
        <f t="shared" si="1190"/>
        <v>0</v>
      </c>
      <c r="Z7718" s="14">
        <v>0</v>
      </c>
      <c r="AA7718" s="6">
        <v>0</v>
      </c>
      <c r="AB7718" s="4">
        <f t="shared" si="1191"/>
        <v>0</v>
      </c>
      <c r="AC7718" s="6">
        <f t="shared" si="1189"/>
        <v>0</v>
      </c>
      <c r="AD7718" s="6">
        <f t="shared" si="1194"/>
        <v>0</v>
      </c>
      <c r="AE7718" s="14">
        <f>VLOOKUP(I7718,[2]媒体政策预估表!A:N,MATCH(O7718,[2]媒体政策预估表!$A$2:$M$2,0),0)</f>
        <v>7.0000000000000007E-2</v>
      </c>
      <c r="AF7718" s="6">
        <f t="shared" si="1196"/>
        <v>0</v>
      </c>
      <c r="AG7718" s="14">
        <v>0</v>
      </c>
      <c r="AH7718" s="64">
        <f t="shared" si="1195"/>
        <v>0</v>
      </c>
      <c r="AJ7718" s="126" t="e">
        <v>#N/A</v>
      </c>
      <c r="AK7718" s="80">
        <f t="shared" si="1192"/>
        <v>0</v>
      </c>
      <c r="AL7718" s="85"/>
      <c r="AM7718" s="85"/>
    </row>
    <row r="7719" spans="1:39" s="86" customFormat="1" ht="13.25" hidden="1" customHeight="1" x14ac:dyDescent="0.3">
      <c r="A7719" s="89" t="s">
        <v>3792</v>
      </c>
      <c r="B7719" s="86" t="s">
        <v>35</v>
      </c>
      <c r="C7719" s="86" t="s">
        <v>164</v>
      </c>
      <c r="D7719" s="86" t="s">
        <v>174</v>
      </c>
      <c r="E7719" s="86" t="s">
        <v>1658</v>
      </c>
      <c r="F7719" s="86" t="s">
        <v>1658</v>
      </c>
      <c r="G7719" s="86" t="s">
        <v>1658</v>
      </c>
      <c r="H7719" s="143">
        <v>360</v>
      </c>
      <c r="I7719" s="86" t="s">
        <v>1060</v>
      </c>
      <c r="J7719" s="47" t="s">
        <v>3325</v>
      </c>
      <c r="K7719" s="47" t="s">
        <v>3767</v>
      </c>
      <c r="L7719" s="47" t="s">
        <v>35</v>
      </c>
      <c r="M7719" s="86" t="s">
        <v>1658</v>
      </c>
      <c r="O7719" s="47" t="s">
        <v>410</v>
      </c>
      <c r="P7719" s="14" t="s">
        <v>46</v>
      </c>
      <c r="Q7719" s="14">
        <v>2.0000000000000018E-2</v>
      </c>
      <c r="R7719" s="143" t="s">
        <v>2074</v>
      </c>
      <c r="S7719" s="47"/>
      <c r="T7719" s="6">
        <v>459.09999999999854</v>
      </c>
      <c r="U7719" s="6"/>
      <c r="V7719" s="6">
        <v>0</v>
      </c>
      <c r="W7719" s="6">
        <f t="shared" si="1193"/>
        <v>459.09999999999854</v>
      </c>
      <c r="X7719" s="6">
        <f t="shared" si="1188"/>
        <v>0</v>
      </c>
      <c r="Y7719" s="13">
        <f t="shared" si="1190"/>
        <v>0</v>
      </c>
      <c r="Z7719" s="14">
        <v>0</v>
      </c>
      <c r="AA7719" s="6">
        <v>0</v>
      </c>
      <c r="AB7719" s="4">
        <f t="shared" si="1191"/>
        <v>0</v>
      </c>
      <c r="AC7719" s="6">
        <f t="shared" si="1189"/>
        <v>0</v>
      </c>
      <c r="AD7719" s="6">
        <f t="shared" si="1194"/>
        <v>0</v>
      </c>
      <c r="AE7719" s="14">
        <f>VLOOKUP(I7719,[2]媒体政策预估表!A:N,MATCH(O7719,[2]媒体政策预估表!$A$2:$M$2,0),0)</f>
        <v>7.0000000000000007E-2</v>
      </c>
      <c r="AF7719" s="6">
        <f t="shared" si="1196"/>
        <v>0</v>
      </c>
      <c r="AG7719" s="14">
        <v>0</v>
      </c>
      <c r="AH7719" s="64">
        <f t="shared" si="1195"/>
        <v>0</v>
      </c>
      <c r="AJ7719" s="126" t="e">
        <v>#N/A</v>
      </c>
      <c r="AK7719" s="80">
        <f t="shared" si="1192"/>
        <v>0</v>
      </c>
      <c r="AL7719" s="85"/>
      <c r="AM7719" s="85"/>
    </row>
    <row r="7720" spans="1:39" s="86" customFormat="1" ht="13.25" hidden="1" customHeight="1" x14ac:dyDescent="0.3">
      <c r="A7720" s="89" t="s">
        <v>3792</v>
      </c>
      <c r="B7720" s="86" t="s">
        <v>35</v>
      </c>
      <c r="C7720" s="86" t="s">
        <v>184</v>
      </c>
      <c r="D7720" s="86" t="s">
        <v>54</v>
      </c>
      <c r="E7720" s="86" t="s">
        <v>71</v>
      </c>
      <c r="F7720" s="86" t="s">
        <v>71</v>
      </c>
      <c r="G7720" s="86" t="s">
        <v>71</v>
      </c>
      <c r="H7720" s="143">
        <v>360</v>
      </c>
      <c r="I7720" s="86" t="s">
        <v>1060</v>
      </c>
      <c r="J7720" s="47" t="s">
        <v>3325</v>
      </c>
      <c r="K7720" s="47" t="s">
        <v>3767</v>
      </c>
      <c r="L7720" s="47" t="s">
        <v>35</v>
      </c>
      <c r="M7720" s="86" t="s">
        <v>1858</v>
      </c>
      <c r="O7720" s="47" t="s">
        <v>45</v>
      </c>
      <c r="P7720" s="14" t="s">
        <v>41</v>
      </c>
      <c r="Q7720" s="14">
        <v>0</v>
      </c>
      <c r="R7720" s="143" t="s">
        <v>1859</v>
      </c>
      <c r="S7720" s="47"/>
      <c r="T7720" s="6">
        <v>-36306.883640000022</v>
      </c>
      <c r="U7720" s="6"/>
      <c r="V7720" s="6">
        <v>0</v>
      </c>
      <c r="W7720" s="6">
        <f t="shared" si="1193"/>
        <v>-36306.883640000022</v>
      </c>
      <c r="X7720" s="6">
        <f t="shared" si="1188"/>
        <v>0</v>
      </c>
      <c r="Y7720" s="13">
        <f t="shared" si="1190"/>
        <v>0</v>
      </c>
      <c r="Z7720" s="14">
        <v>0</v>
      </c>
      <c r="AA7720" s="6">
        <v>0</v>
      </c>
      <c r="AB7720" s="4">
        <f t="shared" si="1191"/>
        <v>0</v>
      </c>
      <c r="AC7720" s="6">
        <f t="shared" si="1189"/>
        <v>0</v>
      </c>
      <c r="AD7720" s="6">
        <f t="shared" si="1194"/>
        <v>0</v>
      </c>
      <c r="AE7720" s="14">
        <f>VLOOKUP(I7720,[2]媒体政策预估表!A:N,MATCH(O7720,[2]媒体政策预估表!$A$2:$M$2,0),0)</f>
        <v>0.1</v>
      </c>
      <c r="AF7720" s="6">
        <f t="shared" si="1196"/>
        <v>0</v>
      </c>
      <c r="AG7720" s="14">
        <v>0</v>
      </c>
      <c r="AH7720" s="64">
        <f t="shared" si="1195"/>
        <v>0</v>
      </c>
      <c r="AJ7720" s="126" t="e">
        <v>#N/A</v>
      </c>
      <c r="AK7720" s="80">
        <f t="shared" si="1192"/>
        <v>0</v>
      </c>
      <c r="AL7720" s="85"/>
      <c r="AM7720" s="85"/>
    </row>
    <row r="7721" spans="1:39" s="86" customFormat="1" ht="13.25" hidden="1" customHeight="1" x14ac:dyDescent="0.3">
      <c r="A7721" s="89" t="s">
        <v>3978</v>
      </c>
      <c r="B7721" s="86" t="s">
        <v>35</v>
      </c>
      <c r="C7721" s="86" t="s">
        <v>184</v>
      </c>
      <c r="D7721" s="86" t="s">
        <v>54</v>
      </c>
      <c r="E7721" s="86" t="s">
        <v>71</v>
      </c>
      <c r="F7721" s="86" t="s">
        <v>71</v>
      </c>
      <c r="G7721" s="86" t="s">
        <v>71</v>
      </c>
      <c r="H7721" s="143">
        <v>360</v>
      </c>
      <c r="I7721" s="86" t="s">
        <v>1060</v>
      </c>
      <c r="J7721" s="47" t="s">
        <v>3325</v>
      </c>
      <c r="K7721" s="47" t="s">
        <v>3767</v>
      </c>
      <c r="L7721" s="47" t="s">
        <v>35</v>
      </c>
      <c r="M7721" s="86" t="s">
        <v>73</v>
      </c>
      <c r="O7721" s="47" t="s">
        <v>45</v>
      </c>
      <c r="P7721" s="14" t="s">
        <v>41</v>
      </c>
      <c r="Q7721" s="14">
        <v>0</v>
      </c>
      <c r="R7721" s="143" t="s">
        <v>1860</v>
      </c>
      <c r="S7721" s="47"/>
      <c r="T7721" s="6">
        <v>-1590008.6081399997</v>
      </c>
      <c r="U7721" s="6"/>
      <c r="V7721" s="6">
        <v>0</v>
      </c>
      <c r="W7721" s="6">
        <f t="shared" si="1193"/>
        <v>-1590008.6081399997</v>
      </c>
      <c r="X7721" s="6">
        <f t="shared" si="1188"/>
        <v>0</v>
      </c>
      <c r="Y7721" s="13">
        <f t="shared" si="1190"/>
        <v>0</v>
      </c>
      <c r="Z7721" s="14">
        <v>0</v>
      </c>
      <c r="AA7721" s="6">
        <v>0</v>
      </c>
      <c r="AB7721" s="4">
        <f t="shared" si="1191"/>
        <v>0</v>
      </c>
      <c r="AC7721" s="6">
        <f t="shared" si="1189"/>
        <v>0</v>
      </c>
      <c r="AD7721" s="6">
        <f t="shared" si="1194"/>
        <v>0</v>
      </c>
      <c r="AE7721" s="14">
        <f>VLOOKUP(I7721,[2]媒体政策预估表!A:N,MATCH(O7721,[2]媒体政策预估表!$A$2:$M$2,0),0)</f>
        <v>0.1</v>
      </c>
      <c r="AF7721" s="6">
        <f t="shared" si="1196"/>
        <v>0</v>
      </c>
      <c r="AG7721" s="14">
        <v>0</v>
      </c>
      <c r="AH7721" s="64">
        <f t="shared" si="1195"/>
        <v>0</v>
      </c>
      <c r="AJ7721" s="126" t="e">
        <v>#N/A</v>
      </c>
      <c r="AK7721" s="80">
        <f t="shared" si="1192"/>
        <v>0</v>
      </c>
      <c r="AL7721" s="85"/>
      <c r="AM7721" s="85"/>
    </row>
    <row r="7722" spans="1:39" s="86" customFormat="1" ht="13.25" hidden="1" customHeight="1" x14ac:dyDescent="0.3">
      <c r="A7722" s="89" t="s">
        <v>3978</v>
      </c>
      <c r="B7722" s="86" t="s">
        <v>35</v>
      </c>
      <c r="C7722" s="86" t="s">
        <v>47</v>
      </c>
      <c r="D7722" s="86" t="s">
        <v>63</v>
      </c>
      <c r="E7722" s="86" t="s">
        <v>2075</v>
      </c>
      <c r="F7722" s="86" t="s">
        <v>2075</v>
      </c>
      <c r="G7722" s="86" t="s">
        <v>2075</v>
      </c>
      <c r="H7722" s="143">
        <v>360</v>
      </c>
      <c r="I7722" s="86" t="s">
        <v>1060</v>
      </c>
      <c r="J7722" s="47" t="s">
        <v>3325</v>
      </c>
      <c r="K7722" s="47" t="s">
        <v>3767</v>
      </c>
      <c r="L7722" s="47" t="s">
        <v>35</v>
      </c>
      <c r="M7722" s="86" t="s">
        <v>2075</v>
      </c>
      <c r="O7722" s="47" t="s">
        <v>410</v>
      </c>
      <c r="P7722" s="14" t="s">
        <v>46</v>
      </c>
      <c r="Q7722" s="14">
        <v>0.02</v>
      </c>
      <c r="R7722" s="143" t="s">
        <v>2076</v>
      </c>
      <c r="S7722" s="47"/>
      <c r="T7722" s="6">
        <v>492.5</v>
      </c>
      <c r="U7722" s="6"/>
      <c r="V7722" s="6">
        <v>0</v>
      </c>
      <c r="W7722" s="6">
        <f t="shared" si="1193"/>
        <v>492.5</v>
      </c>
      <c r="X7722" s="6">
        <f t="shared" si="1188"/>
        <v>0</v>
      </c>
      <c r="Y7722" s="13">
        <f t="shared" si="1190"/>
        <v>0</v>
      </c>
      <c r="Z7722" s="14">
        <v>0</v>
      </c>
      <c r="AA7722" s="6">
        <v>0</v>
      </c>
      <c r="AB7722" s="4">
        <f t="shared" si="1191"/>
        <v>0</v>
      </c>
      <c r="AC7722" s="6">
        <f t="shared" si="1189"/>
        <v>0</v>
      </c>
      <c r="AD7722" s="6">
        <f t="shared" si="1194"/>
        <v>0</v>
      </c>
      <c r="AE7722" s="14">
        <f>VLOOKUP(I7722,[2]媒体政策预估表!A:N,MATCH(O7722,[2]媒体政策预估表!$A$2:$M$2,0),0)</f>
        <v>7.0000000000000007E-2</v>
      </c>
      <c r="AF7722" s="6">
        <f t="shared" si="1196"/>
        <v>0</v>
      </c>
      <c r="AG7722" s="14">
        <v>0</v>
      </c>
      <c r="AH7722" s="64">
        <f t="shared" si="1195"/>
        <v>0</v>
      </c>
      <c r="AJ7722" s="126" t="e">
        <v>#N/A</v>
      </c>
      <c r="AK7722" s="80">
        <f t="shared" si="1192"/>
        <v>0</v>
      </c>
      <c r="AL7722" s="85"/>
      <c r="AM7722" s="85"/>
    </row>
    <row r="7723" spans="1:39" s="86" customFormat="1" ht="13.25" hidden="1" customHeight="1" x14ac:dyDescent="0.3">
      <c r="A7723" s="89" t="s">
        <v>3792</v>
      </c>
      <c r="B7723" s="86" t="s">
        <v>35</v>
      </c>
      <c r="C7723" s="86" t="s">
        <v>144</v>
      </c>
      <c r="D7723" s="86" t="s">
        <v>145</v>
      </c>
      <c r="E7723" s="86" t="s">
        <v>2077</v>
      </c>
      <c r="F7723" s="86" t="s">
        <v>2077</v>
      </c>
      <c r="G7723" s="86" t="s">
        <v>2077</v>
      </c>
      <c r="H7723" s="143">
        <v>360</v>
      </c>
      <c r="I7723" s="86" t="s">
        <v>1060</v>
      </c>
      <c r="J7723" s="47" t="s">
        <v>3325</v>
      </c>
      <c r="K7723" s="47" t="s">
        <v>3767</v>
      </c>
      <c r="L7723" s="47" t="s">
        <v>35</v>
      </c>
      <c r="M7723" s="86" t="s">
        <v>2078</v>
      </c>
      <c r="O7723" s="47" t="s">
        <v>410</v>
      </c>
      <c r="P7723" s="14" t="s">
        <v>46</v>
      </c>
      <c r="Q7723" s="14">
        <v>0.04</v>
      </c>
      <c r="R7723" s="143" t="s">
        <v>2079</v>
      </c>
      <c r="S7723" s="47"/>
      <c r="T7723" s="6">
        <v>1.8000000000029104</v>
      </c>
      <c r="U7723" s="6"/>
      <c r="V7723" s="6">
        <v>0</v>
      </c>
      <c r="W7723" s="6">
        <f t="shared" si="1193"/>
        <v>1.8000000000029104</v>
      </c>
      <c r="X7723" s="6">
        <f t="shared" si="1188"/>
        <v>0</v>
      </c>
      <c r="Y7723" s="13">
        <f t="shared" si="1190"/>
        <v>0</v>
      </c>
      <c r="Z7723" s="14">
        <v>0</v>
      </c>
      <c r="AA7723" s="6">
        <v>0</v>
      </c>
      <c r="AB7723" s="4">
        <f t="shared" si="1191"/>
        <v>0</v>
      </c>
      <c r="AC7723" s="6">
        <f t="shared" si="1189"/>
        <v>0</v>
      </c>
      <c r="AD7723" s="6">
        <f t="shared" si="1194"/>
        <v>0</v>
      </c>
      <c r="AE7723" s="14">
        <f>VLOOKUP(I7723,[2]媒体政策预估表!A:N,MATCH(O7723,[2]媒体政策预估表!$A$2:$M$2,0),0)</f>
        <v>7.0000000000000007E-2</v>
      </c>
      <c r="AF7723" s="6">
        <f t="shared" si="1196"/>
        <v>0</v>
      </c>
      <c r="AG7723" s="14">
        <v>0</v>
      </c>
      <c r="AH7723" s="64">
        <f t="shared" si="1195"/>
        <v>0</v>
      </c>
      <c r="AJ7723" s="126" t="e">
        <v>#N/A</v>
      </c>
      <c r="AK7723" s="80">
        <f t="shared" si="1192"/>
        <v>0</v>
      </c>
      <c r="AL7723" s="85"/>
      <c r="AM7723" s="85"/>
    </row>
    <row r="7724" spans="1:39" s="86" customFormat="1" ht="13.25" hidden="1" customHeight="1" x14ac:dyDescent="0.3">
      <c r="A7724" s="89" t="s">
        <v>3792</v>
      </c>
      <c r="B7724" s="86" t="s">
        <v>35</v>
      </c>
      <c r="C7724" s="86" t="s">
        <v>144</v>
      </c>
      <c r="D7724" s="86" t="s">
        <v>145</v>
      </c>
      <c r="E7724" s="86" t="s">
        <v>2080</v>
      </c>
      <c r="F7724" s="86" t="s">
        <v>2080</v>
      </c>
      <c r="G7724" s="86" t="s">
        <v>2080</v>
      </c>
      <c r="H7724" s="143">
        <v>360</v>
      </c>
      <c r="I7724" s="86" t="s">
        <v>1060</v>
      </c>
      <c r="J7724" s="47" t="s">
        <v>3325</v>
      </c>
      <c r="K7724" s="47" t="s">
        <v>3767</v>
      </c>
      <c r="L7724" s="47" t="s">
        <v>35</v>
      </c>
      <c r="M7724" s="86" t="s">
        <v>2080</v>
      </c>
      <c r="O7724" s="47" t="s">
        <v>410</v>
      </c>
      <c r="P7724" s="14" t="s">
        <v>46</v>
      </c>
      <c r="Q7724" s="14">
        <v>0.02</v>
      </c>
      <c r="R7724" s="143" t="s">
        <v>2081</v>
      </c>
      <c r="S7724" s="47"/>
      <c r="T7724" s="6">
        <v>476.60000000000036</v>
      </c>
      <c r="U7724" s="6"/>
      <c r="V7724" s="6">
        <v>0</v>
      </c>
      <c r="W7724" s="6">
        <f t="shared" si="1193"/>
        <v>476.60000000000036</v>
      </c>
      <c r="X7724" s="6">
        <f t="shared" si="1188"/>
        <v>0</v>
      </c>
      <c r="Y7724" s="13">
        <f t="shared" si="1190"/>
        <v>0</v>
      </c>
      <c r="Z7724" s="14">
        <v>0</v>
      </c>
      <c r="AA7724" s="6">
        <v>0</v>
      </c>
      <c r="AB7724" s="4">
        <f t="shared" si="1191"/>
        <v>0</v>
      </c>
      <c r="AC7724" s="6">
        <f t="shared" si="1189"/>
        <v>0</v>
      </c>
      <c r="AD7724" s="6">
        <f t="shared" si="1194"/>
        <v>0</v>
      </c>
      <c r="AE7724" s="14">
        <f>VLOOKUP(I7724,[2]媒体政策预估表!A:N,MATCH(O7724,[2]媒体政策预估表!$A$2:$M$2,0),0)</f>
        <v>7.0000000000000007E-2</v>
      </c>
      <c r="AF7724" s="6">
        <f t="shared" si="1196"/>
        <v>0</v>
      </c>
      <c r="AG7724" s="14">
        <v>0</v>
      </c>
      <c r="AH7724" s="64">
        <f t="shared" si="1195"/>
        <v>0</v>
      </c>
      <c r="AJ7724" s="126" t="e">
        <v>#N/A</v>
      </c>
      <c r="AK7724" s="80">
        <f t="shared" si="1192"/>
        <v>0</v>
      </c>
      <c r="AL7724" s="85"/>
      <c r="AM7724" s="85"/>
    </row>
    <row r="7725" spans="1:39" s="86" customFormat="1" ht="13.25" hidden="1" customHeight="1" x14ac:dyDescent="0.3">
      <c r="A7725" s="89" t="s">
        <v>3792</v>
      </c>
      <c r="B7725" s="86" t="s">
        <v>35</v>
      </c>
      <c r="C7725" s="86" t="s">
        <v>164</v>
      </c>
      <c r="D7725" s="86" t="s">
        <v>169</v>
      </c>
      <c r="E7725" s="86" t="s">
        <v>1954</v>
      </c>
      <c r="F7725" s="86" t="s">
        <v>1954</v>
      </c>
      <c r="G7725" s="86" t="s">
        <v>1954</v>
      </c>
      <c r="H7725" s="143">
        <v>360</v>
      </c>
      <c r="I7725" s="86" t="s">
        <v>1060</v>
      </c>
      <c r="J7725" s="47" t="s">
        <v>3325</v>
      </c>
      <c r="K7725" s="47" t="s">
        <v>3767</v>
      </c>
      <c r="L7725" s="47" t="s">
        <v>35</v>
      </c>
      <c r="M7725" s="86" t="s">
        <v>1954</v>
      </c>
      <c r="O7725" s="47" t="s">
        <v>410</v>
      </c>
      <c r="P7725" s="14" t="s">
        <v>46</v>
      </c>
      <c r="Q7725" s="14">
        <v>0.01</v>
      </c>
      <c r="R7725" s="143" t="s">
        <v>1955</v>
      </c>
      <c r="S7725" s="47"/>
      <c r="T7725" s="6">
        <v>30000</v>
      </c>
      <c r="U7725" s="6"/>
      <c r="V7725" s="6">
        <v>0</v>
      </c>
      <c r="W7725" s="6">
        <f t="shared" si="1193"/>
        <v>30000</v>
      </c>
      <c r="X7725" s="6">
        <f t="shared" si="1188"/>
        <v>0</v>
      </c>
      <c r="Y7725" s="13">
        <f t="shared" si="1190"/>
        <v>0</v>
      </c>
      <c r="Z7725" s="14">
        <v>0</v>
      </c>
      <c r="AA7725" s="6">
        <v>0</v>
      </c>
      <c r="AB7725" s="4">
        <f t="shared" si="1191"/>
        <v>0</v>
      </c>
      <c r="AC7725" s="6">
        <f t="shared" si="1189"/>
        <v>0</v>
      </c>
      <c r="AD7725" s="6">
        <f t="shared" si="1194"/>
        <v>0</v>
      </c>
      <c r="AE7725" s="14">
        <f>VLOOKUP(I7725,[2]媒体政策预估表!A:N,MATCH(O7725,[2]媒体政策预估表!$A$2:$M$2,0),0)</f>
        <v>7.0000000000000007E-2</v>
      </c>
      <c r="AF7725" s="6">
        <f t="shared" si="1196"/>
        <v>0</v>
      </c>
      <c r="AG7725" s="14">
        <v>0</v>
      </c>
      <c r="AH7725" s="64">
        <f t="shared" si="1195"/>
        <v>0</v>
      </c>
      <c r="AJ7725" s="126" t="e">
        <v>#N/A</v>
      </c>
      <c r="AK7725" s="80">
        <f t="shared" si="1192"/>
        <v>0</v>
      </c>
      <c r="AL7725" s="85"/>
      <c r="AM7725" s="85"/>
    </row>
    <row r="7726" spans="1:39" s="86" customFormat="1" ht="13.25" hidden="1" customHeight="1" x14ac:dyDescent="0.3">
      <c r="A7726" s="89" t="s">
        <v>3805</v>
      </c>
      <c r="B7726" s="86" t="s">
        <v>35</v>
      </c>
      <c r="C7726" s="86" t="s">
        <v>164</v>
      </c>
      <c r="D7726" s="86" t="s">
        <v>174</v>
      </c>
      <c r="E7726" s="86" t="s">
        <v>1681</v>
      </c>
      <c r="F7726" s="86" t="s">
        <v>1682</v>
      </c>
      <c r="G7726" s="86" t="s">
        <v>1681</v>
      </c>
      <c r="H7726" s="143">
        <v>360</v>
      </c>
      <c r="I7726" s="86" t="s">
        <v>1060</v>
      </c>
      <c r="J7726" s="47" t="s">
        <v>3325</v>
      </c>
      <c r="K7726" s="47" t="s">
        <v>3767</v>
      </c>
      <c r="L7726" s="47" t="s">
        <v>35</v>
      </c>
      <c r="M7726" s="86" t="s">
        <v>1685</v>
      </c>
      <c r="O7726" s="47" t="s">
        <v>45</v>
      </c>
      <c r="P7726" s="14" t="s">
        <v>46</v>
      </c>
      <c r="Q7726" s="14">
        <v>0.04</v>
      </c>
      <c r="R7726" s="143" t="s">
        <v>2083</v>
      </c>
      <c r="S7726" s="47"/>
      <c r="T7726" s="6">
        <v>7976.3767700000008</v>
      </c>
      <c r="U7726" s="6"/>
      <c r="V7726" s="6">
        <v>0</v>
      </c>
      <c r="W7726" s="6">
        <f t="shared" si="1193"/>
        <v>7976.3767700000008</v>
      </c>
      <c r="X7726" s="6">
        <f t="shared" si="1188"/>
        <v>0</v>
      </c>
      <c r="Y7726" s="13">
        <f t="shared" si="1190"/>
        <v>0</v>
      </c>
      <c r="Z7726" s="14">
        <v>0</v>
      </c>
      <c r="AA7726" s="6">
        <v>0</v>
      </c>
      <c r="AB7726" s="4">
        <f t="shared" si="1191"/>
        <v>0</v>
      </c>
      <c r="AC7726" s="6">
        <f t="shared" si="1189"/>
        <v>0</v>
      </c>
      <c r="AD7726" s="6">
        <f t="shared" si="1194"/>
        <v>0</v>
      </c>
      <c r="AE7726" s="14">
        <f>VLOOKUP(I7726,[2]媒体政策预估表!A:N,MATCH(O7726,[2]媒体政策预估表!$A$2:$M$2,0),0)</f>
        <v>0.1</v>
      </c>
      <c r="AF7726" s="6">
        <f t="shared" si="1196"/>
        <v>0</v>
      </c>
      <c r="AG7726" s="14">
        <v>0</v>
      </c>
      <c r="AH7726" s="64">
        <f t="shared" si="1195"/>
        <v>0</v>
      </c>
      <c r="AJ7726" s="126" t="e">
        <v>#N/A</v>
      </c>
      <c r="AK7726" s="80">
        <f t="shared" si="1192"/>
        <v>0</v>
      </c>
      <c r="AL7726" s="85"/>
      <c r="AM7726" s="85"/>
    </row>
    <row r="7727" spans="1:39" s="86" customFormat="1" ht="13.25" hidden="1" customHeight="1" x14ac:dyDescent="0.3">
      <c r="A7727" s="89" t="s">
        <v>3792</v>
      </c>
      <c r="B7727" s="86" t="s">
        <v>35</v>
      </c>
      <c r="C7727" s="86" t="s">
        <v>164</v>
      </c>
      <c r="D7727" s="86" t="s">
        <v>174</v>
      </c>
      <c r="E7727" s="86" t="s">
        <v>2012</v>
      </c>
      <c r="F7727" s="86" t="s">
        <v>2012</v>
      </c>
      <c r="G7727" s="86" t="s">
        <v>2012</v>
      </c>
      <c r="H7727" s="143">
        <v>30</v>
      </c>
      <c r="I7727" s="86" t="s">
        <v>1961</v>
      </c>
      <c r="J7727" s="1" t="s">
        <v>3671</v>
      </c>
      <c r="K7727" s="47"/>
      <c r="L7727" s="1" t="s">
        <v>3317</v>
      </c>
      <c r="M7727" s="86" t="s">
        <v>2012</v>
      </c>
      <c r="O7727" s="47" t="s">
        <v>410</v>
      </c>
      <c r="P7727" s="14" t="s">
        <v>41</v>
      </c>
      <c r="Q7727" s="14">
        <v>0</v>
      </c>
      <c r="R7727" s="143" t="s">
        <v>2084</v>
      </c>
      <c r="S7727" s="47"/>
      <c r="T7727" s="6">
        <v>48179.8</v>
      </c>
      <c r="U7727" s="6"/>
      <c r="V7727" s="6"/>
      <c r="W7727" s="6">
        <f t="shared" si="1193"/>
        <v>48179.8</v>
      </c>
      <c r="X7727" s="6">
        <f t="shared" si="1188"/>
        <v>0</v>
      </c>
      <c r="Y7727" s="13">
        <f t="shared" si="1190"/>
        <v>0</v>
      </c>
      <c r="Z7727" s="14">
        <v>0</v>
      </c>
      <c r="AA7727" s="6">
        <v>0</v>
      </c>
      <c r="AB7727" s="4">
        <f t="shared" si="1191"/>
        <v>0</v>
      </c>
      <c r="AC7727" s="6">
        <f t="shared" si="1189"/>
        <v>0</v>
      </c>
      <c r="AD7727" s="6">
        <f t="shared" si="1194"/>
        <v>0</v>
      </c>
      <c r="AE7727" s="14">
        <v>0</v>
      </c>
      <c r="AF7727" s="6">
        <f t="shared" si="1196"/>
        <v>0</v>
      </c>
      <c r="AG7727" s="14">
        <v>0</v>
      </c>
      <c r="AH7727" s="64">
        <f t="shared" si="1195"/>
        <v>0</v>
      </c>
      <c r="AJ7727" s="126" t="e">
        <v>#N/A</v>
      </c>
      <c r="AK7727" s="80">
        <f t="shared" si="1192"/>
        <v>0</v>
      </c>
      <c r="AL7727" s="85"/>
      <c r="AM7727" s="85"/>
    </row>
    <row r="7728" spans="1:39" s="86" customFormat="1" ht="13.25" hidden="1" customHeight="1" x14ac:dyDescent="0.3">
      <c r="A7728" s="89" t="s">
        <v>3978</v>
      </c>
      <c r="B7728" s="86" t="s">
        <v>35</v>
      </c>
      <c r="C7728" s="86" t="s">
        <v>164</v>
      </c>
      <c r="D7728" s="86" t="s">
        <v>174</v>
      </c>
      <c r="E7728" s="86" t="s">
        <v>50</v>
      </c>
      <c r="F7728" s="86" t="s">
        <v>50</v>
      </c>
      <c r="G7728" s="86" t="s">
        <v>50</v>
      </c>
      <c r="H7728" s="143">
        <v>30</v>
      </c>
      <c r="I7728" s="86" t="s">
        <v>1961</v>
      </c>
      <c r="J7728" s="1" t="s">
        <v>3671</v>
      </c>
      <c r="K7728" s="47"/>
      <c r="L7728" s="1" t="s">
        <v>3317</v>
      </c>
      <c r="M7728" s="86" t="s">
        <v>50</v>
      </c>
      <c r="O7728" s="47" t="s">
        <v>410</v>
      </c>
      <c r="P7728" s="14" t="s">
        <v>41</v>
      </c>
      <c r="Q7728" s="14">
        <v>0</v>
      </c>
      <c r="R7728" s="143" t="s">
        <v>2085</v>
      </c>
      <c r="S7728" s="47"/>
      <c r="T7728" s="6">
        <v>-14.2</v>
      </c>
      <c r="U7728" s="6"/>
      <c r="V7728" s="6"/>
      <c r="W7728" s="6">
        <f t="shared" si="1193"/>
        <v>-14.2</v>
      </c>
      <c r="X7728" s="6">
        <f t="shared" ref="X7728:X7791" si="1197">IF(P7728="折扣",V7728*Q7728,IF(P7728="返现",V7728,V7728/(1+Q7728)))</f>
        <v>0</v>
      </c>
      <c r="Y7728" s="13">
        <f t="shared" si="1190"/>
        <v>0</v>
      </c>
      <c r="Z7728" s="14">
        <v>0</v>
      </c>
      <c r="AA7728" s="6">
        <v>0</v>
      </c>
      <c r="AB7728" s="4">
        <f t="shared" si="1191"/>
        <v>0</v>
      </c>
      <c r="AC7728" s="6">
        <f t="shared" si="1189"/>
        <v>0</v>
      </c>
      <c r="AD7728" s="6">
        <f t="shared" si="1194"/>
        <v>0</v>
      </c>
      <c r="AE7728" s="14">
        <v>0</v>
      </c>
      <c r="AF7728" s="6">
        <f t="shared" si="1196"/>
        <v>0</v>
      </c>
      <c r="AG7728" s="14">
        <v>0</v>
      </c>
      <c r="AH7728" s="64">
        <f t="shared" si="1195"/>
        <v>0</v>
      </c>
      <c r="AJ7728" s="126" t="e">
        <v>#N/A</v>
      </c>
      <c r="AK7728" s="80">
        <f t="shared" si="1192"/>
        <v>0</v>
      </c>
      <c r="AL7728" s="85"/>
      <c r="AM7728" s="85"/>
    </row>
    <row r="7729" spans="1:39" s="86" customFormat="1" ht="13.25" hidden="1" customHeight="1" x14ac:dyDescent="0.3">
      <c r="A7729" s="89" t="s">
        <v>3978</v>
      </c>
      <c r="B7729" s="86" t="s">
        <v>35</v>
      </c>
      <c r="C7729" s="86" t="s">
        <v>47</v>
      </c>
      <c r="D7729" s="86" t="s">
        <v>48</v>
      </c>
      <c r="E7729" s="86" t="s">
        <v>2090</v>
      </c>
      <c r="F7729" s="86" t="s">
        <v>2090</v>
      </c>
      <c r="G7729" s="86" t="s">
        <v>2090</v>
      </c>
      <c r="H7729" s="143">
        <v>304</v>
      </c>
      <c r="I7729" s="86" t="s">
        <v>610</v>
      </c>
      <c r="J7729" s="47" t="s">
        <v>3323</v>
      </c>
      <c r="K7729" s="47" t="s">
        <v>3275</v>
      </c>
      <c r="L7729" s="47" t="s">
        <v>35</v>
      </c>
      <c r="M7729" s="86" t="s">
        <v>2091</v>
      </c>
      <c r="O7729" s="47" t="s">
        <v>410</v>
      </c>
      <c r="P7729" s="14" t="s">
        <v>41</v>
      </c>
      <c r="Q7729" s="14">
        <v>0</v>
      </c>
      <c r="R7729" s="143" t="s">
        <v>2092</v>
      </c>
      <c r="S7729" s="47"/>
      <c r="T7729" s="6">
        <v>5697.7</v>
      </c>
      <c r="U7729" s="6"/>
      <c r="V7729" s="6"/>
      <c r="W7729" s="6">
        <f t="shared" si="1193"/>
        <v>5697.7</v>
      </c>
      <c r="X7729" s="6">
        <f t="shared" si="1197"/>
        <v>0</v>
      </c>
      <c r="Y7729" s="13">
        <f t="shared" si="1190"/>
        <v>0</v>
      </c>
      <c r="Z7729" s="14">
        <v>0</v>
      </c>
      <c r="AA7729" s="6">
        <v>0</v>
      </c>
      <c r="AB7729" s="4">
        <f t="shared" si="1191"/>
        <v>0</v>
      </c>
      <c r="AC7729" s="6">
        <f t="shared" si="1189"/>
        <v>0</v>
      </c>
      <c r="AD7729" s="6">
        <f t="shared" si="1194"/>
        <v>0</v>
      </c>
      <c r="AE7729" s="14">
        <f>VLOOKUP(I7729,[2]媒体政策预估表!A:N,MATCH(O7729,[2]媒体政策预估表!$A$2:$M$2,0),0)</f>
        <v>0.02</v>
      </c>
      <c r="AF7729" s="6">
        <f t="shared" si="1196"/>
        <v>0</v>
      </c>
      <c r="AG7729" s="14">
        <v>0</v>
      </c>
      <c r="AH7729" s="64">
        <f t="shared" si="1195"/>
        <v>0</v>
      </c>
      <c r="AJ7729" s="126" t="e">
        <v>#N/A</v>
      </c>
      <c r="AK7729" s="80">
        <f t="shared" si="1192"/>
        <v>0</v>
      </c>
      <c r="AL7729" s="85"/>
      <c r="AM7729" s="85"/>
    </row>
    <row r="7730" spans="1:39" s="86" customFormat="1" ht="13.25" hidden="1" customHeight="1" x14ac:dyDescent="0.3">
      <c r="A7730" s="89" t="s">
        <v>3792</v>
      </c>
      <c r="B7730" s="86" t="s">
        <v>35</v>
      </c>
      <c r="C7730" s="86" t="s">
        <v>59</v>
      </c>
      <c r="D7730" s="86" t="s">
        <v>60</v>
      </c>
      <c r="E7730" s="86" t="s">
        <v>61</v>
      </c>
      <c r="F7730" s="86" t="s">
        <v>62</v>
      </c>
      <c r="G7730" s="86" t="s">
        <v>61</v>
      </c>
      <c r="H7730" s="143">
        <v>360</v>
      </c>
      <c r="I7730" s="86" t="s">
        <v>1060</v>
      </c>
      <c r="J7730" s="47" t="s">
        <v>3325</v>
      </c>
      <c r="K7730" s="47" t="s">
        <v>3767</v>
      </c>
      <c r="L7730" s="47" t="s">
        <v>35</v>
      </c>
      <c r="M7730" s="86" t="s">
        <v>61</v>
      </c>
      <c r="O7730" s="47" t="s">
        <v>45</v>
      </c>
      <c r="P7730" s="14" t="s">
        <v>46</v>
      </c>
      <c r="Q7730" s="14">
        <v>0.02</v>
      </c>
      <c r="R7730" s="143" t="s">
        <v>1841</v>
      </c>
      <c r="S7730" s="47"/>
      <c r="T7730" s="6">
        <v>-936905.81706000003</v>
      </c>
      <c r="U7730" s="6"/>
      <c r="V7730" s="6">
        <v>0</v>
      </c>
      <c r="W7730" s="6">
        <f t="shared" si="1193"/>
        <v>-936905.81706000003</v>
      </c>
      <c r="X7730" s="6">
        <f t="shared" si="1197"/>
        <v>0</v>
      </c>
      <c r="Y7730" s="13">
        <f t="shared" si="1190"/>
        <v>0</v>
      </c>
      <c r="Z7730" s="14">
        <v>0</v>
      </c>
      <c r="AA7730" s="6">
        <v>0</v>
      </c>
      <c r="AB7730" s="4">
        <f t="shared" si="1191"/>
        <v>0</v>
      </c>
      <c r="AC7730" s="6">
        <f t="shared" si="1189"/>
        <v>0</v>
      </c>
      <c r="AD7730" s="6">
        <f t="shared" si="1194"/>
        <v>0</v>
      </c>
      <c r="AE7730" s="14">
        <f>VLOOKUP(I7730,[2]媒体政策预估表!A:N,MATCH(O7730,[2]媒体政策预估表!$A$2:$M$2,0),0)</f>
        <v>0.1</v>
      </c>
      <c r="AF7730" s="6">
        <f t="shared" si="1196"/>
        <v>0</v>
      </c>
      <c r="AG7730" s="14">
        <v>0</v>
      </c>
      <c r="AH7730" s="64">
        <f t="shared" si="1195"/>
        <v>0</v>
      </c>
      <c r="AJ7730" s="126" t="e">
        <v>#N/A</v>
      </c>
      <c r="AK7730" s="80">
        <f t="shared" si="1192"/>
        <v>0</v>
      </c>
      <c r="AL7730" s="85"/>
      <c r="AM7730" s="85"/>
    </row>
    <row r="7731" spans="1:39" s="86" customFormat="1" ht="13.25" hidden="1" customHeight="1" x14ac:dyDescent="0.3">
      <c r="A7731" s="89" t="s">
        <v>3978</v>
      </c>
      <c r="B7731" s="86" t="s">
        <v>35</v>
      </c>
      <c r="C7731" s="86" t="s">
        <v>59</v>
      </c>
      <c r="D7731" s="86" t="s">
        <v>60</v>
      </c>
      <c r="E7731" s="86" t="s">
        <v>61</v>
      </c>
      <c r="F7731" s="86" t="s">
        <v>62</v>
      </c>
      <c r="G7731" s="86" t="s">
        <v>61</v>
      </c>
      <c r="H7731" s="143">
        <v>360</v>
      </c>
      <c r="I7731" s="86" t="s">
        <v>1060</v>
      </c>
      <c r="J7731" s="47" t="s">
        <v>3325</v>
      </c>
      <c r="K7731" s="47" t="s">
        <v>3767</v>
      </c>
      <c r="L7731" s="47" t="s">
        <v>35</v>
      </c>
      <c r="M7731" s="86" t="s">
        <v>61</v>
      </c>
      <c r="O7731" s="47" t="s">
        <v>941</v>
      </c>
      <c r="P7731" s="14" t="s">
        <v>46</v>
      </c>
      <c r="Q7731" s="14">
        <v>0.02</v>
      </c>
      <c r="R7731" s="143" t="s">
        <v>1841</v>
      </c>
      <c r="S7731" s="47"/>
      <c r="T7731" s="6">
        <v>-185345.80999999997</v>
      </c>
      <c r="U7731" s="6"/>
      <c r="V7731" s="6">
        <v>0</v>
      </c>
      <c r="W7731" s="6">
        <f t="shared" si="1193"/>
        <v>-185345.80999999997</v>
      </c>
      <c r="X7731" s="6">
        <f t="shared" si="1197"/>
        <v>0</v>
      </c>
      <c r="Y7731" s="13">
        <f t="shared" si="1190"/>
        <v>0</v>
      </c>
      <c r="Z7731" s="14">
        <v>0</v>
      </c>
      <c r="AA7731" s="6">
        <v>0</v>
      </c>
      <c r="AB7731" s="4">
        <f t="shared" si="1191"/>
        <v>0</v>
      </c>
      <c r="AC7731" s="6">
        <f t="shared" si="1189"/>
        <v>0</v>
      </c>
      <c r="AD7731" s="6">
        <f t="shared" si="1194"/>
        <v>0</v>
      </c>
      <c r="AE7731" s="14">
        <f>VLOOKUP(I7731,[2]媒体政策预估表!A:N,MATCH(O7731,[2]媒体政策预估表!$A$2:$M$2,0),0)</f>
        <v>0.15</v>
      </c>
      <c r="AF7731" s="6">
        <f t="shared" si="1196"/>
        <v>0</v>
      </c>
      <c r="AG7731" s="14">
        <v>0</v>
      </c>
      <c r="AH7731" s="64">
        <f t="shared" si="1195"/>
        <v>0</v>
      </c>
      <c r="AJ7731" s="126" t="e">
        <v>#N/A</v>
      </c>
      <c r="AK7731" s="80">
        <f t="shared" si="1192"/>
        <v>0</v>
      </c>
      <c r="AL7731" s="85"/>
      <c r="AM7731" s="85"/>
    </row>
    <row r="7732" spans="1:39" s="86" customFormat="1" ht="13.25" hidden="1" customHeight="1" x14ac:dyDescent="0.3">
      <c r="A7732" s="89" t="s">
        <v>3978</v>
      </c>
      <c r="B7732" s="86" t="s">
        <v>35</v>
      </c>
      <c r="C7732" s="86" t="s">
        <v>59</v>
      </c>
      <c r="D7732" s="86" t="s">
        <v>60</v>
      </c>
      <c r="E7732" s="86" t="s">
        <v>61</v>
      </c>
      <c r="F7732" s="86" t="s">
        <v>62</v>
      </c>
      <c r="G7732" s="86" t="s">
        <v>61</v>
      </c>
      <c r="H7732" s="143">
        <v>360</v>
      </c>
      <c r="I7732" s="86" t="s">
        <v>1060</v>
      </c>
      <c r="J7732" s="47" t="s">
        <v>3325</v>
      </c>
      <c r="K7732" s="47" t="s">
        <v>3767</v>
      </c>
      <c r="L7732" s="47" t="s">
        <v>35</v>
      </c>
      <c r="M7732" s="86" t="s">
        <v>61</v>
      </c>
      <c r="O7732" s="47" t="s">
        <v>2054</v>
      </c>
      <c r="P7732" s="14" t="s">
        <v>46</v>
      </c>
      <c r="Q7732" s="14">
        <v>0.02</v>
      </c>
      <c r="R7732" s="143" t="s">
        <v>1841</v>
      </c>
      <c r="S7732" s="47"/>
      <c r="T7732" s="6">
        <v>-43803.945879999999</v>
      </c>
      <c r="U7732" s="6"/>
      <c r="V7732" s="6">
        <v>0</v>
      </c>
      <c r="W7732" s="6">
        <f t="shared" si="1193"/>
        <v>-43803.945879999999</v>
      </c>
      <c r="X7732" s="6">
        <f t="shared" si="1197"/>
        <v>0</v>
      </c>
      <c r="Y7732" s="13">
        <f t="shared" si="1190"/>
        <v>0</v>
      </c>
      <c r="Z7732" s="14">
        <v>0</v>
      </c>
      <c r="AA7732" s="6">
        <v>0</v>
      </c>
      <c r="AB7732" s="4">
        <f t="shared" si="1191"/>
        <v>0</v>
      </c>
      <c r="AC7732" s="6">
        <f t="shared" si="1189"/>
        <v>0</v>
      </c>
      <c r="AD7732" s="6">
        <f t="shared" si="1194"/>
        <v>0</v>
      </c>
      <c r="AE7732" s="14">
        <f>VLOOKUP(I7732,[2]媒体政策预估表!A:N,MATCH(O7732,[2]媒体政策预估表!$A$2:$M$2,0),0)</f>
        <v>0.1</v>
      </c>
      <c r="AF7732" s="6">
        <f t="shared" si="1196"/>
        <v>0</v>
      </c>
      <c r="AG7732" s="14">
        <v>0</v>
      </c>
      <c r="AH7732" s="64">
        <f t="shared" si="1195"/>
        <v>0</v>
      </c>
      <c r="AJ7732" s="126" t="e">
        <v>#N/A</v>
      </c>
      <c r="AK7732" s="80">
        <f t="shared" si="1192"/>
        <v>0</v>
      </c>
      <c r="AL7732" s="85"/>
      <c r="AM7732" s="85"/>
    </row>
    <row r="7733" spans="1:39" s="86" customFormat="1" ht="13.25" hidden="1" customHeight="1" x14ac:dyDescent="0.3">
      <c r="A7733" s="89" t="s">
        <v>3978</v>
      </c>
      <c r="B7733" s="86" t="s">
        <v>35</v>
      </c>
      <c r="C7733" s="86" t="s">
        <v>59</v>
      </c>
      <c r="D7733" s="86" t="s">
        <v>60</v>
      </c>
      <c r="E7733" s="86" t="s">
        <v>765</v>
      </c>
      <c r="F7733" s="86" t="s">
        <v>766</v>
      </c>
      <c r="G7733" s="86" t="s">
        <v>765</v>
      </c>
      <c r="H7733" s="144">
        <v>360</v>
      </c>
      <c r="I7733" s="86" t="s">
        <v>1060</v>
      </c>
      <c r="J7733" s="47" t="s">
        <v>3325</v>
      </c>
      <c r="K7733" s="47" t="s">
        <v>3767</v>
      </c>
      <c r="L7733" s="47" t="s">
        <v>35</v>
      </c>
      <c r="M7733" s="86" t="s">
        <v>765</v>
      </c>
      <c r="O7733" s="47" t="s">
        <v>941</v>
      </c>
      <c r="P7733" s="14" t="s">
        <v>46</v>
      </c>
      <c r="Q7733" s="14">
        <v>0.04</v>
      </c>
      <c r="R7733" s="143" t="s">
        <v>1078</v>
      </c>
      <c r="S7733" s="47"/>
      <c r="T7733" s="6">
        <v>-4344858.0153799998</v>
      </c>
      <c r="U7733" s="6"/>
      <c r="V7733" s="6">
        <v>909071.07733</v>
      </c>
      <c r="W7733" s="6">
        <f t="shared" si="1193"/>
        <v>-5253929.0927099995</v>
      </c>
      <c r="X7733" s="6">
        <f t="shared" si="1197"/>
        <v>874106.80512499996</v>
      </c>
      <c r="Y7733" s="13">
        <f t="shared" si="1190"/>
        <v>0</v>
      </c>
      <c r="Z7733" s="14">
        <v>0</v>
      </c>
      <c r="AA7733" s="6">
        <v>0</v>
      </c>
      <c r="AB7733" s="4">
        <f t="shared" si="1191"/>
        <v>874106.80512499996</v>
      </c>
      <c r="AC7733" s="6">
        <f t="shared" si="1189"/>
        <v>34964.272205000045</v>
      </c>
      <c r="AD7733" s="6">
        <f t="shared" si="1194"/>
        <v>909071.07733</v>
      </c>
      <c r="AE7733" s="14">
        <f>VLOOKUP(I7733,[2]媒体政策预估表!A:N,MATCH(O7733,[2]媒体政策预估表!$A$2:$M$2,0),0)</f>
        <v>0.15</v>
      </c>
      <c r="AF7733" s="6">
        <f t="shared" si="1196"/>
        <v>136360.66159949999</v>
      </c>
      <c r="AG7733" s="14">
        <v>0</v>
      </c>
      <c r="AH7733" s="64">
        <f t="shared" si="1195"/>
        <v>909071.07733</v>
      </c>
      <c r="AJ7733" s="126" t="e">
        <v>#N/A</v>
      </c>
      <c r="AK7733" s="80">
        <f t="shared" si="1192"/>
        <v>0</v>
      </c>
      <c r="AL7733" s="85"/>
      <c r="AM7733" s="85"/>
    </row>
    <row r="7734" spans="1:39" s="86" customFormat="1" ht="13.25" hidden="1" customHeight="1" x14ac:dyDescent="0.3">
      <c r="A7734" s="89" t="s">
        <v>3978</v>
      </c>
      <c r="B7734" s="86" t="s">
        <v>35</v>
      </c>
      <c r="C7734" s="86" t="s">
        <v>59</v>
      </c>
      <c r="D7734" s="86" t="s">
        <v>60</v>
      </c>
      <c r="E7734" s="86" t="s">
        <v>2096</v>
      </c>
      <c r="F7734" s="86" t="s">
        <v>2096</v>
      </c>
      <c r="G7734" s="86" t="s">
        <v>2096</v>
      </c>
      <c r="H7734" s="143">
        <v>360</v>
      </c>
      <c r="I7734" s="86" t="s">
        <v>1060</v>
      </c>
      <c r="J7734" s="47" t="s">
        <v>3325</v>
      </c>
      <c r="K7734" s="47" t="s">
        <v>3767</v>
      </c>
      <c r="L7734" s="47" t="s">
        <v>35</v>
      </c>
      <c r="M7734" s="86" t="s">
        <v>778</v>
      </c>
      <c r="O7734" s="47" t="s">
        <v>410</v>
      </c>
      <c r="P7734" s="14" t="s">
        <v>46</v>
      </c>
      <c r="Q7734" s="14">
        <v>0.08</v>
      </c>
      <c r="R7734" s="143" t="s">
        <v>2097</v>
      </c>
      <c r="S7734" s="47"/>
      <c r="T7734" s="6">
        <v>1111.7</v>
      </c>
      <c r="U7734" s="6"/>
      <c r="V7734" s="6">
        <v>0</v>
      </c>
      <c r="W7734" s="6">
        <f t="shared" si="1193"/>
        <v>1111.7</v>
      </c>
      <c r="X7734" s="6">
        <f t="shared" si="1197"/>
        <v>0</v>
      </c>
      <c r="Y7734" s="13">
        <f t="shared" si="1190"/>
        <v>0</v>
      </c>
      <c r="Z7734" s="14">
        <v>0</v>
      </c>
      <c r="AA7734" s="6">
        <v>0</v>
      </c>
      <c r="AB7734" s="4">
        <f t="shared" si="1191"/>
        <v>0</v>
      </c>
      <c r="AC7734" s="6">
        <f t="shared" si="1189"/>
        <v>0</v>
      </c>
      <c r="AD7734" s="6">
        <f t="shared" si="1194"/>
        <v>0</v>
      </c>
      <c r="AE7734" s="14">
        <f>VLOOKUP(I7734,[2]媒体政策预估表!A:N,MATCH(O7734,[2]媒体政策预估表!$A$2:$M$2,0),0)</f>
        <v>7.0000000000000007E-2</v>
      </c>
      <c r="AF7734" s="6">
        <f t="shared" si="1196"/>
        <v>0</v>
      </c>
      <c r="AG7734" s="14">
        <v>0</v>
      </c>
      <c r="AH7734" s="64">
        <f t="shared" si="1195"/>
        <v>0</v>
      </c>
      <c r="AJ7734" s="126" t="e">
        <v>#N/A</v>
      </c>
      <c r="AK7734" s="80">
        <f t="shared" si="1192"/>
        <v>0</v>
      </c>
      <c r="AL7734" s="85"/>
      <c r="AM7734" s="85"/>
    </row>
    <row r="7735" spans="1:39" s="86" customFormat="1" ht="13.25" hidden="1" customHeight="1" x14ac:dyDescent="0.3">
      <c r="A7735" s="89" t="s">
        <v>3978</v>
      </c>
      <c r="B7735" s="86" t="s">
        <v>35</v>
      </c>
      <c r="C7735" s="86" t="s">
        <v>59</v>
      </c>
      <c r="D7735" s="86" t="s">
        <v>60</v>
      </c>
      <c r="E7735" s="86" t="s">
        <v>784</v>
      </c>
      <c r="F7735" s="86" t="s">
        <v>784</v>
      </c>
      <c r="G7735" s="86" t="s">
        <v>784</v>
      </c>
      <c r="H7735" s="143">
        <v>360</v>
      </c>
      <c r="I7735" s="86" t="s">
        <v>1060</v>
      </c>
      <c r="J7735" s="47" t="s">
        <v>3325</v>
      </c>
      <c r="K7735" s="47" t="s">
        <v>3767</v>
      </c>
      <c r="L7735" s="47" t="s">
        <v>35</v>
      </c>
      <c r="M7735" s="86" t="s">
        <v>2098</v>
      </c>
      <c r="O7735" s="47" t="s">
        <v>941</v>
      </c>
      <c r="P7735" s="14" t="s">
        <v>46</v>
      </c>
      <c r="Q7735" s="14">
        <v>0.04</v>
      </c>
      <c r="R7735" s="143" t="s">
        <v>1851</v>
      </c>
      <c r="S7735" s="47"/>
      <c r="T7735" s="6">
        <v>-23338.6</v>
      </c>
      <c r="U7735" s="6"/>
      <c r="V7735" s="6">
        <v>0</v>
      </c>
      <c r="W7735" s="6">
        <f t="shared" si="1193"/>
        <v>-23338.6</v>
      </c>
      <c r="X7735" s="6">
        <f t="shared" si="1197"/>
        <v>0</v>
      </c>
      <c r="Y7735" s="13">
        <f t="shared" si="1190"/>
        <v>0</v>
      </c>
      <c r="Z7735" s="14">
        <v>0</v>
      </c>
      <c r="AA7735" s="6">
        <v>0</v>
      </c>
      <c r="AB7735" s="4">
        <f t="shared" si="1191"/>
        <v>0</v>
      </c>
      <c r="AC7735" s="6">
        <f t="shared" si="1189"/>
        <v>0</v>
      </c>
      <c r="AD7735" s="6">
        <f t="shared" si="1194"/>
        <v>0</v>
      </c>
      <c r="AE7735" s="14">
        <f>VLOOKUP(I7735,[2]媒体政策预估表!A:N,MATCH(O7735,[2]媒体政策预估表!$A$2:$M$2,0),0)</f>
        <v>0.15</v>
      </c>
      <c r="AF7735" s="6">
        <f t="shared" si="1196"/>
        <v>0</v>
      </c>
      <c r="AG7735" s="14">
        <v>0</v>
      </c>
      <c r="AH7735" s="64">
        <f t="shared" si="1195"/>
        <v>0</v>
      </c>
      <c r="AJ7735" s="126" t="e">
        <v>#N/A</v>
      </c>
      <c r="AK7735" s="80">
        <f t="shared" si="1192"/>
        <v>0</v>
      </c>
      <c r="AL7735" s="85"/>
      <c r="AM7735" s="85"/>
    </row>
    <row r="7736" spans="1:39" s="86" customFormat="1" ht="13.25" hidden="1" customHeight="1" x14ac:dyDescent="0.3">
      <c r="A7736" s="89" t="s">
        <v>3978</v>
      </c>
      <c r="B7736" s="86" t="s">
        <v>35</v>
      </c>
      <c r="C7736" s="86" t="s">
        <v>164</v>
      </c>
      <c r="D7736" s="86" t="s">
        <v>174</v>
      </c>
      <c r="E7736" s="86" t="s">
        <v>1966</v>
      </c>
      <c r="F7736" s="86" t="s">
        <v>1966</v>
      </c>
      <c r="G7736" s="86" t="s">
        <v>1966</v>
      </c>
      <c r="H7736" s="143">
        <v>360</v>
      </c>
      <c r="I7736" s="86" t="s">
        <v>1060</v>
      </c>
      <c r="J7736" s="47" t="s">
        <v>3325</v>
      </c>
      <c r="K7736" s="47" t="s">
        <v>3767</v>
      </c>
      <c r="L7736" s="47" t="s">
        <v>35</v>
      </c>
      <c r="M7736" s="86" t="s">
        <v>2099</v>
      </c>
      <c r="O7736" s="47" t="s">
        <v>45</v>
      </c>
      <c r="P7736" s="14" t="s">
        <v>46</v>
      </c>
      <c r="Q7736" s="14">
        <v>0.04</v>
      </c>
      <c r="R7736" s="143" t="s">
        <v>2100</v>
      </c>
      <c r="S7736" s="47"/>
      <c r="T7736" s="6">
        <v>12.47</v>
      </c>
      <c r="U7736" s="6"/>
      <c r="V7736" s="6">
        <v>0</v>
      </c>
      <c r="W7736" s="6">
        <f t="shared" si="1193"/>
        <v>12.47</v>
      </c>
      <c r="X7736" s="6">
        <f t="shared" si="1197"/>
        <v>0</v>
      </c>
      <c r="Y7736" s="13">
        <f t="shared" si="1190"/>
        <v>0</v>
      </c>
      <c r="Z7736" s="14">
        <v>0</v>
      </c>
      <c r="AA7736" s="6">
        <v>0</v>
      </c>
      <c r="AB7736" s="4">
        <f t="shared" si="1191"/>
        <v>0</v>
      </c>
      <c r="AC7736" s="6">
        <f t="shared" si="1189"/>
        <v>0</v>
      </c>
      <c r="AD7736" s="6">
        <f t="shared" si="1194"/>
        <v>0</v>
      </c>
      <c r="AE7736" s="14">
        <f>VLOOKUP(I7736,[2]媒体政策预估表!A:N,MATCH(O7736,[2]媒体政策预估表!$A$2:$M$2,0),0)</f>
        <v>0.1</v>
      </c>
      <c r="AF7736" s="6">
        <f t="shared" si="1196"/>
        <v>0</v>
      </c>
      <c r="AG7736" s="14">
        <v>0</v>
      </c>
      <c r="AH7736" s="64">
        <f t="shared" si="1195"/>
        <v>0</v>
      </c>
      <c r="AJ7736" s="126" t="e">
        <v>#N/A</v>
      </c>
      <c r="AK7736" s="80">
        <f t="shared" si="1192"/>
        <v>0</v>
      </c>
      <c r="AL7736" s="85"/>
      <c r="AM7736" s="85"/>
    </row>
    <row r="7737" spans="1:39" s="86" customFormat="1" ht="13.25" hidden="1" customHeight="1" x14ac:dyDescent="0.3">
      <c r="A7737" s="89" t="s">
        <v>3978</v>
      </c>
      <c r="B7737" s="86" t="s">
        <v>35</v>
      </c>
      <c r="C7737" s="86" t="s">
        <v>36</v>
      </c>
      <c r="D7737" s="86" t="s">
        <v>185</v>
      </c>
      <c r="E7737" s="86" t="s">
        <v>2101</v>
      </c>
      <c r="F7737" s="86" t="s">
        <v>2101</v>
      </c>
      <c r="G7737" s="86" t="s">
        <v>2101</v>
      </c>
      <c r="H7737" s="143">
        <v>360</v>
      </c>
      <c r="I7737" s="86" t="s">
        <v>1060</v>
      </c>
      <c r="J7737" s="47" t="s">
        <v>3325</v>
      </c>
      <c r="K7737" s="47" t="s">
        <v>3767</v>
      </c>
      <c r="L7737" s="47" t="s">
        <v>35</v>
      </c>
      <c r="M7737" s="86" t="s">
        <v>2102</v>
      </c>
      <c r="O7737" s="47" t="s">
        <v>410</v>
      </c>
      <c r="P7737" s="14" t="s">
        <v>46</v>
      </c>
      <c r="Q7737" s="14">
        <v>0.02</v>
      </c>
      <c r="R7737" s="143" t="s">
        <v>2103</v>
      </c>
      <c r="S7737" s="47"/>
      <c r="T7737" s="6">
        <v>450.89999999998997</v>
      </c>
      <c r="U7737" s="6"/>
      <c r="V7737" s="6">
        <v>0</v>
      </c>
      <c r="W7737" s="6">
        <f t="shared" si="1193"/>
        <v>450.89999999998997</v>
      </c>
      <c r="X7737" s="6">
        <f t="shared" si="1197"/>
        <v>0</v>
      </c>
      <c r="Y7737" s="13">
        <f t="shared" si="1190"/>
        <v>0</v>
      </c>
      <c r="Z7737" s="14">
        <v>0</v>
      </c>
      <c r="AA7737" s="6">
        <v>0</v>
      </c>
      <c r="AB7737" s="4">
        <f t="shared" si="1191"/>
        <v>0</v>
      </c>
      <c r="AC7737" s="6">
        <f t="shared" si="1189"/>
        <v>0</v>
      </c>
      <c r="AD7737" s="6">
        <f t="shared" si="1194"/>
        <v>0</v>
      </c>
      <c r="AE7737" s="14">
        <f>VLOOKUP(I7737,[2]媒体政策预估表!A:N,MATCH(O7737,[2]媒体政策预估表!$A$2:$M$2,0),0)</f>
        <v>7.0000000000000007E-2</v>
      </c>
      <c r="AF7737" s="6">
        <f t="shared" si="1196"/>
        <v>0</v>
      </c>
      <c r="AG7737" s="14">
        <v>0</v>
      </c>
      <c r="AH7737" s="64">
        <f t="shared" si="1195"/>
        <v>0</v>
      </c>
      <c r="AJ7737" s="126" t="e">
        <v>#N/A</v>
      </c>
      <c r="AK7737" s="80">
        <f t="shared" si="1192"/>
        <v>0</v>
      </c>
      <c r="AL7737" s="85"/>
      <c r="AM7737" s="85"/>
    </row>
    <row r="7738" spans="1:39" s="86" customFormat="1" ht="13.25" hidden="1" customHeight="1" x14ac:dyDescent="0.3">
      <c r="A7738" s="89" t="s">
        <v>3792</v>
      </c>
      <c r="B7738" s="86" t="s">
        <v>35</v>
      </c>
      <c r="C7738" s="86" t="s">
        <v>36</v>
      </c>
      <c r="D7738" s="86" t="s">
        <v>185</v>
      </c>
      <c r="E7738" s="86" t="s">
        <v>2104</v>
      </c>
      <c r="F7738" s="86" t="s">
        <v>2105</v>
      </c>
      <c r="G7738" s="86" t="s">
        <v>2104</v>
      </c>
      <c r="H7738" s="143">
        <v>360</v>
      </c>
      <c r="I7738" s="86" t="s">
        <v>1060</v>
      </c>
      <c r="J7738" s="47" t="s">
        <v>3325</v>
      </c>
      <c r="K7738" s="47" t="s">
        <v>3767</v>
      </c>
      <c r="L7738" s="47" t="s">
        <v>35</v>
      </c>
      <c r="M7738" s="86" t="s">
        <v>2104</v>
      </c>
      <c r="O7738" s="47" t="s">
        <v>45</v>
      </c>
      <c r="P7738" s="14" t="s">
        <v>41</v>
      </c>
      <c r="Q7738" s="14">
        <v>0</v>
      </c>
      <c r="R7738" s="143" t="s">
        <v>2106</v>
      </c>
      <c r="S7738" s="47"/>
      <c r="T7738" s="6">
        <v>4.9999999999954498E-2</v>
      </c>
      <c r="U7738" s="6"/>
      <c r="V7738" s="6">
        <v>0</v>
      </c>
      <c r="W7738" s="6">
        <f t="shared" si="1193"/>
        <v>4.9999999999954498E-2</v>
      </c>
      <c r="X7738" s="6">
        <f t="shared" si="1197"/>
        <v>0</v>
      </c>
      <c r="Y7738" s="13">
        <f t="shared" si="1190"/>
        <v>0</v>
      </c>
      <c r="Z7738" s="14">
        <v>0</v>
      </c>
      <c r="AA7738" s="6">
        <v>0</v>
      </c>
      <c r="AB7738" s="4">
        <f t="shared" si="1191"/>
        <v>0</v>
      </c>
      <c r="AC7738" s="6">
        <f t="shared" si="1189"/>
        <v>0</v>
      </c>
      <c r="AD7738" s="6">
        <f t="shared" si="1194"/>
        <v>0</v>
      </c>
      <c r="AE7738" s="14">
        <f>VLOOKUP(I7738,[2]媒体政策预估表!A:N,MATCH(O7738,[2]媒体政策预估表!$A$2:$M$2,0),0)</f>
        <v>0.1</v>
      </c>
      <c r="AF7738" s="6">
        <f t="shared" si="1196"/>
        <v>0</v>
      </c>
      <c r="AG7738" s="14">
        <v>0</v>
      </c>
      <c r="AH7738" s="64">
        <f t="shared" si="1195"/>
        <v>0</v>
      </c>
      <c r="AJ7738" s="126" t="e">
        <v>#N/A</v>
      </c>
      <c r="AK7738" s="80">
        <f t="shared" si="1192"/>
        <v>0</v>
      </c>
      <c r="AL7738" s="85"/>
      <c r="AM7738" s="85"/>
    </row>
    <row r="7739" spans="1:39" s="86" customFormat="1" ht="13.25" hidden="1" customHeight="1" x14ac:dyDescent="0.3">
      <c r="A7739" s="89" t="s">
        <v>3978</v>
      </c>
      <c r="B7739" s="86" t="s">
        <v>35</v>
      </c>
      <c r="C7739" s="86" t="s">
        <v>36</v>
      </c>
      <c r="D7739" s="86" t="s">
        <v>185</v>
      </c>
      <c r="E7739" s="86" t="s">
        <v>2107</v>
      </c>
      <c r="F7739" s="86" t="s">
        <v>2107</v>
      </c>
      <c r="G7739" s="86" t="s">
        <v>2107</v>
      </c>
      <c r="H7739" s="143">
        <v>360</v>
      </c>
      <c r="I7739" s="86" t="s">
        <v>1060</v>
      </c>
      <c r="J7739" s="47" t="s">
        <v>3325</v>
      </c>
      <c r="K7739" s="47" t="s">
        <v>3767</v>
      </c>
      <c r="L7739" s="47" t="s">
        <v>35</v>
      </c>
      <c r="M7739" s="86" t="s">
        <v>2108</v>
      </c>
      <c r="O7739" s="47" t="s">
        <v>410</v>
      </c>
      <c r="P7739" s="14" t="s">
        <v>41</v>
      </c>
      <c r="Q7739" s="14">
        <v>0</v>
      </c>
      <c r="R7739" s="143" t="s">
        <v>2109</v>
      </c>
      <c r="S7739" s="47"/>
      <c r="T7739" s="6">
        <v>1.1000000000000001</v>
      </c>
      <c r="U7739" s="6"/>
      <c r="V7739" s="6">
        <v>0</v>
      </c>
      <c r="W7739" s="6">
        <f t="shared" si="1193"/>
        <v>1.1000000000000001</v>
      </c>
      <c r="X7739" s="6">
        <f t="shared" si="1197"/>
        <v>0</v>
      </c>
      <c r="Y7739" s="13">
        <f t="shared" si="1190"/>
        <v>0</v>
      </c>
      <c r="Z7739" s="14">
        <v>0</v>
      </c>
      <c r="AA7739" s="6">
        <v>0</v>
      </c>
      <c r="AB7739" s="4">
        <f t="shared" si="1191"/>
        <v>0</v>
      </c>
      <c r="AC7739" s="6">
        <f t="shared" si="1189"/>
        <v>0</v>
      </c>
      <c r="AD7739" s="6">
        <f t="shared" si="1194"/>
        <v>0</v>
      </c>
      <c r="AE7739" s="14">
        <f>VLOOKUP(I7739,[2]媒体政策预估表!A:N,MATCH(O7739,[2]媒体政策预估表!$A$2:$M$2,0),0)</f>
        <v>7.0000000000000007E-2</v>
      </c>
      <c r="AF7739" s="6">
        <f t="shared" si="1196"/>
        <v>0</v>
      </c>
      <c r="AG7739" s="14">
        <v>0</v>
      </c>
      <c r="AH7739" s="64">
        <f t="shared" si="1195"/>
        <v>0</v>
      </c>
      <c r="AJ7739" s="126" t="e">
        <v>#N/A</v>
      </c>
      <c r="AK7739" s="80">
        <f t="shared" si="1192"/>
        <v>0</v>
      </c>
      <c r="AL7739" s="85"/>
      <c r="AM7739" s="85"/>
    </row>
    <row r="7740" spans="1:39" s="86" customFormat="1" ht="13.25" hidden="1" customHeight="1" x14ac:dyDescent="0.3">
      <c r="A7740" s="89" t="s">
        <v>3978</v>
      </c>
      <c r="B7740" s="86" t="s">
        <v>35</v>
      </c>
      <c r="C7740" s="86" t="s">
        <v>36</v>
      </c>
      <c r="D7740" s="86" t="s">
        <v>185</v>
      </c>
      <c r="E7740" s="86" t="s">
        <v>2110</v>
      </c>
      <c r="F7740" s="86" t="s">
        <v>2110</v>
      </c>
      <c r="G7740" s="86" t="s">
        <v>2110</v>
      </c>
      <c r="H7740" s="143">
        <v>360</v>
      </c>
      <c r="I7740" s="86" t="s">
        <v>1060</v>
      </c>
      <c r="J7740" s="47" t="s">
        <v>3325</v>
      </c>
      <c r="K7740" s="47" t="s">
        <v>3767</v>
      </c>
      <c r="L7740" s="47" t="s">
        <v>35</v>
      </c>
      <c r="M7740" s="86" t="s">
        <v>2111</v>
      </c>
      <c r="O7740" s="47" t="s">
        <v>45</v>
      </c>
      <c r="P7740" s="14" t="s">
        <v>46</v>
      </c>
      <c r="Q7740" s="14">
        <v>7.0000000000000007E-2</v>
      </c>
      <c r="R7740" s="143" t="s">
        <v>2112</v>
      </c>
      <c r="S7740" s="47"/>
      <c r="T7740" s="6">
        <v>447.35000000001003</v>
      </c>
      <c r="U7740" s="6"/>
      <c r="V7740" s="6">
        <v>0</v>
      </c>
      <c r="W7740" s="6">
        <f t="shared" si="1193"/>
        <v>447.35000000001003</v>
      </c>
      <c r="X7740" s="6">
        <f t="shared" si="1197"/>
        <v>0</v>
      </c>
      <c r="Y7740" s="13">
        <f t="shared" si="1190"/>
        <v>0</v>
      </c>
      <c r="Z7740" s="14">
        <v>0</v>
      </c>
      <c r="AA7740" s="6">
        <v>0</v>
      </c>
      <c r="AB7740" s="4"/>
      <c r="AC7740" s="6">
        <f t="shared" si="1189"/>
        <v>0</v>
      </c>
      <c r="AD7740" s="6">
        <f t="shared" si="1194"/>
        <v>0</v>
      </c>
      <c r="AE7740" s="14">
        <f>VLOOKUP(I7740,[2]媒体政策预估表!A:N,MATCH(O7740,[2]媒体政策预估表!$A$2:$M$2,0),0)</f>
        <v>0.1</v>
      </c>
      <c r="AF7740" s="6">
        <f t="shared" si="1196"/>
        <v>0</v>
      </c>
      <c r="AG7740" s="14">
        <v>0</v>
      </c>
      <c r="AH7740" s="64">
        <f t="shared" si="1195"/>
        <v>0</v>
      </c>
      <c r="AJ7740" s="126">
        <v>66</v>
      </c>
      <c r="AK7740" s="80">
        <f t="shared" si="1192"/>
        <v>0</v>
      </c>
      <c r="AL7740" s="85"/>
      <c r="AM7740" s="85"/>
    </row>
    <row r="7741" spans="1:39" s="86" customFormat="1" ht="13.25" hidden="1" customHeight="1" x14ac:dyDescent="0.3">
      <c r="A7741" s="89" t="s">
        <v>3792</v>
      </c>
      <c r="B7741" s="86" t="s">
        <v>35</v>
      </c>
      <c r="C7741" s="86" t="s">
        <v>36</v>
      </c>
      <c r="D7741" s="86" t="s">
        <v>185</v>
      </c>
      <c r="E7741" s="86" t="s">
        <v>2113</v>
      </c>
      <c r="F7741" s="86" t="s">
        <v>2113</v>
      </c>
      <c r="G7741" s="86" t="s">
        <v>2113</v>
      </c>
      <c r="H7741" s="143">
        <v>360</v>
      </c>
      <c r="I7741" s="86" t="s">
        <v>1060</v>
      </c>
      <c r="J7741" s="47" t="s">
        <v>3325</v>
      </c>
      <c r="K7741" s="47" t="s">
        <v>3767</v>
      </c>
      <c r="L7741" s="47" t="s">
        <v>35</v>
      </c>
      <c r="M7741" s="86" t="s">
        <v>2113</v>
      </c>
      <c r="O7741" s="47" t="s">
        <v>410</v>
      </c>
      <c r="P7741" s="14" t="s">
        <v>41</v>
      </c>
      <c r="Q7741" s="14">
        <v>0</v>
      </c>
      <c r="R7741" s="143" t="s">
        <v>2114</v>
      </c>
      <c r="S7741" s="47"/>
      <c r="T7741" s="6">
        <v>3627.9</v>
      </c>
      <c r="U7741" s="6"/>
      <c r="V7741" s="6">
        <v>0</v>
      </c>
      <c r="W7741" s="6">
        <f t="shared" si="1193"/>
        <v>3627.9</v>
      </c>
      <c r="X7741" s="6">
        <f t="shared" si="1197"/>
        <v>0</v>
      </c>
      <c r="Y7741" s="13">
        <f t="shared" si="1190"/>
        <v>0</v>
      </c>
      <c r="Z7741" s="14">
        <v>0</v>
      </c>
      <c r="AA7741" s="6">
        <v>0</v>
      </c>
      <c r="AB7741" s="4">
        <f t="shared" si="1191"/>
        <v>0</v>
      </c>
      <c r="AC7741" s="6">
        <f t="shared" si="1189"/>
        <v>0</v>
      </c>
      <c r="AD7741" s="6">
        <f t="shared" si="1194"/>
        <v>0</v>
      </c>
      <c r="AE7741" s="14">
        <f>VLOOKUP(I7741,[2]媒体政策预估表!A:N,MATCH(O7741,[2]媒体政策预估表!$A$2:$M$2,0),0)</f>
        <v>7.0000000000000007E-2</v>
      </c>
      <c r="AF7741" s="6">
        <f t="shared" si="1196"/>
        <v>0</v>
      </c>
      <c r="AG7741" s="14">
        <v>0</v>
      </c>
      <c r="AH7741" s="64">
        <f t="shared" si="1195"/>
        <v>0</v>
      </c>
      <c r="AJ7741" s="126" t="e">
        <v>#N/A</v>
      </c>
      <c r="AK7741" s="80">
        <f t="shared" si="1192"/>
        <v>0</v>
      </c>
      <c r="AL7741" s="85"/>
      <c r="AM7741" s="85"/>
    </row>
    <row r="7742" spans="1:39" s="86" customFormat="1" ht="13.25" hidden="1" customHeight="1" x14ac:dyDescent="0.3">
      <c r="A7742" s="89" t="s">
        <v>3978</v>
      </c>
      <c r="B7742" s="86" t="s">
        <v>35</v>
      </c>
      <c r="C7742" s="86" t="s">
        <v>47</v>
      </c>
      <c r="D7742" s="86" t="s">
        <v>48</v>
      </c>
      <c r="E7742" s="86" t="s">
        <v>550</v>
      </c>
      <c r="F7742" s="86" t="s">
        <v>551</v>
      </c>
      <c r="G7742" s="86" t="s">
        <v>550</v>
      </c>
      <c r="H7742" s="143">
        <v>360</v>
      </c>
      <c r="I7742" s="86" t="s">
        <v>1060</v>
      </c>
      <c r="J7742" s="47" t="s">
        <v>3325</v>
      </c>
      <c r="K7742" s="47" t="s">
        <v>3767</v>
      </c>
      <c r="L7742" s="47" t="s">
        <v>35</v>
      </c>
      <c r="M7742" s="86" t="s">
        <v>550</v>
      </c>
      <c r="O7742" s="47" t="s">
        <v>45</v>
      </c>
      <c r="P7742" s="14" t="s">
        <v>41</v>
      </c>
      <c r="Q7742" s="14">
        <v>0</v>
      </c>
      <c r="R7742" s="143" t="s">
        <v>1920</v>
      </c>
      <c r="S7742" s="47"/>
      <c r="T7742" s="6">
        <v>-180715.45261000001</v>
      </c>
      <c r="U7742" s="6"/>
      <c r="V7742" s="6">
        <v>0</v>
      </c>
      <c r="W7742" s="6">
        <f t="shared" si="1193"/>
        <v>-180715.45261000001</v>
      </c>
      <c r="X7742" s="6">
        <f t="shared" si="1197"/>
        <v>0</v>
      </c>
      <c r="Y7742" s="13">
        <f t="shared" si="1190"/>
        <v>0</v>
      </c>
      <c r="Z7742" s="14">
        <v>0</v>
      </c>
      <c r="AA7742" s="6">
        <v>0</v>
      </c>
      <c r="AB7742" s="4">
        <f t="shared" si="1191"/>
        <v>0</v>
      </c>
      <c r="AC7742" s="6">
        <f t="shared" ref="AC7742:AC7805" si="1198">IF(P7742="返现",X7742*Q7742,V7742-X7742)</f>
        <v>0</v>
      </c>
      <c r="AD7742" s="6">
        <f t="shared" si="1194"/>
        <v>0</v>
      </c>
      <c r="AE7742" s="14">
        <f>VLOOKUP(I7742,[2]媒体政策预估表!A:N,MATCH(O7742,[2]媒体政策预估表!$A$2:$M$2,0),0)</f>
        <v>0.1</v>
      </c>
      <c r="AF7742" s="6">
        <f t="shared" si="1196"/>
        <v>0</v>
      </c>
      <c r="AG7742" s="14">
        <v>0</v>
      </c>
      <c r="AH7742" s="64">
        <f t="shared" si="1195"/>
        <v>0</v>
      </c>
      <c r="AJ7742" s="126" t="e">
        <v>#N/A</v>
      </c>
      <c r="AK7742" s="80">
        <f t="shared" si="1192"/>
        <v>0</v>
      </c>
      <c r="AL7742" s="85"/>
      <c r="AM7742" s="85"/>
    </row>
    <row r="7743" spans="1:39" s="86" customFormat="1" ht="13.25" hidden="1" customHeight="1" x14ac:dyDescent="0.3">
      <c r="A7743" s="89" t="s">
        <v>3978</v>
      </c>
      <c r="B7743" s="86" t="s">
        <v>35</v>
      </c>
      <c r="C7743" s="86" t="s">
        <v>47</v>
      </c>
      <c r="D7743" s="86" t="s">
        <v>48</v>
      </c>
      <c r="E7743" s="86" t="s">
        <v>550</v>
      </c>
      <c r="F7743" s="86" t="s">
        <v>551</v>
      </c>
      <c r="G7743" s="86" t="s">
        <v>550</v>
      </c>
      <c r="H7743" s="143">
        <v>360</v>
      </c>
      <c r="I7743" s="86" t="s">
        <v>1060</v>
      </c>
      <c r="J7743" s="47" t="s">
        <v>3325</v>
      </c>
      <c r="K7743" s="47" t="s">
        <v>3767</v>
      </c>
      <c r="L7743" s="47" t="s">
        <v>35</v>
      </c>
      <c r="M7743" s="86" t="s">
        <v>550</v>
      </c>
      <c r="O7743" s="47" t="s">
        <v>941</v>
      </c>
      <c r="P7743" s="14" t="s">
        <v>41</v>
      </c>
      <c r="Q7743" s="14">
        <v>0</v>
      </c>
      <c r="R7743" s="143" t="s">
        <v>1920</v>
      </c>
      <c r="S7743" s="47"/>
      <c r="T7743" s="6">
        <v>-4350.87</v>
      </c>
      <c r="U7743" s="6"/>
      <c r="V7743" s="6">
        <v>0</v>
      </c>
      <c r="W7743" s="6">
        <f t="shared" si="1193"/>
        <v>-4350.87</v>
      </c>
      <c r="X7743" s="6">
        <f t="shared" si="1197"/>
        <v>0</v>
      </c>
      <c r="Y7743" s="13">
        <f t="shared" si="1190"/>
        <v>0</v>
      </c>
      <c r="Z7743" s="14">
        <v>0</v>
      </c>
      <c r="AA7743" s="6">
        <v>0</v>
      </c>
      <c r="AB7743" s="4">
        <f t="shared" si="1191"/>
        <v>0</v>
      </c>
      <c r="AC7743" s="6">
        <f t="shared" si="1198"/>
        <v>0</v>
      </c>
      <c r="AD7743" s="6">
        <f t="shared" si="1194"/>
        <v>0</v>
      </c>
      <c r="AE7743" s="14">
        <f>VLOOKUP(I7743,[2]媒体政策预估表!A:N,MATCH(O7743,[2]媒体政策预估表!$A$2:$M$2,0),0)</f>
        <v>0.15</v>
      </c>
      <c r="AF7743" s="6">
        <f t="shared" si="1196"/>
        <v>0</v>
      </c>
      <c r="AG7743" s="14">
        <v>0</v>
      </c>
      <c r="AH7743" s="64">
        <f t="shared" si="1195"/>
        <v>0</v>
      </c>
      <c r="AJ7743" s="126" t="e">
        <v>#N/A</v>
      </c>
      <c r="AK7743" s="80">
        <f t="shared" si="1192"/>
        <v>0</v>
      </c>
      <c r="AL7743" s="85"/>
      <c r="AM7743" s="85"/>
    </row>
    <row r="7744" spans="1:39" s="86" customFormat="1" ht="13.25" hidden="1" customHeight="1" x14ac:dyDescent="0.3">
      <c r="A7744" s="89" t="s">
        <v>3978</v>
      </c>
      <c r="B7744" s="86" t="s">
        <v>35</v>
      </c>
      <c r="C7744" s="86" t="s">
        <v>47</v>
      </c>
      <c r="D7744" s="86" t="s">
        <v>48</v>
      </c>
      <c r="E7744" s="86" t="s">
        <v>550</v>
      </c>
      <c r="F7744" s="86" t="s">
        <v>551</v>
      </c>
      <c r="G7744" s="86" t="s">
        <v>550</v>
      </c>
      <c r="H7744" s="143">
        <v>360</v>
      </c>
      <c r="I7744" s="86" t="s">
        <v>1060</v>
      </c>
      <c r="J7744" s="47" t="s">
        <v>3325</v>
      </c>
      <c r="K7744" s="47" t="s">
        <v>3767</v>
      </c>
      <c r="L7744" s="47" t="s">
        <v>35</v>
      </c>
      <c r="M7744" s="86" t="s">
        <v>550</v>
      </c>
      <c r="O7744" s="47" t="s">
        <v>2054</v>
      </c>
      <c r="P7744" s="14" t="s">
        <v>41</v>
      </c>
      <c r="Q7744" s="14">
        <v>0</v>
      </c>
      <c r="R7744" s="143" t="s">
        <v>1920</v>
      </c>
      <c r="S7744" s="47"/>
      <c r="T7744" s="6">
        <v>-5507.8273900000013</v>
      </c>
      <c r="U7744" s="6"/>
      <c r="V7744" s="6">
        <v>0</v>
      </c>
      <c r="W7744" s="6">
        <f t="shared" si="1193"/>
        <v>-5507.8273900000013</v>
      </c>
      <c r="X7744" s="6">
        <f t="shared" si="1197"/>
        <v>0</v>
      </c>
      <c r="Y7744" s="13">
        <f t="shared" si="1190"/>
        <v>0</v>
      </c>
      <c r="Z7744" s="14">
        <v>0</v>
      </c>
      <c r="AA7744" s="6">
        <v>0</v>
      </c>
      <c r="AB7744" s="4">
        <f t="shared" si="1191"/>
        <v>0</v>
      </c>
      <c r="AC7744" s="6">
        <f t="shared" si="1198"/>
        <v>0</v>
      </c>
      <c r="AD7744" s="6">
        <f t="shared" si="1194"/>
        <v>0</v>
      </c>
      <c r="AE7744" s="14">
        <f>VLOOKUP(I7744,[2]媒体政策预估表!A:N,MATCH(O7744,[2]媒体政策预估表!$A$2:$M$2,0),0)</f>
        <v>0.1</v>
      </c>
      <c r="AF7744" s="6">
        <f t="shared" si="1196"/>
        <v>0</v>
      </c>
      <c r="AG7744" s="14">
        <v>0</v>
      </c>
      <c r="AH7744" s="64">
        <f t="shared" si="1195"/>
        <v>0</v>
      </c>
      <c r="AJ7744" s="126" t="e">
        <v>#N/A</v>
      </c>
      <c r="AK7744" s="80">
        <f t="shared" si="1192"/>
        <v>0</v>
      </c>
      <c r="AL7744" s="85"/>
      <c r="AM7744" s="85"/>
    </row>
    <row r="7745" spans="1:39" s="86" customFormat="1" ht="13.25" hidden="1" customHeight="1" x14ac:dyDescent="0.3">
      <c r="A7745" s="89" t="s">
        <v>3978</v>
      </c>
      <c r="B7745" s="86" t="s">
        <v>35</v>
      </c>
      <c r="C7745" s="86" t="s">
        <v>36</v>
      </c>
      <c r="D7745" s="86" t="s">
        <v>185</v>
      </c>
      <c r="E7745" s="86" t="s">
        <v>2115</v>
      </c>
      <c r="F7745" s="86" t="s">
        <v>2115</v>
      </c>
      <c r="G7745" s="86" t="s">
        <v>2115</v>
      </c>
      <c r="H7745" s="143">
        <v>360</v>
      </c>
      <c r="I7745" s="86" t="s">
        <v>1060</v>
      </c>
      <c r="J7745" s="47" t="s">
        <v>3325</v>
      </c>
      <c r="K7745" s="47" t="s">
        <v>3767</v>
      </c>
      <c r="L7745" s="47" t="s">
        <v>35</v>
      </c>
      <c r="M7745" s="86" t="s">
        <v>2115</v>
      </c>
      <c r="O7745" s="47" t="s">
        <v>410</v>
      </c>
      <c r="P7745" s="14" t="s">
        <v>46</v>
      </c>
      <c r="Q7745" s="14">
        <v>0.03</v>
      </c>
      <c r="R7745" s="143" t="s">
        <v>2116</v>
      </c>
      <c r="S7745" s="47"/>
      <c r="T7745" s="6">
        <v>2728.4</v>
      </c>
      <c r="U7745" s="6"/>
      <c r="V7745" s="6">
        <v>0</v>
      </c>
      <c r="W7745" s="6">
        <f t="shared" si="1193"/>
        <v>2728.4</v>
      </c>
      <c r="X7745" s="6">
        <f t="shared" si="1197"/>
        <v>0</v>
      </c>
      <c r="Y7745" s="13">
        <f t="shared" si="1190"/>
        <v>0</v>
      </c>
      <c r="Z7745" s="14">
        <v>0</v>
      </c>
      <c r="AA7745" s="6">
        <v>0</v>
      </c>
      <c r="AB7745" s="4">
        <f t="shared" si="1191"/>
        <v>0</v>
      </c>
      <c r="AC7745" s="6">
        <f t="shared" si="1198"/>
        <v>0</v>
      </c>
      <c r="AD7745" s="6">
        <f t="shared" si="1194"/>
        <v>0</v>
      </c>
      <c r="AE7745" s="14">
        <f>VLOOKUP(I7745,[2]媒体政策预估表!A:N,MATCH(O7745,[2]媒体政策预估表!$A$2:$M$2,0),0)</f>
        <v>7.0000000000000007E-2</v>
      </c>
      <c r="AF7745" s="6">
        <f t="shared" si="1196"/>
        <v>0</v>
      </c>
      <c r="AG7745" s="14">
        <v>0</v>
      </c>
      <c r="AH7745" s="64">
        <f t="shared" si="1195"/>
        <v>0</v>
      </c>
      <c r="AJ7745" s="126" t="e">
        <v>#N/A</v>
      </c>
      <c r="AK7745" s="80">
        <f t="shared" si="1192"/>
        <v>0</v>
      </c>
      <c r="AL7745" s="85"/>
      <c r="AM7745" s="85"/>
    </row>
    <row r="7746" spans="1:39" s="86" customFormat="1" ht="13.25" hidden="1" customHeight="1" x14ac:dyDescent="0.3">
      <c r="A7746" s="89" t="s">
        <v>3978</v>
      </c>
      <c r="B7746" s="86" t="s">
        <v>35</v>
      </c>
      <c r="C7746" s="86" t="s">
        <v>36</v>
      </c>
      <c r="D7746" s="86" t="s">
        <v>185</v>
      </c>
      <c r="E7746" s="86" t="s">
        <v>817</v>
      </c>
      <c r="F7746" s="86" t="s">
        <v>817</v>
      </c>
      <c r="G7746" s="86" t="s">
        <v>817</v>
      </c>
      <c r="H7746" s="143">
        <v>360</v>
      </c>
      <c r="I7746" s="86" t="s">
        <v>1060</v>
      </c>
      <c r="J7746" s="47" t="s">
        <v>3325</v>
      </c>
      <c r="K7746" s="47" t="s">
        <v>3767</v>
      </c>
      <c r="L7746" s="47" t="s">
        <v>35</v>
      </c>
      <c r="M7746" s="86" t="s">
        <v>811</v>
      </c>
      <c r="O7746" s="47" t="s">
        <v>45</v>
      </c>
      <c r="P7746" s="14" t="s">
        <v>41</v>
      </c>
      <c r="Q7746" s="14">
        <v>0</v>
      </c>
      <c r="R7746" s="143" t="s">
        <v>2117</v>
      </c>
      <c r="S7746" s="47"/>
      <c r="T7746" s="6">
        <v>5706.5</v>
      </c>
      <c r="U7746" s="6"/>
      <c r="V7746" s="6">
        <v>0</v>
      </c>
      <c r="W7746" s="6">
        <f t="shared" si="1193"/>
        <v>5706.5</v>
      </c>
      <c r="X7746" s="6">
        <f t="shared" si="1197"/>
        <v>0</v>
      </c>
      <c r="Y7746" s="13">
        <f t="shared" si="1190"/>
        <v>0</v>
      </c>
      <c r="Z7746" s="14">
        <v>0</v>
      </c>
      <c r="AA7746" s="6">
        <v>0</v>
      </c>
      <c r="AB7746" s="4">
        <f t="shared" si="1191"/>
        <v>0</v>
      </c>
      <c r="AC7746" s="6">
        <f t="shared" si="1198"/>
        <v>0</v>
      </c>
      <c r="AD7746" s="6">
        <f t="shared" si="1194"/>
        <v>0</v>
      </c>
      <c r="AE7746" s="14">
        <f>VLOOKUP(I7746,[2]媒体政策预估表!A:N,MATCH(O7746,[2]媒体政策预估表!$A$2:$M$2,0),0)</f>
        <v>0.1</v>
      </c>
      <c r="AF7746" s="6">
        <f t="shared" si="1196"/>
        <v>0</v>
      </c>
      <c r="AG7746" s="14">
        <v>0</v>
      </c>
      <c r="AH7746" s="64">
        <f t="shared" si="1195"/>
        <v>0</v>
      </c>
      <c r="AJ7746" s="126" t="e">
        <v>#N/A</v>
      </c>
      <c r="AK7746" s="80">
        <f t="shared" si="1192"/>
        <v>0</v>
      </c>
      <c r="AL7746" s="85"/>
      <c r="AM7746" s="85"/>
    </row>
    <row r="7747" spans="1:39" s="86" customFormat="1" ht="13.25" hidden="1" customHeight="1" x14ac:dyDescent="0.3">
      <c r="A7747" s="89" t="s">
        <v>3978</v>
      </c>
      <c r="B7747" s="86" t="s">
        <v>35</v>
      </c>
      <c r="C7747" s="86" t="s">
        <v>36</v>
      </c>
      <c r="D7747" s="86" t="s">
        <v>185</v>
      </c>
      <c r="E7747" s="86" t="s">
        <v>2118</v>
      </c>
      <c r="F7747" s="86" t="s">
        <v>2118</v>
      </c>
      <c r="G7747" s="86" t="s">
        <v>2118</v>
      </c>
      <c r="H7747" s="143">
        <v>360</v>
      </c>
      <c r="I7747" s="86" t="s">
        <v>1060</v>
      </c>
      <c r="J7747" s="47" t="s">
        <v>3325</v>
      </c>
      <c r="K7747" s="47" t="s">
        <v>3767</v>
      </c>
      <c r="L7747" s="47" t="s">
        <v>35</v>
      </c>
      <c r="M7747" s="86" t="s">
        <v>2118</v>
      </c>
      <c r="O7747" s="47" t="s">
        <v>410</v>
      </c>
      <c r="P7747" s="14" t="s">
        <v>41</v>
      </c>
      <c r="Q7747" s="14">
        <v>0</v>
      </c>
      <c r="R7747" s="143" t="s">
        <v>2119</v>
      </c>
      <c r="S7747" s="47"/>
      <c r="T7747" s="6">
        <v>352.30000000000098</v>
      </c>
      <c r="U7747" s="6"/>
      <c r="V7747" s="6">
        <v>0</v>
      </c>
      <c r="W7747" s="6">
        <f t="shared" si="1193"/>
        <v>352.30000000000098</v>
      </c>
      <c r="X7747" s="6">
        <f t="shared" si="1197"/>
        <v>0</v>
      </c>
      <c r="Y7747" s="13">
        <f t="shared" ref="Y7747:Y7810" si="1199">IF(X7747-AD7747&lt;=0,0,IF(P7747="返现",MAX(X7747-AC7747-AD7747,0),MAX(X7747-AD7747)))</f>
        <v>0</v>
      </c>
      <c r="Z7747" s="14">
        <v>0</v>
      </c>
      <c r="AA7747" s="6">
        <v>0</v>
      </c>
      <c r="AB7747" s="4">
        <f t="shared" ref="AB7747:AB7810" si="1200">X7747+AA7747</f>
        <v>0</v>
      </c>
      <c r="AC7747" s="6">
        <f t="shared" si="1198"/>
        <v>0</v>
      </c>
      <c r="AD7747" s="6">
        <f t="shared" si="1194"/>
        <v>0</v>
      </c>
      <c r="AE7747" s="14">
        <f>VLOOKUP(I7747,[2]媒体政策预估表!A:N,MATCH(O7747,[2]媒体政策预估表!$A$2:$M$2,0),0)</f>
        <v>7.0000000000000007E-2</v>
      </c>
      <c r="AF7747" s="6">
        <f t="shared" si="1196"/>
        <v>0</v>
      </c>
      <c r="AG7747" s="14">
        <v>0</v>
      </c>
      <c r="AH7747" s="64">
        <f t="shared" si="1195"/>
        <v>0</v>
      </c>
      <c r="AJ7747" s="126" t="e">
        <v>#N/A</v>
      </c>
      <c r="AK7747" s="80">
        <f t="shared" ref="AK7747:AK7810" si="1201">X7747+AA7747-AB7747</f>
        <v>0</v>
      </c>
      <c r="AL7747" s="85"/>
      <c r="AM7747" s="85"/>
    </row>
    <row r="7748" spans="1:39" s="86" customFormat="1" ht="13.25" hidden="1" customHeight="1" x14ac:dyDescent="0.3">
      <c r="A7748" s="89" t="s">
        <v>3978</v>
      </c>
      <c r="B7748" s="86" t="s">
        <v>35</v>
      </c>
      <c r="C7748" s="86" t="s">
        <v>36</v>
      </c>
      <c r="D7748" s="86" t="s">
        <v>298</v>
      </c>
      <c r="E7748" s="86" t="s">
        <v>2120</v>
      </c>
      <c r="F7748" s="86" t="s">
        <v>2121</v>
      </c>
      <c r="G7748" s="86" t="s">
        <v>2120</v>
      </c>
      <c r="H7748" s="143">
        <v>360</v>
      </c>
      <c r="I7748" s="86" t="s">
        <v>1060</v>
      </c>
      <c r="J7748" s="47" t="s">
        <v>3325</v>
      </c>
      <c r="K7748" s="47" t="s">
        <v>3767</v>
      </c>
      <c r="L7748" s="47" t="s">
        <v>35</v>
      </c>
      <c r="M7748" s="86" t="s">
        <v>2120</v>
      </c>
      <c r="O7748" s="47" t="s">
        <v>410</v>
      </c>
      <c r="P7748" s="14" t="s">
        <v>46</v>
      </c>
      <c r="Q7748" s="14">
        <v>0.04</v>
      </c>
      <c r="R7748" s="143" t="s">
        <v>2122</v>
      </c>
      <c r="S7748" s="47"/>
      <c r="T7748" s="6">
        <v>720.7599999999984</v>
      </c>
      <c r="U7748" s="6"/>
      <c r="V7748" s="6">
        <v>0</v>
      </c>
      <c r="W7748" s="6">
        <f t="shared" si="1193"/>
        <v>720.7599999999984</v>
      </c>
      <c r="X7748" s="6">
        <f t="shared" si="1197"/>
        <v>0</v>
      </c>
      <c r="Y7748" s="13">
        <f t="shared" si="1199"/>
        <v>0</v>
      </c>
      <c r="Z7748" s="14">
        <v>0</v>
      </c>
      <c r="AA7748" s="6">
        <v>0</v>
      </c>
      <c r="AB7748" s="4">
        <f t="shared" si="1200"/>
        <v>0</v>
      </c>
      <c r="AC7748" s="6">
        <f t="shared" si="1198"/>
        <v>0</v>
      </c>
      <c r="AD7748" s="6">
        <f t="shared" si="1194"/>
        <v>0</v>
      </c>
      <c r="AE7748" s="14">
        <f>VLOOKUP(I7748,[2]媒体政策预估表!A:N,MATCH(O7748,[2]媒体政策预估表!$A$2:$M$2,0),0)</f>
        <v>7.0000000000000007E-2</v>
      </c>
      <c r="AF7748" s="6">
        <f t="shared" si="1196"/>
        <v>0</v>
      </c>
      <c r="AG7748" s="14">
        <v>0</v>
      </c>
      <c r="AH7748" s="64">
        <f t="shared" si="1195"/>
        <v>0</v>
      </c>
      <c r="AJ7748" s="126" t="e">
        <v>#N/A</v>
      </c>
      <c r="AK7748" s="80">
        <f t="shared" si="1201"/>
        <v>0</v>
      </c>
      <c r="AL7748" s="85"/>
      <c r="AM7748" s="85"/>
    </row>
    <row r="7749" spans="1:39" s="86" customFormat="1" ht="13.25" hidden="1" customHeight="1" x14ac:dyDescent="0.3">
      <c r="A7749" s="89" t="s">
        <v>3978</v>
      </c>
      <c r="B7749" s="86" t="s">
        <v>35</v>
      </c>
      <c r="C7749" s="86" t="s">
        <v>36</v>
      </c>
      <c r="D7749" s="86" t="s">
        <v>298</v>
      </c>
      <c r="E7749" s="86" t="s">
        <v>2123</v>
      </c>
      <c r="F7749" s="86" t="s">
        <v>2124</v>
      </c>
      <c r="G7749" s="86" t="s">
        <v>2123</v>
      </c>
      <c r="H7749" s="143">
        <v>360</v>
      </c>
      <c r="I7749" s="86" t="s">
        <v>1060</v>
      </c>
      <c r="J7749" s="47" t="s">
        <v>3325</v>
      </c>
      <c r="K7749" s="47" t="s">
        <v>3767</v>
      </c>
      <c r="L7749" s="47" t="s">
        <v>35</v>
      </c>
      <c r="M7749" s="86" t="s">
        <v>2123</v>
      </c>
      <c r="O7749" s="47" t="s">
        <v>45</v>
      </c>
      <c r="P7749" s="14" t="s">
        <v>46</v>
      </c>
      <c r="Q7749" s="14">
        <v>0.12</v>
      </c>
      <c r="R7749" s="143" t="s">
        <v>2125</v>
      </c>
      <c r="S7749" s="47"/>
      <c r="T7749" s="6">
        <v>120.71</v>
      </c>
      <c r="U7749" s="6"/>
      <c r="V7749" s="6">
        <v>0</v>
      </c>
      <c r="W7749" s="6">
        <f t="shared" si="1193"/>
        <v>120.71</v>
      </c>
      <c r="X7749" s="6">
        <f t="shared" si="1197"/>
        <v>0</v>
      </c>
      <c r="Y7749" s="13">
        <f t="shared" si="1199"/>
        <v>0</v>
      </c>
      <c r="Z7749" s="14">
        <v>0</v>
      </c>
      <c r="AA7749" s="6">
        <v>0</v>
      </c>
      <c r="AB7749" s="4">
        <f t="shared" si="1200"/>
        <v>0</v>
      </c>
      <c r="AC7749" s="6">
        <f t="shared" si="1198"/>
        <v>0</v>
      </c>
      <c r="AD7749" s="6">
        <f t="shared" si="1194"/>
        <v>0</v>
      </c>
      <c r="AE7749" s="14">
        <f>VLOOKUP(I7749,[2]媒体政策预估表!A:N,MATCH(O7749,[2]媒体政策预估表!$A$2:$M$2,0),0)</f>
        <v>0.1</v>
      </c>
      <c r="AF7749" s="6">
        <f t="shared" si="1196"/>
        <v>0</v>
      </c>
      <c r="AG7749" s="14">
        <v>0</v>
      </c>
      <c r="AH7749" s="64">
        <f t="shared" si="1195"/>
        <v>0</v>
      </c>
      <c r="AJ7749" s="126" t="e">
        <v>#N/A</v>
      </c>
      <c r="AK7749" s="80">
        <f t="shared" si="1201"/>
        <v>0</v>
      </c>
      <c r="AL7749" s="85"/>
      <c r="AM7749" s="85"/>
    </row>
    <row r="7750" spans="1:39" s="86" customFormat="1" ht="13.25" hidden="1" customHeight="1" x14ac:dyDescent="0.3">
      <c r="A7750" s="89" t="s">
        <v>3792</v>
      </c>
      <c r="B7750" s="86" t="s">
        <v>35</v>
      </c>
      <c r="C7750" s="86" t="s">
        <v>184</v>
      </c>
      <c r="D7750" s="86" t="s">
        <v>224</v>
      </c>
      <c r="E7750" s="86" t="s">
        <v>2126</v>
      </c>
      <c r="F7750" s="86" t="s">
        <v>2126</v>
      </c>
      <c r="G7750" s="86" t="s">
        <v>2126</v>
      </c>
      <c r="H7750" s="143">
        <v>360</v>
      </c>
      <c r="I7750" s="86" t="s">
        <v>1060</v>
      </c>
      <c r="J7750" s="47" t="s">
        <v>3325</v>
      </c>
      <c r="K7750" s="47" t="s">
        <v>3767</v>
      </c>
      <c r="L7750" s="47" t="s">
        <v>35</v>
      </c>
      <c r="M7750" s="86" t="s">
        <v>2127</v>
      </c>
      <c r="O7750" s="47" t="s">
        <v>45</v>
      </c>
      <c r="P7750" s="14" t="s">
        <v>46</v>
      </c>
      <c r="Q7750" s="14">
        <v>0.06</v>
      </c>
      <c r="R7750" s="143" t="s">
        <v>2128</v>
      </c>
      <c r="S7750" s="47"/>
      <c r="T7750" s="6">
        <v>0.100000000000023</v>
      </c>
      <c r="U7750" s="6"/>
      <c r="V7750" s="6">
        <v>0</v>
      </c>
      <c r="W7750" s="6">
        <f t="shared" si="1193"/>
        <v>0.100000000000023</v>
      </c>
      <c r="X7750" s="6">
        <f t="shared" si="1197"/>
        <v>0</v>
      </c>
      <c r="Y7750" s="13">
        <f t="shared" si="1199"/>
        <v>0</v>
      </c>
      <c r="Z7750" s="14">
        <v>0</v>
      </c>
      <c r="AA7750" s="6">
        <v>0</v>
      </c>
      <c r="AB7750" s="4">
        <f t="shared" si="1200"/>
        <v>0</v>
      </c>
      <c r="AC7750" s="6">
        <f t="shared" si="1198"/>
        <v>0</v>
      </c>
      <c r="AD7750" s="6">
        <f t="shared" si="1194"/>
        <v>0</v>
      </c>
      <c r="AE7750" s="14">
        <f>VLOOKUP(I7750,[2]媒体政策预估表!A:N,MATCH(O7750,[2]媒体政策预估表!$A$2:$M$2,0),0)</f>
        <v>0.1</v>
      </c>
      <c r="AF7750" s="6">
        <f t="shared" si="1196"/>
        <v>0</v>
      </c>
      <c r="AG7750" s="14">
        <v>0</v>
      </c>
      <c r="AH7750" s="64">
        <f t="shared" si="1195"/>
        <v>0</v>
      </c>
      <c r="AJ7750" s="126" t="e">
        <v>#N/A</v>
      </c>
      <c r="AK7750" s="80">
        <f t="shared" si="1201"/>
        <v>0</v>
      </c>
      <c r="AL7750" s="85"/>
      <c r="AM7750" s="85"/>
    </row>
    <row r="7751" spans="1:39" s="86" customFormat="1" ht="13.25" hidden="1" customHeight="1" x14ac:dyDescent="0.3">
      <c r="A7751" s="89" t="s">
        <v>3978</v>
      </c>
      <c r="B7751" s="86" t="s">
        <v>35</v>
      </c>
      <c r="C7751" s="86" t="s">
        <v>164</v>
      </c>
      <c r="D7751" s="86" t="s">
        <v>165</v>
      </c>
      <c r="E7751" s="86" t="s">
        <v>1538</v>
      </c>
      <c r="F7751" s="86" t="s">
        <v>1538</v>
      </c>
      <c r="G7751" s="86" t="s">
        <v>1538</v>
      </c>
      <c r="H7751" s="143">
        <v>360</v>
      </c>
      <c r="I7751" s="86" t="s">
        <v>887</v>
      </c>
      <c r="J7751" s="1" t="s">
        <v>3323</v>
      </c>
      <c r="K7751" s="47" t="s">
        <v>3277</v>
      </c>
      <c r="L7751" s="47" t="s">
        <v>35</v>
      </c>
      <c r="M7751" s="86" t="s">
        <v>1539</v>
      </c>
      <c r="O7751" s="47" t="s">
        <v>45</v>
      </c>
      <c r="P7751" s="14" t="s">
        <v>41</v>
      </c>
      <c r="Q7751" s="14">
        <v>0</v>
      </c>
      <c r="R7751" s="143" t="s">
        <v>1540</v>
      </c>
      <c r="S7751" s="47"/>
      <c r="T7751" s="6">
        <v>-1687065.62026</v>
      </c>
      <c r="U7751" s="6"/>
      <c r="V7751" s="6">
        <v>0</v>
      </c>
      <c r="W7751" s="6">
        <f t="shared" si="1193"/>
        <v>-1687065.62026</v>
      </c>
      <c r="X7751" s="6">
        <f t="shared" si="1197"/>
        <v>0</v>
      </c>
      <c r="Y7751" s="13">
        <f t="shared" si="1199"/>
        <v>0</v>
      </c>
      <c r="Z7751" s="14">
        <v>0</v>
      </c>
      <c r="AA7751" s="6">
        <v>0</v>
      </c>
      <c r="AB7751" s="4">
        <f t="shared" si="1200"/>
        <v>0</v>
      </c>
      <c r="AC7751" s="6">
        <f t="shared" si="1198"/>
        <v>0</v>
      </c>
      <c r="AD7751" s="6">
        <f t="shared" si="1194"/>
        <v>0</v>
      </c>
      <c r="AE7751" s="14">
        <f>VLOOKUP(I7751,[2]媒体政策预估表!A:N,MATCH(O7751,[2]媒体政策预估表!$A$2:$M$2,0),0)</f>
        <v>0.04</v>
      </c>
      <c r="AF7751" s="6">
        <f t="shared" si="1196"/>
        <v>0</v>
      </c>
      <c r="AG7751" s="14">
        <v>0</v>
      </c>
      <c r="AH7751" s="64">
        <f t="shared" si="1195"/>
        <v>0</v>
      </c>
      <c r="AJ7751" s="126" t="e">
        <v>#N/A</v>
      </c>
      <c r="AK7751" s="80">
        <f t="shared" si="1201"/>
        <v>0</v>
      </c>
      <c r="AL7751" s="85"/>
      <c r="AM7751" s="85"/>
    </row>
    <row r="7752" spans="1:39" s="86" customFormat="1" ht="13.25" hidden="1" customHeight="1" x14ac:dyDescent="0.3">
      <c r="A7752" s="89" t="s">
        <v>3792</v>
      </c>
      <c r="B7752" s="86" t="s">
        <v>35</v>
      </c>
      <c r="C7752" s="86" t="s">
        <v>164</v>
      </c>
      <c r="D7752" s="86" t="s">
        <v>165</v>
      </c>
      <c r="E7752" s="86" t="s">
        <v>1538</v>
      </c>
      <c r="F7752" s="86" t="s">
        <v>1538</v>
      </c>
      <c r="G7752" s="86" t="s">
        <v>1538</v>
      </c>
      <c r="H7752" s="143">
        <v>360</v>
      </c>
      <c r="I7752" s="86" t="s">
        <v>887</v>
      </c>
      <c r="J7752" s="1" t="s">
        <v>3323</v>
      </c>
      <c r="K7752" s="47" t="s">
        <v>3277</v>
      </c>
      <c r="L7752" s="47" t="s">
        <v>35</v>
      </c>
      <c r="M7752" s="86" t="s">
        <v>1539</v>
      </c>
      <c r="O7752" s="47" t="s">
        <v>941</v>
      </c>
      <c r="P7752" s="14" t="s">
        <v>41</v>
      </c>
      <c r="Q7752" s="14">
        <v>0</v>
      </c>
      <c r="R7752" s="143" t="s">
        <v>1540</v>
      </c>
      <c r="S7752" s="47"/>
      <c r="T7752" s="6">
        <v>-1855135.3655000001</v>
      </c>
      <c r="U7752" s="6"/>
      <c r="V7752" s="6">
        <v>0</v>
      </c>
      <c r="W7752" s="6">
        <f t="shared" si="1193"/>
        <v>-1855135.3655000001</v>
      </c>
      <c r="X7752" s="6">
        <f t="shared" si="1197"/>
        <v>0</v>
      </c>
      <c r="Y7752" s="13">
        <f t="shared" si="1199"/>
        <v>0</v>
      </c>
      <c r="Z7752" s="14">
        <v>0</v>
      </c>
      <c r="AA7752" s="6">
        <v>0</v>
      </c>
      <c r="AB7752" s="4">
        <f t="shared" si="1200"/>
        <v>0</v>
      </c>
      <c r="AC7752" s="6">
        <f t="shared" si="1198"/>
        <v>0</v>
      </c>
      <c r="AD7752" s="6">
        <f t="shared" si="1194"/>
        <v>0</v>
      </c>
      <c r="AE7752" s="14">
        <f>VLOOKUP(I7752,[2]媒体政策预估表!A:N,MATCH(O7752,[2]媒体政策预估表!$A$2:$M$2,0),0)</f>
        <v>0.04</v>
      </c>
      <c r="AF7752" s="6">
        <f t="shared" si="1196"/>
        <v>0</v>
      </c>
      <c r="AG7752" s="14">
        <v>0</v>
      </c>
      <c r="AH7752" s="64">
        <f t="shared" si="1195"/>
        <v>0</v>
      </c>
      <c r="AJ7752" s="126" t="e">
        <v>#N/A</v>
      </c>
      <c r="AK7752" s="80">
        <f t="shared" si="1201"/>
        <v>0</v>
      </c>
      <c r="AL7752" s="85"/>
      <c r="AM7752" s="85"/>
    </row>
    <row r="7753" spans="1:39" s="86" customFormat="1" ht="13.25" hidden="1" customHeight="1" x14ac:dyDescent="0.3">
      <c r="A7753" s="89" t="s">
        <v>3805</v>
      </c>
      <c r="B7753" s="86" t="s">
        <v>35</v>
      </c>
      <c r="C7753" s="86" t="s">
        <v>164</v>
      </c>
      <c r="D7753" s="86" t="s">
        <v>165</v>
      </c>
      <c r="E7753" s="86" t="s">
        <v>1538</v>
      </c>
      <c r="F7753" s="86" t="s">
        <v>1538</v>
      </c>
      <c r="G7753" s="86" t="s">
        <v>1538</v>
      </c>
      <c r="H7753" s="143">
        <v>360</v>
      </c>
      <c r="I7753" s="86" t="s">
        <v>887</v>
      </c>
      <c r="J7753" s="1" t="s">
        <v>3323</v>
      </c>
      <c r="K7753" s="47" t="s">
        <v>3277</v>
      </c>
      <c r="L7753" s="47" t="s">
        <v>35</v>
      </c>
      <c r="M7753" s="86" t="s">
        <v>1539</v>
      </c>
      <c r="O7753" s="47" t="s">
        <v>2054</v>
      </c>
      <c r="P7753" s="14" t="s">
        <v>41</v>
      </c>
      <c r="Q7753" s="14">
        <v>0</v>
      </c>
      <c r="R7753" s="143" t="s">
        <v>1540</v>
      </c>
      <c r="S7753" s="47"/>
      <c r="T7753" s="6">
        <v>-78646.579059999989</v>
      </c>
      <c r="U7753" s="6"/>
      <c r="V7753" s="6">
        <v>0</v>
      </c>
      <c r="W7753" s="6">
        <f t="shared" si="1193"/>
        <v>-78646.579059999989</v>
      </c>
      <c r="X7753" s="6">
        <f t="shared" si="1197"/>
        <v>0</v>
      </c>
      <c r="Y7753" s="13">
        <f t="shared" si="1199"/>
        <v>0</v>
      </c>
      <c r="Z7753" s="14">
        <v>0</v>
      </c>
      <c r="AA7753" s="6">
        <v>0</v>
      </c>
      <c r="AB7753" s="4">
        <f t="shared" si="1200"/>
        <v>0</v>
      </c>
      <c r="AC7753" s="6">
        <f t="shared" si="1198"/>
        <v>0</v>
      </c>
      <c r="AD7753" s="6">
        <f t="shared" si="1194"/>
        <v>0</v>
      </c>
      <c r="AE7753" s="14">
        <f>VLOOKUP(I7753,[2]媒体政策预估表!A:N,MATCH(O7753,[2]媒体政策预估表!$A$2:$M$2,0),0)</f>
        <v>0.04</v>
      </c>
      <c r="AF7753" s="6">
        <f t="shared" si="1196"/>
        <v>0</v>
      </c>
      <c r="AG7753" s="14">
        <v>0</v>
      </c>
      <c r="AH7753" s="64">
        <f t="shared" si="1195"/>
        <v>0</v>
      </c>
      <c r="AJ7753" s="126" t="e">
        <v>#N/A</v>
      </c>
      <c r="AK7753" s="80">
        <f t="shared" si="1201"/>
        <v>0</v>
      </c>
      <c r="AL7753" s="85"/>
      <c r="AM7753" s="85"/>
    </row>
    <row r="7754" spans="1:39" s="86" customFormat="1" ht="13.25" hidden="1" customHeight="1" x14ac:dyDescent="0.3">
      <c r="A7754" s="89" t="s">
        <v>3978</v>
      </c>
      <c r="B7754" s="86" t="s">
        <v>35</v>
      </c>
      <c r="C7754" s="86" t="s">
        <v>164</v>
      </c>
      <c r="D7754" s="86" t="s">
        <v>165</v>
      </c>
      <c r="E7754" s="86" t="s">
        <v>1538</v>
      </c>
      <c r="F7754" s="86" t="s">
        <v>1538</v>
      </c>
      <c r="G7754" s="86" t="s">
        <v>1538</v>
      </c>
      <c r="H7754" s="143">
        <v>360</v>
      </c>
      <c r="I7754" s="86" t="s">
        <v>1060</v>
      </c>
      <c r="J7754" s="47" t="s">
        <v>3325</v>
      </c>
      <c r="K7754" s="47" t="s">
        <v>3767</v>
      </c>
      <c r="L7754" s="47" t="s">
        <v>35</v>
      </c>
      <c r="M7754" s="86" t="s">
        <v>2129</v>
      </c>
      <c r="O7754" s="47" t="s">
        <v>410</v>
      </c>
      <c r="P7754" s="14" t="s">
        <v>46</v>
      </c>
      <c r="Q7754" s="14">
        <v>0.01</v>
      </c>
      <c r="R7754" s="143" t="s">
        <v>2130</v>
      </c>
      <c r="S7754" s="47"/>
      <c r="T7754" s="6">
        <v>59364.5</v>
      </c>
      <c r="U7754" s="6"/>
      <c r="V7754" s="6">
        <v>0</v>
      </c>
      <c r="W7754" s="6">
        <f t="shared" si="1193"/>
        <v>59364.5</v>
      </c>
      <c r="X7754" s="6">
        <f t="shared" si="1197"/>
        <v>0</v>
      </c>
      <c r="Y7754" s="13">
        <f t="shared" si="1199"/>
        <v>0</v>
      </c>
      <c r="Z7754" s="14">
        <v>0</v>
      </c>
      <c r="AA7754" s="6">
        <v>0</v>
      </c>
      <c r="AB7754" s="4">
        <f t="shared" si="1200"/>
        <v>0</v>
      </c>
      <c r="AC7754" s="6">
        <f t="shared" si="1198"/>
        <v>0</v>
      </c>
      <c r="AD7754" s="6">
        <f t="shared" si="1194"/>
        <v>0</v>
      </c>
      <c r="AE7754" s="14">
        <f>VLOOKUP(I7754,[2]媒体政策预估表!A:N,MATCH(O7754,[2]媒体政策预估表!$A$2:$M$2,0),0)</f>
        <v>7.0000000000000007E-2</v>
      </c>
      <c r="AF7754" s="6">
        <f t="shared" si="1196"/>
        <v>0</v>
      </c>
      <c r="AG7754" s="14">
        <v>0</v>
      </c>
      <c r="AH7754" s="64">
        <f t="shared" si="1195"/>
        <v>0</v>
      </c>
      <c r="AJ7754" s="126" t="e">
        <v>#N/A</v>
      </c>
      <c r="AK7754" s="80">
        <f t="shared" si="1201"/>
        <v>0</v>
      </c>
      <c r="AL7754" s="85"/>
      <c r="AM7754" s="85"/>
    </row>
    <row r="7755" spans="1:39" s="86" customFormat="1" ht="13.25" hidden="1" customHeight="1" x14ac:dyDescent="0.3">
      <c r="A7755" s="89" t="s">
        <v>3978</v>
      </c>
      <c r="B7755" s="86" t="s">
        <v>35</v>
      </c>
      <c r="C7755" s="86" t="s">
        <v>164</v>
      </c>
      <c r="D7755" s="86" t="s">
        <v>165</v>
      </c>
      <c r="E7755" s="86" t="s">
        <v>1538</v>
      </c>
      <c r="F7755" s="86" t="s">
        <v>1538</v>
      </c>
      <c r="G7755" s="86" t="s">
        <v>1538</v>
      </c>
      <c r="H7755" s="143">
        <v>360</v>
      </c>
      <c r="I7755" s="86" t="s">
        <v>1060</v>
      </c>
      <c r="J7755" s="47" t="s">
        <v>3325</v>
      </c>
      <c r="K7755" s="47" t="s">
        <v>3767</v>
      </c>
      <c r="L7755" s="47" t="s">
        <v>35</v>
      </c>
      <c r="M7755" s="86" t="s">
        <v>2131</v>
      </c>
      <c r="O7755" s="47" t="s">
        <v>410</v>
      </c>
      <c r="P7755" s="14" t="s">
        <v>46</v>
      </c>
      <c r="Q7755" s="14">
        <v>0.01</v>
      </c>
      <c r="R7755" s="143" t="s">
        <v>2132</v>
      </c>
      <c r="S7755" s="47"/>
      <c r="T7755" s="6">
        <v>73906.899999999994</v>
      </c>
      <c r="U7755" s="6"/>
      <c r="V7755" s="6">
        <v>0</v>
      </c>
      <c r="W7755" s="6">
        <f t="shared" si="1193"/>
        <v>73906.899999999994</v>
      </c>
      <c r="X7755" s="6">
        <f t="shared" si="1197"/>
        <v>0</v>
      </c>
      <c r="Y7755" s="13">
        <f t="shared" si="1199"/>
        <v>0</v>
      </c>
      <c r="Z7755" s="14">
        <v>0</v>
      </c>
      <c r="AA7755" s="6">
        <v>0</v>
      </c>
      <c r="AB7755" s="4">
        <f t="shared" si="1200"/>
        <v>0</v>
      </c>
      <c r="AC7755" s="6">
        <f t="shared" si="1198"/>
        <v>0</v>
      </c>
      <c r="AD7755" s="6">
        <f t="shared" si="1194"/>
        <v>0</v>
      </c>
      <c r="AE7755" s="14">
        <f>VLOOKUP(I7755,[2]媒体政策预估表!A:N,MATCH(O7755,[2]媒体政策预估表!$A$2:$M$2,0),0)</f>
        <v>7.0000000000000007E-2</v>
      </c>
      <c r="AF7755" s="6">
        <f t="shared" si="1196"/>
        <v>0</v>
      </c>
      <c r="AG7755" s="14">
        <v>0</v>
      </c>
      <c r="AH7755" s="64">
        <f t="shared" si="1195"/>
        <v>0</v>
      </c>
      <c r="AJ7755" s="126" t="e">
        <v>#N/A</v>
      </c>
      <c r="AK7755" s="80">
        <f t="shared" si="1201"/>
        <v>0</v>
      </c>
      <c r="AL7755" s="85"/>
      <c r="AM7755" s="85"/>
    </row>
    <row r="7756" spans="1:39" s="86" customFormat="1" ht="13.25" hidden="1" customHeight="1" x14ac:dyDescent="0.3">
      <c r="A7756" s="89" t="s">
        <v>3792</v>
      </c>
      <c r="B7756" s="86" t="s">
        <v>35</v>
      </c>
      <c r="C7756" s="86" t="s">
        <v>164</v>
      </c>
      <c r="D7756" s="86" t="s">
        <v>165</v>
      </c>
      <c r="E7756" s="86" t="s">
        <v>1538</v>
      </c>
      <c r="F7756" s="86" t="s">
        <v>1538</v>
      </c>
      <c r="G7756" s="86" t="s">
        <v>1538</v>
      </c>
      <c r="H7756" s="143">
        <v>360</v>
      </c>
      <c r="I7756" s="86" t="s">
        <v>1060</v>
      </c>
      <c r="J7756" s="47" t="s">
        <v>3325</v>
      </c>
      <c r="K7756" s="47" t="s">
        <v>3767</v>
      </c>
      <c r="L7756" s="47" t="s">
        <v>35</v>
      </c>
      <c r="M7756" s="86" t="s">
        <v>1538</v>
      </c>
      <c r="O7756" s="47" t="s">
        <v>410</v>
      </c>
      <c r="P7756" s="14" t="s">
        <v>46</v>
      </c>
      <c r="Q7756" s="14">
        <v>0.01</v>
      </c>
      <c r="R7756" s="143" t="s">
        <v>2133</v>
      </c>
      <c r="S7756" s="47"/>
      <c r="T7756" s="6">
        <v>21552</v>
      </c>
      <c r="U7756" s="6"/>
      <c r="V7756" s="6">
        <v>0</v>
      </c>
      <c r="W7756" s="6">
        <f t="shared" si="1193"/>
        <v>21552</v>
      </c>
      <c r="X7756" s="6">
        <f t="shared" si="1197"/>
        <v>0</v>
      </c>
      <c r="Y7756" s="13">
        <f t="shared" si="1199"/>
        <v>0</v>
      </c>
      <c r="Z7756" s="14">
        <v>0</v>
      </c>
      <c r="AA7756" s="6">
        <v>0</v>
      </c>
      <c r="AB7756" s="4">
        <f t="shared" si="1200"/>
        <v>0</v>
      </c>
      <c r="AC7756" s="6">
        <f t="shared" si="1198"/>
        <v>0</v>
      </c>
      <c r="AD7756" s="6">
        <f t="shared" si="1194"/>
        <v>0</v>
      </c>
      <c r="AE7756" s="14">
        <f>VLOOKUP(I7756,[2]媒体政策预估表!A:N,MATCH(O7756,[2]媒体政策预估表!$A$2:$M$2,0),0)</f>
        <v>7.0000000000000007E-2</v>
      </c>
      <c r="AF7756" s="6">
        <f t="shared" si="1196"/>
        <v>0</v>
      </c>
      <c r="AG7756" s="14">
        <v>0</v>
      </c>
      <c r="AH7756" s="64">
        <f t="shared" si="1195"/>
        <v>0</v>
      </c>
      <c r="AJ7756" s="126" t="e">
        <v>#N/A</v>
      </c>
      <c r="AK7756" s="80">
        <f t="shared" si="1201"/>
        <v>0</v>
      </c>
      <c r="AL7756" s="85"/>
      <c r="AM7756" s="85"/>
    </row>
    <row r="7757" spans="1:39" s="86" customFormat="1" ht="13.25" hidden="1" customHeight="1" x14ac:dyDescent="0.3">
      <c r="A7757" s="89" t="s">
        <v>3792</v>
      </c>
      <c r="B7757" s="86" t="s">
        <v>35</v>
      </c>
      <c r="C7757" s="86" t="s">
        <v>184</v>
      </c>
      <c r="D7757" s="86" t="s">
        <v>54</v>
      </c>
      <c r="E7757" s="86" t="s">
        <v>55</v>
      </c>
      <c r="F7757" s="86" t="s">
        <v>55</v>
      </c>
      <c r="G7757" s="86" t="s">
        <v>55</v>
      </c>
      <c r="H7757" s="143">
        <v>360</v>
      </c>
      <c r="I7757" s="86" t="s">
        <v>1060</v>
      </c>
      <c r="J7757" s="47" t="s">
        <v>3325</v>
      </c>
      <c r="K7757" s="47" t="s">
        <v>3767</v>
      </c>
      <c r="L7757" s="47" t="s">
        <v>35</v>
      </c>
      <c r="M7757" s="86" t="s">
        <v>55</v>
      </c>
      <c r="O7757" s="47" t="s">
        <v>941</v>
      </c>
      <c r="P7757" s="14" t="s">
        <v>41</v>
      </c>
      <c r="Q7757" s="14">
        <v>0</v>
      </c>
      <c r="R7757" s="143" t="s">
        <v>1869</v>
      </c>
      <c r="S7757" s="47"/>
      <c r="T7757" s="6">
        <v>-7905515.2958499994</v>
      </c>
      <c r="U7757" s="6"/>
      <c r="V7757" s="6">
        <v>0</v>
      </c>
      <c r="W7757" s="6">
        <f t="shared" si="1193"/>
        <v>-7905515.2958499994</v>
      </c>
      <c r="X7757" s="6">
        <f t="shared" si="1197"/>
        <v>0</v>
      </c>
      <c r="Y7757" s="13">
        <f t="shared" si="1199"/>
        <v>0</v>
      </c>
      <c r="Z7757" s="14">
        <v>0</v>
      </c>
      <c r="AA7757" s="6">
        <v>0</v>
      </c>
      <c r="AB7757" s="4">
        <f t="shared" si="1200"/>
        <v>0</v>
      </c>
      <c r="AC7757" s="6">
        <f t="shared" si="1198"/>
        <v>0</v>
      </c>
      <c r="AD7757" s="6">
        <f t="shared" si="1194"/>
        <v>0</v>
      </c>
      <c r="AE7757" s="14">
        <f>VLOOKUP(I7757,[2]媒体政策预估表!A:N,MATCH(O7757,[2]媒体政策预估表!$A$2:$M$2,0),0)</f>
        <v>0.15</v>
      </c>
      <c r="AF7757" s="6">
        <f t="shared" si="1196"/>
        <v>0</v>
      </c>
      <c r="AG7757" s="14">
        <v>0</v>
      </c>
      <c r="AH7757" s="64">
        <f t="shared" si="1195"/>
        <v>0</v>
      </c>
      <c r="AJ7757" s="126" t="e">
        <v>#N/A</v>
      </c>
      <c r="AK7757" s="80">
        <f t="shared" si="1201"/>
        <v>0</v>
      </c>
      <c r="AL7757" s="85"/>
      <c r="AM7757" s="85"/>
    </row>
    <row r="7758" spans="1:39" s="86" customFormat="1" ht="13.25" hidden="1" customHeight="1" x14ac:dyDescent="0.3">
      <c r="A7758" s="89" t="s">
        <v>3978</v>
      </c>
      <c r="B7758" s="86" t="s">
        <v>35</v>
      </c>
      <c r="C7758" s="86" t="s">
        <v>36</v>
      </c>
      <c r="D7758" s="86" t="s">
        <v>744</v>
      </c>
      <c r="E7758" s="86" t="s">
        <v>854</v>
      </c>
      <c r="F7758" s="86" t="s">
        <v>854</v>
      </c>
      <c r="G7758" s="86" t="s">
        <v>854</v>
      </c>
      <c r="H7758" s="143">
        <v>360</v>
      </c>
      <c r="I7758" s="86" t="s">
        <v>1060</v>
      </c>
      <c r="J7758" s="47" t="s">
        <v>3325</v>
      </c>
      <c r="K7758" s="47" t="s">
        <v>3767</v>
      </c>
      <c r="L7758" s="47" t="s">
        <v>35</v>
      </c>
      <c r="M7758" s="86" t="s">
        <v>2134</v>
      </c>
      <c r="O7758" s="47" t="s">
        <v>45</v>
      </c>
      <c r="P7758" s="14" t="s">
        <v>46</v>
      </c>
      <c r="Q7758" s="14">
        <v>0.08</v>
      </c>
      <c r="R7758" s="143" t="s">
        <v>2135</v>
      </c>
      <c r="S7758" s="47"/>
      <c r="T7758" s="6">
        <v>9.6800000000100699</v>
      </c>
      <c r="U7758" s="6"/>
      <c r="V7758" s="6">
        <v>0</v>
      </c>
      <c r="W7758" s="6">
        <f t="shared" si="1193"/>
        <v>9.6800000000100699</v>
      </c>
      <c r="X7758" s="6">
        <f t="shared" si="1197"/>
        <v>0</v>
      </c>
      <c r="Y7758" s="13">
        <f t="shared" si="1199"/>
        <v>0</v>
      </c>
      <c r="Z7758" s="14">
        <v>0</v>
      </c>
      <c r="AA7758" s="6">
        <v>0</v>
      </c>
      <c r="AB7758" s="4"/>
      <c r="AC7758" s="6">
        <f t="shared" si="1198"/>
        <v>0</v>
      </c>
      <c r="AD7758" s="6">
        <f t="shared" si="1194"/>
        <v>0</v>
      </c>
      <c r="AE7758" s="14">
        <f>VLOOKUP(I7758,[2]媒体政策预估表!A:N,MATCH(O7758,[2]媒体政策预估表!$A$2:$M$2,0),0)</f>
        <v>0.1</v>
      </c>
      <c r="AF7758" s="6">
        <f t="shared" si="1196"/>
        <v>0</v>
      </c>
      <c r="AG7758" s="14">
        <v>0</v>
      </c>
      <c r="AH7758" s="64">
        <f t="shared" si="1195"/>
        <v>0</v>
      </c>
      <c r="AJ7758" s="126">
        <v>31</v>
      </c>
      <c r="AK7758" s="80">
        <f t="shared" si="1201"/>
        <v>0</v>
      </c>
      <c r="AL7758" s="85"/>
      <c r="AM7758" s="85"/>
    </row>
    <row r="7759" spans="1:39" s="86" customFormat="1" ht="13.25" hidden="1" customHeight="1" x14ac:dyDescent="0.3">
      <c r="A7759" s="89" t="s">
        <v>3792</v>
      </c>
      <c r="B7759" s="86" t="s">
        <v>35</v>
      </c>
      <c r="C7759" s="86" t="s">
        <v>65</v>
      </c>
      <c r="D7759" s="86" t="s">
        <v>122</v>
      </c>
      <c r="E7759" s="86" t="s">
        <v>2136</v>
      </c>
      <c r="F7759" s="86" t="s">
        <v>2136</v>
      </c>
      <c r="G7759" s="86" t="s">
        <v>2136</v>
      </c>
      <c r="H7759" s="143">
        <v>360</v>
      </c>
      <c r="I7759" s="86" t="s">
        <v>1060</v>
      </c>
      <c r="J7759" s="47" t="s">
        <v>3325</v>
      </c>
      <c r="K7759" s="47" t="s">
        <v>3767</v>
      </c>
      <c r="L7759" s="47" t="s">
        <v>35</v>
      </c>
      <c r="M7759" s="86" t="s">
        <v>2136</v>
      </c>
      <c r="O7759" s="47" t="s">
        <v>45</v>
      </c>
      <c r="P7759" s="14" t="s">
        <v>46</v>
      </c>
      <c r="Q7759" s="14">
        <v>0.1</v>
      </c>
      <c r="R7759" s="143" t="s">
        <v>2137</v>
      </c>
      <c r="S7759" s="47"/>
      <c r="T7759" s="6">
        <v>5.0000000001034599E-2</v>
      </c>
      <c r="U7759" s="6"/>
      <c r="V7759" s="6">
        <v>0</v>
      </c>
      <c r="W7759" s="6">
        <f t="shared" si="1193"/>
        <v>5.0000000001034599E-2</v>
      </c>
      <c r="X7759" s="6">
        <f t="shared" si="1197"/>
        <v>0</v>
      </c>
      <c r="Y7759" s="13">
        <f t="shared" si="1199"/>
        <v>0</v>
      </c>
      <c r="Z7759" s="14">
        <v>0</v>
      </c>
      <c r="AA7759" s="6">
        <v>0</v>
      </c>
      <c r="AB7759" s="4">
        <f t="shared" si="1200"/>
        <v>0</v>
      </c>
      <c r="AC7759" s="6">
        <f t="shared" si="1198"/>
        <v>0</v>
      </c>
      <c r="AD7759" s="6">
        <f t="shared" si="1194"/>
        <v>0</v>
      </c>
      <c r="AE7759" s="14">
        <f>VLOOKUP(I7759,[2]媒体政策预估表!A:N,MATCH(O7759,[2]媒体政策预估表!$A$2:$M$2,0),0)</f>
        <v>0.1</v>
      </c>
      <c r="AF7759" s="6">
        <f t="shared" si="1196"/>
        <v>0</v>
      </c>
      <c r="AG7759" s="14">
        <v>0</v>
      </c>
      <c r="AH7759" s="64">
        <f t="shared" si="1195"/>
        <v>0</v>
      </c>
      <c r="AJ7759" s="126" t="e">
        <v>#N/A</v>
      </c>
      <c r="AK7759" s="80">
        <f t="shared" si="1201"/>
        <v>0</v>
      </c>
      <c r="AL7759" s="85"/>
      <c r="AM7759" s="85"/>
    </row>
    <row r="7760" spans="1:39" s="86" customFormat="1" ht="13.25" hidden="1" customHeight="1" x14ac:dyDescent="0.3">
      <c r="A7760" s="89" t="s">
        <v>3978</v>
      </c>
      <c r="B7760" s="86" t="s">
        <v>35</v>
      </c>
      <c r="C7760" s="86" t="s">
        <v>65</v>
      </c>
      <c r="D7760" s="86" t="s">
        <v>122</v>
      </c>
      <c r="E7760" s="86" t="s">
        <v>2138</v>
      </c>
      <c r="F7760" s="86" t="s">
        <v>2138</v>
      </c>
      <c r="G7760" s="86" t="s">
        <v>2138</v>
      </c>
      <c r="H7760" s="143">
        <v>360</v>
      </c>
      <c r="I7760" s="86" t="s">
        <v>1060</v>
      </c>
      <c r="J7760" s="47" t="s">
        <v>3325</v>
      </c>
      <c r="K7760" s="47" t="s">
        <v>3767</v>
      </c>
      <c r="L7760" s="47" t="s">
        <v>35</v>
      </c>
      <c r="M7760" s="86" t="s">
        <v>2139</v>
      </c>
      <c r="O7760" s="47" t="s">
        <v>410</v>
      </c>
      <c r="P7760" s="14" t="s">
        <v>41</v>
      </c>
      <c r="Q7760" s="14">
        <v>0</v>
      </c>
      <c r="R7760" s="143" t="s">
        <v>2140</v>
      </c>
      <c r="S7760" s="47"/>
      <c r="T7760" s="6">
        <v>492.7</v>
      </c>
      <c r="U7760" s="6"/>
      <c r="V7760" s="6">
        <v>0</v>
      </c>
      <c r="W7760" s="6">
        <f t="shared" si="1193"/>
        <v>492.7</v>
      </c>
      <c r="X7760" s="6">
        <f t="shared" si="1197"/>
        <v>0</v>
      </c>
      <c r="Y7760" s="13">
        <f t="shared" si="1199"/>
        <v>0</v>
      </c>
      <c r="Z7760" s="14">
        <v>0</v>
      </c>
      <c r="AA7760" s="6">
        <v>0</v>
      </c>
      <c r="AB7760" s="4">
        <f t="shared" si="1200"/>
        <v>0</v>
      </c>
      <c r="AC7760" s="6">
        <f t="shared" si="1198"/>
        <v>0</v>
      </c>
      <c r="AD7760" s="6">
        <f t="shared" si="1194"/>
        <v>0</v>
      </c>
      <c r="AE7760" s="14">
        <f>VLOOKUP(I7760,[2]媒体政策预估表!A:N,MATCH(O7760,[2]媒体政策预估表!$A$2:$M$2,0),0)</f>
        <v>7.0000000000000007E-2</v>
      </c>
      <c r="AF7760" s="6">
        <f t="shared" si="1196"/>
        <v>0</v>
      </c>
      <c r="AG7760" s="14">
        <v>0</v>
      </c>
      <c r="AH7760" s="64">
        <f t="shared" si="1195"/>
        <v>0</v>
      </c>
      <c r="AJ7760" s="126" t="e">
        <v>#N/A</v>
      </c>
      <c r="AK7760" s="80">
        <f t="shared" si="1201"/>
        <v>0</v>
      </c>
      <c r="AL7760" s="85"/>
      <c r="AM7760" s="85"/>
    </row>
    <row r="7761" spans="1:39" s="86" customFormat="1" ht="13.25" hidden="1" customHeight="1" x14ac:dyDescent="0.3">
      <c r="A7761" s="89" t="s">
        <v>3978</v>
      </c>
      <c r="B7761" s="86" t="s">
        <v>35</v>
      </c>
      <c r="C7761" s="86" t="s">
        <v>65</v>
      </c>
      <c r="D7761" s="86" t="s">
        <v>122</v>
      </c>
      <c r="E7761" s="86" t="s">
        <v>2141</v>
      </c>
      <c r="F7761" s="86" t="s">
        <v>2141</v>
      </c>
      <c r="G7761" s="86" t="s">
        <v>2141</v>
      </c>
      <c r="H7761" s="143">
        <v>360</v>
      </c>
      <c r="I7761" s="86" t="s">
        <v>1060</v>
      </c>
      <c r="J7761" s="47" t="s">
        <v>3325</v>
      </c>
      <c r="K7761" s="47" t="s">
        <v>3767</v>
      </c>
      <c r="L7761" s="47" t="s">
        <v>35</v>
      </c>
      <c r="M7761" s="86" t="s">
        <v>2142</v>
      </c>
      <c r="O7761" s="47" t="s">
        <v>410</v>
      </c>
      <c r="P7761" s="14" t="s">
        <v>41</v>
      </c>
      <c r="Q7761" s="14">
        <v>0</v>
      </c>
      <c r="R7761" s="143" t="s">
        <v>2143</v>
      </c>
      <c r="S7761" s="47"/>
      <c r="T7761" s="6">
        <v>16886.5</v>
      </c>
      <c r="U7761" s="6"/>
      <c r="V7761" s="6">
        <v>0</v>
      </c>
      <c r="W7761" s="6">
        <f t="shared" si="1193"/>
        <v>16886.5</v>
      </c>
      <c r="X7761" s="6">
        <f t="shared" si="1197"/>
        <v>0</v>
      </c>
      <c r="Y7761" s="13">
        <f t="shared" si="1199"/>
        <v>0</v>
      </c>
      <c r="Z7761" s="14">
        <v>0</v>
      </c>
      <c r="AA7761" s="6">
        <v>0</v>
      </c>
      <c r="AB7761" s="4">
        <f t="shared" si="1200"/>
        <v>0</v>
      </c>
      <c r="AC7761" s="6">
        <f t="shared" si="1198"/>
        <v>0</v>
      </c>
      <c r="AD7761" s="6">
        <f t="shared" si="1194"/>
        <v>0</v>
      </c>
      <c r="AE7761" s="14">
        <f>VLOOKUP(I7761,[2]媒体政策预估表!A:N,MATCH(O7761,[2]媒体政策预估表!$A$2:$M$2,0),0)</f>
        <v>7.0000000000000007E-2</v>
      </c>
      <c r="AF7761" s="6">
        <f t="shared" si="1196"/>
        <v>0</v>
      </c>
      <c r="AG7761" s="14">
        <v>0</v>
      </c>
      <c r="AH7761" s="64">
        <f t="shared" si="1195"/>
        <v>0</v>
      </c>
      <c r="AJ7761" s="126" t="e">
        <v>#N/A</v>
      </c>
      <c r="AK7761" s="80">
        <f t="shared" si="1201"/>
        <v>0</v>
      </c>
      <c r="AL7761" s="85"/>
      <c r="AM7761" s="85"/>
    </row>
    <row r="7762" spans="1:39" s="86" customFormat="1" ht="13.25" hidden="1" customHeight="1" x14ac:dyDescent="0.3">
      <c r="A7762" s="89" t="s">
        <v>3978</v>
      </c>
      <c r="B7762" s="86" t="s">
        <v>35</v>
      </c>
      <c r="C7762" s="86" t="s">
        <v>65</v>
      </c>
      <c r="D7762" s="86" t="s">
        <v>125</v>
      </c>
      <c r="E7762" s="86" t="s">
        <v>2144</v>
      </c>
      <c r="F7762" s="86" t="s">
        <v>2144</v>
      </c>
      <c r="G7762" s="86" t="s">
        <v>2144</v>
      </c>
      <c r="H7762" s="143">
        <v>360</v>
      </c>
      <c r="I7762" s="86" t="s">
        <v>1060</v>
      </c>
      <c r="J7762" s="47" t="s">
        <v>3325</v>
      </c>
      <c r="K7762" s="47" t="s">
        <v>3767</v>
      </c>
      <c r="L7762" s="47" t="s">
        <v>35</v>
      </c>
      <c r="M7762" s="86" t="s">
        <v>2144</v>
      </c>
      <c r="O7762" s="47" t="s">
        <v>410</v>
      </c>
      <c r="P7762" s="14" t="s">
        <v>46</v>
      </c>
      <c r="Q7762" s="14">
        <v>0.04</v>
      </c>
      <c r="R7762" s="143" t="s">
        <v>2145</v>
      </c>
      <c r="S7762" s="47"/>
      <c r="T7762" s="6">
        <v>3.4399999999995998</v>
      </c>
      <c r="U7762" s="6"/>
      <c r="V7762" s="6">
        <v>0</v>
      </c>
      <c r="W7762" s="6">
        <f t="shared" si="1193"/>
        <v>3.4399999999995998</v>
      </c>
      <c r="X7762" s="6">
        <f t="shared" si="1197"/>
        <v>0</v>
      </c>
      <c r="Y7762" s="13">
        <f t="shared" si="1199"/>
        <v>0</v>
      </c>
      <c r="Z7762" s="14">
        <v>0</v>
      </c>
      <c r="AA7762" s="6">
        <v>0</v>
      </c>
      <c r="AB7762" s="4">
        <f t="shared" si="1200"/>
        <v>0</v>
      </c>
      <c r="AC7762" s="6">
        <f t="shared" si="1198"/>
        <v>0</v>
      </c>
      <c r="AD7762" s="6">
        <f t="shared" si="1194"/>
        <v>0</v>
      </c>
      <c r="AE7762" s="14">
        <f>VLOOKUP(I7762,[2]媒体政策预估表!A:N,MATCH(O7762,[2]媒体政策预估表!$A$2:$M$2,0),0)</f>
        <v>7.0000000000000007E-2</v>
      </c>
      <c r="AF7762" s="6">
        <f t="shared" si="1196"/>
        <v>0</v>
      </c>
      <c r="AG7762" s="14">
        <v>0</v>
      </c>
      <c r="AH7762" s="64">
        <f t="shared" si="1195"/>
        <v>0</v>
      </c>
      <c r="AJ7762" s="126" t="e">
        <v>#N/A</v>
      </c>
      <c r="AK7762" s="80">
        <f t="shared" si="1201"/>
        <v>0</v>
      </c>
      <c r="AL7762" s="85"/>
      <c r="AM7762" s="85"/>
    </row>
    <row r="7763" spans="1:39" s="86" customFormat="1" ht="13.25" hidden="1" customHeight="1" x14ac:dyDescent="0.3">
      <c r="A7763" s="89" t="s">
        <v>3978</v>
      </c>
      <c r="B7763" s="86" t="s">
        <v>35</v>
      </c>
      <c r="C7763" s="86" t="s">
        <v>65</v>
      </c>
      <c r="D7763" s="86" t="s">
        <v>125</v>
      </c>
      <c r="E7763" s="86" t="s">
        <v>1286</v>
      </c>
      <c r="F7763" s="86" t="s">
        <v>1286</v>
      </c>
      <c r="G7763" s="86" t="s">
        <v>1286</v>
      </c>
      <c r="H7763" s="143">
        <v>360</v>
      </c>
      <c r="I7763" s="86" t="s">
        <v>1060</v>
      </c>
      <c r="J7763" s="47" t="s">
        <v>3325</v>
      </c>
      <c r="K7763" s="47" t="s">
        <v>3767</v>
      </c>
      <c r="L7763" s="47" t="s">
        <v>35</v>
      </c>
      <c r="M7763" s="86" t="s">
        <v>2146</v>
      </c>
      <c r="O7763" s="47" t="s">
        <v>410</v>
      </c>
      <c r="P7763" s="14" t="s">
        <v>46</v>
      </c>
      <c r="Q7763" s="14">
        <v>0.01</v>
      </c>
      <c r="R7763" s="143" t="s">
        <v>2147</v>
      </c>
      <c r="S7763" s="47"/>
      <c r="T7763" s="6">
        <v>184.4</v>
      </c>
      <c r="U7763" s="6"/>
      <c r="V7763" s="6">
        <v>0</v>
      </c>
      <c r="W7763" s="6">
        <f t="shared" si="1193"/>
        <v>184.4</v>
      </c>
      <c r="X7763" s="6">
        <f t="shared" si="1197"/>
        <v>0</v>
      </c>
      <c r="Y7763" s="13">
        <f t="shared" si="1199"/>
        <v>0</v>
      </c>
      <c r="Z7763" s="14">
        <v>0</v>
      </c>
      <c r="AA7763" s="6">
        <v>0</v>
      </c>
      <c r="AB7763" s="4">
        <f t="shared" si="1200"/>
        <v>0</v>
      </c>
      <c r="AC7763" s="6">
        <f t="shared" si="1198"/>
        <v>0</v>
      </c>
      <c r="AD7763" s="6">
        <f t="shared" si="1194"/>
        <v>0</v>
      </c>
      <c r="AE7763" s="14">
        <f>VLOOKUP(I7763,[2]媒体政策预估表!A:N,MATCH(O7763,[2]媒体政策预估表!$A$2:$M$2,0),0)</f>
        <v>7.0000000000000007E-2</v>
      </c>
      <c r="AF7763" s="6">
        <f t="shared" si="1196"/>
        <v>0</v>
      </c>
      <c r="AG7763" s="14">
        <v>0</v>
      </c>
      <c r="AH7763" s="64">
        <f t="shared" si="1195"/>
        <v>0</v>
      </c>
      <c r="AJ7763" s="126" t="e">
        <v>#N/A</v>
      </c>
      <c r="AK7763" s="80">
        <f t="shared" si="1201"/>
        <v>0</v>
      </c>
      <c r="AL7763" s="85"/>
      <c r="AM7763" s="85"/>
    </row>
    <row r="7764" spans="1:39" s="86" customFormat="1" ht="13.25" hidden="1" customHeight="1" x14ac:dyDescent="0.3">
      <c r="A7764" s="89" t="s">
        <v>3978</v>
      </c>
      <c r="B7764" s="86" t="s">
        <v>35</v>
      </c>
      <c r="C7764" s="86" t="s">
        <v>65</v>
      </c>
      <c r="D7764" s="86" t="s">
        <v>125</v>
      </c>
      <c r="E7764" s="86" t="s">
        <v>1903</v>
      </c>
      <c r="F7764" s="86" t="s">
        <v>1904</v>
      </c>
      <c r="G7764" s="86" t="s">
        <v>1903</v>
      </c>
      <c r="H7764" s="143">
        <v>360</v>
      </c>
      <c r="I7764" s="86" t="s">
        <v>1060</v>
      </c>
      <c r="J7764" s="47" t="s">
        <v>3325</v>
      </c>
      <c r="K7764" s="47" t="s">
        <v>3767</v>
      </c>
      <c r="L7764" s="47" t="s">
        <v>35</v>
      </c>
      <c r="M7764" s="86" t="s">
        <v>2148</v>
      </c>
      <c r="O7764" s="47" t="s">
        <v>45</v>
      </c>
      <c r="P7764" s="14" t="s">
        <v>41</v>
      </c>
      <c r="Q7764" s="14">
        <v>0</v>
      </c>
      <c r="R7764" s="143" t="s">
        <v>1906</v>
      </c>
      <c r="S7764" s="47"/>
      <c r="T7764" s="6">
        <v>-1028420.64298</v>
      </c>
      <c r="U7764" s="6"/>
      <c r="V7764" s="6">
        <v>0</v>
      </c>
      <c r="W7764" s="6">
        <f t="shared" si="1193"/>
        <v>-1028420.64298</v>
      </c>
      <c r="X7764" s="6">
        <f t="shared" si="1197"/>
        <v>0</v>
      </c>
      <c r="Y7764" s="13">
        <f t="shared" si="1199"/>
        <v>0</v>
      </c>
      <c r="Z7764" s="14">
        <v>0</v>
      </c>
      <c r="AA7764" s="6">
        <v>0</v>
      </c>
      <c r="AB7764" s="4">
        <f t="shared" si="1200"/>
        <v>0</v>
      </c>
      <c r="AC7764" s="6">
        <f t="shared" si="1198"/>
        <v>0</v>
      </c>
      <c r="AD7764" s="6">
        <f t="shared" si="1194"/>
        <v>0</v>
      </c>
      <c r="AE7764" s="14">
        <f>VLOOKUP(I7764,[2]媒体政策预估表!A:N,MATCH(O7764,[2]媒体政策预估表!$A$2:$M$2,0),0)</f>
        <v>0.1</v>
      </c>
      <c r="AF7764" s="6">
        <f t="shared" si="1196"/>
        <v>0</v>
      </c>
      <c r="AG7764" s="14">
        <v>0</v>
      </c>
      <c r="AH7764" s="64">
        <f t="shared" si="1195"/>
        <v>0</v>
      </c>
      <c r="AJ7764" s="126" t="e">
        <v>#N/A</v>
      </c>
      <c r="AK7764" s="80">
        <f t="shared" si="1201"/>
        <v>0</v>
      </c>
      <c r="AL7764" s="85"/>
      <c r="AM7764" s="85"/>
    </row>
    <row r="7765" spans="1:39" s="86" customFormat="1" ht="13.25" hidden="1" customHeight="1" x14ac:dyDescent="0.3">
      <c r="A7765" s="89" t="s">
        <v>3978</v>
      </c>
      <c r="B7765" s="86" t="s">
        <v>35</v>
      </c>
      <c r="C7765" s="86" t="s">
        <v>65</v>
      </c>
      <c r="D7765" s="86" t="s">
        <v>125</v>
      </c>
      <c r="E7765" s="86" t="s">
        <v>1903</v>
      </c>
      <c r="F7765" s="86" t="s">
        <v>1904</v>
      </c>
      <c r="G7765" s="86" t="s">
        <v>1903</v>
      </c>
      <c r="H7765" s="143">
        <v>360</v>
      </c>
      <c r="I7765" s="86" t="s">
        <v>1060</v>
      </c>
      <c r="J7765" s="47" t="s">
        <v>3325</v>
      </c>
      <c r="K7765" s="47" t="s">
        <v>3767</v>
      </c>
      <c r="L7765" s="47" t="s">
        <v>35</v>
      </c>
      <c r="M7765" s="86" t="s">
        <v>2148</v>
      </c>
      <c r="O7765" s="47" t="s">
        <v>941</v>
      </c>
      <c r="P7765" s="14" t="s">
        <v>41</v>
      </c>
      <c r="Q7765" s="14">
        <v>0</v>
      </c>
      <c r="R7765" s="143" t="s">
        <v>1906</v>
      </c>
      <c r="S7765" s="47"/>
      <c r="T7765" s="6">
        <v>-1595747.2432499998</v>
      </c>
      <c r="U7765" s="6"/>
      <c r="V7765" s="6">
        <v>0</v>
      </c>
      <c r="W7765" s="6">
        <f t="shared" si="1193"/>
        <v>-1595747.2432499998</v>
      </c>
      <c r="X7765" s="6">
        <f t="shared" si="1197"/>
        <v>0</v>
      </c>
      <c r="Y7765" s="13">
        <f t="shared" si="1199"/>
        <v>0</v>
      </c>
      <c r="Z7765" s="14">
        <v>0</v>
      </c>
      <c r="AA7765" s="6">
        <v>0</v>
      </c>
      <c r="AB7765" s="4">
        <f t="shared" si="1200"/>
        <v>0</v>
      </c>
      <c r="AC7765" s="6">
        <f t="shared" si="1198"/>
        <v>0</v>
      </c>
      <c r="AD7765" s="6">
        <f t="shared" si="1194"/>
        <v>0</v>
      </c>
      <c r="AE7765" s="14">
        <f>VLOOKUP(I7765,[2]媒体政策预估表!A:N,MATCH(O7765,[2]媒体政策预估表!$A$2:$M$2,0),0)</f>
        <v>0.15</v>
      </c>
      <c r="AF7765" s="6">
        <f t="shared" si="1196"/>
        <v>0</v>
      </c>
      <c r="AG7765" s="14">
        <v>0</v>
      </c>
      <c r="AH7765" s="64">
        <f t="shared" si="1195"/>
        <v>0</v>
      </c>
      <c r="AJ7765" s="126" t="e">
        <v>#N/A</v>
      </c>
      <c r="AK7765" s="80">
        <f t="shared" si="1201"/>
        <v>0</v>
      </c>
      <c r="AL7765" s="85"/>
      <c r="AM7765" s="85"/>
    </row>
    <row r="7766" spans="1:39" s="86" customFormat="1" ht="13.25" hidden="1" customHeight="1" x14ac:dyDescent="0.3">
      <c r="A7766" s="89" t="s">
        <v>3978</v>
      </c>
      <c r="B7766" s="86" t="s">
        <v>35</v>
      </c>
      <c r="C7766" s="86" t="s">
        <v>65</v>
      </c>
      <c r="D7766" s="86" t="s">
        <v>125</v>
      </c>
      <c r="E7766" s="86" t="s">
        <v>1903</v>
      </c>
      <c r="F7766" s="86" t="s">
        <v>1904</v>
      </c>
      <c r="G7766" s="86" t="s">
        <v>1903</v>
      </c>
      <c r="H7766" s="143">
        <v>360</v>
      </c>
      <c r="I7766" s="86" t="s">
        <v>1060</v>
      </c>
      <c r="J7766" s="47" t="s">
        <v>3325</v>
      </c>
      <c r="K7766" s="47" t="s">
        <v>3767</v>
      </c>
      <c r="L7766" s="47" t="s">
        <v>35</v>
      </c>
      <c r="M7766" s="86" t="s">
        <v>2148</v>
      </c>
      <c r="O7766" s="47" t="s">
        <v>2054</v>
      </c>
      <c r="P7766" s="14" t="s">
        <v>41</v>
      </c>
      <c r="Q7766" s="14">
        <v>0</v>
      </c>
      <c r="R7766" s="143" t="s">
        <v>1906</v>
      </c>
      <c r="S7766" s="47"/>
      <c r="T7766" s="6">
        <v>-144447.58701999995</v>
      </c>
      <c r="U7766" s="6"/>
      <c r="V7766" s="6">
        <v>0</v>
      </c>
      <c r="W7766" s="6">
        <f t="shared" si="1193"/>
        <v>-144447.58701999995</v>
      </c>
      <c r="X7766" s="6">
        <f t="shared" si="1197"/>
        <v>0</v>
      </c>
      <c r="Y7766" s="13">
        <f t="shared" si="1199"/>
        <v>0</v>
      </c>
      <c r="Z7766" s="14">
        <v>0</v>
      </c>
      <c r="AA7766" s="6">
        <v>0</v>
      </c>
      <c r="AB7766" s="4">
        <f t="shared" si="1200"/>
        <v>0</v>
      </c>
      <c r="AC7766" s="6">
        <f t="shared" si="1198"/>
        <v>0</v>
      </c>
      <c r="AD7766" s="6">
        <f t="shared" si="1194"/>
        <v>0</v>
      </c>
      <c r="AE7766" s="14">
        <f>VLOOKUP(I7766,[2]媒体政策预估表!A:N,MATCH(O7766,[2]媒体政策预估表!$A$2:$M$2,0),0)</f>
        <v>0.1</v>
      </c>
      <c r="AF7766" s="6">
        <f t="shared" si="1196"/>
        <v>0</v>
      </c>
      <c r="AG7766" s="14">
        <v>0</v>
      </c>
      <c r="AH7766" s="64">
        <f t="shared" si="1195"/>
        <v>0</v>
      </c>
      <c r="AJ7766" s="126" t="e">
        <v>#N/A</v>
      </c>
      <c r="AK7766" s="80">
        <f t="shared" si="1201"/>
        <v>0</v>
      </c>
      <c r="AL7766" s="85"/>
      <c r="AM7766" s="85"/>
    </row>
    <row r="7767" spans="1:39" s="86" customFormat="1" ht="13.25" hidden="1" customHeight="1" x14ac:dyDescent="0.3">
      <c r="A7767" s="89" t="s">
        <v>3978</v>
      </c>
      <c r="B7767" s="86" t="s">
        <v>35</v>
      </c>
      <c r="C7767" s="86" t="s">
        <v>47</v>
      </c>
      <c r="D7767" s="86" t="s">
        <v>878</v>
      </c>
      <c r="E7767" s="86" t="s">
        <v>155</v>
      </c>
      <c r="F7767" s="86" t="s">
        <v>155</v>
      </c>
      <c r="G7767" s="86" t="s">
        <v>155</v>
      </c>
      <c r="H7767" s="143">
        <v>360</v>
      </c>
      <c r="I7767" s="86" t="s">
        <v>1060</v>
      </c>
      <c r="J7767" s="47" t="s">
        <v>3325</v>
      </c>
      <c r="K7767" s="47" t="s">
        <v>3767</v>
      </c>
      <c r="L7767" s="47" t="s">
        <v>35</v>
      </c>
      <c r="M7767" s="86" t="s">
        <v>155</v>
      </c>
      <c r="O7767" s="47" t="s">
        <v>410</v>
      </c>
      <c r="P7767" s="14" t="s">
        <v>41</v>
      </c>
      <c r="Q7767" s="14">
        <v>0</v>
      </c>
      <c r="R7767" s="143" t="s">
        <v>2149</v>
      </c>
      <c r="S7767" s="47"/>
      <c r="T7767" s="6">
        <v>34.220000000000255</v>
      </c>
      <c r="U7767" s="6"/>
      <c r="V7767" s="6">
        <v>0</v>
      </c>
      <c r="W7767" s="6">
        <f t="shared" si="1193"/>
        <v>34.220000000000255</v>
      </c>
      <c r="X7767" s="6">
        <f t="shared" si="1197"/>
        <v>0</v>
      </c>
      <c r="Y7767" s="13">
        <f t="shared" si="1199"/>
        <v>0</v>
      </c>
      <c r="Z7767" s="14">
        <v>0</v>
      </c>
      <c r="AA7767" s="6">
        <v>0</v>
      </c>
      <c r="AB7767" s="4">
        <f t="shared" si="1200"/>
        <v>0</v>
      </c>
      <c r="AC7767" s="6">
        <f t="shared" si="1198"/>
        <v>0</v>
      </c>
      <c r="AD7767" s="6">
        <f t="shared" si="1194"/>
        <v>0</v>
      </c>
      <c r="AE7767" s="14">
        <f>VLOOKUP(I7767,[2]媒体政策预估表!A:N,MATCH(O7767,[2]媒体政策预估表!$A$2:$M$2,0),0)</f>
        <v>7.0000000000000007E-2</v>
      </c>
      <c r="AF7767" s="6">
        <f t="shared" si="1196"/>
        <v>0</v>
      </c>
      <c r="AG7767" s="14">
        <v>0</v>
      </c>
      <c r="AH7767" s="64">
        <f t="shared" si="1195"/>
        <v>0</v>
      </c>
      <c r="AJ7767" s="126" t="e">
        <v>#N/A</v>
      </c>
      <c r="AK7767" s="80">
        <f t="shared" si="1201"/>
        <v>0</v>
      </c>
      <c r="AL7767" s="85"/>
      <c r="AM7767" s="85"/>
    </row>
    <row r="7768" spans="1:39" s="86" customFormat="1" ht="13.25" hidden="1" customHeight="1" x14ac:dyDescent="0.3">
      <c r="A7768" s="89" t="s">
        <v>3978</v>
      </c>
      <c r="B7768" s="86" t="s">
        <v>35</v>
      </c>
      <c r="C7768" s="86" t="s">
        <v>47</v>
      </c>
      <c r="D7768" s="86" t="s">
        <v>878</v>
      </c>
      <c r="E7768" s="86" t="s">
        <v>2150</v>
      </c>
      <c r="F7768" s="86" t="s">
        <v>2150</v>
      </c>
      <c r="G7768" s="86" t="s">
        <v>2150</v>
      </c>
      <c r="H7768" s="143">
        <v>360</v>
      </c>
      <c r="I7768" s="86" t="s">
        <v>1060</v>
      </c>
      <c r="J7768" s="47" t="s">
        <v>3325</v>
      </c>
      <c r="K7768" s="47" t="s">
        <v>3767</v>
      </c>
      <c r="L7768" s="47" t="s">
        <v>35</v>
      </c>
      <c r="M7768" s="86" t="s">
        <v>2150</v>
      </c>
      <c r="O7768" s="47" t="s">
        <v>45</v>
      </c>
      <c r="P7768" s="14" t="s">
        <v>46</v>
      </c>
      <c r="Q7768" s="14">
        <v>0.06</v>
      </c>
      <c r="R7768" s="143" t="s">
        <v>2151</v>
      </c>
      <c r="S7768" s="47"/>
      <c r="T7768" s="6">
        <v>0.24000000000523899</v>
      </c>
      <c r="U7768" s="6"/>
      <c r="V7768" s="6">
        <v>0</v>
      </c>
      <c r="W7768" s="6">
        <f t="shared" si="1193"/>
        <v>0.24000000000523899</v>
      </c>
      <c r="X7768" s="6">
        <f t="shared" si="1197"/>
        <v>0</v>
      </c>
      <c r="Y7768" s="13">
        <f t="shared" si="1199"/>
        <v>0</v>
      </c>
      <c r="Z7768" s="14">
        <v>0</v>
      </c>
      <c r="AA7768" s="6">
        <v>0</v>
      </c>
      <c r="AB7768" s="4">
        <f t="shared" si="1200"/>
        <v>0</v>
      </c>
      <c r="AC7768" s="6">
        <f t="shared" si="1198"/>
        <v>0</v>
      </c>
      <c r="AD7768" s="6">
        <f t="shared" si="1194"/>
        <v>0</v>
      </c>
      <c r="AE7768" s="14">
        <f>VLOOKUP(I7768,[2]媒体政策预估表!A:N,MATCH(O7768,[2]媒体政策预估表!$A$2:$M$2,0),0)</f>
        <v>0.1</v>
      </c>
      <c r="AF7768" s="6">
        <f t="shared" si="1196"/>
        <v>0</v>
      </c>
      <c r="AG7768" s="14">
        <v>0</v>
      </c>
      <c r="AH7768" s="64">
        <f t="shared" si="1195"/>
        <v>0</v>
      </c>
      <c r="AJ7768" s="126" t="e">
        <v>#N/A</v>
      </c>
      <c r="AK7768" s="80">
        <f t="shared" si="1201"/>
        <v>0</v>
      </c>
      <c r="AL7768" s="85"/>
      <c r="AM7768" s="85"/>
    </row>
    <row r="7769" spans="1:39" s="86" customFormat="1" ht="13.25" hidden="1" customHeight="1" x14ac:dyDescent="0.3">
      <c r="A7769" s="89" t="s">
        <v>3805</v>
      </c>
      <c r="B7769" s="86" t="s">
        <v>35</v>
      </c>
      <c r="C7769" s="86" t="s">
        <v>47</v>
      </c>
      <c r="D7769" s="86" t="s">
        <v>878</v>
      </c>
      <c r="E7769" s="86" t="s">
        <v>2035</v>
      </c>
      <c r="F7769" s="86" t="s">
        <v>2035</v>
      </c>
      <c r="G7769" s="86" t="s">
        <v>2035</v>
      </c>
      <c r="H7769" s="143">
        <v>360</v>
      </c>
      <c r="I7769" s="86" t="s">
        <v>1060</v>
      </c>
      <c r="J7769" s="47" t="s">
        <v>3325</v>
      </c>
      <c r="K7769" s="47" t="s">
        <v>3767</v>
      </c>
      <c r="L7769" s="47" t="s">
        <v>35</v>
      </c>
      <c r="M7769" s="86" t="s">
        <v>2152</v>
      </c>
      <c r="O7769" s="47" t="s">
        <v>410</v>
      </c>
      <c r="P7769" s="14" t="s">
        <v>46</v>
      </c>
      <c r="Q7769" s="14">
        <v>0.03</v>
      </c>
      <c r="R7769" s="143" t="s">
        <v>2153</v>
      </c>
      <c r="S7769" s="47"/>
      <c r="T7769" s="6">
        <v>0.59999999999945397</v>
      </c>
      <c r="U7769" s="6"/>
      <c r="V7769" s="6">
        <v>0</v>
      </c>
      <c r="W7769" s="6">
        <f t="shared" ref="W7769:W7832" si="1202">T7769+U7769-V7769</f>
        <v>0.59999999999945397</v>
      </c>
      <c r="X7769" s="6">
        <f t="shared" si="1197"/>
        <v>0</v>
      </c>
      <c r="Y7769" s="13">
        <f t="shared" si="1199"/>
        <v>0</v>
      </c>
      <c r="Z7769" s="14">
        <v>0</v>
      </c>
      <c r="AA7769" s="6">
        <v>0</v>
      </c>
      <c r="AB7769" s="4">
        <f t="shared" si="1200"/>
        <v>0</v>
      </c>
      <c r="AC7769" s="6">
        <f t="shared" si="1198"/>
        <v>0</v>
      </c>
      <c r="AD7769" s="6">
        <f t="shared" ref="AD7769:AD7832" si="1203">V7769</f>
        <v>0</v>
      </c>
      <c r="AE7769" s="14">
        <f>VLOOKUP(I7769,[2]媒体政策预估表!A:N,MATCH(O7769,[2]媒体政策预估表!$A$2:$M$2,0),0)</f>
        <v>7.0000000000000007E-2</v>
      </c>
      <c r="AF7769" s="6">
        <f t="shared" si="1196"/>
        <v>0</v>
      </c>
      <c r="AG7769" s="14">
        <v>0</v>
      </c>
      <c r="AH7769" s="64">
        <f t="shared" ref="AH7769:AH7832" si="1204">V7769</f>
        <v>0</v>
      </c>
      <c r="AJ7769" s="126" t="e">
        <v>#N/A</v>
      </c>
      <c r="AK7769" s="80">
        <f t="shared" si="1201"/>
        <v>0</v>
      </c>
      <c r="AL7769" s="85"/>
      <c r="AM7769" s="85"/>
    </row>
    <row r="7770" spans="1:39" s="86" customFormat="1" ht="13.25" hidden="1" customHeight="1" x14ac:dyDescent="0.3">
      <c r="A7770" s="89" t="s">
        <v>3978</v>
      </c>
      <c r="B7770" s="86" t="s">
        <v>35</v>
      </c>
      <c r="C7770" s="86" t="s">
        <v>47</v>
      </c>
      <c r="D7770" s="86" t="s">
        <v>878</v>
      </c>
      <c r="E7770" s="86" t="s">
        <v>2154</v>
      </c>
      <c r="F7770" s="86" t="s">
        <v>2154</v>
      </c>
      <c r="G7770" s="86" t="s">
        <v>2154</v>
      </c>
      <c r="H7770" s="143">
        <v>360</v>
      </c>
      <c r="I7770" s="86" t="s">
        <v>1060</v>
      </c>
      <c r="J7770" s="47" t="s">
        <v>3325</v>
      </c>
      <c r="K7770" s="47" t="s">
        <v>3767</v>
      </c>
      <c r="L7770" s="47" t="s">
        <v>35</v>
      </c>
      <c r="M7770" s="86" t="s">
        <v>2155</v>
      </c>
      <c r="O7770" s="47" t="s">
        <v>45</v>
      </c>
      <c r="P7770" s="14" t="s">
        <v>46</v>
      </c>
      <c r="Q7770" s="14">
        <v>0.08</v>
      </c>
      <c r="R7770" s="143" t="s">
        <v>2156</v>
      </c>
      <c r="S7770" s="47"/>
      <c r="T7770" s="6">
        <v>5.3500000000301497</v>
      </c>
      <c r="U7770" s="6"/>
      <c r="V7770" s="6">
        <v>0</v>
      </c>
      <c r="W7770" s="6">
        <f t="shared" si="1202"/>
        <v>5.3500000000301497</v>
      </c>
      <c r="X7770" s="6">
        <f t="shared" si="1197"/>
        <v>0</v>
      </c>
      <c r="Y7770" s="13">
        <f t="shared" si="1199"/>
        <v>0</v>
      </c>
      <c r="Z7770" s="14">
        <v>0</v>
      </c>
      <c r="AA7770" s="6">
        <v>0</v>
      </c>
      <c r="AB7770" s="4"/>
      <c r="AC7770" s="6">
        <f t="shared" si="1198"/>
        <v>0</v>
      </c>
      <c r="AD7770" s="6">
        <f t="shared" si="1203"/>
        <v>0</v>
      </c>
      <c r="AE7770" s="14">
        <f>VLOOKUP(I7770,[2]媒体政策预估表!A:N,MATCH(O7770,[2]媒体政策预估表!$A$2:$M$2,0),0)</f>
        <v>0.1</v>
      </c>
      <c r="AF7770" s="6">
        <f t="shared" si="1196"/>
        <v>0</v>
      </c>
      <c r="AG7770" s="14">
        <v>0</v>
      </c>
      <c r="AH7770" s="64">
        <f t="shared" si="1204"/>
        <v>0</v>
      </c>
      <c r="AJ7770" s="126">
        <v>62</v>
      </c>
      <c r="AK7770" s="80">
        <f t="shared" si="1201"/>
        <v>0</v>
      </c>
      <c r="AL7770" s="85"/>
      <c r="AM7770" s="85"/>
    </row>
    <row r="7771" spans="1:39" s="86" customFormat="1" ht="13.25" hidden="1" customHeight="1" x14ac:dyDescent="0.3">
      <c r="A7771" s="89" t="s">
        <v>3978</v>
      </c>
      <c r="B7771" s="86" t="s">
        <v>35</v>
      </c>
      <c r="C7771" s="86" t="s">
        <v>47</v>
      </c>
      <c r="D7771" s="86" t="s">
        <v>1317</v>
      </c>
      <c r="E7771" s="86" t="s">
        <v>2157</v>
      </c>
      <c r="F7771" s="86" t="s">
        <v>2157</v>
      </c>
      <c r="G7771" s="86" t="s">
        <v>2157</v>
      </c>
      <c r="H7771" s="143">
        <v>360</v>
      </c>
      <c r="I7771" s="86" t="s">
        <v>1060</v>
      </c>
      <c r="J7771" s="47" t="s">
        <v>3325</v>
      </c>
      <c r="K7771" s="47" t="s">
        <v>3767</v>
      </c>
      <c r="L7771" s="47" t="s">
        <v>35</v>
      </c>
      <c r="M7771" s="86" t="s">
        <v>2157</v>
      </c>
      <c r="O7771" s="47" t="s">
        <v>410</v>
      </c>
      <c r="P7771" s="14" t="s">
        <v>46</v>
      </c>
      <c r="Q7771" s="14">
        <v>0.03</v>
      </c>
      <c r="R7771" s="143" t="s">
        <v>2158</v>
      </c>
      <c r="S7771" s="47"/>
      <c r="T7771" s="6">
        <v>5541.4</v>
      </c>
      <c r="U7771" s="6"/>
      <c r="V7771" s="6">
        <v>0</v>
      </c>
      <c r="W7771" s="6">
        <f t="shared" si="1202"/>
        <v>5541.4</v>
      </c>
      <c r="X7771" s="6">
        <f t="shared" si="1197"/>
        <v>0</v>
      </c>
      <c r="Y7771" s="13">
        <f t="shared" si="1199"/>
        <v>0</v>
      </c>
      <c r="Z7771" s="14">
        <v>0</v>
      </c>
      <c r="AA7771" s="6">
        <v>0</v>
      </c>
      <c r="AB7771" s="4">
        <f t="shared" si="1200"/>
        <v>0</v>
      </c>
      <c r="AC7771" s="6">
        <f t="shared" si="1198"/>
        <v>0</v>
      </c>
      <c r="AD7771" s="6">
        <f t="shared" si="1203"/>
        <v>0</v>
      </c>
      <c r="AE7771" s="14">
        <f>VLOOKUP(I7771,[2]媒体政策预估表!A:N,MATCH(O7771,[2]媒体政策预估表!$A$2:$M$2,0),0)</f>
        <v>7.0000000000000007E-2</v>
      </c>
      <c r="AF7771" s="6">
        <f t="shared" si="1196"/>
        <v>0</v>
      </c>
      <c r="AG7771" s="14">
        <v>0</v>
      </c>
      <c r="AH7771" s="64">
        <f t="shared" si="1204"/>
        <v>0</v>
      </c>
      <c r="AJ7771" s="126" t="e">
        <v>#N/A</v>
      </c>
      <c r="AK7771" s="80">
        <f t="shared" si="1201"/>
        <v>0</v>
      </c>
      <c r="AL7771" s="85"/>
      <c r="AM7771" s="85"/>
    </row>
    <row r="7772" spans="1:39" s="86" customFormat="1" ht="13.25" hidden="1" customHeight="1" x14ac:dyDescent="0.3">
      <c r="A7772" s="89" t="s">
        <v>3978</v>
      </c>
      <c r="B7772" s="86" t="s">
        <v>35</v>
      </c>
      <c r="C7772" s="86" t="s">
        <v>47</v>
      </c>
      <c r="D7772" s="86" t="s">
        <v>1317</v>
      </c>
      <c r="E7772" s="86" t="s">
        <v>2159</v>
      </c>
      <c r="F7772" s="86" t="s">
        <v>2159</v>
      </c>
      <c r="G7772" s="86" t="s">
        <v>2159</v>
      </c>
      <c r="H7772" s="143">
        <v>360</v>
      </c>
      <c r="I7772" s="86" t="s">
        <v>1060</v>
      </c>
      <c r="J7772" s="47" t="s">
        <v>3325</v>
      </c>
      <c r="K7772" s="47" t="s">
        <v>3767</v>
      </c>
      <c r="L7772" s="47" t="s">
        <v>35</v>
      </c>
      <c r="M7772" s="86" t="s">
        <v>2160</v>
      </c>
      <c r="O7772" s="47" t="s">
        <v>45</v>
      </c>
      <c r="P7772" s="14" t="s">
        <v>46</v>
      </c>
      <c r="Q7772" s="14">
        <v>0.08</v>
      </c>
      <c r="R7772" s="143" t="s">
        <v>2161</v>
      </c>
      <c r="S7772" s="47"/>
      <c r="T7772" s="6">
        <v>589.11</v>
      </c>
      <c r="U7772" s="6"/>
      <c r="V7772" s="6">
        <v>0</v>
      </c>
      <c r="W7772" s="6">
        <f t="shared" si="1202"/>
        <v>589.11</v>
      </c>
      <c r="X7772" s="6">
        <f t="shared" si="1197"/>
        <v>0</v>
      </c>
      <c r="Y7772" s="13">
        <f t="shared" si="1199"/>
        <v>0</v>
      </c>
      <c r="Z7772" s="14">
        <v>0</v>
      </c>
      <c r="AA7772" s="6">
        <v>0</v>
      </c>
      <c r="AB7772" s="4">
        <f t="shared" si="1200"/>
        <v>0</v>
      </c>
      <c r="AC7772" s="6">
        <f t="shared" si="1198"/>
        <v>0</v>
      </c>
      <c r="AD7772" s="6">
        <f t="shared" si="1203"/>
        <v>0</v>
      </c>
      <c r="AE7772" s="14">
        <f>VLOOKUP(I7772,[2]媒体政策预估表!A:N,MATCH(O7772,[2]媒体政策预估表!$A$2:$M$2,0),0)</f>
        <v>0.1</v>
      </c>
      <c r="AF7772" s="6">
        <f t="shared" si="1196"/>
        <v>0</v>
      </c>
      <c r="AG7772" s="14">
        <v>0</v>
      </c>
      <c r="AH7772" s="64">
        <f t="shared" si="1204"/>
        <v>0</v>
      </c>
      <c r="AJ7772" s="126" t="e">
        <v>#N/A</v>
      </c>
      <c r="AK7772" s="80">
        <f t="shared" si="1201"/>
        <v>0</v>
      </c>
      <c r="AL7772" s="85"/>
      <c r="AM7772" s="85"/>
    </row>
    <row r="7773" spans="1:39" s="86" customFormat="1" ht="13.25" hidden="1" customHeight="1" x14ac:dyDescent="0.3">
      <c r="A7773" s="89" t="s">
        <v>3978</v>
      </c>
      <c r="B7773" s="86" t="s">
        <v>35</v>
      </c>
      <c r="C7773" s="86" t="s">
        <v>47</v>
      </c>
      <c r="D7773" s="86" t="s">
        <v>1317</v>
      </c>
      <c r="E7773" s="86" t="s">
        <v>2162</v>
      </c>
      <c r="F7773" s="86" t="s">
        <v>2162</v>
      </c>
      <c r="G7773" s="86" t="s">
        <v>2162</v>
      </c>
      <c r="H7773" s="143">
        <v>360</v>
      </c>
      <c r="I7773" s="86" t="s">
        <v>1060</v>
      </c>
      <c r="J7773" s="47" t="s">
        <v>3325</v>
      </c>
      <c r="K7773" s="47" t="s">
        <v>3767</v>
      </c>
      <c r="L7773" s="47" t="s">
        <v>35</v>
      </c>
      <c r="M7773" s="86" t="s">
        <v>2162</v>
      </c>
      <c r="O7773" s="47" t="s">
        <v>410</v>
      </c>
      <c r="P7773" s="14" t="s">
        <v>41</v>
      </c>
      <c r="Q7773" s="14">
        <v>0</v>
      </c>
      <c r="R7773" s="143" t="s">
        <v>2163</v>
      </c>
      <c r="S7773" s="47"/>
      <c r="T7773" s="6">
        <v>593.24</v>
      </c>
      <c r="U7773" s="6"/>
      <c r="V7773" s="6">
        <v>0</v>
      </c>
      <c r="W7773" s="6">
        <f t="shared" si="1202"/>
        <v>593.24</v>
      </c>
      <c r="X7773" s="6">
        <f t="shared" si="1197"/>
        <v>0</v>
      </c>
      <c r="Y7773" s="13">
        <f t="shared" si="1199"/>
        <v>0</v>
      </c>
      <c r="Z7773" s="14">
        <v>0</v>
      </c>
      <c r="AA7773" s="6">
        <v>0</v>
      </c>
      <c r="AB7773" s="4">
        <f t="shared" si="1200"/>
        <v>0</v>
      </c>
      <c r="AC7773" s="6">
        <f t="shared" si="1198"/>
        <v>0</v>
      </c>
      <c r="AD7773" s="6">
        <f t="shared" si="1203"/>
        <v>0</v>
      </c>
      <c r="AE7773" s="14">
        <f>VLOOKUP(I7773,[2]媒体政策预估表!A:N,MATCH(O7773,[2]媒体政策预估表!$A$2:$M$2,0),0)</f>
        <v>7.0000000000000007E-2</v>
      </c>
      <c r="AF7773" s="6">
        <f t="shared" si="1196"/>
        <v>0</v>
      </c>
      <c r="AG7773" s="14">
        <v>0</v>
      </c>
      <c r="AH7773" s="64">
        <f t="shared" si="1204"/>
        <v>0</v>
      </c>
      <c r="AJ7773" s="126" t="e">
        <v>#N/A</v>
      </c>
      <c r="AK7773" s="80">
        <f t="shared" si="1201"/>
        <v>0</v>
      </c>
      <c r="AL7773" s="85"/>
      <c r="AM7773" s="85"/>
    </row>
    <row r="7774" spans="1:39" s="86" customFormat="1" ht="13.25" hidden="1" customHeight="1" x14ac:dyDescent="0.3">
      <c r="A7774" s="89" t="s">
        <v>3978</v>
      </c>
      <c r="B7774" s="86" t="s">
        <v>35</v>
      </c>
      <c r="C7774" s="86" t="s">
        <v>47</v>
      </c>
      <c r="D7774" s="86" t="s">
        <v>1317</v>
      </c>
      <c r="E7774" s="86" t="s">
        <v>2164</v>
      </c>
      <c r="F7774" s="86" t="s">
        <v>2164</v>
      </c>
      <c r="G7774" s="86" t="s">
        <v>2164</v>
      </c>
      <c r="H7774" s="143">
        <v>360</v>
      </c>
      <c r="I7774" s="86" t="s">
        <v>1060</v>
      </c>
      <c r="J7774" s="47" t="s">
        <v>3325</v>
      </c>
      <c r="K7774" s="47" t="s">
        <v>3767</v>
      </c>
      <c r="L7774" s="47" t="s">
        <v>35</v>
      </c>
      <c r="M7774" s="86" t="s">
        <v>2164</v>
      </c>
      <c r="O7774" s="47" t="s">
        <v>45</v>
      </c>
      <c r="P7774" s="14" t="s">
        <v>75</v>
      </c>
      <c r="Q7774" s="14">
        <v>0.09</v>
      </c>
      <c r="R7774" s="143" t="s">
        <v>2165</v>
      </c>
      <c r="S7774" s="47"/>
      <c r="T7774" s="6">
        <v>10.049999999999301</v>
      </c>
      <c r="U7774" s="6"/>
      <c r="V7774" s="6">
        <v>0</v>
      </c>
      <c r="W7774" s="6">
        <f t="shared" si="1202"/>
        <v>10.049999999999301</v>
      </c>
      <c r="X7774" s="6">
        <f t="shared" si="1197"/>
        <v>0</v>
      </c>
      <c r="Y7774" s="13">
        <f t="shared" si="1199"/>
        <v>0</v>
      </c>
      <c r="Z7774" s="14">
        <v>0</v>
      </c>
      <c r="AA7774" s="6">
        <v>0</v>
      </c>
      <c r="AB7774" s="4"/>
      <c r="AC7774" s="6">
        <f t="shared" si="1198"/>
        <v>0</v>
      </c>
      <c r="AD7774" s="6">
        <f t="shared" si="1203"/>
        <v>0</v>
      </c>
      <c r="AE7774" s="14">
        <f>VLOOKUP(I7774,[2]媒体政策预估表!A:N,MATCH(O7774,[2]媒体政策预估表!$A$2:$M$2,0),0)</f>
        <v>0.1</v>
      </c>
      <c r="AF7774" s="6">
        <f t="shared" si="1196"/>
        <v>0</v>
      </c>
      <c r="AG7774" s="14">
        <v>0</v>
      </c>
      <c r="AH7774" s="64">
        <f t="shared" si="1204"/>
        <v>0</v>
      </c>
      <c r="AJ7774" s="126">
        <v>64</v>
      </c>
      <c r="AK7774" s="80">
        <f t="shared" si="1201"/>
        <v>0</v>
      </c>
      <c r="AL7774" s="85"/>
      <c r="AM7774" s="85"/>
    </row>
    <row r="7775" spans="1:39" s="86" customFormat="1" ht="13.25" hidden="1" customHeight="1" x14ac:dyDescent="0.3">
      <c r="A7775" s="89" t="s">
        <v>3978</v>
      </c>
      <c r="B7775" s="86" t="s">
        <v>35</v>
      </c>
      <c r="C7775" s="86" t="s">
        <v>47</v>
      </c>
      <c r="D7775" s="86" t="s">
        <v>1317</v>
      </c>
      <c r="E7775" s="86" t="s">
        <v>2166</v>
      </c>
      <c r="F7775" s="86" t="s">
        <v>2166</v>
      </c>
      <c r="G7775" s="86" t="s">
        <v>2166</v>
      </c>
      <c r="H7775" s="143">
        <v>360</v>
      </c>
      <c r="I7775" s="86" t="s">
        <v>1060</v>
      </c>
      <c r="J7775" s="47" t="s">
        <v>3325</v>
      </c>
      <c r="K7775" s="47" t="s">
        <v>3767</v>
      </c>
      <c r="L7775" s="47" t="s">
        <v>35</v>
      </c>
      <c r="M7775" s="86" t="s">
        <v>2167</v>
      </c>
      <c r="O7775" s="47" t="s">
        <v>45</v>
      </c>
      <c r="P7775" s="14" t="s">
        <v>75</v>
      </c>
      <c r="Q7775" s="14">
        <v>9.0899999999999995E-2</v>
      </c>
      <c r="R7775" s="143" t="s">
        <v>2168</v>
      </c>
      <c r="S7775" s="47"/>
      <c r="T7775" s="6">
        <v>9.8799999998882395</v>
      </c>
      <c r="U7775" s="6"/>
      <c r="V7775" s="6">
        <v>0</v>
      </c>
      <c r="W7775" s="6">
        <f t="shared" si="1202"/>
        <v>9.8799999998882395</v>
      </c>
      <c r="X7775" s="6">
        <f t="shared" si="1197"/>
        <v>0</v>
      </c>
      <c r="Y7775" s="13">
        <f t="shared" si="1199"/>
        <v>0</v>
      </c>
      <c r="Z7775" s="14">
        <v>0</v>
      </c>
      <c r="AA7775" s="6">
        <v>0</v>
      </c>
      <c r="AB7775" s="4"/>
      <c r="AC7775" s="6">
        <f t="shared" si="1198"/>
        <v>0</v>
      </c>
      <c r="AD7775" s="6">
        <f t="shared" si="1203"/>
        <v>0</v>
      </c>
      <c r="AE7775" s="14">
        <f>VLOOKUP(I7775,[2]媒体政策预估表!A:N,MATCH(O7775,[2]媒体政策预估表!$A$2:$M$2,0),0)</f>
        <v>0.1</v>
      </c>
      <c r="AF7775" s="6">
        <f t="shared" si="1196"/>
        <v>0</v>
      </c>
      <c r="AG7775" s="14">
        <v>0</v>
      </c>
      <c r="AH7775" s="64">
        <f t="shared" si="1204"/>
        <v>0</v>
      </c>
      <c r="AJ7775" s="126">
        <v>63</v>
      </c>
      <c r="AK7775" s="80">
        <f t="shared" si="1201"/>
        <v>0</v>
      </c>
      <c r="AL7775" s="85"/>
      <c r="AM7775" s="85"/>
    </row>
    <row r="7776" spans="1:39" s="86" customFormat="1" ht="13.25" hidden="1" customHeight="1" x14ac:dyDescent="0.3">
      <c r="A7776" s="89" t="s">
        <v>3978</v>
      </c>
      <c r="B7776" s="86" t="s">
        <v>35</v>
      </c>
      <c r="C7776" s="86" t="s">
        <v>47</v>
      </c>
      <c r="D7776" s="86" t="s">
        <v>63</v>
      </c>
      <c r="E7776" s="86" t="s">
        <v>536</v>
      </c>
      <c r="F7776" s="86" t="s">
        <v>536</v>
      </c>
      <c r="G7776" s="86" t="s">
        <v>536</v>
      </c>
      <c r="H7776" s="143">
        <v>360</v>
      </c>
      <c r="I7776" s="86" t="s">
        <v>1060</v>
      </c>
      <c r="J7776" s="47" t="s">
        <v>3325</v>
      </c>
      <c r="K7776" s="47" t="s">
        <v>3767</v>
      </c>
      <c r="L7776" s="47" t="s">
        <v>35</v>
      </c>
      <c r="M7776" s="86" t="s">
        <v>2169</v>
      </c>
      <c r="O7776" s="47" t="s">
        <v>410</v>
      </c>
      <c r="P7776" s="14" t="s">
        <v>92</v>
      </c>
      <c r="Q7776" s="14">
        <v>0.98</v>
      </c>
      <c r="R7776" s="143" t="s">
        <v>2170</v>
      </c>
      <c r="S7776" s="47"/>
      <c r="T7776" s="6">
        <v>3015.2</v>
      </c>
      <c r="U7776" s="6"/>
      <c r="V7776" s="6">
        <v>0</v>
      </c>
      <c r="W7776" s="6">
        <f t="shared" si="1202"/>
        <v>3015.2</v>
      </c>
      <c r="X7776" s="6">
        <f t="shared" si="1197"/>
        <v>0</v>
      </c>
      <c r="Y7776" s="13">
        <f t="shared" si="1199"/>
        <v>0</v>
      </c>
      <c r="Z7776" s="14">
        <v>0</v>
      </c>
      <c r="AA7776" s="6">
        <v>0</v>
      </c>
      <c r="AB7776" s="4">
        <f t="shared" si="1200"/>
        <v>0</v>
      </c>
      <c r="AC7776" s="6">
        <f t="shared" si="1198"/>
        <v>0</v>
      </c>
      <c r="AD7776" s="6">
        <f t="shared" si="1203"/>
        <v>0</v>
      </c>
      <c r="AE7776" s="14">
        <f>VLOOKUP(I7776,[2]媒体政策预估表!A:N,MATCH(O7776,[2]媒体政策预估表!$A$2:$M$2,0),0)</f>
        <v>7.0000000000000007E-2</v>
      </c>
      <c r="AF7776" s="6">
        <f t="shared" si="1196"/>
        <v>0</v>
      </c>
      <c r="AG7776" s="14">
        <v>0</v>
      </c>
      <c r="AH7776" s="64">
        <f t="shared" si="1204"/>
        <v>0</v>
      </c>
      <c r="AJ7776" s="126" t="e">
        <v>#N/A</v>
      </c>
      <c r="AK7776" s="80">
        <f t="shared" si="1201"/>
        <v>0</v>
      </c>
      <c r="AL7776" s="85"/>
      <c r="AM7776" s="85"/>
    </row>
    <row r="7777" spans="1:39" s="86" customFormat="1" ht="13.25" hidden="1" customHeight="1" x14ac:dyDescent="0.3">
      <c r="A7777" s="89" t="s">
        <v>3792</v>
      </c>
      <c r="B7777" s="86" t="s">
        <v>35</v>
      </c>
      <c r="C7777" s="86" t="s">
        <v>47</v>
      </c>
      <c r="D7777" s="86" t="s">
        <v>63</v>
      </c>
      <c r="E7777" s="86" t="s">
        <v>904</v>
      </c>
      <c r="F7777" s="86" t="s">
        <v>904</v>
      </c>
      <c r="G7777" s="86" t="s">
        <v>904</v>
      </c>
      <c r="H7777" s="143">
        <v>360</v>
      </c>
      <c r="I7777" s="86" t="s">
        <v>1060</v>
      </c>
      <c r="J7777" s="47" t="s">
        <v>3325</v>
      </c>
      <c r="K7777" s="47" t="s">
        <v>3767</v>
      </c>
      <c r="L7777" s="47" t="s">
        <v>35</v>
      </c>
      <c r="M7777" s="86" t="s">
        <v>1329</v>
      </c>
      <c r="O7777" s="47" t="s">
        <v>410</v>
      </c>
      <c r="P7777" s="14" t="s">
        <v>92</v>
      </c>
      <c r="Q7777" s="14">
        <v>0.96</v>
      </c>
      <c r="R7777" s="143" t="s">
        <v>2171</v>
      </c>
      <c r="S7777" s="47"/>
      <c r="T7777" s="6">
        <v>1135.989999999998</v>
      </c>
      <c r="U7777" s="6"/>
      <c r="V7777" s="6">
        <v>0</v>
      </c>
      <c r="W7777" s="6">
        <f t="shared" si="1202"/>
        <v>1135.989999999998</v>
      </c>
      <c r="X7777" s="6">
        <f t="shared" si="1197"/>
        <v>0</v>
      </c>
      <c r="Y7777" s="13">
        <f t="shared" si="1199"/>
        <v>0</v>
      </c>
      <c r="Z7777" s="14">
        <v>0</v>
      </c>
      <c r="AA7777" s="6">
        <v>0</v>
      </c>
      <c r="AB7777" s="4">
        <f t="shared" si="1200"/>
        <v>0</v>
      </c>
      <c r="AC7777" s="6">
        <f t="shared" si="1198"/>
        <v>0</v>
      </c>
      <c r="AD7777" s="6">
        <f t="shared" si="1203"/>
        <v>0</v>
      </c>
      <c r="AE7777" s="14">
        <f>VLOOKUP(I7777,[2]媒体政策预估表!A:N,MATCH(O7777,[2]媒体政策预估表!$A$2:$M$2,0),0)</f>
        <v>7.0000000000000007E-2</v>
      </c>
      <c r="AF7777" s="6">
        <f t="shared" si="1196"/>
        <v>0</v>
      </c>
      <c r="AG7777" s="14">
        <v>0</v>
      </c>
      <c r="AH7777" s="64">
        <f t="shared" si="1204"/>
        <v>0</v>
      </c>
      <c r="AJ7777" s="126" t="e">
        <v>#N/A</v>
      </c>
      <c r="AK7777" s="80">
        <f t="shared" si="1201"/>
        <v>0</v>
      </c>
      <c r="AL7777" s="85"/>
      <c r="AM7777" s="85"/>
    </row>
    <row r="7778" spans="1:39" s="86" customFormat="1" ht="13.25" hidden="1" customHeight="1" x14ac:dyDescent="0.3">
      <c r="A7778" s="89" t="s">
        <v>3978</v>
      </c>
      <c r="B7778" s="86" t="s">
        <v>35</v>
      </c>
      <c r="C7778" s="86" t="s">
        <v>47</v>
      </c>
      <c r="D7778" s="86" t="s">
        <v>63</v>
      </c>
      <c r="E7778" s="86" t="s">
        <v>2172</v>
      </c>
      <c r="F7778" s="86" t="s">
        <v>2173</v>
      </c>
      <c r="G7778" s="86" t="s">
        <v>2172</v>
      </c>
      <c r="H7778" s="143">
        <v>360</v>
      </c>
      <c r="I7778" s="86" t="s">
        <v>1060</v>
      </c>
      <c r="J7778" s="47" t="s">
        <v>3325</v>
      </c>
      <c r="K7778" s="47" t="s">
        <v>3767</v>
      </c>
      <c r="L7778" s="47" t="s">
        <v>35</v>
      </c>
      <c r="M7778" s="86" t="s">
        <v>2174</v>
      </c>
      <c r="O7778" s="47" t="s">
        <v>410</v>
      </c>
      <c r="P7778" s="14" t="s">
        <v>46</v>
      </c>
      <c r="Q7778" s="14">
        <v>0.02</v>
      </c>
      <c r="R7778" s="143" t="s">
        <v>2175</v>
      </c>
      <c r="S7778" s="47"/>
      <c r="T7778" s="6">
        <v>20021.52</v>
      </c>
      <c r="U7778" s="6"/>
      <c r="V7778" s="6">
        <v>0</v>
      </c>
      <c r="W7778" s="6">
        <f t="shared" si="1202"/>
        <v>20021.52</v>
      </c>
      <c r="X7778" s="6">
        <f t="shared" si="1197"/>
        <v>0</v>
      </c>
      <c r="Y7778" s="13">
        <f t="shared" si="1199"/>
        <v>0</v>
      </c>
      <c r="Z7778" s="14">
        <v>0</v>
      </c>
      <c r="AA7778" s="6">
        <v>0</v>
      </c>
      <c r="AB7778" s="4">
        <f t="shared" si="1200"/>
        <v>0</v>
      </c>
      <c r="AC7778" s="6">
        <f t="shared" si="1198"/>
        <v>0</v>
      </c>
      <c r="AD7778" s="6">
        <f t="shared" si="1203"/>
        <v>0</v>
      </c>
      <c r="AE7778" s="14">
        <f>VLOOKUP(I7778,[2]媒体政策预估表!A:N,MATCH(O7778,[2]媒体政策预估表!$A$2:$M$2,0),0)</f>
        <v>7.0000000000000007E-2</v>
      </c>
      <c r="AF7778" s="6">
        <f t="shared" si="1196"/>
        <v>0</v>
      </c>
      <c r="AG7778" s="14">
        <v>0</v>
      </c>
      <c r="AH7778" s="64">
        <f t="shared" si="1204"/>
        <v>0</v>
      </c>
      <c r="AJ7778" s="126" t="e">
        <v>#N/A</v>
      </c>
      <c r="AK7778" s="80">
        <f t="shared" si="1201"/>
        <v>0</v>
      </c>
      <c r="AL7778" s="85"/>
      <c r="AM7778" s="85"/>
    </row>
    <row r="7779" spans="1:39" s="86" customFormat="1" ht="13.25" hidden="1" customHeight="1" x14ac:dyDescent="0.3">
      <c r="A7779" s="89" t="s">
        <v>3792</v>
      </c>
      <c r="B7779" s="86" t="s">
        <v>35</v>
      </c>
      <c r="C7779" s="86" t="s">
        <v>47</v>
      </c>
      <c r="D7779" s="86" t="s">
        <v>48</v>
      </c>
      <c r="E7779" s="86" t="s">
        <v>2176</v>
      </c>
      <c r="F7779" s="86" t="s">
        <v>2177</v>
      </c>
      <c r="G7779" s="86" t="s">
        <v>2176</v>
      </c>
      <c r="H7779" s="143">
        <v>360</v>
      </c>
      <c r="I7779" s="86" t="s">
        <v>1060</v>
      </c>
      <c r="J7779" s="47" t="s">
        <v>3325</v>
      </c>
      <c r="K7779" s="47" t="s">
        <v>3767</v>
      </c>
      <c r="L7779" s="47" t="s">
        <v>35</v>
      </c>
      <c r="M7779" s="86" t="s">
        <v>2178</v>
      </c>
      <c r="O7779" s="47" t="s">
        <v>410</v>
      </c>
      <c r="P7779" s="14" t="s">
        <v>46</v>
      </c>
      <c r="Q7779" s="14">
        <v>0.02</v>
      </c>
      <c r="R7779" s="143" t="s">
        <v>2179</v>
      </c>
      <c r="S7779" s="47"/>
      <c r="T7779" s="6">
        <v>434.58</v>
      </c>
      <c r="U7779" s="6"/>
      <c r="V7779" s="6">
        <v>0</v>
      </c>
      <c r="W7779" s="6">
        <f t="shared" si="1202"/>
        <v>434.58</v>
      </c>
      <c r="X7779" s="6">
        <f t="shared" si="1197"/>
        <v>0</v>
      </c>
      <c r="Y7779" s="13">
        <f t="shared" si="1199"/>
        <v>0</v>
      </c>
      <c r="Z7779" s="14">
        <v>0</v>
      </c>
      <c r="AA7779" s="6">
        <v>0</v>
      </c>
      <c r="AB7779" s="4">
        <f t="shared" si="1200"/>
        <v>0</v>
      </c>
      <c r="AC7779" s="6">
        <f t="shared" si="1198"/>
        <v>0</v>
      </c>
      <c r="AD7779" s="6">
        <f t="shared" si="1203"/>
        <v>0</v>
      </c>
      <c r="AE7779" s="14">
        <f>VLOOKUP(I7779,[2]媒体政策预估表!A:N,MATCH(O7779,[2]媒体政策预估表!$A$2:$M$2,0),0)</f>
        <v>7.0000000000000007E-2</v>
      </c>
      <c r="AF7779" s="6">
        <f t="shared" si="1196"/>
        <v>0</v>
      </c>
      <c r="AG7779" s="14">
        <v>0</v>
      </c>
      <c r="AH7779" s="64">
        <f t="shared" si="1204"/>
        <v>0</v>
      </c>
      <c r="AJ7779" s="126" t="e">
        <v>#N/A</v>
      </c>
      <c r="AK7779" s="80">
        <f t="shared" si="1201"/>
        <v>0</v>
      </c>
      <c r="AL7779" s="85"/>
      <c r="AM7779" s="85"/>
    </row>
    <row r="7780" spans="1:39" s="86" customFormat="1" ht="13.25" hidden="1" customHeight="1" x14ac:dyDescent="0.3">
      <c r="A7780" s="89" t="s">
        <v>3978</v>
      </c>
      <c r="B7780" s="86" t="s">
        <v>35</v>
      </c>
      <c r="C7780" s="86" t="s">
        <v>47</v>
      </c>
      <c r="D7780" s="86" t="s">
        <v>48</v>
      </c>
      <c r="E7780" s="86" t="s">
        <v>2180</v>
      </c>
      <c r="F7780" s="86" t="s">
        <v>2180</v>
      </c>
      <c r="G7780" s="86" t="s">
        <v>2180</v>
      </c>
      <c r="H7780" s="143">
        <v>360</v>
      </c>
      <c r="I7780" s="86" t="s">
        <v>1060</v>
      </c>
      <c r="J7780" s="47" t="s">
        <v>3325</v>
      </c>
      <c r="K7780" s="47" t="s">
        <v>3767</v>
      </c>
      <c r="L7780" s="47" t="s">
        <v>35</v>
      </c>
      <c r="M7780" s="86" t="s">
        <v>2180</v>
      </c>
      <c r="O7780" s="47" t="s">
        <v>410</v>
      </c>
      <c r="P7780" s="14" t="s">
        <v>92</v>
      </c>
      <c r="Q7780" s="14">
        <v>0.98</v>
      </c>
      <c r="R7780" s="143" t="s">
        <v>2181</v>
      </c>
      <c r="S7780" s="47"/>
      <c r="T7780" s="6">
        <v>440.79999999998802</v>
      </c>
      <c r="U7780" s="6"/>
      <c r="V7780" s="6">
        <v>0</v>
      </c>
      <c r="W7780" s="6">
        <f t="shared" si="1202"/>
        <v>440.79999999998802</v>
      </c>
      <c r="X7780" s="6">
        <f t="shared" si="1197"/>
        <v>0</v>
      </c>
      <c r="Y7780" s="13">
        <f t="shared" si="1199"/>
        <v>0</v>
      </c>
      <c r="Z7780" s="14">
        <v>0</v>
      </c>
      <c r="AA7780" s="6">
        <v>0</v>
      </c>
      <c r="AB7780" s="4">
        <f t="shared" si="1200"/>
        <v>0</v>
      </c>
      <c r="AC7780" s="6">
        <f t="shared" si="1198"/>
        <v>0</v>
      </c>
      <c r="AD7780" s="6">
        <f t="shared" si="1203"/>
        <v>0</v>
      </c>
      <c r="AE7780" s="14">
        <f>VLOOKUP(I7780,[2]媒体政策预估表!A:N,MATCH(O7780,[2]媒体政策预估表!$A$2:$M$2,0),0)</f>
        <v>7.0000000000000007E-2</v>
      </c>
      <c r="AF7780" s="6">
        <f t="shared" ref="AF7780:AF7843" si="1205">AD7780*AE7780</f>
        <v>0</v>
      </c>
      <c r="AG7780" s="14">
        <v>0</v>
      </c>
      <c r="AH7780" s="64">
        <f t="shared" si="1204"/>
        <v>0</v>
      </c>
      <c r="AJ7780" s="126" t="e">
        <v>#N/A</v>
      </c>
      <c r="AK7780" s="80">
        <f t="shared" si="1201"/>
        <v>0</v>
      </c>
      <c r="AL7780" s="85"/>
      <c r="AM7780" s="85"/>
    </row>
    <row r="7781" spans="1:39" s="86" customFormat="1" ht="13.25" hidden="1" customHeight="1" x14ac:dyDescent="0.3">
      <c r="A7781" s="89" t="s">
        <v>3978</v>
      </c>
      <c r="B7781" s="86" t="s">
        <v>35</v>
      </c>
      <c r="C7781" s="86" t="s">
        <v>47</v>
      </c>
      <c r="D7781" s="86" t="s">
        <v>48</v>
      </c>
      <c r="E7781" s="86" t="s">
        <v>50</v>
      </c>
      <c r="F7781" s="86" t="s">
        <v>50</v>
      </c>
      <c r="G7781" s="86" t="s">
        <v>50</v>
      </c>
      <c r="H7781" s="143">
        <v>360</v>
      </c>
      <c r="I7781" s="86" t="s">
        <v>1060</v>
      </c>
      <c r="J7781" s="47" t="s">
        <v>3325</v>
      </c>
      <c r="K7781" s="47" t="s">
        <v>3767</v>
      </c>
      <c r="L7781" s="47" t="s">
        <v>35</v>
      </c>
      <c r="M7781" s="86" t="s">
        <v>50</v>
      </c>
      <c r="O7781" s="47" t="s">
        <v>45</v>
      </c>
      <c r="P7781" s="14" t="s">
        <v>41</v>
      </c>
      <c r="Q7781" s="14">
        <v>0</v>
      </c>
      <c r="R7781" s="143" t="s">
        <v>2085</v>
      </c>
      <c r="S7781" s="47"/>
      <c r="T7781" s="6">
        <v>4033.89</v>
      </c>
      <c r="U7781" s="6"/>
      <c r="V7781" s="6">
        <v>0</v>
      </c>
      <c r="W7781" s="6">
        <f t="shared" si="1202"/>
        <v>4033.89</v>
      </c>
      <c r="X7781" s="6">
        <f t="shared" si="1197"/>
        <v>0</v>
      </c>
      <c r="Y7781" s="13">
        <f t="shared" si="1199"/>
        <v>0</v>
      </c>
      <c r="Z7781" s="14">
        <v>0</v>
      </c>
      <c r="AA7781" s="6">
        <v>0</v>
      </c>
      <c r="AB7781" s="4">
        <f t="shared" si="1200"/>
        <v>0</v>
      </c>
      <c r="AC7781" s="6">
        <f t="shared" si="1198"/>
        <v>0</v>
      </c>
      <c r="AD7781" s="6">
        <f t="shared" si="1203"/>
        <v>0</v>
      </c>
      <c r="AE7781" s="14">
        <f>VLOOKUP(I7781,[2]媒体政策预估表!A:N,MATCH(O7781,[2]媒体政策预估表!$A$2:$M$2,0),0)</f>
        <v>0.1</v>
      </c>
      <c r="AF7781" s="6">
        <f t="shared" si="1205"/>
        <v>0</v>
      </c>
      <c r="AG7781" s="14">
        <v>0</v>
      </c>
      <c r="AH7781" s="64">
        <f t="shared" si="1204"/>
        <v>0</v>
      </c>
      <c r="AJ7781" s="126" t="e">
        <v>#N/A</v>
      </c>
      <c r="AK7781" s="80">
        <f t="shared" si="1201"/>
        <v>0</v>
      </c>
      <c r="AL7781" s="85"/>
      <c r="AM7781" s="85"/>
    </row>
    <row r="7782" spans="1:39" s="86" customFormat="1" ht="13.25" hidden="1" customHeight="1" x14ac:dyDescent="0.3">
      <c r="A7782" s="89" t="s">
        <v>3978</v>
      </c>
      <c r="B7782" s="86" t="s">
        <v>35</v>
      </c>
      <c r="C7782" s="86" t="s">
        <v>47</v>
      </c>
      <c r="D7782" s="86" t="s">
        <v>48</v>
      </c>
      <c r="E7782" s="86" t="s">
        <v>2060</v>
      </c>
      <c r="F7782" s="86" t="s">
        <v>2060</v>
      </c>
      <c r="G7782" s="86" t="s">
        <v>2060</v>
      </c>
      <c r="H7782" s="143">
        <v>360</v>
      </c>
      <c r="I7782" s="86" t="s">
        <v>1060</v>
      </c>
      <c r="J7782" s="47" t="s">
        <v>3325</v>
      </c>
      <c r="K7782" s="47" t="s">
        <v>3767</v>
      </c>
      <c r="L7782" s="47" t="s">
        <v>35</v>
      </c>
      <c r="M7782" s="86" t="s">
        <v>2060</v>
      </c>
      <c r="O7782" s="47" t="s">
        <v>941</v>
      </c>
      <c r="P7782" s="14" t="s">
        <v>41</v>
      </c>
      <c r="Q7782" s="14">
        <v>0</v>
      </c>
      <c r="R7782" s="143" t="s">
        <v>2061</v>
      </c>
      <c r="S7782" s="47"/>
      <c r="T7782" s="6">
        <v>-801.2</v>
      </c>
      <c r="U7782" s="6"/>
      <c r="V7782" s="6">
        <v>0</v>
      </c>
      <c r="W7782" s="6">
        <f t="shared" si="1202"/>
        <v>-801.2</v>
      </c>
      <c r="X7782" s="6">
        <f t="shared" si="1197"/>
        <v>0</v>
      </c>
      <c r="Y7782" s="13">
        <f t="shared" si="1199"/>
        <v>0</v>
      </c>
      <c r="Z7782" s="14">
        <v>0</v>
      </c>
      <c r="AA7782" s="6">
        <v>0</v>
      </c>
      <c r="AB7782" s="4">
        <f t="shared" si="1200"/>
        <v>0</v>
      </c>
      <c r="AC7782" s="6">
        <f t="shared" si="1198"/>
        <v>0</v>
      </c>
      <c r="AD7782" s="6">
        <f t="shared" si="1203"/>
        <v>0</v>
      </c>
      <c r="AE7782" s="14">
        <f>VLOOKUP(I7782,[2]媒体政策预估表!A:N,MATCH(O7782,[2]媒体政策预估表!$A$2:$M$2,0),0)</f>
        <v>0.15</v>
      </c>
      <c r="AF7782" s="6">
        <f t="shared" si="1205"/>
        <v>0</v>
      </c>
      <c r="AG7782" s="14">
        <v>0</v>
      </c>
      <c r="AH7782" s="64">
        <f t="shared" si="1204"/>
        <v>0</v>
      </c>
      <c r="AJ7782" s="126" t="e">
        <v>#N/A</v>
      </c>
      <c r="AK7782" s="80">
        <f t="shared" si="1201"/>
        <v>0</v>
      </c>
      <c r="AL7782" s="85"/>
      <c r="AM7782" s="85"/>
    </row>
    <row r="7783" spans="1:39" s="86" customFormat="1" ht="13.25" hidden="1" customHeight="1" x14ac:dyDescent="0.3">
      <c r="A7783" s="89" t="s">
        <v>3978</v>
      </c>
      <c r="B7783" s="86" t="s">
        <v>35</v>
      </c>
      <c r="C7783" s="86" t="s">
        <v>144</v>
      </c>
      <c r="D7783" s="86" t="s">
        <v>145</v>
      </c>
      <c r="E7783" s="86" t="s">
        <v>2182</v>
      </c>
      <c r="F7783" s="86" t="s">
        <v>2183</v>
      </c>
      <c r="G7783" s="86" t="s">
        <v>2182</v>
      </c>
      <c r="H7783" s="143">
        <v>360</v>
      </c>
      <c r="I7783" s="86" t="s">
        <v>1060</v>
      </c>
      <c r="J7783" s="47" t="s">
        <v>3325</v>
      </c>
      <c r="K7783" s="47" t="s">
        <v>3767</v>
      </c>
      <c r="L7783" s="47" t="s">
        <v>35</v>
      </c>
      <c r="M7783" s="86" t="s">
        <v>2182</v>
      </c>
      <c r="O7783" s="47" t="s">
        <v>410</v>
      </c>
      <c r="P7783" s="14" t="s">
        <v>46</v>
      </c>
      <c r="Q7783" s="14">
        <v>0.02</v>
      </c>
      <c r="R7783" s="143" t="s">
        <v>2184</v>
      </c>
      <c r="S7783" s="47"/>
      <c r="T7783" s="6">
        <v>18770.099999999999</v>
      </c>
      <c r="U7783" s="6"/>
      <c r="V7783" s="6">
        <v>0</v>
      </c>
      <c r="W7783" s="6">
        <f t="shared" si="1202"/>
        <v>18770.099999999999</v>
      </c>
      <c r="X7783" s="6">
        <f t="shared" si="1197"/>
        <v>0</v>
      </c>
      <c r="Y7783" s="13">
        <f t="shared" si="1199"/>
        <v>0</v>
      </c>
      <c r="Z7783" s="14">
        <v>0</v>
      </c>
      <c r="AA7783" s="6">
        <v>0</v>
      </c>
      <c r="AB7783" s="4">
        <f t="shared" si="1200"/>
        <v>0</v>
      </c>
      <c r="AC7783" s="6">
        <f t="shared" si="1198"/>
        <v>0</v>
      </c>
      <c r="AD7783" s="6">
        <f t="shared" si="1203"/>
        <v>0</v>
      </c>
      <c r="AE7783" s="14">
        <f>VLOOKUP(I7783,[2]媒体政策预估表!A:N,MATCH(O7783,[2]媒体政策预估表!$A$2:$M$2,0),0)</f>
        <v>7.0000000000000007E-2</v>
      </c>
      <c r="AF7783" s="6">
        <f t="shared" si="1205"/>
        <v>0</v>
      </c>
      <c r="AG7783" s="14">
        <v>0</v>
      </c>
      <c r="AH7783" s="64">
        <f t="shared" si="1204"/>
        <v>0</v>
      </c>
      <c r="AJ7783" s="126" t="e">
        <v>#N/A</v>
      </c>
      <c r="AK7783" s="80">
        <f t="shared" si="1201"/>
        <v>0</v>
      </c>
      <c r="AL7783" s="85"/>
      <c r="AM7783" s="85"/>
    </row>
    <row r="7784" spans="1:39" s="86" customFormat="1" ht="13.25" hidden="1" customHeight="1" x14ac:dyDescent="0.3">
      <c r="A7784" s="89" t="s">
        <v>3978</v>
      </c>
      <c r="B7784" s="86" t="s">
        <v>35</v>
      </c>
      <c r="C7784" s="86" t="s">
        <v>144</v>
      </c>
      <c r="D7784" s="86" t="s">
        <v>145</v>
      </c>
      <c r="E7784" s="86" t="s">
        <v>2185</v>
      </c>
      <c r="F7784" s="86" t="s">
        <v>2185</v>
      </c>
      <c r="G7784" s="86" t="s">
        <v>2185</v>
      </c>
      <c r="H7784" s="143">
        <v>360</v>
      </c>
      <c r="I7784" s="86" t="s">
        <v>1060</v>
      </c>
      <c r="J7784" s="47" t="s">
        <v>3325</v>
      </c>
      <c r="K7784" s="47" t="s">
        <v>3767</v>
      </c>
      <c r="L7784" s="47" t="s">
        <v>35</v>
      </c>
      <c r="M7784" s="86" t="s">
        <v>2185</v>
      </c>
      <c r="O7784" s="47" t="s">
        <v>45</v>
      </c>
      <c r="P7784" s="14" t="s">
        <v>41</v>
      </c>
      <c r="Q7784" s="14">
        <v>0</v>
      </c>
      <c r="R7784" s="143" t="s">
        <v>2186</v>
      </c>
      <c r="S7784" s="47"/>
      <c r="T7784" s="6">
        <v>67.989999999999995</v>
      </c>
      <c r="U7784" s="6"/>
      <c r="V7784" s="6">
        <v>0</v>
      </c>
      <c r="W7784" s="6">
        <f t="shared" si="1202"/>
        <v>67.989999999999995</v>
      </c>
      <c r="X7784" s="6">
        <f t="shared" si="1197"/>
        <v>0</v>
      </c>
      <c r="Y7784" s="13">
        <f t="shared" si="1199"/>
        <v>0</v>
      </c>
      <c r="Z7784" s="14">
        <v>0</v>
      </c>
      <c r="AA7784" s="6">
        <v>0</v>
      </c>
      <c r="AB7784" s="4">
        <f t="shared" si="1200"/>
        <v>0</v>
      </c>
      <c r="AC7784" s="6">
        <f t="shared" si="1198"/>
        <v>0</v>
      </c>
      <c r="AD7784" s="6">
        <f t="shared" si="1203"/>
        <v>0</v>
      </c>
      <c r="AE7784" s="14">
        <f>VLOOKUP(I7784,[2]媒体政策预估表!A:N,MATCH(O7784,[2]媒体政策预估表!$A$2:$M$2,0),0)</f>
        <v>0.1</v>
      </c>
      <c r="AF7784" s="6">
        <f t="shared" si="1205"/>
        <v>0</v>
      </c>
      <c r="AG7784" s="14">
        <v>0</v>
      </c>
      <c r="AH7784" s="64">
        <f t="shared" si="1204"/>
        <v>0</v>
      </c>
      <c r="AJ7784" s="126" t="e">
        <v>#N/A</v>
      </c>
      <c r="AK7784" s="80">
        <f t="shared" si="1201"/>
        <v>0</v>
      </c>
      <c r="AL7784" s="85"/>
      <c r="AM7784" s="85"/>
    </row>
    <row r="7785" spans="1:39" s="86" customFormat="1" ht="13.25" hidden="1" customHeight="1" x14ac:dyDescent="0.3">
      <c r="A7785" s="89" t="s">
        <v>3792</v>
      </c>
      <c r="B7785" s="86" t="s">
        <v>35</v>
      </c>
      <c r="C7785" s="86" t="s">
        <v>144</v>
      </c>
      <c r="D7785" s="86" t="s">
        <v>145</v>
      </c>
      <c r="E7785" s="86" t="s">
        <v>2187</v>
      </c>
      <c r="F7785" s="86" t="s">
        <v>2187</v>
      </c>
      <c r="G7785" s="86" t="s">
        <v>2187</v>
      </c>
      <c r="H7785" s="143">
        <v>360</v>
      </c>
      <c r="I7785" s="86" t="s">
        <v>1060</v>
      </c>
      <c r="J7785" s="47" t="s">
        <v>3325</v>
      </c>
      <c r="K7785" s="47" t="s">
        <v>3767</v>
      </c>
      <c r="L7785" s="47" t="s">
        <v>35</v>
      </c>
      <c r="M7785" s="86" t="s">
        <v>2187</v>
      </c>
      <c r="O7785" s="47" t="s">
        <v>45</v>
      </c>
      <c r="P7785" s="14" t="s">
        <v>46</v>
      </c>
      <c r="Q7785" s="14">
        <v>0.1</v>
      </c>
      <c r="R7785" s="143" t="s">
        <v>2188</v>
      </c>
      <c r="S7785" s="47"/>
      <c r="T7785" s="6">
        <v>1475.2</v>
      </c>
      <c r="U7785" s="6"/>
      <c r="V7785" s="6">
        <v>0</v>
      </c>
      <c r="W7785" s="6">
        <f t="shared" si="1202"/>
        <v>1475.2</v>
      </c>
      <c r="X7785" s="6">
        <f t="shared" si="1197"/>
        <v>0</v>
      </c>
      <c r="Y7785" s="13">
        <f t="shared" si="1199"/>
        <v>0</v>
      </c>
      <c r="Z7785" s="14">
        <v>0</v>
      </c>
      <c r="AA7785" s="6">
        <v>0</v>
      </c>
      <c r="AB7785" s="4">
        <f t="shared" si="1200"/>
        <v>0</v>
      </c>
      <c r="AC7785" s="6">
        <f t="shared" si="1198"/>
        <v>0</v>
      </c>
      <c r="AD7785" s="6">
        <f t="shared" si="1203"/>
        <v>0</v>
      </c>
      <c r="AE7785" s="14">
        <f>VLOOKUP(I7785,[2]媒体政策预估表!A:N,MATCH(O7785,[2]媒体政策预估表!$A$2:$M$2,0),0)</f>
        <v>0.1</v>
      </c>
      <c r="AF7785" s="6">
        <f t="shared" si="1205"/>
        <v>0</v>
      </c>
      <c r="AG7785" s="14">
        <v>0</v>
      </c>
      <c r="AH7785" s="64">
        <f t="shared" si="1204"/>
        <v>0</v>
      </c>
      <c r="AJ7785" s="126" t="e">
        <v>#N/A</v>
      </c>
      <c r="AK7785" s="80">
        <f t="shared" si="1201"/>
        <v>0</v>
      </c>
      <c r="AL7785" s="85"/>
      <c r="AM7785" s="85"/>
    </row>
    <row r="7786" spans="1:39" s="86" customFormat="1" ht="13.25" hidden="1" customHeight="1" x14ac:dyDescent="0.3">
      <c r="A7786" s="89" t="s">
        <v>3792</v>
      </c>
      <c r="B7786" s="86" t="s">
        <v>35</v>
      </c>
      <c r="C7786" s="86" t="s">
        <v>144</v>
      </c>
      <c r="D7786" s="86" t="s">
        <v>303</v>
      </c>
      <c r="E7786" s="86" t="s">
        <v>2191</v>
      </c>
      <c r="F7786" s="86" t="s">
        <v>2191</v>
      </c>
      <c r="G7786" s="86" t="s">
        <v>2191</v>
      </c>
      <c r="H7786" s="143">
        <v>360</v>
      </c>
      <c r="I7786" s="86" t="s">
        <v>1060</v>
      </c>
      <c r="J7786" s="47" t="s">
        <v>3325</v>
      </c>
      <c r="K7786" s="47" t="s">
        <v>3767</v>
      </c>
      <c r="L7786" s="47" t="s">
        <v>35</v>
      </c>
      <c r="M7786" s="86" t="s">
        <v>2192</v>
      </c>
      <c r="O7786" s="47" t="s">
        <v>410</v>
      </c>
      <c r="P7786" s="14" t="s">
        <v>46</v>
      </c>
      <c r="Q7786" s="14">
        <v>0.02</v>
      </c>
      <c r="R7786" s="143" t="s">
        <v>2193</v>
      </c>
      <c r="S7786" s="47"/>
      <c r="T7786" s="6">
        <v>32251.5</v>
      </c>
      <c r="U7786" s="6"/>
      <c r="V7786" s="6">
        <v>0</v>
      </c>
      <c r="W7786" s="6">
        <f t="shared" si="1202"/>
        <v>32251.5</v>
      </c>
      <c r="X7786" s="6">
        <f t="shared" si="1197"/>
        <v>0</v>
      </c>
      <c r="Y7786" s="13">
        <f t="shared" si="1199"/>
        <v>0</v>
      </c>
      <c r="Z7786" s="14">
        <v>0</v>
      </c>
      <c r="AA7786" s="6">
        <v>0</v>
      </c>
      <c r="AB7786" s="4">
        <f t="shared" si="1200"/>
        <v>0</v>
      </c>
      <c r="AC7786" s="6">
        <f t="shared" si="1198"/>
        <v>0</v>
      </c>
      <c r="AD7786" s="6">
        <f t="shared" si="1203"/>
        <v>0</v>
      </c>
      <c r="AE7786" s="14">
        <f>VLOOKUP(I7786,[2]媒体政策预估表!A:N,MATCH(O7786,[2]媒体政策预估表!$A$2:$M$2,0),0)</f>
        <v>7.0000000000000007E-2</v>
      </c>
      <c r="AF7786" s="6">
        <f t="shared" si="1205"/>
        <v>0</v>
      </c>
      <c r="AG7786" s="14">
        <v>0</v>
      </c>
      <c r="AH7786" s="64">
        <f t="shared" si="1204"/>
        <v>0</v>
      </c>
      <c r="AJ7786" s="126" t="e">
        <v>#N/A</v>
      </c>
      <c r="AK7786" s="80">
        <f t="shared" si="1201"/>
        <v>0</v>
      </c>
      <c r="AL7786" s="85"/>
      <c r="AM7786" s="85"/>
    </row>
    <row r="7787" spans="1:39" s="86" customFormat="1" ht="13.25" hidden="1" customHeight="1" x14ac:dyDescent="0.3">
      <c r="A7787" s="89" t="s">
        <v>3978</v>
      </c>
      <c r="B7787" s="86" t="s">
        <v>35</v>
      </c>
      <c r="C7787" s="86" t="s">
        <v>144</v>
      </c>
      <c r="D7787" s="86" t="s">
        <v>303</v>
      </c>
      <c r="E7787" s="86" t="s">
        <v>2194</v>
      </c>
      <c r="F7787" s="86" t="s">
        <v>2195</v>
      </c>
      <c r="G7787" s="86" t="s">
        <v>2194</v>
      </c>
      <c r="H7787" s="143">
        <v>360</v>
      </c>
      <c r="I7787" s="86" t="s">
        <v>1060</v>
      </c>
      <c r="J7787" s="47" t="s">
        <v>3325</v>
      </c>
      <c r="K7787" s="47" t="s">
        <v>3767</v>
      </c>
      <c r="L7787" s="47" t="s">
        <v>35</v>
      </c>
      <c r="M7787" s="86" t="s">
        <v>2196</v>
      </c>
      <c r="O7787" s="47" t="s">
        <v>410</v>
      </c>
      <c r="P7787" s="14" t="s">
        <v>46</v>
      </c>
      <c r="Q7787" s="14">
        <v>0.04</v>
      </c>
      <c r="R7787" s="143" t="s">
        <v>2197</v>
      </c>
      <c r="S7787" s="47"/>
      <c r="T7787" s="6">
        <v>360.6</v>
      </c>
      <c r="U7787" s="6"/>
      <c r="V7787" s="6">
        <v>0</v>
      </c>
      <c r="W7787" s="6">
        <f t="shared" si="1202"/>
        <v>360.6</v>
      </c>
      <c r="X7787" s="6">
        <f t="shared" si="1197"/>
        <v>0</v>
      </c>
      <c r="Y7787" s="13">
        <f t="shared" si="1199"/>
        <v>0</v>
      </c>
      <c r="Z7787" s="14">
        <v>0</v>
      </c>
      <c r="AA7787" s="6">
        <v>0</v>
      </c>
      <c r="AB7787" s="4">
        <f t="shared" si="1200"/>
        <v>0</v>
      </c>
      <c r="AC7787" s="6">
        <f t="shared" si="1198"/>
        <v>0</v>
      </c>
      <c r="AD7787" s="6">
        <f t="shared" si="1203"/>
        <v>0</v>
      </c>
      <c r="AE7787" s="14">
        <f>VLOOKUP(I7787,[2]媒体政策预估表!A:N,MATCH(O7787,[2]媒体政策预估表!$A$2:$M$2,0),0)</f>
        <v>7.0000000000000007E-2</v>
      </c>
      <c r="AF7787" s="6">
        <f t="shared" si="1205"/>
        <v>0</v>
      </c>
      <c r="AG7787" s="14">
        <v>0</v>
      </c>
      <c r="AH7787" s="64">
        <f t="shared" si="1204"/>
        <v>0</v>
      </c>
      <c r="AJ7787" s="126" t="e">
        <v>#N/A</v>
      </c>
      <c r="AK7787" s="80">
        <f t="shared" si="1201"/>
        <v>0</v>
      </c>
      <c r="AL7787" s="85"/>
      <c r="AM7787" s="85"/>
    </row>
    <row r="7788" spans="1:39" s="86" customFormat="1" ht="13.25" hidden="1" customHeight="1" x14ac:dyDescent="0.3">
      <c r="A7788" s="89" t="s">
        <v>3792</v>
      </c>
      <c r="B7788" s="86" t="s">
        <v>35</v>
      </c>
      <c r="C7788" s="86" t="s">
        <v>144</v>
      </c>
      <c r="D7788" s="86" t="s">
        <v>303</v>
      </c>
      <c r="E7788" s="86" t="s">
        <v>1935</v>
      </c>
      <c r="F7788" s="86" t="s">
        <v>1935</v>
      </c>
      <c r="G7788" s="86" t="s">
        <v>1935</v>
      </c>
      <c r="H7788" s="143">
        <v>360</v>
      </c>
      <c r="I7788" s="86" t="s">
        <v>1060</v>
      </c>
      <c r="J7788" s="47" t="s">
        <v>3325</v>
      </c>
      <c r="K7788" s="47" t="s">
        <v>3767</v>
      </c>
      <c r="L7788" s="47" t="s">
        <v>35</v>
      </c>
      <c r="M7788" s="86" t="s">
        <v>1935</v>
      </c>
      <c r="O7788" s="47" t="s">
        <v>45</v>
      </c>
      <c r="P7788" s="14" t="s">
        <v>41</v>
      </c>
      <c r="Q7788" s="14">
        <v>0</v>
      </c>
      <c r="R7788" s="143" t="s">
        <v>2198</v>
      </c>
      <c r="S7788" s="47"/>
      <c r="T7788" s="6">
        <v>483.22</v>
      </c>
      <c r="U7788" s="6"/>
      <c r="V7788" s="6">
        <v>0</v>
      </c>
      <c r="W7788" s="6">
        <f t="shared" si="1202"/>
        <v>483.22</v>
      </c>
      <c r="X7788" s="6">
        <f t="shared" si="1197"/>
        <v>0</v>
      </c>
      <c r="Y7788" s="13">
        <f t="shared" si="1199"/>
        <v>0</v>
      </c>
      <c r="Z7788" s="14">
        <v>0</v>
      </c>
      <c r="AA7788" s="6">
        <v>0</v>
      </c>
      <c r="AB7788" s="4">
        <f t="shared" si="1200"/>
        <v>0</v>
      </c>
      <c r="AC7788" s="6">
        <f t="shared" si="1198"/>
        <v>0</v>
      </c>
      <c r="AD7788" s="6">
        <f t="shared" si="1203"/>
        <v>0</v>
      </c>
      <c r="AE7788" s="14">
        <f>VLOOKUP(I7788,[2]媒体政策预估表!A:N,MATCH(O7788,[2]媒体政策预估表!$A$2:$M$2,0),0)</f>
        <v>0.1</v>
      </c>
      <c r="AF7788" s="6">
        <f t="shared" si="1205"/>
        <v>0</v>
      </c>
      <c r="AG7788" s="14">
        <v>0</v>
      </c>
      <c r="AH7788" s="64">
        <f t="shared" si="1204"/>
        <v>0</v>
      </c>
      <c r="AJ7788" s="126" t="e">
        <v>#N/A</v>
      </c>
      <c r="AK7788" s="80">
        <f t="shared" si="1201"/>
        <v>0</v>
      </c>
      <c r="AL7788" s="85"/>
      <c r="AM7788" s="85"/>
    </row>
    <row r="7789" spans="1:39" s="86" customFormat="1" ht="13.25" hidden="1" customHeight="1" x14ac:dyDescent="0.3">
      <c r="A7789" s="89" t="s">
        <v>3978</v>
      </c>
      <c r="B7789" s="86" t="s">
        <v>35</v>
      </c>
      <c r="C7789" s="86" t="s">
        <v>144</v>
      </c>
      <c r="D7789" s="86" t="s">
        <v>152</v>
      </c>
      <c r="E7789" s="86" t="s">
        <v>2199</v>
      </c>
      <c r="F7789" s="86" t="s">
        <v>2199</v>
      </c>
      <c r="G7789" s="86" t="s">
        <v>2199</v>
      </c>
      <c r="H7789" s="143">
        <v>360</v>
      </c>
      <c r="I7789" s="86" t="s">
        <v>1060</v>
      </c>
      <c r="J7789" s="47" t="s">
        <v>3325</v>
      </c>
      <c r="K7789" s="47" t="s">
        <v>3767</v>
      </c>
      <c r="L7789" s="47" t="s">
        <v>35</v>
      </c>
      <c r="M7789" s="86" t="s">
        <v>2199</v>
      </c>
      <c r="O7789" s="47" t="s">
        <v>45</v>
      </c>
      <c r="P7789" s="14" t="s">
        <v>46</v>
      </c>
      <c r="Q7789" s="14">
        <v>0.08</v>
      </c>
      <c r="R7789" s="143" t="s">
        <v>2200</v>
      </c>
      <c r="S7789" s="47"/>
      <c r="T7789" s="6">
        <v>61.709999999999098</v>
      </c>
      <c r="U7789" s="6"/>
      <c r="V7789" s="6">
        <v>0</v>
      </c>
      <c r="W7789" s="6">
        <f t="shared" si="1202"/>
        <v>61.709999999999098</v>
      </c>
      <c r="X7789" s="6">
        <f t="shared" si="1197"/>
        <v>0</v>
      </c>
      <c r="Y7789" s="13">
        <f t="shared" si="1199"/>
        <v>0</v>
      </c>
      <c r="Z7789" s="14">
        <v>0</v>
      </c>
      <c r="AA7789" s="6">
        <v>0</v>
      </c>
      <c r="AB7789" s="4">
        <f t="shared" si="1200"/>
        <v>0</v>
      </c>
      <c r="AC7789" s="6">
        <f t="shared" si="1198"/>
        <v>0</v>
      </c>
      <c r="AD7789" s="6">
        <f t="shared" si="1203"/>
        <v>0</v>
      </c>
      <c r="AE7789" s="14">
        <f>VLOOKUP(I7789,[2]媒体政策预估表!A:N,MATCH(O7789,[2]媒体政策预估表!$A$2:$M$2,0),0)</f>
        <v>0.1</v>
      </c>
      <c r="AF7789" s="6">
        <f t="shared" si="1205"/>
        <v>0</v>
      </c>
      <c r="AG7789" s="14">
        <v>0</v>
      </c>
      <c r="AH7789" s="64">
        <f t="shared" si="1204"/>
        <v>0</v>
      </c>
      <c r="AJ7789" s="126" t="e">
        <v>#N/A</v>
      </c>
      <c r="AK7789" s="80">
        <f t="shared" si="1201"/>
        <v>0</v>
      </c>
      <c r="AL7789" s="85"/>
      <c r="AM7789" s="85"/>
    </row>
    <row r="7790" spans="1:39" s="86" customFormat="1" ht="13.25" hidden="1" customHeight="1" x14ac:dyDescent="0.3">
      <c r="A7790" s="89" t="s">
        <v>3978</v>
      </c>
      <c r="B7790" s="86" t="s">
        <v>35</v>
      </c>
      <c r="C7790" s="86" t="s">
        <v>144</v>
      </c>
      <c r="D7790" s="86" t="s">
        <v>152</v>
      </c>
      <c r="E7790" s="86" t="s">
        <v>2201</v>
      </c>
      <c r="F7790" s="86" t="s">
        <v>2201</v>
      </c>
      <c r="G7790" s="86" t="s">
        <v>2201</v>
      </c>
      <c r="H7790" s="143">
        <v>360</v>
      </c>
      <c r="I7790" s="86" t="s">
        <v>1060</v>
      </c>
      <c r="J7790" s="47" t="s">
        <v>3325</v>
      </c>
      <c r="K7790" s="47" t="s">
        <v>3767</v>
      </c>
      <c r="L7790" s="47" t="s">
        <v>35</v>
      </c>
      <c r="M7790" s="86" t="s">
        <v>2201</v>
      </c>
      <c r="O7790" s="47" t="s">
        <v>45</v>
      </c>
      <c r="P7790" s="14" t="s">
        <v>46</v>
      </c>
      <c r="Q7790" s="14">
        <v>0.08</v>
      </c>
      <c r="R7790" s="143" t="s">
        <v>2202</v>
      </c>
      <c r="S7790" s="47"/>
      <c r="T7790" s="6">
        <v>6.9999999992433004E-2</v>
      </c>
      <c r="U7790" s="6"/>
      <c r="V7790" s="6">
        <v>0</v>
      </c>
      <c r="W7790" s="6">
        <f t="shared" si="1202"/>
        <v>6.9999999992433004E-2</v>
      </c>
      <c r="X7790" s="6">
        <f t="shared" si="1197"/>
        <v>0</v>
      </c>
      <c r="Y7790" s="13">
        <f t="shared" si="1199"/>
        <v>0</v>
      </c>
      <c r="Z7790" s="14">
        <v>0</v>
      </c>
      <c r="AA7790" s="6">
        <v>0</v>
      </c>
      <c r="AB7790" s="4">
        <f t="shared" si="1200"/>
        <v>0</v>
      </c>
      <c r="AC7790" s="6">
        <f t="shared" si="1198"/>
        <v>0</v>
      </c>
      <c r="AD7790" s="6">
        <f t="shared" si="1203"/>
        <v>0</v>
      </c>
      <c r="AE7790" s="14">
        <f>VLOOKUP(I7790,[2]媒体政策预估表!A:N,MATCH(O7790,[2]媒体政策预估表!$A$2:$M$2,0),0)</f>
        <v>0.1</v>
      </c>
      <c r="AF7790" s="6">
        <f t="shared" si="1205"/>
        <v>0</v>
      </c>
      <c r="AG7790" s="14">
        <v>0</v>
      </c>
      <c r="AH7790" s="64">
        <f t="shared" si="1204"/>
        <v>0</v>
      </c>
      <c r="AJ7790" s="126" t="e">
        <v>#N/A</v>
      </c>
      <c r="AK7790" s="80">
        <f t="shared" si="1201"/>
        <v>0</v>
      </c>
      <c r="AL7790" s="85"/>
      <c r="AM7790" s="85"/>
    </row>
    <row r="7791" spans="1:39" s="86" customFormat="1" ht="13.25" hidden="1" customHeight="1" x14ac:dyDescent="0.3">
      <c r="A7791" s="89" t="s">
        <v>3978</v>
      </c>
      <c r="B7791" s="86" t="s">
        <v>35</v>
      </c>
      <c r="C7791" s="86" t="s">
        <v>144</v>
      </c>
      <c r="D7791" s="86" t="s">
        <v>152</v>
      </c>
      <c r="E7791" s="86" t="s">
        <v>2203</v>
      </c>
      <c r="F7791" s="86" t="s">
        <v>2204</v>
      </c>
      <c r="G7791" s="86" t="s">
        <v>2203</v>
      </c>
      <c r="H7791" s="143">
        <v>360</v>
      </c>
      <c r="I7791" s="86" t="s">
        <v>1060</v>
      </c>
      <c r="J7791" s="47" t="s">
        <v>3325</v>
      </c>
      <c r="K7791" s="47" t="s">
        <v>3767</v>
      </c>
      <c r="L7791" s="47" t="s">
        <v>35</v>
      </c>
      <c r="M7791" s="86" t="s">
        <v>2205</v>
      </c>
      <c r="O7791" s="47" t="s">
        <v>410</v>
      </c>
      <c r="P7791" s="14" t="s">
        <v>46</v>
      </c>
      <c r="Q7791" s="14">
        <v>0.03</v>
      </c>
      <c r="R7791" s="143" t="s">
        <v>2206</v>
      </c>
      <c r="S7791" s="47"/>
      <c r="T7791" s="6">
        <v>2.5599999999976699</v>
      </c>
      <c r="U7791" s="6"/>
      <c r="V7791" s="6">
        <v>0</v>
      </c>
      <c r="W7791" s="6">
        <f t="shared" si="1202"/>
        <v>2.5599999999976699</v>
      </c>
      <c r="X7791" s="6">
        <f t="shared" si="1197"/>
        <v>0</v>
      </c>
      <c r="Y7791" s="13">
        <f t="shared" si="1199"/>
        <v>0</v>
      </c>
      <c r="Z7791" s="14">
        <v>0</v>
      </c>
      <c r="AA7791" s="6">
        <v>0</v>
      </c>
      <c r="AB7791" s="4">
        <f t="shared" si="1200"/>
        <v>0</v>
      </c>
      <c r="AC7791" s="6">
        <f t="shared" si="1198"/>
        <v>0</v>
      </c>
      <c r="AD7791" s="6">
        <f t="shared" si="1203"/>
        <v>0</v>
      </c>
      <c r="AE7791" s="14">
        <f>VLOOKUP(I7791,[2]媒体政策预估表!A:N,MATCH(O7791,[2]媒体政策预估表!$A$2:$M$2,0),0)</f>
        <v>7.0000000000000007E-2</v>
      </c>
      <c r="AF7791" s="6">
        <f t="shared" si="1205"/>
        <v>0</v>
      </c>
      <c r="AG7791" s="14">
        <v>0</v>
      </c>
      <c r="AH7791" s="64">
        <f t="shared" si="1204"/>
        <v>0</v>
      </c>
      <c r="AJ7791" s="126" t="e">
        <v>#N/A</v>
      </c>
      <c r="AK7791" s="80">
        <f t="shared" si="1201"/>
        <v>0</v>
      </c>
      <c r="AL7791" s="85"/>
      <c r="AM7791" s="85"/>
    </row>
    <row r="7792" spans="1:39" s="86" customFormat="1" ht="13.25" hidden="1" customHeight="1" x14ac:dyDescent="0.3">
      <c r="A7792" s="89" t="s">
        <v>3792</v>
      </c>
      <c r="B7792" s="86" t="s">
        <v>35</v>
      </c>
      <c r="C7792" s="86" t="s">
        <v>144</v>
      </c>
      <c r="D7792" s="86" t="s">
        <v>152</v>
      </c>
      <c r="E7792" s="86" t="s">
        <v>2207</v>
      </c>
      <c r="F7792" s="86" t="s">
        <v>2207</v>
      </c>
      <c r="G7792" s="86" t="s">
        <v>2207</v>
      </c>
      <c r="H7792" s="143">
        <v>360</v>
      </c>
      <c r="I7792" s="86" t="s">
        <v>1060</v>
      </c>
      <c r="J7792" s="47" t="s">
        <v>3325</v>
      </c>
      <c r="K7792" s="47" t="s">
        <v>3767</v>
      </c>
      <c r="L7792" s="47" t="s">
        <v>35</v>
      </c>
      <c r="M7792" s="86" t="s">
        <v>2207</v>
      </c>
      <c r="O7792" s="47" t="s">
        <v>45</v>
      </c>
      <c r="P7792" s="14" t="s">
        <v>46</v>
      </c>
      <c r="Q7792" s="14">
        <v>0.04</v>
      </c>
      <c r="R7792" s="143" t="s">
        <v>2208</v>
      </c>
      <c r="S7792" s="47"/>
      <c r="T7792" s="6">
        <v>5518.78</v>
      </c>
      <c r="U7792" s="6"/>
      <c r="V7792" s="6">
        <v>0</v>
      </c>
      <c r="W7792" s="6">
        <f t="shared" si="1202"/>
        <v>5518.78</v>
      </c>
      <c r="X7792" s="6">
        <f t="shared" ref="X7792:X7855" si="1206">IF(P7792="折扣",V7792*Q7792,IF(P7792="返现",V7792,V7792/(1+Q7792)))</f>
        <v>0</v>
      </c>
      <c r="Y7792" s="13">
        <f t="shared" si="1199"/>
        <v>0</v>
      </c>
      <c r="Z7792" s="14">
        <v>0</v>
      </c>
      <c r="AA7792" s="6">
        <v>0</v>
      </c>
      <c r="AB7792" s="4">
        <f t="shared" si="1200"/>
        <v>0</v>
      </c>
      <c r="AC7792" s="6">
        <f t="shared" si="1198"/>
        <v>0</v>
      </c>
      <c r="AD7792" s="6">
        <f t="shared" si="1203"/>
        <v>0</v>
      </c>
      <c r="AE7792" s="14">
        <f>VLOOKUP(I7792,[2]媒体政策预估表!A:N,MATCH(O7792,[2]媒体政策预估表!$A$2:$M$2,0),0)</f>
        <v>0.1</v>
      </c>
      <c r="AF7792" s="6">
        <f t="shared" si="1205"/>
        <v>0</v>
      </c>
      <c r="AG7792" s="14">
        <v>0</v>
      </c>
      <c r="AH7792" s="64">
        <f t="shared" si="1204"/>
        <v>0</v>
      </c>
      <c r="AJ7792" s="126" t="e">
        <v>#N/A</v>
      </c>
      <c r="AK7792" s="80">
        <f t="shared" si="1201"/>
        <v>0</v>
      </c>
      <c r="AL7792" s="85"/>
      <c r="AM7792" s="85"/>
    </row>
    <row r="7793" spans="1:39" s="86" customFormat="1" ht="13.25" hidden="1" customHeight="1" x14ac:dyDescent="0.3">
      <c r="A7793" s="89" t="s">
        <v>3978</v>
      </c>
      <c r="B7793" s="86" t="s">
        <v>35</v>
      </c>
      <c r="C7793" s="86" t="s">
        <v>144</v>
      </c>
      <c r="D7793" s="86" t="s">
        <v>161</v>
      </c>
      <c r="E7793" s="86" t="s">
        <v>565</v>
      </c>
      <c r="F7793" s="86" t="s">
        <v>565</v>
      </c>
      <c r="G7793" s="86" t="s">
        <v>565</v>
      </c>
      <c r="H7793" s="143">
        <v>360</v>
      </c>
      <c r="I7793" s="86" t="s">
        <v>1060</v>
      </c>
      <c r="J7793" s="47" t="s">
        <v>3325</v>
      </c>
      <c r="K7793" s="47" t="s">
        <v>3767</v>
      </c>
      <c r="L7793" s="47" t="s">
        <v>35</v>
      </c>
      <c r="M7793" s="86" t="s">
        <v>565</v>
      </c>
      <c r="O7793" s="47" t="s">
        <v>45</v>
      </c>
      <c r="P7793" s="14" t="s">
        <v>46</v>
      </c>
      <c r="Q7793" s="14">
        <v>0.14000000000000001</v>
      </c>
      <c r="R7793" s="143" t="s">
        <v>2209</v>
      </c>
      <c r="S7793" s="47"/>
      <c r="T7793" s="6">
        <v>472</v>
      </c>
      <c r="U7793" s="6"/>
      <c r="V7793" s="6">
        <v>0</v>
      </c>
      <c r="W7793" s="6">
        <f t="shared" si="1202"/>
        <v>472</v>
      </c>
      <c r="X7793" s="6">
        <f t="shared" si="1206"/>
        <v>0</v>
      </c>
      <c r="Y7793" s="13">
        <f t="shared" si="1199"/>
        <v>0</v>
      </c>
      <c r="Z7793" s="14">
        <v>0</v>
      </c>
      <c r="AA7793" s="6">
        <v>0</v>
      </c>
      <c r="AB7793" s="4">
        <f t="shared" si="1200"/>
        <v>0</v>
      </c>
      <c r="AC7793" s="6">
        <f t="shared" si="1198"/>
        <v>0</v>
      </c>
      <c r="AD7793" s="6">
        <f t="shared" si="1203"/>
        <v>0</v>
      </c>
      <c r="AE7793" s="14">
        <f>VLOOKUP(I7793,[2]媒体政策预估表!A:N,MATCH(O7793,[2]媒体政策预估表!$A$2:$M$2,0),0)</f>
        <v>0.1</v>
      </c>
      <c r="AF7793" s="6">
        <f t="shared" si="1205"/>
        <v>0</v>
      </c>
      <c r="AG7793" s="14">
        <v>0</v>
      </c>
      <c r="AH7793" s="64">
        <f t="shared" si="1204"/>
        <v>0</v>
      </c>
      <c r="AJ7793" s="126" t="e">
        <v>#N/A</v>
      </c>
      <c r="AK7793" s="80">
        <f t="shared" si="1201"/>
        <v>0</v>
      </c>
      <c r="AL7793" s="85"/>
      <c r="AM7793" s="85"/>
    </row>
    <row r="7794" spans="1:39" s="86" customFormat="1" ht="13.25" hidden="1" customHeight="1" x14ac:dyDescent="0.3">
      <c r="A7794" s="89" t="s">
        <v>3792</v>
      </c>
      <c r="B7794" s="86" t="s">
        <v>35</v>
      </c>
      <c r="C7794" s="86" t="s">
        <v>144</v>
      </c>
      <c r="D7794" s="86" t="s">
        <v>161</v>
      </c>
      <c r="E7794" s="86" t="s">
        <v>2210</v>
      </c>
      <c r="F7794" s="86" t="s">
        <v>2210</v>
      </c>
      <c r="G7794" s="86" t="s">
        <v>2210</v>
      </c>
      <c r="H7794" s="143">
        <v>360</v>
      </c>
      <c r="I7794" s="86" t="s">
        <v>1060</v>
      </c>
      <c r="J7794" s="47" t="s">
        <v>3325</v>
      </c>
      <c r="K7794" s="47" t="s">
        <v>3767</v>
      </c>
      <c r="L7794" s="47" t="s">
        <v>35</v>
      </c>
      <c r="M7794" s="86" t="s">
        <v>2210</v>
      </c>
      <c r="O7794" s="47" t="s">
        <v>410</v>
      </c>
      <c r="P7794" s="14" t="s">
        <v>46</v>
      </c>
      <c r="Q7794" s="14">
        <v>0.02</v>
      </c>
      <c r="R7794" s="143" t="s">
        <v>2211</v>
      </c>
      <c r="S7794" s="47"/>
      <c r="T7794" s="6">
        <v>0.40000000000145502</v>
      </c>
      <c r="U7794" s="6"/>
      <c r="V7794" s="6">
        <v>0</v>
      </c>
      <c r="W7794" s="6">
        <f t="shared" si="1202"/>
        <v>0.40000000000145502</v>
      </c>
      <c r="X7794" s="6">
        <f t="shared" si="1206"/>
        <v>0</v>
      </c>
      <c r="Y7794" s="13">
        <f t="shared" si="1199"/>
        <v>0</v>
      </c>
      <c r="Z7794" s="14">
        <v>0</v>
      </c>
      <c r="AA7794" s="6">
        <v>0</v>
      </c>
      <c r="AB7794" s="4">
        <f t="shared" si="1200"/>
        <v>0</v>
      </c>
      <c r="AC7794" s="6">
        <f t="shared" si="1198"/>
        <v>0</v>
      </c>
      <c r="AD7794" s="6">
        <f t="shared" si="1203"/>
        <v>0</v>
      </c>
      <c r="AE7794" s="14">
        <f>VLOOKUP(I7794,[2]媒体政策预估表!A:N,MATCH(O7794,[2]媒体政策预估表!$A$2:$M$2,0),0)</f>
        <v>7.0000000000000007E-2</v>
      </c>
      <c r="AF7794" s="6">
        <f t="shared" si="1205"/>
        <v>0</v>
      </c>
      <c r="AG7794" s="14">
        <v>0</v>
      </c>
      <c r="AH7794" s="64">
        <f t="shared" si="1204"/>
        <v>0</v>
      </c>
      <c r="AJ7794" s="126" t="e">
        <v>#N/A</v>
      </c>
      <c r="AK7794" s="80">
        <f t="shared" si="1201"/>
        <v>0</v>
      </c>
      <c r="AL7794" s="85"/>
      <c r="AM7794" s="85"/>
    </row>
    <row r="7795" spans="1:39" s="86" customFormat="1" ht="13.25" hidden="1" customHeight="1" x14ac:dyDescent="0.3">
      <c r="A7795" s="89" t="s">
        <v>3792</v>
      </c>
      <c r="B7795" s="86" t="s">
        <v>35</v>
      </c>
      <c r="C7795" s="86" t="s">
        <v>144</v>
      </c>
      <c r="D7795" s="86" t="s">
        <v>161</v>
      </c>
      <c r="E7795" s="86" t="s">
        <v>2212</v>
      </c>
      <c r="F7795" s="86" t="s">
        <v>2212</v>
      </c>
      <c r="G7795" s="86" t="s">
        <v>2212</v>
      </c>
      <c r="H7795" s="143">
        <v>360</v>
      </c>
      <c r="I7795" s="86" t="s">
        <v>1060</v>
      </c>
      <c r="J7795" s="47" t="s">
        <v>3325</v>
      </c>
      <c r="K7795" s="47" t="s">
        <v>3767</v>
      </c>
      <c r="L7795" s="47" t="s">
        <v>35</v>
      </c>
      <c r="M7795" s="86" t="s">
        <v>2212</v>
      </c>
      <c r="O7795" s="47" t="s">
        <v>410</v>
      </c>
      <c r="P7795" s="14" t="s">
        <v>46</v>
      </c>
      <c r="Q7795" s="14">
        <v>0.02</v>
      </c>
      <c r="R7795" s="143" t="s">
        <v>2213</v>
      </c>
      <c r="S7795" s="47"/>
      <c r="T7795" s="6">
        <v>475.77999999999975</v>
      </c>
      <c r="U7795" s="6"/>
      <c r="V7795" s="6">
        <v>0</v>
      </c>
      <c r="W7795" s="6">
        <f t="shared" si="1202"/>
        <v>475.77999999999975</v>
      </c>
      <c r="X7795" s="6">
        <f t="shared" si="1206"/>
        <v>0</v>
      </c>
      <c r="Y7795" s="13">
        <f t="shared" si="1199"/>
        <v>0</v>
      </c>
      <c r="Z7795" s="14">
        <v>0</v>
      </c>
      <c r="AA7795" s="6">
        <v>0</v>
      </c>
      <c r="AB7795" s="4">
        <f t="shared" si="1200"/>
        <v>0</v>
      </c>
      <c r="AC7795" s="6">
        <f t="shared" si="1198"/>
        <v>0</v>
      </c>
      <c r="AD7795" s="6">
        <f t="shared" si="1203"/>
        <v>0</v>
      </c>
      <c r="AE7795" s="14">
        <f>VLOOKUP(I7795,[2]媒体政策预估表!A:N,MATCH(O7795,[2]媒体政策预估表!$A$2:$M$2,0),0)</f>
        <v>7.0000000000000007E-2</v>
      </c>
      <c r="AF7795" s="6">
        <f t="shared" si="1205"/>
        <v>0</v>
      </c>
      <c r="AG7795" s="14">
        <v>0</v>
      </c>
      <c r="AH7795" s="64">
        <f t="shared" si="1204"/>
        <v>0</v>
      </c>
      <c r="AJ7795" s="126" t="e">
        <v>#N/A</v>
      </c>
      <c r="AK7795" s="80">
        <f t="shared" si="1201"/>
        <v>0</v>
      </c>
      <c r="AL7795" s="85"/>
      <c r="AM7795" s="85"/>
    </row>
    <row r="7796" spans="1:39" s="86" customFormat="1" ht="13.25" hidden="1" customHeight="1" x14ac:dyDescent="0.3">
      <c r="A7796" s="89" t="s">
        <v>3978</v>
      </c>
      <c r="B7796" s="86" t="s">
        <v>35</v>
      </c>
      <c r="C7796" s="86" t="s">
        <v>144</v>
      </c>
      <c r="D7796" s="86" t="s">
        <v>161</v>
      </c>
      <c r="E7796" s="86" t="s">
        <v>162</v>
      </c>
      <c r="F7796" s="86" t="s">
        <v>162</v>
      </c>
      <c r="G7796" s="86" t="s">
        <v>162</v>
      </c>
      <c r="H7796" s="144">
        <v>360</v>
      </c>
      <c r="I7796" s="86" t="s">
        <v>1060</v>
      </c>
      <c r="J7796" s="47" t="s">
        <v>3325</v>
      </c>
      <c r="K7796" s="47" t="s">
        <v>3767</v>
      </c>
      <c r="L7796" s="47" t="s">
        <v>35</v>
      </c>
      <c r="M7796" s="86" t="s">
        <v>162</v>
      </c>
      <c r="O7796" s="47" t="s">
        <v>2054</v>
      </c>
      <c r="P7796" s="14" t="s">
        <v>46</v>
      </c>
      <c r="Q7796" s="14">
        <v>0.02</v>
      </c>
      <c r="R7796" s="143" t="s">
        <v>1508</v>
      </c>
      <c r="S7796" s="47"/>
      <c r="T7796" s="6">
        <v>-99410.644350000002</v>
      </c>
      <c r="U7796" s="6"/>
      <c r="V7796" s="6">
        <v>3961.1464500000002</v>
      </c>
      <c r="W7796" s="6">
        <f t="shared" si="1202"/>
        <v>-103371.7908</v>
      </c>
      <c r="X7796" s="6">
        <f t="shared" si="1206"/>
        <v>3883.4769117647061</v>
      </c>
      <c r="Y7796" s="13">
        <f t="shared" si="1199"/>
        <v>0</v>
      </c>
      <c r="Z7796" s="14">
        <v>0</v>
      </c>
      <c r="AA7796" s="6">
        <v>0</v>
      </c>
      <c r="AB7796" s="4">
        <f t="shared" si="1200"/>
        <v>3883.4769117647061</v>
      </c>
      <c r="AC7796" s="6">
        <f t="shared" si="1198"/>
        <v>77.669538235294112</v>
      </c>
      <c r="AD7796" s="6">
        <f t="shared" si="1203"/>
        <v>3961.1464500000002</v>
      </c>
      <c r="AE7796" s="14">
        <f>VLOOKUP(I7796,[2]媒体政策预估表!A:N,MATCH(O7796,[2]媒体政策预估表!$A$2:$M$2,0),0)</f>
        <v>0.1</v>
      </c>
      <c r="AF7796" s="6">
        <f t="shared" si="1205"/>
        <v>396.11464500000005</v>
      </c>
      <c r="AG7796" s="14">
        <v>0</v>
      </c>
      <c r="AH7796" s="64">
        <f t="shared" si="1204"/>
        <v>3961.1464500000002</v>
      </c>
      <c r="AJ7796" s="126" t="e">
        <v>#N/A</v>
      </c>
      <c r="AK7796" s="80">
        <f t="shared" si="1201"/>
        <v>0</v>
      </c>
      <c r="AL7796" s="85"/>
      <c r="AM7796" s="85"/>
    </row>
    <row r="7797" spans="1:39" s="86" customFormat="1" ht="13.25" hidden="1" customHeight="1" x14ac:dyDescent="0.3">
      <c r="A7797" s="89" t="s">
        <v>3978</v>
      </c>
      <c r="B7797" s="86" t="s">
        <v>35</v>
      </c>
      <c r="C7797" s="86" t="s">
        <v>144</v>
      </c>
      <c r="D7797" s="86" t="s">
        <v>161</v>
      </c>
      <c r="E7797" s="86" t="s">
        <v>2214</v>
      </c>
      <c r="F7797" s="86" t="s">
        <v>2214</v>
      </c>
      <c r="G7797" s="86" t="s">
        <v>2214</v>
      </c>
      <c r="H7797" s="143">
        <v>360</v>
      </c>
      <c r="I7797" s="86" t="s">
        <v>1060</v>
      </c>
      <c r="J7797" s="47" t="s">
        <v>3325</v>
      </c>
      <c r="K7797" s="47" t="s">
        <v>3767</v>
      </c>
      <c r="L7797" s="47" t="s">
        <v>35</v>
      </c>
      <c r="M7797" s="86" t="s">
        <v>2214</v>
      </c>
      <c r="O7797" s="47" t="s">
        <v>410</v>
      </c>
      <c r="P7797" s="14" t="s">
        <v>46</v>
      </c>
      <c r="Q7797" s="14">
        <v>0.02</v>
      </c>
      <c r="R7797" s="143" t="s">
        <v>2215</v>
      </c>
      <c r="S7797" s="47"/>
      <c r="T7797" s="6">
        <v>29740.7</v>
      </c>
      <c r="U7797" s="6"/>
      <c r="V7797" s="6">
        <v>0</v>
      </c>
      <c r="W7797" s="6">
        <f t="shared" si="1202"/>
        <v>29740.7</v>
      </c>
      <c r="X7797" s="6">
        <f t="shared" si="1206"/>
        <v>0</v>
      </c>
      <c r="Y7797" s="13">
        <f t="shared" si="1199"/>
        <v>0</v>
      </c>
      <c r="Z7797" s="14">
        <v>0</v>
      </c>
      <c r="AA7797" s="6">
        <v>0</v>
      </c>
      <c r="AB7797" s="4"/>
      <c r="AC7797" s="6">
        <f t="shared" si="1198"/>
        <v>0</v>
      </c>
      <c r="AD7797" s="6">
        <f t="shared" si="1203"/>
        <v>0</v>
      </c>
      <c r="AE7797" s="14">
        <f>VLOOKUP(I7797,[2]媒体政策预估表!A:N,MATCH(O7797,[2]媒体政策预估表!$A$2:$M$2,0),0)</f>
        <v>7.0000000000000007E-2</v>
      </c>
      <c r="AF7797" s="6">
        <f t="shared" si="1205"/>
        <v>0</v>
      </c>
      <c r="AG7797" s="14">
        <v>0</v>
      </c>
      <c r="AH7797" s="64">
        <f t="shared" si="1204"/>
        <v>0</v>
      </c>
      <c r="AJ7797" s="126">
        <v>85</v>
      </c>
      <c r="AK7797" s="80">
        <f t="shared" si="1201"/>
        <v>0</v>
      </c>
      <c r="AL7797" s="85"/>
      <c r="AM7797" s="85"/>
    </row>
    <row r="7798" spans="1:39" s="86" customFormat="1" ht="13.25" hidden="1" customHeight="1" x14ac:dyDescent="0.3">
      <c r="A7798" s="89" t="s">
        <v>3792</v>
      </c>
      <c r="B7798" s="86" t="s">
        <v>35</v>
      </c>
      <c r="C7798" s="86" t="s">
        <v>164</v>
      </c>
      <c r="D7798" s="86" t="s">
        <v>305</v>
      </c>
      <c r="E7798" s="86" t="s">
        <v>659</v>
      </c>
      <c r="F7798" s="86" t="s">
        <v>660</v>
      </c>
      <c r="G7798" s="86" t="s">
        <v>659</v>
      </c>
      <c r="H7798" s="143">
        <v>360</v>
      </c>
      <c r="I7798" s="86" t="s">
        <v>1060</v>
      </c>
      <c r="J7798" s="47" t="s">
        <v>3325</v>
      </c>
      <c r="K7798" s="47" t="s">
        <v>3767</v>
      </c>
      <c r="L7798" s="47" t="s">
        <v>35</v>
      </c>
      <c r="M7798" s="86" t="s">
        <v>2216</v>
      </c>
      <c r="O7798" s="47" t="s">
        <v>45</v>
      </c>
      <c r="P7798" s="14" t="s">
        <v>46</v>
      </c>
      <c r="Q7798" s="14">
        <v>0.17</v>
      </c>
      <c r="R7798" s="143" t="s">
        <v>2217</v>
      </c>
      <c r="S7798" s="47"/>
      <c r="T7798" s="6">
        <v>6.4</v>
      </c>
      <c r="U7798" s="6"/>
      <c r="V7798" s="6">
        <v>0</v>
      </c>
      <c r="W7798" s="6">
        <f t="shared" si="1202"/>
        <v>6.4</v>
      </c>
      <c r="X7798" s="6">
        <f t="shared" si="1206"/>
        <v>0</v>
      </c>
      <c r="Y7798" s="13">
        <f t="shared" si="1199"/>
        <v>0</v>
      </c>
      <c r="Z7798" s="14">
        <v>0</v>
      </c>
      <c r="AA7798" s="6">
        <v>0</v>
      </c>
      <c r="AB7798" s="4">
        <f t="shared" si="1200"/>
        <v>0</v>
      </c>
      <c r="AC7798" s="6">
        <f t="shared" si="1198"/>
        <v>0</v>
      </c>
      <c r="AD7798" s="6">
        <f t="shared" si="1203"/>
        <v>0</v>
      </c>
      <c r="AE7798" s="14">
        <f>VLOOKUP(I7798,[2]媒体政策预估表!A:N,MATCH(O7798,[2]媒体政策预估表!$A$2:$M$2,0),0)</f>
        <v>0.1</v>
      </c>
      <c r="AF7798" s="6">
        <f t="shared" si="1205"/>
        <v>0</v>
      </c>
      <c r="AG7798" s="14">
        <v>0</v>
      </c>
      <c r="AH7798" s="64">
        <f t="shared" si="1204"/>
        <v>0</v>
      </c>
      <c r="AJ7798" s="126" t="e">
        <v>#N/A</v>
      </c>
      <c r="AK7798" s="80">
        <f t="shared" si="1201"/>
        <v>0</v>
      </c>
      <c r="AL7798" s="85"/>
      <c r="AM7798" s="85"/>
    </row>
    <row r="7799" spans="1:39" s="86" customFormat="1" ht="13.25" hidden="1" customHeight="1" x14ac:dyDescent="0.3">
      <c r="A7799" s="89" t="s">
        <v>3792</v>
      </c>
      <c r="B7799" s="86" t="s">
        <v>35</v>
      </c>
      <c r="C7799" s="86" t="s">
        <v>164</v>
      </c>
      <c r="D7799" s="86" t="s">
        <v>305</v>
      </c>
      <c r="E7799" s="86" t="s">
        <v>2218</v>
      </c>
      <c r="F7799" s="86" t="s">
        <v>2218</v>
      </c>
      <c r="G7799" s="86" t="s">
        <v>2218</v>
      </c>
      <c r="H7799" s="143">
        <v>360</v>
      </c>
      <c r="I7799" s="86" t="s">
        <v>1060</v>
      </c>
      <c r="J7799" s="47" t="s">
        <v>3325</v>
      </c>
      <c r="K7799" s="47" t="s">
        <v>3767</v>
      </c>
      <c r="L7799" s="47" t="s">
        <v>35</v>
      </c>
      <c r="M7799" s="86" t="s">
        <v>2218</v>
      </c>
      <c r="O7799" s="47" t="s">
        <v>410</v>
      </c>
      <c r="P7799" s="14" t="s">
        <v>41</v>
      </c>
      <c r="Q7799" s="14">
        <v>0</v>
      </c>
      <c r="R7799" s="143" t="s">
        <v>2219</v>
      </c>
      <c r="S7799" s="47"/>
      <c r="T7799" s="6">
        <v>4109.4000000000015</v>
      </c>
      <c r="U7799" s="6"/>
      <c r="V7799" s="6">
        <v>0</v>
      </c>
      <c r="W7799" s="6">
        <f t="shared" si="1202"/>
        <v>4109.4000000000015</v>
      </c>
      <c r="X7799" s="6">
        <f t="shared" si="1206"/>
        <v>0</v>
      </c>
      <c r="Y7799" s="13">
        <f t="shared" si="1199"/>
        <v>0</v>
      </c>
      <c r="Z7799" s="14">
        <v>0</v>
      </c>
      <c r="AA7799" s="6">
        <v>0</v>
      </c>
      <c r="AB7799" s="4">
        <f t="shared" si="1200"/>
        <v>0</v>
      </c>
      <c r="AC7799" s="6">
        <f t="shared" si="1198"/>
        <v>0</v>
      </c>
      <c r="AD7799" s="6">
        <f t="shared" si="1203"/>
        <v>0</v>
      </c>
      <c r="AE7799" s="14">
        <f>VLOOKUP(I7799,[2]媒体政策预估表!A:N,MATCH(O7799,[2]媒体政策预估表!$A$2:$M$2,0),0)</f>
        <v>7.0000000000000007E-2</v>
      </c>
      <c r="AF7799" s="6">
        <f t="shared" si="1205"/>
        <v>0</v>
      </c>
      <c r="AG7799" s="14">
        <v>0</v>
      </c>
      <c r="AH7799" s="64">
        <f t="shared" si="1204"/>
        <v>0</v>
      </c>
      <c r="AJ7799" s="126" t="e">
        <v>#N/A</v>
      </c>
      <c r="AK7799" s="80">
        <f t="shared" si="1201"/>
        <v>0</v>
      </c>
      <c r="AL7799" s="85"/>
      <c r="AM7799" s="85"/>
    </row>
    <row r="7800" spans="1:39" s="86" customFormat="1" ht="13.25" hidden="1" customHeight="1" x14ac:dyDescent="0.3">
      <c r="A7800" s="89" t="s">
        <v>3978</v>
      </c>
      <c r="B7800" s="86" t="s">
        <v>35</v>
      </c>
      <c r="C7800" s="86" t="s">
        <v>164</v>
      </c>
      <c r="D7800" s="86" t="s">
        <v>305</v>
      </c>
      <c r="E7800" s="86" t="s">
        <v>2220</v>
      </c>
      <c r="F7800" s="86" t="s">
        <v>2220</v>
      </c>
      <c r="G7800" s="86" t="s">
        <v>2220</v>
      </c>
      <c r="H7800" s="143">
        <v>360</v>
      </c>
      <c r="I7800" s="86" t="s">
        <v>1060</v>
      </c>
      <c r="J7800" s="47" t="s">
        <v>3325</v>
      </c>
      <c r="K7800" s="47" t="s">
        <v>3767</v>
      </c>
      <c r="L7800" s="47" t="s">
        <v>35</v>
      </c>
      <c r="M7800" s="86" t="s">
        <v>2221</v>
      </c>
      <c r="O7800" s="47" t="s">
        <v>45</v>
      </c>
      <c r="P7800" s="14" t="s">
        <v>46</v>
      </c>
      <c r="Q7800" s="14">
        <v>0.1</v>
      </c>
      <c r="R7800" s="143" t="s">
        <v>2222</v>
      </c>
      <c r="S7800" s="47"/>
      <c r="T7800" s="6">
        <v>628.40999999999894</v>
      </c>
      <c r="U7800" s="6"/>
      <c r="V7800" s="6">
        <v>0</v>
      </c>
      <c r="W7800" s="6">
        <f t="shared" si="1202"/>
        <v>628.40999999999894</v>
      </c>
      <c r="X7800" s="6">
        <f t="shared" si="1206"/>
        <v>0</v>
      </c>
      <c r="Y7800" s="13">
        <f t="shared" si="1199"/>
        <v>0</v>
      </c>
      <c r="Z7800" s="14">
        <v>0</v>
      </c>
      <c r="AA7800" s="6">
        <v>0</v>
      </c>
      <c r="AB7800" s="4">
        <f t="shared" si="1200"/>
        <v>0</v>
      </c>
      <c r="AC7800" s="6">
        <f t="shared" si="1198"/>
        <v>0</v>
      </c>
      <c r="AD7800" s="6">
        <f t="shared" si="1203"/>
        <v>0</v>
      </c>
      <c r="AE7800" s="14">
        <f>VLOOKUP(I7800,[2]媒体政策预估表!A:N,MATCH(O7800,[2]媒体政策预估表!$A$2:$M$2,0),0)</f>
        <v>0.1</v>
      </c>
      <c r="AF7800" s="6">
        <f t="shared" si="1205"/>
        <v>0</v>
      </c>
      <c r="AG7800" s="14">
        <v>0</v>
      </c>
      <c r="AH7800" s="64">
        <f t="shared" si="1204"/>
        <v>0</v>
      </c>
      <c r="AJ7800" s="126" t="e">
        <v>#N/A</v>
      </c>
      <c r="AK7800" s="80">
        <f t="shared" si="1201"/>
        <v>0</v>
      </c>
      <c r="AL7800" s="85"/>
      <c r="AM7800" s="85"/>
    </row>
    <row r="7801" spans="1:39" s="86" customFormat="1" ht="13.25" hidden="1" customHeight="1" x14ac:dyDescent="0.3">
      <c r="A7801" s="89" t="s">
        <v>3792</v>
      </c>
      <c r="B7801" s="86" t="s">
        <v>35</v>
      </c>
      <c r="C7801" s="86" t="s">
        <v>164</v>
      </c>
      <c r="D7801" s="86" t="s">
        <v>174</v>
      </c>
      <c r="E7801" s="86" t="s">
        <v>1703</v>
      </c>
      <c r="F7801" s="86" t="s">
        <v>1703</v>
      </c>
      <c r="G7801" s="86" t="s">
        <v>1703</v>
      </c>
      <c r="H7801" s="143">
        <v>360</v>
      </c>
      <c r="I7801" s="86" t="s">
        <v>1060</v>
      </c>
      <c r="J7801" s="47" t="s">
        <v>3325</v>
      </c>
      <c r="K7801" s="47" t="s">
        <v>3767</v>
      </c>
      <c r="L7801" s="47" t="s">
        <v>35</v>
      </c>
      <c r="M7801" s="86" t="s">
        <v>2223</v>
      </c>
      <c r="O7801" s="47" t="s">
        <v>410</v>
      </c>
      <c r="P7801" s="14" t="s">
        <v>46</v>
      </c>
      <c r="Q7801" s="14">
        <v>0.02</v>
      </c>
      <c r="R7801" s="143" t="s">
        <v>2224</v>
      </c>
      <c r="S7801" s="47"/>
      <c r="T7801" s="6">
        <v>3445.4</v>
      </c>
      <c r="U7801" s="6"/>
      <c r="V7801" s="6">
        <v>0</v>
      </c>
      <c r="W7801" s="6">
        <f t="shared" si="1202"/>
        <v>3445.4</v>
      </c>
      <c r="X7801" s="6">
        <f t="shared" si="1206"/>
        <v>0</v>
      </c>
      <c r="Y7801" s="13">
        <f t="shared" si="1199"/>
        <v>0</v>
      </c>
      <c r="Z7801" s="14">
        <v>0</v>
      </c>
      <c r="AA7801" s="6">
        <v>0</v>
      </c>
      <c r="AB7801" s="4">
        <f t="shared" si="1200"/>
        <v>0</v>
      </c>
      <c r="AC7801" s="6">
        <f t="shared" si="1198"/>
        <v>0</v>
      </c>
      <c r="AD7801" s="6">
        <f t="shared" si="1203"/>
        <v>0</v>
      </c>
      <c r="AE7801" s="14">
        <f>VLOOKUP(I7801,[2]媒体政策预估表!A:N,MATCH(O7801,[2]媒体政策预估表!$A$2:$M$2,0),0)</f>
        <v>7.0000000000000007E-2</v>
      </c>
      <c r="AF7801" s="6">
        <f t="shared" si="1205"/>
        <v>0</v>
      </c>
      <c r="AG7801" s="14">
        <v>0</v>
      </c>
      <c r="AH7801" s="64">
        <f t="shared" si="1204"/>
        <v>0</v>
      </c>
      <c r="AJ7801" s="126" t="e">
        <v>#N/A</v>
      </c>
      <c r="AK7801" s="80">
        <f t="shared" si="1201"/>
        <v>0</v>
      </c>
      <c r="AL7801" s="85"/>
      <c r="AM7801" s="85"/>
    </row>
    <row r="7802" spans="1:39" s="86" customFormat="1" ht="13.25" hidden="1" customHeight="1" x14ac:dyDescent="0.3">
      <c r="A7802" s="89" t="s">
        <v>3792</v>
      </c>
      <c r="B7802" s="86" t="s">
        <v>35</v>
      </c>
      <c r="C7802" s="86" t="s">
        <v>164</v>
      </c>
      <c r="D7802" s="86" t="s">
        <v>174</v>
      </c>
      <c r="E7802" s="86" t="s">
        <v>1715</v>
      </c>
      <c r="F7802" s="86" t="s">
        <v>1716</v>
      </c>
      <c r="G7802" s="86" t="s">
        <v>1715</v>
      </c>
      <c r="H7802" s="143">
        <v>360</v>
      </c>
      <c r="I7802" s="86" t="s">
        <v>1060</v>
      </c>
      <c r="J7802" s="47" t="s">
        <v>3325</v>
      </c>
      <c r="K7802" s="47" t="s">
        <v>3767</v>
      </c>
      <c r="L7802" s="47" t="s">
        <v>35</v>
      </c>
      <c r="M7802" s="86" t="s">
        <v>2225</v>
      </c>
      <c r="O7802" s="47" t="s">
        <v>45</v>
      </c>
      <c r="P7802" s="14" t="s">
        <v>46</v>
      </c>
      <c r="Q7802" s="14">
        <v>0.06</v>
      </c>
      <c r="R7802" s="143" t="s">
        <v>2226</v>
      </c>
      <c r="S7802" s="47"/>
      <c r="T7802" s="6">
        <v>9481.92</v>
      </c>
      <c r="U7802" s="6"/>
      <c r="V7802" s="6">
        <v>0</v>
      </c>
      <c r="W7802" s="6">
        <f t="shared" si="1202"/>
        <v>9481.92</v>
      </c>
      <c r="X7802" s="6">
        <f t="shared" si="1206"/>
        <v>0</v>
      </c>
      <c r="Y7802" s="13">
        <f t="shared" si="1199"/>
        <v>0</v>
      </c>
      <c r="Z7802" s="14">
        <v>0</v>
      </c>
      <c r="AA7802" s="6">
        <v>0</v>
      </c>
      <c r="AB7802" s="4">
        <f t="shared" si="1200"/>
        <v>0</v>
      </c>
      <c r="AC7802" s="6">
        <f t="shared" si="1198"/>
        <v>0</v>
      </c>
      <c r="AD7802" s="6">
        <f t="shared" si="1203"/>
        <v>0</v>
      </c>
      <c r="AE7802" s="14">
        <f>VLOOKUP(I7802,[2]媒体政策预估表!A:N,MATCH(O7802,[2]媒体政策预估表!$A$2:$M$2,0),0)</f>
        <v>0.1</v>
      </c>
      <c r="AF7802" s="6">
        <f t="shared" si="1205"/>
        <v>0</v>
      </c>
      <c r="AG7802" s="14">
        <v>0</v>
      </c>
      <c r="AH7802" s="64">
        <f t="shared" si="1204"/>
        <v>0</v>
      </c>
      <c r="AJ7802" s="126" t="e">
        <v>#N/A</v>
      </c>
      <c r="AK7802" s="80">
        <f t="shared" si="1201"/>
        <v>0</v>
      </c>
      <c r="AL7802" s="85"/>
      <c r="AM7802" s="85"/>
    </row>
    <row r="7803" spans="1:39" s="86" customFormat="1" ht="13.25" hidden="1" customHeight="1" x14ac:dyDescent="0.3">
      <c r="A7803" s="89" t="s">
        <v>3978</v>
      </c>
      <c r="B7803" s="86" t="s">
        <v>35</v>
      </c>
      <c r="C7803" s="86" t="s">
        <v>164</v>
      </c>
      <c r="D7803" s="86" t="s">
        <v>174</v>
      </c>
      <c r="E7803" s="86" t="s">
        <v>1715</v>
      </c>
      <c r="F7803" s="86" t="s">
        <v>1716</v>
      </c>
      <c r="G7803" s="86" t="s">
        <v>1715</v>
      </c>
      <c r="H7803" s="143">
        <v>360</v>
      </c>
      <c r="I7803" s="86" t="s">
        <v>1060</v>
      </c>
      <c r="J7803" s="47" t="s">
        <v>3325</v>
      </c>
      <c r="K7803" s="47" t="s">
        <v>3767</v>
      </c>
      <c r="L7803" s="47" t="s">
        <v>35</v>
      </c>
      <c r="M7803" s="86" t="s">
        <v>2225</v>
      </c>
      <c r="O7803" s="47" t="s">
        <v>410</v>
      </c>
      <c r="P7803" s="14" t="s">
        <v>46</v>
      </c>
      <c r="Q7803" s="14">
        <v>0.02</v>
      </c>
      <c r="R7803" s="143" t="s">
        <v>2227</v>
      </c>
      <c r="S7803" s="47"/>
      <c r="T7803" s="6">
        <v>10200</v>
      </c>
      <c r="U7803" s="6"/>
      <c r="V7803" s="6">
        <v>0</v>
      </c>
      <c r="W7803" s="6">
        <f t="shared" si="1202"/>
        <v>10200</v>
      </c>
      <c r="X7803" s="6">
        <f t="shared" si="1206"/>
        <v>0</v>
      </c>
      <c r="Y7803" s="13">
        <f t="shared" si="1199"/>
        <v>0</v>
      </c>
      <c r="Z7803" s="14">
        <v>0</v>
      </c>
      <c r="AA7803" s="6">
        <v>0</v>
      </c>
      <c r="AB7803" s="4">
        <f t="shared" si="1200"/>
        <v>0</v>
      </c>
      <c r="AC7803" s="6">
        <f t="shared" si="1198"/>
        <v>0</v>
      </c>
      <c r="AD7803" s="6">
        <f t="shared" si="1203"/>
        <v>0</v>
      </c>
      <c r="AE7803" s="14">
        <f>VLOOKUP(I7803,[2]媒体政策预估表!A:N,MATCH(O7803,[2]媒体政策预估表!$A$2:$M$2,0),0)</f>
        <v>7.0000000000000007E-2</v>
      </c>
      <c r="AF7803" s="6">
        <f t="shared" si="1205"/>
        <v>0</v>
      </c>
      <c r="AG7803" s="14">
        <v>0</v>
      </c>
      <c r="AH7803" s="64">
        <f t="shared" si="1204"/>
        <v>0</v>
      </c>
      <c r="AJ7803" s="126" t="e">
        <v>#N/A</v>
      </c>
      <c r="AK7803" s="80">
        <f t="shared" si="1201"/>
        <v>0</v>
      </c>
      <c r="AL7803" s="85"/>
      <c r="AM7803" s="85"/>
    </row>
    <row r="7804" spans="1:39" s="86" customFormat="1" ht="13.25" hidden="1" customHeight="1" x14ac:dyDescent="0.3">
      <c r="A7804" s="89" t="s">
        <v>3978</v>
      </c>
      <c r="B7804" s="86" t="s">
        <v>35</v>
      </c>
      <c r="C7804" s="86" t="s">
        <v>164</v>
      </c>
      <c r="D7804" s="86" t="s">
        <v>305</v>
      </c>
      <c r="E7804" s="86" t="s">
        <v>2228</v>
      </c>
      <c r="F7804" s="86" t="s">
        <v>2228</v>
      </c>
      <c r="G7804" s="86" t="s">
        <v>2228</v>
      </c>
      <c r="H7804" s="143">
        <v>360</v>
      </c>
      <c r="I7804" s="86" t="s">
        <v>1060</v>
      </c>
      <c r="J7804" s="47" t="s">
        <v>3325</v>
      </c>
      <c r="K7804" s="47" t="s">
        <v>3767</v>
      </c>
      <c r="L7804" s="47" t="s">
        <v>35</v>
      </c>
      <c r="M7804" s="86" t="s">
        <v>2228</v>
      </c>
      <c r="O7804" s="47" t="s">
        <v>45</v>
      </c>
      <c r="P7804" s="14" t="s">
        <v>41</v>
      </c>
      <c r="Q7804" s="14">
        <v>0</v>
      </c>
      <c r="R7804" s="143" t="s">
        <v>2229</v>
      </c>
      <c r="S7804" s="47"/>
      <c r="T7804" s="6">
        <v>3704.22</v>
      </c>
      <c r="U7804" s="6"/>
      <c r="V7804" s="6">
        <v>0</v>
      </c>
      <c r="W7804" s="6">
        <f t="shared" si="1202"/>
        <v>3704.22</v>
      </c>
      <c r="X7804" s="6">
        <f t="shared" si="1206"/>
        <v>0</v>
      </c>
      <c r="Y7804" s="13">
        <f t="shared" si="1199"/>
        <v>0</v>
      </c>
      <c r="Z7804" s="14">
        <v>0</v>
      </c>
      <c r="AA7804" s="6">
        <v>0</v>
      </c>
      <c r="AB7804" s="4">
        <f t="shared" si="1200"/>
        <v>0</v>
      </c>
      <c r="AC7804" s="6">
        <f t="shared" si="1198"/>
        <v>0</v>
      </c>
      <c r="AD7804" s="6">
        <f t="shared" si="1203"/>
        <v>0</v>
      </c>
      <c r="AE7804" s="14">
        <f>VLOOKUP(I7804,[2]媒体政策预估表!A:N,MATCH(O7804,[2]媒体政策预估表!$A$2:$M$2,0),0)</f>
        <v>0.1</v>
      </c>
      <c r="AF7804" s="6">
        <f t="shared" si="1205"/>
        <v>0</v>
      </c>
      <c r="AG7804" s="14">
        <v>0</v>
      </c>
      <c r="AH7804" s="64">
        <f t="shared" si="1204"/>
        <v>0</v>
      </c>
      <c r="AJ7804" s="126" t="e">
        <v>#N/A</v>
      </c>
      <c r="AK7804" s="80">
        <f t="shared" si="1201"/>
        <v>0</v>
      </c>
      <c r="AL7804" s="85"/>
      <c r="AM7804" s="85"/>
    </row>
    <row r="7805" spans="1:39" s="86" customFormat="1" ht="13.25" hidden="1" customHeight="1" x14ac:dyDescent="0.3">
      <c r="A7805" s="89" t="s">
        <v>3978</v>
      </c>
      <c r="B7805" s="86" t="s">
        <v>35</v>
      </c>
      <c r="C7805" s="86" t="s">
        <v>164</v>
      </c>
      <c r="D7805" s="86" t="s">
        <v>305</v>
      </c>
      <c r="E7805" s="86" t="s">
        <v>2230</v>
      </c>
      <c r="F7805" s="86" t="s">
        <v>2231</v>
      </c>
      <c r="G7805" s="86" t="s">
        <v>2230</v>
      </c>
      <c r="H7805" s="143">
        <v>360</v>
      </c>
      <c r="I7805" s="86" t="s">
        <v>1060</v>
      </c>
      <c r="J7805" s="47" t="s">
        <v>3325</v>
      </c>
      <c r="K7805" s="47" t="s">
        <v>3767</v>
      </c>
      <c r="L7805" s="47" t="s">
        <v>35</v>
      </c>
      <c r="M7805" s="86" t="s">
        <v>2230</v>
      </c>
      <c r="O7805" s="47" t="s">
        <v>45</v>
      </c>
      <c r="P7805" s="14" t="s">
        <v>46</v>
      </c>
      <c r="Q7805" s="14">
        <v>0.2</v>
      </c>
      <c r="R7805" s="143" t="s">
        <v>2232</v>
      </c>
      <c r="S7805" s="47"/>
      <c r="T7805" s="6">
        <v>2.93</v>
      </c>
      <c r="U7805" s="6"/>
      <c r="V7805" s="6">
        <v>0</v>
      </c>
      <c r="W7805" s="6">
        <f t="shared" si="1202"/>
        <v>2.93</v>
      </c>
      <c r="X7805" s="6">
        <f t="shared" si="1206"/>
        <v>0</v>
      </c>
      <c r="Y7805" s="13">
        <f t="shared" si="1199"/>
        <v>0</v>
      </c>
      <c r="Z7805" s="14">
        <v>0</v>
      </c>
      <c r="AA7805" s="6">
        <v>0</v>
      </c>
      <c r="AB7805" s="4"/>
      <c r="AC7805" s="6">
        <f t="shared" si="1198"/>
        <v>0</v>
      </c>
      <c r="AD7805" s="6">
        <f t="shared" si="1203"/>
        <v>0</v>
      </c>
      <c r="AE7805" s="14">
        <f>VLOOKUP(I7805,[2]媒体政策预估表!A:N,MATCH(O7805,[2]媒体政策预估表!$A$2:$M$2,0),0)</f>
        <v>0.1</v>
      </c>
      <c r="AF7805" s="6">
        <f t="shared" si="1205"/>
        <v>0</v>
      </c>
      <c r="AG7805" s="14">
        <v>0</v>
      </c>
      <c r="AH7805" s="64">
        <f t="shared" si="1204"/>
        <v>0</v>
      </c>
      <c r="AJ7805" s="126">
        <v>12</v>
      </c>
      <c r="AK7805" s="80">
        <f t="shared" si="1201"/>
        <v>0</v>
      </c>
      <c r="AL7805" s="85"/>
      <c r="AM7805" s="85"/>
    </row>
    <row r="7806" spans="1:39" s="86" customFormat="1" ht="13.25" hidden="1" customHeight="1" x14ac:dyDescent="0.3">
      <c r="A7806" s="89" t="s">
        <v>3978</v>
      </c>
      <c r="B7806" s="86" t="s">
        <v>35</v>
      </c>
      <c r="C7806" s="86" t="s">
        <v>164</v>
      </c>
      <c r="D7806" s="86" t="s">
        <v>305</v>
      </c>
      <c r="E7806" s="86" t="s">
        <v>2233</v>
      </c>
      <c r="F7806" s="86" t="s">
        <v>2233</v>
      </c>
      <c r="G7806" s="86" t="s">
        <v>2233</v>
      </c>
      <c r="H7806" s="143">
        <v>360</v>
      </c>
      <c r="I7806" s="86" t="s">
        <v>1060</v>
      </c>
      <c r="J7806" s="47" t="s">
        <v>3325</v>
      </c>
      <c r="K7806" s="47" t="s">
        <v>3767</v>
      </c>
      <c r="L7806" s="47" t="s">
        <v>35</v>
      </c>
      <c r="M7806" s="86" t="s">
        <v>2233</v>
      </c>
      <c r="O7806" s="47" t="s">
        <v>410</v>
      </c>
      <c r="P7806" s="14" t="s">
        <v>41</v>
      </c>
      <c r="Q7806" s="14">
        <v>0</v>
      </c>
      <c r="R7806" s="143" t="s">
        <v>2234</v>
      </c>
      <c r="S7806" s="47"/>
      <c r="T7806" s="6">
        <v>1166.5999999999999</v>
      </c>
      <c r="U7806" s="6"/>
      <c r="V7806" s="6">
        <v>0</v>
      </c>
      <c r="W7806" s="6">
        <f t="shared" si="1202"/>
        <v>1166.5999999999999</v>
      </c>
      <c r="X7806" s="6">
        <f t="shared" si="1206"/>
        <v>0</v>
      </c>
      <c r="Y7806" s="13">
        <f t="shared" si="1199"/>
        <v>0</v>
      </c>
      <c r="Z7806" s="14">
        <v>0</v>
      </c>
      <c r="AA7806" s="6">
        <v>0</v>
      </c>
      <c r="AB7806" s="4">
        <f t="shared" si="1200"/>
        <v>0</v>
      </c>
      <c r="AC7806" s="6">
        <f t="shared" ref="AC7806:AC7869" si="1207">IF(P7806="返现",X7806*Q7806,V7806-X7806)</f>
        <v>0</v>
      </c>
      <c r="AD7806" s="6">
        <f t="shared" si="1203"/>
        <v>0</v>
      </c>
      <c r="AE7806" s="14">
        <f>VLOOKUP(I7806,[2]媒体政策预估表!A:N,MATCH(O7806,[2]媒体政策预估表!$A$2:$M$2,0),0)</f>
        <v>7.0000000000000007E-2</v>
      </c>
      <c r="AF7806" s="6">
        <f t="shared" si="1205"/>
        <v>0</v>
      </c>
      <c r="AG7806" s="14">
        <v>0</v>
      </c>
      <c r="AH7806" s="64">
        <f t="shared" si="1204"/>
        <v>0</v>
      </c>
      <c r="AJ7806" s="126" t="e">
        <v>#N/A</v>
      </c>
      <c r="AK7806" s="80">
        <f t="shared" si="1201"/>
        <v>0</v>
      </c>
      <c r="AL7806" s="85"/>
      <c r="AM7806" s="85"/>
    </row>
    <row r="7807" spans="1:39" s="86" customFormat="1" ht="13.25" hidden="1" customHeight="1" x14ac:dyDescent="0.3">
      <c r="A7807" s="89" t="s">
        <v>3792</v>
      </c>
      <c r="B7807" s="86" t="s">
        <v>35</v>
      </c>
      <c r="C7807" s="86" t="s">
        <v>164</v>
      </c>
      <c r="D7807" s="86" t="s">
        <v>305</v>
      </c>
      <c r="E7807" s="86" t="s">
        <v>2235</v>
      </c>
      <c r="F7807" s="86" t="s">
        <v>2235</v>
      </c>
      <c r="G7807" s="86" t="s">
        <v>2235</v>
      </c>
      <c r="H7807" s="143">
        <v>360</v>
      </c>
      <c r="I7807" s="86" t="s">
        <v>1060</v>
      </c>
      <c r="J7807" s="47" t="s">
        <v>3325</v>
      </c>
      <c r="K7807" s="47" t="s">
        <v>3767</v>
      </c>
      <c r="L7807" s="47" t="s">
        <v>35</v>
      </c>
      <c r="M7807" s="86" t="s">
        <v>2235</v>
      </c>
      <c r="O7807" s="47" t="s">
        <v>410</v>
      </c>
      <c r="P7807" s="14" t="s">
        <v>46</v>
      </c>
      <c r="Q7807" s="14">
        <v>0.04</v>
      </c>
      <c r="R7807" s="143" t="s">
        <v>2236</v>
      </c>
      <c r="S7807" s="47"/>
      <c r="T7807" s="6">
        <v>4759</v>
      </c>
      <c r="U7807" s="6"/>
      <c r="V7807" s="6">
        <v>0</v>
      </c>
      <c r="W7807" s="6">
        <f t="shared" si="1202"/>
        <v>4759</v>
      </c>
      <c r="X7807" s="6">
        <f t="shared" si="1206"/>
        <v>0</v>
      </c>
      <c r="Y7807" s="13">
        <f t="shared" si="1199"/>
        <v>0</v>
      </c>
      <c r="Z7807" s="14">
        <v>0</v>
      </c>
      <c r="AA7807" s="6">
        <v>0</v>
      </c>
      <c r="AB7807" s="4">
        <f t="shared" si="1200"/>
        <v>0</v>
      </c>
      <c r="AC7807" s="6">
        <f t="shared" si="1207"/>
        <v>0</v>
      </c>
      <c r="AD7807" s="6">
        <f t="shared" si="1203"/>
        <v>0</v>
      </c>
      <c r="AE7807" s="14">
        <f>VLOOKUP(I7807,[2]媒体政策预估表!A:N,MATCH(O7807,[2]媒体政策预估表!$A$2:$M$2,0),0)</f>
        <v>7.0000000000000007E-2</v>
      </c>
      <c r="AF7807" s="6">
        <f t="shared" si="1205"/>
        <v>0</v>
      </c>
      <c r="AG7807" s="14">
        <v>0</v>
      </c>
      <c r="AH7807" s="64">
        <f t="shared" si="1204"/>
        <v>0</v>
      </c>
      <c r="AJ7807" s="126" t="e">
        <v>#N/A</v>
      </c>
      <c r="AK7807" s="80">
        <f t="shared" si="1201"/>
        <v>0</v>
      </c>
      <c r="AL7807" s="85"/>
      <c r="AM7807" s="85"/>
    </row>
    <row r="7808" spans="1:39" s="86" customFormat="1" ht="13.25" hidden="1" customHeight="1" x14ac:dyDescent="0.3">
      <c r="A7808" s="89" t="s">
        <v>3978</v>
      </c>
      <c r="B7808" s="86" t="s">
        <v>35</v>
      </c>
      <c r="C7808" s="86" t="s">
        <v>164</v>
      </c>
      <c r="D7808" s="86" t="s">
        <v>165</v>
      </c>
      <c r="E7808" s="86" t="s">
        <v>2237</v>
      </c>
      <c r="F7808" s="86" t="s">
        <v>2237</v>
      </c>
      <c r="G7808" s="86" t="s">
        <v>2237</v>
      </c>
      <c r="H7808" s="143">
        <v>360</v>
      </c>
      <c r="I7808" s="86" t="s">
        <v>1060</v>
      </c>
      <c r="J7808" s="47" t="s">
        <v>3325</v>
      </c>
      <c r="K7808" s="47" t="s">
        <v>3767</v>
      </c>
      <c r="L7808" s="47" t="s">
        <v>35</v>
      </c>
      <c r="M7808" s="86" t="s">
        <v>2238</v>
      </c>
      <c r="O7808" s="47" t="s">
        <v>410</v>
      </c>
      <c r="P7808" s="14" t="s">
        <v>46</v>
      </c>
      <c r="Q7808" s="14">
        <v>0.02</v>
      </c>
      <c r="R7808" s="143" t="s">
        <v>2239</v>
      </c>
      <c r="S7808" s="47"/>
      <c r="T7808" s="6">
        <v>31033.109999999971</v>
      </c>
      <c r="U7808" s="6"/>
      <c r="V7808" s="6">
        <v>0</v>
      </c>
      <c r="W7808" s="6">
        <f t="shared" si="1202"/>
        <v>31033.109999999971</v>
      </c>
      <c r="X7808" s="6">
        <f t="shared" si="1206"/>
        <v>0</v>
      </c>
      <c r="Y7808" s="13">
        <f t="shared" si="1199"/>
        <v>0</v>
      </c>
      <c r="Z7808" s="14">
        <v>0</v>
      </c>
      <c r="AA7808" s="6">
        <v>0</v>
      </c>
      <c r="AB7808" s="4">
        <f t="shared" si="1200"/>
        <v>0</v>
      </c>
      <c r="AC7808" s="6">
        <f t="shared" si="1207"/>
        <v>0</v>
      </c>
      <c r="AD7808" s="6">
        <f t="shared" si="1203"/>
        <v>0</v>
      </c>
      <c r="AE7808" s="14">
        <f>VLOOKUP(I7808,[2]媒体政策预估表!A:N,MATCH(O7808,[2]媒体政策预估表!$A$2:$M$2,0),0)</f>
        <v>7.0000000000000007E-2</v>
      </c>
      <c r="AF7808" s="6">
        <f t="shared" si="1205"/>
        <v>0</v>
      </c>
      <c r="AG7808" s="14">
        <v>0</v>
      </c>
      <c r="AH7808" s="64">
        <f t="shared" si="1204"/>
        <v>0</v>
      </c>
      <c r="AJ7808" s="126" t="e">
        <v>#N/A</v>
      </c>
      <c r="AK7808" s="80">
        <f t="shared" si="1201"/>
        <v>0</v>
      </c>
      <c r="AL7808" s="85"/>
      <c r="AM7808" s="85"/>
    </row>
    <row r="7809" spans="1:39" s="86" customFormat="1" ht="13.25" hidden="1" customHeight="1" x14ac:dyDescent="0.3">
      <c r="A7809" s="89" t="s">
        <v>3978</v>
      </c>
      <c r="B7809" s="86" t="s">
        <v>35</v>
      </c>
      <c r="C7809" s="86" t="s">
        <v>164</v>
      </c>
      <c r="D7809" s="86" t="s">
        <v>165</v>
      </c>
      <c r="E7809" s="86" t="s">
        <v>619</v>
      </c>
      <c r="F7809" s="86" t="s">
        <v>620</v>
      </c>
      <c r="G7809" s="86" t="s">
        <v>619</v>
      </c>
      <c r="H7809" s="143">
        <v>360</v>
      </c>
      <c r="I7809" s="86" t="s">
        <v>1060</v>
      </c>
      <c r="J7809" s="47" t="s">
        <v>3325</v>
      </c>
      <c r="K7809" s="47" t="s">
        <v>3767</v>
      </c>
      <c r="L7809" s="47" t="s">
        <v>35</v>
      </c>
      <c r="M7809" s="86" t="s">
        <v>619</v>
      </c>
      <c r="O7809" s="47" t="s">
        <v>2054</v>
      </c>
      <c r="P7809" s="14" t="s">
        <v>46</v>
      </c>
      <c r="Q7809" s="14">
        <v>0.04</v>
      </c>
      <c r="R7809" s="143" t="s">
        <v>2064</v>
      </c>
      <c r="S7809" s="47"/>
      <c r="T7809" s="6">
        <v>-1993.4765199999997</v>
      </c>
      <c r="U7809" s="6"/>
      <c r="V7809" s="6">
        <v>0</v>
      </c>
      <c r="W7809" s="6">
        <f t="shared" si="1202"/>
        <v>-1993.4765199999997</v>
      </c>
      <c r="X7809" s="6">
        <f t="shared" si="1206"/>
        <v>0</v>
      </c>
      <c r="Y7809" s="13">
        <f t="shared" si="1199"/>
        <v>0</v>
      </c>
      <c r="Z7809" s="14">
        <v>0</v>
      </c>
      <c r="AA7809" s="6">
        <v>0</v>
      </c>
      <c r="AB7809" s="4">
        <f t="shared" si="1200"/>
        <v>0</v>
      </c>
      <c r="AC7809" s="6">
        <f t="shared" si="1207"/>
        <v>0</v>
      </c>
      <c r="AD7809" s="6">
        <f t="shared" si="1203"/>
        <v>0</v>
      </c>
      <c r="AE7809" s="14">
        <f>VLOOKUP(I7809,[2]媒体政策预估表!A:N,MATCH(O7809,[2]媒体政策预估表!$A$2:$M$2,0),0)</f>
        <v>0.1</v>
      </c>
      <c r="AF7809" s="6">
        <f t="shared" si="1205"/>
        <v>0</v>
      </c>
      <c r="AG7809" s="14">
        <v>0</v>
      </c>
      <c r="AH7809" s="64">
        <f t="shared" si="1204"/>
        <v>0</v>
      </c>
      <c r="AJ7809" s="126" t="e">
        <v>#N/A</v>
      </c>
      <c r="AK7809" s="80">
        <f t="shared" si="1201"/>
        <v>0</v>
      </c>
      <c r="AL7809" s="85"/>
      <c r="AM7809" s="85"/>
    </row>
    <row r="7810" spans="1:39" s="86" customFormat="1" ht="13.25" hidden="1" customHeight="1" x14ac:dyDescent="0.3">
      <c r="A7810" s="89" t="s">
        <v>3978</v>
      </c>
      <c r="B7810" s="86" t="s">
        <v>35</v>
      </c>
      <c r="C7810" s="86" t="s">
        <v>164</v>
      </c>
      <c r="D7810" s="86" t="s">
        <v>165</v>
      </c>
      <c r="E7810" s="86" t="s">
        <v>2240</v>
      </c>
      <c r="F7810" s="86" t="s">
        <v>2240</v>
      </c>
      <c r="G7810" s="86" t="s">
        <v>2240</v>
      </c>
      <c r="H7810" s="143">
        <v>360</v>
      </c>
      <c r="I7810" s="86" t="s">
        <v>1060</v>
      </c>
      <c r="J7810" s="47" t="s">
        <v>3325</v>
      </c>
      <c r="K7810" s="47" t="s">
        <v>3767</v>
      </c>
      <c r="L7810" s="47" t="s">
        <v>35</v>
      </c>
      <c r="M7810" s="86" t="s">
        <v>2240</v>
      </c>
      <c r="O7810" s="47" t="s">
        <v>410</v>
      </c>
      <c r="P7810" s="14" t="s">
        <v>41</v>
      </c>
      <c r="Q7810" s="14">
        <v>0</v>
      </c>
      <c r="R7810" s="143" t="s">
        <v>2241</v>
      </c>
      <c r="S7810" s="47"/>
      <c r="T7810" s="6">
        <v>3139.3</v>
      </c>
      <c r="U7810" s="6"/>
      <c r="V7810" s="6">
        <v>0</v>
      </c>
      <c r="W7810" s="6">
        <f t="shared" si="1202"/>
        <v>3139.3</v>
      </c>
      <c r="X7810" s="6">
        <f t="shared" si="1206"/>
        <v>0</v>
      </c>
      <c r="Y7810" s="13">
        <f t="shared" si="1199"/>
        <v>0</v>
      </c>
      <c r="Z7810" s="14">
        <v>0</v>
      </c>
      <c r="AA7810" s="6">
        <v>0</v>
      </c>
      <c r="AB7810" s="4">
        <f t="shared" si="1200"/>
        <v>0</v>
      </c>
      <c r="AC7810" s="6">
        <f t="shared" si="1207"/>
        <v>0</v>
      </c>
      <c r="AD7810" s="6">
        <f t="shared" si="1203"/>
        <v>0</v>
      </c>
      <c r="AE7810" s="14">
        <f>VLOOKUP(I7810,[2]媒体政策预估表!A:N,MATCH(O7810,[2]媒体政策预估表!$A$2:$M$2,0),0)</f>
        <v>7.0000000000000007E-2</v>
      </c>
      <c r="AF7810" s="6">
        <f t="shared" si="1205"/>
        <v>0</v>
      </c>
      <c r="AG7810" s="14">
        <v>0</v>
      </c>
      <c r="AH7810" s="64">
        <f t="shared" si="1204"/>
        <v>0</v>
      </c>
      <c r="AJ7810" s="126" t="e">
        <v>#N/A</v>
      </c>
      <c r="AK7810" s="80">
        <f t="shared" si="1201"/>
        <v>0</v>
      </c>
      <c r="AL7810" s="85"/>
      <c r="AM7810" s="85"/>
    </row>
    <row r="7811" spans="1:39" s="86" customFormat="1" ht="13.25" hidden="1" customHeight="1" x14ac:dyDescent="0.3">
      <c r="A7811" s="89" t="s">
        <v>3978</v>
      </c>
      <c r="B7811" s="86" t="s">
        <v>35</v>
      </c>
      <c r="C7811" s="86" t="s">
        <v>164</v>
      </c>
      <c r="D7811" s="86" t="s">
        <v>165</v>
      </c>
      <c r="E7811" s="86" t="s">
        <v>2242</v>
      </c>
      <c r="F7811" s="86" t="s">
        <v>2242</v>
      </c>
      <c r="G7811" s="86" t="s">
        <v>2242</v>
      </c>
      <c r="H7811" s="143">
        <v>360</v>
      </c>
      <c r="I7811" s="86" t="s">
        <v>1060</v>
      </c>
      <c r="J7811" s="47" t="s">
        <v>3325</v>
      </c>
      <c r="K7811" s="47" t="s">
        <v>3767</v>
      </c>
      <c r="L7811" s="47" t="s">
        <v>35</v>
      </c>
      <c r="M7811" s="86" t="s">
        <v>2242</v>
      </c>
      <c r="O7811" s="47" t="s">
        <v>410</v>
      </c>
      <c r="P7811" s="14" t="s">
        <v>46</v>
      </c>
      <c r="Q7811" s="14">
        <v>0.01</v>
      </c>
      <c r="R7811" s="143" t="s">
        <v>2243</v>
      </c>
      <c r="S7811" s="47"/>
      <c r="T7811" s="6">
        <v>4939.5</v>
      </c>
      <c r="U7811" s="6"/>
      <c r="V7811" s="6">
        <v>0</v>
      </c>
      <c r="W7811" s="6">
        <f t="shared" si="1202"/>
        <v>4939.5</v>
      </c>
      <c r="X7811" s="6">
        <f t="shared" si="1206"/>
        <v>0</v>
      </c>
      <c r="Y7811" s="13">
        <f t="shared" ref="Y7811:Y7874" si="1208">IF(X7811-AD7811&lt;=0,0,IF(P7811="返现",MAX(X7811-AC7811-AD7811,0),MAX(X7811-AD7811)))</f>
        <v>0</v>
      </c>
      <c r="Z7811" s="14">
        <v>0</v>
      </c>
      <c r="AA7811" s="6">
        <v>0</v>
      </c>
      <c r="AB7811" s="4">
        <f t="shared" ref="AB7811:AB7874" si="1209">X7811+AA7811</f>
        <v>0</v>
      </c>
      <c r="AC7811" s="6">
        <f t="shared" si="1207"/>
        <v>0</v>
      </c>
      <c r="AD7811" s="6">
        <f t="shared" si="1203"/>
        <v>0</v>
      </c>
      <c r="AE7811" s="14">
        <f>VLOOKUP(I7811,[2]媒体政策预估表!A:N,MATCH(O7811,[2]媒体政策预估表!$A$2:$M$2,0),0)</f>
        <v>7.0000000000000007E-2</v>
      </c>
      <c r="AF7811" s="6">
        <f t="shared" si="1205"/>
        <v>0</v>
      </c>
      <c r="AG7811" s="14">
        <v>0</v>
      </c>
      <c r="AH7811" s="64">
        <f t="shared" si="1204"/>
        <v>0</v>
      </c>
      <c r="AJ7811" s="126" t="e">
        <v>#N/A</v>
      </c>
      <c r="AK7811" s="80">
        <f t="shared" ref="AK7811:AK7874" si="1210">X7811+AA7811-AB7811</f>
        <v>0</v>
      </c>
      <c r="AL7811" s="85"/>
      <c r="AM7811" s="85"/>
    </row>
    <row r="7812" spans="1:39" s="86" customFormat="1" ht="13.25" hidden="1" customHeight="1" x14ac:dyDescent="0.3">
      <c r="A7812" s="89" t="s">
        <v>3978</v>
      </c>
      <c r="B7812" s="86" t="s">
        <v>35</v>
      </c>
      <c r="C7812" s="86" t="s">
        <v>164</v>
      </c>
      <c r="D7812" s="86" t="s">
        <v>169</v>
      </c>
      <c r="E7812" s="86" t="s">
        <v>2244</v>
      </c>
      <c r="F7812" s="86" t="s">
        <v>2244</v>
      </c>
      <c r="G7812" s="86" t="s">
        <v>2244</v>
      </c>
      <c r="H7812" s="143">
        <v>360</v>
      </c>
      <c r="I7812" s="86" t="s">
        <v>1060</v>
      </c>
      <c r="J7812" s="47" t="s">
        <v>3325</v>
      </c>
      <c r="K7812" s="47" t="s">
        <v>3767</v>
      </c>
      <c r="L7812" s="47" t="s">
        <v>35</v>
      </c>
      <c r="M7812" s="86" t="s">
        <v>2245</v>
      </c>
      <c r="O7812" s="47" t="s">
        <v>410</v>
      </c>
      <c r="P7812" s="14" t="s">
        <v>46</v>
      </c>
      <c r="Q7812" s="14">
        <v>0.03</v>
      </c>
      <c r="R7812" s="143" t="s">
        <v>2246</v>
      </c>
      <c r="S7812" s="47"/>
      <c r="T7812" s="6">
        <v>1</v>
      </c>
      <c r="U7812" s="6"/>
      <c r="V7812" s="6">
        <v>0</v>
      </c>
      <c r="W7812" s="6">
        <f t="shared" si="1202"/>
        <v>1</v>
      </c>
      <c r="X7812" s="6">
        <f t="shared" si="1206"/>
        <v>0</v>
      </c>
      <c r="Y7812" s="13">
        <f t="shared" si="1208"/>
        <v>0</v>
      </c>
      <c r="Z7812" s="14">
        <v>0</v>
      </c>
      <c r="AA7812" s="6">
        <v>0</v>
      </c>
      <c r="AB7812" s="4">
        <f t="shared" si="1209"/>
        <v>0</v>
      </c>
      <c r="AC7812" s="6">
        <f t="shared" si="1207"/>
        <v>0</v>
      </c>
      <c r="AD7812" s="6">
        <f t="shared" si="1203"/>
        <v>0</v>
      </c>
      <c r="AE7812" s="14">
        <f>VLOOKUP(I7812,[2]媒体政策预估表!A:N,MATCH(O7812,[2]媒体政策预估表!$A$2:$M$2,0),0)</f>
        <v>7.0000000000000007E-2</v>
      </c>
      <c r="AF7812" s="6">
        <f t="shared" si="1205"/>
        <v>0</v>
      </c>
      <c r="AG7812" s="14">
        <v>0</v>
      </c>
      <c r="AH7812" s="64">
        <f t="shared" si="1204"/>
        <v>0</v>
      </c>
      <c r="AJ7812" s="126" t="e">
        <v>#N/A</v>
      </c>
      <c r="AK7812" s="80">
        <f t="shared" si="1210"/>
        <v>0</v>
      </c>
      <c r="AL7812" s="85"/>
      <c r="AM7812" s="85"/>
    </row>
    <row r="7813" spans="1:39" s="86" customFormat="1" ht="13.25" hidden="1" customHeight="1" x14ac:dyDescent="0.3">
      <c r="A7813" s="89" t="s">
        <v>3792</v>
      </c>
      <c r="B7813" s="86" t="s">
        <v>35</v>
      </c>
      <c r="C7813" s="86" t="s">
        <v>164</v>
      </c>
      <c r="D7813" s="86" t="s">
        <v>169</v>
      </c>
      <c r="E7813" s="86" t="s">
        <v>2247</v>
      </c>
      <c r="F7813" s="86" t="s">
        <v>2247</v>
      </c>
      <c r="G7813" s="86" t="s">
        <v>2247</v>
      </c>
      <c r="H7813" s="143">
        <v>360</v>
      </c>
      <c r="I7813" s="86" t="s">
        <v>1060</v>
      </c>
      <c r="J7813" s="47" t="s">
        <v>3325</v>
      </c>
      <c r="K7813" s="47" t="s">
        <v>3767</v>
      </c>
      <c r="L7813" s="47" t="s">
        <v>35</v>
      </c>
      <c r="M7813" s="86" t="s">
        <v>2248</v>
      </c>
      <c r="O7813" s="47" t="s">
        <v>410</v>
      </c>
      <c r="P7813" s="14" t="s">
        <v>41</v>
      </c>
      <c r="Q7813" s="14">
        <v>0</v>
      </c>
      <c r="R7813" s="143" t="s">
        <v>2249</v>
      </c>
      <c r="S7813" s="47"/>
      <c r="T7813" s="6">
        <v>62.199999999999818</v>
      </c>
      <c r="U7813" s="6"/>
      <c r="V7813" s="6">
        <v>0</v>
      </c>
      <c r="W7813" s="6">
        <f t="shared" si="1202"/>
        <v>62.199999999999818</v>
      </c>
      <c r="X7813" s="6">
        <f t="shared" si="1206"/>
        <v>0</v>
      </c>
      <c r="Y7813" s="13">
        <f t="shared" si="1208"/>
        <v>0</v>
      </c>
      <c r="Z7813" s="14">
        <v>0</v>
      </c>
      <c r="AA7813" s="6">
        <v>0</v>
      </c>
      <c r="AB7813" s="4">
        <f t="shared" si="1209"/>
        <v>0</v>
      </c>
      <c r="AC7813" s="6">
        <f t="shared" si="1207"/>
        <v>0</v>
      </c>
      <c r="AD7813" s="6">
        <f t="shared" si="1203"/>
        <v>0</v>
      </c>
      <c r="AE7813" s="14">
        <f>VLOOKUP(I7813,[2]媒体政策预估表!A:N,MATCH(O7813,[2]媒体政策预估表!$A$2:$M$2,0),0)</f>
        <v>7.0000000000000007E-2</v>
      </c>
      <c r="AF7813" s="6">
        <f t="shared" si="1205"/>
        <v>0</v>
      </c>
      <c r="AG7813" s="14">
        <v>0</v>
      </c>
      <c r="AH7813" s="64">
        <f t="shared" si="1204"/>
        <v>0</v>
      </c>
      <c r="AJ7813" s="126" t="e">
        <v>#N/A</v>
      </c>
      <c r="AK7813" s="80">
        <f t="shared" si="1210"/>
        <v>0</v>
      </c>
      <c r="AL7813" s="85"/>
      <c r="AM7813" s="85"/>
    </row>
    <row r="7814" spans="1:39" s="86" customFormat="1" ht="13.25" hidden="1" customHeight="1" x14ac:dyDescent="0.3">
      <c r="A7814" s="89" t="s">
        <v>3978</v>
      </c>
      <c r="B7814" s="86" t="s">
        <v>35</v>
      </c>
      <c r="C7814" s="86" t="s">
        <v>164</v>
      </c>
      <c r="D7814" s="86" t="s">
        <v>169</v>
      </c>
      <c r="E7814" s="86" t="s">
        <v>2250</v>
      </c>
      <c r="F7814" s="86" t="s">
        <v>2250</v>
      </c>
      <c r="G7814" s="86" t="s">
        <v>2250</v>
      </c>
      <c r="H7814" s="143">
        <v>360</v>
      </c>
      <c r="I7814" s="86" t="s">
        <v>1060</v>
      </c>
      <c r="J7814" s="47" t="s">
        <v>3325</v>
      </c>
      <c r="K7814" s="47" t="s">
        <v>3767</v>
      </c>
      <c r="L7814" s="47" t="s">
        <v>35</v>
      </c>
      <c r="M7814" s="86" t="s">
        <v>2251</v>
      </c>
      <c r="O7814" s="47" t="s">
        <v>410</v>
      </c>
      <c r="P7814" s="14" t="s">
        <v>41</v>
      </c>
      <c r="Q7814" s="14">
        <v>0</v>
      </c>
      <c r="R7814" s="143" t="s">
        <v>2252</v>
      </c>
      <c r="S7814" s="47"/>
      <c r="T7814" s="6">
        <v>54.699999999999903</v>
      </c>
      <c r="U7814" s="6"/>
      <c r="V7814" s="6">
        <v>0</v>
      </c>
      <c r="W7814" s="6">
        <f t="shared" si="1202"/>
        <v>54.699999999999903</v>
      </c>
      <c r="X7814" s="6">
        <f t="shared" si="1206"/>
        <v>0</v>
      </c>
      <c r="Y7814" s="13">
        <f t="shared" si="1208"/>
        <v>0</v>
      </c>
      <c r="Z7814" s="14">
        <v>0</v>
      </c>
      <c r="AA7814" s="6">
        <v>0</v>
      </c>
      <c r="AB7814" s="4">
        <f t="shared" si="1209"/>
        <v>0</v>
      </c>
      <c r="AC7814" s="6">
        <f t="shared" si="1207"/>
        <v>0</v>
      </c>
      <c r="AD7814" s="6">
        <f t="shared" si="1203"/>
        <v>0</v>
      </c>
      <c r="AE7814" s="14">
        <f>VLOOKUP(I7814,[2]媒体政策预估表!A:N,MATCH(O7814,[2]媒体政策预估表!$A$2:$M$2,0),0)</f>
        <v>7.0000000000000007E-2</v>
      </c>
      <c r="AF7814" s="6">
        <f t="shared" si="1205"/>
        <v>0</v>
      </c>
      <c r="AG7814" s="14">
        <v>0</v>
      </c>
      <c r="AH7814" s="64">
        <f t="shared" si="1204"/>
        <v>0</v>
      </c>
      <c r="AJ7814" s="126" t="e">
        <v>#N/A</v>
      </c>
      <c r="AK7814" s="80">
        <f t="shared" si="1210"/>
        <v>0</v>
      </c>
      <c r="AL7814" s="85"/>
      <c r="AM7814" s="85"/>
    </row>
    <row r="7815" spans="1:39" s="86" customFormat="1" ht="13.25" hidden="1" customHeight="1" x14ac:dyDescent="0.3">
      <c r="A7815" s="89" t="s">
        <v>3978</v>
      </c>
      <c r="B7815" s="86" t="s">
        <v>35</v>
      </c>
      <c r="C7815" s="86" t="s">
        <v>164</v>
      </c>
      <c r="D7815" s="86" t="s">
        <v>169</v>
      </c>
      <c r="E7815" s="86" t="s">
        <v>1954</v>
      </c>
      <c r="F7815" s="86" t="s">
        <v>1954</v>
      </c>
      <c r="G7815" s="86" t="s">
        <v>1954</v>
      </c>
      <c r="H7815" s="143">
        <v>360</v>
      </c>
      <c r="I7815" s="86" t="s">
        <v>1060</v>
      </c>
      <c r="J7815" s="47" t="s">
        <v>3325</v>
      </c>
      <c r="K7815" s="47" t="s">
        <v>3767</v>
      </c>
      <c r="L7815" s="47" t="s">
        <v>35</v>
      </c>
      <c r="M7815" s="86" t="s">
        <v>1954</v>
      </c>
      <c r="O7815" s="47" t="s">
        <v>45</v>
      </c>
      <c r="P7815" s="14" t="s">
        <v>46</v>
      </c>
      <c r="Q7815" s="14">
        <v>0.02</v>
      </c>
      <c r="R7815" s="143" t="s">
        <v>1956</v>
      </c>
      <c r="S7815" s="47"/>
      <c r="T7815" s="6">
        <v>95600</v>
      </c>
      <c r="U7815" s="6"/>
      <c r="V7815" s="6">
        <v>0</v>
      </c>
      <c r="W7815" s="6">
        <f t="shared" si="1202"/>
        <v>95600</v>
      </c>
      <c r="X7815" s="6">
        <f t="shared" si="1206"/>
        <v>0</v>
      </c>
      <c r="Y7815" s="13">
        <f t="shared" si="1208"/>
        <v>0</v>
      </c>
      <c r="Z7815" s="14">
        <v>0</v>
      </c>
      <c r="AA7815" s="6">
        <v>0</v>
      </c>
      <c r="AB7815" s="4">
        <f t="shared" si="1209"/>
        <v>0</v>
      </c>
      <c r="AC7815" s="6">
        <f t="shared" si="1207"/>
        <v>0</v>
      </c>
      <c r="AD7815" s="6">
        <f t="shared" si="1203"/>
        <v>0</v>
      </c>
      <c r="AE7815" s="14">
        <f>VLOOKUP(I7815,[2]媒体政策预估表!A:N,MATCH(O7815,[2]媒体政策预估表!$A$2:$M$2,0),0)</f>
        <v>0.1</v>
      </c>
      <c r="AF7815" s="6">
        <f t="shared" si="1205"/>
        <v>0</v>
      </c>
      <c r="AG7815" s="14">
        <v>0</v>
      </c>
      <c r="AH7815" s="64">
        <f t="shared" si="1204"/>
        <v>0</v>
      </c>
      <c r="AJ7815" s="126" t="e">
        <v>#N/A</v>
      </c>
      <c r="AK7815" s="80">
        <f t="shared" si="1210"/>
        <v>0</v>
      </c>
      <c r="AL7815" s="85"/>
      <c r="AM7815" s="85"/>
    </row>
    <row r="7816" spans="1:39" s="86" customFormat="1" ht="13.25" hidden="1" customHeight="1" x14ac:dyDescent="0.3">
      <c r="A7816" s="89" t="s">
        <v>3792</v>
      </c>
      <c r="B7816" s="86" t="s">
        <v>35</v>
      </c>
      <c r="C7816" s="86" t="s">
        <v>164</v>
      </c>
      <c r="D7816" s="86" t="s">
        <v>169</v>
      </c>
      <c r="E7816" s="86" t="s">
        <v>1954</v>
      </c>
      <c r="F7816" s="86" t="s">
        <v>1954</v>
      </c>
      <c r="G7816" s="86" t="s">
        <v>1954</v>
      </c>
      <c r="H7816" s="143">
        <v>360</v>
      </c>
      <c r="I7816" s="86" t="s">
        <v>1060</v>
      </c>
      <c r="J7816" s="47" t="s">
        <v>3325</v>
      </c>
      <c r="K7816" s="47" t="s">
        <v>3767</v>
      </c>
      <c r="L7816" s="47" t="s">
        <v>35</v>
      </c>
      <c r="M7816" s="86" t="s">
        <v>1954</v>
      </c>
      <c r="O7816" s="47" t="s">
        <v>941</v>
      </c>
      <c r="P7816" s="14" t="s">
        <v>46</v>
      </c>
      <c r="Q7816" s="14">
        <v>0.02</v>
      </c>
      <c r="R7816" s="143" t="s">
        <v>1955</v>
      </c>
      <c r="S7816" s="47"/>
      <c r="T7816" s="6">
        <v>-594818.11</v>
      </c>
      <c r="U7816" s="6"/>
      <c r="V7816" s="6">
        <v>0</v>
      </c>
      <c r="W7816" s="6">
        <f t="shared" si="1202"/>
        <v>-594818.11</v>
      </c>
      <c r="X7816" s="6">
        <f t="shared" si="1206"/>
        <v>0</v>
      </c>
      <c r="Y7816" s="13">
        <f t="shared" si="1208"/>
        <v>0</v>
      </c>
      <c r="Z7816" s="14">
        <v>0</v>
      </c>
      <c r="AA7816" s="6">
        <v>0</v>
      </c>
      <c r="AB7816" s="4">
        <f t="shared" si="1209"/>
        <v>0</v>
      </c>
      <c r="AC7816" s="6">
        <f t="shared" si="1207"/>
        <v>0</v>
      </c>
      <c r="AD7816" s="6">
        <f t="shared" si="1203"/>
        <v>0</v>
      </c>
      <c r="AE7816" s="14">
        <f>VLOOKUP(I7816,[2]媒体政策预估表!A:N,MATCH(O7816,[2]媒体政策预估表!$A$2:$M$2,0),0)</f>
        <v>0.15</v>
      </c>
      <c r="AF7816" s="6">
        <f t="shared" si="1205"/>
        <v>0</v>
      </c>
      <c r="AG7816" s="14">
        <v>0</v>
      </c>
      <c r="AH7816" s="64">
        <f t="shared" si="1204"/>
        <v>0</v>
      </c>
      <c r="AJ7816" s="126" t="e">
        <v>#N/A</v>
      </c>
      <c r="AK7816" s="80">
        <f t="shared" si="1210"/>
        <v>0</v>
      </c>
      <c r="AL7816" s="85"/>
      <c r="AM7816" s="85"/>
    </row>
    <row r="7817" spans="1:39" s="86" customFormat="1" ht="13.25" hidden="1" customHeight="1" x14ac:dyDescent="0.3">
      <c r="A7817" s="89" t="s">
        <v>3978</v>
      </c>
      <c r="B7817" s="86" t="s">
        <v>35</v>
      </c>
      <c r="C7817" s="86" t="s">
        <v>164</v>
      </c>
      <c r="D7817" s="86" t="s">
        <v>169</v>
      </c>
      <c r="E7817" s="86" t="s">
        <v>2253</v>
      </c>
      <c r="F7817" s="86" t="s">
        <v>2253</v>
      </c>
      <c r="G7817" s="86" t="s">
        <v>2253</v>
      </c>
      <c r="H7817" s="143">
        <v>360</v>
      </c>
      <c r="I7817" s="86" t="s">
        <v>1060</v>
      </c>
      <c r="J7817" s="47" t="s">
        <v>3325</v>
      </c>
      <c r="K7817" s="47" t="s">
        <v>3767</v>
      </c>
      <c r="L7817" s="47" t="s">
        <v>35</v>
      </c>
      <c r="M7817" s="86" t="s">
        <v>1996</v>
      </c>
      <c r="O7817" s="47" t="s">
        <v>410</v>
      </c>
      <c r="P7817" s="14" t="s">
        <v>41</v>
      </c>
      <c r="Q7817" s="14">
        <v>0</v>
      </c>
      <c r="R7817" s="143" t="s">
        <v>2254</v>
      </c>
      <c r="S7817" s="47"/>
      <c r="T7817" s="6">
        <v>8603.76</v>
      </c>
      <c r="U7817" s="6"/>
      <c r="V7817" s="6">
        <v>0</v>
      </c>
      <c r="W7817" s="6">
        <f t="shared" si="1202"/>
        <v>8603.76</v>
      </c>
      <c r="X7817" s="6">
        <f t="shared" si="1206"/>
        <v>0</v>
      </c>
      <c r="Y7817" s="13">
        <f t="shared" si="1208"/>
        <v>0</v>
      </c>
      <c r="Z7817" s="14">
        <v>0</v>
      </c>
      <c r="AA7817" s="6">
        <v>0</v>
      </c>
      <c r="AB7817" s="4">
        <f t="shared" si="1209"/>
        <v>0</v>
      </c>
      <c r="AC7817" s="6">
        <f t="shared" si="1207"/>
        <v>0</v>
      </c>
      <c r="AD7817" s="6">
        <f t="shared" si="1203"/>
        <v>0</v>
      </c>
      <c r="AE7817" s="14">
        <f>VLOOKUP(I7817,[2]媒体政策预估表!A:N,MATCH(O7817,[2]媒体政策预估表!$A$2:$M$2,0),0)</f>
        <v>7.0000000000000007E-2</v>
      </c>
      <c r="AF7817" s="6">
        <f t="shared" si="1205"/>
        <v>0</v>
      </c>
      <c r="AG7817" s="14">
        <v>0</v>
      </c>
      <c r="AH7817" s="64">
        <f t="shared" si="1204"/>
        <v>0</v>
      </c>
      <c r="AJ7817" s="126" t="e">
        <v>#N/A</v>
      </c>
      <c r="AK7817" s="80">
        <f t="shared" si="1210"/>
        <v>0</v>
      </c>
      <c r="AL7817" s="85"/>
      <c r="AM7817" s="85"/>
    </row>
    <row r="7818" spans="1:39" s="86" customFormat="1" ht="13.25" hidden="1" customHeight="1" x14ac:dyDescent="0.3">
      <c r="A7818" s="89" t="s">
        <v>3792</v>
      </c>
      <c r="B7818" s="86" t="s">
        <v>35</v>
      </c>
      <c r="C7818" s="86" t="s">
        <v>164</v>
      </c>
      <c r="D7818" s="86" t="s">
        <v>174</v>
      </c>
      <c r="E7818" s="86" t="s">
        <v>2255</v>
      </c>
      <c r="F7818" s="86" t="s">
        <v>2255</v>
      </c>
      <c r="G7818" s="86" t="s">
        <v>2255</v>
      </c>
      <c r="H7818" s="143">
        <v>360</v>
      </c>
      <c r="I7818" s="86" t="s">
        <v>1060</v>
      </c>
      <c r="J7818" s="47" t="s">
        <v>3325</v>
      </c>
      <c r="K7818" s="47" t="s">
        <v>3767</v>
      </c>
      <c r="L7818" s="47" t="s">
        <v>35</v>
      </c>
      <c r="M7818" s="86" t="s">
        <v>2255</v>
      </c>
      <c r="O7818" s="47" t="s">
        <v>45</v>
      </c>
      <c r="P7818" s="14" t="s">
        <v>41</v>
      </c>
      <c r="Q7818" s="14">
        <v>0</v>
      </c>
      <c r="R7818" s="143" t="s">
        <v>2256</v>
      </c>
      <c r="S7818" s="47"/>
      <c r="T7818" s="6">
        <v>9.9500000000007294</v>
      </c>
      <c r="U7818" s="6"/>
      <c r="V7818" s="6">
        <v>0</v>
      </c>
      <c r="W7818" s="6">
        <f t="shared" si="1202"/>
        <v>9.9500000000007294</v>
      </c>
      <c r="X7818" s="6">
        <f t="shared" si="1206"/>
        <v>0</v>
      </c>
      <c r="Y7818" s="13">
        <f t="shared" si="1208"/>
        <v>0</v>
      </c>
      <c r="Z7818" s="14">
        <v>0</v>
      </c>
      <c r="AA7818" s="6">
        <v>0</v>
      </c>
      <c r="AB7818" s="4">
        <f t="shared" si="1209"/>
        <v>0</v>
      </c>
      <c r="AC7818" s="6">
        <f t="shared" si="1207"/>
        <v>0</v>
      </c>
      <c r="AD7818" s="6">
        <f t="shared" si="1203"/>
        <v>0</v>
      </c>
      <c r="AE7818" s="14">
        <f>VLOOKUP(I7818,[2]媒体政策预估表!A:N,MATCH(O7818,[2]媒体政策预估表!$A$2:$M$2,0),0)</f>
        <v>0.1</v>
      </c>
      <c r="AF7818" s="6">
        <f t="shared" si="1205"/>
        <v>0</v>
      </c>
      <c r="AG7818" s="14">
        <v>0</v>
      </c>
      <c r="AH7818" s="64">
        <f t="shared" si="1204"/>
        <v>0</v>
      </c>
      <c r="AJ7818" s="126" t="e">
        <v>#N/A</v>
      </c>
      <c r="AK7818" s="80">
        <f t="shared" si="1210"/>
        <v>0</v>
      </c>
      <c r="AL7818" s="85"/>
      <c r="AM7818" s="85"/>
    </row>
    <row r="7819" spans="1:39" s="86" customFormat="1" ht="13.25" hidden="1" customHeight="1" x14ac:dyDescent="0.3">
      <c r="A7819" s="89" t="s">
        <v>3978</v>
      </c>
      <c r="B7819" s="86" t="s">
        <v>35</v>
      </c>
      <c r="C7819" s="86" t="s">
        <v>164</v>
      </c>
      <c r="D7819" s="86" t="s">
        <v>174</v>
      </c>
      <c r="E7819" s="86" t="s">
        <v>942</v>
      </c>
      <c r="F7819" s="86" t="s">
        <v>942</v>
      </c>
      <c r="G7819" s="86" t="s">
        <v>942</v>
      </c>
      <c r="H7819" s="143">
        <v>360</v>
      </c>
      <c r="I7819" s="86" t="s">
        <v>1060</v>
      </c>
      <c r="J7819" s="47" t="s">
        <v>3325</v>
      </c>
      <c r="K7819" s="47" t="s">
        <v>3767</v>
      </c>
      <c r="L7819" s="47" t="s">
        <v>35</v>
      </c>
      <c r="M7819" s="86" t="s">
        <v>2257</v>
      </c>
      <c r="O7819" s="47" t="s">
        <v>45</v>
      </c>
      <c r="P7819" s="14" t="s">
        <v>46</v>
      </c>
      <c r="Q7819" s="14">
        <v>0.06</v>
      </c>
      <c r="R7819" s="143" t="s">
        <v>2258</v>
      </c>
      <c r="S7819" s="47"/>
      <c r="T7819" s="6">
        <v>5157.2</v>
      </c>
      <c r="U7819" s="6"/>
      <c r="V7819" s="6">
        <v>0</v>
      </c>
      <c r="W7819" s="6">
        <f t="shared" si="1202"/>
        <v>5157.2</v>
      </c>
      <c r="X7819" s="6">
        <f t="shared" si="1206"/>
        <v>0</v>
      </c>
      <c r="Y7819" s="13">
        <f t="shared" si="1208"/>
        <v>0</v>
      </c>
      <c r="Z7819" s="14">
        <v>0</v>
      </c>
      <c r="AA7819" s="6">
        <v>0</v>
      </c>
      <c r="AB7819" s="4">
        <f t="shared" si="1209"/>
        <v>0</v>
      </c>
      <c r="AC7819" s="6">
        <f t="shared" si="1207"/>
        <v>0</v>
      </c>
      <c r="AD7819" s="6">
        <f t="shared" si="1203"/>
        <v>0</v>
      </c>
      <c r="AE7819" s="14">
        <f>VLOOKUP(I7819,[2]媒体政策预估表!A:N,MATCH(O7819,[2]媒体政策预估表!$A$2:$M$2,0),0)</f>
        <v>0.1</v>
      </c>
      <c r="AF7819" s="6">
        <f t="shared" si="1205"/>
        <v>0</v>
      </c>
      <c r="AG7819" s="14">
        <v>0</v>
      </c>
      <c r="AH7819" s="64">
        <f t="shared" si="1204"/>
        <v>0</v>
      </c>
      <c r="AJ7819" s="126" t="e">
        <v>#N/A</v>
      </c>
      <c r="AK7819" s="80">
        <f t="shared" si="1210"/>
        <v>0</v>
      </c>
      <c r="AL7819" s="85"/>
      <c r="AM7819" s="85"/>
    </row>
    <row r="7820" spans="1:39" s="86" customFormat="1" ht="13.25" hidden="1" customHeight="1" x14ac:dyDescent="0.3">
      <c r="A7820" s="89" t="s">
        <v>3792</v>
      </c>
      <c r="B7820" s="86" t="s">
        <v>35</v>
      </c>
      <c r="C7820" s="86" t="s">
        <v>164</v>
      </c>
      <c r="D7820" s="86" t="s">
        <v>174</v>
      </c>
      <c r="E7820" s="86" t="s">
        <v>1617</v>
      </c>
      <c r="F7820" s="86" t="s">
        <v>1617</v>
      </c>
      <c r="G7820" s="86" t="s">
        <v>1617</v>
      </c>
      <c r="H7820" s="143">
        <v>360</v>
      </c>
      <c r="I7820" s="86" t="s">
        <v>1060</v>
      </c>
      <c r="J7820" s="47" t="s">
        <v>3325</v>
      </c>
      <c r="K7820" s="47" t="s">
        <v>3767</v>
      </c>
      <c r="L7820" s="47" t="s">
        <v>35</v>
      </c>
      <c r="M7820" s="86" t="s">
        <v>1617</v>
      </c>
      <c r="O7820" s="47" t="s">
        <v>45</v>
      </c>
      <c r="P7820" s="14" t="s">
        <v>46</v>
      </c>
      <c r="Q7820" s="14">
        <v>0.01</v>
      </c>
      <c r="R7820" s="143" t="s">
        <v>1623</v>
      </c>
      <c r="S7820" s="47"/>
      <c r="T7820" s="6">
        <v>-966783.75237999996</v>
      </c>
      <c r="U7820" s="6"/>
      <c r="V7820" s="6">
        <v>0</v>
      </c>
      <c r="W7820" s="6">
        <f t="shared" si="1202"/>
        <v>-966783.75237999996</v>
      </c>
      <c r="X7820" s="6">
        <f t="shared" si="1206"/>
        <v>0</v>
      </c>
      <c r="Y7820" s="13">
        <f t="shared" si="1208"/>
        <v>0</v>
      </c>
      <c r="Z7820" s="14">
        <v>0</v>
      </c>
      <c r="AA7820" s="6">
        <v>0</v>
      </c>
      <c r="AB7820" s="4">
        <f t="shared" si="1209"/>
        <v>0</v>
      </c>
      <c r="AC7820" s="6">
        <f t="shared" si="1207"/>
        <v>0</v>
      </c>
      <c r="AD7820" s="6">
        <f t="shared" si="1203"/>
        <v>0</v>
      </c>
      <c r="AE7820" s="14">
        <f>VLOOKUP(I7820,[2]媒体政策预估表!A:N,MATCH(O7820,[2]媒体政策预估表!$A$2:$M$2,0),0)</f>
        <v>0.1</v>
      </c>
      <c r="AF7820" s="6">
        <f t="shared" si="1205"/>
        <v>0</v>
      </c>
      <c r="AG7820" s="14">
        <v>0</v>
      </c>
      <c r="AH7820" s="64">
        <f t="shared" si="1204"/>
        <v>0</v>
      </c>
      <c r="AJ7820" s="126" t="e">
        <v>#N/A</v>
      </c>
      <c r="AK7820" s="80">
        <f t="shared" si="1210"/>
        <v>0</v>
      </c>
      <c r="AL7820" s="85"/>
      <c r="AM7820" s="85"/>
    </row>
    <row r="7821" spans="1:39" s="86" customFormat="1" ht="13.25" hidden="1" customHeight="1" x14ac:dyDescent="0.3">
      <c r="A7821" s="89" t="s">
        <v>3978</v>
      </c>
      <c r="B7821" s="86" t="s">
        <v>35</v>
      </c>
      <c r="C7821" s="86" t="s">
        <v>164</v>
      </c>
      <c r="D7821" s="86" t="s">
        <v>174</v>
      </c>
      <c r="E7821" s="86" t="s">
        <v>1617</v>
      </c>
      <c r="F7821" s="86" t="s">
        <v>1617</v>
      </c>
      <c r="G7821" s="86" t="s">
        <v>1617</v>
      </c>
      <c r="H7821" s="144">
        <v>360</v>
      </c>
      <c r="I7821" s="86" t="s">
        <v>1060</v>
      </c>
      <c r="J7821" s="47" t="s">
        <v>3325</v>
      </c>
      <c r="K7821" s="47" t="s">
        <v>3767</v>
      </c>
      <c r="L7821" s="47" t="s">
        <v>35</v>
      </c>
      <c r="M7821" s="86" t="s">
        <v>1617</v>
      </c>
      <c r="O7821" s="47" t="s">
        <v>941</v>
      </c>
      <c r="P7821" s="14" t="s">
        <v>46</v>
      </c>
      <c r="Q7821" s="14">
        <v>0.01</v>
      </c>
      <c r="R7821" s="143" t="s">
        <v>1623</v>
      </c>
      <c r="S7821" s="47"/>
      <c r="T7821" s="6">
        <v>-810107.99475999991</v>
      </c>
      <c r="U7821" s="6"/>
      <c r="V7821" s="6">
        <v>4917.9780600000004</v>
      </c>
      <c r="W7821" s="6">
        <f t="shared" si="1202"/>
        <v>-815025.97281999991</v>
      </c>
      <c r="X7821" s="6">
        <f t="shared" si="1206"/>
        <v>4869.2852079207923</v>
      </c>
      <c r="Y7821" s="13">
        <f t="shared" si="1208"/>
        <v>0</v>
      </c>
      <c r="Z7821" s="14">
        <v>0</v>
      </c>
      <c r="AA7821" s="6">
        <v>0</v>
      </c>
      <c r="AB7821" s="4">
        <f t="shared" si="1209"/>
        <v>4869.2852079207923</v>
      </c>
      <c r="AC7821" s="6">
        <f t="shared" si="1207"/>
        <v>48.692852079208023</v>
      </c>
      <c r="AD7821" s="6">
        <f t="shared" si="1203"/>
        <v>4917.9780600000004</v>
      </c>
      <c r="AE7821" s="14">
        <f>VLOOKUP(I7821,[2]媒体政策预估表!A:N,MATCH(O7821,[2]媒体政策预估表!$A$2:$M$2,0),0)</f>
        <v>0.15</v>
      </c>
      <c r="AF7821" s="6">
        <f t="shared" si="1205"/>
        <v>737.69670900000006</v>
      </c>
      <c r="AG7821" s="14">
        <v>0</v>
      </c>
      <c r="AH7821" s="64">
        <f t="shared" si="1204"/>
        <v>4917.9780600000004</v>
      </c>
      <c r="AJ7821" s="126" t="e">
        <v>#N/A</v>
      </c>
      <c r="AK7821" s="80">
        <f t="shared" si="1210"/>
        <v>0</v>
      </c>
      <c r="AL7821" s="85"/>
      <c r="AM7821" s="85"/>
    </row>
    <row r="7822" spans="1:39" s="86" customFormat="1" ht="13.25" hidden="1" customHeight="1" x14ac:dyDescent="0.3">
      <c r="A7822" s="89" t="s">
        <v>3792</v>
      </c>
      <c r="B7822" s="86" t="s">
        <v>35</v>
      </c>
      <c r="C7822" s="86" t="s">
        <v>164</v>
      </c>
      <c r="D7822" s="86" t="s">
        <v>174</v>
      </c>
      <c r="E7822" s="86" t="s">
        <v>1617</v>
      </c>
      <c r="F7822" s="86" t="s">
        <v>1617</v>
      </c>
      <c r="G7822" s="86" t="s">
        <v>1617</v>
      </c>
      <c r="H7822" s="144">
        <v>360</v>
      </c>
      <c r="I7822" s="86" t="s">
        <v>1060</v>
      </c>
      <c r="J7822" s="47" t="s">
        <v>3325</v>
      </c>
      <c r="K7822" s="47" t="s">
        <v>3767</v>
      </c>
      <c r="L7822" s="47" t="s">
        <v>35</v>
      </c>
      <c r="M7822" s="86" t="s">
        <v>1617</v>
      </c>
      <c r="O7822" s="47" t="s">
        <v>941</v>
      </c>
      <c r="P7822" s="14" t="s">
        <v>46</v>
      </c>
      <c r="Q7822" s="14">
        <v>0.01</v>
      </c>
      <c r="R7822" s="143" t="s">
        <v>1618</v>
      </c>
      <c r="S7822" s="47"/>
      <c r="T7822" s="6">
        <v>-110034.21193999999</v>
      </c>
      <c r="U7822" s="6"/>
      <c r="V7822" s="6">
        <v>8599.6502999999993</v>
      </c>
      <c r="W7822" s="6">
        <f t="shared" si="1202"/>
        <v>-118633.86223999999</v>
      </c>
      <c r="X7822" s="6">
        <f t="shared" si="1206"/>
        <v>8514.5052475247521</v>
      </c>
      <c r="Y7822" s="13">
        <f t="shared" si="1208"/>
        <v>0</v>
      </c>
      <c r="Z7822" s="14">
        <v>0</v>
      </c>
      <c r="AA7822" s="6">
        <v>0</v>
      </c>
      <c r="AB7822" s="4">
        <f t="shared" si="1209"/>
        <v>8514.5052475247521</v>
      </c>
      <c r="AC7822" s="6">
        <f t="shared" si="1207"/>
        <v>85.145052475247212</v>
      </c>
      <c r="AD7822" s="6">
        <f t="shared" si="1203"/>
        <v>8599.6502999999993</v>
      </c>
      <c r="AE7822" s="14">
        <f>VLOOKUP(I7822,[2]媒体政策预估表!A:N,MATCH(O7822,[2]媒体政策预估表!$A$2:$M$2,0),0)</f>
        <v>0.15</v>
      </c>
      <c r="AF7822" s="6">
        <f t="shared" si="1205"/>
        <v>1289.9475449999998</v>
      </c>
      <c r="AG7822" s="14">
        <v>0</v>
      </c>
      <c r="AH7822" s="64">
        <f t="shared" si="1204"/>
        <v>8599.6502999999993</v>
      </c>
      <c r="AJ7822" s="126" t="e">
        <v>#N/A</v>
      </c>
      <c r="AK7822" s="80">
        <f t="shared" si="1210"/>
        <v>0</v>
      </c>
      <c r="AL7822" s="85"/>
      <c r="AM7822" s="85"/>
    </row>
    <row r="7823" spans="1:39" s="86" customFormat="1" ht="13.25" hidden="1" customHeight="1" x14ac:dyDescent="0.3">
      <c r="A7823" s="89" t="s">
        <v>3978</v>
      </c>
      <c r="B7823" s="86" t="s">
        <v>35</v>
      </c>
      <c r="C7823" s="86" t="s">
        <v>164</v>
      </c>
      <c r="D7823" s="86" t="s">
        <v>174</v>
      </c>
      <c r="E7823" s="86" t="s">
        <v>1617</v>
      </c>
      <c r="F7823" s="86" t="s">
        <v>1617</v>
      </c>
      <c r="G7823" s="86" t="s">
        <v>1617</v>
      </c>
      <c r="H7823" s="143">
        <v>360</v>
      </c>
      <c r="I7823" s="86" t="s">
        <v>1060</v>
      </c>
      <c r="J7823" s="47" t="s">
        <v>3325</v>
      </c>
      <c r="K7823" s="47" t="s">
        <v>3767</v>
      </c>
      <c r="L7823" s="47" t="s">
        <v>35</v>
      </c>
      <c r="M7823" s="86" t="s">
        <v>1617</v>
      </c>
      <c r="O7823" s="47" t="s">
        <v>2054</v>
      </c>
      <c r="P7823" s="14" t="s">
        <v>46</v>
      </c>
      <c r="Q7823" s="14">
        <v>0.01</v>
      </c>
      <c r="R7823" s="143" t="s">
        <v>1623</v>
      </c>
      <c r="S7823" s="47"/>
      <c r="T7823" s="6">
        <v>-7162.6865100000014</v>
      </c>
      <c r="U7823" s="6"/>
      <c r="V7823" s="6">
        <v>0</v>
      </c>
      <c r="W7823" s="6">
        <f t="shared" si="1202"/>
        <v>-7162.6865100000014</v>
      </c>
      <c r="X7823" s="6">
        <f t="shared" si="1206"/>
        <v>0</v>
      </c>
      <c r="Y7823" s="13">
        <f t="shared" si="1208"/>
        <v>0</v>
      </c>
      <c r="Z7823" s="14">
        <v>0</v>
      </c>
      <c r="AA7823" s="6">
        <v>0</v>
      </c>
      <c r="AB7823" s="4">
        <f t="shared" si="1209"/>
        <v>0</v>
      </c>
      <c r="AC7823" s="6">
        <f t="shared" si="1207"/>
        <v>0</v>
      </c>
      <c r="AD7823" s="6">
        <f t="shared" si="1203"/>
        <v>0</v>
      </c>
      <c r="AE7823" s="14">
        <f>VLOOKUP(I7823,[2]媒体政策预估表!A:N,MATCH(O7823,[2]媒体政策预估表!$A$2:$M$2,0),0)</f>
        <v>0.1</v>
      </c>
      <c r="AF7823" s="6">
        <f t="shared" si="1205"/>
        <v>0</v>
      </c>
      <c r="AG7823" s="14">
        <v>0</v>
      </c>
      <c r="AH7823" s="64">
        <f t="shared" si="1204"/>
        <v>0</v>
      </c>
      <c r="AJ7823" s="126" t="e">
        <v>#N/A</v>
      </c>
      <c r="AK7823" s="80">
        <f t="shared" si="1210"/>
        <v>0</v>
      </c>
      <c r="AL7823" s="85"/>
      <c r="AM7823" s="85"/>
    </row>
    <row r="7824" spans="1:39" s="86" customFormat="1" ht="13.25" hidden="1" customHeight="1" x14ac:dyDescent="0.3">
      <c r="A7824" s="89" t="s">
        <v>3978</v>
      </c>
      <c r="B7824" s="86" t="s">
        <v>35</v>
      </c>
      <c r="C7824" s="86" t="s">
        <v>164</v>
      </c>
      <c r="D7824" s="86" t="s">
        <v>174</v>
      </c>
      <c r="E7824" s="86" t="s">
        <v>1617</v>
      </c>
      <c r="F7824" s="86" t="s">
        <v>1617</v>
      </c>
      <c r="G7824" s="86" t="s">
        <v>1617</v>
      </c>
      <c r="H7824" s="144">
        <v>360</v>
      </c>
      <c r="I7824" s="86" t="s">
        <v>1060</v>
      </c>
      <c r="J7824" s="47" t="s">
        <v>3325</v>
      </c>
      <c r="K7824" s="47" t="s">
        <v>3767</v>
      </c>
      <c r="L7824" s="47" t="s">
        <v>35</v>
      </c>
      <c r="M7824" s="86" t="s">
        <v>1617</v>
      </c>
      <c r="O7824" s="47" t="s">
        <v>2054</v>
      </c>
      <c r="P7824" s="14" t="s">
        <v>46</v>
      </c>
      <c r="Q7824" s="14">
        <v>0.01</v>
      </c>
      <c r="R7824" s="143" t="s">
        <v>1618</v>
      </c>
      <c r="S7824" s="47"/>
      <c r="T7824" s="6">
        <v>-119740.51635999999</v>
      </c>
      <c r="U7824" s="6"/>
      <c r="V7824" s="6">
        <v>6288.9227199999996</v>
      </c>
      <c r="W7824" s="6">
        <f t="shared" si="1202"/>
        <v>-126029.43908</v>
      </c>
      <c r="X7824" s="6">
        <f t="shared" si="1206"/>
        <v>6226.6561584158408</v>
      </c>
      <c r="Y7824" s="13">
        <f t="shared" si="1208"/>
        <v>0</v>
      </c>
      <c r="Z7824" s="14">
        <v>0</v>
      </c>
      <c r="AA7824" s="6">
        <v>0</v>
      </c>
      <c r="AB7824" s="4">
        <f t="shared" si="1209"/>
        <v>6226.6561584158408</v>
      </c>
      <c r="AC7824" s="6">
        <f t="shared" si="1207"/>
        <v>62.266561584158808</v>
      </c>
      <c r="AD7824" s="6">
        <f t="shared" si="1203"/>
        <v>6288.9227199999996</v>
      </c>
      <c r="AE7824" s="14">
        <f>VLOOKUP(I7824,[2]媒体政策预估表!A:N,MATCH(O7824,[2]媒体政策预估表!$A$2:$M$2,0),0)</f>
        <v>0.1</v>
      </c>
      <c r="AF7824" s="6">
        <f t="shared" si="1205"/>
        <v>628.89227200000005</v>
      </c>
      <c r="AG7824" s="14">
        <v>0</v>
      </c>
      <c r="AH7824" s="64">
        <f t="shared" si="1204"/>
        <v>6288.9227199999996</v>
      </c>
      <c r="AJ7824" s="126" t="e">
        <v>#N/A</v>
      </c>
      <c r="AK7824" s="80">
        <f t="shared" si="1210"/>
        <v>0</v>
      </c>
      <c r="AL7824" s="85"/>
      <c r="AM7824" s="85"/>
    </row>
    <row r="7825" spans="1:39" s="86" customFormat="1" ht="13.25" hidden="1" customHeight="1" x14ac:dyDescent="0.3">
      <c r="A7825" s="89" t="s">
        <v>3978</v>
      </c>
      <c r="B7825" s="86" t="s">
        <v>35</v>
      </c>
      <c r="C7825" s="86" t="s">
        <v>164</v>
      </c>
      <c r="D7825" s="86" t="s">
        <v>174</v>
      </c>
      <c r="E7825" s="86" t="s">
        <v>1617</v>
      </c>
      <c r="F7825" s="86" t="s">
        <v>1617</v>
      </c>
      <c r="G7825" s="86" t="s">
        <v>1617</v>
      </c>
      <c r="H7825" s="144">
        <v>360</v>
      </c>
      <c r="I7825" s="86" t="s">
        <v>1060</v>
      </c>
      <c r="J7825" s="47" t="s">
        <v>3325</v>
      </c>
      <c r="K7825" s="47" t="s">
        <v>3767</v>
      </c>
      <c r="L7825" s="47" t="s">
        <v>35</v>
      </c>
      <c r="M7825" s="86" t="s">
        <v>1617</v>
      </c>
      <c r="O7825" s="47" t="s">
        <v>2054</v>
      </c>
      <c r="P7825" s="14" t="s">
        <v>46</v>
      </c>
      <c r="Q7825" s="14">
        <v>0.01</v>
      </c>
      <c r="R7825" s="143" t="s">
        <v>1619</v>
      </c>
      <c r="S7825" s="47"/>
      <c r="T7825" s="6">
        <v>-631397.36988000001</v>
      </c>
      <c r="U7825" s="6"/>
      <c r="V7825" s="6">
        <v>50857.045059999997</v>
      </c>
      <c r="W7825" s="6">
        <f t="shared" si="1202"/>
        <v>-682254.41494000005</v>
      </c>
      <c r="X7825" s="6">
        <f t="shared" si="1206"/>
        <v>50353.509960396033</v>
      </c>
      <c r="Y7825" s="13">
        <f t="shared" si="1208"/>
        <v>0</v>
      </c>
      <c r="Z7825" s="14">
        <v>0</v>
      </c>
      <c r="AA7825" s="6">
        <v>0</v>
      </c>
      <c r="AB7825" s="4">
        <f t="shared" si="1209"/>
        <v>50353.509960396033</v>
      </c>
      <c r="AC7825" s="6">
        <f t="shared" si="1207"/>
        <v>503.53509960396332</v>
      </c>
      <c r="AD7825" s="6">
        <f t="shared" si="1203"/>
        <v>50857.045059999997</v>
      </c>
      <c r="AE7825" s="14">
        <f>VLOOKUP(I7825,[2]媒体政策预估表!A:N,MATCH(O7825,[2]媒体政策预估表!$A$2:$M$2,0),0)</f>
        <v>0.1</v>
      </c>
      <c r="AF7825" s="6">
        <f t="shared" si="1205"/>
        <v>5085.704506</v>
      </c>
      <c r="AG7825" s="14">
        <v>0</v>
      </c>
      <c r="AH7825" s="64">
        <f t="shared" si="1204"/>
        <v>50857.045059999997</v>
      </c>
      <c r="AJ7825" s="126" t="e">
        <v>#N/A</v>
      </c>
      <c r="AK7825" s="80">
        <f t="shared" si="1210"/>
        <v>0</v>
      </c>
      <c r="AL7825" s="85"/>
      <c r="AM7825" s="85"/>
    </row>
    <row r="7826" spans="1:39" s="86" customFormat="1" ht="13.25" hidden="1" customHeight="1" x14ac:dyDescent="0.3">
      <c r="A7826" s="89" t="s">
        <v>3978</v>
      </c>
      <c r="B7826" s="86" t="s">
        <v>35</v>
      </c>
      <c r="C7826" s="86" t="s">
        <v>164</v>
      </c>
      <c r="D7826" s="86" t="s">
        <v>174</v>
      </c>
      <c r="E7826" s="86" t="s">
        <v>726</v>
      </c>
      <c r="F7826" s="86" t="s">
        <v>726</v>
      </c>
      <c r="G7826" s="86" t="s">
        <v>726</v>
      </c>
      <c r="H7826" s="143">
        <v>360</v>
      </c>
      <c r="I7826" s="86" t="s">
        <v>1060</v>
      </c>
      <c r="J7826" s="47" t="s">
        <v>3325</v>
      </c>
      <c r="K7826" s="47" t="s">
        <v>3767</v>
      </c>
      <c r="L7826" s="47" t="s">
        <v>35</v>
      </c>
      <c r="M7826" s="86" t="s">
        <v>726</v>
      </c>
      <c r="O7826" s="47" t="s">
        <v>45</v>
      </c>
      <c r="P7826" s="14" t="s">
        <v>46</v>
      </c>
      <c r="Q7826" s="14">
        <v>0.02</v>
      </c>
      <c r="R7826" s="143" t="s">
        <v>2259</v>
      </c>
      <c r="S7826" s="47"/>
      <c r="T7826" s="6">
        <v>0.16000000000349199</v>
      </c>
      <c r="U7826" s="6"/>
      <c r="V7826" s="6">
        <v>0</v>
      </c>
      <c r="W7826" s="6">
        <f t="shared" si="1202"/>
        <v>0.16000000000349199</v>
      </c>
      <c r="X7826" s="6">
        <f t="shared" si="1206"/>
        <v>0</v>
      </c>
      <c r="Y7826" s="13">
        <f t="shared" si="1208"/>
        <v>0</v>
      </c>
      <c r="Z7826" s="14">
        <v>0</v>
      </c>
      <c r="AA7826" s="6">
        <v>0</v>
      </c>
      <c r="AB7826" s="4">
        <f t="shared" si="1209"/>
        <v>0</v>
      </c>
      <c r="AC7826" s="6">
        <f t="shared" si="1207"/>
        <v>0</v>
      </c>
      <c r="AD7826" s="6">
        <f t="shared" si="1203"/>
        <v>0</v>
      </c>
      <c r="AE7826" s="14">
        <f>VLOOKUP(I7826,[2]媒体政策预估表!A:N,MATCH(O7826,[2]媒体政策预估表!$A$2:$M$2,0),0)</f>
        <v>0.1</v>
      </c>
      <c r="AF7826" s="6">
        <f t="shared" si="1205"/>
        <v>0</v>
      </c>
      <c r="AG7826" s="14">
        <v>0</v>
      </c>
      <c r="AH7826" s="64">
        <f t="shared" si="1204"/>
        <v>0</v>
      </c>
      <c r="AJ7826" s="126" t="s">
        <v>4220</v>
      </c>
      <c r="AK7826" s="80">
        <f t="shared" si="1210"/>
        <v>0</v>
      </c>
      <c r="AL7826" s="150"/>
      <c r="AM7826" s="85"/>
    </row>
    <row r="7827" spans="1:39" s="86" customFormat="1" ht="13.25" hidden="1" customHeight="1" x14ac:dyDescent="0.3">
      <c r="A7827" s="89" t="s">
        <v>3978</v>
      </c>
      <c r="B7827" s="86" t="s">
        <v>35</v>
      </c>
      <c r="C7827" s="86" t="s">
        <v>164</v>
      </c>
      <c r="D7827" s="86" t="s">
        <v>174</v>
      </c>
      <c r="E7827" s="86" t="s">
        <v>2260</v>
      </c>
      <c r="F7827" s="86" t="s">
        <v>2260</v>
      </c>
      <c r="G7827" s="86" t="s">
        <v>2260</v>
      </c>
      <c r="H7827" s="143">
        <v>360</v>
      </c>
      <c r="I7827" s="86" t="s">
        <v>1060</v>
      </c>
      <c r="J7827" s="47" t="s">
        <v>3325</v>
      </c>
      <c r="K7827" s="47" t="s">
        <v>3767</v>
      </c>
      <c r="L7827" s="47" t="s">
        <v>35</v>
      </c>
      <c r="M7827" s="86" t="s">
        <v>2261</v>
      </c>
      <c r="O7827" s="47" t="s">
        <v>410</v>
      </c>
      <c r="P7827" s="14" t="s">
        <v>46</v>
      </c>
      <c r="Q7827" s="14">
        <v>0.02</v>
      </c>
      <c r="R7827" s="143" t="s">
        <v>2262</v>
      </c>
      <c r="S7827" s="47"/>
      <c r="T7827" s="6">
        <v>1.2799999999988401</v>
      </c>
      <c r="U7827" s="6"/>
      <c r="V7827" s="6">
        <v>0</v>
      </c>
      <c r="W7827" s="6">
        <f t="shared" si="1202"/>
        <v>1.2799999999988401</v>
      </c>
      <c r="X7827" s="6">
        <f t="shared" si="1206"/>
        <v>0</v>
      </c>
      <c r="Y7827" s="13">
        <f t="shared" si="1208"/>
        <v>0</v>
      </c>
      <c r="Z7827" s="14">
        <v>0</v>
      </c>
      <c r="AA7827" s="6">
        <v>0</v>
      </c>
      <c r="AB7827" s="4"/>
      <c r="AC7827" s="6">
        <f t="shared" si="1207"/>
        <v>0</v>
      </c>
      <c r="AD7827" s="6">
        <f t="shared" si="1203"/>
        <v>0</v>
      </c>
      <c r="AE7827" s="14">
        <f>VLOOKUP(I7827,[2]媒体政策预估表!A:N,MATCH(O7827,[2]媒体政策预估表!$A$2:$M$2,0),0)</f>
        <v>7.0000000000000007E-2</v>
      </c>
      <c r="AF7827" s="6">
        <f t="shared" si="1205"/>
        <v>0</v>
      </c>
      <c r="AG7827" s="14">
        <v>0</v>
      </c>
      <c r="AH7827" s="64">
        <f t="shared" si="1204"/>
        <v>0</v>
      </c>
      <c r="AJ7827" s="126">
        <v>60</v>
      </c>
      <c r="AK7827" s="80">
        <f t="shared" si="1210"/>
        <v>0</v>
      </c>
      <c r="AL7827" s="85"/>
      <c r="AM7827" s="85"/>
    </row>
    <row r="7828" spans="1:39" s="86" customFormat="1" ht="13.25" hidden="1" customHeight="1" x14ac:dyDescent="0.3">
      <c r="A7828" s="89" t="s">
        <v>3792</v>
      </c>
      <c r="B7828" s="86" t="s">
        <v>35</v>
      </c>
      <c r="C7828" s="86" t="s">
        <v>164</v>
      </c>
      <c r="D7828" s="86" t="s">
        <v>174</v>
      </c>
      <c r="E7828" s="86" t="s">
        <v>2263</v>
      </c>
      <c r="F7828" s="86" t="s">
        <v>2263</v>
      </c>
      <c r="G7828" s="86" t="s">
        <v>2263</v>
      </c>
      <c r="H7828" s="143">
        <v>360</v>
      </c>
      <c r="I7828" s="86" t="s">
        <v>1060</v>
      </c>
      <c r="J7828" s="47" t="s">
        <v>3325</v>
      </c>
      <c r="K7828" s="47" t="s">
        <v>3767</v>
      </c>
      <c r="L7828" s="47" t="s">
        <v>35</v>
      </c>
      <c r="M7828" s="86" t="s">
        <v>2264</v>
      </c>
      <c r="O7828" s="47" t="s">
        <v>410</v>
      </c>
      <c r="P7828" s="14" t="s">
        <v>46</v>
      </c>
      <c r="Q7828" s="14">
        <v>0.03</v>
      </c>
      <c r="R7828" s="143" t="s">
        <v>2265</v>
      </c>
      <c r="S7828" s="47"/>
      <c r="T7828" s="6">
        <v>489.4</v>
      </c>
      <c r="U7828" s="6"/>
      <c r="V7828" s="6">
        <v>0</v>
      </c>
      <c r="W7828" s="6">
        <f t="shared" si="1202"/>
        <v>489.4</v>
      </c>
      <c r="X7828" s="6">
        <f t="shared" si="1206"/>
        <v>0</v>
      </c>
      <c r="Y7828" s="13">
        <f t="shared" si="1208"/>
        <v>0</v>
      </c>
      <c r="Z7828" s="14">
        <v>0</v>
      </c>
      <c r="AA7828" s="6">
        <v>0</v>
      </c>
      <c r="AB7828" s="4">
        <f t="shared" si="1209"/>
        <v>0</v>
      </c>
      <c r="AC7828" s="6">
        <f t="shared" si="1207"/>
        <v>0</v>
      </c>
      <c r="AD7828" s="6">
        <f t="shared" si="1203"/>
        <v>0</v>
      </c>
      <c r="AE7828" s="14">
        <f>VLOOKUP(I7828,[2]媒体政策预估表!A:N,MATCH(O7828,[2]媒体政策预估表!$A$2:$M$2,0),0)</f>
        <v>7.0000000000000007E-2</v>
      </c>
      <c r="AF7828" s="6">
        <f t="shared" si="1205"/>
        <v>0</v>
      </c>
      <c r="AG7828" s="14">
        <v>0</v>
      </c>
      <c r="AH7828" s="64">
        <f t="shared" si="1204"/>
        <v>0</v>
      </c>
      <c r="AJ7828" s="126" t="e">
        <v>#N/A</v>
      </c>
      <c r="AK7828" s="80">
        <f t="shared" si="1210"/>
        <v>0</v>
      </c>
      <c r="AL7828" s="85"/>
      <c r="AM7828" s="85"/>
    </row>
    <row r="7829" spans="1:39" s="86" customFormat="1" ht="13.25" hidden="1" customHeight="1" x14ac:dyDescent="0.3">
      <c r="A7829" s="89" t="s">
        <v>3978</v>
      </c>
      <c r="B7829" s="86" t="s">
        <v>35</v>
      </c>
      <c r="C7829" s="86" t="s">
        <v>164</v>
      </c>
      <c r="D7829" s="86" t="s">
        <v>174</v>
      </c>
      <c r="E7829" s="86" t="s">
        <v>2266</v>
      </c>
      <c r="F7829" s="86" t="s">
        <v>2266</v>
      </c>
      <c r="G7829" s="86" t="s">
        <v>2266</v>
      </c>
      <c r="H7829" s="143">
        <v>360</v>
      </c>
      <c r="I7829" s="86" t="s">
        <v>1060</v>
      </c>
      <c r="J7829" s="47" t="s">
        <v>3325</v>
      </c>
      <c r="K7829" s="47" t="s">
        <v>3767</v>
      </c>
      <c r="L7829" s="47" t="s">
        <v>35</v>
      </c>
      <c r="M7829" s="86" t="s">
        <v>2267</v>
      </c>
      <c r="O7829" s="47" t="s">
        <v>45</v>
      </c>
      <c r="P7829" s="14" t="s">
        <v>46</v>
      </c>
      <c r="Q7829" s="14">
        <v>0.06</v>
      </c>
      <c r="R7829" s="143" t="s">
        <v>2268</v>
      </c>
      <c r="S7829" s="47"/>
      <c r="T7829" s="6">
        <v>7206.97</v>
      </c>
      <c r="U7829" s="6"/>
      <c r="V7829" s="6">
        <v>0</v>
      </c>
      <c r="W7829" s="6">
        <f t="shared" si="1202"/>
        <v>7206.97</v>
      </c>
      <c r="X7829" s="6">
        <f t="shared" si="1206"/>
        <v>0</v>
      </c>
      <c r="Y7829" s="13">
        <f t="shared" si="1208"/>
        <v>0</v>
      </c>
      <c r="Z7829" s="14">
        <v>0</v>
      </c>
      <c r="AA7829" s="6">
        <v>0</v>
      </c>
      <c r="AB7829" s="4">
        <f t="shared" si="1209"/>
        <v>0</v>
      </c>
      <c r="AC7829" s="6">
        <f t="shared" si="1207"/>
        <v>0</v>
      </c>
      <c r="AD7829" s="6">
        <f t="shared" si="1203"/>
        <v>0</v>
      </c>
      <c r="AE7829" s="14">
        <f>VLOOKUP(I7829,[2]媒体政策预估表!A:N,MATCH(O7829,[2]媒体政策预估表!$A$2:$M$2,0),0)</f>
        <v>0.1</v>
      </c>
      <c r="AF7829" s="6">
        <f t="shared" si="1205"/>
        <v>0</v>
      </c>
      <c r="AG7829" s="14">
        <v>0</v>
      </c>
      <c r="AH7829" s="64">
        <f t="shared" si="1204"/>
        <v>0</v>
      </c>
      <c r="AJ7829" s="126" t="e">
        <v>#N/A</v>
      </c>
      <c r="AK7829" s="80">
        <f t="shared" si="1210"/>
        <v>0</v>
      </c>
      <c r="AL7829" s="85"/>
      <c r="AM7829" s="85"/>
    </row>
    <row r="7830" spans="1:39" s="86" customFormat="1" ht="13.25" hidden="1" customHeight="1" x14ac:dyDescent="0.3">
      <c r="A7830" s="89" t="s">
        <v>3978</v>
      </c>
      <c r="B7830" s="86" t="s">
        <v>35</v>
      </c>
      <c r="C7830" s="86" t="s">
        <v>164</v>
      </c>
      <c r="D7830" s="86" t="s">
        <v>174</v>
      </c>
      <c r="E7830" s="86" t="s">
        <v>2266</v>
      </c>
      <c r="F7830" s="86" t="s">
        <v>2266</v>
      </c>
      <c r="G7830" s="86" t="s">
        <v>2266</v>
      </c>
      <c r="H7830" s="143">
        <v>360</v>
      </c>
      <c r="I7830" s="86" t="s">
        <v>1060</v>
      </c>
      <c r="J7830" s="47" t="s">
        <v>3325</v>
      </c>
      <c r="K7830" s="47" t="s">
        <v>3767</v>
      </c>
      <c r="L7830" s="47" t="s">
        <v>35</v>
      </c>
      <c r="M7830" s="86" t="s">
        <v>2267</v>
      </c>
      <c r="O7830" s="47" t="s">
        <v>410</v>
      </c>
      <c r="P7830" s="14" t="s">
        <v>46</v>
      </c>
      <c r="Q7830" s="14">
        <v>0.02</v>
      </c>
      <c r="R7830" s="143" t="s">
        <v>2268</v>
      </c>
      <c r="S7830" s="47"/>
      <c r="T7830" s="6">
        <v>-6242</v>
      </c>
      <c r="U7830" s="6"/>
      <c r="V7830" s="6">
        <v>0</v>
      </c>
      <c r="W7830" s="6">
        <f t="shared" si="1202"/>
        <v>-6242</v>
      </c>
      <c r="X7830" s="6">
        <f t="shared" si="1206"/>
        <v>0</v>
      </c>
      <c r="Y7830" s="13">
        <f t="shared" si="1208"/>
        <v>0</v>
      </c>
      <c r="Z7830" s="14">
        <v>0</v>
      </c>
      <c r="AA7830" s="6">
        <v>0</v>
      </c>
      <c r="AB7830" s="4">
        <f t="shared" si="1209"/>
        <v>0</v>
      </c>
      <c r="AC7830" s="6">
        <f t="shared" si="1207"/>
        <v>0</v>
      </c>
      <c r="AD7830" s="6">
        <f t="shared" si="1203"/>
        <v>0</v>
      </c>
      <c r="AE7830" s="14">
        <f>VLOOKUP(I7830,[2]媒体政策预估表!A:N,MATCH(O7830,[2]媒体政策预估表!$A$2:$M$2,0),0)</f>
        <v>7.0000000000000007E-2</v>
      </c>
      <c r="AF7830" s="6">
        <f t="shared" si="1205"/>
        <v>0</v>
      </c>
      <c r="AG7830" s="14">
        <v>0</v>
      </c>
      <c r="AH7830" s="64">
        <f t="shared" si="1204"/>
        <v>0</v>
      </c>
      <c r="AJ7830" s="126" t="e">
        <v>#N/A</v>
      </c>
      <c r="AK7830" s="80">
        <f t="shared" si="1210"/>
        <v>0</v>
      </c>
      <c r="AL7830" s="85"/>
      <c r="AM7830" s="85"/>
    </row>
    <row r="7831" spans="1:39" s="86" customFormat="1" ht="13.25" hidden="1" customHeight="1" x14ac:dyDescent="0.3">
      <c r="A7831" s="89" t="s">
        <v>3978</v>
      </c>
      <c r="B7831" s="86" t="s">
        <v>35</v>
      </c>
      <c r="C7831" s="86" t="s">
        <v>164</v>
      </c>
      <c r="D7831" s="86" t="s">
        <v>174</v>
      </c>
      <c r="E7831" s="86" t="s">
        <v>2266</v>
      </c>
      <c r="F7831" s="86" t="s">
        <v>2266</v>
      </c>
      <c r="G7831" s="86" t="s">
        <v>2266</v>
      </c>
      <c r="H7831" s="143">
        <v>360</v>
      </c>
      <c r="I7831" s="86" t="s">
        <v>1060</v>
      </c>
      <c r="J7831" s="47" t="s">
        <v>3325</v>
      </c>
      <c r="K7831" s="47" t="s">
        <v>3767</v>
      </c>
      <c r="L7831" s="47" t="s">
        <v>35</v>
      </c>
      <c r="M7831" s="86" t="s">
        <v>2267</v>
      </c>
      <c r="O7831" s="47" t="s">
        <v>941</v>
      </c>
      <c r="P7831" s="14" t="s">
        <v>46</v>
      </c>
      <c r="Q7831" s="14">
        <v>0.06</v>
      </c>
      <c r="R7831" s="143" t="s">
        <v>2268</v>
      </c>
      <c r="S7831" s="47"/>
      <c r="T7831" s="6">
        <v>-513.77</v>
      </c>
      <c r="U7831" s="6"/>
      <c r="V7831" s="6">
        <v>0</v>
      </c>
      <c r="W7831" s="6">
        <f t="shared" si="1202"/>
        <v>-513.77</v>
      </c>
      <c r="X7831" s="6">
        <f t="shared" si="1206"/>
        <v>0</v>
      </c>
      <c r="Y7831" s="13">
        <f t="shared" si="1208"/>
        <v>0</v>
      </c>
      <c r="Z7831" s="14">
        <v>0</v>
      </c>
      <c r="AA7831" s="6">
        <v>0</v>
      </c>
      <c r="AB7831" s="4">
        <f t="shared" si="1209"/>
        <v>0</v>
      </c>
      <c r="AC7831" s="6">
        <f t="shared" si="1207"/>
        <v>0</v>
      </c>
      <c r="AD7831" s="6">
        <f t="shared" si="1203"/>
        <v>0</v>
      </c>
      <c r="AE7831" s="14">
        <f>VLOOKUP(I7831,[2]媒体政策预估表!A:N,MATCH(O7831,[2]媒体政策预估表!$A$2:$M$2,0),0)</f>
        <v>0.15</v>
      </c>
      <c r="AF7831" s="6">
        <f t="shared" si="1205"/>
        <v>0</v>
      </c>
      <c r="AG7831" s="14">
        <v>0</v>
      </c>
      <c r="AH7831" s="64">
        <f t="shared" si="1204"/>
        <v>0</v>
      </c>
      <c r="AJ7831" s="126" t="e">
        <v>#N/A</v>
      </c>
      <c r="AK7831" s="80">
        <f t="shared" si="1210"/>
        <v>0</v>
      </c>
      <c r="AL7831" s="85"/>
      <c r="AM7831" s="85"/>
    </row>
    <row r="7832" spans="1:39" s="86" customFormat="1" ht="13.25" hidden="1" customHeight="1" x14ac:dyDescent="0.3">
      <c r="A7832" s="89" t="s">
        <v>3978</v>
      </c>
      <c r="B7832" s="86" t="s">
        <v>35</v>
      </c>
      <c r="C7832" s="86" t="s">
        <v>164</v>
      </c>
      <c r="D7832" s="86" t="s">
        <v>174</v>
      </c>
      <c r="E7832" s="86" t="s">
        <v>1742</v>
      </c>
      <c r="F7832" s="86" t="s">
        <v>1742</v>
      </c>
      <c r="G7832" s="86" t="s">
        <v>1742</v>
      </c>
      <c r="H7832" s="143">
        <v>360</v>
      </c>
      <c r="I7832" s="86" t="s">
        <v>1060</v>
      </c>
      <c r="J7832" s="47" t="s">
        <v>3325</v>
      </c>
      <c r="K7832" s="47" t="s">
        <v>3767</v>
      </c>
      <c r="L7832" s="47" t="s">
        <v>35</v>
      </c>
      <c r="M7832" s="86" t="s">
        <v>1742</v>
      </c>
      <c r="O7832" s="47" t="s">
        <v>45</v>
      </c>
      <c r="P7832" s="14" t="s">
        <v>41</v>
      </c>
      <c r="Q7832" s="14">
        <v>0</v>
      </c>
      <c r="R7832" s="143" t="s">
        <v>2269</v>
      </c>
      <c r="S7832" s="47"/>
      <c r="T7832" s="6">
        <v>0.229999999999563</v>
      </c>
      <c r="U7832" s="6"/>
      <c r="V7832" s="6">
        <v>0</v>
      </c>
      <c r="W7832" s="6">
        <f t="shared" si="1202"/>
        <v>0.229999999999563</v>
      </c>
      <c r="X7832" s="6">
        <f t="shared" si="1206"/>
        <v>0</v>
      </c>
      <c r="Y7832" s="13">
        <f t="shared" si="1208"/>
        <v>0</v>
      </c>
      <c r="Z7832" s="14">
        <v>0</v>
      </c>
      <c r="AA7832" s="6">
        <v>0</v>
      </c>
      <c r="AB7832" s="4">
        <f t="shared" si="1209"/>
        <v>0</v>
      </c>
      <c r="AC7832" s="6">
        <f t="shared" si="1207"/>
        <v>0</v>
      </c>
      <c r="AD7832" s="6">
        <f t="shared" si="1203"/>
        <v>0</v>
      </c>
      <c r="AE7832" s="14">
        <f>VLOOKUP(I7832,[2]媒体政策预估表!A:N,MATCH(O7832,[2]媒体政策预估表!$A$2:$M$2,0),0)</f>
        <v>0.1</v>
      </c>
      <c r="AF7832" s="6">
        <f t="shared" si="1205"/>
        <v>0</v>
      </c>
      <c r="AG7832" s="14">
        <v>0</v>
      </c>
      <c r="AH7832" s="64">
        <f t="shared" si="1204"/>
        <v>0</v>
      </c>
      <c r="AJ7832" s="126" t="e">
        <v>#N/A</v>
      </c>
      <c r="AK7832" s="80">
        <f t="shared" si="1210"/>
        <v>0</v>
      </c>
      <c r="AL7832" s="85"/>
      <c r="AM7832" s="85"/>
    </row>
    <row r="7833" spans="1:39" s="86" customFormat="1" ht="13.25" hidden="1" customHeight="1" x14ac:dyDescent="0.3">
      <c r="A7833" s="89" t="s">
        <v>3978</v>
      </c>
      <c r="B7833" s="86" t="s">
        <v>35</v>
      </c>
      <c r="C7833" s="86" t="s">
        <v>164</v>
      </c>
      <c r="D7833" s="86" t="s">
        <v>174</v>
      </c>
      <c r="E7833" s="86" t="s">
        <v>2270</v>
      </c>
      <c r="F7833" s="86" t="s">
        <v>2270</v>
      </c>
      <c r="G7833" s="86" t="s">
        <v>2270</v>
      </c>
      <c r="H7833" s="143">
        <v>360</v>
      </c>
      <c r="I7833" s="86" t="s">
        <v>1060</v>
      </c>
      <c r="J7833" s="47" t="s">
        <v>3325</v>
      </c>
      <c r="K7833" s="47" t="s">
        <v>3767</v>
      </c>
      <c r="L7833" s="47" t="s">
        <v>35</v>
      </c>
      <c r="M7833" s="86" t="s">
        <v>2270</v>
      </c>
      <c r="O7833" s="47" t="s">
        <v>410</v>
      </c>
      <c r="P7833" s="14" t="s">
        <v>41</v>
      </c>
      <c r="Q7833" s="14">
        <v>0</v>
      </c>
      <c r="R7833" s="143" t="s">
        <v>2271</v>
      </c>
      <c r="S7833" s="47"/>
      <c r="T7833" s="6">
        <v>10000</v>
      </c>
      <c r="U7833" s="6"/>
      <c r="V7833" s="6">
        <v>0</v>
      </c>
      <c r="W7833" s="6">
        <f t="shared" ref="W7833:W7896" si="1211">T7833+U7833-V7833</f>
        <v>10000</v>
      </c>
      <c r="X7833" s="6">
        <f t="shared" si="1206"/>
        <v>0</v>
      </c>
      <c r="Y7833" s="13">
        <f t="shared" si="1208"/>
        <v>0</v>
      </c>
      <c r="Z7833" s="14">
        <v>0</v>
      </c>
      <c r="AA7833" s="6">
        <v>0</v>
      </c>
      <c r="AB7833" s="4">
        <f t="shared" si="1209"/>
        <v>0</v>
      </c>
      <c r="AC7833" s="6">
        <f t="shared" si="1207"/>
        <v>0</v>
      </c>
      <c r="AD7833" s="6">
        <f t="shared" ref="AD7833:AD7896" si="1212">V7833</f>
        <v>0</v>
      </c>
      <c r="AE7833" s="14">
        <f>VLOOKUP(I7833,[2]媒体政策预估表!A:N,MATCH(O7833,[2]媒体政策预估表!$A$2:$M$2,0),0)</f>
        <v>7.0000000000000007E-2</v>
      </c>
      <c r="AF7833" s="6">
        <f t="shared" si="1205"/>
        <v>0</v>
      </c>
      <c r="AG7833" s="14">
        <v>0</v>
      </c>
      <c r="AH7833" s="64">
        <f t="shared" ref="AH7833:AH7896" si="1213">V7833</f>
        <v>0</v>
      </c>
      <c r="AJ7833" s="126" t="e">
        <v>#N/A</v>
      </c>
      <c r="AK7833" s="80">
        <f t="shared" si="1210"/>
        <v>0</v>
      </c>
      <c r="AL7833" s="85"/>
      <c r="AM7833" s="85"/>
    </row>
    <row r="7834" spans="1:39" s="86" customFormat="1" ht="13.25" hidden="1" customHeight="1" x14ac:dyDescent="0.3">
      <c r="A7834" s="89" t="s">
        <v>3792</v>
      </c>
      <c r="B7834" s="86" t="s">
        <v>35</v>
      </c>
      <c r="C7834" s="86" t="s">
        <v>164</v>
      </c>
      <c r="D7834" s="86" t="s">
        <v>174</v>
      </c>
      <c r="E7834" s="86" t="s">
        <v>2272</v>
      </c>
      <c r="F7834" s="86" t="s">
        <v>2272</v>
      </c>
      <c r="G7834" s="86" t="s">
        <v>2272</v>
      </c>
      <c r="H7834" s="143">
        <v>360</v>
      </c>
      <c r="I7834" s="86" t="s">
        <v>1060</v>
      </c>
      <c r="J7834" s="47" t="s">
        <v>3325</v>
      </c>
      <c r="K7834" s="47" t="s">
        <v>3767</v>
      </c>
      <c r="L7834" s="47" t="s">
        <v>35</v>
      </c>
      <c r="M7834" s="86" t="s">
        <v>2273</v>
      </c>
      <c r="O7834" s="47" t="s">
        <v>45</v>
      </c>
      <c r="P7834" s="14" t="s">
        <v>46</v>
      </c>
      <c r="Q7834" s="14">
        <v>0.15</v>
      </c>
      <c r="R7834" s="143" t="s">
        <v>2274</v>
      </c>
      <c r="S7834" s="47"/>
      <c r="T7834" s="6">
        <v>12.079999999999927</v>
      </c>
      <c r="U7834" s="6"/>
      <c r="V7834" s="6">
        <v>0</v>
      </c>
      <c r="W7834" s="6">
        <f t="shared" si="1211"/>
        <v>12.079999999999927</v>
      </c>
      <c r="X7834" s="6">
        <f t="shared" si="1206"/>
        <v>0</v>
      </c>
      <c r="Y7834" s="13">
        <f t="shared" si="1208"/>
        <v>0</v>
      </c>
      <c r="Z7834" s="14">
        <v>0</v>
      </c>
      <c r="AA7834" s="6">
        <v>0</v>
      </c>
      <c r="AB7834" s="4">
        <f t="shared" si="1209"/>
        <v>0</v>
      </c>
      <c r="AC7834" s="6">
        <f t="shared" si="1207"/>
        <v>0</v>
      </c>
      <c r="AD7834" s="6">
        <f t="shared" si="1212"/>
        <v>0</v>
      </c>
      <c r="AE7834" s="14">
        <f>VLOOKUP(I7834,[2]媒体政策预估表!A:N,MATCH(O7834,[2]媒体政策预估表!$A$2:$M$2,0),0)</f>
        <v>0.1</v>
      </c>
      <c r="AF7834" s="6">
        <f t="shared" si="1205"/>
        <v>0</v>
      </c>
      <c r="AG7834" s="14">
        <v>0</v>
      </c>
      <c r="AH7834" s="64">
        <f t="shared" si="1213"/>
        <v>0</v>
      </c>
      <c r="AJ7834" s="126" t="e">
        <v>#N/A</v>
      </c>
      <c r="AK7834" s="80">
        <f t="shared" si="1210"/>
        <v>0</v>
      </c>
      <c r="AL7834" s="85"/>
      <c r="AM7834" s="85"/>
    </row>
    <row r="7835" spans="1:39" s="86" customFormat="1" ht="13.25" hidden="1" customHeight="1" x14ac:dyDescent="0.3">
      <c r="A7835" s="89" t="s">
        <v>3978</v>
      </c>
      <c r="B7835" s="86" t="s">
        <v>35</v>
      </c>
      <c r="C7835" s="86" t="s">
        <v>164</v>
      </c>
      <c r="D7835" s="86" t="s">
        <v>174</v>
      </c>
      <c r="E7835" s="86" t="s">
        <v>2275</v>
      </c>
      <c r="F7835" s="86" t="s">
        <v>2276</v>
      </c>
      <c r="G7835" s="86" t="s">
        <v>2275</v>
      </c>
      <c r="H7835" s="143">
        <v>360</v>
      </c>
      <c r="I7835" s="86" t="s">
        <v>1060</v>
      </c>
      <c r="J7835" s="47" t="s">
        <v>3325</v>
      </c>
      <c r="K7835" s="47" t="s">
        <v>3767</v>
      </c>
      <c r="L7835" s="47" t="s">
        <v>35</v>
      </c>
      <c r="M7835" s="86" t="s">
        <v>2277</v>
      </c>
      <c r="O7835" s="47" t="s">
        <v>410</v>
      </c>
      <c r="P7835" s="14" t="s">
        <v>41</v>
      </c>
      <c r="Q7835" s="14">
        <v>0</v>
      </c>
      <c r="R7835" s="143" t="s">
        <v>2278</v>
      </c>
      <c r="S7835" s="47"/>
      <c r="T7835" s="6">
        <v>463.2</v>
      </c>
      <c r="U7835" s="6"/>
      <c r="V7835" s="6">
        <v>0</v>
      </c>
      <c r="W7835" s="6">
        <f t="shared" si="1211"/>
        <v>463.2</v>
      </c>
      <c r="X7835" s="6">
        <f t="shared" si="1206"/>
        <v>0</v>
      </c>
      <c r="Y7835" s="13">
        <f t="shared" si="1208"/>
        <v>0</v>
      </c>
      <c r="Z7835" s="14">
        <v>0</v>
      </c>
      <c r="AA7835" s="6">
        <v>0</v>
      </c>
      <c r="AB7835" s="4">
        <f t="shared" si="1209"/>
        <v>0</v>
      </c>
      <c r="AC7835" s="6">
        <f t="shared" si="1207"/>
        <v>0</v>
      </c>
      <c r="AD7835" s="6">
        <f t="shared" si="1212"/>
        <v>0</v>
      </c>
      <c r="AE7835" s="14">
        <f>VLOOKUP(I7835,[2]媒体政策预估表!A:N,MATCH(O7835,[2]媒体政策预估表!$A$2:$M$2,0),0)</f>
        <v>7.0000000000000007E-2</v>
      </c>
      <c r="AF7835" s="6">
        <f t="shared" si="1205"/>
        <v>0</v>
      </c>
      <c r="AG7835" s="14">
        <v>0</v>
      </c>
      <c r="AH7835" s="64">
        <f t="shared" si="1213"/>
        <v>0</v>
      </c>
      <c r="AJ7835" s="126" t="e">
        <v>#N/A</v>
      </c>
      <c r="AK7835" s="80">
        <f t="shared" si="1210"/>
        <v>0</v>
      </c>
      <c r="AL7835" s="85"/>
      <c r="AM7835" s="85"/>
    </row>
    <row r="7836" spans="1:39" s="86" customFormat="1" ht="13.25" hidden="1" customHeight="1" x14ac:dyDescent="0.3">
      <c r="A7836" s="89" t="s">
        <v>3792</v>
      </c>
      <c r="B7836" s="86" t="s">
        <v>35</v>
      </c>
      <c r="C7836" s="86" t="s">
        <v>164</v>
      </c>
      <c r="D7836" s="86" t="s">
        <v>181</v>
      </c>
      <c r="E7836" s="86" t="s">
        <v>2279</v>
      </c>
      <c r="F7836" s="86" t="s">
        <v>2279</v>
      </c>
      <c r="G7836" s="86" t="s">
        <v>2279</v>
      </c>
      <c r="H7836" s="143">
        <v>360</v>
      </c>
      <c r="I7836" s="86" t="s">
        <v>1060</v>
      </c>
      <c r="J7836" s="47" t="s">
        <v>3325</v>
      </c>
      <c r="K7836" s="47" t="s">
        <v>3767</v>
      </c>
      <c r="L7836" s="47" t="s">
        <v>35</v>
      </c>
      <c r="M7836" s="86" t="s">
        <v>2279</v>
      </c>
      <c r="O7836" s="47" t="s">
        <v>45</v>
      </c>
      <c r="P7836" s="14" t="s">
        <v>46</v>
      </c>
      <c r="Q7836" s="14">
        <v>0.06</v>
      </c>
      <c r="R7836" s="143" t="s">
        <v>2280</v>
      </c>
      <c r="S7836" s="47"/>
      <c r="T7836" s="6">
        <v>84.229999999999606</v>
      </c>
      <c r="U7836" s="6"/>
      <c r="V7836" s="6">
        <v>0</v>
      </c>
      <c r="W7836" s="6">
        <f t="shared" si="1211"/>
        <v>84.229999999999606</v>
      </c>
      <c r="X7836" s="6">
        <f t="shared" si="1206"/>
        <v>0</v>
      </c>
      <c r="Y7836" s="13">
        <f t="shared" si="1208"/>
        <v>0</v>
      </c>
      <c r="Z7836" s="14">
        <v>0</v>
      </c>
      <c r="AA7836" s="6">
        <v>0</v>
      </c>
      <c r="AB7836" s="4">
        <f t="shared" si="1209"/>
        <v>0</v>
      </c>
      <c r="AC7836" s="6">
        <f t="shared" si="1207"/>
        <v>0</v>
      </c>
      <c r="AD7836" s="6">
        <f t="shared" si="1212"/>
        <v>0</v>
      </c>
      <c r="AE7836" s="14">
        <f>VLOOKUP(I7836,[2]媒体政策预估表!A:N,MATCH(O7836,[2]媒体政策预估表!$A$2:$M$2,0),0)</f>
        <v>0.1</v>
      </c>
      <c r="AF7836" s="6">
        <f t="shared" si="1205"/>
        <v>0</v>
      </c>
      <c r="AG7836" s="14">
        <v>0</v>
      </c>
      <c r="AH7836" s="64">
        <f t="shared" si="1213"/>
        <v>0</v>
      </c>
      <c r="AJ7836" s="126" t="e">
        <v>#N/A</v>
      </c>
      <c r="AK7836" s="80">
        <f t="shared" si="1210"/>
        <v>0</v>
      </c>
      <c r="AL7836" s="85"/>
      <c r="AM7836" s="85"/>
    </row>
    <row r="7837" spans="1:39" s="86" customFormat="1" ht="13.25" hidden="1" customHeight="1" x14ac:dyDescent="0.3">
      <c r="A7837" s="89" t="s">
        <v>3978</v>
      </c>
      <c r="B7837" s="86" t="s">
        <v>35</v>
      </c>
      <c r="C7837" s="86" t="s">
        <v>164</v>
      </c>
      <c r="D7837" s="86" t="s">
        <v>181</v>
      </c>
      <c r="E7837" s="86" t="s">
        <v>182</v>
      </c>
      <c r="F7837" s="86" t="s">
        <v>183</v>
      </c>
      <c r="G7837" s="86" t="s">
        <v>182</v>
      </c>
      <c r="H7837" s="143">
        <v>360</v>
      </c>
      <c r="I7837" s="86" t="s">
        <v>1060</v>
      </c>
      <c r="J7837" s="47" t="s">
        <v>3325</v>
      </c>
      <c r="K7837" s="47" t="s">
        <v>3767</v>
      </c>
      <c r="L7837" s="47" t="s">
        <v>35</v>
      </c>
      <c r="M7837" s="86" t="s">
        <v>2017</v>
      </c>
      <c r="O7837" s="47" t="s">
        <v>941</v>
      </c>
      <c r="P7837" s="14" t="s">
        <v>41</v>
      </c>
      <c r="Q7837" s="14">
        <v>0</v>
      </c>
      <c r="R7837" s="143" t="s">
        <v>2018</v>
      </c>
      <c r="S7837" s="47"/>
      <c r="T7837" s="6">
        <v>-77447.75</v>
      </c>
      <c r="U7837" s="6"/>
      <c r="V7837" s="6">
        <v>0</v>
      </c>
      <c r="W7837" s="6">
        <f t="shared" si="1211"/>
        <v>-77447.75</v>
      </c>
      <c r="X7837" s="6">
        <f t="shared" si="1206"/>
        <v>0</v>
      </c>
      <c r="Y7837" s="13">
        <f t="shared" si="1208"/>
        <v>0</v>
      </c>
      <c r="Z7837" s="14">
        <v>0</v>
      </c>
      <c r="AA7837" s="6">
        <v>0</v>
      </c>
      <c r="AB7837" s="4">
        <f t="shared" si="1209"/>
        <v>0</v>
      </c>
      <c r="AC7837" s="6">
        <f t="shared" si="1207"/>
        <v>0</v>
      </c>
      <c r="AD7837" s="6">
        <f t="shared" si="1212"/>
        <v>0</v>
      </c>
      <c r="AE7837" s="14">
        <f>VLOOKUP(I7837,[2]媒体政策预估表!A:N,MATCH(O7837,[2]媒体政策预估表!$A$2:$M$2,0),0)</f>
        <v>0.15</v>
      </c>
      <c r="AF7837" s="6">
        <f t="shared" si="1205"/>
        <v>0</v>
      </c>
      <c r="AG7837" s="14">
        <v>0</v>
      </c>
      <c r="AH7837" s="64">
        <f t="shared" si="1213"/>
        <v>0</v>
      </c>
      <c r="AJ7837" s="126" t="e">
        <v>#N/A</v>
      </c>
      <c r="AK7837" s="80">
        <f t="shared" si="1210"/>
        <v>0</v>
      </c>
      <c r="AL7837" s="85"/>
      <c r="AM7837" s="85"/>
    </row>
    <row r="7838" spans="1:39" s="86" customFormat="1" ht="13.25" hidden="1" customHeight="1" x14ac:dyDescent="0.3">
      <c r="A7838" s="89" t="s">
        <v>3978</v>
      </c>
      <c r="B7838" s="86" t="s">
        <v>35</v>
      </c>
      <c r="C7838" s="86" t="s">
        <v>164</v>
      </c>
      <c r="D7838" s="86" t="s">
        <v>181</v>
      </c>
      <c r="E7838" s="86" t="s">
        <v>182</v>
      </c>
      <c r="F7838" s="86" t="s">
        <v>183</v>
      </c>
      <c r="G7838" s="86" t="s">
        <v>182</v>
      </c>
      <c r="H7838" s="143">
        <v>360</v>
      </c>
      <c r="I7838" s="86" t="s">
        <v>1060</v>
      </c>
      <c r="J7838" s="47" t="s">
        <v>3325</v>
      </c>
      <c r="K7838" s="47" t="s">
        <v>3767</v>
      </c>
      <c r="L7838" s="47" t="s">
        <v>35</v>
      </c>
      <c r="M7838" s="86" t="s">
        <v>2017</v>
      </c>
      <c r="O7838" s="47" t="s">
        <v>2054</v>
      </c>
      <c r="P7838" s="14" t="s">
        <v>41</v>
      </c>
      <c r="Q7838" s="14">
        <v>0</v>
      </c>
      <c r="R7838" s="143" t="s">
        <v>2018</v>
      </c>
      <c r="S7838" s="47"/>
      <c r="T7838" s="6">
        <v>-22392.737779999999</v>
      </c>
      <c r="U7838" s="6"/>
      <c r="V7838" s="6">
        <v>0</v>
      </c>
      <c r="W7838" s="6">
        <f t="shared" si="1211"/>
        <v>-22392.737779999999</v>
      </c>
      <c r="X7838" s="6">
        <f t="shared" si="1206"/>
        <v>0</v>
      </c>
      <c r="Y7838" s="13">
        <f t="shared" si="1208"/>
        <v>0</v>
      </c>
      <c r="Z7838" s="14">
        <v>0</v>
      </c>
      <c r="AA7838" s="6">
        <v>0</v>
      </c>
      <c r="AB7838" s="4">
        <f t="shared" si="1209"/>
        <v>0</v>
      </c>
      <c r="AC7838" s="6">
        <f t="shared" si="1207"/>
        <v>0</v>
      </c>
      <c r="AD7838" s="6">
        <f t="shared" si="1212"/>
        <v>0</v>
      </c>
      <c r="AE7838" s="14">
        <f>VLOOKUP(I7838,[2]媒体政策预估表!A:N,MATCH(O7838,[2]媒体政策预估表!$A$2:$M$2,0),0)</f>
        <v>0.1</v>
      </c>
      <c r="AF7838" s="6">
        <f t="shared" si="1205"/>
        <v>0</v>
      </c>
      <c r="AG7838" s="14">
        <v>0</v>
      </c>
      <c r="AH7838" s="64">
        <f t="shared" si="1213"/>
        <v>0</v>
      </c>
      <c r="AJ7838" s="126" t="e">
        <v>#N/A</v>
      </c>
      <c r="AK7838" s="80">
        <f t="shared" si="1210"/>
        <v>0</v>
      </c>
      <c r="AL7838" s="85"/>
      <c r="AM7838" s="85"/>
    </row>
    <row r="7839" spans="1:39" s="86" customFormat="1" ht="13.25" hidden="1" customHeight="1" x14ac:dyDescent="0.3">
      <c r="A7839" s="89" t="s">
        <v>3978</v>
      </c>
      <c r="B7839" s="86" t="s">
        <v>35</v>
      </c>
      <c r="C7839" s="86" t="s">
        <v>164</v>
      </c>
      <c r="D7839" s="86" t="s">
        <v>181</v>
      </c>
      <c r="E7839" s="86" t="s">
        <v>182</v>
      </c>
      <c r="F7839" s="86" t="s">
        <v>183</v>
      </c>
      <c r="G7839" s="86" t="s">
        <v>182</v>
      </c>
      <c r="H7839" s="143">
        <v>360</v>
      </c>
      <c r="I7839" s="86" t="s">
        <v>610</v>
      </c>
      <c r="J7839" s="47" t="s">
        <v>3323</v>
      </c>
      <c r="K7839" s="47" t="s">
        <v>3275</v>
      </c>
      <c r="L7839" s="47" t="s">
        <v>35</v>
      </c>
      <c r="M7839" s="86" t="s">
        <v>1832</v>
      </c>
      <c r="O7839" s="47" t="s">
        <v>45</v>
      </c>
      <c r="P7839" s="14" t="s">
        <v>41</v>
      </c>
      <c r="Q7839" s="14">
        <v>0</v>
      </c>
      <c r="R7839" s="143" t="s">
        <v>1833</v>
      </c>
      <c r="S7839" s="47"/>
      <c r="T7839" s="6">
        <v>-685889.37</v>
      </c>
      <c r="U7839" s="6"/>
      <c r="V7839" s="6">
        <v>0</v>
      </c>
      <c r="W7839" s="6">
        <f t="shared" si="1211"/>
        <v>-685889.37</v>
      </c>
      <c r="X7839" s="6">
        <f t="shared" si="1206"/>
        <v>0</v>
      </c>
      <c r="Y7839" s="13">
        <f t="shared" si="1208"/>
        <v>0</v>
      </c>
      <c r="Z7839" s="14">
        <v>0</v>
      </c>
      <c r="AA7839" s="6">
        <v>0</v>
      </c>
      <c r="AB7839" s="4">
        <f t="shared" si="1209"/>
        <v>0</v>
      </c>
      <c r="AC7839" s="6">
        <f t="shared" si="1207"/>
        <v>0</v>
      </c>
      <c r="AD7839" s="6">
        <f t="shared" si="1212"/>
        <v>0</v>
      </c>
      <c r="AE7839" s="14">
        <f>VLOOKUP(I7839,[2]媒体政策预估表!A:N,MATCH(O7839,[2]媒体政策预估表!$A$2:$M$2,0),0)</f>
        <v>0.04</v>
      </c>
      <c r="AF7839" s="6">
        <f t="shared" si="1205"/>
        <v>0</v>
      </c>
      <c r="AG7839" s="14">
        <v>0</v>
      </c>
      <c r="AH7839" s="64">
        <f t="shared" si="1213"/>
        <v>0</v>
      </c>
      <c r="AJ7839" s="126" t="e">
        <v>#N/A</v>
      </c>
      <c r="AK7839" s="80">
        <f t="shared" si="1210"/>
        <v>0</v>
      </c>
      <c r="AL7839" s="85"/>
      <c r="AM7839" s="85"/>
    </row>
    <row r="7840" spans="1:39" s="86" customFormat="1" ht="13.25" hidden="1" customHeight="1" x14ac:dyDescent="0.3">
      <c r="A7840" s="89" t="s">
        <v>3792</v>
      </c>
      <c r="B7840" s="86" t="s">
        <v>35</v>
      </c>
      <c r="C7840" s="86" t="s">
        <v>164</v>
      </c>
      <c r="D7840" s="86" t="s">
        <v>181</v>
      </c>
      <c r="E7840" s="86" t="s">
        <v>182</v>
      </c>
      <c r="F7840" s="86" t="s">
        <v>183</v>
      </c>
      <c r="G7840" s="86" t="s">
        <v>182</v>
      </c>
      <c r="H7840" s="143">
        <v>360</v>
      </c>
      <c r="I7840" s="86" t="s">
        <v>610</v>
      </c>
      <c r="J7840" s="47" t="s">
        <v>3323</v>
      </c>
      <c r="K7840" s="47" t="s">
        <v>3275</v>
      </c>
      <c r="L7840" s="47" t="s">
        <v>35</v>
      </c>
      <c r="M7840" s="86" t="s">
        <v>1832</v>
      </c>
      <c r="O7840" s="47" t="s">
        <v>941</v>
      </c>
      <c r="P7840" s="14" t="s">
        <v>41</v>
      </c>
      <c r="Q7840" s="14">
        <v>0</v>
      </c>
      <c r="R7840" s="143" t="s">
        <v>1833</v>
      </c>
      <c r="S7840" s="47"/>
      <c r="T7840" s="6">
        <v>-60204.99</v>
      </c>
      <c r="U7840" s="6"/>
      <c r="V7840" s="6">
        <v>0</v>
      </c>
      <c r="W7840" s="6">
        <f t="shared" si="1211"/>
        <v>-60204.99</v>
      </c>
      <c r="X7840" s="6">
        <f t="shared" si="1206"/>
        <v>0</v>
      </c>
      <c r="Y7840" s="13">
        <f t="shared" si="1208"/>
        <v>0</v>
      </c>
      <c r="Z7840" s="14">
        <v>0</v>
      </c>
      <c r="AA7840" s="6">
        <v>0</v>
      </c>
      <c r="AB7840" s="4">
        <f t="shared" si="1209"/>
        <v>0</v>
      </c>
      <c r="AC7840" s="6">
        <f t="shared" si="1207"/>
        <v>0</v>
      </c>
      <c r="AD7840" s="6">
        <f t="shared" si="1212"/>
        <v>0</v>
      </c>
      <c r="AE7840" s="14">
        <f>VLOOKUP(I7840,[2]媒体政策预估表!A:N,MATCH(O7840,[2]媒体政策预估表!$A$2:$M$2,0),0)</f>
        <v>0.04</v>
      </c>
      <c r="AF7840" s="6">
        <f t="shared" si="1205"/>
        <v>0</v>
      </c>
      <c r="AG7840" s="14">
        <v>0</v>
      </c>
      <c r="AH7840" s="64">
        <f t="shared" si="1213"/>
        <v>0</v>
      </c>
      <c r="AJ7840" s="126" t="e">
        <v>#N/A</v>
      </c>
      <c r="AK7840" s="80">
        <f t="shared" si="1210"/>
        <v>0</v>
      </c>
      <c r="AL7840" s="85"/>
      <c r="AM7840" s="85"/>
    </row>
    <row r="7841" spans="1:39" s="86" customFormat="1" ht="13.25" hidden="1" customHeight="1" x14ac:dyDescent="0.3">
      <c r="A7841" s="89" t="s">
        <v>3792</v>
      </c>
      <c r="B7841" s="86" t="s">
        <v>35</v>
      </c>
      <c r="C7841" s="86" t="s">
        <v>184</v>
      </c>
      <c r="D7841" s="86" t="s">
        <v>961</v>
      </c>
      <c r="E7841" s="86" t="s">
        <v>962</v>
      </c>
      <c r="F7841" s="86" t="s">
        <v>962</v>
      </c>
      <c r="G7841" s="86" t="s">
        <v>962</v>
      </c>
      <c r="H7841" s="143">
        <v>360</v>
      </c>
      <c r="I7841" s="86" t="s">
        <v>1060</v>
      </c>
      <c r="J7841" s="47" t="s">
        <v>3325</v>
      </c>
      <c r="K7841" s="47" t="s">
        <v>3767</v>
      </c>
      <c r="L7841" s="47" t="s">
        <v>35</v>
      </c>
      <c r="M7841" s="86" t="s">
        <v>2281</v>
      </c>
      <c r="O7841" s="47" t="s">
        <v>45</v>
      </c>
      <c r="P7841" s="14" t="s">
        <v>41</v>
      </c>
      <c r="Q7841" s="14">
        <v>0</v>
      </c>
      <c r="R7841" s="143" t="s">
        <v>2282</v>
      </c>
      <c r="S7841" s="47"/>
      <c r="T7841" s="6">
        <v>15465.78</v>
      </c>
      <c r="U7841" s="6"/>
      <c r="V7841" s="6">
        <v>0</v>
      </c>
      <c r="W7841" s="6">
        <f t="shared" si="1211"/>
        <v>15465.78</v>
      </c>
      <c r="X7841" s="6">
        <f t="shared" si="1206"/>
        <v>0</v>
      </c>
      <c r="Y7841" s="13">
        <f t="shared" si="1208"/>
        <v>0</v>
      </c>
      <c r="Z7841" s="14">
        <v>0</v>
      </c>
      <c r="AA7841" s="6">
        <v>0</v>
      </c>
      <c r="AB7841" s="4">
        <f t="shared" si="1209"/>
        <v>0</v>
      </c>
      <c r="AC7841" s="6">
        <f t="shared" si="1207"/>
        <v>0</v>
      </c>
      <c r="AD7841" s="6">
        <f t="shared" si="1212"/>
        <v>0</v>
      </c>
      <c r="AE7841" s="14">
        <f>VLOOKUP(I7841,[2]媒体政策预估表!A:N,MATCH(O7841,[2]媒体政策预估表!$A$2:$M$2,0),0)</f>
        <v>0.1</v>
      </c>
      <c r="AF7841" s="6">
        <f t="shared" si="1205"/>
        <v>0</v>
      </c>
      <c r="AG7841" s="14">
        <v>0</v>
      </c>
      <c r="AH7841" s="64">
        <f t="shared" si="1213"/>
        <v>0</v>
      </c>
      <c r="AJ7841" s="126" t="e">
        <v>#N/A</v>
      </c>
      <c r="AK7841" s="80">
        <f t="shared" si="1210"/>
        <v>0</v>
      </c>
      <c r="AL7841" s="85"/>
      <c r="AM7841" s="85"/>
    </row>
    <row r="7842" spans="1:39" s="86" customFormat="1" ht="13.25" hidden="1" customHeight="1" x14ac:dyDescent="0.3">
      <c r="A7842" s="89" t="s">
        <v>3792</v>
      </c>
      <c r="B7842" s="86" t="s">
        <v>35</v>
      </c>
      <c r="C7842" s="86" t="s">
        <v>184</v>
      </c>
      <c r="D7842" s="86" t="s">
        <v>961</v>
      </c>
      <c r="E7842" s="86" t="s">
        <v>2283</v>
      </c>
      <c r="F7842" s="86" t="s">
        <v>2283</v>
      </c>
      <c r="G7842" s="86" t="s">
        <v>2283</v>
      </c>
      <c r="H7842" s="143">
        <v>360</v>
      </c>
      <c r="I7842" s="86" t="s">
        <v>1060</v>
      </c>
      <c r="J7842" s="47" t="s">
        <v>3325</v>
      </c>
      <c r="K7842" s="47" t="s">
        <v>3767</v>
      </c>
      <c r="L7842" s="47" t="s">
        <v>35</v>
      </c>
      <c r="M7842" s="86" t="s">
        <v>2283</v>
      </c>
      <c r="O7842" s="47" t="s">
        <v>410</v>
      </c>
      <c r="P7842" s="14" t="s">
        <v>41</v>
      </c>
      <c r="Q7842" s="14">
        <v>0</v>
      </c>
      <c r="R7842" s="143">
        <v>18627117922</v>
      </c>
      <c r="S7842" s="47"/>
      <c r="T7842" s="6">
        <v>5801</v>
      </c>
      <c r="U7842" s="6"/>
      <c r="V7842" s="6">
        <v>0</v>
      </c>
      <c r="W7842" s="6">
        <f t="shared" si="1211"/>
        <v>5801</v>
      </c>
      <c r="X7842" s="6">
        <f t="shared" si="1206"/>
        <v>0</v>
      </c>
      <c r="Y7842" s="13">
        <f t="shared" si="1208"/>
        <v>0</v>
      </c>
      <c r="Z7842" s="14">
        <v>0</v>
      </c>
      <c r="AA7842" s="6">
        <v>0</v>
      </c>
      <c r="AB7842" s="4">
        <f t="shared" si="1209"/>
        <v>0</v>
      </c>
      <c r="AC7842" s="6">
        <f t="shared" si="1207"/>
        <v>0</v>
      </c>
      <c r="AD7842" s="6">
        <f t="shared" si="1212"/>
        <v>0</v>
      </c>
      <c r="AE7842" s="14">
        <f>VLOOKUP(I7842,[2]媒体政策预估表!A:N,MATCH(O7842,[2]媒体政策预估表!$A$2:$M$2,0),0)</f>
        <v>7.0000000000000007E-2</v>
      </c>
      <c r="AF7842" s="6">
        <f t="shared" si="1205"/>
        <v>0</v>
      </c>
      <c r="AG7842" s="14">
        <v>0</v>
      </c>
      <c r="AH7842" s="64">
        <f t="shared" si="1213"/>
        <v>0</v>
      </c>
      <c r="AJ7842" s="126" t="e">
        <v>#N/A</v>
      </c>
      <c r="AK7842" s="80">
        <f t="shared" si="1210"/>
        <v>0</v>
      </c>
      <c r="AL7842" s="85"/>
      <c r="AM7842" s="85"/>
    </row>
    <row r="7843" spans="1:39" s="86" customFormat="1" ht="13.25" hidden="1" customHeight="1" x14ac:dyDescent="0.3">
      <c r="A7843" s="89" t="s">
        <v>3792</v>
      </c>
      <c r="B7843" s="86" t="s">
        <v>35</v>
      </c>
      <c r="C7843" s="86" t="s">
        <v>184</v>
      </c>
      <c r="D7843" s="86" t="s">
        <v>224</v>
      </c>
      <c r="E7843" s="86" t="s">
        <v>2284</v>
      </c>
      <c r="F7843" s="86" t="s">
        <v>2285</v>
      </c>
      <c r="G7843" s="86" t="s">
        <v>2284</v>
      </c>
      <c r="H7843" s="143">
        <v>360</v>
      </c>
      <c r="I7843" s="86" t="s">
        <v>1060</v>
      </c>
      <c r="J7843" s="47" t="s">
        <v>3325</v>
      </c>
      <c r="K7843" s="47" t="s">
        <v>3767</v>
      </c>
      <c r="L7843" s="47" t="s">
        <v>35</v>
      </c>
      <c r="M7843" s="86" t="s">
        <v>2284</v>
      </c>
      <c r="O7843" s="47" t="s">
        <v>410</v>
      </c>
      <c r="P7843" s="14" t="s">
        <v>46</v>
      </c>
      <c r="Q7843" s="14">
        <v>0.02</v>
      </c>
      <c r="R7843" s="143" t="s">
        <v>2286</v>
      </c>
      <c r="S7843" s="47"/>
      <c r="T7843" s="6">
        <v>489.46</v>
      </c>
      <c r="U7843" s="6"/>
      <c r="V7843" s="6">
        <v>0</v>
      </c>
      <c r="W7843" s="6">
        <f t="shared" si="1211"/>
        <v>489.46</v>
      </c>
      <c r="X7843" s="6">
        <f t="shared" si="1206"/>
        <v>0</v>
      </c>
      <c r="Y7843" s="13">
        <f t="shared" si="1208"/>
        <v>0</v>
      </c>
      <c r="Z7843" s="14">
        <v>0</v>
      </c>
      <c r="AA7843" s="6">
        <v>0</v>
      </c>
      <c r="AB7843" s="4">
        <f t="shared" si="1209"/>
        <v>0</v>
      </c>
      <c r="AC7843" s="6">
        <f t="shared" si="1207"/>
        <v>0</v>
      </c>
      <c r="AD7843" s="6">
        <f t="shared" si="1212"/>
        <v>0</v>
      </c>
      <c r="AE7843" s="14">
        <f>VLOOKUP(I7843,[2]媒体政策预估表!A:N,MATCH(O7843,[2]媒体政策预估表!$A$2:$M$2,0),0)</f>
        <v>7.0000000000000007E-2</v>
      </c>
      <c r="AF7843" s="6">
        <f t="shared" si="1205"/>
        <v>0</v>
      </c>
      <c r="AG7843" s="14">
        <v>0</v>
      </c>
      <c r="AH7843" s="64">
        <f t="shared" si="1213"/>
        <v>0</v>
      </c>
      <c r="AJ7843" s="126" t="e">
        <v>#N/A</v>
      </c>
      <c r="AK7843" s="80">
        <f t="shared" si="1210"/>
        <v>0</v>
      </c>
      <c r="AL7843" s="85"/>
      <c r="AM7843" s="85"/>
    </row>
    <row r="7844" spans="1:39" s="86" customFormat="1" ht="13.25" hidden="1" customHeight="1" x14ac:dyDescent="0.3">
      <c r="A7844" s="89" t="s">
        <v>3792</v>
      </c>
      <c r="B7844" s="86" t="s">
        <v>35</v>
      </c>
      <c r="C7844" s="86" t="s">
        <v>184</v>
      </c>
      <c r="D7844" s="86" t="s">
        <v>224</v>
      </c>
      <c r="E7844" s="86" t="s">
        <v>2287</v>
      </c>
      <c r="F7844" s="86" t="s">
        <v>2287</v>
      </c>
      <c r="G7844" s="86" t="s">
        <v>2287</v>
      </c>
      <c r="H7844" s="143">
        <v>360</v>
      </c>
      <c r="I7844" s="86" t="s">
        <v>1060</v>
      </c>
      <c r="J7844" s="47" t="s">
        <v>3325</v>
      </c>
      <c r="K7844" s="47" t="s">
        <v>3767</v>
      </c>
      <c r="L7844" s="47" t="s">
        <v>35</v>
      </c>
      <c r="M7844" s="86" t="s">
        <v>2288</v>
      </c>
      <c r="O7844" s="47" t="s">
        <v>410</v>
      </c>
      <c r="P7844" s="14" t="s">
        <v>46</v>
      </c>
      <c r="Q7844" s="14">
        <v>0.04</v>
      </c>
      <c r="R7844" s="143" t="s">
        <v>2289</v>
      </c>
      <c r="S7844" s="47"/>
      <c r="T7844" s="6">
        <v>16335.18</v>
      </c>
      <c r="U7844" s="6"/>
      <c r="V7844" s="6">
        <v>0</v>
      </c>
      <c r="W7844" s="6">
        <f t="shared" si="1211"/>
        <v>16335.18</v>
      </c>
      <c r="X7844" s="6">
        <f t="shared" si="1206"/>
        <v>0</v>
      </c>
      <c r="Y7844" s="13">
        <f t="shared" si="1208"/>
        <v>0</v>
      </c>
      <c r="Z7844" s="14">
        <v>0</v>
      </c>
      <c r="AA7844" s="6">
        <v>0</v>
      </c>
      <c r="AB7844" s="4">
        <f t="shared" si="1209"/>
        <v>0</v>
      </c>
      <c r="AC7844" s="6">
        <f t="shared" si="1207"/>
        <v>0</v>
      </c>
      <c r="AD7844" s="6">
        <f t="shared" si="1212"/>
        <v>0</v>
      </c>
      <c r="AE7844" s="14">
        <f>VLOOKUP(I7844,[2]媒体政策预估表!A:N,MATCH(O7844,[2]媒体政策预估表!$A$2:$M$2,0),0)</f>
        <v>7.0000000000000007E-2</v>
      </c>
      <c r="AF7844" s="6">
        <f t="shared" ref="AF7844:AF7907" si="1214">AD7844*AE7844</f>
        <v>0</v>
      </c>
      <c r="AG7844" s="14">
        <v>0</v>
      </c>
      <c r="AH7844" s="64">
        <f t="shared" si="1213"/>
        <v>0</v>
      </c>
      <c r="AJ7844" s="126" t="e">
        <v>#N/A</v>
      </c>
      <c r="AK7844" s="80">
        <f t="shared" si="1210"/>
        <v>0</v>
      </c>
      <c r="AL7844" s="85"/>
      <c r="AM7844" s="85"/>
    </row>
    <row r="7845" spans="1:39" s="86" customFormat="1" ht="13.25" hidden="1" customHeight="1" x14ac:dyDescent="0.3">
      <c r="A7845" s="89" t="s">
        <v>3978</v>
      </c>
      <c r="B7845" s="86" t="s">
        <v>35</v>
      </c>
      <c r="C7845" s="86" t="s">
        <v>184</v>
      </c>
      <c r="D7845" s="86" t="s">
        <v>224</v>
      </c>
      <c r="E7845" s="86" t="s">
        <v>2290</v>
      </c>
      <c r="F7845" s="86" t="s">
        <v>2290</v>
      </c>
      <c r="G7845" s="86" t="s">
        <v>2290</v>
      </c>
      <c r="H7845" s="143">
        <v>360</v>
      </c>
      <c r="I7845" s="86" t="s">
        <v>1060</v>
      </c>
      <c r="J7845" s="47" t="s">
        <v>3325</v>
      </c>
      <c r="K7845" s="47" t="s">
        <v>3767</v>
      </c>
      <c r="L7845" s="47" t="s">
        <v>35</v>
      </c>
      <c r="M7845" s="86" t="s">
        <v>2291</v>
      </c>
      <c r="O7845" s="47" t="s">
        <v>410</v>
      </c>
      <c r="P7845" s="14" t="s">
        <v>41</v>
      </c>
      <c r="Q7845" s="14">
        <v>0</v>
      </c>
      <c r="R7845" s="143">
        <v>3395642036</v>
      </c>
      <c r="S7845" s="47"/>
      <c r="T7845" s="6">
        <v>31601.200000000001</v>
      </c>
      <c r="U7845" s="6"/>
      <c r="V7845" s="6">
        <v>0</v>
      </c>
      <c r="W7845" s="6">
        <f t="shared" si="1211"/>
        <v>31601.200000000001</v>
      </c>
      <c r="X7845" s="6">
        <f t="shared" si="1206"/>
        <v>0</v>
      </c>
      <c r="Y7845" s="13">
        <f t="shared" si="1208"/>
        <v>0</v>
      </c>
      <c r="Z7845" s="14">
        <v>0</v>
      </c>
      <c r="AA7845" s="6">
        <v>0</v>
      </c>
      <c r="AB7845" s="4">
        <f t="shared" si="1209"/>
        <v>0</v>
      </c>
      <c r="AC7845" s="6">
        <f t="shared" si="1207"/>
        <v>0</v>
      </c>
      <c r="AD7845" s="6">
        <f t="shared" si="1212"/>
        <v>0</v>
      </c>
      <c r="AE7845" s="14">
        <f>VLOOKUP(I7845,[2]媒体政策预估表!A:N,MATCH(O7845,[2]媒体政策预估表!$A$2:$M$2,0),0)</f>
        <v>7.0000000000000007E-2</v>
      </c>
      <c r="AF7845" s="6">
        <f t="shared" si="1214"/>
        <v>0</v>
      </c>
      <c r="AG7845" s="14">
        <v>0</v>
      </c>
      <c r="AH7845" s="64">
        <f t="shared" si="1213"/>
        <v>0</v>
      </c>
      <c r="AJ7845" s="126" t="e">
        <v>#N/A</v>
      </c>
      <c r="AK7845" s="80">
        <f t="shared" si="1210"/>
        <v>0</v>
      </c>
      <c r="AL7845" s="85"/>
      <c r="AM7845" s="85"/>
    </row>
    <row r="7846" spans="1:39" s="86" customFormat="1" ht="13.25" hidden="1" customHeight="1" x14ac:dyDescent="0.3">
      <c r="A7846" s="89" t="s">
        <v>3792</v>
      </c>
      <c r="B7846" s="86" t="s">
        <v>35</v>
      </c>
      <c r="C7846" s="86" t="s">
        <v>184</v>
      </c>
      <c r="D7846" s="86" t="s">
        <v>224</v>
      </c>
      <c r="E7846" s="86" t="s">
        <v>2290</v>
      </c>
      <c r="F7846" s="86" t="s">
        <v>2292</v>
      </c>
      <c r="G7846" s="86" t="s">
        <v>2290</v>
      </c>
      <c r="H7846" s="143">
        <v>360</v>
      </c>
      <c r="I7846" s="86" t="s">
        <v>1060</v>
      </c>
      <c r="J7846" s="47" t="s">
        <v>3325</v>
      </c>
      <c r="K7846" s="47" t="s">
        <v>3767</v>
      </c>
      <c r="L7846" s="47" t="s">
        <v>35</v>
      </c>
      <c r="M7846" s="86" t="s">
        <v>2293</v>
      </c>
      <c r="O7846" s="47" t="s">
        <v>410</v>
      </c>
      <c r="P7846" s="14" t="s">
        <v>46</v>
      </c>
      <c r="Q7846" s="14">
        <v>0.02</v>
      </c>
      <c r="R7846" s="143">
        <v>153097069</v>
      </c>
      <c r="S7846" s="47"/>
      <c r="T7846" s="6">
        <v>302.09999999999098</v>
      </c>
      <c r="U7846" s="6"/>
      <c r="V7846" s="6">
        <v>0</v>
      </c>
      <c r="W7846" s="6">
        <f t="shared" si="1211"/>
        <v>302.09999999999098</v>
      </c>
      <c r="X7846" s="6">
        <f t="shared" si="1206"/>
        <v>0</v>
      </c>
      <c r="Y7846" s="13">
        <f t="shared" si="1208"/>
        <v>0</v>
      </c>
      <c r="Z7846" s="14">
        <v>0</v>
      </c>
      <c r="AA7846" s="6">
        <v>0</v>
      </c>
      <c r="AB7846" s="4">
        <f t="shared" si="1209"/>
        <v>0</v>
      </c>
      <c r="AC7846" s="6">
        <f t="shared" si="1207"/>
        <v>0</v>
      </c>
      <c r="AD7846" s="6">
        <f t="shared" si="1212"/>
        <v>0</v>
      </c>
      <c r="AE7846" s="14">
        <f>VLOOKUP(I7846,[2]媒体政策预估表!A:N,MATCH(O7846,[2]媒体政策预估表!$A$2:$M$2,0),0)</f>
        <v>7.0000000000000007E-2</v>
      </c>
      <c r="AF7846" s="6">
        <f t="shared" si="1214"/>
        <v>0</v>
      </c>
      <c r="AG7846" s="14">
        <v>0</v>
      </c>
      <c r="AH7846" s="64">
        <f t="shared" si="1213"/>
        <v>0</v>
      </c>
      <c r="AJ7846" s="126" t="e">
        <v>#N/A</v>
      </c>
      <c r="AK7846" s="80">
        <f t="shared" si="1210"/>
        <v>0</v>
      </c>
      <c r="AL7846" s="85"/>
      <c r="AM7846" s="85"/>
    </row>
    <row r="7847" spans="1:39" s="86" customFormat="1" ht="13.25" hidden="1" customHeight="1" x14ac:dyDescent="0.3">
      <c r="A7847" s="89" t="s">
        <v>3978</v>
      </c>
      <c r="B7847" s="86" t="s">
        <v>35</v>
      </c>
      <c r="C7847" s="86" t="s">
        <v>184</v>
      </c>
      <c r="D7847" s="86" t="s">
        <v>224</v>
      </c>
      <c r="E7847" s="86" t="s">
        <v>2294</v>
      </c>
      <c r="F7847" s="86" t="s">
        <v>2294</v>
      </c>
      <c r="G7847" s="86" t="s">
        <v>2294</v>
      </c>
      <c r="H7847" s="143">
        <v>360</v>
      </c>
      <c r="I7847" s="86" t="s">
        <v>1060</v>
      </c>
      <c r="J7847" s="47" t="s">
        <v>3325</v>
      </c>
      <c r="K7847" s="47" t="s">
        <v>3767</v>
      </c>
      <c r="L7847" s="47" t="s">
        <v>35</v>
      </c>
      <c r="M7847" s="86" t="s">
        <v>2295</v>
      </c>
      <c r="O7847" s="47" t="s">
        <v>410</v>
      </c>
      <c r="P7847" s="14" t="s">
        <v>41</v>
      </c>
      <c r="Q7847" s="14">
        <v>0</v>
      </c>
      <c r="R7847" s="143">
        <v>13351113737</v>
      </c>
      <c r="S7847" s="47"/>
      <c r="T7847" s="6">
        <v>7428.92</v>
      </c>
      <c r="U7847" s="6"/>
      <c r="V7847" s="6">
        <v>0</v>
      </c>
      <c r="W7847" s="6">
        <f t="shared" si="1211"/>
        <v>7428.92</v>
      </c>
      <c r="X7847" s="6">
        <f t="shared" si="1206"/>
        <v>0</v>
      </c>
      <c r="Y7847" s="13">
        <f t="shared" si="1208"/>
        <v>0</v>
      </c>
      <c r="Z7847" s="14">
        <v>0</v>
      </c>
      <c r="AA7847" s="6">
        <v>0</v>
      </c>
      <c r="AB7847" s="4">
        <f t="shared" si="1209"/>
        <v>0</v>
      </c>
      <c r="AC7847" s="6">
        <f t="shared" si="1207"/>
        <v>0</v>
      </c>
      <c r="AD7847" s="6">
        <f t="shared" si="1212"/>
        <v>0</v>
      </c>
      <c r="AE7847" s="14">
        <f>VLOOKUP(I7847,[2]媒体政策预估表!A:N,MATCH(O7847,[2]媒体政策预估表!$A$2:$M$2,0),0)</f>
        <v>7.0000000000000007E-2</v>
      </c>
      <c r="AF7847" s="6">
        <f t="shared" si="1214"/>
        <v>0</v>
      </c>
      <c r="AG7847" s="14">
        <v>0</v>
      </c>
      <c r="AH7847" s="64">
        <f t="shared" si="1213"/>
        <v>0</v>
      </c>
      <c r="AJ7847" s="126" t="e">
        <v>#N/A</v>
      </c>
      <c r="AK7847" s="80">
        <f t="shared" si="1210"/>
        <v>0</v>
      </c>
      <c r="AL7847" s="85"/>
      <c r="AM7847" s="85"/>
    </row>
    <row r="7848" spans="1:39" s="86" customFormat="1" ht="13.25" hidden="1" customHeight="1" x14ac:dyDescent="0.3">
      <c r="A7848" s="89" t="s">
        <v>3978</v>
      </c>
      <c r="B7848" s="86" t="s">
        <v>35</v>
      </c>
      <c r="C7848" s="86" t="s">
        <v>184</v>
      </c>
      <c r="D7848" s="86" t="s">
        <v>224</v>
      </c>
      <c r="E7848" s="86" t="s">
        <v>2296</v>
      </c>
      <c r="F7848" s="86" t="s">
        <v>2297</v>
      </c>
      <c r="G7848" s="86" t="s">
        <v>2296</v>
      </c>
      <c r="H7848" s="143">
        <v>360</v>
      </c>
      <c r="I7848" s="86" t="s">
        <v>1060</v>
      </c>
      <c r="J7848" s="47" t="s">
        <v>3325</v>
      </c>
      <c r="K7848" s="47" t="s">
        <v>3767</v>
      </c>
      <c r="L7848" s="47" t="s">
        <v>35</v>
      </c>
      <c r="M7848" s="86" t="s">
        <v>2298</v>
      </c>
      <c r="O7848" s="47" t="s">
        <v>410</v>
      </c>
      <c r="P7848" s="14" t="s">
        <v>46</v>
      </c>
      <c r="Q7848" s="14">
        <v>0.02</v>
      </c>
      <c r="R7848" s="143" t="s">
        <v>2299</v>
      </c>
      <c r="S7848" s="47"/>
      <c r="T7848" s="6">
        <v>487.4</v>
      </c>
      <c r="U7848" s="6"/>
      <c r="V7848" s="6">
        <v>0</v>
      </c>
      <c r="W7848" s="6">
        <f t="shared" si="1211"/>
        <v>487.4</v>
      </c>
      <c r="X7848" s="6">
        <f t="shared" si="1206"/>
        <v>0</v>
      </c>
      <c r="Y7848" s="13">
        <f t="shared" si="1208"/>
        <v>0</v>
      </c>
      <c r="Z7848" s="14">
        <v>0</v>
      </c>
      <c r="AA7848" s="6">
        <v>0</v>
      </c>
      <c r="AB7848" s="4">
        <f t="shared" si="1209"/>
        <v>0</v>
      </c>
      <c r="AC7848" s="6">
        <f t="shared" si="1207"/>
        <v>0</v>
      </c>
      <c r="AD7848" s="6">
        <f t="shared" si="1212"/>
        <v>0</v>
      </c>
      <c r="AE7848" s="14">
        <f>VLOOKUP(I7848,[2]媒体政策预估表!A:N,MATCH(O7848,[2]媒体政策预估表!$A$2:$M$2,0),0)</f>
        <v>7.0000000000000007E-2</v>
      </c>
      <c r="AF7848" s="6">
        <f t="shared" si="1214"/>
        <v>0</v>
      </c>
      <c r="AG7848" s="14">
        <v>0</v>
      </c>
      <c r="AH7848" s="64">
        <f t="shared" si="1213"/>
        <v>0</v>
      </c>
      <c r="AJ7848" s="126" t="e">
        <v>#N/A</v>
      </c>
      <c r="AK7848" s="80">
        <f t="shared" si="1210"/>
        <v>0</v>
      </c>
      <c r="AL7848" s="85"/>
      <c r="AM7848" s="85"/>
    </row>
    <row r="7849" spans="1:39" s="86" customFormat="1" ht="13.25" hidden="1" customHeight="1" x14ac:dyDescent="0.3">
      <c r="A7849" s="89" t="s">
        <v>3978</v>
      </c>
      <c r="B7849" s="86" t="s">
        <v>35</v>
      </c>
      <c r="C7849" s="86" t="s">
        <v>184</v>
      </c>
      <c r="D7849" s="86" t="s">
        <v>224</v>
      </c>
      <c r="E7849" s="86" t="s">
        <v>2065</v>
      </c>
      <c r="F7849" s="86" t="s">
        <v>2065</v>
      </c>
      <c r="G7849" s="86" t="s">
        <v>2065</v>
      </c>
      <c r="H7849" s="143">
        <v>360</v>
      </c>
      <c r="I7849" s="86" t="s">
        <v>1060</v>
      </c>
      <c r="J7849" s="47" t="s">
        <v>3325</v>
      </c>
      <c r="K7849" s="47" t="s">
        <v>3767</v>
      </c>
      <c r="L7849" s="47" t="s">
        <v>35</v>
      </c>
      <c r="M7849" s="86" t="s">
        <v>2065</v>
      </c>
      <c r="O7849" s="47" t="s">
        <v>45</v>
      </c>
      <c r="P7849" s="14" t="s">
        <v>46</v>
      </c>
      <c r="Q7849" s="14">
        <v>0.03</v>
      </c>
      <c r="R7849" s="143" t="s">
        <v>2300</v>
      </c>
      <c r="S7849" s="47"/>
      <c r="T7849" s="6">
        <v>5.9999999999490697E-2</v>
      </c>
      <c r="U7849" s="6"/>
      <c r="V7849" s="6">
        <v>0</v>
      </c>
      <c r="W7849" s="6">
        <f t="shared" si="1211"/>
        <v>5.9999999999490697E-2</v>
      </c>
      <c r="X7849" s="6">
        <f t="shared" si="1206"/>
        <v>0</v>
      </c>
      <c r="Y7849" s="13">
        <f t="shared" si="1208"/>
        <v>0</v>
      </c>
      <c r="Z7849" s="14">
        <v>0</v>
      </c>
      <c r="AA7849" s="6">
        <v>0</v>
      </c>
      <c r="AB7849" s="4">
        <f t="shared" si="1209"/>
        <v>0</v>
      </c>
      <c r="AC7849" s="6">
        <f t="shared" si="1207"/>
        <v>0</v>
      </c>
      <c r="AD7849" s="6">
        <f t="shared" si="1212"/>
        <v>0</v>
      </c>
      <c r="AE7849" s="14">
        <f>VLOOKUP(I7849,[2]媒体政策预估表!A:N,MATCH(O7849,[2]媒体政策预估表!$A$2:$M$2,0),0)</f>
        <v>0.1</v>
      </c>
      <c r="AF7849" s="6">
        <f t="shared" si="1214"/>
        <v>0</v>
      </c>
      <c r="AG7849" s="14">
        <v>0</v>
      </c>
      <c r="AH7849" s="64">
        <f t="shared" si="1213"/>
        <v>0</v>
      </c>
      <c r="AJ7849" s="126" t="s">
        <v>4222</v>
      </c>
      <c r="AK7849" s="80">
        <f t="shared" si="1210"/>
        <v>0</v>
      </c>
      <c r="AL7849" s="150"/>
      <c r="AM7849" s="85"/>
    </row>
    <row r="7850" spans="1:39" s="86" customFormat="1" ht="13.25" hidden="1" customHeight="1" x14ac:dyDescent="0.3">
      <c r="A7850" s="89" t="s">
        <v>3805</v>
      </c>
      <c r="B7850" s="86" t="s">
        <v>35</v>
      </c>
      <c r="C7850" s="86" t="s">
        <v>184</v>
      </c>
      <c r="D7850" s="86" t="s">
        <v>224</v>
      </c>
      <c r="E7850" s="86" t="s">
        <v>2301</v>
      </c>
      <c r="F7850" s="86" t="s">
        <v>2301</v>
      </c>
      <c r="G7850" s="86" t="s">
        <v>2301</v>
      </c>
      <c r="H7850" s="143">
        <v>360</v>
      </c>
      <c r="I7850" s="86" t="s">
        <v>1060</v>
      </c>
      <c r="J7850" s="47" t="s">
        <v>3325</v>
      </c>
      <c r="K7850" s="47" t="s">
        <v>3767</v>
      </c>
      <c r="L7850" s="47" t="s">
        <v>35</v>
      </c>
      <c r="M7850" s="86" t="s">
        <v>2301</v>
      </c>
      <c r="O7850" s="47" t="s">
        <v>410</v>
      </c>
      <c r="P7850" s="14" t="s">
        <v>46</v>
      </c>
      <c r="Q7850" s="14">
        <v>0.02</v>
      </c>
      <c r="R7850" s="143" t="s">
        <v>2302</v>
      </c>
      <c r="S7850" s="47"/>
      <c r="T7850" s="6">
        <v>6189.5</v>
      </c>
      <c r="U7850" s="6"/>
      <c r="V7850" s="6">
        <v>0</v>
      </c>
      <c r="W7850" s="6">
        <f t="shared" si="1211"/>
        <v>6189.5</v>
      </c>
      <c r="X7850" s="6">
        <f t="shared" si="1206"/>
        <v>0</v>
      </c>
      <c r="Y7850" s="13">
        <f t="shared" si="1208"/>
        <v>0</v>
      </c>
      <c r="Z7850" s="14">
        <v>0</v>
      </c>
      <c r="AA7850" s="6">
        <v>0</v>
      </c>
      <c r="AB7850" s="4">
        <f t="shared" si="1209"/>
        <v>0</v>
      </c>
      <c r="AC7850" s="6">
        <f t="shared" si="1207"/>
        <v>0</v>
      </c>
      <c r="AD7850" s="6">
        <f t="shared" si="1212"/>
        <v>0</v>
      </c>
      <c r="AE7850" s="14">
        <f>VLOOKUP(I7850,[2]媒体政策预估表!A:N,MATCH(O7850,[2]媒体政策预估表!$A$2:$M$2,0),0)</f>
        <v>7.0000000000000007E-2</v>
      </c>
      <c r="AF7850" s="6">
        <f t="shared" si="1214"/>
        <v>0</v>
      </c>
      <c r="AG7850" s="14">
        <v>0</v>
      </c>
      <c r="AH7850" s="64">
        <f t="shared" si="1213"/>
        <v>0</v>
      </c>
      <c r="AJ7850" s="126" t="e">
        <v>#N/A</v>
      </c>
      <c r="AK7850" s="80">
        <f t="shared" si="1210"/>
        <v>0</v>
      </c>
      <c r="AL7850" s="85"/>
      <c r="AM7850" s="85"/>
    </row>
    <row r="7851" spans="1:39" s="86" customFormat="1" ht="13.25" hidden="1" customHeight="1" x14ac:dyDescent="0.3">
      <c r="A7851" s="89" t="s">
        <v>3978</v>
      </c>
      <c r="B7851" s="86" t="s">
        <v>35</v>
      </c>
      <c r="C7851" s="86" t="s">
        <v>184</v>
      </c>
      <c r="D7851" s="86" t="s">
        <v>224</v>
      </c>
      <c r="E7851" s="86" t="s">
        <v>2303</v>
      </c>
      <c r="F7851" s="86" t="s">
        <v>2303</v>
      </c>
      <c r="G7851" s="86" t="s">
        <v>2303</v>
      </c>
      <c r="H7851" s="143">
        <v>360</v>
      </c>
      <c r="I7851" s="86" t="s">
        <v>1060</v>
      </c>
      <c r="J7851" s="47" t="s">
        <v>3325</v>
      </c>
      <c r="K7851" s="47" t="s">
        <v>3767</v>
      </c>
      <c r="L7851" s="47" t="s">
        <v>35</v>
      </c>
      <c r="M7851" s="86" t="s">
        <v>2304</v>
      </c>
      <c r="O7851" s="47" t="s">
        <v>410</v>
      </c>
      <c r="P7851" s="14" t="s">
        <v>46</v>
      </c>
      <c r="Q7851" s="14">
        <v>0.02</v>
      </c>
      <c r="R7851" s="143" t="s">
        <v>2305</v>
      </c>
      <c r="S7851" s="47"/>
      <c r="T7851" s="6">
        <v>1.8599999999900101</v>
      </c>
      <c r="U7851" s="6"/>
      <c r="V7851" s="6">
        <v>0</v>
      </c>
      <c r="W7851" s="6">
        <f t="shared" si="1211"/>
        <v>1.8599999999900101</v>
      </c>
      <c r="X7851" s="6">
        <f t="shared" si="1206"/>
        <v>0</v>
      </c>
      <c r="Y7851" s="13">
        <f t="shared" si="1208"/>
        <v>0</v>
      </c>
      <c r="Z7851" s="14">
        <v>0</v>
      </c>
      <c r="AA7851" s="6">
        <v>0</v>
      </c>
      <c r="AB7851" s="4">
        <f t="shared" si="1209"/>
        <v>0</v>
      </c>
      <c r="AC7851" s="6">
        <f t="shared" si="1207"/>
        <v>0</v>
      </c>
      <c r="AD7851" s="6">
        <f t="shared" si="1212"/>
        <v>0</v>
      </c>
      <c r="AE7851" s="14">
        <f>VLOOKUP(I7851,[2]媒体政策预估表!A:N,MATCH(O7851,[2]媒体政策预估表!$A$2:$M$2,0),0)</f>
        <v>7.0000000000000007E-2</v>
      </c>
      <c r="AF7851" s="6">
        <f t="shared" si="1214"/>
        <v>0</v>
      </c>
      <c r="AG7851" s="14">
        <v>0</v>
      </c>
      <c r="AH7851" s="64">
        <f t="shared" si="1213"/>
        <v>0</v>
      </c>
      <c r="AJ7851" s="126" t="e">
        <v>#N/A</v>
      </c>
      <c r="AK7851" s="80">
        <f t="shared" si="1210"/>
        <v>0</v>
      </c>
      <c r="AL7851" s="85"/>
      <c r="AM7851" s="85"/>
    </row>
    <row r="7852" spans="1:39" s="86" customFormat="1" ht="13.25" hidden="1" customHeight="1" x14ac:dyDescent="0.3">
      <c r="A7852" s="89" t="s">
        <v>3978</v>
      </c>
      <c r="B7852" s="86" t="s">
        <v>35</v>
      </c>
      <c r="C7852" s="86" t="s">
        <v>184</v>
      </c>
      <c r="D7852" s="86" t="s">
        <v>224</v>
      </c>
      <c r="E7852" s="86" t="s">
        <v>2306</v>
      </c>
      <c r="F7852" s="86" t="s">
        <v>2306</v>
      </c>
      <c r="G7852" s="86" t="s">
        <v>2306</v>
      </c>
      <c r="H7852" s="143">
        <v>360</v>
      </c>
      <c r="I7852" s="86" t="s">
        <v>1060</v>
      </c>
      <c r="J7852" s="47" t="s">
        <v>3325</v>
      </c>
      <c r="K7852" s="47" t="s">
        <v>3767</v>
      </c>
      <c r="L7852" s="47" t="s">
        <v>35</v>
      </c>
      <c r="M7852" s="86" t="s">
        <v>2306</v>
      </c>
      <c r="O7852" s="47" t="s">
        <v>410</v>
      </c>
      <c r="P7852" s="14" t="s">
        <v>46</v>
      </c>
      <c r="Q7852" s="14">
        <v>0.02</v>
      </c>
      <c r="R7852" s="143" t="s">
        <v>2307</v>
      </c>
      <c r="S7852" s="47"/>
      <c r="T7852" s="6">
        <v>484</v>
      </c>
      <c r="U7852" s="6"/>
      <c r="V7852" s="6">
        <v>0</v>
      </c>
      <c r="W7852" s="6">
        <f t="shared" si="1211"/>
        <v>484</v>
      </c>
      <c r="X7852" s="6">
        <f t="shared" si="1206"/>
        <v>0</v>
      </c>
      <c r="Y7852" s="13">
        <f t="shared" si="1208"/>
        <v>0</v>
      </c>
      <c r="Z7852" s="14">
        <v>0</v>
      </c>
      <c r="AA7852" s="6">
        <v>0</v>
      </c>
      <c r="AB7852" s="4">
        <f t="shared" si="1209"/>
        <v>0</v>
      </c>
      <c r="AC7852" s="6">
        <f t="shared" si="1207"/>
        <v>0</v>
      </c>
      <c r="AD7852" s="6">
        <f t="shared" si="1212"/>
        <v>0</v>
      </c>
      <c r="AE7852" s="14">
        <f>VLOOKUP(I7852,[2]媒体政策预估表!A:N,MATCH(O7852,[2]媒体政策预估表!$A$2:$M$2,0),0)</f>
        <v>7.0000000000000007E-2</v>
      </c>
      <c r="AF7852" s="6">
        <f t="shared" si="1214"/>
        <v>0</v>
      </c>
      <c r="AG7852" s="14">
        <v>0</v>
      </c>
      <c r="AH7852" s="64">
        <f t="shared" si="1213"/>
        <v>0</v>
      </c>
      <c r="AJ7852" s="126" t="e">
        <v>#N/A</v>
      </c>
      <c r="AK7852" s="80">
        <f t="shared" si="1210"/>
        <v>0</v>
      </c>
      <c r="AL7852" s="85"/>
      <c r="AM7852" s="85"/>
    </row>
    <row r="7853" spans="1:39" s="86" customFormat="1" ht="13.25" hidden="1" customHeight="1" x14ac:dyDescent="0.3">
      <c r="A7853" s="89" t="s">
        <v>3978</v>
      </c>
      <c r="B7853" s="86" t="s">
        <v>35</v>
      </c>
      <c r="C7853" s="86" t="s">
        <v>184</v>
      </c>
      <c r="D7853" s="86" t="s">
        <v>320</v>
      </c>
      <c r="E7853" s="86" t="s">
        <v>2308</v>
      </c>
      <c r="F7853" s="86" t="s">
        <v>2308</v>
      </c>
      <c r="G7853" s="86" t="s">
        <v>2308</v>
      </c>
      <c r="H7853" s="143">
        <v>360</v>
      </c>
      <c r="I7853" s="86" t="s">
        <v>1060</v>
      </c>
      <c r="J7853" s="47" t="s">
        <v>3325</v>
      </c>
      <c r="K7853" s="47" t="s">
        <v>3767</v>
      </c>
      <c r="L7853" s="47" t="s">
        <v>35</v>
      </c>
      <c r="M7853" s="86" t="s">
        <v>2309</v>
      </c>
      <c r="O7853" s="47" t="s">
        <v>410</v>
      </c>
      <c r="P7853" s="14" t="s">
        <v>46</v>
      </c>
      <c r="Q7853" s="14">
        <v>0.02</v>
      </c>
      <c r="R7853" s="143" t="s">
        <v>2310</v>
      </c>
      <c r="S7853" s="47"/>
      <c r="T7853" s="6">
        <v>1902.1</v>
      </c>
      <c r="U7853" s="6"/>
      <c r="V7853" s="6">
        <v>0</v>
      </c>
      <c r="W7853" s="6">
        <f t="shared" si="1211"/>
        <v>1902.1</v>
      </c>
      <c r="X7853" s="6">
        <f t="shared" si="1206"/>
        <v>0</v>
      </c>
      <c r="Y7853" s="13">
        <f t="shared" si="1208"/>
        <v>0</v>
      </c>
      <c r="Z7853" s="14">
        <v>0</v>
      </c>
      <c r="AA7853" s="6">
        <v>0</v>
      </c>
      <c r="AB7853" s="4">
        <f t="shared" si="1209"/>
        <v>0</v>
      </c>
      <c r="AC7853" s="6">
        <f t="shared" si="1207"/>
        <v>0</v>
      </c>
      <c r="AD7853" s="6">
        <f t="shared" si="1212"/>
        <v>0</v>
      </c>
      <c r="AE7853" s="14">
        <f>VLOOKUP(I7853,[2]媒体政策预估表!A:N,MATCH(O7853,[2]媒体政策预估表!$A$2:$M$2,0),0)</f>
        <v>7.0000000000000007E-2</v>
      </c>
      <c r="AF7853" s="6">
        <f t="shared" si="1214"/>
        <v>0</v>
      </c>
      <c r="AG7853" s="14">
        <v>0</v>
      </c>
      <c r="AH7853" s="64">
        <f t="shared" si="1213"/>
        <v>0</v>
      </c>
      <c r="AJ7853" s="126" t="e">
        <v>#N/A</v>
      </c>
      <c r="AK7853" s="80">
        <f t="shared" si="1210"/>
        <v>0</v>
      </c>
      <c r="AL7853" s="85"/>
      <c r="AM7853" s="85"/>
    </row>
    <row r="7854" spans="1:39" s="86" customFormat="1" ht="13.25" hidden="1" customHeight="1" x14ac:dyDescent="0.3">
      <c r="A7854" s="89" t="s">
        <v>3978</v>
      </c>
      <c r="B7854" s="86" t="s">
        <v>35</v>
      </c>
      <c r="C7854" s="86" t="s">
        <v>184</v>
      </c>
      <c r="D7854" s="86" t="s">
        <v>320</v>
      </c>
      <c r="E7854" s="86" t="s">
        <v>2311</v>
      </c>
      <c r="F7854" s="86" t="s">
        <v>2312</v>
      </c>
      <c r="G7854" s="86" t="s">
        <v>2311</v>
      </c>
      <c r="H7854" s="143">
        <v>360</v>
      </c>
      <c r="I7854" s="86" t="s">
        <v>1060</v>
      </c>
      <c r="J7854" s="47" t="s">
        <v>3325</v>
      </c>
      <c r="K7854" s="47" t="s">
        <v>3767</v>
      </c>
      <c r="L7854" s="47" t="s">
        <v>35</v>
      </c>
      <c r="M7854" s="86" t="s">
        <v>2313</v>
      </c>
      <c r="O7854" s="47" t="s">
        <v>45</v>
      </c>
      <c r="P7854" s="14" t="s">
        <v>41</v>
      </c>
      <c r="Q7854" s="14">
        <v>0</v>
      </c>
      <c r="R7854" s="143" t="s">
        <v>2314</v>
      </c>
      <c r="S7854" s="47"/>
      <c r="T7854" s="6">
        <v>142.44999999999999</v>
      </c>
      <c r="U7854" s="6"/>
      <c r="V7854" s="6">
        <v>0</v>
      </c>
      <c r="W7854" s="6">
        <f t="shared" si="1211"/>
        <v>142.44999999999999</v>
      </c>
      <c r="X7854" s="6">
        <f t="shared" si="1206"/>
        <v>0</v>
      </c>
      <c r="Y7854" s="13">
        <f t="shared" si="1208"/>
        <v>0</v>
      </c>
      <c r="Z7854" s="14">
        <v>0</v>
      </c>
      <c r="AA7854" s="6">
        <v>0</v>
      </c>
      <c r="AB7854" s="4">
        <f t="shared" si="1209"/>
        <v>0</v>
      </c>
      <c r="AC7854" s="6">
        <f t="shared" si="1207"/>
        <v>0</v>
      </c>
      <c r="AD7854" s="6">
        <f t="shared" si="1212"/>
        <v>0</v>
      </c>
      <c r="AE7854" s="14">
        <f>VLOOKUP(I7854,[2]媒体政策预估表!A:N,MATCH(O7854,[2]媒体政策预估表!$A$2:$M$2,0),0)</f>
        <v>0.1</v>
      </c>
      <c r="AF7854" s="6">
        <f t="shared" si="1214"/>
        <v>0</v>
      </c>
      <c r="AG7854" s="14">
        <v>0</v>
      </c>
      <c r="AH7854" s="64">
        <f t="shared" si="1213"/>
        <v>0</v>
      </c>
      <c r="AJ7854" s="126" t="e">
        <v>#N/A</v>
      </c>
      <c r="AK7854" s="80">
        <f t="shared" si="1210"/>
        <v>0</v>
      </c>
      <c r="AL7854" s="85"/>
      <c r="AM7854" s="85"/>
    </row>
    <row r="7855" spans="1:39" s="86" customFormat="1" ht="13.25" hidden="1" customHeight="1" x14ac:dyDescent="0.3">
      <c r="A7855" s="89" t="s">
        <v>3792</v>
      </c>
      <c r="B7855" s="86" t="s">
        <v>35</v>
      </c>
      <c r="C7855" s="86" t="s">
        <v>184</v>
      </c>
      <c r="D7855" s="86" t="s">
        <v>320</v>
      </c>
      <c r="E7855" s="86" t="s">
        <v>2315</v>
      </c>
      <c r="F7855" s="86" t="s">
        <v>2315</v>
      </c>
      <c r="G7855" s="86" t="s">
        <v>2315</v>
      </c>
      <c r="H7855" s="143">
        <v>360</v>
      </c>
      <c r="I7855" s="86" t="s">
        <v>1060</v>
      </c>
      <c r="J7855" s="47" t="s">
        <v>3325</v>
      </c>
      <c r="K7855" s="47" t="s">
        <v>3767</v>
      </c>
      <c r="L7855" s="47" t="s">
        <v>35</v>
      </c>
      <c r="M7855" s="86" t="s">
        <v>2315</v>
      </c>
      <c r="O7855" s="47" t="s">
        <v>410</v>
      </c>
      <c r="P7855" s="14" t="s">
        <v>46</v>
      </c>
      <c r="Q7855" s="14">
        <v>0.02</v>
      </c>
      <c r="R7855" s="143" t="s">
        <v>2316</v>
      </c>
      <c r="S7855" s="47"/>
      <c r="T7855" s="6">
        <v>3.1000000000003598</v>
      </c>
      <c r="U7855" s="6"/>
      <c r="V7855" s="6">
        <v>0</v>
      </c>
      <c r="W7855" s="6">
        <f t="shared" si="1211"/>
        <v>3.1000000000003598</v>
      </c>
      <c r="X7855" s="6">
        <f t="shared" si="1206"/>
        <v>0</v>
      </c>
      <c r="Y7855" s="13">
        <f t="shared" si="1208"/>
        <v>0</v>
      </c>
      <c r="Z7855" s="14">
        <v>0</v>
      </c>
      <c r="AA7855" s="6">
        <v>0</v>
      </c>
      <c r="AB7855" s="4">
        <f t="shared" si="1209"/>
        <v>0</v>
      </c>
      <c r="AC7855" s="6">
        <f t="shared" si="1207"/>
        <v>0</v>
      </c>
      <c r="AD7855" s="6">
        <f t="shared" si="1212"/>
        <v>0</v>
      </c>
      <c r="AE7855" s="14">
        <f>VLOOKUP(I7855,[2]媒体政策预估表!A:N,MATCH(O7855,[2]媒体政策预估表!$A$2:$M$2,0),0)</f>
        <v>7.0000000000000007E-2</v>
      </c>
      <c r="AF7855" s="6">
        <f t="shared" si="1214"/>
        <v>0</v>
      </c>
      <c r="AG7855" s="14">
        <v>0</v>
      </c>
      <c r="AH7855" s="64">
        <f t="shared" si="1213"/>
        <v>0</v>
      </c>
      <c r="AJ7855" s="126" t="e">
        <v>#N/A</v>
      </c>
      <c r="AK7855" s="80">
        <f t="shared" si="1210"/>
        <v>0</v>
      </c>
      <c r="AL7855" s="85"/>
      <c r="AM7855" s="85"/>
    </row>
    <row r="7856" spans="1:39" s="86" customFormat="1" ht="13.25" hidden="1" customHeight="1" x14ac:dyDescent="0.3">
      <c r="A7856" s="89" t="s">
        <v>3978</v>
      </c>
      <c r="B7856" s="86" t="s">
        <v>35</v>
      </c>
      <c r="C7856" s="86" t="s">
        <v>184</v>
      </c>
      <c r="D7856" s="86" t="s">
        <v>320</v>
      </c>
      <c r="E7856" s="86" t="s">
        <v>2317</v>
      </c>
      <c r="F7856" s="86" t="s">
        <v>2320</v>
      </c>
      <c r="G7856" s="86" t="s">
        <v>2317</v>
      </c>
      <c r="H7856" s="143">
        <v>360</v>
      </c>
      <c r="I7856" s="86" t="s">
        <v>1060</v>
      </c>
      <c r="J7856" s="47" t="s">
        <v>3325</v>
      </c>
      <c r="K7856" s="47" t="s">
        <v>3767</v>
      </c>
      <c r="L7856" s="47" t="s">
        <v>35</v>
      </c>
      <c r="M7856" s="86" t="s">
        <v>2313</v>
      </c>
      <c r="O7856" s="47" t="s">
        <v>45</v>
      </c>
      <c r="P7856" s="14" t="s">
        <v>46</v>
      </c>
      <c r="Q7856" s="14">
        <v>0.1</v>
      </c>
      <c r="R7856" s="143" t="s">
        <v>2319</v>
      </c>
      <c r="S7856" s="47"/>
      <c r="T7856" s="6">
        <v>464.88000000000102</v>
      </c>
      <c r="U7856" s="6"/>
      <c r="V7856" s="6">
        <v>0</v>
      </c>
      <c r="W7856" s="6">
        <f t="shared" si="1211"/>
        <v>464.88000000000102</v>
      </c>
      <c r="X7856" s="6">
        <f t="shared" ref="X7856:X7919" si="1215">IF(P7856="折扣",V7856*Q7856,IF(P7856="返现",V7856,V7856/(1+Q7856)))</f>
        <v>0</v>
      </c>
      <c r="Y7856" s="13">
        <f t="shared" si="1208"/>
        <v>0</v>
      </c>
      <c r="Z7856" s="14">
        <v>0</v>
      </c>
      <c r="AA7856" s="6">
        <v>0</v>
      </c>
      <c r="AB7856" s="4"/>
      <c r="AC7856" s="6">
        <f t="shared" si="1207"/>
        <v>0</v>
      </c>
      <c r="AD7856" s="6">
        <f t="shared" si="1212"/>
        <v>0</v>
      </c>
      <c r="AE7856" s="14">
        <f>VLOOKUP(I7856,[2]媒体政策预估表!A:N,MATCH(O7856,[2]媒体政策预估表!$A$2:$M$2,0),0)</f>
        <v>0.1</v>
      </c>
      <c r="AF7856" s="6">
        <f t="shared" si="1214"/>
        <v>0</v>
      </c>
      <c r="AG7856" s="14">
        <v>0</v>
      </c>
      <c r="AH7856" s="64">
        <f t="shared" si="1213"/>
        <v>0</v>
      </c>
      <c r="AJ7856" s="126">
        <v>61</v>
      </c>
      <c r="AK7856" s="80">
        <f t="shared" si="1210"/>
        <v>0</v>
      </c>
      <c r="AL7856" s="85"/>
      <c r="AM7856" s="85"/>
    </row>
    <row r="7857" spans="1:39" s="86" customFormat="1" ht="13.25" hidden="1" customHeight="1" x14ac:dyDescent="0.3">
      <c r="A7857" s="89" t="s">
        <v>3792</v>
      </c>
      <c r="B7857" s="86" t="s">
        <v>35</v>
      </c>
      <c r="C7857" s="86" t="s">
        <v>184</v>
      </c>
      <c r="D7857" s="86" t="s">
        <v>320</v>
      </c>
      <c r="E7857" s="86" t="s">
        <v>2317</v>
      </c>
      <c r="F7857" s="86" t="s">
        <v>2320</v>
      </c>
      <c r="G7857" s="86" t="s">
        <v>2317</v>
      </c>
      <c r="H7857" s="143">
        <v>360</v>
      </c>
      <c r="I7857" s="86" t="s">
        <v>1060</v>
      </c>
      <c r="J7857" s="47" t="s">
        <v>3325</v>
      </c>
      <c r="K7857" s="47" t="s">
        <v>3767</v>
      </c>
      <c r="L7857" s="47" t="s">
        <v>35</v>
      </c>
      <c r="M7857" s="86" t="s">
        <v>2313</v>
      </c>
      <c r="O7857" s="47" t="s">
        <v>45</v>
      </c>
      <c r="P7857" s="14" t="s">
        <v>46</v>
      </c>
      <c r="Q7857" s="14">
        <v>0.1</v>
      </c>
      <c r="R7857" s="143" t="s">
        <v>2321</v>
      </c>
      <c r="S7857" s="47"/>
      <c r="T7857" s="6">
        <v>347.59000000002601</v>
      </c>
      <c r="U7857" s="6"/>
      <c r="V7857" s="6">
        <v>0</v>
      </c>
      <c r="W7857" s="6">
        <f t="shared" si="1211"/>
        <v>347.59000000002601</v>
      </c>
      <c r="X7857" s="6">
        <f t="shared" si="1215"/>
        <v>0</v>
      </c>
      <c r="Y7857" s="13">
        <f t="shared" si="1208"/>
        <v>0</v>
      </c>
      <c r="Z7857" s="14">
        <v>0</v>
      </c>
      <c r="AA7857" s="6">
        <v>0</v>
      </c>
      <c r="AB7857" s="4"/>
      <c r="AC7857" s="6">
        <f t="shared" si="1207"/>
        <v>0</v>
      </c>
      <c r="AD7857" s="6">
        <f t="shared" si="1212"/>
        <v>0</v>
      </c>
      <c r="AE7857" s="14">
        <f>VLOOKUP(I7857,[2]媒体政策预估表!A:N,MATCH(O7857,[2]媒体政策预估表!$A$2:$M$2,0),0)</f>
        <v>0.1</v>
      </c>
      <c r="AF7857" s="6">
        <f t="shared" si="1214"/>
        <v>0</v>
      </c>
      <c r="AG7857" s="14">
        <v>0</v>
      </c>
      <c r="AH7857" s="64">
        <f t="shared" si="1213"/>
        <v>0</v>
      </c>
      <c r="AJ7857" s="126">
        <v>61</v>
      </c>
      <c r="AK7857" s="80">
        <f t="shared" si="1210"/>
        <v>0</v>
      </c>
      <c r="AL7857" s="85"/>
      <c r="AM7857" s="85"/>
    </row>
    <row r="7858" spans="1:39" s="86" customFormat="1" ht="13.25" hidden="1" customHeight="1" x14ac:dyDescent="0.3">
      <c r="A7858" s="89" t="s">
        <v>3978</v>
      </c>
      <c r="B7858" s="86" t="s">
        <v>35</v>
      </c>
      <c r="C7858" s="86" t="s">
        <v>184</v>
      </c>
      <c r="D7858" s="86" t="s">
        <v>320</v>
      </c>
      <c r="E7858" s="86" t="s">
        <v>2317</v>
      </c>
      <c r="F7858" s="86" t="s">
        <v>2320</v>
      </c>
      <c r="G7858" s="86" t="s">
        <v>2317</v>
      </c>
      <c r="H7858" s="143">
        <v>360</v>
      </c>
      <c r="I7858" s="86" t="s">
        <v>1060</v>
      </c>
      <c r="J7858" s="47" t="s">
        <v>3325</v>
      </c>
      <c r="K7858" s="47" t="s">
        <v>3767</v>
      </c>
      <c r="L7858" s="47" t="s">
        <v>35</v>
      </c>
      <c r="M7858" s="86" t="s">
        <v>2317</v>
      </c>
      <c r="O7858" s="47" t="s">
        <v>45</v>
      </c>
      <c r="P7858" s="14" t="s">
        <v>46</v>
      </c>
      <c r="Q7858" s="14">
        <v>0.02</v>
      </c>
      <c r="R7858" s="143" t="s">
        <v>2322</v>
      </c>
      <c r="S7858" s="47"/>
      <c r="T7858" s="6">
        <v>9103.4</v>
      </c>
      <c r="U7858" s="6"/>
      <c r="V7858" s="6">
        <v>0</v>
      </c>
      <c r="W7858" s="6">
        <f t="shared" si="1211"/>
        <v>9103.4</v>
      </c>
      <c r="X7858" s="6">
        <f t="shared" si="1215"/>
        <v>0</v>
      </c>
      <c r="Y7858" s="13">
        <f t="shared" si="1208"/>
        <v>0</v>
      </c>
      <c r="Z7858" s="14">
        <v>0</v>
      </c>
      <c r="AA7858" s="6">
        <v>0</v>
      </c>
      <c r="AB7858" s="4"/>
      <c r="AC7858" s="6">
        <f t="shared" si="1207"/>
        <v>0</v>
      </c>
      <c r="AD7858" s="6">
        <f t="shared" si="1212"/>
        <v>0</v>
      </c>
      <c r="AE7858" s="14">
        <f>VLOOKUP(I7858,[2]媒体政策预估表!A:N,MATCH(O7858,[2]媒体政策预估表!$A$2:$M$2,0),0)</f>
        <v>0.1</v>
      </c>
      <c r="AF7858" s="6">
        <f t="shared" si="1214"/>
        <v>0</v>
      </c>
      <c r="AG7858" s="14">
        <v>0</v>
      </c>
      <c r="AH7858" s="64">
        <f t="shared" si="1213"/>
        <v>0</v>
      </c>
      <c r="AJ7858" s="126">
        <v>61</v>
      </c>
      <c r="AK7858" s="80">
        <f t="shared" si="1210"/>
        <v>0</v>
      </c>
      <c r="AL7858" s="85"/>
      <c r="AM7858" s="85"/>
    </row>
    <row r="7859" spans="1:39" s="86" customFormat="1" ht="13.25" hidden="1" customHeight="1" x14ac:dyDescent="0.3">
      <c r="A7859" s="89" t="s">
        <v>3978</v>
      </c>
      <c r="B7859" s="86" t="s">
        <v>35</v>
      </c>
      <c r="C7859" s="86" t="s">
        <v>184</v>
      </c>
      <c r="D7859" s="86" t="s">
        <v>320</v>
      </c>
      <c r="E7859" s="86" t="s">
        <v>2323</v>
      </c>
      <c r="F7859" s="86" t="s">
        <v>2323</v>
      </c>
      <c r="G7859" s="86" t="s">
        <v>2323</v>
      </c>
      <c r="H7859" s="143">
        <v>360</v>
      </c>
      <c r="I7859" s="86" t="s">
        <v>1060</v>
      </c>
      <c r="J7859" s="47" t="s">
        <v>3325</v>
      </c>
      <c r="K7859" s="47" t="s">
        <v>3767</v>
      </c>
      <c r="L7859" s="47" t="s">
        <v>35</v>
      </c>
      <c r="M7859" s="86" t="s">
        <v>2323</v>
      </c>
      <c r="O7859" s="47" t="s">
        <v>45</v>
      </c>
      <c r="P7859" s="14" t="s">
        <v>46</v>
      </c>
      <c r="Q7859" s="14">
        <v>0.06</v>
      </c>
      <c r="R7859" s="143" t="s">
        <v>2324</v>
      </c>
      <c r="S7859" s="47"/>
      <c r="T7859" s="6">
        <v>2374.2600000000002</v>
      </c>
      <c r="U7859" s="6"/>
      <c r="V7859" s="6">
        <v>0</v>
      </c>
      <c r="W7859" s="6">
        <f t="shared" si="1211"/>
        <v>2374.2600000000002</v>
      </c>
      <c r="X7859" s="6">
        <f t="shared" si="1215"/>
        <v>0</v>
      </c>
      <c r="Y7859" s="13">
        <f t="shared" si="1208"/>
        <v>0</v>
      </c>
      <c r="Z7859" s="14">
        <v>0</v>
      </c>
      <c r="AA7859" s="6">
        <v>0</v>
      </c>
      <c r="AB7859" s="4">
        <f t="shared" si="1209"/>
        <v>0</v>
      </c>
      <c r="AC7859" s="6">
        <f t="shared" si="1207"/>
        <v>0</v>
      </c>
      <c r="AD7859" s="6">
        <f t="shared" si="1212"/>
        <v>0</v>
      </c>
      <c r="AE7859" s="14">
        <f>VLOOKUP(I7859,[2]媒体政策预估表!A:N,MATCH(O7859,[2]媒体政策预估表!$A$2:$M$2,0),0)</f>
        <v>0.1</v>
      </c>
      <c r="AF7859" s="6">
        <f t="shared" si="1214"/>
        <v>0</v>
      </c>
      <c r="AG7859" s="14">
        <v>0</v>
      </c>
      <c r="AH7859" s="64">
        <f t="shared" si="1213"/>
        <v>0</v>
      </c>
      <c r="AJ7859" s="126" t="e">
        <v>#N/A</v>
      </c>
      <c r="AK7859" s="80">
        <f t="shared" si="1210"/>
        <v>0</v>
      </c>
      <c r="AL7859" s="85"/>
      <c r="AM7859" s="85"/>
    </row>
    <row r="7860" spans="1:39" s="86" customFormat="1" ht="13.25" hidden="1" customHeight="1" x14ac:dyDescent="0.3">
      <c r="A7860" s="89" t="s">
        <v>3792</v>
      </c>
      <c r="B7860" s="86" t="s">
        <v>35</v>
      </c>
      <c r="C7860" s="86" t="s">
        <v>184</v>
      </c>
      <c r="D7860" s="86" t="s">
        <v>2325</v>
      </c>
      <c r="E7860" s="86" t="s">
        <v>2326</v>
      </c>
      <c r="F7860" s="86" t="s">
        <v>2326</v>
      </c>
      <c r="G7860" s="86" t="s">
        <v>2326</v>
      </c>
      <c r="H7860" s="143">
        <v>360</v>
      </c>
      <c r="I7860" s="86" t="s">
        <v>1060</v>
      </c>
      <c r="J7860" s="47" t="s">
        <v>3325</v>
      </c>
      <c r="K7860" s="47" t="s">
        <v>3767</v>
      </c>
      <c r="L7860" s="47" t="s">
        <v>35</v>
      </c>
      <c r="M7860" s="86" t="s">
        <v>2326</v>
      </c>
      <c r="O7860" s="47" t="s">
        <v>410</v>
      </c>
      <c r="P7860" s="14" t="s">
        <v>41</v>
      </c>
      <c r="Q7860" s="14">
        <v>0</v>
      </c>
      <c r="R7860" s="143" t="s">
        <v>2327</v>
      </c>
      <c r="S7860" s="47"/>
      <c r="T7860" s="6">
        <v>1959.5</v>
      </c>
      <c r="U7860" s="6"/>
      <c r="V7860" s="6">
        <v>0</v>
      </c>
      <c r="W7860" s="6">
        <f t="shared" si="1211"/>
        <v>1959.5</v>
      </c>
      <c r="X7860" s="6">
        <f t="shared" si="1215"/>
        <v>0</v>
      </c>
      <c r="Y7860" s="13">
        <f t="shared" si="1208"/>
        <v>0</v>
      </c>
      <c r="Z7860" s="14">
        <v>0</v>
      </c>
      <c r="AA7860" s="6">
        <v>0</v>
      </c>
      <c r="AB7860" s="4">
        <f t="shared" si="1209"/>
        <v>0</v>
      </c>
      <c r="AC7860" s="6">
        <f t="shared" si="1207"/>
        <v>0</v>
      </c>
      <c r="AD7860" s="6">
        <f t="shared" si="1212"/>
        <v>0</v>
      </c>
      <c r="AE7860" s="14">
        <f>VLOOKUP(I7860,[2]媒体政策预估表!A:N,MATCH(O7860,[2]媒体政策预估表!$A$2:$M$2,0),0)</f>
        <v>7.0000000000000007E-2</v>
      </c>
      <c r="AF7860" s="6">
        <f t="shared" si="1214"/>
        <v>0</v>
      </c>
      <c r="AG7860" s="14">
        <v>0</v>
      </c>
      <c r="AH7860" s="64">
        <f t="shared" si="1213"/>
        <v>0</v>
      </c>
      <c r="AJ7860" s="126" t="e">
        <v>#N/A</v>
      </c>
      <c r="AK7860" s="80">
        <f t="shared" si="1210"/>
        <v>0</v>
      </c>
      <c r="AL7860" s="85"/>
      <c r="AM7860" s="85"/>
    </row>
    <row r="7861" spans="1:39" s="86" customFormat="1" ht="13.25" hidden="1" customHeight="1" x14ac:dyDescent="0.3">
      <c r="A7861" s="89" t="s">
        <v>3805</v>
      </c>
      <c r="B7861" s="86" t="s">
        <v>35</v>
      </c>
      <c r="C7861" s="86" t="s">
        <v>184</v>
      </c>
      <c r="D7861" s="86" t="s">
        <v>985</v>
      </c>
      <c r="E7861" s="86" t="s">
        <v>1863</v>
      </c>
      <c r="F7861" s="86" t="s">
        <v>1863</v>
      </c>
      <c r="G7861" s="86" t="s">
        <v>1863</v>
      </c>
      <c r="H7861" s="143">
        <v>360</v>
      </c>
      <c r="I7861" s="86" t="s">
        <v>1060</v>
      </c>
      <c r="J7861" s="47" t="s">
        <v>3325</v>
      </c>
      <c r="K7861" s="47" t="s">
        <v>3767</v>
      </c>
      <c r="L7861" s="47" t="s">
        <v>35</v>
      </c>
      <c r="M7861" s="86" t="s">
        <v>1864</v>
      </c>
      <c r="O7861" s="47" t="s">
        <v>941</v>
      </c>
      <c r="P7861" s="14" t="s">
        <v>46</v>
      </c>
      <c r="Q7861" s="14">
        <v>0.04</v>
      </c>
      <c r="R7861" s="143" t="s">
        <v>1865</v>
      </c>
      <c r="S7861" s="47"/>
      <c r="T7861" s="6">
        <v>-31310.400000000001</v>
      </c>
      <c r="U7861" s="6"/>
      <c r="V7861" s="6">
        <v>0</v>
      </c>
      <c r="W7861" s="6">
        <f t="shared" si="1211"/>
        <v>-31310.400000000001</v>
      </c>
      <c r="X7861" s="6">
        <f t="shared" si="1215"/>
        <v>0</v>
      </c>
      <c r="Y7861" s="13">
        <f t="shared" si="1208"/>
        <v>0</v>
      </c>
      <c r="Z7861" s="14">
        <v>0</v>
      </c>
      <c r="AA7861" s="6">
        <v>0</v>
      </c>
      <c r="AB7861" s="4">
        <f t="shared" si="1209"/>
        <v>0</v>
      </c>
      <c r="AC7861" s="6">
        <f t="shared" si="1207"/>
        <v>0</v>
      </c>
      <c r="AD7861" s="6">
        <f t="shared" si="1212"/>
        <v>0</v>
      </c>
      <c r="AE7861" s="14">
        <f>VLOOKUP(I7861,[2]媒体政策预估表!A:N,MATCH(O7861,[2]媒体政策预估表!$A$2:$M$2,0),0)</f>
        <v>0.15</v>
      </c>
      <c r="AF7861" s="6">
        <f t="shared" si="1214"/>
        <v>0</v>
      </c>
      <c r="AG7861" s="14">
        <v>0</v>
      </c>
      <c r="AH7861" s="64">
        <f t="shared" si="1213"/>
        <v>0</v>
      </c>
      <c r="AJ7861" s="126" t="e">
        <v>#N/A</v>
      </c>
      <c r="AK7861" s="80">
        <f t="shared" si="1210"/>
        <v>0</v>
      </c>
      <c r="AL7861" s="85"/>
      <c r="AM7861" s="85"/>
    </row>
    <row r="7862" spans="1:39" s="86" customFormat="1" ht="13.25" hidden="1" customHeight="1" x14ac:dyDescent="0.3">
      <c r="A7862" s="89" t="s">
        <v>3792</v>
      </c>
      <c r="B7862" s="86" t="s">
        <v>35</v>
      </c>
      <c r="C7862" s="86" t="s">
        <v>184</v>
      </c>
      <c r="D7862" s="86" t="s">
        <v>54</v>
      </c>
      <c r="E7862" s="86" t="s">
        <v>2328</v>
      </c>
      <c r="F7862" s="86" t="s">
        <v>2328</v>
      </c>
      <c r="G7862" s="86" t="s">
        <v>2328</v>
      </c>
      <c r="H7862" s="143">
        <v>360</v>
      </c>
      <c r="I7862" s="86" t="s">
        <v>1060</v>
      </c>
      <c r="J7862" s="47" t="s">
        <v>3325</v>
      </c>
      <c r="K7862" s="47" t="s">
        <v>3767</v>
      </c>
      <c r="L7862" s="47" t="s">
        <v>35</v>
      </c>
      <c r="M7862" s="86" t="s">
        <v>2328</v>
      </c>
      <c r="O7862" s="47" t="s">
        <v>410</v>
      </c>
      <c r="P7862" s="14" t="s">
        <v>41</v>
      </c>
      <c r="Q7862" s="14">
        <v>0</v>
      </c>
      <c r="R7862" s="143" t="s">
        <v>2329</v>
      </c>
      <c r="S7862" s="47"/>
      <c r="T7862" s="6">
        <v>338.3</v>
      </c>
      <c r="U7862" s="6"/>
      <c r="V7862" s="6">
        <v>0</v>
      </c>
      <c r="W7862" s="6">
        <f t="shared" si="1211"/>
        <v>338.3</v>
      </c>
      <c r="X7862" s="6">
        <f t="shared" si="1215"/>
        <v>0</v>
      </c>
      <c r="Y7862" s="13">
        <f t="shared" si="1208"/>
        <v>0</v>
      </c>
      <c r="Z7862" s="14">
        <v>0</v>
      </c>
      <c r="AA7862" s="6">
        <v>0</v>
      </c>
      <c r="AB7862" s="4">
        <f t="shared" si="1209"/>
        <v>0</v>
      </c>
      <c r="AC7862" s="6">
        <f t="shared" si="1207"/>
        <v>0</v>
      </c>
      <c r="AD7862" s="6">
        <f t="shared" si="1212"/>
        <v>0</v>
      </c>
      <c r="AE7862" s="14">
        <f>VLOOKUP(I7862,[2]媒体政策预估表!A:N,MATCH(O7862,[2]媒体政策预估表!$A$2:$M$2,0),0)</f>
        <v>7.0000000000000007E-2</v>
      </c>
      <c r="AF7862" s="6">
        <f t="shared" si="1214"/>
        <v>0</v>
      </c>
      <c r="AG7862" s="14">
        <v>0</v>
      </c>
      <c r="AH7862" s="64">
        <f t="shared" si="1213"/>
        <v>0</v>
      </c>
      <c r="AJ7862" s="126" t="e">
        <v>#N/A</v>
      </c>
      <c r="AK7862" s="80">
        <f t="shared" si="1210"/>
        <v>0</v>
      </c>
      <c r="AL7862" s="85"/>
      <c r="AM7862" s="85"/>
    </row>
    <row r="7863" spans="1:39" s="86" customFormat="1" ht="13.25" hidden="1" customHeight="1" x14ac:dyDescent="0.3">
      <c r="A7863" s="89" t="s">
        <v>3792</v>
      </c>
      <c r="B7863" s="86" t="s">
        <v>35</v>
      </c>
      <c r="C7863" s="86" t="s">
        <v>184</v>
      </c>
      <c r="D7863" s="86" t="s">
        <v>54</v>
      </c>
      <c r="E7863" s="86" t="s">
        <v>71</v>
      </c>
      <c r="F7863" s="86" t="s">
        <v>71</v>
      </c>
      <c r="G7863" s="86" t="s">
        <v>71</v>
      </c>
      <c r="H7863" s="143">
        <v>360</v>
      </c>
      <c r="I7863" s="86" t="s">
        <v>1060</v>
      </c>
      <c r="J7863" s="47" t="s">
        <v>3325</v>
      </c>
      <c r="K7863" s="47" t="s">
        <v>3767</v>
      </c>
      <c r="L7863" s="47" t="s">
        <v>35</v>
      </c>
      <c r="M7863" s="86" t="s">
        <v>1858</v>
      </c>
      <c r="O7863" s="47" t="s">
        <v>941</v>
      </c>
      <c r="P7863" s="14" t="s">
        <v>41</v>
      </c>
      <c r="Q7863" s="14">
        <v>0</v>
      </c>
      <c r="R7863" s="143" t="s">
        <v>1859</v>
      </c>
      <c r="S7863" s="47"/>
      <c r="T7863" s="6">
        <v>-431894.54719000001</v>
      </c>
      <c r="U7863" s="6"/>
      <c r="V7863" s="6">
        <v>0</v>
      </c>
      <c r="W7863" s="6">
        <f t="shared" si="1211"/>
        <v>-431894.54719000001</v>
      </c>
      <c r="X7863" s="6">
        <f t="shared" si="1215"/>
        <v>0</v>
      </c>
      <c r="Y7863" s="13">
        <f t="shared" si="1208"/>
        <v>0</v>
      </c>
      <c r="Z7863" s="14">
        <v>0</v>
      </c>
      <c r="AA7863" s="6">
        <v>0</v>
      </c>
      <c r="AB7863" s="4">
        <f t="shared" si="1209"/>
        <v>0</v>
      </c>
      <c r="AC7863" s="6">
        <f t="shared" si="1207"/>
        <v>0</v>
      </c>
      <c r="AD7863" s="6">
        <f t="shared" si="1212"/>
        <v>0</v>
      </c>
      <c r="AE7863" s="14">
        <f>VLOOKUP(I7863,[2]媒体政策预估表!A:N,MATCH(O7863,[2]媒体政策预估表!$A$2:$M$2,0),0)</f>
        <v>0.15</v>
      </c>
      <c r="AF7863" s="6">
        <f t="shared" si="1214"/>
        <v>0</v>
      </c>
      <c r="AG7863" s="14">
        <v>0</v>
      </c>
      <c r="AH7863" s="64">
        <f t="shared" si="1213"/>
        <v>0</v>
      </c>
      <c r="AJ7863" s="126" t="e">
        <v>#N/A</v>
      </c>
      <c r="AK7863" s="80">
        <f t="shared" si="1210"/>
        <v>0</v>
      </c>
      <c r="AL7863" s="85"/>
      <c r="AM7863" s="85"/>
    </row>
    <row r="7864" spans="1:39" s="86" customFormat="1" ht="13.25" hidden="1" customHeight="1" x14ac:dyDescent="0.3">
      <c r="A7864" s="89" t="s">
        <v>3978</v>
      </c>
      <c r="B7864" s="86" t="s">
        <v>35</v>
      </c>
      <c r="C7864" s="86" t="s">
        <v>184</v>
      </c>
      <c r="D7864" s="86" t="s">
        <v>54</v>
      </c>
      <c r="E7864" s="86" t="s">
        <v>71</v>
      </c>
      <c r="F7864" s="86" t="s">
        <v>71</v>
      </c>
      <c r="G7864" s="86" t="s">
        <v>71</v>
      </c>
      <c r="H7864" s="143">
        <v>360</v>
      </c>
      <c r="I7864" s="86" t="s">
        <v>1060</v>
      </c>
      <c r="J7864" s="47" t="s">
        <v>3325</v>
      </c>
      <c r="K7864" s="47" t="s">
        <v>3767</v>
      </c>
      <c r="L7864" s="47" t="s">
        <v>35</v>
      </c>
      <c r="M7864" s="86" t="s">
        <v>1858</v>
      </c>
      <c r="O7864" s="47" t="s">
        <v>2054</v>
      </c>
      <c r="P7864" s="14" t="s">
        <v>41</v>
      </c>
      <c r="Q7864" s="14">
        <v>0</v>
      </c>
      <c r="R7864" s="143" t="s">
        <v>1859</v>
      </c>
      <c r="S7864" s="47"/>
      <c r="T7864" s="6">
        <v>-8740.7613600000022</v>
      </c>
      <c r="U7864" s="6"/>
      <c r="V7864" s="6">
        <v>0</v>
      </c>
      <c r="W7864" s="6">
        <f t="shared" si="1211"/>
        <v>-8740.7613600000022</v>
      </c>
      <c r="X7864" s="6">
        <f t="shared" si="1215"/>
        <v>0</v>
      </c>
      <c r="Y7864" s="13">
        <f t="shared" si="1208"/>
        <v>0</v>
      </c>
      <c r="Z7864" s="14">
        <v>0</v>
      </c>
      <c r="AA7864" s="6">
        <v>0</v>
      </c>
      <c r="AB7864" s="4">
        <f t="shared" si="1209"/>
        <v>0</v>
      </c>
      <c r="AC7864" s="6">
        <f t="shared" si="1207"/>
        <v>0</v>
      </c>
      <c r="AD7864" s="6">
        <f t="shared" si="1212"/>
        <v>0</v>
      </c>
      <c r="AE7864" s="14">
        <f>VLOOKUP(I7864,[2]媒体政策预估表!A:N,MATCH(O7864,[2]媒体政策预估表!$A$2:$M$2,0),0)</f>
        <v>0.1</v>
      </c>
      <c r="AF7864" s="6">
        <f t="shared" si="1214"/>
        <v>0</v>
      </c>
      <c r="AG7864" s="14">
        <v>0</v>
      </c>
      <c r="AH7864" s="64">
        <f t="shared" si="1213"/>
        <v>0</v>
      </c>
      <c r="AJ7864" s="126" t="e">
        <v>#N/A</v>
      </c>
      <c r="AK7864" s="80">
        <f t="shared" si="1210"/>
        <v>0</v>
      </c>
      <c r="AL7864" s="85"/>
      <c r="AM7864" s="85"/>
    </row>
    <row r="7865" spans="1:39" s="86" customFormat="1" ht="13.25" hidden="1" customHeight="1" x14ac:dyDescent="0.3">
      <c r="A7865" s="89" t="s">
        <v>3792</v>
      </c>
      <c r="B7865" s="86" t="s">
        <v>35</v>
      </c>
      <c r="C7865" s="86" t="s">
        <v>184</v>
      </c>
      <c r="D7865" s="86" t="s">
        <v>54</v>
      </c>
      <c r="E7865" s="86" t="s">
        <v>71</v>
      </c>
      <c r="F7865" s="86" t="s">
        <v>71</v>
      </c>
      <c r="G7865" s="86" t="s">
        <v>71</v>
      </c>
      <c r="H7865" s="143">
        <v>360</v>
      </c>
      <c r="I7865" s="86" t="s">
        <v>1060</v>
      </c>
      <c r="J7865" s="47" t="s">
        <v>3325</v>
      </c>
      <c r="K7865" s="47" t="s">
        <v>3767</v>
      </c>
      <c r="L7865" s="47" t="s">
        <v>35</v>
      </c>
      <c r="M7865" s="86" t="s">
        <v>73</v>
      </c>
      <c r="O7865" s="47" t="s">
        <v>941</v>
      </c>
      <c r="P7865" s="14" t="s">
        <v>41</v>
      </c>
      <c r="Q7865" s="14">
        <v>0</v>
      </c>
      <c r="R7865" s="143" t="s">
        <v>1860</v>
      </c>
      <c r="S7865" s="47"/>
      <c r="T7865" s="6">
        <v>-2096832.3865300003</v>
      </c>
      <c r="U7865" s="6"/>
      <c r="V7865" s="6">
        <v>0</v>
      </c>
      <c r="W7865" s="6">
        <f t="shared" si="1211"/>
        <v>-2096832.3865300003</v>
      </c>
      <c r="X7865" s="6">
        <f t="shared" si="1215"/>
        <v>0</v>
      </c>
      <c r="Y7865" s="13">
        <f t="shared" si="1208"/>
        <v>0</v>
      </c>
      <c r="Z7865" s="14">
        <v>0</v>
      </c>
      <c r="AA7865" s="6">
        <v>0</v>
      </c>
      <c r="AB7865" s="4">
        <f t="shared" si="1209"/>
        <v>0</v>
      </c>
      <c r="AC7865" s="6">
        <f t="shared" si="1207"/>
        <v>0</v>
      </c>
      <c r="AD7865" s="6">
        <f t="shared" si="1212"/>
        <v>0</v>
      </c>
      <c r="AE7865" s="14">
        <f>VLOOKUP(I7865,[2]媒体政策预估表!A:N,MATCH(O7865,[2]媒体政策预估表!$A$2:$M$2,0),0)</f>
        <v>0.15</v>
      </c>
      <c r="AF7865" s="6">
        <f t="shared" si="1214"/>
        <v>0</v>
      </c>
      <c r="AG7865" s="14">
        <v>0</v>
      </c>
      <c r="AH7865" s="64">
        <f t="shared" si="1213"/>
        <v>0</v>
      </c>
      <c r="AJ7865" s="126" t="e">
        <v>#N/A</v>
      </c>
      <c r="AK7865" s="80">
        <f t="shared" si="1210"/>
        <v>0</v>
      </c>
      <c r="AL7865" s="85"/>
      <c r="AM7865" s="85"/>
    </row>
    <row r="7866" spans="1:39" s="86" customFormat="1" ht="13.25" hidden="1" customHeight="1" x14ac:dyDescent="0.3">
      <c r="A7866" s="89" t="s">
        <v>3805</v>
      </c>
      <c r="B7866" s="86" t="s">
        <v>35</v>
      </c>
      <c r="C7866" s="86" t="s">
        <v>184</v>
      </c>
      <c r="D7866" s="86" t="s">
        <v>54</v>
      </c>
      <c r="E7866" s="86" t="s">
        <v>71</v>
      </c>
      <c r="F7866" s="86" t="s">
        <v>71</v>
      </c>
      <c r="G7866" s="86" t="s">
        <v>71</v>
      </c>
      <c r="H7866" s="143">
        <v>360</v>
      </c>
      <c r="I7866" s="86" t="s">
        <v>1060</v>
      </c>
      <c r="J7866" s="47" t="s">
        <v>3325</v>
      </c>
      <c r="K7866" s="47" t="s">
        <v>3767</v>
      </c>
      <c r="L7866" s="47" t="s">
        <v>35</v>
      </c>
      <c r="M7866" s="86" t="s">
        <v>73</v>
      </c>
      <c r="O7866" s="47" t="s">
        <v>2054</v>
      </c>
      <c r="P7866" s="14" t="s">
        <v>41</v>
      </c>
      <c r="Q7866" s="14">
        <v>0</v>
      </c>
      <c r="R7866" s="143" t="s">
        <v>1860</v>
      </c>
      <c r="S7866" s="47"/>
      <c r="T7866" s="6">
        <v>-160558.42146000001</v>
      </c>
      <c r="U7866" s="6"/>
      <c r="V7866" s="6">
        <v>0</v>
      </c>
      <c r="W7866" s="6">
        <f t="shared" si="1211"/>
        <v>-160558.42146000001</v>
      </c>
      <c r="X7866" s="6">
        <f t="shared" si="1215"/>
        <v>0</v>
      </c>
      <c r="Y7866" s="13">
        <f t="shared" si="1208"/>
        <v>0</v>
      </c>
      <c r="Z7866" s="14">
        <v>0</v>
      </c>
      <c r="AA7866" s="6">
        <v>0</v>
      </c>
      <c r="AB7866" s="4">
        <f t="shared" si="1209"/>
        <v>0</v>
      </c>
      <c r="AC7866" s="6">
        <f t="shared" si="1207"/>
        <v>0</v>
      </c>
      <c r="AD7866" s="6">
        <f t="shared" si="1212"/>
        <v>0</v>
      </c>
      <c r="AE7866" s="14">
        <f>VLOOKUP(I7866,[2]媒体政策预估表!A:N,MATCH(O7866,[2]媒体政策预估表!$A$2:$M$2,0),0)</f>
        <v>0.1</v>
      </c>
      <c r="AF7866" s="6">
        <f t="shared" si="1214"/>
        <v>0</v>
      </c>
      <c r="AG7866" s="14">
        <v>0</v>
      </c>
      <c r="AH7866" s="64">
        <f t="shared" si="1213"/>
        <v>0</v>
      </c>
      <c r="AJ7866" s="126" t="e">
        <v>#N/A</v>
      </c>
      <c r="AK7866" s="80">
        <f t="shared" si="1210"/>
        <v>0</v>
      </c>
      <c r="AL7866" s="85"/>
      <c r="AM7866" s="85"/>
    </row>
    <row r="7867" spans="1:39" s="86" customFormat="1" ht="13.25" hidden="1" customHeight="1" x14ac:dyDescent="0.3">
      <c r="A7867" s="89" t="s">
        <v>3792</v>
      </c>
      <c r="B7867" s="86" t="s">
        <v>35</v>
      </c>
      <c r="C7867" s="86" t="s">
        <v>184</v>
      </c>
      <c r="D7867" s="86" t="s">
        <v>54</v>
      </c>
      <c r="E7867" s="86" t="s">
        <v>2330</v>
      </c>
      <c r="F7867" s="86" t="s">
        <v>2330</v>
      </c>
      <c r="G7867" s="86" t="s">
        <v>2330</v>
      </c>
      <c r="H7867" s="143">
        <v>360</v>
      </c>
      <c r="I7867" s="86" t="s">
        <v>1060</v>
      </c>
      <c r="J7867" s="47" t="s">
        <v>3325</v>
      </c>
      <c r="K7867" s="47" t="s">
        <v>3767</v>
      </c>
      <c r="L7867" s="47" t="s">
        <v>35</v>
      </c>
      <c r="M7867" s="86" t="s">
        <v>2331</v>
      </c>
      <c r="O7867" s="47" t="s">
        <v>410</v>
      </c>
      <c r="P7867" s="14" t="s">
        <v>46</v>
      </c>
      <c r="Q7867" s="14">
        <v>0.02</v>
      </c>
      <c r="R7867" s="143" t="s">
        <v>2332</v>
      </c>
      <c r="S7867" s="47"/>
      <c r="T7867" s="6">
        <v>9993</v>
      </c>
      <c r="U7867" s="6"/>
      <c r="V7867" s="6">
        <v>0</v>
      </c>
      <c r="W7867" s="6">
        <f t="shared" si="1211"/>
        <v>9993</v>
      </c>
      <c r="X7867" s="6">
        <f t="shared" si="1215"/>
        <v>0</v>
      </c>
      <c r="Y7867" s="13">
        <f t="shared" si="1208"/>
        <v>0</v>
      </c>
      <c r="Z7867" s="14">
        <v>0</v>
      </c>
      <c r="AA7867" s="6">
        <v>0</v>
      </c>
      <c r="AB7867" s="4">
        <f t="shared" si="1209"/>
        <v>0</v>
      </c>
      <c r="AC7867" s="6">
        <f t="shared" si="1207"/>
        <v>0</v>
      </c>
      <c r="AD7867" s="6">
        <f t="shared" si="1212"/>
        <v>0</v>
      </c>
      <c r="AE7867" s="14">
        <f>VLOOKUP(I7867,[2]媒体政策预估表!A:N,MATCH(O7867,[2]媒体政策预估表!$A$2:$M$2,0),0)</f>
        <v>7.0000000000000007E-2</v>
      </c>
      <c r="AF7867" s="6">
        <f t="shared" si="1214"/>
        <v>0</v>
      </c>
      <c r="AG7867" s="14">
        <v>0</v>
      </c>
      <c r="AH7867" s="64">
        <f t="shared" si="1213"/>
        <v>0</v>
      </c>
      <c r="AJ7867" s="126" t="e">
        <v>#N/A</v>
      </c>
      <c r="AK7867" s="80">
        <f t="shared" si="1210"/>
        <v>0</v>
      </c>
      <c r="AL7867" s="85"/>
      <c r="AM7867" s="85"/>
    </row>
    <row r="7868" spans="1:39" s="86" customFormat="1" ht="13.25" hidden="1" customHeight="1" x14ac:dyDescent="0.3">
      <c r="A7868" s="89" t="s">
        <v>3978</v>
      </c>
      <c r="B7868" s="86" t="s">
        <v>35</v>
      </c>
      <c r="C7868" s="86" t="s">
        <v>184</v>
      </c>
      <c r="D7868" s="86" t="s">
        <v>54</v>
      </c>
      <c r="E7868" s="86" t="s">
        <v>2333</v>
      </c>
      <c r="F7868" s="86" t="s">
        <v>2333</v>
      </c>
      <c r="G7868" s="86" t="s">
        <v>2333</v>
      </c>
      <c r="H7868" s="143">
        <v>360</v>
      </c>
      <c r="I7868" s="86" t="s">
        <v>1060</v>
      </c>
      <c r="J7868" s="47" t="s">
        <v>3325</v>
      </c>
      <c r="K7868" s="47" t="s">
        <v>3767</v>
      </c>
      <c r="L7868" s="47" t="s">
        <v>35</v>
      </c>
      <c r="M7868" s="86" t="s">
        <v>2333</v>
      </c>
      <c r="O7868" s="47" t="s">
        <v>410</v>
      </c>
      <c r="P7868" s="14" t="s">
        <v>41</v>
      </c>
      <c r="Q7868" s="14">
        <v>0</v>
      </c>
      <c r="R7868" s="143" t="s">
        <v>2334</v>
      </c>
      <c r="S7868" s="47"/>
      <c r="T7868" s="6">
        <v>169.4</v>
      </c>
      <c r="U7868" s="6"/>
      <c r="V7868" s="6">
        <v>0</v>
      </c>
      <c r="W7868" s="6">
        <f t="shared" si="1211"/>
        <v>169.4</v>
      </c>
      <c r="X7868" s="6">
        <f t="shared" si="1215"/>
        <v>0</v>
      </c>
      <c r="Y7868" s="13">
        <f t="shared" si="1208"/>
        <v>0</v>
      </c>
      <c r="Z7868" s="14">
        <v>0</v>
      </c>
      <c r="AA7868" s="6">
        <v>0</v>
      </c>
      <c r="AB7868" s="4">
        <f t="shared" si="1209"/>
        <v>0</v>
      </c>
      <c r="AC7868" s="6">
        <f t="shared" si="1207"/>
        <v>0</v>
      </c>
      <c r="AD7868" s="6">
        <f t="shared" si="1212"/>
        <v>0</v>
      </c>
      <c r="AE7868" s="14">
        <f>VLOOKUP(I7868,[2]媒体政策预估表!A:N,MATCH(O7868,[2]媒体政策预估表!$A$2:$M$2,0),0)</f>
        <v>7.0000000000000007E-2</v>
      </c>
      <c r="AF7868" s="6">
        <f t="shared" si="1214"/>
        <v>0</v>
      </c>
      <c r="AG7868" s="14">
        <v>0</v>
      </c>
      <c r="AH7868" s="64">
        <f t="shared" si="1213"/>
        <v>0</v>
      </c>
      <c r="AJ7868" s="126" t="e">
        <v>#N/A</v>
      </c>
      <c r="AK7868" s="80">
        <f t="shared" si="1210"/>
        <v>0</v>
      </c>
      <c r="AL7868" s="85"/>
      <c r="AM7868" s="85"/>
    </row>
    <row r="7869" spans="1:39" s="86" customFormat="1" ht="13.25" hidden="1" customHeight="1" x14ac:dyDescent="0.3">
      <c r="A7869" s="89" t="s">
        <v>3792</v>
      </c>
      <c r="B7869" s="86" t="s">
        <v>35</v>
      </c>
      <c r="C7869" s="86" t="s">
        <v>184</v>
      </c>
      <c r="D7869" s="86" t="s">
        <v>54</v>
      </c>
      <c r="E7869" s="86" t="s">
        <v>1863</v>
      </c>
      <c r="F7869" s="86" t="s">
        <v>1863</v>
      </c>
      <c r="G7869" s="86" t="s">
        <v>1863</v>
      </c>
      <c r="H7869" s="143">
        <v>360</v>
      </c>
      <c r="I7869" s="86" t="s">
        <v>1060</v>
      </c>
      <c r="J7869" s="47" t="s">
        <v>3325</v>
      </c>
      <c r="K7869" s="47" t="s">
        <v>3767</v>
      </c>
      <c r="L7869" s="47" t="s">
        <v>35</v>
      </c>
      <c r="M7869" s="86" t="s">
        <v>1863</v>
      </c>
      <c r="O7869" s="47" t="s">
        <v>45</v>
      </c>
      <c r="P7869" s="14" t="s">
        <v>46</v>
      </c>
      <c r="Q7869" s="14">
        <v>0.04</v>
      </c>
      <c r="R7869" s="143" t="s">
        <v>1865</v>
      </c>
      <c r="S7869" s="47"/>
      <c r="T7869" s="6">
        <v>-11218.59</v>
      </c>
      <c r="U7869" s="6"/>
      <c r="V7869" s="6">
        <v>0</v>
      </c>
      <c r="W7869" s="6">
        <f t="shared" si="1211"/>
        <v>-11218.59</v>
      </c>
      <c r="X7869" s="6">
        <f t="shared" si="1215"/>
        <v>0</v>
      </c>
      <c r="Y7869" s="13">
        <f t="shared" si="1208"/>
        <v>0</v>
      </c>
      <c r="Z7869" s="14">
        <v>0</v>
      </c>
      <c r="AA7869" s="6">
        <v>0</v>
      </c>
      <c r="AB7869" s="4">
        <f t="shared" si="1209"/>
        <v>0</v>
      </c>
      <c r="AC7869" s="6">
        <f t="shared" si="1207"/>
        <v>0</v>
      </c>
      <c r="AD7869" s="6">
        <f t="shared" si="1212"/>
        <v>0</v>
      </c>
      <c r="AE7869" s="14">
        <f>VLOOKUP(I7869,[2]媒体政策预估表!A:N,MATCH(O7869,[2]媒体政策预估表!$A$2:$M$2,0),0)</f>
        <v>0.1</v>
      </c>
      <c r="AF7869" s="6">
        <f t="shared" si="1214"/>
        <v>0</v>
      </c>
      <c r="AG7869" s="14">
        <v>0</v>
      </c>
      <c r="AH7869" s="64">
        <f t="shared" si="1213"/>
        <v>0</v>
      </c>
      <c r="AJ7869" s="126" t="e">
        <v>#N/A</v>
      </c>
      <c r="AK7869" s="80">
        <f t="shared" si="1210"/>
        <v>0</v>
      </c>
      <c r="AL7869" s="85"/>
      <c r="AM7869" s="85"/>
    </row>
    <row r="7870" spans="1:39" s="86" customFormat="1" ht="13.25" hidden="1" customHeight="1" x14ac:dyDescent="0.3">
      <c r="A7870" s="89" t="s">
        <v>3978</v>
      </c>
      <c r="B7870" s="86" t="s">
        <v>35</v>
      </c>
      <c r="C7870" s="86" t="s">
        <v>144</v>
      </c>
      <c r="D7870" s="86" t="s">
        <v>145</v>
      </c>
      <c r="E7870" s="86" t="s">
        <v>1416</v>
      </c>
      <c r="F7870" s="86" t="s">
        <v>1416</v>
      </c>
      <c r="G7870" s="86" t="s">
        <v>1416</v>
      </c>
      <c r="H7870" s="143">
        <v>360</v>
      </c>
      <c r="I7870" s="86" t="s">
        <v>1060</v>
      </c>
      <c r="J7870" s="47" t="s">
        <v>3325</v>
      </c>
      <c r="K7870" s="47" t="s">
        <v>3767</v>
      </c>
      <c r="L7870" s="47" t="s">
        <v>35</v>
      </c>
      <c r="M7870" s="86" t="s">
        <v>1416</v>
      </c>
      <c r="O7870" s="47" t="s">
        <v>941</v>
      </c>
      <c r="P7870" s="14" t="s">
        <v>46</v>
      </c>
      <c r="Q7870" s="14">
        <v>0.02</v>
      </c>
      <c r="R7870" s="143" t="s">
        <v>2034</v>
      </c>
      <c r="S7870" s="47"/>
      <c r="T7870" s="6">
        <v>-1161555.3900000001</v>
      </c>
      <c r="U7870" s="6"/>
      <c r="V7870" s="6">
        <v>0</v>
      </c>
      <c r="W7870" s="6">
        <f t="shared" si="1211"/>
        <v>-1161555.3900000001</v>
      </c>
      <c r="X7870" s="6">
        <f t="shared" si="1215"/>
        <v>0</v>
      </c>
      <c r="Y7870" s="13">
        <f t="shared" si="1208"/>
        <v>0</v>
      </c>
      <c r="Z7870" s="14">
        <v>0</v>
      </c>
      <c r="AA7870" s="6">
        <v>0</v>
      </c>
      <c r="AB7870" s="4">
        <f t="shared" si="1209"/>
        <v>0</v>
      </c>
      <c r="AC7870" s="6">
        <f t="shared" ref="AC7870:AC7933" si="1216">IF(P7870="返现",X7870*Q7870,V7870-X7870)</f>
        <v>0</v>
      </c>
      <c r="AD7870" s="6">
        <f t="shared" si="1212"/>
        <v>0</v>
      </c>
      <c r="AE7870" s="14">
        <f>VLOOKUP(I7870,[2]媒体政策预估表!A:N,MATCH(O7870,[2]媒体政策预估表!$A$2:$M$2,0),0)</f>
        <v>0.15</v>
      </c>
      <c r="AF7870" s="6">
        <f t="shared" si="1214"/>
        <v>0</v>
      </c>
      <c r="AG7870" s="14">
        <v>0</v>
      </c>
      <c r="AH7870" s="64">
        <f t="shared" si="1213"/>
        <v>0</v>
      </c>
      <c r="AJ7870" s="126" t="e">
        <v>#N/A</v>
      </c>
      <c r="AK7870" s="80">
        <f t="shared" si="1210"/>
        <v>0</v>
      </c>
      <c r="AL7870" s="85"/>
      <c r="AM7870" s="85"/>
    </row>
    <row r="7871" spans="1:39" s="86" customFormat="1" ht="13.25" hidden="1" customHeight="1" x14ac:dyDescent="0.3">
      <c r="A7871" s="89" t="s">
        <v>3792</v>
      </c>
      <c r="B7871" s="86" t="s">
        <v>35</v>
      </c>
      <c r="C7871" s="86" t="s">
        <v>65</v>
      </c>
      <c r="D7871" s="86" t="s">
        <v>66</v>
      </c>
      <c r="E7871" s="86" t="s">
        <v>494</v>
      </c>
      <c r="F7871" s="86" t="s">
        <v>494</v>
      </c>
      <c r="G7871" s="86" t="s">
        <v>494</v>
      </c>
      <c r="H7871" s="143">
        <v>360</v>
      </c>
      <c r="I7871" s="86" t="s">
        <v>1060</v>
      </c>
      <c r="J7871" s="47" t="s">
        <v>3325</v>
      </c>
      <c r="K7871" s="47" t="s">
        <v>3767</v>
      </c>
      <c r="L7871" s="47" t="s">
        <v>35</v>
      </c>
      <c r="M7871" s="86" t="s">
        <v>495</v>
      </c>
      <c r="O7871" s="47" t="s">
        <v>2054</v>
      </c>
      <c r="P7871" s="14" t="s">
        <v>46</v>
      </c>
      <c r="Q7871" s="14">
        <v>2.0000000000000018E-2</v>
      </c>
      <c r="R7871" s="143" t="s">
        <v>1879</v>
      </c>
      <c r="S7871" s="47"/>
      <c r="T7871" s="6">
        <v>-108033.89600000002</v>
      </c>
      <c r="U7871" s="6"/>
      <c r="V7871" s="6">
        <v>0</v>
      </c>
      <c r="W7871" s="6">
        <f t="shared" si="1211"/>
        <v>-108033.89600000002</v>
      </c>
      <c r="X7871" s="6">
        <f t="shared" si="1215"/>
        <v>0</v>
      </c>
      <c r="Y7871" s="13">
        <f t="shared" si="1208"/>
        <v>0</v>
      </c>
      <c r="Z7871" s="14">
        <v>0</v>
      </c>
      <c r="AA7871" s="6">
        <v>0</v>
      </c>
      <c r="AB7871" s="4">
        <f t="shared" si="1209"/>
        <v>0</v>
      </c>
      <c r="AC7871" s="6">
        <f t="shared" si="1216"/>
        <v>0</v>
      </c>
      <c r="AD7871" s="6">
        <f t="shared" si="1212"/>
        <v>0</v>
      </c>
      <c r="AE7871" s="14">
        <f>VLOOKUP(I7871,[2]媒体政策预估表!A:N,MATCH(O7871,[2]媒体政策预估表!$A$2:$M$2,0),0)</f>
        <v>0.1</v>
      </c>
      <c r="AF7871" s="6">
        <f t="shared" si="1214"/>
        <v>0</v>
      </c>
      <c r="AG7871" s="14">
        <v>0</v>
      </c>
      <c r="AH7871" s="64">
        <f t="shared" si="1213"/>
        <v>0</v>
      </c>
      <c r="AJ7871" s="126" t="e">
        <v>#N/A</v>
      </c>
      <c r="AK7871" s="80">
        <f t="shared" si="1210"/>
        <v>0</v>
      </c>
      <c r="AL7871" s="85"/>
      <c r="AM7871" s="85"/>
    </row>
    <row r="7872" spans="1:39" s="86" customFormat="1" ht="13.25" hidden="1" customHeight="1" x14ac:dyDescent="0.3">
      <c r="A7872" s="89" t="s">
        <v>3792</v>
      </c>
      <c r="B7872" s="86" t="s">
        <v>35</v>
      </c>
      <c r="C7872" s="86" t="s">
        <v>59</v>
      </c>
      <c r="D7872" s="86" t="s">
        <v>60</v>
      </c>
      <c r="E7872" s="86" t="s">
        <v>765</v>
      </c>
      <c r="F7872" s="86" t="s">
        <v>766</v>
      </c>
      <c r="G7872" s="86" t="s">
        <v>765</v>
      </c>
      <c r="H7872" s="143">
        <v>360</v>
      </c>
      <c r="I7872" s="86" t="s">
        <v>1060</v>
      </c>
      <c r="J7872" s="47" t="s">
        <v>3325</v>
      </c>
      <c r="K7872" s="47" t="s">
        <v>3767</v>
      </c>
      <c r="L7872" s="47" t="s">
        <v>35</v>
      </c>
      <c r="M7872" s="86" t="s">
        <v>765</v>
      </c>
      <c r="O7872" s="47" t="s">
        <v>45</v>
      </c>
      <c r="P7872" s="14" t="s">
        <v>46</v>
      </c>
      <c r="Q7872" s="14">
        <v>0.04</v>
      </c>
      <c r="R7872" s="143" t="s">
        <v>1078</v>
      </c>
      <c r="S7872" s="47"/>
      <c r="T7872" s="6">
        <v>-1610.5240899999999</v>
      </c>
      <c r="U7872" s="6"/>
      <c r="V7872" s="6">
        <v>0</v>
      </c>
      <c r="W7872" s="6">
        <f t="shared" si="1211"/>
        <v>-1610.5240899999999</v>
      </c>
      <c r="X7872" s="6">
        <f t="shared" si="1215"/>
        <v>0</v>
      </c>
      <c r="Y7872" s="13">
        <f t="shared" si="1208"/>
        <v>0</v>
      </c>
      <c r="Z7872" s="14">
        <v>0</v>
      </c>
      <c r="AA7872" s="6">
        <v>0</v>
      </c>
      <c r="AB7872" s="4">
        <f t="shared" si="1209"/>
        <v>0</v>
      </c>
      <c r="AC7872" s="6">
        <f t="shared" si="1216"/>
        <v>0</v>
      </c>
      <c r="AD7872" s="6">
        <f t="shared" si="1212"/>
        <v>0</v>
      </c>
      <c r="AE7872" s="14">
        <f>VLOOKUP(I7872,[2]媒体政策预估表!A:N,MATCH(O7872,[2]媒体政策预估表!$A$2:$M$2,0),0)</f>
        <v>0.1</v>
      </c>
      <c r="AF7872" s="6">
        <f t="shared" si="1214"/>
        <v>0</v>
      </c>
      <c r="AG7872" s="14">
        <v>0</v>
      </c>
      <c r="AH7872" s="64">
        <f t="shared" si="1213"/>
        <v>0</v>
      </c>
      <c r="AJ7872" s="126" t="e">
        <v>#N/A</v>
      </c>
      <c r="AK7872" s="80">
        <f t="shared" si="1210"/>
        <v>0</v>
      </c>
      <c r="AL7872" s="85"/>
      <c r="AM7872" s="85"/>
    </row>
    <row r="7873" spans="1:39" s="86" customFormat="1" ht="13.25" hidden="1" customHeight="1" x14ac:dyDescent="0.3">
      <c r="A7873" s="89" t="s">
        <v>3978</v>
      </c>
      <c r="B7873" s="86" t="s">
        <v>35</v>
      </c>
      <c r="C7873" s="86" t="s">
        <v>164</v>
      </c>
      <c r="D7873" s="86" t="s">
        <v>174</v>
      </c>
      <c r="E7873" s="86" t="s">
        <v>1617</v>
      </c>
      <c r="F7873" s="86" t="s">
        <v>1617</v>
      </c>
      <c r="G7873" s="86" t="s">
        <v>1617</v>
      </c>
      <c r="H7873" s="144">
        <v>360</v>
      </c>
      <c r="I7873" s="86" t="s">
        <v>1060</v>
      </c>
      <c r="J7873" s="47" t="s">
        <v>3325</v>
      </c>
      <c r="K7873" s="47" t="s">
        <v>3767</v>
      </c>
      <c r="L7873" s="47" t="s">
        <v>35</v>
      </c>
      <c r="M7873" s="86" t="s">
        <v>1617</v>
      </c>
      <c r="O7873" s="47" t="s">
        <v>941</v>
      </c>
      <c r="P7873" s="14" t="s">
        <v>46</v>
      </c>
      <c r="Q7873" s="14">
        <v>0.01</v>
      </c>
      <c r="R7873" s="143" t="s">
        <v>1619</v>
      </c>
      <c r="S7873" s="47"/>
      <c r="T7873" s="6">
        <v>-140918.96850000002</v>
      </c>
      <c r="U7873" s="6"/>
      <c r="V7873" s="6">
        <v>8418.0671600000005</v>
      </c>
      <c r="W7873" s="6">
        <f t="shared" si="1211"/>
        <v>-149337.03566000002</v>
      </c>
      <c r="X7873" s="6">
        <f t="shared" si="1215"/>
        <v>8334.7199603960398</v>
      </c>
      <c r="Y7873" s="13">
        <f t="shared" si="1208"/>
        <v>0</v>
      </c>
      <c r="Z7873" s="14">
        <v>0</v>
      </c>
      <c r="AA7873" s="6">
        <v>0</v>
      </c>
      <c r="AB7873" s="4">
        <f t="shared" si="1209"/>
        <v>8334.7199603960398</v>
      </c>
      <c r="AC7873" s="6">
        <f t="shared" si="1216"/>
        <v>83.347199603960689</v>
      </c>
      <c r="AD7873" s="6">
        <f t="shared" si="1212"/>
        <v>8418.0671600000005</v>
      </c>
      <c r="AE7873" s="14">
        <f>VLOOKUP(I7873,[2]媒体政策预估表!A:N,MATCH(O7873,[2]媒体政策预估表!$A$2:$M$2,0),0)</f>
        <v>0.15</v>
      </c>
      <c r="AF7873" s="6">
        <f t="shared" si="1214"/>
        <v>1262.7100740000001</v>
      </c>
      <c r="AG7873" s="14">
        <v>0</v>
      </c>
      <c r="AH7873" s="64">
        <f t="shared" si="1213"/>
        <v>8418.0671600000005</v>
      </c>
      <c r="AJ7873" s="126" t="e">
        <v>#N/A</v>
      </c>
      <c r="AK7873" s="80">
        <f t="shared" si="1210"/>
        <v>0</v>
      </c>
      <c r="AL7873" s="85"/>
      <c r="AM7873" s="85"/>
    </row>
    <row r="7874" spans="1:39" s="86" customFormat="1" ht="13.25" hidden="1" customHeight="1" x14ac:dyDescent="0.3">
      <c r="A7874" s="89" t="s">
        <v>3978</v>
      </c>
      <c r="B7874" s="86" t="s">
        <v>35</v>
      </c>
      <c r="C7874" s="86" t="s">
        <v>59</v>
      </c>
      <c r="D7874" s="86" t="s">
        <v>60</v>
      </c>
      <c r="E7874" s="86" t="s">
        <v>765</v>
      </c>
      <c r="F7874" s="86" t="s">
        <v>766</v>
      </c>
      <c r="G7874" s="86" t="s">
        <v>765</v>
      </c>
      <c r="H7874" s="143">
        <v>360</v>
      </c>
      <c r="I7874" s="86" t="s">
        <v>1060</v>
      </c>
      <c r="J7874" s="47" t="s">
        <v>3325</v>
      </c>
      <c r="K7874" s="47" t="s">
        <v>3767</v>
      </c>
      <c r="L7874" s="47" t="s">
        <v>35</v>
      </c>
      <c r="M7874" s="86" t="s">
        <v>765</v>
      </c>
      <c r="O7874" s="47" t="s">
        <v>2054</v>
      </c>
      <c r="P7874" s="14" t="s">
        <v>46</v>
      </c>
      <c r="Q7874" s="14">
        <v>0.04</v>
      </c>
      <c r="R7874" s="143" t="s">
        <v>1078</v>
      </c>
      <c r="S7874" s="47"/>
      <c r="T7874" s="6">
        <v>-1776.7809299999999</v>
      </c>
      <c r="U7874" s="6"/>
      <c r="V7874" s="6">
        <v>0</v>
      </c>
      <c r="W7874" s="6">
        <f t="shared" si="1211"/>
        <v>-1776.7809299999999</v>
      </c>
      <c r="X7874" s="6">
        <f t="shared" si="1215"/>
        <v>0</v>
      </c>
      <c r="Y7874" s="13">
        <f t="shared" si="1208"/>
        <v>0</v>
      </c>
      <c r="Z7874" s="14">
        <v>0</v>
      </c>
      <c r="AA7874" s="6">
        <v>0</v>
      </c>
      <c r="AB7874" s="4">
        <f t="shared" si="1209"/>
        <v>0</v>
      </c>
      <c r="AC7874" s="6">
        <f t="shared" si="1216"/>
        <v>0</v>
      </c>
      <c r="AD7874" s="6">
        <f t="shared" si="1212"/>
        <v>0</v>
      </c>
      <c r="AE7874" s="14">
        <f>VLOOKUP(I7874,[2]媒体政策预估表!A:N,MATCH(O7874,[2]媒体政策预估表!$A$2:$M$2,0),0)</f>
        <v>0.1</v>
      </c>
      <c r="AF7874" s="6">
        <f t="shared" si="1214"/>
        <v>0</v>
      </c>
      <c r="AG7874" s="14">
        <v>0</v>
      </c>
      <c r="AH7874" s="64">
        <f t="shared" si="1213"/>
        <v>0</v>
      </c>
      <c r="AJ7874" s="126" t="e">
        <v>#N/A</v>
      </c>
      <c r="AK7874" s="80">
        <f t="shared" si="1210"/>
        <v>0</v>
      </c>
      <c r="AL7874" s="85"/>
      <c r="AM7874" s="85"/>
    </row>
    <row r="7875" spans="1:39" s="86" customFormat="1" ht="13.25" hidden="1" customHeight="1" x14ac:dyDescent="0.3">
      <c r="A7875" s="89" t="s">
        <v>3792</v>
      </c>
      <c r="B7875" s="86" t="s">
        <v>35</v>
      </c>
      <c r="C7875" s="86" t="s">
        <v>164</v>
      </c>
      <c r="D7875" s="86" t="s">
        <v>174</v>
      </c>
      <c r="E7875" s="86" t="s">
        <v>1681</v>
      </c>
      <c r="F7875" s="86" t="s">
        <v>1682</v>
      </c>
      <c r="G7875" s="86" t="s">
        <v>1681</v>
      </c>
      <c r="H7875" s="143">
        <v>360</v>
      </c>
      <c r="I7875" s="86" t="s">
        <v>1060</v>
      </c>
      <c r="J7875" s="47" t="s">
        <v>3325</v>
      </c>
      <c r="K7875" s="47" t="s">
        <v>3767</v>
      </c>
      <c r="L7875" s="47" t="s">
        <v>35</v>
      </c>
      <c r="M7875" s="86" t="s">
        <v>1685</v>
      </c>
      <c r="O7875" s="47" t="s">
        <v>2054</v>
      </c>
      <c r="P7875" s="14" t="s">
        <v>46</v>
      </c>
      <c r="Q7875" s="14">
        <v>0.04</v>
      </c>
      <c r="R7875" s="143" t="s">
        <v>2083</v>
      </c>
      <c r="S7875" s="47"/>
      <c r="T7875" s="6">
        <v>-58.8</v>
      </c>
      <c r="U7875" s="6"/>
      <c r="V7875" s="6">
        <v>0</v>
      </c>
      <c r="W7875" s="6">
        <f t="shared" si="1211"/>
        <v>-58.8</v>
      </c>
      <c r="X7875" s="6">
        <f t="shared" si="1215"/>
        <v>0</v>
      </c>
      <c r="Y7875" s="13">
        <f t="shared" ref="Y7875:Y7938" si="1217">IF(X7875-AD7875&lt;=0,0,IF(P7875="返现",MAX(X7875-AC7875-AD7875,0),MAX(X7875-AD7875)))</f>
        <v>0</v>
      </c>
      <c r="Z7875" s="14">
        <v>0</v>
      </c>
      <c r="AA7875" s="6">
        <v>0</v>
      </c>
      <c r="AB7875" s="4">
        <f t="shared" ref="AB7875:AB7938" si="1218">X7875+AA7875</f>
        <v>0</v>
      </c>
      <c r="AC7875" s="6">
        <f t="shared" si="1216"/>
        <v>0</v>
      </c>
      <c r="AD7875" s="6">
        <f t="shared" si="1212"/>
        <v>0</v>
      </c>
      <c r="AE7875" s="14">
        <f>VLOOKUP(I7875,[2]媒体政策预估表!A:N,MATCH(O7875,[2]媒体政策预估表!$A$2:$M$2,0),0)</f>
        <v>0.1</v>
      </c>
      <c r="AF7875" s="6">
        <f t="shared" si="1214"/>
        <v>0</v>
      </c>
      <c r="AG7875" s="14">
        <v>0</v>
      </c>
      <c r="AH7875" s="64">
        <f t="shared" si="1213"/>
        <v>0</v>
      </c>
      <c r="AJ7875" s="126" t="e">
        <v>#N/A</v>
      </c>
      <c r="AK7875" s="80">
        <f t="shared" ref="AK7875:AK7938" si="1219">X7875+AA7875-AB7875</f>
        <v>0</v>
      </c>
      <c r="AL7875" s="85"/>
      <c r="AM7875" s="85"/>
    </row>
    <row r="7876" spans="1:39" s="86" customFormat="1" ht="13.25" hidden="1" customHeight="1" x14ac:dyDescent="0.3">
      <c r="A7876" s="89" t="s">
        <v>3978</v>
      </c>
      <c r="B7876" s="86" t="s">
        <v>35</v>
      </c>
      <c r="C7876" s="86" t="s">
        <v>164</v>
      </c>
      <c r="D7876" s="86" t="s">
        <v>169</v>
      </c>
      <c r="E7876" s="86" t="s">
        <v>1954</v>
      </c>
      <c r="F7876" s="86" t="s">
        <v>1954</v>
      </c>
      <c r="G7876" s="86" t="s">
        <v>1954</v>
      </c>
      <c r="H7876" s="143">
        <v>360</v>
      </c>
      <c r="I7876" s="86" t="s">
        <v>1060</v>
      </c>
      <c r="J7876" s="47" t="s">
        <v>3325</v>
      </c>
      <c r="K7876" s="47" t="s">
        <v>3767</v>
      </c>
      <c r="L7876" s="47" t="s">
        <v>35</v>
      </c>
      <c r="M7876" s="86" t="s">
        <v>1954</v>
      </c>
      <c r="O7876" s="47" t="s">
        <v>2054</v>
      </c>
      <c r="P7876" s="14" t="s">
        <v>46</v>
      </c>
      <c r="Q7876" s="14">
        <v>0.02</v>
      </c>
      <c r="R7876" s="143" t="s">
        <v>1955</v>
      </c>
      <c r="S7876" s="47"/>
      <c r="T7876" s="6">
        <v>-4203.9045400000005</v>
      </c>
      <c r="U7876" s="6"/>
      <c r="V7876" s="6">
        <v>0</v>
      </c>
      <c r="W7876" s="6">
        <f t="shared" si="1211"/>
        <v>-4203.9045400000005</v>
      </c>
      <c r="X7876" s="6">
        <f t="shared" si="1215"/>
        <v>0</v>
      </c>
      <c r="Y7876" s="13">
        <f t="shared" si="1217"/>
        <v>0</v>
      </c>
      <c r="Z7876" s="14">
        <v>0</v>
      </c>
      <c r="AA7876" s="6">
        <v>0</v>
      </c>
      <c r="AB7876" s="4">
        <f t="shared" si="1218"/>
        <v>0</v>
      </c>
      <c r="AC7876" s="6">
        <f t="shared" si="1216"/>
        <v>0</v>
      </c>
      <c r="AD7876" s="6">
        <f t="shared" si="1212"/>
        <v>0</v>
      </c>
      <c r="AE7876" s="14">
        <f>VLOOKUP(I7876,[2]媒体政策预估表!A:N,MATCH(O7876,[2]媒体政策预估表!$A$2:$M$2,0),0)</f>
        <v>0.1</v>
      </c>
      <c r="AF7876" s="6">
        <f t="shared" si="1214"/>
        <v>0</v>
      </c>
      <c r="AG7876" s="14">
        <v>0</v>
      </c>
      <c r="AH7876" s="64">
        <f t="shared" si="1213"/>
        <v>0</v>
      </c>
      <c r="AJ7876" s="126" t="e">
        <v>#N/A</v>
      </c>
      <c r="AK7876" s="80">
        <f t="shared" si="1219"/>
        <v>0</v>
      </c>
      <c r="AL7876" s="85"/>
      <c r="AM7876" s="85"/>
    </row>
    <row r="7877" spans="1:39" s="86" customFormat="1" ht="13.25" hidden="1" customHeight="1" x14ac:dyDescent="0.3">
      <c r="A7877" s="89" t="s">
        <v>3978</v>
      </c>
      <c r="B7877" s="86" t="s">
        <v>35</v>
      </c>
      <c r="C7877" s="86" t="s">
        <v>164</v>
      </c>
      <c r="D7877" s="86" t="s">
        <v>174</v>
      </c>
      <c r="E7877" s="86" t="s">
        <v>1711</v>
      </c>
      <c r="F7877" s="86" t="s">
        <v>1711</v>
      </c>
      <c r="G7877" s="86" t="s">
        <v>1711</v>
      </c>
      <c r="H7877" s="143">
        <v>360</v>
      </c>
      <c r="I7877" s="86" t="s">
        <v>1060</v>
      </c>
      <c r="J7877" s="47" t="s">
        <v>3325</v>
      </c>
      <c r="K7877" s="47" t="s">
        <v>3767</v>
      </c>
      <c r="L7877" s="47" t="s">
        <v>35</v>
      </c>
      <c r="M7877" s="86" t="s">
        <v>1711</v>
      </c>
      <c r="O7877" s="47" t="s">
        <v>2054</v>
      </c>
      <c r="P7877" s="14" t="s">
        <v>41</v>
      </c>
      <c r="Q7877" s="14">
        <v>0</v>
      </c>
      <c r="R7877" s="143" t="s">
        <v>1712</v>
      </c>
      <c r="S7877" s="47"/>
      <c r="T7877" s="6">
        <v>-30261.357219999998</v>
      </c>
      <c r="U7877" s="6"/>
      <c r="V7877" s="6">
        <v>0</v>
      </c>
      <c r="W7877" s="6">
        <f t="shared" si="1211"/>
        <v>-30261.357219999998</v>
      </c>
      <c r="X7877" s="6">
        <f t="shared" si="1215"/>
        <v>0</v>
      </c>
      <c r="Y7877" s="13">
        <f t="shared" si="1217"/>
        <v>0</v>
      </c>
      <c r="Z7877" s="14">
        <v>0</v>
      </c>
      <c r="AA7877" s="6">
        <v>0</v>
      </c>
      <c r="AB7877" s="4">
        <f t="shared" si="1218"/>
        <v>0</v>
      </c>
      <c r="AC7877" s="6">
        <f t="shared" si="1216"/>
        <v>0</v>
      </c>
      <c r="AD7877" s="6">
        <f t="shared" si="1212"/>
        <v>0</v>
      </c>
      <c r="AE7877" s="14">
        <f>VLOOKUP(I7877,[2]媒体政策预估表!A:N,MATCH(O7877,[2]媒体政策预估表!$A$2:$M$2,0),0)</f>
        <v>0.1</v>
      </c>
      <c r="AF7877" s="6">
        <f t="shared" si="1214"/>
        <v>0</v>
      </c>
      <c r="AG7877" s="14">
        <v>0</v>
      </c>
      <c r="AH7877" s="64">
        <f t="shared" si="1213"/>
        <v>0</v>
      </c>
      <c r="AJ7877" s="126" t="e">
        <v>#N/A</v>
      </c>
      <c r="AK7877" s="80">
        <f t="shared" si="1219"/>
        <v>0</v>
      </c>
      <c r="AL7877" s="85"/>
      <c r="AM7877" s="85"/>
    </row>
    <row r="7878" spans="1:39" s="86" customFormat="1" ht="13.25" hidden="1" customHeight="1" x14ac:dyDescent="0.3">
      <c r="A7878" s="89" t="s">
        <v>3792</v>
      </c>
      <c r="B7878" s="86" t="s">
        <v>35</v>
      </c>
      <c r="C7878" s="86" t="s">
        <v>164</v>
      </c>
      <c r="D7878" s="86" t="s">
        <v>169</v>
      </c>
      <c r="E7878" s="86" t="s">
        <v>628</v>
      </c>
      <c r="F7878" s="86" t="s">
        <v>628</v>
      </c>
      <c r="G7878" s="86" t="s">
        <v>628</v>
      </c>
      <c r="H7878" s="143">
        <v>360</v>
      </c>
      <c r="I7878" s="86" t="s">
        <v>1060</v>
      </c>
      <c r="J7878" s="47" t="s">
        <v>3325</v>
      </c>
      <c r="K7878" s="47" t="s">
        <v>3767</v>
      </c>
      <c r="L7878" s="47" t="s">
        <v>35</v>
      </c>
      <c r="M7878" s="86" t="s">
        <v>628</v>
      </c>
      <c r="O7878" s="47" t="s">
        <v>2054</v>
      </c>
      <c r="P7878" s="14" t="s">
        <v>46</v>
      </c>
      <c r="Q7878" s="14">
        <v>0.1</v>
      </c>
      <c r="R7878" s="143" t="s">
        <v>1957</v>
      </c>
      <c r="S7878" s="47"/>
      <c r="T7878" s="6">
        <v>-15055.826570000001</v>
      </c>
      <c r="U7878" s="6"/>
      <c r="V7878" s="6">
        <v>0</v>
      </c>
      <c r="W7878" s="6">
        <f t="shared" si="1211"/>
        <v>-15055.826570000001</v>
      </c>
      <c r="X7878" s="6">
        <f t="shared" si="1215"/>
        <v>0</v>
      </c>
      <c r="Y7878" s="13">
        <f t="shared" si="1217"/>
        <v>0</v>
      </c>
      <c r="Z7878" s="14">
        <v>0</v>
      </c>
      <c r="AA7878" s="6">
        <v>0</v>
      </c>
      <c r="AB7878" s="4">
        <f t="shared" si="1218"/>
        <v>0</v>
      </c>
      <c r="AC7878" s="6">
        <f t="shared" si="1216"/>
        <v>0</v>
      </c>
      <c r="AD7878" s="6">
        <f t="shared" si="1212"/>
        <v>0</v>
      </c>
      <c r="AE7878" s="14">
        <f>VLOOKUP(I7878,[2]媒体政策预估表!A:N,MATCH(O7878,[2]媒体政策预估表!$A$2:$M$2,0),0)</f>
        <v>0.1</v>
      </c>
      <c r="AF7878" s="6">
        <f t="shared" si="1214"/>
        <v>0</v>
      </c>
      <c r="AG7878" s="14">
        <v>0</v>
      </c>
      <c r="AH7878" s="64">
        <f t="shared" si="1213"/>
        <v>0</v>
      </c>
      <c r="AJ7878" s="126" t="e">
        <v>#N/A</v>
      </c>
      <c r="AK7878" s="80">
        <f t="shared" si="1219"/>
        <v>0</v>
      </c>
      <c r="AL7878" s="85"/>
      <c r="AM7878" s="85"/>
    </row>
    <row r="7879" spans="1:39" s="86" customFormat="1" ht="13.25" hidden="1" customHeight="1" x14ac:dyDescent="0.3">
      <c r="A7879" s="89" t="s">
        <v>3792</v>
      </c>
      <c r="B7879" s="86" t="s">
        <v>35</v>
      </c>
      <c r="C7879" s="86" t="s">
        <v>36</v>
      </c>
      <c r="D7879" s="86" t="s">
        <v>298</v>
      </c>
      <c r="E7879" s="86" t="s">
        <v>2335</v>
      </c>
      <c r="F7879" s="86" t="s">
        <v>2335</v>
      </c>
      <c r="G7879" s="86" t="s">
        <v>2335</v>
      </c>
      <c r="H7879" s="143">
        <v>360</v>
      </c>
      <c r="I7879" s="86" t="s">
        <v>1060</v>
      </c>
      <c r="J7879" s="47" t="s">
        <v>3325</v>
      </c>
      <c r="K7879" s="47" t="s">
        <v>3767</v>
      </c>
      <c r="L7879" s="47" t="s">
        <v>35</v>
      </c>
      <c r="M7879" s="86" t="s">
        <v>2335</v>
      </c>
      <c r="O7879" s="47" t="s">
        <v>410</v>
      </c>
      <c r="P7879" s="14" t="s">
        <v>41</v>
      </c>
      <c r="Q7879" s="14">
        <v>0</v>
      </c>
      <c r="R7879" s="143" t="s">
        <v>2336</v>
      </c>
      <c r="S7879" s="47"/>
      <c r="T7879" s="6">
        <v>484.13</v>
      </c>
      <c r="U7879" s="6"/>
      <c r="V7879" s="6">
        <v>0</v>
      </c>
      <c r="W7879" s="6">
        <f t="shared" si="1211"/>
        <v>484.13</v>
      </c>
      <c r="X7879" s="6">
        <f t="shared" si="1215"/>
        <v>0</v>
      </c>
      <c r="Y7879" s="13">
        <f t="shared" si="1217"/>
        <v>0</v>
      </c>
      <c r="Z7879" s="14">
        <v>0</v>
      </c>
      <c r="AA7879" s="6">
        <v>0</v>
      </c>
      <c r="AB7879" s="4">
        <f t="shared" si="1218"/>
        <v>0</v>
      </c>
      <c r="AC7879" s="6">
        <f t="shared" si="1216"/>
        <v>0</v>
      </c>
      <c r="AD7879" s="6">
        <f t="shared" si="1212"/>
        <v>0</v>
      </c>
      <c r="AE7879" s="14">
        <f>VLOOKUP(I7879,[2]媒体政策预估表!A:N,MATCH(O7879,[2]媒体政策预估表!$A$2:$M$2,0),0)</f>
        <v>7.0000000000000007E-2</v>
      </c>
      <c r="AF7879" s="6">
        <f t="shared" si="1214"/>
        <v>0</v>
      </c>
      <c r="AG7879" s="14">
        <v>0</v>
      </c>
      <c r="AH7879" s="64">
        <f t="shared" si="1213"/>
        <v>0</v>
      </c>
      <c r="AJ7879" s="126" t="e">
        <v>#N/A</v>
      </c>
      <c r="AK7879" s="80">
        <f t="shared" si="1219"/>
        <v>0</v>
      </c>
      <c r="AL7879" s="85"/>
      <c r="AM7879" s="85"/>
    </row>
    <row r="7880" spans="1:39" s="86" customFormat="1" ht="13.25" hidden="1" customHeight="1" x14ac:dyDescent="0.3">
      <c r="A7880" s="89" t="s">
        <v>3978</v>
      </c>
      <c r="B7880" s="86" t="s">
        <v>35</v>
      </c>
      <c r="C7880" s="86" t="s">
        <v>184</v>
      </c>
      <c r="D7880" s="86" t="s">
        <v>320</v>
      </c>
      <c r="E7880" s="86" t="s">
        <v>2337</v>
      </c>
      <c r="F7880" s="86" t="s">
        <v>2337</v>
      </c>
      <c r="G7880" s="86" t="s">
        <v>2337</v>
      </c>
      <c r="H7880" s="143">
        <v>360</v>
      </c>
      <c r="I7880" s="86" t="s">
        <v>1060</v>
      </c>
      <c r="J7880" s="47" t="s">
        <v>3325</v>
      </c>
      <c r="K7880" s="47" t="s">
        <v>3767</v>
      </c>
      <c r="L7880" s="47" t="s">
        <v>35</v>
      </c>
      <c r="M7880" s="86" t="s">
        <v>2337</v>
      </c>
      <c r="O7880" s="47" t="s">
        <v>45</v>
      </c>
      <c r="P7880" s="14" t="s">
        <v>41</v>
      </c>
      <c r="Q7880" s="14">
        <v>0</v>
      </c>
      <c r="R7880" s="143" t="s">
        <v>2338</v>
      </c>
      <c r="S7880" s="47"/>
      <c r="T7880" s="6">
        <v>487.91</v>
      </c>
      <c r="U7880" s="6"/>
      <c r="V7880" s="6">
        <v>0</v>
      </c>
      <c r="W7880" s="6">
        <f t="shared" si="1211"/>
        <v>487.91</v>
      </c>
      <c r="X7880" s="6">
        <f t="shared" si="1215"/>
        <v>0</v>
      </c>
      <c r="Y7880" s="13">
        <f t="shared" si="1217"/>
        <v>0</v>
      </c>
      <c r="Z7880" s="14">
        <v>0</v>
      </c>
      <c r="AA7880" s="6">
        <v>0</v>
      </c>
      <c r="AB7880" s="4">
        <f t="shared" si="1218"/>
        <v>0</v>
      </c>
      <c r="AC7880" s="6">
        <f t="shared" si="1216"/>
        <v>0</v>
      </c>
      <c r="AD7880" s="6">
        <f t="shared" si="1212"/>
        <v>0</v>
      </c>
      <c r="AE7880" s="14">
        <f>VLOOKUP(I7880,[2]媒体政策预估表!A:N,MATCH(O7880,[2]媒体政策预估表!$A$2:$M$2,0),0)</f>
        <v>0.1</v>
      </c>
      <c r="AF7880" s="6">
        <f t="shared" si="1214"/>
        <v>0</v>
      </c>
      <c r="AG7880" s="14">
        <v>0</v>
      </c>
      <c r="AH7880" s="64">
        <f t="shared" si="1213"/>
        <v>0</v>
      </c>
      <c r="AJ7880" s="126" t="e">
        <v>#N/A</v>
      </c>
      <c r="AK7880" s="80">
        <f t="shared" si="1219"/>
        <v>0</v>
      </c>
      <c r="AL7880" s="85"/>
      <c r="AM7880" s="85"/>
    </row>
    <row r="7881" spans="1:39" s="86" customFormat="1" ht="13.25" hidden="1" customHeight="1" x14ac:dyDescent="0.3">
      <c r="A7881" s="89" t="s">
        <v>3978</v>
      </c>
      <c r="B7881" s="86" t="s">
        <v>35</v>
      </c>
      <c r="C7881" s="86" t="s">
        <v>36</v>
      </c>
      <c r="D7881" s="86" t="s">
        <v>185</v>
      </c>
      <c r="E7881" s="86" t="s">
        <v>2339</v>
      </c>
      <c r="F7881" s="86" t="s">
        <v>2339</v>
      </c>
      <c r="G7881" s="86" t="s">
        <v>2339</v>
      </c>
      <c r="H7881" s="143">
        <v>360</v>
      </c>
      <c r="I7881" s="86" t="s">
        <v>1060</v>
      </c>
      <c r="J7881" s="47" t="s">
        <v>3325</v>
      </c>
      <c r="K7881" s="47" t="s">
        <v>3767</v>
      </c>
      <c r="L7881" s="47" t="s">
        <v>35</v>
      </c>
      <c r="M7881" s="86" t="s">
        <v>2339</v>
      </c>
      <c r="O7881" s="47" t="s">
        <v>410</v>
      </c>
      <c r="P7881" s="14" t="s">
        <v>41</v>
      </c>
      <c r="Q7881" s="14">
        <v>0</v>
      </c>
      <c r="R7881" s="143" t="s">
        <v>2340</v>
      </c>
      <c r="S7881" s="47"/>
      <c r="T7881" s="6">
        <v>149.78</v>
      </c>
      <c r="U7881" s="6"/>
      <c r="V7881" s="6">
        <v>0</v>
      </c>
      <c r="W7881" s="6">
        <f t="shared" si="1211"/>
        <v>149.78</v>
      </c>
      <c r="X7881" s="6">
        <f t="shared" si="1215"/>
        <v>0</v>
      </c>
      <c r="Y7881" s="13">
        <f t="shared" si="1217"/>
        <v>0</v>
      </c>
      <c r="Z7881" s="14">
        <v>0</v>
      </c>
      <c r="AA7881" s="6">
        <v>0</v>
      </c>
      <c r="AB7881" s="4">
        <f t="shared" si="1218"/>
        <v>0</v>
      </c>
      <c r="AC7881" s="6">
        <f t="shared" si="1216"/>
        <v>0</v>
      </c>
      <c r="AD7881" s="6">
        <f t="shared" si="1212"/>
        <v>0</v>
      </c>
      <c r="AE7881" s="14">
        <f>VLOOKUP(I7881,[2]媒体政策预估表!A:N,MATCH(O7881,[2]媒体政策预估表!$A$2:$M$2,0),0)</f>
        <v>7.0000000000000007E-2</v>
      </c>
      <c r="AF7881" s="6">
        <f t="shared" si="1214"/>
        <v>0</v>
      </c>
      <c r="AG7881" s="14">
        <v>0</v>
      </c>
      <c r="AH7881" s="64">
        <f t="shared" si="1213"/>
        <v>0</v>
      </c>
      <c r="AJ7881" s="126" t="e">
        <v>#N/A</v>
      </c>
      <c r="AK7881" s="80">
        <f t="shared" si="1219"/>
        <v>0</v>
      </c>
      <c r="AL7881" s="85"/>
      <c r="AM7881" s="85"/>
    </row>
    <row r="7882" spans="1:39" s="86" customFormat="1" ht="13.25" hidden="1" customHeight="1" x14ac:dyDescent="0.3">
      <c r="A7882" s="89" t="s">
        <v>3792</v>
      </c>
      <c r="B7882" s="86" t="s">
        <v>35</v>
      </c>
      <c r="C7882" s="86" t="s">
        <v>164</v>
      </c>
      <c r="D7882" s="86" t="s">
        <v>174</v>
      </c>
      <c r="E7882" s="86" t="s">
        <v>2341</v>
      </c>
      <c r="F7882" s="86" t="s">
        <v>2341</v>
      </c>
      <c r="G7882" s="86" t="s">
        <v>2341</v>
      </c>
      <c r="H7882" s="143">
        <v>360</v>
      </c>
      <c r="I7882" s="86" t="s">
        <v>1060</v>
      </c>
      <c r="J7882" s="47" t="s">
        <v>3325</v>
      </c>
      <c r="K7882" s="47" t="s">
        <v>3767</v>
      </c>
      <c r="L7882" s="47" t="s">
        <v>35</v>
      </c>
      <c r="M7882" s="86" t="s">
        <v>2342</v>
      </c>
      <c r="O7882" s="47" t="s">
        <v>410</v>
      </c>
      <c r="P7882" s="14" t="s">
        <v>46</v>
      </c>
      <c r="Q7882" s="14">
        <v>0.04</v>
      </c>
      <c r="R7882" s="143" t="s">
        <v>2343</v>
      </c>
      <c r="S7882" s="47"/>
      <c r="T7882" s="6">
        <v>1.37</v>
      </c>
      <c r="U7882" s="6"/>
      <c r="V7882" s="6">
        <v>0</v>
      </c>
      <c r="W7882" s="6">
        <f t="shared" si="1211"/>
        <v>1.37</v>
      </c>
      <c r="X7882" s="6">
        <f t="shared" si="1215"/>
        <v>0</v>
      </c>
      <c r="Y7882" s="13">
        <f t="shared" si="1217"/>
        <v>0</v>
      </c>
      <c r="Z7882" s="14">
        <v>0</v>
      </c>
      <c r="AA7882" s="6">
        <v>0</v>
      </c>
      <c r="AB7882" s="4">
        <f t="shared" si="1218"/>
        <v>0</v>
      </c>
      <c r="AC7882" s="6">
        <f t="shared" si="1216"/>
        <v>0</v>
      </c>
      <c r="AD7882" s="6">
        <f t="shared" si="1212"/>
        <v>0</v>
      </c>
      <c r="AE7882" s="14">
        <f>VLOOKUP(I7882,[2]媒体政策预估表!A:N,MATCH(O7882,[2]媒体政策预估表!$A$2:$M$2,0),0)</f>
        <v>7.0000000000000007E-2</v>
      </c>
      <c r="AF7882" s="6">
        <f t="shared" si="1214"/>
        <v>0</v>
      </c>
      <c r="AG7882" s="14">
        <v>0</v>
      </c>
      <c r="AH7882" s="64">
        <f t="shared" si="1213"/>
        <v>0</v>
      </c>
      <c r="AJ7882" s="126" t="e">
        <v>#N/A</v>
      </c>
      <c r="AK7882" s="80">
        <f t="shared" si="1219"/>
        <v>0</v>
      </c>
      <c r="AL7882" s="85"/>
      <c r="AM7882" s="85"/>
    </row>
    <row r="7883" spans="1:39" s="86" customFormat="1" ht="13.25" hidden="1" customHeight="1" x14ac:dyDescent="0.3">
      <c r="A7883" s="89" t="s">
        <v>3792</v>
      </c>
      <c r="B7883" s="86" t="s">
        <v>35</v>
      </c>
      <c r="C7883" s="86" t="s">
        <v>65</v>
      </c>
      <c r="D7883" s="86" t="s">
        <v>66</v>
      </c>
      <c r="E7883" s="86" t="s">
        <v>2344</v>
      </c>
      <c r="F7883" s="86" t="s">
        <v>2344</v>
      </c>
      <c r="G7883" s="86" t="s">
        <v>2344</v>
      </c>
      <c r="H7883" s="143">
        <v>360</v>
      </c>
      <c r="I7883" s="86" t="s">
        <v>1060</v>
      </c>
      <c r="J7883" s="47" t="s">
        <v>3325</v>
      </c>
      <c r="K7883" s="47" t="s">
        <v>3767</v>
      </c>
      <c r="L7883" s="47" t="s">
        <v>35</v>
      </c>
      <c r="M7883" s="86" t="s">
        <v>869</v>
      </c>
      <c r="O7883" s="47" t="s">
        <v>45</v>
      </c>
      <c r="P7883" s="14" t="s">
        <v>46</v>
      </c>
      <c r="Q7883" s="14">
        <v>0.04</v>
      </c>
      <c r="R7883" s="143" t="s">
        <v>2345</v>
      </c>
      <c r="S7883" s="47"/>
      <c r="T7883" s="6">
        <v>495.16</v>
      </c>
      <c r="U7883" s="6"/>
      <c r="V7883" s="6">
        <v>0</v>
      </c>
      <c r="W7883" s="6">
        <f t="shared" si="1211"/>
        <v>495.16</v>
      </c>
      <c r="X7883" s="6">
        <f t="shared" si="1215"/>
        <v>0</v>
      </c>
      <c r="Y7883" s="13">
        <f t="shared" si="1217"/>
        <v>0</v>
      </c>
      <c r="Z7883" s="14">
        <v>0</v>
      </c>
      <c r="AA7883" s="6">
        <v>0</v>
      </c>
      <c r="AB7883" s="4">
        <f t="shared" si="1218"/>
        <v>0</v>
      </c>
      <c r="AC7883" s="6">
        <f t="shared" si="1216"/>
        <v>0</v>
      </c>
      <c r="AD7883" s="6">
        <f t="shared" si="1212"/>
        <v>0</v>
      </c>
      <c r="AE7883" s="14">
        <f>VLOOKUP(I7883,[2]媒体政策预估表!A:N,MATCH(O7883,[2]媒体政策预估表!$A$2:$M$2,0),0)</f>
        <v>0.1</v>
      </c>
      <c r="AF7883" s="6">
        <f t="shared" si="1214"/>
        <v>0</v>
      </c>
      <c r="AG7883" s="14">
        <v>0</v>
      </c>
      <c r="AH7883" s="64">
        <f t="shared" si="1213"/>
        <v>0</v>
      </c>
      <c r="AJ7883" s="126" t="e">
        <v>#N/A</v>
      </c>
      <c r="AK7883" s="80">
        <f t="shared" si="1219"/>
        <v>0</v>
      </c>
      <c r="AL7883" s="85"/>
      <c r="AM7883" s="85"/>
    </row>
    <row r="7884" spans="1:39" s="86" customFormat="1" ht="13.25" hidden="1" customHeight="1" x14ac:dyDescent="0.3">
      <c r="A7884" s="89" t="s">
        <v>3792</v>
      </c>
      <c r="B7884" s="86" t="s">
        <v>35</v>
      </c>
      <c r="C7884" s="86" t="s">
        <v>164</v>
      </c>
      <c r="D7884" s="86" t="s">
        <v>174</v>
      </c>
      <c r="E7884" s="86" t="s">
        <v>651</v>
      </c>
      <c r="F7884" s="86" t="s">
        <v>651</v>
      </c>
      <c r="G7884" s="86" t="s">
        <v>651</v>
      </c>
      <c r="H7884" s="143">
        <v>360</v>
      </c>
      <c r="I7884" s="86" t="s">
        <v>1060</v>
      </c>
      <c r="J7884" s="47" t="s">
        <v>3325</v>
      </c>
      <c r="K7884" s="47" t="s">
        <v>3767</v>
      </c>
      <c r="L7884" s="47" t="s">
        <v>35</v>
      </c>
      <c r="M7884" s="86" t="s">
        <v>1629</v>
      </c>
      <c r="O7884" s="47" t="s">
        <v>2054</v>
      </c>
      <c r="P7884" s="14" t="s">
        <v>46</v>
      </c>
      <c r="Q7884" s="14">
        <v>5.0000000000000044E-2</v>
      </c>
      <c r="R7884" s="143" t="s">
        <v>1630</v>
      </c>
      <c r="S7884" s="47"/>
      <c r="T7884" s="6">
        <v>-149226.14513000002</v>
      </c>
      <c r="U7884" s="6"/>
      <c r="V7884" s="6">
        <v>0</v>
      </c>
      <c r="W7884" s="6">
        <f t="shared" si="1211"/>
        <v>-149226.14513000002</v>
      </c>
      <c r="X7884" s="6">
        <f t="shared" si="1215"/>
        <v>0</v>
      </c>
      <c r="Y7884" s="13">
        <f t="shared" si="1217"/>
        <v>0</v>
      </c>
      <c r="Z7884" s="14">
        <v>0</v>
      </c>
      <c r="AA7884" s="6">
        <v>0</v>
      </c>
      <c r="AB7884" s="4">
        <f t="shared" si="1218"/>
        <v>0</v>
      </c>
      <c r="AC7884" s="6">
        <f t="shared" si="1216"/>
        <v>0</v>
      </c>
      <c r="AD7884" s="6">
        <f t="shared" si="1212"/>
        <v>0</v>
      </c>
      <c r="AE7884" s="14">
        <f>VLOOKUP(I7884,[2]媒体政策预估表!A:N,MATCH(O7884,[2]媒体政策预估表!$A$2:$M$2,0),0)</f>
        <v>0.1</v>
      </c>
      <c r="AF7884" s="6">
        <f t="shared" si="1214"/>
        <v>0</v>
      </c>
      <c r="AG7884" s="14">
        <v>0</v>
      </c>
      <c r="AH7884" s="64">
        <f t="shared" si="1213"/>
        <v>0</v>
      </c>
      <c r="AJ7884" s="126" t="e">
        <v>#N/A</v>
      </c>
      <c r="AK7884" s="80">
        <f t="shared" si="1219"/>
        <v>0</v>
      </c>
      <c r="AL7884" s="85"/>
      <c r="AM7884" s="85"/>
    </row>
    <row r="7885" spans="1:39" s="86" customFormat="1" ht="13.25" hidden="1" customHeight="1" x14ac:dyDescent="0.3">
      <c r="A7885" s="89" t="s">
        <v>3978</v>
      </c>
      <c r="B7885" s="86" t="s">
        <v>35</v>
      </c>
      <c r="C7885" s="86" t="s">
        <v>164</v>
      </c>
      <c r="D7885" s="86" t="s">
        <v>174</v>
      </c>
      <c r="E7885" s="86" t="s">
        <v>1617</v>
      </c>
      <c r="F7885" s="86" t="s">
        <v>1617</v>
      </c>
      <c r="G7885" s="86" t="s">
        <v>1617</v>
      </c>
      <c r="H7885" s="144">
        <v>360</v>
      </c>
      <c r="I7885" s="86" t="s">
        <v>1060</v>
      </c>
      <c r="J7885" s="47" t="s">
        <v>3325</v>
      </c>
      <c r="K7885" s="47" t="s">
        <v>3767</v>
      </c>
      <c r="L7885" s="47" t="s">
        <v>35</v>
      </c>
      <c r="M7885" s="86" t="s">
        <v>1617</v>
      </c>
      <c r="O7885" s="47" t="s">
        <v>2054</v>
      </c>
      <c r="P7885" s="14" t="s">
        <v>46</v>
      </c>
      <c r="Q7885" s="14">
        <v>0.01</v>
      </c>
      <c r="R7885" s="143" t="s">
        <v>1621</v>
      </c>
      <c r="S7885" s="47"/>
      <c r="T7885" s="6">
        <v>-13317.403919999999</v>
      </c>
      <c r="U7885" s="6"/>
      <c r="V7885" s="6">
        <v>4079.3343</v>
      </c>
      <c r="W7885" s="6">
        <f t="shared" si="1211"/>
        <v>-17396.738219999999</v>
      </c>
      <c r="X7885" s="6">
        <f t="shared" si="1215"/>
        <v>4038.9448514851483</v>
      </c>
      <c r="Y7885" s="13">
        <f t="shared" si="1217"/>
        <v>0</v>
      </c>
      <c r="Z7885" s="14">
        <v>0</v>
      </c>
      <c r="AA7885" s="6">
        <v>0</v>
      </c>
      <c r="AB7885" s="4">
        <f t="shared" si="1218"/>
        <v>4038.9448514851483</v>
      </c>
      <c r="AC7885" s="6">
        <f t="shared" si="1216"/>
        <v>40.389448514851665</v>
      </c>
      <c r="AD7885" s="6">
        <f t="shared" si="1212"/>
        <v>4079.3343</v>
      </c>
      <c r="AE7885" s="14">
        <f>VLOOKUP(I7885,[2]媒体政策预估表!A:N,MATCH(O7885,[2]媒体政策预估表!$A$2:$M$2,0),0)</f>
        <v>0.1</v>
      </c>
      <c r="AF7885" s="6">
        <f t="shared" si="1214"/>
        <v>407.93343000000004</v>
      </c>
      <c r="AG7885" s="14">
        <v>0</v>
      </c>
      <c r="AH7885" s="64">
        <f t="shared" si="1213"/>
        <v>4079.3343</v>
      </c>
      <c r="AJ7885" s="126" t="e">
        <v>#N/A</v>
      </c>
      <c r="AK7885" s="80">
        <f t="shared" si="1219"/>
        <v>0</v>
      </c>
      <c r="AL7885" s="85"/>
      <c r="AM7885" s="85"/>
    </row>
    <row r="7886" spans="1:39" s="86" customFormat="1" ht="13.25" hidden="1" customHeight="1" x14ac:dyDescent="0.3">
      <c r="A7886" s="89" t="s">
        <v>3792</v>
      </c>
      <c r="B7886" s="86" t="s">
        <v>35</v>
      </c>
      <c r="C7886" s="86" t="s">
        <v>184</v>
      </c>
      <c r="D7886" s="86" t="s">
        <v>54</v>
      </c>
      <c r="E7886" s="86" t="s">
        <v>2346</v>
      </c>
      <c r="F7886" s="86" t="s">
        <v>2347</v>
      </c>
      <c r="G7886" s="86" t="s">
        <v>2346</v>
      </c>
      <c r="H7886" s="143">
        <v>360</v>
      </c>
      <c r="I7886" s="86" t="s">
        <v>1060</v>
      </c>
      <c r="J7886" s="47" t="s">
        <v>3325</v>
      </c>
      <c r="K7886" s="47" t="s">
        <v>3767</v>
      </c>
      <c r="L7886" s="47" t="s">
        <v>35</v>
      </c>
      <c r="M7886" s="86" t="s">
        <v>2348</v>
      </c>
      <c r="O7886" s="47" t="s">
        <v>410</v>
      </c>
      <c r="P7886" s="14" t="s">
        <v>46</v>
      </c>
      <c r="Q7886" s="14">
        <v>0.06</v>
      </c>
      <c r="R7886" s="143" t="s">
        <v>2349</v>
      </c>
      <c r="S7886" s="47"/>
      <c r="T7886" s="6">
        <v>1.2</v>
      </c>
      <c r="U7886" s="6"/>
      <c r="V7886" s="6">
        <v>0</v>
      </c>
      <c r="W7886" s="6">
        <f t="shared" si="1211"/>
        <v>1.2</v>
      </c>
      <c r="X7886" s="6">
        <f t="shared" si="1215"/>
        <v>0</v>
      </c>
      <c r="Y7886" s="13">
        <f t="shared" si="1217"/>
        <v>0</v>
      </c>
      <c r="Z7886" s="14">
        <v>0</v>
      </c>
      <c r="AA7886" s="6">
        <v>0</v>
      </c>
      <c r="AB7886" s="4">
        <f t="shared" si="1218"/>
        <v>0</v>
      </c>
      <c r="AC7886" s="6">
        <f t="shared" si="1216"/>
        <v>0</v>
      </c>
      <c r="AD7886" s="6">
        <f t="shared" si="1212"/>
        <v>0</v>
      </c>
      <c r="AE7886" s="14">
        <f>VLOOKUP(I7886,[2]媒体政策预估表!A:N,MATCH(O7886,[2]媒体政策预估表!$A$2:$M$2,0),0)</f>
        <v>7.0000000000000007E-2</v>
      </c>
      <c r="AF7886" s="6">
        <f t="shared" si="1214"/>
        <v>0</v>
      </c>
      <c r="AG7886" s="14">
        <v>0</v>
      </c>
      <c r="AH7886" s="64">
        <f t="shared" si="1213"/>
        <v>0</v>
      </c>
      <c r="AJ7886" s="126" t="e">
        <v>#N/A</v>
      </c>
      <c r="AK7886" s="80">
        <f t="shared" si="1219"/>
        <v>0</v>
      </c>
      <c r="AL7886" s="85"/>
      <c r="AM7886" s="85"/>
    </row>
    <row r="7887" spans="1:39" s="86" customFormat="1" ht="13.25" hidden="1" customHeight="1" x14ac:dyDescent="0.3">
      <c r="A7887" s="89" t="s">
        <v>3978</v>
      </c>
      <c r="B7887" s="86" t="s">
        <v>35</v>
      </c>
      <c r="C7887" s="86" t="s">
        <v>184</v>
      </c>
      <c r="D7887" s="86" t="s">
        <v>54</v>
      </c>
      <c r="E7887" s="86" t="s">
        <v>2346</v>
      </c>
      <c r="F7887" s="86" t="s">
        <v>2347</v>
      </c>
      <c r="G7887" s="86" t="s">
        <v>2346</v>
      </c>
      <c r="H7887" s="143">
        <v>360</v>
      </c>
      <c r="I7887" s="86" t="s">
        <v>1060</v>
      </c>
      <c r="J7887" s="47" t="s">
        <v>3325</v>
      </c>
      <c r="K7887" s="47" t="s">
        <v>3767</v>
      </c>
      <c r="L7887" s="47" t="s">
        <v>35</v>
      </c>
      <c r="M7887" s="86" t="s">
        <v>2348</v>
      </c>
      <c r="O7887" s="47" t="s">
        <v>45</v>
      </c>
      <c r="P7887" s="14" t="s">
        <v>46</v>
      </c>
      <c r="Q7887" s="14">
        <v>0.15</v>
      </c>
      <c r="R7887" s="143" t="s">
        <v>2349</v>
      </c>
      <c r="S7887" s="47"/>
      <c r="T7887" s="6">
        <v>7945.19</v>
      </c>
      <c r="U7887" s="6"/>
      <c r="V7887" s="6">
        <v>0</v>
      </c>
      <c r="W7887" s="6">
        <f t="shared" si="1211"/>
        <v>7945.19</v>
      </c>
      <c r="X7887" s="6">
        <f t="shared" si="1215"/>
        <v>0</v>
      </c>
      <c r="Y7887" s="13">
        <f t="shared" si="1217"/>
        <v>0</v>
      </c>
      <c r="Z7887" s="14">
        <v>0</v>
      </c>
      <c r="AA7887" s="6">
        <v>0</v>
      </c>
      <c r="AB7887" s="4">
        <f t="shared" si="1218"/>
        <v>0</v>
      </c>
      <c r="AC7887" s="6">
        <f t="shared" si="1216"/>
        <v>0</v>
      </c>
      <c r="AD7887" s="6">
        <f t="shared" si="1212"/>
        <v>0</v>
      </c>
      <c r="AE7887" s="14">
        <f>VLOOKUP(I7887,[2]媒体政策预估表!A:N,MATCH(O7887,[2]媒体政策预估表!$A$2:$M$2,0),0)</f>
        <v>0.1</v>
      </c>
      <c r="AF7887" s="6">
        <f t="shared" si="1214"/>
        <v>0</v>
      </c>
      <c r="AG7887" s="14">
        <v>0</v>
      </c>
      <c r="AH7887" s="64">
        <f t="shared" si="1213"/>
        <v>0</v>
      </c>
      <c r="AJ7887" s="126" t="e">
        <v>#N/A</v>
      </c>
      <c r="AK7887" s="80">
        <f t="shared" si="1219"/>
        <v>0</v>
      </c>
      <c r="AL7887" s="85"/>
      <c r="AM7887" s="85"/>
    </row>
    <row r="7888" spans="1:39" s="86" customFormat="1" ht="13.25" hidden="1" customHeight="1" x14ac:dyDescent="0.3">
      <c r="A7888" s="89" t="s">
        <v>3978</v>
      </c>
      <c r="B7888" s="86" t="s">
        <v>35</v>
      </c>
      <c r="C7888" s="86" t="s">
        <v>164</v>
      </c>
      <c r="D7888" s="86" t="s">
        <v>305</v>
      </c>
      <c r="E7888" s="86" t="s">
        <v>2350</v>
      </c>
      <c r="F7888" s="86" t="s">
        <v>2350</v>
      </c>
      <c r="G7888" s="86" t="s">
        <v>2350</v>
      </c>
      <c r="H7888" s="143">
        <v>360</v>
      </c>
      <c r="I7888" s="86" t="s">
        <v>1060</v>
      </c>
      <c r="J7888" s="47" t="s">
        <v>3325</v>
      </c>
      <c r="K7888" s="47" t="s">
        <v>3767</v>
      </c>
      <c r="L7888" s="47" t="s">
        <v>35</v>
      </c>
      <c r="M7888" s="86" t="s">
        <v>2350</v>
      </c>
      <c r="O7888" s="47" t="s">
        <v>410</v>
      </c>
      <c r="P7888" s="14" t="s">
        <v>41</v>
      </c>
      <c r="Q7888" s="14">
        <v>0</v>
      </c>
      <c r="R7888" s="143" t="s">
        <v>2351</v>
      </c>
      <c r="S7888" s="47"/>
      <c r="T7888" s="6">
        <v>1547.3</v>
      </c>
      <c r="U7888" s="6"/>
      <c r="V7888" s="6">
        <v>0</v>
      </c>
      <c r="W7888" s="6">
        <f t="shared" si="1211"/>
        <v>1547.3</v>
      </c>
      <c r="X7888" s="6">
        <f t="shared" si="1215"/>
        <v>0</v>
      </c>
      <c r="Y7888" s="13">
        <f t="shared" si="1217"/>
        <v>0</v>
      </c>
      <c r="Z7888" s="14">
        <v>0</v>
      </c>
      <c r="AA7888" s="6">
        <v>0</v>
      </c>
      <c r="AB7888" s="4">
        <f t="shared" si="1218"/>
        <v>0</v>
      </c>
      <c r="AC7888" s="6">
        <f t="shared" si="1216"/>
        <v>0</v>
      </c>
      <c r="AD7888" s="6">
        <f t="shared" si="1212"/>
        <v>0</v>
      </c>
      <c r="AE7888" s="14">
        <f>VLOOKUP(I7888,[2]媒体政策预估表!A:N,MATCH(O7888,[2]媒体政策预估表!$A$2:$M$2,0),0)</f>
        <v>7.0000000000000007E-2</v>
      </c>
      <c r="AF7888" s="6">
        <f t="shared" si="1214"/>
        <v>0</v>
      </c>
      <c r="AG7888" s="14">
        <v>0</v>
      </c>
      <c r="AH7888" s="64">
        <f t="shared" si="1213"/>
        <v>0</v>
      </c>
      <c r="AJ7888" s="126" t="e">
        <v>#N/A</v>
      </c>
      <c r="AK7888" s="80">
        <f t="shared" si="1219"/>
        <v>0</v>
      </c>
      <c r="AL7888" s="85"/>
      <c r="AM7888" s="85"/>
    </row>
    <row r="7889" spans="1:39" s="86" customFormat="1" ht="13.25" hidden="1" customHeight="1" x14ac:dyDescent="0.3">
      <c r="A7889" s="89" t="s">
        <v>3792</v>
      </c>
      <c r="B7889" s="86" t="s">
        <v>35</v>
      </c>
      <c r="C7889" s="86" t="s">
        <v>164</v>
      </c>
      <c r="D7889" s="86" t="s">
        <v>174</v>
      </c>
      <c r="E7889" s="86" t="s">
        <v>2352</v>
      </c>
      <c r="F7889" s="86" t="s">
        <v>2352</v>
      </c>
      <c r="G7889" s="86" t="s">
        <v>2352</v>
      </c>
      <c r="H7889" s="143">
        <v>30</v>
      </c>
      <c r="I7889" s="86" t="s">
        <v>1961</v>
      </c>
      <c r="J7889" s="1" t="s">
        <v>3671</v>
      </c>
      <c r="K7889" s="47"/>
      <c r="L7889" s="1" t="s">
        <v>3317</v>
      </c>
      <c r="M7889" s="86" t="s">
        <v>2352</v>
      </c>
      <c r="O7889" s="47" t="s">
        <v>410</v>
      </c>
      <c r="P7889" s="14" t="s">
        <v>41</v>
      </c>
      <c r="Q7889" s="14">
        <v>0</v>
      </c>
      <c r="R7889" s="143" t="s">
        <v>2353</v>
      </c>
      <c r="S7889" s="47"/>
      <c r="T7889" s="6">
        <v>2.4</v>
      </c>
      <c r="U7889" s="6"/>
      <c r="V7889" s="6"/>
      <c r="W7889" s="6">
        <f t="shared" si="1211"/>
        <v>2.4</v>
      </c>
      <c r="X7889" s="6">
        <f t="shared" si="1215"/>
        <v>0</v>
      </c>
      <c r="Y7889" s="13">
        <f t="shared" si="1217"/>
        <v>0</v>
      </c>
      <c r="Z7889" s="14">
        <v>0</v>
      </c>
      <c r="AA7889" s="6">
        <v>0</v>
      </c>
      <c r="AB7889" s="4">
        <f t="shared" si="1218"/>
        <v>0</v>
      </c>
      <c r="AC7889" s="6">
        <f t="shared" si="1216"/>
        <v>0</v>
      </c>
      <c r="AD7889" s="6">
        <f t="shared" si="1212"/>
        <v>0</v>
      </c>
      <c r="AE7889" s="14">
        <v>0</v>
      </c>
      <c r="AF7889" s="6">
        <f t="shared" si="1214"/>
        <v>0</v>
      </c>
      <c r="AG7889" s="14">
        <v>0</v>
      </c>
      <c r="AH7889" s="64">
        <f t="shared" si="1213"/>
        <v>0</v>
      </c>
      <c r="AJ7889" s="126" t="e">
        <v>#N/A</v>
      </c>
      <c r="AK7889" s="80">
        <f t="shared" si="1219"/>
        <v>0</v>
      </c>
      <c r="AL7889" s="85"/>
      <c r="AM7889" s="85"/>
    </row>
    <row r="7890" spans="1:39" s="86" customFormat="1" ht="13.25" hidden="1" customHeight="1" x14ac:dyDescent="0.3">
      <c r="A7890" s="89" t="s">
        <v>3978</v>
      </c>
      <c r="B7890" s="86" t="s">
        <v>35</v>
      </c>
      <c r="C7890" s="86" t="s">
        <v>164</v>
      </c>
      <c r="D7890" s="86" t="s">
        <v>174</v>
      </c>
      <c r="E7890" s="86" t="s">
        <v>651</v>
      </c>
      <c r="F7890" s="86" t="s">
        <v>651</v>
      </c>
      <c r="G7890" s="86" t="s">
        <v>651</v>
      </c>
      <c r="H7890" s="143">
        <v>360</v>
      </c>
      <c r="I7890" s="86" t="s">
        <v>1060</v>
      </c>
      <c r="J7890" s="47" t="s">
        <v>3325</v>
      </c>
      <c r="K7890" s="47" t="s">
        <v>3767</v>
      </c>
      <c r="L7890" s="47" t="s">
        <v>35</v>
      </c>
      <c r="M7890" s="86" t="s">
        <v>651</v>
      </c>
      <c r="O7890" s="47" t="s">
        <v>941</v>
      </c>
      <c r="P7890" s="14" t="s">
        <v>46</v>
      </c>
      <c r="Q7890" s="14">
        <v>0.06</v>
      </c>
      <c r="R7890" s="143" t="s">
        <v>1973</v>
      </c>
      <c r="S7890" s="47"/>
      <c r="T7890" s="6">
        <v>-417979.23726000002</v>
      </c>
      <c r="U7890" s="6"/>
      <c r="V7890" s="6">
        <v>0</v>
      </c>
      <c r="W7890" s="6">
        <f t="shared" si="1211"/>
        <v>-417979.23726000002</v>
      </c>
      <c r="X7890" s="6">
        <f t="shared" si="1215"/>
        <v>0</v>
      </c>
      <c r="Y7890" s="13">
        <f t="shared" si="1217"/>
        <v>0</v>
      </c>
      <c r="Z7890" s="14">
        <v>0</v>
      </c>
      <c r="AA7890" s="6">
        <v>0</v>
      </c>
      <c r="AB7890" s="4">
        <f t="shared" si="1218"/>
        <v>0</v>
      </c>
      <c r="AC7890" s="6">
        <f t="shared" si="1216"/>
        <v>0</v>
      </c>
      <c r="AD7890" s="6">
        <f t="shared" si="1212"/>
        <v>0</v>
      </c>
      <c r="AE7890" s="14">
        <f>VLOOKUP(I7890,[2]媒体政策预估表!A:N,MATCH(O7890,[2]媒体政策预估表!$A$2:$M$2,0),0)</f>
        <v>0.15</v>
      </c>
      <c r="AF7890" s="6">
        <f t="shared" si="1214"/>
        <v>0</v>
      </c>
      <c r="AG7890" s="14">
        <v>0</v>
      </c>
      <c r="AH7890" s="64">
        <f t="shared" si="1213"/>
        <v>0</v>
      </c>
      <c r="AJ7890" s="126" t="e">
        <v>#N/A</v>
      </c>
      <c r="AK7890" s="80">
        <f t="shared" si="1219"/>
        <v>0</v>
      </c>
      <c r="AL7890" s="85"/>
      <c r="AM7890" s="85"/>
    </row>
    <row r="7891" spans="1:39" s="86" customFormat="1" ht="13.25" hidden="1" customHeight="1" x14ac:dyDescent="0.3">
      <c r="A7891" s="89" t="s">
        <v>3792</v>
      </c>
      <c r="B7891" s="86" t="s">
        <v>35</v>
      </c>
      <c r="C7891" s="86" t="s">
        <v>144</v>
      </c>
      <c r="D7891" s="86" t="s">
        <v>161</v>
      </c>
      <c r="E7891" s="86" t="s">
        <v>162</v>
      </c>
      <c r="F7891" s="86" t="s">
        <v>162</v>
      </c>
      <c r="G7891" s="86" t="s">
        <v>162</v>
      </c>
      <c r="H7891" s="144">
        <v>360</v>
      </c>
      <c r="I7891" s="86" t="s">
        <v>1060</v>
      </c>
      <c r="J7891" s="47" t="s">
        <v>3325</v>
      </c>
      <c r="K7891" s="47" t="s">
        <v>3767</v>
      </c>
      <c r="L7891" s="47" t="s">
        <v>35</v>
      </c>
      <c r="M7891" s="86" t="s">
        <v>162</v>
      </c>
      <c r="O7891" s="47" t="s">
        <v>941</v>
      </c>
      <c r="P7891" s="14" t="s">
        <v>46</v>
      </c>
      <c r="Q7891" s="14">
        <v>2.0000000000000018E-2</v>
      </c>
      <c r="R7891" s="143" t="s">
        <v>1508</v>
      </c>
      <c r="S7891" s="47"/>
      <c r="T7891" s="6">
        <v>-854658.36045999988</v>
      </c>
      <c r="U7891" s="6"/>
      <c r="V7891" s="6">
        <v>81459.440239999996</v>
      </c>
      <c r="W7891" s="6">
        <f t="shared" si="1211"/>
        <v>-936117.80069999991</v>
      </c>
      <c r="X7891" s="6">
        <f t="shared" si="1215"/>
        <v>79862.196313725479</v>
      </c>
      <c r="Y7891" s="13">
        <f t="shared" si="1217"/>
        <v>0</v>
      </c>
      <c r="Z7891" s="14">
        <v>0</v>
      </c>
      <c r="AA7891" s="6">
        <v>0</v>
      </c>
      <c r="AB7891" s="4">
        <f t="shared" si="1218"/>
        <v>79862.196313725479</v>
      </c>
      <c r="AC7891" s="6">
        <f t="shared" si="1216"/>
        <v>1597.2439262745174</v>
      </c>
      <c r="AD7891" s="6">
        <f t="shared" si="1212"/>
        <v>81459.440239999996</v>
      </c>
      <c r="AE7891" s="14">
        <f>VLOOKUP(I7891,[2]媒体政策预估表!A:N,MATCH(O7891,[2]媒体政策预估表!$A$2:$M$2,0),0)</f>
        <v>0.15</v>
      </c>
      <c r="AF7891" s="6">
        <f t="shared" si="1214"/>
        <v>12218.916035999999</v>
      </c>
      <c r="AG7891" s="14">
        <v>0</v>
      </c>
      <c r="AH7891" s="64">
        <f t="shared" si="1213"/>
        <v>81459.440239999996</v>
      </c>
      <c r="AJ7891" s="126" t="e">
        <v>#N/A</v>
      </c>
      <c r="AK7891" s="80">
        <f t="shared" si="1219"/>
        <v>0</v>
      </c>
      <c r="AL7891" s="85"/>
      <c r="AM7891" s="85"/>
    </row>
    <row r="7892" spans="1:39" s="86" customFormat="1" ht="13.25" hidden="1" customHeight="1" x14ac:dyDescent="0.3">
      <c r="A7892" s="89" t="s">
        <v>3792</v>
      </c>
      <c r="B7892" s="86" t="s">
        <v>35</v>
      </c>
      <c r="C7892" s="86" t="s">
        <v>164</v>
      </c>
      <c r="D7892" s="86" t="s">
        <v>174</v>
      </c>
      <c r="E7892" s="86" t="s">
        <v>651</v>
      </c>
      <c r="F7892" s="86" t="s">
        <v>651</v>
      </c>
      <c r="G7892" s="86" t="s">
        <v>651</v>
      </c>
      <c r="H7892" s="143">
        <v>360</v>
      </c>
      <c r="I7892" s="86" t="s">
        <v>1060</v>
      </c>
      <c r="J7892" s="47" t="s">
        <v>3325</v>
      </c>
      <c r="K7892" s="47" t="s">
        <v>3767</v>
      </c>
      <c r="L7892" s="47" t="s">
        <v>35</v>
      </c>
      <c r="M7892" s="86" t="s">
        <v>1629</v>
      </c>
      <c r="O7892" s="47" t="s">
        <v>941</v>
      </c>
      <c r="P7892" s="14" t="s">
        <v>46</v>
      </c>
      <c r="Q7892" s="14">
        <v>0.06</v>
      </c>
      <c r="R7892" s="143" t="s">
        <v>1975</v>
      </c>
      <c r="S7892" s="47"/>
      <c r="T7892" s="6">
        <v>-375204.93352999998</v>
      </c>
      <c r="U7892" s="6"/>
      <c r="V7892" s="6">
        <v>0</v>
      </c>
      <c r="W7892" s="6">
        <f t="shared" si="1211"/>
        <v>-375204.93352999998</v>
      </c>
      <c r="X7892" s="6">
        <f t="shared" si="1215"/>
        <v>0</v>
      </c>
      <c r="Y7892" s="13">
        <f t="shared" si="1217"/>
        <v>0</v>
      </c>
      <c r="Z7892" s="14">
        <v>0</v>
      </c>
      <c r="AA7892" s="6">
        <v>0</v>
      </c>
      <c r="AB7892" s="4">
        <f t="shared" si="1218"/>
        <v>0</v>
      </c>
      <c r="AC7892" s="6">
        <f t="shared" si="1216"/>
        <v>0</v>
      </c>
      <c r="AD7892" s="6">
        <f t="shared" si="1212"/>
        <v>0</v>
      </c>
      <c r="AE7892" s="14">
        <f>VLOOKUP(I7892,[2]媒体政策预估表!A:N,MATCH(O7892,[2]媒体政策预估表!$A$2:$M$2,0),0)</f>
        <v>0.15</v>
      </c>
      <c r="AF7892" s="6">
        <f t="shared" si="1214"/>
        <v>0</v>
      </c>
      <c r="AG7892" s="14">
        <v>0</v>
      </c>
      <c r="AH7892" s="64">
        <f t="shared" si="1213"/>
        <v>0</v>
      </c>
      <c r="AJ7892" s="126" t="e">
        <v>#N/A</v>
      </c>
      <c r="AK7892" s="80">
        <f t="shared" si="1219"/>
        <v>0</v>
      </c>
      <c r="AL7892" s="85"/>
      <c r="AM7892" s="85"/>
    </row>
    <row r="7893" spans="1:39" s="86" customFormat="1" ht="13.25" hidden="1" customHeight="1" x14ac:dyDescent="0.3">
      <c r="A7893" s="89" t="s">
        <v>3978</v>
      </c>
      <c r="B7893" s="86" t="s">
        <v>35</v>
      </c>
      <c r="C7893" s="86" t="s">
        <v>164</v>
      </c>
      <c r="D7893" s="86" t="s">
        <v>174</v>
      </c>
      <c r="E7893" s="86" t="s">
        <v>651</v>
      </c>
      <c r="F7893" s="86" t="s">
        <v>651</v>
      </c>
      <c r="G7893" s="86" t="s">
        <v>651</v>
      </c>
      <c r="H7893" s="143">
        <v>360</v>
      </c>
      <c r="I7893" s="86" t="s">
        <v>1060</v>
      </c>
      <c r="J7893" s="47" t="s">
        <v>3325</v>
      </c>
      <c r="K7893" s="47" t="s">
        <v>3767</v>
      </c>
      <c r="L7893" s="47" t="s">
        <v>35</v>
      </c>
      <c r="M7893" s="86" t="s">
        <v>1629</v>
      </c>
      <c r="O7893" s="47" t="s">
        <v>2054</v>
      </c>
      <c r="P7893" s="14" t="s">
        <v>46</v>
      </c>
      <c r="Q7893" s="14">
        <v>0.06</v>
      </c>
      <c r="R7893" s="143" t="s">
        <v>1975</v>
      </c>
      <c r="S7893" s="47"/>
      <c r="T7893" s="6">
        <v>-204559.05554999999</v>
      </c>
      <c r="U7893" s="6"/>
      <c r="V7893" s="6">
        <v>0</v>
      </c>
      <c r="W7893" s="6">
        <f t="shared" si="1211"/>
        <v>-204559.05554999999</v>
      </c>
      <c r="X7893" s="6">
        <f t="shared" si="1215"/>
        <v>0</v>
      </c>
      <c r="Y7893" s="13">
        <f t="shared" si="1217"/>
        <v>0</v>
      </c>
      <c r="Z7893" s="14">
        <v>0</v>
      </c>
      <c r="AA7893" s="6">
        <v>0</v>
      </c>
      <c r="AB7893" s="4">
        <f t="shared" si="1218"/>
        <v>0</v>
      </c>
      <c r="AC7893" s="6">
        <f t="shared" si="1216"/>
        <v>0</v>
      </c>
      <c r="AD7893" s="6">
        <f t="shared" si="1212"/>
        <v>0</v>
      </c>
      <c r="AE7893" s="14">
        <f>VLOOKUP(I7893,[2]媒体政策预估表!A:N,MATCH(O7893,[2]媒体政策预估表!$A$2:$M$2,0),0)</f>
        <v>0.1</v>
      </c>
      <c r="AF7893" s="6">
        <f t="shared" si="1214"/>
        <v>0</v>
      </c>
      <c r="AG7893" s="14">
        <v>0</v>
      </c>
      <c r="AH7893" s="64">
        <f t="shared" si="1213"/>
        <v>0</v>
      </c>
      <c r="AJ7893" s="126" t="e">
        <v>#N/A</v>
      </c>
      <c r="AK7893" s="80">
        <f t="shared" si="1219"/>
        <v>0</v>
      </c>
      <c r="AL7893" s="85"/>
      <c r="AM7893" s="85"/>
    </row>
    <row r="7894" spans="1:39" s="86" customFormat="1" ht="13.25" hidden="1" customHeight="1" x14ac:dyDescent="0.3">
      <c r="A7894" s="89" t="s">
        <v>3978</v>
      </c>
      <c r="B7894" s="86" t="s">
        <v>35</v>
      </c>
      <c r="C7894" s="86" t="s">
        <v>65</v>
      </c>
      <c r="D7894" s="86" t="s">
        <v>66</v>
      </c>
      <c r="E7894" s="86" t="s">
        <v>2354</v>
      </c>
      <c r="F7894" s="86" t="s">
        <v>2354</v>
      </c>
      <c r="G7894" s="86" t="s">
        <v>2354</v>
      </c>
      <c r="H7894" s="143">
        <v>360</v>
      </c>
      <c r="I7894" s="86" t="s">
        <v>1060</v>
      </c>
      <c r="J7894" s="47" t="s">
        <v>3325</v>
      </c>
      <c r="K7894" s="47" t="s">
        <v>3767</v>
      </c>
      <c r="L7894" s="47" t="s">
        <v>35</v>
      </c>
      <c r="M7894" s="86" t="s">
        <v>2354</v>
      </c>
      <c r="O7894" s="47" t="s">
        <v>410</v>
      </c>
      <c r="P7894" s="14" t="s">
        <v>46</v>
      </c>
      <c r="Q7894" s="14">
        <v>0.04</v>
      </c>
      <c r="R7894" s="143" t="s">
        <v>2355</v>
      </c>
      <c r="S7894" s="47"/>
      <c r="T7894" s="6">
        <v>2855.97</v>
      </c>
      <c r="U7894" s="6"/>
      <c r="V7894" s="6">
        <v>0</v>
      </c>
      <c r="W7894" s="6">
        <f t="shared" si="1211"/>
        <v>2855.97</v>
      </c>
      <c r="X7894" s="6">
        <f t="shared" si="1215"/>
        <v>0</v>
      </c>
      <c r="Y7894" s="13">
        <f t="shared" si="1217"/>
        <v>0</v>
      </c>
      <c r="Z7894" s="14">
        <v>0</v>
      </c>
      <c r="AA7894" s="6">
        <v>0</v>
      </c>
      <c r="AB7894" s="4">
        <f t="shared" si="1218"/>
        <v>0</v>
      </c>
      <c r="AC7894" s="6">
        <f t="shared" si="1216"/>
        <v>0</v>
      </c>
      <c r="AD7894" s="6">
        <f t="shared" si="1212"/>
        <v>0</v>
      </c>
      <c r="AE7894" s="14">
        <f>VLOOKUP(I7894,[2]媒体政策预估表!A:N,MATCH(O7894,[2]媒体政策预估表!$A$2:$M$2,0),0)</f>
        <v>7.0000000000000007E-2</v>
      </c>
      <c r="AF7894" s="6">
        <f t="shared" si="1214"/>
        <v>0</v>
      </c>
      <c r="AG7894" s="14">
        <v>0</v>
      </c>
      <c r="AH7894" s="64">
        <f t="shared" si="1213"/>
        <v>0</v>
      </c>
      <c r="AJ7894" s="126" t="e">
        <v>#N/A</v>
      </c>
      <c r="AK7894" s="80">
        <f t="shared" si="1219"/>
        <v>0</v>
      </c>
      <c r="AL7894" s="85"/>
      <c r="AM7894" s="85"/>
    </row>
    <row r="7895" spans="1:39" s="86" customFormat="1" ht="13.25" hidden="1" customHeight="1" x14ac:dyDescent="0.3">
      <c r="A7895" s="89" t="s">
        <v>3792</v>
      </c>
      <c r="B7895" s="86" t="s">
        <v>35</v>
      </c>
      <c r="C7895" s="86" t="s">
        <v>184</v>
      </c>
      <c r="D7895" s="86" t="s">
        <v>54</v>
      </c>
      <c r="E7895" s="86" t="s">
        <v>2356</v>
      </c>
      <c r="F7895" s="86" t="s">
        <v>2356</v>
      </c>
      <c r="G7895" s="86" t="s">
        <v>2356</v>
      </c>
      <c r="H7895" s="143">
        <v>360</v>
      </c>
      <c r="I7895" s="86" t="s">
        <v>1060</v>
      </c>
      <c r="J7895" s="47" t="s">
        <v>3325</v>
      </c>
      <c r="K7895" s="47" t="s">
        <v>3767</v>
      </c>
      <c r="L7895" s="47" t="s">
        <v>35</v>
      </c>
      <c r="M7895" s="86" t="s">
        <v>2357</v>
      </c>
      <c r="O7895" s="47" t="s">
        <v>410</v>
      </c>
      <c r="P7895" s="14" t="s">
        <v>46</v>
      </c>
      <c r="Q7895" s="14">
        <v>0.02</v>
      </c>
      <c r="R7895" s="143">
        <v>13521597625</v>
      </c>
      <c r="S7895" s="47"/>
      <c r="T7895" s="6">
        <v>0.5</v>
      </c>
      <c r="U7895" s="6"/>
      <c r="V7895" s="6">
        <v>0</v>
      </c>
      <c r="W7895" s="6">
        <f t="shared" si="1211"/>
        <v>0.5</v>
      </c>
      <c r="X7895" s="6">
        <f t="shared" si="1215"/>
        <v>0</v>
      </c>
      <c r="Y7895" s="13">
        <f t="shared" si="1217"/>
        <v>0</v>
      </c>
      <c r="Z7895" s="14">
        <v>0</v>
      </c>
      <c r="AA7895" s="6">
        <v>0</v>
      </c>
      <c r="AB7895" s="4"/>
      <c r="AC7895" s="6">
        <f t="shared" si="1216"/>
        <v>0</v>
      </c>
      <c r="AD7895" s="6">
        <f t="shared" si="1212"/>
        <v>0</v>
      </c>
      <c r="AE7895" s="14">
        <f>VLOOKUP(I7895,[2]媒体政策预估表!A:N,MATCH(O7895,[2]媒体政策预估表!$A$2:$M$2,0),0)</f>
        <v>7.0000000000000007E-2</v>
      </c>
      <c r="AF7895" s="6">
        <f t="shared" si="1214"/>
        <v>0</v>
      </c>
      <c r="AG7895" s="14">
        <v>0</v>
      </c>
      <c r="AH7895" s="64">
        <f t="shared" si="1213"/>
        <v>0</v>
      </c>
      <c r="AJ7895" s="126">
        <v>58</v>
      </c>
      <c r="AK7895" s="80">
        <f t="shared" si="1219"/>
        <v>0</v>
      </c>
      <c r="AL7895" s="85"/>
      <c r="AM7895" s="85"/>
    </row>
    <row r="7896" spans="1:39" s="86" customFormat="1" ht="13.25" hidden="1" customHeight="1" x14ac:dyDescent="0.3">
      <c r="A7896" s="89" t="s">
        <v>3792</v>
      </c>
      <c r="B7896" s="86" t="s">
        <v>35</v>
      </c>
      <c r="C7896" s="86" t="s">
        <v>164</v>
      </c>
      <c r="D7896" s="86" t="s">
        <v>305</v>
      </c>
      <c r="E7896" s="86" t="s">
        <v>2358</v>
      </c>
      <c r="F7896" s="86" t="s">
        <v>2358</v>
      </c>
      <c r="G7896" s="86" t="s">
        <v>2358</v>
      </c>
      <c r="H7896" s="143">
        <v>360</v>
      </c>
      <c r="I7896" s="86" t="s">
        <v>1060</v>
      </c>
      <c r="J7896" s="47" t="s">
        <v>3325</v>
      </c>
      <c r="K7896" s="47" t="s">
        <v>3767</v>
      </c>
      <c r="L7896" s="47" t="s">
        <v>35</v>
      </c>
      <c r="M7896" s="86" t="s">
        <v>2358</v>
      </c>
      <c r="O7896" s="47" t="s">
        <v>410</v>
      </c>
      <c r="P7896" s="14" t="s">
        <v>41</v>
      </c>
      <c r="Q7896" s="14">
        <v>0</v>
      </c>
      <c r="R7896" s="143" t="s">
        <v>2359</v>
      </c>
      <c r="S7896" s="47"/>
      <c r="T7896" s="6">
        <v>1.85</v>
      </c>
      <c r="U7896" s="6"/>
      <c r="V7896" s="6">
        <v>0</v>
      </c>
      <c r="W7896" s="6">
        <f t="shared" si="1211"/>
        <v>1.85</v>
      </c>
      <c r="X7896" s="6">
        <f t="shared" si="1215"/>
        <v>0</v>
      </c>
      <c r="Y7896" s="13">
        <f t="shared" si="1217"/>
        <v>0</v>
      </c>
      <c r="Z7896" s="14">
        <v>0</v>
      </c>
      <c r="AA7896" s="6">
        <v>0</v>
      </c>
      <c r="AB7896" s="4">
        <f t="shared" si="1218"/>
        <v>0</v>
      </c>
      <c r="AC7896" s="6">
        <f t="shared" si="1216"/>
        <v>0</v>
      </c>
      <c r="AD7896" s="6">
        <f t="shared" si="1212"/>
        <v>0</v>
      </c>
      <c r="AE7896" s="14">
        <f>VLOOKUP(I7896,[2]媒体政策预估表!A:N,MATCH(O7896,[2]媒体政策预估表!$A$2:$M$2,0),0)</f>
        <v>7.0000000000000007E-2</v>
      </c>
      <c r="AF7896" s="6">
        <f t="shared" si="1214"/>
        <v>0</v>
      </c>
      <c r="AG7896" s="14">
        <v>0</v>
      </c>
      <c r="AH7896" s="64">
        <f t="shared" si="1213"/>
        <v>0</v>
      </c>
      <c r="AJ7896" s="126" t="e">
        <v>#N/A</v>
      </c>
      <c r="AK7896" s="80">
        <f t="shared" si="1219"/>
        <v>0</v>
      </c>
      <c r="AL7896" s="85"/>
      <c r="AM7896" s="85"/>
    </row>
    <row r="7897" spans="1:39" s="86" customFormat="1" ht="13.25" hidden="1" customHeight="1" x14ac:dyDescent="0.3">
      <c r="A7897" s="89" t="s">
        <v>3792</v>
      </c>
      <c r="B7897" s="86" t="s">
        <v>35</v>
      </c>
      <c r="C7897" s="86" t="s">
        <v>164</v>
      </c>
      <c r="D7897" s="86" t="s">
        <v>174</v>
      </c>
      <c r="E7897" s="86" t="s">
        <v>1687</v>
      </c>
      <c r="F7897" s="86" t="s">
        <v>1687</v>
      </c>
      <c r="G7897" s="86" t="s">
        <v>1687</v>
      </c>
      <c r="H7897" s="143">
        <v>360</v>
      </c>
      <c r="I7897" s="86" t="s">
        <v>1060</v>
      </c>
      <c r="J7897" s="47" t="s">
        <v>3325</v>
      </c>
      <c r="K7897" s="47" t="s">
        <v>3767</v>
      </c>
      <c r="L7897" s="47" t="s">
        <v>35</v>
      </c>
      <c r="M7897" s="86" t="s">
        <v>1689</v>
      </c>
      <c r="O7897" s="47" t="s">
        <v>45</v>
      </c>
      <c r="P7897" s="14" t="s">
        <v>46</v>
      </c>
      <c r="Q7897" s="14">
        <v>0.02</v>
      </c>
      <c r="R7897" s="143" t="s">
        <v>1691</v>
      </c>
      <c r="S7897" s="47"/>
      <c r="T7897" s="6">
        <v>-510.3</v>
      </c>
      <c r="U7897" s="6"/>
      <c r="V7897" s="6">
        <v>0</v>
      </c>
      <c r="W7897" s="6">
        <f t="shared" ref="W7897:W7960" si="1220">T7897+U7897-V7897</f>
        <v>-510.3</v>
      </c>
      <c r="X7897" s="6">
        <f t="shared" si="1215"/>
        <v>0</v>
      </c>
      <c r="Y7897" s="13">
        <f t="shared" si="1217"/>
        <v>0</v>
      </c>
      <c r="Z7897" s="14">
        <v>0</v>
      </c>
      <c r="AA7897" s="6">
        <v>0</v>
      </c>
      <c r="AB7897" s="4">
        <f t="shared" si="1218"/>
        <v>0</v>
      </c>
      <c r="AC7897" s="6">
        <f t="shared" si="1216"/>
        <v>0</v>
      </c>
      <c r="AD7897" s="6">
        <f t="shared" ref="AD7897:AD7960" si="1221">V7897</f>
        <v>0</v>
      </c>
      <c r="AE7897" s="14">
        <f>VLOOKUP(I7897,[2]媒体政策预估表!A:N,MATCH(O7897,[2]媒体政策预估表!$A$2:$M$2,0),0)</f>
        <v>0.1</v>
      </c>
      <c r="AF7897" s="6">
        <f t="shared" si="1214"/>
        <v>0</v>
      </c>
      <c r="AG7897" s="14">
        <v>0</v>
      </c>
      <c r="AH7897" s="64">
        <f t="shared" ref="AH7897:AH7960" si="1222">V7897</f>
        <v>0</v>
      </c>
      <c r="AJ7897" s="126" t="e">
        <v>#N/A</v>
      </c>
      <c r="AK7897" s="80">
        <f t="shared" si="1219"/>
        <v>0</v>
      </c>
      <c r="AL7897" s="85"/>
      <c r="AM7897" s="85"/>
    </row>
    <row r="7898" spans="1:39" s="86" customFormat="1" ht="13.25" hidden="1" customHeight="1" x14ac:dyDescent="0.3">
      <c r="A7898" s="89" t="s">
        <v>3978</v>
      </c>
      <c r="B7898" s="86" t="s">
        <v>35</v>
      </c>
      <c r="C7898" s="86" t="s">
        <v>47</v>
      </c>
      <c r="D7898" s="86" t="s">
        <v>48</v>
      </c>
      <c r="E7898" s="86" t="s">
        <v>2060</v>
      </c>
      <c r="F7898" s="86" t="s">
        <v>2060</v>
      </c>
      <c r="G7898" s="86" t="s">
        <v>2060</v>
      </c>
      <c r="H7898" s="143">
        <v>360</v>
      </c>
      <c r="I7898" s="86" t="s">
        <v>1060</v>
      </c>
      <c r="J7898" s="47" t="s">
        <v>3325</v>
      </c>
      <c r="K7898" s="47" t="s">
        <v>3767</v>
      </c>
      <c r="L7898" s="47" t="s">
        <v>35</v>
      </c>
      <c r="M7898" s="86" t="s">
        <v>2060</v>
      </c>
      <c r="O7898" s="47" t="s">
        <v>45</v>
      </c>
      <c r="P7898" s="14" t="s">
        <v>41</v>
      </c>
      <c r="Q7898" s="14">
        <v>0</v>
      </c>
      <c r="R7898" s="143" t="s">
        <v>2061</v>
      </c>
      <c r="S7898" s="47"/>
      <c r="T7898" s="6">
        <v>-364.65</v>
      </c>
      <c r="U7898" s="6"/>
      <c r="V7898" s="6">
        <v>0</v>
      </c>
      <c r="W7898" s="6">
        <f t="shared" si="1220"/>
        <v>-364.65</v>
      </c>
      <c r="X7898" s="6">
        <f t="shared" si="1215"/>
        <v>0</v>
      </c>
      <c r="Y7898" s="13">
        <f t="shared" si="1217"/>
        <v>0</v>
      </c>
      <c r="Z7898" s="14">
        <v>0</v>
      </c>
      <c r="AA7898" s="6">
        <v>0</v>
      </c>
      <c r="AB7898" s="4">
        <f t="shared" si="1218"/>
        <v>0</v>
      </c>
      <c r="AC7898" s="6">
        <f t="shared" si="1216"/>
        <v>0</v>
      </c>
      <c r="AD7898" s="6">
        <f t="shared" si="1221"/>
        <v>0</v>
      </c>
      <c r="AE7898" s="14">
        <f>VLOOKUP(I7898,[2]媒体政策预估表!A:N,MATCH(O7898,[2]媒体政策预估表!$A$2:$M$2,0),0)</f>
        <v>0.1</v>
      </c>
      <c r="AF7898" s="6">
        <f t="shared" si="1214"/>
        <v>0</v>
      </c>
      <c r="AG7898" s="14">
        <v>0</v>
      </c>
      <c r="AH7898" s="64">
        <f t="shared" si="1222"/>
        <v>0</v>
      </c>
      <c r="AJ7898" s="126" t="e">
        <v>#N/A</v>
      </c>
      <c r="AK7898" s="80">
        <f t="shared" si="1219"/>
        <v>0</v>
      </c>
      <c r="AL7898" s="85"/>
      <c r="AM7898" s="85"/>
    </row>
    <row r="7899" spans="1:39" s="86" customFormat="1" ht="13.25" hidden="1" customHeight="1" x14ac:dyDescent="0.3">
      <c r="A7899" s="89" t="s">
        <v>3978</v>
      </c>
      <c r="B7899" s="86" t="s">
        <v>35</v>
      </c>
      <c r="C7899" s="86" t="s">
        <v>164</v>
      </c>
      <c r="D7899" s="86" t="s">
        <v>174</v>
      </c>
      <c r="E7899" s="86" t="s">
        <v>1617</v>
      </c>
      <c r="F7899" s="86" t="s">
        <v>1617</v>
      </c>
      <c r="G7899" s="86" t="s">
        <v>1617</v>
      </c>
      <c r="H7899" s="144">
        <v>360</v>
      </c>
      <c r="I7899" s="86" t="s">
        <v>1060</v>
      </c>
      <c r="J7899" s="47" t="s">
        <v>3325</v>
      </c>
      <c r="K7899" s="47" t="s">
        <v>3767</v>
      </c>
      <c r="L7899" s="47" t="s">
        <v>35</v>
      </c>
      <c r="M7899" s="86" t="s">
        <v>1617</v>
      </c>
      <c r="O7899" s="47" t="s">
        <v>941</v>
      </c>
      <c r="P7899" s="14" t="s">
        <v>46</v>
      </c>
      <c r="Q7899" s="14">
        <v>0.01</v>
      </c>
      <c r="R7899" s="143" t="s">
        <v>1620</v>
      </c>
      <c r="S7899" s="47"/>
      <c r="T7899" s="6">
        <v>-244104.79671</v>
      </c>
      <c r="U7899" s="6"/>
      <c r="V7899" s="6">
        <v>80322.681670000005</v>
      </c>
      <c r="W7899" s="6">
        <f t="shared" si="1220"/>
        <v>-324427.47837999999</v>
      </c>
      <c r="X7899" s="6">
        <f t="shared" si="1215"/>
        <v>79527.407594059405</v>
      </c>
      <c r="Y7899" s="13">
        <f t="shared" si="1217"/>
        <v>0</v>
      </c>
      <c r="Z7899" s="14">
        <v>0</v>
      </c>
      <c r="AA7899" s="6">
        <v>0</v>
      </c>
      <c r="AB7899" s="4">
        <f t="shared" si="1218"/>
        <v>79527.407594059405</v>
      </c>
      <c r="AC7899" s="6">
        <f t="shared" si="1216"/>
        <v>795.2740759406006</v>
      </c>
      <c r="AD7899" s="6">
        <f t="shared" si="1221"/>
        <v>80322.681670000005</v>
      </c>
      <c r="AE7899" s="14">
        <f>VLOOKUP(I7899,[2]媒体政策预估表!A:N,MATCH(O7899,[2]媒体政策预估表!$A$2:$M$2,0),0)</f>
        <v>0.15</v>
      </c>
      <c r="AF7899" s="6">
        <f t="shared" si="1214"/>
        <v>12048.402250500001</v>
      </c>
      <c r="AG7899" s="14">
        <v>0</v>
      </c>
      <c r="AH7899" s="64">
        <f t="shared" si="1222"/>
        <v>80322.681670000005</v>
      </c>
      <c r="AJ7899" s="126" t="e">
        <v>#N/A</v>
      </c>
      <c r="AK7899" s="80">
        <f t="shared" si="1219"/>
        <v>0</v>
      </c>
      <c r="AL7899" s="85"/>
      <c r="AM7899" s="85"/>
    </row>
    <row r="7900" spans="1:39" s="86" customFormat="1" ht="13.25" hidden="1" customHeight="1" x14ac:dyDescent="0.3">
      <c r="A7900" s="89" t="s">
        <v>3978</v>
      </c>
      <c r="B7900" s="86" t="s">
        <v>35</v>
      </c>
      <c r="C7900" s="86" t="s">
        <v>164</v>
      </c>
      <c r="D7900" s="86" t="s">
        <v>174</v>
      </c>
      <c r="E7900" s="86" t="s">
        <v>1687</v>
      </c>
      <c r="F7900" s="86" t="s">
        <v>1687</v>
      </c>
      <c r="G7900" s="86" t="s">
        <v>1687</v>
      </c>
      <c r="H7900" s="143">
        <v>360</v>
      </c>
      <c r="I7900" s="86" t="s">
        <v>1060</v>
      </c>
      <c r="J7900" s="47" t="s">
        <v>3325</v>
      </c>
      <c r="K7900" s="47" t="s">
        <v>3767</v>
      </c>
      <c r="L7900" s="47" t="s">
        <v>35</v>
      </c>
      <c r="M7900" s="86" t="s">
        <v>1689</v>
      </c>
      <c r="O7900" s="47" t="s">
        <v>2054</v>
      </c>
      <c r="P7900" s="14" t="s">
        <v>46</v>
      </c>
      <c r="Q7900" s="14">
        <v>0.02</v>
      </c>
      <c r="R7900" s="143" t="s">
        <v>1691</v>
      </c>
      <c r="S7900" s="47"/>
      <c r="T7900" s="6">
        <v>-1.5</v>
      </c>
      <c r="U7900" s="6"/>
      <c r="V7900" s="6">
        <v>0</v>
      </c>
      <c r="W7900" s="6">
        <f t="shared" si="1220"/>
        <v>-1.5</v>
      </c>
      <c r="X7900" s="6">
        <f t="shared" si="1215"/>
        <v>0</v>
      </c>
      <c r="Y7900" s="13">
        <f t="shared" si="1217"/>
        <v>0</v>
      </c>
      <c r="Z7900" s="14">
        <v>0</v>
      </c>
      <c r="AA7900" s="6">
        <v>0</v>
      </c>
      <c r="AB7900" s="4">
        <f t="shared" si="1218"/>
        <v>0</v>
      </c>
      <c r="AC7900" s="6">
        <f t="shared" si="1216"/>
        <v>0</v>
      </c>
      <c r="AD7900" s="6">
        <f t="shared" si="1221"/>
        <v>0</v>
      </c>
      <c r="AE7900" s="14">
        <f>VLOOKUP(I7900,[2]媒体政策预估表!A:N,MATCH(O7900,[2]媒体政策预估表!$A$2:$M$2,0),0)</f>
        <v>0.1</v>
      </c>
      <c r="AF7900" s="6">
        <f t="shared" si="1214"/>
        <v>0</v>
      </c>
      <c r="AG7900" s="14">
        <v>0</v>
      </c>
      <c r="AH7900" s="64">
        <f t="shared" si="1222"/>
        <v>0</v>
      </c>
      <c r="AJ7900" s="126" t="e">
        <v>#N/A</v>
      </c>
      <c r="AK7900" s="80">
        <f t="shared" si="1219"/>
        <v>0</v>
      </c>
      <c r="AL7900" s="85"/>
      <c r="AM7900" s="85"/>
    </row>
    <row r="7901" spans="1:39" s="86" customFormat="1" ht="13.25" hidden="1" customHeight="1" x14ac:dyDescent="0.3">
      <c r="A7901" s="89" t="s">
        <v>3978</v>
      </c>
      <c r="B7901" s="86" t="s">
        <v>35</v>
      </c>
      <c r="C7901" s="86" t="s">
        <v>47</v>
      </c>
      <c r="D7901" s="86" t="s">
        <v>48</v>
      </c>
      <c r="E7901" s="86" t="s">
        <v>2060</v>
      </c>
      <c r="F7901" s="86" t="s">
        <v>2060</v>
      </c>
      <c r="G7901" s="86" t="s">
        <v>2060</v>
      </c>
      <c r="H7901" s="143">
        <v>360</v>
      </c>
      <c r="I7901" s="86" t="s">
        <v>1060</v>
      </c>
      <c r="J7901" s="47" t="s">
        <v>3325</v>
      </c>
      <c r="K7901" s="47" t="s">
        <v>3767</v>
      </c>
      <c r="L7901" s="47" t="s">
        <v>35</v>
      </c>
      <c r="M7901" s="86" t="s">
        <v>2060</v>
      </c>
      <c r="O7901" s="47" t="s">
        <v>2054</v>
      </c>
      <c r="P7901" s="14" t="s">
        <v>41</v>
      </c>
      <c r="Q7901" s="14">
        <v>0</v>
      </c>
      <c r="R7901" s="143" t="s">
        <v>2061</v>
      </c>
      <c r="S7901" s="47"/>
      <c r="T7901" s="6">
        <v>-51</v>
      </c>
      <c r="U7901" s="6"/>
      <c r="V7901" s="6">
        <v>0</v>
      </c>
      <c r="W7901" s="6">
        <f t="shared" si="1220"/>
        <v>-51</v>
      </c>
      <c r="X7901" s="6">
        <f t="shared" si="1215"/>
        <v>0</v>
      </c>
      <c r="Y7901" s="13">
        <f t="shared" si="1217"/>
        <v>0</v>
      </c>
      <c r="Z7901" s="14">
        <v>0</v>
      </c>
      <c r="AA7901" s="6">
        <v>0</v>
      </c>
      <c r="AB7901" s="4">
        <f t="shared" si="1218"/>
        <v>0</v>
      </c>
      <c r="AC7901" s="6">
        <f t="shared" si="1216"/>
        <v>0</v>
      </c>
      <c r="AD7901" s="6">
        <f t="shared" si="1221"/>
        <v>0</v>
      </c>
      <c r="AE7901" s="14">
        <f>VLOOKUP(I7901,[2]媒体政策预估表!A:N,MATCH(O7901,[2]媒体政策预估表!$A$2:$M$2,0),0)</f>
        <v>0.1</v>
      </c>
      <c r="AF7901" s="6">
        <f t="shared" si="1214"/>
        <v>0</v>
      </c>
      <c r="AG7901" s="14">
        <v>0</v>
      </c>
      <c r="AH7901" s="64">
        <f t="shared" si="1222"/>
        <v>0</v>
      </c>
      <c r="AJ7901" s="126" t="e">
        <v>#N/A</v>
      </c>
      <c r="AK7901" s="80">
        <f t="shared" si="1219"/>
        <v>0</v>
      </c>
      <c r="AL7901" s="85"/>
      <c r="AM7901" s="85"/>
    </row>
    <row r="7902" spans="1:39" s="86" customFormat="1" ht="13.25" hidden="1" customHeight="1" x14ac:dyDescent="0.3">
      <c r="A7902" s="89" t="s">
        <v>3978</v>
      </c>
      <c r="B7902" s="86" t="s">
        <v>35</v>
      </c>
      <c r="C7902" s="86" t="s">
        <v>164</v>
      </c>
      <c r="D7902" s="86" t="s">
        <v>174</v>
      </c>
      <c r="E7902" s="86" t="s">
        <v>2360</v>
      </c>
      <c r="F7902" s="86" t="s">
        <v>2360</v>
      </c>
      <c r="G7902" s="86" t="s">
        <v>2360</v>
      </c>
      <c r="H7902" s="143">
        <v>360</v>
      </c>
      <c r="I7902" s="86" t="s">
        <v>1060</v>
      </c>
      <c r="J7902" s="47" t="s">
        <v>3325</v>
      </c>
      <c r="K7902" s="47" t="s">
        <v>3767</v>
      </c>
      <c r="L7902" s="47" t="s">
        <v>35</v>
      </c>
      <c r="M7902" s="86" t="s">
        <v>2361</v>
      </c>
      <c r="O7902" s="47" t="s">
        <v>45</v>
      </c>
      <c r="P7902" s="14" t="s">
        <v>46</v>
      </c>
      <c r="Q7902" s="14">
        <v>0.04</v>
      </c>
      <c r="R7902" s="147" t="s">
        <v>4117</v>
      </c>
      <c r="S7902" s="47"/>
      <c r="T7902" s="6">
        <v>427.15000000000049</v>
      </c>
      <c r="U7902" s="6"/>
      <c r="V7902" s="6">
        <v>0</v>
      </c>
      <c r="W7902" s="6">
        <f t="shared" si="1220"/>
        <v>427.15000000000049</v>
      </c>
      <c r="X7902" s="6">
        <f t="shared" si="1215"/>
        <v>0</v>
      </c>
      <c r="Y7902" s="13">
        <f t="shared" si="1217"/>
        <v>0</v>
      </c>
      <c r="Z7902" s="14">
        <v>0</v>
      </c>
      <c r="AA7902" s="6">
        <v>0</v>
      </c>
      <c r="AB7902" s="4">
        <f t="shared" si="1218"/>
        <v>0</v>
      </c>
      <c r="AC7902" s="6">
        <f t="shared" si="1216"/>
        <v>0</v>
      </c>
      <c r="AD7902" s="6">
        <f t="shared" si="1221"/>
        <v>0</v>
      </c>
      <c r="AE7902" s="14">
        <f>VLOOKUP(I7902,[2]媒体政策预估表!A:N,MATCH(O7902,[2]媒体政策预估表!$A$2:$M$2,0),0)</f>
        <v>0.1</v>
      </c>
      <c r="AF7902" s="6">
        <f t="shared" si="1214"/>
        <v>0</v>
      </c>
      <c r="AG7902" s="14">
        <v>0</v>
      </c>
      <c r="AH7902" s="64">
        <f t="shared" si="1222"/>
        <v>0</v>
      </c>
      <c r="AJ7902" s="126" t="e">
        <v>#N/A</v>
      </c>
      <c r="AK7902" s="80">
        <f t="shared" si="1219"/>
        <v>0</v>
      </c>
      <c r="AL7902" s="85"/>
      <c r="AM7902" s="85"/>
    </row>
    <row r="7903" spans="1:39" s="86" customFormat="1" ht="13.25" hidden="1" customHeight="1" x14ac:dyDescent="0.3">
      <c r="A7903" s="89" t="s">
        <v>3792</v>
      </c>
      <c r="B7903" s="86" t="s">
        <v>35</v>
      </c>
      <c r="C7903" s="86" t="s">
        <v>65</v>
      </c>
      <c r="D7903" s="86" t="s">
        <v>66</v>
      </c>
      <c r="E7903" s="86" t="s">
        <v>496</v>
      </c>
      <c r="F7903" s="86" t="s">
        <v>497</v>
      </c>
      <c r="G7903" s="86" t="s">
        <v>496</v>
      </c>
      <c r="H7903" s="143">
        <v>360</v>
      </c>
      <c r="I7903" s="86" t="s">
        <v>1060</v>
      </c>
      <c r="J7903" s="47" t="s">
        <v>3325</v>
      </c>
      <c r="K7903" s="47" t="s">
        <v>3767</v>
      </c>
      <c r="L7903" s="47" t="s">
        <v>35</v>
      </c>
      <c r="M7903" s="86" t="s">
        <v>498</v>
      </c>
      <c r="O7903" s="47" t="s">
        <v>45</v>
      </c>
      <c r="P7903" s="14" t="s">
        <v>46</v>
      </c>
      <c r="Q7903" s="14">
        <v>0.02</v>
      </c>
      <c r="R7903" s="143" t="s">
        <v>1884</v>
      </c>
      <c r="S7903" s="47"/>
      <c r="T7903" s="6">
        <v>-662.4</v>
      </c>
      <c r="U7903" s="6"/>
      <c r="V7903" s="6">
        <v>0</v>
      </c>
      <c r="W7903" s="6">
        <f t="shared" si="1220"/>
        <v>-662.4</v>
      </c>
      <c r="X7903" s="6">
        <f t="shared" si="1215"/>
        <v>0</v>
      </c>
      <c r="Y7903" s="13">
        <f t="shared" si="1217"/>
        <v>0</v>
      </c>
      <c r="Z7903" s="14">
        <v>0</v>
      </c>
      <c r="AA7903" s="6">
        <v>0</v>
      </c>
      <c r="AB7903" s="4">
        <f t="shared" si="1218"/>
        <v>0</v>
      </c>
      <c r="AC7903" s="6">
        <f t="shared" si="1216"/>
        <v>0</v>
      </c>
      <c r="AD7903" s="6">
        <f t="shared" si="1221"/>
        <v>0</v>
      </c>
      <c r="AE7903" s="14">
        <f>VLOOKUP(I7903,[2]媒体政策预估表!A:N,MATCH(O7903,[2]媒体政策预估表!$A$2:$M$2,0),0)</f>
        <v>0.1</v>
      </c>
      <c r="AF7903" s="6">
        <f t="shared" si="1214"/>
        <v>0</v>
      </c>
      <c r="AG7903" s="14">
        <v>0</v>
      </c>
      <c r="AH7903" s="64">
        <f t="shared" si="1222"/>
        <v>0</v>
      </c>
      <c r="AJ7903" s="126" t="e">
        <v>#N/A</v>
      </c>
      <c r="AK7903" s="80">
        <f t="shared" si="1219"/>
        <v>0</v>
      </c>
      <c r="AL7903" s="85"/>
      <c r="AM7903" s="85"/>
    </row>
    <row r="7904" spans="1:39" s="86" customFormat="1" ht="13.25" hidden="1" customHeight="1" x14ac:dyDescent="0.3">
      <c r="A7904" s="89" t="s">
        <v>3978</v>
      </c>
      <c r="B7904" s="86" t="s">
        <v>35</v>
      </c>
      <c r="C7904" s="86" t="s">
        <v>164</v>
      </c>
      <c r="D7904" s="86" t="s">
        <v>169</v>
      </c>
      <c r="E7904" s="86" t="s">
        <v>628</v>
      </c>
      <c r="F7904" s="86" t="s">
        <v>628</v>
      </c>
      <c r="G7904" s="86" t="s">
        <v>628</v>
      </c>
      <c r="H7904" s="143">
        <v>360</v>
      </c>
      <c r="I7904" s="86" t="s">
        <v>1060</v>
      </c>
      <c r="J7904" s="47" t="s">
        <v>3325</v>
      </c>
      <c r="K7904" s="47" t="s">
        <v>3767</v>
      </c>
      <c r="L7904" s="47" t="s">
        <v>35</v>
      </c>
      <c r="M7904" s="86" t="s">
        <v>628</v>
      </c>
      <c r="O7904" s="47" t="s">
        <v>941</v>
      </c>
      <c r="P7904" s="14" t="s">
        <v>46</v>
      </c>
      <c r="Q7904" s="14">
        <v>0.1</v>
      </c>
      <c r="R7904" s="143" t="s">
        <v>1957</v>
      </c>
      <c r="S7904" s="47"/>
      <c r="T7904" s="6">
        <v>-10820.1</v>
      </c>
      <c r="U7904" s="6"/>
      <c r="V7904" s="6">
        <v>0</v>
      </c>
      <c r="W7904" s="6">
        <f t="shared" si="1220"/>
        <v>-10820.1</v>
      </c>
      <c r="X7904" s="6">
        <f t="shared" si="1215"/>
        <v>0</v>
      </c>
      <c r="Y7904" s="13">
        <f t="shared" si="1217"/>
        <v>0</v>
      </c>
      <c r="Z7904" s="14">
        <v>0</v>
      </c>
      <c r="AA7904" s="6">
        <v>0</v>
      </c>
      <c r="AB7904" s="4">
        <f t="shared" si="1218"/>
        <v>0</v>
      </c>
      <c r="AC7904" s="6">
        <f t="shared" si="1216"/>
        <v>0</v>
      </c>
      <c r="AD7904" s="6">
        <f t="shared" si="1221"/>
        <v>0</v>
      </c>
      <c r="AE7904" s="14">
        <f>VLOOKUP(I7904,[2]媒体政策预估表!A:N,MATCH(O7904,[2]媒体政策预估表!$A$2:$M$2,0),0)</f>
        <v>0.15</v>
      </c>
      <c r="AF7904" s="6">
        <f t="shared" si="1214"/>
        <v>0</v>
      </c>
      <c r="AG7904" s="14">
        <v>0</v>
      </c>
      <c r="AH7904" s="64">
        <f t="shared" si="1222"/>
        <v>0</v>
      </c>
      <c r="AJ7904" s="126" t="e">
        <v>#N/A</v>
      </c>
      <c r="AK7904" s="80">
        <f t="shared" si="1219"/>
        <v>0</v>
      </c>
      <c r="AL7904" s="85"/>
      <c r="AM7904" s="85"/>
    </row>
    <row r="7905" spans="1:39" s="86" customFormat="1" ht="13.25" hidden="1" customHeight="1" x14ac:dyDescent="0.3">
      <c r="A7905" s="89" t="s">
        <v>3792</v>
      </c>
      <c r="B7905" s="86" t="s">
        <v>35</v>
      </c>
      <c r="C7905" s="86" t="s">
        <v>164</v>
      </c>
      <c r="D7905" s="86" t="s">
        <v>174</v>
      </c>
      <c r="E7905" s="86" t="s">
        <v>1617</v>
      </c>
      <c r="F7905" s="86" t="s">
        <v>1617</v>
      </c>
      <c r="G7905" s="86" t="s">
        <v>1617</v>
      </c>
      <c r="H7905" s="144">
        <v>360</v>
      </c>
      <c r="I7905" s="86" t="s">
        <v>1060</v>
      </c>
      <c r="J7905" s="47" t="s">
        <v>3325</v>
      </c>
      <c r="K7905" s="47" t="s">
        <v>3767</v>
      </c>
      <c r="L7905" s="47" t="s">
        <v>35</v>
      </c>
      <c r="M7905" s="86" t="s">
        <v>1617</v>
      </c>
      <c r="O7905" s="47" t="s">
        <v>2054</v>
      </c>
      <c r="P7905" s="14" t="s">
        <v>46</v>
      </c>
      <c r="Q7905" s="14">
        <v>0.01</v>
      </c>
      <c r="R7905" s="143" t="s">
        <v>1622</v>
      </c>
      <c r="S7905" s="47"/>
      <c r="T7905" s="6">
        <v>-116361.57738999999</v>
      </c>
      <c r="U7905" s="6"/>
      <c r="V7905" s="6">
        <v>43503.638429999999</v>
      </c>
      <c r="W7905" s="6">
        <f t="shared" si="1220"/>
        <v>-159865.21581999998</v>
      </c>
      <c r="X7905" s="6">
        <f t="shared" si="1215"/>
        <v>43072.90933663366</v>
      </c>
      <c r="Y7905" s="13">
        <f t="shared" si="1217"/>
        <v>0</v>
      </c>
      <c r="Z7905" s="14">
        <v>0</v>
      </c>
      <c r="AA7905" s="6">
        <v>0</v>
      </c>
      <c r="AB7905" s="4">
        <f t="shared" si="1218"/>
        <v>43072.90933663366</v>
      </c>
      <c r="AC7905" s="6">
        <f t="shared" si="1216"/>
        <v>430.72909336633893</v>
      </c>
      <c r="AD7905" s="6">
        <f t="shared" si="1221"/>
        <v>43503.638429999999</v>
      </c>
      <c r="AE7905" s="14">
        <f>VLOOKUP(I7905,[2]媒体政策预估表!A:N,MATCH(O7905,[2]媒体政策预估表!$A$2:$M$2,0),0)</f>
        <v>0.1</v>
      </c>
      <c r="AF7905" s="6">
        <f t="shared" si="1214"/>
        <v>4350.3638430000001</v>
      </c>
      <c r="AG7905" s="14">
        <v>0</v>
      </c>
      <c r="AH7905" s="64">
        <f t="shared" si="1222"/>
        <v>43503.638429999999</v>
      </c>
      <c r="AJ7905" s="126" t="e">
        <v>#N/A</v>
      </c>
      <c r="AK7905" s="80">
        <f t="shared" si="1219"/>
        <v>0</v>
      </c>
      <c r="AL7905" s="85"/>
      <c r="AM7905" s="85"/>
    </row>
    <row r="7906" spans="1:39" s="86" customFormat="1" ht="13.25" hidden="1" customHeight="1" x14ac:dyDescent="0.3">
      <c r="A7906" s="89" t="s">
        <v>3978</v>
      </c>
      <c r="B7906" s="86" t="s">
        <v>35</v>
      </c>
      <c r="C7906" s="86" t="s">
        <v>164</v>
      </c>
      <c r="D7906" s="86" t="s">
        <v>174</v>
      </c>
      <c r="E7906" s="86" t="s">
        <v>651</v>
      </c>
      <c r="F7906" s="86" t="s">
        <v>651</v>
      </c>
      <c r="G7906" s="86" t="s">
        <v>651</v>
      </c>
      <c r="H7906" s="143">
        <v>360</v>
      </c>
      <c r="I7906" s="86" t="s">
        <v>1060</v>
      </c>
      <c r="J7906" s="47" t="s">
        <v>3325</v>
      </c>
      <c r="K7906" s="47" t="s">
        <v>3767</v>
      </c>
      <c r="L7906" s="47" t="s">
        <v>35</v>
      </c>
      <c r="M7906" s="86" t="s">
        <v>651</v>
      </c>
      <c r="O7906" s="47" t="s">
        <v>2054</v>
      </c>
      <c r="P7906" s="14" t="s">
        <v>46</v>
      </c>
      <c r="Q7906" s="14">
        <v>0.06</v>
      </c>
      <c r="R7906" s="143" t="s">
        <v>1973</v>
      </c>
      <c r="S7906" s="47"/>
      <c r="T7906" s="6">
        <v>-100687.09799999988</v>
      </c>
      <c r="U7906" s="6"/>
      <c r="V7906" s="6">
        <v>0</v>
      </c>
      <c r="W7906" s="6">
        <f t="shared" si="1220"/>
        <v>-100687.09799999988</v>
      </c>
      <c r="X7906" s="6">
        <f t="shared" si="1215"/>
        <v>0</v>
      </c>
      <c r="Y7906" s="13">
        <f t="shared" si="1217"/>
        <v>0</v>
      </c>
      <c r="Z7906" s="14">
        <v>0</v>
      </c>
      <c r="AA7906" s="6">
        <v>0</v>
      </c>
      <c r="AB7906" s="4">
        <f t="shared" si="1218"/>
        <v>0</v>
      </c>
      <c r="AC7906" s="6">
        <f t="shared" si="1216"/>
        <v>0</v>
      </c>
      <c r="AD7906" s="6">
        <f t="shared" si="1221"/>
        <v>0</v>
      </c>
      <c r="AE7906" s="14">
        <f>VLOOKUP(I7906,[2]媒体政策预估表!A:N,MATCH(O7906,[2]媒体政策预估表!$A$2:$M$2,0),0)</f>
        <v>0.1</v>
      </c>
      <c r="AF7906" s="6">
        <f t="shared" si="1214"/>
        <v>0</v>
      </c>
      <c r="AG7906" s="14">
        <v>0</v>
      </c>
      <c r="AH7906" s="64">
        <f t="shared" si="1222"/>
        <v>0</v>
      </c>
      <c r="AJ7906" s="126" t="e">
        <v>#N/A</v>
      </c>
      <c r="AK7906" s="80">
        <f t="shared" si="1219"/>
        <v>0</v>
      </c>
      <c r="AL7906" s="85"/>
      <c r="AM7906" s="85"/>
    </row>
    <row r="7907" spans="1:39" s="86" customFormat="1" ht="13.25" hidden="1" customHeight="1" x14ac:dyDescent="0.3">
      <c r="A7907" s="89" t="s">
        <v>3805</v>
      </c>
      <c r="B7907" s="86" t="s">
        <v>35</v>
      </c>
      <c r="C7907" s="86" t="s">
        <v>164</v>
      </c>
      <c r="D7907" s="86" t="s">
        <v>174</v>
      </c>
      <c r="E7907" s="86" t="s">
        <v>651</v>
      </c>
      <c r="F7907" s="86" t="s">
        <v>651</v>
      </c>
      <c r="G7907" s="86" t="s">
        <v>651</v>
      </c>
      <c r="H7907" s="143">
        <v>360</v>
      </c>
      <c r="I7907" s="86" t="s">
        <v>1060</v>
      </c>
      <c r="J7907" s="47" t="s">
        <v>3325</v>
      </c>
      <c r="K7907" s="47" t="s">
        <v>3767</v>
      </c>
      <c r="L7907" s="47" t="s">
        <v>35</v>
      </c>
      <c r="M7907" s="86" t="s">
        <v>651</v>
      </c>
      <c r="O7907" s="47" t="s">
        <v>941</v>
      </c>
      <c r="P7907" s="14" t="s">
        <v>46</v>
      </c>
      <c r="Q7907" s="14">
        <v>0.06</v>
      </c>
      <c r="R7907" s="143" t="s">
        <v>1974</v>
      </c>
      <c r="S7907" s="47"/>
      <c r="T7907" s="6">
        <v>-728794.64371999993</v>
      </c>
      <c r="U7907" s="6"/>
      <c r="V7907" s="6">
        <v>0</v>
      </c>
      <c r="W7907" s="6">
        <f t="shared" si="1220"/>
        <v>-728794.64371999993</v>
      </c>
      <c r="X7907" s="6">
        <f t="shared" si="1215"/>
        <v>0</v>
      </c>
      <c r="Y7907" s="13">
        <f t="shared" si="1217"/>
        <v>0</v>
      </c>
      <c r="Z7907" s="14">
        <v>0</v>
      </c>
      <c r="AA7907" s="6">
        <v>0</v>
      </c>
      <c r="AB7907" s="4">
        <f t="shared" si="1218"/>
        <v>0</v>
      </c>
      <c r="AC7907" s="6">
        <f t="shared" si="1216"/>
        <v>0</v>
      </c>
      <c r="AD7907" s="6">
        <f t="shared" si="1221"/>
        <v>0</v>
      </c>
      <c r="AE7907" s="14">
        <f>VLOOKUP(I7907,[2]媒体政策预估表!A:N,MATCH(O7907,[2]媒体政策预估表!$A$2:$M$2,0),0)</f>
        <v>0.15</v>
      </c>
      <c r="AF7907" s="6">
        <f t="shared" si="1214"/>
        <v>0</v>
      </c>
      <c r="AG7907" s="14">
        <v>0</v>
      </c>
      <c r="AH7907" s="64">
        <f t="shared" si="1222"/>
        <v>0</v>
      </c>
      <c r="AJ7907" s="126" t="e">
        <v>#N/A</v>
      </c>
      <c r="AK7907" s="80">
        <f t="shared" si="1219"/>
        <v>0</v>
      </c>
      <c r="AL7907" s="85"/>
      <c r="AM7907" s="85"/>
    </row>
    <row r="7908" spans="1:39" s="86" customFormat="1" ht="13.25" hidden="1" customHeight="1" x14ac:dyDescent="0.3">
      <c r="A7908" s="89" t="s">
        <v>3792</v>
      </c>
      <c r="B7908" s="86" t="s">
        <v>35</v>
      </c>
      <c r="C7908" s="86" t="s">
        <v>47</v>
      </c>
      <c r="D7908" s="86" t="s">
        <v>63</v>
      </c>
      <c r="E7908" s="86" t="s">
        <v>891</v>
      </c>
      <c r="F7908" s="86" t="s">
        <v>891</v>
      </c>
      <c r="G7908" s="86" t="s">
        <v>891</v>
      </c>
      <c r="H7908" s="143">
        <v>360</v>
      </c>
      <c r="I7908" s="86" t="s">
        <v>1060</v>
      </c>
      <c r="J7908" s="47" t="s">
        <v>3325</v>
      </c>
      <c r="K7908" s="47" t="s">
        <v>3767</v>
      </c>
      <c r="L7908" s="47" t="s">
        <v>35</v>
      </c>
      <c r="M7908" s="86" t="s">
        <v>891</v>
      </c>
      <c r="O7908" s="47" t="s">
        <v>45</v>
      </c>
      <c r="P7908" s="14" t="s">
        <v>46</v>
      </c>
      <c r="Q7908" s="14">
        <v>0.08</v>
      </c>
      <c r="R7908" s="143" t="s">
        <v>2363</v>
      </c>
      <c r="S7908" s="47"/>
      <c r="T7908" s="6">
        <v>12986.9</v>
      </c>
      <c r="U7908" s="6"/>
      <c r="V7908" s="6">
        <v>0</v>
      </c>
      <c r="W7908" s="6">
        <f t="shared" si="1220"/>
        <v>12986.9</v>
      </c>
      <c r="X7908" s="6">
        <f t="shared" si="1215"/>
        <v>0</v>
      </c>
      <c r="Y7908" s="13">
        <f t="shared" si="1217"/>
        <v>0</v>
      </c>
      <c r="Z7908" s="14">
        <v>0</v>
      </c>
      <c r="AA7908" s="6">
        <v>0</v>
      </c>
      <c r="AB7908" s="4">
        <f t="shared" si="1218"/>
        <v>0</v>
      </c>
      <c r="AC7908" s="6">
        <f t="shared" si="1216"/>
        <v>0</v>
      </c>
      <c r="AD7908" s="6">
        <f t="shared" si="1221"/>
        <v>0</v>
      </c>
      <c r="AE7908" s="14">
        <f>VLOOKUP(I7908,[2]媒体政策预估表!A:N,MATCH(O7908,[2]媒体政策预估表!$A$2:$M$2,0),0)</f>
        <v>0.1</v>
      </c>
      <c r="AF7908" s="6">
        <f t="shared" ref="AF7908:AF7971" si="1223">AD7908*AE7908</f>
        <v>0</v>
      </c>
      <c r="AG7908" s="14">
        <v>0</v>
      </c>
      <c r="AH7908" s="64">
        <f t="shared" si="1222"/>
        <v>0</v>
      </c>
      <c r="AJ7908" s="126" t="e">
        <v>#N/A</v>
      </c>
      <c r="AK7908" s="80">
        <f t="shared" si="1219"/>
        <v>0</v>
      </c>
      <c r="AL7908" s="85"/>
      <c r="AM7908" s="85"/>
    </row>
    <row r="7909" spans="1:39" s="86" customFormat="1" ht="13.25" hidden="1" customHeight="1" x14ac:dyDescent="0.3">
      <c r="A7909" s="89" t="s">
        <v>3978</v>
      </c>
      <c r="B7909" s="86" t="s">
        <v>35</v>
      </c>
      <c r="C7909" s="86" t="s">
        <v>184</v>
      </c>
      <c r="D7909" s="86" t="s">
        <v>54</v>
      </c>
      <c r="E7909" s="86" t="s">
        <v>55</v>
      </c>
      <c r="F7909" s="86" t="s">
        <v>55</v>
      </c>
      <c r="G7909" s="86" t="s">
        <v>55</v>
      </c>
      <c r="H7909" s="143">
        <v>360</v>
      </c>
      <c r="I7909" s="86" t="s">
        <v>1060</v>
      </c>
      <c r="J7909" s="47" t="s">
        <v>3325</v>
      </c>
      <c r="K7909" s="47" t="s">
        <v>3767</v>
      </c>
      <c r="L7909" s="47" t="s">
        <v>35</v>
      </c>
      <c r="M7909" s="86" t="s">
        <v>55</v>
      </c>
      <c r="O7909" s="47" t="s">
        <v>45</v>
      </c>
      <c r="P7909" s="14" t="s">
        <v>41</v>
      </c>
      <c r="Q7909" s="14">
        <v>0</v>
      </c>
      <c r="R7909" s="143" t="s">
        <v>1869</v>
      </c>
      <c r="S7909" s="47"/>
      <c r="T7909" s="6">
        <v>-196.2</v>
      </c>
      <c r="U7909" s="6"/>
      <c r="V7909" s="6">
        <v>0</v>
      </c>
      <c r="W7909" s="6">
        <f t="shared" si="1220"/>
        <v>-196.2</v>
      </c>
      <c r="X7909" s="6">
        <f t="shared" si="1215"/>
        <v>0</v>
      </c>
      <c r="Y7909" s="13">
        <f t="shared" si="1217"/>
        <v>0</v>
      </c>
      <c r="Z7909" s="14">
        <v>0</v>
      </c>
      <c r="AA7909" s="6">
        <v>0</v>
      </c>
      <c r="AB7909" s="4">
        <f t="shared" si="1218"/>
        <v>0</v>
      </c>
      <c r="AC7909" s="6">
        <f t="shared" si="1216"/>
        <v>0</v>
      </c>
      <c r="AD7909" s="6">
        <f t="shared" si="1221"/>
        <v>0</v>
      </c>
      <c r="AE7909" s="14">
        <f>VLOOKUP(I7909,[2]媒体政策预估表!A:N,MATCH(O7909,[2]媒体政策预估表!$A$2:$M$2,0),0)</f>
        <v>0.1</v>
      </c>
      <c r="AF7909" s="6">
        <f t="shared" si="1223"/>
        <v>0</v>
      </c>
      <c r="AG7909" s="14">
        <v>0</v>
      </c>
      <c r="AH7909" s="64">
        <f t="shared" si="1222"/>
        <v>0</v>
      </c>
      <c r="AJ7909" s="126" t="e">
        <v>#N/A</v>
      </c>
      <c r="AK7909" s="80">
        <f t="shared" si="1219"/>
        <v>0</v>
      </c>
      <c r="AL7909" s="85"/>
      <c r="AM7909" s="85"/>
    </row>
    <row r="7910" spans="1:39" s="86" customFormat="1" ht="13.25" hidden="1" customHeight="1" x14ac:dyDescent="0.3">
      <c r="A7910" s="89" t="s">
        <v>3978</v>
      </c>
      <c r="B7910" s="86" t="s">
        <v>35</v>
      </c>
      <c r="C7910" s="86" t="s">
        <v>184</v>
      </c>
      <c r="D7910" s="86" t="s">
        <v>54</v>
      </c>
      <c r="E7910" s="86" t="s">
        <v>55</v>
      </c>
      <c r="F7910" s="86" t="s">
        <v>55</v>
      </c>
      <c r="G7910" s="86" t="s">
        <v>55</v>
      </c>
      <c r="H7910" s="143">
        <v>360</v>
      </c>
      <c r="I7910" s="86" t="s">
        <v>1060</v>
      </c>
      <c r="J7910" s="47" t="s">
        <v>3325</v>
      </c>
      <c r="K7910" s="47" t="s">
        <v>3767</v>
      </c>
      <c r="L7910" s="47" t="s">
        <v>35</v>
      </c>
      <c r="M7910" s="86" t="s">
        <v>55</v>
      </c>
      <c r="O7910" s="47" t="s">
        <v>2054</v>
      </c>
      <c r="P7910" s="14" t="s">
        <v>41</v>
      </c>
      <c r="Q7910" s="14">
        <v>0</v>
      </c>
      <c r="R7910" s="143" t="s">
        <v>1869</v>
      </c>
      <c r="S7910" s="47"/>
      <c r="T7910" s="6">
        <v>-2919</v>
      </c>
      <c r="U7910" s="6"/>
      <c r="V7910" s="6">
        <v>0</v>
      </c>
      <c r="W7910" s="6">
        <f t="shared" si="1220"/>
        <v>-2919</v>
      </c>
      <c r="X7910" s="6">
        <f t="shared" si="1215"/>
        <v>0</v>
      </c>
      <c r="Y7910" s="13">
        <f t="shared" si="1217"/>
        <v>0</v>
      </c>
      <c r="Z7910" s="14">
        <v>0</v>
      </c>
      <c r="AA7910" s="6">
        <v>0</v>
      </c>
      <c r="AB7910" s="4">
        <f t="shared" si="1218"/>
        <v>0</v>
      </c>
      <c r="AC7910" s="6">
        <f t="shared" si="1216"/>
        <v>0</v>
      </c>
      <c r="AD7910" s="6">
        <f t="shared" si="1221"/>
        <v>0</v>
      </c>
      <c r="AE7910" s="14">
        <f>VLOOKUP(I7910,[2]媒体政策预估表!A:N,MATCH(O7910,[2]媒体政策预估表!$A$2:$M$2,0),0)</f>
        <v>0.1</v>
      </c>
      <c r="AF7910" s="6">
        <f t="shared" si="1223"/>
        <v>0</v>
      </c>
      <c r="AG7910" s="14">
        <v>0</v>
      </c>
      <c r="AH7910" s="64">
        <f t="shared" si="1222"/>
        <v>0</v>
      </c>
      <c r="AJ7910" s="126" t="e">
        <v>#N/A</v>
      </c>
      <c r="AK7910" s="80">
        <f t="shared" si="1219"/>
        <v>0</v>
      </c>
      <c r="AL7910" s="85"/>
      <c r="AM7910" s="85"/>
    </row>
    <row r="7911" spans="1:39" s="86" customFormat="1" ht="13.25" hidden="1" customHeight="1" x14ac:dyDescent="0.3">
      <c r="A7911" s="89" t="s">
        <v>3978</v>
      </c>
      <c r="B7911" s="86" t="s">
        <v>35</v>
      </c>
      <c r="C7911" s="86" t="s">
        <v>164</v>
      </c>
      <c r="D7911" s="86" t="s">
        <v>174</v>
      </c>
      <c r="E7911" s="86" t="s">
        <v>651</v>
      </c>
      <c r="F7911" s="86" t="s">
        <v>651</v>
      </c>
      <c r="G7911" s="86" t="s">
        <v>651</v>
      </c>
      <c r="H7911" s="143">
        <v>360</v>
      </c>
      <c r="I7911" s="86" t="s">
        <v>1060</v>
      </c>
      <c r="J7911" s="47" t="s">
        <v>3325</v>
      </c>
      <c r="K7911" s="47" t="s">
        <v>3767</v>
      </c>
      <c r="L7911" s="47" t="s">
        <v>35</v>
      </c>
      <c r="M7911" s="86" t="s">
        <v>1629</v>
      </c>
      <c r="O7911" s="47" t="s">
        <v>941</v>
      </c>
      <c r="P7911" s="14" t="s">
        <v>46</v>
      </c>
      <c r="Q7911" s="14">
        <v>0.06</v>
      </c>
      <c r="R7911" s="143" t="s">
        <v>1630</v>
      </c>
      <c r="S7911" s="47"/>
      <c r="T7911" s="6">
        <v>-430156.33107999997</v>
      </c>
      <c r="U7911" s="6"/>
      <c r="V7911" s="6">
        <v>0</v>
      </c>
      <c r="W7911" s="6">
        <f t="shared" si="1220"/>
        <v>-430156.33107999997</v>
      </c>
      <c r="X7911" s="6">
        <f t="shared" si="1215"/>
        <v>0</v>
      </c>
      <c r="Y7911" s="13">
        <f t="shared" si="1217"/>
        <v>0</v>
      </c>
      <c r="Z7911" s="14">
        <v>0</v>
      </c>
      <c r="AA7911" s="6">
        <v>0</v>
      </c>
      <c r="AB7911" s="4">
        <f t="shared" si="1218"/>
        <v>0</v>
      </c>
      <c r="AC7911" s="6">
        <f t="shared" si="1216"/>
        <v>0</v>
      </c>
      <c r="AD7911" s="6">
        <f t="shared" si="1221"/>
        <v>0</v>
      </c>
      <c r="AE7911" s="14">
        <f>VLOOKUP(I7911,[2]媒体政策预估表!A:N,MATCH(O7911,[2]媒体政策预估表!$A$2:$M$2,0),0)</f>
        <v>0.15</v>
      </c>
      <c r="AF7911" s="6">
        <f t="shared" si="1223"/>
        <v>0</v>
      </c>
      <c r="AG7911" s="14">
        <v>0</v>
      </c>
      <c r="AH7911" s="64">
        <f t="shared" si="1222"/>
        <v>0</v>
      </c>
      <c r="AJ7911" s="126" t="e">
        <v>#N/A</v>
      </c>
      <c r="AK7911" s="80">
        <f t="shared" si="1219"/>
        <v>0</v>
      </c>
      <c r="AL7911" s="85"/>
      <c r="AM7911" s="85"/>
    </row>
    <row r="7912" spans="1:39" s="86" customFormat="1" ht="13.25" hidden="1" customHeight="1" x14ac:dyDescent="0.3">
      <c r="A7912" s="89" t="s">
        <v>3978</v>
      </c>
      <c r="B7912" s="86" t="s">
        <v>35</v>
      </c>
      <c r="C7912" s="86" t="s">
        <v>184</v>
      </c>
      <c r="D7912" s="86" t="s">
        <v>54</v>
      </c>
      <c r="E7912" s="86" t="s">
        <v>114</v>
      </c>
      <c r="F7912" s="86" t="s">
        <v>114</v>
      </c>
      <c r="G7912" s="86" t="s">
        <v>114</v>
      </c>
      <c r="H7912" s="143">
        <v>360</v>
      </c>
      <c r="I7912" s="86" t="s">
        <v>1060</v>
      </c>
      <c r="J7912" s="47" t="s">
        <v>3325</v>
      </c>
      <c r="K7912" s="47" t="s">
        <v>3767</v>
      </c>
      <c r="L7912" s="47" t="s">
        <v>35</v>
      </c>
      <c r="M7912" s="86" t="s">
        <v>1866</v>
      </c>
      <c r="O7912" s="47" t="s">
        <v>45</v>
      </c>
      <c r="P7912" s="14" t="s">
        <v>41</v>
      </c>
      <c r="Q7912" s="14">
        <v>0</v>
      </c>
      <c r="R7912" s="143" t="s">
        <v>1867</v>
      </c>
      <c r="S7912" s="47"/>
      <c r="T7912" s="6">
        <v>-19368.649999999998</v>
      </c>
      <c r="U7912" s="6"/>
      <c r="V7912" s="6">
        <v>0</v>
      </c>
      <c r="W7912" s="6">
        <f t="shared" si="1220"/>
        <v>-19368.649999999998</v>
      </c>
      <c r="X7912" s="6">
        <f t="shared" si="1215"/>
        <v>0</v>
      </c>
      <c r="Y7912" s="13">
        <f t="shared" si="1217"/>
        <v>0</v>
      </c>
      <c r="Z7912" s="14">
        <v>0</v>
      </c>
      <c r="AA7912" s="6">
        <v>0</v>
      </c>
      <c r="AB7912" s="4">
        <f t="shared" si="1218"/>
        <v>0</v>
      </c>
      <c r="AC7912" s="6">
        <f t="shared" si="1216"/>
        <v>0</v>
      </c>
      <c r="AD7912" s="6">
        <f t="shared" si="1221"/>
        <v>0</v>
      </c>
      <c r="AE7912" s="14">
        <f>VLOOKUP(I7912,[2]媒体政策预估表!A:N,MATCH(O7912,[2]媒体政策预估表!$A$2:$M$2,0),0)</f>
        <v>0.1</v>
      </c>
      <c r="AF7912" s="6">
        <f t="shared" si="1223"/>
        <v>0</v>
      </c>
      <c r="AG7912" s="14">
        <v>0</v>
      </c>
      <c r="AH7912" s="64">
        <f t="shared" si="1222"/>
        <v>0</v>
      </c>
      <c r="AJ7912" s="126" t="e">
        <v>#N/A</v>
      </c>
      <c r="AK7912" s="80">
        <f t="shared" si="1219"/>
        <v>0</v>
      </c>
      <c r="AL7912" s="85"/>
      <c r="AM7912" s="85"/>
    </row>
    <row r="7913" spans="1:39" s="86" customFormat="1" ht="13.25" hidden="1" customHeight="1" x14ac:dyDescent="0.3">
      <c r="A7913" s="89" t="s">
        <v>3978</v>
      </c>
      <c r="B7913" s="86" t="s">
        <v>35</v>
      </c>
      <c r="C7913" s="86" t="s">
        <v>164</v>
      </c>
      <c r="D7913" s="86" t="s">
        <v>181</v>
      </c>
      <c r="E7913" s="86" t="s">
        <v>182</v>
      </c>
      <c r="F7913" s="86" t="s">
        <v>183</v>
      </c>
      <c r="G7913" s="86" t="s">
        <v>182</v>
      </c>
      <c r="H7913" s="143">
        <v>360</v>
      </c>
      <c r="I7913" s="86" t="s">
        <v>1060</v>
      </c>
      <c r="J7913" s="47" t="s">
        <v>3325</v>
      </c>
      <c r="K7913" s="47" t="s">
        <v>3767</v>
      </c>
      <c r="L7913" s="47" t="s">
        <v>35</v>
      </c>
      <c r="M7913" s="86" t="s">
        <v>1829</v>
      </c>
      <c r="O7913" s="47" t="s">
        <v>45</v>
      </c>
      <c r="P7913" s="14" t="s">
        <v>41</v>
      </c>
      <c r="Q7913" s="14">
        <v>0</v>
      </c>
      <c r="R7913" s="143" t="s">
        <v>1830</v>
      </c>
      <c r="S7913" s="47"/>
      <c r="T7913" s="6">
        <v>-20103.67324</v>
      </c>
      <c r="U7913" s="6"/>
      <c r="V7913" s="6">
        <v>0</v>
      </c>
      <c r="W7913" s="6">
        <f t="shared" si="1220"/>
        <v>-20103.67324</v>
      </c>
      <c r="X7913" s="6">
        <f t="shared" si="1215"/>
        <v>0</v>
      </c>
      <c r="Y7913" s="13">
        <f t="shared" si="1217"/>
        <v>0</v>
      </c>
      <c r="Z7913" s="14">
        <v>0</v>
      </c>
      <c r="AA7913" s="6">
        <v>0</v>
      </c>
      <c r="AB7913" s="4">
        <f t="shared" si="1218"/>
        <v>0</v>
      </c>
      <c r="AC7913" s="6">
        <f t="shared" si="1216"/>
        <v>0</v>
      </c>
      <c r="AD7913" s="6">
        <f t="shared" si="1221"/>
        <v>0</v>
      </c>
      <c r="AE7913" s="14">
        <f>VLOOKUP(I7913,[2]媒体政策预估表!A:N,MATCH(O7913,[2]媒体政策预估表!$A$2:$M$2,0),0)</f>
        <v>0.1</v>
      </c>
      <c r="AF7913" s="6">
        <f t="shared" si="1223"/>
        <v>0</v>
      </c>
      <c r="AG7913" s="14">
        <v>0</v>
      </c>
      <c r="AH7913" s="64">
        <f t="shared" si="1222"/>
        <v>0</v>
      </c>
      <c r="AJ7913" s="126" t="e">
        <v>#N/A</v>
      </c>
      <c r="AK7913" s="80">
        <f t="shared" si="1219"/>
        <v>0</v>
      </c>
      <c r="AL7913" s="85"/>
      <c r="AM7913" s="85"/>
    </row>
    <row r="7914" spans="1:39" s="86" customFormat="1" ht="13.25" hidden="1" customHeight="1" x14ac:dyDescent="0.3">
      <c r="A7914" s="89" t="s">
        <v>3792</v>
      </c>
      <c r="B7914" s="86" t="s">
        <v>35</v>
      </c>
      <c r="C7914" s="86" t="s">
        <v>65</v>
      </c>
      <c r="D7914" s="86" t="s">
        <v>66</v>
      </c>
      <c r="E7914" s="86" t="s">
        <v>1877</v>
      </c>
      <c r="F7914" s="86" t="s">
        <v>1877</v>
      </c>
      <c r="G7914" s="86" t="s">
        <v>1877</v>
      </c>
      <c r="H7914" s="143">
        <v>360</v>
      </c>
      <c r="I7914" s="86" t="s">
        <v>1060</v>
      </c>
      <c r="J7914" s="47" t="s">
        <v>3325</v>
      </c>
      <c r="K7914" s="47" t="s">
        <v>3767</v>
      </c>
      <c r="L7914" s="47" t="s">
        <v>35</v>
      </c>
      <c r="M7914" s="86" t="s">
        <v>1877</v>
      </c>
      <c r="O7914" s="47" t="s">
        <v>2054</v>
      </c>
      <c r="P7914" s="14" t="s">
        <v>41</v>
      </c>
      <c r="Q7914" s="14">
        <v>0</v>
      </c>
      <c r="R7914" s="143" t="s">
        <v>1878</v>
      </c>
      <c r="S7914" s="47"/>
      <c r="T7914" s="6">
        <v>-283.33</v>
      </c>
      <c r="U7914" s="6"/>
      <c r="V7914" s="6">
        <v>0</v>
      </c>
      <c r="W7914" s="6">
        <f t="shared" si="1220"/>
        <v>-283.33</v>
      </c>
      <c r="X7914" s="6">
        <f t="shared" si="1215"/>
        <v>0</v>
      </c>
      <c r="Y7914" s="13">
        <f t="shared" si="1217"/>
        <v>0</v>
      </c>
      <c r="Z7914" s="14">
        <v>0</v>
      </c>
      <c r="AA7914" s="6">
        <v>0</v>
      </c>
      <c r="AB7914" s="4">
        <f t="shared" si="1218"/>
        <v>0</v>
      </c>
      <c r="AC7914" s="6">
        <f t="shared" si="1216"/>
        <v>0</v>
      </c>
      <c r="AD7914" s="6">
        <f t="shared" si="1221"/>
        <v>0</v>
      </c>
      <c r="AE7914" s="14">
        <f>VLOOKUP(I7914,[2]媒体政策预估表!A:N,MATCH(O7914,[2]媒体政策预估表!$A$2:$M$2,0),0)</f>
        <v>0.1</v>
      </c>
      <c r="AF7914" s="6">
        <f t="shared" si="1223"/>
        <v>0</v>
      </c>
      <c r="AG7914" s="14">
        <v>0</v>
      </c>
      <c r="AH7914" s="64">
        <f t="shared" si="1222"/>
        <v>0</v>
      </c>
      <c r="AJ7914" s="126" t="e">
        <v>#N/A</v>
      </c>
      <c r="AK7914" s="80">
        <f t="shared" si="1219"/>
        <v>0</v>
      </c>
      <c r="AL7914" s="85"/>
      <c r="AM7914" s="85"/>
    </row>
    <row r="7915" spans="1:39" s="86" customFormat="1" ht="13.25" hidden="1" customHeight="1" x14ac:dyDescent="0.3">
      <c r="A7915" s="89" t="s">
        <v>3792</v>
      </c>
      <c r="B7915" s="86" t="s">
        <v>35</v>
      </c>
      <c r="C7915" s="86" t="s">
        <v>164</v>
      </c>
      <c r="D7915" s="86" t="s">
        <v>181</v>
      </c>
      <c r="E7915" s="86" t="s">
        <v>182</v>
      </c>
      <c r="F7915" s="86" t="s">
        <v>183</v>
      </c>
      <c r="G7915" s="86" t="s">
        <v>182</v>
      </c>
      <c r="H7915" s="143">
        <v>360</v>
      </c>
      <c r="I7915" s="86" t="s">
        <v>1060</v>
      </c>
      <c r="J7915" s="47" t="s">
        <v>3325</v>
      </c>
      <c r="K7915" s="47" t="s">
        <v>3767</v>
      </c>
      <c r="L7915" s="47" t="s">
        <v>35</v>
      </c>
      <c r="M7915" s="86" t="s">
        <v>1829</v>
      </c>
      <c r="O7915" s="47" t="s">
        <v>2054</v>
      </c>
      <c r="P7915" s="14" t="s">
        <v>41</v>
      </c>
      <c r="Q7915" s="14">
        <v>0</v>
      </c>
      <c r="R7915" s="143" t="s">
        <v>1830</v>
      </c>
      <c r="S7915" s="47"/>
      <c r="T7915" s="6">
        <v>-393.79475000000002</v>
      </c>
      <c r="U7915" s="6"/>
      <c r="V7915" s="6">
        <v>0</v>
      </c>
      <c r="W7915" s="6">
        <f t="shared" si="1220"/>
        <v>-393.79475000000002</v>
      </c>
      <c r="X7915" s="6">
        <f t="shared" si="1215"/>
        <v>0</v>
      </c>
      <c r="Y7915" s="13">
        <f t="shared" si="1217"/>
        <v>0</v>
      </c>
      <c r="Z7915" s="14">
        <v>0</v>
      </c>
      <c r="AA7915" s="6">
        <v>0</v>
      </c>
      <c r="AB7915" s="4">
        <f t="shared" si="1218"/>
        <v>0</v>
      </c>
      <c r="AC7915" s="6">
        <f t="shared" si="1216"/>
        <v>0</v>
      </c>
      <c r="AD7915" s="6">
        <f t="shared" si="1221"/>
        <v>0</v>
      </c>
      <c r="AE7915" s="14">
        <f>VLOOKUP(I7915,[2]媒体政策预估表!A:N,MATCH(O7915,[2]媒体政策预估表!$A$2:$M$2,0),0)</f>
        <v>0.1</v>
      </c>
      <c r="AF7915" s="6">
        <f t="shared" si="1223"/>
        <v>0</v>
      </c>
      <c r="AG7915" s="14">
        <v>0</v>
      </c>
      <c r="AH7915" s="64">
        <f t="shared" si="1222"/>
        <v>0</v>
      </c>
      <c r="AJ7915" s="126" t="e">
        <v>#N/A</v>
      </c>
      <c r="AK7915" s="80">
        <f t="shared" si="1219"/>
        <v>0</v>
      </c>
      <c r="AL7915" s="85"/>
      <c r="AM7915" s="85"/>
    </row>
    <row r="7916" spans="1:39" s="86" customFormat="1" ht="13.25" hidden="1" customHeight="1" x14ac:dyDescent="0.3">
      <c r="A7916" s="89" t="s">
        <v>3978</v>
      </c>
      <c r="B7916" s="86" t="s">
        <v>35</v>
      </c>
      <c r="C7916" s="86" t="s">
        <v>144</v>
      </c>
      <c r="D7916" s="86" t="s">
        <v>161</v>
      </c>
      <c r="E7916" s="86" t="s">
        <v>1522</v>
      </c>
      <c r="F7916" s="86" t="s">
        <v>1522</v>
      </c>
      <c r="G7916" s="86" t="s">
        <v>1522</v>
      </c>
      <c r="H7916" s="143">
        <v>360</v>
      </c>
      <c r="I7916" s="86" t="s">
        <v>1060</v>
      </c>
      <c r="J7916" s="47" t="s">
        <v>3325</v>
      </c>
      <c r="K7916" s="47" t="s">
        <v>3767</v>
      </c>
      <c r="L7916" s="47" t="s">
        <v>35</v>
      </c>
      <c r="M7916" s="86" t="s">
        <v>1522</v>
      </c>
      <c r="O7916" s="47" t="s">
        <v>2054</v>
      </c>
      <c r="P7916" s="14" t="s">
        <v>41</v>
      </c>
      <c r="Q7916" s="14">
        <v>0</v>
      </c>
      <c r="R7916" s="143" t="s">
        <v>1527</v>
      </c>
      <c r="S7916" s="47"/>
      <c r="T7916" s="6">
        <v>-515.11821999999995</v>
      </c>
      <c r="U7916" s="6"/>
      <c r="V7916" s="6">
        <v>0</v>
      </c>
      <c r="W7916" s="6">
        <f t="shared" si="1220"/>
        <v>-515.11821999999995</v>
      </c>
      <c r="X7916" s="6">
        <f t="shared" si="1215"/>
        <v>0</v>
      </c>
      <c r="Y7916" s="13">
        <f t="shared" si="1217"/>
        <v>0</v>
      </c>
      <c r="Z7916" s="14">
        <v>0</v>
      </c>
      <c r="AA7916" s="6">
        <v>0</v>
      </c>
      <c r="AB7916" s="4">
        <f t="shared" si="1218"/>
        <v>0</v>
      </c>
      <c r="AC7916" s="6">
        <f t="shared" si="1216"/>
        <v>0</v>
      </c>
      <c r="AD7916" s="6">
        <f t="shared" si="1221"/>
        <v>0</v>
      </c>
      <c r="AE7916" s="14">
        <f>VLOOKUP(I7916,[2]媒体政策预估表!A:N,MATCH(O7916,[2]媒体政策预估表!$A$2:$M$2,0),0)</f>
        <v>0.1</v>
      </c>
      <c r="AF7916" s="6">
        <f t="shared" si="1223"/>
        <v>0</v>
      </c>
      <c r="AG7916" s="14">
        <v>0</v>
      </c>
      <c r="AH7916" s="64">
        <f t="shared" si="1222"/>
        <v>0</v>
      </c>
      <c r="AJ7916" s="126" t="e">
        <v>#N/A</v>
      </c>
      <c r="AK7916" s="80">
        <f t="shared" si="1219"/>
        <v>0</v>
      </c>
      <c r="AL7916" s="85"/>
      <c r="AM7916" s="85"/>
    </row>
    <row r="7917" spans="1:39" s="86" customFormat="1" ht="13.25" hidden="1" customHeight="1" x14ac:dyDescent="0.3">
      <c r="A7917" s="89" t="s">
        <v>3805</v>
      </c>
      <c r="B7917" s="86" t="s">
        <v>35</v>
      </c>
      <c r="C7917" s="86" t="s">
        <v>184</v>
      </c>
      <c r="D7917" s="86" t="s">
        <v>54</v>
      </c>
      <c r="E7917" s="86" t="s">
        <v>114</v>
      </c>
      <c r="F7917" s="86" t="s">
        <v>114</v>
      </c>
      <c r="G7917" s="86" t="s">
        <v>114</v>
      </c>
      <c r="H7917" s="143">
        <v>360</v>
      </c>
      <c r="I7917" s="86" t="s">
        <v>1060</v>
      </c>
      <c r="J7917" s="47" t="s">
        <v>3325</v>
      </c>
      <c r="K7917" s="47" t="s">
        <v>3767</v>
      </c>
      <c r="L7917" s="47" t="s">
        <v>35</v>
      </c>
      <c r="M7917" s="86" t="s">
        <v>1866</v>
      </c>
      <c r="O7917" s="47" t="s">
        <v>2054</v>
      </c>
      <c r="P7917" s="14" t="s">
        <v>41</v>
      </c>
      <c r="Q7917" s="14">
        <v>0</v>
      </c>
      <c r="R7917" s="143" t="s">
        <v>1867</v>
      </c>
      <c r="S7917" s="47"/>
      <c r="T7917" s="6">
        <v>-2326.79</v>
      </c>
      <c r="U7917" s="6"/>
      <c r="V7917" s="6">
        <v>0</v>
      </c>
      <c r="W7917" s="6">
        <f t="shared" si="1220"/>
        <v>-2326.79</v>
      </c>
      <c r="X7917" s="6">
        <f t="shared" si="1215"/>
        <v>0</v>
      </c>
      <c r="Y7917" s="13">
        <f t="shared" si="1217"/>
        <v>0</v>
      </c>
      <c r="Z7917" s="14">
        <v>0</v>
      </c>
      <c r="AA7917" s="6">
        <v>0</v>
      </c>
      <c r="AB7917" s="4">
        <f t="shared" si="1218"/>
        <v>0</v>
      </c>
      <c r="AC7917" s="6">
        <f t="shared" si="1216"/>
        <v>0</v>
      </c>
      <c r="AD7917" s="6">
        <f t="shared" si="1221"/>
        <v>0</v>
      </c>
      <c r="AE7917" s="14">
        <f>VLOOKUP(I7917,[2]媒体政策预估表!A:N,MATCH(O7917,[2]媒体政策预估表!$A$2:$M$2,0),0)</f>
        <v>0.1</v>
      </c>
      <c r="AF7917" s="6">
        <f t="shared" si="1223"/>
        <v>0</v>
      </c>
      <c r="AG7917" s="14">
        <v>0</v>
      </c>
      <c r="AH7917" s="64">
        <f t="shared" si="1222"/>
        <v>0</v>
      </c>
      <c r="AJ7917" s="126" t="e">
        <v>#N/A</v>
      </c>
      <c r="AK7917" s="80">
        <f t="shared" si="1219"/>
        <v>0</v>
      </c>
      <c r="AL7917" s="85"/>
      <c r="AM7917" s="85"/>
    </row>
    <row r="7918" spans="1:39" s="86" customFormat="1" ht="13.25" hidden="1" customHeight="1" x14ac:dyDescent="0.3">
      <c r="A7918" s="89" t="s">
        <v>3792</v>
      </c>
      <c r="B7918" s="86" t="s">
        <v>35</v>
      </c>
      <c r="C7918" s="86" t="s">
        <v>164</v>
      </c>
      <c r="D7918" s="86" t="s">
        <v>305</v>
      </c>
      <c r="E7918" s="86" t="s">
        <v>1538</v>
      </c>
      <c r="F7918" s="86" t="s">
        <v>1538</v>
      </c>
      <c r="G7918" s="86" t="s">
        <v>1538</v>
      </c>
      <c r="H7918" s="144">
        <v>364</v>
      </c>
      <c r="I7918" s="86" t="s">
        <v>887</v>
      </c>
      <c r="J7918" s="1" t="s">
        <v>3323</v>
      </c>
      <c r="K7918" s="47" t="s">
        <v>3277</v>
      </c>
      <c r="L7918" s="47" t="s">
        <v>35</v>
      </c>
      <c r="M7918" s="86" t="s">
        <v>1539</v>
      </c>
      <c r="O7918" s="47" t="s">
        <v>45</v>
      </c>
      <c r="P7918" s="14" t="s">
        <v>41</v>
      </c>
      <c r="Q7918" s="14">
        <v>0</v>
      </c>
      <c r="R7918" s="143" t="s">
        <v>1540</v>
      </c>
      <c r="S7918" s="47"/>
      <c r="T7918" s="6">
        <v>-214626.32046000002</v>
      </c>
      <c r="U7918" s="6"/>
      <c r="V7918" s="6">
        <v>123645.16938000001</v>
      </c>
      <c r="W7918" s="6">
        <f t="shared" si="1220"/>
        <v>-338271.48984000005</v>
      </c>
      <c r="X7918" s="6">
        <f t="shared" si="1215"/>
        <v>123645.16938000001</v>
      </c>
      <c r="Y7918" s="13">
        <f t="shared" si="1217"/>
        <v>0</v>
      </c>
      <c r="Z7918" s="14">
        <v>0</v>
      </c>
      <c r="AA7918" s="6">
        <v>0</v>
      </c>
      <c r="AB7918" s="4">
        <f t="shared" si="1218"/>
        <v>123645.16938000001</v>
      </c>
      <c r="AC7918" s="6">
        <f t="shared" si="1216"/>
        <v>0</v>
      </c>
      <c r="AD7918" s="6">
        <f t="shared" si="1221"/>
        <v>123645.16938000001</v>
      </c>
      <c r="AE7918" s="14">
        <f>VLOOKUP(I7918,[2]媒体政策预估表!A:N,MATCH(O7918,[2]媒体政策预估表!$A$2:$M$2,0),0)</f>
        <v>0.04</v>
      </c>
      <c r="AF7918" s="6">
        <f t="shared" si="1223"/>
        <v>4945.8067752000006</v>
      </c>
      <c r="AG7918" s="14">
        <v>0</v>
      </c>
      <c r="AH7918" s="64">
        <f t="shared" si="1222"/>
        <v>123645.16938000001</v>
      </c>
      <c r="AJ7918" s="126" t="e">
        <v>#N/A</v>
      </c>
      <c r="AK7918" s="80">
        <f t="shared" si="1219"/>
        <v>0</v>
      </c>
      <c r="AL7918" s="85"/>
      <c r="AM7918" s="85"/>
    </row>
    <row r="7919" spans="1:39" s="86" customFormat="1" ht="13.25" hidden="1" customHeight="1" x14ac:dyDescent="0.3">
      <c r="A7919" s="89" t="s">
        <v>3978</v>
      </c>
      <c r="B7919" s="86" t="s">
        <v>35</v>
      </c>
      <c r="C7919" s="86" t="s">
        <v>164</v>
      </c>
      <c r="D7919" s="86" t="s">
        <v>305</v>
      </c>
      <c r="E7919" s="86" t="s">
        <v>1538</v>
      </c>
      <c r="F7919" s="86" t="s">
        <v>1538</v>
      </c>
      <c r="G7919" s="86" t="s">
        <v>1538</v>
      </c>
      <c r="H7919" s="144">
        <v>364</v>
      </c>
      <c r="I7919" s="86" t="s">
        <v>887</v>
      </c>
      <c r="J7919" s="1" t="s">
        <v>3323</v>
      </c>
      <c r="K7919" s="47" t="s">
        <v>3277</v>
      </c>
      <c r="L7919" s="47" t="s">
        <v>35</v>
      </c>
      <c r="M7919" s="86" t="s">
        <v>1539</v>
      </c>
      <c r="O7919" s="47" t="s">
        <v>941</v>
      </c>
      <c r="P7919" s="14" t="s">
        <v>41</v>
      </c>
      <c r="Q7919" s="14">
        <v>0</v>
      </c>
      <c r="R7919" s="143" t="s">
        <v>1540</v>
      </c>
      <c r="S7919" s="47"/>
      <c r="T7919" s="6">
        <v>-344177.42773999996</v>
      </c>
      <c r="U7919" s="6"/>
      <c r="V7919" s="6">
        <v>237683.13910999999</v>
      </c>
      <c r="W7919" s="6">
        <f t="shared" si="1220"/>
        <v>-581860.56684999994</v>
      </c>
      <c r="X7919" s="6">
        <f t="shared" si="1215"/>
        <v>237683.13910999999</v>
      </c>
      <c r="Y7919" s="13">
        <f t="shared" si="1217"/>
        <v>0</v>
      </c>
      <c r="Z7919" s="14">
        <v>0</v>
      </c>
      <c r="AA7919" s="6">
        <v>0</v>
      </c>
      <c r="AB7919" s="4">
        <f t="shared" si="1218"/>
        <v>237683.13910999999</v>
      </c>
      <c r="AC7919" s="6">
        <f t="shared" si="1216"/>
        <v>0</v>
      </c>
      <c r="AD7919" s="6">
        <f t="shared" si="1221"/>
        <v>237683.13910999999</v>
      </c>
      <c r="AE7919" s="14">
        <f>VLOOKUP(I7919,[2]媒体政策预估表!A:N,MATCH(O7919,[2]媒体政策预估表!$A$2:$M$2,0),0)</f>
        <v>0.04</v>
      </c>
      <c r="AF7919" s="6">
        <f t="shared" si="1223"/>
        <v>9507.3255644000001</v>
      </c>
      <c r="AG7919" s="14">
        <v>0</v>
      </c>
      <c r="AH7919" s="64">
        <f t="shared" si="1222"/>
        <v>237683.13910999999</v>
      </c>
      <c r="AJ7919" s="126" t="e">
        <v>#N/A</v>
      </c>
      <c r="AK7919" s="80">
        <f t="shared" si="1219"/>
        <v>0</v>
      </c>
      <c r="AL7919" s="85"/>
      <c r="AM7919" s="85"/>
    </row>
    <row r="7920" spans="1:39" s="86" customFormat="1" ht="13.25" hidden="1" customHeight="1" x14ac:dyDescent="0.3">
      <c r="A7920" s="89" t="s">
        <v>3792</v>
      </c>
      <c r="B7920" s="86" t="s">
        <v>35</v>
      </c>
      <c r="C7920" s="86" t="s">
        <v>164</v>
      </c>
      <c r="D7920" s="86" t="s">
        <v>305</v>
      </c>
      <c r="E7920" s="86" t="s">
        <v>1538</v>
      </c>
      <c r="F7920" s="86" t="s">
        <v>1538</v>
      </c>
      <c r="G7920" s="86" t="s">
        <v>1538</v>
      </c>
      <c r="H7920" s="144">
        <v>364</v>
      </c>
      <c r="I7920" s="86" t="s">
        <v>887</v>
      </c>
      <c r="J7920" s="1" t="s">
        <v>3323</v>
      </c>
      <c r="K7920" s="47" t="s">
        <v>3277</v>
      </c>
      <c r="L7920" s="47" t="s">
        <v>35</v>
      </c>
      <c r="M7920" s="86" t="s">
        <v>1539</v>
      </c>
      <c r="O7920" s="47" t="s">
        <v>2054</v>
      </c>
      <c r="P7920" s="14" t="s">
        <v>41</v>
      </c>
      <c r="Q7920" s="14">
        <v>0</v>
      </c>
      <c r="R7920" s="143" t="s">
        <v>1540</v>
      </c>
      <c r="S7920" s="47"/>
      <c r="T7920" s="6">
        <v>-13432.962930000002</v>
      </c>
      <c r="U7920" s="6"/>
      <c r="V7920" s="6">
        <v>8279.5297800000008</v>
      </c>
      <c r="W7920" s="6">
        <f t="shared" si="1220"/>
        <v>-21712.492710000002</v>
      </c>
      <c r="X7920" s="6">
        <f t="shared" ref="X7920:X7983" si="1224">IF(P7920="折扣",V7920*Q7920,IF(P7920="返现",V7920,V7920/(1+Q7920)))</f>
        <v>8279.5297800000008</v>
      </c>
      <c r="Y7920" s="13">
        <f t="shared" si="1217"/>
        <v>0</v>
      </c>
      <c r="Z7920" s="14">
        <v>0</v>
      </c>
      <c r="AA7920" s="6">
        <v>0</v>
      </c>
      <c r="AB7920" s="4">
        <f t="shared" si="1218"/>
        <v>8279.5297800000008</v>
      </c>
      <c r="AC7920" s="6">
        <f t="shared" si="1216"/>
        <v>0</v>
      </c>
      <c r="AD7920" s="6">
        <f t="shared" si="1221"/>
        <v>8279.5297800000008</v>
      </c>
      <c r="AE7920" s="14">
        <f>VLOOKUP(I7920,[2]媒体政策预估表!A:N,MATCH(O7920,[2]媒体政策预估表!$A$2:$M$2,0),0)</f>
        <v>0.04</v>
      </c>
      <c r="AF7920" s="6">
        <f t="shared" si="1223"/>
        <v>331.18119120000006</v>
      </c>
      <c r="AG7920" s="14">
        <v>0</v>
      </c>
      <c r="AH7920" s="64">
        <f t="shared" si="1222"/>
        <v>8279.5297800000008</v>
      </c>
      <c r="AJ7920" s="126" t="e">
        <v>#N/A</v>
      </c>
      <c r="AK7920" s="80">
        <f t="shared" si="1219"/>
        <v>0</v>
      </c>
      <c r="AL7920" s="85"/>
      <c r="AM7920" s="85"/>
    </row>
    <row r="7921" spans="1:39" s="86" customFormat="1" ht="13.25" hidden="1" customHeight="1" x14ac:dyDescent="0.3">
      <c r="A7921" s="89" t="s">
        <v>3978</v>
      </c>
      <c r="B7921" s="86" t="s">
        <v>35</v>
      </c>
      <c r="C7921" s="86" t="s">
        <v>164</v>
      </c>
      <c r="D7921" s="86" t="s">
        <v>3407</v>
      </c>
      <c r="E7921" s="86" t="s">
        <v>182</v>
      </c>
      <c r="F7921" s="86" t="s">
        <v>183</v>
      </c>
      <c r="G7921" s="86" t="s">
        <v>182</v>
      </c>
      <c r="H7921" s="144">
        <v>304</v>
      </c>
      <c r="I7921" s="86" t="s">
        <v>610</v>
      </c>
      <c r="J7921" s="47" t="s">
        <v>3323</v>
      </c>
      <c r="K7921" s="47" t="s">
        <v>3275</v>
      </c>
      <c r="L7921" s="47" t="s">
        <v>35</v>
      </c>
      <c r="M7921" s="86" t="s">
        <v>1832</v>
      </c>
      <c r="O7921" s="47" t="s">
        <v>45</v>
      </c>
      <c r="P7921" s="14" t="s">
        <v>41</v>
      </c>
      <c r="Q7921" s="14">
        <v>0</v>
      </c>
      <c r="R7921" s="143" t="s">
        <v>1834</v>
      </c>
      <c r="S7921" s="47"/>
      <c r="T7921" s="6">
        <v>132328.42392</v>
      </c>
      <c r="U7921" s="6"/>
      <c r="V7921" s="6">
        <v>16908.059399999998</v>
      </c>
      <c r="W7921" s="6">
        <f t="shared" si="1220"/>
        <v>115420.36452</v>
      </c>
      <c r="X7921" s="6">
        <f t="shared" si="1224"/>
        <v>16908.059399999998</v>
      </c>
      <c r="Y7921" s="13">
        <f t="shared" si="1217"/>
        <v>0</v>
      </c>
      <c r="Z7921" s="14">
        <v>0</v>
      </c>
      <c r="AA7921" s="6">
        <v>0</v>
      </c>
      <c r="AB7921" s="4">
        <f t="shared" si="1218"/>
        <v>16908.059399999998</v>
      </c>
      <c r="AC7921" s="6">
        <f t="shared" si="1216"/>
        <v>0</v>
      </c>
      <c r="AD7921" s="6">
        <f t="shared" si="1221"/>
        <v>16908.059399999998</v>
      </c>
      <c r="AE7921" s="14">
        <f>VLOOKUP(I7921,[2]媒体政策预估表!A:N,MATCH(O7921,[2]媒体政策预估表!$A$2:$M$2,0),0)</f>
        <v>0.04</v>
      </c>
      <c r="AF7921" s="6">
        <f t="shared" si="1223"/>
        <v>676.32237599999996</v>
      </c>
      <c r="AG7921" s="14">
        <v>0</v>
      </c>
      <c r="AH7921" s="64">
        <f t="shared" si="1222"/>
        <v>16908.059399999998</v>
      </c>
      <c r="AJ7921" s="126" t="e">
        <v>#N/A</v>
      </c>
      <c r="AK7921" s="80">
        <f t="shared" si="1219"/>
        <v>0</v>
      </c>
      <c r="AL7921" s="85"/>
      <c r="AM7921" s="85"/>
    </row>
    <row r="7922" spans="1:39" s="86" customFormat="1" ht="13.25" hidden="1" customHeight="1" x14ac:dyDescent="0.3">
      <c r="A7922" s="89" t="s">
        <v>3978</v>
      </c>
      <c r="B7922" s="86" t="s">
        <v>35</v>
      </c>
      <c r="C7922" s="86" t="s">
        <v>164</v>
      </c>
      <c r="D7922" s="86" t="s">
        <v>3407</v>
      </c>
      <c r="E7922" s="86" t="s">
        <v>182</v>
      </c>
      <c r="F7922" s="86" t="s">
        <v>183</v>
      </c>
      <c r="G7922" s="86" t="s">
        <v>182</v>
      </c>
      <c r="H7922" s="144">
        <v>304</v>
      </c>
      <c r="I7922" s="86" t="s">
        <v>610</v>
      </c>
      <c r="J7922" s="47" t="s">
        <v>3323</v>
      </c>
      <c r="K7922" s="47" t="s">
        <v>3275</v>
      </c>
      <c r="L7922" s="47" t="s">
        <v>35</v>
      </c>
      <c r="M7922" s="86" t="s">
        <v>1832</v>
      </c>
      <c r="O7922" s="47" t="s">
        <v>941</v>
      </c>
      <c r="P7922" s="14" t="s">
        <v>41</v>
      </c>
      <c r="Q7922" s="14">
        <v>0</v>
      </c>
      <c r="R7922" s="143" t="s">
        <v>1834</v>
      </c>
      <c r="S7922" s="47"/>
      <c r="T7922" s="6">
        <v>-5081.7767599999997</v>
      </c>
      <c r="U7922" s="6"/>
      <c r="V7922" s="6">
        <v>205.00943000000001</v>
      </c>
      <c r="W7922" s="6">
        <f t="shared" si="1220"/>
        <v>-5286.7861899999998</v>
      </c>
      <c r="X7922" s="6">
        <f t="shared" si="1224"/>
        <v>205.00943000000001</v>
      </c>
      <c r="Y7922" s="13">
        <f t="shared" si="1217"/>
        <v>0</v>
      </c>
      <c r="Z7922" s="14">
        <v>0</v>
      </c>
      <c r="AA7922" s="6">
        <v>0</v>
      </c>
      <c r="AB7922" s="4">
        <f t="shared" si="1218"/>
        <v>205.00943000000001</v>
      </c>
      <c r="AC7922" s="6">
        <f t="shared" si="1216"/>
        <v>0</v>
      </c>
      <c r="AD7922" s="6">
        <f t="shared" si="1221"/>
        <v>205.00943000000001</v>
      </c>
      <c r="AE7922" s="14">
        <f>VLOOKUP(I7922,[2]媒体政策预估表!A:N,MATCH(O7922,[2]媒体政策预估表!$A$2:$M$2,0),0)</f>
        <v>0.04</v>
      </c>
      <c r="AF7922" s="6">
        <f t="shared" si="1223"/>
        <v>8.2003772000000001</v>
      </c>
      <c r="AG7922" s="14">
        <v>0</v>
      </c>
      <c r="AH7922" s="64">
        <f t="shared" si="1222"/>
        <v>205.00943000000001</v>
      </c>
      <c r="AJ7922" s="126" t="e">
        <v>#N/A</v>
      </c>
      <c r="AK7922" s="80">
        <f t="shared" si="1219"/>
        <v>0</v>
      </c>
      <c r="AL7922" s="85"/>
      <c r="AM7922" s="85"/>
    </row>
    <row r="7923" spans="1:39" s="86" customFormat="1" ht="13.25" hidden="1" customHeight="1" x14ac:dyDescent="0.3">
      <c r="A7923" s="89" t="s">
        <v>3978</v>
      </c>
      <c r="B7923" s="86" t="s">
        <v>35</v>
      </c>
      <c r="C7923" s="86" t="s">
        <v>164</v>
      </c>
      <c r="D7923" s="86" t="s">
        <v>3407</v>
      </c>
      <c r="E7923" s="86" t="s">
        <v>182</v>
      </c>
      <c r="F7923" s="86" t="s">
        <v>183</v>
      </c>
      <c r="G7923" s="86" t="s">
        <v>182</v>
      </c>
      <c r="H7923" s="144">
        <v>304</v>
      </c>
      <c r="I7923" s="86" t="s">
        <v>610</v>
      </c>
      <c r="J7923" s="47" t="s">
        <v>3323</v>
      </c>
      <c r="K7923" s="47" t="s">
        <v>3275</v>
      </c>
      <c r="L7923" s="47" t="s">
        <v>35</v>
      </c>
      <c r="M7923" s="86" t="s">
        <v>1832</v>
      </c>
      <c r="O7923" s="47" t="s">
        <v>2054</v>
      </c>
      <c r="P7923" s="14" t="s">
        <v>41</v>
      </c>
      <c r="Q7923" s="14">
        <v>0</v>
      </c>
      <c r="R7923" s="143" t="s">
        <v>1834</v>
      </c>
      <c r="S7923" s="47"/>
      <c r="T7923" s="6">
        <v>-122849.48635000001</v>
      </c>
      <c r="U7923" s="6"/>
      <c r="V7923" s="6">
        <v>16684.091990000001</v>
      </c>
      <c r="W7923" s="6">
        <f t="shared" si="1220"/>
        <v>-139533.57834000001</v>
      </c>
      <c r="X7923" s="6">
        <f t="shared" si="1224"/>
        <v>16684.091990000001</v>
      </c>
      <c r="Y7923" s="13">
        <f t="shared" si="1217"/>
        <v>0</v>
      </c>
      <c r="Z7923" s="14">
        <v>0</v>
      </c>
      <c r="AA7923" s="6">
        <v>0</v>
      </c>
      <c r="AB7923" s="4">
        <f t="shared" si="1218"/>
        <v>16684.091990000001</v>
      </c>
      <c r="AC7923" s="6">
        <f t="shared" si="1216"/>
        <v>0</v>
      </c>
      <c r="AD7923" s="6">
        <f t="shared" si="1221"/>
        <v>16684.091990000001</v>
      </c>
      <c r="AE7923" s="14">
        <f>VLOOKUP(I7923,[2]媒体政策预估表!A:N,MATCH(O7923,[2]媒体政策预估表!$A$2:$M$2,0),0)</f>
        <v>0.04</v>
      </c>
      <c r="AF7923" s="6">
        <f t="shared" si="1223"/>
        <v>667.36367960000007</v>
      </c>
      <c r="AG7923" s="14">
        <v>0</v>
      </c>
      <c r="AH7923" s="64">
        <f t="shared" si="1222"/>
        <v>16684.091990000001</v>
      </c>
      <c r="AJ7923" s="126" t="e">
        <v>#N/A</v>
      </c>
      <c r="AK7923" s="80">
        <f t="shared" si="1219"/>
        <v>0</v>
      </c>
      <c r="AL7923" s="85"/>
      <c r="AM7923" s="85"/>
    </row>
    <row r="7924" spans="1:39" s="86" customFormat="1" ht="13.25" hidden="1" customHeight="1" x14ac:dyDescent="0.3">
      <c r="A7924" s="89" t="s">
        <v>3978</v>
      </c>
      <c r="B7924" s="86" t="s">
        <v>35</v>
      </c>
      <c r="C7924" s="86" t="s">
        <v>164</v>
      </c>
      <c r="D7924" s="86" t="s">
        <v>3407</v>
      </c>
      <c r="E7924" s="86" t="s">
        <v>182</v>
      </c>
      <c r="F7924" s="86" t="s">
        <v>183</v>
      </c>
      <c r="G7924" s="86" t="s">
        <v>182</v>
      </c>
      <c r="H7924" s="143">
        <v>304</v>
      </c>
      <c r="I7924" s="86" t="s">
        <v>610</v>
      </c>
      <c r="J7924" s="47" t="s">
        <v>3323</v>
      </c>
      <c r="K7924" s="47" t="s">
        <v>3275</v>
      </c>
      <c r="L7924" s="47" t="s">
        <v>35</v>
      </c>
      <c r="M7924" s="86" t="s">
        <v>1832</v>
      </c>
      <c r="O7924" s="47" t="s">
        <v>410</v>
      </c>
      <c r="P7924" s="14" t="s">
        <v>41</v>
      </c>
      <c r="Q7924" s="14">
        <v>0</v>
      </c>
      <c r="R7924" s="143" t="s">
        <v>1833</v>
      </c>
      <c r="S7924" s="47"/>
      <c r="T7924" s="6">
        <v>16750.809730000037</v>
      </c>
      <c r="U7924" s="6"/>
      <c r="V7924" s="6"/>
      <c r="W7924" s="6">
        <f t="shared" si="1220"/>
        <v>16750.809730000037</v>
      </c>
      <c r="X7924" s="6">
        <f t="shared" si="1224"/>
        <v>0</v>
      </c>
      <c r="Y7924" s="13">
        <f t="shared" si="1217"/>
        <v>0</v>
      </c>
      <c r="Z7924" s="14">
        <v>0</v>
      </c>
      <c r="AA7924" s="6">
        <v>0</v>
      </c>
      <c r="AB7924" s="4">
        <f t="shared" si="1218"/>
        <v>0</v>
      </c>
      <c r="AC7924" s="6">
        <f t="shared" si="1216"/>
        <v>0</v>
      </c>
      <c r="AD7924" s="6">
        <f t="shared" si="1221"/>
        <v>0</v>
      </c>
      <c r="AE7924" s="14">
        <f>VLOOKUP(I7924,[2]媒体政策预估表!A:N,MATCH(O7924,[2]媒体政策预估表!$A$2:$M$2,0),0)</f>
        <v>0.02</v>
      </c>
      <c r="AF7924" s="6">
        <f t="shared" si="1223"/>
        <v>0</v>
      </c>
      <c r="AG7924" s="14">
        <v>0</v>
      </c>
      <c r="AH7924" s="64">
        <f t="shared" si="1222"/>
        <v>0</v>
      </c>
      <c r="AJ7924" s="126" t="e">
        <v>#N/A</v>
      </c>
      <c r="AK7924" s="80">
        <f t="shared" si="1219"/>
        <v>0</v>
      </c>
      <c r="AL7924" s="85"/>
      <c r="AM7924" s="85"/>
    </row>
    <row r="7925" spans="1:39" s="86" customFormat="1" ht="13.25" hidden="1" customHeight="1" x14ac:dyDescent="0.3">
      <c r="A7925" s="89" t="s">
        <v>3978</v>
      </c>
      <c r="B7925" s="86" t="s">
        <v>35</v>
      </c>
      <c r="C7925" s="86" t="s">
        <v>65</v>
      </c>
      <c r="D7925" s="86" t="s">
        <v>122</v>
      </c>
      <c r="E7925" s="86" t="s">
        <v>1266</v>
      </c>
      <c r="F7925" s="86" t="s">
        <v>3687</v>
      </c>
      <c r="G7925" s="86" t="s">
        <v>1266</v>
      </c>
      <c r="H7925" s="143">
        <v>360</v>
      </c>
      <c r="I7925" s="86" t="s">
        <v>1060</v>
      </c>
      <c r="J7925" s="47" t="s">
        <v>3325</v>
      </c>
      <c r="K7925" s="47" t="s">
        <v>3767</v>
      </c>
      <c r="L7925" s="47" t="s">
        <v>35</v>
      </c>
      <c r="M7925" s="86" t="s">
        <v>1267</v>
      </c>
      <c r="O7925" s="47" t="s">
        <v>2054</v>
      </c>
      <c r="P7925" s="14" t="s">
        <v>46</v>
      </c>
      <c r="Q7925" s="14">
        <v>0.02</v>
      </c>
      <c r="R7925" s="143" t="s">
        <v>1268</v>
      </c>
      <c r="S7925" s="47"/>
      <c r="T7925" s="6">
        <v>-2502.8840300000002</v>
      </c>
      <c r="U7925" s="6"/>
      <c r="V7925" s="6">
        <v>0</v>
      </c>
      <c r="W7925" s="6">
        <f t="shared" si="1220"/>
        <v>-2502.8840300000002</v>
      </c>
      <c r="X7925" s="6">
        <f t="shared" si="1224"/>
        <v>0</v>
      </c>
      <c r="Y7925" s="13">
        <f t="shared" si="1217"/>
        <v>0</v>
      </c>
      <c r="Z7925" s="14">
        <v>0</v>
      </c>
      <c r="AA7925" s="6">
        <v>0</v>
      </c>
      <c r="AB7925" s="4">
        <f t="shared" si="1218"/>
        <v>0</v>
      </c>
      <c r="AC7925" s="6">
        <f t="shared" si="1216"/>
        <v>0</v>
      </c>
      <c r="AD7925" s="6">
        <f t="shared" si="1221"/>
        <v>0</v>
      </c>
      <c r="AE7925" s="14">
        <f>VLOOKUP(I7925,[2]媒体政策预估表!A:N,MATCH(O7925,[2]媒体政策预估表!$A$2:$M$2,0),0)</f>
        <v>0.1</v>
      </c>
      <c r="AF7925" s="6">
        <f t="shared" si="1223"/>
        <v>0</v>
      </c>
      <c r="AG7925" s="14">
        <v>0</v>
      </c>
      <c r="AH7925" s="64">
        <f t="shared" si="1222"/>
        <v>0</v>
      </c>
      <c r="AJ7925" s="126" t="e">
        <v>#N/A</v>
      </c>
      <c r="AK7925" s="80">
        <f t="shared" si="1219"/>
        <v>0</v>
      </c>
      <c r="AL7925" s="85"/>
      <c r="AM7925" s="85"/>
    </row>
    <row r="7926" spans="1:39" s="86" customFormat="1" ht="13.25" hidden="1" customHeight="1" x14ac:dyDescent="0.3">
      <c r="A7926" s="89" t="s">
        <v>3978</v>
      </c>
      <c r="B7926" s="86" t="s">
        <v>35</v>
      </c>
      <c r="C7926" s="86" t="s">
        <v>184</v>
      </c>
      <c r="D7926" s="86" t="s">
        <v>224</v>
      </c>
      <c r="E7926" s="86" t="s">
        <v>1132</v>
      </c>
      <c r="F7926" s="86" t="s">
        <v>1132</v>
      </c>
      <c r="G7926" s="86" t="s">
        <v>1132</v>
      </c>
      <c r="H7926" s="143">
        <v>360</v>
      </c>
      <c r="I7926" s="86" t="s">
        <v>1060</v>
      </c>
      <c r="J7926" s="47" t="s">
        <v>3325</v>
      </c>
      <c r="K7926" s="47" t="s">
        <v>3767</v>
      </c>
      <c r="L7926" s="47" t="s">
        <v>35</v>
      </c>
      <c r="M7926" s="86" t="s">
        <v>1132</v>
      </c>
      <c r="O7926" s="47" t="s">
        <v>45</v>
      </c>
      <c r="P7926" s="14" t="s">
        <v>41</v>
      </c>
      <c r="Q7926" s="14">
        <v>0</v>
      </c>
      <c r="R7926" s="143" t="s">
        <v>1133</v>
      </c>
      <c r="S7926" s="47"/>
      <c r="T7926" s="6">
        <v>-470.1</v>
      </c>
      <c r="U7926" s="6"/>
      <c r="V7926" s="6">
        <v>0</v>
      </c>
      <c r="W7926" s="6">
        <f t="shared" si="1220"/>
        <v>-470.1</v>
      </c>
      <c r="X7926" s="6">
        <f t="shared" si="1224"/>
        <v>0</v>
      </c>
      <c r="Y7926" s="13">
        <f t="shared" si="1217"/>
        <v>0</v>
      </c>
      <c r="Z7926" s="14">
        <v>0</v>
      </c>
      <c r="AA7926" s="6">
        <v>0</v>
      </c>
      <c r="AB7926" s="4">
        <f t="shared" si="1218"/>
        <v>0</v>
      </c>
      <c r="AC7926" s="6">
        <f t="shared" si="1216"/>
        <v>0</v>
      </c>
      <c r="AD7926" s="6">
        <f t="shared" si="1221"/>
        <v>0</v>
      </c>
      <c r="AE7926" s="14">
        <f>VLOOKUP(I7926,[2]媒体政策预估表!A:N,MATCH(O7926,[2]媒体政策预估表!$A$2:$M$2,0),0)</f>
        <v>0.1</v>
      </c>
      <c r="AF7926" s="6">
        <f t="shared" si="1223"/>
        <v>0</v>
      </c>
      <c r="AG7926" s="14">
        <v>0</v>
      </c>
      <c r="AH7926" s="64">
        <f t="shared" si="1222"/>
        <v>0</v>
      </c>
      <c r="AJ7926" s="126" t="e">
        <v>#N/A</v>
      </c>
      <c r="AK7926" s="80">
        <f t="shared" si="1219"/>
        <v>0</v>
      </c>
      <c r="AL7926" s="85"/>
      <c r="AM7926" s="85"/>
    </row>
    <row r="7927" spans="1:39" s="86" customFormat="1" ht="13.25" hidden="1" customHeight="1" x14ac:dyDescent="0.3">
      <c r="A7927" s="89" t="s">
        <v>3978</v>
      </c>
      <c r="B7927" s="86" t="s">
        <v>35</v>
      </c>
      <c r="C7927" s="86" t="s">
        <v>184</v>
      </c>
      <c r="D7927" s="86" t="s">
        <v>224</v>
      </c>
      <c r="E7927" s="86" t="s">
        <v>1132</v>
      </c>
      <c r="F7927" s="86" t="s">
        <v>1132</v>
      </c>
      <c r="G7927" s="86" t="s">
        <v>1132</v>
      </c>
      <c r="H7927" s="143">
        <v>360</v>
      </c>
      <c r="I7927" s="86" t="s">
        <v>1060</v>
      </c>
      <c r="J7927" s="47" t="s">
        <v>3325</v>
      </c>
      <c r="K7927" s="47" t="s">
        <v>3767</v>
      </c>
      <c r="L7927" s="47" t="s">
        <v>35</v>
      </c>
      <c r="M7927" s="86" t="s">
        <v>1132</v>
      </c>
      <c r="O7927" s="47" t="s">
        <v>2054</v>
      </c>
      <c r="P7927" s="14" t="s">
        <v>41</v>
      </c>
      <c r="Q7927" s="14">
        <v>0</v>
      </c>
      <c r="R7927" s="143" t="s">
        <v>1133</v>
      </c>
      <c r="S7927" s="47"/>
      <c r="T7927" s="6">
        <v>-8.6999999999999993</v>
      </c>
      <c r="U7927" s="6"/>
      <c r="V7927" s="6">
        <v>0</v>
      </c>
      <c r="W7927" s="6">
        <f t="shared" si="1220"/>
        <v>-8.6999999999999993</v>
      </c>
      <c r="X7927" s="6">
        <f t="shared" si="1224"/>
        <v>0</v>
      </c>
      <c r="Y7927" s="13">
        <f t="shared" si="1217"/>
        <v>0</v>
      </c>
      <c r="Z7927" s="14">
        <v>0</v>
      </c>
      <c r="AA7927" s="6">
        <v>0</v>
      </c>
      <c r="AB7927" s="4">
        <f t="shared" si="1218"/>
        <v>0</v>
      </c>
      <c r="AC7927" s="6">
        <f t="shared" si="1216"/>
        <v>0</v>
      </c>
      <c r="AD7927" s="6">
        <f t="shared" si="1221"/>
        <v>0</v>
      </c>
      <c r="AE7927" s="14">
        <f>VLOOKUP(I7927,[2]媒体政策预估表!A:N,MATCH(O7927,[2]媒体政策预估表!$A$2:$M$2,0),0)</f>
        <v>0.1</v>
      </c>
      <c r="AF7927" s="6">
        <f t="shared" si="1223"/>
        <v>0</v>
      </c>
      <c r="AG7927" s="14">
        <v>0</v>
      </c>
      <c r="AH7927" s="64">
        <f t="shared" si="1222"/>
        <v>0</v>
      </c>
      <c r="AJ7927" s="126" t="e">
        <v>#N/A</v>
      </c>
      <c r="AK7927" s="80">
        <f t="shared" si="1219"/>
        <v>0</v>
      </c>
      <c r="AL7927" s="85"/>
      <c r="AM7927" s="85"/>
    </row>
    <row r="7928" spans="1:39" s="86" customFormat="1" ht="13.25" hidden="1" customHeight="1" x14ac:dyDescent="0.3">
      <c r="A7928" s="89" t="s">
        <v>3792</v>
      </c>
      <c r="B7928" s="86" t="s">
        <v>35</v>
      </c>
      <c r="C7928" s="86" t="s">
        <v>144</v>
      </c>
      <c r="D7928" s="86" t="s">
        <v>145</v>
      </c>
      <c r="E7928" s="86" t="s">
        <v>1388</v>
      </c>
      <c r="F7928" s="86" t="s">
        <v>1388</v>
      </c>
      <c r="G7928" s="86" t="s">
        <v>1388</v>
      </c>
      <c r="H7928" s="143">
        <v>360</v>
      </c>
      <c r="I7928" s="86" t="s">
        <v>1060</v>
      </c>
      <c r="J7928" s="47" t="s">
        <v>3325</v>
      </c>
      <c r="K7928" s="47" t="s">
        <v>3767</v>
      </c>
      <c r="L7928" s="47" t="s">
        <v>35</v>
      </c>
      <c r="M7928" s="86" t="s">
        <v>1388</v>
      </c>
      <c r="O7928" s="47" t="s">
        <v>45</v>
      </c>
      <c r="P7928" s="14" t="s">
        <v>41</v>
      </c>
      <c r="Q7928" s="14">
        <v>0</v>
      </c>
      <c r="R7928" s="143" t="s">
        <v>1389</v>
      </c>
      <c r="S7928" s="47"/>
      <c r="T7928" s="6">
        <v>-908.48</v>
      </c>
      <c r="U7928" s="6"/>
      <c r="V7928" s="6">
        <v>0</v>
      </c>
      <c r="W7928" s="6">
        <f t="shared" si="1220"/>
        <v>-908.48</v>
      </c>
      <c r="X7928" s="6">
        <f t="shared" si="1224"/>
        <v>0</v>
      </c>
      <c r="Y7928" s="13">
        <f t="shared" si="1217"/>
        <v>0</v>
      </c>
      <c r="Z7928" s="14">
        <v>0</v>
      </c>
      <c r="AA7928" s="6">
        <v>0</v>
      </c>
      <c r="AB7928" s="4">
        <f t="shared" si="1218"/>
        <v>0</v>
      </c>
      <c r="AC7928" s="6">
        <f t="shared" si="1216"/>
        <v>0</v>
      </c>
      <c r="AD7928" s="6">
        <f t="shared" si="1221"/>
        <v>0</v>
      </c>
      <c r="AE7928" s="14">
        <f>VLOOKUP(I7928,[2]媒体政策预估表!A:N,MATCH(O7928,[2]媒体政策预估表!$A$2:$M$2,0),0)</f>
        <v>0.1</v>
      </c>
      <c r="AF7928" s="6">
        <f t="shared" si="1223"/>
        <v>0</v>
      </c>
      <c r="AG7928" s="14">
        <v>0</v>
      </c>
      <c r="AH7928" s="64">
        <f t="shared" si="1222"/>
        <v>0</v>
      </c>
      <c r="AJ7928" s="126" t="e">
        <v>#N/A</v>
      </c>
      <c r="AK7928" s="80">
        <f t="shared" si="1219"/>
        <v>0</v>
      </c>
      <c r="AL7928" s="85"/>
      <c r="AM7928" s="85"/>
    </row>
    <row r="7929" spans="1:39" s="86" customFormat="1" ht="13.25" hidden="1" customHeight="1" x14ac:dyDescent="0.3">
      <c r="A7929" s="89" t="s">
        <v>3792</v>
      </c>
      <c r="B7929" s="86" t="s">
        <v>35</v>
      </c>
      <c r="C7929" s="86" t="s">
        <v>144</v>
      </c>
      <c r="D7929" s="86" t="s">
        <v>145</v>
      </c>
      <c r="E7929" s="86" t="s">
        <v>1388</v>
      </c>
      <c r="F7929" s="86" t="s">
        <v>1388</v>
      </c>
      <c r="G7929" s="86" t="s">
        <v>1388</v>
      </c>
      <c r="H7929" s="143">
        <v>360</v>
      </c>
      <c r="I7929" s="86" t="s">
        <v>1060</v>
      </c>
      <c r="J7929" s="47" t="s">
        <v>3325</v>
      </c>
      <c r="K7929" s="47" t="s">
        <v>3767</v>
      </c>
      <c r="L7929" s="47" t="s">
        <v>35</v>
      </c>
      <c r="M7929" s="86" t="s">
        <v>1388</v>
      </c>
      <c r="O7929" s="47" t="s">
        <v>2054</v>
      </c>
      <c r="P7929" s="14" t="s">
        <v>41</v>
      </c>
      <c r="Q7929" s="14">
        <v>0</v>
      </c>
      <c r="R7929" s="143" t="s">
        <v>1389</v>
      </c>
      <c r="S7929" s="47"/>
      <c r="T7929" s="6">
        <v>-131.84</v>
      </c>
      <c r="U7929" s="6"/>
      <c r="V7929" s="6">
        <v>0</v>
      </c>
      <c r="W7929" s="6">
        <f t="shared" si="1220"/>
        <v>-131.84</v>
      </c>
      <c r="X7929" s="6">
        <f t="shared" si="1224"/>
        <v>0</v>
      </c>
      <c r="Y7929" s="13">
        <f t="shared" si="1217"/>
        <v>0</v>
      </c>
      <c r="Z7929" s="14">
        <v>0</v>
      </c>
      <c r="AA7929" s="6">
        <v>0</v>
      </c>
      <c r="AB7929" s="4">
        <f t="shared" si="1218"/>
        <v>0</v>
      </c>
      <c r="AC7929" s="6">
        <f t="shared" si="1216"/>
        <v>0</v>
      </c>
      <c r="AD7929" s="6">
        <f t="shared" si="1221"/>
        <v>0</v>
      </c>
      <c r="AE7929" s="14">
        <f>VLOOKUP(I7929,[2]媒体政策预估表!A:N,MATCH(O7929,[2]媒体政策预估表!$A$2:$M$2,0),0)</f>
        <v>0.1</v>
      </c>
      <c r="AF7929" s="6">
        <f t="shared" si="1223"/>
        <v>0</v>
      </c>
      <c r="AG7929" s="14">
        <v>0</v>
      </c>
      <c r="AH7929" s="64">
        <f t="shared" si="1222"/>
        <v>0</v>
      </c>
      <c r="AJ7929" s="126" t="e">
        <v>#N/A</v>
      </c>
      <c r="AK7929" s="80">
        <f t="shared" si="1219"/>
        <v>0</v>
      </c>
      <c r="AL7929" s="85"/>
      <c r="AM7929" s="85"/>
    </row>
    <row r="7930" spans="1:39" s="86" customFormat="1" ht="13.25" hidden="1" customHeight="1" x14ac:dyDescent="0.3">
      <c r="A7930" s="89" t="s">
        <v>3978</v>
      </c>
      <c r="B7930" s="86" t="s">
        <v>35</v>
      </c>
      <c r="C7930" s="86" t="s">
        <v>164</v>
      </c>
      <c r="D7930" s="86" t="s">
        <v>174</v>
      </c>
      <c r="E7930" s="86" t="s">
        <v>180</v>
      </c>
      <c r="F7930" s="86" t="s">
        <v>180</v>
      </c>
      <c r="G7930" s="86" t="s">
        <v>180</v>
      </c>
      <c r="H7930" s="144">
        <v>360</v>
      </c>
      <c r="I7930" s="86" t="s">
        <v>1060</v>
      </c>
      <c r="J7930" s="47" t="s">
        <v>3325</v>
      </c>
      <c r="K7930" s="47" t="s">
        <v>3767</v>
      </c>
      <c r="L7930" s="47" t="s">
        <v>35</v>
      </c>
      <c r="M7930" s="86" t="s">
        <v>1820</v>
      </c>
      <c r="O7930" s="47" t="s">
        <v>45</v>
      </c>
      <c r="P7930" s="14" t="s">
        <v>41</v>
      </c>
      <c r="Q7930" s="14">
        <v>0</v>
      </c>
      <c r="R7930" s="143" t="s">
        <v>1821</v>
      </c>
      <c r="S7930" s="47"/>
      <c r="T7930" s="6">
        <v>-87853.063139999998</v>
      </c>
      <c r="U7930" s="6"/>
      <c r="V7930" s="6">
        <v>1437.2026900000001</v>
      </c>
      <c r="W7930" s="6">
        <f t="shared" si="1220"/>
        <v>-89290.265830000004</v>
      </c>
      <c r="X7930" s="6">
        <f t="shared" si="1224"/>
        <v>1437.2026900000001</v>
      </c>
      <c r="Y7930" s="13">
        <f t="shared" si="1217"/>
        <v>0</v>
      </c>
      <c r="Z7930" s="14">
        <v>0</v>
      </c>
      <c r="AA7930" s="6">
        <v>0</v>
      </c>
      <c r="AB7930" s="4">
        <f t="shared" si="1218"/>
        <v>1437.2026900000001</v>
      </c>
      <c r="AC7930" s="6">
        <f t="shared" si="1216"/>
        <v>0</v>
      </c>
      <c r="AD7930" s="6">
        <f t="shared" si="1221"/>
        <v>1437.2026900000001</v>
      </c>
      <c r="AE7930" s="14">
        <f>VLOOKUP(I7930,[2]媒体政策预估表!A:N,MATCH(O7930,[2]媒体政策预估表!$A$2:$M$2,0),0)</f>
        <v>0.1</v>
      </c>
      <c r="AF7930" s="6">
        <f t="shared" si="1223"/>
        <v>143.720269</v>
      </c>
      <c r="AG7930" s="14">
        <v>0</v>
      </c>
      <c r="AH7930" s="64">
        <f t="shared" si="1222"/>
        <v>1437.2026900000001</v>
      </c>
      <c r="AJ7930" s="126" t="e">
        <v>#N/A</v>
      </c>
      <c r="AK7930" s="80">
        <f t="shared" si="1219"/>
        <v>0</v>
      </c>
      <c r="AL7930" s="85"/>
      <c r="AM7930" s="85"/>
    </row>
    <row r="7931" spans="1:39" s="86" customFormat="1" ht="13.25" hidden="1" customHeight="1" x14ac:dyDescent="0.3">
      <c r="A7931" s="89" t="s">
        <v>3978</v>
      </c>
      <c r="B7931" s="86" t="s">
        <v>35</v>
      </c>
      <c r="C7931" s="86" t="s">
        <v>164</v>
      </c>
      <c r="D7931" s="86" t="s">
        <v>174</v>
      </c>
      <c r="E7931" s="86" t="s">
        <v>180</v>
      </c>
      <c r="F7931" s="86" t="s">
        <v>180</v>
      </c>
      <c r="G7931" s="86" t="s">
        <v>180</v>
      </c>
      <c r="H7931" s="144">
        <v>360</v>
      </c>
      <c r="I7931" s="86" t="s">
        <v>1060</v>
      </c>
      <c r="J7931" s="47" t="s">
        <v>3325</v>
      </c>
      <c r="K7931" s="47" t="s">
        <v>3767</v>
      </c>
      <c r="L7931" s="47" t="s">
        <v>35</v>
      </c>
      <c r="M7931" s="86" t="s">
        <v>1820</v>
      </c>
      <c r="O7931" s="47" t="s">
        <v>941</v>
      </c>
      <c r="P7931" s="14" t="s">
        <v>41</v>
      </c>
      <c r="Q7931" s="14">
        <v>0</v>
      </c>
      <c r="R7931" s="143" t="s">
        <v>1821</v>
      </c>
      <c r="S7931" s="47"/>
      <c r="T7931" s="6">
        <v>-1768986.7264</v>
      </c>
      <c r="U7931" s="6"/>
      <c r="V7931" s="6">
        <v>152285.7181</v>
      </c>
      <c r="W7931" s="6">
        <f t="shared" si="1220"/>
        <v>-1921272.4445</v>
      </c>
      <c r="X7931" s="6">
        <f t="shared" si="1224"/>
        <v>152285.7181</v>
      </c>
      <c r="Y7931" s="13">
        <f t="shared" si="1217"/>
        <v>0</v>
      </c>
      <c r="Z7931" s="14">
        <v>0</v>
      </c>
      <c r="AA7931" s="6">
        <v>0</v>
      </c>
      <c r="AB7931" s="4">
        <f t="shared" si="1218"/>
        <v>152285.7181</v>
      </c>
      <c r="AC7931" s="6">
        <f t="shared" si="1216"/>
        <v>0</v>
      </c>
      <c r="AD7931" s="6">
        <f t="shared" si="1221"/>
        <v>152285.7181</v>
      </c>
      <c r="AE7931" s="14">
        <f>VLOOKUP(I7931,[2]媒体政策预估表!A:N,MATCH(O7931,[2]媒体政策预估表!$A$2:$M$2,0),0)</f>
        <v>0.15</v>
      </c>
      <c r="AF7931" s="6">
        <f t="shared" si="1223"/>
        <v>22842.857714999998</v>
      </c>
      <c r="AG7931" s="14">
        <v>0</v>
      </c>
      <c r="AH7931" s="64">
        <f t="shared" si="1222"/>
        <v>152285.7181</v>
      </c>
      <c r="AJ7931" s="126" t="e">
        <v>#N/A</v>
      </c>
      <c r="AK7931" s="80">
        <f t="shared" si="1219"/>
        <v>0</v>
      </c>
      <c r="AL7931" s="85"/>
      <c r="AM7931" s="85"/>
    </row>
    <row r="7932" spans="1:39" s="86" customFormat="1" ht="13.25" hidden="1" customHeight="1" x14ac:dyDescent="0.3">
      <c r="A7932" s="89" t="s">
        <v>3792</v>
      </c>
      <c r="B7932" s="86" t="s">
        <v>35</v>
      </c>
      <c r="C7932" s="86" t="s">
        <v>164</v>
      </c>
      <c r="D7932" s="86" t="s">
        <v>174</v>
      </c>
      <c r="E7932" s="86" t="s">
        <v>180</v>
      </c>
      <c r="F7932" s="86" t="s">
        <v>180</v>
      </c>
      <c r="G7932" s="86" t="s">
        <v>180</v>
      </c>
      <c r="H7932" s="144">
        <v>360</v>
      </c>
      <c r="I7932" s="86" t="s">
        <v>1060</v>
      </c>
      <c r="J7932" s="47" t="s">
        <v>3325</v>
      </c>
      <c r="K7932" s="47" t="s">
        <v>3767</v>
      </c>
      <c r="L7932" s="47" t="s">
        <v>35</v>
      </c>
      <c r="M7932" s="86" t="s">
        <v>1820</v>
      </c>
      <c r="O7932" s="47" t="s">
        <v>2054</v>
      </c>
      <c r="P7932" s="14" t="s">
        <v>41</v>
      </c>
      <c r="Q7932" s="14">
        <v>0</v>
      </c>
      <c r="R7932" s="143" t="s">
        <v>1821</v>
      </c>
      <c r="S7932" s="47"/>
      <c r="T7932" s="6">
        <v>-38165.267800000001</v>
      </c>
      <c r="U7932" s="6"/>
      <c r="V7932" s="6">
        <v>720.76788999999997</v>
      </c>
      <c r="W7932" s="6">
        <f t="shared" si="1220"/>
        <v>-38886.035690000004</v>
      </c>
      <c r="X7932" s="6">
        <f t="shared" si="1224"/>
        <v>720.76788999999997</v>
      </c>
      <c r="Y7932" s="13">
        <f t="shared" si="1217"/>
        <v>0</v>
      </c>
      <c r="Z7932" s="14">
        <v>0</v>
      </c>
      <c r="AA7932" s="6">
        <v>0</v>
      </c>
      <c r="AB7932" s="4">
        <f t="shared" si="1218"/>
        <v>720.76788999999997</v>
      </c>
      <c r="AC7932" s="6">
        <f t="shared" si="1216"/>
        <v>0</v>
      </c>
      <c r="AD7932" s="6">
        <f t="shared" si="1221"/>
        <v>720.76788999999997</v>
      </c>
      <c r="AE7932" s="14">
        <f>VLOOKUP(I7932,[2]媒体政策预估表!A:N,MATCH(O7932,[2]媒体政策预估表!$A$2:$M$2,0),0)</f>
        <v>0.1</v>
      </c>
      <c r="AF7932" s="6">
        <f t="shared" si="1223"/>
        <v>72.076789000000005</v>
      </c>
      <c r="AG7932" s="14">
        <v>0</v>
      </c>
      <c r="AH7932" s="64">
        <f t="shared" si="1222"/>
        <v>720.76788999999997</v>
      </c>
      <c r="AJ7932" s="126" t="e">
        <v>#N/A</v>
      </c>
      <c r="AK7932" s="80">
        <f t="shared" si="1219"/>
        <v>0</v>
      </c>
      <c r="AL7932" s="85"/>
      <c r="AM7932" s="85"/>
    </row>
    <row r="7933" spans="1:39" s="86" customFormat="1" ht="13.25" hidden="1" customHeight="1" x14ac:dyDescent="0.3">
      <c r="A7933" s="89" t="s">
        <v>3978</v>
      </c>
      <c r="B7933" s="86" t="s">
        <v>35</v>
      </c>
      <c r="C7933" s="86" t="s">
        <v>164</v>
      </c>
      <c r="D7933" s="86" t="s">
        <v>174</v>
      </c>
      <c r="E7933" s="86" t="s">
        <v>180</v>
      </c>
      <c r="F7933" s="86" t="s">
        <v>180</v>
      </c>
      <c r="G7933" s="86" t="s">
        <v>180</v>
      </c>
      <c r="H7933" s="144">
        <v>360</v>
      </c>
      <c r="I7933" s="86" t="s">
        <v>1060</v>
      </c>
      <c r="J7933" s="47" t="s">
        <v>3325</v>
      </c>
      <c r="K7933" s="47" t="s">
        <v>3767</v>
      </c>
      <c r="L7933" s="47" t="s">
        <v>35</v>
      </c>
      <c r="M7933" s="86" t="s">
        <v>180</v>
      </c>
      <c r="O7933" s="47" t="s">
        <v>941</v>
      </c>
      <c r="P7933" s="14" t="s">
        <v>41</v>
      </c>
      <c r="Q7933" s="14">
        <v>0</v>
      </c>
      <c r="R7933" s="143" t="s">
        <v>1823</v>
      </c>
      <c r="S7933" s="47"/>
      <c r="T7933" s="6">
        <v>-2375811.5550899999</v>
      </c>
      <c r="U7933" s="6"/>
      <c r="V7933" s="6">
        <v>349481.07481999998</v>
      </c>
      <c r="W7933" s="6">
        <f t="shared" si="1220"/>
        <v>-2725292.6299099997</v>
      </c>
      <c r="X7933" s="6">
        <f t="shared" si="1224"/>
        <v>349481.07481999998</v>
      </c>
      <c r="Y7933" s="13">
        <f t="shared" si="1217"/>
        <v>0</v>
      </c>
      <c r="Z7933" s="14">
        <v>0</v>
      </c>
      <c r="AA7933" s="6">
        <v>0</v>
      </c>
      <c r="AB7933" s="4">
        <f t="shared" si="1218"/>
        <v>349481.07481999998</v>
      </c>
      <c r="AC7933" s="6">
        <f t="shared" si="1216"/>
        <v>0</v>
      </c>
      <c r="AD7933" s="6">
        <f t="shared" si="1221"/>
        <v>349481.07481999998</v>
      </c>
      <c r="AE7933" s="14">
        <f>VLOOKUP(I7933,[2]媒体政策预估表!A:N,MATCH(O7933,[2]媒体政策预估表!$A$2:$M$2,0),0)</f>
        <v>0.15</v>
      </c>
      <c r="AF7933" s="6">
        <f t="shared" si="1223"/>
        <v>52422.161222999996</v>
      </c>
      <c r="AG7933" s="14">
        <v>0</v>
      </c>
      <c r="AH7933" s="64">
        <f t="shared" si="1222"/>
        <v>349481.07481999998</v>
      </c>
      <c r="AJ7933" s="126" t="e">
        <v>#N/A</v>
      </c>
      <c r="AK7933" s="80">
        <f t="shared" si="1219"/>
        <v>0</v>
      </c>
      <c r="AL7933" s="85"/>
      <c r="AM7933" s="85"/>
    </row>
    <row r="7934" spans="1:39" s="86" customFormat="1" ht="13.25" hidden="1" customHeight="1" x14ac:dyDescent="0.3">
      <c r="A7934" s="89" t="s">
        <v>3978</v>
      </c>
      <c r="B7934" s="86" t="s">
        <v>35</v>
      </c>
      <c r="C7934" s="86" t="s">
        <v>164</v>
      </c>
      <c r="D7934" s="86" t="s">
        <v>174</v>
      </c>
      <c r="E7934" s="86" t="s">
        <v>180</v>
      </c>
      <c r="F7934" s="86" t="s">
        <v>180</v>
      </c>
      <c r="G7934" s="86" t="s">
        <v>180</v>
      </c>
      <c r="H7934" s="144">
        <v>360</v>
      </c>
      <c r="I7934" s="86" t="s">
        <v>1060</v>
      </c>
      <c r="J7934" s="47" t="s">
        <v>3325</v>
      </c>
      <c r="K7934" s="47" t="s">
        <v>3767</v>
      </c>
      <c r="L7934" s="47" t="s">
        <v>35</v>
      </c>
      <c r="M7934" s="86" t="s">
        <v>180</v>
      </c>
      <c r="O7934" s="47" t="s">
        <v>941</v>
      </c>
      <c r="P7934" s="14" t="s">
        <v>41</v>
      </c>
      <c r="Q7934" s="14">
        <v>0</v>
      </c>
      <c r="R7934" s="143" t="s">
        <v>1824</v>
      </c>
      <c r="S7934" s="47"/>
      <c r="T7934" s="6">
        <v>-2754159.9512700001</v>
      </c>
      <c r="U7934" s="6"/>
      <c r="V7934" s="6">
        <v>243222.61645</v>
      </c>
      <c r="W7934" s="6">
        <f t="shared" si="1220"/>
        <v>-2997382.5677200002</v>
      </c>
      <c r="X7934" s="6">
        <f t="shared" si="1224"/>
        <v>243222.61645</v>
      </c>
      <c r="Y7934" s="13">
        <f t="shared" si="1217"/>
        <v>0</v>
      </c>
      <c r="Z7934" s="14">
        <v>0</v>
      </c>
      <c r="AA7934" s="6">
        <v>0</v>
      </c>
      <c r="AB7934" s="4">
        <f t="shared" si="1218"/>
        <v>243222.61645</v>
      </c>
      <c r="AC7934" s="6">
        <f t="shared" ref="AC7934:AC7997" si="1225">IF(P7934="返现",X7934*Q7934,V7934-X7934)</f>
        <v>0</v>
      </c>
      <c r="AD7934" s="6">
        <f t="shared" si="1221"/>
        <v>243222.61645</v>
      </c>
      <c r="AE7934" s="14">
        <f>VLOOKUP(I7934,[2]媒体政策预估表!A:N,MATCH(O7934,[2]媒体政策预估表!$A$2:$M$2,0),0)</f>
        <v>0.15</v>
      </c>
      <c r="AF7934" s="6">
        <f t="shared" si="1223"/>
        <v>36483.392467500002</v>
      </c>
      <c r="AG7934" s="14">
        <v>0</v>
      </c>
      <c r="AH7934" s="64">
        <f t="shared" si="1222"/>
        <v>243222.61645</v>
      </c>
      <c r="AJ7934" s="126" t="e">
        <v>#N/A</v>
      </c>
      <c r="AK7934" s="80">
        <f t="shared" si="1219"/>
        <v>0</v>
      </c>
      <c r="AL7934" s="85"/>
      <c r="AM7934" s="85"/>
    </row>
    <row r="7935" spans="1:39" s="86" customFormat="1" ht="13.25" hidden="1" customHeight="1" x14ac:dyDescent="0.3">
      <c r="A7935" s="89" t="s">
        <v>3805</v>
      </c>
      <c r="B7935" s="86" t="s">
        <v>35</v>
      </c>
      <c r="C7935" s="86" t="s">
        <v>65</v>
      </c>
      <c r="D7935" s="86" t="s">
        <v>122</v>
      </c>
      <c r="E7935" s="86" t="s">
        <v>1266</v>
      </c>
      <c r="F7935" s="86" t="s">
        <v>1266</v>
      </c>
      <c r="G7935" s="86" t="s">
        <v>1266</v>
      </c>
      <c r="H7935" s="143">
        <v>360</v>
      </c>
      <c r="I7935" s="86" t="s">
        <v>1060</v>
      </c>
      <c r="J7935" s="47" t="s">
        <v>3325</v>
      </c>
      <c r="K7935" s="47" t="s">
        <v>3767</v>
      </c>
      <c r="L7935" s="47" t="s">
        <v>35</v>
      </c>
      <c r="M7935" s="86" t="s">
        <v>1271</v>
      </c>
      <c r="O7935" s="47" t="s">
        <v>941</v>
      </c>
      <c r="P7935" s="14" t="s">
        <v>41</v>
      </c>
      <c r="Q7935" s="14">
        <v>0</v>
      </c>
      <c r="R7935" s="143" t="s">
        <v>1272</v>
      </c>
      <c r="S7935" s="47"/>
      <c r="T7935" s="6">
        <v>-2259.08734</v>
      </c>
      <c r="U7935" s="6"/>
      <c r="V7935" s="6">
        <v>0</v>
      </c>
      <c r="W7935" s="6">
        <f t="shared" si="1220"/>
        <v>-2259.08734</v>
      </c>
      <c r="X7935" s="6">
        <f t="shared" si="1224"/>
        <v>0</v>
      </c>
      <c r="Y7935" s="13">
        <f t="shared" si="1217"/>
        <v>0</v>
      </c>
      <c r="Z7935" s="14">
        <v>0</v>
      </c>
      <c r="AA7935" s="6">
        <v>0</v>
      </c>
      <c r="AB7935" s="4">
        <f t="shared" si="1218"/>
        <v>0</v>
      </c>
      <c r="AC7935" s="6">
        <f t="shared" si="1225"/>
        <v>0</v>
      </c>
      <c r="AD7935" s="6">
        <f t="shared" si="1221"/>
        <v>0</v>
      </c>
      <c r="AE7935" s="14">
        <f>VLOOKUP(I7935,[2]媒体政策预估表!A:N,MATCH(O7935,[2]媒体政策预估表!$A$2:$M$2,0),0)</f>
        <v>0.15</v>
      </c>
      <c r="AF7935" s="6">
        <f t="shared" si="1223"/>
        <v>0</v>
      </c>
      <c r="AG7935" s="14">
        <v>0</v>
      </c>
      <c r="AH7935" s="64">
        <f t="shared" si="1222"/>
        <v>0</v>
      </c>
      <c r="AJ7935" s="126" t="e">
        <v>#N/A</v>
      </c>
      <c r="AK7935" s="80">
        <f t="shared" si="1219"/>
        <v>0</v>
      </c>
      <c r="AL7935" s="85"/>
      <c r="AM7935" s="85"/>
    </row>
    <row r="7936" spans="1:39" s="86" customFormat="1" ht="13.25" hidden="1" customHeight="1" x14ac:dyDescent="0.3">
      <c r="A7936" s="89" t="s">
        <v>3792</v>
      </c>
      <c r="B7936" s="86" t="s">
        <v>35</v>
      </c>
      <c r="C7936" s="86" t="s">
        <v>164</v>
      </c>
      <c r="D7936" s="86" t="s">
        <v>174</v>
      </c>
      <c r="E7936" s="86" t="s">
        <v>180</v>
      </c>
      <c r="F7936" s="86" t="s">
        <v>180</v>
      </c>
      <c r="G7936" s="86" t="s">
        <v>180</v>
      </c>
      <c r="H7936" s="144">
        <v>360</v>
      </c>
      <c r="I7936" s="86" t="s">
        <v>1060</v>
      </c>
      <c r="J7936" s="47" t="s">
        <v>3325</v>
      </c>
      <c r="K7936" s="47" t="s">
        <v>3767</v>
      </c>
      <c r="L7936" s="47" t="s">
        <v>35</v>
      </c>
      <c r="M7936" s="86" t="s">
        <v>1825</v>
      </c>
      <c r="O7936" s="47" t="s">
        <v>941</v>
      </c>
      <c r="P7936" s="14" t="s">
        <v>41</v>
      </c>
      <c r="Q7936" s="14">
        <v>0</v>
      </c>
      <c r="R7936" s="143" t="s">
        <v>1826</v>
      </c>
      <c r="S7936" s="47"/>
      <c r="T7936" s="6">
        <v>-817446.80340999993</v>
      </c>
      <c r="U7936" s="6"/>
      <c r="V7936" s="6">
        <v>118895.99937999999</v>
      </c>
      <c r="W7936" s="6">
        <f t="shared" si="1220"/>
        <v>-936342.80278999987</v>
      </c>
      <c r="X7936" s="6">
        <f t="shared" si="1224"/>
        <v>118895.99937999999</v>
      </c>
      <c r="Y7936" s="13">
        <f t="shared" si="1217"/>
        <v>0</v>
      </c>
      <c r="Z7936" s="14">
        <v>0</v>
      </c>
      <c r="AA7936" s="6">
        <v>0</v>
      </c>
      <c r="AB7936" s="4">
        <f t="shared" si="1218"/>
        <v>118895.99937999999</v>
      </c>
      <c r="AC7936" s="6">
        <f t="shared" si="1225"/>
        <v>0</v>
      </c>
      <c r="AD7936" s="6">
        <f t="shared" si="1221"/>
        <v>118895.99937999999</v>
      </c>
      <c r="AE7936" s="14">
        <f>VLOOKUP(I7936,[2]媒体政策预估表!A:N,MATCH(O7936,[2]媒体政策预估表!$A$2:$M$2,0),0)</f>
        <v>0.15</v>
      </c>
      <c r="AF7936" s="6">
        <f t="shared" si="1223"/>
        <v>17834.399906999999</v>
      </c>
      <c r="AG7936" s="14">
        <v>0</v>
      </c>
      <c r="AH7936" s="64">
        <f t="shared" si="1222"/>
        <v>118895.99937999999</v>
      </c>
      <c r="AJ7936" s="126" t="e">
        <v>#N/A</v>
      </c>
      <c r="AK7936" s="80">
        <f t="shared" si="1219"/>
        <v>0</v>
      </c>
      <c r="AL7936" s="85"/>
      <c r="AM7936" s="85"/>
    </row>
    <row r="7937" spans="1:39" s="86" customFormat="1" ht="13.25" hidden="1" customHeight="1" x14ac:dyDescent="0.3">
      <c r="A7937" s="89" t="s">
        <v>3792</v>
      </c>
      <c r="B7937" s="86" t="s">
        <v>35</v>
      </c>
      <c r="C7937" s="86" t="s">
        <v>164</v>
      </c>
      <c r="D7937" s="86" t="s">
        <v>174</v>
      </c>
      <c r="E7937" s="86" t="s">
        <v>180</v>
      </c>
      <c r="F7937" s="86" t="s">
        <v>180</v>
      </c>
      <c r="G7937" s="86" t="s">
        <v>180</v>
      </c>
      <c r="H7937" s="144">
        <v>360</v>
      </c>
      <c r="I7937" s="86" t="s">
        <v>1060</v>
      </c>
      <c r="J7937" s="47" t="s">
        <v>3325</v>
      </c>
      <c r="K7937" s="47" t="s">
        <v>3767</v>
      </c>
      <c r="L7937" s="47" t="s">
        <v>35</v>
      </c>
      <c r="M7937" s="86" t="s">
        <v>1816</v>
      </c>
      <c r="O7937" s="47" t="s">
        <v>941</v>
      </c>
      <c r="P7937" s="14" t="s">
        <v>41</v>
      </c>
      <c r="Q7937" s="14">
        <v>0</v>
      </c>
      <c r="R7937" s="143" t="s">
        <v>1817</v>
      </c>
      <c r="S7937" s="47"/>
      <c r="T7937" s="6">
        <v>-507626.64964000002</v>
      </c>
      <c r="U7937" s="6"/>
      <c r="V7937" s="6">
        <v>158475.19834</v>
      </c>
      <c r="W7937" s="6">
        <f t="shared" si="1220"/>
        <v>-666101.84798000008</v>
      </c>
      <c r="X7937" s="6">
        <f t="shared" si="1224"/>
        <v>158475.19834</v>
      </c>
      <c r="Y7937" s="13">
        <f t="shared" si="1217"/>
        <v>0</v>
      </c>
      <c r="Z7937" s="14">
        <v>0</v>
      </c>
      <c r="AA7937" s="6">
        <v>0</v>
      </c>
      <c r="AB7937" s="4">
        <f t="shared" si="1218"/>
        <v>158475.19834</v>
      </c>
      <c r="AC7937" s="6">
        <f t="shared" si="1225"/>
        <v>0</v>
      </c>
      <c r="AD7937" s="6">
        <f t="shared" si="1221"/>
        <v>158475.19834</v>
      </c>
      <c r="AE7937" s="14">
        <f>VLOOKUP(I7937,[2]媒体政策预估表!A:N,MATCH(O7937,[2]媒体政策预估表!$A$2:$M$2,0),0)</f>
        <v>0.15</v>
      </c>
      <c r="AF7937" s="6">
        <f t="shared" si="1223"/>
        <v>23771.279750999998</v>
      </c>
      <c r="AG7937" s="14">
        <v>0</v>
      </c>
      <c r="AH7937" s="64">
        <f t="shared" si="1222"/>
        <v>158475.19834</v>
      </c>
      <c r="AJ7937" s="126" t="e">
        <v>#N/A</v>
      </c>
      <c r="AK7937" s="80">
        <f t="shared" si="1219"/>
        <v>0</v>
      </c>
      <c r="AL7937" s="85"/>
      <c r="AM7937" s="85"/>
    </row>
    <row r="7938" spans="1:39" s="86" customFormat="1" ht="13.25" hidden="1" customHeight="1" x14ac:dyDescent="0.3">
      <c r="A7938" s="89" t="s">
        <v>3978</v>
      </c>
      <c r="B7938" s="86" t="s">
        <v>35</v>
      </c>
      <c r="C7938" s="86" t="s">
        <v>164</v>
      </c>
      <c r="D7938" s="86" t="s">
        <v>174</v>
      </c>
      <c r="E7938" s="86" t="s">
        <v>180</v>
      </c>
      <c r="F7938" s="86" t="s">
        <v>180</v>
      </c>
      <c r="G7938" s="86" t="s">
        <v>180</v>
      </c>
      <c r="H7938" s="144">
        <v>360</v>
      </c>
      <c r="I7938" s="86" t="s">
        <v>1060</v>
      </c>
      <c r="J7938" s="47" t="s">
        <v>3325</v>
      </c>
      <c r="K7938" s="47" t="s">
        <v>3767</v>
      </c>
      <c r="L7938" s="47" t="s">
        <v>35</v>
      </c>
      <c r="M7938" s="86" t="s">
        <v>1818</v>
      </c>
      <c r="O7938" s="47" t="s">
        <v>941</v>
      </c>
      <c r="P7938" s="14" t="s">
        <v>41</v>
      </c>
      <c r="Q7938" s="14">
        <v>0</v>
      </c>
      <c r="R7938" s="143" t="s">
        <v>1819</v>
      </c>
      <c r="S7938" s="47"/>
      <c r="T7938" s="6">
        <v>-453010.82331999997</v>
      </c>
      <c r="U7938" s="6"/>
      <c r="V7938" s="6">
        <v>129900.16923</v>
      </c>
      <c r="W7938" s="6">
        <f t="shared" si="1220"/>
        <v>-582910.99254999997</v>
      </c>
      <c r="X7938" s="6">
        <f t="shared" si="1224"/>
        <v>129900.16923</v>
      </c>
      <c r="Y7938" s="13">
        <f t="shared" si="1217"/>
        <v>0</v>
      </c>
      <c r="Z7938" s="14">
        <v>0</v>
      </c>
      <c r="AA7938" s="6">
        <v>0</v>
      </c>
      <c r="AB7938" s="4">
        <f t="shared" si="1218"/>
        <v>129900.16923</v>
      </c>
      <c r="AC7938" s="6">
        <f t="shared" si="1225"/>
        <v>0</v>
      </c>
      <c r="AD7938" s="6">
        <f t="shared" si="1221"/>
        <v>129900.16923</v>
      </c>
      <c r="AE7938" s="14">
        <f>VLOOKUP(I7938,[2]媒体政策预估表!A:N,MATCH(O7938,[2]媒体政策预估表!$A$2:$M$2,0),0)</f>
        <v>0.15</v>
      </c>
      <c r="AF7938" s="6">
        <f t="shared" si="1223"/>
        <v>19485.025384500001</v>
      </c>
      <c r="AG7938" s="14">
        <v>0</v>
      </c>
      <c r="AH7938" s="64">
        <f t="shared" si="1222"/>
        <v>129900.16923</v>
      </c>
      <c r="AJ7938" s="126" t="e">
        <v>#N/A</v>
      </c>
      <c r="AK7938" s="80">
        <f t="shared" si="1219"/>
        <v>0</v>
      </c>
      <c r="AL7938" s="85"/>
      <c r="AM7938" s="85"/>
    </row>
    <row r="7939" spans="1:39" s="86" customFormat="1" ht="13.25" hidden="1" customHeight="1" x14ac:dyDescent="0.3">
      <c r="A7939" s="89" t="s">
        <v>3978</v>
      </c>
      <c r="B7939" s="86" t="s">
        <v>35</v>
      </c>
      <c r="C7939" s="86" t="s">
        <v>164</v>
      </c>
      <c r="D7939" s="86" t="s">
        <v>174</v>
      </c>
      <c r="E7939" s="86" t="s">
        <v>1756</v>
      </c>
      <c r="F7939" s="86" t="s">
        <v>1756</v>
      </c>
      <c r="G7939" s="86" t="s">
        <v>1756</v>
      </c>
      <c r="H7939" s="144">
        <v>360</v>
      </c>
      <c r="I7939" s="86" t="s">
        <v>1060</v>
      </c>
      <c r="J7939" s="47" t="s">
        <v>3325</v>
      </c>
      <c r="K7939" s="47" t="s">
        <v>3767</v>
      </c>
      <c r="L7939" s="47" t="s">
        <v>35</v>
      </c>
      <c r="M7939" s="86" t="s">
        <v>1757</v>
      </c>
      <c r="O7939" s="47" t="s">
        <v>941</v>
      </c>
      <c r="P7939" s="14" t="s">
        <v>41</v>
      </c>
      <c r="Q7939" s="14">
        <v>0</v>
      </c>
      <c r="R7939" s="143" t="s">
        <v>1758</v>
      </c>
      <c r="S7939" s="47"/>
      <c r="T7939" s="6">
        <v>-138785.31385000001</v>
      </c>
      <c r="U7939" s="6"/>
      <c r="V7939" s="6">
        <v>56070.267220000002</v>
      </c>
      <c r="W7939" s="6">
        <f t="shared" si="1220"/>
        <v>-194855.58107000001</v>
      </c>
      <c r="X7939" s="6">
        <f t="shared" si="1224"/>
        <v>56070.267220000002</v>
      </c>
      <c r="Y7939" s="13">
        <f t="shared" ref="Y7939:Y8002" si="1226">IF(X7939-AD7939&lt;=0,0,IF(P7939="返现",MAX(X7939-AC7939-AD7939,0),MAX(X7939-AD7939)))</f>
        <v>0</v>
      </c>
      <c r="Z7939" s="14">
        <v>0</v>
      </c>
      <c r="AA7939" s="6">
        <v>0</v>
      </c>
      <c r="AB7939" s="4">
        <f t="shared" ref="AB7939:AB8002" si="1227">X7939+AA7939</f>
        <v>56070.267220000002</v>
      </c>
      <c r="AC7939" s="6">
        <f t="shared" si="1225"/>
        <v>0</v>
      </c>
      <c r="AD7939" s="6">
        <f t="shared" si="1221"/>
        <v>56070.267220000002</v>
      </c>
      <c r="AE7939" s="14">
        <f>VLOOKUP(I7939,[2]媒体政策预估表!A:N,MATCH(O7939,[2]媒体政策预估表!$A$2:$M$2,0),0)</f>
        <v>0.15</v>
      </c>
      <c r="AF7939" s="6">
        <f t="shared" si="1223"/>
        <v>8410.5400829999999</v>
      </c>
      <c r="AG7939" s="14">
        <v>0</v>
      </c>
      <c r="AH7939" s="64">
        <f t="shared" si="1222"/>
        <v>56070.267220000002</v>
      </c>
      <c r="AJ7939" s="126" t="e">
        <v>#N/A</v>
      </c>
      <c r="AK7939" s="80">
        <f t="shared" ref="AK7939:AK8002" si="1228">X7939+AA7939-AB7939</f>
        <v>0</v>
      </c>
      <c r="AL7939" s="85"/>
      <c r="AM7939" s="85"/>
    </row>
    <row r="7940" spans="1:39" s="86" customFormat="1" ht="13.25" hidden="1" customHeight="1" x14ac:dyDescent="0.3">
      <c r="A7940" s="89" t="s">
        <v>3978</v>
      </c>
      <c r="B7940" s="86" t="s">
        <v>35</v>
      </c>
      <c r="C7940" s="86" t="s">
        <v>184</v>
      </c>
      <c r="D7940" s="86" t="s">
        <v>3849</v>
      </c>
      <c r="E7940" s="86" t="s">
        <v>1366</v>
      </c>
      <c r="F7940" s="86" t="s">
        <v>1367</v>
      </c>
      <c r="G7940" s="86" t="s">
        <v>1366</v>
      </c>
      <c r="H7940" s="144">
        <v>360</v>
      </c>
      <c r="I7940" s="86" t="s">
        <v>1060</v>
      </c>
      <c r="J7940" s="47" t="s">
        <v>3325</v>
      </c>
      <c r="K7940" s="47" t="s">
        <v>3767</v>
      </c>
      <c r="L7940" s="47" t="s">
        <v>35</v>
      </c>
      <c r="M7940" s="86" t="s">
        <v>1368</v>
      </c>
      <c r="O7940" s="47" t="s">
        <v>941</v>
      </c>
      <c r="P7940" s="14" t="s">
        <v>41</v>
      </c>
      <c r="Q7940" s="14">
        <v>0</v>
      </c>
      <c r="R7940" s="143" t="s">
        <v>1369</v>
      </c>
      <c r="S7940" s="47"/>
      <c r="T7940" s="6">
        <v>-437402.30709000002</v>
      </c>
      <c r="U7940" s="6"/>
      <c r="V7940" s="6">
        <v>86258.924249999996</v>
      </c>
      <c r="W7940" s="6">
        <f t="shared" si="1220"/>
        <v>-523661.23134</v>
      </c>
      <c r="X7940" s="6">
        <f t="shared" si="1224"/>
        <v>86258.924249999996</v>
      </c>
      <c r="Y7940" s="13">
        <f t="shared" si="1226"/>
        <v>0</v>
      </c>
      <c r="Z7940" s="14">
        <v>0</v>
      </c>
      <c r="AA7940" s="6">
        <v>0</v>
      </c>
      <c r="AB7940" s="4">
        <f t="shared" si="1227"/>
        <v>86258.924249999996</v>
      </c>
      <c r="AC7940" s="6">
        <f t="shared" si="1225"/>
        <v>0</v>
      </c>
      <c r="AD7940" s="6">
        <f t="shared" si="1221"/>
        <v>86258.924249999996</v>
      </c>
      <c r="AE7940" s="14">
        <f>VLOOKUP(I7940,[2]媒体政策预估表!A:N,MATCH(O7940,[2]媒体政策预估表!$A$2:$M$2,0),0)</f>
        <v>0.15</v>
      </c>
      <c r="AF7940" s="6">
        <f t="shared" si="1223"/>
        <v>12938.838637499999</v>
      </c>
      <c r="AG7940" s="14">
        <v>0</v>
      </c>
      <c r="AH7940" s="64">
        <f t="shared" si="1222"/>
        <v>86258.924249999996</v>
      </c>
      <c r="AJ7940" s="126" t="e">
        <v>#N/A</v>
      </c>
      <c r="AK7940" s="80">
        <f t="shared" si="1228"/>
        <v>0</v>
      </c>
      <c r="AL7940" s="85"/>
      <c r="AM7940" s="85"/>
    </row>
    <row r="7941" spans="1:39" s="86" customFormat="1" ht="13.25" hidden="1" customHeight="1" x14ac:dyDescent="0.3">
      <c r="A7941" s="89" t="s">
        <v>3792</v>
      </c>
      <c r="B7941" s="86" t="s">
        <v>35</v>
      </c>
      <c r="C7941" s="86" t="s">
        <v>184</v>
      </c>
      <c r="D7941" s="86" t="s">
        <v>3849</v>
      </c>
      <c r="E7941" s="86" t="s">
        <v>540</v>
      </c>
      <c r="F7941" s="86" t="s">
        <v>541</v>
      </c>
      <c r="G7941" s="86" t="s">
        <v>540</v>
      </c>
      <c r="H7941" s="143">
        <v>360</v>
      </c>
      <c r="I7941" s="86" t="s">
        <v>1060</v>
      </c>
      <c r="J7941" s="47" t="s">
        <v>3325</v>
      </c>
      <c r="K7941" s="47" t="s">
        <v>3767</v>
      </c>
      <c r="L7941" s="47" t="s">
        <v>35</v>
      </c>
      <c r="M7941" s="86" t="s">
        <v>540</v>
      </c>
      <c r="O7941" s="47" t="s">
        <v>941</v>
      </c>
      <c r="P7941" s="14" t="s">
        <v>41</v>
      </c>
      <c r="Q7941" s="14">
        <v>0</v>
      </c>
      <c r="R7941" s="143" t="s">
        <v>1370</v>
      </c>
      <c r="S7941" s="47"/>
      <c r="T7941" s="6">
        <v>-2.2400000000000002</v>
      </c>
      <c r="U7941" s="6"/>
      <c r="V7941" s="6">
        <v>0</v>
      </c>
      <c r="W7941" s="6">
        <v>0</v>
      </c>
      <c r="X7941" s="6">
        <f t="shared" si="1224"/>
        <v>0</v>
      </c>
      <c r="Y7941" s="13">
        <f t="shared" si="1226"/>
        <v>0</v>
      </c>
      <c r="Z7941" s="14">
        <v>0</v>
      </c>
      <c r="AA7941" s="6">
        <v>0</v>
      </c>
      <c r="AB7941" s="4">
        <f t="shared" si="1227"/>
        <v>0</v>
      </c>
      <c r="AC7941" s="6">
        <f t="shared" si="1225"/>
        <v>0</v>
      </c>
      <c r="AD7941" s="6">
        <f t="shared" si="1221"/>
        <v>0</v>
      </c>
      <c r="AE7941" s="14">
        <f>VLOOKUP(I7941,[2]媒体政策预估表!A:N,MATCH(O7941,[2]媒体政策预估表!$A$2:$M$2,0),0)</f>
        <v>0.15</v>
      </c>
      <c r="AF7941" s="6">
        <f t="shared" si="1223"/>
        <v>0</v>
      </c>
      <c r="AG7941" s="14">
        <v>0</v>
      </c>
      <c r="AH7941" s="64">
        <f t="shared" si="1222"/>
        <v>0</v>
      </c>
      <c r="AJ7941" s="126" t="e">
        <v>#N/A</v>
      </c>
      <c r="AK7941" s="80">
        <f t="shared" si="1228"/>
        <v>0</v>
      </c>
      <c r="AL7941" s="85"/>
      <c r="AM7941" s="85"/>
    </row>
    <row r="7942" spans="1:39" s="86" customFormat="1" ht="13.25" hidden="1" customHeight="1" x14ac:dyDescent="0.3">
      <c r="A7942" s="89" t="s">
        <v>3978</v>
      </c>
      <c r="B7942" s="86" t="s">
        <v>35</v>
      </c>
      <c r="C7942" s="86" t="s">
        <v>184</v>
      </c>
      <c r="D7942" s="86" t="s">
        <v>3849</v>
      </c>
      <c r="E7942" s="86" t="s">
        <v>540</v>
      </c>
      <c r="F7942" s="86" t="s">
        <v>541</v>
      </c>
      <c r="G7942" s="86" t="s">
        <v>540</v>
      </c>
      <c r="H7942" s="144">
        <v>360</v>
      </c>
      <c r="I7942" s="86" t="s">
        <v>1060</v>
      </c>
      <c r="J7942" s="47" t="s">
        <v>3325</v>
      </c>
      <c r="K7942" s="47" t="s">
        <v>3767</v>
      </c>
      <c r="L7942" s="47" t="s">
        <v>35</v>
      </c>
      <c r="M7942" s="86" t="s">
        <v>540</v>
      </c>
      <c r="O7942" s="47" t="s">
        <v>4118</v>
      </c>
      <c r="P7942" s="14" t="s">
        <v>41</v>
      </c>
      <c r="Q7942" s="14">
        <v>0</v>
      </c>
      <c r="R7942" s="143" t="s">
        <v>1355</v>
      </c>
      <c r="S7942" s="47"/>
      <c r="T7942" s="6">
        <v>-98.01764</v>
      </c>
      <c r="U7942" s="6"/>
      <c r="V7942" s="6">
        <v>17525.216369999998</v>
      </c>
      <c r="W7942" s="6">
        <f t="shared" si="1220"/>
        <v>-17623.234009999996</v>
      </c>
      <c r="X7942" s="6">
        <f t="shared" si="1224"/>
        <v>17525.216369999998</v>
      </c>
      <c r="Y7942" s="13">
        <f t="shared" si="1226"/>
        <v>0</v>
      </c>
      <c r="Z7942" s="14">
        <v>0</v>
      </c>
      <c r="AA7942" s="6">
        <v>0</v>
      </c>
      <c r="AB7942" s="4">
        <f t="shared" si="1227"/>
        <v>17525.216369999998</v>
      </c>
      <c r="AC7942" s="6">
        <f t="shared" si="1225"/>
        <v>0</v>
      </c>
      <c r="AD7942" s="6">
        <f t="shared" si="1221"/>
        <v>17525.216369999998</v>
      </c>
      <c r="AE7942" s="14">
        <f>VLOOKUP(I7942,[2]媒体政策预估表!A:N,MATCH(O7942,[2]媒体政策预估表!$A$2:$M$2,0),0)</f>
        <v>0.1</v>
      </c>
      <c r="AF7942" s="6">
        <f t="shared" si="1223"/>
        <v>1752.5216369999998</v>
      </c>
      <c r="AG7942" s="14">
        <v>0</v>
      </c>
      <c r="AH7942" s="64">
        <f t="shared" si="1222"/>
        <v>17525.216369999998</v>
      </c>
      <c r="AJ7942" s="126" t="e">
        <v>#N/A</v>
      </c>
      <c r="AK7942" s="80">
        <f t="shared" si="1228"/>
        <v>0</v>
      </c>
      <c r="AL7942" s="85"/>
      <c r="AM7942" s="85"/>
    </row>
    <row r="7943" spans="1:39" s="86" customFormat="1" ht="13.25" hidden="1" customHeight="1" x14ac:dyDescent="0.3">
      <c r="A7943" s="89" t="s">
        <v>3792</v>
      </c>
      <c r="B7943" s="86" t="s">
        <v>35</v>
      </c>
      <c r="C7943" s="86" t="s">
        <v>164</v>
      </c>
      <c r="D7943" s="86" t="s">
        <v>169</v>
      </c>
      <c r="E7943" s="86" t="s">
        <v>1575</v>
      </c>
      <c r="F7943" s="86" t="s">
        <v>1575</v>
      </c>
      <c r="G7943" s="86" t="s">
        <v>1575</v>
      </c>
      <c r="H7943" s="144">
        <v>360</v>
      </c>
      <c r="I7943" s="86" t="s">
        <v>1060</v>
      </c>
      <c r="J7943" s="47" t="s">
        <v>3325</v>
      </c>
      <c r="K7943" s="47" t="s">
        <v>3767</v>
      </c>
      <c r="L7943" s="47" t="s">
        <v>35</v>
      </c>
      <c r="M7943" s="86" t="s">
        <v>1575</v>
      </c>
      <c r="O7943" s="47" t="s">
        <v>941</v>
      </c>
      <c r="P7943" s="14" t="s">
        <v>41</v>
      </c>
      <c r="Q7943" s="14">
        <v>0</v>
      </c>
      <c r="R7943" s="143" t="s">
        <v>1576</v>
      </c>
      <c r="S7943" s="47"/>
      <c r="T7943" s="6">
        <v>-302123.43833999999</v>
      </c>
      <c r="U7943" s="6"/>
      <c r="V7943" s="6">
        <v>68440.253060000003</v>
      </c>
      <c r="W7943" s="6">
        <f t="shared" si="1220"/>
        <v>-370563.69140000001</v>
      </c>
      <c r="X7943" s="6">
        <f t="shared" si="1224"/>
        <v>68440.253060000003</v>
      </c>
      <c r="Y7943" s="13">
        <f t="shared" si="1226"/>
        <v>0</v>
      </c>
      <c r="Z7943" s="14">
        <v>0</v>
      </c>
      <c r="AA7943" s="6">
        <v>0</v>
      </c>
      <c r="AB7943" s="4">
        <f t="shared" si="1227"/>
        <v>68440.253060000003</v>
      </c>
      <c r="AC7943" s="6">
        <f t="shared" si="1225"/>
        <v>0</v>
      </c>
      <c r="AD7943" s="6">
        <f t="shared" si="1221"/>
        <v>68440.253060000003</v>
      </c>
      <c r="AE7943" s="14">
        <f>VLOOKUP(I7943,[2]媒体政策预估表!A:N,MATCH(O7943,[2]媒体政策预估表!$A$2:$M$2,0),0)</f>
        <v>0.15</v>
      </c>
      <c r="AF7943" s="6">
        <f t="shared" si="1223"/>
        <v>10266.037958999999</v>
      </c>
      <c r="AG7943" s="14">
        <v>0</v>
      </c>
      <c r="AH7943" s="64">
        <f t="shared" si="1222"/>
        <v>68440.253060000003</v>
      </c>
      <c r="AJ7943" s="126" t="e">
        <v>#N/A</v>
      </c>
      <c r="AK7943" s="80">
        <f t="shared" si="1228"/>
        <v>0</v>
      </c>
      <c r="AL7943" s="85"/>
      <c r="AM7943" s="85"/>
    </row>
    <row r="7944" spans="1:39" s="86" customFormat="1" ht="13.25" hidden="1" customHeight="1" x14ac:dyDescent="0.3">
      <c r="A7944" s="89" t="s">
        <v>3792</v>
      </c>
      <c r="B7944" s="86" t="s">
        <v>35</v>
      </c>
      <c r="C7944" s="86" t="s">
        <v>164</v>
      </c>
      <c r="D7944" s="86" t="s">
        <v>169</v>
      </c>
      <c r="E7944" s="86" t="s">
        <v>1579</v>
      </c>
      <c r="F7944" s="86" t="s">
        <v>1579</v>
      </c>
      <c r="G7944" s="86" t="s">
        <v>1579</v>
      </c>
      <c r="H7944" s="144">
        <v>360</v>
      </c>
      <c r="I7944" s="86" t="s">
        <v>1060</v>
      </c>
      <c r="J7944" s="47" t="s">
        <v>3325</v>
      </c>
      <c r="K7944" s="47" t="s">
        <v>3767</v>
      </c>
      <c r="L7944" s="47" t="s">
        <v>35</v>
      </c>
      <c r="M7944" s="86" t="s">
        <v>1579</v>
      </c>
      <c r="O7944" s="47" t="s">
        <v>941</v>
      </c>
      <c r="P7944" s="14" t="s">
        <v>41</v>
      </c>
      <c r="Q7944" s="14">
        <v>0</v>
      </c>
      <c r="R7944" s="143" t="s">
        <v>1580</v>
      </c>
      <c r="S7944" s="47"/>
      <c r="T7944" s="6">
        <v>-3220.4427000000001</v>
      </c>
      <c r="U7944" s="6"/>
      <c r="V7944" s="6">
        <v>4313.6307100000004</v>
      </c>
      <c r="W7944" s="6">
        <f t="shared" si="1220"/>
        <v>-7534.0734100000009</v>
      </c>
      <c r="X7944" s="6">
        <f t="shared" si="1224"/>
        <v>4313.6307100000004</v>
      </c>
      <c r="Y7944" s="13">
        <f t="shared" si="1226"/>
        <v>0</v>
      </c>
      <c r="Z7944" s="14">
        <v>0</v>
      </c>
      <c r="AA7944" s="6">
        <v>0</v>
      </c>
      <c r="AB7944" s="4">
        <f t="shared" si="1227"/>
        <v>4313.6307100000004</v>
      </c>
      <c r="AC7944" s="6">
        <f t="shared" si="1225"/>
        <v>0</v>
      </c>
      <c r="AD7944" s="6">
        <f t="shared" si="1221"/>
        <v>4313.6307100000004</v>
      </c>
      <c r="AE7944" s="14">
        <f>VLOOKUP(I7944,[2]媒体政策预估表!A:N,MATCH(O7944,[2]媒体政策预估表!$A$2:$M$2,0),0)</f>
        <v>0.15</v>
      </c>
      <c r="AF7944" s="6">
        <f t="shared" si="1223"/>
        <v>647.04460649999999</v>
      </c>
      <c r="AG7944" s="14">
        <v>0</v>
      </c>
      <c r="AH7944" s="64">
        <f t="shared" si="1222"/>
        <v>4313.6307100000004</v>
      </c>
      <c r="AJ7944" s="126" t="e">
        <v>#N/A</v>
      </c>
      <c r="AK7944" s="80">
        <f t="shared" si="1228"/>
        <v>0</v>
      </c>
      <c r="AL7944" s="85"/>
      <c r="AM7944" s="85"/>
    </row>
    <row r="7945" spans="1:39" s="86" customFormat="1" ht="13.25" hidden="1" customHeight="1" x14ac:dyDescent="0.3">
      <c r="A7945" s="89" t="s">
        <v>3978</v>
      </c>
      <c r="B7945" s="86" t="s">
        <v>35</v>
      </c>
      <c r="C7945" s="86" t="s">
        <v>144</v>
      </c>
      <c r="D7945" s="86" t="s">
        <v>152</v>
      </c>
      <c r="E7945" s="86" t="s">
        <v>1478</v>
      </c>
      <c r="F7945" s="86" t="s">
        <v>1478</v>
      </c>
      <c r="G7945" s="86" t="s">
        <v>1478</v>
      </c>
      <c r="H7945" s="144">
        <v>360</v>
      </c>
      <c r="I7945" s="86" t="s">
        <v>1060</v>
      </c>
      <c r="J7945" s="47" t="s">
        <v>3325</v>
      </c>
      <c r="K7945" s="47" t="s">
        <v>3767</v>
      </c>
      <c r="L7945" s="47" t="s">
        <v>35</v>
      </c>
      <c r="M7945" s="86" t="s">
        <v>1479</v>
      </c>
      <c r="O7945" s="47" t="s">
        <v>941</v>
      </c>
      <c r="P7945" s="14" t="s">
        <v>46</v>
      </c>
      <c r="Q7945" s="14">
        <v>0.02</v>
      </c>
      <c r="R7945" s="143" t="s">
        <v>1480</v>
      </c>
      <c r="S7945" s="47"/>
      <c r="T7945" s="6">
        <v>-1912383.59244</v>
      </c>
      <c r="U7945" s="6"/>
      <c r="V7945" s="6">
        <v>408458.67032999999</v>
      </c>
      <c r="W7945" s="6">
        <f t="shared" si="1220"/>
        <v>-2320842.2627699999</v>
      </c>
      <c r="X7945" s="6">
        <f t="shared" si="1224"/>
        <v>400449.67679411761</v>
      </c>
      <c r="Y7945" s="13">
        <f t="shared" si="1226"/>
        <v>0</v>
      </c>
      <c r="Z7945" s="14">
        <v>0</v>
      </c>
      <c r="AA7945" s="6">
        <v>0</v>
      </c>
      <c r="AB7945" s="4">
        <f t="shared" si="1227"/>
        <v>400449.67679411761</v>
      </c>
      <c r="AC7945" s="6">
        <f t="shared" si="1225"/>
        <v>8008.9935358823859</v>
      </c>
      <c r="AD7945" s="6">
        <f t="shared" si="1221"/>
        <v>408458.67032999999</v>
      </c>
      <c r="AE7945" s="14">
        <f>VLOOKUP(I7945,[2]媒体政策预估表!A:N,MATCH(O7945,[2]媒体政策预估表!$A$2:$M$2,0),0)</f>
        <v>0.15</v>
      </c>
      <c r="AF7945" s="6">
        <f t="shared" si="1223"/>
        <v>61268.800549499996</v>
      </c>
      <c r="AG7945" s="14">
        <v>0</v>
      </c>
      <c r="AH7945" s="64">
        <f t="shared" si="1222"/>
        <v>408458.67032999999</v>
      </c>
      <c r="AJ7945" s="126" t="e">
        <v>#N/A</v>
      </c>
      <c r="AK7945" s="80">
        <f t="shared" si="1228"/>
        <v>0</v>
      </c>
      <c r="AL7945" s="85"/>
      <c r="AM7945" s="85"/>
    </row>
    <row r="7946" spans="1:39" s="86" customFormat="1" ht="13.25" hidden="1" customHeight="1" x14ac:dyDescent="0.3">
      <c r="A7946" s="89" t="s">
        <v>3978</v>
      </c>
      <c r="B7946" s="86" t="s">
        <v>35</v>
      </c>
      <c r="C7946" s="86" t="s">
        <v>184</v>
      </c>
      <c r="D7946" s="86" t="s">
        <v>3849</v>
      </c>
      <c r="E7946" s="86" t="s">
        <v>1349</v>
      </c>
      <c r="F7946" s="86" t="s">
        <v>1352</v>
      </c>
      <c r="G7946" s="86" t="s">
        <v>1349</v>
      </c>
      <c r="H7946" s="144">
        <v>360</v>
      </c>
      <c r="I7946" s="86" t="s">
        <v>1060</v>
      </c>
      <c r="J7946" s="47" t="s">
        <v>3325</v>
      </c>
      <c r="K7946" s="47" t="s">
        <v>3767</v>
      </c>
      <c r="L7946" s="47" t="s">
        <v>35</v>
      </c>
      <c r="M7946" s="86" t="s">
        <v>1349</v>
      </c>
      <c r="O7946" s="47" t="s">
        <v>941</v>
      </c>
      <c r="P7946" s="14" t="s">
        <v>41</v>
      </c>
      <c r="Q7946" s="14">
        <v>0</v>
      </c>
      <c r="R7946" s="143" t="s">
        <v>1353</v>
      </c>
      <c r="S7946" s="47"/>
      <c r="T7946" s="6">
        <v>-86853.1</v>
      </c>
      <c r="U7946" s="6"/>
      <c r="V7946" s="6">
        <v>23669.205119999999</v>
      </c>
      <c r="W7946" s="6">
        <f t="shared" si="1220"/>
        <v>-110522.30512</v>
      </c>
      <c r="X7946" s="6">
        <f t="shared" si="1224"/>
        <v>23669.205119999999</v>
      </c>
      <c r="Y7946" s="13">
        <f t="shared" si="1226"/>
        <v>0</v>
      </c>
      <c r="Z7946" s="14">
        <v>0</v>
      </c>
      <c r="AA7946" s="6">
        <v>0</v>
      </c>
      <c r="AB7946" s="4">
        <f t="shared" si="1227"/>
        <v>23669.205119999999</v>
      </c>
      <c r="AC7946" s="6">
        <f t="shared" si="1225"/>
        <v>0</v>
      </c>
      <c r="AD7946" s="6">
        <f t="shared" si="1221"/>
        <v>23669.205119999999</v>
      </c>
      <c r="AE7946" s="14">
        <f>VLOOKUP(I7946,[2]媒体政策预估表!A:N,MATCH(O7946,[2]媒体政策预估表!$A$2:$M$2,0),0)</f>
        <v>0.15</v>
      </c>
      <c r="AF7946" s="6">
        <f t="shared" si="1223"/>
        <v>3550.3807679999995</v>
      </c>
      <c r="AG7946" s="14">
        <v>0</v>
      </c>
      <c r="AH7946" s="64">
        <f t="shared" si="1222"/>
        <v>23669.205119999999</v>
      </c>
      <c r="AJ7946" s="126" t="e">
        <v>#N/A</v>
      </c>
      <c r="AK7946" s="80">
        <f t="shared" si="1228"/>
        <v>0</v>
      </c>
      <c r="AL7946" s="85"/>
      <c r="AM7946" s="85"/>
    </row>
    <row r="7947" spans="1:39" s="86" customFormat="1" ht="13.25" hidden="1" customHeight="1" x14ac:dyDescent="0.3">
      <c r="A7947" s="89" t="s">
        <v>3805</v>
      </c>
      <c r="B7947" s="86" t="s">
        <v>35</v>
      </c>
      <c r="C7947" s="86" t="s">
        <v>184</v>
      </c>
      <c r="D7947" s="86" t="s">
        <v>37</v>
      </c>
      <c r="E7947" s="86" t="s">
        <v>1225</v>
      </c>
      <c r="F7947" s="86" t="s">
        <v>1226</v>
      </c>
      <c r="G7947" s="86" t="s">
        <v>1225</v>
      </c>
      <c r="H7947" s="143">
        <v>360</v>
      </c>
      <c r="I7947" s="86" t="s">
        <v>1060</v>
      </c>
      <c r="J7947" s="47" t="s">
        <v>3325</v>
      </c>
      <c r="K7947" s="47" t="s">
        <v>3767</v>
      </c>
      <c r="L7947" s="47" t="s">
        <v>35</v>
      </c>
      <c r="M7947" s="86" t="s">
        <v>1225</v>
      </c>
      <c r="O7947" s="47" t="s">
        <v>941</v>
      </c>
      <c r="P7947" s="14" t="s">
        <v>41</v>
      </c>
      <c r="Q7947" s="14">
        <v>0</v>
      </c>
      <c r="R7947" s="143" t="s">
        <v>1227</v>
      </c>
      <c r="S7947" s="47"/>
      <c r="T7947" s="6">
        <v>-1116.8140800000001</v>
      </c>
      <c r="U7947" s="6"/>
      <c r="V7947" s="6">
        <v>0</v>
      </c>
      <c r="W7947" s="6">
        <f t="shared" si="1220"/>
        <v>-1116.8140800000001</v>
      </c>
      <c r="X7947" s="6">
        <f t="shared" si="1224"/>
        <v>0</v>
      </c>
      <c r="Y7947" s="13">
        <f t="shared" si="1226"/>
        <v>0</v>
      </c>
      <c r="Z7947" s="14">
        <v>0</v>
      </c>
      <c r="AA7947" s="6">
        <v>0</v>
      </c>
      <c r="AB7947" s="4">
        <f t="shared" si="1227"/>
        <v>0</v>
      </c>
      <c r="AC7947" s="6">
        <f t="shared" si="1225"/>
        <v>0</v>
      </c>
      <c r="AD7947" s="6">
        <f t="shared" si="1221"/>
        <v>0</v>
      </c>
      <c r="AE7947" s="14">
        <f>VLOOKUP(I7947,[2]媒体政策预估表!A:N,MATCH(O7947,[2]媒体政策预估表!$A$2:$M$2,0),0)</f>
        <v>0.15</v>
      </c>
      <c r="AF7947" s="6">
        <f t="shared" si="1223"/>
        <v>0</v>
      </c>
      <c r="AG7947" s="14">
        <v>0</v>
      </c>
      <c r="AH7947" s="64">
        <f t="shared" si="1222"/>
        <v>0</v>
      </c>
      <c r="AJ7947" s="126" t="e">
        <v>#N/A</v>
      </c>
      <c r="AK7947" s="80">
        <f t="shared" si="1228"/>
        <v>0</v>
      </c>
      <c r="AL7947" s="85"/>
      <c r="AM7947" s="85"/>
    </row>
    <row r="7948" spans="1:39" s="86" customFormat="1" ht="13.25" hidden="1" customHeight="1" x14ac:dyDescent="0.3">
      <c r="A7948" s="89" t="s">
        <v>3792</v>
      </c>
      <c r="B7948" s="86" t="s">
        <v>35</v>
      </c>
      <c r="C7948" s="86" t="s">
        <v>65</v>
      </c>
      <c r="D7948" s="86" t="s">
        <v>122</v>
      </c>
      <c r="E7948" s="86" t="s">
        <v>1266</v>
      </c>
      <c r="F7948" s="86" t="s">
        <v>1266</v>
      </c>
      <c r="G7948" s="86" t="s">
        <v>1266</v>
      </c>
      <c r="H7948" s="143">
        <v>360</v>
      </c>
      <c r="I7948" s="86" t="s">
        <v>1060</v>
      </c>
      <c r="J7948" s="47" t="s">
        <v>3325</v>
      </c>
      <c r="K7948" s="47" t="s">
        <v>3767</v>
      </c>
      <c r="L7948" s="47" t="s">
        <v>35</v>
      </c>
      <c r="M7948" s="86" t="s">
        <v>1274</v>
      </c>
      <c r="O7948" s="47" t="s">
        <v>941</v>
      </c>
      <c r="P7948" s="14" t="s">
        <v>41</v>
      </c>
      <c r="Q7948" s="14">
        <v>0</v>
      </c>
      <c r="R7948" s="143" t="s">
        <v>1275</v>
      </c>
      <c r="S7948" s="47"/>
      <c r="T7948" s="6">
        <v>-1740.0517600000001</v>
      </c>
      <c r="U7948" s="6"/>
      <c r="V7948" s="6">
        <v>0</v>
      </c>
      <c r="W7948" s="6">
        <f t="shared" si="1220"/>
        <v>-1740.0517600000001</v>
      </c>
      <c r="X7948" s="6">
        <f t="shared" si="1224"/>
        <v>0</v>
      </c>
      <c r="Y7948" s="13">
        <f t="shared" si="1226"/>
        <v>0</v>
      </c>
      <c r="Z7948" s="14">
        <v>0</v>
      </c>
      <c r="AA7948" s="6">
        <v>0</v>
      </c>
      <c r="AB7948" s="4">
        <f t="shared" si="1227"/>
        <v>0</v>
      </c>
      <c r="AC7948" s="6">
        <f t="shared" si="1225"/>
        <v>0</v>
      </c>
      <c r="AD7948" s="6">
        <f t="shared" si="1221"/>
        <v>0</v>
      </c>
      <c r="AE7948" s="14">
        <f>VLOOKUP(I7948,[2]媒体政策预估表!A:N,MATCH(O7948,[2]媒体政策预估表!$A$2:$M$2,0),0)</f>
        <v>0.15</v>
      </c>
      <c r="AF7948" s="6">
        <f t="shared" si="1223"/>
        <v>0</v>
      </c>
      <c r="AG7948" s="14">
        <v>0</v>
      </c>
      <c r="AH7948" s="64">
        <f t="shared" si="1222"/>
        <v>0</v>
      </c>
      <c r="AJ7948" s="126" t="e">
        <v>#N/A</v>
      </c>
      <c r="AK7948" s="80">
        <f t="shared" si="1228"/>
        <v>0</v>
      </c>
      <c r="AL7948" s="85"/>
      <c r="AM7948" s="85"/>
    </row>
    <row r="7949" spans="1:39" s="86" customFormat="1" ht="13.25" hidden="1" customHeight="1" x14ac:dyDescent="0.3">
      <c r="A7949" s="89" t="s">
        <v>3792</v>
      </c>
      <c r="B7949" s="86" t="s">
        <v>35</v>
      </c>
      <c r="C7949" s="86" t="s">
        <v>184</v>
      </c>
      <c r="D7949" s="86" t="s">
        <v>3849</v>
      </c>
      <c r="E7949" s="86" t="s">
        <v>1336</v>
      </c>
      <c r="F7949" s="86" t="s">
        <v>1337</v>
      </c>
      <c r="G7949" s="86" t="s">
        <v>1336</v>
      </c>
      <c r="H7949" s="144">
        <v>360</v>
      </c>
      <c r="I7949" s="86" t="s">
        <v>1060</v>
      </c>
      <c r="J7949" s="47" t="s">
        <v>3325</v>
      </c>
      <c r="K7949" s="47" t="s">
        <v>3767</v>
      </c>
      <c r="L7949" s="47" t="s">
        <v>35</v>
      </c>
      <c r="M7949" s="86" t="s">
        <v>1336</v>
      </c>
      <c r="O7949" s="47" t="s">
        <v>941</v>
      </c>
      <c r="P7949" s="14" t="s">
        <v>41</v>
      </c>
      <c r="Q7949" s="14">
        <v>0</v>
      </c>
      <c r="R7949" s="143" t="s">
        <v>1338</v>
      </c>
      <c r="S7949" s="47"/>
      <c r="T7949" s="6">
        <v>-324989.99</v>
      </c>
      <c r="U7949" s="6"/>
      <c r="V7949" s="6">
        <v>712119.35</v>
      </c>
      <c r="W7949" s="6">
        <f t="shared" si="1220"/>
        <v>-1037109.34</v>
      </c>
      <c r="X7949" s="6">
        <f t="shared" si="1224"/>
        <v>712119.35</v>
      </c>
      <c r="Y7949" s="13">
        <f t="shared" si="1226"/>
        <v>0</v>
      </c>
      <c r="Z7949" s="14">
        <v>0</v>
      </c>
      <c r="AA7949" s="6">
        <v>0</v>
      </c>
      <c r="AB7949" s="4">
        <f t="shared" si="1227"/>
        <v>712119.35</v>
      </c>
      <c r="AC7949" s="6">
        <f t="shared" si="1225"/>
        <v>0</v>
      </c>
      <c r="AD7949" s="6">
        <f t="shared" si="1221"/>
        <v>712119.35</v>
      </c>
      <c r="AE7949" s="14">
        <f>VLOOKUP(I7949,[2]媒体政策预估表!A:N,MATCH(O7949,[2]媒体政策预估表!$A$2:$M$2,0),0)</f>
        <v>0.15</v>
      </c>
      <c r="AF7949" s="6">
        <f t="shared" si="1223"/>
        <v>106817.9025</v>
      </c>
      <c r="AG7949" s="14">
        <v>0</v>
      </c>
      <c r="AH7949" s="64">
        <f t="shared" si="1222"/>
        <v>712119.35</v>
      </c>
      <c r="AJ7949" s="126" t="e">
        <v>#N/A</v>
      </c>
      <c r="AK7949" s="80">
        <f t="shared" si="1228"/>
        <v>0</v>
      </c>
      <c r="AL7949" s="85"/>
      <c r="AM7949" s="85"/>
    </row>
    <row r="7950" spans="1:39" s="86" customFormat="1" ht="13.25" hidden="1" customHeight="1" x14ac:dyDescent="0.3">
      <c r="A7950" s="89" t="s">
        <v>3792</v>
      </c>
      <c r="B7950" s="86" t="s">
        <v>35</v>
      </c>
      <c r="C7950" s="86" t="s">
        <v>65</v>
      </c>
      <c r="D7950" s="86" t="s">
        <v>122</v>
      </c>
      <c r="E7950" s="86" t="s">
        <v>1266</v>
      </c>
      <c r="F7950" s="86" t="s">
        <v>1266</v>
      </c>
      <c r="G7950" s="86" t="s">
        <v>1266</v>
      </c>
      <c r="H7950" s="143">
        <v>360</v>
      </c>
      <c r="I7950" s="86" t="s">
        <v>1060</v>
      </c>
      <c r="J7950" s="47" t="s">
        <v>3325</v>
      </c>
      <c r="K7950" s="47" t="s">
        <v>3767</v>
      </c>
      <c r="L7950" s="47" t="s">
        <v>35</v>
      </c>
      <c r="M7950" s="86" t="s">
        <v>1274</v>
      </c>
      <c r="O7950" s="47" t="s">
        <v>941</v>
      </c>
      <c r="P7950" s="14" t="s">
        <v>41</v>
      </c>
      <c r="Q7950" s="14">
        <v>0</v>
      </c>
      <c r="R7950" s="143" t="s">
        <v>1276</v>
      </c>
      <c r="S7950" s="47"/>
      <c r="T7950" s="6">
        <v>-6838.6828599999999</v>
      </c>
      <c r="U7950" s="6"/>
      <c r="V7950" s="6">
        <v>0</v>
      </c>
      <c r="W7950" s="6">
        <f t="shared" si="1220"/>
        <v>-6838.6828599999999</v>
      </c>
      <c r="X7950" s="6">
        <f t="shared" si="1224"/>
        <v>0</v>
      </c>
      <c r="Y7950" s="13">
        <f t="shared" si="1226"/>
        <v>0</v>
      </c>
      <c r="Z7950" s="14">
        <v>0</v>
      </c>
      <c r="AA7950" s="6">
        <v>0</v>
      </c>
      <c r="AB7950" s="4">
        <f t="shared" si="1227"/>
        <v>0</v>
      </c>
      <c r="AC7950" s="6">
        <f t="shared" si="1225"/>
        <v>0</v>
      </c>
      <c r="AD7950" s="6">
        <f t="shared" si="1221"/>
        <v>0</v>
      </c>
      <c r="AE7950" s="14">
        <f>VLOOKUP(I7950,[2]媒体政策预估表!A:N,MATCH(O7950,[2]媒体政策预估表!$A$2:$M$2,0),0)</f>
        <v>0.15</v>
      </c>
      <c r="AF7950" s="6">
        <f t="shared" si="1223"/>
        <v>0</v>
      </c>
      <c r="AG7950" s="14">
        <v>0</v>
      </c>
      <c r="AH7950" s="64">
        <f t="shared" si="1222"/>
        <v>0</v>
      </c>
      <c r="AJ7950" s="126" t="e">
        <v>#N/A</v>
      </c>
      <c r="AK7950" s="80">
        <f t="shared" si="1228"/>
        <v>0</v>
      </c>
      <c r="AL7950" s="85"/>
      <c r="AM7950" s="85"/>
    </row>
    <row r="7951" spans="1:39" s="86" customFormat="1" ht="13.25" hidden="1" customHeight="1" x14ac:dyDescent="0.3">
      <c r="A7951" s="89" t="s">
        <v>3978</v>
      </c>
      <c r="B7951" s="86" t="s">
        <v>35</v>
      </c>
      <c r="C7951" s="86" t="s">
        <v>184</v>
      </c>
      <c r="D7951" s="86" t="s">
        <v>3849</v>
      </c>
      <c r="E7951" s="86" t="s">
        <v>1336</v>
      </c>
      <c r="F7951" s="86" t="s">
        <v>1337</v>
      </c>
      <c r="G7951" s="86" t="s">
        <v>1336</v>
      </c>
      <c r="H7951" s="144">
        <v>360</v>
      </c>
      <c r="I7951" s="86" t="s">
        <v>1060</v>
      </c>
      <c r="J7951" s="47" t="s">
        <v>3325</v>
      </c>
      <c r="K7951" s="47" t="s">
        <v>3767</v>
      </c>
      <c r="L7951" s="47" t="s">
        <v>35</v>
      </c>
      <c r="M7951" s="86" t="s">
        <v>1336</v>
      </c>
      <c r="O7951" s="47" t="s">
        <v>941</v>
      </c>
      <c r="P7951" s="14" t="s">
        <v>41</v>
      </c>
      <c r="Q7951" s="14">
        <v>0</v>
      </c>
      <c r="R7951" s="143" t="s">
        <v>1339</v>
      </c>
      <c r="S7951" s="47"/>
      <c r="T7951" s="6">
        <v>-2428180.87</v>
      </c>
      <c r="U7951" s="6"/>
      <c r="V7951" s="6">
        <v>1519407.03</v>
      </c>
      <c r="W7951" s="6">
        <f t="shared" si="1220"/>
        <v>-3947587.9000000004</v>
      </c>
      <c r="X7951" s="6">
        <f t="shared" si="1224"/>
        <v>1519407.03</v>
      </c>
      <c r="Y7951" s="13">
        <f t="shared" si="1226"/>
        <v>0</v>
      </c>
      <c r="Z7951" s="14">
        <v>0</v>
      </c>
      <c r="AA7951" s="6">
        <v>0</v>
      </c>
      <c r="AB7951" s="4">
        <f t="shared" si="1227"/>
        <v>1519407.03</v>
      </c>
      <c r="AC7951" s="6">
        <f t="shared" si="1225"/>
        <v>0</v>
      </c>
      <c r="AD7951" s="6">
        <f t="shared" si="1221"/>
        <v>1519407.03</v>
      </c>
      <c r="AE7951" s="14">
        <f>VLOOKUP(I7951,[2]媒体政策预估表!A:N,MATCH(O7951,[2]媒体政策预估表!$A$2:$M$2,0),0)</f>
        <v>0.15</v>
      </c>
      <c r="AF7951" s="6">
        <f t="shared" si="1223"/>
        <v>227911.0545</v>
      </c>
      <c r="AG7951" s="14">
        <v>0</v>
      </c>
      <c r="AH7951" s="64">
        <f t="shared" si="1222"/>
        <v>1519407.03</v>
      </c>
      <c r="AJ7951" s="126" t="e">
        <v>#N/A</v>
      </c>
      <c r="AK7951" s="80">
        <f t="shared" si="1228"/>
        <v>0</v>
      </c>
      <c r="AL7951" s="85"/>
      <c r="AM7951" s="85"/>
    </row>
    <row r="7952" spans="1:39" s="86" customFormat="1" ht="13.25" hidden="1" customHeight="1" x14ac:dyDescent="0.3">
      <c r="A7952" s="89" t="s">
        <v>3792</v>
      </c>
      <c r="B7952" s="86" t="s">
        <v>35</v>
      </c>
      <c r="C7952" s="86" t="s">
        <v>164</v>
      </c>
      <c r="D7952" s="86" t="s">
        <v>174</v>
      </c>
      <c r="E7952" s="86" t="s">
        <v>1802</v>
      </c>
      <c r="F7952" s="86" t="s">
        <v>1802</v>
      </c>
      <c r="G7952" s="86" t="s">
        <v>1802</v>
      </c>
      <c r="H7952" s="143">
        <v>360</v>
      </c>
      <c r="I7952" s="86" t="s">
        <v>1060</v>
      </c>
      <c r="J7952" s="47" t="s">
        <v>3325</v>
      </c>
      <c r="K7952" s="47" t="s">
        <v>3767</v>
      </c>
      <c r="L7952" s="47" t="s">
        <v>35</v>
      </c>
      <c r="M7952" s="86" t="s">
        <v>1802</v>
      </c>
      <c r="O7952" s="47" t="s">
        <v>941</v>
      </c>
      <c r="P7952" s="14" t="s">
        <v>41</v>
      </c>
      <c r="Q7952" s="14">
        <v>0</v>
      </c>
      <c r="R7952" s="143" t="s">
        <v>1803</v>
      </c>
      <c r="S7952" s="47"/>
      <c r="T7952" s="6">
        <v>-1126.08</v>
      </c>
      <c r="U7952" s="6"/>
      <c r="V7952" s="6">
        <v>0</v>
      </c>
      <c r="W7952" s="6">
        <f t="shared" si="1220"/>
        <v>-1126.08</v>
      </c>
      <c r="X7952" s="6">
        <f t="shared" si="1224"/>
        <v>0</v>
      </c>
      <c r="Y7952" s="13">
        <f t="shared" si="1226"/>
        <v>0</v>
      </c>
      <c r="Z7952" s="14">
        <v>0</v>
      </c>
      <c r="AA7952" s="6">
        <v>0</v>
      </c>
      <c r="AB7952" s="4">
        <f t="shared" si="1227"/>
        <v>0</v>
      </c>
      <c r="AC7952" s="6">
        <f t="shared" si="1225"/>
        <v>0</v>
      </c>
      <c r="AD7952" s="6">
        <f t="shared" si="1221"/>
        <v>0</v>
      </c>
      <c r="AE7952" s="14">
        <f>VLOOKUP(I7952,[2]媒体政策预估表!A:N,MATCH(O7952,[2]媒体政策预估表!$A$2:$M$2,0),0)</f>
        <v>0.15</v>
      </c>
      <c r="AF7952" s="6">
        <f t="shared" si="1223"/>
        <v>0</v>
      </c>
      <c r="AG7952" s="14">
        <v>0</v>
      </c>
      <c r="AH7952" s="64">
        <f t="shared" si="1222"/>
        <v>0</v>
      </c>
      <c r="AJ7952" s="126" t="e">
        <v>#N/A</v>
      </c>
      <c r="AK7952" s="80">
        <f t="shared" si="1228"/>
        <v>0</v>
      </c>
      <c r="AL7952" s="85"/>
      <c r="AM7952" s="85"/>
    </row>
    <row r="7953" spans="1:39" s="86" customFormat="1" ht="13.25" hidden="1" customHeight="1" x14ac:dyDescent="0.3">
      <c r="A7953" s="89" t="s">
        <v>3978</v>
      </c>
      <c r="B7953" s="86" t="s">
        <v>35</v>
      </c>
      <c r="C7953" s="86" t="s">
        <v>144</v>
      </c>
      <c r="D7953" s="86" t="s">
        <v>161</v>
      </c>
      <c r="E7953" s="86" t="s">
        <v>1529</v>
      </c>
      <c r="F7953" s="86" t="s">
        <v>1529</v>
      </c>
      <c r="G7953" s="86" t="s">
        <v>1529</v>
      </c>
      <c r="H7953" s="144">
        <v>360</v>
      </c>
      <c r="I7953" s="86" t="s">
        <v>1060</v>
      </c>
      <c r="J7953" s="47" t="s">
        <v>3325</v>
      </c>
      <c r="K7953" s="47" t="s">
        <v>3767</v>
      </c>
      <c r="L7953" s="47" t="s">
        <v>35</v>
      </c>
      <c r="M7953" s="86" t="s">
        <v>2371</v>
      </c>
      <c r="O7953" s="47" t="s">
        <v>941</v>
      </c>
      <c r="P7953" s="14" t="s">
        <v>41</v>
      </c>
      <c r="Q7953" s="14">
        <v>0</v>
      </c>
      <c r="R7953" s="143" t="s">
        <v>1530</v>
      </c>
      <c r="S7953" s="47"/>
      <c r="T7953" s="6">
        <v>-1294373.4720300001</v>
      </c>
      <c r="U7953" s="6"/>
      <c r="V7953" s="6">
        <v>153603.22796999989</v>
      </c>
      <c r="W7953" s="6">
        <v>0</v>
      </c>
      <c r="X7953" s="6">
        <f t="shared" si="1224"/>
        <v>153603.22796999989</v>
      </c>
      <c r="Y7953" s="13">
        <f t="shared" si="1226"/>
        <v>0</v>
      </c>
      <c r="Z7953" s="14">
        <v>0</v>
      </c>
      <c r="AA7953" s="6">
        <v>0</v>
      </c>
      <c r="AB7953" s="4">
        <f t="shared" si="1227"/>
        <v>153603.22796999989</v>
      </c>
      <c r="AC7953" s="6">
        <f t="shared" si="1225"/>
        <v>0</v>
      </c>
      <c r="AD7953" s="6">
        <f t="shared" si="1221"/>
        <v>153603.22796999989</v>
      </c>
      <c r="AE7953" s="14">
        <f>VLOOKUP(I7953,[2]媒体政策预估表!A:N,MATCH(O7953,[2]媒体政策预估表!$A$2:$M$2,0),0)</f>
        <v>0.15</v>
      </c>
      <c r="AF7953" s="6">
        <f t="shared" si="1223"/>
        <v>23040.484195499983</v>
      </c>
      <c r="AG7953" s="14">
        <v>0</v>
      </c>
      <c r="AH7953" s="64">
        <f t="shared" si="1222"/>
        <v>153603.22796999989</v>
      </c>
      <c r="AJ7953" s="126" t="e">
        <v>#N/A</v>
      </c>
      <c r="AK7953" s="80">
        <f t="shared" si="1228"/>
        <v>0</v>
      </c>
      <c r="AL7953" s="85"/>
      <c r="AM7953" s="85"/>
    </row>
    <row r="7954" spans="1:39" s="86" customFormat="1" ht="13.25" hidden="1" customHeight="1" x14ac:dyDescent="0.3">
      <c r="A7954" s="89" t="s">
        <v>3792</v>
      </c>
      <c r="B7954" s="86" t="s">
        <v>35</v>
      </c>
      <c r="C7954" s="86" t="s">
        <v>164</v>
      </c>
      <c r="D7954" s="86" t="s">
        <v>174</v>
      </c>
      <c r="E7954" s="86" t="s">
        <v>1756</v>
      </c>
      <c r="F7954" s="86" t="s">
        <v>1756</v>
      </c>
      <c r="G7954" s="86" t="s">
        <v>1756</v>
      </c>
      <c r="H7954" s="144">
        <v>360</v>
      </c>
      <c r="I7954" s="86" t="s">
        <v>1060</v>
      </c>
      <c r="J7954" s="47" t="s">
        <v>3325</v>
      </c>
      <c r="K7954" s="47" t="s">
        <v>3767</v>
      </c>
      <c r="L7954" s="47" t="s">
        <v>35</v>
      </c>
      <c r="M7954" s="86" t="s">
        <v>1759</v>
      </c>
      <c r="O7954" s="47" t="s">
        <v>941</v>
      </c>
      <c r="P7954" s="14" t="s">
        <v>41</v>
      </c>
      <c r="Q7954" s="14">
        <v>0</v>
      </c>
      <c r="R7954" s="143" t="s">
        <v>1760</v>
      </c>
      <c r="S7954" s="47"/>
      <c r="T7954" s="6">
        <v>-686278.43</v>
      </c>
      <c r="U7954" s="6"/>
      <c r="V7954" s="6">
        <v>131358.76</v>
      </c>
      <c r="W7954" s="6">
        <f t="shared" si="1220"/>
        <v>-817637.19000000006</v>
      </c>
      <c r="X7954" s="6">
        <f t="shared" si="1224"/>
        <v>131358.76</v>
      </c>
      <c r="Y7954" s="13">
        <f t="shared" si="1226"/>
        <v>0</v>
      </c>
      <c r="Z7954" s="14">
        <v>0</v>
      </c>
      <c r="AA7954" s="6">
        <v>0</v>
      </c>
      <c r="AB7954" s="4">
        <f t="shared" si="1227"/>
        <v>131358.76</v>
      </c>
      <c r="AC7954" s="6">
        <f t="shared" si="1225"/>
        <v>0</v>
      </c>
      <c r="AD7954" s="6">
        <f t="shared" si="1221"/>
        <v>131358.76</v>
      </c>
      <c r="AE7954" s="14">
        <f>VLOOKUP(I7954,[2]媒体政策预估表!A:N,MATCH(O7954,[2]媒体政策预估表!$A$2:$M$2,0),0)</f>
        <v>0.15</v>
      </c>
      <c r="AF7954" s="6">
        <f t="shared" si="1223"/>
        <v>19703.814000000002</v>
      </c>
      <c r="AG7954" s="14">
        <v>0</v>
      </c>
      <c r="AH7954" s="64">
        <f t="shared" si="1222"/>
        <v>131358.76</v>
      </c>
      <c r="AJ7954" s="126" t="e">
        <v>#N/A</v>
      </c>
      <c r="AK7954" s="80">
        <f t="shared" si="1228"/>
        <v>0</v>
      </c>
      <c r="AL7954" s="85"/>
      <c r="AM7954" s="85"/>
    </row>
    <row r="7955" spans="1:39" s="86" customFormat="1" ht="13.25" hidden="1" customHeight="1" x14ac:dyDescent="0.3">
      <c r="A7955" s="89" t="s">
        <v>3792</v>
      </c>
      <c r="B7955" s="86" t="s">
        <v>35</v>
      </c>
      <c r="C7955" s="86" t="s">
        <v>184</v>
      </c>
      <c r="D7955" s="86" t="s">
        <v>3849</v>
      </c>
      <c r="E7955" s="86" t="s">
        <v>64</v>
      </c>
      <c r="F7955" s="86" t="s">
        <v>1343</v>
      </c>
      <c r="G7955" s="86" t="s">
        <v>64</v>
      </c>
      <c r="H7955" s="143">
        <v>360</v>
      </c>
      <c r="I7955" s="86" t="s">
        <v>1060</v>
      </c>
      <c r="J7955" s="47" t="s">
        <v>3325</v>
      </c>
      <c r="K7955" s="47" t="s">
        <v>3767</v>
      </c>
      <c r="L7955" s="47" t="s">
        <v>35</v>
      </c>
      <c r="M7955" s="86" t="s">
        <v>64</v>
      </c>
      <c r="O7955" s="47" t="s">
        <v>941</v>
      </c>
      <c r="P7955" s="14" t="s">
        <v>46</v>
      </c>
      <c r="Q7955" s="14">
        <v>0.04</v>
      </c>
      <c r="R7955" s="143" t="s">
        <v>1344</v>
      </c>
      <c r="S7955" s="47"/>
      <c r="T7955" s="6">
        <v>-13827.68</v>
      </c>
      <c r="U7955" s="6"/>
      <c r="V7955" s="6">
        <v>0</v>
      </c>
      <c r="W7955" s="6">
        <f t="shared" si="1220"/>
        <v>-13827.68</v>
      </c>
      <c r="X7955" s="6">
        <f t="shared" si="1224"/>
        <v>0</v>
      </c>
      <c r="Y7955" s="13">
        <f t="shared" si="1226"/>
        <v>0</v>
      </c>
      <c r="Z7955" s="14">
        <v>0</v>
      </c>
      <c r="AA7955" s="6">
        <v>0</v>
      </c>
      <c r="AB7955" s="4">
        <f t="shared" si="1227"/>
        <v>0</v>
      </c>
      <c r="AC7955" s="6">
        <f t="shared" si="1225"/>
        <v>0</v>
      </c>
      <c r="AD7955" s="6">
        <f t="shared" si="1221"/>
        <v>0</v>
      </c>
      <c r="AE7955" s="14">
        <f>VLOOKUP(I7955,[2]媒体政策预估表!A:N,MATCH(O7955,[2]媒体政策预估表!$A$2:$M$2,0),0)</f>
        <v>0.15</v>
      </c>
      <c r="AF7955" s="6">
        <f t="shared" si="1223"/>
        <v>0</v>
      </c>
      <c r="AG7955" s="14">
        <v>0</v>
      </c>
      <c r="AH7955" s="64">
        <f t="shared" si="1222"/>
        <v>0</v>
      </c>
      <c r="AJ7955" s="126" t="e">
        <v>#N/A</v>
      </c>
      <c r="AK7955" s="80">
        <f t="shared" si="1228"/>
        <v>0</v>
      </c>
      <c r="AL7955" s="85"/>
      <c r="AM7955" s="85"/>
    </row>
    <row r="7956" spans="1:39" s="86" customFormat="1" ht="13.25" hidden="1" customHeight="1" x14ac:dyDescent="0.3">
      <c r="A7956" s="89" t="s">
        <v>3792</v>
      </c>
      <c r="B7956" s="86" t="s">
        <v>35</v>
      </c>
      <c r="C7956" s="86" t="s">
        <v>184</v>
      </c>
      <c r="D7956" s="86" t="s">
        <v>3849</v>
      </c>
      <c r="E7956" s="86" t="s">
        <v>64</v>
      </c>
      <c r="F7956" s="86" t="s">
        <v>1343</v>
      </c>
      <c r="G7956" s="86" t="s">
        <v>64</v>
      </c>
      <c r="H7956" s="143">
        <v>360</v>
      </c>
      <c r="I7956" s="86" t="s">
        <v>1060</v>
      </c>
      <c r="J7956" s="47" t="s">
        <v>3325</v>
      </c>
      <c r="K7956" s="47" t="s">
        <v>3767</v>
      </c>
      <c r="L7956" s="47" t="s">
        <v>35</v>
      </c>
      <c r="M7956" s="86" t="s">
        <v>64</v>
      </c>
      <c r="O7956" s="47" t="s">
        <v>941</v>
      </c>
      <c r="P7956" s="14" t="s">
        <v>46</v>
      </c>
      <c r="Q7956" s="14">
        <v>0.04</v>
      </c>
      <c r="R7956" s="143" t="s">
        <v>1345</v>
      </c>
      <c r="S7956" s="47"/>
      <c r="T7956" s="6">
        <v>-318.06</v>
      </c>
      <c r="U7956" s="6"/>
      <c r="V7956" s="6">
        <v>0</v>
      </c>
      <c r="W7956" s="6">
        <f t="shared" si="1220"/>
        <v>-318.06</v>
      </c>
      <c r="X7956" s="6">
        <f t="shared" si="1224"/>
        <v>0</v>
      </c>
      <c r="Y7956" s="13">
        <f t="shared" si="1226"/>
        <v>0</v>
      </c>
      <c r="Z7956" s="14">
        <v>0</v>
      </c>
      <c r="AA7956" s="6">
        <v>0</v>
      </c>
      <c r="AB7956" s="4">
        <f t="shared" si="1227"/>
        <v>0</v>
      </c>
      <c r="AC7956" s="6">
        <f t="shared" si="1225"/>
        <v>0</v>
      </c>
      <c r="AD7956" s="6">
        <f t="shared" si="1221"/>
        <v>0</v>
      </c>
      <c r="AE7956" s="14">
        <f>VLOOKUP(I7956,[2]媒体政策预估表!A:N,MATCH(O7956,[2]媒体政策预估表!$A$2:$M$2,0),0)</f>
        <v>0.15</v>
      </c>
      <c r="AF7956" s="6">
        <f t="shared" si="1223"/>
        <v>0</v>
      </c>
      <c r="AG7956" s="14">
        <v>0</v>
      </c>
      <c r="AH7956" s="64">
        <f t="shared" si="1222"/>
        <v>0</v>
      </c>
      <c r="AJ7956" s="126" t="e">
        <v>#N/A</v>
      </c>
      <c r="AK7956" s="80">
        <f t="shared" si="1228"/>
        <v>0</v>
      </c>
      <c r="AL7956" s="85"/>
      <c r="AM7956" s="85"/>
    </row>
    <row r="7957" spans="1:39" s="86" customFormat="1" ht="13.25" hidden="1" customHeight="1" x14ac:dyDescent="0.3">
      <c r="A7957" s="89" t="s">
        <v>3978</v>
      </c>
      <c r="B7957" s="86" t="s">
        <v>35</v>
      </c>
      <c r="C7957" s="86" t="s">
        <v>65</v>
      </c>
      <c r="D7957" s="86" t="s">
        <v>122</v>
      </c>
      <c r="E7957" s="86" t="s">
        <v>1266</v>
      </c>
      <c r="F7957" s="86" t="s">
        <v>1266</v>
      </c>
      <c r="G7957" s="86" t="s">
        <v>1266</v>
      </c>
      <c r="H7957" s="144">
        <v>360</v>
      </c>
      <c r="I7957" s="86" t="s">
        <v>1060</v>
      </c>
      <c r="J7957" s="47" t="s">
        <v>3325</v>
      </c>
      <c r="K7957" s="47" t="s">
        <v>3767</v>
      </c>
      <c r="L7957" s="47" t="s">
        <v>35</v>
      </c>
      <c r="M7957" s="86" t="s">
        <v>1271</v>
      </c>
      <c r="O7957" s="47" t="s">
        <v>2054</v>
      </c>
      <c r="P7957" s="14" t="s">
        <v>41</v>
      </c>
      <c r="Q7957" s="14">
        <v>0</v>
      </c>
      <c r="R7957" s="143" t="s">
        <v>1272</v>
      </c>
      <c r="S7957" s="47"/>
      <c r="T7957" s="6">
        <v>-34100.78557</v>
      </c>
      <c r="U7957" s="6"/>
      <c r="V7957" s="6">
        <v>7896.3702400000002</v>
      </c>
      <c r="W7957" s="6">
        <f t="shared" si="1220"/>
        <v>-41997.155809999997</v>
      </c>
      <c r="X7957" s="6">
        <f t="shared" si="1224"/>
        <v>7896.3702400000002</v>
      </c>
      <c r="Y7957" s="13">
        <f t="shared" si="1226"/>
        <v>0</v>
      </c>
      <c r="Z7957" s="14">
        <v>0</v>
      </c>
      <c r="AA7957" s="6">
        <v>0</v>
      </c>
      <c r="AB7957" s="4">
        <f t="shared" si="1227"/>
        <v>7896.3702400000002</v>
      </c>
      <c r="AC7957" s="6">
        <f t="shared" si="1225"/>
        <v>0</v>
      </c>
      <c r="AD7957" s="6">
        <f t="shared" si="1221"/>
        <v>7896.3702400000002</v>
      </c>
      <c r="AE7957" s="14">
        <f>VLOOKUP(I7957,[2]媒体政策预估表!A:N,MATCH(O7957,[2]媒体政策预估表!$A$2:$M$2,0),0)</f>
        <v>0.1</v>
      </c>
      <c r="AF7957" s="6">
        <f t="shared" si="1223"/>
        <v>789.63702400000011</v>
      </c>
      <c r="AG7957" s="14">
        <v>0</v>
      </c>
      <c r="AH7957" s="64">
        <f t="shared" si="1222"/>
        <v>7896.3702400000002</v>
      </c>
      <c r="AJ7957" s="126" t="e">
        <v>#N/A</v>
      </c>
      <c r="AK7957" s="80">
        <f t="shared" si="1228"/>
        <v>0</v>
      </c>
      <c r="AL7957" s="85"/>
      <c r="AM7957" s="85"/>
    </row>
    <row r="7958" spans="1:39" s="86" customFormat="1" ht="13.25" hidden="1" customHeight="1" x14ac:dyDescent="0.3">
      <c r="A7958" s="89" t="s">
        <v>3978</v>
      </c>
      <c r="B7958" s="86" t="s">
        <v>35</v>
      </c>
      <c r="C7958" s="86" t="s">
        <v>144</v>
      </c>
      <c r="D7958" s="86" t="s">
        <v>145</v>
      </c>
      <c r="E7958" s="86" t="s">
        <v>1416</v>
      </c>
      <c r="F7958" s="86" t="s">
        <v>1416</v>
      </c>
      <c r="G7958" s="86" t="s">
        <v>1416</v>
      </c>
      <c r="H7958" s="143">
        <v>360</v>
      </c>
      <c r="I7958" s="86" t="s">
        <v>1060</v>
      </c>
      <c r="J7958" s="47" t="s">
        <v>3325</v>
      </c>
      <c r="K7958" s="47" t="s">
        <v>3767</v>
      </c>
      <c r="L7958" s="47" t="s">
        <v>35</v>
      </c>
      <c r="M7958" s="86" t="s">
        <v>1417</v>
      </c>
      <c r="O7958" s="47" t="s">
        <v>2054</v>
      </c>
      <c r="P7958" s="14" t="s">
        <v>46</v>
      </c>
      <c r="Q7958" s="14">
        <v>0.02</v>
      </c>
      <c r="R7958" s="143" t="s">
        <v>1924</v>
      </c>
      <c r="S7958" s="47"/>
      <c r="T7958" s="6">
        <v>-4226.5334000000003</v>
      </c>
      <c r="U7958" s="6"/>
      <c r="V7958" s="6">
        <v>0</v>
      </c>
      <c r="W7958" s="6">
        <f t="shared" si="1220"/>
        <v>-4226.5334000000003</v>
      </c>
      <c r="X7958" s="6">
        <f t="shared" si="1224"/>
        <v>0</v>
      </c>
      <c r="Y7958" s="13">
        <f t="shared" si="1226"/>
        <v>0</v>
      </c>
      <c r="Z7958" s="14">
        <v>0</v>
      </c>
      <c r="AA7958" s="6">
        <v>0</v>
      </c>
      <c r="AB7958" s="4">
        <f t="shared" si="1227"/>
        <v>0</v>
      </c>
      <c r="AC7958" s="6">
        <f t="shared" si="1225"/>
        <v>0</v>
      </c>
      <c r="AD7958" s="6">
        <f t="shared" si="1221"/>
        <v>0</v>
      </c>
      <c r="AE7958" s="14">
        <f>VLOOKUP(I7958,[2]媒体政策预估表!A:N,MATCH(O7958,[2]媒体政策预估表!$A$2:$M$2,0),0)</f>
        <v>0.1</v>
      </c>
      <c r="AF7958" s="6">
        <f t="shared" si="1223"/>
        <v>0</v>
      </c>
      <c r="AG7958" s="14">
        <v>0</v>
      </c>
      <c r="AH7958" s="64">
        <f t="shared" si="1222"/>
        <v>0</v>
      </c>
      <c r="AJ7958" s="126" t="e">
        <v>#N/A</v>
      </c>
      <c r="AK7958" s="80">
        <f t="shared" si="1228"/>
        <v>0</v>
      </c>
      <c r="AL7958" s="85"/>
      <c r="AM7958" s="85"/>
    </row>
    <row r="7959" spans="1:39" s="86" customFormat="1" ht="13.25" hidden="1" customHeight="1" x14ac:dyDescent="0.3">
      <c r="A7959" s="89" t="s">
        <v>3792</v>
      </c>
      <c r="B7959" s="86" t="s">
        <v>35</v>
      </c>
      <c r="C7959" s="86" t="s">
        <v>65</v>
      </c>
      <c r="D7959" s="86" t="s">
        <v>122</v>
      </c>
      <c r="E7959" s="86" t="s">
        <v>1266</v>
      </c>
      <c r="F7959" s="86" t="s">
        <v>1266</v>
      </c>
      <c r="G7959" s="86" t="s">
        <v>1266</v>
      </c>
      <c r="H7959" s="143">
        <v>360</v>
      </c>
      <c r="I7959" s="86" t="s">
        <v>1060</v>
      </c>
      <c r="J7959" s="47" t="s">
        <v>3325</v>
      </c>
      <c r="K7959" s="47" t="s">
        <v>3767</v>
      </c>
      <c r="L7959" s="47" t="s">
        <v>35</v>
      </c>
      <c r="M7959" s="86" t="s">
        <v>1266</v>
      </c>
      <c r="O7959" s="47" t="s">
        <v>2054</v>
      </c>
      <c r="P7959" s="14" t="s">
        <v>41</v>
      </c>
      <c r="Q7959" s="14">
        <v>0</v>
      </c>
      <c r="R7959" s="143" t="s">
        <v>1270</v>
      </c>
      <c r="S7959" s="47"/>
      <c r="T7959" s="6">
        <v>-656.50497000000007</v>
      </c>
      <c r="U7959" s="6"/>
      <c r="V7959" s="6">
        <v>0</v>
      </c>
      <c r="W7959" s="6">
        <f t="shared" si="1220"/>
        <v>-656.50497000000007</v>
      </c>
      <c r="X7959" s="6">
        <f t="shared" si="1224"/>
        <v>0</v>
      </c>
      <c r="Y7959" s="13">
        <f t="shared" si="1226"/>
        <v>0</v>
      </c>
      <c r="Z7959" s="14">
        <v>0</v>
      </c>
      <c r="AA7959" s="6">
        <v>0</v>
      </c>
      <c r="AB7959" s="4">
        <f t="shared" si="1227"/>
        <v>0</v>
      </c>
      <c r="AC7959" s="6">
        <f t="shared" si="1225"/>
        <v>0</v>
      </c>
      <c r="AD7959" s="6">
        <f t="shared" si="1221"/>
        <v>0</v>
      </c>
      <c r="AE7959" s="14">
        <f>VLOOKUP(I7959,[2]媒体政策预估表!A:N,MATCH(O7959,[2]媒体政策预估表!$A$2:$M$2,0),0)</f>
        <v>0.1</v>
      </c>
      <c r="AF7959" s="6">
        <f t="shared" si="1223"/>
        <v>0</v>
      </c>
      <c r="AG7959" s="14">
        <v>0</v>
      </c>
      <c r="AH7959" s="64">
        <f t="shared" si="1222"/>
        <v>0</v>
      </c>
      <c r="AJ7959" s="126" t="e">
        <v>#N/A</v>
      </c>
      <c r="AK7959" s="80">
        <f t="shared" si="1228"/>
        <v>0</v>
      </c>
      <c r="AL7959" s="85"/>
      <c r="AM7959" s="85"/>
    </row>
    <row r="7960" spans="1:39" s="86" customFormat="1" ht="13.25" hidden="1" customHeight="1" x14ac:dyDescent="0.3">
      <c r="A7960" s="89" t="s">
        <v>3978</v>
      </c>
      <c r="B7960" s="86" t="s">
        <v>35</v>
      </c>
      <c r="C7960" s="86" t="s">
        <v>65</v>
      </c>
      <c r="D7960" s="86" t="s">
        <v>122</v>
      </c>
      <c r="E7960" s="86" t="s">
        <v>1266</v>
      </c>
      <c r="F7960" s="86" t="s">
        <v>1266</v>
      </c>
      <c r="G7960" s="86" t="s">
        <v>1266</v>
      </c>
      <c r="H7960" s="143">
        <v>360</v>
      </c>
      <c r="I7960" s="86" t="s">
        <v>1060</v>
      </c>
      <c r="J7960" s="47" t="s">
        <v>3325</v>
      </c>
      <c r="K7960" s="47" t="s">
        <v>3767</v>
      </c>
      <c r="L7960" s="47" t="s">
        <v>35</v>
      </c>
      <c r="M7960" s="86" t="s">
        <v>1271</v>
      </c>
      <c r="O7960" s="47" t="s">
        <v>2054</v>
      </c>
      <c r="P7960" s="14" t="s">
        <v>41</v>
      </c>
      <c r="Q7960" s="14">
        <v>0</v>
      </c>
      <c r="R7960" s="143" t="s">
        <v>1273</v>
      </c>
      <c r="S7960" s="47"/>
      <c r="T7960" s="6">
        <v>-6206.7361600000004</v>
      </c>
      <c r="U7960" s="6"/>
      <c r="V7960" s="6">
        <v>0</v>
      </c>
      <c r="W7960" s="6">
        <f t="shared" si="1220"/>
        <v>-6206.7361600000004</v>
      </c>
      <c r="X7960" s="6">
        <f t="shared" si="1224"/>
        <v>0</v>
      </c>
      <c r="Y7960" s="13">
        <f t="shared" si="1226"/>
        <v>0</v>
      </c>
      <c r="Z7960" s="14">
        <v>0</v>
      </c>
      <c r="AA7960" s="6">
        <v>0</v>
      </c>
      <c r="AB7960" s="4">
        <f t="shared" si="1227"/>
        <v>0</v>
      </c>
      <c r="AC7960" s="6">
        <f t="shared" si="1225"/>
        <v>0</v>
      </c>
      <c r="AD7960" s="6">
        <f t="shared" si="1221"/>
        <v>0</v>
      </c>
      <c r="AE7960" s="14">
        <f>VLOOKUP(I7960,[2]媒体政策预估表!A:N,MATCH(O7960,[2]媒体政策预估表!$A$2:$M$2,0),0)</f>
        <v>0.1</v>
      </c>
      <c r="AF7960" s="6">
        <f t="shared" si="1223"/>
        <v>0</v>
      </c>
      <c r="AG7960" s="14">
        <v>0</v>
      </c>
      <c r="AH7960" s="64">
        <f t="shared" si="1222"/>
        <v>0</v>
      </c>
      <c r="AJ7960" s="126" t="e">
        <v>#N/A</v>
      </c>
      <c r="AK7960" s="80">
        <f t="shared" si="1228"/>
        <v>0</v>
      </c>
      <c r="AL7960" s="85"/>
      <c r="AM7960" s="85"/>
    </row>
    <row r="7961" spans="1:39" s="86" customFormat="1" ht="13.25" hidden="1" customHeight="1" x14ac:dyDescent="0.3">
      <c r="A7961" s="89" t="s">
        <v>3792</v>
      </c>
      <c r="B7961" s="86" t="s">
        <v>35</v>
      </c>
      <c r="C7961" s="86" t="s">
        <v>164</v>
      </c>
      <c r="D7961" s="86" t="s">
        <v>169</v>
      </c>
      <c r="E7961" s="86" t="s">
        <v>1575</v>
      </c>
      <c r="F7961" s="86" t="s">
        <v>1575</v>
      </c>
      <c r="G7961" s="86" t="s">
        <v>1575</v>
      </c>
      <c r="H7961" s="144">
        <v>360</v>
      </c>
      <c r="I7961" s="86" t="s">
        <v>1060</v>
      </c>
      <c r="J7961" s="47" t="s">
        <v>3325</v>
      </c>
      <c r="K7961" s="47" t="s">
        <v>3767</v>
      </c>
      <c r="L7961" s="47" t="s">
        <v>35</v>
      </c>
      <c r="M7961" s="86" t="s">
        <v>1575</v>
      </c>
      <c r="O7961" s="47" t="s">
        <v>2054</v>
      </c>
      <c r="P7961" s="14" t="s">
        <v>41</v>
      </c>
      <c r="Q7961" s="14">
        <v>0</v>
      </c>
      <c r="R7961" s="143" t="s">
        <v>1576</v>
      </c>
      <c r="S7961" s="47"/>
      <c r="T7961" s="6">
        <v>-1280.7417800000001</v>
      </c>
      <c r="U7961" s="6"/>
      <c r="V7961" s="6">
        <v>2472.86294</v>
      </c>
      <c r="W7961" s="6">
        <f t="shared" ref="W7961:W8012" si="1229">T7961+U7961-V7961</f>
        <v>-3753.6047200000003</v>
      </c>
      <c r="X7961" s="6">
        <f t="shared" si="1224"/>
        <v>2472.86294</v>
      </c>
      <c r="Y7961" s="13">
        <f t="shared" si="1226"/>
        <v>0</v>
      </c>
      <c r="Z7961" s="14">
        <v>0</v>
      </c>
      <c r="AA7961" s="6">
        <v>0</v>
      </c>
      <c r="AB7961" s="4">
        <f t="shared" si="1227"/>
        <v>2472.86294</v>
      </c>
      <c r="AC7961" s="6">
        <f t="shared" si="1225"/>
        <v>0</v>
      </c>
      <c r="AD7961" s="6">
        <f t="shared" ref="AD7961:AD8005" si="1230">V7961</f>
        <v>2472.86294</v>
      </c>
      <c r="AE7961" s="14">
        <f>VLOOKUP(I7961,[2]媒体政策预估表!A:N,MATCH(O7961,[2]媒体政策预估表!$A$2:$M$2,0),0)</f>
        <v>0.1</v>
      </c>
      <c r="AF7961" s="6">
        <f t="shared" si="1223"/>
        <v>247.286294</v>
      </c>
      <c r="AG7961" s="14">
        <v>0</v>
      </c>
      <c r="AH7961" s="64">
        <f t="shared" ref="AH7961:AH7987" si="1231">V7961</f>
        <v>2472.86294</v>
      </c>
      <c r="AJ7961" s="126" t="e">
        <v>#N/A</v>
      </c>
      <c r="AK7961" s="80">
        <f t="shared" si="1228"/>
        <v>0</v>
      </c>
      <c r="AL7961" s="85"/>
      <c r="AM7961" s="85"/>
    </row>
    <row r="7962" spans="1:39" s="86" customFormat="1" ht="13.25" hidden="1" customHeight="1" x14ac:dyDescent="0.3">
      <c r="A7962" s="89" t="s">
        <v>3978</v>
      </c>
      <c r="B7962" s="86" t="s">
        <v>35</v>
      </c>
      <c r="C7962" s="86" t="s">
        <v>144</v>
      </c>
      <c r="D7962" s="86" t="s">
        <v>152</v>
      </c>
      <c r="E7962" s="86" t="s">
        <v>1478</v>
      </c>
      <c r="F7962" s="86" t="s">
        <v>1478</v>
      </c>
      <c r="G7962" s="86" t="s">
        <v>1478</v>
      </c>
      <c r="H7962" s="144">
        <v>360</v>
      </c>
      <c r="I7962" s="86" t="s">
        <v>1060</v>
      </c>
      <c r="J7962" s="47" t="s">
        <v>3325</v>
      </c>
      <c r="K7962" s="47" t="s">
        <v>3767</v>
      </c>
      <c r="L7962" s="47" t="s">
        <v>35</v>
      </c>
      <c r="M7962" s="86" t="s">
        <v>1479</v>
      </c>
      <c r="O7962" s="47" t="s">
        <v>2054</v>
      </c>
      <c r="P7962" s="14" t="s">
        <v>46</v>
      </c>
      <c r="Q7962" s="14">
        <v>0.02</v>
      </c>
      <c r="R7962" s="143" t="s">
        <v>1480</v>
      </c>
      <c r="S7962" s="47"/>
      <c r="T7962" s="6">
        <v>-147022.40568</v>
      </c>
      <c r="U7962" s="6"/>
      <c r="V7962" s="6">
        <v>43222.804259999997</v>
      </c>
      <c r="W7962" s="6">
        <f t="shared" si="1229"/>
        <v>-190245.20994</v>
      </c>
      <c r="X7962" s="6">
        <f t="shared" si="1224"/>
        <v>42375.298294117645</v>
      </c>
      <c r="Y7962" s="13">
        <f t="shared" si="1226"/>
        <v>0</v>
      </c>
      <c r="Z7962" s="14">
        <v>0</v>
      </c>
      <c r="AA7962" s="6">
        <v>0</v>
      </c>
      <c r="AB7962" s="4">
        <f t="shared" si="1227"/>
        <v>42375.298294117645</v>
      </c>
      <c r="AC7962" s="6">
        <f t="shared" si="1225"/>
        <v>847.50596588235203</v>
      </c>
      <c r="AD7962" s="6">
        <f t="shared" si="1230"/>
        <v>43222.804259999997</v>
      </c>
      <c r="AE7962" s="14">
        <f>VLOOKUP(I7962,[2]媒体政策预估表!A:N,MATCH(O7962,[2]媒体政策预估表!$A$2:$M$2,0),0)</f>
        <v>0.1</v>
      </c>
      <c r="AF7962" s="6">
        <f t="shared" si="1223"/>
        <v>4322.2804260000003</v>
      </c>
      <c r="AG7962" s="14">
        <v>0</v>
      </c>
      <c r="AH7962" s="64">
        <f t="shared" si="1231"/>
        <v>43222.804259999997</v>
      </c>
      <c r="AJ7962" s="126" t="e">
        <v>#N/A</v>
      </c>
      <c r="AK7962" s="80">
        <f t="shared" si="1228"/>
        <v>0</v>
      </c>
      <c r="AL7962" s="85"/>
      <c r="AM7962" s="85"/>
    </row>
    <row r="7963" spans="1:39" s="86" customFormat="1" ht="13.25" hidden="1" customHeight="1" x14ac:dyDescent="0.3">
      <c r="A7963" s="89" t="s">
        <v>3792</v>
      </c>
      <c r="B7963" s="86" t="s">
        <v>35</v>
      </c>
      <c r="C7963" s="86" t="s">
        <v>184</v>
      </c>
      <c r="D7963" s="86" t="s">
        <v>54</v>
      </c>
      <c r="E7963" s="86" t="s">
        <v>1069</v>
      </c>
      <c r="F7963" s="86" t="s">
        <v>1194</v>
      </c>
      <c r="G7963" s="86" t="s">
        <v>1069</v>
      </c>
      <c r="H7963" s="143">
        <v>360</v>
      </c>
      <c r="I7963" s="86" t="s">
        <v>1060</v>
      </c>
      <c r="J7963" s="47" t="s">
        <v>3325</v>
      </c>
      <c r="K7963" s="47" t="s">
        <v>3767</v>
      </c>
      <c r="L7963" s="47" t="s">
        <v>35</v>
      </c>
      <c r="M7963" s="86" t="s">
        <v>1195</v>
      </c>
      <c r="O7963" s="47" t="s">
        <v>2054</v>
      </c>
      <c r="P7963" s="14" t="s">
        <v>46</v>
      </c>
      <c r="Q7963" s="14">
        <v>0.04</v>
      </c>
      <c r="R7963" s="143" t="s">
        <v>1198</v>
      </c>
      <c r="S7963" s="47"/>
      <c r="T7963" s="6">
        <v>-27636.10859</v>
      </c>
      <c r="U7963" s="6"/>
      <c r="V7963" s="6">
        <v>0</v>
      </c>
      <c r="W7963" s="6">
        <f t="shared" si="1229"/>
        <v>-27636.10859</v>
      </c>
      <c r="X7963" s="6">
        <f t="shared" si="1224"/>
        <v>0</v>
      </c>
      <c r="Y7963" s="13">
        <f t="shared" si="1226"/>
        <v>0</v>
      </c>
      <c r="Z7963" s="14">
        <v>0</v>
      </c>
      <c r="AA7963" s="6">
        <v>0</v>
      </c>
      <c r="AB7963" s="4">
        <f t="shared" si="1227"/>
        <v>0</v>
      </c>
      <c r="AC7963" s="6">
        <f t="shared" si="1225"/>
        <v>0</v>
      </c>
      <c r="AD7963" s="6">
        <f t="shared" si="1230"/>
        <v>0</v>
      </c>
      <c r="AE7963" s="14">
        <f>VLOOKUP(I7963,[2]媒体政策预估表!A:N,MATCH(O7963,[2]媒体政策预估表!$A$2:$M$2,0),0)</f>
        <v>0.1</v>
      </c>
      <c r="AF7963" s="6">
        <f t="shared" si="1223"/>
        <v>0</v>
      </c>
      <c r="AG7963" s="14">
        <v>0</v>
      </c>
      <c r="AH7963" s="64">
        <f t="shared" si="1231"/>
        <v>0</v>
      </c>
      <c r="AJ7963" s="126" t="e">
        <v>#N/A</v>
      </c>
      <c r="AK7963" s="80">
        <f t="shared" si="1228"/>
        <v>0</v>
      </c>
      <c r="AL7963" s="85"/>
      <c r="AM7963" s="85"/>
    </row>
    <row r="7964" spans="1:39" s="86" customFormat="1" ht="13.25" hidden="1" customHeight="1" x14ac:dyDescent="0.3">
      <c r="A7964" s="89" t="s">
        <v>3978</v>
      </c>
      <c r="B7964" s="86" t="s">
        <v>35</v>
      </c>
      <c r="C7964" s="86" t="s">
        <v>65</v>
      </c>
      <c r="D7964" s="86" t="s">
        <v>122</v>
      </c>
      <c r="E7964" s="86" t="s">
        <v>1266</v>
      </c>
      <c r="F7964" s="86" t="s">
        <v>1266</v>
      </c>
      <c r="G7964" s="86" t="s">
        <v>1266</v>
      </c>
      <c r="H7964" s="144">
        <v>360</v>
      </c>
      <c r="I7964" s="86" t="s">
        <v>1060</v>
      </c>
      <c r="J7964" s="47" t="s">
        <v>3325</v>
      </c>
      <c r="K7964" s="47" t="s">
        <v>3767</v>
      </c>
      <c r="L7964" s="47" t="s">
        <v>35</v>
      </c>
      <c r="M7964" s="86" t="s">
        <v>1274</v>
      </c>
      <c r="O7964" s="47" t="s">
        <v>2054</v>
      </c>
      <c r="P7964" s="14" t="s">
        <v>41</v>
      </c>
      <c r="Q7964" s="14">
        <v>0</v>
      </c>
      <c r="R7964" s="143" t="s">
        <v>1275</v>
      </c>
      <c r="S7964" s="47"/>
      <c r="T7964" s="6">
        <v>-590933.64061999996</v>
      </c>
      <c r="U7964" s="6"/>
      <c r="V7964" s="6">
        <v>92439.809049999996</v>
      </c>
      <c r="W7964" s="6">
        <f t="shared" si="1229"/>
        <v>-683373.44967</v>
      </c>
      <c r="X7964" s="6">
        <f t="shared" si="1224"/>
        <v>92439.809049999996</v>
      </c>
      <c r="Y7964" s="13">
        <f t="shared" si="1226"/>
        <v>0</v>
      </c>
      <c r="Z7964" s="14">
        <v>0</v>
      </c>
      <c r="AA7964" s="6">
        <v>0</v>
      </c>
      <c r="AB7964" s="4">
        <f t="shared" si="1227"/>
        <v>92439.809049999996</v>
      </c>
      <c r="AC7964" s="6">
        <f t="shared" si="1225"/>
        <v>0</v>
      </c>
      <c r="AD7964" s="6">
        <f t="shared" si="1230"/>
        <v>92439.809049999996</v>
      </c>
      <c r="AE7964" s="14">
        <f>VLOOKUP(I7964,[2]媒体政策预估表!A:N,MATCH(O7964,[2]媒体政策预估表!$A$2:$M$2,0),0)</f>
        <v>0.1</v>
      </c>
      <c r="AF7964" s="6">
        <f t="shared" si="1223"/>
        <v>9243.9809050000003</v>
      </c>
      <c r="AG7964" s="14">
        <v>0</v>
      </c>
      <c r="AH7964" s="64">
        <f t="shared" si="1231"/>
        <v>92439.809049999996</v>
      </c>
      <c r="AJ7964" s="126" t="e">
        <v>#N/A</v>
      </c>
      <c r="AK7964" s="80">
        <f t="shared" si="1228"/>
        <v>0</v>
      </c>
      <c r="AL7964" s="85"/>
      <c r="AM7964" s="85"/>
    </row>
    <row r="7965" spans="1:39" s="86" customFormat="1" ht="13.25" hidden="1" customHeight="1" x14ac:dyDescent="0.3">
      <c r="A7965" s="89" t="s">
        <v>3978</v>
      </c>
      <c r="B7965" s="86" t="s">
        <v>35</v>
      </c>
      <c r="C7965" s="86" t="s">
        <v>164</v>
      </c>
      <c r="D7965" s="86" t="s">
        <v>174</v>
      </c>
      <c r="E7965" s="86" t="s">
        <v>1597</v>
      </c>
      <c r="F7965" s="86" t="s">
        <v>1597</v>
      </c>
      <c r="G7965" s="86" t="s">
        <v>1597</v>
      </c>
      <c r="H7965" s="143">
        <v>360</v>
      </c>
      <c r="I7965" s="86" t="s">
        <v>1060</v>
      </c>
      <c r="J7965" s="47" t="s">
        <v>3325</v>
      </c>
      <c r="K7965" s="47" t="s">
        <v>3767</v>
      </c>
      <c r="L7965" s="47" t="s">
        <v>35</v>
      </c>
      <c r="M7965" s="86" t="s">
        <v>1597</v>
      </c>
      <c r="O7965" s="47" t="s">
        <v>2054</v>
      </c>
      <c r="P7965" s="14" t="s">
        <v>46</v>
      </c>
      <c r="Q7965" s="14">
        <v>0.02</v>
      </c>
      <c r="R7965" s="143" t="s">
        <v>1598</v>
      </c>
      <c r="S7965" s="47"/>
      <c r="T7965" s="6">
        <v>-50.1</v>
      </c>
      <c r="U7965" s="6"/>
      <c r="V7965" s="6">
        <v>0</v>
      </c>
      <c r="W7965" s="6">
        <f t="shared" si="1229"/>
        <v>-50.1</v>
      </c>
      <c r="X7965" s="6">
        <f t="shared" si="1224"/>
        <v>0</v>
      </c>
      <c r="Y7965" s="13">
        <f t="shared" si="1226"/>
        <v>0</v>
      </c>
      <c r="Z7965" s="14">
        <v>0</v>
      </c>
      <c r="AA7965" s="6">
        <v>0</v>
      </c>
      <c r="AB7965" s="4">
        <f t="shared" si="1227"/>
        <v>0</v>
      </c>
      <c r="AC7965" s="6">
        <f t="shared" si="1225"/>
        <v>0</v>
      </c>
      <c r="AD7965" s="6">
        <f t="shared" si="1230"/>
        <v>0</v>
      </c>
      <c r="AE7965" s="14">
        <f>VLOOKUP(I7965,[2]媒体政策预估表!A:N,MATCH(O7965,[2]媒体政策预估表!$A$2:$M$2,0),0)</f>
        <v>0.1</v>
      </c>
      <c r="AF7965" s="6">
        <f t="shared" si="1223"/>
        <v>0</v>
      </c>
      <c r="AG7965" s="14">
        <v>0</v>
      </c>
      <c r="AH7965" s="64">
        <f t="shared" si="1231"/>
        <v>0</v>
      </c>
      <c r="AJ7965" s="126" t="e">
        <v>#N/A</v>
      </c>
      <c r="AK7965" s="80">
        <f t="shared" si="1228"/>
        <v>0</v>
      </c>
      <c r="AL7965" s="85"/>
      <c r="AM7965" s="85"/>
    </row>
    <row r="7966" spans="1:39" s="86" customFormat="1" ht="13.25" hidden="1" customHeight="1" x14ac:dyDescent="0.3">
      <c r="A7966" s="89" t="s">
        <v>3978</v>
      </c>
      <c r="B7966" s="86" t="s">
        <v>35</v>
      </c>
      <c r="C7966" s="86" t="s">
        <v>184</v>
      </c>
      <c r="D7966" s="86" t="s">
        <v>3849</v>
      </c>
      <c r="E7966" s="86" t="s">
        <v>1336</v>
      </c>
      <c r="F7966" s="86" t="s">
        <v>1337</v>
      </c>
      <c r="G7966" s="86" t="s">
        <v>1336</v>
      </c>
      <c r="H7966" s="144">
        <v>360</v>
      </c>
      <c r="I7966" s="86" t="s">
        <v>1060</v>
      </c>
      <c r="J7966" s="47" t="s">
        <v>3325</v>
      </c>
      <c r="K7966" s="47" t="s">
        <v>3767</v>
      </c>
      <c r="L7966" s="47" t="s">
        <v>35</v>
      </c>
      <c r="M7966" s="86" t="s">
        <v>1336</v>
      </c>
      <c r="O7966" s="47" t="s">
        <v>2054</v>
      </c>
      <c r="P7966" s="14" t="s">
        <v>41</v>
      </c>
      <c r="Q7966" s="14">
        <v>0</v>
      </c>
      <c r="R7966" s="143" t="s">
        <v>1339</v>
      </c>
      <c r="S7966" s="47"/>
      <c r="T7966" s="6">
        <v>-4429.2</v>
      </c>
      <c r="U7966" s="6"/>
      <c r="V7966" s="6">
        <v>426.6</v>
      </c>
      <c r="W7966" s="6">
        <f t="shared" si="1229"/>
        <v>-4855.8</v>
      </c>
      <c r="X7966" s="6">
        <f t="shared" si="1224"/>
        <v>426.6</v>
      </c>
      <c r="Y7966" s="13">
        <f t="shared" si="1226"/>
        <v>0</v>
      </c>
      <c r="Z7966" s="14">
        <v>0</v>
      </c>
      <c r="AA7966" s="6">
        <v>0</v>
      </c>
      <c r="AB7966" s="4">
        <f t="shared" si="1227"/>
        <v>426.6</v>
      </c>
      <c r="AC7966" s="6">
        <f t="shared" si="1225"/>
        <v>0</v>
      </c>
      <c r="AD7966" s="6">
        <f t="shared" si="1230"/>
        <v>426.6</v>
      </c>
      <c r="AE7966" s="14">
        <f>VLOOKUP(I7966,[2]媒体政策预估表!A:N,MATCH(O7966,[2]媒体政策预估表!$A$2:$M$2,0),0)</f>
        <v>0.1</v>
      </c>
      <c r="AF7966" s="6">
        <f t="shared" si="1223"/>
        <v>42.660000000000004</v>
      </c>
      <c r="AG7966" s="14">
        <v>0</v>
      </c>
      <c r="AH7966" s="64">
        <f t="shared" si="1231"/>
        <v>426.6</v>
      </c>
      <c r="AJ7966" s="126" t="e">
        <v>#N/A</v>
      </c>
      <c r="AK7966" s="80">
        <f t="shared" si="1228"/>
        <v>0</v>
      </c>
      <c r="AL7966" s="85"/>
      <c r="AM7966" s="85"/>
    </row>
    <row r="7967" spans="1:39" s="86" customFormat="1" ht="13.25" hidden="1" customHeight="1" x14ac:dyDescent="0.3">
      <c r="A7967" s="89" t="s">
        <v>3978</v>
      </c>
      <c r="B7967" s="86" t="s">
        <v>35</v>
      </c>
      <c r="C7967" s="86" t="s">
        <v>144</v>
      </c>
      <c r="D7967" s="86" t="s">
        <v>152</v>
      </c>
      <c r="E7967" s="86" t="s">
        <v>157</v>
      </c>
      <c r="F7967" s="86" t="s">
        <v>157</v>
      </c>
      <c r="G7967" s="86" t="s">
        <v>157</v>
      </c>
      <c r="H7967" s="143">
        <v>360</v>
      </c>
      <c r="I7967" s="86" t="s">
        <v>1060</v>
      </c>
      <c r="J7967" s="47" t="s">
        <v>3325</v>
      </c>
      <c r="K7967" s="47" t="s">
        <v>3767</v>
      </c>
      <c r="L7967" s="47" t="s">
        <v>35</v>
      </c>
      <c r="M7967" s="86" t="s">
        <v>157</v>
      </c>
      <c r="O7967" s="47" t="s">
        <v>2054</v>
      </c>
      <c r="P7967" s="14" t="s">
        <v>41</v>
      </c>
      <c r="Q7967" s="14">
        <v>0</v>
      </c>
      <c r="R7967" s="143" t="s">
        <v>1470</v>
      </c>
      <c r="S7967" s="47"/>
      <c r="T7967" s="6">
        <v>-801.6</v>
      </c>
      <c r="U7967" s="6"/>
      <c r="V7967" s="6">
        <v>0</v>
      </c>
      <c r="W7967" s="6">
        <f t="shared" si="1229"/>
        <v>-801.6</v>
      </c>
      <c r="X7967" s="6">
        <f t="shared" si="1224"/>
        <v>0</v>
      </c>
      <c r="Y7967" s="13">
        <f t="shared" si="1226"/>
        <v>0</v>
      </c>
      <c r="Z7967" s="14">
        <v>0</v>
      </c>
      <c r="AA7967" s="6">
        <v>0</v>
      </c>
      <c r="AB7967" s="4">
        <f t="shared" si="1227"/>
        <v>0</v>
      </c>
      <c r="AC7967" s="6">
        <f t="shared" si="1225"/>
        <v>0</v>
      </c>
      <c r="AD7967" s="6">
        <f t="shared" si="1230"/>
        <v>0</v>
      </c>
      <c r="AE7967" s="14">
        <f>VLOOKUP(I7967,[2]媒体政策预估表!A:N,MATCH(O7967,[2]媒体政策预估表!$A$2:$M$2,0),0)</f>
        <v>0.1</v>
      </c>
      <c r="AF7967" s="6">
        <f t="shared" si="1223"/>
        <v>0</v>
      </c>
      <c r="AG7967" s="14">
        <v>0</v>
      </c>
      <c r="AH7967" s="64">
        <f t="shared" si="1231"/>
        <v>0</v>
      </c>
      <c r="AJ7967" s="126" t="e">
        <v>#N/A</v>
      </c>
      <c r="AK7967" s="80">
        <f t="shared" si="1228"/>
        <v>0</v>
      </c>
      <c r="AL7967" s="85"/>
      <c r="AM7967" s="85"/>
    </row>
    <row r="7968" spans="1:39" s="86" customFormat="1" ht="13.25" hidden="1" customHeight="1" x14ac:dyDescent="0.3">
      <c r="A7968" s="89" t="s">
        <v>3792</v>
      </c>
      <c r="B7968" s="86" t="s">
        <v>35</v>
      </c>
      <c r="C7968" s="86" t="s">
        <v>184</v>
      </c>
      <c r="D7968" s="86" t="s">
        <v>54</v>
      </c>
      <c r="E7968" s="86" t="s">
        <v>1200</v>
      </c>
      <c r="F7968" s="86" t="s">
        <v>1201</v>
      </c>
      <c r="G7968" s="86" t="s">
        <v>1200</v>
      </c>
      <c r="H7968" s="143">
        <v>360</v>
      </c>
      <c r="I7968" s="86" t="s">
        <v>1060</v>
      </c>
      <c r="J7968" s="47" t="s">
        <v>3325</v>
      </c>
      <c r="K7968" s="47" t="s">
        <v>3767</v>
      </c>
      <c r="L7968" s="47" t="s">
        <v>35</v>
      </c>
      <c r="M7968" s="86" t="s">
        <v>1200</v>
      </c>
      <c r="O7968" s="47" t="s">
        <v>2054</v>
      </c>
      <c r="P7968" s="14" t="s">
        <v>41</v>
      </c>
      <c r="Q7968" s="14">
        <v>0</v>
      </c>
      <c r="R7968" s="143" t="s">
        <v>1202</v>
      </c>
      <c r="S7968" s="47"/>
      <c r="T7968" s="6">
        <v>-12.464639999999999</v>
      </c>
      <c r="U7968" s="6"/>
      <c r="V7968" s="6">
        <v>0</v>
      </c>
      <c r="W7968" s="6">
        <f t="shared" si="1229"/>
        <v>-12.464639999999999</v>
      </c>
      <c r="X7968" s="6">
        <f t="shared" si="1224"/>
        <v>0</v>
      </c>
      <c r="Y7968" s="13">
        <f t="shared" si="1226"/>
        <v>0</v>
      </c>
      <c r="Z7968" s="14">
        <v>0</v>
      </c>
      <c r="AA7968" s="6">
        <v>0</v>
      </c>
      <c r="AB7968" s="4">
        <f t="shared" si="1227"/>
        <v>0</v>
      </c>
      <c r="AC7968" s="6">
        <f t="shared" si="1225"/>
        <v>0</v>
      </c>
      <c r="AD7968" s="6">
        <f t="shared" si="1230"/>
        <v>0</v>
      </c>
      <c r="AE7968" s="14">
        <f>VLOOKUP(I7968,[2]媒体政策预估表!A:N,MATCH(O7968,[2]媒体政策预估表!$A$2:$M$2,0),0)</f>
        <v>0.1</v>
      </c>
      <c r="AF7968" s="6">
        <f t="shared" si="1223"/>
        <v>0</v>
      </c>
      <c r="AG7968" s="14">
        <v>0</v>
      </c>
      <c r="AH7968" s="64">
        <f t="shared" si="1231"/>
        <v>0</v>
      </c>
      <c r="AJ7968" s="126" t="e">
        <v>#N/A</v>
      </c>
      <c r="AK7968" s="80">
        <f t="shared" si="1228"/>
        <v>0</v>
      </c>
      <c r="AL7968" s="85"/>
      <c r="AM7968" s="85"/>
    </row>
    <row r="7969" spans="1:39" s="86" customFormat="1" ht="13.25" hidden="1" customHeight="1" x14ac:dyDescent="0.3">
      <c r="A7969" s="89" t="s">
        <v>3978</v>
      </c>
      <c r="B7969" s="86" t="s">
        <v>35</v>
      </c>
      <c r="C7969" s="86" t="s">
        <v>144</v>
      </c>
      <c r="D7969" s="86" t="s">
        <v>152</v>
      </c>
      <c r="E7969" s="86" t="s">
        <v>1478</v>
      </c>
      <c r="F7969" s="86" t="s">
        <v>1478</v>
      </c>
      <c r="G7969" s="86" t="s">
        <v>1478</v>
      </c>
      <c r="H7969" s="144">
        <v>360</v>
      </c>
      <c r="I7969" s="86" t="s">
        <v>1060</v>
      </c>
      <c r="J7969" s="47" t="s">
        <v>3325</v>
      </c>
      <c r="K7969" s="47" t="s">
        <v>3767</v>
      </c>
      <c r="L7969" s="47" t="s">
        <v>35</v>
      </c>
      <c r="M7969" s="86" t="s">
        <v>1479</v>
      </c>
      <c r="O7969" s="47" t="s">
        <v>941</v>
      </c>
      <c r="P7969" s="14" t="s">
        <v>46</v>
      </c>
      <c r="Q7969" s="14">
        <v>0.02</v>
      </c>
      <c r="R7969" s="143" t="s">
        <v>3533</v>
      </c>
      <c r="S7969" s="47"/>
      <c r="T7969" s="6">
        <v>-82630.237899999993</v>
      </c>
      <c r="U7969" s="6"/>
      <c r="V7969" s="6">
        <v>30218.570319999999</v>
      </c>
      <c r="W7969" s="6">
        <f t="shared" si="1229"/>
        <v>-112848.80821999999</v>
      </c>
      <c r="X7969" s="6">
        <f t="shared" si="1224"/>
        <v>29626.049333333332</v>
      </c>
      <c r="Y7969" s="13">
        <f t="shared" si="1226"/>
        <v>0</v>
      </c>
      <c r="Z7969" s="14">
        <v>0</v>
      </c>
      <c r="AA7969" s="6">
        <v>0</v>
      </c>
      <c r="AB7969" s="4">
        <f t="shared" si="1227"/>
        <v>29626.049333333332</v>
      </c>
      <c r="AC7969" s="6">
        <f t="shared" si="1225"/>
        <v>592.52098666666643</v>
      </c>
      <c r="AD7969" s="6">
        <f t="shared" si="1230"/>
        <v>30218.570319999999</v>
      </c>
      <c r="AE7969" s="14">
        <f>VLOOKUP(I7969,[2]媒体政策预估表!A:N,MATCH(O7969,[2]媒体政策预估表!$A$2:$M$2,0),0)</f>
        <v>0.15</v>
      </c>
      <c r="AF7969" s="6">
        <f t="shared" si="1223"/>
        <v>4532.7855479999998</v>
      </c>
      <c r="AG7969" s="14">
        <v>0</v>
      </c>
      <c r="AH7969" s="64">
        <f t="shared" si="1231"/>
        <v>30218.570319999999</v>
      </c>
      <c r="AJ7969" s="126" t="e">
        <v>#N/A</v>
      </c>
      <c r="AK7969" s="80">
        <f t="shared" si="1228"/>
        <v>0</v>
      </c>
      <c r="AL7969" s="85"/>
      <c r="AM7969" s="85"/>
    </row>
    <row r="7970" spans="1:39" s="86" customFormat="1" ht="13.25" hidden="1" customHeight="1" x14ac:dyDescent="0.3">
      <c r="A7970" s="89" t="s">
        <v>3978</v>
      </c>
      <c r="B7970" s="86" t="s">
        <v>35</v>
      </c>
      <c r="C7970" s="86" t="s">
        <v>164</v>
      </c>
      <c r="D7970" s="86" t="s">
        <v>174</v>
      </c>
      <c r="E7970" s="86" t="s">
        <v>2007</v>
      </c>
      <c r="F7970" s="86" t="s">
        <v>2007</v>
      </c>
      <c r="G7970" s="86" t="s">
        <v>2007</v>
      </c>
      <c r="H7970" s="143">
        <v>360</v>
      </c>
      <c r="I7970" s="86" t="s">
        <v>1060</v>
      </c>
      <c r="J7970" s="47" t="s">
        <v>3325</v>
      </c>
      <c r="K7970" s="47" t="s">
        <v>3767</v>
      </c>
      <c r="L7970" s="47" t="s">
        <v>35</v>
      </c>
      <c r="M7970" s="86" t="s">
        <v>2007</v>
      </c>
      <c r="O7970" s="47" t="s">
        <v>941</v>
      </c>
      <c r="P7970" s="14" t="s">
        <v>41</v>
      </c>
      <c r="Q7970" s="14">
        <v>0</v>
      </c>
      <c r="R7970" s="143" t="s">
        <v>3571</v>
      </c>
      <c r="S7970" s="47"/>
      <c r="T7970" s="6">
        <v>-302.02226000000002</v>
      </c>
      <c r="U7970" s="6"/>
      <c r="V7970" s="6">
        <v>0</v>
      </c>
      <c r="W7970" s="6">
        <f t="shared" si="1229"/>
        <v>-302.02226000000002</v>
      </c>
      <c r="X7970" s="6">
        <f t="shared" si="1224"/>
        <v>0</v>
      </c>
      <c r="Y7970" s="13">
        <f t="shared" si="1226"/>
        <v>0</v>
      </c>
      <c r="Z7970" s="14">
        <v>0</v>
      </c>
      <c r="AA7970" s="6">
        <v>0</v>
      </c>
      <c r="AB7970" s="4">
        <f t="shared" si="1227"/>
        <v>0</v>
      </c>
      <c r="AC7970" s="6">
        <f t="shared" si="1225"/>
        <v>0</v>
      </c>
      <c r="AD7970" s="6">
        <f t="shared" si="1230"/>
        <v>0</v>
      </c>
      <c r="AE7970" s="14">
        <f>VLOOKUP(I7970,[2]媒体政策预估表!A:N,MATCH(O7970,[2]媒体政策预估表!$A$2:$M$2,0),0)</f>
        <v>0.15</v>
      </c>
      <c r="AF7970" s="6">
        <f t="shared" si="1223"/>
        <v>0</v>
      </c>
      <c r="AG7970" s="14">
        <v>0</v>
      </c>
      <c r="AH7970" s="64">
        <f t="shared" si="1231"/>
        <v>0</v>
      </c>
      <c r="AJ7970" s="126" t="e">
        <v>#N/A</v>
      </c>
      <c r="AK7970" s="80">
        <f t="shared" si="1228"/>
        <v>0</v>
      </c>
      <c r="AL7970" s="85"/>
      <c r="AM7970" s="85"/>
    </row>
    <row r="7971" spans="1:39" s="86" customFormat="1" ht="13.25" hidden="1" customHeight="1" x14ac:dyDescent="0.3">
      <c r="A7971" s="89" t="s">
        <v>3978</v>
      </c>
      <c r="B7971" s="86" t="s">
        <v>35</v>
      </c>
      <c r="C7971" s="86" t="s">
        <v>65</v>
      </c>
      <c r="D7971" s="86" t="s">
        <v>122</v>
      </c>
      <c r="E7971" s="86" t="s">
        <v>1266</v>
      </c>
      <c r="F7971" s="86" t="s">
        <v>1266</v>
      </c>
      <c r="G7971" s="86" t="s">
        <v>1266</v>
      </c>
      <c r="H7971" s="144">
        <v>360</v>
      </c>
      <c r="I7971" s="86" t="s">
        <v>1060</v>
      </c>
      <c r="J7971" s="47" t="s">
        <v>3325</v>
      </c>
      <c r="K7971" s="47" t="s">
        <v>3767</v>
      </c>
      <c r="L7971" s="47" t="s">
        <v>35</v>
      </c>
      <c r="M7971" s="86" t="s">
        <v>1274</v>
      </c>
      <c r="O7971" s="47" t="s">
        <v>2054</v>
      </c>
      <c r="P7971" s="14" t="s">
        <v>41</v>
      </c>
      <c r="Q7971" s="14">
        <v>0</v>
      </c>
      <c r="R7971" s="143" t="s">
        <v>3507</v>
      </c>
      <c r="S7971" s="47"/>
      <c r="T7971" s="6">
        <v>-38596.185080000003</v>
      </c>
      <c r="U7971" s="6"/>
      <c r="V7971" s="6">
        <v>5916.64995</v>
      </c>
      <c r="W7971" s="6">
        <f t="shared" si="1229"/>
        <v>-44512.835030000002</v>
      </c>
      <c r="X7971" s="6">
        <f t="shared" si="1224"/>
        <v>5916.64995</v>
      </c>
      <c r="Y7971" s="13">
        <f t="shared" si="1226"/>
        <v>0</v>
      </c>
      <c r="Z7971" s="14">
        <v>0</v>
      </c>
      <c r="AA7971" s="6">
        <v>0</v>
      </c>
      <c r="AB7971" s="4">
        <f t="shared" si="1227"/>
        <v>5916.64995</v>
      </c>
      <c r="AC7971" s="6">
        <f t="shared" si="1225"/>
        <v>0</v>
      </c>
      <c r="AD7971" s="6">
        <f t="shared" si="1230"/>
        <v>5916.64995</v>
      </c>
      <c r="AE7971" s="14">
        <f>VLOOKUP(I7971,[2]媒体政策预估表!A:N,MATCH(O7971,[2]媒体政策预估表!$A$2:$M$2,0),0)</f>
        <v>0.1</v>
      </c>
      <c r="AF7971" s="6">
        <f t="shared" si="1223"/>
        <v>591.66499499999998</v>
      </c>
      <c r="AG7971" s="14">
        <v>0</v>
      </c>
      <c r="AH7971" s="64">
        <f t="shared" si="1231"/>
        <v>5916.64995</v>
      </c>
      <c r="AJ7971" s="126" t="e">
        <v>#N/A</v>
      </c>
      <c r="AK7971" s="80">
        <f t="shared" si="1228"/>
        <v>0</v>
      </c>
      <c r="AL7971" s="85"/>
      <c r="AM7971" s="85"/>
    </row>
    <row r="7972" spans="1:39" s="86" customFormat="1" ht="13.25" hidden="1" customHeight="1" x14ac:dyDescent="0.3">
      <c r="A7972" s="89" t="s">
        <v>3978</v>
      </c>
      <c r="B7972" s="86" t="s">
        <v>35</v>
      </c>
      <c r="C7972" s="86" t="s">
        <v>144</v>
      </c>
      <c r="D7972" s="86" t="s">
        <v>145</v>
      </c>
      <c r="E7972" s="86" t="s">
        <v>1416</v>
      </c>
      <c r="F7972" s="86" t="s">
        <v>1416</v>
      </c>
      <c r="G7972" s="86" t="s">
        <v>1416</v>
      </c>
      <c r="H7972" s="144">
        <v>360</v>
      </c>
      <c r="I7972" s="86" t="s">
        <v>1060</v>
      </c>
      <c r="J7972" s="47" t="s">
        <v>3325</v>
      </c>
      <c r="K7972" s="47" t="s">
        <v>3767</v>
      </c>
      <c r="L7972" s="47" t="s">
        <v>35</v>
      </c>
      <c r="M7972" s="86" t="s">
        <v>1416</v>
      </c>
      <c r="O7972" s="47" t="s">
        <v>2054</v>
      </c>
      <c r="P7972" s="14" t="s">
        <v>46</v>
      </c>
      <c r="Q7972" s="14">
        <v>0.02</v>
      </c>
      <c r="R7972" s="143" t="s">
        <v>3517</v>
      </c>
      <c r="S7972" s="47"/>
      <c r="T7972" s="6">
        <v>-162.03792000000001</v>
      </c>
      <c r="U7972" s="6"/>
      <c r="V7972" s="6">
        <v>5292.6885300000004</v>
      </c>
      <c r="W7972" s="6">
        <f t="shared" si="1229"/>
        <v>-5454.7264500000001</v>
      </c>
      <c r="X7972" s="6">
        <f t="shared" si="1224"/>
        <v>5188.9103235294124</v>
      </c>
      <c r="Y7972" s="13">
        <f t="shared" si="1226"/>
        <v>0</v>
      </c>
      <c r="Z7972" s="14">
        <v>0</v>
      </c>
      <c r="AA7972" s="6">
        <v>0</v>
      </c>
      <c r="AB7972" s="4">
        <f t="shared" si="1227"/>
        <v>5188.9103235294124</v>
      </c>
      <c r="AC7972" s="6">
        <f t="shared" si="1225"/>
        <v>103.77820647058797</v>
      </c>
      <c r="AD7972" s="6">
        <f t="shared" si="1230"/>
        <v>5292.6885300000004</v>
      </c>
      <c r="AE7972" s="14">
        <f>VLOOKUP(I7972,[2]媒体政策预估表!A:N,MATCH(O7972,[2]媒体政策预估表!$A$2:$M$2,0),0)</f>
        <v>0.1</v>
      </c>
      <c r="AF7972" s="6">
        <f t="shared" ref="AF7972:AF8035" si="1232">AD7972*AE7972</f>
        <v>529.26885300000004</v>
      </c>
      <c r="AG7972" s="14">
        <v>0</v>
      </c>
      <c r="AH7972" s="64">
        <f t="shared" si="1231"/>
        <v>5292.6885300000004</v>
      </c>
      <c r="AJ7972" s="126" t="e">
        <v>#N/A</v>
      </c>
      <c r="AK7972" s="80">
        <f t="shared" si="1228"/>
        <v>0</v>
      </c>
      <c r="AL7972" s="85"/>
      <c r="AM7972" s="85"/>
    </row>
    <row r="7973" spans="1:39" s="86" customFormat="1" ht="13.25" hidden="1" customHeight="1" x14ac:dyDescent="0.3">
      <c r="A7973" s="89" t="s">
        <v>3978</v>
      </c>
      <c r="B7973" s="86" t="s">
        <v>35</v>
      </c>
      <c r="C7973" s="86" t="s">
        <v>65</v>
      </c>
      <c r="D7973" s="86" t="s">
        <v>122</v>
      </c>
      <c r="E7973" s="86" t="s">
        <v>1266</v>
      </c>
      <c r="F7973" s="86" t="s">
        <v>1266</v>
      </c>
      <c r="G7973" s="86" t="s">
        <v>1266</v>
      </c>
      <c r="H7973" s="144">
        <v>360</v>
      </c>
      <c r="I7973" s="86" t="s">
        <v>1060</v>
      </c>
      <c r="J7973" s="47" t="s">
        <v>3325</v>
      </c>
      <c r="K7973" s="47" t="s">
        <v>3767</v>
      </c>
      <c r="L7973" s="47" t="s">
        <v>35</v>
      </c>
      <c r="M7973" s="86" t="s">
        <v>3505</v>
      </c>
      <c r="O7973" s="47" t="s">
        <v>2054</v>
      </c>
      <c r="P7973" s="14" t="s">
        <v>41</v>
      </c>
      <c r="Q7973" s="14">
        <v>0</v>
      </c>
      <c r="R7973" s="143" t="s">
        <v>3506</v>
      </c>
      <c r="S7973" s="47"/>
      <c r="T7973" s="6">
        <v>-51450.309130000001</v>
      </c>
      <c r="U7973" s="6"/>
      <c r="V7973" s="6">
        <v>5656.6079600000003</v>
      </c>
      <c r="W7973" s="6">
        <f t="shared" si="1229"/>
        <v>-57106.917090000003</v>
      </c>
      <c r="X7973" s="6">
        <f t="shared" si="1224"/>
        <v>5656.6079600000003</v>
      </c>
      <c r="Y7973" s="13">
        <f t="shared" si="1226"/>
        <v>0</v>
      </c>
      <c r="Z7973" s="14">
        <v>0</v>
      </c>
      <c r="AA7973" s="6">
        <v>0</v>
      </c>
      <c r="AB7973" s="4">
        <f t="shared" si="1227"/>
        <v>5656.6079600000003</v>
      </c>
      <c r="AC7973" s="6">
        <f t="shared" si="1225"/>
        <v>0</v>
      </c>
      <c r="AD7973" s="6">
        <f t="shared" si="1230"/>
        <v>5656.6079600000003</v>
      </c>
      <c r="AE7973" s="14">
        <f>VLOOKUP(I7973,[2]媒体政策预估表!A:N,MATCH(O7973,[2]媒体政策预估表!$A$2:$M$2,0),0)</f>
        <v>0.1</v>
      </c>
      <c r="AF7973" s="6">
        <f t="shared" si="1232"/>
        <v>565.660796</v>
      </c>
      <c r="AG7973" s="14">
        <v>0</v>
      </c>
      <c r="AH7973" s="64">
        <f t="shared" si="1231"/>
        <v>5656.6079600000003</v>
      </c>
      <c r="AJ7973" s="126" t="e">
        <v>#N/A</v>
      </c>
      <c r="AK7973" s="80">
        <f t="shared" si="1228"/>
        <v>0</v>
      </c>
      <c r="AL7973" s="85"/>
      <c r="AM7973" s="85"/>
    </row>
    <row r="7974" spans="1:39" s="86" customFormat="1" ht="13.25" hidden="1" customHeight="1" x14ac:dyDescent="0.3">
      <c r="A7974" s="89" t="s">
        <v>3978</v>
      </c>
      <c r="B7974" s="86" t="s">
        <v>35</v>
      </c>
      <c r="C7974" s="86" t="s">
        <v>164</v>
      </c>
      <c r="D7974" s="86" t="s">
        <v>174</v>
      </c>
      <c r="E7974" s="86" t="s">
        <v>1617</v>
      </c>
      <c r="F7974" s="86" t="s">
        <v>1617</v>
      </c>
      <c r="G7974" s="86" t="s">
        <v>1617</v>
      </c>
      <c r="H7974" s="144">
        <v>360</v>
      </c>
      <c r="I7974" s="86" t="s">
        <v>1060</v>
      </c>
      <c r="J7974" s="47" t="s">
        <v>3325</v>
      </c>
      <c r="K7974" s="47" t="s">
        <v>3767</v>
      </c>
      <c r="L7974" s="47" t="s">
        <v>35</v>
      </c>
      <c r="M7974" s="86" t="s">
        <v>1617</v>
      </c>
      <c r="O7974" s="47" t="s">
        <v>2054</v>
      </c>
      <c r="P7974" s="14" t="s">
        <v>46</v>
      </c>
      <c r="Q7974" s="14">
        <v>0.01</v>
      </c>
      <c r="R7974" s="143" t="s">
        <v>1620</v>
      </c>
      <c r="S7974" s="47"/>
      <c r="T7974" s="6">
        <v>-923.69376999999997</v>
      </c>
      <c r="U7974" s="6"/>
      <c r="V7974" s="6">
        <v>2277.4672700000001</v>
      </c>
      <c r="W7974" s="6">
        <f t="shared" si="1229"/>
        <v>-3201.16104</v>
      </c>
      <c r="X7974" s="6">
        <f t="shared" si="1224"/>
        <v>2254.9180891089109</v>
      </c>
      <c r="Y7974" s="13">
        <f t="shared" si="1226"/>
        <v>0</v>
      </c>
      <c r="Z7974" s="14">
        <v>0</v>
      </c>
      <c r="AA7974" s="6">
        <v>0</v>
      </c>
      <c r="AB7974" s="4">
        <f t="shared" si="1227"/>
        <v>2254.9180891089109</v>
      </c>
      <c r="AC7974" s="6">
        <f t="shared" si="1225"/>
        <v>22.549180891089236</v>
      </c>
      <c r="AD7974" s="6">
        <f t="shared" si="1230"/>
        <v>2277.4672700000001</v>
      </c>
      <c r="AE7974" s="14">
        <f>VLOOKUP(I7974,[2]媒体政策预估表!A:N,MATCH(O7974,[2]媒体政策预估表!$A$2:$M$2,0),0)</f>
        <v>0.1</v>
      </c>
      <c r="AF7974" s="6">
        <f t="shared" si="1232"/>
        <v>227.74672700000002</v>
      </c>
      <c r="AG7974" s="14">
        <v>0</v>
      </c>
      <c r="AH7974" s="64">
        <f t="shared" si="1231"/>
        <v>2277.4672700000001</v>
      </c>
      <c r="AJ7974" s="126" t="e">
        <v>#N/A</v>
      </c>
      <c r="AK7974" s="80">
        <f t="shared" si="1228"/>
        <v>0</v>
      </c>
      <c r="AL7974" s="85"/>
      <c r="AM7974" s="85"/>
    </row>
    <row r="7975" spans="1:39" s="86" customFormat="1" ht="13.25" hidden="1" customHeight="1" x14ac:dyDescent="0.3">
      <c r="A7975" s="89" t="s">
        <v>3978</v>
      </c>
      <c r="B7975" s="86" t="s">
        <v>35</v>
      </c>
      <c r="C7975" s="86" t="s">
        <v>65</v>
      </c>
      <c r="D7975" s="86" t="s">
        <v>122</v>
      </c>
      <c r="E7975" s="86" t="s">
        <v>1266</v>
      </c>
      <c r="F7975" s="86" t="s">
        <v>1266</v>
      </c>
      <c r="G7975" s="86" t="s">
        <v>1266</v>
      </c>
      <c r="H7975" s="144">
        <v>360</v>
      </c>
      <c r="I7975" s="86" t="s">
        <v>1060</v>
      </c>
      <c r="J7975" s="47" t="s">
        <v>3325</v>
      </c>
      <c r="K7975" s="47" t="s">
        <v>3767</v>
      </c>
      <c r="L7975" s="47" t="s">
        <v>35</v>
      </c>
      <c r="M7975" s="86" t="s">
        <v>1266</v>
      </c>
      <c r="O7975" s="47" t="s">
        <v>2054</v>
      </c>
      <c r="P7975" s="14" t="s">
        <v>41</v>
      </c>
      <c r="Q7975" s="14">
        <v>0</v>
      </c>
      <c r="R7975" s="143" t="s">
        <v>3504</v>
      </c>
      <c r="S7975" s="47"/>
      <c r="T7975" s="6">
        <v>-4860.77747</v>
      </c>
      <c r="U7975" s="6"/>
      <c r="V7975" s="6">
        <v>2163.3143399999999</v>
      </c>
      <c r="W7975" s="6">
        <f t="shared" si="1229"/>
        <v>-7024.0918099999999</v>
      </c>
      <c r="X7975" s="6">
        <f t="shared" si="1224"/>
        <v>2163.3143399999999</v>
      </c>
      <c r="Y7975" s="13">
        <f t="shared" si="1226"/>
        <v>0</v>
      </c>
      <c r="Z7975" s="14">
        <v>0</v>
      </c>
      <c r="AA7975" s="6">
        <v>0</v>
      </c>
      <c r="AB7975" s="4">
        <f t="shared" si="1227"/>
        <v>2163.3143399999999</v>
      </c>
      <c r="AC7975" s="6">
        <f t="shared" si="1225"/>
        <v>0</v>
      </c>
      <c r="AD7975" s="6">
        <f t="shared" si="1230"/>
        <v>2163.3143399999999</v>
      </c>
      <c r="AE7975" s="14">
        <f>VLOOKUP(I7975,[2]媒体政策预估表!A:N,MATCH(O7975,[2]媒体政策预估表!$A$2:$M$2,0),0)</f>
        <v>0.1</v>
      </c>
      <c r="AF7975" s="6">
        <f t="shared" si="1232"/>
        <v>216.331434</v>
      </c>
      <c r="AG7975" s="14">
        <v>0</v>
      </c>
      <c r="AH7975" s="64">
        <f t="shared" si="1231"/>
        <v>2163.3143399999999</v>
      </c>
      <c r="AJ7975" s="126" t="e">
        <v>#N/A</v>
      </c>
      <c r="AK7975" s="80">
        <f t="shared" si="1228"/>
        <v>0</v>
      </c>
      <c r="AL7975" s="85"/>
      <c r="AM7975" s="85"/>
    </row>
    <row r="7976" spans="1:39" s="86" customFormat="1" ht="13.25" hidden="1" customHeight="1" x14ac:dyDescent="0.3">
      <c r="A7976" s="89" t="s">
        <v>3792</v>
      </c>
      <c r="B7976" s="86" t="s">
        <v>35</v>
      </c>
      <c r="C7976" s="86" t="s">
        <v>184</v>
      </c>
      <c r="D7976" s="86" t="s">
        <v>3849</v>
      </c>
      <c r="E7976" s="86" t="s">
        <v>1366</v>
      </c>
      <c r="F7976" s="86" t="s">
        <v>1367</v>
      </c>
      <c r="G7976" s="86" t="s">
        <v>1366</v>
      </c>
      <c r="H7976" s="144">
        <v>360</v>
      </c>
      <c r="I7976" s="86" t="s">
        <v>1060</v>
      </c>
      <c r="J7976" s="47" t="s">
        <v>3325</v>
      </c>
      <c r="K7976" s="47" t="s">
        <v>3767</v>
      </c>
      <c r="L7976" s="47" t="s">
        <v>35</v>
      </c>
      <c r="M7976" s="86" t="s">
        <v>1368</v>
      </c>
      <c r="O7976" s="47" t="s">
        <v>4118</v>
      </c>
      <c r="P7976" s="14" t="s">
        <v>41</v>
      </c>
      <c r="Q7976" s="14">
        <v>0</v>
      </c>
      <c r="R7976" s="143" t="s">
        <v>1369</v>
      </c>
      <c r="S7976" s="47"/>
      <c r="T7976" s="6">
        <v>0</v>
      </c>
      <c r="U7976" s="6"/>
      <c r="V7976" s="6">
        <v>322.99068</v>
      </c>
      <c r="W7976" s="6">
        <f t="shared" si="1229"/>
        <v>-322.99068</v>
      </c>
      <c r="X7976" s="6">
        <f t="shared" si="1224"/>
        <v>322.99068</v>
      </c>
      <c r="Y7976" s="13">
        <f t="shared" si="1226"/>
        <v>0</v>
      </c>
      <c r="Z7976" s="14">
        <v>0</v>
      </c>
      <c r="AA7976" s="6">
        <v>0</v>
      </c>
      <c r="AB7976" s="4">
        <f t="shared" si="1227"/>
        <v>322.99068</v>
      </c>
      <c r="AC7976" s="6">
        <f t="shared" si="1225"/>
        <v>0</v>
      </c>
      <c r="AD7976" s="6">
        <f t="shared" si="1230"/>
        <v>322.99068</v>
      </c>
      <c r="AE7976" s="14">
        <f>VLOOKUP(I7976,[2]媒体政策预估表!A:N,MATCH(O7976,[2]媒体政策预估表!$A$2:$M$2,0),0)</f>
        <v>0.1</v>
      </c>
      <c r="AF7976" s="6">
        <f t="shared" si="1232"/>
        <v>32.299067999999998</v>
      </c>
      <c r="AG7976" s="14">
        <v>0</v>
      </c>
      <c r="AH7976" s="64">
        <f t="shared" si="1231"/>
        <v>322.99068</v>
      </c>
      <c r="AJ7976" s="126" t="e">
        <v>#N/A</v>
      </c>
      <c r="AK7976" s="80">
        <f t="shared" si="1228"/>
        <v>0</v>
      </c>
      <c r="AL7976" s="85"/>
      <c r="AM7976" s="85"/>
    </row>
    <row r="7977" spans="1:39" s="86" customFormat="1" ht="13.25" hidden="1" customHeight="1" x14ac:dyDescent="0.3">
      <c r="A7977" s="89" t="s">
        <v>3978</v>
      </c>
      <c r="B7977" s="86" t="s">
        <v>35</v>
      </c>
      <c r="C7977" s="86" t="s">
        <v>184</v>
      </c>
      <c r="D7977" s="86" t="s">
        <v>54</v>
      </c>
      <c r="E7977" s="86" t="s">
        <v>4105</v>
      </c>
      <c r="F7977" s="86" t="s">
        <v>4105</v>
      </c>
      <c r="G7977" s="86" t="s">
        <v>4105</v>
      </c>
      <c r="H7977" s="144">
        <v>360</v>
      </c>
      <c r="I7977" s="86" t="s">
        <v>1060</v>
      </c>
      <c r="J7977" s="47" t="s">
        <v>3325</v>
      </c>
      <c r="K7977" s="47" t="s">
        <v>3767</v>
      </c>
      <c r="L7977" s="47" t="s">
        <v>35</v>
      </c>
      <c r="M7977" s="86" t="s">
        <v>4105</v>
      </c>
      <c r="O7977" s="47" t="s">
        <v>4118</v>
      </c>
      <c r="P7977" s="47" t="s">
        <v>41</v>
      </c>
      <c r="Q7977" s="14">
        <v>0</v>
      </c>
      <c r="R7977" s="143" t="s">
        <v>4106</v>
      </c>
      <c r="S7977" s="47"/>
      <c r="T7977" s="6">
        <v>0</v>
      </c>
      <c r="U7977" s="6">
        <v>0</v>
      </c>
      <c r="V7977" s="6">
        <v>218.1</v>
      </c>
      <c r="W7977" s="6">
        <f t="shared" si="1229"/>
        <v>-218.1</v>
      </c>
      <c r="X7977" s="6">
        <f t="shared" si="1224"/>
        <v>218.1</v>
      </c>
      <c r="Y7977" s="13">
        <f t="shared" si="1226"/>
        <v>0</v>
      </c>
      <c r="Z7977" s="66">
        <v>0</v>
      </c>
      <c r="AA7977" s="6">
        <v>0</v>
      </c>
      <c r="AB7977" s="4">
        <f t="shared" si="1227"/>
        <v>218.1</v>
      </c>
      <c r="AC7977" s="6">
        <f t="shared" si="1225"/>
        <v>0</v>
      </c>
      <c r="AD7977" s="6">
        <f t="shared" si="1230"/>
        <v>218.1</v>
      </c>
      <c r="AE7977" s="14">
        <f>VLOOKUP(I7977,[2]媒体政策预估表!A:N,MATCH(O7977,[2]媒体政策预估表!$A$2:$M$2,0),0)</f>
        <v>0.1</v>
      </c>
      <c r="AF7977" s="6">
        <f t="shared" si="1232"/>
        <v>21.810000000000002</v>
      </c>
      <c r="AG7977" s="14">
        <v>0</v>
      </c>
      <c r="AH7977" s="64">
        <f t="shared" si="1231"/>
        <v>218.1</v>
      </c>
      <c r="AJ7977" s="126" t="e">
        <v>#N/A</v>
      </c>
      <c r="AK7977" s="80">
        <f t="shared" si="1228"/>
        <v>0</v>
      </c>
      <c r="AL7977" s="85"/>
      <c r="AM7977" s="85"/>
    </row>
    <row r="7978" spans="1:39" s="86" customFormat="1" ht="13.25" hidden="1" customHeight="1" x14ac:dyDescent="0.3">
      <c r="A7978" s="89" t="s">
        <v>3792</v>
      </c>
      <c r="B7978" s="86" t="s">
        <v>35</v>
      </c>
      <c r="C7978" s="86" t="s">
        <v>184</v>
      </c>
      <c r="D7978" s="86" t="s">
        <v>3849</v>
      </c>
      <c r="E7978" s="86" t="s">
        <v>1336</v>
      </c>
      <c r="F7978" s="86" t="s">
        <v>1337</v>
      </c>
      <c r="G7978" s="86" t="s">
        <v>1336</v>
      </c>
      <c r="H7978" s="144">
        <v>360</v>
      </c>
      <c r="I7978" s="86" t="s">
        <v>1060</v>
      </c>
      <c r="J7978" s="47" t="s">
        <v>3325</v>
      </c>
      <c r="K7978" s="47" t="s">
        <v>3767</v>
      </c>
      <c r="L7978" s="47" t="s">
        <v>35</v>
      </c>
      <c r="M7978" s="86" t="s">
        <v>1336</v>
      </c>
      <c r="O7978" s="47" t="s">
        <v>4119</v>
      </c>
      <c r="P7978" s="47" t="s">
        <v>41</v>
      </c>
      <c r="Q7978" s="14">
        <v>0</v>
      </c>
      <c r="R7978" s="143" t="s">
        <v>4113</v>
      </c>
      <c r="S7978" s="47"/>
      <c r="T7978" s="6">
        <v>0</v>
      </c>
      <c r="U7978" s="6">
        <v>0</v>
      </c>
      <c r="V7978" s="6">
        <v>12123.9</v>
      </c>
      <c r="W7978" s="6">
        <f t="shared" si="1229"/>
        <v>-12123.9</v>
      </c>
      <c r="X7978" s="6">
        <f t="shared" si="1224"/>
        <v>12123.9</v>
      </c>
      <c r="Y7978" s="13">
        <f t="shared" si="1226"/>
        <v>0</v>
      </c>
      <c r="Z7978" s="66">
        <v>0</v>
      </c>
      <c r="AA7978" s="6">
        <v>0</v>
      </c>
      <c r="AB7978" s="4">
        <f t="shared" si="1227"/>
        <v>12123.9</v>
      </c>
      <c r="AC7978" s="6">
        <f t="shared" si="1225"/>
        <v>0</v>
      </c>
      <c r="AD7978" s="6">
        <f t="shared" si="1230"/>
        <v>12123.9</v>
      </c>
      <c r="AE7978" s="14">
        <f>VLOOKUP(I7978,[2]媒体政策预估表!A:N,MATCH(O7978,[2]媒体政策预估表!$A$2:$M$2,0),0)</f>
        <v>0.1</v>
      </c>
      <c r="AF7978" s="6">
        <f t="shared" si="1232"/>
        <v>1212.3900000000001</v>
      </c>
      <c r="AG7978" s="14">
        <v>0</v>
      </c>
      <c r="AH7978" s="64">
        <f t="shared" si="1231"/>
        <v>12123.9</v>
      </c>
      <c r="AJ7978" s="126" t="e">
        <v>#N/A</v>
      </c>
      <c r="AK7978" s="80">
        <f t="shared" si="1228"/>
        <v>0</v>
      </c>
      <c r="AL7978" s="85"/>
      <c r="AM7978" s="85"/>
    </row>
    <row r="7979" spans="1:39" s="86" customFormat="1" ht="13.25" hidden="1" customHeight="1" x14ac:dyDescent="0.3">
      <c r="A7979" s="89" t="s">
        <v>3978</v>
      </c>
      <c r="B7979" s="86" t="s">
        <v>35</v>
      </c>
      <c r="C7979" s="86" t="s">
        <v>36</v>
      </c>
      <c r="D7979" s="86" t="s">
        <v>185</v>
      </c>
      <c r="E7979" s="86" t="s">
        <v>4018</v>
      </c>
      <c r="F7979" s="86" t="s">
        <v>4018</v>
      </c>
      <c r="G7979" s="86" t="s">
        <v>4018</v>
      </c>
      <c r="H7979" s="144">
        <v>360</v>
      </c>
      <c r="I7979" s="86" t="s">
        <v>1060</v>
      </c>
      <c r="J7979" s="47" t="s">
        <v>3325</v>
      </c>
      <c r="K7979" s="47" t="s">
        <v>3767</v>
      </c>
      <c r="L7979" s="47" t="s">
        <v>35</v>
      </c>
      <c r="M7979" s="86" t="s">
        <v>4018</v>
      </c>
      <c r="O7979" s="47" t="s">
        <v>941</v>
      </c>
      <c r="P7979" s="47" t="s">
        <v>41</v>
      </c>
      <c r="Q7979" s="14">
        <v>0</v>
      </c>
      <c r="R7979" s="143">
        <v>1704652779</v>
      </c>
      <c r="S7979" s="47"/>
      <c r="T7979" s="6">
        <v>0</v>
      </c>
      <c r="U7979" s="6">
        <v>0</v>
      </c>
      <c r="V7979" s="6">
        <v>210</v>
      </c>
      <c r="W7979" s="6">
        <f t="shared" si="1229"/>
        <v>-210</v>
      </c>
      <c r="X7979" s="6">
        <f t="shared" si="1224"/>
        <v>210</v>
      </c>
      <c r="Y7979" s="13">
        <f t="shared" si="1226"/>
        <v>0</v>
      </c>
      <c r="Z7979" s="66">
        <v>0</v>
      </c>
      <c r="AA7979" s="6">
        <v>0</v>
      </c>
      <c r="AB7979" s="4">
        <f t="shared" si="1227"/>
        <v>210</v>
      </c>
      <c r="AC7979" s="6">
        <f t="shared" si="1225"/>
        <v>0</v>
      </c>
      <c r="AD7979" s="6">
        <f t="shared" si="1230"/>
        <v>210</v>
      </c>
      <c r="AE7979" s="14">
        <f>VLOOKUP(I7979,[2]媒体政策预估表!A:N,MATCH(O7979,[2]媒体政策预估表!$A$2:$M$2,0),0)</f>
        <v>0.15</v>
      </c>
      <c r="AF7979" s="6">
        <f t="shared" si="1232"/>
        <v>31.5</v>
      </c>
      <c r="AG7979" s="14">
        <v>0</v>
      </c>
      <c r="AH7979" s="64">
        <f t="shared" si="1231"/>
        <v>210</v>
      </c>
      <c r="AJ7979" s="126" t="e">
        <v>#N/A</v>
      </c>
      <c r="AK7979" s="80">
        <f t="shared" si="1228"/>
        <v>0</v>
      </c>
      <c r="AL7979" s="85"/>
      <c r="AM7979" s="85"/>
    </row>
    <row r="7980" spans="1:39" s="86" customFormat="1" ht="13.25" hidden="1" customHeight="1" x14ac:dyDescent="0.3">
      <c r="A7980" s="89" t="s">
        <v>3978</v>
      </c>
      <c r="B7980" s="86" t="s">
        <v>35</v>
      </c>
      <c r="C7980" s="86" t="s">
        <v>184</v>
      </c>
      <c r="D7980" s="86" t="s">
        <v>3849</v>
      </c>
      <c r="E7980" s="86" t="s">
        <v>64</v>
      </c>
      <c r="F7980" s="86" t="s">
        <v>1343</v>
      </c>
      <c r="G7980" s="86" t="s">
        <v>64</v>
      </c>
      <c r="H7980" s="144">
        <v>360</v>
      </c>
      <c r="I7980" s="86" t="s">
        <v>1060</v>
      </c>
      <c r="J7980" s="47" t="s">
        <v>3325</v>
      </c>
      <c r="K7980" s="47" t="s">
        <v>3767</v>
      </c>
      <c r="L7980" s="47" t="s">
        <v>35</v>
      </c>
      <c r="M7980" s="86" t="s">
        <v>64</v>
      </c>
      <c r="O7980" s="47" t="s">
        <v>941</v>
      </c>
      <c r="P7980" s="47" t="s">
        <v>46</v>
      </c>
      <c r="Q7980" s="14">
        <v>0.04</v>
      </c>
      <c r="R7980" s="143" t="s">
        <v>4114</v>
      </c>
      <c r="S7980" s="47"/>
      <c r="T7980" s="6">
        <v>0</v>
      </c>
      <c r="U7980" s="6">
        <v>0</v>
      </c>
      <c r="V7980" s="6">
        <v>90823.73</v>
      </c>
      <c r="W7980" s="6">
        <f t="shared" si="1229"/>
        <v>-90823.73</v>
      </c>
      <c r="X7980" s="6">
        <f t="shared" si="1224"/>
        <v>87330.50961538461</v>
      </c>
      <c r="Y7980" s="13">
        <f t="shared" si="1226"/>
        <v>0</v>
      </c>
      <c r="Z7980" s="66">
        <v>0</v>
      </c>
      <c r="AA7980" s="6">
        <v>0</v>
      </c>
      <c r="AB7980" s="4">
        <f t="shared" si="1227"/>
        <v>87330.50961538461</v>
      </c>
      <c r="AC7980" s="6">
        <f t="shared" si="1225"/>
        <v>3493.2203846153861</v>
      </c>
      <c r="AD7980" s="6">
        <f t="shared" si="1230"/>
        <v>90823.73</v>
      </c>
      <c r="AE7980" s="14">
        <f>VLOOKUP(I7980,[2]媒体政策预估表!A:N,MATCH(O7980,[2]媒体政策预估表!$A$2:$M$2,0),0)</f>
        <v>0.15</v>
      </c>
      <c r="AF7980" s="6">
        <f t="shared" si="1232"/>
        <v>13623.559499999999</v>
      </c>
      <c r="AG7980" s="14">
        <v>0</v>
      </c>
      <c r="AH7980" s="64">
        <f t="shared" si="1231"/>
        <v>90823.73</v>
      </c>
      <c r="AJ7980" s="126" t="e">
        <v>#N/A</v>
      </c>
      <c r="AK7980" s="80">
        <f t="shared" si="1228"/>
        <v>0</v>
      </c>
      <c r="AL7980" s="85"/>
      <c r="AM7980" s="85"/>
    </row>
    <row r="7981" spans="1:39" s="86" customFormat="1" ht="13.25" hidden="1" customHeight="1" x14ac:dyDescent="0.3">
      <c r="A7981" s="89" t="s">
        <v>3978</v>
      </c>
      <c r="B7981" s="86" t="s">
        <v>35</v>
      </c>
      <c r="C7981" s="86" t="s">
        <v>184</v>
      </c>
      <c r="D7981" s="86" t="s">
        <v>3849</v>
      </c>
      <c r="E7981" s="86" t="s">
        <v>1336</v>
      </c>
      <c r="F7981" s="86" t="s">
        <v>1337</v>
      </c>
      <c r="G7981" s="86" t="s">
        <v>1336</v>
      </c>
      <c r="H7981" s="144">
        <v>360</v>
      </c>
      <c r="I7981" s="86" t="s">
        <v>1060</v>
      </c>
      <c r="J7981" s="47" t="s">
        <v>3325</v>
      </c>
      <c r="K7981" s="47" t="s">
        <v>3767</v>
      </c>
      <c r="L7981" s="47" t="s">
        <v>35</v>
      </c>
      <c r="M7981" s="86" t="s">
        <v>1336</v>
      </c>
      <c r="O7981" s="47" t="s">
        <v>2054</v>
      </c>
      <c r="P7981" s="47" t="s">
        <v>41</v>
      </c>
      <c r="Q7981" s="14">
        <v>0</v>
      </c>
      <c r="R7981" s="143" t="s">
        <v>4113</v>
      </c>
      <c r="S7981" s="47"/>
      <c r="T7981" s="6">
        <v>0</v>
      </c>
      <c r="U7981" s="6">
        <v>0</v>
      </c>
      <c r="V7981" s="6">
        <v>5255.4</v>
      </c>
      <c r="W7981" s="6">
        <f t="shared" si="1229"/>
        <v>-5255.4</v>
      </c>
      <c r="X7981" s="6">
        <f t="shared" si="1224"/>
        <v>5255.4</v>
      </c>
      <c r="Y7981" s="13">
        <f t="shared" si="1226"/>
        <v>0</v>
      </c>
      <c r="Z7981" s="66">
        <v>0</v>
      </c>
      <c r="AA7981" s="6">
        <v>0</v>
      </c>
      <c r="AB7981" s="4">
        <f t="shared" si="1227"/>
        <v>5255.4</v>
      </c>
      <c r="AC7981" s="6">
        <f t="shared" si="1225"/>
        <v>0</v>
      </c>
      <c r="AD7981" s="6">
        <f t="shared" si="1230"/>
        <v>5255.4</v>
      </c>
      <c r="AE7981" s="14">
        <f>VLOOKUP(I7981,[2]媒体政策预估表!A:N,MATCH(O7981,[2]媒体政策预估表!$A$2:$M$2,0),0)</f>
        <v>0.1</v>
      </c>
      <c r="AF7981" s="6">
        <f t="shared" si="1232"/>
        <v>525.54</v>
      </c>
      <c r="AG7981" s="14">
        <v>0</v>
      </c>
      <c r="AH7981" s="64">
        <f t="shared" si="1231"/>
        <v>5255.4</v>
      </c>
      <c r="AJ7981" s="126" t="e">
        <v>#N/A</v>
      </c>
      <c r="AK7981" s="80">
        <f t="shared" si="1228"/>
        <v>0</v>
      </c>
      <c r="AL7981" s="85"/>
      <c r="AM7981" s="85"/>
    </row>
    <row r="7982" spans="1:39" s="86" customFormat="1" ht="13.25" hidden="1" customHeight="1" x14ac:dyDescent="0.3">
      <c r="A7982" s="89" t="s">
        <v>3978</v>
      </c>
      <c r="B7982" s="86" t="s">
        <v>35</v>
      </c>
      <c r="C7982" s="86" t="s">
        <v>184</v>
      </c>
      <c r="D7982" s="86" t="s">
        <v>3849</v>
      </c>
      <c r="E7982" s="86" t="s">
        <v>540</v>
      </c>
      <c r="F7982" s="86" t="s">
        <v>541</v>
      </c>
      <c r="G7982" s="86" t="s">
        <v>540</v>
      </c>
      <c r="H7982" s="144">
        <v>360</v>
      </c>
      <c r="I7982" s="86" t="s">
        <v>1060</v>
      </c>
      <c r="J7982" s="47" t="s">
        <v>3325</v>
      </c>
      <c r="K7982" s="47" t="s">
        <v>3767</v>
      </c>
      <c r="L7982" s="47" t="s">
        <v>35</v>
      </c>
      <c r="M7982" s="86" t="s">
        <v>540</v>
      </c>
      <c r="O7982" s="47" t="s">
        <v>2054</v>
      </c>
      <c r="P7982" s="14" t="s">
        <v>41</v>
      </c>
      <c r="Q7982" s="14">
        <v>0</v>
      </c>
      <c r="R7982" s="143" t="s">
        <v>1355</v>
      </c>
      <c r="S7982" s="47"/>
      <c r="T7982" s="6">
        <v>0</v>
      </c>
      <c r="U7982" s="6"/>
      <c r="V7982" s="6">
        <v>4494.3514599999999</v>
      </c>
      <c r="W7982" s="6">
        <f t="shared" si="1229"/>
        <v>-4494.3514599999999</v>
      </c>
      <c r="X7982" s="6">
        <f t="shared" si="1224"/>
        <v>4494.3514599999999</v>
      </c>
      <c r="Y7982" s="13">
        <f t="shared" si="1226"/>
        <v>0</v>
      </c>
      <c r="Z7982" s="14">
        <v>0</v>
      </c>
      <c r="AA7982" s="6">
        <v>0</v>
      </c>
      <c r="AB7982" s="4">
        <f t="shared" si="1227"/>
        <v>4494.3514599999999</v>
      </c>
      <c r="AC7982" s="6">
        <f t="shared" si="1225"/>
        <v>0</v>
      </c>
      <c r="AD7982" s="6">
        <f t="shared" si="1230"/>
        <v>4494.3514599999999</v>
      </c>
      <c r="AE7982" s="14">
        <f>VLOOKUP(I7982,[2]媒体政策预估表!A:N,MATCH(O7982,[2]媒体政策预估表!$A$2:$M$2,0),0)</f>
        <v>0.1</v>
      </c>
      <c r="AF7982" s="6">
        <f t="shared" si="1232"/>
        <v>449.43514600000003</v>
      </c>
      <c r="AG7982" s="14">
        <v>0</v>
      </c>
      <c r="AH7982" s="64">
        <f t="shared" si="1231"/>
        <v>4494.3514599999999</v>
      </c>
      <c r="AJ7982" s="126" t="e">
        <v>#N/A</v>
      </c>
      <c r="AK7982" s="80">
        <f t="shared" si="1228"/>
        <v>0</v>
      </c>
      <c r="AL7982" s="85"/>
      <c r="AM7982" s="85"/>
    </row>
    <row r="7983" spans="1:39" s="86" customFormat="1" ht="13.25" hidden="1" customHeight="1" x14ac:dyDescent="0.3">
      <c r="A7983" s="89" t="s">
        <v>3978</v>
      </c>
      <c r="B7983" s="86" t="s">
        <v>35</v>
      </c>
      <c r="C7983" s="86" t="s">
        <v>184</v>
      </c>
      <c r="D7983" s="86" t="s">
        <v>54</v>
      </c>
      <c r="E7983" s="86" t="s">
        <v>4105</v>
      </c>
      <c r="F7983" s="86" t="s">
        <v>4105</v>
      </c>
      <c r="G7983" s="86" t="s">
        <v>4105</v>
      </c>
      <c r="H7983" s="144">
        <v>360</v>
      </c>
      <c r="I7983" s="86" t="s">
        <v>1060</v>
      </c>
      <c r="J7983" s="47" t="s">
        <v>3325</v>
      </c>
      <c r="K7983" s="47" t="s">
        <v>3767</v>
      </c>
      <c r="L7983" s="47" t="s">
        <v>35</v>
      </c>
      <c r="M7983" s="86" t="s">
        <v>4105</v>
      </c>
      <c r="O7983" s="47" t="s">
        <v>2054</v>
      </c>
      <c r="P7983" s="47" t="s">
        <v>41</v>
      </c>
      <c r="Q7983" s="14">
        <v>0</v>
      </c>
      <c r="R7983" s="143" t="s">
        <v>4106</v>
      </c>
      <c r="S7983" s="47"/>
      <c r="T7983" s="6">
        <v>0</v>
      </c>
      <c r="U7983" s="6">
        <v>0</v>
      </c>
      <c r="V7983" s="6">
        <v>19.5</v>
      </c>
      <c r="W7983" s="6">
        <f t="shared" si="1229"/>
        <v>-19.5</v>
      </c>
      <c r="X7983" s="6">
        <f t="shared" si="1224"/>
        <v>19.5</v>
      </c>
      <c r="Y7983" s="13">
        <f t="shared" si="1226"/>
        <v>0</v>
      </c>
      <c r="Z7983" s="66">
        <v>0</v>
      </c>
      <c r="AA7983" s="6">
        <v>0</v>
      </c>
      <c r="AB7983" s="4">
        <f t="shared" si="1227"/>
        <v>19.5</v>
      </c>
      <c r="AC7983" s="6">
        <f t="shared" si="1225"/>
        <v>0</v>
      </c>
      <c r="AD7983" s="6">
        <f t="shared" si="1230"/>
        <v>19.5</v>
      </c>
      <c r="AE7983" s="14">
        <f>VLOOKUP(I7983,[2]媒体政策预估表!A:N,MATCH(O7983,[2]媒体政策预估表!$A$2:$M$2,0),0)</f>
        <v>0.1</v>
      </c>
      <c r="AF7983" s="6">
        <f t="shared" si="1232"/>
        <v>1.9500000000000002</v>
      </c>
      <c r="AG7983" s="14">
        <v>0</v>
      </c>
      <c r="AH7983" s="64">
        <f t="shared" si="1231"/>
        <v>19.5</v>
      </c>
      <c r="AJ7983" s="126" t="e">
        <v>#N/A</v>
      </c>
      <c r="AK7983" s="80">
        <f t="shared" si="1228"/>
        <v>0</v>
      </c>
      <c r="AL7983" s="85"/>
      <c r="AM7983" s="85"/>
    </row>
    <row r="7984" spans="1:39" s="86" customFormat="1" ht="13.25" hidden="1" customHeight="1" x14ac:dyDescent="0.3">
      <c r="A7984" s="89" t="s">
        <v>3978</v>
      </c>
      <c r="B7984" s="86" t="s">
        <v>35</v>
      </c>
      <c r="C7984" s="86" t="s">
        <v>164</v>
      </c>
      <c r="D7984" s="86" t="s">
        <v>169</v>
      </c>
      <c r="E7984" s="86" t="s">
        <v>1577</v>
      </c>
      <c r="F7984" s="86" t="s">
        <v>1577</v>
      </c>
      <c r="G7984" s="86" t="s">
        <v>1577</v>
      </c>
      <c r="H7984" s="144">
        <v>360</v>
      </c>
      <c r="I7984" s="86" t="s">
        <v>1060</v>
      </c>
      <c r="J7984" s="47" t="s">
        <v>3325</v>
      </c>
      <c r="K7984" s="47" t="s">
        <v>3767</v>
      </c>
      <c r="L7984" s="47" t="s">
        <v>35</v>
      </c>
      <c r="M7984" s="86" t="s">
        <v>1577</v>
      </c>
      <c r="O7984" s="47" t="s">
        <v>2054</v>
      </c>
      <c r="P7984" s="47" t="s">
        <v>41</v>
      </c>
      <c r="Q7984" s="14">
        <v>0</v>
      </c>
      <c r="R7984" s="143" t="s">
        <v>4073</v>
      </c>
      <c r="S7984" s="47"/>
      <c r="T7984" s="6">
        <v>0</v>
      </c>
      <c r="U7984" s="6">
        <v>0</v>
      </c>
      <c r="V7984" s="6">
        <v>58.365110000000001</v>
      </c>
      <c r="W7984" s="6">
        <f t="shared" si="1229"/>
        <v>-58.365110000000001</v>
      </c>
      <c r="X7984" s="6">
        <f t="shared" ref="X7984:X8012" si="1233">IF(P7984="折扣",V7984*Q7984,IF(P7984="返现",V7984,V7984/(1+Q7984)))</f>
        <v>58.365110000000001</v>
      </c>
      <c r="Y7984" s="13">
        <f t="shared" si="1226"/>
        <v>0</v>
      </c>
      <c r="Z7984" s="66">
        <v>0</v>
      </c>
      <c r="AA7984" s="6">
        <v>0</v>
      </c>
      <c r="AB7984" s="4">
        <f t="shared" si="1227"/>
        <v>58.365110000000001</v>
      </c>
      <c r="AC7984" s="6">
        <f t="shared" si="1225"/>
        <v>0</v>
      </c>
      <c r="AD7984" s="6">
        <f t="shared" si="1230"/>
        <v>58.365110000000001</v>
      </c>
      <c r="AE7984" s="14">
        <f>VLOOKUP(I7984,[2]媒体政策预估表!A:N,MATCH(O7984,[2]媒体政策预估表!$A$2:$M$2,0),0)</f>
        <v>0.1</v>
      </c>
      <c r="AF7984" s="6">
        <f t="shared" si="1232"/>
        <v>5.8365110000000007</v>
      </c>
      <c r="AG7984" s="14">
        <v>0</v>
      </c>
      <c r="AH7984" s="64">
        <f t="shared" si="1231"/>
        <v>58.365110000000001</v>
      </c>
      <c r="AJ7984" s="126" t="e">
        <v>#N/A</v>
      </c>
      <c r="AK7984" s="80">
        <f t="shared" si="1228"/>
        <v>0</v>
      </c>
      <c r="AL7984" s="85"/>
      <c r="AM7984" s="85"/>
    </row>
    <row r="7985" spans="1:39" s="86" customFormat="1" ht="13.25" hidden="1" customHeight="1" x14ac:dyDescent="0.3">
      <c r="A7985" s="89" t="s">
        <v>3792</v>
      </c>
      <c r="B7985" s="86" t="s">
        <v>35</v>
      </c>
      <c r="C7985" s="86" t="s">
        <v>184</v>
      </c>
      <c r="D7985" s="86" t="s">
        <v>3849</v>
      </c>
      <c r="E7985" s="86" t="s">
        <v>1366</v>
      </c>
      <c r="F7985" s="86" t="s">
        <v>1367</v>
      </c>
      <c r="G7985" s="86" t="s">
        <v>1366</v>
      </c>
      <c r="H7985" s="144">
        <v>360</v>
      </c>
      <c r="I7985" s="86" t="s">
        <v>1060</v>
      </c>
      <c r="J7985" s="47" t="s">
        <v>3325</v>
      </c>
      <c r="K7985" s="47" t="s">
        <v>3767</v>
      </c>
      <c r="L7985" s="47" t="s">
        <v>35</v>
      </c>
      <c r="M7985" s="86" t="s">
        <v>1368</v>
      </c>
      <c r="O7985" s="47" t="s">
        <v>2054</v>
      </c>
      <c r="P7985" s="14" t="s">
        <v>41</v>
      </c>
      <c r="Q7985" s="14">
        <v>0</v>
      </c>
      <c r="R7985" s="143" t="s">
        <v>1369</v>
      </c>
      <c r="S7985" s="47"/>
      <c r="T7985" s="6">
        <v>0</v>
      </c>
      <c r="U7985" s="6"/>
      <c r="V7985" s="6">
        <v>81.843050000000005</v>
      </c>
      <c r="W7985" s="6">
        <f t="shared" si="1229"/>
        <v>-81.843050000000005</v>
      </c>
      <c r="X7985" s="6">
        <f t="shared" si="1233"/>
        <v>81.843050000000005</v>
      </c>
      <c r="Y7985" s="13">
        <f t="shared" si="1226"/>
        <v>0</v>
      </c>
      <c r="Z7985" s="14">
        <v>0</v>
      </c>
      <c r="AA7985" s="6">
        <v>0</v>
      </c>
      <c r="AB7985" s="4">
        <f t="shared" si="1227"/>
        <v>81.843050000000005</v>
      </c>
      <c r="AC7985" s="6">
        <f t="shared" si="1225"/>
        <v>0</v>
      </c>
      <c r="AD7985" s="6">
        <f t="shared" si="1230"/>
        <v>81.843050000000005</v>
      </c>
      <c r="AE7985" s="14">
        <f>VLOOKUP(I7985,[2]媒体政策预估表!A:N,MATCH(O7985,[2]媒体政策预估表!$A$2:$M$2,0),0)</f>
        <v>0.1</v>
      </c>
      <c r="AF7985" s="6">
        <f t="shared" si="1232"/>
        <v>8.1843050000000002</v>
      </c>
      <c r="AG7985" s="14">
        <v>0</v>
      </c>
      <c r="AH7985" s="64">
        <f t="shared" si="1231"/>
        <v>81.843050000000005</v>
      </c>
      <c r="AJ7985" s="126" t="e">
        <v>#N/A</v>
      </c>
      <c r="AK7985" s="80">
        <f t="shared" si="1228"/>
        <v>0</v>
      </c>
      <c r="AL7985" s="85"/>
      <c r="AM7985" s="85"/>
    </row>
    <row r="7986" spans="1:39" s="86" customFormat="1" ht="13.25" hidden="1" customHeight="1" x14ac:dyDescent="0.3">
      <c r="A7986" s="89" t="s">
        <v>3978</v>
      </c>
      <c r="B7986" s="86" t="s">
        <v>35</v>
      </c>
      <c r="C7986" s="86" t="s">
        <v>164</v>
      </c>
      <c r="D7986" s="86" t="s">
        <v>169</v>
      </c>
      <c r="E7986" s="86" t="s">
        <v>724</v>
      </c>
      <c r="F7986" s="86" t="s">
        <v>724</v>
      </c>
      <c r="G7986" s="86" t="s">
        <v>724</v>
      </c>
      <c r="H7986" s="144">
        <v>360</v>
      </c>
      <c r="I7986" s="86" t="s">
        <v>1060</v>
      </c>
      <c r="J7986" s="47" t="s">
        <v>3325</v>
      </c>
      <c r="K7986" s="47" t="s">
        <v>3767</v>
      </c>
      <c r="L7986" s="47" t="s">
        <v>35</v>
      </c>
      <c r="M7986" s="86" t="s">
        <v>1586</v>
      </c>
      <c r="O7986" s="47" t="s">
        <v>2054</v>
      </c>
      <c r="P7986" s="47" t="s">
        <v>41</v>
      </c>
      <c r="Q7986" s="14">
        <v>0</v>
      </c>
      <c r="R7986" s="143" t="s">
        <v>4074</v>
      </c>
      <c r="S7986" s="47"/>
      <c r="T7986" s="6">
        <v>0</v>
      </c>
      <c r="U7986" s="6">
        <v>0</v>
      </c>
      <c r="V7986" s="6">
        <v>3378.1649200000002</v>
      </c>
      <c r="W7986" s="6">
        <f t="shared" si="1229"/>
        <v>-3378.1649200000002</v>
      </c>
      <c r="X7986" s="6">
        <f t="shared" si="1233"/>
        <v>3378.1649200000002</v>
      </c>
      <c r="Y7986" s="13">
        <f t="shared" si="1226"/>
        <v>0</v>
      </c>
      <c r="Z7986" s="66">
        <v>0</v>
      </c>
      <c r="AA7986" s="6">
        <v>0</v>
      </c>
      <c r="AB7986" s="4">
        <f t="shared" si="1227"/>
        <v>3378.1649200000002</v>
      </c>
      <c r="AC7986" s="6">
        <f t="shared" si="1225"/>
        <v>0</v>
      </c>
      <c r="AD7986" s="6">
        <f t="shared" si="1230"/>
        <v>3378.1649200000002</v>
      </c>
      <c r="AE7986" s="14">
        <f>VLOOKUP(I7986,[2]媒体政策预估表!A:N,MATCH(O7986,[2]媒体政策预估表!$A$2:$M$2,0),0)</f>
        <v>0.1</v>
      </c>
      <c r="AF7986" s="6">
        <f t="shared" si="1232"/>
        <v>337.81649200000004</v>
      </c>
      <c r="AG7986" s="14">
        <v>0</v>
      </c>
      <c r="AH7986" s="64">
        <f t="shared" si="1231"/>
        <v>3378.1649200000002</v>
      </c>
      <c r="AJ7986" s="126" t="e">
        <v>#N/A</v>
      </c>
      <c r="AK7986" s="80">
        <f t="shared" si="1228"/>
        <v>0</v>
      </c>
      <c r="AL7986" s="85"/>
      <c r="AM7986" s="85"/>
    </row>
    <row r="7987" spans="1:39" s="86" customFormat="1" ht="13.25" hidden="1" customHeight="1" x14ac:dyDescent="0.3">
      <c r="A7987" s="89" t="s">
        <v>3978</v>
      </c>
      <c r="B7987" s="86" t="s">
        <v>35</v>
      </c>
      <c r="C7987" s="86" t="s">
        <v>144</v>
      </c>
      <c r="D7987" s="86" t="s">
        <v>161</v>
      </c>
      <c r="E7987" s="86" t="s">
        <v>2371</v>
      </c>
      <c r="F7987" s="86" t="s">
        <v>2371</v>
      </c>
      <c r="G7987" s="86" t="s">
        <v>2371</v>
      </c>
      <c r="H7987" s="144">
        <v>360</v>
      </c>
      <c r="I7987" s="86" t="s">
        <v>1060</v>
      </c>
      <c r="J7987" s="47" t="s">
        <v>3325</v>
      </c>
      <c r="K7987" s="47" t="s">
        <v>3767</v>
      </c>
      <c r="L7987" s="47" t="s">
        <v>35</v>
      </c>
      <c r="M7987" s="86" t="s">
        <v>2371</v>
      </c>
      <c r="O7987" s="47" t="s">
        <v>941</v>
      </c>
      <c r="P7987" s="47" t="s">
        <v>46</v>
      </c>
      <c r="Q7987" s="14">
        <v>0.03</v>
      </c>
      <c r="R7987" s="143" t="s">
        <v>1530</v>
      </c>
      <c r="S7987" s="47"/>
      <c r="T7987" s="6">
        <v>0</v>
      </c>
      <c r="U7987" s="6"/>
      <c r="V7987" s="6">
        <v>313735.31410000013</v>
      </c>
      <c r="W7987" s="6">
        <f t="shared" si="1229"/>
        <v>-313735.31410000013</v>
      </c>
      <c r="X7987" s="6">
        <f t="shared" si="1233"/>
        <v>304597.39233009721</v>
      </c>
      <c r="Y7987" s="13">
        <f t="shared" si="1226"/>
        <v>0</v>
      </c>
      <c r="Z7987" s="14">
        <v>0</v>
      </c>
      <c r="AA7987" s="6">
        <v>0</v>
      </c>
      <c r="AB7987" s="4">
        <f t="shared" si="1227"/>
        <v>304597.39233009721</v>
      </c>
      <c r="AC7987" s="6">
        <f t="shared" si="1225"/>
        <v>9137.921769902925</v>
      </c>
      <c r="AD7987" s="6">
        <f t="shared" si="1230"/>
        <v>313735.31410000013</v>
      </c>
      <c r="AE7987" s="14">
        <f>VLOOKUP(I7987,[2]媒体政策预估表!A:N,MATCH(O7987,[2]媒体政策预估表!$A$2:$M$2,0),0)</f>
        <v>0.15</v>
      </c>
      <c r="AF7987" s="6">
        <f t="shared" si="1232"/>
        <v>47060.297115000016</v>
      </c>
      <c r="AG7987" s="14">
        <v>0</v>
      </c>
      <c r="AH7987" s="64">
        <f t="shared" si="1231"/>
        <v>313735.31410000013</v>
      </c>
      <c r="AJ7987" s="126" t="e">
        <v>#N/A</v>
      </c>
      <c r="AK7987" s="80">
        <f t="shared" si="1228"/>
        <v>0</v>
      </c>
      <c r="AL7987" s="85"/>
      <c r="AM7987" s="85"/>
    </row>
    <row r="7988" spans="1:39" s="86" customFormat="1" ht="13.25" hidden="1" customHeight="1" x14ac:dyDescent="0.3">
      <c r="A7988" s="89" t="s">
        <v>3978</v>
      </c>
      <c r="B7988" s="86" t="s">
        <v>35</v>
      </c>
      <c r="C7988" s="86" t="s">
        <v>65</v>
      </c>
      <c r="D7988" s="86" t="s">
        <v>66</v>
      </c>
      <c r="E7988" s="86" t="s">
        <v>3127</v>
      </c>
      <c r="F7988" s="86" t="s">
        <v>3127</v>
      </c>
      <c r="G7988" s="86" t="s">
        <v>3127</v>
      </c>
      <c r="H7988" s="143">
        <v>346</v>
      </c>
      <c r="I7988" s="86" t="s">
        <v>3126</v>
      </c>
      <c r="J7988" s="1" t="s">
        <v>3323</v>
      </c>
      <c r="K7988" s="1" t="s">
        <v>3272</v>
      </c>
      <c r="L7988" s="1" t="s">
        <v>35</v>
      </c>
      <c r="M7988" s="86" t="s">
        <v>3128</v>
      </c>
      <c r="O7988" s="47" t="s">
        <v>45</v>
      </c>
      <c r="P7988" s="47" t="s">
        <v>46</v>
      </c>
      <c r="Q7988" s="14">
        <v>0.04</v>
      </c>
      <c r="R7988" s="143">
        <v>17821667</v>
      </c>
      <c r="S7988" s="47"/>
      <c r="T7988" s="6">
        <v>5946.98</v>
      </c>
      <c r="U7988" s="6">
        <v>0</v>
      </c>
      <c r="V7988" s="6">
        <v>0</v>
      </c>
      <c r="W7988" s="6">
        <f t="shared" si="1229"/>
        <v>5946.98</v>
      </c>
      <c r="X7988" s="6">
        <f t="shared" si="1233"/>
        <v>0</v>
      </c>
      <c r="Y7988" s="13">
        <f t="shared" si="1226"/>
        <v>0</v>
      </c>
      <c r="Z7988" s="66">
        <v>0</v>
      </c>
      <c r="AA7988" s="6">
        <v>0</v>
      </c>
      <c r="AB7988" s="4">
        <f t="shared" si="1227"/>
        <v>0</v>
      </c>
      <c r="AC7988" s="6">
        <f t="shared" si="1225"/>
        <v>0</v>
      </c>
      <c r="AD7988" s="6">
        <f>V7988*95%</f>
        <v>0</v>
      </c>
      <c r="AE7988" s="14">
        <v>0</v>
      </c>
      <c r="AF7988" s="6">
        <f t="shared" si="1232"/>
        <v>0</v>
      </c>
      <c r="AG7988" s="14">
        <v>0</v>
      </c>
      <c r="AH7988" s="64">
        <f>AD7988</f>
        <v>0</v>
      </c>
      <c r="AJ7988" s="126" t="e">
        <v>#N/A</v>
      </c>
      <c r="AK7988" s="80">
        <f t="shared" si="1228"/>
        <v>0</v>
      </c>
      <c r="AL7988" s="85"/>
      <c r="AM7988" s="85"/>
    </row>
    <row r="7989" spans="1:39" s="86" customFormat="1" ht="13.25" hidden="1" customHeight="1" x14ac:dyDescent="0.3">
      <c r="A7989" s="89" t="s">
        <v>3978</v>
      </c>
      <c r="B7989" s="86" t="s">
        <v>35</v>
      </c>
      <c r="C7989" s="86" t="s">
        <v>65</v>
      </c>
      <c r="D7989" s="86" t="s">
        <v>66</v>
      </c>
      <c r="E7989" s="86" t="s">
        <v>3127</v>
      </c>
      <c r="F7989" s="86" t="s">
        <v>3127</v>
      </c>
      <c r="G7989" s="86" t="s">
        <v>3127</v>
      </c>
      <c r="H7989" s="143">
        <v>346</v>
      </c>
      <c r="I7989" s="86" t="s">
        <v>3126</v>
      </c>
      <c r="J7989" s="1" t="s">
        <v>3323</v>
      </c>
      <c r="K7989" s="1" t="s">
        <v>3272</v>
      </c>
      <c r="L7989" s="1" t="s">
        <v>35</v>
      </c>
      <c r="M7989" s="86" t="s">
        <v>3128</v>
      </c>
      <c r="O7989" s="47" t="s">
        <v>45</v>
      </c>
      <c r="P7989" s="47" t="s">
        <v>46</v>
      </c>
      <c r="Q7989" s="14">
        <v>0.04</v>
      </c>
      <c r="R7989" s="143">
        <v>17883981</v>
      </c>
      <c r="S7989" s="47"/>
      <c r="T7989" s="6">
        <v>5126.3500000000004</v>
      </c>
      <c r="U7989" s="6">
        <v>0</v>
      </c>
      <c r="V7989" s="6">
        <v>0</v>
      </c>
      <c r="W7989" s="6">
        <f t="shared" si="1229"/>
        <v>5126.3500000000004</v>
      </c>
      <c r="X7989" s="6">
        <f t="shared" si="1233"/>
        <v>0</v>
      </c>
      <c r="Y7989" s="13">
        <f t="shared" si="1226"/>
        <v>0</v>
      </c>
      <c r="Z7989" s="66">
        <v>0</v>
      </c>
      <c r="AA7989" s="6">
        <v>0</v>
      </c>
      <c r="AB7989" s="4">
        <f t="shared" si="1227"/>
        <v>0</v>
      </c>
      <c r="AC7989" s="6">
        <f t="shared" si="1225"/>
        <v>0</v>
      </c>
      <c r="AD7989" s="6">
        <f t="shared" ref="AD7989:AD8002" si="1234">V7989*95%</f>
        <v>0</v>
      </c>
      <c r="AE7989" s="14">
        <v>0</v>
      </c>
      <c r="AF7989" s="6">
        <f t="shared" si="1232"/>
        <v>0</v>
      </c>
      <c r="AG7989" s="14">
        <v>0</v>
      </c>
      <c r="AH7989" s="64">
        <f t="shared" ref="AH7989:AH8012" si="1235">AD7989</f>
        <v>0</v>
      </c>
      <c r="AJ7989" s="126" t="e">
        <v>#N/A</v>
      </c>
      <c r="AK7989" s="80">
        <f t="shared" si="1228"/>
        <v>0</v>
      </c>
      <c r="AL7989" s="85"/>
      <c r="AM7989" s="85"/>
    </row>
    <row r="7990" spans="1:39" s="86" customFormat="1" ht="13.25" hidden="1" customHeight="1" x14ac:dyDescent="0.3">
      <c r="A7990" s="89" t="s">
        <v>3978</v>
      </c>
      <c r="B7990" s="86" t="s">
        <v>35</v>
      </c>
      <c r="C7990" s="86" t="s">
        <v>164</v>
      </c>
      <c r="D7990" s="86" t="s">
        <v>174</v>
      </c>
      <c r="E7990" s="86" t="s">
        <v>1966</v>
      </c>
      <c r="F7990" s="86" t="s">
        <v>1966</v>
      </c>
      <c r="G7990" s="86" t="s">
        <v>1966</v>
      </c>
      <c r="H7990" s="143">
        <v>327</v>
      </c>
      <c r="I7990" s="86" t="s">
        <v>3121</v>
      </c>
      <c r="J7990" s="1" t="s">
        <v>3323</v>
      </c>
      <c r="K7990" s="1" t="s">
        <v>3274</v>
      </c>
      <c r="L7990" s="1" t="s">
        <v>35</v>
      </c>
      <c r="M7990" s="86" t="s">
        <v>3018</v>
      </c>
      <c r="O7990" s="47" t="s">
        <v>45</v>
      </c>
      <c r="P7990" s="47" t="s">
        <v>46</v>
      </c>
      <c r="Q7990" s="14">
        <v>0.06</v>
      </c>
      <c r="R7990" s="143">
        <v>9878844</v>
      </c>
      <c r="S7990" s="47"/>
      <c r="T7990" s="6">
        <v>0</v>
      </c>
      <c r="U7990" s="6">
        <v>31800</v>
      </c>
      <c r="V7990" s="6">
        <v>0</v>
      </c>
      <c r="W7990" s="6">
        <f t="shared" si="1229"/>
        <v>31800</v>
      </c>
      <c r="X7990" s="6">
        <f t="shared" si="1233"/>
        <v>0</v>
      </c>
      <c r="Y7990" s="13">
        <f t="shared" si="1226"/>
        <v>0</v>
      </c>
      <c r="Z7990" s="66">
        <v>0</v>
      </c>
      <c r="AA7990" s="6">
        <v>0</v>
      </c>
      <c r="AB7990" s="4">
        <f t="shared" si="1227"/>
        <v>0</v>
      </c>
      <c r="AC7990" s="6">
        <f t="shared" si="1225"/>
        <v>0</v>
      </c>
      <c r="AD7990" s="6">
        <f t="shared" si="1234"/>
        <v>0</v>
      </c>
      <c r="AE7990" s="14">
        <v>0</v>
      </c>
      <c r="AF7990" s="6">
        <f t="shared" si="1232"/>
        <v>0</v>
      </c>
      <c r="AG7990" s="14">
        <v>0</v>
      </c>
      <c r="AH7990" s="64">
        <f t="shared" si="1235"/>
        <v>0</v>
      </c>
      <c r="AJ7990" s="126" t="e">
        <v>#N/A</v>
      </c>
      <c r="AK7990" s="80">
        <f t="shared" si="1228"/>
        <v>0</v>
      </c>
      <c r="AL7990" s="85"/>
      <c r="AM7990" s="85"/>
    </row>
    <row r="7991" spans="1:39" s="86" customFormat="1" ht="13.25" hidden="1" customHeight="1" x14ac:dyDescent="0.3">
      <c r="A7991" s="89" t="s">
        <v>3978</v>
      </c>
      <c r="B7991" s="86" t="s">
        <v>35</v>
      </c>
      <c r="C7991" s="86" t="s">
        <v>164</v>
      </c>
      <c r="D7991" s="86" t="s">
        <v>174</v>
      </c>
      <c r="E7991" s="86" t="s">
        <v>1966</v>
      </c>
      <c r="F7991" s="86" t="s">
        <v>1966</v>
      </c>
      <c r="G7991" s="86" t="s">
        <v>1966</v>
      </c>
      <c r="H7991" s="143">
        <v>327</v>
      </c>
      <c r="I7991" s="86" t="s">
        <v>3121</v>
      </c>
      <c r="J7991" s="1" t="s">
        <v>3323</v>
      </c>
      <c r="K7991" s="1" t="s">
        <v>3274</v>
      </c>
      <c r="L7991" s="1" t="s">
        <v>35</v>
      </c>
      <c r="M7991" s="86" t="s">
        <v>3018</v>
      </c>
      <c r="O7991" s="47" t="s">
        <v>45</v>
      </c>
      <c r="P7991" s="47" t="s">
        <v>46</v>
      </c>
      <c r="Q7991" s="14">
        <v>0.06</v>
      </c>
      <c r="R7991" s="143">
        <v>9878847</v>
      </c>
      <c r="S7991" s="47"/>
      <c r="T7991" s="6">
        <v>0</v>
      </c>
      <c r="U7991" s="6">
        <v>31800</v>
      </c>
      <c r="V7991" s="6">
        <v>0</v>
      </c>
      <c r="W7991" s="6">
        <f t="shared" si="1229"/>
        <v>31800</v>
      </c>
      <c r="X7991" s="6">
        <f t="shared" si="1233"/>
        <v>0</v>
      </c>
      <c r="Y7991" s="13">
        <f t="shared" si="1226"/>
        <v>0</v>
      </c>
      <c r="Z7991" s="66">
        <v>0</v>
      </c>
      <c r="AA7991" s="6">
        <v>0</v>
      </c>
      <c r="AB7991" s="4">
        <f t="shared" si="1227"/>
        <v>0</v>
      </c>
      <c r="AC7991" s="6">
        <f t="shared" si="1225"/>
        <v>0</v>
      </c>
      <c r="AD7991" s="6">
        <f t="shared" si="1234"/>
        <v>0</v>
      </c>
      <c r="AE7991" s="14">
        <v>0</v>
      </c>
      <c r="AF7991" s="6">
        <f t="shared" si="1232"/>
        <v>0</v>
      </c>
      <c r="AG7991" s="14">
        <v>0</v>
      </c>
      <c r="AH7991" s="64">
        <f t="shared" si="1235"/>
        <v>0</v>
      </c>
      <c r="AJ7991" s="126" t="e">
        <v>#N/A</v>
      </c>
      <c r="AK7991" s="80">
        <f t="shared" si="1228"/>
        <v>0</v>
      </c>
      <c r="AL7991" s="85"/>
      <c r="AM7991" s="85"/>
    </row>
    <row r="7992" spans="1:39" s="86" customFormat="1" ht="13.25" hidden="1" customHeight="1" x14ac:dyDescent="0.3">
      <c r="A7992" s="89" t="s">
        <v>3792</v>
      </c>
      <c r="B7992" s="86" t="s">
        <v>35</v>
      </c>
      <c r="C7992" s="86" t="s">
        <v>164</v>
      </c>
      <c r="D7992" s="86" t="s">
        <v>174</v>
      </c>
      <c r="E7992" s="86" t="s">
        <v>1966</v>
      </c>
      <c r="F7992" s="86" t="s">
        <v>1966</v>
      </c>
      <c r="G7992" s="86" t="s">
        <v>1966</v>
      </c>
      <c r="H7992" s="144">
        <v>327</v>
      </c>
      <c r="I7992" s="86" t="s">
        <v>3121</v>
      </c>
      <c r="J7992" s="1" t="s">
        <v>3323</v>
      </c>
      <c r="K7992" s="1" t="s">
        <v>3274</v>
      </c>
      <c r="L7992" s="1" t="s">
        <v>35</v>
      </c>
      <c r="M7992" s="86" t="s">
        <v>3018</v>
      </c>
      <c r="O7992" s="47" t="s">
        <v>45</v>
      </c>
      <c r="P7992" s="47" t="s">
        <v>46</v>
      </c>
      <c r="Q7992" s="14">
        <v>0.06</v>
      </c>
      <c r="R7992" s="143">
        <v>9897704</v>
      </c>
      <c r="S7992" s="47"/>
      <c r="T7992" s="6">
        <v>0</v>
      </c>
      <c r="U7992" s="6">
        <v>31800</v>
      </c>
      <c r="V7992" s="6">
        <v>1.101</v>
      </c>
      <c r="W7992" s="6">
        <f t="shared" si="1229"/>
        <v>31798.899000000001</v>
      </c>
      <c r="X7992" s="6">
        <f t="shared" si="1233"/>
        <v>1.0386792452830187</v>
      </c>
      <c r="Y7992" s="13">
        <f t="shared" si="1226"/>
        <v>0</v>
      </c>
      <c r="Z7992" s="66">
        <v>0</v>
      </c>
      <c r="AA7992" s="6">
        <v>0</v>
      </c>
      <c r="AB7992" s="4">
        <f t="shared" si="1227"/>
        <v>1.0386792452830187</v>
      </c>
      <c r="AC7992" s="6">
        <f t="shared" si="1225"/>
        <v>6.2320754716981286E-2</v>
      </c>
      <c r="AD7992" s="6">
        <f t="shared" si="1234"/>
        <v>1.0459499999999999</v>
      </c>
      <c r="AE7992" s="14">
        <v>0</v>
      </c>
      <c r="AF7992" s="6">
        <f t="shared" si="1232"/>
        <v>0</v>
      </c>
      <c r="AG7992" s="14">
        <v>0</v>
      </c>
      <c r="AH7992" s="64">
        <f t="shared" si="1235"/>
        <v>1.0459499999999999</v>
      </c>
      <c r="AJ7992" s="126" t="e">
        <v>#N/A</v>
      </c>
      <c r="AK7992" s="80">
        <f t="shared" si="1228"/>
        <v>0</v>
      </c>
      <c r="AL7992" s="85"/>
      <c r="AM7992" s="85"/>
    </row>
    <row r="7993" spans="1:39" s="86" customFormat="1" ht="13.25" hidden="1" customHeight="1" x14ac:dyDescent="0.3">
      <c r="A7993" s="89" t="s">
        <v>3978</v>
      </c>
      <c r="B7993" s="86" t="s">
        <v>35</v>
      </c>
      <c r="C7993" s="86" t="s">
        <v>164</v>
      </c>
      <c r="D7993" s="86" t="s">
        <v>174</v>
      </c>
      <c r="E7993" s="86" t="s">
        <v>1966</v>
      </c>
      <c r="F7993" s="86" t="s">
        <v>1966</v>
      </c>
      <c r="G7993" s="86" t="s">
        <v>1966</v>
      </c>
      <c r="H7993" s="144">
        <v>327</v>
      </c>
      <c r="I7993" s="86" t="s">
        <v>3121</v>
      </c>
      <c r="J7993" s="1" t="s">
        <v>3323</v>
      </c>
      <c r="K7993" s="1" t="s">
        <v>3274</v>
      </c>
      <c r="L7993" s="1" t="s">
        <v>35</v>
      </c>
      <c r="M7993" s="86" t="s">
        <v>3018</v>
      </c>
      <c r="O7993" s="47" t="s">
        <v>45</v>
      </c>
      <c r="P7993" s="47" t="s">
        <v>46</v>
      </c>
      <c r="Q7993" s="14">
        <v>0.06</v>
      </c>
      <c r="R7993" s="143">
        <v>9897728</v>
      </c>
      <c r="S7993" s="47"/>
      <c r="T7993" s="6">
        <v>0</v>
      </c>
      <c r="U7993" s="6">
        <v>81800</v>
      </c>
      <c r="V7993" s="6">
        <v>39620.646000000008</v>
      </c>
      <c r="W7993" s="6">
        <f t="shared" si="1229"/>
        <v>42179.353999999992</v>
      </c>
      <c r="X7993" s="6">
        <f t="shared" si="1233"/>
        <v>37377.967924528304</v>
      </c>
      <c r="Y7993" s="13">
        <f t="shared" si="1226"/>
        <v>0</v>
      </c>
      <c r="Z7993" s="66">
        <v>0</v>
      </c>
      <c r="AA7993" s="6">
        <v>0</v>
      </c>
      <c r="AB7993" s="4">
        <f t="shared" si="1227"/>
        <v>37377.967924528304</v>
      </c>
      <c r="AC7993" s="6">
        <f t="shared" si="1225"/>
        <v>2242.6780754717038</v>
      </c>
      <c r="AD7993" s="6">
        <f t="shared" si="1234"/>
        <v>37639.613700000009</v>
      </c>
      <c r="AE7993" s="14">
        <v>0</v>
      </c>
      <c r="AF7993" s="6">
        <f t="shared" si="1232"/>
        <v>0</v>
      </c>
      <c r="AG7993" s="14">
        <v>0</v>
      </c>
      <c r="AH7993" s="64">
        <f t="shared" si="1235"/>
        <v>37639.613700000009</v>
      </c>
      <c r="AJ7993" s="126" t="e">
        <v>#N/A</v>
      </c>
      <c r="AK7993" s="80">
        <f t="shared" si="1228"/>
        <v>0</v>
      </c>
      <c r="AL7993" s="85"/>
      <c r="AM7993" s="85"/>
    </row>
    <row r="7994" spans="1:39" s="86" customFormat="1" ht="13.25" hidden="1" customHeight="1" x14ac:dyDescent="0.3">
      <c r="A7994" s="89" t="s">
        <v>3978</v>
      </c>
      <c r="B7994" s="86" t="s">
        <v>35</v>
      </c>
      <c r="C7994" s="86" t="s">
        <v>164</v>
      </c>
      <c r="D7994" s="86" t="s">
        <v>174</v>
      </c>
      <c r="E7994" s="86" t="s">
        <v>1966</v>
      </c>
      <c r="F7994" s="86" t="s">
        <v>1966</v>
      </c>
      <c r="G7994" s="86" t="s">
        <v>1966</v>
      </c>
      <c r="H7994" s="143">
        <v>346</v>
      </c>
      <c r="I7994" s="86" t="s">
        <v>3126</v>
      </c>
      <c r="J7994" s="1" t="s">
        <v>3323</v>
      </c>
      <c r="K7994" s="1" t="s">
        <v>3272</v>
      </c>
      <c r="L7994" s="1" t="s">
        <v>35</v>
      </c>
      <c r="M7994" s="86" t="s">
        <v>3018</v>
      </c>
      <c r="O7994" s="47" t="s">
        <v>45</v>
      </c>
      <c r="P7994" s="47" t="s">
        <v>46</v>
      </c>
      <c r="Q7994" s="14">
        <v>0.03</v>
      </c>
      <c r="R7994" s="143">
        <v>19253508</v>
      </c>
      <c r="S7994" s="47"/>
      <c r="T7994" s="6">
        <v>0</v>
      </c>
      <c r="U7994" s="6">
        <v>30900</v>
      </c>
      <c r="V7994" s="6">
        <v>0</v>
      </c>
      <c r="W7994" s="6">
        <f t="shared" si="1229"/>
        <v>30900</v>
      </c>
      <c r="X7994" s="6">
        <f t="shared" si="1233"/>
        <v>0</v>
      </c>
      <c r="Y7994" s="13">
        <f t="shared" si="1226"/>
        <v>0</v>
      </c>
      <c r="Z7994" s="66">
        <v>0</v>
      </c>
      <c r="AA7994" s="6">
        <v>0</v>
      </c>
      <c r="AB7994" s="4">
        <f t="shared" si="1227"/>
        <v>0</v>
      </c>
      <c r="AC7994" s="6">
        <f t="shared" si="1225"/>
        <v>0</v>
      </c>
      <c r="AD7994" s="6">
        <f t="shared" si="1234"/>
        <v>0</v>
      </c>
      <c r="AE7994" s="14">
        <v>0</v>
      </c>
      <c r="AF7994" s="6">
        <f t="shared" si="1232"/>
        <v>0</v>
      </c>
      <c r="AG7994" s="14">
        <v>0</v>
      </c>
      <c r="AH7994" s="64">
        <f t="shared" si="1235"/>
        <v>0</v>
      </c>
      <c r="AJ7994" s="126" t="e">
        <v>#N/A</v>
      </c>
      <c r="AK7994" s="80">
        <f t="shared" si="1228"/>
        <v>0</v>
      </c>
      <c r="AL7994" s="85"/>
      <c r="AM7994" s="85"/>
    </row>
    <row r="7995" spans="1:39" s="86" customFormat="1" ht="13.25" hidden="1" customHeight="1" x14ac:dyDescent="0.3">
      <c r="A7995" s="89" t="s">
        <v>3978</v>
      </c>
      <c r="B7995" s="86" t="s">
        <v>35</v>
      </c>
      <c r="C7995" s="86" t="s">
        <v>164</v>
      </c>
      <c r="D7995" s="86" t="s">
        <v>174</v>
      </c>
      <c r="E7995" s="86" t="s">
        <v>1966</v>
      </c>
      <c r="F7995" s="86" t="s">
        <v>1966</v>
      </c>
      <c r="G7995" s="86" t="s">
        <v>1966</v>
      </c>
      <c r="H7995" s="144">
        <v>346</v>
      </c>
      <c r="I7995" s="86" t="s">
        <v>3126</v>
      </c>
      <c r="J7995" s="1" t="s">
        <v>3323</v>
      </c>
      <c r="K7995" s="1" t="s">
        <v>3272</v>
      </c>
      <c r="L7995" s="1" t="s">
        <v>35</v>
      </c>
      <c r="M7995" s="86" t="s">
        <v>3018</v>
      </c>
      <c r="O7995" s="47" t="s">
        <v>45</v>
      </c>
      <c r="P7995" s="47" t="s">
        <v>46</v>
      </c>
      <c r="Q7995" s="14">
        <v>0.03</v>
      </c>
      <c r="R7995" s="143">
        <v>19253563</v>
      </c>
      <c r="S7995" s="47"/>
      <c r="T7995" s="6">
        <v>0</v>
      </c>
      <c r="U7995" s="6">
        <v>30900</v>
      </c>
      <c r="V7995" s="6">
        <v>9404.7099999999991</v>
      </c>
      <c r="W7995" s="6">
        <f t="shared" si="1229"/>
        <v>21495.29</v>
      </c>
      <c r="X7995" s="6">
        <f t="shared" si="1233"/>
        <v>9130.7864077669892</v>
      </c>
      <c r="Y7995" s="13">
        <f t="shared" si="1226"/>
        <v>196.31190776699077</v>
      </c>
      <c r="Z7995" s="66">
        <v>0</v>
      </c>
      <c r="AA7995" s="6">
        <v>0</v>
      </c>
      <c r="AB7995" s="4">
        <f t="shared" si="1227"/>
        <v>9130.7864077669892</v>
      </c>
      <c r="AC7995" s="6">
        <f t="shared" si="1225"/>
        <v>273.92359223300991</v>
      </c>
      <c r="AD7995" s="6">
        <f t="shared" si="1234"/>
        <v>8934.4744999999984</v>
      </c>
      <c r="AE7995" s="14">
        <v>0</v>
      </c>
      <c r="AF7995" s="6">
        <f t="shared" si="1232"/>
        <v>0</v>
      </c>
      <c r="AG7995" s="14">
        <v>0</v>
      </c>
      <c r="AH7995" s="64">
        <f t="shared" si="1235"/>
        <v>8934.4744999999984</v>
      </c>
      <c r="AJ7995" s="126" t="e">
        <v>#N/A</v>
      </c>
      <c r="AK7995" s="80">
        <f t="shared" si="1228"/>
        <v>0</v>
      </c>
      <c r="AL7995" s="85"/>
      <c r="AM7995" s="85"/>
    </row>
    <row r="7996" spans="1:39" s="86" customFormat="1" ht="13.25" hidden="1" customHeight="1" x14ac:dyDescent="0.3">
      <c r="A7996" s="89" t="s">
        <v>3978</v>
      </c>
      <c r="B7996" s="86" t="s">
        <v>35</v>
      </c>
      <c r="C7996" s="86" t="s">
        <v>164</v>
      </c>
      <c r="D7996" s="86" t="s">
        <v>174</v>
      </c>
      <c r="E7996" s="86" t="s">
        <v>1966</v>
      </c>
      <c r="F7996" s="86" t="s">
        <v>1966</v>
      </c>
      <c r="G7996" s="86" t="s">
        <v>1966</v>
      </c>
      <c r="H7996" s="144">
        <v>346</v>
      </c>
      <c r="I7996" s="86" t="s">
        <v>3126</v>
      </c>
      <c r="J7996" s="1" t="s">
        <v>3323</v>
      </c>
      <c r="K7996" s="1" t="s">
        <v>3272</v>
      </c>
      <c r="L7996" s="1" t="s">
        <v>35</v>
      </c>
      <c r="M7996" s="86" t="s">
        <v>3018</v>
      </c>
      <c r="O7996" s="47" t="s">
        <v>45</v>
      </c>
      <c r="P7996" s="47" t="s">
        <v>46</v>
      </c>
      <c r="Q7996" s="14">
        <v>0.03</v>
      </c>
      <c r="R7996" s="143">
        <v>19253564</v>
      </c>
      <c r="S7996" s="47"/>
      <c r="T7996" s="6">
        <v>0</v>
      </c>
      <c r="U7996" s="6">
        <v>30900</v>
      </c>
      <c r="V7996" s="6">
        <v>3915.29</v>
      </c>
      <c r="W7996" s="6">
        <f t="shared" si="1229"/>
        <v>26984.71</v>
      </c>
      <c r="X7996" s="6">
        <f t="shared" si="1233"/>
        <v>3801.2524271844659</v>
      </c>
      <c r="Y7996" s="13">
        <f t="shared" si="1226"/>
        <v>81.726927184466149</v>
      </c>
      <c r="Z7996" s="66">
        <v>0</v>
      </c>
      <c r="AA7996" s="6">
        <v>0</v>
      </c>
      <c r="AB7996" s="4">
        <f t="shared" si="1227"/>
        <v>3801.2524271844659</v>
      </c>
      <c r="AC7996" s="6">
        <f t="shared" si="1225"/>
        <v>114.03757281553408</v>
      </c>
      <c r="AD7996" s="6">
        <f t="shared" si="1234"/>
        <v>3719.5254999999997</v>
      </c>
      <c r="AE7996" s="14">
        <v>0</v>
      </c>
      <c r="AF7996" s="6">
        <f t="shared" si="1232"/>
        <v>0</v>
      </c>
      <c r="AG7996" s="14">
        <v>0</v>
      </c>
      <c r="AH7996" s="64">
        <f t="shared" si="1235"/>
        <v>3719.5254999999997</v>
      </c>
      <c r="AJ7996" s="126" t="e">
        <v>#N/A</v>
      </c>
      <c r="AK7996" s="80">
        <f t="shared" si="1228"/>
        <v>0</v>
      </c>
      <c r="AL7996" s="85"/>
      <c r="AM7996" s="85"/>
    </row>
    <row r="7997" spans="1:39" s="86" customFormat="1" ht="13.25" hidden="1" customHeight="1" x14ac:dyDescent="0.3">
      <c r="A7997" s="89" t="s">
        <v>3978</v>
      </c>
      <c r="B7997" s="86" t="s">
        <v>35</v>
      </c>
      <c r="C7997" s="86" t="s">
        <v>164</v>
      </c>
      <c r="D7997" s="86" t="s">
        <v>174</v>
      </c>
      <c r="E7997" s="86" t="s">
        <v>1966</v>
      </c>
      <c r="F7997" s="86" t="s">
        <v>1966</v>
      </c>
      <c r="G7997" s="86" t="s">
        <v>1966</v>
      </c>
      <c r="H7997" s="144">
        <v>346</v>
      </c>
      <c r="I7997" s="86" t="s">
        <v>3126</v>
      </c>
      <c r="J7997" s="1" t="s">
        <v>3323</v>
      </c>
      <c r="K7997" s="1" t="s">
        <v>3272</v>
      </c>
      <c r="L7997" s="1" t="s">
        <v>35</v>
      </c>
      <c r="M7997" s="86" t="s">
        <v>3018</v>
      </c>
      <c r="O7997" s="47" t="s">
        <v>45</v>
      </c>
      <c r="P7997" s="47" t="s">
        <v>46</v>
      </c>
      <c r="Q7997" s="14">
        <v>0.03</v>
      </c>
      <c r="R7997" s="143">
        <v>19272953</v>
      </c>
      <c r="S7997" s="47"/>
      <c r="T7997" s="6">
        <v>0</v>
      </c>
      <c r="U7997" s="6">
        <v>1558.6599999999999</v>
      </c>
      <c r="V7997" s="6">
        <v>1558.66</v>
      </c>
      <c r="W7997" s="6">
        <f t="shared" si="1229"/>
        <v>0</v>
      </c>
      <c r="X7997" s="6">
        <f t="shared" si="1233"/>
        <v>1513.2621359223301</v>
      </c>
      <c r="Y7997" s="13">
        <f t="shared" si="1226"/>
        <v>32.535135922330028</v>
      </c>
      <c r="Z7997" s="66">
        <v>0</v>
      </c>
      <c r="AA7997" s="6">
        <v>0</v>
      </c>
      <c r="AB7997" s="4">
        <f t="shared" si="1227"/>
        <v>1513.2621359223301</v>
      </c>
      <c r="AC7997" s="6">
        <f t="shared" si="1225"/>
        <v>45.397864077669965</v>
      </c>
      <c r="AD7997" s="6">
        <f t="shared" si="1234"/>
        <v>1480.7270000000001</v>
      </c>
      <c r="AE7997" s="14">
        <v>0</v>
      </c>
      <c r="AF7997" s="6">
        <f t="shared" si="1232"/>
        <v>0</v>
      </c>
      <c r="AG7997" s="14">
        <v>0</v>
      </c>
      <c r="AH7997" s="64">
        <f t="shared" si="1235"/>
        <v>1480.7270000000001</v>
      </c>
      <c r="AJ7997" s="126" t="e">
        <v>#N/A</v>
      </c>
      <c r="AK7997" s="80">
        <f t="shared" si="1228"/>
        <v>0</v>
      </c>
      <c r="AL7997" s="85"/>
      <c r="AM7997" s="85"/>
    </row>
    <row r="7998" spans="1:39" s="86" customFormat="1" ht="13.25" hidden="1" customHeight="1" x14ac:dyDescent="0.3">
      <c r="A7998" s="89" t="s">
        <v>3978</v>
      </c>
      <c r="B7998" s="86" t="s">
        <v>35</v>
      </c>
      <c r="C7998" s="86" t="s">
        <v>164</v>
      </c>
      <c r="D7998" s="86" t="s">
        <v>174</v>
      </c>
      <c r="E7998" s="86" t="s">
        <v>1966</v>
      </c>
      <c r="F7998" s="86" t="s">
        <v>1966</v>
      </c>
      <c r="G7998" s="86" t="s">
        <v>1966</v>
      </c>
      <c r="H7998" s="144">
        <v>346</v>
      </c>
      <c r="I7998" s="86" t="s">
        <v>3126</v>
      </c>
      <c r="J7998" s="1" t="s">
        <v>3323</v>
      </c>
      <c r="K7998" s="1" t="s">
        <v>3272</v>
      </c>
      <c r="L7998" s="1" t="s">
        <v>35</v>
      </c>
      <c r="M7998" s="86" t="s">
        <v>3018</v>
      </c>
      <c r="O7998" s="47" t="s">
        <v>45</v>
      </c>
      <c r="P7998" s="47" t="s">
        <v>46</v>
      </c>
      <c r="Q7998" s="14">
        <v>0.03</v>
      </c>
      <c r="R7998" s="143">
        <v>19275267</v>
      </c>
      <c r="S7998" s="47"/>
      <c r="T7998" s="6">
        <v>0</v>
      </c>
      <c r="U7998" s="6">
        <v>30900</v>
      </c>
      <c r="V7998" s="6">
        <v>9898.39</v>
      </c>
      <c r="W7998" s="6">
        <f t="shared" si="1229"/>
        <v>21001.61</v>
      </c>
      <c r="X7998" s="6">
        <f t="shared" si="1233"/>
        <v>9610.0873786407756</v>
      </c>
      <c r="Y7998" s="13">
        <f t="shared" si="1226"/>
        <v>206.61687864077612</v>
      </c>
      <c r="Z7998" s="66">
        <v>0</v>
      </c>
      <c r="AA7998" s="6">
        <v>0</v>
      </c>
      <c r="AB7998" s="4">
        <f t="shared" si="1227"/>
        <v>9610.0873786407756</v>
      </c>
      <c r="AC7998" s="6">
        <f t="shared" ref="AC7998:AC8029" si="1236">IF(P7998="返现",X7998*Q7998,V7998-X7998)</f>
        <v>288.30262135922385</v>
      </c>
      <c r="AD7998" s="6">
        <f t="shared" si="1234"/>
        <v>9403.4704999999994</v>
      </c>
      <c r="AE7998" s="14">
        <v>0</v>
      </c>
      <c r="AF7998" s="6">
        <f t="shared" si="1232"/>
        <v>0</v>
      </c>
      <c r="AG7998" s="14">
        <v>0</v>
      </c>
      <c r="AH7998" s="64">
        <f t="shared" si="1235"/>
        <v>9403.4704999999994</v>
      </c>
      <c r="AJ7998" s="126" t="e">
        <v>#N/A</v>
      </c>
      <c r="AK7998" s="80">
        <f t="shared" si="1228"/>
        <v>0</v>
      </c>
      <c r="AL7998" s="85"/>
      <c r="AM7998" s="85"/>
    </row>
    <row r="7999" spans="1:39" s="86" customFormat="1" ht="13.25" hidden="1" customHeight="1" x14ac:dyDescent="0.3">
      <c r="A7999" s="89" t="s">
        <v>3978</v>
      </c>
      <c r="B7999" s="86" t="s">
        <v>35</v>
      </c>
      <c r="C7999" s="86" t="s">
        <v>164</v>
      </c>
      <c r="D7999" s="86" t="s">
        <v>174</v>
      </c>
      <c r="E7999" s="86" t="s">
        <v>1966</v>
      </c>
      <c r="F7999" s="86" t="s">
        <v>1966</v>
      </c>
      <c r="G7999" s="86" t="s">
        <v>1966</v>
      </c>
      <c r="H7999" s="144">
        <v>346</v>
      </c>
      <c r="I7999" s="86" t="s">
        <v>3126</v>
      </c>
      <c r="J7999" s="1" t="s">
        <v>3323</v>
      </c>
      <c r="K7999" s="1" t="s">
        <v>3272</v>
      </c>
      <c r="L7999" s="1" t="s">
        <v>35</v>
      </c>
      <c r="M7999" s="86" t="s">
        <v>4120</v>
      </c>
      <c r="O7999" s="47" t="s">
        <v>45</v>
      </c>
      <c r="P7999" s="47" t="s">
        <v>46</v>
      </c>
      <c r="Q7999" s="14">
        <v>0.03</v>
      </c>
      <c r="R7999" s="143">
        <v>19269054</v>
      </c>
      <c r="S7999" s="47"/>
      <c r="T7999" s="6">
        <v>0</v>
      </c>
      <c r="U7999" s="6">
        <v>50000</v>
      </c>
      <c r="V7999" s="6">
        <v>41.19</v>
      </c>
      <c r="W7999" s="6">
        <f t="shared" si="1229"/>
        <v>49958.81</v>
      </c>
      <c r="X7999" s="6">
        <f t="shared" si="1233"/>
        <v>39.990291262135919</v>
      </c>
      <c r="Y7999" s="13">
        <f t="shared" si="1226"/>
        <v>0.85979126213592139</v>
      </c>
      <c r="Z7999" s="66">
        <v>0</v>
      </c>
      <c r="AA7999" s="6">
        <v>0</v>
      </c>
      <c r="AB7999" s="4">
        <f t="shared" si="1227"/>
        <v>39.990291262135919</v>
      </c>
      <c r="AC7999" s="6">
        <f t="shared" si="1236"/>
        <v>1.1997087378640785</v>
      </c>
      <c r="AD7999" s="6">
        <f t="shared" si="1234"/>
        <v>39.130499999999998</v>
      </c>
      <c r="AE7999" s="14">
        <v>0</v>
      </c>
      <c r="AF7999" s="6">
        <f t="shared" si="1232"/>
        <v>0</v>
      </c>
      <c r="AG7999" s="14">
        <v>0</v>
      </c>
      <c r="AH7999" s="64">
        <f t="shared" si="1235"/>
        <v>39.130499999999998</v>
      </c>
      <c r="AJ7999" s="126" t="e">
        <v>#N/A</v>
      </c>
      <c r="AK7999" s="80">
        <f t="shared" si="1228"/>
        <v>0</v>
      </c>
      <c r="AL7999" s="85"/>
      <c r="AM7999" s="85"/>
    </row>
    <row r="8000" spans="1:39" s="86" customFormat="1" ht="13.25" hidden="1" customHeight="1" x14ac:dyDescent="0.3">
      <c r="A8000" s="89" t="s">
        <v>3978</v>
      </c>
      <c r="B8000" s="86" t="s">
        <v>35</v>
      </c>
      <c r="C8000" s="86" t="s">
        <v>164</v>
      </c>
      <c r="D8000" s="86" t="s">
        <v>174</v>
      </c>
      <c r="E8000" s="86" t="s">
        <v>1966</v>
      </c>
      <c r="F8000" s="86" t="s">
        <v>1966</v>
      </c>
      <c r="G8000" s="86" t="s">
        <v>1966</v>
      </c>
      <c r="H8000" s="143">
        <v>346</v>
      </c>
      <c r="I8000" s="86" t="s">
        <v>3126</v>
      </c>
      <c r="J8000" s="1" t="s">
        <v>3323</v>
      </c>
      <c r="K8000" s="1" t="s">
        <v>3272</v>
      </c>
      <c r="L8000" s="1" t="s">
        <v>35</v>
      </c>
      <c r="M8000" s="86" t="s">
        <v>4120</v>
      </c>
      <c r="O8000" s="47" t="s">
        <v>45</v>
      </c>
      <c r="P8000" s="47" t="s">
        <v>46</v>
      </c>
      <c r="Q8000" s="14">
        <v>0.03</v>
      </c>
      <c r="R8000" s="143">
        <v>19269055</v>
      </c>
      <c r="S8000" s="47"/>
      <c r="T8000" s="6">
        <v>0</v>
      </c>
      <c r="U8000" s="6">
        <v>50000</v>
      </c>
      <c r="V8000" s="6">
        <v>0</v>
      </c>
      <c r="W8000" s="6">
        <f t="shared" si="1229"/>
        <v>50000</v>
      </c>
      <c r="X8000" s="6">
        <f t="shared" si="1233"/>
        <v>0</v>
      </c>
      <c r="Y8000" s="13">
        <f t="shared" si="1226"/>
        <v>0</v>
      </c>
      <c r="Z8000" s="66">
        <v>0</v>
      </c>
      <c r="AA8000" s="6">
        <v>0</v>
      </c>
      <c r="AB8000" s="4">
        <f t="shared" si="1227"/>
        <v>0</v>
      </c>
      <c r="AC8000" s="6">
        <f t="shared" si="1236"/>
        <v>0</v>
      </c>
      <c r="AD8000" s="6">
        <f t="shared" si="1234"/>
        <v>0</v>
      </c>
      <c r="AE8000" s="14">
        <v>0</v>
      </c>
      <c r="AF8000" s="6">
        <f t="shared" si="1232"/>
        <v>0</v>
      </c>
      <c r="AG8000" s="14">
        <v>0</v>
      </c>
      <c r="AH8000" s="64">
        <f t="shared" si="1235"/>
        <v>0</v>
      </c>
      <c r="AJ8000" s="126" t="e">
        <v>#N/A</v>
      </c>
      <c r="AK8000" s="80">
        <f t="shared" si="1228"/>
        <v>0</v>
      </c>
      <c r="AL8000" s="85"/>
      <c r="AM8000" s="85"/>
    </row>
    <row r="8001" spans="1:39" s="86" customFormat="1" ht="13.25" hidden="1" customHeight="1" x14ac:dyDescent="0.3">
      <c r="A8001" s="89" t="s">
        <v>3978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3130</v>
      </c>
      <c r="G8001" s="86" t="s">
        <v>2393</v>
      </c>
      <c r="H8001" s="144">
        <v>346</v>
      </c>
      <c r="I8001" s="86" t="s">
        <v>3126</v>
      </c>
      <c r="J8001" s="1" t="s">
        <v>3323</v>
      </c>
      <c r="K8001" s="1" t="s">
        <v>3272</v>
      </c>
      <c r="L8001" s="1" t="s">
        <v>35</v>
      </c>
      <c r="M8001" s="86" t="s">
        <v>3131</v>
      </c>
      <c r="O8001" s="47" t="s">
        <v>45</v>
      </c>
      <c r="P8001" s="14" t="s">
        <v>46</v>
      </c>
      <c r="Q8001" s="14">
        <v>0.05</v>
      </c>
      <c r="R8001" s="143">
        <v>19166085</v>
      </c>
      <c r="S8001" s="47"/>
      <c r="T8001" s="6">
        <v>41847.979999999996</v>
      </c>
      <c r="U8001" s="6"/>
      <c r="V8001" s="6">
        <v>8334.8799999999992</v>
      </c>
      <c r="W8001" s="6">
        <f t="shared" si="1229"/>
        <v>33513.1</v>
      </c>
      <c r="X8001" s="6">
        <f t="shared" si="1233"/>
        <v>7937.9809523809508</v>
      </c>
      <c r="Y8001" s="13">
        <f t="shared" si="1226"/>
        <v>19.844952380952236</v>
      </c>
      <c r="Z8001" s="14">
        <v>0</v>
      </c>
      <c r="AA8001" s="6">
        <v>0</v>
      </c>
      <c r="AB8001" s="4">
        <f t="shared" si="1227"/>
        <v>7937.9809523809508</v>
      </c>
      <c r="AC8001" s="6">
        <f t="shared" si="1236"/>
        <v>396.89904761904836</v>
      </c>
      <c r="AD8001" s="6">
        <f t="shared" si="1234"/>
        <v>7918.1359999999986</v>
      </c>
      <c r="AE8001" s="14">
        <v>0</v>
      </c>
      <c r="AF8001" s="6">
        <f t="shared" si="1232"/>
        <v>0</v>
      </c>
      <c r="AG8001" s="14">
        <v>0</v>
      </c>
      <c r="AH8001" s="64">
        <f t="shared" si="1235"/>
        <v>7918.1359999999986</v>
      </c>
      <c r="AJ8001" s="126" t="e">
        <v>#N/A</v>
      </c>
      <c r="AK8001" s="80">
        <f t="shared" si="1228"/>
        <v>0</v>
      </c>
      <c r="AL8001" s="85"/>
      <c r="AM8001" s="85"/>
    </row>
    <row r="8002" spans="1:39" s="86" customFormat="1" ht="13.25" hidden="1" customHeight="1" x14ac:dyDescent="0.3">
      <c r="A8002" s="89" t="s">
        <v>3978</v>
      </c>
      <c r="B8002" s="86" t="s">
        <v>35</v>
      </c>
      <c r="C8002" s="86" t="s">
        <v>164</v>
      </c>
      <c r="D8002" s="86" t="s">
        <v>3407</v>
      </c>
      <c r="E8002" s="86" t="s">
        <v>182</v>
      </c>
      <c r="F8002" s="86" t="s">
        <v>183</v>
      </c>
      <c r="G8002" s="86" t="s">
        <v>182</v>
      </c>
      <c r="H8002" s="144">
        <v>327</v>
      </c>
      <c r="I8002" s="86" t="s">
        <v>3121</v>
      </c>
      <c r="J8002" s="1" t="s">
        <v>3323</v>
      </c>
      <c r="K8002" s="1" t="s">
        <v>3274</v>
      </c>
      <c r="L8002" s="1" t="s">
        <v>35</v>
      </c>
      <c r="M8002" s="86" t="s">
        <v>3123</v>
      </c>
      <c r="O8002" s="47" t="s">
        <v>45</v>
      </c>
      <c r="P8002" s="14" t="s">
        <v>46</v>
      </c>
      <c r="Q8002" s="14">
        <v>0.03</v>
      </c>
      <c r="R8002" s="143">
        <v>7244002</v>
      </c>
      <c r="S8002" s="47"/>
      <c r="T8002" s="6">
        <v>30360.768000000011</v>
      </c>
      <c r="U8002" s="6"/>
      <c r="V8002" s="6">
        <v>20818.460999999999</v>
      </c>
      <c r="W8002" s="6">
        <f t="shared" si="1229"/>
        <v>9542.3070000000116</v>
      </c>
      <c r="X8002" s="6">
        <f t="shared" si="1233"/>
        <v>20212.098058252424</v>
      </c>
      <c r="Y8002" s="13">
        <f t="shared" si="1226"/>
        <v>434.56010825242629</v>
      </c>
      <c r="Z8002" s="14">
        <v>0</v>
      </c>
      <c r="AA8002" s="6">
        <v>0</v>
      </c>
      <c r="AB8002" s="4">
        <f t="shared" si="1227"/>
        <v>20212.098058252424</v>
      </c>
      <c r="AC8002" s="6">
        <f t="shared" si="1236"/>
        <v>606.36294174757495</v>
      </c>
      <c r="AD8002" s="6">
        <f t="shared" si="1234"/>
        <v>19777.537949999998</v>
      </c>
      <c r="AE8002" s="14">
        <v>0</v>
      </c>
      <c r="AF8002" s="6">
        <f t="shared" si="1232"/>
        <v>0</v>
      </c>
      <c r="AG8002" s="14">
        <v>0</v>
      </c>
      <c r="AH8002" s="64">
        <f t="shared" si="1235"/>
        <v>19777.537949999998</v>
      </c>
      <c r="AJ8002" s="126" t="e">
        <v>#N/A</v>
      </c>
      <c r="AK8002" s="80">
        <f t="shared" si="1228"/>
        <v>0</v>
      </c>
      <c r="AL8002" s="85"/>
      <c r="AM8002" s="85"/>
    </row>
    <row r="8003" spans="1:39" s="86" customFormat="1" ht="13.25" hidden="1" customHeight="1" x14ac:dyDescent="0.3">
      <c r="A8003" s="89" t="s">
        <v>3792</v>
      </c>
      <c r="B8003" s="86" t="s">
        <v>35</v>
      </c>
      <c r="C8003" s="86" t="s">
        <v>184</v>
      </c>
      <c r="D8003" s="86" t="s">
        <v>37</v>
      </c>
      <c r="E8003" s="86" t="s">
        <v>42</v>
      </c>
      <c r="F8003" s="86" t="s">
        <v>43</v>
      </c>
      <c r="G8003" s="86" t="s">
        <v>42</v>
      </c>
      <c r="H8003" s="143">
        <v>342</v>
      </c>
      <c r="I8003" s="86" t="s">
        <v>44</v>
      </c>
      <c r="J8003" s="1" t="s">
        <v>3671</v>
      </c>
      <c r="K8003" s="47"/>
      <c r="L8003" s="1" t="s">
        <v>3317</v>
      </c>
      <c r="M8003" s="86" t="s">
        <v>42</v>
      </c>
      <c r="O8003" s="47" t="s">
        <v>45</v>
      </c>
      <c r="P8003" s="14" t="s">
        <v>46</v>
      </c>
      <c r="Q8003" s="14">
        <v>0.2</v>
      </c>
      <c r="R8003" s="143">
        <v>362335</v>
      </c>
      <c r="S8003" s="47"/>
      <c r="T8003" s="6">
        <v>-978.4709999999925</v>
      </c>
      <c r="U8003" s="6"/>
      <c r="V8003" s="6">
        <v>0</v>
      </c>
      <c r="W8003" s="6">
        <f t="shared" si="1229"/>
        <v>-978.4709999999925</v>
      </c>
      <c r="X8003" s="6">
        <f t="shared" si="1233"/>
        <v>0</v>
      </c>
      <c r="Y8003" s="13">
        <f t="shared" ref="Y8003:Y8066" si="1237">IF(X8003-AD8003&lt;=0,0,IF(P8003="返现",MAX(X8003-AC8003-AD8003,0),MAX(X8003-AD8003)))</f>
        <v>0</v>
      </c>
      <c r="Z8003" s="14">
        <v>0</v>
      </c>
      <c r="AA8003" s="6">
        <v>0</v>
      </c>
      <c r="AB8003" s="4">
        <f t="shared" ref="AB8003:AB8066" si="1238">X8003+AA8003</f>
        <v>0</v>
      </c>
      <c r="AC8003" s="6">
        <f t="shared" si="1236"/>
        <v>0</v>
      </c>
      <c r="AD8003" s="6">
        <f t="shared" si="1230"/>
        <v>0</v>
      </c>
      <c r="AE8003" s="14">
        <v>0</v>
      </c>
      <c r="AF8003" s="6">
        <f t="shared" si="1232"/>
        <v>0</v>
      </c>
      <c r="AG8003" s="14">
        <v>0</v>
      </c>
      <c r="AH8003" s="64">
        <f t="shared" si="1235"/>
        <v>0</v>
      </c>
      <c r="AJ8003" s="126" t="e">
        <v>#N/A</v>
      </c>
      <c r="AK8003" s="80">
        <f t="shared" ref="AK8003:AK8066" si="1239">X8003+AA8003-AB8003</f>
        <v>0</v>
      </c>
      <c r="AL8003" s="85"/>
      <c r="AM8003" s="85"/>
    </row>
    <row r="8004" spans="1:39" s="86" customFormat="1" ht="13.25" hidden="1" customHeight="1" x14ac:dyDescent="0.3">
      <c r="A8004" s="89" t="s">
        <v>3978</v>
      </c>
      <c r="B8004" s="86" t="s">
        <v>35</v>
      </c>
      <c r="C8004" s="86" t="s">
        <v>164</v>
      </c>
      <c r="D8004" s="86" t="s">
        <v>174</v>
      </c>
      <c r="E8004" s="86" t="s">
        <v>50</v>
      </c>
      <c r="F8004" s="86" t="s">
        <v>50</v>
      </c>
      <c r="G8004" s="86" t="s">
        <v>50</v>
      </c>
      <c r="H8004" s="143">
        <v>342</v>
      </c>
      <c r="I8004" s="86" t="s">
        <v>44</v>
      </c>
      <c r="J8004" s="1" t="s">
        <v>3671</v>
      </c>
      <c r="K8004" s="47"/>
      <c r="L8004" s="1" t="s">
        <v>3317</v>
      </c>
      <c r="M8004" s="86" t="s">
        <v>51</v>
      </c>
      <c r="O8004" s="47" t="s">
        <v>45</v>
      </c>
      <c r="P8004" s="14" t="s">
        <v>46</v>
      </c>
      <c r="Q8004" s="14">
        <v>0.3</v>
      </c>
      <c r="R8004" s="143">
        <v>350831</v>
      </c>
      <c r="S8004" s="47"/>
      <c r="T8004" s="6">
        <v>11079.391000000018</v>
      </c>
      <c r="U8004" s="6"/>
      <c r="V8004" s="6">
        <v>0</v>
      </c>
      <c r="W8004" s="6">
        <f t="shared" si="1229"/>
        <v>11079.391000000018</v>
      </c>
      <c r="X8004" s="6">
        <f t="shared" si="1233"/>
        <v>0</v>
      </c>
      <c r="Y8004" s="13">
        <f t="shared" si="1237"/>
        <v>0</v>
      </c>
      <c r="Z8004" s="14">
        <v>0</v>
      </c>
      <c r="AA8004" s="6">
        <v>0</v>
      </c>
      <c r="AB8004" s="4">
        <f t="shared" si="1238"/>
        <v>0</v>
      </c>
      <c r="AC8004" s="6">
        <f t="shared" si="1236"/>
        <v>0</v>
      </c>
      <c r="AD8004" s="6">
        <f t="shared" si="1230"/>
        <v>0</v>
      </c>
      <c r="AE8004" s="14">
        <v>0</v>
      </c>
      <c r="AF8004" s="6">
        <f t="shared" si="1232"/>
        <v>0</v>
      </c>
      <c r="AG8004" s="14">
        <v>0</v>
      </c>
      <c r="AH8004" s="64">
        <f t="shared" si="1235"/>
        <v>0</v>
      </c>
      <c r="AJ8004" s="126" t="e">
        <v>#N/A</v>
      </c>
      <c r="AK8004" s="80">
        <f t="shared" si="1239"/>
        <v>0</v>
      </c>
      <c r="AL8004" s="85"/>
      <c r="AM8004" s="85"/>
    </row>
    <row r="8005" spans="1:39" s="86" customFormat="1" ht="13.25" hidden="1" customHeight="1" x14ac:dyDescent="0.3">
      <c r="A8005" s="89" t="s">
        <v>3978</v>
      </c>
      <c r="B8005" s="86" t="s">
        <v>35</v>
      </c>
      <c r="C8005" s="86" t="s">
        <v>164</v>
      </c>
      <c r="D8005" s="86" t="s">
        <v>174</v>
      </c>
      <c r="E8005" s="86" t="s">
        <v>50</v>
      </c>
      <c r="F8005" s="86" t="s">
        <v>50</v>
      </c>
      <c r="G8005" s="86" t="s">
        <v>50</v>
      </c>
      <c r="H8005" s="143">
        <v>342</v>
      </c>
      <c r="I8005" s="86" t="s">
        <v>44</v>
      </c>
      <c r="J8005" s="1" t="s">
        <v>3671</v>
      </c>
      <c r="K8005" s="47"/>
      <c r="L8005" s="1" t="s">
        <v>3317</v>
      </c>
      <c r="M8005" s="86" t="s">
        <v>52</v>
      </c>
      <c r="O8005" s="47" t="s">
        <v>45</v>
      </c>
      <c r="P8005" s="14" t="s">
        <v>46</v>
      </c>
      <c r="Q8005" s="14">
        <v>0.3</v>
      </c>
      <c r="R8005" s="143">
        <v>354326</v>
      </c>
      <c r="S8005" s="47"/>
      <c r="T8005" s="6">
        <v>14622.041000000012</v>
      </c>
      <c r="U8005" s="6"/>
      <c r="V8005" s="6">
        <v>0</v>
      </c>
      <c r="W8005" s="6">
        <f t="shared" si="1229"/>
        <v>14622.041000000012</v>
      </c>
      <c r="X8005" s="6">
        <f t="shared" si="1233"/>
        <v>0</v>
      </c>
      <c r="Y8005" s="13">
        <f t="shared" si="1237"/>
        <v>0</v>
      </c>
      <c r="Z8005" s="14">
        <v>0</v>
      </c>
      <c r="AA8005" s="6">
        <v>0</v>
      </c>
      <c r="AB8005" s="4">
        <f t="shared" si="1238"/>
        <v>0</v>
      </c>
      <c r="AC8005" s="6">
        <f t="shared" si="1236"/>
        <v>0</v>
      </c>
      <c r="AD8005" s="6">
        <f t="shared" si="1230"/>
        <v>0</v>
      </c>
      <c r="AE8005" s="14">
        <v>0</v>
      </c>
      <c r="AF8005" s="6">
        <f t="shared" si="1232"/>
        <v>0</v>
      </c>
      <c r="AG8005" s="14">
        <v>0</v>
      </c>
      <c r="AH8005" s="64">
        <f t="shared" si="1235"/>
        <v>0</v>
      </c>
      <c r="AJ8005" s="126" t="e">
        <v>#N/A</v>
      </c>
      <c r="AK8005" s="80">
        <f t="shared" si="1239"/>
        <v>0</v>
      </c>
      <c r="AL8005" s="85"/>
      <c r="AM8005" s="85"/>
    </row>
    <row r="8006" spans="1:39" s="86" customFormat="1" ht="13.25" hidden="1" customHeight="1" x14ac:dyDescent="0.3">
      <c r="A8006" s="89" t="s">
        <v>3792</v>
      </c>
      <c r="B8006" s="86" t="s">
        <v>35</v>
      </c>
      <c r="C8006" s="86" t="s">
        <v>164</v>
      </c>
      <c r="D8006" s="86" t="s">
        <v>3407</v>
      </c>
      <c r="E8006" s="86" t="s">
        <v>182</v>
      </c>
      <c r="F8006" s="86" t="s">
        <v>183</v>
      </c>
      <c r="G8006" s="86" t="s">
        <v>182</v>
      </c>
      <c r="H8006" s="143">
        <v>327</v>
      </c>
      <c r="I8006" s="86" t="s">
        <v>3121</v>
      </c>
      <c r="J8006" s="1" t="s">
        <v>3323</v>
      </c>
      <c r="K8006" s="1" t="s">
        <v>3274</v>
      </c>
      <c r="L8006" s="1" t="s">
        <v>35</v>
      </c>
      <c r="M8006" s="86" t="s">
        <v>3123</v>
      </c>
      <c r="O8006" s="47" t="s">
        <v>45</v>
      </c>
      <c r="P8006" s="14" t="s">
        <v>46</v>
      </c>
      <c r="Q8006" s="14">
        <v>0.03</v>
      </c>
      <c r="R8006" s="143">
        <v>7014459</v>
      </c>
      <c r="S8006" s="47"/>
      <c r="T8006" s="6">
        <v>7.9999999898063834E-3</v>
      </c>
      <c r="U8006" s="6"/>
      <c r="V8006" s="6">
        <v>0</v>
      </c>
      <c r="W8006" s="6">
        <f t="shared" si="1229"/>
        <v>7.9999999898063834E-3</v>
      </c>
      <c r="X8006" s="6">
        <f t="shared" si="1233"/>
        <v>0</v>
      </c>
      <c r="Y8006" s="13">
        <f t="shared" si="1237"/>
        <v>0</v>
      </c>
      <c r="Z8006" s="14">
        <v>0</v>
      </c>
      <c r="AA8006" s="6">
        <v>0</v>
      </c>
      <c r="AB8006" s="4">
        <f t="shared" si="1238"/>
        <v>0</v>
      </c>
      <c r="AC8006" s="6">
        <f t="shared" si="1236"/>
        <v>0</v>
      </c>
      <c r="AD8006" s="6">
        <f t="shared" ref="AD8006:AD8012" si="1240">V8006*95%</f>
        <v>0</v>
      </c>
      <c r="AE8006" s="14">
        <v>0</v>
      </c>
      <c r="AF8006" s="6">
        <f t="shared" si="1232"/>
        <v>0</v>
      </c>
      <c r="AG8006" s="14">
        <v>0</v>
      </c>
      <c r="AH8006" s="64">
        <f t="shared" si="1235"/>
        <v>0</v>
      </c>
      <c r="AJ8006" s="126" t="e">
        <v>#N/A</v>
      </c>
      <c r="AK8006" s="80">
        <f t="shared" si="1239"/>
        <v>0</v>
      </c>
      <c r="AL8006" s="85"/>
      <c r="AM8006" s="85"/>
    </row>
    <row r="8007" spans="1:39" s="86" customFormat="1" ht="13.25" hidden="1" customHeight="1" x14ac:dyDescent="0.3">
      <c r="A8007" s="89" t="s">
        <v>3792</v>
      </c>
      <c r="B8007" s="86" t="s">
        <v>35</v>
      </c>
      <c r="C8007" s="86" t="s">
        <v>36</v>
      </c>
      <c r="D8007" s="86" t="s">
        <v>185</v>
      </c>
      <c r="E8007" s="86" t="s">
        <v>261</v>
      </c>
      <c r="F8007" s="86" t="s">
        <v>261</v>
      </c>
      <c r="G8007" s="86" t="s">
        <v>261</v>
      </c>
      <c r="H8007" s="143">
        <v>327</v>
      </c>
      <c r="I8007" s="86" t="s">
        <v>3121</v>
      </c>
      <c r="J8007" s="1" t="s">
        <v>3323</v>
      </c>
      <c r="K8007" s="1" t="s">
        <v>3274</v>
      </c>
      <c r="L8007" s="1" t="s">
        <v>35</v>
      </c>
      <c r="M8007" s="86" t="s">
        <v>261</v>
      </c>
      <c r="O8007" s="47" t="s">
        <v>45</v>
      </c>
      <c r="P8007" s="14" t="s">
        <v>46</v>
      </c>
      <c r="Q8007" s="14">
        <v>0.06</v>
      </c>
      <c r="R8007" s="143">
        <v>6891422</v>
      </c>
      <c r="S8007" s="47"/>
      <c r="T8007" s="6">
        <v>1.196000000803906</v>
      </c>
      <c r="U8007" s="6"/>
      <c r="V8007" s="6">
        <v>0</v>
      </c>
      <c r="W8007" s="6">
        <f t="shared" si="1229"/>
        <v>1.196000000803906</v>
      </c>
      <c r="X8007" s="6">
        <f t="shared" si="1233"/>
        <v>0</v>
      </c>
      <c r="Y8007" s="13">
        <f t="shared" si="1237"/>
        <v>0</v>
      </c>
      <c r="Z8007" s="14">
        <v>0</v>
      </c>
      <c r="AA8007" s="6">
        <v>0</v>
      </c>
      <c r="AB8007" s="4">
        <f t="shared" si="1238"/>
        <v>0</v>
      </c>
      <c r="AC8007" s="6">
        <f t="shared" si="1236"/>
        <v>0</v>
      </c>
      <c r="AD8007" s="6">
        <f t="shared" si="1240"/>
        <v>0</v>
      </c>
      <c r="AE8007" s="14">
        <v>0</v>
      </c>
      <c r="AF8007" s="6">
        <f t="shared" si="1232"/>
        <v>0</v>
      </c>
      <c r="AG8007" s="14">
        <v>0</v>
      </c>
      <c r="AH8007" s="64">
        <f t="shared" si="1235"/>
        <v>0</v>
      </c>
      <c r="AJ8007" s="126" t="e">
        <v>#N/A</v>
      </c>
      <c r="AK8007" s="80">
        <f t="shared" si="1239"/>
        <v>0</v>
      </c>
      <c r="AL8007" s="85"/>
      <c r="AM8007" s="85"/>
    </row>
    <row r="8008" spans="1:39" s="86" customFormat="1" ht="13.25" hidden="1" customHeight="1" x14ac:dyDescent="0.3">
      <c r="A8008" s="89" t="s">
        <v>3978</v>
      </c>
      <c r="B8008" s="86" t="s">
        <v>35</v>
      </c>
      <c r="C8008" s="86" t="s">
        <v>36</v>
      </c>
      <c r="D8008" s="86" t="s">
        <v>185</v>
      </c>
      <c r="E8008" s="86" t="s">
        <v>261</v>
      </c>
      <c r="F8008" s="86" t="s">
        <v>261</v>
      </c>
      <c r="G8008" s="86" t="s">
        <v>261</v>
      </c>
      <c r="H8008" s="143">
        <v>327</v>
      </c>
      <c r="I8008" s="86" t="s">
        <v>3121</v>
      </c>
      <c r="J8008" s="1" t="s">
        <v>3323</v>
      </c>
      <c r="K8008" s="1" t="s">
        <v>3274</v>
      </c>
      <c r="L8008" s="1" t="s">
        <v>35</v>
      </c>
      <c r="M8008" s="86" t="s">
        <v>261</v>
      </c>
      <c r="O8008" s="47" t="s">
        <v>45</v>
      </c>
      <c r="P8008" s="14" t="s">
        <v>46</v>
      </c>
      <c r="Q8008" s="14">
        <v>0.06</v>
      </c>
      <c r="R8008" s="143">
        <v>6962945</v>
      </c>
      <c r="S8008" s="47"/>
      <c r="T8008" s="6">
        <v>7.9999995032267179E-3</v>
      </c>
      <c r="U8008" s="6"/>
      <c r="V8008" s="6">
        <v>0</v>
      </c>
      <c r="W8008" s="6">
        <f t="shared" si="1229"/>
        <v>7.9999995032267179E-3</v>
      </c>
      <c r="X8008" s="6">
        <f t="shared" si="1233"/>
        <v>0</v>
      </c>
      <c r="Y8008" s="13">
        <f t="shared" si="1237"/>
        <v>0</v>
      </c>
      <c r="Z8008" s="14">
        <v>0</v>
      </c>
      <c r="AA8008" s="6">
        <v>0</v>
      </c>
      <c r="AB8008" s="4">
        <f t="shared" si="1238"/>
        <v>0</v>
      </c>
      <c r="AC8008" s="6">
        <f t="shared" si="1236"/>
        <v>0</v>
      </c>
      <c r="AD8008" s="6">
        <f t="shared" si="1240"/>
        <v>0</v>
      </c>
      <c r="AE8008" s="14">
        <v>0</v>
      </c>
      <c r="AF8008" s="6">
        <f t="shared" si="1232"/>
        <v>0</v>
      </c>
      <c r="AG8008" s="14">
        <v>0</v>
      </c>
      <c r="AH8008" s="64">
        <f t="shared" si="1235"/>
        <v>0</v>
      </c>
      <c r="AJ8008" s="126" t="e">
        <v>#N/A</v>
      </c>
      <c r="AK8008" s="80">
        <f t="shared" si="1239"/>
        <v>0</v>
      </c>
      <c r="AL8008" s="85"/>
      <c r="AM8008" s="85"/>
    </row>
    <row r="8009" spans="1:39" s="86" customFormat="1" ht="13.25" hidden="1" customHeight="1" x14ac:dyDescent="0.3">
      <c r="A8009" s="89" t="s">
        <v>3978</v>
      </c>
      <c r="B8009" s="86" t="s">
        <v>35</v>
      </c>
      <c r="C8009" s="86" t="s">
        <v>36</v>
      </c>
      <c r="D8009" s="86" t="s">
        <v>185</v>
      </c>
      <c r="E8009" s="86" t="s">
        <v>261</v>
      </c>
      <c r="F8009" s="86" t="s">
        <v>261</v>
      </c>
      <c r="G8009" s="86" t="s">
        <v>261</v>
      </c>
      <c r="H8009" s="143">
        <v>327</v>
      </c>
      <c r="I8009" s="86" t="s">
        <v>3121</v>
      </c>
      <c r="J8009" s="1" t="s">
        <v>3323</v>
      </c>
      <c r="K8009" s="1" t="s">
        <v>3274</v>
      </c>
      <c r="L8009" s="1" t="s">
        <v>35</v>
      </c>
      <c r="M8009" s="86" t="s">
        <v>3124</v>
      </c>
      <c r="O8009" s="47" t="s">
        <v>45</v>
      </c>
      <c r="P8009" s="14" t="s">
        <v>46</v>
      </c>
      <c r="Q8009" s="14">
        <v>0.06</v>
      </c>
      <c r="R8009" s="143">
        <v>7194441</v>
      </c>
      <c r="S8009" s="47"/>
      <c r="T8009" s="6">
        <v>8.9999999909196049E-3</v>
      </c>
      <c r="U8009" s="6"/>
      <c r="V8009" s="6">
        <v>0</v>
      </c>
      <c r="W8009" s="6">
        <f t="shared" si="1229"/>
        <v>8.9999999909196049E-3</v>
      </c>
      <c r="X8009" s="6">
        <f t="shared" si="1233"/>
        <v>0</v>
      </c>
      <c r="Y8009" s="13">
        <f t="shared" si="1237"/>
        <v>0</v>
      </c>
      <c r="Z8009" s="14">
        <v>0</v>
      </c>
      <c r="AA8009" s="6">
        <v>0</v>
      </c>
      <c r="AB8009" s="4">
        <f t="shared" si="1238"/>
        <v>0</v>
      </c>
      <c r="AC8009" s="6">
        <f t="shared" si="1236"/>
        <v>0</v>
      </c>
      <c r="AD8009" s="6">
        <f t="shared" si="1240"/>
        <v>0</v>
      </c>
      <c r="AE8009" s="14">
        <v>0</v>
      </c>
      <c r="AF8009" s="6">
        <f t="shared" si="1232"/>
        <v>0</v>
      </c>
      <c r="AG8009" s="14">
        <v>0</v>
      </c>
      <c r="AH8009" s="64">
        <f t="shared" si="1235"/>
        <v>0</v>
      </c>
      <c r="AJ8009" s="126" t="e">
        <v>#N/A</v>
      </c>
      <c r="AK8009" s="80">
        <f t="shared" si="1239"/>
        <v>0</v>
      </c>
      <c r="AL8009" s="85"/>
      <c r="AM8009" s="85"/>
    </row>
    <row r="8010" spans="1:39" s="86" customFormat="1" ht="13.25" hidden="1" customHeight="1" x14ac:dyDescent="0.3">
      <c r="A8010" s="89" t="s">
        <v>3978</v>
      </c>
      <c r="B8010" s="86" t="s">
        <v>35</v>
      </c>
      <c r="C8010" s="86" t="s">
        <v>164</v>
      </c>
      <c r="D8010" s="86" t="s">
        <v>305</v>
      </c>
      <c r="E8010" s="86" t="s">
        <v>166</v>
      </c>
      <c r="F8010" s="86" t="s">
        <v>166</v>
      </c>
      <c r="G8010" s="86" t="s">
        <v>166</v>
      </c>
      <c r="H8010" s="143">
        <v>346</v>
      </c>
      <c r="I8010" s="86" t="s">
        <v>3126</v>
      </c>
      <c r="J8010" s="1" t="s">
        <v>3323</v>
      </c>
      <c r="K8010" s="1" t="s">
        <v>3272</v>
      </c>
      <c r="L8010" s="1" t="s">
        <v>35</v>
      </c>
      <c r="M8010" s="86" t="s">
        <v>166</v>
      </c>
      <c r="O8010" s="47" t="s">
        <v>45</v>
      </c>
      <c r="P8010" s="14" t="s">
        <v>46</v>
      </c>
      <c r="Q8010" s="14">
        <v>0.03</v>
      </c>
      <c r="R8010" s="143">
        <v>18001206</v>
      </c>
      <c r="S8010" s="47"/>
      <c r="T8010" s="6">
        <v>14695.009999999998</v>
      </c>
      <c r="U8010" s="6"/>
      <c r="V8010" s="6">
        <v>0</v>
      </c>
      <c r="W8010" s="6">
        <f t="shared" si="1229"/>
        <v>14695.009999999998</v>
      </c>
      <c r="X8010" s="6">
        <f t="shared" si="1233"/>
        <v>0</v>
      </c>
      <c r="Y8010" s="13">
        <f t="shared" si="1237"/>
        <v>0</v>
      </c>
      <c r="Z8010" s="14">
        <v>0</v>
      </c>
      <c r="AA8010" s="6">
        <v>0</v>
      </c>
      <c r="AB8010" s="4">
        <f t="shared" si="1238"/>
        <v>0</v>
      </c>
      <c r="AC8010" s="6">
        <f t="shared" si="1236"/>
        <v>0</v>
      </c>
      <c r="AD8010" s="6">
        <f t="shared" si="1240"/>
        <v>0</v>
      </c>
      <c r="AE8010" s="14">
        <v>0</v>
      </c>
      <c r="AF8010" s="6">
        <f t="shared" si="1232"/>
        <v>0</v>
      </c>
      <c r="AG8010" s="14">
        <v>0</v>
      </c>
      <c r="AH8010" s="64">
        <f t="shared" si="1235"/>
        <v>0</v>
      </c>
      <c r="AJ8010" s="126" t="e">
        <v>#N/A</v>
      </c>
      <c r="AK8010" s="80">
        <f t="shared" si="1239"/>
        <v>0</v>
      </c>
      <c r="AL8010" s="85"/>
      <c r="AM8010" s="85"/>
    </row>
    <row r="8011" spans="1:39" s="86" customFormat="1" ht="13.25" hidden="1" customHeight="1" x14ac:dyDescent="0.3">
      <c r="A8011" s="89" t="s">
        <v>3978</v>
      </c>
      <c r="B8011" s="86" t="s">
        <v>35</v>
      </c>
      <c r="C8011" s="86" t="s">
        <v>164</v>
      </c>
      <c r="D8011" s="86" t="s">
        <v>305</v>
      </c>
      <c r="E8011" s="86" t="s">
        <v>166</v>
      </c>
      <c r="F8011" s="86" t="s">
        <v>166</v>
      </c>
      <c r="G8011" s="86" t="s">
        <v>166</v>
      </c>
      <c r="H8011" s="143">
        <v>346</v>
      </c>
      <c r="I8011" s="86" t="s">
        <v>3126</v>
      </c>
      <c r="J8011" s="1" t="s">
        <v>3323</v>
      </c>
      <c r="K8011" s="1" t="s">
        <v>3272</v>
      </c>
      <c r="L8011" s="1" t="s">
        <v>35</v>
      </c>
      <c r="M8011" s="86" t="s">
        <v>166</v>
      </c>
      <c r="O8011" s="47" t="s">
        <v>45</v>
      </c>
      <c r="P8011" s="14" t="s">
        <v>46</v>
      </c>
      <c r="Q8011" s="14">
        <v>0.03</v>
      </c>
      <c r="R8011" s="143">
        <v>18001207</v>
      </c>
      <c r="S8011" s="47"/>
      <c r="T8011" s="6">
        <v>6831.73</v>
      </c>
      <c r="U8011" s="6"/>
      <c r="V8011" s="6">
        <v>0</v>
      </c>
      <c r="W8011" s="6">
        <f t="shared" si="1229"/>
        <v>6831.73</v>
      </c>
      <c r="X8011" s="6">
        <f t="shared" si="1233"/>
        <v>0</v>
      </c>
      <c r="Y8011" s="13">
        <f t="shared" si="1237"/>
        <v>0</v>
      </c>
      <c r="Z8011" s="14">
        <v>0</v>
      </c>
      <c r="AA8011" s="6">
        <v>0</v>
      </c>
      <c r="AB8011" s="4">
        <f t="shared" si="1238"/>
        <v>0</v>
      </c>
      <c r="AC8011" s="6">
        <f t="shared" si="1236"/>
        <v>0</v>
      </c>
      <c r="AD8011" s="6">
        <f t="shared" si="1240"/>
        <v>0</v>
      </c>
      <c r="AE8011" s="14">
        <v>0</v>
      </c>
      <c r="AF8011" s="6">
        <f t="shared" si="1232"/>
        <v>0</v>
      </c>
      <c r="AG8011" s="14">
        <v>0</v>
      </c>
      <c r="AH8011" s="64">
        <f t="shared" si="1235"/>
        <v>0</v>
      </c>
      <c r="AJ8011" s="126" t="e">
        <v>#N/A</v>
      </c>
      <c r="AK8011" s="80">
        <f t="shared" si="1239"/>
        <v>0</v>
      </c>
      <c r="AL8011" s="85"/>
      <c r="AM8011" s="85"/>
    </row>
    <row r="8012" spans="1:39" s="86" customFormat="1" ht="13.25" hidden="1" customHeight="1" x14ac:dyDescent="0.3">
      <c r="A8012" s="89" t="s">
        <v>3978</v>
      </c>
      <c r="B8012" s="86" t="s">
        <v>35</v>
      </c>
      <c r="C8012" s="86" t="s">
        <v>164</v>
      </c>
      <c r="D8012" s="86" t="s">
        <v>174</v>
      </c>
      <c r="E8012" s="86" t="s">
        <v>1966</v>
      </c>
      <c r="F8012" s="86" t="s">
        <v>1966</v>
      </c>
      <c r="G8012" s="86" t="s">
        <v>1966</v>
      </c>
      <c r="H8012" s="144">
        <v>346</v>
      </c>
      <c r="I8012" s="86" t="s">
        <v>3126</v>
      </c>
      <c r="J8012" s="1" t="s">
        <v>3323</v>
      </c>
      <c r="K8012" s="1" t="s">
        <v>3272</v>
      </c>
      <c r="L8012" s="1" t="s">
        <v>35</v>
      </c>
      <c r="M8012" s="86" t="s">
        <v>3018</v>
      </c>
      <c r="O8012" s="47" t="s">
        <v>45</v>
      </c>
      <c r="P8012" s="47" t="s">
        <v>46</v>
      </c>
      <c r="Q8012" s="14">
        <v>0.03</v>
      </c>
      <c r="R8012" s="143">
        <v>19275268</v>
      </c>
      <c r="S8012" s="47"/>
      <c r="T8012" s="6">
        <v>0</v>
      </c>
      <c r="U8012" s="6">
        <v>29341.34</v>
      </c>
      <c r="V8012" s="6">
        <v>1163.1300000000001</v>
      </c>
      <c r="W8012" s="6">
        <f t="shared" si="1229"/>
        <v>28178.21</v>
      </c>
      <c r="X8012" s="6">
        <f t="shared" si="1233"/>
        <v>1129.2524271844661</v>
      </c>
      <c r="Y8012" s="13">
        <f t="shared" si="1237"/>
        <v>24.278927184466056</v>
      </c>
      <c r="Z8012" s="66">
        <v>0</v>
      </c>
      <c r="AA8012" s="6">
        <v>0</v>
      </c>
      <c r="AB8012" s="4">
        <f t="shared" si="1238"/>
        <v>1129.2524271844661</v>
      </c>
      <c r="AC8012" s="6">
        <f t="shared" si="1236"/>
        <v>33.877572815533995</v>
      </c>
      <c r="AD8012" s="6">
        <f t="shared" si="1240"/>
        <v>1104.9735000000001</v>
      </c>
      <c r="AE8012" s="14">
        <v>0</v>
      </c>
      <c r="AF8012" s="6">
        <f t="shared" si="1232"/>
        <v>0</v>
      </c>
      <c r="AG8012" s="14">
        <v>0</v>
      </c>
      <c r="AH8012" s="64">
        <f t="shared" si="1235"/>
        <v>1104.9735000000001</v>
      </c>
      <c r="AJ8012" s="126" t="e">
        <v>#N/A</v>
      </c>
      <c r="AK8012" s="80">
        <f t="shared" si="1239"/>
        <v>0</v>
      </c>
      <c r="AL8012" s="85"/>
      <c r="AM8012" s="85"/>
    </row>
    <row r="8013" spans="1:39" s="86" customFormat="1" ht="13.25" hidden="1" customHeight="1" x14ac:dyDescent="0.3">
      <c r="A8013" s="89" t="s">
        <v>3978</v>
      </c>
      <c r="B8013" s="86" t="s">
        <v>35</v>
      </c>
      <c r="C8013" s="86" t="s">
        <v>36</v>
      </c>
      <c r="D8013" s="86" t="s">
        <v>185</v>
      </c>
      <c r="E8013" s="86" t="s">
        <v>4121</v>
      </c>
      <c r="F8013" s="86" t="s">
        <v>4122</v>
      </c>
      <c r="G8013" s="86" t="s">
        <v>2393</v>
      </c>
      <c r="H8013" s="144">
        <v>229</v>
      </c>
      <c r="I8013" s="86" t="s">
        <v>3356</v>
      </c>
      <c r="J8013" s="47" t="s">
        <v>3326</v>
      </c>
      <c r="K8013" s="47" t="str">
        <f t="shared" ref="K8013:K8017" si="1241">N8013</f>
        <v>巨量引擎-一类</v>
      </c>
      <c r="L8013" s="47" t="s">
        <v>35</v>
      </c>
      <c r="N8013" s="86" t="s">
        <v>3955</v>
      </c>
      <c r="O8013" s="47" t="s">
        <v>45</v>
      </c>
      <c r="P8013" s="47" t="s">
        <v>4123</v>
      </c>
      <c r="Q8013" s="14">
        <v>0</v>
      </c>
      <c r="R8013" s="89"/>
      <c r="S8013" s="86" t="s">
        <v>4124</v>
      </c>
      <c r="T8013" s="92"/>
      <c r="U8013" s="92"/>
      <c r="V8013" s="92"/>
      <c r="W8013" s="92"/>
      <c r="X8013" s="92"/>
      <c r="Y8013" s="13">
        <f t="shared" si="1237"/>
        <v>0</v>
      </c>
      <c r="Z8013" s="66">
        <v>1.4999999999999999E-2</v>
      </c>
      <c r="AA8013" s="6">
        <f>1694914.14-3260</f>
        <v>1691654.14</v>
      </c>
      <c r="AB8013" s="4">
        <f t="shared" si="1238"/>
        <v>1691654.14</v>
      </c>
      <c r="AC8013" s="6">
        <f t="shared" si="1236"/>
        <v>0</v>
      </c>
      <c r="AD8013" s="92"/>
      <c r="AE8013" s="14">
        <v>0.06</v>
      </c>
      <c r="AF8013" s="6">
        <f t="shared" si="1232"/>
        <v>0</v>
      </c>
      <c r="AG8013" s="14">
        <v>0</v>
      </c>
      <c r="AH8013" s="102">
        <v>0</v>
      </c>
      <c r="AJ8013" s="126" t="e">
        <v>#N/A</v>
      </c>
      <c r="AK8013" s="80">
        <f t="shared" si="1239"/>
        <v>0</v>
      </c>
      <c r="AL8013" s="85"/>
      <c r="AM8013" s="85"/>
    </row>
    <row r="8014" spans="1:39" s="86" customFormat="1" ht="13.25" hidden="1" customHeight="1" x14ac:dyDescent="0.3">
      <c r="A8014" s="89" t="s">
        <v>3792</v>
      </c>
      <c r="B8014" s="86" t="s">
        <v>35</v>
      </c>
      <c r="C8014" s="86" t="s">
        <v>36</v>
      </c>
      <c r="D8014" s="86" t="s">
        <v>185</v>
      </c>
      <c r="E8014" s="86" t="s">
        <v>4121</v>
      </c>
      <c r="F8014" s="86" t="s">
        <v>3156</v>
      </c>
      <c r="G8014" s="86" t="s">
        <v>2393</v>
      </c>
      <c r="H8014" s="144">
        <v>229</v>
      </c>
      <c r="I8014" s="86" t="s">
        <v>3356</v>
      </c>
      <c r="J8014" s="47" t="s">
        <v>3326</v>
      </c>
      <c r="K8014" s="47" t="str">
        <f t="shared" si="1241"/>
        <v>巨量引擎-一类</v>
      </c>
      <c r="L8014" s="47" t="s">
        <v>35</v>
      </c>
      <c r="N8014" s="86" t="s">
        <v>4125</v>
      </c>
      <c r="O8014" s="47" t="s">
        <v>45</v>
      </c>
      <c r="P8014" s="47" t="s">
        <v>4123</v>
      </c>
      <c r="Q8014" s="14">
        <v>0</v>
      </c>
      <c r="R8014" s="89"/>
      <c r="T8014" s="92"/>
      <c r="U8014" s="92"/>
      <c r="V8014" s="92"/>
      <c r="W8014" s="92"/>
      <c r="X8014" s="92"/>
      <c r="Y8014" s="13">
        <f t="shared" si="1237"/>
        <v>0</v>
      </c>
      <c r="Z8014" s="66">
        <v>0.03</v>
      </c>
      <c r="AA8014" s="6">
        <v>1204450.26</v>
      </c>
      <c r="AB8014" s="4">
        <f t="shared" si="1238"/>
        <v>1204450.26</v>
      </c>
      <c r="AC8014" s="6">
        <f t="shared" si="1236"/>
        <v>0</v>
      </c>
      <c r="AD8014" s="92"/>
      <c r="AE8014" s="14">
        <v>0.06</v>
      </c>
      <c r="AF8014" s="6">
        <f t="shared" si="1232"/>
        <v>0</v>
      </c>
      <c r="AG8014" s="14">
        <v>0</v>
      </c>
      <c r="AH8014" s="102">
        <v>0</v>
      </c>
      <c r="AJ8014" s="126" t="e">
        <v>#N/A</v>
      </c>
      <c r="AK8014" s="80">
        <f t="shared" si="1239"/>
        <v>0</v>
      </c>
      <c r="AL8014" s="85"/>
      <c r="AM8014" s="85"/>
    </row>
    <row r="8015" spans="1:39" s="86" customFormat="1" ht="13.25" hidden="1" customHeight="1" x14ac:dyDescent="0.3">
      <c r="A8015" s="89" t="s">
        <v>3792</v>
      </c>
      <c r="B8015" s="86" t="s">
        <v>35</v>
      </c>
      <c r="C8015" s="86" t="s">
        <v>36</v>
      </c>
      <c r="D8015" s="86" t="s">
        <v>185</v>
      </c>
      <c r="E8015" s="86" t="s">
        <v>4126</v>
      </c>
      <c r="F8015" s="86" t="s">
        <v>4127</v>
      </c>
      <c r="G8015" s="86" t="s">
        <v>2409</v>
      </c>
      <c r="H8015" s="144">
        <v>229</v>
      </c>
      <c r="I8015" s="86" t="s">
        <v>3356</v>
      </c>
      <c r="J8015" s="47" t="s">
        <v>3326</v>
      </c>
      <c r="K8015" s="47" t="str">
        <f t="shared" si="1241"/>
        <v>巨量引擎-一类</v>
      </c>
      <c r="L8015" s="47" t="s">
        <v>35</v>
      </c>
      <c r="N8015" s="86" t="s">
        <v>3955</v>
      </c>
      <c r="O8015" s="47" t="s">
        <v>45</v>
      </c>
      <c r="P8015" s="47" t="s">
        <v>4128</v>
      </c>
      <c r="Q8015" s="14">
        <v>0</v>
      </c>
      <c r="R8015" s="89"/>
      <c r="T8015" s="92"/>
      <c r="U8015" s="92"/>
      <c r="V8015" s="92"/>
      <c r="W8015" s="92"/>
      <c r="X8015" s="92"/>
      <c r="Y8015" s="13">
        <f t="shared" si="1237"/>
        <v>0</v>
      </c>
      <c r="Z8015" s="66">
        <v>1.4999999999999999E-2</v>
      </c>
      <c r="AA8015" s="6">
        <v>532365.61</v>
      </c>
      <c r="AB8015" s="4">
        <f t="shared" si="1238"/>
        <v>532365.61</v>
      </c>
      <c r="AC8015" s="6">
        <f t="shared" si="1236"/>
        <v>0</v>
      </c>
      <c r="AD8015" s="92"/>
      <c r="AE8015" s="14">
        <v>0.06</v>
      </c>
      <c r="AF8015" s="6">
        <f t="shared" si="1232"/>
        <v>0</v>
      </c>
      <c r="AG8015" s="14">
        <v>0</v>
      </c>
      <c r="AH8015" s="102">
        <v>0</v>
      </c>
      <c r="AJ8015" s="126" t="e">
        <v>#N/A</v>
      </c>
      <c r="AK8015" s="80">
        <f t="shared" si="1239"/>
        <v>0</v>
      </c>
      <c r="AL8015" s="85"/>
      <c r="AM8015" s="85"/>
    </row>
    <row r="8016" spans="1:39" s="86" customFormat="1" ht="13.25" hidden="1" customHeight="1" x14ac:dyDescent="0.3">
      <c r="A8016" s="89" t="s">
        <v>3792</v>
      </c>
      <c r="B8016" s="86" t="s">
        <v>35</v>
      </c>
      <c r="C8016" s="86" t="s">
        <v>36</v>
      </c>
      <c r="D8016" s="86" t="s">
        <v>185</v>
      </c>
      <c r="E8016" s="86" t="s">
        <v>4129</v>
      </c>
      <c r="F8016" s="86" t="s">
        <v>4130</v>
      </c>
      <c r="G8016" s="86" t="s">
        <v>2418</v>
      </c>
      <c r="H8016" s="144">
        <v>229</v>
      </c>
      <c r="I8016" s="86" t="s">
        <v>3356</v>
      </c>
      <c r="J8016" s="47" t="s">
        <v>3326</v>
      </c>
      <c r="K8016" s="47" t="str">
        <f t="shared" si="1241"/>
        <v>巨量引擎-一类</v>
      </c>
      <c r="L8016" s="47" t="s">
        <v>35</v>
      </c>
      <c r="N8016" s="86" t="s">
        <v>4125</v>
      </c>
      <c r="O8016" s="47" t="s">
        <v>45</v>
      </c>
      <c r="P8016" s="47" t="s">
        <v>4123</v>
      </c>
      <c r="Q8016" s="14">
        <v>0</v>
      </c>
      <c r="R8016" s="89"/>
      <c r="T8016" s="92"/>
      <c r="U8016" s="92"/>
      <c r="V8016" s="92"/>
      <c r="W8016" s="92"/>
      <c r="X8016" s="92"/>
      <c r="Y8016" s="13">
        <f t="shared" si="1237"/>
        <v>0</v>
      </c>
      <c r="Z8016" s="66">
        <v>1.4999999999999999E-2</v>
      </c>
      <c r="AA8016" s="6">
        <v>1540535.1300000001</v>
      </c>
      <c r="AB8016" s="4">
        <f t="shared" si="1238"/>
        <v>1540535.1300000001</v>
      </c>
      <c r="AC8016" s="6">
        <f t="shared" si="1236"/>
        <v>0</v>
      </c>
      <c r="AD8016" s="92"/>
      <c r="AE8016" s="14">
        <v>0.06</v>
      </c>
      <c r="AF8016" s="6">
        <f t="shared" si="1232"/>
        <v>0</v>
      </c>
      <c r="AG8016" s="14">
        <v>0</v>
      </c>
      <c r="AH8016" s="102">
        <v>0</v>
      </c>
      <c r="AJ8016" s="126" t="e">
        <v>#N/A</v>
      </c>
      <c r="AK8016" s="80">
        <f t="shared" si="1239"/>
        <v>0</v>
      </c>
      <c r="AL8016" s="85"/>
      <c r="AM8016" s="85"/>
    </row>
    <row r="8017" spans="1:39" s="86" customFormat="1" ht="13.25" hidden="1" customHeight="1" x14ac:dyDescent="0.3">
      <c r="A8017" s="89" t="s">
        <v>3792</v>
      </c>
      <c r="B8017" s="86" t="s">
        <v>35</v>
      </c>
      <c r="C8017" s="86" t="s">
        <v>36</v>
      </c>
      <c r="D8017" s="86" t="s">
        <v>185</v>
      </c>
      <c r="E8017" s="86" t="s">
        <v>4131</v>
      </c>
      <c r="F8017" s="86" t="s">
        <v>4131</v>
      </c>
      <c r="G8017" s="86" t="s">
        <v>4131</v>
      </c>
      <c r="H8017" s="144">
        <v>229</v>
      </c>
      <c r="I8017" s="86" t="s">
        <v>3356</v>
      </c>
      <c r="J8017" s="47" t="s">
        <v>3326</v>
      </c>
      <c r="K8017" s="47" t="str">
        <f t="shared" si="1241"/>
        <v>巨量引擎-一类</v>
      </c>
      <c r="L8017" s="47" t="s">
        <v>35</v>
      </c>
      <c r="N8017" s="86" t="s">
        <v>3955</v>
      </c>
      <c r="O8017" s="47" t="s">
        <v>45</v>
      </c>
      <c r="P8017" s="47" t="s">
        <v>4128</v>
      </c>
      <c r="Q8017" s="14">
        <v>0</v>
      </c>
      <c r="R8017" s="89"/>
      <c r="T8017" s="92"/>
      <c r="U8017" s="92"/>
      <c r="V8017" s="92"/>
      <c r="W8017" s="92"/>
      <c r="X8017" s="92"/>
      <c r="Y8017" s="13">
        <f t="shared" si="1237"/>
        <v>0</v>
      </c>
      <c r="Z8017" s="66">
        <v>0.03</v>
      </c>
      <c r="AA8017" s="6">
        <v>8229.7800000000007</v>
      </c>
      <c r="AB8017" s="4">
        <f t="shared" si="1238"/>
        <v>8229.7800000000007</v>
      </c>
      <c r="AC8017" s="6">
        <f t="shared" si="1236"/>
        <v>0</v>
      </c>
      <c r="AD8017" s="92"/>
      <c r="AE8017" s="14">
        <v>0.06</v>
      </c>
      <c r="AF8017" s="6">
        <f t="shared" si="1232"/>
        <v>0</v>
      </c>
      <c r="AG8017" s="14">
        <v>0</v>
      </c>
      <c r="AH8017" s="102">
        <v>0</v>
      </c>
      <c r="AJ8017" s="126" t="e">
        <v>#N/A</v>
      </c>
      <c r="AK8017" s="80">
        <f t="shared" si="1239"/>
        <v>0</v>
      </c>
      <c r="AL8017" s="85"/>
      <c r="AM8017" s="85"/>
    </row>
    <row r="8018" spans="1:39" s="86" customFormat="1" ht="13.25" hidden="1" customHeight="1" x14ac:dyDescent="0.3">
      <c r="A8018" s="89" t="s">
        <v>3792</v>
      </c>
      <c r="B8018" s="86" t="s">
        <v>35</v>
      </c>
      <c r="C8018" s="86" t="s">
        <v>36</v>
      </c>
      <c r="D8018" s="86" t="s">
        <v>185</v>
      </c>
      <c r="E8018" s="86" t="s">
        <v>4132</v>
      </c>
      <c r="F8018" s="86" t="s">
        <v>4133</v>
      </c>
      <c r="G8018" s="86" t="s">
        <v>2695</v>
      </c>
      <c r="H8018" s="144">
        <v>360</v>
      </c>
      <c r="I8018" s="86" t="s">
        <v>1060</v>
      </c>
      <c r="J8018" s="47" t="s">
        <v>3325</v>
      </c>
      <c r="K8018" s="47" t="s">
        <v>3767</v>
      </c>
      <c r="L8018" s="47" t="s">
        <v>35</v>
      </c>
      <c r="O8018" s="47" t="s">
        <v>45</v>
      </c>
      <c r="P8018" s="47" t="s">
        <v>4123</v>
      </c>
      <c r="Q8018" s="14">
        <v>0</v>
      </c>
      <c r="R8018" s="89"/>
      <c r="T8018" s="92"/>
      <c r="U8018" s="92"/>
      <c r="V8018" s="92"/>
      <c r="W8018" s="92"/>
      <c r="X8018" s="92"/>
      <c r="Y8018" s="13">
        <f t="shared" si="1237"/>
        <v>0</v>
      </c>
      <c r="Z8018" s="66">
        <v>2.5000000000000001E-2</v>
      </c>
      <c r="AA8018" s="6">
        <v>67128.899999999994</v>
      </c>
      <c r="AB8018" s="4">
        <f t="shared" si="1238"/>
        <v>67128.899999999994</v>
      </c>
      <c r="AC8018" s="6">
        <f t="shared" si="1236"/>
        <v>0</v>
      </c>
      <c r="AD8018" s="92"/>
      <c r="AE8018" s="14">
        <f>VLOOKUP(I8018,[2]媒体政策预估表!A:N,MATCH(O8018,[2]媒体政策预估表!$A$2:$M$2,0),0)</f>
        <v>0.1</v>
      </c>
      <c r="AF8018" s="6">
        <f t="shared" si="1232"/>
        <v>0</v>
      </c>
      <c r="AG8018" s="14">
        <v>0</v>
      </c>
      <c r="AH8018" s="102">
        <v>0</v>
      </c>
      <c r="AJ8018" s="126" t="e">
        <v>#N/A</v>
      </c>
      <c r="AK8018" s="80">
        <f t="shared" si="1239"/>
        <v>0</v>
      </c>
      <c r="AL8018" s="85"/>
      <c r="AM8018" s="85"/>
    </row>
    <row r="8019" spans="1:39" s="86" customFormat="1" ht="13.25" hidden="1" customHeight="1" x14ac:dyDescent="0.3">
      <c r="A8019" s="89" t="s">
        <v>3978</v>
      </c>
      <c r="B8019" s="86" t="s">
        <v>35</v>
      </c>
      <c r="C8019" s="86" t="s">
        <v>65</v>
      </c>
      <c r="D8019" s="86" t="s">
        <v>66</v>
      </c>
      <c r="E8019" s="86" t="s">
        <v>4134</v>
      </c>
      <c r="F8019" s="86" t="s">
        <v>4135</v>
      </c>
      <c r="G8019" s="86" t="s">
        <v>121</v>
      </c>
      <c r="H8019" s="144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O8019" s="47" t="s">
        <v>45</v>
      </c>
      <c r="P8019" s="47" t="s">
        <v>4123</v>
      </c>
      <c r="Q8019" s="14">
        <v>0</v>
      </c>
      <c r="R8019" s="89"/>
      <c r="T8019" s="92"/>
      <c r="U8019" s="92"/>
      <c r="V8019" s="92"/>
      <c r="W8019" s="92"/>
      <c r="X8019" s="92"/>
      <c r="Y8019" s="13">
        <f t="shared" si="1237"/>
        <v>0</v>
      </c>
      <c r="Z8019" s="66">
        <v>0.05</v>
      </c>
      <c r="AA8019" s="6">
        <v>365462.94</v>
      </c>
      <c r="AB8019" s="4">
        <f t="shared" si="1238"/>
        <v>365462.94</v>
      </c>
      <c r="AC8019" s="6">
        <f t="shared" si="1236"/>
        <v>0</v>
      </c>
      <c r="AD8019" s="92"/>
      <c r="AE8019" s="14">
        <f>VLOOKUP(I8019,[2]媒体政策预估表!A:N,MATCH(O8019,[2]媒体政策预估表!$A$2:$M$2,0),0)</f>
        <v>7.0000000000000007E-2</v>
      </c>
      <c r="AF8019" s="6">
        <f t="shared" si="1232"/>
        <v>0</v>
      </c>
      <c r="AG8019" s="14">
        <v>0</v>
      </c>
      <c r="AH8019" s="102">
        <v>0</v>
      </c>
      <c r="AJ8019" s="126" t="e">
        <v>#N/A</v>
      </c>
      <c r="AK8019" s="80">
        <f t="shared" si="1239"/>
        <v>0</v>
      </c>
      <c r="AL8019" s="85"/>
      <c r="AM8019" s="85"/>
    </row>
    <row r="8020" spans="1:39" s="86" customFormat="1" ht="13.25" hidden="1" customHeight="1" x14ac:dyDescent="0.3">
      <c r="A8020" s="89" t="s">
        <v>3978</v>
      </c>
      <c r="B8020" s="86" t="s">
        <v>35</v>
      </c>
      <c r="C8020" s="86" t="s">
        <v>65</v>
      </c>
      <c r="D8020" s="86" t="s">
        <v>66</v>
      </c>
      <c r="E8020" s="86" t="s">
        <v>4136</v>
      </c>
      <c r="F8020" s="86" t="s">
        <v>3602</v>
      </c>
      <c r="G8020" s="86" t="s">
        <v>121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O8020" s="47" t="s">
        <v>45</v>
      </c>
      <c r="P8020" s="47" t="s">
        <v>4128</v>
      </c>
      <c r="Q8020" s="14">
        <v>0</v>
      </c>
      <c r="R8020" s="89"/>
      <c r="T8020" s="92"/>
      <c r="U8020" s="92"/>
      <c r="V8020" s="92"/>
      <c r="W8020" s="92"/>
      <c r="X8020" s="92"/>
      <c r="Y8020" s="13">
        <f t="shared" si="1237"/>
        <v>0</v>
      </c>
      <c r="Z8020" s="66">
        <v>0.03</v>
      </c>
      <c r="AA8020" s="6">
        <v>14852.75</v>
      </c>
      <c r="AB8020" s="4">
        <f t="shared" si="1238"/>
        <v>14852.75</v>
      </c>
      <c r="AC8020" s="6">
        <f t="shared" si="1236"/>
        <v>0</v>
      </c>
      <c r="AD8020" s="92"/>
      <c r="AE8020" s="14">
        <f>VLOOKUP(I8020,[2]媒体政策预估表!A:N,MATCH(O8020,[2]媒体政策预估表!$A$2:$M$2,0),0)</f>
        <v>7.0000000000000007E-2</v>
      </c>
      <c r="AF8020" s="6">
        <f t="shared" si="1232"/>
        <v>0</v>
      </c>
      <c r="AG8020" s="14">
        <v>0</v>
      </c>
      <c r="AH8020" s="102">
        <v>0</v>
      </c>
      <c r="AJ8020" s="126" t="e">
        <v>#N/A</v>
      </c>
      <c r="AK8020" s="80">
        <f t="shared" si="1239"/>
        <v>0</v>
      </c>
      <c r="AL8020" s="85"/>
      <c r="AM8020" s="85"/>
    </row>
    <row r="8021" spans="1:39" s="86" customFormat="1" ht="13.25" hidden="1" customHeight="1" x14ac:dyDescent="0.3">
      <c r="A8021" s="89" t="s">
        <v>3978</v>
      </c>
      <c r="B8021" s="86" t="s">
        <v>35</v>
      </c>
      <c r="C8021" s="86" t="s">
        <v>65</v>
      </c>
      <c r="D8021" s="86" t="s">
        <v>122</v>
      </c>
      <c r="E8021" s="86" t="s">
        <v>4137</v>
      </c>
      <c r="F8021" s="86" t="s">
        <v>3151</v>
      </c>
      <c r="G8021" s="86" t="s">
        <v>2393</v>
      </c>
      <c r="H8021" s="144">
        <v>229</v>
      </c>
      <c r="I8021" s="86" t="s">
        <v>3356</v>
      </c>
      <c r="J8021" s="47" t="s">
        <v>3326</v>
      </c>
      <c r="K8021" s="47" t="str">
        <f>N8021</f>
        <v>巨量引擎-一类</v>
      </c>
      <c r="L8021" s="47" t="s">
        <v>35</v>
      </c>
      <c r="N8021" s="86" t="s">
        <v>3955</v>
      </c>
      <c r="O8021" s="47" t="s">
        <v>45</v>
      </c>
      <c r="P8021" s="47" t="s">
        <v>4128</v>
      </c>
      <c r="Q8021" s="14">
        <v>0</v>
      </c>
      <c r="R8021" s="89"/>
      <c r="T8021" s="92"/>
      <c r="U8021" s="92"/>
      <c r="V8021" s="92"/>
      <c r="W8021" s="92"/>
      <c r="X8021" s="92"/>
      <c r="Y8021" s="13">
        <f t="shared" si="1237"/>
        <v>0</v>
      </c>
      <c r="Z8021" s="66">
        <v>0.03</v>
      </c>
      <c r="AA8021" s="6">
        <v>902712.13000000012</v>
      </c>
      <c r="AB8021" s="4">
        <f t="shared" si="1238"/>
        <v>902712.13000000012</v>
      </c>
      <c r="AC8021" s="6">
        <f t="shared" si="1236"/>
        <v>0</v>
      </c>
      <c r="AD8021" s="92"/>
      <c r="AE8021" s="14">
        <v>0.06</v>
      </c>
      <c r="AF8021" s="6">
        <f t="shared" si="1232"/>
        <v>0</v>
      </c>
      <c r="AG8021" s="14">
        <v>0</v>
      </c>
      <c r="AH8021" s="102">
        <v>0</v>
      </c>
      <c r="AJ8021" s="126" t="e">
        <v>#N/A</v>
      </c>
      <c r="AK8021" s="80">
        <f t="shared" si="1239"/>
        <v>0</v>
      </c>
      <c r="AL8021" s="85"/>
      <c r="AM8021" s="85"/>
    </row>
    <row r="8022" spans="1:39" s="86" customFormat="1" ht="13.25" hidden="1" customHeight="1" x14ac:dyDescent="0.3">
      <c r="A8022" s="89" t="s">
        <v>3978</v>
      </c>
      <c r="B8022" s="86" t="s">
        <v>35</v>
      </c>
      <c r="C8022" s="86" t="s">
        <v>65</v>
      </c>
      <c r="D8022" s="86" t="s">
        <v>1291</v>
      </c>
      <c r="E8022" s="86" t="s">
        <v>3153</v>
      </c>
      <c r="F8022" s="86" t="s">
        <v>3153</v>
      </c>
      <c r="G8022" s="86" t="s">
        <v>3153</v>
      </c>
      <c r="H8022" s="144">
        <v>72</v>
      </c>
      <c r="I8022" s="86" t="s">
        <v>2572</v>
      </c>
      <c r="J8022" s="1" t="s">
        <v>3327</v>
      </c>
      <c r="K8022" s="1" t="s">
        <v>3284</v>
      </c>
      <c r="L8022" s="1" t="s">
        <v>35</v>
      </c>
      <c r="O8022" s="47" t="s">
        <v>410</v>
      </c>
      <c r="P8022" s="47" t="s">
        <v>4123</v>
      </c>
      <c r="Q8022" s="14">
        <v>0</v>
      </c>
      <c r="R8022" s="89"/>
      <c r="T8022" s="92"/>
      <c r="U8022" s="92"/>
      <c r="V8022" s="92"/>
      <c r="W8022" s="92"/>
      <c r="X8022" s="92"/>
      <c r="Y8022" s="13">
        <f t="shared" si="1237"/>
        <v>0</v>
      </c>
      <c r="Z8022" s="66">
        <v>0.03</v>
      </c>
      <c r="AA8022" s="6">
        <v>3378.58</v>
      </c>
      <c r="AB8022" s="4">
        <f t="shared" si="1238"/>
        <v>3378.58</v>
      </c>
      <c r="AC8022" s="6">
        <f t="shared" si="1236"/>
        <v>0</v>
      </c>
      <c r="AD8022" s="92"/>
      <c r="AE8022" s="14">
        <f>VLOOKUP(I8022,[2]媒体政策预估表!A:N,MATCH(O8022,[2]媒体政策预估表!$A$2:$M$2,0),0)</f>
        <v>0</v>
      </c>
      <c r="AF8022" s="6">
        <f t="shared" si="1232"/>
        <v>0</v>
      </c>
      <c r="AG8022" s="14">
        <v>0</v>
      </c>
      <c r="AH8022" s="102">
        <v>0</v>
      </c>
      <c r="AJ8022" s="126" t="e">
        <v>#N/A</v>
      </c>
      <c r="AK8022" s="80">
        <f t="shared" si="1239"/>
        <v>0</v>
      </c>
      <c r="AL8022" s="85"/>
      <c r="AM8022" s="85"/>
    </row>
    <row r="8023" spans="1:39" s="86" customFormat="1" ht="13.25" hidden="1" customHeight="1" x14ac:dyDescent="0.3">
      <c r="A8023" s="89" t="s">
        <v>3792</v>
      </c>
      <c r="B8023" s="86" t="s">
        <v>35</v>
      </c>
      <c r="C8023" s="86" t="s">
        <v>144</v>
      </c>
      <c r="D8023" s="86" t="s">
        <v>145</v>
      </c>
      <c r="E8023" s="86" t="s">
        <v>3161</v>
      </c>
      <c r="F8023" s="86" t="s">
        <v>3161</v>
      </c>
      <c r="G8023" s="86" t="s">
        <v>3161</v>
      </c>
      <c r="H8023" s="144">
        <v>229</v>
      </c>
      <c r="I8023" s="86" t="s">
        <v>3356</v>
      </c>
      <c r="J8023" s="47" t="s">
        <v>3326</v>
      </c>
      <c r="K8023" s="47" t="str">
        <f>N8023</f>
        <v>巨量引擎-一类</v>
      </c>
      <c r="L8023" s="47" t="s">
        <v>35</v>
      </c>
      <c r="N8023" s="86" t="s">
        <v>4125</v>
      </c>
      <c r="O8023" s="47" t="s">
        <v>45</v>
      </c>
      <c r="P8023" s="47" t="s">
        <v>4128</v>
      </c>
      <c r="Q8023" s="14">
        <v>0</v>
      </c>
      <c r="R8023" s="89"/>
      <c r="T8023" s="92"/>
      <c r="U8023" s="92"/>
      <c r="V8023" s="92"/>
      <c r="W8023" s="92"/>
      <c r="X8023" s="92"/>
      <c r="Y8023" s="13">
        <f t="shared" si="1237"/>
        <v>0</v>
      </c>
      <c r="Z8023" s="66">
        <v>0.03</v>
      </c>
      <c r="AA8023" s="6">
        <v>559.54999999999995</v>
      </c>
      <c r="AB8023" s="4">
        <f t="shared" si="1238"/>
        <v>559.54999999999995</v>
      </c>
      <c r="AC8023" s="6">
        <f t="shared" si="1236"/>
        <v>0</v>
      </c>
      <c r="AD8023" s="92"/>
      <c r="AE8023" s="14">
        <v>0.06</v>
      </c>
      <c r="AF8023" s="6">
        <f t="shared" si="1232"/>
        <v>0</v>
      </c>
      <c r="AG8023" s="14">
        <v>0</v>
      </c>
      <c r="AH8023" s="102">
        <v>0</v>
      </c>
      <c r="AJ8023" s="126" t="e">
        <v>#N/A</v>
      </c>
      <c r="AK8023" s="80">
        <f t="shared" si="1239"/>
        <v>0</v>
      </c>
      <c r="AL8023" s="85"/>
      <c r="AM8023" s="85"/>
    </row>
    <row r="8024" spans="1:39" s="86" customFormat="1" ht="13.25" hidden="1" customHeight="1" x14ac:dyDescent="0.3">
      <c r="A8024" s="89" t="s">
        <v>3792</v>
      </c>
      <c r="B8024" s="86" t="s">
        <v>35</v>
      </c>
      <c r="C8024" s="86" t="s">
        <v>164</v>
      </c>
      <c r="D8024" s="86" t="s">
        <v>305</v>
      </c>
      <c r="E8024" s="86" t="s">
        <v>128</v>
      </c>
      <c r="F8024" s="86" t="s">
        <v>128</v>
      </c>
      <c r="G8024" s="86" t="s">
        <v>128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O8024" s="47" t="s">
        <v>40</v>
      </c>
      <c r="P8024" s="47" t="s">
        <v>4123</v>
      </c>
      <c r="Q8024" s="14">
        <v>0</v>
      </c>
      <c r="R8024" s="89"/>
      <c r="T8024" s="92"/>
      <c r="U8024" s="92"/>
      <c r="V8024" s="92"/>
      <c r="W8024" s="92"/>
      <c r="X8024" s="92"/>
      <c r="Y8024" s="13">
        <f t="shared" si="1237"/>
        <v>0</v>
      </c>
      <c r="Z8024" s="66">
        <v>0.03</v>
      </c>
      <c r="AA8024" s="6">
        <v>2703.5</v>
      </c>
      <c r="AB8024" s="4">
        <f t="shared" si="1238"/>
        <v>2703.5</v>
      </c>
      <c r="AC8024" s="6">
        <f t="shared" si="1236"/>
        <v>0</v>
      </c>
      <c r="AD8024" s="92"/>
      <c r="AE8024" s="14">
        <f>VLOOKUP(I8024,[2]媒体政策预估表!A:N,MATCH(O8024,[2]媒体政策预估表!$A$2:$M$2,0),0)</f>
        <v>0.09</v>
      </c>
      <c r="AF8024" s="6">
        <f t="shared" si="1232"/>
        <v>0</v>
      </c>
      <c r="AG8024" s="14">
        <v>0</v>
      </c>
      <c r="AH8024" s="102">
        <v>0</v>
      </c>
      <c r="AJ8024" s="126" t="e">
        <v>#N/A</v>
      </c>
      <c r="AK8024" s="80">
        <f t="shared" si="1239"/>
        <v>0</v>
      </c>
      <c r="AL8024" s="85"/>
      <c r="AM8024" s="85"/>
    </row>
    <row r="8025" spans="1:39" s="86" customFormat="1" ht="13.25" hidden="1" customHeight="1" x14ac:dyDescent="0.3">
      <c r="A8025" s="89" t="s">
        <v>3978</v>
      </c>
      <c r="B8025" s="86" t="s">
        <v>35</v>
      </c>
      <c r="C8025" s="86" t="s">
        <v>164</v>
      </c>
      <c r="D8025" s="86" t="s">
        <v>169</v>
      </c>
      <c r="E8025" s="86" t="s">
        <v>2518</v>
      </c>
      <c r="F8025" s="86" t="s">
        <v>2518</v>
      </c>
      <c r="G8025" s="86" t="s">
        <v>2518</v>
      </c>
      <c r="H8025" s="144">
        <v>360</v>
      </c>
      <c r="I8025" s="86" t="s">
        <v>1060</v>
      </c>
      <c r="J8025" s="47" t="s">
        <v>3325</v>
      </c>
      <c r="K8025" s="47" t="s">
        <v>3767</v>
      </c>
      <c r="L8025" s="47" t="s">
        <v>35</v>
      </c>
      <c r="O8025" s="47" t="s">
        <v>45</v>
      </c>
      <c r="P8025" s="47" t="s">
        <v>4123</v>
      </c>
      <c r="Q8025" s="14">
        <v>0</v>
      </c>
      <c r="R8025" s="89"/>
      <c r="T8025" s="92"/>
      <c r="U8025" s="92"/>
      <c r="V8025" s="92"/>
      <c r="W8025" s="92"/>
      <c r="X8025" s="92"/>
      <c r="Y8025" s="13">
        <f t="shared" si="1237"/>
        <v>0</v>
      </c>
      <c r="Z8025" s="66">
        <v>0.03</v>
      </c>
      <c r="AA8025" s="6">
        <v>23777.13</v>
      </c>
      <c r="AB8025" s="4">
        <f t="shared" si="1238"/>
        <v>23777.13</v>
      </c>
      <c r="AC8025" s="6">
        <f t="shared" si="1236"/>
        <v>0</v>
      </c>
      <c r="AD8025" s="92"/>
      <c r="AE8025" s="14">
        <f>VLOOKUP(I8025,[2]媒体政策预估表!A:N,MATCH(O8025,[2]媒体政策预估表!$A$2:$M$2,0),0)</f>
        <v>0.1</v>
      </c>
      <c r="AF8025" s="6">
        <f t="shared" si="1232"/>
        <v>0</v>
      </c>
      <c r="AG8025" s="14">
        <v>0</v>
      </c>
      <c r="AH8025" s="102">
        <v>0</v>
      </c>
      <c r="AJ8025" s="126" t="e">
        <v>#N/A</v>
      </c>
      <c r="AK8025" s="80">
        <f t="shared" si="1239"/>
        <v>0</v>
      </c>
      <c r="AL8025" s="85"/>
      <c r="AM8025" s="85"/>
    </row>
    <row r="8026" spans="1:39" s="86" customFormat="1" ht="13.25" hidden="1" customHeight="1" x14ac:dyDescent="0.3">
      <c r="A8026" s="89" t="s">
        <v>3978</v>
      </c>
      <c r="B8026" s="86" t="s">
        <v>35</v>
      </c>
      <c r="C8026" s="86" t="s">
        <v>164</v>
      </c>
      <c r="D8026" s="86" t="s">
        <v>169</v>
      </c>
      <c r="E8026" s="86" t="s">
        <v>628</v>
      </c>
      <c r="F8026" s="86" t="s">
        <v>628</v>
      </c>
      <c r="G8026" s="86" t="s">
        <v>628</v>
      </c>
      <c r="H8026" s="144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O8026" s="47" t="s">
        <v>40</v>
      </c>
      <c r="P8026" s="47" t="s">
        <v>4123</v>
      </c>
      <c r="Q8026" s="14">
        <v>0</v>
      </c>
      <c r="R8026" s="89"/>
      <c r="S8026" s="86" t="s">
        <v>4138</v>
      </c>
      <c r="T8026" s="92"/>
      <c r="U8026" s="92"/>
      <c r="V8026" s="92"/>
      <c r="W8026" s="92"/>
      <c r="X8026" s="92"/>
      <c r="Y8026" s="13">
        <f t="shared" si="1237"/>
        <v>0</v>
      </c>
      <c r="Z8026" s="66">
        <v>2.1999999999999999E-2</v>
      </c>
      <c r="AA8026" s="6">
        <f>29945.05-1000</f>
        <v>28945.05</v>
      </c>
      <c r="AB8026" s="4">
        <f t="shared" si="1238"/>
        <v>28945.05</v>
      </c>
      <c r="AC8026" s="6">
        <f t="shared" si="1236"/>
        <v>0</v>
      </c>
      <c r="AD8026" s="92"/>
      <c r="AE8026" s="14">
        <f>VLOOKUP(I8026,[2]媒体政策预估表!A:N,MATCH(O8026,[2]媒体政策预估表!$A$2:$M$2,0),0)</f>
        <v>0.09</v>
      </c>
      <c r="AF8026" s="6">
        <f t="shared" si="1232"/>
        <v>0</v>
      </c>
      <c r="AG8026" s="14">
        <v>0</v>
      </c>
      <c r="AH8026" s="102">
        <v>0</v>
      </c>
      <c r="AJ8026" s="126" t="e">
        <v>#N/A</v>
      </c>
      <c r="AK8026" s="80">
        <f t="shared" si="1239"/>
        <v>0</v>
      </c>
      <c r="AL8026" s="85"/>
      <c r="AM8026" s="85"/>
    </row>
    <row r="8027" spans="1:39" s="86" customFormat="1" ht="13.25" hidden="1" customHeight="1" x14ac:dyDescent="0.3">
      <c r="A8027" s="89" t="s">
        <v>3792</v>
      </c>
      <c r="B8027" s="86" t="s">
        <v>35</v>
      </c>
      <c r="C8027" s="86" t="s">
        <v>3857</v>
      </c>
      <c r="D8027" s="86" t="s">
        <v>3858</v>
      </c>
      <c r="E8027" s="86" t="s">
        <v>3146</v>
      </c>
      <c r="F8027" s="86" t="s">
        <v>3146</v>
      </c>
      <c r="G8027" s="86" t="s">
        <v>3146</v>
      </c>
      <c r="H8027" s="144">
        <v>229</v>
      </c>
      <c r="I8027" s="86" t="s">
        <v>3356</v>
      </c>
      <c r="J8027" s="47" t="s">
        <v>3326</v>
      </c>
      <c r="K8027" s="47" t="str">
        <f>N8027</f>
        <v>巨量引擎-一类</v>
      </c>
      <c r="L8027" s="47" t="s">
        <v>35</v>
      </c>
      <c r="N8027" s="86" t="s">
        <v>4125</v>
      </c>
      <c r="O8027" s="47" t="s">
        <v>45</v>
      </c>
      <c r="P8027" s="47" t="s">
        <v>4128</v>
      </c>
      <c r="Q8027" s="14">
        <v>0</v>
      </c>
      <c r="R8027" s="89"/>
      <c r="T8027" s="92"/>
      <c r="U8027" s="92"/>
      <c r="V8027" s="92"/>
      <c r="W8027" s="92"/>
      <c r="X8027" s="92"/>
      <c r="Y8027" s="13">
        <f t="shared" si="1237"/>
        <v>0</v>
      </c>
      <c r="Z8027" s="66">
        <v>0.03</v>
      </c>
      <c r="AA8027" s="6">
        <v>77795.41</v>
      </c>
      <c r="AB8027" s="4">
        <f t="shared" si="1238"/>
        <v>77795.41</v>
      </c>
      <c r="AC8027" s="6">
        <f t="shared" si="1236"/>
        <v>0</v>
      </c>
      <c r="AD8027" s="92"/>
      <c r="AE8027" s="14">
        <v>0.06</v>
      </c>
      <c r="AF8027" s="6">
        <f t="shared" si="1232"/>
        <v>0</v>
      </c>
      <c r="AG8027" s="14">
        <v>0</v>
      </c>
      <c r="AH8027" s="102">
        <v>0</v>
      </c>
      <c r="AJ8027" s="126" t="e">
        <v>#N/A</v>
      </c>
      <c r="AK8027" s="80">
        <f t="shared" si="1239"/>
        <v>0</v>
      </c>
      <c r="AL8027" s="85"/>
      <c r="AM8027" s="85"/>
    </row>
    <row r="8028" spans="1:39" s="86" customFormat="1" ht="13.25" hidden="1" customHeight="1" x14ac:dyDescent="0.3">
      <c r="A8028" s="89" t="s">
        <v>3792</v>
      </c>
      <c r="B8028" s="86" t="s">
        <v>35</v>
      </c>
      <c r="C8028" s="86" t="s">
        <v>36</v>
      </c>
      <c r="D8028" s="86" t="s">
        <v>185</v>
      </c>
      <c r="E8028" s="86" t="s">
        <v>4139</v>
      </c>
      <c r="F8028" s="86" t="s">
        <v>4140</v>
      </c>
      <c r="G8028" s="86" t="s">
        <v>1845</v>
      </c>
      <c r="H8028" s="144">
        <v>83</v>
      </c>
      <c r="I8028" s="86" t="s">
        <v>78</v>
      </c>
      <c r="J8028" s="1" t="s">
        <v>3303</v>
      </c>
      <c r="K8028" s="1" t="s">
        <v>3763</v>
      </c>
      <c r="L8028" s="1" t="s">
        <v>701</v>
      </c>
      <c r="O8028" s="47" t="s">
        <v>410</v>
      </c>
      <c r="P8028" s="14" t="s">
        <v>41</v>
      </c>
      <c r="Q8028" s="14">
        <v>0</v>
      </c>
      <c r="R8028" s="89"/>
      <c r="S8028" s="47" t="s">
        <v>4116</v>
      </c>
      <c r="T8028" s="92"/>
      <c r="U8028" s="92"/>
      <c r="V8028" s="92"/>
      <c r="W8028" s="92"/>
      <c r="X8028" s="6">
        <v>9</v>
      </c>
      <c r="Y8028" s="13">
        <f t="shared" si="1237"/>
        <v>9</v>
      </c>
      <c r="Z8028" s="14">
        <v>0</v>
      </c>
      <c r="AA8028" s="102">
        <v>0</v>
      </c>
      <c r="AB8028" s="4">
        <f t="shared" si="1238"/>
        <v>9</v>
      </c>
      <c r="AC8028" s="6">
        <f t="shared" si="1236"/>
        <v>-9</v>
      </c>
      <c r="AD8028" s="92"/>
      <c r="AE8028" s="14">
        <f>VLOOKUP(I8028,[2]媒体政策预估表!A:N,MATCH(O8028,[2]媒体政策预估表!$A$2:$M$2,0),0)</f>
        <v>0.1293</v>
      </c>
      <c r="AF8028" s="6">
        <f t="shared" si="1232"/>
        <v>0</v>
      </c>
      <c r="AG8028" s="14">
        <v>0</v>
      </c>
      <c r="AH8028" s="102">
        <v>0</v>
      </c>
      <c r="AJ8028" s="126" t="e">
        <v>#N/A</v>
      </c>
      <c r="AK8028" s="80">
        <f t="shared" si="1239"/>
        <v>0</v>
      </c>
      <c r="AL8028" s="85"/>
      <c r="AM8028" s="85"/>
    </row>
    <row r="8029" spans="1:39" s="86" customFormat="1" ht="13.25" hidden="1" customHeight="1" x14ac:dyDescent="0.3">
      <c r="A8029" s="89" t="s">
        <v>3978</v>
      </c>
      <c r="B8029" s="86" t="s">
        <v>35</v>
      </c>
      <c r="C8029" s="86" t="s">
        <v>4141</v>
      </c>
      <c r="D8029" s="86" t="s">
        <v>4142</v>
      </c>
      <c r="E8029" s="86" t="s">
        <v>4143</v>
      </c>
      <c r="F8029" s="86" t="s">
        <v>4144</v>
      </c>
      <c r="G8029" s="86" t="s">
        <v>4196</v>
      </c>
      <c r="H8029" s="144">
        <v>360</v>
      </c>
      <c r="I8029" s="86" t="s">
        <v>1060</v>
      </c>
      <c r="J8029" s="47" t="s">
        <v>3325</v>
      </c>
      <c r="K8029" s="47" t="s">
        <v>3767</v>
      </c>
      <c r="L8029" s="47" t="s">
        <v>35</v>
      </c>
      <c r="O8029" s="47" t="s">
        <v>4145</v>
      </c>
      <c r="P8029" s="47" t="s">
        <v>4123</v>
      </c>
      <c r="Q8029" s="14">
        <v>0</v>
      </c>
      <c r="R8029" s="89"/>
      <c r="S8029" s="47" t="s">
        <v>4116</v>
      </c>
      <c r="T8029" s="92"/>
      <c r="U8029" s="92"/>
      <c r="V8029" s="92"/>
      <c r="W8029" s="92"/>
      <c r="X8029" s="6">
        <v>147.12</v>
      </c>
      <c r="Y8029" s="13">
        <f t="shared" si="1237"/>
        <v>147.12</v>
      </c>
      <c r="Z8029" s="66">
        <v>0</v>
      </c>
      <c r="AA8029" s="6">
        <v>0</v>
      </c>
      <c r="AB8029" s="4">
        <f t="shared" si="1238"/>
        <v>147.12</v>
      </c>
      <c r="AC8029" s="6">
        <f t="shared" si="1236"/>
        <v>-147.12</v>
      </c>
      <c r="AD8029" s="92"/>
      <c r="AE8029" s="14">
        <f>VLOOKUP(I8029,[2]媒体政策预估表!A:N,MATCH(O8029,[2]媒体政策预估表!$A$2:$M$2,0),0)</f>
        <v>7.0000000000000007E-2</v>
      </c>
      <c r="AF8029" s="6">
        <f t="shared" si="1232"/>
        <v>0</v>
      </c>
      <c r="AG8029" s="14">
        <v>0</v>
      </c>
      <c r="AH8029" s="102">
        <v>0</v>
      </c>
      <c r="AJ8029" s="126" t="e">
        <v>#N/A</v>
      </c>
      <c r="AK8029" s="80">
        <f t="shared" si="1239"/>
        <v>0</v>
      </c>
      <c r="AL8029" s="85"/>
      <c r="AM8029" s="85"/>
    </row>
    <row r="8030" spans="1:39" s="86" customFormat="1" ht="13.25" hidden="1" customHeight="1" x14ac:dyDescent="0.3">
      <c r="A8030" s="89" t="s">
        <v>3792</v>
      </c>
      <c r="B8030" s="86" t="s">
        <v>35</v>
      </c>
      <c r="C8030" s="86" t="s">
        <v>59</v>
      </c>
      <c r="D8030" s="86" t="s">
        <v>60</v>
      </c>
      <c r="E8030" s="86" t="s">
        <v>4146</v>
      </c>
      <c r="F8030" s="86" t="s">
        <v>4146</v>
      </c>
      <c r="G8030" s="86" t="s">
        <v>78</v>
      </c>
      <c r="H8030" s="143">
        <v>229</v>
      </c>
      <c r="I8030" s="86" t="s">
        <v>3356</v>
      </c>
      <c r="J8030" s="47" t="s">
        <v>3326</v>
      </c>
      <c r="K8030" s="47" t="str">
        <f>N8030</f>
        <v>巨量引擎-游戏</v>
      </c>
      <c r="L8030" s="47" t="s">
        <v>35</v>
      </c>
      <c r="N8030" s="86" t="s">
        <v>3283</v>
      </c>
      <c r="O8030" s="47" t="s">
        <v>45</v>
      </c>
      <c r="P8030" s="47" t="s">
        <v>4147</v>
      </c>
      <c r="Q8030" s="14">
        <v>0.02</v>
      </c>
      <c r="R8030" s="143"/>
      <c r="S8030" s="47"/>
      <c r="T8030" s="6">
        <v>0</v>
      </c>
      <c r="U8030" s="6">
        <v>0</v>
      </c>
      <c r="V8030" s="6">
        <v>0</v>
      </c>
      <c r="W8030" s="6">
        <f t="shared" ref="W8030:W8032" si="1242">T8030+U8030-V8030</f>
        <v>0</v>
      </c>
      <c r="X8030" s="6">
        <v>0</v>
      </c>
      <c r="Y8030" s="13">
        <f t="shared" si="1237"/>
        <v>0</v>
      </c>
      <c r="Z8030" s="14">
        <v>0</v>
      </c>
      <c r="AA8030" s="6">
        <v>0</v>
      </c>
      <c r="AB8030" s="4">
        <f t="shared" si="1238"/>
        <v>0</v>
      </c>
      <c r="AC8030" s="6">
        <v>825268.5395999999</v>
      </c>
      <c r="AD8030" s="6">
        <f t="shared" ref="AD8030" si="1243">V8030</f>
        <v>0</v>
      </c>
      <c r="AE8030" s="14">
        <v>0.06</v>
      </c>
      <c r="AF8030" s="6">
        <f t="shared" si="1232"/>
        <v>0</v>
      </c>
      <c r="AG8030" s="14">
        <v>0</v>
      </c>
      <c r="AH8030" s="64">
        <f t="shared" ref="AH8030" si="1244">V8030</f>
        <v>0</v>
      </c>
      <c r="AJ8030" s="126" t="e">
        <v>#N/A</v>
      </c>
      <c r="AK8030" s="80">
        <f t="shared" si="1239"/>
        <v>0</v>
      </c>
      <c r="AL8030" s="85"/>
      <c r="AM8030" s="85"/>
    </row>
    <row r="8031" spans="1:39" s="86" customFormat="1" ht="13.25" hidden="1" customHeight="1" x14ac:dyDescent="0.3">
      <c r="A8031" s="89" t="s">
        <v>3978</v>
      </c>
      <c r="B8031" s="86" t="s">
        <v>35</v>
      </c>
      <c r="C8031" s="86" t="s">
        <v>36</v>
      </c>
      <c r="D8031" s="86" t="s">
        <v>185</v>
      </c>
      <c r="E8031" s="86" t="s">
        <v>2393</v>
      </c>
      <c r="F8031" s="86" t="s">
        <v>4148</v>
      </c>
      <c r="G8031" s="86" t="s">
        <v>2393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3894</v>
      </c>
      <c r="O8031" s="47" t="s">
        <v>40</v>
      </c>
      <c r="P8031" s="47" t="s">
        <v>46</v>
      </c>
      <c r="Q8031" s="14">
        <v>0.11070000000000001</v>
      </c>
      <c r="R8031" s="143"/>
      <c r="S8031" s="47"/>
      <c r="T8031" s="6">
        <v>0</v>
      </c>
      <c r="U8031" s="6">
        <v>2800000</v>
      </c>
      <c r="V8031" s="6">
        <v>0</v>
      </c>
      <c r="W8031" s="6">
        <f t="shared" si="1242"/>
        <v>2800000</v>
      </c>
      <c r="X8031" s="6">
        <f t="shared" ref="X8031:X8032" si="1245">IF(P8031="折扣",V8031*Q8031,IF(P8031="返现",V8031,V8031/(1+Q8031+AG8031)))</f>
        <v>0</v>
      </c>
      <c r="Y8031" s="13">
        <f t="shared" si="1237"/>
        <v>0</v>
      </c>
      <c r="Z8031" s="66">
        <v>0</v>
      </c>
      <c r="AA8031" s="6">
        <v>0</v>
      </c>
      <c r="AB8031" s="4">
        <f t="shared" si="1238"/>
        <v>0</v>
      </c>
      <c r="AC8031" s="6">
        <f t="shared" ref="AC8031:AC8094" si="1246"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0.09</v>
      </c>
      <c r="AF8031" s="6">
        <f t="shared" si="1232"/>
        <v>0</v>
      </c>
      <c r="AG8031" s="14">
        <v>0.28999999999999998</v>
      </c>
      <c r="AH8031" s="6">
        <f t="shared" ref="AH8031:AH8032" si="1247">V8031/(1+AG8031)</f>
        <v>0</v>
      </c>
      <c r="AI8031" s="47"/>
      <c r="AJ8031" s="126" t="e">
        <v>#N/A</v>
      </c>
      <c r="AK8031" s="80">
        <f t="shared" si="1239"/>
        <v>0</v>
      </c>
      <c r="AL8031" s="85"/>
      <c r="AM8031" s="85"/>
    </row>
    <row r="8032" spans="1:39" s="86" customFormat="1" hidden="1" x14ac:dyDescent="0.3">
      <c r="A8032" s="89" t="s">
        <v>3978</v>
      </c>
      <c r="B8032" s="86" t="s">
        <v>35</v>
      </c>
      <c r="C8032" s="86" t="s">
        <v>184</v>
      </c>
      <c r="D8032" s="86" t="s">
        <v>54</v>
      </c>
      <c r="E8032" s="86" t="s">
        <v>265</v>
      </c>
      <c r="F8032" s="86" t="s">
        <v>265</v>
      </c>
      <c r="G8032" s="86" t="s">
        <v>265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2473</v>
      </c>
      <c r="O8032" s="47" t="s">
        <v>40</v>
      </c>
      <c r="P8032" s="47" t="s">
        <v>4149</v>
      </c>
      <c r="Q8032" s="14">
        <v>0.03</v>
      </c>
      <c r="R8032" s="143"/>
      <c r="S8032" s="47"/>
      <c r="T8032" s="6">
        <v>597.04999999999995</v>
      </c>
      <c r="U8032" s="6"/>
      <c r="V8032" s="6">
        <v>72.48</v>
      </c>
      <c r="W8032" s="6">
        <f t="shared" si="1242"/>
        <v>524.56999999999994</v>
      </c>
      <c r="X8032" s="6">
        <f t="shared" si="1245"/>
        <v>51.40425531914893</v>
      </c>
      <c r="Y8032" s="13">
        <f t="shared" si="1237"/>
        <v>51.40425531914893</v>
      </c>
      <c r="Z8032" s="14">
        <v>0</v>
      </c>
      <c r="AA8032" s="6">
        <v>0</v>
      </c>
      <c r="AB8032" s="4">
        <f t="shared" si="1238"/>
        <v>51.40425531914893</v>
      </c>
      <c r="AC8032" s="6">
        <f t="shared" si="1246"/>
        <v>21.075744680851074</v>
      </c>
      <c r="AD8032" s="6">
        <v>0</v>
      </c>
      <c r="AE8032" s="14">
        <f>VLOOKUP(I8032,[2]媒体政策预估表!A:N,MATCH(O8032,[2]媒体政策预估表!$A$2:$M$2,0),0)</f>
        <v>0.09</v>
      </c>
      <c r="AF8032" s="6">
        <f t="shared" si="1232"/>
        <v>0</v>
      </c>
      <c r="AG8032" s="14">
        <v>0.38</v>
      </c>
      <c r="AH8032" s="6">
        <f t="shared" si="1247"/>
        <v>52.521739130434788</v>
      </c>
      <c r="AI8032" s="47"/>
      <c r="AJ8032" s="126" t="e">
        <v>#N/A</v>
      </c>
      <c r="AK8032" s="80">
        <f t="shared" si="1239"/>
        <v>0</v>
      </c>
      <c r="AL8032" s="85"/>
      <c r="AM8032" s="85"/>
    </row>
    <row r="8033" spans="1:39" s="86" customFormat="1" hidden="1" x14ac:dyDescent="0.3">
      <c r="A8033" s="89" t="s">
        <v>3978</v>
      </c>
      <c r="B8033" s="86" t="s">
        <v>35</v>
      </c>
      <c r="C8033" s="86" t="s">
        <v>96</v>
      </c>
      <c r="D8033" s="86" t="s">
        <v>97</v>
      </c>
      <c r="E8033" s="86" t="s">
        <v>2393</v>
      </c>
      <c r="F8033" s="86" t="s">
        <v>2393</v>
      </c>
      <c r="G8033" s="86" t="s">
        <v>2393</v>
      </c>
      <c r="H8033" s="144">
        <v>369</v>
      </c>
      <c r="I8033" s="118" t="s">
        <v>4150</v>
      </c>
      <c r="J8033" s="47" t="s">
        <v>4202</v>
      </c>
      <c r="K8033" s="47" t="s">
        <v>4150</v>
      </c>
      <c r="L8033" s="47" t="s">
        <v>4214</v>
      </c>
      <c r="O8033" s="47" t="s">
        <v>3172</v>
      </c>
      <c r="P8033" s="47" t="s">
        <v>4123</v>
      </c>
      <c r="Q8033" s="14">
        <v>0</v>
      </c>
      <c r="R8033" s="89"/>
      <c r="S8033" s="47" t="s">
        <v>4151</v>
      </c>
      <c r="T8033" s="92"/>
      <c r="U8033" s="92"/>
      <c r="V8033" s="92"/>
      <c r="W8033" s="92"/>
      <c r="X8033" s="102">
        <v>4000</v>
      </c>
      <c r="Y8033" s="13">
        <f t="shared" si="1237"/>
        <v>4000</v>
      </c>
      <c r="Z8033" s="14">
        <v>0</v>
      </c>
      <c r="AA8033" s="6">
        <v>0</v>
      </c>
      <c r="AB8033" s="4">
        <f t="shared" si="1238"/>
        <v>4000</v>
      </c>
      <c r="AC8033" s="6">
        <f t="shared" si="1246"/>
        <v>-4000</v>
      </c>
      <c r="AD8033" s="6">
        <v>0</v>
      </c>
      <c r="AE8033" s="14">
        <v>0</v>
      </c>
      <c r="AF8033" s="6">
        <f t="shared" si="1232"/>
        <v>0</v>
      </c>
      <c r="AG8033" s="14">
        <v>0</v>
      </c>
      <c r="AH8033" s="102">
        <v>0</v>
      </c>
      <c r="AJ8033" s="126" t="e">
        <v>#N/A</v>
      </c>
      <c r="AK8033" s="80">
        <f t="shared" si="1239"/>
        <v>0</v>
      </c>
      <c r="AL8033" s="85"/>
      <c r="AM8033" s="85"/>
    </row>
    <row r="8034" spans="1:39" s="86" customFormat="1" hidden="1" x14ac:dyDescent="0.3">
      <c r="A8034" s="89" t="s">
        <v>3978</v>
      </c>
      <c r="B8034" s="86" t="s">
        <v>35</v>
      </c>
      <c r="C8034" s="86" t="s">
        <v>96</v>
      </c>
      <c r="D8034" s="86" t="s">
        <v>97</v>
      </c>
      <c r="E8034" s="86" t="s">
        <v>2743</v>
      </c>
      <c r="F8034" s="86" t="s">
        <v>4152</v>
      </c>
      <c r="G8034" s="86" t="s">
        <v>2743</v>
      </c>
      <c r="H8034" s="144">
        <v>369</v>
      </c>
      <c r="I8034" s="118" t="s">
        <v>4150</v>
      </c>
      <c r="J8034" s="47" t="s">
        <v>4202</v>
      </c>
      <c r="K8034" s="47" t="s">
        <v>4150</v>
      </c>
      <c r="L8034" s="47" t="s">
        <v>4214</v>
      </c>
      <c r="O8034" s="47" t="s">
        <v>3172</v>
      </c>
      <c r="P8034" s="47" t="s">
        <v>4123</v>
      </c>
      <c r="Q8034" s="14">
        <v>0</v>
      </c>
      <c r="R8034" s="89"/>
      <c r="S8034" s="47" t="s">
        <v>4151</v>
      </c>
      <c r="T8034" s="92"/>
      <c r="U8034" s="92"/>
      <c r="V8034" s="92"/>
      <c r="W8034" s="92"/>
      <c r="X8034" s="102">
        <v>106000</v>
      </c>
      <c r="Y8034" s="13">
        <f t="shared" si="1237"/>
        <v>106000</v>
      </c>
      <c r="Z8034" s="14">
        <v>0</v>
      </c>
      <c r="AA8034" s="6">
        <v>0</v>
      </c>
      <c r="AB8034" s="4">
        <f t="shared" si="1238"/>
        <v>106000</v>
      </c>
      <c r="AC8034" s="6">
        <f t="shared" si="1246"/>
        <v>-106000</v>
      </c>
      <c r="AD8034" s="6">
        <v>0</v>
      </c>
      <c r="AE8034" s="14">
        <v>0</v>
      </c>
      <c r="AF8034" s="6">
        <f t="shared" si="1232"/>
        <v>0</v>
      </c>
      <c r="AG8034" s="14">
        <v>0</v>
      </c>
      <c r="AH8034" s="102">
        <v>0</v>
      </c>
      <c r="AJ8034" s="126" t="e">
        <v>#N/A</v>
      </c>
      <c r="AK8034" s="80">
        <f t="shared" si="1239"/>
        <v>0</v>
      </c>
      <c r="AL8034" s="85"/>
      <c r="AM8034" s="85"/>
    </row>
    <row r="8035" spans="1:39" s="86" customFormat="1" hidden="1" x14ac:dyDescent="0.3">
      <c r="A8035" s="89" t="s">
        <v>3978</v>
      </c>
      <c r="B8035" s="86" t="s">
        <v>35</v>
      </c>
      <c r="C8035" s="86" t="s">
        <v>164</v>
      </c>
      <c r="D8035" s="86" t="s">
        <v>174</v>
      </c>
      <c r="E8035" s="86" t="s">
        <v>3168</v>
      </c>
      <c r="F8035" s="86" t="s">
        <v>3169</v>
      </c>
      <c r="G8035" s="86" t="s">
        <v>3168</v>
      </c>
      <c r="H8035" s="143">
        <v>65</v>
      </c>
      <c r="I8035" s="86" t="s">
        <v>3174</v>
      </c>
      <c r="J8035" s="1" t="s">
        <v>3671</v>
      </c>
      <c r="K8035" s="47"/>
      <c r="L8035" s="1" t="s">
        <v>3317</v>
      </c>
      <c r="M8035" s="86" t="s">
        <v>1742</v>
      </c>
      <c r="O8035" s="47" t="s">
        <v>410</v>
      </c>
      <c r="P8035" s="14" t="s">
        <v>41</v>
      </c>
      <c r="Q8035" s="14">
        <v>0</v>
      </c>
      <c r="R8035" s="143">
        <v>7056584</v>
      </c>
      <c r="S8035" s="47"/>
      <c r="T8035" s="6">
        <v>11376.98</v>
      </c>
      <c r="U8035" s="6"/>
      <c r="V8035" s="6">
        <v>0</v>
      </c>
      <c r="W8035" s="6">
        <f t="shared" ref="W8035" si="1248">T8035+U8035-V8035</f>
        <v>11376.98</v>
      </c>
      <c r="X8035" s="6">
        <f t="shared" ref="X8035:X8075" si="1249">IF(P8035="折扣",V8035*Q8035,IF(P8035="返现",V8035,V8035/(1+Q8035)))</f>
        <v>0</v>
      </c>
      <c r="Y8035" s="13">
        <f t="shared" si="1237"/>
        <v>0</v>
      </c>
      <c r="Z8035" s="14">
        <v>0</v>
      </c>
      <c r="AA8035" s="6">
        <v>0</v>
      </c>
      <c r="AB8035" s="4">
        <f t="shared" si="1238"/>
        <v>0</v>
      </c>
      <c r="AC8035" s="6">
        <f t="shared" si="1246"/>
        <v>0</v>
      </c>
      <c r="AD8035" s="6">
        <v>0</v>
      </c>
      <c r="AE8035" s="14">
        <v>0</v>
      </c>
      <c r="AF8035" s="6">
        <f t="shared" si="1232"/>
        <v>0</v>
      </c>
      <c r="AG8035" s="14">
        <v>0</v>
      </c>
      <c r="AH8035" s="47"/>
      <c r="AI8035" s="47"/>
      <c r="AJ8035" s="126" t="e">
        <v>#N/A</v>
      </c>
      <c r="AK8035" s="80">
        <f t="shared" si="1239"/>
        <v>0</v>
      </c>
      <c r="AL8035" s="85"/>
      <c r="AM8035" s="85"/>
    </row>
    <row r="8036" spans="1:39" s="86" customFormat="1" hidden="1" x14ac:dyDescent="0.3">
      <c r="A8036" s="89" t="s">
        <v>3978</v>
      </c>
      <c r="B8036" s="86" t="s">
        <v>35</v>
      </c>
      <c r="C8036" s="86" t="s">
        <v>65</v>
      </c>
      <c r="D8036" s="86" t="s">
        <v>122</v>
      </c>
      <c r="E8036" s="86" t="s">
        <v>507</v>
      </c>
      <c r="F8036" s="86" t="s">
        <v>507</v>
      </c>
      <c r="G8036" s="86" t="s">
        <v>507</v>
      </c>
      <c r="H8036" s="144">
        <v>360</v>
      </c>
      <c r="I8036" s="86" t="s">
        <v>1060</v>
      </c>
      <c r="J8036" s="1" t="s">
        <v>3325</v>
      </c>
      <c r="K8036" s="1" t="s">
        <v>3287</v>
      </c>
      <c r="L8036" s="1" t="s">
        <v>35</v>
      </c>
      <c r="O8036" s="47" t="s">
        <v>3172</v>
      </c>
      <c r="P8036" s="47" t="s">
        <v>41</v>
      </c>
      <c r="Q8036" s="14">
        <v>0</v>
      </c>
      <c r="R8036" s="143"/>
      <c r="S8036" s="47"/>
      <c r="T8036" s="6">
        <v>0</v>
      </c>
      <c r="U8036" s="6">
        <v>55760</v>
      </c>
      <c r="V8036" s="6">
        <v>55760</v>
      </c>
      <c r="W8036" s="6">
        <v>0</v>
      </c>
      <c r="X8036" s="6">
        <f t="shared" si="1249"/>
        <v>55760</v>
      </c>
      <c r="Y8036" s="13">
        <f t="shared" si="1237"/>
        <v>0</v>
      </c>
      <c r="Z8036" s="14">
        <v>0</v>
      </c>
      <c r="AA8036" s="6">
        <v>0</v>
      </c>
      <c r="AB8036" s="4">
        <f t="shared" si="1238"/>
        <v>55760</v>
      </c>
      <c r="AC8036" s="6">
        <f t="shared" si="1246"/>
        <v>0</v>
      </c>
      <c r="AD8036" s="6">
        <v>55760</v>
      </c>
      <c r="AE8036" s="14">
        <v>7.0000000000000007E-2</v>
      </c>
      <c r="AF8036" s="6">
        <f t="shared" ref="AF8036:AF8045" si="1250">AD8036*AE8036</f>
        <v>3903.2000000000003</v>
      </c>
      <c r="AG8036" s="14">
        <v>0</v>
      </c>
      <c r="AH8036" s="47"/>
      <c r="AI8036" s="47"/>
      <c r="AJ8036" s="126" t="e">
        <v>#N/A</v>
      </c>
      <c r="AK8036" s="80">
        <f t="shared" si="1239"/>
        <v>0</v>
      </c>
      <c r="AL8036" s="85"/>
      <c r="AM8036" s="85"/>
    </row>
    <row r="8037" spans="1:39" s="86" customFormat="1" hidden="1" x14ac:dyDescent="0.3">
      <c r="A8037" s="89" t="s">
        <v>3978</v>
      </c>
      <c r="B8037" s="86" t="s">
        <v>35</v>
      </c>
      <c r="C8037" s="86" t="s">
        <v>144</v>
      </c>
      <c r="D8037" s="86" t="s">
        <v>145</v>
      </c>
      <c r="E8037" s="86" t="s">
        <v>1385</v>
      </c>
      <c r="F8037" s="86" t="s">
        <v>1386</v>
      </c>
      <c r="G8037" s="86" t="s">
        <v>1385</v>
      </c>
      <c r="H8037" s="144">
        <v>360</v>
      </c>
      <c r="I8037" s="86" t="s">
        <v>1060</v>
      </c>
      <c r="J8037" s="1" t="s">
        <v>3325</v>
      </c>
      <c r="K8037" s="1" t="s">
        <v>3287</v>
      </c>
      <c r="L8037" s="1" t="s">
        <v>35</v>
      </c>
      <c r="O8037" s="47" t="s">
        <v>3172</v>
      </c>
      <c r="P8037" s="47" t="s">
        <v>41</v>
      </c>
      <c r="Q8037" s="14">
        <v>0</v>
      </c>
      <c r="R8037" s="143"/>
      <c r="S8037" s="47"/>
      <c r="T8037" s="6">
        <v>0</v>
      </c>
      <c r="U8037" s="6">
        <v>22960</v>
      </c>
      <c r="V8037" s="6">
        <v>22960</v>
      </c>
      <c r="W8037" s="6">
        <v>0</v>
      </c>
      <c r="X8037" s="6">
        <f t="shared" si="1249"/>
        <v>22960</v>
      </c>
      <c r="Y8037" s="13">
        <f t="shared" si="1237"/>
        <v>0</v>
      </c>
      <c r="Z8037" s="14">
        <v>0</v>
      </c>
      <c r="AA8037" s="6">
        <v>0</v>
      </c>
      <c r="AB8037" s="4">
        <f t="shared" si="1238"/>
        <v>22960</v>
      </c>
      <c r="AC8037" s="6">
        <f t="shared" si="1246"/>
        <v>0</v>
      </c>
      <c r="AD8037" s="6">
        <v>22960</v>
      </c>
      <c r="AE8037" s="14">
        <v>7.0000000000000007E-2</v>
      </c>
      <c r="AF8037" s="6">
        <f t="shared" si="1250"/>
        <v>1607.2</v>
      </c>
      <c r="AG8037" s="14">
        <v>0</v>
      </c>
      <c r="AH8037" s="47"/>
      <c r="AI8037" s="47"/>
      <c r="AJ8037" s="126" t="e">
        <v>#N/A</v>
      </c>
      <c r="AK8037" s="80">
        <f t="shared" si="1239"/>
        <v>0</v>
      </c>
      <c r="AL8037" s="85"/>
      <c r="AM8037" s="85"/>
    </row>
    <row r="8038" spans="1:39" s="86" customFormat="1" hidden="1" x14ac:dyDescent="0.3">
      <c r="A8038" s="89" t="s">
        <v>3792</v>
      </c>
      <c r="B8038" s="86" t="s">
        <v>35</v>
      </c>
      <c r="C8038" s="86" t="s">
        <v>164</v>
      </c>
      <c r="D8038" s="86" t="s">
        <v>174</v>
      </c>
      <c r="E8038" s="86" t="s">
        <v>1617</v>
      </c>
      <c r="F8038" s="86" t="s">
        <v>1617</v>
      </c>
      <c r="G8038" s="86" t="s">
        <v>1617</v>
      </c>
      <c r="H8038" s="143">
        <v>360</v>
      </c>
      <c r="I8038" s="86" t="s">
        <v>1060</v>
      </c>
      <c r="J8038" s="1" t="s">
        <v>3325</v>
      </c>
      <c r="K8038" s="1" t="s">
        <v>3287</v>
      </c>
      <c r="L8038" s="1" t="s">
        <v>35</v>
      </c>
      <c r="O8038" s="47" t="s">
        <v>3172</v>
      </c>
      <c r="P8038" s="47" t="s">
        <v>41</v>
      </c>
      <c r="Q8038" s="14">
        <v>0</v>
      </c>
      <c r="R8038" s="143"/>
      <c r="S8038" s="47"/>
      <c r="T8038" s="6">
        <v>0</v>
      </c>
      <c r="U8038" s="6">
        <v>1067680.17</v>
      </c>
      <c r="V8038" s="6">
        <v>0</v>
      </c>
      <c r="W8038" s="6">
        <v>0</v>
      </c>
      <c r="X8038" s="6">
        <f t="shared" si="1249"/>
        <v>0</v>
      </c>
      <c r="Y8038" s="13">
        <f t="shared" si="1237"/>
        <v>0</v>
      </c>
      <c r="Z8038" s="14">
        <v>0</v>
      </c>
      <c r="AA8038" s="6">
        <v>0</v>
      </c>
      <c r="AB8038" s="4">
        <f t="shared" si="1238"/>
        <v>0</v>
      </c>
      <c r="AC8038" s="6">
        <f t="shared" si="1246"/>
        <v>0</v>
      </c>
      <c r="AD8038" s="6">
        <v>0</v>
      </c>
      <c r="AE8038" s="14">
        <v>7.0000000000000007E-2</v>
      </c>
      <c r="AF8038" s="6">
        <f t="shared" si="1250"/>
        <v>0</v>
      </c>
      <c r="AG8038" s="14">
        <v>0</v>
      </c>
      <c r="AH8038" s="47"/>
      <c r="AI8038" s="47"/>
      <c r="AJ8038" s="126" t="e">
        <v>#N/A</v>
      </c>
      <c r="AK8038" s="80">
        <f t="shared" si="1239"/>
        <v>0</v>
      </c>
      <c r="AL8038" s="85"/>
      <c r="AM8038" s="85"/>
    </row>
    <row r="8039" spans="1:39" s="86" customFormat="1" hidden="1" x14ac:dyDescent="0.3">
      <c r="A8039" s="89" t="s">
        <v>3978</v>
      </c>
      <c r="B8039" s="86" t="s">
        <v>35</v>
      </c>
      <c r="C8039" s="86" t="s">
        <v>164</v>
      </c>
      <c r="D8039" s="86" t="s">
        <v>174</v>
      </c>
      <c r="E8039" s="86" t="s">
        <v>1617</v>
      </c>
      <c r="F8039" s="86" t="s">
        <v>1617</v>
      </c>
      <c r="G8039" s="86" t="s">
        <v>1617</v>
      </c>
      <c r="H8039" s="143">
        <v>366</v>
      </c>
      <c r="I8039" s="86" t="s">
        <v>3690</v>
      </c>
      <c r="J8039" s="1" t="s">
        <v>3323</v>
      </c>
      <c r="K8039" s="47" t="s">
        <v>3694</v>
      </c>
      <c r="L8039" s="1" t="s">
        <v>35</v>
      </c>
      <c r="O8039" s="47" t="s">
        <v>3172</v>
      </c>
      <c r="P8039" s="47" t="s">
        <v>41</v>
      </c>
      <c r="Q8039" s="14">
        <v>0</v>
      </c>
      <c r="R8039" s="143"/>
      <c r="S8039" s="47"/>
      <c r="T8039" s="6">
        <v>0</v>
      </c>
      <c r="U8039" s="6">
        <v>19018.240000000002</v>
      </c>
      <c r="V8039" s="6">
        <v>0</v>
      </c>
      <c r="W8039" s="6">
        <f t="shared" ref="W8039" si="1251">T8039+U8039-V8039</f>
        <v>19018.240000000002</v>
      </c>
      <c r="X8039" s="6">
        <f t="shared" si="1249"/>
        <v>0</v>
      </c>
      <c r="Y8039" s="13">
        <f t="shared" si="1237"/>
        <v>0</v>
      </c>
      <c r="Z8039" s="14">
        <v>0</v>
      </c>
      <c r="AA8039" s="6">
        <v>0</v>
      </c>
      <c r="AB8039" s="4">
        <f t="shared" si="1238"/>
        <v>0</v>
      </c>
      <c r="AC8039" s="6">
        <f t="shared" si="1246"/>
        <v>0</v>
      </c>
      <c r="AD8039" s="6">
        <v>0</v>
      </c>
      <c r="AE8039" s="14">
        <v>0.08</v>
      </c>
      <c r="AF8039" s="6">
        <f t="shared" si="1250"/>
        <v>0</v>
      </c>
      <c r="AG8039" s="14">
        <v>0</v>
      </c>
      <c r="AH8039" s="47"/>
      <c r="AI8039" s="47"/>
      <c r="AJ8039" s="126" t="e">
        <v>#N/A</v>
      </c>
      <c r="AK8039" s="80">
        <f t="shared" si="1239"/>
        <v>0</v>
      </c>
      <c r="AL8039" s="85"/>
      <c r="AM8039" s="85"/>
    </row>
    <row r="8040" spans="1:39" s="86" customFormat="1" hidden="1" x14ac:dyDescent="0.3">
      <c r="A8040" s="89" t="s">
        <v>3978</v>
      </c>
      <c r="B8040" s="86" t="s">
        <v>35</v>
      </c>
      <c r="C8040" s="86" t="s">
        <v>164</v>
      </c>
      <c r="D8040" s="86" t="s">
        <v>174</v>
      </c>
      <c r="E8040" s="86" t="s">
        <v>1696</v>
      </c>
      <c r="F8040" s="86" t="s">
        <v>1696</v>
      </c>
      <c r="G8040" s="86" t="s">
        <v>1696</v>
      </c>
      <c r="H8040" s="144">
        <v>360</v>
      </c>
      <c r="I8040" s="86" t="s">
        <v>1060</v>
      </c>
      <c r="J8040" s="1" t="s">
        <v>3325</v>
      </c>
      <c r="K8040" s="1" t="s">
        <v>3287</v>
      </c>
      <c r="L8040" s="1" t="s">
        <v>35</v>
      </c>
      <c r="O8040" s="47" t="s">
        <v>3172</v>
      </c>
      <c r="P8040" s="47" t="s">
        <v>41</v>
      </c>
      <c r="Q8040" s="14">
        <v>0</v>
      </c>
      <c r="R8040" s="143"/>
      <c r="S8040" s="47"/>
      <c r="T8040" s="6">
        <v>0</v>
      </c>
      <c r="U8040" s="6">
        <v>62320</v>
      </c>
      <c r="V8040" s="6">
        <v>62320</v>
      </c>
      <c r="W8040" s="6">
        <v>0</v>
      </c>
      <c r="X8040" s="6">
        <f t="shared" si="1249"/>
        <v>62320</v>
      </c>
      <c r="Y8040" s="13">
        <f t="shared" si="1237"/>
        <v>0</v>
      </c>
      <c r="Z8040" s="14">
        <v>0</v>
      </c>
      <c r="AA8040" s="6">
        <v>0</v>
      </c>
      <c r="AB8040" s="4">
        <f t="shared" si="1238"/>
        <v>62320</v>
      </c>
      <c r="AC8040" s="6">
        <f t="shared" si="1246"/>
        <v>0</v>
      </c>
      <c r="AD8040" s="6">
        <v>62320</v>
      </c>
      <c r="AE8040" s="14">
        <v>7.0000000000000007E-2</v>
      </c>
      <c r="AF8040" s="6">
        <f t="shared" si="1250"/>
        <v>4362.4000000000005</v>
      </c>
      <c r="AG8040" s="14">
        <v>0</v>
      </c>
      <c r="AH8040" s="47"/>
      <c r="AI8040" s="47"/>
      <c r="AJ8040" s="126" t="e">
        <v>#N/A</v>
      </c>
      <c r="AK8040" s="80">
        <f t="shared" si="1239"/>
        <v>0</v>
      </c>
      <c r="AL8040" s="85"/>
      <c r="AM8040" s="85"/>
    </row>
    <row r="8041" spans="1:39" s="86" customFormat="1" hidden="1" x14ac:dyDescent="0.3">
      <c r="A8041" s="89" t="s">
        <v>3978</v>
      </c>
      <c r="B8041" s="86" t="s">
        <v>35</v>
      </c>
      <c r="C8041" s="86" t="s">
        <v>164</v>
      </c>
      <c r="D8041" s="86" t="s">
        <v>174</v>
      </c>
      <c r="E8041" s="86" t="s">
        <v>1748</v>
      </c>
      <c r="F8041" s="86" t="s">
        <v>1748</v>
      </c>
      <c r="G8041" s="86" t="s">
        <v>1748</v>
      </c>
      <c r="H8041" s="144">
        <v>360</v>
      </c>
      <c r="I8041" s="86" t="s">
        <v>1060</v>
      </c>
      <c r="J8041" s="1" t="s">
        <v>3325</v>
      </c>
      <c r="K8041" s="1" t="s">
        <v>3287</v>
      </c>
      <c r="L8041" s="1" t="s">
        <v>35</v>
      </c>
      <c r="O8041" s="47" t="s">
        <v>3172</v>
      </c>
      <c r="P8041" s="47" t="s">
        <v>41</v>
      </c>
      <c r="Q8041" s="14">
        <v>0</v>
      </c>
      <c r="R8041" s="143"/>
      <c r="S8041" s="47"/>
      <c r="T8041" s="6">
        <v>0</v>
      </c>
      <c r="U8041" s="6">
        <v>85280</v>
      </c>
      <c r="V8041" s="6">
        <v>85280</v>
      </c>
      <c r="W8041" s="6">
        <v>0</v>
      </c>
      <c r="X8041" s="6">
        <f t="shared" si="1249"/>
        <v>85280</v>
      </c>
      <c r="Y8041" s="13">
        <f t="shared" si="1237"/>
        <v>0</v>
      </c>
      <c r="Z8041" s="14">
        <v>0</v>
      </c>
      <c r="AA8041" s="6">
        <v>0</v>
      </c>
      <c r="AB8041" s="4">
        <f t="shared" si="1238"/>
        <v>85280</v>
      </c>
      <c r="AC8041" s="6">
        <f t="shared" si="1246"/>
        <v>0</v>
      </c>
      <c r="AD8041" s="6">
        <v>85280</v>
      </c>
      <c r="AE8041" s="14">
        <v>7.0000000000000007E-2</v>
      </c>
      <c r="AF8041" s="6">
        <f t="shared" si="1250"/>
        <v>5969.6</v>
      </c>
      <c r="AG8041" s="14">
        <v>0</v>
      </c>
      <c r="AH8041" s="47"/>
      <c r="AI8041" s="47"/>
      <c r="AJ8041" s="126" t="e">
        <v>#N/A</v>
      </c>
      <c r="AK8041" s="80">
        <f t="shared" si="1239"/>
        <v>0</v>
      </c>
      <c r="AL8041" s="85"/>
      <c r="AM8041" s="85"/>
    </row>
    <row r="8042" spans="1:39" s="86" customFormat="1" hidden="1" x14ac:dyDescent="0.3">
      <c r="A8042" s="89" t="s">
        <v>3978</v>
      </c>
      <c r="B8042" s="86" t="s">
        <v>35</v>
      </c>
      <c r="C8042" s="86" t="s">
        <v>184</v>
      </c>
      <c r="D8042" s="86" t="s">
        <v>3849</v>
      </c>
      <c r="E8042" s="86" t="s">
        <v>1336</v>
      </c>
      <c r="F8042" s="86" t="s">
        <v>1337</v>
      </c>
      <c r="G8042" s="86" t="s">
        <v>1336</v>
      </c>
      <c r="H8042" s="144">
        <v>360</v>
      </c>
      <c r="I8042" s="86" t="s">
        <v>1060</v>
      </c>
      <c r="J8042" s="1" t="s">
        <v>3325</v>
      </c>
      <c r="K8042" s="1" t="s">
        <v>3287</v>
      </c>
      <c r="L8042" s="1" t="s">
        <v>35</v>
      </c>
      <c r="O8042" s="47" t="s">
        <v>3172</v>
      </c>
      <c r="P8042" s="47" t="s">
        <v>41</v>
      </c>
      <c r="Q8042" s="14">
        <v>0</v>
      </c>
      <c r="R8042" s="143"/>
      <c r="S8042" s="47"/>
      <c r="T8042" s="6">
        <v>0</v>
      </c>
      <c r="U8042" s="6">
        <v>109790.24</v>
      </c>
      <c r="V8042" s="6">
        <v>109790.24</v>
      </c>
      <c r="W8042" s="6">
        <v>0</v>
      </c>
      <c r="X8042" s="6">
        <f t="shared" si="1249"/>
        <v>109790.24</v>
      </c>
      <c r="Y8042" s="13">
        <f t="shared" si="1237"/>
        <v>0</v>
      </c>
      <c r="Z8042" s="14">
        <v>0</v>
      </c>
      <c r="AA8042" s="6">
        <v>0</v>
      </c>
      <c r="AB8042" s="4">
        <f t="shared" si="1238"/>
        <v>109790.24</v>
      </c>
      <c r="AC8042" s="6">
        <f t="shared" si="1246"/>
        <v>0</v>
      </c>
      <c r="AD8042" s="6">
        <v>109790.24</v>
      </c>
      <c r="AE8042" s="14">
        <v>7.0000000000000007E-2</v>
      </c>
      <c r="AF8042" s="6">
        <f t="shared" si="1250"/>
        <v>7685.3168000000014</v>
      </c>
      <c r="AG8042" s="14">
        <v>0</v>
      </c>
      <c r="AH8042" s="47"/>
      <c r="AI8042" s="47"/>
      <c r="AJ8042" s="126" t="e">
        <v>#N/A</v>
      </c>
      <c r="AK8042" s="80">
        <f t="shared" si="1239"/>
        <v>0</v>
      </c>
      <c r="AL8042" s="85"/>
      <c r="AM8042" s="85"/>
    </row>
    <row r="8043" spans="1:39" s="86" customFormat="1" hidden="1" x14ac:dyDescent="0.3">
      <c r="A8043" s="89" t="s">
        <v>3978</v>
      </c>
      <c r="B8043" s="86" t="s">
        <v>35</v>
      </c>
      <c r="C8043" s="86" t="s">
        <v>184</v>
      </c>
      <c r="D8043" s="86" t="s">
        <v>54</v>
      </c>
      <c r="E8043" s="86" t="s">
        <v>71</v>
      </c>
      <c r="F8043" s="86" t="s">
        <v>71</v>
      </c>
      <c r="G8043" s="86" t="s">
        <v>71</v>
      </c>
      <c r="H8043" s="143">
        <v>339</v>
      </c>
      <c r="I8043" s="86" t="s">
        <v>3171</v>
      </c>
      <c r="J8043" s="1" t="s">
        <v>3671</v>
      </c>
      <c r="K8043" s="1"/>
      <c r="L8043" s="1" t="s">
        <v>3317</v>
      </c>
      <c r="O8043" s="47" t="s">
        <v>410</v>
      </c>
      <c r="P8043" s="47" t="s">
        <v>46</v>
      </c>
      <c r="Q8043" s="14">
        <v>0.03</v>
      </c>
      <c r="R8043" s="143"/>
      <c r="S8043" s="47"/>
      <c r="T8043" s="6">
        <v>93395.28</v>
      </c>
      <c r="U8043" s="6"/>
      <c r="V8043" s="6">
        <v>0</v>
      </c>
      <c r="W8043" s="6">
        <f t="shared" ref="W8043:W8047" si="1252">T8043+U8043-V8043</f>
        <v>93395.28</v>
      </c>
      <c r="X8043" s="6">
        <f t="shared" si="1249"/>
        <v>0</v>
      </c>
      <c r="Y8043" s="13">
        <f t="shared" si="1237"/>
        <v>0</v>
      </c>
      <c r="Z8043" s="14">
        <v>0</v>
      </c>
      <c r="AA8043" s="6">
        <v>0</v>
      </c>
      <c r="AB8043" s="4">
        <f t="shared" si="1238"/>
        <v>0</v>
      </c>
      <c r="AC8043" s="6">
        <f t="shared" si="1246"/>
        <v>0</v>
      </c>
      <c r="AD8043" s="6">
        <v>0</v>
      </c>
      <c r="AE8043" s="14">
        <v>0</v>
      </c>
      <c r="AF8043" s="6">
        <f t="shared" si="1250"/>
        <v>0</v>
      </c>
      <c r="AG8043" s="14">
        <v>0</v>
      </c>
      <c r="AH8043" s="47"/>
      <c r="AI8043" s="47"/>
      <c r="AJ8043" s="126" t="e">
        <v>#N/A</v>
      </c>
      <c r="AK8043" s="80">
        <f t="shared" si="1239"/>
        <v>0</v>
      </c>
      <c r="AL8043" s="85"/>
      <c r="AM8043" s="85"/>
    </row>
    <row r="8044" spans="1:39" s="86" customFormat="1" hidden="1" x14ac:dyDescent="0.3">
      <c r="A8044" s="89" t="s">
        <v>3978</v>
      </c>
      <c r="B8044" s="86" t="s">
        <v>35</v>
      </c>
      <c r="C8044" s="86" t="s">
        <v>184</v>
      </c>
      <c r="D8044" s="86" t="s">
        <v>3849</v>
      </c>
      <c r="E8044" s="86" t="s">
        <v>521</v>
      </c>
      <c r="F8044" s="86" t="s">
        <v>522</v>
      </c>
      <c r="G8044" s="86" t="s">
        <v>521</v>
      </c>
      <c r="H8044" s="143">
        <v>65</v>
      </c>
      <c r="I8044" s="86" t="s">
        <v>3174</v>
      </c>
      <c r="J8044" s="1" t="s">
        <v>3671</v>
      </c>
      <c r="K8044" s="47"/>
      <c r="L8044" s="1" t="s">
        <v>3317</v>
      </c>
      <c r="M8044" s="86" t="s">
        <v>521</v>
      </c>
      <c r="O8044" s="47" t="s">
        <v>410</v>
      </c>
      <c r="P8044" s="47" t="s">
        <v>46</v>
      </c>
      <c r="Q8044" s="14">
        <v>0.02</v>
      </c>
      <c r="R8044" s="143"/>
      <c r="S8044" s="47"/>
      <c r="T8044" s="6">
        <v>18381.79</v>
      </c>
      <c r="U8044" s="6"/>
      <c r="V8044" s="6">
        <v>0</v>
      </c>
      <c r="W8044" s="6">
        <f t="shared" si="1252"/>
        <v>18381.79</v>
      </c>
      <c r="X8044" s="6">
        <f t="shared" si="1249"/>
        <v>0</v>
      </c>
      <c r="Y8044" s="13">
        <f t="shared" si="1237"/>
        <v>0</v>
      </c>
      <c r="Z8044" s="14">
        <v>0</v>
      </c>
      <c r="AA8044" s="6">
        <v>0</v>
      </c>
      <c r="AB8044" s="4">
        <f t="shared" si="1238"/>
        <v>0</v>
      </c>
      <c r="AC8044" s="6">
        <f t="shared" si="1246"/>
        <v>0</v>
      </c>
      <c r="AD8044" s="6">
        <v>0</v>
      </c>
      <c r="AE8044" s="14">
        <v>0</v>
      </c>
      <c r="AF8044" s="6">
        <f t="shared" si="1250"/>
        <v>0</v>
      </c>
      <c r="AG8044" s="14">
        <v>0</v>
      </c>
      <c r="AH8044" s="47"/>
      <c r="AI8044" s="47"/>
      <c r="AJ8044" s="126" t="e">
        <v>#N/A</v>
      </c>
      <c r="AK8044" s="80">
        <f t="shared" si="1239"/>
        <v>0</v>
      </c>
      <c r="AL8044" s="85"/>
      <c r="AM8044" s="85"/>
    </row>
    <row r="8045" spans="1:39" s="86" customFormat="1" hidden="1" x14ac:dyDescent="0.3">
      <c r="A8045" s="89" t="s">
        <v>3978</v>
      </c>
      <c r="B8045" s="86" t="s">
        <v>35</v>
      </c>
      <c r="C8045" s="86" t="s">
        <v>184</v>
      </c>
      <c r="D8045" s="86" t="s">
        <v>54</v>
      </c>
      <c r="E8045" s="86" t="s">
        <v>71</v>
      </c>
      <c r="F8045" s="86" t="s">
        <v>71</v>
      </c>
      <c r="G8045" s="86" t="s">
        <v>71</v>
      </c>
      <c r="H8045" s="143">
        <v>339</v>
      </c>
      <c r="I8045" s="86" t="s">
        <v>3171</v>
      </c>
      <c r="J8045" s="1" t="s">
        <v>3671</v>
      </c>
      <c r="K8045" s="1"/>
      <c r="L8045" s="1" t="s">
        <v>3317</v>
      </c>
      <c r="M8045" s="86" t="s">
        <v>71</v>
      </c>
      <c r="O8045" s="47" t="s">
        <v>45</v>
      </c>
      <c r="P8045" s="47" t="s">
        <v>46</v>
      </c>
      <c r="Q8045" s="14">
        <v>0.06</v>
      </c>
      <c r="R8045" s="143"/>
      <c r="S8045" s="47"/>
      <c r="T8045" s="6">
        <v>-3087.24</v>
      </c>
      <c r="U8045" s="6"/>
      <c r="V8045" s="6">
        <v>0</v>
      </c>
      <c r="W8045" s="6">
        <f t="shared" si="1252"/>
        <v>-3087.24</v>
      </c>
      <c r="X8045" s="6">
        <f t="shared" si="1249"/>
        <v>0</v>
      </c>
      <c r="Y8045" s="13">
        <f t="shared" si="1237"/>
        <v>0</v>
      </c>
      <c r="Z8045" s="14">
        <v>0</v>
      </c>
      <c r="AA8045" s="6">
        <v>0</v>
      </c>
      <c r="AB8045" s="4">
        <f t="shared" si="1238"/>
        <v>0</v>
      </c>
      <c r="AC8045" s="6">
        <f t="shared" si="1246"/>
        <v>0</v>
      </c>
      <c r="AD8045" s="6">
        <v>0</v>
      </c>
      <c r="AE8045" s="14">
        <v>0</v>
      </c>
      <c r="AF8045" s="6">
        <f t="shared" si="1250"/>
        <v>0</v>
      </c>
      <c r="AG8045" s="14">
        <v>0</v>
      </c>
      <c r="AH8045" s="47"/>
      <c r="AI8045" s="47"/>
      <c r="AJ8045" s="126" t="e">
        <v>#N/A</v>
      </c>
      <c r="AK8045" s="80">
        <f t="shared" si="1239"/>
        <v>0</v>
      </c>
      <c r="AL8045" s="85"/>
      <c r="AM8045" s="85"/>
    </row>
    <row r="8046" spans="1:39" s="86" customFormat="1" hidden="1" x14ac:dyDescent="0.3">
      <c r="A8046" s="89" t="s">
        <v>3978</v>
      </c>
      <c r="B8046" s="86" t="s">
        <v>35</v>
      </c>
      <c r="C8046" s="86" t="s">
        <v>47</v>
      </c>
      <c r="D8046" s="86" t="s">
        <v>63</v>
      </c>
      <c r="E8046" s="86" t="s">
        <v>1912</v>
      </c>
      <c r="F8046" s="86" t="s">
        <v>1912</v>
      </c>
      <c r="G8046" s="86" t="s">
        <v>1912</v>
      </c>
      <c r="H8046" s="143">
        <v>224</v>
      </c>
      <c r="I8046" s="86" t="s">
        <v>3214</v>
      </c>
      <c r="J8046" s="1" t="s">
        <v>3323</v>
      </c>
      <c r="K8046" s="1" t="s">
        <v>3306</v>
      </c>
      <c r="L8046" s="1" t="s">
        <v>35</v>
      </c>
      <c r="M8046" s="86" t="s">
        <v>3219</v>
      </c>
      <c r="O8046" s="47" t="s">
        <v>410</v>
      </c>
      <c r="P8046" s="20" t="s">
        <v>41</v>
      </c>
      <c r="Q8046" s="20">
        <v>0</v>
      </c>
      <c r="R8046" s="143">
        <v>1000082509</v>
      </c>
      <c r="S8046" s="47"/>
      <c r="T8046" s="6">
        <v>1387.5</v>
      </c>
      <c r="U8046" s="6"/>
      <c r="V8046" s="6">
        <v>0</v>
      </c>
      <c r="W8046" s="6">
        <f t="shared" si="1252"/>
        <v>1387.5</v>
      </c>
      <c r="X8046" s="6">
        <f t="shared" si="1249"/>
        <v>0</v>
      </c>
      <c r="Y8046" s="13">
        <f t="shared" si="1237"/>
        <v>0</v>
      </c>
      <c r="Z8046" s="20">
        <v>0</v>
      </c>
      <c r="AA8046" s="6">
        <v>0</v>
      </c>
      <c r="AB8046" s="4">
        <f t="shared" si="1238"/>
        <v>0</v>
      </c>
      <c r="AC8046" s="6">
        <f t="shared" si="1246"/>
        <v>0</v>
      </c>
      <c r="AD8046" s="6">
        <v>0</v>
      </c>
      <c r="AE8046" s="20">
        <v>0</v>
      </c>
      <c r="AF8046" s="11">
        <f>AD8046*AE8046</f>
        <v>0</v>
      </c>
      <c r="AG8046" s="20">
        <v>0</v>
      </c>
      <c r="AH8046" s="47"/>
      <c r="AI8046" s="47"/>
      <c r="AJ8046" s="126" t="e">
        <v>#N/A</v>
      </c>
      <c r="AK8046" s="80">
        <f t="shared" si="1239"/>
        <v>0</v>
      </c>
      <c r="AL8046" s="85"/>
      <c r="AM8046" s="85"/>
    </row>
    <row r="8047" spans="1:39" s="86" customFormat="1" hidden="1" x14ac:dyDescent="0.3">
      <c r="A8047" s="89" t="s">
        <v>3978</v>
      </c>
      <c r="B8047" s="86" t="s">
        <v>35</v>
      </c>
      <c r="C8047" s="86" t="s">
        <v>144</v>
      </c>
      <c r="D8047" s="86" t="s">
        <v>152</v>
      </c>
      <c r="E8047" s="86" t="s">
        <v>3220</v>
      </c>
      <c r="F8047" s="86" t="s">
        <v>3220</v>
      </c>
      <c r="G8047" s="86" t="s">
        <v>3220</v>
      </c>
      <c r="H8047" s="143">
        <v>224</v>
      </c>
      <c r="I8047" s="86" t="s">
        <v>3214</v>
      </c>
      <c r="J8047" s="1" t="s">
        <v>3323</v>
      </c>
      <c r="K8047" s="1" t="s">
        <v>3306</v>
      </c>
      <c r="L8047" s="1" t="s">
        <v>35</v>
      </c>
      <c r="M8047" s="86" t="s">
        <v>3221</v>
      </c>
      <c r="O8047" s="47" t="s">
        <v>410</v>
      </c>
      <c r="P8047" s="20" t="s">
        <v>41</v>
      </c>
      <c r="Q8047" s="20">
        <v>0</v>
      </c>
      <c r="R8047" s="143">
        <v>1000043274</v>
      </c>
      <c r="S8047" s="47"/>
      <c r="T8047" s="6">
        <v>22550.75</v>
      </c>
      <c r="U8047" s="6"/>
      <c r="V8047" s="6">
        <v>0</v>
      </c>
      <c r="W8047" s="6">
        <f t="shared" si="1252"/>
        <v>22550.75</v>
      </c>
      <c r="X8047" s="6">
        <f t="shared" si="1249"/>
        <v>0</v>
      </c>
      <c r="Y8047" s="13">
        <f t="shared" si="1237"/>
        <v>0</v>
      </c>
      <c r="Z8047" s="20">
        <v>0</v>
      </c>
      <c r="AA8047" s="6">
        <v>0</v>
      </c>
      <c r="AB8047" s="4">
        <f t="shared" si="1238"/>
        <v>0</v>
      </c>
      <c r="AC8047" s="6">
        <f t="shared" si="1246"/>
        <v>0</v>
      </c>
      <c r="AD8047" s="6">
        <v>0</v>
      </c>
      <c r="AE8047" s="20">
        <v>0</v>
      </c>
      <c r="AF8047" s="11">
        <f t="shared" ref="AF8047:AF8058" si="1253">AD8047*AE8047</f>
        <v>0</v>
      </c>
      <c r="AG8047" s="20">
        <v>0</v>
      </c>
      <c r="AH8047" s="47"/>
      <c r="AI8047" s="47"/>
      <c r="AJ8047" s="126" t="e">
        <v>#N/A</v>
      </c>
      <c r="AK8047" s="80">
        <f t="shared" si="1239"/>
        <v>0</v>
      </c>
      <c r="AL8047" s="85"/>
      <c r="AM8047" s="85"/>
    </row>
    <row r="8048" spans="1:39" s="86" customFormat="1" hidden="1" x14ac:dyDescent="0.3">
      <c r="A8048" s="89" t="s">
        <v>3978</v>
      </c>
      <c r="B8048" s="86" t="s">
        <v>35</v>
      </c>
      <c r="C8048" s="86" t="s">
        <v>36</v>
      </c>
      <c r="D8048" s="86" t="s">
        <v>185</v>
      </c>
      <c r="E8048" s="86" t="s">
        <v>528</v>
      </c>
      <c r="F8048" s="86" t="s">
        <v>528</v>
      </c>
      <c r="G8048" s="86" t="s">
        <v>528</v>
      </c>
      <c r="H8048" s="144">
        <v>62</v>
      </c>
      <c r="I8048" s="86" t="s">
        <v>408</v>
      </c>
      <c r="J8048" s="1" t="s">
        <v>3324</v>
      </c>
      <c r="K8048" s="1" t="s">
        <v>3278</v>
      </c>
      <c r="L8048" s="1" t="s">
        <v>35</v>
      </c>
      <c r="M8048" s="86" t="s">
        <v>3646</v>
      </c>
      <c r="O8048" s="47" t="s">
        <v>3172</v>
      </c>
      <c r="P8048" s="47" t="s">
        <v>41</v>
      </c>
      <c r="Q8048" s="20">
        <v>0</v>
      </c>
      <c r="R8048" s="143"/>
      <c r="S8048" s="47"/>
      <c r="T8048" s="6"/>
      <c r="U8048" s="6">
        <v>115260</v>
      </c>
      <c r="V8048" s="6">
        <v>115260</v>
      </c>
      <c r="W8048" s="6">
        <v>0</v>
      </c>
      <c r="X8048" s="6">
        <f t="shared" si="1249"/>
        <v>115260</v>
      </c>
      <c r="Y8048" s="13">
        <f t="shared" si="1237"/>
        <v>0</v>
      </c>
      <c r="Z8048" s="20">
        <v>0</v>
      </c>
      <c r="AA8048" s="6">
        <v>0</v>
      </c>
      <c r="AB8048" s="4">
        <f t="shared" si="1238"/>
        <v>115260</v>
      </c>
      <c r="AC8048" s="6">
        <f t="shared" si="1246"/>
        <v>0</v>
      </c>
      <c r="AD8048" s="6">
        <v>115260</v>
      </c>
      <c r="AE8048" s="20">
        <v>7.0000000000000007E-2</v>
      </c>
      <c r="AF8048" s="11">
        <f t="shared" si="1253"/>
        <v>8068.2000000000007</v>
      </c>
      <c r="AG8048" s="20">
        <v>0</v>
      </c>
      <c r="AH8048" s="47"/>
      <c r="AI8048" s="47"/>
      <c r="AJ8048" s="126" t="e">
        <v>#N/A</v>
      </c>
      <c r="AK8048" s="80">
        <f t="shared" si="1239"/>
        <v>0</v>
      </c>
      <c r="AL8048" s="85"/>
      <c r="AM8048" s="85"/>
    </row>
    <row r="8049" spans="1:39" s="86" customFormat="1" hidden="1" x14ac:dyDescent="0.3">
      <c r="A8049" s="89" t="s">
        <v>3978</v>
      </c>
      <c r="B8049" s="86" t="s">
        <v>35</v>
      </c>
      <c r="C8049" s="86" t="s">
        <v>144</v>
      </c>
      <c r="D8049" s="86" t="s">
        <v>145</v>
      </c>
      <c r="E8049" s="86" t="s">
        <v>581</v>
      </c>
      <c r="F8049" s="86" t="s">
        <v>581</v>
      </c>
      <c r="G8049" s="86" t="s">
        <v>581</v>
      </c>
      <c r="H8049" s="144">
        <v>62</v>
      </c>
      <c r="I8049" s="86" t="s">
        <v>408</v>
      </c>
      <c r="J8049" s="1" t="s">
        <v>3324</v>
      </c>
      <c r="K8049" s="1" t="s">
        <v>3278</v>
      </c>
      <c r="L8049" s="1" t="s">
        <v>35</v>
      </c>
      <c r="M8049" s="86" t="s">
        <v>3647</v>
      </c>
      <c r="O8049" s="47" t="s">
        <v>3172</v>
      </c>
      <c r="P8049" s="47" t="s">
        <v>41</v>
      </c>
      <c r="Q8049" s="20">
        <v>0</v>
      </c>
      <c r="R8049" s="143"/>
      <c r="S8049" s="47"/>
      <c r="T8049" s="6">
        <v>0</v>
      </c>
      <c r="U8049" s="6">
        <v>30100</v>
      </c>
      <c r="V8049" s="6">
        <v>30100</v>
      </c>
      <c r="W8049" s="6">
        <v>0</v>
      </c>
      <c r="X8049" s="6">
        <f t="shared" si="1249"/>
        <v>30100</v>
      </c>
      <c r="Y8049" s="13">
        <f t="shared" si="1237"/>
        <v>0</v>
      </c>
      <c r="Z8049" s="20">
        <v>0</v>
      </c>
      <c r="AA8049" s="6">
        <v>0</v>
      </c>
      <c r="AB8049" s="4">
        <f t="shared" si="1238"/>
        <v>30100</v>
      </c>
      <c r="AC8049" s="6">
        <f t="shared" si="1246"/>
        <v>0</v>
      </c>
      <c r="AD8049" s="6">
        <v>30100</v>
      </c>
      <c r="AE8049" s="20">
        <v>7.0000000000000007E-2</v>
      </c>
      <c r="AF8049" s="11">
        <f t="shared" si="1253"/>
        <v>2107</v>
      </c>
      <c r="AG8049" s="20">
        <v>0</v>
      </c>
      <c r="AH8049" s="47"/>
      <c r="AI8049" s="47"/>
      <c r="AJ8049" s="126" t="e">
        <v>#N/A</v>
      </c>
      <c r="AK8049" s="80">
        <f t="shared" si="1239"/>
        <v>0</v>
      </c>
      <c r="AL8049" s="85"/>
      <c r="AM8049" s="85"/>
    </row>
    <row r="8050" spans="1:39" s="86" customFormat="1" hidden="1" x14ac:dyDescent="0.3">
      <c r="A8050" s="89" t="s">
        <v>3978</v>
      </c>
      <c r="B8050" s="86" t="s">
        <v>35</v>
      </c>
      <c r="C8050" s="86" t="s">
        <v>65</v>
      </c>
      <c r="D8050" s="86" t="s">
        <v>66</v>
      </c>
      <c r="E8050" s="86" t="s">
        <v>2866</v>
      </c>
      <c r="F8050" s="86" t="s">
        <v>2866</v>
      </c>
      <c r="G8050" s="86" t="s">
        <v>2866</v>
      </c>
      <c r="H8050" s="144">
        <v>103</v>
      </c>
      <c r="I8050" s="86" t="s">
        <v>421</v>
      </c>
      <c r="J8050" s="1" t="s">
        <v>3323</v>
      </c>
      <c r="K8050" s="1" t="s">
        <v>3308</v>
      </c>
      <c r="L8050" s="1" t="s">
        <v>35</v>
      </c>
      <c r="M8050" s="86" t="s">
        <v>3222</v>
      </c>
      <c r="O8050" s="47" t="s">
        <v>410</v>
      </c>
      <c r="P8050" s="47" t="s">
        <v>41</v>
      </c>
      <c r="Q8050" s="20">
        <v>0</v>
      </c>
      <c r="R8050" s="143"/>
      <c r="S8050" s="47"/>
      <c r="T8050" s="6">
        <v>366068.77</v>
      </c>
      <c r="U8050" s="6"/>
      <c r="V8050" s="6">
        <v>417775.64</v>
      </c>
      <c r="W8050" s="6">
        <f t="shared" ref="W8050:W8058" si="1254">T8050+U8050-V8050</f>
        <v>-51706.869999999995</v>
      </c>
      <c r="X8050" s="6">
        <f t="shared" si="1249"/>
        <v>417775.64</v>
      </c>
      <c r="Y8050" s="13">
        <f t="shared" si="1237"/>
        <v>8191.679999999993</v>
      </c>
      <c r="Z8050" s="20">
        <v>0</v>
      </c>
      <c r="AA8050" s="6">
        <v>0</v>
      </c>
      <c r="AB8050" s="4">
        <f t="shared" si="1238"/>
        <v>417775.64</v>
      </c>
      <c r="AC8050" s="6">
        <f t="shared" si="1246"/>
        <v>0</v>
      </c>
      <c r="AD8050" s="6">
        <v>409583.96</v>
      </c>
      <c r="AE8050" s="20">
        <v>0.02</v>
      </c>
      <c r="AF8050" s="11">
        <f t="shared" si="1253"/>
        <v>8191.6792000000005</v>
      </c>
      <c r="AG8050" s="20">
        <v>0</v>
      </c>
      <c r="AH8050" s="47"/>
      <c r="AI8050" s="47"/>
      <c r="AJ8050" s="126" t="e">
        <v>#N/A</v>
      </c>
      <c r="AK8050" s="80">
        <f t="shared" si="1239"/>
        <v>0</v>
      </c>
      <c r="AL8050" s="85"/>
      <c r="AM8050" s="85"/>
    </row>
    <row r="8051" spans="1:39" s="86" customFormat="1" hidden="1" x14ac:dyDescent="0.3">
      <c r="A8051" s="89" t="s">
        <v>3978</v>
      </c>
      <c r="B8051" s="86" t="s">
        <v>35</v>
      </c>
      <c r="C8051" s="86" t="s">
        <v>184</v>
      </c>
      <c r="D8051" s="86" t="s">
        <v>37</v>
      </c>
      <c r="E8051" s="86" t="s">
        <v>38</v>
      </c>
      <c r="F8051" s="86" t="s">
        <v>38</v>
      </c>
      <c r="G8051" s="86" t="s">
        <v>38</v>
      </c>
      <c r="H8051" s="143">
        <v>224</v>
      </c>
      <c r="I8051" s="86" t="s">
        <v>3214</v>
      </c>
      <c r="J8051" s="1" t="s">
        <v>3323</v>
      </c>
      <c r="K8051" s="1" t="s">
        <v>3306</v>
      </c>
      <c r="L8051" s="1" t="s">
        <v>35</v>
      </c>
      <c r="M8051" s="86" t="s">
        <v>3228</v>
      </c>
      <c r="O8051" s="47" t="s">
        <v>410</v>
      </c>
      <c r="P8051" s="47" t="s">
        <v>41</v>
      </c>
      <c r="Q8051" s="20">
        <v>0</v>
      </c>
      <c r="R8051" s="143"/>
      <c r="S8051" s="47"/>
      <c r="T8051" s="6">
        <v>159441.73000000001</v>
      </c>
      <c r="U8051" s="6"/>
      <c r="V8051" s="6">
        <v>0</v>
      </c>
      <c r="W8051" s="6">
        <f t="shared" si="1254"/>
        <v>159441.73000000001</v>
      </c>
      <c r="X8051" s="6">
        <f t="shared" si="1249"/>
        <v>0</v>
      </c>
      <c r="Y8051" s="13">
        <f t="shared" si="1237"/>
        <v>0</v>
      </c>
      <c r="Z8051" s="20">
        <v>0</v>
      </c>
      <c r="AA8051" s="6">
        <v>0</v>
      </c>
      <c r="AB8051" s="4">
        <f t="shared" si="1238"/>
        <v>0</v>
      </c>
      <c r="AC8051" s="6">
        <f t="shared" si="1246"/>
        <v>0</v>
      </c>
      <c r="AD8051" s="6">
        <v>0</v>
      </c>
      <c r="AE8051" s="20">
        <v>0</v>
      </c>
      <c r="AF8051" s="11">
        <f t="shared" si="1253"/>
        <v>0</v>
      </c>
      <c r="AG8051" s="20">
        <v>0</v>
      </c>
      <c r="AH8051" s="47"/>
      <c r="AI8051" s="47"/>
      <c r="AJ8051" s="126" t="e">
        <v>#N/A</v>
      </c>
      <c r="AK8051" s="80">
        <f t="shared" si="1239"/>
        <v>0</v>
      </c>
      <c r="AL8051" s="85"/>
      <c r="AM8051" s="85"/>
    </row>
    <row r="8052" spans="1:39" s="86" customFormat="1" hidden="1" x14ac:dyDescent="0.3">
      <c r="A8052" s="89" t="s">
        <v>3978</v>
      </c>
      <c r="B8052" s="86" t="s">
        <v>35</v>
      </c>
      <c r="C8052" s="86" t="s">
        <v>184</v>
      </c>
      <c r="D8052" s="86" t="s">
        <v>3849</v>
      </c>
      <c r="E8052" s="86" t="s">
        <v>533</v>
      </c>
      <c r="F8052" s="86" t="s">
        <v>533</v>
      </c>
      <c r="G8052" s="86" t="s">
        <v>533</v>
      </c>
      <c r="H8052" s="143">
        <v>224</v>
      </c>
      <c r="I8052" s="86" t="s">
        <v>3214</v>
      </c>
      <c r="J8052" s="1" t="s">
        <v>3323</v>
      </c>
      <c r="K8052" s="1" t="s">
        <v>3306</v>
      </c>
      <c r="L8052" s="1" t="s">
        <v>35</v>
      </c>
      <c r="M8052" s="86" t="s">
        <v>3229</v>
      </c>
      <c r="O8052" s="47" t="s">
        <v>410</v>
      </c>
      <c r="P8052" s="47" t="s">
        <v>41</v>
      </c>
      <c r="Q8052" s="20">
        <v>0</v>
      </c>
      <c r="R8052" s="143"/>
      <c r="S8052" s="47"/>
      <c r="T8052" s="6">
        <v>9968.7000000000007</v>
      </c>
      <c r="U8052" s="6"/>
      <c r="V8052" s="6">
        <v>0</v>
      </c>
      <c r="W8052" s="6">
        <f t="shared" si="1254"/>
        <v>9968.7000000000007</v>
      </c>
      <c r="X8052" s="6">
        <f t="shared" si="1249"/>
        <v>0</v>
      </c>
      <c r="Y8052" s="13">
        <f t="shared" si="1237"/>
        <v>0</v>
      </c>
      <c r="Z8052" s="20">
        <v>0</v>
      </c>
      <c r="AA8052" s="6">
        <v>0</v>
      </c>
      <c r="AB8052" s="4">
        <f t="shared" si="1238"/>
        <v>0</v>
      </c>
      <c r="AC8052" s="6">
        <f t="shared" si="1246"/>
        <v>0</v>
      </c>
      <c r="AD8052" s="6">
        <v>0</v>
      </c>
      <c r="AE8052" s="20">
        <v>0</v>
      </c>
      <c r="AF8052" s="11">
        <f t="shared" si="1253"/>
        <v>0</v>
      </c>
      <c r="AG8052" s="20">
        <v>0</v>
      </c>
      <c r="AH8052" s="47"/>
      <c r="AI8052" s="47"/>
      <c r="AJ8052" s="126" t="e">
        <v>#N/A</v>
      </c>
      <c r="AK8052" s="80">
        <f t="shared" si="1239"/>
        <v>0</v>
      </c>
      <c r="AL8052" s="85"/>
      <c r="AM8052" s="85"/>
    </row>
    <row r="8053" spans="1:39" s="86" customFormat="1" hidden="1" x14ac:dyDescent="0.3">
      <c r="A8053" s="89" t="s">
        <v>3978</v>
      </c>
      <c r="B8053" s="86" t="s">
        <v>35</v>
      </c>
      <c r="C8053" s="86" t="s">
        <v>36</v>
      </c>
      <c r="D8053" s="86" t="s">
        <v>185</v>
      </c>
      <c r="E8053" s="86" t="s">
        <v>2339</v>
      </c>
      <c r="F8053" s="86" t="s">
        <v>2339</v>
      </c>
      <c r="G8053" s="86" t="s">
        <v>2339</v>
      </c>
      <c r="H8053" s="143">
        <v>224</v>
      </c>
      <c r="I8053" s="86" t="s">
        <v>3214</v>
      </c>
      <c r="J8053" s="1" t="s">
        <v>3323</v>
      </c>
      <c r="K8053" s="1" t="s">
        <v>3306</v>
      </c>
      <c r="L8053" s="1" t="s">
        <v>35</v>
      </c>
      <c r="M8053" s="86" t="s">
        <v>3230</v>
      </c>
      <c r="O8053" s="47" t="s">
        <v>410</v>
      </c>
      <c r="P8053" s="47" t="s">
        <v>41</v>
      </c>
      <c r="Q8053" s="20">
        <v>0</v>
      </c>
      <c r="R8053" s="143"/>
      <c r="S8053" s="47"/>
      <c r="T8053" s="6">
        <v>-2059.96</v>
      </c>
      <c r="U8053" s="6"/>
      <c r="V8053" s="6">
        <v>0</v>
      </c>
      <c r="W8053" s="6">
        <f t="shared" si="1254"/>
        <v>-2059.96</v>
      </c>
      <c r="X8053" s="6">
        <f t="shared" si="1249"/>
        <v>0</v>
      </c>
      <c r="Y8053" s="13">
        <f t="shared" si="1237"/>
        <v>0</v>
      </c>
      <c r="Z8053" s="20">
        <v>0</v>
      </c>
      <c r="AA8053" s="6">
        <v>0</v>
      </c>
      <c r="AB8053" s="4">
        <f t="shared" si="1238"/>
        <v>0</v>
      </c>
      <c r="AC8053" s="6">
        <f t="shared" si="1246"/>
        <v>0</v>
      </c>
      <c r="AD8053" s="6">
        <v>0</v>
      </c>
      <c r="AE8053" s="20">
        <v>0</v>
      </c>
      <c r="AF8053" s="11">
        <f t="shared" si="1253"/>
        <v>0</v>
      </c>
      <c r="AG8053" s="20">
        <v>0</v>
      </c>
      <c r="AH8053" s="47"/>
      <c r="AI8053" s="47"/>
      <c r="AJ8053" s="126" t="e">
        <v>#N/A</v>
      </c>
      <c r="AK8053" s="80">
        <f t="shared" si="1239"/>
        <v>0</v>
      </c>
      <c r="AL8053" s="85"/>
      <c r="AM8053" s="85"/>
    </row>
    <row r="8054" spans="1:39" s="86" customFormat="1" hidden="1" x14ac:dyDescent="0.3">
      <c r="A8054" s="89" t="s">
        <v>3978</v>
      </c>
      <c r="B8054" s="86" t="s">
        <v>35</v>
      </c>
      <c r="C8054" s="86" t="s">
        <v>47</v>
      </c>
      <c r="D8054" s="86" t="s">
        <v>878</v>
      </c>
      <c r="E8054" s="86" t="s">
        <v>3231</v>
      </c>
      <c r="F8054" s="86" t="s">
        <v>3231</v>
      </c>
      <c r="G8054" s="86" t="s">
        <v>3231</v>
      </c>
      <c r="H8054" s="143">
        <v>224</v>
      </c>
      <c r="I8054" s="86" t="s">
        <v>3214</v>
      </c>
      <c r="J8054" s="1" t="s">
        <v>3323</v>
      </c>
      <c r="K8054" s="1" t="s">
        <v>3306</v>
      </c>
      <c r="L8054" s="1" t="s">
        <v>35</v>
      </c>
      <c r="M8054" s="86" t="s">
        <v>3232</v>
      </c>
      <c r="O8054" s="47" t="s">
        <v>410</v>
      </c>
      <c r="P8054" s="47" t="s">
        <v>41</v>
      </c>
      <c r="Q8054" s="20">
        <v>0</v>
      </c>
      <c r="R8054" s="143"/>
      <c r="S8054" s="47"/>
      <c r="T8054" s="6">
        <v>-74481.459999999905</v>
      </c>
      <c r="U8054" s="6"/>
      <c r="V8054" s="6">
        <v>0</v>
      </c>
      <c r="W8054" s="6">
        <f t="shared" si="1254"/>
        <v>-74481.459999999905</v>
      </c>
      <c r="X8054" s="6">
        <f t="shared" si="1249"/>
        <v>0</v>
      </c>
      <c r="Y8054" s="13">
        <f t="shared" si="1237"/>
        <v>0</v>
      </c>
      <c r="Z8054" s="20">
        <v>0</v>
      </c>
      <c r="AA8054" s="6">
        <v>0</v>
      </c>
      <c r="AB8054" s="4">
        <f t="shared" si="1238"/>
        <v>0</v>
      </c>
      <c r="AC8054" s="6">
        <f t="shared" si="1246"/>
        <v>0</v>
      </c>
      <c r="AD8054" s="6">
        <v>0</v>
      </c>
      <c r="AE8054" s="20">
        <v>0</v>
      </c>
      <c r="AF8054" s="11">
        <f t="shared" si="1253"/>
        <v>0</v>
      </c>
      <c r="AG8054" s="20">
        <v>0</v>
      </c>
      <c r="AH8054" s="47"/>
      <c r="AI8054" s="47"/>
      <c r="AJ8054" s="126" t="e">
        <v>#N/A</v>
      </c>
      <c r="AK8054" s="80">
        <f t="shared" si="1239"/>
        <v>0</v>
      </c>
      <c r="AL8054" s="85"/>
      <c r="AM8054" s="85"/>
    </row>
    <row r="8055" spans="1:39" s="86" customFormat="1" hidden="1" x14ac:dyDescent="0.3">
      <c r="A8055" s="89" t="s">
        <v>3978</v>
      </c>
      <c r="B8055" s="86" t="s">
        <v>35</v>
      </c>
      <c r="C8055" s="86" t="s">
        <v>144</v>
      </c>
      <c r="D8055" s="86" t="s">
        <v>145</v>
      </c>
      <c r="E8055" s="86" t="s">
        <v>3233</v>
      </c>
      <c r="F8055" s="86" t="s">
        <v>3233</v>
      </c>
      <c r="G8055" s="86" t="s">
        <v>3233</v>
      </c>
      <c r="H8055" s="143">
        <v>224</v>
      </c>
      <c r="I8055" s="86" t="s">
        <v>3214</v>
      </c>
      <c r="J8055" s="1" t="s">
        <v>3323</v>
      </c>
      <c r="K8055" s="1" t="s">
        <v>3306</v>
      </c>
      <c r="L8055" s="1" t="s">
        <v>35</v>
      </c>
      <c r="M8055" s="86" t="s">
        <v>3234</v>
      </c>
      <c r="O8055" s="47" t="s">
        <v>410</v>
      </c>
      <c r="P8055" s="47" t="s">
        <v>46</v>
      </c>
      <c r="Q8055" s="20">
        <v>0.01</v>
      </c>
      <c r="R8055" s="143"/>
      <c r="S8055" s="47"/>
      <c r="T8055" s="6">
        <v>-1516.75</v>
      </c>
      <c r="U8055" s="6"/>
      <c r="V8055" s="6">
        <v>0</v>
      </c>
      <c r="W8055" s="6">
        <f t="shared" si="1254"/>
        <v>-1516.75</v>
      </c>
      <c r="X8055" s="6">
        <f t="shared" si="1249"/>
        <v>0</v>
      </c>
      <c r="Y8055" s="13">
        <f t="shared" si="1237"/>
        <v>0</v>
      </c>
      <c r="Z8055" s="20">
        <v>0</v>
      </c>
      <c r="AA8055" s="6">
        <v>0</v>
      </c>
      <c r="AB8055" s="4">
        <f t="shared" si="1238"/>
        <v>0</v>
      </c>
      <c r="AC8055" s="6">
        <f t="shared" si="1246"/>
        <v>0</v>
      </c>
      <c r="AD8055" s="6">
        <v>0</v>
      </c>
      <c r="AE8055" s="20">
        <v>0</v>
      </c>
      <c r="AF8055" s="11">
        <f t="shared" si="1253"/>
        <v>0</v>
      </c>
      <c r="AG8055" s="20">
        <v>0</v>
      </c>
      <c r="AH8055" s="47"/>
      <c r="AI8055" s="47"/>
      <c r="AJ8055" s="126" t="e">
        <v>#N/A</v>
      </c>
      <c r="AK8055" s="80">
        <f t="shared" si="1239"/>
        <v>0</v>
      </c>
      <c r="AL8055" s="85"/>
      <c r="AM8055" s="85"/>
    </row>
    <row r="8056" spans="1:39" s="86" customFormat="1" hidden="1" x14ac:dyDescent="0.3">
      <c r="A8056" s="89" t="s">
        <v>3978</v>
      </c>
      <c r="B8056" s="86" t="s">
        <v>35</v>
      </c>
      <c r="C8056" s="86" t="s">
        <v>144</v>
      </c>
      <c r="D8056" s="86" t="s">
        <v>161</v>
      </c>
      <c r="E8056" s="86" t="s">
        <v>2212</v>
      </c>
      <c r="F8056" s="86" t="s">
        <v>2212</v>
      </c>
      <c r="G8056" s="86" t="s">
        <v>2212</v>
      </c>
      <c r="H8056" s="143">
        <v>224</v>
      </c>
      <c r="I8056" s="86" t="s">
        <v>3214</v>
      </c>
      <c r="J8056" s="1" t="s">
        <v>3323</v>
      </c>
      <c r="K8056" s="1" t="s">
        <v>3306</v>
      </c>
      <c r="L8056" s="1" t="s">
        <v>35</v>
      </c>
      <c r="M8056" s="86" t="s">
        <v>3235</v>
      </c>
      <c r="O8056" s="47" t="s">
        <v>410</v>
      </c>
      <c r="P8056" s="47" t="s">
        <v>46</v>
      </c>
      <c r="Q8056" s="20">
        <v>0.02</v>
      </c>
      <c r="R8056" s="143"/>
      <c r="S8056" s="47"/>
      <c r="T8056" s="6">
        <v>45.899999999999899</v>
      </c>
      <c r="U8056" s="6"/>
      <c r="V8056" s="6">
        <v>0</v>
      </c>
      <c r="W8056" s="6">
        <f t="shared" si="1254"/>
        <v>45.899999999999899</v>
      </c>
      <c r="X8056" s="6">
        <f t="shared" si="1249"/>
        <v>0</v>
      </c>
      <c r="Y8056" s="13">
        <f t="shared" si="1237"/>
        <v>0</v>
      </c>
      <c r="Z8056" s="20">
        <v>0</v>
      </c>
      <c r="AA8056" s="6">
        <v>0</v>
      </c>
      <c r="AB8056" s="4">
        <f t="shared" si="1238"/>
        <v>0</v>
      </c>
      <c r="AC8056" s="6">
        <f t="shared" si="1246"/>
        <v>0</v>
      </c>
      <c r="AD8056" s="6">
        <v>0</v>
      </c>
      <c r="AE8056" s="20">
        <v>0</v>
      </c>
      <c r="AF8056" s="11">
        <f t="shared" si="1253"/>
        <v>0</v>
      </c>
      <c r="AG8056" s="20">
        <v>0</v>
      </c>
      <c r="AH8056" s="47"/>
      <c r="AI8056" s="47"/>
      <c r="AJ8056" s="126" t="e">
        <v>#N/A</v>
      </c>
      <c r="AK8056" s="80">
        <f t="shared" si="1239"/>
        <v>0</v>
      </c>
      <c r="AL8056" s="85"/>
      <c r="AM8056" s="85"/>
    </row>
    <row r="8057" spans="1:39" s="86" customFormat="1" hidden="1" x14ac:dyDescent="0.3">
      <c r="A8057" s="89" t="s">
        <v>3978</v>
      </c>
      <c r="B8057" s="86" t="s">
        <v>35</v>
      </c>
      <c r="C8057" s="86" t="s">
        <v>184</v>
      </c>
      <c r="D8057" s="86" t="s">
        <v>54</v>
      </c>
      <c r="E8057" s="86" t="s">
        <v>2182</v>
      </c>
      <c r="F8057" s="86" t="s">
        <v>2182</v>
      </c>
      <c r="G8057" s="86" t="s">
        <v>2182</v>
      </c>
      <c r="H8057" s="143">
        <v>224</v>
      </c>
      <c r="I8057" s="86" t="s">
        <v>3214</v>
      </c>
      <c r="J8057" s="1" t="s">
        <v>3323</v>
      </c>
      <c r="K8057" s="1" t="s">
        <v>3306</v>
      </c>
      <c r="L8057" s="1" t="s">
        <v>35</v>
      </c>
      <c r="M8057" s="86" t="s">
        <v>3236</v>
      </c>
      <c r="O8057" s="47" t="s">
        <v>410</v>
      </c>
      <c r="P8057" s="47" t="s">
        <v>41</v>
      </c>
      <c r="Q8057" s="20">
        <v>0</v>
      </c>
      <c r="R8057" s="143"/>
      <c r="S8057" s="47"/>
      <c r="T8057" s="6">
        <v>-2426.1</v>
      </c>
      <c r="U8057" s="6"/>
      <c r="V8057" s="6">
        <v>0</v>
      </c>
      <c r="W8057" s="6">
        <f t="shared" si="1254"/>
        <v>-2426.1</v>
      </c>
      <c r="X8057" s="6">
        <f t="shared" si="1249"/>
        <v>0</v>
      </c>
      <c r="Y8057" s="13">
        <f t="shared" si="1237"/>
        <v>0</v>
      </c>
      <c r="Z8057" s="20">
        <v>0</v>
      </c>
      <c r="AA8057" s="6">
        <v>0</v>
      </c>
      <c r="AB8057" s="4">
        <f t="shared" si="1238"/>
        <v>0</v>
      </c>
      <c r="AC8057" s="6">
        <f t="shared" si="1246"/>
        <v>0</v>
      </c>
      <c r="AD8057" s="6">
        <v>0</v>
      </c>
      <c r="AE8057" s="20">
        <v>0</v>
      </c>
      <c r="AF8057" s="11">
        <f t="shared" si="1253"/>
        <v>0</v>
      </c>
      <c r="AG8057" s="20">
        <v>0</v>
      </c>
      <c r="AH8057" s="47"/>
      <c r="AI8057" s="47"/>
      <c r="AJ8057" s="126" t="e">
        <v>#N/A</v>
      </c>
      <c r="AK8057" s="80">
        <f t="shared" si="1239"/>
        <v>0</v>
      </c>
      <c r="AL8057" s="85"/>
      <c r="AM8057" s="85"/>
    </row>
    <row r="8058" spans="1:39" s="86" customFormat="1" hidden="1" x14ac:dyDescent="0.3">
      <c r="A8058" s="89" t="s">
        <v>3978</v>
      </c>
      <c r="B8058" s="86" t="s">
        <v>35</v>
      </c>
      <c r="C8058" s="86" t="s">
        <v>65</v>
      </c>
      <c r="D8058" s="86" t="s">
        <v>66</v>
      </c>
      <c r="E8058" s="86" t="s">
        <v>2866</v>
      </c>
      <c r="F8058" s="86" t="s">
        <v>2866</v>
      </c>
      <c r="G8058" s="86" t="s">
        <v>2866</v>
      </c>
      <c r="H8058" s="144">
        <v>103</v>
      </c>
      <c r="I8058" s="86" t="s">
        <v>421</v>
      </c>
      <c r="J8058" s="1" t="s">
        <v>3323</v>
      </c>
      <c r="K8058" s="1" t="s">
        <v>3308</v>
      </c>
      <c r="L8058" s="1" t="s">
        <v>35</v>
      </c>
      <c r="M8058" s="86" t="s">
        <v>3222</v>
      </c>
      <c r="O8058" s="47" t="s">
        <v>45</v>
      </c>
      <c r="P8058" s="47" t="s">
        <v>41</v>
      </c>
      <c r="Q8058" s="20">
        <v>0</v>
      </c>
      <c r="R8058" s="143"/>
      <c r="S8058" s="47"/>
      <c r="T8058" s="6">
        <v>-39965.79</v>
      </c>
      <c r="U8058" s="6"/>
      <c r="V8058" s="6">
        <v>19399.79</v>
      </c>
      <c r="W8058" s="6">
        <f t="shared" si="1254"/>
        <v>-59365.58</v>
      </c>
      <c r="X8058" s="6">
        <f t="shared" si="1249"/>
        <v>19399.79</v>
      </c>
      <c r="Y8058" s="13">
        <f t="shared" si="1237"/>
        <v>746.15000000000146</v>
      </c>
      <c r="Z8058" s="20">
        <v>0</v>
      </c>
      <c r="AA8058" s="6">
        <v>0</v>
      </c>
      <c r="AB8058" s="4">
        <f t="shared" si="1238"/>
        <v>19399.79</v>
      </c>
      <c r="AC8058" s="6">
        <f t="shared" si="1246"/>
        <v>0</v>
      </c>
      <c r="AD8058" s="6">
        <v>18653.64</v>
      </c>
      <c r="AE8058" s="20">
        <v>0.04</v>
      </c>
      <c r="AF8058" s="11">
        <f t="shared" si="1253"/>
        <v>746.14559999999994</v>
      </c>
      <c r="AG8058" s="20">
        <v>0</v>
      </c>
      <c r="AH8058" s="47"/>
      <c r="AI8058" s="47"/>
      <c r="AJ8058" s="126" t="e">
        <v>#N/A</v>
      </c>
      <c r="AK8058" s="80">
        <f t="shared" si="1239"/>
        <v>0</v>
      </c>
      <c r="AL8058" s="85"/>
      <c r="AM8058" s="85"/>
    </row>
    <row r="8059" spans="1:39" s="86" customFormat="1" hidden="1" x14ac:dyDescent="0.3">
      <c r="A8059" s="89" t="s">
        <v>3978</v>
      </c>
      <c r="B8059" s="86" t="s">
        <v>35</v>
      </c>
      <c r="C8059" s="86" t="s">
        <v>144</v>
      </c>
      <c r="D8059" s="86" t="s">
        <v>145</v>
      </c>
      <c r="E8059" s="86" t="s">
        <v>146</v>
      </c>
      <c r="F8059" s="86" t="s">
        <v>146</v>
      </c>
      <c r="G8059" s="86" t="s">
        <v>146</v>
      </c>
      <c r="H8059" s="144">
        <v>326</v>
      </c>
      <c r="I8059" s="86" t="s">
        <v>2420</v>
      </c>
      <c r="J8059" s="1" t="s">
        <v>3323</v>
      </c>
      <c r="K8059" s="1" t="s">
        <v>3288</v>
      </c>
      <c r="L8059" s="1" t="s">
        <v>35</v>
      </c>
      <c r="O8059" s="47" t="s">
        <v>45</v>
      </c>
      <c r="P8059" s="47" t="s">
        <v>41</v>
      </c>
      <c r="Q8059" s="14">
        <v>0</v>
      </c>
      <c r="R8059" s="143"/>
      <c r="S8059" s="47"/>
      <c r="T8059" s="6">
        <v>0</v>
      </c>
      <c r="U8059" s="6">
        <v>150000</v>
      </c>
      <c r="V8059" s="6">
        <v>145000</v>
      </c>
      <c r="W8059" s="6">
        <v>0</v>
      </c>
      <c r="X8059" s="6">
        <f t="shared" si="1249"/>
        <v>145000</v>
      </c>
      <c r="Y8059" s="13">
        <f t="shared" si="1237"/>
        <v>0</v>
      </c>
      <c r="Z8059" s="103">
        <v>0</v>
      </c>
      <c r="AA8059" s="6">
        <v>0</v>
      </c>
      <c r="AB8059" s="4">
        <f t="shared" si="1238"/>
        <v>145000</v>
      </c>
      <c r="AC8059" s="6">
        <f t="shared" si="1246"/>
        <v>0</v>
      </c>
      <c r="AD8059" s="6">
        <v>145000</v>
      </c>
      <c r="AE8059" s="14">
        <v>0</v>
      </c>
      <c r="AF8059" s="6">
        <f>AD8059*AE8059</f>
        <v>0</v>
      </c>
      <c r="AG8059" s="14">
        <v>0</v>
      </c>
      <c r="AH8059" s="47"/>
      <c r="AI8059" s="47"/>
      <c r="AJ8059" s="126" t="e">
        <v>#N/A</v>
      </c>
      <c r="AK8059" s="80">
        <f t="shared" si="1239"/>
        <v>0</v>
      </c>
      <c r="AL8059" s="85"/>
      <c r="AM8059" s="85"/>
    </row>
    <row r="8060" spans="1:39" s="86" customFormat="1" hidden="1" x14ac:dyDescent="0.3">
      <c r="A8060" s="89" t="s">
        <v>3978</v>
      </c>
      <c r="B8060" s="86" t="s">
        <v>35</v>
      </c>
      <c r="C8060" s="86" t="s">
        <v>144</v>
      </c>
      <c r="D8060" s="86" t="s">
        <v>145</v>
      </c>
      <c r="E8060" s="86" t="s">
        <v>149</v>
      </c>
      <c r="F8060" s="86" t="s">
        <v>149</v>
      </c>
      <c r="G8060" s="86" t="s">
        <v>149</v>
      </c>
      <c r="H8060" s="143">
        <v>326</v>
      </c>
      <c r="I8060" s="86" t="s">
        <v>2420</v>
      </c>
      <c r="J8060" s="1" t="s">
        <v>3323</v>
      </c>
      <c r="K8060" s="1" t="s">
        <v>3288</v>
      </c>
      <c r="L8060" s="1" t="s">
        <v>35</v>
      </c>
      <c r="O8060" s="47" t="s">
        <v>45</v>
      </c>
      <c r="P8060" s="47" t="s">
        <v>41</v>
      </c>
      <c r="Q8060" s="14">
        <v>0</v>
      </c>
      <c r="R8060" s="143"/>
      <c r="S8060" s="47"/>
      <c r="T8060" s="6">
        <v>0</v>
      </c>
      <c r="U8060" s="6">
        <v>250000</v>
      </c>
      <c r="V8060" s="6">
        <v>0</v>
      </c>
      <c r="W8060" s="6">
        <v>0</v>
      </c>
      <c r="X8060" s="6">
        <f t="shared" si="1249"/>
        <v>0</v>
      </c>
      <c r="Y8060" s="13">
        <f t="shared" si="1237"/>
        <v>0</v>
      </c>
      <c r="Z8060" s="66">
        <v>0</v>
      </c>
      <c r="AA8060" s="6">
        <v>0</v>
      </c>
      <c r="AB8060" s="4">
        <f t="shared" si="1238"/>
        <v>0</v>
      </c>
      <c r="AC8060" s="6">
        <f t="shared" si="1246"/>
        <v>0</v>
      </c>
      <c r="AD8060" s="6">
        <v>0</v>
      </c>
      <c r="AE8060" s="14">
        <v>0</v>
      </c>
      <c r="AF8060" s="6">
        <f t="shared" ref="AF8060:AF8123" si="1255">AD8060*AE8060</f>
        <v>0</v>
      </c>
      <c r="AG8060" s="14">
        <v>0</v>
      </c>
      <c r="AH8060" s="47"/>
      <c r="AI8060" s="47"/>
      <c r="AJ8060" s="126" t="e">
        <v>#N/A</v>
      </c>
      <c r="AK8060" s="80">
        <f t="shared" si="1239"/>
        <v>0</v>
      </c>
      <c r="AL8060" s="85"/>
      <c r="AM8060" s="85"/>
    </row>
    <row r="8061" spans="1:39" s="86" customFormat="1" hidden="1" x14ac:dyDescent="0.3">
      <c r="A8061" s="89" t="s">
        <v>3978</v>
      </c>
      <c r="B8061" s="86" t="s">
        <v>35</v>
      </c>
      <c r="C8061" s="86" t="s">
        <v>144</v>
      </c>
      <c r="D8061" s="86" t="s">
        <v>161</v>
      </c>
      <c r="E8061" s="86" t="s">
        <v>162</v>
      </c>
      <c r="F8061" s="86" t="s">
        <v>162</v>
      </c>
      <c r="G8061" s="86" t="s">
        <v>162</v>
      </c>
      <c r="H8061" s="143">
        <v>326</v>
      </c>
      <c r="I8061" s="86" t="s">
        <v>2420</v>
      </c>
      <c r="J8061" s="1" t="s">
        <v>3323</v>
      </c>
      <c r="K8061" s="1" t="s">
        <v>3288</v>
      </c>
      <c r="L8061" s="1" t="s">
        <v>35</v>
      </c>
      <c r="O8061" s="47" t="s">
        <v>45</v>
      </c>
      <c r="P8061" s="47" t="s">
        <v>41</v>
      </c>
      <c r="Q8061" s="14">
        <v>0</v>
      </c>
      <c r="R8061" s="143"/>
      <c r="S8061" s="47"/>
      <c r="T8061" s="6">
        <v>0</v>
      </c>
      <c r="U8061" s="6">
        <v>5000</v>
      </c>
      <c r="V8061" s="6">
        <v>0</v>
      </c>
      <c r="W8061" s="6">
        <v>0</v>
      </c>
      <c r="X8061" s="6">
        <f t="shared" si="1249"/>
        <v>0</v>
      </c>
      <c r="Y8061" s="13">
        <f t="shared" si="1237"/>
        <v>0</v>
      </c>
      <c r="Z8061" s="66">
        <v>0</v>
      </c>
      <c r="AA8061" s="6">
        <v>0</v>
      </c>
      <c r="AB8061" s="4">
        <f t="shared" si="1238"/>
        <v>0</v>
      </c>
      <c r="AC8061" s="6">
        <f t="shared" si="1246"/>
        <v>0</v>
      </c>
      <c r="AD8061" s="6">
        <v>0</v>
      </c>
      <c r="AE8061" s="14">
        <v>0</v>
      </c>
      <c r="AF8061" s="6">
        <f t="shared" si="1255"/>
        <v>0</v>
      </c>
      <c r="AG8061" s="14">
        <v>0</v>
      </c>
      <c r="AH8061" s="47"/>
      <c r="AI8061" s="47"/>
      <c r="AJ8061" s="126" t="e">
        <v>#N/A</v>
      </c>
      <c r="AK8061" s="80">
        <f t="shared" si="1239"/>
        <v>0</v>
      </c>
      <c r="AL8061" s="85"/>
      <c r="AM8061" s="85"/>
    </row>
    <row r="8062" spans="1:39" s="86" customFormat="1" hidden="1" x14ac:dyDescent="0.3">
      <c r="A8062" s="89" t="s">
        <v>3978</v>
      </c>
      <c r="B8062" s="86" t="s">
        <v>35</v>
      </c>
      <c r="C8062" s="86" t="s">
        <v>59</v>
      </c>
      <c r="D8062" s="86" t="s">
        <v>60</v>
      </c>
      <c r="E8062" s="86" t="s">
        <v>3175</v>
      </c>
      <c r="F8062" s="86" t="s">
        <v>3175</v>
      </c>
      <c r="G8062" s="86" t="s">
        <v>3175</v>
      </c>
      <c r="H8062" s="144">
        <v>322</v>
      </c>
      <c r="I8062" s="86" t="s">
        <v>3176</v>
      </c>
      <c r="J8062" s="47" t="s">
        <v>3323</v>
      </c>
      <c r="K8062" s="47" t="s">
        <v>3297</v>
      </c>
      <c r="L8062" s="47" t="s">
        <v>35</v>
      </c>
      <c r="O8062" s="47" t="s">
        <v>45</v>
      </c>
      <c r="P8062" s="47" t="s">
        <v>41</v>
      </c>
      <c r="Q8062" s="14">
        <v>0</v>
      </c>
      <c r="R8062" s="143"/>
      <c r="S8062" s="47"/>
      <c r="T8062" s="6"/>
      <c r="U8062" s="6">
        <v>480453.24</v>
      </c>
      <c r="V8062" s="6">
        <v>480453.24</v>
      </c>
      <c r="W8062" s="6">
        <f t="shared" ref="W8062:W8068" si="1256">T8062+U8062-V8062</f>
        <v>0</v>
      </c>
      <c r="X8062" s="6">
        <f t="shared" si="1249"/>
        <v>480453.24</v>
      </c>
      <c r="Y8062" s="13">
        <f t="shared" si="1237"/>
        <v>0</v>
      </c>
      <c r="Z8062" s="14">
        <v>0</v>
      </c>
      <c r="AA8062" s="6">
        <v>0</v>
      </c>
      <c r="AB8062" s="4">
        <f t="shared" si="1238"/>
        <v>480453.24</v>
      </c>
      <c r="AC8062" s="6">
        <f t="shared" si="1246"/>
        <v>0</v>
      </c>
      <c r="AD8062" s="6">
        <v>480453.24</v>
      </c>
      <c r="AE8062" s="14">
        <v>0</v>
      </c>
      <c r="AF8062" s="6">
        <f t="shared" si="1255"/>
        <v>0</v>
      </c>
      <c r="AG8062" s="14">
        <v>0</v>
      </c>
      <c r="AH8062" s="47"/>
      <c r="AI8062" s="47"/>
      <c r="AJ8062" s="126" t="e">
        <v>#N/A</v>
      </c>
      <c r="AK8062" s="80">
        <f t="shared" si="1239"/>
        <v>0</v>
      </c>
      <c r="AL8062" s="85"/>
      <c r="AM8062" s="85"/>
    </row>
    <row r="8063" spans="1:39" s="86" customFormat="1" hidden="1" x14ac:dyDescent="0.3">
      <c r="A8063" s="89" t="s">
        <v>3978</v>
      </c>
      <c r="B8063" s="86" t="s">
        <v>35</v>
      </c>
      <c r="C8063" s="86" t="s">
        <v>59</v>
      </c>
      <c r="D8063" s="86" t="s">
        <v>60</v>
      </c>
      <c r="E8063" s="86" t="s">
        <v>3175</v>
      </c>
      <c r="F8063" s="86" t="s">
        <v>3175</v>
      </c>
      <c r="G8063" s="86" t="s">
        <v>3175</v>
      </c>
      <c r="H8063" s="144">
        <v>322</v>
      </c>
      <c r="I8063" s="86" t="s">
        <v>3176</v>
      </c>
      <c r="J8063" s="47" t="s">
        <v>3323</v>
      </c>
      <c r="K8063" s="47" t="s">
        <v>3297</v>
      </c>
      <c r="L8063" s="47" t="s">
        <v>35</v>
      </c>
      <c r="O8063" s="47" t="s">
        <v>3197</v>
      </c>
      <c r="P8063" s="47" t="s">
        <v>41</v>
      </c>
      <c r="Q8063" s="14">
        <v>0</v>
      </c>
      <c r="R8063" s="143"/>
      <c r="S8063" s="47"/>
      <c r="T8063" s="6"/>
      <c r="U8063" s="6">
        <v>34362</v>
      </c>
      <c r="V8063" s="6">
        <v>34362</v>
      </c>
      <c r="W8063" s="6">
        <f t="shared" si="1256"/>
        <v>0</v>
      </c>
      <c r="X8063" s="6">
        <f t="shared" si="1249"/>
        <v>34362</v>
      </c>
      <c r="Y8063" s="13">
        <f t="shared" si="1237"/>
        <v>0</v>
      </c>
      <c r="Z8063" s="14">
        <v>0</v>
      </c>
      <c r="AA8063" s="6">
        <v>0</v>
      </c>
      <c r="AB8063" s="4">
        <f t="shared" si="1238"/>
        <v>34362</v>
      </c>
      <c r="AC8063" s="6">
        <f t="shared" si="1246"/>
        <v>0</v>
      </c>
      <c r="AD8063" s="6">
        <v>34362</v>
      </c>
      <c r="AE8063" s="14">
        <v>0</v>
      </c>
      <c r="AF8063" s="6">
        <f t="shared" si="1255"/>
        <v>0</v>
      </c>
      <c r="AG8063" s="14">
        <v>0</v>
      </c>
      <c r="AH8063" s="47"/>
      <c r="AI8063" s="47"/>
      <c r="AJ8063" s="126" t="e">
        <v>#N/A</v>
      </c>
      <c r="AK8063" s="80">
        <f t="shared" si="1239"/>
        <v>0</v>
      </c>
      <c r="AL8063" s="85"/>
      <c r="AM8063" s="85"/>
    </row>
    <row r="8064" spans="1:39" s="86" customFormat="1" hidden="1" x14ac:dyDescent="0.3">
      <c r="A8064" s="89" t="s">
        <v>3792</v>
      </c>
      <c r="B8064" s="86" t="s">
        <v>35</v>
      </c>
      <c r="C8064" s="86" t="s">
        <v>36</v>
      </c>
      <c r="D8064" s="86" t="s">
        <v>185</v>
      </c>
      <c r="E8064" s="86" t="s">
        <v>4153</v>
      </c>
      <c r="F8064" s="86" t="s">
        <v>4154</v>
      </c>
      <c r="G8064" s="86" t="s">
        <v>4153</v>
      </c>
      <c r="H8064" s="144">
        <v>374</v>
      </c>
      <c r="I8064" s="86" t="s">
        <v>4155</v>
      </c>
      <c r="J8064" s="47" t="s">
        <v>4202</v>
      </c>
      <c r="K8064" s="47" t="s">
        <v>3773</v>
      </c>
      <c r="L8064" s="47" t="s">
        <v>4205</v>
      </c>
      <c r="O8064" s="47" t="s">
        <v>45</v>
      </c>
      <c r="P8064" s="47" t="s">
        <v>41</v>
      </c>
      <c r="Q8064" s="14">
        <v>0</v>
      </c>
      <c r="R8064" s="143"/>
      <c r="S8064" s="47"/>
      <c r="T8064" s="6"/>
      <c r="U8064" s="6">
        <v>180000</v>
      </c>
      <c r="V8064" s="6">
        <v>180000</v>
      </c>
      <c r="W8064" s="6">
        <f t="shared" si="1256"/>
        <v>0</v>
      </c>
      <c r="X8064" s="6">
        <f t="shared" si="1249"/>
        <v>180000</v>
      </c>
      <c r="Y8064" s="13">
        <f t="shared" si="1237"/>
        <v>0</v>
      </c>
      <c r="Z8064" s="14">
        <v>0</v>
      </c>
      <c r="AA8064" s="6">
        <v>0</v>
      </c>
      <c r="AB8064" s="4">
        <f t="shared" si="1238"/>
        <v>180000</v>
      </c>
      <c r="AC8064" s="6">
        <f t="shared" si="1246"/>
        <v>0</v>
      </c>
      <c r="AD8064" s="6">
        <v>180000</v>
      </c>
      <c r="AE8064" s="14">
        <v>0</v>
      </c>
      <c r="AF8064" s="6">
        <f t="shared" si="1255"/>
        <v>0</v>
      </c>
      <c r="AG8064" s="14">
        <v>0</v>
      </c>
      <c r="AH8064" s="47"/>
      <c r="AI8064" s="47"/>
      <c r="AJ8064" s="126" t="e">
        <v>#N/A</v>
      </c>
      <c r="AK8064" s="80">
        <f t="shared" si="1239"/>
        <v>0</v>
      </c>
      <c r="AL8064" s="85"/>
      <c r="AM8064" s="85"/>
    </row>
    <row r="8065" spans="1:39" s="86" customFormat="1" hidden="1" x14ac:dyDescent="0.3">
      <c r="A8065" s="89" t="s">
        <v>3978</v>
      </c>
      <c r="B8065" s="86" t="s">
        <v>35</v>
      </c>
      <c r="C8065" s="86" t="s">
        <v>36</v>
      </c>
      <c r="D8065" s="86" t="s">
        <v>185</v>
      </c>
      <c r="E8065" s="86" t="s">
        <v>4153</v>
      </c>
      <c r="F8065" s="86" t="s">
        <v>4154</v>
      </c>
      <c r="G8065" s="86" t="s">
        <v>4153</v>
      </c>
      <c r="H8065" s="144">
        <v>375</v>
      </c>
      <c r="I8065" s="86" t="s">
        <v>4156</v>
      </c>
      <c r="J8065" s="47" t="s">
        <v>4206</v>
      </c>
      <c r="K8065" s="47" t="s">
        <v>4207</v>
      </c>
      <c r="L8065" s="47" t="s">
        <v>4208</v>
      </c>
      <c r="O8065" s="47" t="s">
        <v>45</v>
      </c>
      <c r="P8065" s="47" t="s">
        <v>41</v>
      </c>
      <c r="Q8065" s="14">
        <v>0</v>
      </c>
      <c r="R8065" s="143"/>
      <c r="S8065" s="47"/>
      <c r="T8065" s="6"/>
      <c r="U8065" s="6">
        <v>50000</v>
      </c>
      <c r="V8065" s="6">
        <v>50000</v>
      </c>
      <c r="W8065" s="6">
        <f t="shared" si="1256"/>
        <v>0</v>
      </c>
      <c r="X8065" s="6">
        <f t="shared" si="1249"/>
        <v>50000</v>
      </c>
      <c r="Y8065" s="13">
        <f t="shared" si="1237"/>
        <v>0</v>
      </c>
      <c r="Z8065" s="14">
        <v>0</v>
      </c>
      <c r="AA8065" s="6">
        <v>0</v>
      </c>
      <c r="AB8065" s="4">
        <f t="shared" si="1238"/>
        <v>50000</v>
      </c>
      <c r="AC8065" s="6">
        <f t="shared" si="1246"/>
        <v>0</v>
      </c>
      <c r="AD8065" s="6">
        <v>50000</v>
      </c>
      <c r="AE8065" s="14">
        <v>0</v>
      </c>
      <c r="AF8065" s="6">
        <f t="shared" si="1255"/>
        <v>0</v>
      </c>
      <c r="AG8065" s="14">
        <v>0</v>
      </c>
      <c r="AH8065" s="47"/>
      <c r="AI8065" s="47"/>
      <c r="AJ8065" s="126" t="e">
        <v>#N/A</v>
      </c>
      <c r="AK8065" s="80">
        <f t="shared" si="1239"/>
        <v>0</v>
      </c>
      <c r="AL8065" s="85"/>
      <c r="AM8065" s="85"/>
    </row>
    <row r="8066" spans="1:39" s="86" customFormat="1" hidden="1" x14ac:dyDescent="0.3">
      <c r="A8066" s="89" t="s">
        <v>3978</v>
      </c>
      <c r="B8066" s="86" t="s">
        <v>35</v>
      </c>
      <c r="C8066" s="86" t="s">
        <v>36</v>
      </c>
      <c r="D8066" s="86" t="s">
        <v>185</v>
      </c>
      <c r="E8066" s="86" t="s">
        <v>3183</v>
      </c>
      <c r="F8066" s="86" t="s">
        <v>4157</v>
      </c>
      <c r="G8066" s="86" t="s">
        <v>3183</v>
      </c>
      <c r="H8066" s="144">
        <v>343</v>
      </c>
      <c r="I8066" s="86" t="s">
        <v>3185</v>
      </c>
      <c r="J8066" s="1" t="s">
        <v>3323</v>
      </c>
      <c r="K8066" s="1" t="s">
        <v>3295</v>
      </c>
      <c r="L8066" s="1" t="s">
        <v>35</v>
      </c>
      <c r="O8066" s="47" t="s">
        <v>45</v>
      </c>
      <c r="P8066" s="47" t="s">
        <v>46</v>
      </c>
      <c r="Q8066" s="14">
        <v>7.0000000000000007E-2</v>
      </c>
      <c r="R8066" s="143"/>
      <c r="S8066" s="47"/>
      <c r="T8066" s="6">
        <v>298292.84999999986</v>
      </c>
      <c r="U8066" s="6">
        <v>-62068.44</v>
      </c>
      <c r="V8066" s="6">
        <v>236224.40999999997</v>
      </c>
      <c r="W8066" s="6">
        <f t="shared" si="1256"/>
        <v>0</v>
      </c>
      <c r="X8066" s="6">
        <f t="shared" si="1249"/>
        <v>220770.47663551397</v>
      </c>
      <c r="Y8066" s="13">
        <f t="shared" si="1237"/>
        <v>0</v>
      </c>
      <c r="Z8066" s="14">
        <v>0</v>
      </c>
      <c r="AA8066" s="6">
        <v>0</v>
      </c>
      <c r="AB8066" s="4">
        <f t="shared" si="1238"/>
        <v>220770.47663551397</v>
      </c>
      <c r="AC8066" s="6">
        <f t="shared" si="1246"/>
        <v>15453.933364486002</v>
      </c>
      <c r="AD8066" s="6">
        <v>236224.40999999997</v>
      </c>
      <c r="AE8066" s="14">
        <v>0.04</v>
      </c>
      <c r="AF8066" s="6">
        <f t="shared" si="1255"/>
        <v>9448.9763999999996</v>
      </c>
      <c r="AG8066" s="14">
        <v>0</v>
      </c>
      <c r="AH8066" s="47"/>
      <c r="AI8066" s="47" t="s">
        <v>4158</v>
      </c>
      <c r="AJ8066" s="126" t="e">
        <v>#N/A</v>
      </c>
      <c r="AK8066" s="80">
        <f t="shared" si="1239"/>
        <v>0</v>
      </c>
      <c r="AL8066" s="85"/>
      <c r="AM8066" s="85"/>
    </row>
    <row r="8067" spans="1:39" s="86" customFormat="1" hidden="1" x14ac:dyDescent="0.3">
      <c r="A8067" s="89" t="s">
        <v>3978</v>
      </c>
      <c r="B8067" s="86" t="s">
        <v>35</v>
      </c>
      <c r="C8067" s="86" t="s">
        <v>144</v>
      </c>
      <c r="D8067" s="86" t="s">
        <v>145</v>
      </c>
      <c r="E8067" s="86" t="s">
        <v>149</v>
      </c>
      <c r="F8067" s="86" t="s">
        <v>4159</v>
      </c>
      <c r="G8067" s="86" t="s">
        <v>149</v>
      </c>
      <c r="H8067" s="143">
        <v>343</v>
      </c>
      <c r="I8067" s="86" t="s">
        <v>3185</v>
      </c>
      <c r="J8067" s="1" t="s">
        <v>3323</v>
      </c>
      <c r="K8067" s="1" t="s">
        <v>3295</v>
      </c>
      <c r="L8067" s="1" t="s">
        <v>35</v>
      </c>
      <c r="O8067" s="47" t="s">
        <v>45</v>
      </c>
      <c r="P8067" s="47" t="s">
        <v>41</v>
      </c>
      <c r="Q8067" s="14">
        <v>0</v>
      </c>
      <c r="R8067" s="143"/>
      <c r="S8067" s="47"/>
      <c r="T8067" s="6">
        <v>177396.81</v>
      </c>
      <c r="U8067" s="6">
        <v>-177396.81</v>
      </c>
      <c r="V8067" s="6">
        <v>0</v>
      </c>
      <c r="W8067" s="6">
        <f t="shared" si="1256"/>
        <v>0</v>
      </c>
      <c r="X8067" s="6">
        <f t="shared" si="1249"/>
        <v>0</v>
      </c>
      <c r="Y8067" s="13">
        <f t="shared" ref="Y8067:Y8130" si="1257">IF(X8067-AD8067&lt;=0,0,IF(P8067="返现",MAX(X8067-AC8067-AD8067,0),MAX(X8067-AD8067)))</f>
        <v>0</v>
      </c>
      <c r="Z8067" s="14">
        <v>0</v>
      </c>
      <c r="AA8067" s="6">
        <v>0</v>
      </c>
      <c r="AB8067" s="4">
        <f t="shared" ref="AB8067:AB8130" si="1258">X8067+AA8067</f>
        <v>0</v>
      </c>
      <c r="AC8067" s="6">
        <f t="shared" si="1246"/>
        <v>0</v>
      </c>
      <c r="AD8067" s="6">
        <v>0</v>
      </c>
      <c r="AE8067" s="14">
        <v>0.04</v>
      </c>
      <c r="AF8067" s="6">
        <f t="shared" si="1255"/>
        <v>0</v>
      </c>
      <c r="AG8067" s="14">
        <v>0</v>
      </c>
      <c r="AH8067" s="47"/>
      <c r="AI8067" s="47"/>
      <c r="AJ8067" s="126" t="e">
        <v>#N/A</v>
      </c>
      <c r="AK8067" s="80">
        <f t="shared" ref="AK8067:AK8130" si="1259">X8067+AA8067-AB8067</f>
        <v>0</v>
      </c>
      <c r="AL8067" s="85"/>
      <c r="AM8067" s="85"/>
    </row>
    <row r="8068" spans="1:39" s="86" customFormat="1" hidden="1" x14ac:dyDescent="0.3">
      <c r="A8068" s="89" t="s">
        <v>3978</v>
      </c>
      <c r="B8068" s="86" t="s">
        <v>35</v>
      </c>
      <c r="C8068" s="86" t="s">
        <v>164</v>
      </c>
      <c r="D8068" s="86" t="s">
        <v>174</v>
      </c>
      <c r="E8068" s="86" t="s">
        <v>176</v>
      </c>
      <c r="F8068" s="86" t="s">
        <v>176</v>
      </c>
      <c r="G8068" s="86" t="s">
        <v>176</v>
      </c>
      <c r="H8068" s="144">
        <v>343</v>
      </c>
      <c r="I8068" s="86" t="s">
        <v>3185</v>
      </c>
      <c r="J8068" s="1" t="s">
        <v>3323</v>
      </c>
      <c r="K8068" s="1" t="s">
        <v>3295</v>
      </c>
      <c r="L8068" s="1" t="s">
        <v>35</v>
      </c>
      <c r="O8068" s="47" t="s">
        <v>45</v>
      </c>
      <c r="P8068" s="47" t="s">
        <v>41</v>
      </c>
      <c r="Q8068" s="14">
        <v>0</v>
      </c>
      <c r="R8068" s="143"/>
      <c r="S8068" s="47"/>
      <c r="T8068" s="6">
        <v>11976.590000000018</v>
      </c>
      <c r="U8068" s="6">
        <v>0</v>
      </c>
      <c r="V8068" s="6">
        <v>11976.59</v>
      </c>
      <c r="W8068" s="6">
        <f t="shared" si="1256"/>
        <v>1.8189894035458565E-11</v>
      </c>
      <c r="X8068" s="6">
        <f t="shared" si="1249"/>
        <v>11976.59</v>
      </c>
      <c r="Y8068" s="13">
        <f t="shared" si="1257"/>
        <v>0</v>
      </c>
      <c r="Z8068" s="14">
        <v>0</v>
      </c>
      <c r="AA8068" s="6">
        <v>0</v>
      </c>
      <c r="AB8068" s="4">
        <f t="shared" si="1258"/>
        <v>11976.59</v>
      </c>
      <c r="AC8068" s="6">
        <f t="shared" si="1246"/>
        <v>0</v>
      </c>
      <c r="AD8068" s="6">
        <v>11976.59</v>
      </c>
      <c r="AE8068" s="14">
        <v>0.04</v>
      </c>
      <c r="AF8068" s="6">
        <f t="shared" si="1255"/>
        <v>479.06360000000001</v>
      </c>
      <c r="AG8068" s="14">
        <v>0</v>
      </c>
      <c r="AH8068" s="47"/>
      <c r="AI8068" s="47"/>
      <c r="AJ8068" s="126" t="e">
        <v>#N/A</v>
      </c>
      <c r="AK8068" s="80">
        <f t="shared" si="1259"/>
        <v>0</v>
      </c>
      <c r="AL8068" s="85"/>
      <c r="AM8068" s="85"/>
    </row>
    <row r="8069" spans="1:39" s="86" customFormat="1" hidden="1" x14ac:dyDescent="0.3">
      <c r="A8069" s="89" t="s">
        <v>3978</v>
      </c>
      <c r="B8069" s="86" t="s">
        <v>35</v>
      </c>
      <c r="C8069" s="86" t="s">
        <v>184</v>
      </c>
      <c r="D8069" s="86" t="s">
        <v>54</v>
      </c>
      <c r="E8069" s="86" t="s">
        <v>3983</v>
      </c>
      <c r="F8069" s="86" t="s">
        <v>4160</v>
      </c>
      <c r="G8069" s="86" t="s">
        <v>3983</v>
      </c>
      <c r="H8069" s="144">
        <v>264</v>
      </c>
      <c r="I8069" s="86" t="s">
        <v>3182</v>
      </c>
      <c r="J8069" s="1" t="s">
        <v>3323</v>
      </c>
      <c r="K8069" s="1" t="s">
        <v>3289</v>
      </c>
      <c r="L8069" s="1" t="s">
        <v>35</v>
      </c>
      <c r="O8069" s="47" t="s">
        <v>45</v>
      </c>
      <c r="P8069" s="47" t="s">
        <v>41</v>
      </c>
      <c r="Q8069" s="14">
        <v>0</v>
      </c>
      <c r="R8069" s="143"/>
      <c r="S8069" s="47"/>
      <c r="T8069" s="6">
        <v>0</v>
      </c>
      <c r="U8069" s="6">
        <v>4713410</v>
      </c>
      <c r="V8069" s="6">
        <v>4713410</v>
      </c>
      <c r="W8069" s="6">
        <v>0</v>
      </c>
      <c r="X8069" s="6">
        <f t="shared" si="1249"/>
        <v>4713410</v>
      </c>
      <c r="Y8069" s="13">
        <f t="shared" si="1257"/>
        <v>0</v>
      </c>
      <c r="Z8069" s="14">
        <v>0</v>
      </c>
      <c r="AA8069" s="6">
        <v>0</v>
      </c>
      <c r="AB8069" s="4">
        <f t="shared" si="1258"/>
        <v>4713410</v>
      </c>
      <c r="AC8069" s="6">
        <f t="shared" si="1246"/>
        <v>0</v>
      </c>
      <c r="AD8069" s="6">
        <v>4713410</v>
      </c>
      <c r="AE8069" s="14">
        <v>0</v>
      </c>
      <c r="AF8069" s="6">
        <f t="shared" si="1255"/>
        <v>0</v>
      </c>
      <c r="AG8069" s="14">
        <v>0</v>
      </c>
      <c r="AH8069" s="47"/>
      <c r="AI8069" s="47"/>
      <c r="AJ8069" s="126" t="e">
        <v>#N/A</v>
      </c>
      <c r="AK8069" s="80">
        <f t="shared" si="1259"/>
        <v>0</v>
      </c>
      <c r="AL8069" s="85"/>
      <c r="AM8069" s="85"/>
    </row>
    <row r="8070" spans="1:39" s="86" customFormat="1" hidden="1" x14ac:dyDescent="0.3">
      <c r="A8070" s="89" t="s">
        <v>3978</v>
      </c>
      <c r="B8070" s="86" t="s">
        <v>35</v>
      </c>
      <c r="C8070" s="86" t="s">
        <v>184</v>
      </c>
      <c r="D8070" s="86" t="s">
        <v>54</v>
      </c>
      <c r="E8070" s="86" t="s">
        <v>55</v>
      </c>
      <c r="F8070" s="86" t="s">
        <v>4161</v>
      </c>
      <c r="G8070" s="86" t="s">
        <v>55</v>
      </c>
      <c r="H8070" s="143">
        <v>264</v>
      </c>
      <c r="I8070" s="86" t="s">
        <v>3182</v>
      </c>
      <c r="J8070" s="1" t="s">
        <v>3323</v>
      </c>
      <c r="K8070" s="1" t="s">
        <v>3289</v>
      </c>
      <c r="L8070" s="1" t="s">
        <v>35</v>
      </c>
      <c r="O8070" s="47" t="s">
        <v>45</v>
      </c>
      <c r="P8070" s="47" t="s">
        <v>41</v>
      </c>
      <c r="Q8070" s="14">
        <v>0</v>
      </c>
      <c r="R8070" s="143"/>
      <c r="S8070" s="47"/>
      <c r="T8070" s="6">
        <v>242615.16999999993</v>
      </c>
      <c r="U8070" s="6">
        <v>0</v>
      </c>
      <c r="V8070" s="6">
        <v>0</v>
      </c>
      <c r="W8070" s="6">
        <v>0</v>
      </c>
      <c r="X8070" s="6">
        <f t="shared" si="1249"/>
        <v>0</v>
      </c>
      <c r="Y8070" s="13">
        <f t="shared" si="1257"/>
        <v>0</v>
      </c>
      <c r="Z8070" s="14">
        <v>0</v>
      </c>
      <c r="AA8070" s="6">
        <v>0</v>
      </c>
      <c r="AB8070" s="4">
        <f t="shared" si="1258"/>
        <v>0</v>
      </c>
      <c r="AC8070" s="6">
        <f t="shared" si="1246"/>
        <v>0</v>
      </c>
      <c r="AD8070" s="6">
        <v>0</v>
      </c>
      <c r="AE8070" s="14">
        <v>0</v>
      </c>
      <c r="AF8070" s="6">
        <f t="shared" si="1255"/>
        <v>0</v>
      </c>
      <c r="AG8070" s="14">
        <v>0</v>
      </c>
      <c r="AH8070" s="47"/>
      <c r="AI8070" s="47"/>
      <c r="AJ8070" s="126" t="e">
        <v>#N/A</v>
      </c>
      <c r="AK8070" s="80">
        <f t="shared" si="1259"/>
        <v>0</v>
      </c>
      <c r="AL8070" s="85"/>
      <c r="AM8070" s="85"/>
    </row>
    <row r="8071" spans="1:39" s="86" customFormat="1" hidden="1" x14ac:dyDescent="0.3">
      <c r="A8071" s="89" t="s">
        <v>3792</v>
      </c>
      <c r="B8071" s="86" t="s">
        <v>35</v>
      </c>
      <c r="C8071" s="86" t="s">
        <v>65</v>
      </c>
      <c r="D8071" s="86" t="s">
        <v>122</v>
      </c>
      <c r="E8071" s="86" t="s">
        <v>3189</v>
      </c>
      <c r="F8071" s="86" t="s">
        <v>4162</v>
      </c>
      <c r="G8071" s="86" t="s">
        <v>3189</v>
      </c>
      <c r="H8071" s="143">
        <v>343</v>
      </c>
      <c r="I8071" s="86" t="s">
        <v>3185</v>
      </c>
      <c r="J8071" s="1" t="s">
        <v>3323</v>
      </c>
      <c r="K8071" s="1" t="s">
        <v>3295</v>
      </c>
      <c r="L8071" s="1" t="s">
        <v>35</v>
      </c>
      <c r="O8071" s="47" t="s">
        <v>45</v>
      </c>
      <c r="P8071" s="47" t="s">
        <v>46</v>
      </c>
      <c r="Q8071" s="14">
        <v>0.08</v>
      </c>
      <c r="R8071" s="143"/>
      <c r="S8071" s="47"/>
      <c r="T8071" s="6">
        <v>49999.999999999985</v>
      </c>
      <c r="U8071" s="6">
        <v>0</v>
      </c>
      <c r="V8071" s="6">
        <v>0</v>
      </c>
      <c r="W8071" s="6">
        <f t="shared" ref="W8071" si="1260">T8071+U8071-V8071</f>
        <v>49999.999999999985</v>
      </c>
      <c r="X8071" s="6">
        <f t="shared" si="1249"/>
        <v>0</v>
      </c>
      <c r="Y8071" s="13">
        <f t="shared" si="1257"/>
        <v>0</v>
      </c>
      <c r="Z8071" s="14">
        <v>0</v>
      </c>
      <c r="AA8071" s="6">
        <v>0</v>
      </c>
      <c r="AB8071" s="4">
        <f t="shared" si="1258"/>
        <v>0</v>
      </c>
      <c r="AC8071" s="6">
        <f t="shared" si="1246"/>
        <v>0</v>
      </c>
      <c r="AD8071" s="6">
        <v>0</v>
      </c>
      <c r="AE8071" s="14">
        <v>0.04</v>
      </c>
      <c r="AF8071" s="6">
        <f t="shared" si="1255"/>
        <v>0</v>
      </c>
      <c r="AG8071" s="14">
        <v>0</v>
      </c>
      <c r="AH8071" s="47"/>
      <c r="AI8071" s="47"/>
      <c r="AJ8071" s="126" t="e">
        <v>#N/A</v>
      </c>
      <c r="AK8071" s="80">
        <f t="shared" si="1259"/>
        <v>0</v>
      </c>
      <c r="AL8071" s="85"/>
      <c r="AM8071" s="85"/>
    </row>
    <row r="8072" spans="1:39" s="86" customFormat="1" hidden="1" x14ac:dyDescent="0.3">
      <c r="A8072" s="89" t="s">
        <v>3978</v>
      </c>
      <c r="B8072" s="86" t="s">
        <v>35</v>
      </c>
      <c r="C8072" s="86" t="s">
        <v>184</v>
      </c>
      <c r="D8072" s="86" t="s">
        <v>54</v>
      </c>
      <c r="E8072" s="86" t="s">
        <v>2577</v>
      </c>
      <c r="F8072" s="86" t="s">
        <v>3190</v>
      </c>
      <c r="G8072" s="86" t="s">
        <v>1845</v>
      </c>
      <c r="H8072" s="143">
        <v>128</v>
      </c>
      <c r="I8072" s="86" t="s">
        <v>3191</v>
      </c>
      <c r="J8072" s="1" t="s">
        <v>3671</v>
      </c>
      <c r="K8072" s="47"/>
      <c r="L8072" s="47" t="s">
        <v>701</v>
      </c>
      <c r="M8072" s="86" t="s">
        <v>73</v>
      </c>
      <c r="O8072" s="47" t="s">
        <v>410</v>
      </c>
      <c r="P8072" s="47" t="s">
        <v>41</v>
      </c>
      <c r="Q8072" s="14">
        <v>0</v>
      </c>
      <c r="R8072" s="143"/>
      <c r="S8072" s="47"/>
      <c r="T8072" s="6">
        <v>40943.42</v>
      </c>
      <c r="U8072" s="6">
        <v>0</v>
      </c>
      <c r="V8072" s="6">
        <v>0</v>
      </c>
      <c r="W8072" s="6">
        <v>0</v>
      </c>
      <c r="X8072" s="6">
        <f t="shared" si="1249"/>
        <v>0</v>
      </c>
      <c r="Y8072" s="13">
        <f t="shared" si="1257"/>
        <v>0</v>
      </c>
      <c r="Z8072" s="14">
        <v>0</v>
      </c>
      <c r="AA8072" s="6">
        <v>0</v>
      </c>
      <c r="AB8072" s="4">
        <f t="shared" si="1258"/>
        <v>0</v>
      </c>
      <c r="AC8072" s="6">
        <f t="shared" si="1246"/>
        <v>0</v>
      </c>
      <c r="AD8072" s="6">
        <v>0</v>
      </c>
      <c r="AE8072" s="14">
        <v>0</v>
      </c>
      <c r="AF8072" s="6">
        <f t="shared" si="1255"/>
        <v>0</v>
      </c>
      <c r="AG8072" s="14">
        <v>0</v>
      </c>
      <c r="AH8072" s="47"/>
      <c r="AI8072" s="47"/>
      <c r="AJ8072" s="126" t="e">
        <v>#N/A</v>
      </c>
      <c r="AK8072" s="80">
        <f t="shared" si="1259"/>
        <v>0</v>
      </c>
      <c r="AL8072" s="85"/>
      <c r="AM8072" s="85"/>
    </row>
    <row r="8073" spans="1:39" s="86" customFormat="1" hidden="1" x14ac:dyDescent="0.3">
      <c r="A8073" s="89" t="s">
        <v>3978</v>
      </c>
      <c r="B8073" s="86" t="s">
        <v>35</v>
      </c>
      <c r="C8073" s="86" t="s">
        <v>184</v>
      </c>
      <c r="D8073" s="86" t="s">
        <v>54</v>
      </c>
      <c r="E8073" s="86" t="s">
        <v>2577</v>
      </c>
      <c r="F8073" s="86" t="s">
        <v>3192</v>
      </c>
      <c r="G8073" s="86" t="s">
        <v>1845</v>
      </c>
      <c r="H8073" s="143">
        <v>323</v>
      </c>
      <c r="I8073" s="86" t="s">
        <v>4163</v>
      </c>
      <c r="J8073" s="47" t="s">
        <v>3323</v>
      </c>
      <c r="K8073" s="47"/>
      <c r="L8073" s="1" t="s">
        <v>3317</v>
      </c>
      <c r="M8073" s="86" t="s">
        <v>2577</v>
      </c>
      <c r="O8073" s="47" t="s">
        <v>45</v>
      </c>
      <c r="P8073" s="47" t="s">
        <v>41</v>
      </c>
      <c r="Q8073" s="14">
        <v>0</v>
      </c>
      <c r="R8073" s="143"/>
      <c r="S8073" s="47"/>
      <c r="T8073" s="6">
        <v>18870.099999999999</v>
      </c>
      <c r="U8073" s="6">
        <v>0</v>
      </c>
      <c r="V8073" s="6">
        <v>0</v>
      </c>
      <c r="W8073" s="6">
        <v>0</v>
      </c>
      <c r="X8073" s="6">
        <f t="shared" si="1249"/>
        <v>0</v>
      </c>
      <c r="Y8073" s="13">
        <f t="shared" si="1257"/>
        <v>0</v>
      </c>
      <c r="Z8073" s="14">
        <v>0</v>
      </c>
      <c r="AA8073" s="6">
        <v>0</v>
      </c>
      <c r="AB8073" s="4">
        <f t="shared" si="1258"/>
        <v>0</v>
      </c>
      <c r="AC8073" s="6">
        <f t="shared" si="1246"/>
        <v>0</v>
      </c>
      <c r="AD8073" s="6">
        <v>0</v>
      </c>
      <c r="AE8073" s="14">
        <v>0</v>
      </c>
      <c r="AF8073" s="6">
        <f t="shared" si="1255"/>
        <v>0</v>
      </c>
      <c r="AG8073" s="14">
        <v>0</v>
      </c>
      <c r="AH8073" s="47"/>
      <c r="AI8073" s="47"/>
      <c r="AJ8073" s="126" t="e">
        <v>#N/A</v>
      </c>
      <c r="AK8073" s="80">
        <f t="shared" si="1259"/>
        <v>0</v>
      </c>
      <c r="AL8073" s="85"/>
      <c r="AM8073" s="85"/>
    </row>
    <row r="8074" spans="1:39" s="86" customFormat="1" hidden="1" x14ac:dyDescent="0.3">
      <c r="A8074" s="89" t="s">
        <v>3978</v>
      </c>
      <c r="B8074" s="86" t="s">
        <v>35</v>
      </c>
      <c r="C8074" s="86" t="s">
        <v>184</v>
      </c>
      <c r="D8074" s="86" t="s">
        <v>54</v>
      </c>
      <c r="E8074" s="86" t="s">
        <v>1858</v>
      </c>
      <c r="F8074" s="86" t="s">
        <v>3190</v>
      </c>
      <c r="G8074" s="86" t="s">
        <v>1845</v>
      </c>
      <c r="H8074" s="143">
        <v>128</v>
      </c>
      <c r="I8074" s="86" t="s">
        <v>3191</v>
      </c>
      <c r="J8074" s="1" t="s">
        <v>3671</v>
      </c>
      <c r="K8074" s="47"/>
      <c r="L8074" s="47" t="s">
        <v>701</v>
      </c>
      <c r="M8074" s="86" t="s">
        <v>1858</v>
      </c>
      <c r="O8074" s="47" t="s">
        <v>410</v>
      </c>
      <c r="P8074" s="47" t="s">
        <v>41</v>
      </c>
      <c r="Q8074" s="14">
        <v>0</v>
      </c>
      <c r="R8074" s="143"/>
      <c r="S8074" s="47"/>
      <c r="T8074" s="6">
        <v>14857.4</v>
      </c>
      <c r="U8074" s="6">
        <v>0</v>
      </c>
      <c r="V8074" s="6">
        <v>0</v>
      </c>
      <c r="W8074" s="6">
        <v>0</v>
      </c>
      <c r="X8074" s="6">
        <f t="shared" si="1249"/>
        <v>0</v>
      </c>
      <c r="Y8074" s="13">
        <f t="shared" si="1257"/>
        <v>0</v>
      </c>
      <c r="Z8074" s="14">
        <v>0</v>
      </c>
      <c r="AA8074" s="6">
        <v>0</v>
      </c>
      <c r="AB8074" s="4">
        <f t="shared" si="1258"/>
        <v>0</v>
      </c>
      <c r="AC8074" s="6">
        <f t="shared" si="1246"/>
        <v>0</v>
      </c>
      <c r="AD8074" s="6">
        <v>0</v>
      </c>
      <c r="AE8074" s="14">
        <v>0</v>
      </c>
      <c r="AF8074" s="6">
        <f t="shared" si="1255"/>
        <v>0</v>
      </c>
      <c r="AG8074" s="14">
        <v>0</v>
      </c>
      <c r="AH8074" s="47"/>
      <c r="AI8074" s="47"/>
      <c r="AJ8074" s="126" t="e">
        <v>#N/A</v>
      </c>
      <c r="AK8074" s="80">
        <f t="shared" si="1259"/>
        <v>0</v>
      </c>
      <c r="AL8074" s="85"/>
      <c r="AM8074" s="85"/>
    </row>
    <row r="8075" spans="1:39" s="86" customFormat="1" hidden="1" x14ac:dyDescent="0.3">
      <c r="A8075" s="89" t="s">
        <v>3978</v>
      </c>
      <c r="B8075" s="86" t="s">
        <v>35</v>
      </c>
      <c r="C8075" s="86" t="s">
        <v>164</v>
      </c>
      <c r="D8075" s="86" t="s">
        <v>165</v>
      </c>
      <c r="E8075" s="86" t="s">
        <v>167</v>
      </c>
      <c r="F8075" s="86" t="s">
        <v>4164</v>
      </c>
      <c r="G8075" s="86" t="s">
        <v>167</v>
      </c>
      <c r="H8075" s="143" t="s">
        <v>4165</v>
      </c>
      <c r="I8075" s="86" t="s">
        <v>3185</v>
      </c>
      <c r="J8075" s="1" t="s">
        <v>3323</v>
      </c>
      <c r="K8075" s="1" t="s">
        <v>3295</v>
      </c>
      <c r="L8075" s="1" t="s">
        <v>35</v>
      </c>
      <c r="O8075" s="47" t="s">
        <v>45</v>
      </c>
      <c r="P8075" s="47" t="s">
        <v>41</v>
      </c>
      <c r="Q8075" s="14">
        <v>0</v>
      </c>
      <c r="R8075" s="143"/>
      <c r="S8075" s="47"/>
      <c r="T8075" s="6"/>
      <c r="U8075" s="6">
        <v>-139286.87000000002</v>
      </c>
      <c r="V8075" s="6">
        <v>0</v>
      </c>
      <c r="W8075" s="6">
        <f t="shared" ref="W8075:W8119" si="1261">T8075+U8075-V8075</f>
        <v>-139286.87000000002</v>
      </c>
      <c r="X8075" s="6">
        <f t="shared" si="1249"/>
        <v>0</v>
      </c>
      <c r="Y8075" s="13">
        <f t="shared" si="1257"/>
        <v>0</v>
      </c>
      <c r="Z8075" s="14">
        <v>0</v>
      </c>
      <c r="AA8075" s="6">
        <v>0</v>
      </c>
      <c r="AB8075" s="4">
        <f t="shared" si="1258"/>
        <v>0</v>
      </c>
      <c r="AC8075" s="6">
        <f t="shared" si="1246"/>
        <v>0</v>
      </c>
      <c r="AD8075" s="6">
        <v>0</v>
      </c>
      <c r="AE8075" s="14">
        <v>0.04</v>
      </c>
      <c r="AF8075" s="6">
        <f t="shared" si="1255"/>
        <v>0</v>
      </c>
      <c r="AG8075" s="14">
        <v>0</v>
      </c>
      <c r="AH8075" s="47"/>
      <c r="AI8075" s="47" t="s">
        <v>4166</v>
      </c>
      <c r="AJ8075" s="126" t="e">
        <v>#N/A</v>
      </c>
      <c r="AK8075" s="80">
        <f t="shared" si="1259"/>
        <v>0</v>
      </c>
      <c r="AL8075" s="85"/>
      <c r="AM8075" s="85"/>
    </row>
    <row r="8076" spans="1:39" s="86" customFormat="1" hidden="1" x14ac:dyDescent="0.3">
      <c r="A8076" s="89" t="s">
        <v>3978</v>
      </c>
      <c r="B8076" s="86" t="s">
        <v>35</v>
      </c>
      <c r="C8076" s="86" t="s">
        <v>36</v>
      </c>
      <c r="D8076" s="86" t="s">
        <v>185</v>
      </c>
      <c r="E8076" s="86" t="s">
        <v>528</v>
      </c>
      <c r="F8076" s="86" t="s">
        <v>528</v>
      </c>
      <c r="G8076" s="86" t="s">
        <v>528</v>
      </c>
      <c r="H8076" s="144">
        <v>365</v>
      </c>
      <c r="I8076" s="86" t="s">
        <v>3210</v>
      </c>
      <c r="J8076" s="1" t="s">
        <v>3323</v>
      </c>
      <c r="K8076" s="1">
        <v>360</v>
      </c>
      <c r="L8076" s="1" t="s">
        <v>35</v>
      </c>
      <c r="M8076" s="86" t="s">
        <v>4167</v>
      </c>
      <c r="O8076" s="47" t="s">
        <v>45</v>
      </c>
      <c r="P8076" s="47" t="s">
        <v>46</v>
      </c>
      <c r="Q8076" s="14">
        <v>0.21729999999999999</v>
      </c>
      <c r="R8076" s="143">
        <v>3082045085</v>
      </c>
      <c r="S8076" s="47"/>
      <c r="T8076" s="6"/>
      <c r="U8076" s="6">
        <v>81867.210000000006</v>
      </c>
      <c r="V8076" s="6">
        <v>32200.1</v>
      </c>
      <c r="W8076" s="6">
        <f t="shared" si="1261"/>
        <v>49667.110000000008</v>
      </c>
      <c r="X8076" s="6">
        <f>IF(P8076="折扣",V8076*Q8076,IF(P8076="返现",V8076,V8076/(1+Q8076+AG8076)))</f>
        <v>22403.186530299867</v>
      </c>
      <c r="Y8076" s="13">
        <f t="shared" si="1257"/>
        <v>0</v>
      </c>
      <c r="Z8076" s="66">
        <v>0</v>
      </c>
      <c r="AA8076" s="6">
        <v>0</v>
      </c>
      <c r="AB8076" s="4">
        <f t="shared" si="1258"/>
        <v>22403.186530299867</v>
      </c>
      <c r="AC8076" s="6">
        <f t="shared" si="1246"/>
        <v>9796.9134697001318</v>
      </c>
      <c r="AD8076" s="6">
        <f>V8076</f>
        <v>32200.1</v>
      </c>
      <c r="AE8076" s="14">
        <v>0.15</v>
      </c>
      <c r="AF8076" s="6">
        <f t="shared" si="1255"/>
        <v>4830.0149999999994</v>
      </c>
      <c r="AG8076" s="14">
        <v>0.22</v>
      </c>
      <c r="AH8076" s="6">
        <f>V8076/(1+AG8076)</f>
        <v>26393.524590163935</v>
      </c>
      <c r="AI8076" s="66"/>
      <c r="AJ8076" s="126" t="e">
        <v>#N/A</v>
      </c>
      <c r="AK8076" s="80">
        <f t="shared" si="1259"/>
        <v>0</v>
      </c>
      <c r="AL8076" s="85"/>
      <c r="AM8076" s="85"/>
    </row>
    <row r="8077" spans="1:39" s="86" customFormat="1" hidden="1" x14ac:dyDescent="0.3">
      <c r="A8077" s="89" t="s">
        <v>3978</v>
      </c>
      <c r="B8077" s="86" t="s">
        <v>35</v>
      </c>
      <c r="C8077" s="86" t="s">
        <v>36</v>
      </c>
      <c r="D8077" s="86" t="s">
        <v>185</v>
      </c>
      <c r="E8077" s="86" t="s">
        <v>528</v>
      </c>
      <c r="F8077" s="86" t="s">
        <v>528</v>
      </c>
      <c r="G8077" s="86" t="s">
        <v>528</v>
      </c>
      <c r="H8077" s="143">
        <v>365</v>
      </c>
      <c r="I8077" s="86" t="s">
        <v>3210</v>
      </c>
      <c r="J8077" s="1" t="s">
        <v>3323</v>
      </c>
      <c r="K8077" s="1">
        <v>360</v>
      </c>
      <c r="L8077" s="1" t="s">
        <v>35</v>
      </c>
      <c r="M8077" s="86" t="s">
        <v>4168</v>
      </c>
      <c r="O8077" s="47" t="s">
        <v>45</v>
      </c>
      <c r="P8077" s="47" t="s">
        <v>46</v>
      </c>
      <c r="Q8077" s="14">
        <v>0.21729999999999999</v>
      </c>
      <c r="R8077" s="143">
        <v>3214163880</v>
      </c>
      <c r="S8077" s="47"/>
      <c r="T8077" s="6"/>
      <c r="U8077" s="6">
        <v>5245.9</v>
      </c>
      <c r="V8077" s="6">
        <v>0</v>
      </c>
      <c r="W8077" s="6">
        <f t="shared" si="1261"/>
        <v>5245.9</v>
      </c>
      <c r="X8077" s="6">
        <f t="shared" ref="X8077:X8119" si="1262">IF(P8077="折扣",V8077*Q8077,IF(P8077="返现",V8077,V8077/(1+Q8077+AG8077)))</f>
        <v>0</v>
      </c>
      <c r="Y8077" s="13">
        <f t="shared" si="1257"/>
        <v>0</v>
      </c>
      <c r="Z8077" s="66">
        <v>0</v>
      </c>
      <c r="AA8077" s="6">
        <v>0</v>
      </c>
      <c r="AB8077" s="4">
        <f t="shared" si="1258"/>
        <v>0</v>
      </c>
      <c r="AC8077" s="6">
        <f t="shared" si="1246"/>
        <v>0</v>
      </c>
      <c r="AD8077" s="6">
        <f t="shared" ref="AD8077:AD8119" si="1263">V8077</f>
        <v>0</v>
      </c>
      <c r="AE8077" s="14">
        <v>0.15</v>
      </c>
      <c r="AF8077" s="6">
        <f t="shared" si="1255"/>
        <v>0</v>
      </c>
      <c r="AG8077" s="14">
        <v>0.22</v>
      </c>
      <c r="AH8077" s="6">
        <f t="shared" ref="AH8077:AH8119" si="1264">V8077/(1+AG8077)</f>
        <v>0</v>
      </c>
      <c r="AI8077" s="66"/>
      <c r="AJ8077" s="126" t="e">
        <v>#N/A</v>
      </c>
      <c r="AK8077" s="80">
        <f t="shared" si="1259"/>
        <v>0</v>
      </c>
      <c r="AL8077" s="85"/>
      <c r="AM8077" s="85"/>
    </row>
    <row r="8078" spans="1:39" s="86" customFormat="1" hidden="1" x14ac:dyDescent="0.3">
      <c r="A8078" s="89" t="s">
        <v>3978</v>
      </c>
      <c r="B8078" s="86" t="s">
        <v>35</v>
      </c>
      <c r="C8078" s="86" t="s">
        <v>36</v>
      </c>
      <c r="D8078" s="86" t="s">
        <v>185</v>
      </c>
      <c r="E8078" s="86" t="s">
        <v>528</v>
      </c>
      <c r="F8078" s="86" t="s">
        <v>528</v>
      </c>
      <c r="G8078" s="86" t="s">
        <v>528</v>
      </c>
      <c r="H8078" s="143">
        <v>365</v>
      </c>
      <c r="I8078" s="86" t="s">
        <v>3210</v>
      </c>
      <c r="J8078" s="1" t="s">
        <v>3323</v>
      </c>
      <c r="K8078" s="1">
        <v>360</v>
      </c>
      <c r="L8078" s="1" t="s">
        <v>35</v>
      </c>
      <c r="M8078" s="86" t="s">
        <v>4169</v>
      </c>
      <c r="O8078" s="47" t="s">
        <v>45</v>
      </c>
      <c r="P8078" s="47" t="s">
        <v>46</v>
      </c>
      <c r="Q8078" s="14">
        <v>0.21729999999999999</v>
      </c>
      <c r="R8078" s="143">
        <v>3214163884</v>
      </c>
      <c r="S8078" s="47"/>
      <c r="T8078" s="6"/>
      <c r="U8078" s="6">
        <v>4098.3599999999997</v>
      </c>
      <c r="V8078" s="6">
        <v>0</v>
      </c>
      <c r="W8078" s="6">
        <f t="shared" si="1261"/>
        <v>4098.3599999999997</v>
      </c>
      <c r="X8078" s="6">
        <f t="shared" si="1262"/>
        <v>0</v>
      </c>
      <c r="Y8078" s="13">
        <f t="shared" si="1257"/>
        <v>0</v>
      </c>
      <c r="Z8078" s="66">
        <v>0</v>
      </c>
      <c r="AA8078" s="6">
        <v>0</v>
      </c>
      <c r="AB8078" s="4">
        <f t="shared" si="1258"/>
        <v>0</v>
      </c>
      <c r="AC8078" s="6">
        <f t="shared" si="1246"/>
        <v>0</v>
      </c>
      <c r="AD8078" s="6">
        <f t="shared" si="1263"/>
        <v>0</v>
      </c>
      <c r="AE8078" s="14">
        <v>0.15</v>
      </c>
      <c r="AF8078" s="6">
        <f t="shared" si="1255"/>
        <v>0</v>
      </c>
      <c r="AG8078" s="14">
        <v>0.22</v>
      </c>
      <c r="AH8078" s="6">
        <f t="shared" si="1264"/>
        <v>0</v>
      </c>
      <c r="AI8078" s="66"/>
      <c r="AJ8078" s="126" t="e">
        <v>#N/A</v>
      </c>
      <c r="AK8078" s="80">
        <f t="shared" si="1259"/>
        <v>0</v>
      </c>
      <c r="AL8078" s="85"/>
      <c r="AM8078" s="85"/>
    </row>
    <row r="8079" spans="1:39" s="86" customFormat="1" hidden="1" x14ac:dyDescent="0.3">
      <c r="A8079" s="89" t="s">
        <v>3792</v>
      </c>
      <c r="B8079" s="86" t="s">
        <v>35</v>
      </c>
      <c r="C8079" s="86" t="s">
        <v>36</v>
      </c>
      <c r="D8079" s="86" t="s">
        <v>185</v>
      </c>
      <c r="E8079" s="86" t="s">
        <v>528</v>
      </c>
      <c r="F8079" s="86" t="s">
        <v>528</v>
      </c>
      <c r="G8079" s="86" t="s">
        <v>528</v>
      </c>
      <c r="H8079" s="143">
        <v>365</v>
      </c>
      <c r="I8079" s="86" t="s">
        <v>3210</v>
      </c>
      <c r="J8079" s="1" t="s">
        <v>3323</v>
      </c>
      <c r="K8079" s="1">
        <v>360</v>
      </c>
      <c r="L8079" s="1" t="s">
        <v>35</v>
      </c>
      <c r="M8079" s="86" t="s">
        <v>4170</v>
      </c>
      <c r="O8079" s="47" t="s">
        <v>45</v>
      </c>
      <c r="P8079" s="47" t="s">
        <v>46</v>
      </c>
      <c r="Q8079" s="14">
        <v>0.21729999999999999</v>
      </c>
      <c r="R8079" s="143">
        <v>3214163885</v>
      </c>
      <c r="S8079" s="47"/>
      <c r="T8079" s="6"/>
      <c r="U8079" s="6">
        <v>10163.93</v>
      </c>
      <c r="V8079" s="6">
        <v>0</v>
      </c>
      <c r="W8079" s="6">
        <f t="shared" si="1261"/>
        <v>10163.93</v>
      </c>
      <c r="X8079" s="6">
        <f t="shared" si="1262"/>
        <v>0</v>
      </c>
      <c r="Y8079" s="13">
        <f t="shared" si="1257"/>
        <v>0</v>
      </c>
      <c r="Z8079" s="66">
        <v>0</v>
      </c>
      <c r="AA8079" s="6">
        <v>0</v>
      </c>
      <c r="AB8079" s="4">
        <f t="shared" si="1258"/>
        <v>0</v>
      </c>
      <c r="AC8079" s="6">
        <f t="shared" si="1246"/>
        <v>0</v>
      </c>
      <c r="AD8079" s="6">
        <f t="shared" si="1263"/>
        <v>0</v>
      </c>
      <c r="AE8079" s="14">
        <v>0.15</v>
      </c>
      <c r="AF8079" s="6">
        <f t="shared" si="1255"/>
        <v>0</v>
      </c>
      <c r="AG8079" s="14">
        <v>0.22</v>
      </c>
      <c r="AH8079" s="6">
        <f t="shared" si="1264"/>
        <v>0</v>
      </c>
      <c r="AI8079" s="66"/>
      <c r="AJ8079" s="126" t="e">
        <v>#N/A</v>
      </c>
      <c r="AK8079" s="80">
        <f t="shared" si="1259"/>
        <v>0</v>
      </c>
      <c r="AL8079" s="85"/>
      <c r="AM8079" s="85"/>
    </row>
    <row r="8080" spans="1:39" s="86" customFormat="1" hidden="1" x14ac:dyDescent="0.3">
      <c r="A8080" s="89" t="s">
        <v>3978</v>
      </c>
      <c r="B8080" s="86" t="s">
        <v>35</v>
      </c>
      <c r="C8080" s="86" t="s">
        <v>36</v>
      </c>
      <c r="D8080" s="86" t="s">
        <v>185</v>
      </c>
      <c r="E8080" s="86" t="s">
        <v>2393</v>
      </c>
      <c r="F8080" s="86" t="s">
        <v>4171</v>
      </c>
      <c r="G8080" s="86" t="s">
        <v>2393</v>
      </c>
      <c r="H8080" s="144">
        <v>365</v>
      </c>
      <c r="I8080" s="86" t="s">
        <v>3210</v>
      </c>
      <c r="J8080" s="1" t="s">
        <v>3323</v>
      </c>
      <c r="K8080" s="1">
        <v>360</v>
      </c>
      <c r="L8080" s="1" t="s">
        <v>35</v>
      </c>
      <c r="M8080" s="86" t="s">
        <v>2400</v>
      </c>
      <c r="O8080" s="47" t="s">
        <v>45</v>
      </c>
      <c r="P8080" s="47" t="s">
        <v>46</v>
      </c>
      <c r="Q8080" s="14">
        <v>0.311</v>
      </c>
      <c r="R8080" s="143">
        <v>3291824754</v>
      </c>
      <c r="S8080" s="47"/>
      <c r="T8080" s="6"/>
      <c r="U8080" s="6">
        <v>28000</v>
      </c>
      <c r="V8080" s="6">
        <v>679.11</v>
      </c>
      <c r="W8080" s="6">
        <f t="shared" si="1261"/>
        <v>27320.89</v>
      </c>
      <c r="X8080" s="6">
        <f t="shared" si="1262"/>
        <v>396.90824079485685</v>
      </c>
      <c r="Y8080" s="13">
        <f t="shared" si="1257"/>
        <v>0</v>
      </c>
      <c r="Z8080" s="66">
        <v>0</v>
      </c>
      <c r="AA8080" s="6">
        <v>0</v>
      </c>
      <c r="AB8080" s="4">
        <f t="shared" si="1258"/>
        <v>396.90824079485685</v>
      </c>
      <c r="AC8080" s="6">
        <f t="shared" si="1246"/>
        <v>282.20175920514316</v>
      </c>
      <c r="AD8080" s="6">
        <f t="shared" si="1263"/>
        <v>679.11</v>
      </c>
      <c r="AE8080" s="14">
        <v>0.15</v>
      </c>
      <c r="AF8080" s="6">
        <f t="shared" si="1255"/>
        <v>101.8665</v>
      </c>
      <c r="AG8080" s="14">
        <v>0.4</v>
      </c>
      <c r="AH8080" s="6">
        <f t="shared" si="1264"/>
        <v>485.07857142857148</v>
      </c>
      <c r="AI8080" s="66"/>
      <c r="AJ8080" s="126" t="e">
        <v>#N/A</v>
      </c>
      <c r="AK8080" s="80">
        <f t="shared" si="1259"/>
        <v>0</v>
      </c>
      <c r="AL8080" s="85"/>
      <c r="AM8080" s="85"/>
    </row>
    <row r="8081" spans="1:39" s="86" customFormat="1" hidden="1" x14ac:dyDescent="0.3">
      <c r="A8081" s="89" t="s">
        <v>3978</v>
      </c>
      <c r="B8081" s="86" t="s">
        <v>35</v>
      </c>
      <c r="C8081" s="86" t="s">
        <v>36</v>
      </c>
      <c r="D8081" s="86" t="s">
        <v>185</v>
      </c>
      <c r="E8081" s="86" t="s">
        <v>2393</v>
      </c>
      <c r="F8081" s="86" t="s">
        <v>4171</v>
      </c>
      <c r="G8081" s="86" t="s">
        <v>2393</v>
      </c>
      <c r="H8081" s="144">
        <v>365</v>
      </c>
      <c r="I8081" s="86" t="s">
        <v>3210</v>
      </c>
      <c r="J8081" s="1" t="s">
        <v>3323</v>
      </c>
      <c r="K8081" s="1">
        <v>360</v>
      </c>
      <c r="L8081" s="1" t="s">
        <v>35</v>
      </c>
      <c r="M8081" s="86" t="s">
        <v>2395</v>
      </c>
      <c r="O8081" s="47" t="s">
        <v>45</v>
      </c>
      <c r="P8081" s="47" t="s">
        <v>46</v>
      </c>
      <c r="Q8081" s="14">
        <v>0.311</v>
      </c>
      <c r="R8081" s="143">
        <v>3139542592</v>
      </c>
      <c r="S8081" s="47"/>
      <c r="T8081" s="6"/>
      <c r="U8081" s="6">
        <v>1400000</v>
      </c>
      <c r="V8081" s="6">
        <v>54653.06</v>
      </c>
      <c r="W8081" s="6">
        <f t="shared" si="1261"/>
        <v>1345346.94</v>
      </c>
      <c r="X8081" s="6">
        <f t="shared" si="1262"/>
        <v>31942.174167153713</v>
      </c>
      <c r="Y8081" s="13">
        <f t="shared" si="1257"/>
        <v>0</v>
      </c>
      <c r="Z8081" s="66">
        <v>0</v>
      </c>
      <c r="AA8081" s="6">
        <v>0</v>
      </c>
      <c r="AB8081" s="4">
        <f t="shared" si="1258"/>
        <v>31942.174167153713</v>
      </c>
      <c r="AC8081" s="6">
        <f t="shared" si="1246"/>
        <v>22710.885832846285</v>
      </c>
      <c r="AD8081" s="6">
        <f t="shared" si="1263"/>
        <v>54653.06</v>
      </c>
      <c r="AE8081" s="14">
        <v>0.15</v>
      </c>
      <c r="AF8081" s="6">
        <f t="shared" si="1255"/>
        <v>8197.9589999999989</v>
      </c>
      <c r="AG8081" s="14">
        <v>0.4</v>
      </c>
      <c r="AH8081" s="6">
        <f t="shared" si="1264"/>
        <v>39037.9</v>
      </c>
      <c r="AI8081" s="66"/>
      <c r="AJ8081" s="126" t="e">
        <v>#N/A</v>
      </c>
      <c r="AK8081" s="80">
        <f t="shared" si="1259"/>
        <v>0</v>
      </c>
      <c r="AL8081" s="85"/>
      <c r="AM8081" s="85"/>
    </row>
    <row r="8082" spans="1:39" s="86" customFormat="1" hidden="1" x14ac:dyDescent="0.3">
      <c r="A8082" s="89" t="s">
        <v>3978</v>
      </c>
      <c r="B8082" s="86" t="s">
        <v>35</v>
      </c>
      <c r="C8082" s="86" t="s">
        <v>36</v>
      </c>
      <c r="D8082" s="86" t="s">
        <v>185</v>
      </c>
      <c r="E8082" s="86" t="s">
        <v>2393</v>
      </c>
      <c r="F8082" s="86" t="s">
        <v>4171</v>
      </c>
      <c r="G8082" s="86" t="s">
        <v>2393</v>
      </c>
      <c r="H8082" s="144">
        <v>365</v>
      </c>
      <c r="I8082" s="86" t="s">
        <v>3210</v>
      </c>
      <c r="J8082" s="1" t="s">
        <v>3323</v>
      </c>
      <c r="K8082" s="1">
        <v>360</v>
      </c>
      <c r="L8082" s="1" t="s">
        <v>35</v>
      </c>
      <c r="M8082" s="86" t="s">
        <v>2395</v>
      </c>
      <c r="O8082" s="47" t="s">
        <v>45</v>
      </c>
      <c r="P8082" s="47" t="s">
        <v>46</v>
      </c>
      <c r="Q8082" s="14">
        <v>0.311</v>
      </c>
      <c r="R8082" s="143">
        <v>3279719233</v>
      </c>
      <c r="S8082" s="47"/>
      <c r="T8082" s="6"/>
      <c r="U8082" s="6">
        <v>280000</v>
      </c>
      <c r="V8082" s="6">
        <v>115664.01000000001</v>
      </c>
      <c r="W8082" s="6">
        <f t="shared" si="1261"/>
        <v>164335.99</v>
      </c>
      <c r="X8082" s="6">
        <f t="shared" si="1262"/>
        <v>67600.239625949747</v>
      </c>
      <c r="Y8082" s="13">
        <f t="shared" si="1257"/>
        <v>0</v>
      </c>
      <c r="Z8082" s="66">
        <v>0</v>
      </c>
      <c r="AA8082" s="6">
        <v>0</v>
      </c>
      <c r="AB8082" s="4">
        <f t="shared" si="1258"/>
        <v>67600.239625949747</v>
      </c>
      <c r="AC8082" s="6">
        <f t="shared" si="1246"/>
        <v>48063.770374050262</v>
      </c>
      <c r="AD8082" s="6">
        <f t="shared" si="1263"/>
        <v>115664.01000000001</v>
      </c>
      <c r="AE8082" s="14">
        <v>0.15</v>
      </c>
      <c r="AF8082" s="6">
        <f t="shared" si="1255"/>
        <v>17349.601500000001</v>
      </c>
      <c r="AG8082" s="14">
        <v>0.4</v>
      </c>
      <c r="AH8082" s="6">
        <f t="shared" si="1264"/>
        <v>82617.150000000009</v>
      </c>
      <c r="AI8082" s="66"/>
      <c r="AJ8082" s="126" t="e">
        <v>#N/A</v>
      </c>
      <c r="AK8082" s="80">
        <f t="shared" si="1259"/>
        <v>0</v>
      </c>
      <c r="AL8082" s="85"/>
      <c r="AM8082" s="85"/>
    </row>
    <row r="8083" spans="1:39" s="86" customFormat="1" hidden="1" x14ac:dyDescent="0.3">
      <c r="A8083" s="89" t="s">
        <v>3978</v>
      </c>
      <c r="B8083" s="86" t="s">
        <v>35</v>
      </c>
      <c r="C8083" s="86" t="s">
        <v>36</v>
      </c>
      <c r="D8083" s="86" t="s">
        <v>185</v>
      </c>
      <c r="E8083" s="86" t="s">
        <v>2393</v>
      </c>
      <c r="F8083" s="86" t="s">
        <v>4171</v>
      </c>
      <c r="G8083" s="86" t="s">
        <v>2393</v>
      </c>
      <c r="H8083" s="144">
        <v>365</v>
      </c>
      <c r="I8083" s="86" t="s">
        <v>3210</v>
      </c>
      <c r="J8083" s="1" t="s">
        <v>3323</v>
      </c>
      <c r="K8083" s="1">
        <v>360</v>
      </c>
      <c r="L8083" s="1" t="s">
        <v>35</v>
      </c>
      <c r="M8083" s="86" t="s">
        <v>2395</v>
      </c>
      <c r="O8083" s="47" t="s">
        <v>45</v>
      </c>
      <c r="P8083" s="47" t="s">
        <v>46</v>
      </c>
      <c r="Q8083" s="14">
        <v>0.311</v>
      </c>
      <c r="R8083" s="143">
        <v>3288753303</v>
      </c>
      <c r="S8083" s="47"/>
      <c r="T8083" s="6"/>
      <c r="U8083" s="6">
        <v>100000</v>
      </c>
      <c r="V8083" s="6">
        <v>10275.41</v>
      </c>
      <c r="W8083" s="6">
        <f t="shared" si="1261"/>
        <v>89724.59</v>
      </c>
      <c r="X8083" s="6">
        <f t="shared" si="1262"/>
        <v>6005.4997077732323</v>
      </c>
      <c r="Y8083" s="13">
        <f t="shared" si="1257"/>
        <v>0</v>
      </c>
      <c r="Z8083" s="66">
        <v>0</v>
      </c>
      <c r="AA8083" s="6">
        <v>0</v>
      </c>
      <c r="AB8083" s="4">
        <f t="shared" si="1258"/>
        <v>6005.4997077732323</v>
      </c>
      <c r="AC8083" s="6">
        <f t="shared" si="1246"/>
        <v>4269.9102922267675</v>
      </c>
      <c r="AD8083" s="6">
        <f t="shared" si="1263"/>
        <v>10275.41</v>
      </c>
      <c r="AE8083" s="14">
        <v>0.15</v>
      </c>
      <c r="AF8083" s="6">
        <f t="shared" si="1255"/>
        <v>1541.3115</v>
      </c>
      <c r="AG8083" s="14">
        <v>0.4</v>
      </c>
      <c r="AH8083" s="6">
        <f t="shared" si="1264"/>
        <v>7339.5785714285721</v>
      </c>
      <c r="AI8083" s="66"/>
      <c r="AJ8083" s="126" t="e">
        <v>#N/A</v>
      </c>
      <c r="AK8083" s="80">
        <f t="shared" si="1259"/>
        <v>0</v>
      </c>
      <c r="AL8083" s="85"/>
      <c r="AM8083" s="85"/>
    </row>
    <row r="8084" spans="1:39" s="86" customFormat="1" hidden="1" x14ac:dyDescent="0.3">
      <c r="A8084" s="89" t="s">
        <v>3978</v>
      </c>
      <c r="B8084" s="86" t="s">
        <v>35</v>
      </c>
      <c r="C8084" s="86" t="s">
        <v>36</v>
      </c>
      <c r="D8084" s="86" t="s">
        <v>185</v>
      </c>
      <c r="E8084" s="86" t="s">
        <v>2393</v>
      </c>
      <c r="F8084" s="86" t="s">
        <v>4171</v>
      </c>
      <c r="G8084" s="86" t="s">
        <v>2393</v>
      </c>
      <c r="H8084" s="144">
        <v>365</v>
      </c>
      <c r="I8084" s="86" t="s">
        <v>3210</v>
      </c>
      <c r="J8084" s="1" t="s">
        <v>3323</v>
      </c>
      <c r="K8084" s="1">
        <v>360</v>
      </c>
      <c r="L8084" s="1" t="s">
        <v>35</v>
      </c>
      <c r="M8084" s="86" t="s">
        <v>2395</v>
      </c>
      <c r="O8084" s="47" t="s">
        <v>45</v>
      </c>
      <c r="P8084" s="47" t="s">
        <v>46</v>
      </c>
      <c r="Q8084" s="14">
        <v>0.311</v>
      </c>
      <c r="R8084" s="143">
        <v>3288753305</v>
      </c>
      <c r="S8084" s="47"/>
      <c r="T8084" s="6"/>
      <c r="U8084" s="6">
        <v>100000</v>
      </c>
      <c r="V8084" s="6">
        <v>5992.0300000000007</v>
      </c>
      <c r="W8084" s="6">
        <f t="shared" si="1261"/>
        <v>94007.97</v>
      </c>
      <c r="X8084" s="6">
        <f t="shared" si="1262"/>
        <v>3502.0631209818825</v>
      </c>
      <c r="Y8084" s="13">
        <f t="shared" si="1257"/>
        <v>0</v>
      </c>
      <c r="Z8084" s="66">
        <v>0</v>
      </c>
      <c r="AA8084" s="6">
        <v>0</v>
      </c>
      <c r="AB8084" s="4">
        <f t="shared" si="1258"/>
        <v>3502.0631209818825</v>
      </c>
      <c r="AC8084" s="6">
        <f t="shared" si="1246"/>
        <v>2489.9668790181181</v>
      </c>
      <c r="AD8084" s="6">
        <f t="shared" si="1263"/>
        <v>5992.0300000000007</v>
      </c>
      <c r="AE8084" s="14">
        <v>0.15</v>
      </c>
      <c r="AF8084" s="6">
        <f t="shared" si="1255"/>
        <v>898.80450000000008</v>
      </c>
      <c r="AG8084" s="14">
        <v>0.4</v>
      </c>
      <c r="AH8084" s="6">
        <f t="shared" si="1264"/>
        <v>4280.0214285714292</v>
      </c>
      <c r="AI8084" s="66"/>
      <c r="AJ8084" s="126" t="e">
        <v>#N/A</v>
      </c>
      <c r="AK8084" s="80">
        <f t="shared" si="1259"/>
        <v>0</v>
      </c>
      <c r="AL8084" s="85"/>
      <c r="AM8084" s="85"/>
    </row>
    <row r="8085" spans="1:39" s="86" customFormat="1" hidden="1" x14ac:dyDescent="0.3">
      <c r="A8085" s="89" t="s">
        <v>3978</v>
      </c>
      <c r="B8085" s="86" t="s">
        <v>35</v>
      </c>
      <c r="C8085" s="86" t="s">
        <v>36</v>
      </c>
      <c r="D8085" s="86" t="s">
        <v>185</v>
      </c>
      <c r="E8085" s="86" t="s">
        <v>2393</v>
      </c>
      <c r="F8085" s="86" t="s">
        <v>4171</v>
      </c>
      <c r="G8085" s="86" t="s">
        <v>2393</v>
      </c>
      <c r="H8085" s="144">
        <v>365</v>
      </c>
      <c r="I8085" s="86" t="s">
        <v>3210</v>
      </c>
      <c r="J8085" s="1" t="s">
        <v>3323</v>
      </c>
      <c r="K8085" s="1">
        <v>360</v>
      </c>
      <c r="L8085" s="1" t="s">
        <v>35</v>
      </c>
      <c r="M8085" s="86" t="s">
        <v>2395</v>
      </c>
      <c r="O8085" s="47" t="s">
        <v>45</v>
      </c>
      <c r="P8085" s="47" t="s">
        <v>46</v>
      </c>
      <c r="Q8085" s="14">
        <v>0.311</v>
      </c>
      <c r="R8085" s="143">
        <v>3288753307</v>
      </c>
      <c r="S8085" s="47"/>
      <c r="T8085" s="6"/>
      <c r="U8085" s="6">
        <v>100000</v>
      </c>
      <c r="V8085" s="6">
        <v>2105.4499999999998</v>
      </c>
      <c r="W8085" s="6">
        <f t="shared" si="1261"/>
        <v>97894.55</v>
      </c>
      <c r="X8085" s="6">
        <f t="shared" si="1262"/>
        <v>1230.5376972530685</v>
      </c>
      <c r="Y8085" s="13">
        <f t="shared" si="1257"/>
        <v>0</v>
      </c>
      <c r="Z8085" s="66">
        <v>0</v>
      </c>
      <c r="AA8085" s="6">
        <v>0</v>
      </c>
      <c r="AB8085" s="4">
        <f t="shared" si="1258"/>
        <v>1230.5376972530685</v>
      </c>
      <c r="AC8085" s="6">
        <f t="shared" si="1246"/>
        <v>874.91230274693135</v>
      </c>
      <c r="AD8085" s="6">
        <f t="shared" si="1263"/>
        <v>2105.4499999999998</v>
      </c>
      <c r="AE8085" s="14">
        <v>0.15</v>
      </c>
      <c r="AF8085" s="6">
        <f t="shared" si="1255"/>
        <v>315.81749999999994</v>
      </c>
      <c r="AG8085" s="14">
        <v>0.4</v>
      </c>
      <c r="AH8085" s="6">
        <f t="shared" si="1264"/>
        <v>1503.8928571428571</v>
      </c>
      <c r="AI8085" s="66"/>
      <c r="AJ8085" s="126" t="e">
        <v>#N/A</v>
      </c>
      <c r="AK8085" s="80">
        <f t="shared" si="1259"/>
        <v>0</v>
      </c>
      <c r="AL8085" s="85"/>
      <c r="AM8085" s="85"/>
    </row>
    <row r="8086" spans="1:39" s="86" customFormat="1" hidden="1" x14ac:dyDescent="0.3">
      <c r="A8086" s="89" t="s">
        <v>3978</v>
      </c>
      <c r="B8086" s="86" t="s">
        <v>35</v>
      </c>
      <c r="C8086" s="86" t="s">
        <v>36</v>
      </c>
      <c r="D8086" s="86" t="s">
        <v>185</v>
      </c>
      <c r="E8086" s="86" t="s">
        <v>2393</v>
      </c>
      <c r="F8086" s="86" t="s">
        <v>4171</v>
      </c>
      <c r="G8086" s="86" t="s">
        <v>2393</v>
      </c>
      <c r="H8086" s="144">
        <v>365</v>
      </c>
      <c r="I8086" s="86" t="s">
        <v>3210</v>
      </c>
      <c r="J8086" s="1" t="s">
        <v>3323</v>
      </c>
      <c r="K8086" s="1">
        <v>360</v>
      </c>
      <c r="L8086" s="1" t="s">
        <v>35</v>
      </c>
      <c r="M8086" s="86" t="s">
        <v>2395</v>
      </c>
      <c r="O8086" s="47" t="s">
        <v>45</v>
      </c>
      <c r="P8086" s="47" t="s">
        <v>46</v>
      </c>
      <c r="Q8086" s="14">
        <v>0.311</v>
      </c>
      <c r="R8086" s="143">
        <v>3291163232</v>
      </c>
      <c r="S8086" s="47"/>
      <c r="T8086" s="6"/>
      <c r="U8086" s="6">
        <v>30000</v>
      </c>
      <c r="V8086" s="6">
        <v>1126.8699999999999</v>
      </c>
      <c r="W8086" s="6">
        <f t="shared" si="1261"/>
        <v>28873.13</v>
      </c>
      <c r="X8086" s="6">
        <f t="shared" si="1262"/>
        <v>658.60315604909408</v>
      </c>
      <c r="Y8086" s="13">
        <f t="shared" si="1257"/>
        <v>0</v>
      </c>
      <c r="Z8086" s="66">
        <v>0</v>
      </c>
      <c r="AA8086" s="6">
        <v>0</v>
      </c>
      <c r="AB8086" s="4">
        <f t="shared" si="1258"/>
        <v>658.60315604909408</v>
      </c>
      <c r="AC8086" s="6">
        <f t="shared" si="1246"/>
        <v>468.26684395090581</v>
      </c>
      <c r="AD8086" s="6">
        <f t="shared" si="1263"/>
        <v>1126.8699999999999</v>
      </c>
      <c r="AE8086" s="14">
        <v>0.15</v>
      </c>
      <c r="AF8086" s="6">
        <f t="shared" si="1255"/>
        <v>169.03049999999999</v>
      </c>
      <c r="AG8086" s="14">
        <v>0.4</v>
      </c>
      <c r="AH8086" s="6">
        <f t="shared" si="1264"/>
        <v>804.90714285714284</v>
      </c>
      <c r="AI8086" s="66"/>
      <c r="AJ8086" s="126" t="e">
        <v>#N/A</v>
      </c>
      <c r="AK8086" s="80">
        <f t="shared" si="1259"/>
        <v>0</v>
      </c>
      <c r="AL8086" s="85"/>
      <c r="AM8086" s="85"/>
    </row>
    <row r="8087" spans="1:39" s="86" customFormat="1" hidden="1" x14ac:dyDescent="0.3">
      <c r="A8087" s="89" t="s">
        <v>3978</v>
      </c>
      <c r="B8087" s="86" t="s">
        <v>35</v>
      </c>
      <c r="C8087" s="86" t="s">
        <v>36</v>
      </c>
      <c r="D8087" s="86" t="s">
        <v>185</v>
      </c>
      <c r="E8087" s="86" t="s">
        <v>2393</v>
      </c>
      <c r="F8087" s="86" t="s">
        <v>4171</v>
      </c>
      <c r="G8087" s="86" t="s">
        <v>2393</v>
      </c>
      <c r="H8087" s="144">
        <v>365</v>
      </c>
      <c r="I8087" s="86" t="s">
        <v>3210</v>
      </c>
      <c r="J8087" s="1" t="s">
        <v>3323</v>
      </c>
      <c r="K8087" s="1">
        <v>360</v>
      </c>
      <c r="L8087" s="1" t="s">
        <v>35</v>
      </c>
      <c r="M8087" s="86" t="s">
        <v>2395</v>
      </c>
      <c r="O8087" s="47" t="s">
        <v>45</v>
      </c>
      <c r="P8087" s="47" t="s">
        <v>46</v>
      </c>
      <c r="Q8087" s="14">
        <v>0.311</v>
      </c>
      <c r="R8087" s="143">
        <v>3291163233</v>
      </c>
      <c r="S8087" s="47"/>
      <c r="T8087" s="6"/>
      <c r="U8087" s="6">
        <v>25000</v>
      </c>
      <c r="V8087" s="6">
        <v>5773.4400000000005</v>
      </c>
      <c r="W8087" s="6">
        <f t="shared" si="1261"/>
        <v>19226.559999999998</v>
      </c>
      <c r="X8087" s="6">
        <f t="shared" si="1262"/>
        <v>3374.3074225599071</v>
      </c>
      <c r="Y8087" s="13">
        <f t="shared" si="1257"/>
        <v>0</v>
      </c>
      <c r="Z8087" s="66">
        <v>0</v>
      </c>
      <c r="AA8087" s="6">
        <v>0</v>
      </c>
      <c r="AB8087" s="4">
        <f t="shared" si="1258"/>
        <v>3374.3074225599071</v>
      </c>
      <c r="AC8087" s="6">
        <f t="shared" si="1246"/>
        <v>2399.1325774400934</v>
      </c>
      <c r="AD8087" s="6">
        <f t="shared" si="1263"/>
        <v>5773.4400000000005</v>
      </c>
      <c r="AE8087" s="14">
        <v>0.15</v>
      </c>
      <c r="AF8087" s="6">
        <f t="shared" si="1255"/>
        <v>866.01600000000008</v>
      </c>
      <c r="AG8087" s="14">
        <v>0.4</v>
      </c>
      <c r="AH8087" s="6">
        <f t="shared" si="1264"/>
        <v>4123.885714285715</v>
      </c>
      <c r="AI8087" s="66"/>
      <c r="AJ8087" s="126" t="e">
        <v>#N/A</v>
      </c>
      <c r="AK8087" s="80">
        <f t="shared" si="1259"/>
        <v>0</v>
      </c>
      <c r="AL8087" s="85"/>
      <c r="AM8087" s="85"/>
    </row>
    <row r="8088" spans="1:39" s="86" customFormat="1" hidden="1" x14ac:dyDescent="0.3">
      <c r="A8088" s="89" t="s">
        <v>3978</v>
      </c>
      <c r="B8088" s="86" t="s">
        <v>35</v>
      </c>
      <c r="C8088" s="86" t="s">
        <v>36</v>
      </c>
      <c r="D8088" s="86" t="s">
        <v>185</v>
      </c>
      <c r="E8088" s="86" t="s">
        <v>2393</v>
      </c>
      <c r="F8088" s="86" t="s">
        <v>4171</v>
      </c>
      <c r="G8088" s="86" t="s">
        <v>2393</v>
      </c>
      <c r="H8088" s="144">
        <v>365</v>
      </c>
      <c r="I8088" s="86" t="s">
        <v>3210</v>
      </c>
      <c r="J8088" s="1" t="s">
        <v>3323</v>
      </c>
      <c r="K8088" s="1">
        <v>360</v>
      </c>
      <c r="L8088" s="1" t="s">
        <v>35</v>
      </c>
      <c r="M8088" s="86" t="s">
        <v>2404</v>
      </c>
      <c r="O8088" s="47" t="s">
        <v>45</v>
      </c>
      <c r="P8088" s="47" t="s">
        <v>46</v>
      </c>
      <c r="Q8088" s="14">
        <v>0.311</v>
      </c>
      <c r="R8088" s="143">
        <v>3291948012</v>
      </c>
      <c r="S8088" s="47"/>
      <c r="T8088" s="6"/>
      <c r="U8088" s="6">
        <v>220000</v>
      </c>
      <c r="V8088" s="6">
        <v>29135.91</v>
      </c>
      <c r="W8088" s="6">
        <f t="shared" si="1261"/>
        <v>190864.09</v>
      </c>
      <c r="X8088" s="6">
        <f t="shared" si="1262"/>
        <v>17028.585622443017</v>
      </c>
      <c r="Y8088" s="13">
        <f t="shared" si="1257"/>
        <v>0</v>
      </c>
      <c r="Z8088" s="66">
        <v>0</v>
      </c>
      <c r="AA8088" s="6">
        <v>0</v>
      </c>
      <c r="AB8088" s="4">
        <f t="shared" si="1258"/>
        <v>17028.585622443017</v>
      </c>
      <c r="AC8088" s="6">
        <f t="shared" si="1246"/>
        <v>12107.324377556983</v>
      </c>
      <c r="AD8088" s="6">
        <f t="shared" si="1263"/>
        <v>29135.91</v>
      </c>
      <c r="AE8088" s="14">
        <v>0.15</v>
      </c>
      <c r="AF8088" s="6">
        <f t="shared" si="1255"/>
        <v>4370.3864999999996</v>
      </c>
      <c r="AG8088" s="14">
        <v>0.4</v>
      </c>
      <c r="AH8088" s="6">
        <f t="shared" si="1264"/>
        <v>20811.364285714288</v>
      </c>
      <c r="AI8088" s="66"/>
      <c r="AJ8088" s="126" t="e">
        <v>#N/A</v>
      </c>
      <c r="AK8088" s="80">
        <f t="shared" si="1259"/>
        <v>0</v>
      </c>
      <c r="AL8088" s="85"/>
      <c r="AM8088" s="85"/>
    </row>
    <row r="8089" spans="1:39" s="86" customFormat="1" hidden="1" x14ac:dyDescent="0.3">
      <c r="A8089" s="89" t="s">
        <v>3978</v>
      </c>
      <c r="B8089" s="86" t="s">
        <v>35</v>
      </c>
      <c r="C8089" s="86" t="s">
        <v>36</v>
      </c>
      <c r="D8089" s="86" t="s">
        <v>185</v>
      </c>
      <c r="E8089" s="86" t="s">
        <v>2409</v>
      </c>
      <c r="F8089" s="86" t="s">
        <v>4172</v>
      </c>
      <c r="G8089" s="86" t="s">
        <v>2409</v>
      </c>
      <c r="H8089" s="144">
        <v>365</v>
      </c>
      <c r="I8089" s="86" t="s">
        <v>3210</v>
      </c>
      <c r="J8089" s="1" t="s">
        <v>3323</v>
      </c>
      <c r="K8089" s="1">
        <v>360</v>
      </c>
      <c r="L8089" s="1" t="s">
        <v>35</v>
      </c>
      <c r="M8089" s="86" t="s">
        <v>2411</v>
      </c>
      <c r="O8089" s="47" t="s">
        <v>45</v>
      </c>
      <c r="P8089" s="47" t="s">
        <v>46</v>
      </c>
      <c r="Q8089" s="14">
        <v>0.311</v>
      </c>
      <c r="R8089" s="143">
        <v>3222340268</v>
      </c>
      <c r="S8089" s="47"/>
      <c r="T8089" s="6"/>
      <c r="U8089" s="6">
        <v>270000</v>
      </c>
      <c r="V8089" s="6">
        <v>113595.25</v>
      </c>
      <c r="W8089" s="6">
        <f t="shared" si="1261"/>
        <v>156404.75</v>
      </c>
      <c r="X8089" s="6">
        <f t="shared" si="1262"/>
        <v>66391.145528930458</v>
      </c>
      <c r="Y8089" s="13">
        <f t="shared" si="1257"/>
        <v>0</v>
      </c>
      <c r="Z8089" s="66">
        <v>0</v>
      </c>
      <c r="AA8089" s="6">
        <v>0</v>
      </c>
      <c r="AB8089" s="4">
        <f t="shared" si="1258"/>
        <v>66391.145528930458</v>
      </c>
      <c r="AC8089" s="6">
        <f t="shared" si="1246"/>
        <v>47204.104471069542</v>
      </c>
      <c r="AD8089" s="6">
        <f t="shared" si="1263"/>
        <v>113595.25</v>
      </c>
      <c r="AE8089" s="14">
        <v>0.15</v>
      </c>
      <c r="AF8089" s="6">
        <f t="shared" si="1255"/>
        <v>17039.287499999999</v>
      </c>
      <c r="AG8089" s="14">
        <v>0.4</v>
      </c>
      <c r="AH8089" s="6">
        <f t="shared" si="1264"/>
        <v>81139.46428571429</v>
      </c>
      <c r="AI8089" s="66"/>
      <c r="AJ8089" s="126" t="e">
        <v>#N/A</v>
      </c>
      <c r="AK8089" s="80">
        <f t="shared" si="1259"/>
        <v>0</v>
      </c>
      <c r="AL8089" s="85"/>
      <c r="AM8089" s="85"/>
    </row>
    <row r="8090" spans="1:39" s="86" customFormat="1" hidden="1" x14ac:dyDescent="0.3">
      <c r="A8090" s="89" t="s">
        <v>3978</v>
      </c>
      <c r="B8090" s="86" t="s">
        <v>35</v>
      </c>
      <c r="C8090" s="86" t="s">
        <v>36</v>
      </c>
      <c r="D8090" s="86" t="s">
        <v>185</v>
      </c>
      <c r="E8090" s="86" t="s">
        <v>2409</v>
      </c>
      <c r="F8090" s="86" t="s">
        <v>4172</v>
      </c>
      <c r="G8090" s="86" t="s">
        <v>2409</v>
      </c>
      <c r="H8090" s="144">
        <v>365</v>
      </c>
      <c r="I8090" s="86" t="s">
        <v>3210</v>
      </c>
      <c r="J8090" s="1" t="s">
        <v>3323</v>
      </c>
      <c r="K8090" s="1">
        <v>360</v>
      </c>
      <c r="L8090" s="1" t="s">
        <v>35</v>
      </c>
      <c r="M8090" s="86" t="s">
        <v>4173</v>
      </c>
      <c r="O8090" s="47" t="s">
        <v>45</v>
      </c>
      <c r="P8090" s="47" t="s">
        <v>46</v>
      </c>
      <c r="Q8090" s="14">
        <v>0.311</v>
      </c>
      <c r="R8090" s="143">
        <v>3107023958</v>
      </c>
      <c r="S8090" s="47"/>
      <c r="T8090" s="6"/>
      <c r="U8090" s="6">
        <v>12000</v>
      </c>
      <c r="V8090" s="6">
        <v>977.56000000000006</v>
      </c>
      <c r="W8090" s="6">
        <f t="shared" si="1261"/>
        <v>11022.44</v>
      </c>
      <c r="X8090" s="6">
        <f t="shared" si="1262"/>
        <v>571.33839859731165</v>
      </c>
      <c r="Y8090" s="13">
        <f t="shared" si="1257"/>
        <v>0</v>
      </c>
      <c r="Z8090" s="66">
        <v>0</v>
      </c>
      <c r="AA8090" s="6">
        <v>0</v>
      </c>
      <c r="AB8090" s="4">
        <f t="shared" si="1258"/>
        <v>571.33839859731165</v>
      </c>
      <c r="AC8090" s="6">
        <f t="shared" si="1246"/>
        <v>406.22160140268841</v>
      </c>
      <c r="AD8090" s="6">
        <f t="shared" si="1263"/>
        <v>977.56000000000006</v>
      </c>
      <c r="AE8090" s="14">
        <v>0.15</v>
      </c>
      <c r="AF8090" s="6">
        <f t="shared" si="1255"/>
        <v>146.63400000000001</v>
      </c>
      <c r="AG8090" s="14">
        <v>0.4</v>
      </c>
      <c r="AH8090" s="6">
        <f t="shared" si="1264"/>
        <v>698.25714285714298</v>
      </c>
      <c r="AI8090" s="66"/>
      <c r="AJ8090" s="126" t="e">
        <v>#N/A</v>
      </c>
      <c r="AK8090" s="80">
        <f t="shared" si="1259"/>
        <v>0</v>
      </c>
      <c r="AL8090" s="85"/>
      <c r="AM8090" s="85"/>
    </row>
    <row r="8091" spans="1:39" s="86" customFormat="1" hidden="1" x14ac:dyDescent="0.3">
      <c r="A8091" s="89" t="s">
        <v>3978</v>
      </c>
      <c r="B8091" s="86" t="s">
        <v>35</v>
      </c>
      <c r="C8091" s="86" t="s">
        <v>36</v>
      </c>
      <c r="D8091" s="86" t="s">
        <v>185</v>
      </c>
      <c r="E8091" s="86" t="s">
        <v>2409</v>
      </c>
      <c r="F8091" s="86" t="s">
        <v>4172</v>
      </c>
      <c r="G8091" s="86" t="s">
        <v>2409</v>
      </c>
      <c r="H8091" s="144">
        <v>365</v>
      </c>
      <c r="I8091" s="86" t="s">
        <v>3210</v>
      </c>
      <c r="J8091" s="1" t="s">
        <v>3323</v>
      </c>
      <c r="K8091" s="1">
        <v>360</v>
      </c>
      <c r="L8091" s="1" t="s">
        <v>35</v>
      </c>
      <c r="M8091" s="86" t="s">
        <v>2409</v>
      </c>
      <c r="O8091" s="47" t="s">
        <v>45</v>
      </c>
      <c r="P8091" s="47" t="s">
        <v>46</v>
      </c>
      <c r="Q8091" s="14">
        <v>0.311</v>
      </c>
      <c r="R8091" s="143">
        <v>2529008492</v>
      </c>
      <c r="S8091" s="47"/>
      <c r="T8091" s="6"/>
      <c r="U8091" s="6">
        <v>150000</v>
      </c>
      <c r="V8091" s="6">
        <v>18540.67182</v>
      </c>
      <c r="W8091" s="6">
        <f t="shared" si="1261"/>
        <v>131459.32818000001</v>
      </c>
      <c r="X8091" s="6">
        <f t="shared" si="1262"/>
        <v>10836.161203974285</v>
      </c>
      <c r="Y8091" s="13">
        <f t="shared" si="1257"/>
        <v>0</v>
      </c>
      <c r="Z8091" s="66">
        <v>0</v>
      </c>
      <c r="AA8091" s="6">
        <v>0</v>
      </c>
      <c r="AB8091" s="4">
        <f t="shared" si="1258"/>
        <v>10836.161203974285</v>
      </c>
      <c r="AC8091" s="6">
        <f t="shared" si="1246"/>
        <v>7704.5106160257146</v>
      </c>
      <c r="AD8091" s="6">
        <f t="shared" si="1263"/>
        <v>18540.67182</v>
      </c>
      <c r="AE8091" s="14">
        <v>0.15</v>
      </c>
      <c r="AF8091" s="6">
        <f t="shared" si="1255"/>
        <v>2781.1007729999997</v>
      </c>
      <c r="AG8091" s="14">
        <v>0.4</v>
      </c>
      <c r="AH8091" s="6">
        <f t="shared" si="1264"/>
        <v>13243.337014285715</v>
      </c>
      <c r="AI8091" s="66"/>
      <c r="AJ8091" s="126" t="e">
        <v>#N/A</v>
      </c>
      <c r="AK8091" s="80">
        <f t="shared" si="1259"/>
        <v>0</v>
      </c>
      <c r="AL8091" s="85"/>
      <c r="AM8091" s="85"/>
    </row>
    <row r="8092" spans="1:39" s="86" customFormat="1" hidden="1" x14ac:dyDescent="0.3">
      <c r="A8092" s="89" t="s">
        <v>3978</v>
      </c>
      <c r="B8092" s="86" t="s">
        <v>35</v>
      </c>
      <c r="C8092" s="86" t="s">
        <v>36</v>
      </c>
      <c r="D8092" s="86" t="s">
        <v>185</v>
      </c>
      <c r="E8092" s="86" t="s">
        <v>2409</v>
      </c>
      <c r="F8092" s="86" t="s">
        <v>4172</v>
      </c>
      <c r="G8092" s="86" t="s">
        <v>2409</v>
      </c>
      <c r="H8092" s="144">
        <v>365</v>
      </c>
      <c r="I8092" s="86" t="s">
        <v>3210</v>
      </c>
      <c r="J8092" s="1" t="s">
        <v>3323</v>
      </c>
      <c r="K8092" s="1">
        <v>360</v>
      </c>
      <c r="L8092" s="1" t="s">
        <v>35</v>
      </c>
      <c r="M8092" s="86" t="s">
        <v>2409</v>
      </c>
      <c r="O8092" s="47" t="s">
        <v>45</v>
      </c>
      <c r="P8092" s="47" t="s">
        <v>46</v>
      </c>
      <c r="Q8092" s="14">
        <v>0.311</v>
      </c>
      <c r="R8092" s="143">
        <v>2804437173</v>
      </c>
      <c r="S8092" s="47"/>
      <c r="T8092" s="6"/>
      <c r="U8092" s="6">
        <v>40000</v>
      </c>
      <c r="V8092" s="6">
        <v>20367.230319999999</v>
      </c>
      <c r="W8092" s="6">
        <f t="shared" si="1261"/>
        <v>19632.769680000001</v>
      </c>
      <c r="X8092" s="6">
        <f t="shared" si="1262"/>
        <v>11903.699777907657</v>
      </c>
      <c r="Y8092" s="13">
        <f t="shared" si="1257"/>
        <v>0</v>
      </c>
      <c r="Z8092" s="66">
        <v>0</v>
      </c>
      <c r="AA8092" s="6">
        <v>0</v>
      </c>
      <c r="AB8092" s="4">
        <f t="shared" si="1258"/>
        <v>11903.699777907657</v>
      </c>
      <c r="AC8092" s="6">
        <f t="shared" si="1246"/>
        <v>8463.5305420923414</v>
      </c>
      <c r="AD8092" s="6">
        <f t="shared" si="1263"/>
        <v>20367.230319999999</v>
      </c>
      <c r="AE8092" s="14">
        <v>0.15</v>
      </c>
      <c r="AF8092" s="6">
        <f t="shared" si="1255"/>
        <v>3055.0845479999998</v>
      </c>
      <c r="AG8092" s="14">
        <v>0.4</v>
      </c>
      <c r="AH8092" s="6">
        <f t="shared" si="1264"/>
        <v>14548.021657142857</v>
      </c>
      <c r="AI8092" s="66"/>
      <c r="AJ8092" s="126" t="e">
        <v>#N/A</v>
      </c>
      <c r="AK8092" s="80">
        <f t="shared" si="1259"/>
        <v>0</v>
      </c>
      <c r="AL8092" s="85"/>
      <c r="AM8092" s="85"/>
    </row>
    <row r="8093" spans="1:39" s="86" customFormat="1" hidden="1" x14ac:dyDescent="0.3">
      <c r="A8093" s="89" t="s">
        <v>3978</v>
      </c>
      <c r="B8093" s="86" t="s">
        <v>35</v>
      </c>
      <c r="C8093" s="86" t="s">
        <v>36</v>
      </c>
      <c r="D8093" s="86" t="s">
        <v>185</v>
      </c>
      <c r="E8093" s="86" t="s">
        <v>2409</v>
      </c>
      <c r="F8093" s="86" t="s">
        <v>4172</v>
      </c>
      <c r="G8093" s="86" t="s">
        <v>2409</v>
      </c>
      <c r="H8093" s="144">
        <v>365</v>
      </c>
      <c r="I8093" s="86" t="s">
        <v>3210</v>
      </c>
      <c r="J8093" s="1" t="s">
        <v>3323</v>
      </c>
      <c r="K8093" s="1">
        <v>360</v>
      </c>
      <c r="L8093" s="1" t="s">
        <v>35</v>
      </c>
      <c r="M8093" s="86" t="s">
        <v>2409</v>
      </c>
      <c r="O8093" s="47" t="s">
        <v>45</v>
      </c>
      <c r="P8093" s="47" t="s">
        <v>46</v>
      </c>
      <c r="Q8093" s="14">
        <v>0.311</v>
      </c>
      <c r="R8093" s="143">
        <v>3064063667</v>
      </c>
      <c r="S8093" s="47"/>
      <c r="T8093" s="6"/>
      <c r="U8093" s="6">
        <v>60000</v>
      </c>
      <c r="V8093" s="6">
        <v>16693.030000000002</v>
      </c>
      <c r="W8093" s="6">
        <f t="shared" si="1261"/>
        <v>43306.97</v>
      </c>
      <c r="X8093" s="6">
        <f t="shared" si="1262"/>
        <v>9756.3004091174771</v>
      </c>
      <c r="Y8093" s="13">
        <f t="shared" si="1257"/>
        <v>0</v>
      </c>
      <c r="Z8093" s="66">
        <v>0</v>
      </c>
      <c r="AA8093" s="6">
        <v>0</v>
      </c>
      <c r="AB8093" s="4">
        <f t="shared" si="1258"/>
        <v>9756.3004091174771</v>
      </c>
      <c r="AC8093" s="6">
        <f t="shared" si="1246"/>
        <v>6936.7295908825254</v>
      </c>
      <c r="AD8093" s="6">
        <f t="shared" si="1263"/>
        <v>16693.030000000002</v>
      </c>
      <c r="AE8093" s="14">
        <v>0.15</v>
      </c>
      <c r="AF8093" s="6">
        <f t="shared" si="1255"/>
        <v>2503.9545000000003</v>
      </c>
      <c r="AG8093" s="14">
        <v>0.4</v>
      </c>
      <c r="AH8093" s="6">
        <f t="shared" si="1264"/>
        <v>11923.592857142859</v>
      </c>
      <c r="AI8093" s="66"/>
      <c r="AJ8093" s="126" t="e">
        <v>#N/A</v>
      </c>
      <c r="AK8093" s="80">
        <f t="shared" si="1259"/>
        <v>0</v>
      </c>
      <c r="AL8093" s="85"/>
      <c r="AM8093" s="85"/>
    </row>
    <row r="8094" spans="1:39" s="86" customFormat="1" hidden="1" x14ac:dyDescent="0.3">
      <c r="A8094" s="89" t="s">
        <v>3978</v>
      </c>
      <c r="B8094" s="86" t="s">
        <v>35</v>
      </c>
      <c r="C8094" s="86" t="s">
        <v>36</v>
      </c>
      <c r="D8094" s="86" t="s">
        <v>185</v>
      </c>
      <c r="E8094" s="86" t="s">
        <v>2409</v>
      </c>
      <c r="F8094" s="86" t="s">
        <v>4172</v>
      </c>
      <c r="G8094" s="86" t="s">
        <v>2409</v>
      </c>
      <c r="H8094" s="144">
        <v>365</v>
      </c>
      <c r="I8094" s="86" t="s">
        <v>3210</v>
      </c>
      <c r="J8094" s="1" t="s">
        <v>3323</v>
      </c>
      <c r="K8094" s="1">
        <v>360</v>
      </c>
      <c r="L8094" s="1" t="s">
        <v>35</v>
      </c>
      <c r="M8094" s="86" t="s">
        <v>2409</v>
      </c>
      <c r="O8094" s="47" t="s">
        <v>45</v>
      </c>
      <c r="P8094" s="47" t="s">
        <v>46</v>
      </c>
      <c r="Q8094" s="14">
        <v>0.311</v>
      </c>
      <c r="R8094" s="143">
        <v>3064064012</v>
      </c>
      <c r="S8094" s="47"/>
      <c r="T8094" s="6"/>
      <c r="U8094" s="6">
        <v>210000</v>
      </c>
      <c r="V8094" s="6">
        <v>29819.260000000002</v>
      </c>
      <c r="W8094" s="6">
        <f t="shared" si="1261"/>
        <v>180180.74</v>
      </c>
      <c r="X8094" s="6">
        <f t="shared" si="1262"/>
        <v>17427.971946230278</v>
      </c>
      <c r="Y8094" s="13">
        <f t="shared" si="1257"/>
        <v>0</v>
      </c>
      <c r="Z8094" s="66">
        <v>0</v>
      </c>
      <c r="AA8094" s="6">
        <v>0</v>
      </c>
      <c r="AB8094" s="4">
        <f t="shared" si="1258"/>
        <v>17427.971946230278</v>
      </c>
      <c r="AC8094" s="6">
        <f t="shared" si="1246"/>
        <v>12391.288053769724</v>
      </c>
      <c r="AD8094" s="6">
        <f t="shared" si="1263"/>
        <v>29819.260000000002</v>
      </c>
      <c r="AE8094" s="14">
        <v>0.15</v>
      </c>
      <c r="AF8094" s="6">
        <f t="shared" si="1255"/>
        <v>4472.8890000000001</v>
      </c>
      <c r="AG8094" s="14">
        <v>0.4</v>
      </c>
      <c r="AH8094" s="6">
        <f t="shared" si="1264"/>
        <v>21299.471428571433</v>
      </c>
      <c r="AI8094" s="66"/>
      <c r="AJ8094" s="126" t="e">
        <v>#N/A</v>
      </c>
      <c r="AK8094" s="80">
        <f t="shared" si="1259"/>
        <v>0</v>
      </c>
      <c r="AL8094" s="85"/>
      <c r="AM8094" s="85"/>
    </row>
    <row r="8095" spans="1:39" s="86" customFormat="1" hidden="1" x14ac:dyDescent="0.3">
      <c r="A8095" s="89" t="s">
        <v>3978</v>
      </c>
      <c r="B8095" s="86" t="s">
        <v>35</v>
      </c>
      <c r="C8095" s="86" t="s">
        <v>36</v>
      </c>
      <c r="D8095" s="86" t="s">
        <v>185</v>
      </c>
      <c r="E8095" s="86" t="s">
        <v>2409</v>
      </c>
      <c r="F8095" s="86" t="s">
        <v>4172</v>
      </c>
      <c r="G8095" s="86" t="s">
        <v>2409</v>
      </c>
      <c r="H8095" s="144">
        <v>365</v>
      </c>
      <c r="I8095" s="86" t="s">
        <v>3210</v>
      </c>
      <c r="J8095" s="1" t="s">
        <v>3323</v>
      </c>
      <c r="K8095" s="1">
        <v>360</v>
      </c>
      <c r="L8095" s="1" t="s">
        <v>35</v>
      </c>
      <c r="M8095" s="86" t="s">
        <v>2409</v>
      </c>
      <c r="O8095" s="47" t="s">
        <v>45</v>
      </c>
      <c r="P8095" s="47" t="s">
        <v>46</v>
      </c>
      <c r="Q8095" s="14">
        <v>0.311</v>
      </c>
      <c r="R8095" s="143">
        <v>3153064262</v>
      </c>
      <c r="S8095" s="47"/>
      <c r="T8095" s="6"/>
      <c r="U8095" s="6">
        <v>84000</v>
      </c>
      <c r="V8095" s="6">
        <v>46551.229999999996</v>
      </c>
      <c r="W8095" s="6">
        <f t="shared" si="1261"/>
        <v>37448.770000000004</v>
      </c>
      <c r="X8095" s="6">
        <f t="shared" si="1262"/>
        <v>27207.030976037404</v>
      </c>
      <c r="Y8095" s="13">
        <f t="shared" si="1257"/>
        <v>0</v>
      </c>
      <c r="Z8095" s="66">
        <v>0</v>
      </c>
      <c r="AA8095" s="6">
        <v>0</v>
      </c>
      <c r="AB8095" s="4">
        <f t="shared" si="1258"/>
        <v>27207.030976037404</v>
      </c>
      <c r="AC8095" s="6">
        <f t="shared" ref="AC8095:AC8150" si="1265">IF(P8095="返现",X8095*Q8095,V8095-X8095)</f>
        <v>19344.199023962592</v>
      </c>
      <c r="AD8095" s="6">
        <f t="shared" si="1263"/>
        <v>46551.229999999996</v>
      </c>
      <c r="AE8095" s="14">
        <v>0.15</v>
      </c>
      <c r="AF8095" s="6">
        <f t="shared" si="1255"/>
        <v>6982.6844999999994</v>
      </c>
      <c r="AG8095" s="14">
        <v>0.4</v>
      </c>
      <c r="AH8095" s="6">
        <f t="shared" si="1264"/>
        <v>33250.87857142857</v>
      </c>
      <c r="AI8095" s="66"/>
      <c r="AJ8095" s="126" t="e">
        <v>#N/A</v>
      </c>
      <c r="AK8095" s="80">
        <f t="shared" si="1259"/>
        <v>0</v>
      </c>
      <c r="AL8095" s="85"/>
      <c r="AM8095" s="85"/>
    </row>
    <row r="8096" spans="1:39" s="86" customFormat="1" hidden="1" x14ac:dyDescent="0.3">
      <c r="A8096" s="89" t="s">
        <v>3978</v>
      </c>
      <c r="B8096" s="86" t="s">
        <v>35</v>
      </c>
      <c r="C8096" s="86" t="s">
        <v>36</v>
      </c>
      <c r="D8096" s="86" t="s">
        <v>185</v>
      </c>
      <c r="E8096" s="86" t="s">
        <v>2409</v>
      </c>
      <c r="F8096" s="86" t="s">
        <v>4172</v>
      </c>
      <c r="G8096" s="86" t="s">
        <v>2409</v>
      </c>
      <c r="H8096" s="143">
        <v>365</v>
      </c>
      <c r="I8096" s="86" t="s">
        <v>3210</v>
      </c>
      <c r="J8096" s="1" t="s">
        <v>3323</v>
      </c>
      <c r="K8096" s="1">
        <v>360</v>
      </c>
      <c r="L8096" s="1" t="s">
        <v>35</v>
      </c>
      <c r="M8096" s="86" t="s">
        <v>2409</v>
      </c>
      <c r="O8096" s="47" t="s">
        <v>45</v>
      </c>
      <c r="P8096" s="47" t="s">
        <v>46</v>
      </c>
      <c r="Q8096" s="14">
        <v>0.311</v>
      </c>
      <c r="R8096" s="143">
        <v>3193605449</v>
      </c>
      <c r="S8096" s="47"/>
      <c r="T8096" s="6"/>
      <c r="U8096" s="6">
        <v>6000</v>
      </c>
      <c r="V8096" s="6">
        <v>0</v>
      </c>
      <c r="W8096" s="6">
        <f t="shared" si="1261"/>
        <v>6000</v>
      </c>
      <c r="X8096" s="6">
        <f t="shared" si="1262"/>
        <v>0</v>
      </c>
      <c r="Y8096" s="13">
        <f t="shared" si="1257"/>
        <v>0</v>
      </c>
      <c r="Z8096" s="66">
        <v>0</v>
      </c>
      <c r="AA8096" s="6">
        <v>0</v>
      </c>
      <c r="AB8096" s="4">
        <f t="shared" si="1258"/>
        <v>0</v>
      </c>
      <c r="AC8096" s="6">
        <f t="shared" si="1265"/>
        <v>0</v>
      </c>
      <c r="AD8096" s="6">
        <f t="shared" si="1263"/>
        <v>0</v>
      </c>
      <c r="AE8096" s="14">
        <v>0.15</v>
      </c>
      <c r="AF8096" s="6">
        <f t="shared" si="1255"/>
        <v>0</v>
      </c>
      <c r="AG8096" s="14">
        <v>0.4</v>
      </c>
      <c r="AH8096" s="6">
        <f t="shared" si="1264"/>
        <v>0</v>
      </c>
      <c r="AI8096" s="66"/>
      <c r="AJ8096" s="126" t="e">
        <v>#N/A</v>
      </c>
      <c r="AK8096" s="80">
        <f t="shared" si="1259"/>
        <v>0</v>
      </c>
      <c r="AL8096" s="85"/>
      <c r="AM8096" s="85"/>
    </row>
    <row r="8097" spans="1:39" s="86" customFormat="1" hidden="1" x14ac:dyDescent="0.3">
      <c r="A8097" s="89" t="s">
        <v>3978</v>
      </c>
      <c r="B8097" s="86" t="s">
        <v>35</v>
      </c>
      <c r="C8097" s="86" t="s">
        <v>36</v>
      </c>
      <c r="D8097" s="86" t="s">
        <v>185</v>
      </c>
      <c r="E8097" s="86" t="s">
        <v>2409</v>
      </c>
      <c r="F8097" s="86" t="s">
        <v>4172</v>
      </c>
      <c r="G8097" s="86" t="s">
        <v>2409</v>
      </c>
      <c r="H8097" s="144">
        <v>365</v>
      </c>
      <c r="I8097" s="86" t="s">
        <v>3210</v>
      </c>
      <c r="J8097" s="1" t="s">
        <v>3323</v>
      </c>
      <c r="K8097" s="1">
        <v>360</v>
      </c>
      <c r="L8097" s="1" t="s">
        <v>35</v>
      </c>
      <c r="M8097" s="86" t="s">
        <v>2409</v>
      </c>
      <c r="O8097" s="47" t="s">
        <v>45</v>
      </c>
      <c r="P8097" s="47" t="s">
        <v>46</v>
      </c>
      <c r="Q8097" s="14">
        <v>0.311</v>
      </c>
      <c r="R8097" s="143">
        <v>3221064616</v>
      </c>
      <c r="S8097" s="47"/>
      <c r="T8097" s="6"/>
      <c r="U8097" s="6">
        <v>110000</v>
      </c>
      <c r="V8097" s="6">
        <v>69414.780000000013</v>
      </c>
      <c r="W8097" s="6">
        <f t="shared" si="1261"/>
        <v>40585.219999999987</v>
      </c>
      <c r="X8097" s="6">
        <f t="shared" si="1262"/>
        <v>40569.713617767396</v>
      </c>
      <c r="Y8097" s="13">
        <f t="shared" si="1257"/>
        <v>0</v>
      </c>
      <c r="Z8097" s="66">
        <v>0</v>
      </c>
      <c r="AA8097" s="6">
        <v>0</v>
      </c>
      <c r="AB8097" s="4">
        <f t="shared" si="1258"/>
        <v>40569.713617767396</v>
      </c>
      <c r="AC8097" s="6">
        <f t="shared" si="1265"/>
        <v>28845.066382232617</v>
      </c>
      <c r="AD8097" s="6">
        <f t="shared" si="1263"/>
        <v>69414.780000000013</v>
      </c>
      <c r="AE8097" s="14">
        <v>0.15</v>
      </c>
      <c r="AF8097" s="6">
        <f t="shared" si="1255"/>
        <v>10412.217000000002</v>
      </c>
      <c r="AG8097" s="14">
        <v>0.4</v>
      </c>
      <c r="AH8097" s="6">
        <f t="shared" si="1264"/>
        <v>49581.985714285729</v>
      </c>
      <c r="AI8097" s="66"/>
      <c r="AJ8097" s="126" t="e">
        <v>#N/A</v>
      </c>
      <c r="AK8097" s="80">
        <f t="shared" si="1259"/>
        <v>0</v>
      </c>
      <c r="AL8097" s="85"/>
      <c r="AM8097" s="85"/>
    </row>
    <row r="8098" spans="1:39" s="86" customFormat="1" hidden="1" x14ac:dyDescent="0.3">
      <c r="A8098" s="89" t="s">
        <v>3978</v>
      </c>
      <c r="B8098" s="86" t="s">
        <v>35</v>
      </c>
      <c r="C8098" s="86" t="s">
        <v>36</v>
      </c>
      <c r="D8098" s="86" t="s">
        <v>185</v>
      </c>
      <c r="E8098" s="86" t="s">
        <v>2409</v>
      </c>
      <c r="F8098" s="86" t="s">
        <v>4172</v>
      </c>
      <c r="G8098" s="86" t="s">
        <v>2409</v>
      </c>
      <c r="H8098" s="144">
        <v>365</v>
      </c>
      <c r="I8098" s="86" t="s">
        <v>3210</v>
      </c>
      <c r="J8098" s="1" t="s">
        <v>3323</v>
      </c>
      <c r="K8098" s="1">
        <v>360</v>
      </c>
      <c r="L8098" s="1" t="s">
        <v>35</v>
      </c>
      <c r="M8098" s="86" t="s">
        <v>2409</v>
      </c>
      <c r="O8098" s="47" t="s">
        <v>45</v>
      </c>
      <c r="P8098" s="47" t="s">
        <v>46</v>
      </c>
      <c r="Q8098" s="14">
        <v>0.311</v>
      </c>
      <c r="R8098" s="143">
        <v>3255692299</v>
      </c>
      <c r="S8098" s="47"/>
      <c r="T8098" s="6"/>
      <c r="U8098" s="6">
        <v>12000</v>
      </c>
      <c r="V8098" s="6">
        <v>6383.08</v>
      </c>
      <c r="W8098" s="6">
        <f t="shared" si="1261"/>
        <v>5616.92</v>
      </c>
      <c r="X8098" s="6">
        <f t="shared" si="1262"/>
        <v>3730.6136762127412</v>
      </c>
      <c r="Y8098" s="13">
        <f t="shared" si="1257"/>
        <v>0</v>
      </c>
      <c r="Z8098" s="66">
        <v>0</v>
      </c>
      <c r="AA8098" s="6">
        <v>0</v>
      </c>
      <c r="AB8098" s="4">
        <f t="shared" si="1258"/>
        <v>3730.6136762127412</v>
      </c>
      <c r="AC8098" s="6">
        <f t="shared" si="1265"/>
        <v>2652.4663237872587</v>
      </c>
      <c r="AD8098" s="6">
        <f t="shared" si="1263"/>
        <v>6383.08</v>
      </c>
      <c r="AE8098" s="14">
        <v>0.15</v>
      </c>
      <c r="AF8098" s="6">
        <f t="shared" si="1255"/>
        <v>957.46199999999999</v>
      </c>
      <c r="AG8098" s="14">
        <v>0.4</v>
      </c>
      <c r="AH8098" s="6">
        <f t="shared" si="1264"/>
        <v>4559.3428571428576</v>
      </c>
      <c r="AI8098" s="66"/>
      <c r="AJ8098" s="126" t="e">
        <v>#N/A</v>
      </c>
      <c r="AK8098" s="80">
        <f t="shared" si="1259"/>
        <v>0</v>
      </c>
      <c r="AL8098" s="85"/>
      <c r="AM8098" s="85"/>
    </row>
    <row r="8099" spans="1:39" s="86" customFormat="1" hidden="1" x14ac:dyDescent="0.3">
      <c r="A8099" s="89" t="s">
        <v>3978</v>
      </c>
      <c r="B8099" s="86" t="s">
        <v>35</v>
      </c>
      <c r="C8099" s="86" t="s">
        <v>36</v>
      </c>
      <c r="D8099" s="86" t="s">
        <v>185</v>
      </c>
      <c r="E8099" s="86" t="s">
        <v>2409</v>
      </c>
      <c r="F8099" s="86" t="s">
        <v>4172</v>
      </c>
      <c r="G8099" s="86" t="s">
        <v>2409</v>
      </c>
      <c r="H8099" s="144">
        <v>365</v>
      </c>
      <c r="I8099" s="86" t="s">
        <v>3210</v>
      </c>
      <c r="J8099" s="1" t="s">
        <v>3323</v>
      </c>
      <c r="K8099" s="1">
        <v>360</v>
      </c>
      <c r="L8099" s="1" t="s">
        <v>35</v>
      </c>
      <c r="M8099" s="86" t="s">
        <v>2418</v>
      </c>
      <c r="O8099" s="47" t="s">
        <v>45</v>
      </c>
      <c r="P8099" s="47" t="s">
        <v>46</v>
      </c>
      <c r="Q8099" s="14">
        <v>0.311</v>
      </c>
      <c r="R8099" s="143">
        <v>3129970856</v>
      </c>
      <c r="S8099" s="47"/>
      <c r="T8099" s="6"/>
      <c r="U8099" s="6">
        <v>530000</v>
      </c>
      <c r="V8099" s="6">
        <v>283386.91000000003</v>
      </c>
      <c r="W8099" s="6">
        <f t="shared" si="1261"/>
        <v>246613.08999999997</v>
      </c>
      <c r="X8099" s="6">
        <f t="shared" si="1262"/>
        <v>165626.48158971366</v>
      </c>
      <c r="Y8099" s="13">
        <f t="shared" si="1257"/>
        <v>0</v>
      </c>
      <c r="Z8099" s="66">
        <v>0</v>
      </c>
      <c r="AA8099" s="6">
        <v>0</v>
      </c>
      <c r="AB8099" s="4">
        <f t="shared" si="1258"/>
        <v>165626.48158971366</v>
      </c>
      <c r="AC8099" s="6">
        <f t="shared" si="1265"/>
        <v>117760.42841028637</v>
      </c>
      <c r="AD8099" s="6">
        <f t="shared" si="1263"/>
        <v>283386.91000000003</v>
      </c>
      <c r="AE8099" s="14">
        <v>0.15</v>
      </c>
      <c r="AF8099" s="6">
        <f t="shared" si="1255"/>
        <v>42508.036500000002</v>
      </c>
      <c r="AG8099" s="14">
        <v>0.4</v>
      </c>
      <c r="AH8099" s="6">
        <f t="shared" si="1264"/>
        <v>202419.22142857147</v>
      </c>
      <c r="AI8099" s="66"/>
      <c r="AJ8099" s="126" t="e">
        <v>#N/A</v>
      </c>
      <c r="AK8099" s="80">
        <f t="shared" si="1259"/>
        <v>0</v>
      </c>
      <c r="AL8099" s="85"/>
      <c r="AM8099" s="85"/>
    </row>
    <row r="8100" spans="1:39" s="86" customFormat="1" hidden="1" x14ac:dyDescent="0.3">
      <c r="A8100" s="89" t="s">
        <v>3978</v>
      </c>
      <c r="B8100" s="86" t="s">
        <v>35</v>
      </c>
      <c r="C8100" s="86" t="s">
        <v>36</v>
      </c>
      <c r="D8100" s="86" t="s">
        <v>185</v>
      </c>
      <c r="E8100" s="86" t="s">
        <v>2418</v>
      </c>
      <c r="F8100" s="86" t="s">
        <v>4174</v>
      </c>
      <c r="G8100" s="86" t="s">
        <v>2418</v>
      </c>
      <c r="H8100" s="144">
        <v>365</v>
      </c>
      <c r="I8100" s="86" t="s">
        <v>3210</v>
      </c>
      <c r="J8100" s="1" t="s">
        <v>3323</v>
      </c>
      <c r="K8100" s="1">
        <v>360</v>
      </c>
      <c r="L8100" s="1" t="s">
        <v>35</v>
      </c>
      <c r="M8100" s="86" t="s">
        <v>2420</v>
      </c>
      <c r="O8100" s="47" t="s">
        <v>45</v>
      </c>
      <c r="P8100" s="47" t="s">
        <v>46</v>
      </c>
      <c r="Q8100" s="14">
        <v>0.311</v>
      </c>
      <c r="R8100" s="143">
        <v>2868452813</v>
      </c>
      <c r="S8100" s="47"/>
      <c r="T8100" s="6"/>
      <c r="U8100" s="6">
        <v>100000</v>
      </c>
      <c r="V8100" s="6">
        <v>63444.39</v>
      </c>
      <c r="W8100" s="6">
        <f t="shared" si="1261"/>
        <v>36555.61</v>
      </c>
      <c r="X8100" s="6">
        <f t="shared" si="1262"/>
        <v>37080.298071303332</v>
      </c>
      <c r="Y8100" s="13">
        <f t="shared" si="1257"/>
        <v>0</v>
      </c>
      <c r="Z8100" s="66">
        <v>0</v>
      </c>
      <c r="AA8100" s="6">
        <v>0</v>
      </c>
      <c r="AB8100" s="4">
        <f t="shared" si="1258"/>
        <v>37080.298071303332</v>
      </c>
      <c r="AC8100" s="6">
        <f t="shared" si="1265"/>
        <v>26364.091928696667</v>
      </c>
      <c r="AD8100" s="6">
        <f t="shared" si="1263"/>
        <v>63444.39</v>
      </c>
      <c r="AE8100" s="14">
        <v>0.15</v>
      </c>
      <c r="AF8100" s="6">
        <f t="shared" si="1255"/>
        <v>9516.6584999999995</v>
      </c>
      <c r="AG8100" s="14">
        <v>0.4</v>
      </c>
      <c r="AH8100" s="6">
        <f t="shared" si="1264"/>
        <v>45317.421428571433</v>
      </c>
      <c r="AI8100" s="66"/>
      <c r="AJ8100" s="126" t="e">
        <v>#N/A</v>
      </c>
      <c r="AK8100" s="80">
        <f t="shared" si="1259"/>
        <v>0</v>
      </c>
      <c r="AL8100" s="85"/>
      <c r="AM8100" s="85"/>
    </row>
    <row r="8101" spans="1:39" s="86" customFormat="1" hidden="1" x14ac:dyDescent="0.3">
      <c r="A8101" s="89" t="s">
        <v>3792</v>
      </c>
      <c r="B8101" s="86" t="s">
        <v>35</v>
      </c>
      <c r="C8101" s="86" t="s">
        <v>36</v>
      </c>
      <c r="D8101" s="86" t="s">
        <v>185</v>
      </c>
      <c r="E8101" s="86" t="s">
        <v>2418</v>
      </c>
      <c r="F8101" s="86" t="s">
        <v>4174</v>
      </c>
      <c r="G8101" s="86" t="s">
        <v>2418</v>
      </c>
      <c r="H8101" s="144">
        <v>365</v>
      </c>
      <c r="I8101" s="86" t="s">
        <v>3210</v>
      </c>
      <c r="J8101" s="1" t="s">
        <v>3323</v>
      </c>
      <c r="K8101" s="1">
        <v>360</v>
      </c>
      <c r="L8101" s="1" t="s">
        <v>35</v>
      </c>
      <c r="M8101" s="86" t="s">
        <v>2420</v>
      </c>
      <c r="O8101" s="47" t="s">
        <v>45</v>
      </c>
      <c r="P8101" s="47" t="s">
        <v>46</v>
      </c>
      <c r="Q8101" s="14">
        <v>0.311</v>
      </c>
      <c r="R8101" s="143">
        <v>3072051193</v>
      </c>
      <c r="S8101" s="47"/>
      <c r="T8101" s="6"/>
      <c r="U8101" s="6">
        <v>56000</v>
      </c>
      <c r="V8101" s="6">
        <v>40299.990000000005</v>
      </c>
      <c r="W8101" s="6">
        <f t="shared" si="1261"/>
        <v>15700.009999999995</v>
      </c>
      <c r="X8101" s="6">
        <f t="shared" si="1262"/>
        <v>23553.471654003512</v>
      </c>
      <c r="Y8101" s="13">
        <f t="shared" si="1257"/>
        <v>0</v>
      </c>
      <c r="Z8101" s="66">
        <v>0</v>
      </c>
      <c r="AA8101" s="6">
        <v>0</v>
      </c>
      <c r="AB8101" s="4">
        <f t="shared" si="1258"/>
        <v>23553.471654003512</v>
      </c>
      <c r="AC8101" s="6">
        <f t="shared" si="1265"/>
        <v>16746.518345996494</v>
      </c>
      <c r="AD8101" s="6">
        <f t="shared" si="1263"/>
        <v>40299.990000000005</v>
      </c>
      <c r="AE8101" s="14">
        <v>0.15</v>
      </c>
      <c r="AF8101" s="6">
        <f t="shared" si="1255"/>
        <v>6044.9985000000006</v>
      </c>
      <c r="AG8101" s="14">
        <v>0.4</v>
      </c>
      <c r="AH8101" s="6">
        <f t="shared" si="1264"/>
        <v>28785.707142857147</v>
      </c>
      <c r="AI8101" s="66"/>
      <c r="AJ8101" s="126" t="e">
        <v>#N/A</v>
      </c>
      <c r="AK8101" s="80">
        <f t="shared" si="1259"/>
        <v>0</v>
      </c>
      <c r="AL8101" s="85"/>
      <c r="AM8101" s="85"/>
    </row>
    <row r="8102" spans="1:39" s="86" customFormat="1" hidden="1" x14ac:dyDescent="0.3">
      <c r="A8102" s="89" t="s">
        <v>3978</v>
      </c>
      <c r="B8102" s="86" t="s">
        <v>35</v>
      </c>
      <c r="C8102" s="86" t="s">
        <v>36</v>
      </c>
      <c r="D8102" s="86" t="s">
        <v>185</v>
      </c>
      <c r="E8102" s="86" t="s">
        <v>2418</v>
      </c>
      <c r="F8102" s="86" t="s">
        <v>4174</v>
      </c>
      <c r="G8102" s="86" t="s">
        <v>2418</v>
      </c>
      <c r="H8102" s="144">
        <v>365</v>
      </c>
      <c r="I8102" s="86" t="s">
        <v>3210</v>
      </c>
      <c r="J8102" s="1" t="s">
        <v>3323</v>
      </c>
      <c r="K8102" s="1">
        <v>360</v>
      </c>
      <c r="L8102" s="1" t="s">
        <v>35</v>
      </c>
      <c r="M8102" s="86" t="s">
        <v>2420</v>
      </c>
      <c r="O8102" s="47" t="s">
        <v>45</v>
      </c>
      <c r="P8102" s="47" t="s">
        <v>46</v>
      </c>
      <c r="Q8102" s="14">
        <v>0.311</v>
      </c>
      <c r="R8102" s="143">
        <v>3075508503</v>
      </c>
      <c r="S8102" s="47"/>
      <c r="T8102" s="6"/>
      <c r="U8102" s="6">
        <v>200000</v>
      </c>
      <c r="V8102" s="6">
        <v>124189.58000000002</v>
      </c>
      <c r="W8102" s="6">
        <f t="shared" si="1261"/>
        <v>75810.419999999984</v>
      </c>
      <c r="X8102" s="6">
        <f t="shared" si="1262"/>
        <v>72583.03915838692</v>
      </c>
      <c r="Y8102" s="13">
        <f t="shared" si="1257"/>
        <v>0</v>
      </c>
      <c r="Z8102" s="66">
        <v>0</v>
      </c>
      <c r="AA8102" s="6">
        <v>0</v>
      </c>
      <c r="AB8102" s="4">
        <f t="shared" si="1258"/>
        <v>72583.03915838692</v>
      </c>
      <c r="AC8102" s="6">
        <f t="shared" si="1265"/>
        <v>51606.540841613096</v>
      </c>
      <c r="AD8102" s="6">
        <f t="shared" si="1263"/>
        <v>124189.58000000002</v>
      </c>
      <c r="AE8102" s="14">
        <v>0.15</v>
      </c>
      <c r="AF8102" s="6">
        <f t="shared" si="1255"/>
        <v>18628.437000000002</v>
      </c>
      <c r="AG8102" s="14">
        <v>0.4</v>
      </c>
      <c r="AH8102" s="6">
        <f t="shared" si="1264"/>
        <v>88706.842857142881</v>
      </c>
      <c r="AI8102" s="66"/>
      <c r="AJ8102" s="126" t="e">
        <v>#N/A</v>
      </c>
      <c r="AK8102" s="80">
        <f t="shared" si="1259"/>
        <v>0</v>
      </c>
      <c r="AL8102" s="85"/>
      <c r="AM8102" s="85"/>
    </row>
    <row r="8103" spans="1:39" s="86" customFormat="1" hidden="1" x14ac:dyDescent="0.3">
      <c r="A8103" s="89" t="s">
        <v>3978</v>
      </c>
      <c r="B8103" s="86" t="s">
        <v>35</v>
      </c>
      <c r="C8103" s="86" t="s">
        <v>36</v>
      </c>
      <c r="D8103" s="86" t="s">
        <v>185</v>
      </c>
      <c r="E8103" s="86" t="s">
        <v>2418</v>
      </c>
      <c r="F8103" s="86" t="s">
        <v>4174</v>
      </c>
      <c r="G8103" s="86" t="s">
        <v>2418</v>
      </c>
      <c r="H8103" s="144">
        <v>365</v>
      </c>
      <c r="I8103" s="86" t="s">
        <v>3210</v>
      </c>
      <c r="J8103" s="1" t="s">
        <v>3323</v>
      </c>
      <c r="K8103" s="1">
        <v>360</v>
      </c>
      <c r="L8103" s="1" t="s">
        <v>35</v>
      </c>
      <c r="M8103" s="86" t="s">
        <v>2420</v>
      </c>
      <c r="O8103" s="47" t="s">
        <v>45</v>
      </c>
      <c r="P8103" s="47" t="s">
        <v>46</v>
      </c>
      <c r="Q8103" s="14">
        <v>0.311</v>
      </c>
      <c r="R8103" s="143">
        <v>3101453668</v>
      </c>
      <c r="S8103" s="47"/>
      <c r="T8103" s="6"/>
      <c r="U8103" s="6">
        <v>100000</v>
      </c>
      <c r="V8103" s="6">
        <v>52579.590000000004</v>
      </c>
      <c r="W8103" s="6">
        <f t="shared" si="1261"/>
        <v>47420.409999999996</v>
      </c>
      <c r="X8103" s="6">
        <f t="shared" si="1262"/>
        <v>30730.327293980132</v>
      </c>
      <c r="Y8103" s="13">
        <f t="shared" si="1257"/>
        <v>0</v>
      </c>
      <c r="Z8103" s="66">
        <v>0</v>
      </c>
      <c r="AA8103" s="6">
        <v>0</v>
      </c>
      <c r="AB8103" s="4">
        <f t="shared" si="1258"/>
        <v>30730.327293980132</v>
      </c>
      <c r="AC8103" s="6">
        <f t="shared" si="1265"/>
        <v>21849.262706019872</v>
      </c>
      <c r="AD8103" s="6">
        <f t="shared" si="1263"/>
        <v>52579.590000000004</v>
      </c>
      <c r="AE8103" s="14">
        <v>0.15</v>
      </c>
      <c r="AF8103" s="6">
        <f t="shared" si="1255"/>
        <v>7886.9385000000002</v>
      </c>
      <c r="AG8103" s="14">
        <v>0.4</v>
      </c>
      <c r="AH8103" s="6">
        <f t="shared" si="1264"/>
        <v>37556.850000000006</v>
      </c>
      <c r="AI8103" s="66"/>
      <c r="AJ8103" s="126" t="e">
        <v>#N/A</v>
      </c>
      <c r="AK8103" s="80">
        <f t="shared" si="1259"/>
        <v>0</v>
      </c>
      <c r="AL8103" s="85"/>
      <c r="AM8103" s="85"/>
    </row>
    <row r="8104" spans="1:39" s="86" customFormat="1" hidden="1" x14ac:dyDescent="0.3">
      <c r="A8104" s="89" t="s">
        <v>3978</v>
      </c>
      <c r="B8104" s="86" t="s">
        <v>35</v>
      </c>
      <c r="C8104" s="86" t="s">
        <v>36</v>
      </c>
      <c r="D8104" s="86" t="s">
        <v>185</v>
      </c>
      <c r="E8104" s="86" t="s">
        <v>2418</v>
      </c>
      <c r="F8104" s="86" t="s">
        <v>4174</v>
      </c>
      <c r="G8104" s="86" t="s">
        <v>2418</v>
      </c>
      <c r="H8104" s="144">
        <v>365</v>
      </c>
      <c r="I8104" s="86" t="s">
        <v>3210</v>
      </c>
      <c r="J8104" s="1" t="s">
        <v>3323</v>
      </c>
      <c r="K8104" s="1">
        <v>360</v>
      </c>
      <c r="L8104" s="1" t="s">
        <v>35</v>
      </c>
      <c r="M8104" s="86" t="s">
        <v>2420</v>
      </c>
      <c r="O8104" s="47" t="s">
        <v>45</v>
      </c>
      <c r="P8104" s="47" t="s">
        <v>46</v>
      </c>
      <c r="Q8104" s="14">
        <v>0.311</v>
      </c>
      <c r="R8104" s="143">
        <v>3158348119</v>
      </c>
      <c r="S8104" s="47"/>
      <c r="T8104" s="6"/>
      <c r="U8104" s="6">
        <v>2200000</v>
      </c>
      <c r="V8104" s="6">
        <v>731226.42999999993</v>
      </c>
      <c r="W8104" s="6">
        <f t="shared" si="1261"/>
        <v>1468773.57</v>
      </c>
      <c r="X8104" s="6">
        <f t="shared" si="1262"/>
        <v>427367.87258912914</v>
      </c>
      <c r="Y8104" s="13">
        <f t="shared" si="1257"/>
        <v>0</v>
      </c>
      <c r="Z8104" s="66">
        <v>0</v>
      </c>
      <c r="AA8104" s="6">
        <v>0</v>
      </c>
      <c r="AB8104" s="4">
        <f t="shared" si="1258"/>
        <v>427367.87258912914</v>
      </c>
      <c r="AC8104" s="6">
        <f t="shared" si="1265"/>
        <v>303858.5574108708</v>
      </c>
      <c r="AD8104" s="6">
        <f t="shared" si="1263"/>
        <v>731226.42999999993</v>
      </c>
      <c r="AE8104" s="14">
        <v>0.15</v>
      </c>
      <c r="AF8104" s="6">
        <f t="shared" si="1255"/>
        <v>109683.96449999999</v>
      </c>
      <c r="AG8104" s="14">
        <v>0.4</v>
      </c>
      <c r="AH8104" s="6">
        <f t="shared" si="1264"/>
        <v>522304.59285714285</v>
      </c>
      <c r="AI8104" s="66"/>
      <c r="AJ8104" s="126" t="e">
        <v>#N/A</v>
      </c>
      <c r="AK8104" s="80">
        <f t="shared" si="1259"/>
        <v>0</v>
      </c>
      <c r="AL8104" s="85"/>
      <c r="AM8104" s="85"/>
    </row>
    <row r="8105" spans="1:39" s="86" customFormat="1" hidden="1" x14ac:dyDescent="0.3">
      <c r="A8105" s="89" t="s">
        <v>3978</v>
      </c>
      <c r="B8105" s="86" t="s">
        <v>35</v>
      </c>
      <c r="C8105" s="86" t="s">
        <v>36</v>
      </c>
      <c r="D8105" s="86" t="s">
        <v>185</v>
      </c>
      <c r="E8105" s="86" t="s">
        <v>2418</v>
      </c>
      <c r="F8105" s="86" t="s">
        <v>4174</v>
      </c>
      <c r="G8105" s="86" t="s">
        <v>2418</v>
      </c>
      <c r="H8105" s="144">
        <v>365</v>
      </c>
      <c r="I8105" s="86" t="s">
        <v>3210</v>
      </c>
      <c r="J8105" s="1" t="s">
        <v>3323</v>
      </c>
      <c r="K8105" s="1">
        <v>360</v>
      </c>
      <c r="L8105" s="1" t="s">
        <v>35</v>
      </c>
      <c r="M8105" s="86" t="s">
        <v>2409</v>
      </c>
      <c r="O8105" s="47" t="s">
        <v>45</v>
      </c>
      <c r="P8105" s="47" t="s">
        <v>46</v>
      </c>
      <c r="Q8105" s="14">
        <v>0.311</v>
      </c>
      <c r="R8105" s="143">
        <v>3161312228</v>
      </c>
      <c r="S8105" s="47"/>
      <c r="T8105" s="6"/>
      <c r="U8105" s="6">
        <v>84000</v>
      </c>
      <c r="V8105" s="6">
        <v>53063.659999999996</v>
      </c>
      <c r="W8105" s="6">
        <f t="shared" si="1261"/>
        <v>30936.340000000004</v>
      </c>
      <c r="X8105" s="6">
        <f t="shared" si="1262"/>
        <v>31013.243717124489</v>
      </c>
      <c r="Y8105" s="13">
        <f t="shared" si="1257"/>
        <v>0</v>
      </c>
      <c r="Z8105" s="66">
        <v>0</v>
      </c>
      <c r="AA8105" s="6">
        <v>0</v>
      </c>
      <c r="AB8105" s="4">
        <f t="shared" si="1258"/>
        <v>31013.243717124489</v>
      </c>
      <c r="AC8105" s="6">
        <f t="shared" si="1265"/>
        <v>22050.416282875507</v>
      </c>
      <c r="AD8105" s="6">
        <f t="shared" si="1263"/>
        <v>53063.659999999996</v>
      </c>
      <c r="AE8105" s="14">
        <v>0.15</v>
      </c>
      <c r="AF8105" s="6">
        <f t="shared" si="1255"/>
        <v>7959.5489999999991</v>
      </c>
      <c r="AG8105" s="14">
        <v>0.4</v>
      </c>
      <c r="AH8105" s="6">
        <f t="shared" si="1264"/>
        <v>37902.614285714284</v>
      </c>
      <c r="AI8105" s="66"/>
      <c r="AJ8105" s="126" t="e">
        <v>#N/A</v>
      </c>
      <c r="AK8105" s="80">
        <f t="shared" si="1259"/>
        <v>0</v>
      </c>
      <c r="AL8105" s="85"/>
      <c r="AM8105" s="85"/>
    </row>
    <row r="8106" spans="1:39" s="86" customFormat="1" hidden="1" x14ac:dyDescent="0.3">
      <c r="A8106" s="89" t="s">
        <v>3792</v>
      </c>
      <c r="B8106" s="86" t="s">
        <v>35</v>
      </c>
      <c r="C8106" s="86" t="s">
        <v>36</v>
      </c>
      <c r="D8106" s="86" t="s">
        <v>185</v>
      </c>
      <c r="E8106" s="86" t="s">
        <v>2418</v>
      </c>
      <c r="F8106" s="86" t="s">
        <v>4174</v>
      </c>
      <c r="G8106" s="86" t="s">
        <v>2418</v>
      </c>
      <c r="H8106" s="144">
        <v>365</v>
      </c>
      <c r="I8106" s="86" t="s">
        <v>3210</v>
      </c>
      <c r="J8106" s="1" t="s">
        <v>3323</v>
      </c>
      <c r="K8106" s="1">
        <v>360</v>
      </c>
      <c r="L8106" s="1" t="s">
        <v>35</v>
      </c>
      <c r="M8106" s="86" t="s">
        <v>2423</v>
      </c>
      <c r="O8106" s="47" t="s">
        <v>45</v>
      </c>
      <c r="P8106" s="47" t="s">
        <v>46</v>
      </c>
      <c r="Q8106" s="14">
        <v>0.311</v>
      </c>
      <c r="R8106" s="143">
        <v>3055200966</v>
      </c>
      <c r="S8106" s="47"/>
      <c r="T8106" s="6"/>
      <c r="U8106" s="6">
        <v>65000</v>
      </c>
      <c r="V8106" s="6">
        <v>40100.119999999995</v>
      </c>
      <c r="W8106" s="6">
        <f t="shared" si="1261"/>
        <v>24899.880000000005</v>
      </c>
      <c r="X8106" s="6">
        <f t="shared" si="1262"/>
        <v>23436.656925774401</v>
      </c>
      <c r="Y8106" s="13">
        <f t="shared" si="1257"/>
        <v>0</v>
      </c>
      <c r="Z8106" s="66">
        <v>0</v>
      </c>
      <c r="AA8106" s="6">
        <v>0</v>
      </c>
      <c r="AB8106" s="4">
        <f t="shared" si="1258"/>
        <v>23436.656925774401</v>
      </c>
      <c r="AC8106" s="6">
        <f t="shared" si="1265"/>
        <v>16663.463074225594</v>
      </c>
      <c r="AD8106" s="6">
        <f t="shared" si="1263"/>
        <v>40100.119999999995</v>
      </c>
      <c r="AE8106" s="14">
        <v>0.15</v>
      </c>
      <c r="AF8106" s="6">
        <f t="shared" si="1255"/>
        <v>6015.0179999999991</v>
      </c>
      <c r="AG8106" s="14">
        <v>0.4</v>
      </c>
      <c r="AH8106" s="6">
        <f t="shared" si="1264"/>
        <v>28642.942857142854</v>
      </c>
      <c r="AI8106" s="66"/>
      <c r="AJ8106" s="126" t="e">
        <v>#N/A</v>
      </c>
      <c r="AK8106" s="80">
        <f t="shared" si="1259"/>
        <v>0</v>
      </c>
      <c r="AL8106" s="85"/>
      <c r="AM8106" s="85"/>
    </row>
    <row r="8107" spans="1:39" s="86" customFormat="1" hidden="1" x14ac:dyDescent="0.3">
      <c r="A8107" s="89" t="s">
        <v>3978</v>
      </c>
      <c r="B8107" s="86" t="s">
        <v>35</v>
      </c>
      <c r="C8107" s="86" t="s">
        <v>65</v>
      </c>
      <c r="D8107" s="86" t="s">
        <v>122</v>
      </c>
      <c r="E8107" s="86" t="s">
        <v>4175</v>
      </c>
      <c r="F8107" s="86" t="s">
        <v>4175</v>
      </c>
      <c r="G8107" s="86" t="s">
        <v>4175</v>
      </c>
      <c r="H8107" s="144">
        <v>365</v>
      </c>
      <c r="I8107" s="86" t="s">
        <v>3210</v>
      </c>
      <c r="J8107" s="1" t="s">
        <v>3323</v>
      </c>
      <c r="K8107" s="1">
        <v>360</v>
      </c>
      <c r="L8107" s="1" t="s">
        <v>35</v>
      </c>
      <c r="M8107" s="86" t="s">
        <v>4176</v>
      </c>
      <c r="O8107" s="47" t="s">
        <v>45</v>
      </c>
      <c r="P8107" s="47" t="s">
        <v>46</v>
      </c>
      <c r="Q8107" s="14">
        <v>0.13</v>
      </c>
      <c r="R8107" s="143">
        <v>2519556257</v>
      </c>
      <c r="S8107" s="47"/>
      <c r="T8107" s="6"/>
      <c r="U8107" s="6">
        <v>19417.47</v>
      </c>
      <c r="V8107" s="6">
        <v>34548.579999999994</v>
      </c>
      <c r="W8107" s="6">
        <f t="shared" si="1261"/>
        <v>-15131.109999999993</v>
      </c>
      <c r="X8107" s="6">
        <f t="shared" si="1262"/>
        <v>29783.258620689652</v>
      </c>
      <c r="Y8107" s="13">
        <f t="shared" si="1257"/>
        <v>0</v>
      </c>
      <c r="Z8107" s="66">
        <v>0</v>
      </c>
      <c r="AA8107" s="6">
        <v>0</v>
      </c>
      <c r="AB8107" s="4">
        <f t="shared" si="1258"/>
        <v>29783.258620689652</v>
      </c>
      <c r="AC8107" s="6">
        <f t="shared" si="1265"/>
        <v>4765.3213793103423</v>
      </c>
      <c r="AD8107" s="6">
        <f t="shared" si="1263"/>
        <v>34548.579999999994</v>
      </c>
      <c r="AE8107" s="14">
        <v>0.15</v>
      </c>
      <c r="AF8107" s="6">
        <f t="shared" si="1255"/>
        <v>5182.2869999999994</v>
      </c>
      <c r="AG8107" s="14">
        <v>0.03</v>
      </c>
      <c r="AH8107" s="6">
        <f t="shared" si="1264"/>
        <v>33542.310679611641</v>
      </c>
      <c r="AI8107" s="66"/>
      <c r="AJ8107" s="126" t="e">
        <v>#N/A</v>
      </c>
      <c r="AK8107" s="80">
        <f t="shared" si="1259"/>
        <v>0</v>
      </c>
      <c r="AL8107" s="85"/>
      <c r="AM8107" s="85"/>
    </row>
    <row r="8108" spans="1:39" s="86" customFormat="1" hidden="1" x14ac:dyDescent="0.3">
      <c r="A8108" s="89" t="s">
        <v>3978</v>
      </c>
      <c r="B8108" s="86" t="s">
        <v>35</v>
      </c>
      <c r="C8108" s="86" t="s">
        <v>65</v>
      </c>
      <c r="D8108" s="86" t="s">
        <v>122</v>
      </c>
      <c r="E8108" s="86" t="s">
        <v>4175</v>
      </c>
      <c r="F8108" s="86" t="s">
        <v>4175</v>
      </c>
      <c r="G8108" s="86" t="s">
        <v>4175</v>
      </c>
      <c r="H8108" s="144">
        <v>365</v>
      </c>
      <c r="I8108" s="86" t="s">
        <v>3210</v>
      </c>
      <c r="J8108" s="1" t="s">
        <v>3323</v>
      </c>
      <c r="K8108" s="1">
        <v>360</v>
      </c>
      <c r="L8108" s="1" t="s">
        <v>35</v>
      </c>
      <c r="M8108" s="86" t="s">
        <v>4176</v>
      </c>
      <c r="O8108" s="47" t="s">
        <v>45</v>
      </c>
      <c r="P8108" s="47" t="s">
        <v>46</v>
      </c>
      <c r="Q8108" s="14">
        <v>0.13</v>
      </c>
      <c r="R8108" s="143">
        <v>2795887650</v>
      </c>
      <c r="S8108" s="47"/>
      <c r="T8108" s="6"/>
      <c r="U8108" s="6">
        <v>19417.48</v>
      </c>
      <c r="V8108" s="6">
        <v>30266.409999999996</v>
      </c>
      <c r="W8108" s="6">
        <f t="shared" si="1261"/>
        <v>-10848.929999999997</v>
      </c>
      <c r="X8108" s="6">
        <f t="shared" si="1262"/>
        <v>26091.732758620688</v>
      </c>
      <c r="Y8108" s="13">
        <f t="shared" si="1257"/>
        <v>0</v>
      </c>
      <c r="Z8108" s="66">
        <v>0</v>
      </c>
      <c r="AA8108" s="6">
        <v>0</v>
      </c>
      <c r="AB8108" s="4">
        <f t="shared" si="1258"/>
        <v>26091.732758620688</v>
      </c>
      <c r="AC8108" s="6">
        <f t="shared" si="1265"/>
        <v>4174.6772413793078</v>
      </c>
      <c r="AD8108" s="6">
        <f t="shared" si="1263"/>
        <v>30266.409999999996</v>
      </c>
      <c r="AE8108" s="14">
        <v>0.15</v>
      </c>
      <c r="AF8108" s="6">
        <f t="shared" si="1255"/>
        <v>4539.9614999999994</v>
      </c>
      <c r="AG8108" s="14">
        <v>0.03</v>
      </c>
      <c r="AH8108" s="6">
        <f t="shared" si="1264"/>
        <v>29384.864077669899</v>
      </c>
      <c r="AI8108" s="66"/>
      <c r="AJ8108" s="126" t="e">
        <v>#N/A</v>
      </c>
      <c r="AK8108" s="80">
        <f t="shared" si="1259"/>
        <v>0</v>
      </c>
      <c r="AL8108" s="85"/>
      <c r="AM8108" s="85"/>
    </row>
    <row r="8109" spans="1:39" s="86" customFormat="1" hidden="1" x14ac:dyDescent="0.3">
      <c r="A8109" s="89" t="s">
        <v>3978</v>
      </c>
      <c r="B8109" s="86" t="s">
        <v>35</v>
      </c>
      <c r="C8109" s="86" t="s">
        <v>65</v>
      </c>
      <c r="D8109" s="86" t="s">
        <v>122</v>
      </c>
      <c r="E8109" s="86" t="s">
        <v>2393</v>
      </c>
      <c r="F8109" s="86" t="s">
        <v>3151</v>
      </c>
      <c r="G8109" s="86" t="s">
        <v>2393</v>
      </c>
      <c r="H8109" s="144">
        <v>365</v>
      </c>
      <c r="I8109" s="86" t="s">
        <v>3210</v>
      </c>
      <c r="J8109" s="1" t="s">
        <v>3323</v>
      </c>
      <c r="K8109" s="1">
        <v>360</v>
      </c>
      <c r="L8109" s="1" t="s">
        <v>35</v>
      </c>
      <c r="M8109" s="86" t="s">
        <v>2409</v>
      </c>
      <c r="O8109" s="47" t="s">
        <v>45</v>
      </c>
      <c r="P8109" s="47" t="s">
        <v>46</v>
      </c>
      <c r="Q8109" s="14">
        <v>0.311</v>
      </c>
      <c r="R8109" s="143">
        <v>2806810833</v>
      </c>
      <c r="S8109" s="47"/>
      <c r="T8109" s="6"/>
      <c r="U8109" s="6">
        <v>257142.85</v>
      </c>
      <c r="V8109" s="6">
        <v>73127.12000000001</v>
      </c>
      <c r="W8109" s="6">
        <f t="shared" si="1261"/>
        <v>184015.72999999998</v>
      </c>
      <c r="X8109" s="6">
        <f t="shared" si="1262"/>
        <v>42739.403857393343</v>
      </c>
      <c r="Y8109" s="13">
        <f t="shared" si="1257"/>
        <v>0</v>
      </c>
      <c r="Z8109" s="66">
        <v>0</v>
      </c>
      <c r="AA8109" s="6">
        <v>0</v>
      </c>
      <c r="AB8109" s="4">
        <f t="shared" si="1258"/>
        <v>42739.403857393343</v>
      </c>
      <c r="AC8109" s="6">
        <f t="shared" si="1265"/>
        <v>30387.716142606667</v>
      </c>
      <c r="AD8109" s="6">
        <f t="shared" si="1263"/>
        <v>73127.12000000001</v>
      </c>
      <c r="AE8109" s="14">
        <v>0.15</v>
      </c>
      <c r="AF8109" s="6">
        <f t="shared" si="1255"/>
        <v>10969.068000000001</v>
      </c>
      <c r="AG8109" s="14">
        <v>0.4</v>
      </c>
      <c r="AH8109" s="6">
        <f t="shared" si="1264"/>
        <v>52233.657142857155</v>
      </c>
      <c r="AI8109" s="66"/>
      <c r="AJ8109" s="126" t="e">
        <v>#N/A</v>
      </c>
      <c r="AK8109" s="80">
        <f t="shared" si="1259"/>
        <v>0</v>
      </c>
      <c r="AL8109" s="85"/>
      <c r="AM8109" s="85"/>
    </row>
    <row r="8110" spans="1:39" s="86" customFormat="1" hidden="1" x14ac:dyDescent="0.3">
      <c r="A8110" s="89" t="s">
        <v>3978</v>
      </c>
      <c r="B8110" s="86" t="s">
        <v>35</v>
      </c>
      <c r="C8110" s="86" t="s">
        <v>65</v>
      </c>
      <c r="D8110" s="86" t="s">
        <v>122</v>
      </c>
      <c r="E8110" s="86" t="s">
        <v>2393</v>
      </c>
      <c r="F8110" s="86" t="s">
        <v>3151</v>
      </c>
      <c r="G8110" s="86" t="s">
        <v>2393</v>
      </c>
      <c r="H8110" s="143">
        <v>365</v>
      </c>
      <c r="I8110" s="86" t="s">
        <v>3210</v>
      </c>
      <c r="J8110" s="1" t="s">
        <v>3323</v>
      </c>
      <c r="K8110" s="1">
        <v>360</v>
      </c>
      <c r="L8110" s="1" t="s">
        <v>35</v>
      </c>
      <c r="M8110" s="86" t="s">
        <v>2409</v>
      </c>
      <c r="O8110" s="47" t="s">
        <v>45</v>
      </c>
      <c r="P8110" s="47" t="s">
        <v>46</v>
      </c>
      <c r="Q8110" s="14">
        <v>0.311</v>
      </c>
      <c r="R8110" s="143">
        <v>3292062918</v>
      </c>
      <c r="S8110" s="47"/>
      <c r="T8110" s="6"/>
      <c r="U8110" s="6">
        <v>71428.570000000007</v>
      </c>
      <c r="V8110" s="6">
        <v>0</v>
      </c>
      <c r="W8110" s="6">
        <f t="shared" si="1261"/>
        <v>71428.570000000007</v>
      </c>
      <c r="X8110" s="6">
        <f t="shared" si="1262"/>
        <v>0</v>
      </c>
      <c r="Y8110" s="13">
        <f t="shared" si="1257"/>
        <v>0</v>
      </c>
      <c r="Z8110" s="66">
        <v>0</v>
      </c>
      <c r="AA8110" s="6">
        <v>0</v>
      </c>
      <c r="AB8110" s="4">
        <f t="shared" si="1258"/>
        <v>0</v>
      </c>
      <c r="AC8110" s="6">
        <f t="shared" si="1265"/>
        <v>0</v>
      </c>
      <c r="AD8110" s="6">
        <f t="shared" si="1263"/>
        <v>0</v>
      </c>
      <c r="AE8110" s="14">
        <v>0.15</v>
      </c>
      <c r="AF8110" s="6">
        <f t="shared" si="1255"/>
        <v>0</v>
      </c>
      <c r="AG8110" s="14">
        <v>0.4</v>
      </c>
      <c r="AH8110" s="6">
        <f t="shared" si="1264"/>
        <v>0</v>
      </c>
      <c r="AI8110" s="66"/>
      <c r="AJ8110" s="126" t="e">
        <v>#N/A</v>
      </c>
      <c r="AK8110" s="80">
        <f t="shared" si="1259"/>
        <v>0</v>
      </c>
      <c r="AL8110" s="85"/>
      <c r="AM8110" s="85"/>
    </row>
    <row r="8111" spans="1:39" s="86" customFormat="1" hidden="1" x14ac:dyDescent="0.3">
      <c r="A8111" s="89" t="s">
        <v>3978</v>
      </c>
      <c r="B8111" s="86" t="s">
        <v>35</v>
      </c>
      <c r="C8111" s="86" t="s">
        <v>65</v>
      </c>
      <c r="D8111" s="86" t="s">
        <v>122</v>
      </c>
      <c r="E8111" s="86" t="s">
        <v>2393</v>
      </c>
      <c r="F8111" s="86" t="s">
        <v>3151</v>
      </c>
      <c r="G8111" s="86" t="s">
        <v>2393</v>
      </c>
      <c r="H8111" s="143">
        <v>365</v>
      </c>
      <c r="I8111" s="86" t="s">
        <v>3210</v>
      </c>
      <c r="J8111" s="1" t="s">
        <v>3323</v>
      </c>
      <c r="K8111" s="1">
        <v>360</v>
      </c>
      <c r="L8111" s="1" t="s">
        <v>35</v>
      </c>
      <c r="M8111" s="86" t="s">
        <v>2409</v>
      </c>
      <c r="O8111" s="47" t="s">
        <v>45</v>
      </c>
      <c r="P8111" s="47" t="s">
        <v>46</v>
      </c>
      <c r="Q8111" s="14">
        <v>0.311</v>
      </c>
      <c r="R8111" s="143">
        <v>3292062919</v>
      </c>
      <c r="S8111" s="47"/>
      <c r="T8111" s="6"/>
      <c r="U8111" s="6">
        <v>71428.570000000007</v>
      </c>
      <c r="V8111" s="6">
        <v>0</v>
      </c>
      <c r="W8111" s="6">
        <f t="shared" si="1261"/>
        <v>71428.570000000007</v>
      </c>
      <c r="X8111" s="6">
        <f t="shared" si="1262"/>
        <v>0</v>
      </c>
      <c r="Y8111" s="13">
        <f t="shared" si="1257"/>
        <v>0</v>
      </c>
      <c r="Z8111" s="66">
        <v>0</v>
      </c>
      <c r="AA8111" s="6">
        <v>0</v>
      </c>
      <c r="AB8111" s="4">
        <f t="shared" si="1258"/>
        <v>0</v>
      </c>
      <c r="AC8111" s="6">
        <f t="shared" si="1265"/>
        <v>0</v>
      </c>
      <c r="AD8111" s="6">
        <f t="shared" si="1263"/>
        <v>0</v>
      </c>
      <c r="AE8111" s="14">
        <v>0.15</v>
      </c>
      <c r="AF8111" s="6">
        <f t="shared" si="1255"/>
        <v>0</v>
      </c>
      <c r="AG8111" s="14">
        <v>0.4</v>
      </c>
      <c r="AH8111" s="6">
        <f t="shared" si="1264"/>
        <v>0</v>
      </c>
      <c r="AI8111" s="66"/>
      <c r="AJ8111" s="126" t="e">
        <v>#N/A</v>
      </c>
      <c r="AK8111" s="80">
        <f t="shared" si="1259"/>
        <v>0</v>
      </c>
      <c r="AL8111" s="85"/>
      <c r="AM8111" s="85"/>
    </row>
    <row r="8112" spans="1:39" s="86" customFormat="1" hidden="1" x14ac:dyDescent="0.3">
      <c r="A8112" s="89" t="s">
        <v>3978</v>
      </c>
      <c r="B8112" s="86" t="s">
        <v>35</v>
      </c>
      <c r="C8112" s="86" t="s">
        <v>144</v>
      </c>
      <c r="D8112" s="86" t="s">
        <v>145</v>
      </c>
      <c r="E8112" s="86" t="s">
        <v>2988</v>
      </c>
      <c r="F8112" s="86" t="s">
        <v>2989</v>
      </c>
      <c r="G8112" s="86" t="s">
        <v>2988</v>
      </c>
      <c r="H8112" s="144">
        <v>365</v>
      </c>
      <c r="I8112" s="86" t="s">
        <v>3210</v>
      </c>
      <c r="J8112" s="1" t="s">
        <v>3323</v>
      </c>
      <c r="K8112" s="1">
        <v>360</v>
      </c>
      <c r="L8112" s="1" t="s">
        <v>35</v>
      </c>
      <c r="M8112" s="86" t="s">
        <v>2990</v>
      </c>
      <c r="O8112" s="47" t="s">
        <v>45</v>
      </c>
      <c r="P8112" s="47" t="s">
        <v>46</v>
      </c>
      <c r="Q8112" s="14">
        <v>7.0000000000000007E-2</v>
      </c>
      <c r="R8112" s="143">
        <v>3270890496</v>
      </c>
      <c r="S8112" s="47"/>
      <c r="T8112" s="6"/>
      <c r="U8112" s="6">
        <v>37450</v>
      </c>
      <c r="V8112" s="6">
        <v>12882.109999999999</v>
      </c>
      <c r="W8112" s="6">
        <f t="shared" si="1261"/>
        <v>24567.89</v>
      </c>
      <c r="X8112" s="6">
        <f t="shared" si="1262"/>
        <v>12039.355140186914</v>
      </c>
      <c r="Y8112" s="13">
        <f t="shared" si="1257"/>
        <v>0</v>
      </c>
      <c r="Z8112" s="66">
        <v>0</v>
      </c>
      <c r="AA8112" s="6">
        <v>0</v>
      </c>
      <c r="AB8112" s="4">
        <f t="shared" si="1258"/>
        <v>12039.355140186914</v>
      </c>
      <c r="AC8112" s="6">
        <f t="shared" si="1265"/>
        <v>842.7548598130852</v>
      </c>
      <c r="AD8112" s="6">
        <f t="shared" si="1263"/>
        <v>12882.109999999999</v>
      </c>
      <c r="AE8112" s="14">
        <v>0.15</v>
      </c>
      <c r="AF8112" s="6">
        <f t="shared" si="1255"/>
        <v>1932.3164999999997</v>
      </c>
      <c r="AG8112" s="14">
        <v>0</v>
      </c>
      <c r="AH8112" s="6">
        <f t="shared" si="1264"/>
        <v>12882.109999999999</v>
      </c>
      <c r="AI8112" s="66"/>
      <c r="AJ8112" s="126" t="e">
        <v>#N/A</v>
      </c>
      <c r="AK8112" s="80">
        <f t="shared" si="1259"/>
        <v>0</v>
      </c>
      <c r="AL8112" s="85"/>
      <c r="AM8112" s="85"/>
    </row>
    <row r="8113" spans="1:39" s="86" customFormat="1" hidden="1" x14ac:dyDescent="0.3">
      <c r="A8113" s="89" t="s">
        <v>3978</v>
      </c>
      <c r="B8113" s="86" t="s">
        <v>35</v>
      </c>
      <c r="C8113" s="86" t="s">
        <v>164</v>
      </c>
      <c r="D8113" s="86" t="s">
        <v>169</v>
      </c>
      <c r="E8113" s="86" t="s">
        <v>1575</v>
      </c>
      <c r="F8113" s="86" t="s">
        <v>1575</v>
      </c>
      <c r="G8113" s="86" t="s">
        <v>1575</v>
      </c>
      <c r="H8113" s="144">
        <v>365</v>
      </c>
      <c r="I8113" s="86" t="s">
        <v>3210</v>
      </c>
      <c r="J8113" s="1" t="s">
        <v>3323</v>
      </c>
      <c r="K8113" s="1">
        <v>360</v>
      </c>
      <c r="L8113" s="1" t="s">
        <v>35</v>
      </c>
      <c r="M8113" s="86" t="s">
        <v>1575</v>
      </c>
      <c r="O8113" s="47" t="s">
        <v>45</v>
      </c>
      <c r="P8113" s="47" t="s">
        <v>46</v>
      </c>
      <c r="Q8113" s="14">
        <v>0.13</v>
      </c>
      <c r="R8113" s="143">
        <v>2523173999</v>
      </c>
      <c r="S8113" s="47"/>
      <c r="T8113" s="6"/>
      <c r="U8113" s="6">
        <v>35000</v>
      </c>
      <c r="V8113" s="6">
        <v>7736.3200000000006</v>
      </c>
      <c r="W8113" s="6">
        <f t="shared" si="1261"/>
        <v>27263.68</v>
      </c>
      <c r="X8113" s="6">
        <f t="shared" si="1262"/>
        <v>6556.203389830509</v>
      </c>
      <c r="Y8113" s="13">
        <f t="shared" si="1257"/>
        <v>0</v>
      </c>
      <c r="Z8113" s="66">
        <v>0</v>
      </c>
      <c r="AA8113" s="6">
        <v>0</v>
      </c>
      <c r="AB8113" s="4">
        <f t="shared" si="1258"/>
        <v>6556.203389830509</v>
      </c>
      <c r="AC8113" s="6">
        <f t="shared" si="1265"/>
        <v>1180.1166101694917</v>
      </c>
      <c r="AD8113" s="6">
        <f t="shared" si="1263"/>
        <v>7736.3200000000006</v>
      </c>
      <c r="AE8113" s="14">
        <v>0.15</v>
      </c>
      <c r="AF8113" s="6">
        <f t="shared" si="1255"/>
        <v>1160.4480000000001</v>
      </c>
      <c r="AG8113" s="14">
        <v>0.05</v>
      </c>
      <c r="AH8113" s="6">
        <f t="shared" si="1264"/>
        <v>7367.9238095238097</v>
      </c>
      <c r="AI8113" s="66"/>
      <c r="AJ8113" s="126" t="e">
        <v>#N/A</v>
      </c>
      <c r="AK8113" s="80">
        <f t="shared" si="1259"/>
        <v>0</v>
      </c>
      <c r="AL8113" s="85"/>
      <c r="AM8113" s="85"/>
    </row>
    <row r="8114" spans="1:39" s="86" customFormat="1" hidden="1" x14ac:dyDescent="0.3">
      <c r="A8114" s="89" t="s">
        <v>3978</v>
      </c>
      <c r="B8114" s="86" t="s">
        <v>35</v>
      </c>
      <c r="C8114" s="86" t="s">
        <v>164</v>
      </c>
      <c r="D8114" s="86" t="s">
        <v>169</v>
      </c>
      <c r="E8114" s="86" t="s">
        <v>1575</v>
      </c>
      <c r="F8114" s="86" t="s">
        <v>1575</v>
      </c>
      <c r="G8114" s="86" t="s">
        <v>1575</v>
      </c>
      <c r="H8114" s="143">
        <v>365</v>
      </c>
      <c r="I8114" s="86" t="s">
        <v>3210</v>
      </c>
      <c r="J8114" s="1" t="s">
        <v>3323</v>
      </c>
      <c r="K8114" s="1">
        <v>360</v>
      </c>
      <c r="L8114" s="1" t="s">
        <v>35</v>
      </c>
      <c r="M8114" s="86" t="s">
        <v>1575</v>
      </c>
      <c r="O8114" s="47" t="s">
        <v>45</v>
      </c>
      <c r="P8114" s="47" t="s">
        <v>46</v>
      </c>
      <c r="Q8114" s="14">
        <v>0.13</v>
      </c>
      <c r="R8114" s="143">
        <v>3221261325</v>
      </c>
      <c r="S8114" s="47"/>
      <c r="T8114" s="6"/>
      <c r="U8114" s="6">
        <v>35000</v>
      </c>
      <c r="V8114" s="6">
        <v>0</v>
      </c>
      <c r="W8114" s="6">
        <f t="shared" si="1261"/>
        <v>35000</v>
      </c>
      <c r="X8114" s="6">
        <f t="shared" si="1262"/>
        <v>0</v>
      </c>
      <c r="Y8114" s="13">
        <f t="shared" si="1257"/>
        <v>0</v>
      </c>
      <c r="Z8114" s="66">
        <v>0</v>
      </c>
      <c r="AA8114" s="6">
        <v>0</v>
      </c>
      <c r="AB8114" s="4">
        <f t="shared" si="1258"/>
        <v>0</v>
      </c>
      <c r="AC8114" s="6">
        <f t="shared" si="1265"/>
        <v>0</v>
      </c>
      <c r="AD8114" s="6">
        <f t="shared" si="1263"/>
        <v>0</v>
      </c>
      <c r="AE8114" s="14">
        <v>0.15</v>
      </c>
      <c r="AF8114" s="6">
        <f t="shared" si="1255"/>
        <v>0</v>
      </c>
      <c r="AG8114" s="14">
        <v>0.05</v>
      </c>
      <c r="AH8114" s="6">
        <f t="shared" si="1264"/>
        <v>0</v>
      </c>
      <c r="AI8114" s="66"/>
      <c r="AJ8114" s="126" t="e">
        <v>#N/A</v>
      </c>
      <c r="AK8114" s="80">
        <f t="shared" si="1259"/>
        <v>0</v>
      </c>
      <c r="AL8114" s="85"/>
      <c r="AM8114" s="85"/>
    </row>
    <row r="8115" spans="1:39" s="86" customFormat="1" hidden="1" x14ac:dyDescent="0.3">
      <c r="A8115" s="89" t="s">
        <v>3978</v>
      </c>
      <c r="B8115" s="86" t="s">
        <v>35</v>
      </c>
      <c r="C8115" s="86" t="s">
        <v>164</v>
      </c>
      <c r="D8115" s="86" t="s">
        <v>169</v>
      </c>
      <c r="E8115" s="86" t="s">
        <v>1575</v>
      </c>
      <c r="F8115" s="86" t="s">
        <v>1575</v>
      </c>
      <c r="G8115" s="86" t="s">
        <v>1575</v>
      </c>
      <c r="H8115" s="144">
        <v>365</v>
      </c>
      <c r="I8115" s="86" t="s">
        <v>3210</v>
      </c>
      <c r="J8115" s="1" t="s">
        <v>3323</v>
      </c>
      <c r="K8115" s="1">
        <v>360</v>
      </c>
      <c r="L8115" s="1" t="s">
        <v>35</v>
      </c>
      <c r="M8115" s="86" t="s">
        <v>1575</v>
      </c>
      <c r="O8115" s="47" t="s">
        <v>45</v>
      </c>
      <c r="P8115" s="47" t="s">
        <v>46</v>
      </c>
      <c r="Q8115" s="14">
        <v>0.13</v>
      </c>
      <c r="R8115" s="143">
        <v>3222765857</v>
      </c>
      <c r="S8115" s="47"/>
      <c r="T8115" s="6"/>
      <c r="U8115" s="6">
        <v>35000</v>
      </c>
      <c r="V8115" s="6">
        <v>4250.0199999999995</v>
      </c>
      <c r="W8115" s="6">
        <f t="shared" si="1261"/>
        <v>30749.98</v>
      </c>
      <c r="X8115" s="6">
        <f t="shared" si="1262"/>
        <v>3601.7118644067796</v>
      </c>
      <c r="Y8115" s="13">
        <f t="shared" si="1257"/>
        <v>0</v>
      </c>
      <c r="Z8115" s="66">
        <v>0</v>
      </c>
      <c r="AA8115" s="6">
        <v>0</v>
      </c>
      <c r="AB8115" s="4">
        <f t="shared" si="1258"/>
        <v>3601.7118644067796</v>
      </c>
      <c r="AC8115" s="6">
        <f t="shared" si="1265"/>
        <v>648.30813559321996</v>
      </c>
      <c r="AD8115" s="6">
        <f t="shared" si="1263"/>
        <v>4250.0199999999995</v>
      </c>
      <c r="AE8115" s="14">
        <v>0.15</v>
      </c>
      <c r="AF8115" s="6">
        <f t="shared" si="1255"/>
        <v>637.50299999999993</v>
      </c>
      <c r="AG8115" s="14">
        <v>0.05</v>
      </c>
      <c r="AH8115" s="6">
        <f t="shared" si="1264"/>
        <v>4047.6380952380946</v>
      </c>
      <c r="AI8115" s="66"/>
      <c r="AJ8115" s="126" t="e">
        <v>#N/A</v>
      </c>
      <c r="AK8115" s="80">
        <f t="shared" si="1259"/>
        <v>0</v>
      </c>
      <c r="AL8115" s="85"/>
      <c r="AM8115" s="85"/>
    </row>
    <row r="8116" spans="1:39" s="86" customFormat="1" hidden="1" x14ac:dyDescent="0.3">
      <c r="A8116" s="89" t="s">
        <v>3978</v>
      </c>
      <c r="B8116" s="86" t="s">
        <v>35</v>
      </c>
      <c r="C8116" s="86" t="s">
        <v>184</v>
      </c>
      <c r="D8116" s="86" t="s">
        <v>54</v>
      </c>
      <c r="E8116" s="86" t="s">
        <v>2900</v>
      </c>
      <c r="F8116" s="86" t="s">
        <v>4006</v>
      </c>
      <c r="G8116" s="86" t="s">
        <v>2900</v>
      </c>
      <c r="H8116" s="144">
        <v>365</v>
      </c>
      <c r="I8116" s="86" t="s">
        <v>3210</v>
      </c>
      <c r="J8116" s="1" t="s">
        <v>3323</v>
      </c>
      <c r="K8116" s="1">
        <v>360</v>
      </c>
      <c r="L8116" s="1" t="s">
        <v>35</v>
      </c>
      <c r="M8116" s="86" t="s">
        <v>4177</v>
      </c>
      <c r="O8116" s="47" t="s">
        <v>45</v>
      </c>
      <c r="P8116" s="47" t="s">
        <v>46</v>
      </c>
      <c r="Q8116" s="14">
        <v>0.06</v>
      </c>
      <c r="R8116" s="143">
        <v>3290717389</v>
      </c>
      <c r="S8116" s="47"/>
      <c r="T8116" s="6"/>
      <c r="U8116" s="6">
        <v>5000</v>
      </c>
      <c r="V8116" s="6">
        <v>4183.4716900000003</v>
      </c>
      <c r="W8116" s="6">
        <f t="shared" si="1261"/>
        <v>816.52830999999969</v>
      </c>
      <c r="X8116" s="6">
        <f t="shared" si="1262"/>
        <v>3946.6714056603773</v>
      </c>
      <c r="Y8116" s="13">
        <f t="shared" si="1257"/>
        <v>0</v>
      </c>
      <c r="Z8116" s="66">
        <v>0</v>
      </c>
      <c r="AA8116" s="6">
        <v>0</v>
      </c>
      <c r="AB8116" s="4">
        <f t="shared" si="1258"/>
        <v>3946.6714056603773</v>
      </c>
      <c r="AC8116" s="6">
        <f t="shared" si="1265"/>
        <v>236.80028433962298</v>
      </c>
      <c r="AD8116" s="6">
        <f t="shared" si="1263"/>
        <v>4183.4716900000003</v>
      </c>
      <c r="AE8116" s="14">
        <v>0.15</v>
      </c>
      <c r="AF8116" s="6">
        <f t="shared" si="1255"/>
        <v>627.52075350000007</v>
      </c>
      <c r="AG8116" s="14">
        <v>0</v>
      </c>
      <c r="AH8116" s="6">
        <f t="shared" si="1264"/>
        <v>4183.4716900000003</v>
      </c>
      <c r="AI8116" s="66"/>
      <c r="AJ8116" s="126" t="e">
        <v>#N/A</v>
      </c>
      <c r="AK8116" s="80">
        <f t="shared" si="1259"/>
        <v>0</v>
      </c>
      <c r="AL8116" s="85"/>
      <c r="AM8116" s="85"/>
    </row>
    <row r="8117" spans="1:39" s="86" customFormat="1" hidden="1" x14ac:dyDescent="0.3">
      <c r="A8117" s="89" t="s">
        <v>3978</v>
      </c>
      <c r="B8117" s="86" t="s">
        <v>35</v>
      </c>
      <c r="C8117" s="86" t="s">
        <v>184</v>
      </c>
      <c r="D8117" s="86" t="s">
        <v>54</v>
      </c>
      <c r="E8117" s="86" t="s">
        <v>3983</v>
      </c>
      <c r="F8117" s="86" t="s">
        <v>3984</v>
      </c>
      <c r="G8117" s="86" t="s">
        <v>3983</v>
      </c>
      <c r="H8117" s="143">
        <v>365</v>
      </c>
      <c r="I8117" s="86" t="s">
        <v>3210</v>
      </c>
      <c r="J8117" s="1" t="s">
        <v>3323</v>
      </c>
      <c r="K8117" s="1">
        <v>360</v>
      </c>
      <c r="L8117" s="1" t="s">
        <v>35</v>
      </c>
      <c r="M8117" s="86" t="s">
        <v>3432</v>
      </c>
      <c r="O8117" s="47" t="s">
        <v>45</v>
      </c>
      <c r="P8117" s="47" t="s">
        <v>41</v>
      </c>
      <c r="Q8117" s="14">
        <v>0</v>
      </c>
      <c r="R8117" s="143">
        <v>3288295214</v>
      </c>
      <c r="S8117" s="47"/>
      <c r="T8117" s="6"/>
      <c r="U8117" s="6">
        <v>0</v>
      </c>
      <c r="V8117" s="6">
        <v>0</v>
      </c>
      <c r="W8117" s="6">
        <f t="shared" si="1261"/>
        <v>0</v>
      </c>
      <c r="X8117" s="6">
        <f t="shared" si="1262"/>
        <v>0</v>
      </c>
      <c r="Y8117" s="13">
        <f t="shared" si="1257"/>
        <v>0</v>
      </c>
      <c r="Z8117" s="66">
        <v>0</v>
      </c>
      <c r="AA8117" s="6">
        <v>0</v>
      </c>
      <c r="AB8117" s="4">
        <f t="shared" si="1258"/>
        <v>0</v>
      </c>
      <c r="AC8117" s="6">
        <f t="shared" si="1265"/>
        <v>0</v>
      </c>
      <c r="AD8117" s="6">
        <f t="shared" si="1263"/>
        <v>0</v>
      </c>
      <c r="AE8117" s="14">
        <v>0.15</v>
      </c>
      <c r="AF8117" s="6">
        <f t="shared" si="1255"/>
        <v>0</v>
      </c>
      <c r="AG8117" s="14">
        <v>0.19</v>
      </c>
      <c r="AH8117" s="6">
        <f t="shared" si="1264"/>
        <v>0</v>
      </c>
      <c r="AI8117" s="66"/>
      <c r="AJ8117" s="126" t="e">
        <v>#N/A</v>
      </c>
      <c r="AK8117" s="80">
        <f t="shared" si="1259"/>
        <v>0</v>
      </c>
      <c r="AL8117" s="85"/>
      <c r="AM8117" s="85"/>
    </row>
    <row r="8118" spans="1:39" s="86" customFormat="1" hidden="1" x14ac:dyDescent="0.3">
      <c r="A8118" s="89" t="s">
        <v>3792</v>
      </c>
      <c r="B8118" s="86" t="s">
        <v>35</v>
      </c>
      <c r="C8118" s="86" t="s">
        <v>184</v>
      </c>
      <c r="D8118" s="86" t="s">
        <v>54</v>
      </c>
      <c r="E8118" s="86" t="s">
        <v>3983</v>
      </c>
      <c r="F8118" s="86" t="s">
        <v>3984</v>
      </c>
      <c r="G8118" s="86" t="s">
        <v>3983</v>
      </c>
      <c r="H8118" s="144">
        <v>365</v>
      </c>
      <c r="I8118" s="86" t="s">
        <v>3210</v>
      </c>
      <c r="J8118" s="1" t="s">
        <v>3323</v>
      </c>
      <c r="K8118" s="1">
        <v>360</v>
      </c>
      <c r="L8118" s="1" t="s">
        <v>35</v>
      </c>
      <c r="M8118" s="86" t="s">
        <v>3432</v>
      </c>
      <c r="O8118" s="47" t="s">
        <v>45</v>
      </c>
      <c r="P8118" s="47" t="s">
        <v>41</v>
      </c>
      <c r="Q8118" s="14">
        <v>0</v>
      </c>
      <c r="R8118" s="143">
        <v>3288295214</v>
      </c>
      <c r="S8118" s="47"/>
      <c r="T8118" s="6"/>
      <c r="U8118" s="6">
        <v>452100.84</v>
      </c>
      <c r="V8118" s="6">
        <v>442723.77736000001</v>
      </c>
      <c r="W8118" s="6">
        <f t="shared" si="1261"/>
        <v>9377.0626400000183</v>
      </c>
      <c r="X8118" s="6">
        <f t="shared" si="1262"/>
        <v>372036.78769747901</v>
      </c>
      <c r="Y8118" s="13">
        <f t="shared" si="1257"/>
        <v>0</v>
      </c>
      <c r="Z8118" s="66">
        <v>0</v>
      </c>
      <c r="AA8118" s="6">
        <v>0</v>
      </c>
      <c r="AB8118" s="4">
        <f t="shared" si="1258"/>
        <v>372036.78769747901</v>
      </c>
      <c r="AC8118" s="6">
        <f t="shared" si="1265"/>
        <v>70686.989662520995</v>
      </c>
      <c r="AD8118" s="6">
        <f t="shared" si="1263"/>
        <v>442723.77736000001</v>
      </c>
      <c r="AE8118" s="14">
        <v>0.15</v>
      </c>
      <c r="AF8118" s="6">
        <f t="shared" si="1255"/>
        <v>66408.566603999992</v>
      </c>
      <c r="AG8118" s="14">
        <v>0.19</v>
      </c>
      <c r="AH8118" s="6">
        <f t="shared" si="1264"/>
        <v>372036.78769747901</v>
      </c>
      <c r="AI8118" s="66"/>
      <c r="AJ8118" s="126" t="e">
        <v>#N/A</v>
      </c>
      <c r="AK8118" s="80">
        <f t="shared" si="1259"/>
        <v>0</v>
      </c>
      <c r="AL8118" s="85"/>
      <c r="AM8118" s="85"/>
    </row>
    <row r="8119" spans="1:39" s="86" customFormat="1" hidden="1" x14ac:dyDescent="0.3">
      <c r="A8119" s="89" t="s">
        <v>3792</v>
      </c>
      <c r="B8119" s="86" t="s">
        <v>35</v>
      </c>
      <c r="C8119" s="86" t="s">
        <v>144</v>
      </c>
      <c r="D8119" s="86" t="s">
        <v>145</v>
      </c>
      <c r="E8119" s="86" t="s">
        <v>2988</v>
      </c>
      <c r="F8119" s="86" t="s">
        <v>2989</v>
      </c>
      <c r="G8119" s="86" t="s">
        <v>2988</v>
      </c>
      <c r="H8119" s="143">
        <v>365</v>
      </c>
      <c r="I8119" s="86" t="s">
        <v>3210</v>
      </c>
      <c r="J8119" s="1" t="s">
        <v>3323</v>
      </c>
      <c r="K8119" s="1">
        <v>360</v>
      </c>
      <c r="L8119" s="1" t="s">
        <v>35</v>
      </c>
      <c r="M8119" s="86" t="s">
        <v>4178</v>
      </c>
      <c r="O8119" s="47" t="s">
        <v>45</v>
      </c>
      <c r="P8119" s="47" t="s">
        <v>46</v>
      </c>
      <c r="Q8119" s="14">
        <v>7.0000000000000007E-2</v>
      </c>
      <c r="R8119" s="143">
        <v>3270890496</v>
      </c>
      <c r="S8119" s="47"/>
      <c r="T8119" s="6">
        <v>1038.4300000000003</v>
      </c>
      <c r="U8119" s="6"/>
      <c r="V8119" s="6">
        <v>0</v>
      </c>
      <c r="W8119" s="6">
        <f t="shared" si="1261"/>
        <v>1038.4300000000003</v>
      </c>
      <c r="X8119" s="6">
        <f t="shared" si="1262"/>
        <v>0</v>
      </c>
      <c r="Y8119" s="13">
        <f t="shared" si="1257"/>
        <v>0</v>
      </c>
      <c r="Z8119" s="14">
        <v>0</v>
      </c>
      <c r="AA8119" s="6">
        <v>0</v>
      </c>
      <c r="AB8119" s="4">
        <f t="shared" si="1258"/>
        <v>0</v>
      </c>
      <c r="AC8119" s="6">
        <f t="shared" si="1265"/>
        <v>0</v>
      </c>
      <c r="AD8119" s="6">
        <f t="shared" si="1263"/>
        <v>0</v>
      </c>
      <c r="AE8119" s="14">
        <v>0.15</v>
      </c>
      <c r="AF8119" s="6">
        <f t="shared" si="1255"/>
        <v>0</v>
      </c>
      <c r="AG8119" s="14">
        <v>0</v>
      </c>
      <c r="AH8119" s="6">
        <f t="shared" si="1264"/>
        <v>0</v>
      </c>
      <c r="AI8119" s="66"/>
      <c r="AJ8119" s="126" t="e">
        <v>#N/A</v>
      </c>
      <c r="AK8119" s="80">
        <f t="shared" si="1259"/>
        <v>0</v>
      </c>
      <c r="AL8119" s="85"/>
      <c r="AM8119" s="85"/>
    </row>
    <row r="8120" spans="1:39" s="86" customFormat="1" hidden="1" x14ac:dyDescent="0.3">
      <c r="A8120" s="89" t="s">
        <v>3978</v>
      </c>
      <c r="B8120" s="86" t="s">
        <v>35</v>
      </c>
      <c r="C8120" s="86" t="s">
        <v>36</v>
      </c>
      <c r="D8120" s="86" t="s">
        <v>185</v>
      </c>
      <c r="E8120" s="86" t="s">
        <v>2393</v>
      </c>
      <c r="F8120" s="86" t="s">
        <v>3200</v>
      </c>
      <c r="G8120" s="86" t="s">
        <v>2393</v>
      </c>
      <c r="H8120" s="144">
        <v>237</v>
      </c>
      <c r="I8120" s="86" t="s">
        <v>2374</v>
      </c>
      <c r="J8120" s="1" t="s">
        <v>3322</v>
      </c>
      <c r="K8120" s="1" t="s">
        <v>3322</v>
      </c>
      <c r="L8120" s="1" t="s">
        <v>35</v>
      </c>
      <c r="O8120" s="47" t="s">
        <v>3197</v>
      </c>
      <c r="P8120" s="47" t="s">
        <v>92</v>
      </c>
      <c r="Q8120" s="14">
        <v>0.94499999999999995</v>
      </c>
      <c r="R8120" s="143"/>
      <c r="S8120" s="47"/>
      <c r="T8120" s="6"/>
      <c r="U8120" s="6">
        <v>86447.420000000013</v>
      </c>
      <c r="V8120" s="6">
        <v>95400</v>
      </c>
      <c r="W8120" s="6">
        <v>0</v>
      </c>
      <c r="X8120" s="6">
        <f t="shared" ref="X8120:X8131" si="1266">IF(P8120="折扣",V8120*Q8120,IF(P8120="返现",V8120,V8120/(1+Q8120)))</f>
        <v>90153</v>
      </c>
      <c r="Y8120" s="13">
        <f t="shared" si="1257"/>
        <v>0</v>
      </c>
      <c r="Z8120" s="14">
        <v>0</v>
      </c>
      <c r="AA8120" s="6">
        <v>0</v>
      </c>
      <c r="AB8120" s="4">
        <f t="shared" si="1258"/>
        <v>90153</v>
      </c>
      <c r="AC8120" s="6">
        <f t="shared" si="1265"/>
        <v>5247</v>
      </c>
      <c r="AD8120" s="6">
        <v>95400</v>
      </c>
      <c r="AE8120" s="14">
        <v>7.0000000000000007E-2</v>
      </c>
      <c r="AF8120" s="6">
        <f t="shared" si="1255"/>
        <v>6678.0000000000009</v>
      </c>
      <c r="AG8120" s="14">
        <v>0</v>
      </c>
      <c r="AH8120" s="47"/>
      <c r="AI8120" s="47"/>
      <c r="AJ8120" s="126" t="e">
        <v>#N/A</v>
      </c>
      <c r="AK8120" s="80">
        <f t="shared" si="1259"/>
        <v>0</v>
      </c>
      <c r="AL8120" s="85"/>
      <c r="AM8120" s="85"/>
    </row>
    <row r="8121" spans="1:39" s="86" customFormat="1" hidden="1" x14ac:dyDescent="0.3">
      <c r="A8121" s="89" t="s">
        <v>3792</v>
      </c>
      <c r="B8121" s="86" t="s">
        <v>35</v>
      </c>
      <c r="C8121" s="86" t="s">
        <v>36</v>
      </c>
      <c r="D8121" s="86" t="s">
        <v>185</v>
      </c>
      <c r="E8121" s="86" t="s">
        <v>2393</v>
      </c>
      <c r="F8121" s="86" t="s">
        <v>3201</v>
      </c>
      <c r="G8121" s="86" t="s">
        <v>2393</v>
      </c>
      <c r="H8121" s="143">
        <v>237</v>
      </c>
      <c r="I8121" s="86" t="s">
        <v>2374</v>
      </c>
      <c r="J8121" s="1" t="s">
        <v>3322</v>
      </c>
      <c r="K8121" s="1" t="s">
        <v>3322</v>
      </c>
      <c r="L8121" s="1" t="s">
        <v>35</v>
      </c>
      <c r="O8121" s="47" t="s">
        <v>3197</v>
      </c>
      <c r="P8121" s="47" t="s">
        <v>92</v>
      </c>
      <c r="Q8121" s="14">
        <v>0.94499999999999995</v>
      </c>
      <c r="R8121" s="143"/>
      <c r="S8121" s="47"/>
      <c r="T8121" s="6"/>
      <c r="U8121" s="6">
        <v>0</v>
      </c>
      <c r="V8121" s="6">
        <v>0</v>
      </c>
      <c r="W8121" s="6">
        <v>0</v>
      </c>
      <c r="X8121" s="6">
        <f t="shared" si="1266"/>
        <v>0</v>
      </c>
      <c r="Y8121" s="13">
        <f t="shared" si="1257"/>
        <v>0</v>
      </c>
      <c r="Z8121" s="14">
        <v>0</v>
      </c>
      <c r="AA8121" s="6">
        <v>0</v>
      </c>
      <c r="AB8121" s="4">
        <f t="shared" si="1258"/>
        <v>0</v>
      </c>
      <c r="AC8121" s="6">
        <f t="shared" si="1265"/>
        <v>0</v>
      </c>
      <c r="AD8121" s="6">
        <v>0</v>
      </c>
      <c r="AE8121" s="14">
        <v>7.0000000000000007E-2</v>
      </c>
      <c r="AF8121" s="6">
        <f t="shared" si="1255"/>
        <v>0</v>
      </c>
      <c r="AG8121" s="14">
        <v>0</v>
      </c>
      <c r="AH8121" s="47"/>
      <c r="AI8121" s="47" t="s">
        <v>4179</v>
      </c>
      <c r="AJ8121" s="126" t="e">
        <v>#N/A</v>
      </c>
      <c r="AK8121" s="80">
        <f t="shared" si="1259"/>
        <v>0</v>
      </c>
      <c r="AL8121" s="85"/>
      <c r="AM8121" s="85"/>
    </row>
    <row r="8122" spans="1:39" s="86" customFormat="1" hidden="1" x14ac:dyDescent="0.3">
      <c r="A8122" s="89" t="s">
        <v>3978</v>
      </c>
      <c r="B8122" s="86" t="s">
        <v>35</v>
      </c>
      <c r="C8122" s="86" t="s">
        <v>36</v>
      </c>
      <c r="D8122" s="86" t="s">
        <v>185</v>
      </c>
      <c r="E8122" s="86" t="s">
        <v>2393</v>
      </c>
      <c r="F8122" s="86" t="s">
        <v>3202</v>
      </c>
      <c r="G8122" s="86" t="s">
        <v>2393</v>
      </c>
      <c r="H8122" s="144">
        <v>237</v>
      </c>
      <c r="I8122" s="86" t="s">
        <v>2374</v>
      </c>
      <c r="J8122" s="1" t="s">
        <v>3322</v>
      </c>
      <c r="K8122" s="1" t="s">
        <v>3322</v>
      </c>
      <c r="L8122" s="1" t="s">
        <v>35</v>
      </c>
      <c r="O8122" s="47" t="s">
        <v>3197</v>
      </c>
      <c r="P8122" s="47" t="s">
        <v>92</v>
      </c>
      <c r="Q8122" s="14">
        <v>0.94499999999999995</v>
      </c>
      <c r="R8122" s="143"/>
      <c r="S8122" s="47"/>
      <c r="T8122" s="6"/>
      <c r="U8122" s="6">
        <v>166432.69999999998</v>
      </c>
      <c r="V8122" s="6">
        <v>390400</v>
      </c>
      <c r="W8122" s="6">
        <v>0</v>
      </c>
      <c r="X8122" s="6">
        <f t="shared" si="1266"/>
        <v>368928</v>
      </c>
      <c r="Y8122" s="13">
        <f t="shared" si="1257"/>
        <v>0</v>
      </c>
      <c r="Z8122" s="14">
        <v>0</v>
      </c>
      <c r="AA8122" s="6">
        <v>0</v>
      </c>
      <c r="AB8122" s="4">
        <f t="shared" si="1258"/>
        <v>368928</v>
      </c>
      <c r="AC8122" s="6">
        <f t="shared" si="1265"/>
        <v>21472</v>
      </c>
      <c r="AD8122" s="6">
        <v>390400</v>
      </c>
      <c r="AE8122" s="14">
        <v>7.0000000000000007E-2</v>
      </c>
      <c r="AF8122" s="6">
        <f t="shared" si="1255"/>
        <v>27328.000000000004</v>
      </c>
      <c r="AG8122" s="14">
        <v>0</v>
      </c>
      <c r="AH8122" s="47"/>
      <c r="AI8122" s="47"/>
      <c r="AJ8122" s="126" t="e">
        <v>#N/A</v>
      </c>
      <c r="AK8122" s="80">
        <f t="shared" si="1259"/>
        <v>0</v>
      </c>
      <c r="AL8122" s="85"/>
      <c r="AM8122" s="85"/>
    </row>
    <row r="8123" spans="1:39" s="86" customFormat="1" hidden="1" x14ac:dyDescent="0.3">
      <c r="A8123" s="89" t="s">
        <v>3978</v>
      </c>
      <c r="B8123" s="86" t="s">
        <v>35</v>
      </c>
      <c r="C8123" s="86" t="s">
        <v>36</v>
      </c>
      <c r="D8123" s="86" t="s">
        <v>185</v>
      </c>
      <c r="E8123" s="86" t="s">
        <v>2393</v>
      </c>
      <c r="F8123" s="86" t="s">
        <v>3203</v>
      </c>
      <c r="G8123" s="86" t="s">
        <v>2393</v>
      </c>
      <c r="H8123" s="144">
        <v>237</v>
      </c>
      <c r="I8123" s="86" t="s">
        <v>2374</v>
      </c>
      <c r="J8123" s="1" t="s">
        <v>3322</v>
      </c>
      <c r="K8123" s="1" t="s">
        <v>3322</v>
      </c>
      <c r="L8123" s="1" t="s">
        <v>35</v>
      </c>
      <c r="O8123" s="47" t="s">
        <v>3197</v>
      </c>
      <c r="P8123" s="47" t="s">
        <v>92</v>
      </c>
      <c r="Q8123" s="14">
        <v>0.94499999999999995</v>
      </c>
      <c r="R8123" s="143"/>
      <c r="S8123" s="47"/>
      <c r="T8123" s="6"/>
      <c r="U8123" s="6">
        <v>109200</v>
      </c>
      <c r="V8123" s="6">
        <v>109200</v>
      </c>
      <c r="W8123" s="6">
        <v>0</v>
      </c>
      <c r="X8123" s="6">
        <f t="shared" si="1266"/>
        <v>103194</v>
      </c>
      <c r="Y8123" s="13">
        <f t="shared" si="1257"/>
        <v>0</v>
      </c>
      <c r="Z8123" s="14">
        <v>0</v>
      </c>
      <c r="AA8123" s="6">
        <v>0</v>
      </c>
      <c r="AB8123" s="4">
        <f t="shared" si="1258"/>
        <v>103194</v>
      </c>
      <c r="AC8123" s="6">
        <f t="shared" si="1265"/>
        <v>6006</v>
      </c>
      <c r="AD8123" s="6">
        <v>109200</v>
      </c>
      <c r="AE8123" s="14">
        <v>7.0000000000000007E-2</v>
      </c>
      <c r="AF8123" s="6">
        <f t="shared" si="1255"/>
        <v>7644.0000000000009</v>
      </c>
      <c r="AG8123" s="14">
        <v>0</v>
      </c>
      <c r="AH8123" s="47"/>
      <c r="AI8123" s="47"/>
      <c r="AJ8123" s="126" t="e">
        <v>#N/A</v>
      </c>
      <c r="AK8123" s="80">
        <f t="shared" si="1259"/>
        <v>0</v>
      </c>
      <c r="AL8123" s="85"/>
      <c r="AM8123" s="85"/>
    </row>
    <row r="8124" spans="1:39" s="86" customFormat="1" hidden="1" x14ac:dyDescent="0.3">
      <c r="A8124" s="89" t="s">
        <v>3978</v>
      </c>
      <c r="B8124" s="86" t="s">
        <v>35</v>
      </c>
      <c r="C8124" s="86" t="s">
        <v>36</v>
      </c>
      <c r="D8124" s="86" t="s">
        <v>185</v>
      </c>
      <c r="E8124" s="86" t="s">
        <v>2393</v>
      </c>
      <c r="F8124" s="86" t="s">
        <v>3652</v>
      </c>
      <c r="G8124" s="86" t="s">
        <v>2393</v>
      </c>
      <c r="H8124" s="144">
        <v>237</v>
      </c>
      <c r="I8124" s="86" t="s">
        <v>2374</v>
      </c>
      <c r="J8124" s="1" t="s">
        <v>3322</v>
      </c>
      <c r="K8124" s="1" t="s">
        <v>3322</v>
      </c>
      <c r="L8124" s="1" t="s">
        <v>35</v>
      </c>
      <c r="O8124" s="47" t="s">
        <v>3197</v>
      </c>
      <c r="P8124" s="47" t="s">
        <v>92</v>
      </c>
      <c r="Q8124" s="14">
        <v>0.94499999999999995</v>
      </c>
      <c r="R8124" s="143"/>
      <c r="S8124" s="47"/>
      <c r="T8124" s="6"/>
      <c r="U8124" s="6">
        <v>165000</v>
      </c>
      <c r="V8124" s="6">
        <v>165000</v>
      </c>
      <c r="W8124" s="6">
        <v>0</v>
      </c>
      <c r="X8124" s="6">
        <f t="shared" si="1266"/>
        <v>155925</v>
      </c>
      <c r="Y8124" s="13">
        <f t="shared" si="1257"/>
        <v>0</v>
      </c>
      <c r="Z8124" s="14">
        <v>0</v>
      </c>
      <c r="AA8124" s="6">
        <v>0</v>
      </c>
      <c r="AB8124" s="4">
        <f t="shared" si="1258"/>
        <v>155925</v>
      </c>
      <c r="AC8124" s="6">
        <f t="shared" si="1265"/>
        <v>9075</v>
      </c>
      <c r="AD8124" s="6">
        <v>165000</v>
      </c>
      <c r="AE8124" s="14">
        <v>7.0000000000000007E-2</v>
      </c>
      <c r="AF8124" s="6">
        <f t="shared" ref="AF8124:AF8150" si="1267">AD8124*AE8124</f>
        <v>11550.000000000002</v>
      </c>
      <c r="AG8124" s="14">
        <v>0</v>
      </c>
      <c r="AH8124" s="47"/>
      <c r="AI8124" s="47"/>
      <c r="AJ8124" s="126" t="e">
        <v>#N/A</v>
      </c>
      <c r="AK8124" s="80">
        <f t="shared" si="1259"/>
        <v>0</v>
      </c>
      <c r="AL8124" s="85"/>
      <c r="AM8124" s="85"/>
    </row>
    <row r="8125" spans="1:39" s="86" customFormat="1" hidden="1" x14ac:dyDescent="0.3">
      <c r="A8125" s="89" t="s">
        <v>3978</v>
      </c>
      <c r="B8125" s="86" t="s">
        <v>35</v>
      </c>
      <c r="C8125" s="86" t="s">
        <v>36</v>
      </c>
      <c r="D8125" s="86" t="s">
        <v>185</v>
      </c>
      <c r="E8125" s="86" t="s">
        <v>2393</v>
      </c>
      <c r="F8125" s="86" t="s">
        <v>2405</v>
      </c>
      <c r="G8125" s="86" t="s">
        <v>2393</v>
      </c>
      <c r="H8125" s="144">
        <v>237</v>
      </c>
      <c r="I8125" s="86" t="s">
        <v>2374</v>
      </c>
      <c r="J8125" s="1" t="s">
        <v>3322</v>
      </c>
      <c r="K8125" s="1" t="s">
        <v>3322</v>
      </c>
      <c r="L8125" s="1" t="s">
        <v>35</v>
      </c>
      <c r="O8125" s="47" t="s">
        <v>3197</v>
      </c>
      <c r="P8125" s="47" t="s">
        <v>92</v>
      </c>
      <c r="Q8125" s="14">
        <v>0.94499999999999995</v>
      </c>
      <c r="R8125" s="143"/>
      <c r="S8125" s="47"/>
      <c r="T8125" s="6"/>
      <c r="U8125" s="6">
        <v>42400</v>
      </c>
      <c r="V8125" s="6">
        <v>42400</v>
      </c>
      <c r="W8125" s="6">
        <v>0</v>
      </c>
      <c r="X8125" s="6">
        <f t="shared" si="1266"/>
        <v>40068</v>
      </c>
      <c r="Y8125" s="13">
        <f t="shared" si="1257"/>
        <v>0</v>
      </c>
      <c r="Z8125" s="14">
        <v>0</v>
      </c>
      <c r="AA8125" s="6">
        <v>0</v>
      </c>
      <c r="AB8125" s="4">
        <f t="shared" si="1258"/>
        <v>40068</v>
      </c>
      <c r="AC8125" s="6">
        <f t="shared" si="1265"/>
        <v>2332</v>
      </c>
      <c r="AD8125" s="6">
        <v>42400</v>
      </c>
      <c r="AE8125" s="14">
        <v>7.0000000000000007E-2</v>
      </c>
      <c r="AF8125" s="6">
        <f t="shared" si="1267"/>
        <v>2968.0000000000005</v>
      </c>
      <c r="AG8125" s="14">
        <v>0</v>
      </c>
      <c r="AH8125" s="47"/>
      <c r="AI8125" s="47"/>
      <c r="AJ8125" s="126" t="e">
        <v>#N/A</v>
      </c>
      <c r="AK8125" s="80">
        <f t="shared" si="1259"/>
        <v>0</v>
      </c>
      <c r="AL8125" s="85"/>
      <c r="AM8125" s="85"/>
    </row>
    <row r="8126" spans="1:39" s="86" customFormat="1" hidden="1" x14ac:dyDescent="0.3">
      <c r="A8126" s="89" t="s">
        <v>3978</v>
      </c>
      <c r="B8126" s="86" t="s">
        <v>35</v>
      </c>
      <c r="C8126" s="86" t="s">
        <v>36</v>
      </c>
      <c r="D8126" s="86" t="s">
        <v>185</v>
      </c>
      <c r="E8126" s="86" t="s">
        <v>2393</v>
      </c>
      <c r="F8126" s="86" t="s">
        <v>3204</v>
      </c>
      <c r="G8126" s="86" t="s">
        <v>2393</v>
      </c>
      <c r="H8126" s="143">
        <v>237</v>
      </c>
      <c r="I8126" s="86" t="s">
        <v>2374</v>
      </c>
      <c r="J8126" s="1" t="s">
        <v>3322</v>
      </c>
      <c r="K8126" s="1" t="s">
        <v>3322</v>
      </c>
      <c r="L8126" s="1" t="s">
        <v>35</v>
      </c>
      <c r="O8126" s="47" t="s">
        <v>3197</v>
      </c>
      <c r="P8126" s="47" t="s">
        <v>41</v>
      </c>
      <c r="Q8126" s="14">
        <v>0</v>
      </c>
      <c r="R8126" s="143"/>
      <c r="S8126" s="47"/>
      <c r="T8126" s="6"/>
      <c r="U8126" s="6">
        <v>205600</v>
      </c>
      <c r="V8126" s="6">
        <v>0</v>
      </c>
      <c r="W8126" s="6">
        <v>0</v>
      </c>
      <c r="X8126" s="6">
        <f t="shared" si="1266"/>
        <v>0</v>
      </c>
      <c r="Y8126" s="13">
        <f t="shared" si="1257"/>
        <v>0</v>
      </c>
      <c r="Z8126" s="14">
        <v>0</v>
      </c>
      <c r="AA8126" s="6">
        <v>0</v>
      </c>
      <c r="AB8126" s="4">
        <f t="shared" si="1258"/>
        <v>0</v>
      </c>
      <c r="AC8126" s="6">
        <f t="shared" si="1265"/>
        <v>0</v>
      </c>
      <c r="AD8126" s="6">
        <v>0</v>
      </c>
      <c r="AE8126" s="14">
        <v>7.0000000000000007E-2</v>
      </c>
      <c r="AF8126" s="6">
        <f t="shared" si="1267"/>
        <v>0</v>
      </c>
      <c r="AG8126" s="14">
        <v>0</v>
      </c>
      <c r="AH8126" s="47"/>
      <c r="AI8126" s="47" t="s">
        <v>4179</v>
      </c>
      <c r="AJ8126" s="126" t="e">
        <v>#N/A</v>
      </c>
      <c r="AK8126" s="80">
        <f t="shared" si="1259"/>
        <v>0</v>
      </c>
      <c r="AL8126" s="85"/>
      <c r="AM8126" s="85"/>
    </row>
    <row r="8127" spans="1:39" s="86" customFormat="1" hidden="1" x14ac:dyDescent="0.3">
      <c r="A8127" s="89" t="s">
        <v>3792</v>
      </c>
      <c r="B8127" s="86" t="s">
        <v>35</v>
      </c>
      <c r="C8127" s="86" t="s">
        <v>36</v>
      </c>
      <c r="D8127" s="86" t="s">
        <v>185</v>
      </c>
      <c r="E8127" s="86" t="s">
        <v>2393</v>
      </c>
      <c r="F8127" s="86" t="s">
        <v>3204</v>
      </c>
      <c r="G8127" s="86" t="s">
        <v>2393</v>
      </c>
      <c r="H8127" s="144">
        <v>237</v>
      </c>
      <c r="I8127" s="86" t="s">
        <v>2374</v>
      </c>
      <c r="J8127" s="1" t="s">
        <v>3322</v>
      </c>
      <c r="K8127" s="1" t="s">
        <v>3322</v>
      </c>
      <c r="L8127" s="1" t="s">
        <v>35</v>
      </c>
      <c r="O8127" s="47" t="s">
        <v>3197</v>
      </c>
      <c r="P8127" s="47" t="s">
        <v>92</v>
      </c>
      <c r="Q8127" s="14">
        <v>0.94499999999999995</v>
      </c>
      <c r="R8127" s="143"/>
      <c r="S8127" s="47"/>
      <c r="T8127" s="6"/>
      <c r="U8127" s="6">
        <v>25238.71</v>
      </c>
      <c r="V8127" s="6">
        <v>97800</v>
      </c>
      <c r="W8127" s="6">
        <v>0</v>
      </c>
      <c r="X8127" s="6">
        <f t="shared" si="1266"/>
        <v>92421</v>
      </c>
      <c r="Y8127" s="13">
        <f t="shared" si="1257"/>
        <v>0</v>
      </c>
      <c r="Z8127" s="14">
        <v>0</v>
      </c>
      <c r="AA8127" s="6">
        <v>0</v>
      </c>
      <c r="AB8127" s="4">
        <f t="shared" si="1258"/>
        <v>92421</v>
      </c>
      <c r="AC8127" s="6">
        <f t="shared" si="1265"/>
        <v>5379</v>
      </c>
      <c r="AD8127" s="6">
        <v>97800</v>
      </c>
      <c r="AE8127" s="14">
        <v>7.0000000000000007E-2</v>
      </c>
      <c r="AF8127" s="6">
        <f t="shared" si="1267"/>
        <v>6846.0000000000009</v>
      </c>
      <c r="AG8127" s="14">
        <v>0</v>
      </c>
      <c r="AH8127" s="47"/>
      <c r="AI8127" s="47"/>
      <c r="AJ8127" s="126" t="e">
        <v>#N/A</v>
      </c>
      <c r="AK8127" s="80">
        <f t="shared" si="1259"/>
        <v>0</v>
      </c>
      <c r="AL8127" s="85"/>
      <c r="AM8127" s="85"/>
    </row>
    <row r="8128" spans="1:39" s="86" customFormat="1" hidden="1" x14ac:dyDescent="0.3">
      <c r="A8128" s="89" t="s">
        <v>3978</v>
      </c>
      <c r="B8128" s="86" t="s">
        <v>35</v>
      </c>
      <c r="C8128" s="86" t="s">
        <v>36</v>
      </c>
      <c r="D8128" s="86" t="s">
        <v>185</v>
      </c>
      <c r="E8128" s="86" t="s">
        <v>2409</v>
      </c>
      <c r="F8128" s="86" t="s">
        <v>3205</v>
      </c>
      <c r="G8128" s="86" t="s">
        <v>2409</v>
      </c>
      <c r="H8128" s="144">
        <v>237</v>
      </c>
      <c r="I8128" s="86" t="s">
        <v>2374</v>
      </c>
      <c r="J8128" s="1" t="s">
        <v>3322</v>
      </c>
      <c r="K8128" s="1" t="s">
        <v>3322</v>
      </c>
      <c r="L8128" s="1" t="s">
        <v>35</v>
      </c>
      <c r="O8128" s="47" t="s">
        <v>3197</v>
      </c>
      <c r="P8128" s="47" t="s">
        <v>92</v>
      </c>
      <c r="Q8128" s="14">
        <v>0.94499999999999995</v>
      </c>
      <c r="R8128" s="143"/>
      <c r="S8128" s="47"/>
      <c r="T8128" s="6"/>
      <c r="U8128" s="6">
        <v>50000</v>
      </c>
      <c r="V8128" s="6">
        <v>50000</v>
      </c>
      <c r="W8128" s="6">
        <v>0</v>
      </c>
      <c r="X8128" s="6">
        <f t="shared" si="1266"/>
        <v>47250</v>
      </c>
      <c r="Y8128" s="13">
        <f t="shared" si="1257"/>
        <v>0</v>
      </c>
      <c r="Z8128" s="14">
        <v>0</v>
      </c>
      <c r="AA8128" s="6">
        <v>0</v>
      </c>
      <c r="AB8128" s="4">
        <f t="shared" si="1258"/>
        <v>47250</v>
      </c>
      <c r="AC8128" s="6">
        <f t="shared" si="1265"/>
        <v>2750</v>
      </c>
      <c r="AD8128" s="6">
        <v>50000</v>
      </c>
      <c r="AE8128" s="14">
        <v>7.0000000000000007E-2</v>
      </c>
      <c r="AF8128" s="6">
        <f t="shared" si="1267"/>
        <v>3500.0000000000005</v>
      </c>
      <c r="AG8128" s="14">
        <v>0</v>
      </c>
      <c r="AH8128" s="47"/>
      <c r="AI8128" s="47"/>
      <c r="AJ8128" s="126" t="e">
        <v>#N/A</v>
      </c>
      <c r="AK8128" s="80">
        <f t="shared" si="1259"/>
        <v>0</v>
      </c>
      <c r="AL8128" s="85"/>
      <c r="AM8128" s="85"/>
    </row>
    <row r="8129" spans="1:39" s="86" customFormat="1" hidden="1" x14ac:dyDescent="0.3">
      <c r="A8129" s="89" t="s">
        <v>3978</v>
      </c>
      <c r="B8129" s="86" t="s">
        <v>35</v>
      </c>
      <c r="C8129" s="86" t="s">
        <v>36</v>
      </c>
      <c r="D8129" s="86" t="s">
        <v>185</v>
      </c>
      <c r="E8129" s="86" t="s">
        <v>2409</v>
      </c>
      <c r="F8129" s="86" t="s">
        <v>3206</v>
      </c>
      <c r="G8129" s="86" t="s">
        <v>2409</v>
      </c>
      <c r="H8129" s="144">
        <v>237</v>
      </c>
      <c r="I8129" s="86" t="s">
        <v>2374</v>
      </c>
      <c r="J8129" s="1" t="s">
        <v>3322</v>
      </c>
      <c r="K8129" s="1" t="s">
        <v>3322</v>
      </c>
      <c r="L8129" s="1" t="s">
        <v>35</v>
      </c>
      <c r="O8129" s="47" t="s">
        <v>3197</v>
      </c>
      <c r="P8129" s="47" t="s">
        <v>92</v>
      </c>
      <c r="Q8129" s="14">
        <v>0.94499999999999995</v>
      </c>
      <c r="R8129" s="143"/>
      <c r="S8129" s="47"/>
      <c r="T8129" s="6"/>
      <c r="U8129" s="6">
        <v>15680</v>
      </c>
      <c r="V8129" s="6">
        <v>33600</v>
      </c>
      <c r="W8129" s="6">
        <v>0</v>
      </c>
      <c r="X8129" s="6">
        <f t="shared" si="1266"/>
        <v>31752</v>
      </c>
      <c r="Y8129" s="13">
        <f t="shared" si="1257"/>
        <v>0</v>
      </c>
      <c r="Z8129" s="14">
        <v>0</v>
      </c>
      <c r="AA8129" s="6">
        <v>0</v>
      </c>
      <c r="AB8129" s="4">
        <f t="shared" si="1258"/>
        <v>31752</v>
      </c>
      <c r="AC8129" s="6">
        <f t="shared" si="1265"/>
        <v>1848</v>
      </c>
      <c r="AD8129" s="6">
        <v>33600</v>
      </c>
      <c r="AE8129" s="14">
        <v>7.0000000000000007E-2</v>
      </c>
      <c r="AF8129" s="6">
        <f t="shared" si="1267"/>
        <v>2352</v>
      </c>
      <c r="AG8129" s="14">
        <v>0</v>
      </c>
      <c r="AH8129" s="47"/>
      <c r="AI8129" s="47"/>
      <c r="AJ8129" s="126" t="e">
        <v>#N/A</v>
      </c>
      <c r="AK8129" s="80">
        <f t="shared" si="1259"/>
        <v>0</v>
      </c>
      <c r="AL8129" s="85"/>
      <c r="AM8129" s="85"/>
    </row>
    <row r="8130" spans="1:39" s="86" customFormat="1" hidden="1" x14ac:dyDescent="0.3">
      <c r="A8130" s="89" t="s">
        <v>3978</v>
      </c>
      <c r="B8130" s="86" t="s">
        <v>35</v>
      </c>
      <c r="C8130" s="86" t="s">
        <v>36</v>
      </c>
      <c r="D8130" s="86" t="s">
        <v>185</v>
      </c>
      <c r="E8130" s="86" t="s">
        <v>2409</v>
      </c>
      <c r="F8130" s="86" t="s">
        <v>3207</v>
      </c>
      <c r="G8130" s="86" t="s">
        <v>2409</v>
      </c>
      <c r="H8130" s="144">
        <v>237</v>
      </c>
      <c r="I8130" s="86" t="s">
        <v>2374</v>
      </c>
      <c r="J8130" s="1" t="s">
        <v>3322</v>
      </c>
      <c r="K8130" s="1" t="s">
        <v>3322</v>
      </c>
      <c r="L8130" s="1" t="s">
        <v>35</v>
      </c>
      <c r="O8130" s="47" t="s">
        <v>3197</v>
      </c>
      <c r="P8130" s="47" t="s">
        <v>92</v>
      </c>
      <c r="Q8130" s="14">
        <v>0.94499999999999995</v>
      </c>
      <c r="R8130" s="143"/>
      <c r="S8130" s="47"/>
      <c r="T8130" s="6">
        <v>0</v>
      </c>
      <c r="U8130" s="6">
        <v>740000</v>
      </c>
      <c r="V8130" s="6">
        <v>740000</v>
      </c>
      <c r="W8130" s="6">
        <v>0</v>
      </c>
      <c r="X8130" s="6">
        <f t="shared" si="1266"/>
        <v>699300</v>
      </c>
      <c r="Y8130" s="13">
        <f t="shared" si="1257"/>
        <v>0</v>
      </c>
      <c r="Z8130" s="14">
        <v>0</v>
      </c>
      <c r="AA8130" s="6">
        <v>0</v>
      </c>
      <c r="AB8130" s="4">
        <f t="shared" si="1258"/>
        <v>699300</v>
      </c>
      <c r="AC8130" s="6">
        <f t="shared" si="1265"/>
        <v>40700</v>
      </c>
      <c r="AD8130" s="6">
        <v>740000</v>
      </c>
      <c r="AE8130" s="14">
        <v>7.0000000000000007E-2</v>
      </c>
      <c r="AF8130" s="6">
        <f t="shared" si="1267"/>
        <v>51800.000000000007</v>
      </c>
      <c r="AG8130" s="14">
        <v>0</v>
      </c>
      <c r="AH8130" s="47"/>
      <c r="AI8130" s="47"/>
      <c r="AJ8130" s="126" t="e">
        <v>#N/A</v>
      </c>
      <c r="AK8130" s="80">
        <f t="shared" si="1259"/>
        <v>0</v>
      </c>
      <c r="AL8130" s="85"/>
      <c r="AM8130" s="85"/>
    </row>
    <row r="8131" spans="1:39" s="86" customFormat="1" hidden="1" x14ac:dyDescent="0.3">
      <c r="A8131" s="89" t="s">
        <v>3978</v>
      </c>
      <c r="B8131" s="86" t="s">
        <v>35</v>
      </c>
      <c r="C8131" s="86" t="s">
        <v>36</v>
      </c>
      <c r="D8131" s="86" t="s">
        <v>185</v>
      </c>
      <c r="E8131" s="86" t="s">
        <v>2409</v>
      </c>
      <c r="F8131" s="86" t="s">
        <v>3208</v>
      </c>
      <c r="G8131" s="86" t="s">
        <v>2409</v>
      </c>
      <c r="H8131" s="144">
        <v>237</v>
      </c>
      <c r="I8131" s="86" t="s">
        <v>2374</v>
      </c>
      <c r="J8131" s="1" t="s">
        <v>3322</v>
      </c>
      <c r="K8131" s="1" t="s">
        <v>3322</v>
      </c>
      <c r="L8131" s="1" t="s">
        <v>35</v>
      </c>
      <c r="O8131" s="47" t="s">
        <v>3197</v>
      </c>
      <c r="P8131" s="47" t="s">
        <v>92</v>
      </c>
      <c r="Q8131" s="14">
        <v>0.94499999999999995</v>
      </c>
      <c r="R8131" s="143"/>
      <c r="S8131" s="47"/>
      <c r="T8131" s="6">
        <v>0</v>
      </c>
      <c r="U8131" s="6">
        <v>695000</v>
      </c>
      <c r="V8131" s="6">
        <v>695000</v>
      </c>
      <c r="W8131" s="6">
        <v>0</v>
      </c>
      <c r="X8131" s="6">
        <f t="shared" si="1266"/>
        <v>656775</v>
      </c>
      <c r="Y8131" s="13">
        <f t="shared" ref="Y8131:Y8185" si="1268">IF(X8131-AD8131&lt;=0,0,IF(P8131="返现",MAX(X8131-AC8131-AD8131,0),MAX(X8131-AD8131)))</f>
        <v>0</v>
      </c>
      <c r="Z8131" s="14">
        <v>0</v>
      </c>
      <c r="AA8131" s="6">
        <v>0</v>
      </c>
      <c r="AB8131" s="4">
        <f t="shared" ref="AB8131:AB8185" si="1269">X8131+AA8131</f>
        <v>656775</v>
      </c>
      <c r="AC8131" s="6">
        <f t="shared" si="1265"/>
        <v>38225</v>
      </c>
      <c r="AD8131" s="6">
        <v>695000</v>
      </c>
      <c r="AE8131" s="14">
        <v>7.0000000000000007E-2</v>
      </c>
      <c r="AF8131" s="6">
        <f t="shared" si="1267"/>
        <v>48650.000000000007</v>
      </c>
      <c r="AG8131" s="14">
        <v>0</v>
      </c>
      <c r="AH8131" s="47"/>
      <c r="AI8131" s="47"/>
      <c r="AJ8131" s="126" t="e">
        <v>#N/A</v>
      </c>
      <c r="AK8131" s="80">
        <f t="shared" ref="AK8131:AK8185" si="1270">X8131+AA8131-AB8131</f>
        <v>0</v>
      </c>
      <c r="AL8131" s="85"/>
      <c r="AM8131" s="85"/>
    </row>
    <row r="8132" spans="1:39" s="86" customFormat="1" hidden="1" x14ac:dyDescent="0.3">
      <c r="A8132" s="89" t="s">
        <v>3978</v>
      </c>
      <c r="B8132" s="86" t="s">
        <v>35</v>
      </c>
      <c r="C8132" s="86" t="s">
        <v>36</v>
      </c>
      <c r="D8132" s="86" t="s">
        <v>185</v>
      </c>
      <c r="E8132" s="86" t="s">
        <v>2418</v>
      </c>
      <c r="F8132" s="86" t="s">
        <v>4180</v>
      </c>
      <c r="G8132" s="86" t="s">
        <v>2418</v>
      </c>
      <c r="H8132" s="144">
        <v>237</v>
      </c>
      <c r="I8132" s="86" t="s">
        <v>2374</v>
      </c>
      <c r="J8132" s="1" t="s">
        <v>3322</v>
      </c>
      <c r="K8132" s="1" t="s">
        <v>3322</v>
      </c>
      <c r="L8132" s="1" t="s">
        <v>35</v>
      </c>
      <c r="O8132" s="47" t="s">
        <v>4181</v>
      </c>
      <c r="P8132" s="47" t="s">
        <v>92</v>
      </c>
      <c r="Q8132" s="14">
        <v>0.94499999999999995</v>
      </c>
      <c r="R8132" s="143"/>
      <c r="S8132" s="47"/>
      <c r="T8132" s="6">
        <v>0</v>
      </c>
      <c r="U8132" s="6">
        <v>27876.84</v>
      </c>
      <c r="V8132" s="6">
        <v>27876.84</v>
      </c>
      <c r="W8132" s="6">
        <v>0</v>
      </c>
      <c r="X8132" s="6">
        <v>24894.87</v>
      </c>
      <c r="Y8132" s="13">
        <f t="shared" si="1268"/>
        <v>0</v>
      </c>
      <c r="Z8132" s="14">
        <v>0</v>
      </c>
      <c r="AA8132" s="6">
        <v>0</v>
      </c>
      <c r="AB8132" s="4">
        <f t="shared" si="1269"/>
        <v>24894.87</v>
      </c>
      <c r="AC8132" s="6">
        <f t="shared" si="1265"/>
        <v>2981.9700000000012</v>
      </c>
      <c r="AD8132" s="6">
        <v>27876.84</v>
      </c>
      <c r="AE8132" s="14">
        <v>0</v>
      </c>
      <c r="AF8132" s="6">
        <f t="shared" si="1267"/>
        <v>0</v>
      </c>
      <c r="AG8132" s="14">
        <v>0</v>
      </c>
      <c r="AH8132" s="47"/>
      <c r="AI8132" s="47"/>
      <c r="AJ8132" s="126" t="e">
        <v>#N/A</v>
      </c>
      <c r="AK8132" s="80">
        <f t="shared" si="1270"/>
        <v>0</v>
      </c>
      <c r="AL8132" s="85"/>
      <c r="AM8132" s="85"/>
    </row>
    <row r="8133" spans="1:39" s="86" customFormat="1" hidden="1" x14ac:dyDescent="0.3">
      <c r="A8133" s="89" t="s">
        <v>3978</v>
      </c>
      <c r="B8133" s="86" t="s">
        <v>35</v>
      </c>
      <c r="C8133" s="86" t="s">
        <v>36</v>
      </c>
      <c r="D8133" s="86" t="s">
        <v>185</v>
      </c>
      <c r="E8133" s="86" t="s">
        <v>2418</v>
      </c>
      <c r="F8133" s="86" t="s">
        <v>3209</v>
      </c>
      <c r="G8133" s="86" t="s">
        <v>2418</v>
      </c>
      <c r="H8133" s="144">
        <v>237</v>
      </c>
      <c r="I8133" s="86" t="s">
        <v>2374</v>
      </c>
      <c r="J8133" s="1" t="s">
        <v>3322</v>
      </c>
      <c r="K8133" s="1" t="s">
        <v>3322</v>
      </c>
      <c r="L8133" s="1" t="s">
        <v>35</v>
      </c>
      <c r="O8133" s="47" t="s">
        <v>3197</v>
      </c>
      <c r="P8133" s="47" t="s">
        <v>92</v>
      </c>
      <c r="Q8133" s="14">
        <v>0.94499999999999995</v>
      </c>
      <c r="R8133" s="143"/>
      <c r="S8133" s="47"/>
      <c r="T8133" s="6">
        <v>0</v>
      </c>
      <c r="U8133" s="6">
        <v>105400</v>
      </c>
      <c r="V8133" s="6">
        <v>105400</v>
      </c>
      <c r="W8133" s="6">
        <v>0</v>
      </c>
      <c r="X8133" s="6">
        <f t="shared" ref="X8133:X8141" si="1271">IF(P8133="折扣",V8133*Q8133,IF(P8133="返现",V8133,V8133/(1+Q8133)))</f>
        <v>99603</v>
      </c>
      <c r="Y8133" s="13">
        <f t="shared" si="1268"/>
        <v>0</v>
      </c>
      <c r="Z8133" s="14">
        <v>0</v>
      </c>
      <c r="AA8133" s="6">
        <v>0</v>
      </c>
      <c r="AB8133" s="4">
        <f t="shared" si="1269"/>
        <v>99603</v>
      </c>
      <c r="AC8133" s="6">
        <f t="shared" si="1265"/>
        <v>5797</v>
      </c>
      <c r="AD8133" s="6">
        <v>105400</v>
      </c>
      <c r="AE8133" s="14">
        <v>7.0000000000000007E-2</v>
      </c>
      <c r="AF8133" s="6">
        <f t="shared" si="1267"/>
        <v>7378.0000000000009</v>
      </c>
      <c r="AG8133" s="14">
        <v>0</v>
      </c>
      <c r="AH8133" s="47"/>
      <c r="AI8133" s="47"/>
      <c r="AJ8133" s="126" t="e">
        <v>#N/A</v>
      </c>
      <c r="AK8133" s="80">
        <f t="shared" si="1270"/>
        <v>0</v>
      </c>
      <c r="AL8133" s="85"/>
      <c r="AM8133" s="85"/>
    </row>
    <row r="8134" spans="1:39" s="86" customFormat="1" hidden="1" x14ac:dyDescent="0.3">
      <c r="A8134" s="89" t="s">
        <v>3978</v>
      </c>
      <c r="B8134" s="86" t="s">
        <v>35</v>
      </c>
      <c r="C8134" s="86" t="s">
        <v>36</v>
      </c>
      <c r="D8134" s="86" t="s">
        <v>185</v>
      </c>
      <c r="E8134" s="86" t="s">
        <v>2418</v>
      </c>
      <c r="F8134" s="86" t="s">
        <v>4182</v>
      </c>
      <c r="G8134" s="86" t="s">
        <v>2418</v>
      </c>
      <c r="H8134" s="144">
        <v>237</v>
      </c>
      <c r="I8134" s="86" t="s">
        <v>2374</v>
      </c>
      <c r="J8134" s="1" t="s">
        <v>3322</v>
      </c>
      <c r="K8134" s="1" t="s">
        <v>3322</v>
      </c>
      <c r="L8134" s="1" t="s">
        <v>35</v>
      </c>
      <c r="O8134" s="47" t="s">
        <v>3197</v>
      </c>
      <c r="P8134" s="47" t="s">
        <v>92</v>
      </c>
      <c r="Q8134" s="14">
        <v>0.94499999999999995</v>
      </c>
      <c r="R8134" s="143"/>
      <c r="S8134" s="47"/>
      <c r="T8134" s="6">
        <v>0</v>
      </c>
      <c r="U8134" s="6">
        <v>69813.759999999995</v>
      </c>
      <c r="V8134" s="6">
        <v>95200</v>
      </c>
      <c r="W8134" s="6">
        <v>0</v>
      </c>
      <c r="X8134" s="6">
        <f t="shared" si="1271"/>
        <v>89964</v>
      </c>
      <c r="Y8134" s="13">
        <f t="shared" si="1268"/>
        <v>0</v>
      </c>
      <c r="Z8134" s="14">
        <v>0</v>
      </c>
      <c r="AA8134" s="6">
        <v>0</v>
      </c>
      <c r="AB8134" s="4">
        <f t="shared" si="1269"/>
        <v>89964</v>
      </c>
      <c r="AC8134" s="6">
        <f t="shared" si="1265"/>
        <v>5236</v>
      </c>
      <c r="AD8134" s="6">
        <v>95200</v>
      </c>
      <c r="AE8134" s="14">
        <v>7.0000000000000007E-2</v>
      </c>
      <c r="AF8134" s="6">
        <f t="shared" si="1267"/>
        <v>6664.0000000000009</v>
      </c>
      <c r="AG8134" s="14">
        <v>0</v>
      </c>
      <c r="AH8134" s="47"/>
      <c r="AI8134" s="47"/>
      <c r="AJ8134" s="126" t="e">
        <v>#N/A</v>
      </c>
      <c r="AK8134" s="80">
        <f t="shared" si="1270"/>
        <v>0</v>
      </c>
      <c r="AL8134" s="85"/>
      <c r="AM8134" s="85"/>
    </row>
    <row r="8135" spans="1:39" s="86" customFormat="1" hidden="1" x14ac:dyDescent="0.3">
      <c r="A8135" s="89" t="s">
        <v>3978</v>
      </c>
      <c r="B8135" s="86" t="s">
        <v>35</v>
      </c>
      <c r="C8135" s="86" t="s">
        <v>65</v>
      </c>
      <c r="D8135" s="86" t="s">
        <v>66</v>
      </c>
      <c r="E8135" s="86" t="s">
        <v>132</v>
      </c>
      <c r="F8135" s="86" t="s">
        <v>132</v>
      </c>
      <c r="G8135" s="86" t="s">
        <v>132</v>
      </c>
      <c r="H8135" s="143">
        <v>237</v>
      </c>
      <c r="I8135" s="86" t="s">
        <v>2374</v>
      </c>
      <c r="J8135" s="1" t="s">
        <v>3322</v>
      </c>
      <c r="K8135" s="1" t="s">
        <v>3322</v>
      </c>
      <c r="L8135" s="1" t="s">
        <v>35</v>
      </c>
      <c r="O8135" s="47" t="s">
        <v>3226</v>
      </c>
      <c r="P8135" s="47" t="s">
        <v>41</v>
      </c>
      <c r="Q8135" s="14">
        <v>0</v>
      </c>
      <c r="R8135" s="143"/>
      <c r="S8135" s="47"/>
      <c r="T8135" s="6">
        <v>0</v>
      </c>
      <c r="U8135" s="6">
        <v>400000</v>
      </c>
      <c r="V8135" s="6">
        <v>0</v>
      </c>
      <c r="W8135" s="6">
        <v>0</v>
      </c>
      <c r="X8135" s="6">
        <f t="shared" si="1271"/>
        <v>0</v>
      </c>
      <c r="Y8135" s="13">
        <f t="shared" si="1268"/>
        <v>0</v>
      </c>
      <c r="Z8135" s="14">
        <v>0</v>
      </c>
      <c r="AA8135" s="6">
        <v>0</v>
      </c>
      <c r="AB8135" s="4">
        <f t="shared" si="1269"/>
        <v>0</v>
      </c>
      <c r="AC8135" s="6">
        <f t="shared" si="1265"/>
        <v>0</v>
      </c>
      <c r="AD8135" s="6">
        <v>0</v>
      </c>
      <c r="AE8135" s="14">
        <v>0</v>
      </c>
      <c r="AF8135" s="6">
        <f t="shared" si="1267"/>
        <v>0</v>
      </c>
      <c r="AG8135" s="14">
        <v>0</v>
      </c>
      <c r="AH8135" s="47"/>
      <c r="AI8135" s="47" t="s">
        <v>4183</v>
      </c>
      <c r="AJ8135" s="126" t="e">
        <v>#N/A</v>
      </c>
      <c r="AK8135" s="80">
        <f t="shared" si="1270"/>
        <v>0</v>
      </c>
      <c r="AL8135" s="85"/>
      <c r="AM8135" s="85"/>
    </row>
    <row r="8136" spans="1:39" s="86" customFormat="1" hidden="1" x14ac:dyDescent="0.3">
      <c r="A8136" s="89" t="s">
        <v>3978</v>
      </c>
      <c r="B8136" s="86" t="s">
        <v>35</v>
      </c>
      <c r="C8136" s="86" t="s">
        <v>65</v>
      </c>
      <c r="D8136" s="86" t="s">
        <v>66</v>
      </c>
      <c r="E8136" s="86" t="s">
        <v>132</v>
      </c>
      <c r="F8136" s="86" t="s">
        <v>132</v>
      </c>
      <c r="G8136" s="86" t="s">
        <v>132</v>
      </c>
      <c r="H8136" s="144">
        <v>237</v>
      </c>
      <c r="I8136" s="86" t="s">
        <v>2374</v>
      </c>
      <c r="J8136" s="1" t="s">
        <v>3322</v>
      </c>
      <c r="K8136" s="1" t="s">
        <v>3322</v>
      </c>
      <c r="L8136" s="1" t="s">
        <v>35</v>
      </c>
      <c r="O8136" s="47" t="s">
        <v>3197</v>
      </c>
      <c r="P8136" s="47" t="s">
        <v>41</v>
      </c>
      <c r="Q8136" s="14">
        <v>0</v>
      </c>
      <c r="R8136" s="143"/>
      <c r="S8136" s="47"/>
      <c r="T8136" s="6">
        <v>0</v>
      </c>
      <c r="U8136" s="6">
        <v>575000</v>
      </c>
      <c r="V8136" s="6">
        <v>575000</v>
      </c>
      <c r="W8136" s="6">
        <v>0</v>
      </c>
      <c r="X8136" s="6">
        <f t="shared" si="1271"/>
        <v>575000</v>
      </c>
      <c r="Y8136" s="13">
        <f t="shared" si="1268"/>
        <v>0</v>
      </c>
      <c r="Z8136" s="14">
        <v>0</v>
      </c>
      <c r="AA8136" s="6">
        <v>0</v>
      </c>
      <c r="AB8136" s="4">
        <f t="shared" si="1269"/>
        <v>575000</v>
      </c>
      <c r="AC8136" s="6">
        <f t="shared" si="1265"/>
        <v>0</v>
      </c>
      <c r="AD8136" s="6">
        <v>575000</v>
      </c>
      <c r="AE8136" s="14">
        <v>7.0000000000000007E-2</v>
      </c>
      <c r="AF8136" s="6">
        <f t="shared" si="1267"/>
        <v>40250.000000000007</v>
      </c>
      <c r="AG8136" s="14">
        <v>0</v>
      </c>
      <c r="AH8136" s="47"/>
      <c r="AI8136" s="47"/>
      <c r="AJ8136" s="126" t="e">
        <v>#N/A</v>
      </c>
      <c r="AK8136" s="80">
        <f t="shared" si="1270"/>
        <v>0</v>
      </c>
      <c r="AL8136" s="85"/>
      <c r="AM8136" s="85"/>
    </row>
    <row r="8137" spans="1:39" s="86" customFormat="1" hidden="1" x14ac:dyDescent="0.3">
      <c r="A8137" s="89" t="s">
        <v>3978</v>
      </c>
      <c r="B8137" s="86" t="s">
        <v>35</v>
      </c>
      <c r="C8137" s="86" t="s">
        <v>47</v>
      </c>
      <c r="D8137" s="86" t="s">
        <v>63</v>
      </c>
      <c r="E8137" s="86" t="s">
        <v>3199</v>
      </c>
      <c r="F8137" s="86" t="s">
        <v>3199</v>
      </c>
      <c r="G8137" s="86" t="s">
        <v>3199</v>
      </c>
      <c r="H8137" s="143">
        <v>237</v>
      </c>
      <c r="I8137" s="86" t="s">
        <v>2374</v>
      </c>
      <c r="J8137" s="1" t="s">
        <v>3322</v>
      </c>
      <c r="K8137" s="1" t="s">
        <v>3322</v>
      </c>
      <c r="L8137" s="1" t="s">
        <v>35</v>
      </c>
      <c r="O8137" s="47" t="s">
        <v>3197</v>
      </c>
      <c r="P8137" s="47" t="s">
        <v>41</v>
      </c>
      <c r="Q8137" s="14">
        <v>0</v>
      </c>
      <c r="R8137" s="143"/>
      <c r="S8137" s="47"/>
      <c r="T8137" s="6">
        <v>0</v>
      </c>
      <c r="U8137" s="6">
        <v>81800</v>
      </c>
      <c r="V8137" s="6">
        <v>0</v>
      </c>
      <c r="W8137" s="6">
        <v>0</v>
      </c>
      <c r="X8137" s="6">
        <f t="shared" si="1271"/>
        <v>0</v>
      </c>
      <c r="Y8137" s="13">
        <f t="shared" si="1268"/>
        <v>0</v>
      </c>
      <c r="Z8137" s="14">
        <v>0</v>
      </c>
      <c r="AA8137" s="6">
        <v>0</v>
      </c>
      <c r="AB8137" s="4">
        <f t="shared" si="1269"/>
        <v>0</v>
      </c>
      <c r="AC8137" s="6">
        <f t="shared" si="1265"/>
        <v>0</v>
      </c>
      <c r="AD8137" s="6">
        <v>0</v>
      </c>
      <c r="AE8137" s="14">
        <v>7.0000000000000007E-2</v>
      </c>
      <c r="AF8137" s="6">
        <f t="shared" si="1267"/>
        <v>0</v>
      </c>
      <c r="AG8137" s="14">
        <v>0</v>
      </c>
      <c r="AH8137" s="47"/>
      <c r="AI8137" s="47" t="s">
        <v>4179</v>
      </c>
      <c r="AJ8137" s="126" t="e">
        <v>#N/A</v>
      </c>
      <c r="AK8137" s="80">
        <f t="shared" si="1270"/>
        <v>0</v>
      </c>
      <c r="AL8137" s="85"/>
      <c r="AM8137" s="85"/>
    </row>
    <row r="8138" spans="1:39" s="86" customFormat="1" hidden="1" x14ac:dyDescent="0.3">
      <c r="A8138" s="89" t="s">
        <v>3978</v>
      </c>
      <c r="B8138" s="86" t="s">
        <v>35</v>
      </c>
      <c r="C8138" s="86" t="s">
        <v>47</v>
      </c>
      <c r="D8138" s="86" t="s">
        <v>63</v>
      </c>
      <c r="E8138" s="86" t="s">
        <v>4184</v>
      </c>
      <c r="F8138" s="86" t="s">
        <v>4184</v>
      </c>
      <c r="G8138" s="86" t="s">
        <v>4184</v>
      </c>
      <c r="H8138" s="143">
        <v>237</v>
      </c>
      <c r="I8138" s="86" t="s">
        <v>2374</v>
      </c>
      <c r="J8138" s="1" t="s">
        <v>3322</v>
      </c>
      <c r="K8138" s="1" t="s">
        <v>3322</v>
      </c>
      <c r="L8138" s="1" t="s">
        <v>35</v>
      </c>
      <c r="O8138" s="47" t="s">
        <v>3197</v>
      </c>
      <c r="P8138" s="47" t="s">
        <v>41</v>
      </c>
      <c r="Q8138" s="14">
        <v>0</v>
      </c>
      <c r="R8138" s="143"/>
      <c r="S8138" s="47"/>
      <c r="T8138" s="6">
        <v>0</v>
      </c>
      <c r="U8138" s="6">
        <v>-32725.46</v>
      </c>
      <c r="V8138" s="6">
        <v>0</v>
      </c>
      <c r="W8138" s="6">
        <v>0</v>
      </c>
      <c r="X8138" s="6">
        <f t="shared" si="1271"/>
        <v>0</v>
      </c>
      <c r="Y8138" s="13">
        <f t="shared" si="1268"/>
        <v>0</v>
      </c>
      <c r="Z8138" s="14">
        <v>0</v>
      </c>
      <c r="AA8138" s="6">
        <v>0</v>
      </c>
      <c r="AB8138" s="4">
        <f t="shared" si="1269"/>
        <v>0</v>
      </c>
      <c r="AC8138" s="6">
        <f t="shared" si="1265"/>
        <v>0</v>
      </c>
      <c r="AD8138" s="6">
        <v>0</v>
      </c>
      <c r="AE8138" s="14">
        <v>7.0000000000000007E-2</v>
      </c>
      <c r="AF8138" s="6">
        <f t="shared" si="1267"/>
        <v>0</v>
      </c>
      <c r="AG8138" s="14">
        <v>0</v>
      </c>
      <c r="AH8138" s="47"/>
      <c r="AI8138" s="47" t="s">
        <v>4179</v>
      </c>
      <c r="AJ8138" s="126" t="e">
        <v>#N/A</v>
      </c>
      <c r="AK8138" s="80">
        <f t="shared" si="1270"/>
        <v>0</v>
      </c>
      <c r="AL8138" s="85"/>
      <c r="AM8138" s="85"/>
    </row>
    <row r="8139" spans="1:39" s="86" customFormat="1" hidden="1" x14ac:dyDescent="0.3">
      <c r="A8139" s="89" t="s">
        <v>3978</v>
      </c>
      <c r="B8139" s="86" t="s">
        <v>35</v>
      </c>
      <c r="C8139" s="86" t="s">
        <v>164</v>
      </c>
      <c r="D8139" s="86" t="s">
        <v>169</v>
      </c>
      <c r="E8139" s="86" t="s">
        <v>2518</v>
      </c>
      <c r="F8139" s="86" t="s">
        <v>2518</v>
      </c>
      <c r="G8139" s="86" t="s">
        <v>2518</v>
      </c>
      <c r="H8139" s="144">
        <v>237</v>
      </c>
      <c r="I8139" s="86" t="s">
        <v>2374</v>
      </c>
      <c r="J8139" s="1" t="s">
        <v>3322</v>
      </c>
      <c r="K8139" s="1" t="s">
        <v>3322</v>
      </c>
      <c r="L8139" s="1" t="s">
        <v>35</v>
      </c>
      <c r="O8139" s="47" t="s">
        <v>3197</v>
      </c>
      <c r="P8139" s="47" t="s">
        <v>41</v>
      </c>
      <c r="Q8139" s="14">
        <v>0</v>
      </c>
      <c r="R8139" s="143"/>
      <c r="S8139" s="47"/>
      <c r="T8139" s="6">
        <v>0</v>
      </c>
      <c r="U8139" s="6">
        <v>360000</v>
      </c>
      <c r="V8139" s="6">
        <v>360000</v>
      </c>
      <c r="W8139" s="6">
        <v>0</v>
      </c>
      <c r="X8139" s="6">
        <f t="shared" si="1271"/>
        <v>360000</v>
      </c>
      <c r="Y8139" s="13">
        <f t="shared" si="1268"/>
        <v>0</v>
      </c>
      <c r="Z8139" s="14">
        <v>0</v>
      </c>
      <c r="AA8139" s="6">
        <v>0</v>
      </c>
      <c r="AB8139" s="4">
        <f t="shared" si="1269"/>
        <v>360000</v>
      </c>
      <c r="AC8139" s="6">
        <f t="shared" si="1265"/>
        <v>0</v>
      </c>
      <c r="AD8139" s="6">
        <v>360000</v>
      </c>
      <c r="AE8139" s="14">
        <v>7.0000000000000007E-2</v>
      </c>
      <c r="AF8139" s="6">
        <f t="shared" si="1267"/>
        <v>25200.000000000004</v>
      </c>
      <c r="AG8139" s="14">
        <v>0</v>
      </c>
      <c r="AH8139" s="47"/>
      <c r="AI8139" s="47"/>
      <c r="AJ8139" s="126" t="e">
        <v>#N/A</v>
      </c>
      <c r="AK8139" s="80">
        <f t="shared" si="1270"/>
        <v>0</v>
      </c>
      <c r="AL8139" s="85"/>
      <c r="AM8139" s="85"/>
    </row>
    <row r="8140" spans="1:39" s="86" customFormat="1" hidden="1" x14ac:dyDescent="0.3">
      <c r="A8140" s="89" t="s">
        <v>3978</v>
      </c>
      <c r="B8140" s="86" t="s">
        <v>35</v>
      </c>
      <c r="C8140" s="86" t="s">
        <v>164</v>
      </c>
      <c r="D8140" s="86" t="s">
        <v>169</v>
      </c>
      <c r="E8140" s="86" t="s">
        <v>2567</v>
      </c>
      <c r="F8140" s="86" t="s">
        <v>2568</v>
      </c>
      <c r="G8140" s="86" t="s">
        <v>2567</v>
      </c>
      <c r="H8140" s="144">
        <v>237</v>
      </c>
      <c r="I8140" s="86" t="s">
        <v>2374</v>
      </c>
      <c r="J8140" s="1" t="s">
        <v>3322</v>
      </c>
      <c r="K8140" s="1" t="s">
        <v>3322</v>
      </c>
      <c r="L8140" s="1" t="s">
        <v>35</v>
      </c>
      <c r="O8140" s="47" t="s">
        <v>3197</v>
      </c>
      <c r="P8140" s="47" t="s">
        <v>41</v>
      </c>
      <c r="Q8140" s="14">
        <v>0</v>
      </c>
      <c r="R8140" s="143"/>
      <c r="S8140" s="47"/>
      <c r="T8140" s="6">
        <v>0</v>
      </c>
      <c r="U8140" s="6">
        <v>217000</v>
      </c>
      <c r="V8140" s="6">
        <v>108500</v>
      </c>
      <c r="W8140" s="6">
        <v>0</v>
      </c>
      <c r="X8140" s="6">
        <f t="shared" si="1271"/>
        <v>108500</v>
      </c>
      <c r="Y8140" s="13">
        <f t="shared" si="1268"/>
        <v>0</v>
      </c>
      <c r="Z8140" s="14">
        <v>0</v>
      </c>
      <c r="AA8140" s="6">
        <v>0</v>
      </c>
      <c r="AB8140" s="4">
        <f t="shared" si="1269"/>
        <v>108500</v>
      </c>
      <c r="AC8140" s="6">
        <f t="shared" si="1265"/>
        <v>0</v>
      </c>
      <c r="AD8140" s="6">
        <v>108500</v>
      </c>
      <c r="AE8140" s="14">
        <v>7.0000000000000007E-2</v>
      </c>
      <c r="AF8140" s="6">
        <f t="shared" si="1267"/>
        <v>7595.0000000000009</v>
      </c>
      <c r="AG8140" s="14">
        <v>0</v>
      </c>
      <c r="AH8140" s="47"/>
      <c r="AI8140" s="47"/>
      <c r="AJ8140" s="126" t="e">
        <v>#N/A</v>
      </c>
      <c r="AK8140" s="80">
        <f t="shared" si="1270"/>
        <v>0</v>
      </c>
      <c r="AL8140" s="85"/>
      <c r="AM8140" s="85"/>
    </row>
    <row r="8141" spans="1:39" s="86" customFormat="1" hidden="1" x14ac:dyDescent="0.3">
      <c r="A8141" s="89" t="s">
        <v>3978</v>
      </c>
      <c r="B8141" s="86" t="s">
        <v>35</v>
      </c>
      <c r="C8141" s="86" t="s">
        <v>184</v>
      </c>
      <c r="D8141" s="86" t="s">
        <v>224</v>
      </c>
      <c r="E8141" s="86" t="s">
        <v>2377</v>
      </c>
      <c r="F8141" s="86" t="s">
        <v>2377</v>
      </c>
      <c r="G8141" s="86" t="s">
        <v>2377</v>
      </c>
      <c r="H8141" s="144">
        <v>237</v>
      </c>
      <c r="I8141" s="86" t="s">
        <v>2374</v>
      </c>
      <c r="J8141" s="1" t="s">
        <v>3322</v>
      </c>
      <c r="K8141" s="1" t="s">
        <v>3322</v>
      </c>
      <c r="L8141" s="1" t="s">
        <v>35</v>
      </c>
      <c r="O8141" s="47" t="s">
        <v>3197</v>
      </c>
      <c r="P8141" s="47" t="s">
        <v>41</v>
      </c>
      <c r="Q8141" s="14">
        <v>0</v>
      </c>
      <c r="R8141" s="143"/>
      <c r="S8141" s="47"/>
      <c r="T8141" s="6">
        <v>0</v>
      </c>
      <c r="U8141" s="6">
        <v>217741.94</v>
      </c>
      <c r="V8141" s="6">
        <v>225000</v>
      </c>
      <c r="W8141" s="6">
        <v>0</v>
      </c>
      <c r="X8141" s="6">
        <f t="shared" si="1271"/>
        <v>225000</v>
      </c>
      <c r="Y8141" s="13">
        <f t="shared" si="1268"/>
        <v>0</v>
      </c>
      <c r="Z8141" s="14">
        <v>0</v>
      </c>
      <c r="AA8141" s="6">
        <v>0</v>
      </c>
      <c r="AB8141" s="4">
        <f t="shared" si="1269"/>
        <v>225000</v>
      </c>
      <c r="AC8141" s="6">
        <f t="shared" si="1265"/>
        <v>0</v>
      </c>
      <c r="AD8141" s="104">
        <v>225000</v>
      </c>
      <c r="AE8141" s="14">
        <v>7.0000000000000007E-2</v>
      </c>
      <c r="AF8141" s="6">
        <f t="shared" si="1267"/>
        <v>15750.000000000002</v>
      </c>
      <c r="AG8141" s="14">
        <v>0</v>
      </c>
      <c r="AH8141" s="47"/>
      <c r="AI8141" s="47"/>
      <c r="AJ8141" s="126" t="s">
        <v>4223</v>
      </c>
      <c r="AK8141" s="80">
        <f t="shared" si="1270"/>
        <v>0</v>
      </c>
      <c r="AL8141" s="150"/>
      <c r="AM8141" s="85"/>
    </row>
    <row r="8142" spans="1:39" s="86" customFormat="1" hidden="1" x14ac:dyDescent="0.3">
      <c r="A8142" s="89" t="s">
        <v>3978</v>
      </c>
      <c r="B8142" s="86" t="s">
        <v>35</v>
      </c>
      <c r="C8142" s="86" t="s">
        <v>184</v>
      </c>
      <c r="D8142" s="86" t="s">
        <v>54</v>
      </c>
      <c r="E8142" s="86" t="s">
        <v>3198</v>
      </c>
      <c r="F8142" s="86" t="s">
        <v>3198</v>
      </c>
      <c r="G8142" s="86" t="s">
        <v>3198</v>
      </c>
      <c r="H8142" s="144">
        <v>237</v>
      </c>
      <c r="I8142" s="86" t="s">
        <v>2374</v>
      </c>
      <c r="J8142" s="1" t="s">
        <v>3322</v>
      </c>
      <c r="K8142" s="1" t="s">
        <v>3322</v>
      </c>
      <c r="L8142" s="1" t="s">
        <v>35</v>
      </c>
      <c r="O8142" s="47" t="s">
        <v>3197</v>
      </c>
      <c r="P8142" s="47" t="s">
        <v>92</v>
      </c>
      <c r="Q8142" s="14">
        <v>0.95</v>
      </c>
      <c r="R8142" s="143"/>
      <c r="S8142" s="47"/>
      <c r="T8142" s="6">
        <v>0</v>
      </c>
      <c r="U8142" s="6">
        <v>165500</v>
      </c>
      <c r="V8142" s="6">
        <v>165500</v>
      </c>
      <c r="W8142" s="6">
        <v>0</v>
      </c>
      <c r="X8142" s="6">
        <v>159600</v>
      </c>
      <c r="Y8142" s="13">
        <f t="shared" si="1268"/>
        <v>0</v>
      </c>
      <c r="Z8142" s="14">
        <v>0</v>
      </c>
      <c r="AA8142" s="6">
        <v>0</v>
      </c>
      <c r="AB8142" s="4">
        <f t="shared" si="1269"/>
        <v>159600</v>
      </c>
      <c r="AC8142" s="6">
        <f t="shared" si="1265"/>
        <v>5900</v>
      </c>
      <c r="AD8142" s="6">
        <v>165500</v>
      </c>
      <c r="AE8142" s="14">
        <v>7.0000000000000007E-2</v>
      </c>
      <c r="AF8142" s="6">
        <f t="shared" si="1267"/>
        <v>11585.000000000002</v>
      </c>
      <c r="AG8142" s="14">
        <v>0</v>
      </c>
      <c r="AH8142" s="47"/>
      <c r="AI8142" s="47"/>
      <c r="AJ8142" s="126" t="e">
        <v>#N/A</v>
      </c>
      <c r="AK8142" s="80">
        <f t="shared" si="1270"/>
        <v>0</v>
      </c>
      <c r="AL8142" s="85"/>
      <c r="AM8142" s="85"/>
    </row>
    <row r="8143" spans="1:39" s="86" customFormat="1" hidden="1" x14ac:dyDescent="0.3">
      <c r="A8143" s="89" t="s">
        <v>3978</v>
      </c>
      <c r="B8143" s="86" t="s">
        <v>35</v>
      </c>
      <c r="C8143" s="86" t="s">
        <v>187</v>
      </c>
      <c r="D8143" s="86" t="s">
        <v>188</v>
      </c>
      <c r="E8143" s="86" t="s">
        <v>2504</v>
      </c>
      <c r="F8143" s="86" t="s">
        <v>2505</v>
      </c>
      <c r="G8143" s="86" t="s">
        <v>2504</v>
      </c>
      <c r="H8143" s="144">
        <v>237</v>
      </c>
      <c r="I8143" s="86" t="s">
        <v>2374</v>
      </c>
      <c r="J8143" s="1" t="s">
        <v>3322</v>
      </c>
      <c r="K8143" s="1" t="s">
        <v>3322</v>
      </c>
      <c r="L8143" s="1" t="s">
        <v>35</v>
      </c>
      <c r="O8143" s="47" t="s">
        <v>3197</v>
      </c>
      <c r="P8143" s="47" t="s">
        <v>41</v>
      </c>
      <c r="Q8143" s="14">
        <v>0</v>
      </c>
      <c r="R8143" s="143"/>
      <c r="S8143" s="47"/>
      <c r="T8143" s="6">
        <v>0</v>
      </c>
      <c r="U8143" s="6">
        <v>42400</v>
      </c>
      <c r="V8143" s="6">
        <v>42400</v>
      </c>
      <c r="W8143" s="6">
        <v>0</v>
      </c>
      <c r="X8143" s="6">
        <v>42400</v>
      </c>
      <c r="Y8143" s="13">
        <f t="shared" si="1268"/>
        <v>0</v>
      </c>
      <c r="Z8143" s="14">
        <v>0</v>
      </c>
      <c r="AA8143" s="6">
        <v>0</v>
      </c>
      <c r="AB8143" s="4">
        <f t="shared" si="1269"/>
        <v>42400</v>
      </c>
      <c r="AC8143" s="6">
        <f t="shared" si="1265"/>
        <v>0</v>
      </c>
      <c r="AD8143" s="6">
        <v>42400</v>
      </c>
      <c r="AE8143" s="14">
        <v>7.0000000000000007E-2</v>
      </c>
      <c r="AF8143" s="6">
        <f t="shared" si="1267"/>
        <v>2968.0000000000005</v>
      </c>
      <c r="AG8143" s="14">
        <v>0</v>
      </c>
      <c r="AH8143" s="47"/>
      <c r="AI8143" s="47"/>
      <c r="AJ8143" s="126" t="e">
        <v>#N/A</v>
      </c>
      <c r="AK8143" s="80">
        <f t="shared" si="1270"/>
        <v>0</v>
      </c>
      <c r="AL8143" s="85"/>
      <c r="AM8143" s="85"/>
    </row>
    <row r="8144" spans="1:39" s="86" customFormat="1" hidden="1" x14ac:dyDescent="0.3">
      <c r="A8144" s="89" t="s">
        <v>3978</v>
      </c>
      <c r="B8144" s="86" t="s">
        <v>35</v>
      </c>
      <c r="C8144" s="86" t="s">
        <v>187</v>
      </c>
      <c r="D8144" s="86" t="s">
        <v>188</v>
      </c>
      <c r="E8144" s="86" t="s">
        <v>199</v>
      </c>
      <c r="F8144" s="86" t="s">
        <v>199</v>
      </c>
      <c r="G8144" s="86" t="s">
        <v>199</v>
      </c>
      <c r="H8144" s="144">
        <v>237</v>
      </c>
      <c r="I8144" s="86" t="s">
        <v>2374</v>
      </c>
      <c r="J8144" s="1" t="s">
        <v>3322</v>
      </c>
      <c r="K8144" s="1" t="s">
        <v>3322</v>
      </c>
      <c r="L8144" s="1" t="s">
        <v>35</v>
      </c>
      <c r="O8144" s="47" t="s">
        <v>3226</v>
      </c>
      <c r="P8144" s="47" t="s">
        <v>41</v>
      </c>
      <c r="Q8144" s="14">
        <v>0</v>
      </c>
      <c r="R8144" s="143"/>
      <c r="S8144" s="47"/>
      <c r="T8144" s="6">
        <v>0</v>
      </c>
      <c r="U8144" s="6">
        <v>87545.9</v>
      </c>
      <c r="V8144" s="6">
        <v>85452.88</v>
      </c>
      <c r="W8144" s="6">
        <v>0</v>
      </c>
      <c r="X8144" s="6">
        <f t="shared" ref="X8144:X8147" si="1272">IF(P8144="折扣",V8144*Q8144,IF(P8144="返现",V8144,V8144/(1+Q8144)))</f>
        <v>85452.88</v>
      </c>
      <c r="Y8144" s="13">
        <f t="shared" si="1268"/>
        <v>0</v>
      </c>
      <c r="Z8144" s="14">
        <v>0</v>
      </c>
      <c r="AA8144" s="6">
        <v>0</v>
      </c>
      <c r="AB8144" s="4">
        <f t="shared" si="1269"/>
        <v>85452.88</v>
      </c>
      <c r="AC8144" s="6">
        <f t="shared" si="1265"/>
        <v>0</v>
      </c>
      <c r="AD8144" s="6">
        <v>85452.88</v>
      </c>
      <c r="AE8144" s="14">
        <v>0</v>
      </c>
      <c r="AF8144" s="6">
        <f t="shared" si="1267"/>
        <v>0</v>
      </c>
      <c r="AG8144" s="14">
        <v>0</v>
      </c>
      <c r="AH8144" s="47"/>
      <c r="AI8144" s="47"/>
      <c r="AJ8144" s="126" t="e">
        <v>#N/A</v>
      </c>
      <c r="AK8144" s="80">
        <f t="shared" si="1270"/>
        <v>0</v>
      </c>
      <c r="AL8144" s="85"/>
      <c r="AM8144" s="85"/>
    </row>
    <row r="8145" spans="1:39" s="86" customFormat="1" hidden="1" x14ac:dyDescent="0.3">
      <c r="A8145" s="89" t="s">
        <v>3978</v>
      </c>
      <c r="B8145" s="86" t="s">
        <v>35</v>
      </c>
      <c r="C8145" s="86" t="s">
        <v>187</v>
      </c>
      <c r="D8145" s="86" t="s">
        <v>188</v>
      </c>
      <c r="E8145" s="86" t="s">
        <v>2445</v>
      </c>
      <c r="F8145" s="86" t="s">
        <v>2445</v>
      </c>
      <c r="G8145" s="86" t="s">
        <v>2445</v>
      </c>
      <c r="H8145" s="144">
        <v>237</v>
      </c>
      <c r="I8145" s="86" t="s">
        <v>2374</v>
      </c>
      <c r="J8145" s="1" t="s">
        <v>3322</v>
      </c>
      <c r="K8145" s="1" t="s">
        <v>3322</v>
      </c>
      <c r="L8145" s="1" t="s">
        <v>35</v>
      </c>
      <c r="O8145" s="47" t="s">
        <v>3226</v>
      </c>
      <c r="P8145" s="47" t="s">
        <v>41</v>
      </c>
      <c r="Q8145" s="14">
        <v>0</v>
      </c>
      <c r="R8145" s="143"/>
      <c r="S8145" s="47"/>
      <c r="T8145" s="6">
        <v>0</v>
      </c>
      <c r="U8145" s="6">
        <v>-24711.43</v>
      </c>
      <c r="V8145" s="6">
        <v>-38991.43</v>
      </c>
      <c r="W8145" s="6">
        <v>0</v>
      </c>
      <c r="X8145" s="6">
        <f t="shared" si="1272"/>
        <v>-38991.43</v>
      </c>
      <c r="Y8145" s="13">
        <f t="shared" si="1268"/>
        <v>0</v>
      </c>
      <c r="Z8145" s="14">
        <v>0</v>
      </c>
      <c r="AA8145" s="6">
        <v>0</v>
      </c>
      <c r="AB8145" s="4">
        <f t="shared" si="1269"/>
        <v>-38991.43</v>
      </c>
      <c r="AC8145" s="6">
        <f t="shared" si="1265"/>
        <v>0</v>
      </c>
      <c r="AD8145" s="6">
        <v>-38991.43</v>
      </c>
      <c r="AE8145" s="14">
        <v>0</v>
      </c>
      <c r="AF8145" s="6">
        <f t="shared" si="1267"/>
        <v>0</v>
      </c>
      <c r="AG8145" s="14">
        <v>0</v>
      </c>
      <c r="AH8145" s="47"/>
      <c r="AI8145" s="47" t="s">
        <v>4185</v>
      </c>
      <c r="AJ8145" s="126" t="e">
        <v>#N/A</v>
      </c>
      <c r="AK8145" s="80">
        <f t="shared" si="1270"/>
        <v>0</v>
      </c>
      <c r="AL8145" s="85"/>
      <c r="AM8145" s="85"/>
    </row>
    <row r="8146" spans="1:39" s="86" customFormat="1" hidden="1" x14ac:dyDescent="0.3">
      <c r="A8146" s="89" t="s">
        <v>3978</v>
      </c>
      <c r="B8146" s="86" t="s">
        <v>35</v>
      </c>
      <c r="C8146" s="86" t="s">
        <v>187</v>
      </c>
      <c r="D8146" s="86" t="s">
        <v>188</v>
      </c>
      <c r="E8146" s="86" t="s">
        <v>207</v>
      </c>
      <c r="F8146" s="86" t="s">
        <v>207</v>
      </c>
      <c r="G8146" s="86" t="s">
        <v>207</v>
      </c>
      <c r="H8146" s="144">
        <v>237</v>
      </c>
      <c r="I8146" s="86" t="s">
        <v>2374</v>
      </c>
      <c r="J8146" s="1" t="s">
        <v>3322</v>
      </c>
      <c r="K8146" s="1" t="s">
        <v>3322</v>
      </c>
      <c r="L8146" s="1" t="s">
        <v>35</v>
      </c>
      <c r="O8146" s="47" t="s">
        <v>3197</v>
      </c>
      <c r="P8146" s="47" t="s">
        <v>41</v>
      </c>
      <c r="Q8146" s="14">
        <v>0</v>
      </c>
      <c r="R8146" s="143"/>
      <c r="S8146" s="47"/>
      <c r="T8146" s="6">
        <v>0</v>
      </c>
      <c r="U8146" s="6">
        <v>31000</v>
      </c>
      <c r="V8146" s="6">
        <v>30000</v>
      </c>
      <c r="W8146" s="6">
        <v>0</v>
      </c>
      <c r="X8146" s="6">
        <f t="shared" si="1272"/>
        <v>30000</v>
      </c>
      <c r="Y8146" s="13">
        <f t="shared" si="1268"/>
        <v>0</v>
      </c>
      <c r="Z8146" s="14">
        <v>0</v>
      </c>
      <c r="AA8146" s="6">
        <v>0</v>
      </c>
      <c r="AB8146" s="4">
        <f t="shared" si="1269"/>
        <v>30000</v>
      </c>
      <c r="AC8146" s="6">
        <f t="shared" si="1265"/>
        <v>0</v>
      </c>
      <c r="AD8146" s="6">
        <v>30000</v>
      </c>
      <c r="AE8146" s="14">
        <v>7.0000000000000007E-2</v>
      </c>
      <c r="AF8146" s="6">
        <f t="shared" si="1267"/>
        <v>2100</v>
      </c>
      <c r="AG8146" s="14">
        <v>0</v>
      </c>
      <c r="AH8146" s="47"/>
      <c r="AI8146" s="47"/>
      <c r="AJ8146" s="126" t="e">
        <v>#N/A</v>
      </c>
      <c r="AK8146" s="80">
        <f t="shared" si="1270"/>
        <v>0</v>
      </c>
      <c r="AL8146" s="85"/>
      <c r="AM8146" s="85"/>
    </row>
    <row r="8147" spans="1:39" s="86" customFormat="1" hidden="1" x14ac:dyDescent="0.3">
      <c r="A8147" s="89" t="s">
        <v>3978</v>
      </c>
      <c r="B8147" s="86" t="s">
        <v>35</v>
      </c>
      <c r="C8147" s="86" t="s">
        <v>187</v>
      </c>
      <c r="D8147" s="86" t="s">
        <v>208</v>
      </c>
      <c r="E8147" s="86" t="s">
        <v>2462</v>
      </c>
      <c r="F8147" s="86" t="s">
        <v>2462</v>
      </c>
      <c r="G8147" s="86" t="s">
        <v>2462</v>
      </c>
      <c r="H8147" s="144">
        <v>237</v>
      </c>
      <c r="I8147" s="86" t="s">
        <v>2374</v>
      </c>
      <c r="J8147" s="1" t="s">
        <v>3322</v>
      </c>
      <c r="K8147" s="1" t="s">
        <v>3322</v>
      </c>
      <c r="L8147" s="1" t="s">
        <v>35</v>
      </c>
      <c r="O8147" s="47" t="s">
        <v>3226</v>
      </c>
      <c r="P8147" s="47" t="s">
        <v>41</v>
      </c>
      <c r="Q8147" s="14">
        <v>0</v>
      </c>
      <c r="R8147" s="143"/>
      <c r="S8147" s="47"/>
      <c r="T8147" s="6">
        <v>0</v>
      </c>
      <c r="U8147" s="6">
        <v>57120</v>
      </c>
      <c r="V8147" s="6">
        <v>57120</v>
      </c>
      <c r="W8147" s="6">
        <v>0</v>
      </c>
      <c r="X8147" s="6">
        <f t="shared" si="1272"/>
        <v>57120</v>
      </c>
      <c r="Y8147" s="13">
        <f t="shared" si="1268"/>
        <v>0</v>
      </c>
      <c r="Z8147" s="14">
        <v>0</v>
      </c>
      <c r="AA8147" s="6">
        <v>0</v>
      </c>
      <c r="AB8147" s="4">
        <f t="shared" si="1269"/>
        <v>57120</v>
      </c>
      <c r="AC8147" s="6">
        <f t="shared" si="1265"/>
        <v>0</v>
      </c>
      <c r="AD8147" s="6">
        <v>57120</v>
      </c>
      <c r="AE8147" s="14">
        <v>0</v>
      </c>
      <c r="AF8147" s="6">
        <f t="shared" si="1267"/>
        <v>0</v>
      </c>
      <c r="AG8147" s="14">
        <v>0</v>
      </c>
      <c r="AH8147" s="47"/>
      <c r="AI8147" s="47"/>
      <c r="AJ8147" s="126" t="e">
        <v>#N/A</v>
      </c>
      <c r="AK8147" s="80">
        <f t="shared" si="1270"/>
        <v>0</v>
      </c>
      <c r="AL8147" s="85"/>
      <c r="AM8147" s="85"/>
    </row>
    <row r="8148" spans="1:39" s="86" customFormat="1" hidden="1" x14ac:dyDescent="0.3">
      <c r="A8148" s="89" t="s">
        <v>3978</v>
      </c>
      <c r="B8148" s="86" t="s">
        <v>35</v>
      </c>
      <c r="C8148" s="86" t="s">
        <v>187</v>
      </c>
      <c r="D8148" s="86" t="s">
        <v>208</v>
      </c>
      <c r="E8148" s="86" t="s">
        <v>2462</v>
      </c>
      <c r="F8148" s="86" t="s">
        <v>2462</v>
      </c>
      <c r="G8148" s="86" t="s">
        <v>2462</v>
      </c>
      <c r="H8148" s="144">
        <v>237</v>
      </c>
      <c r="I8148" s="86" t="s">
        <v>2374</v>
      </c>
      <c r="J8148" s="1" t="s">
        <v>3322</v>
      </c>
      <c r="K8148" s="1" t="s">
        <v>3322</v>
      </c>
      <c r="L8148" s="1" t="s">
        <v>35</v>
      </c>
      <c r="O8148" s="47" t="s">
        <v>3197</v>
      </c>
      <c r="P8148" s="47" t="s">
        <v>41</v>
      </c>
      <c r="Q8148" s="14">
        <v>0</v>
      </c>
      <c r="R8148" s="143"/>
      <c r="S8148" s="47"/>
      <c r="T8148" s="6">
        <v>0</v>
      </c>
      <c r="U8148" s="6">
        <v>23036.71</v>
      </c>
      <c r="V8148" s="6">
        <v>35200</v>
      </c>
      <c r="W8148" s="6">
        <v>0</v>
      </c>
      <c r="X8148" s="6">
        <f>IF(P8148="折扣",V8148*Q8148,IF(P8148="返现",V8148,V8148/(1+Q8148)))-25200</f>
        <v>10000</v>
      </c>
      <c r="Y8148" s="13">
        <f t="shared" si="1268"/>
        <v>0</v>
      </c>
      <c r="Z8148" s="14">
        <v>0</v>
      </c>
      <c r="AA8148" s="6">
        <v>0</v>
      </c>
      <c r="AB8148" s="4">
        <f t="shared" si="1269"/>
        <v>10000</v>
      </c>
      <c r="AC8148" s="6">
        <f t="shared" si="1265"/>
        <v>25200</v>
      </c>
      <c r="AD8148" s="6">
        <v>35200</v>
      </c>
      <c r="AE8148" s="14">
        <v>7.0000000000000007E-2</v>
      </c>
      <c r="AF8148" s="6">
        <f t="shared" si="1267"/>
        <v>2464.0000000000005</v>
      </c>
      <c r="AG8148" s="14">
        <v>0</v>
      </c>
      <c r="AH8148" s="47"/>
      <c r="AI8148" s="47"/>
      <c r="AJ8148" s="126" t="e">
        <v>#N/A</v>
      </c>
      <c r="AK8148" s="80">
        <f t="shared" si="1270"/>
        <v>0</v>
      </c>
      <c r="AL8148" s="85"/>
      <c r="AM8148" s="85"/>
    </row>
    <row r="8149" spans="1:39" s="86" customFormat="1" hidden="1" x14ac:dyDescent="0.3">
      <c r="A8149" s="89" t="s">
        <v>3978</v>
      </c>
      <c r="B8149" s="86" t="s">
        <v>35</v>
      </c>
      <c r="C8149" s="86" t="s">
        <v>164</v>
      </c>
      <c r="D8149" s="86" t="s">
        <v>174</v>
      </c>
      <c r="E8149" s="86" t="s">
        <v>1966</v>
      </c>
      <c r="F8149" s="86" t="s">
        <v>1966</v>
      </c>
      <c r="G8149" s="86" t="s">
        <v>1966</v>
      </c>
      <c r="H8149" s="144">
        <v>22</v>
      </c>
      <c r="I8149" s="86" t="s">
        <v>2935</v>
      </c>
      <c r="J8149" s="1" t="s">
        <v>3302</v>
      </c>
      <c r="K8149" s="1" t="s">
        <v>3302</v>
      </c>
      <c r="L8149" s="1" t="s">
        <v>35</v>
      </c>
      <c r="M8149" s="86" t="s">
        <v>3018</v>
      </c>
      <c r="O8149" s="47" t="s">
        <v>3172</v>
      </c>
      <c r="P8149" s="47" t="s">
        <v>41</v>
      </c>
      <c r="Q8149" s="20">
        <v>0</v>
      </c>
      <c r="R8149" s="143"/>
      <c r="S8149" s="47"/>
      <c r="T8149" s="6">
        <v>0</v>
      </c>
      <c r="U8149" s="6">
        <v>19200</v>
      </c>
      <c r="V8149" s="6">
        <v>10836</v>
      </c>
      <c r="W8149" s="6">
        <v>0</v>
      </c>
      <c r="X8149" s="6">
        <f t="shared" ref="X8149:X8150" si="1273">IF(P8149="折扣",V8149*Q8149,IF(P8149="返现",V8149,V8149/(1+Q8149)))</f>
        <v>10836</v>
      </c>
      <c r="Y8149" s="13">
        <f t="shared" si="1268"/>
        <v>0</v>
      </c>
      <c r="Z8149" s="11"/>
      <c r="AA8149" s="6">
        <v>0</v>
      </c>
      <c r="AB8149" s="4">
        <f t="shared" si="1269"/>
        <v>10836</v>
      </c>
      <c r="AC8149" s="6">
        <f t="shared" si="1265"/>
        <v>0</v>
      </c>
      <c r="AD8149" s="6">
        <v>10836</v>
      </c>
      <c r="AE8149" s="66">
        <v>0.10299999999999999</v>
      </c>
      <c r="AF8149" s="64">
        <f t="shared" si="1267"/>
        <v>1116.1079999999999</v>
      </c>
      <c r="AG8149" s="20">
        <v>0</v>
      </c>
      <c r="AH8149" s="47"/>
      <c r="AI8149" s="47"/>
      <c r="AJ8149" s="126" t="e">
        <v>#N/A</v>
      </c>
      <c r="AK8149" s="80">
        <f t="shared" si="1270"/>
        <v>0</v>
      </c>
      <c r="AL8149" s="85"/>
      <c r="AM8149" s="85"/>
    </row>
    <row r="8150" spans="1:39" s="86" customFormat="1" hidden="1" x14ac:dyDescent="0.3">
      <c r="A8150" s="89" t="s">
        <v>3978</v>
      </c>
      <c r="B8150" s="86" t="s">
        <v>35</v>
      </c>
      <c r="C8150" s="86" t="s">
        <v>184</v>
      </c>
      <c r="D8150" s="86" t="s">
        <v>3849</v>
      </c>
      <c r="E8150" s="86" t="s">
        <v>2772</v>
      </c>
      <c r="F8150" s="86" t="s">
        <v>2772</v>
      </c>
      <c r="G8150" s="86" t="s">
        <v>2772</v>
      </c>
      <c r="H8150" s="144">
        <v>22</v>
      </c>
      <c r="I8150" s="86" t="s">
        <v>2935</v>
      </c>
      <c r="J8150" s="1" t="s">
        <v>3302</v>
      </c>
      <c r="K8150" s="1" t="s">
        <v>3302</v>
      </c>
      <c r="L8150" s="1" t="s">
        <v>35</v>
      </c>
      <c r="M8150" s="86" t="s">
        <v>2974</v>
      </c>
      <c r="O8150" s="47" t="s">
        <v>3172</v>
      </c>
      <c r="P8150" s="47" t="s">
        <v>41</v>
      </c>
      <c r="Q8150" s="20">
        <v>0</v>
      </c>
      <c r="R8150" s="143"/>
      <c r="S8150" s="47"/>
      <c r="T8150" s="6">
        <v>0</v>
      </c>
      <c r="U8150" s="6">
        <v>100000</v>
      </c>
      <c r="V8150" s="6">
        <v>2857.24</v>
      </c>
      <c r="W8150" s="6">
        <v>0</v>
      </c>
      <c r="X8150" s="6">
        <f t="shared" si="1273"/>
        <v>2857.24</v>
      </c>
      <c r="Y8150" s="13">
        <f t="shared" si="1268"/>
        <v>0</v>
      </c>
      <c r="Z8150" s="11"/>
      <c r="AA8150" s="6">
        <v>0</v>
      </c>
      <c r="AB8150" s="4">
        <f t="shared" si="1269"/>
        <v>2857.24</v>
      </c>
      <c r="AC8150" s="6">
        <f t="shared" si="1265"/>
        <v>0</v>
      </c>
      <c r="AD8150" s="6">
        <v>2857.24</v>
      </c>
      <c r="AE8150" s="66">
        <v>0.10299999999999999</v>
      </c>
      <c r="AF8150" s="64">
        <f t="shared" si="1267"/>
        <v>294.29571999999996</v>
      </c>
      <c r="AG8150" s="20">
        <v>0</v>
      </c>
      <c r="AH8150" s="47"/>
      <c r="AI8150" s="47"/>
      <c r="AJ8150" s="126" t="e">
        <v>#N/A</v>
      </c>
      <c r="AK8150" s="80">
        <f t="shared" si="1270"/>
        <v>0</v>
      </c>
      <c r="AL8150" s="85"/>
      <c r="AM8150" s="85"/>
    </row>
    <row r="8151" spans="1:39" s="88" customFormat="1" hidden="1" x14ac:dyDescent="0.3">
      <c r="A8151" s="89" t="s">
        <v>3978</v>
      </c>
      <c r="B8151" s="88" t="s">
        <v>701</v>
      </c>
      <c r="C8151" s="88" t="s">
        <v>65</v>
      </c>
      <c r="D8151" s="88" t="s">
        <v>122</v>
      </c>
      <c r="E8151" s="88" t="s">
        <v>702</v>
      </c>
      <c r="F8151" s="88" t="s">
        <v>4186</v>
      </c>
      <c r="G8151" s="88" t="s">
        <v>702</v>
      </c>
      <c r="H8151" s="156">
        <v>85</v>
      </c>
      <c r="I8151" s="88" t="s">
        <v>3384</v>
      </c>
      <c r="J8151" s="1" t="s">
        <v>3323</v>
      </c>
      <c r="K8151" s="1" t="s">
        <v>35</v>
      </c>
      <c r="L8151" s="1" t="s">
        <v>701</v>
      </c>
      <c r="M8151" s="88" t="s">
        <v>702</v>
      </c>
      <c r="O8151" s="28" t="s">
        <v>410</v>
      </c>
      <c r="P8151" s="28" t="s">
        <v>41</v>
      </c>
      <c r="Q8151" s="105">
        <v>0</v>
      </c>
      <c r="R8151" s="142">
        <v>400001033</v>
      </c>
      <c r="S8151" s="28"/>
      <c r="T8151" s="26"/>
      <c r="U8151" s="26"/>
      <c r="V8151" s="26">
        <f>X8151+AA8151</f>
        <v>585297.43819999998</v>
      </c>
      <c r="W8151" s="26"/>
      <c r="X8151" s="26">
        <v>568249.93999999994</v>
      </c>
      <c r="Y8151" s="13">
        <f t="shared" si="1268"/>
        <v>0</v>
      </c>
      <c r="Z8151" s="106">
        <v>0.03</v>
      </c>
      <c r="AA8151" s="26">
        <f t="shared" ref="AA8151" si="1274">X8151*Z8151</f>
        <v>17047.498199999998</v>
      </c>
      <c r="AB8151" s="4">
        <f t="shared" si="1269"/>
        <v>585297.43819999998</v>
      </c>
      <c r="AC8151" s="26"/>
      <c r="AD8151" s="26">
        <f>V8151</f>
        <v>585297.43819999998</v>
      </c>
      <c r="AE8151" s="105">
        <v>0</v>
      </c>
      <c r="AF8151" s="28"/>
      <c r="AG8151" s="105">
        <v>0</v>
      </c>
      <c r="AH8151" s="29">
        <f t="shared" ref="AH8151" si="1275">V8151</f>
        <v>585297.43819999998</v>
      </c>
      <c r="AI8151" s="88" t="s">
        <v>4187</v>
      </c>
      <c r="AJ8151" s="126" t="e">
        <v>#N/A</v>
      </c>
      <c r="AK8151" s="80">
        <f t="shared" si="1270"/>
        <v>0</v>
      </c>
      <c r="AL8151" s="85"/>
      <c r="AM8151" s="85"/>
    </row>
    <row r="8152" spans="1:39" s="86" customFormat="1" hidden="1" x14ac:dyDescent="0.3">
      <c r="A8152" s="89" t="s">
        <v>3792</v>
      </c>
      <c r="B8152" s="88" t="s">
        <v>35</v>
      </c>
      <c r="C8152" s="88" t="s">
        <v>36</v>
      </c>
      <c r="D8152" s="88" t="s">
        <v>185</v>
      </c>
      <c r="E8152" s="88" t="s">
        <v>2695</v>
      </c>
      <c r="F8152" s="88" t="s">
        <v>2695</v>
      </c>
      <c r="G8152" s="88" t="s">
        <v>2695</v>
      </c>
      <c r="H8152" s="156">
        <v>84</v>
      </c>
      <c r="I8152" s="88" t="s">
        <v>3252</v>
      </c>
      <c r="J8152" s="1" t="s">
        <v>3323</v>
      </c>
      <c r="K8152" s="1" t="s">
        <v>701</v>
      </c>
      <c r="L8152" s="1" t="s">
        <v>35</v>
      </c>
      <c r="M8152" s="88" t="s">
        <v>2865</v>
      </c>
      <c r="N8152" s="88"/>
      <c r="O8152" s="28" t="s">
        <v>410</v>
      </c>
      <c r="P8152" s="28" t="s">
        <v>41</v>
      </c>
      <c r="Q8152" s="105">
        <v>0</v>
      </c>
      <c r="R8152" s="142">
        <v>7523</v>
      </c>
      <c r="S8152" s="28"/>
      <c r="T8152" s="26"/>
      <c r="U8152" s="26"/>
      <c r="V8152" s="26">
        <f>X8152+AA8152</f>
        <v>74457.89</v>
      </c>
      <c r="W8152" s="26"/>
      <c r="X8152" s="26">
        <v>74457.89</v>
      </c>
      <c r="Y8152" s="13">
        <f t="shared" si="1268"/>
        <v>0</v>
      </c>
      <c r="Z8152" s="106">
        <v>0</v>
      </c>
      <c r="AA8152" s="26">
        <v>0</v>
      </c>
      <c r="AB8152" s="4">
        <f t="shared" si="1269"/>
        <v>74457.89</v>
      </c>
      <c r="AC8152" s="26"/>
      <c r="AD8152" s="26">
        <f>V8152</f>
        <v>74457.89</v>
      </c>
      <c r="AE8152" s="105">
        <v>0</v>
      </c>
      <c r="AF8152" s="28"/>
      <c r="AG8152" s="105">
        <v>0</v>
      </c>
      <c r="AH8152" s="29"/>
      <c r="AI8152" s="88" t="s">
        <v>4187</v>
      </c>
      <c r="AJ8152" s="126" t="e">
        <v>#N/A</v>
      </c>
      <c r="AK8152" s="80">
        <f t="shared" si="1270"/>
        <v>0</v>
      </c>
      <c r="AL8152" s="85"/>
      <c r="AM8152" s="85"/>
    </row>
    <row r="8153" spans="1:39" s="86" customFormat="1" hidden="1" x14ac:dyDescent="0.3">
      <c r="A8153" s="89" t="s">
        <v>3978</v>
      </c>
      <c r="B8153" s="88" t="s">
        <v>35</v>
      </c>
      <c r="C8153" s="88" t="s">
        <v>36</v>
      </c>
      <c r="D8153" s="88" t="s">
        <v>185</v>
      </c>
      <c r="E8153" s="88" t="s">
        <v>2695</v>
      </c>
      <c r="F8153" s="88" t="s">
        <v>2695</v>
      </c>
      <c r="G8153" s="88" t="s">
        <v>2695</v>
      </c>
      <c r="H8153" s="156">
        <v>84</v>
      </c>
      <c r="I8153" s="88" t="s">
        <v>3252</v>
      </c>
      <c r="J8153" s="1" t="s">
        <v>3323</v>
      </c>
      <c r="K8153" s="1" t="s">
        <v>701</v>
      </c>
      <c r="L8153" s="1" t="s">
        <v>35</v>
      </c>
      <c r="M8153" s="88" t="s">
        <v>2697</v>
      </c>
      <c r="N8153" s="88"/>
      <c r="O8153" s="28" t="s">
        <v>410</v>
      </c>
      <c r="P8153" s="28" t="s">
        <v>41</v>
      </c>
      <c r="Q8153" s="105">
        <v>0</v>
      </c>
      <c r="R8153" s="142">
        <v>7170</v>
      </c>
      <c r="S8153" s="28"/>
      <c r="T8153" s="26"/>
      <c r="U8153" s="26"/>
      <c r="V8153" s="26">
        <f t="shared" ref="V8153:V8185" si="1276">X8153+AA8153</f>
        <v>55714.129999999961</v>
      </c>
      <c r="W8153" s="26"/>
      <c r="X8153" s="26">
        <v>55714.129999999961</v>
      </c>
      <c r="Y8153" s="13">
        <f t="shared" si="1268"/>
        <v>0</v>
      </c>
      <c r="Z8153" s="106">
        <v>0</v>
      </c>
      <c r="AA8153" s="26">
        <v>0</v>
      </c>
      <c r="AB8153" s="4">
        <f t="shared" si="1269"/>
        <v>55714.129999999961</v>
      </c>
      <c r="AC8153" s="26"/>
      <c r="AD8153" s="26">
        <f t="shared" ref="AD8153:AD8185" si="1277">V8153</f>
        <v>55714.129999999961</v>
      </c>
      <c r="AE8153" s="105">
        <v>0</v>
      </c>
      <c r="AF8153" s="28"/>
      <c r="AG8153" s="105">
        <v>0</v>
      </c>
      <c r="AH8153" s="29"/>
      <c r="AI8153" s="88" t="s">
        <v>4187</v>
      </c>
      <c r="AJ8153" s="126" t="e">
        <v>#N/A</v>
      </c>
      <c r="AK8153" s="80">
        <f t="shared" si="1270"/>
        <v>0</v>
      </c>
      <c r="AL8153" s="85"/>
      <c r="AM8153" s="85"/>
    </row>
    <row r="8154" spans="1:39" s="86" customFormat="1" hidden="1" x14ac:dyDescent="0.3">
      <c r="A8154" s="89" t="s">
        <v>3978</v>
      </c>
      <c r="B8154" s="88" t="s">
        <v>35</v>
      </c>
      <c r="C8154" s="88" t="s">
        <v>36</v>
      </c>
      <c r="D8154" s="88" t="s">
        <v>185</v>
      </c>
      <c r="E8154" s="88" t="s">
        <v>2695</v>
      </c>
      <c r="F8154" s="88" t="s">
        <v>3253</v>
      </c>
      <c r="G8154" s="88" t="s">
        <v>2695</v>
      </c>
      <c r="H8154" s="156">
        <v>84</v>
      </c>
      <c r="I8154" s="88" t="s">
        <v>3252</v>
      </c>
      <c r="J8154" s="1" t="s">
        <v>3323</v>
      </c>
      <c r="K8154" s="1" t="s">
        <v>701</v>
      </c>
      <c r="L8154" s="1" t="s">
        <v>35</v>
      </c>
      <c r="M8154" s="88" t="s">
        <v>2718</v>
      </c>
      <c r="N8154" s="88"/>
      <c r="O8154" s="28" t="s">
        <v>410</v>
      </c>
      <c r="P8154" s="28" t="s">
        <v>41</v>
      </c>
      <c r="Q8154" s="105">
        <v>0</v>
      </c>
      <c r="R8154" s="142">
        <v>7095</v>
      </c>
      <c r="S8154" s="28"/>
      <c r="T8154" s="26"/>
      <c r="U8154" s="26"/>
      <c r="V8154" s="26">
        <f t="shared" si="1276"/>
        <v>61636.9</v>
      </c>
      <c r="W8154" s="26"/>
      <c r="X8154" s="26">
        <v>61636.9</v>
      </c>
      <c r="Y8154" s="13">
        <f t="shared" si="1268"/>
        <v>0</v>
      </c>
      <c r="Z8154" s="106">
        <v>0</v>
      </c>
      <c r="AA8154" s="26">
        <v>0</v>
      </c>
      <c r="AB8154" s="4">
        <f t="shared" si="1269"/>
        <v>61636.9</v>
      </c>
      <c r="AC8154" s="26"/>
      <c r="AD8154" s="26">
        <f t="shared" si="1277"/>
        <v>61636.9</v>
      </c>
      <c r="AE8154" s="105">
        <v>0</v>
      </c>
      <c r="AF8154" s="28"/>
      <c r="AG8154" s="105">
        <v>0</v>
      </c>
      <c r="AH8154" s="29"/>
      <c r="AI8154" s="88" t="s">
        <v>4187</v>
      </c>
      <c r="AJ8154" s="126" t="e">
        <v>#N/A</v>
      </c>
      <c r="AK8154" s="80">
        <f t="shared" si="1270"/>
        <v>0</v>
      </c>
      <c r="AL8154" s="85"/>
      <c r="AM8154" s="85"/>
    </row>
    <row r="8155" spans="1:39" s="86" customFormat="1" hidden="1" x14ac:dyDescent="0.3">
      <c r="A8155" s="89" t="s">
        <v>3978</v>
      </c>
      <c r="B8155" s="88" t="s">
        <v>35</v>
      </c>
      <c r="C8155" s="88" t="s">
        <v>36</v>
      </c>
      <c r="D8155" s="88" t="s">
        <v>185</v>
      </c>
      <c r="E8155" s="88" t="s">
        <v>2695</v>
      </c>
      <c r="F8155" s="88" t="s">
        <v>3253</v>
      </c>
      <c r="G8155" s="88" t="s">
        <v>2695</v>
      </c>
      <c r="H8155" s="156">
        <v>84</v>
      </c>
      <c r="I8155" s="88" t="s">
        <v>3252</v>
      </c>
      <c r="J8155" s="1" t="s">
        <v>3323</v>
      </c>
      <c r="K8155" s="1" t="s">
        <v>701</v>
      </c>
      <c r="L8155" s="1" t="s">
        <v>35</v>
      </c>
      <c r="M8155" s="88" t="s">
        <v>2719</v>
      </c>
      <c r="N8155" s="88"/>
      <c r="O8155" s="28" t="s">
        <v>410</v>
      </c>
      <c r="P8155" s="28" t="s">
        <v>41</v>
      </c>
      <c r="Q8155" s="105">
        <v>0</v>
      </c>
      <c r="R8155" s="142">
        <v>7103</v>
      </c>
      <c r="S8155" s="28"/>
      <c r="T8155" s="26"/>
      <c r="U8155" s="26"/>
      <c r="V8155" s="26">
        <f t="shared" si="1276"/>
        <v>538046.5</v>
      </c>
      <c r="W8155" s="26"/>
      <c r="X8155" s="26">
        <v>538046.5</v>
      </c>
      <c r="Y8155" s="13">
        <f t="shared" si="1268"/>
        <v>0</v>
      </c>
      <c r="Z8155" s="106">
        <v>0</v>
      </c>
      <c r="AA8155" s="26">
        <v>0</v>
      </c>
      <c r="AB8155" s="4">
        <f t="shared" si="1269"/>
        <v>538046.5</v>
      </c>
      <c r="AC8155" s="26"/>
      <c r="AD8155" s="26">
        <f t="shared" si="1277"/>
        <v>538046.5</v>
      </c>
      <c r="AE8155" s="105">
        <v>0</v>
      </c>
      <c r="AF8155" s="28"/>
      <c r="AG8155" s="105">
        <v>0</v>
      </c>
      <c r="AH8155" s="29"/>
      <c r="AI8155" s="88" t="s">
        <v>4187</v>
      </c>
      <c r="AJ8155" s="126" t="e">
        <v>#N/A</v>
      </c>
      <c r="AK8155" s="80">
        <f t="shared" si="1270"/>
        <v>0</v>
      </c>
      <c r="AL8155" s="85"/>
      <c r="AM8155" s="85"/>
    </row>
    <row r="8156" spans="1:39" s="86" customFormat="1" hidden="1" x14ac:dyDescent="0.3">
      <c r="A8156" s="89" t="s">
        <v>3978</v>
      </c>
      <c r="B8156" s="88" t="s">
        <v>35</v>
      </c>
      <c r="C8156" s="88" t="s">
        <v>36</v>
      </c>
      <c r="D8156" s="88" t="s">
        <v>185</v>
      </c>
      <c r="E8156" s="88" t="s">
        <v>2695</v>
      </c>
      <c r="F8156" s="88" t="s">
        <v>3253</v>
      </c>
      <c r="G8156" s="88" t="s">
        <v>2695</v>
      </c>
      <c r="H8156" s="156">
        <v>84</v>
      </c>
      <c r="I8156" s="88" t="s">
        <v>3252</v>
      </c>
      <c r="J8156" s="1" t="s">
        <v>3323</v>
      </c>
      <c r="K8156" s="1" t="s">
        <v>701</v>
      </c>
      <c r="L8156" s="1" t="s">
        <v>35</v>
      </c>
      <c r="M8156" s="88" t="s">
        <v>2720</v>
      </c>
      <c r="N8156" s="88"/>
      <c r="O8156" s="28" t="s">
        <v>410</v>
      </c>
      <c r="P8156" s="28" t="s">
        <v>41</v>
      </c>
      <c r="Q8156" s="105">
        <v>0</v>
      </c>
      <c r="R8156" s="142">
        <v>7169</v>
      </c>
      <c r="S8156" s="28"/>
      <c r="T8156" s="26"/>
      <c r="U8156" s="26"/>
      <c r="V8156" s="26">
        <f t="shared" si="1276"/>
        <v>27455.9</v>
      </c>
      <c r="W8156" s="26"/>
      <c r="X8156" s="26">
        <v>27455.9</v>
      </c>
      <c r="Y8156" s="13">
        <f t="shared" si="1268"/>
        <v>0</v>
      </c>
      <c r="Z8156" s="106">
        <v>0</v>
      </c>
      <c r="AA8156" s="26">
        <v>0</v>
      </c>
      <c r="AB8156" s="4">
        <f t="shared" si="1269"/>
        <v>27455.9</v>
      </c>
      <c r="AC8156" s="26"/>
      <c r="AD8156" s="26">
        <f t="shared" si="1277"/>
        <v>27455.9</v>
      </c>
      <c r="AE8156" s="105">
        <v>0</v>
      </c>
      <c r="AF8156" s="28"/>
      <c r="AG8156" s="105">
        <v>0</v>
      </c>
      <c r="AH8156" s="29"/>
      <c r="AI8156" s="88" t="s">
        <v>4187</v>
      </c>
      <c r="AJ8156" s="126" t="e">
        <v>#N/A</v>
      </c>
      <c r="AK8156" s="80">
        <f t="shared" si="1270"/>
        <v>0</v>
      </c>
      <c r="AL8156" s="85"/>
      <c r="AM8156" s="85"/>
    </row>
    <row r="8157" spans="1:39" s="86" customFormat="1" hidden="1" x14ac:dyDescent="0.3">
      <c r="A8157" s="89" t="s">
        <v>3978</v>
      </c>
      <c r="B8157" s="88" t="s">
        <v>35</v>
      </c>
      <c r="C8157" s="88" t="s">
        <v>65</v>
      </c>
      <c r="D8157" s="88" t="s">
        <v>66</v>
      </c>
      <c r="E8157" s="88" t="s">
        <v>2354</v>
      </c>
      <c r="F8157" s="88" t="s">
        <v>2354</v>
      </c>
      <c r="G8157" s="88" t="s">
        <v>2354</v>
      </c>
      <c r="H8157" s="156">
        <v>84</v>
      </c>
      <c r="I8157" s="88" t="s">
        <v>3252</v>
      </c>
      <c r="J8157" s="1" t="s">
        <v>3323</v>
      </c>
      <c r="K8157" s="1" t="s">
        <v>701</v>
      </c>
      <c r="L8157" s="1" t="s">
        <v>35</v>
      </c>
      <c r="M8157" s="88" t="s">
        <v>2354</v>
      </c>
      <c r="N8157" s="88"/>
      <c r="O8157" s="28" t="s">
        <v>410</v>
      </c>
      <c r="P8157" s="28" t="s">
        <v>41</v>
      </c>
      <c r="Q8157" s="105">
        <v>0</v>
      </c>
      <c r="R8157" s="142">
        <v>7109</v>
      </c>
      <c r="S8157" s="28"/>
      <c r="T8157" s="26"/>
      <c r="U8157" s="26"/>
      <c r="V8157" s="26">
        <f t="shared" si="1276"/>
        <v>36091</v>
      </c>
      <c r="W8157" s="26"/>
      <c r="X8157" s="26">
        <v>36091</v>
      </c>
      <c r="Y8157" s="13">
        <f t="shared" si="1268"/>
        <v>0</v>
      </c>
      <c r="Z8157" s="106">
        <v>0</v>
      </c>
      <c r="AA8157" s="26">
        <v>0</v>
      </c>
      <c r="AB8157" s="4">
        <f t="shared" si="1269"/>
        <v>36091</v>
      </c>
      <c r="AC8157" s="26"/>
      <c r="AD8157" s="26">
        <f t="shared" si="1277"/>
        <v>36091</v>
      </c>
      <c r="AE8157" s="105">
        <v>0</v>
      </c>
      <c r="AF8157" s="28"/>
      <c r="AG8157" s="105">
        <v>0</v>
      </c>
      <c r="AH8157" s="29"/>
      <c r="AI8157" s="88" t="s">
        <v>4188</v>
      </c>
      <c r="AJ8157" s="126" t="e">
        <v>#N/A</v>
      </c>
      <c r="AK8157" s="80">
        <f t="shared" si="1270"/>
        <v>0</v>
      </c>
      <c r="AL8157" s="85"/>
      <c r="AM8157" s="85"/>
    </row>
    <row r="8158" spans="1:39" s="86" customFormat="1" hidden="1" x14ac:dyDescent="0.3">
      <c r="A8158" s="89" t="s">
        <v>3978</v>
      </c>
      <c r="B8158" s="88" t="s">
        <v>35</v>
      </c>
      <c r="C8158" s="88" t="s">
        <v>65</v>
      </c>
      <c r="D8158" s="88" t="s">
        <v>66</v>
      </c>
      <c r="E8158" s="88" t="s">
        <v>2709</v>
      </c>
      <c r="F8158" s="88" t="s">
        <v>2709</v>
      </c>
      <c r="G8158" s="88" t="s">
        <v>2709</v>
      </c>
      <c r="H8158" s="156">
        <v>84</v>
      </c>
      <c r="I8158" s="88" t="s">
        <v>3252</v>
      </c>
      <c r="J8158" s="1" t="s">
        <v>3323</v>
      </c>
      <c r="K8158" s="1" t="s">
        <v>701</v>
      </c>
      <c r="L8158" s="1" t="s">
        <v>35</v>
      </c>
      <c r="M8158" s="88" t="s">
        <v>2709</v>
      </c>
      <c r="N8158" s="88"/>
      <c r="O8158" s="28" t="s">
        <v>410</v>
      </c>
      <c r="P8158" s="28" t="s">
        <v>41</v>
      </c>
      <c r="Q8158" s="105">
        <v>0</v>
      </c>
      <c r="R8158" s="142">
        <v>7576</v>
      </c>
      <c r="S8158" s="28"/>
      <c r="T8158" s="26"/>
      <c r="U8158" s="26"/>
      <c r="V8158" s="26">
        <f t="shared" si="1276"/>
        <v>11542.490196078432</v>
      </c>
      <c r="W8158" s="26"/>
      <c r="X8158" s="26">
        <v>11542.490196078432</v>
      </c>
      <c r="Y8158" s="13">
        <f t="shared" si="1268"/>
        <v>0</v>
      </c>
      <c r="Z8158" s="106">
        <v>0</v>
      </c>
      <c r="AA8158" s="26">
        <v>0</v>
      </c>
      <c r="AB8158" s="4">
        <f t="shared" si="1269"/>
        <v>11542.490196078432</v>
      </c>
      <c r="AC8158" s="26"/>
      <c r="AD8158" s="26">
        <f t="shared" si="1277"/>
        <v>11542.490196078432</v>
      </c>
      <c r="AE8158" s="105">
        <v>0</v>
      </c>
      <c r="AF8158" s="28"/>
      <c r="AG8158" s="105">
        <v>0</v>
      </c>
      <c r="AH8158" s="29"/>
      <c r="AI8158" s="88" t="s">
        <v>4189</v>
      </c>
      <c r="AJ8158" s="126" t="e">
        <v>#N/A</v>
      </c>
      <c r="AK8158" s="80">
        <f t="shared" si="1270"/>
        <v>0</v>
      </c>
      <c r="AL8158" s="85"/>
      <c r="AM8158" s="85"/>
    </row>
    <row r="8159" spans="1:39" s="86" customFormat="1" hidden="1" x14ac:dyDescent="0.3">
      <c r="A8159" s="89" t="s">
        <v>3978</v>
      </c>
      <c r="B8159" s="88" t="s">
        <v>35</v>
      </c>
      <c r="C8159" s="88" t="s">
        <v>65</v>
      </c>
      <c r="D8159" s="88" t="s">
        <v>66</v>
      </c>
      <c r="E8159" s="88" t="s">
        <v>2678</v>
      </c>
      <c r="F8159" s="88" t="s">
        <v>2679</v>
      </c>
      <c r="G8159" s="88" t="s">
        <v>2678</v>
      </c>
      <c r="H8159" s="156">
        <v>84</v>
      </c>
      <c r="I8159" s="88" t="s">
        <v>3252</v>
      </c>
      <c r="J8159" s="1" t="s">
        <v>3323</v>
      </c>
      <c r="K8159" s="1" t="s">
        <v>701</v>
      </c>
      <c r="L8159" s="1" t="s">
        <v>35</v>
      </c>
      <c r="M8159" s="88" t="s">
        <v>2702</v>
      </c>
      <c r="N8159" s="88"/>
      <c r="O8159" s="28" t="s">
        <v>410</v>
      </c>
      <c r="P8159" s="28" t="s">
        <v>41</v>
      </c>
      <c r="Q8159" s="105">
        <v>0</v>
      </c>
      <c r="R8159" s="142">
        <v>7152</v>
      </c>
      <c r="S8159" s="28"/>
      <c r="T8159" s="26"/>
      <c r="U8159" s="26"/>
      <c r="V8159" s="26">
        <f t="shared" si="1276"/>
        <v>92561.2</v>
      </c>
      <c r="W8159" s="26"/>
      <c r="X8159" s="26">
        <v>92561.2</v>
      </c>
      <c r="Y8159" s="13">
        <f t="shared" si="1268"/>
        <v>0</v>
      </c>
      <c r="Z8159" s="106">
        <v>0</v>
      </c>
      <c r="AA8159" s="26">
        <v>0</v>
      </c>
      <c r="AB8159" s="4">
        <f t="shared" si="1269"/>
        <v>92561.2</v>
      </c>
      <c r="AC8159" s="26"/>
      <c r="AD8159" s="26">
        <f t="shared" si="1277"/>
        <v>92561.2</v>
      </c>
      <c r="AE8159" s="105">
        <v>0</v>
      </c>
      <c r="AF8159" s="28"/>
      <c r="AG8159" s="105">
        <v>0</v>
      </c>
      <c r="AH8159" s="29"/>
      <c r="AI8159" s="88" t="s">
        <v>4187</v>
      </c>
      <c r="AJ8159" s="126" t="e">
        <v>#N/A</v>
      </c>
      <c r="AK8159" s="80">
        <f t="shared" si="1270"/>
        <v>0</v>
      </c>
      <c r="AL8159" s="85"/>
      <c r="AM8159" s="85"/>
    </row>
    <row r="8160" spans="1:39" s="86" customFormat="1" hidden="1" x14ac:dyDescent="0.3">
      <c r="A8160" s="89" t="s">
        <v>3978</v>
      </c>
      <c r="B8160" s="88" t="s">
        <v>35</v>
      </c>
      <c r="C8160" s="88" t="s">
        <v>144</v>
      </c>
      <c r="D8160" s="88" t="s">
        <v>145</v>
      </c>
      <c r="E8160" s="88" t="s">
        <v>146</v>
      </c>
      <c r="F8160" s="88" t="s">
        <v>146</v>
      </c>
      <c r="G8160" s="88" t="s">
        <v>146</v>
      </c>
      <c r="H8160" s="156">
        <v>84</v>
      </c>
      <c r="I8160" s="88" t="s">
        <v>3252</v>
      </c>
      <c r="J8160" s="1" t="s">
        <v>3323</v>
      </c>
      <c r="K8160" s="1" t="s">
        <v>701</v>
      </c>
      <c r="L8160" s="1" t="s">
        <v>35</v>
      </c>
      <c r="M8160" s="88" t="s">
        <v>146</v>
      </c>
      <c r="N8160" s="88"/>
      <c r="O8160" s="28" t="s">
        <v>410</v>
      </c>
      <c r="P8160" s="28" t="s">
        <v>41</v>
      </c>
      <c r="Q8160" s="105">
        <v>0</v>
      </c>
      <c r="R8160" s="142">
        <v>7607</v>
      </c>
      <c r="S8160" s="28"/>
      <c r="T8160" s="26"/>
      <c r="U8160" s="26"/>
      <c r="V8160" s="26">
        <f t="shared" si="1276"/>
        <v>125415.02941176471</v>
      </c>
      <c r="W8160" s="26"/>
      <c r="X8160" s="26">
        <v>125415.02941176471</v>
      </c>
      <c r="Y8160" s="13">
        <f t="shared" si="1268"/>
        <v>0</v>
      </c>
      <c r="Z8160" s="106">
        <v>0</v>
      </c>
      <c r="AA8160" s="26">
        <v>0</v>
      </c>
      <c r="AB8160" s="4">
        <f t="shared" si="1269"/>
        <v>125415.02941176471</v>
      </c>
      <c r="AC8160" s="26"/>
      <c r="AD8160" s="26">
        <f t="shared" si="1277"/>
        <v>125415.02941176471</v>
      </c>
      <c r="AE8160" s="105">
        <v>0</v>
      </c>
      <c r="AF8160" s="28"/>
      <c r="AG8160" s="105">
        <v>0</v>
      </c>
      <c r="AH8160" s="29"/>
      <c r="AI8160" s="88" t="s">
        <v>4188</v>
      </c>
      <c r="AJ8160" s="126" t="e">
        <v>#N/A</v>
      </c>
      <c r="AK8160" s="80">
        <f t="shared" si="1270"/>
        <v>0</v>
      </c>
      <c r="AL8160" s="85"/>
      <c r="AM8160" s="85"/>
    </row>
    <row r="8161" spans="1:39" s="86" customFormat="1" hidden="1" x14ac:dyDescent="0.3">
      <c r="A8161" s="89" t="s">
        <v>3978</v>
      </c>
      <c r="B8161" s="88" t="s">
        <v>35</v>
      </c>
      <c r="C8161" s="88" t="s">
        <v>144</v>
      </c>
      <c r="D8161" s="88" t="s">
        <v>152</v>
      </c>
      <c r="E8161" s="88" t="s">
        <v>155</v>
      </c>
      <c r="F8161" s="88" t="s">
        <v>155</v>
      </c>
      <c r="G8161" s="88" t="s">
        <v>155</v>
      </c>
      <c r="H8161" s="156">
        <v>84</v>
      </c>
      <c r="I8161" s="88" t="s">
        <v>3252</v>
      </c>
      <c r="J8161" s="1" t="s">
        <v>3323</v>
      </c>
      <c r="K8161" s="1" t="s">
        <v>701</v>
      </c>
      <c r="L8161" s="1" t="s">
        <v>35</v>
      </c>
      <c r="M8161" s="88" t="s">
        <v>2874</v>
      </c>
      <c r="N8161" s="88"/>
      <c r="O8161" s="28" t="s">
        <v>410</v>
      </c>
      <c r="P8161" s="28" t="s">
        <v>41</v>
      </c>
      <c r="Q8161" s="105">
        <v>0</v>
      </c>
      <c r="R8161" s="142">
        <v>7446</v>
      </c>
      <c r="S8161" s="28"/>
      <c r="T8161" s="26"/>
      <c r="U8161" s="26"/>
      <c r="V8161" s="26">
        <f t="shared" si="1276"/>
        <v>13790.789999999995</v>
      </c>
      <c r="W8161" s="26"/>
      <c r="X8161" s="26">
        <v>13790.789999999995</v>
      </c>
      <c r="Y8161" s="13">
        <f t="shared" si="1268"/>
        <v>0</v>
      </c>
      <c r="Z8161" s="106">
        <v>0</v>
      </c>
      <c r="AA8161" s="26">
        <v>0</v>
      </c>
      <c r="AB8161" s="4">
        <f t="shared" si="1269"/>
        <v>13790.789999999995</v>
      </c>
      <c r="AC8161" s="26"/>
      <c r="AD8161" s="26">
        <f t="shared" si="1277"/>
        <v>13790.789999999995</v>
      </c>
      <c r="AE8161" s="105">
        <v>0</v>
      </c>
      <c r="AF8161" s="28"/>
      <c r="AG8161" s="105">
        <v>0</v>
      </c>
      <c r="AH8161" s="29"/>
      <c r="AI8161" s="88" t="s">
        <v>4188</v>
      </c>
      <c r="AJ8161" s="126" t="e">
        <v>#N/A</v>
      </c>
      <c r="AK8161" s="80">
        <f t="shared" si="1270"/>
        <v>0</v>
      </c>
      <c r="AL8161" s="85"/>
      <c r="AM8161" s="85"/>
    </row>
    <row r="8162" spans="1:39" s="86" customFormat="1" hidden="1" x14ac:dyDescent="0.3">
      <c r="A8162" s="89" t="s">
        <v>3978</v>
      </c>
      <c r="B8162" s="88" t="s">
        <v>35</v>
      </c>
      <c r="C8162" s="88" t="s">
        <v>144</v>
      </c>
      <c r="D8162" s="88" t="s">
        <v>161</v>
      </c>
      <c r="E8162" s="88" t="s">
        <v>163</v>
      </c>
      <c r="F8162" s="88" t="s">
        <v>163</v>
      </c>
      <c r="G8162" s="88" t="s">
        <v>163</v>
      </c>
      <c r="H8162" s="156">
        <v>84</v>
      </c>
      <c r="I8162" s="88" t="s">
        <v>3252</v>
      </c>
      <c r="J8162" s="1" t="s">
        <v>3323</v>
      </c>
      <c r="K8162" s="1" t="s">
        <v>701</v>
      </c>
      <c r="L8162" s="1" t="s">
        <v>35</v>
      </c>
      <c r="M8162" s="88" t="s">
        <v>163</v>
      </c>
      <c r="N8162" s="88"/>
      <c r="O8162" s="28" t="s">
        <v>410</v>
      </c>
      <c r="P8162" s="28" t="s">
        <v>41</v>
      </c>
      <c r="Q8162" s="105">
        <v>0</v>
      </c>
      <c r="R8162" s="142">
        <v>7094</v>
      </c>
      <c r="S8162" s="28"/>
      <c r="T8162" s="26"/>
      <c r="U8162" s="26"/>
      <c r="V8162" s="26">
        <f t="shared" si="1276"/>
        <v>48308.97</v>
      </c>
      <c r="W8162" s="26"/>
      <c r="X8162" s="26">
        <v>48308.97</v>
      </c>
      <c r="Y8162" s="13">
        <f t="shared" si="1268"/>
        <v>0</v>
      </c>
      <c r="Z8162" s="106">
        <v>0</v>
      </c>
      <c r="AA8162" s="26">
        <v>0</v>
      </c>
      <c r="AB8162" s="4">
        <f t="shared" si="1269"/>
        <v>48308.97</v>
      </c>
      <c r="AC8162" s="26"/>
      <c r="AD8162" s="26">
        <f t="shared" si="1277"/>
        <v>48308.97</v>
      </c>
      <c r="AE8162" s="105">
        <v>0</v>
      </c>
      <c r="AF8162" s="28"/>
      <c r="AG8162" s="105">
        <v>0</v>
      </c>
      <c r="AH8162" s="29"/>
      <c r="AI8162" s="88" t="s">
        <v>4187</v>
      </c>
      <c r="AJ8162" s="126" t="e">
        <v>#N/A</v>
      </c>
      <c r="AK8162" s="80">
        <f t="shared" si="1270"/>
        <v>0</v>
      </c>
      <c r="AL8162" s="85"/>
      <c r="AM8162" s="85"/>
    </row>
    <row r="8163" spans="1:39" s="86" customFormat="1" hidden="1" x14ac:dyDescent="0.3">
      <c r="A8163" s="89" t="s">
        <v>3978</v>
      </c>
      <c r="B8163" s="88" t="s">
        <v>35</v>
      </c>
      <c r="C8163" s="88" t="s">
        <v>144</v>
      </c>
      <c r="D8163" s="88" t="s">
        <v>161</v>
      </c>
      <c r="E8163" s="88" t="s">
        <v>163</v>
      </c>
      <c r="F8163" s="88" t="s">
        <v>163</v>
      </c>
      <c r="G8163" s="88" t="s">
        <v>163</v>
      </c>
      <c r="H8163" s="156">
        <v>84</v>
      </c>
      <c r="I8163" s="88" t="s">
        <v>3252</v>
      </c>
      <c r="J8163" s="1" t="s">
        <v>3323</v>
      </c>
      <c r="K8163" s="1" t="s">
        <v>701</v>
      </c>
      <c r="L8163" s="1" t="s">
        <v>35</v>
      </c>
      <c r="M8163" s="88" t="s">
        <v>2714</v>
      </c>
      <c r="N8163" s="88"/>
      <c r="O8163" s="28" t="s">
        <v>410</v>
      </c>
      <c r="P8163" s="28" t="s">
        <v>41</v>
      </c>
      <c r="Q8163" s="105">
        <v>0</v>
      </c>
      <c r="R8163" s="142">
        <v>7135</v>
      </c>
      <c r="S8163" s="28"/>
      <c r="T8163" s="26"/>
      <c r="U8163" s="26"/>
      <c r="V8163" s="26">
        <f t="shared" si="1276"/>
        <v>2402.3000000000002</v>
      </c>
      <c r="W8163" s="26"/>
      <c r="X8163" s="26">
        <v>2402.3000000000002</v>
      </c>
      <c r="Y8163" s="13">
        <f t="shared" si="1268"/>
        <v>0</v>
      </c>
      <c r="Z8163" s="106">
        <v>0</v>
      </c>
      <c r="AA8163" s="26">
        <v>0</v>
      </c>
      <c r="AB8163" s="4">
        <f t="shared" si="1269"/>
        <v>2402.3000000000002</v>
      </c>
      <c r="AC8163" s="26"/>
      <c r="AD8163" s="26">
        <f t="shared" si="1277"/>
        <v>2402.3000000000002</v>
      </c>
      <c r="AE8163" s="105">
        <v>0</v>
      </c>
      <c r="AF8163" s="28"/>
      <c r="AG8163" s="105">
        <v>0</v>
      </c>
      <c r="AH8163" s="29"/>
      <c r="AI8163" s="88" t="s">
        <v>4189</v>
      </c>
      <c r="AJ8163" s="126" t="e">
        <v>#N/A</v>
      </c>
      <c r="AK8163" s="80">
        <f t="shared" si="1270"/>
        <v>0</v>
      </c>
      <c r="AL8163" s="85"/>
      <c r="AM8163" s="85"/>
    </row>
    <row r="8164" spans="1:39" s="86" customFormat="1" hidden="1" x14ac:dyDescent="0.3">
      <c r="A8164" s="89" t="s">
        <v>3978</v>
      </c>
      <c r="B8164" s="88" t="s">
        <v>35</v>
      </c>
      <c r="C8164" s="88" t="s">
        <v>164</v>
      </c>
      <c r="D8164" s="88" t="s">
        <v>3407</v>
      </c>
      <c r="E8164" s="88" t="s">
        <v>182</v>
      </c>
      <c r="F8164" s="88" t="s">
        <v>183</v>
      </c>
      <c r="G8164" s="88" t="s">
        <v>182</v>
      </c>
      <c r="H8164" s="156">
        <v>84</v>
      </c>
      <c r="I8164" s="88" t="s">
        <v>3252</v>
      </c>
      <c r="J8164" s="1" t="s">
        <v>3323</v>
      </c>
      <c r="K8164" s="1" t="s">
        <v>701</v>
      </c>
      <c r="L8164" s="1" t="s">
        <v>35</v>
      </c>
      <c r="M8164" s="88" t="s">
        <v>182</v>
      </c>
      <c r="N8164" s="88"/>
      <c r="O8164" s="28" t="s">
        <v>410</v>
      </c>
      <c r="P8164" s="28" t="s">
        <v>41</v>
      </c>
      <c r="Q8164" s="105">
        <v>0</v>
      </c>
      <c r="R8164" s="142">
        <v>7121</v>
      </c>
      <c r="S8164" s="28"/>
      <c r="T8164" s="26"/>
      <c r="U8164" s="26"/>
      <c r="V8164" s="26">
        <f t="shared" si="1276"/>
        <v>13565.775408163267</v>
      </c>
      <c r="W8164" s="26"/>
      <c r="X8164" s="26">
        <v>13294.459900000002</v>
      </c>
      <c r="Y8164" s="13">
        <f t="shared" si="1268"/>
        <v>0</v>
      </c>
      <c r="Z8164" s="106">
        <v>0.02</v>
      </c>
      <c r="AA8164" s="26">
        <v>271.31550816326535</v>
      </c>
      <c r="AB8164" s="4">
        <f t="shared" si="1269"/>
        <v>13565.775408163267</v>
      </c>
      <c r="AC8164" s="26"/>
      <c r="AD8164" s="26">
        <f t="shared" si="1277"/>
        <v>13565.775408163267</v>
      </c>
      <c r="AE8164" s="105">
        <v>0</v>
      </c>
      <c r="AF8164" s="28"/>
      <c r="AG8164" s="105">
        <v>0</v>
      </c>
      <c r="AH8164" s="29"/>
      <c r="AI8164" s="88" t="s">
        <v>4187</v>
      </c>
      <c r="AJ8164" s="126" t="e">
        <v>#N/A</v>
      </c>
      <c r="AK8164" s="80">
        <f t="shared" si="1270"/>
        <v>0</v>
      </c>
      <c r="AL8164" s="85"/>
      <c r="AM8164" s="85"/>
    </row>
    <row r="8165" spans="1:39" s="86" customFormat="1" hidden="1" x14ac:dyDescent="0.3">
      <c r="A8165" s="89" t="s">
        <v>3978</v>
      </c>
      <c r="B8165" s="88" t="s">
        <v>35</v>
      </c>
      <c r="C8165" s="88" t="s">
        <v>164</v>
      </c>
      <c r="D8165" s="88" t="s">
        <v>169</v>
      </c>
      <c r="E8165" s="88" t="s">
        <v>172</v>
      </c>
      <c r="F8165" s="88" t="s">
        <v>172</v>
      </c>
      <c r="G8165" s="88" t="s">
        <v>172</v>
      </c>
      <c r="H8165" s="156">
        <v>84</v>
      </c>
      <c r="I8165" s="88" t="s">
        <v>3252</v>
      </c>
      <c r="J8165" s="1" t="s">
        <v>3323</v>
      </c>
      <c r="K8165" s="1" t="s">
        <v>701</v>
      </c>
      <c r="L8165" s="1" t="s">
        <v>35</v>
      </c>
      <c r="M8165" s="88" t="s">
        <v>2716</v>
      </c>
      <c r="N8165" s="88"/>
      <c r="O8165" s="28" t="s">
        <v>410</v>
      </c>
      <c r="P8165" s="28" t="s">
        <v>41</v>
      </c>
      <c r="Q8165" s="105">
        <v>0</v>
      </c>
      <c r="R8165" s="142">
        <v>7283</v>
      </c>
      <c r="S8165" s="28"/>
      <c r="T8165" s="26"/>
      <c r="U8165" s="26"/>
      <c r="V8165" s="26">
        <f t="shared" si="1276"/>
        <v>53893.772277227719</v>
      </c>
      <c r="W8165" s="26"/>
      <c r="X8165" s="26">
        <v>53893.772277227719</v>
      </c>
      <c r="Y8165" s="13">
        <f t="shared" si="1268"/>
        <v>0</v>
      </c>
      <c r="Z8165" s="106">
        <v>0</v>
      </c>
      <c r="AA8165" s="26">
        <v>0</v>
      </c>
      <c r="AB8165" s="4">
        <f t="shared" si="1269"/>
        <v>53893.772277227719</v>
      </c>
      <c r="AC8165" s="26"/>
      <c r="AD8165" s="26">
        <f t="shared" si="1277"/>
        <v>53893.772277227719</v>
      </c>
      <c r="AE8165" s="105">
        <v>0</v>
      </c>
      <c r="AF8165" s="28"/>
      <c r="AG8165" s="105">
        <v>0</v>
      </c>
      <c r="AH8165" s="29"/>
      <c r="AI8165" s="88" t="s">
        <v>4188</v>
      </c>
      <c r="AJ8165" s="126" t="e">
        <v>#N/A</v>
      </c>
      <c r="AK8165" s="80">
        <f t="shared" si="1270"/>
        <v>0</v>
      </c>
      <c r="AL8165" s="85"/>
      <c r="AM8165" s="85"/>
    </row>
    <row r="8166" spans="1:39" s="86" customFormat="1" hidden="1" x14ac:dyDescent="0.3">
      <c r="A8166" s="89" t="s">
        <v>3792</v>
      </c>
      <c r="B8166" s="88" t="s">
        <v>35</v>
      </c>
      <c r="C8166" s="88" t="s">
        <v>184</v>
      </c>
      <c r="D8166" s="88" t="s">
        <v>54</v>
      </c>
      <c r="E8166" s="88" t="s">
        <v>55</v>
      </c>
      <c r="F8166" s="88" t="s">
        <v>55</v>
      </c>
      <c r="G8166" s="88" t="s">
        <v>55</v>
      </c>
      <c r="H8166" s="156">
        <v>84</v>
      </c>
      <c r="I8166" s="88" t="s">
        <v>3252</v>
      </c>
      <c r="J8166" s="1" t="s">
        <v>3323</v>
      </c>
      <c r="K8166" s="1" t="s">
        <v>701</v>
      </c>
      <c r="L8166" s="1" t="s">
        <v>35</v>
      </c>
      <c r="M8166" s="88" t="s">
        <v>2832</v>
      </c>
      <c r="N8166" s="88"/>
      <c r="O8166" s="28" t="s">
        <v>410</v>
      </c>
      <c r="P8166" s="28" t="s">
        <v>41</v>
      </c>
      <c r="Q8166" s="105">
        <v>0</v>
      </c>
      <c r="R8166" s="142">
        <v>7265</v>
      </c>
      <c r="S8166" s="28"/>
      <c r="T8166" s="26"/>
      <c r="U8166" s="26"/>
      <c r="V8166" s="26">
        <f t="shared" si="1276"/>
        <v>14506.110000000015</v>
      </c>
      <c r="W8166" s="26"/>
      <c r="X8166" s="26">
        <v>14506.110000000015</v>
      </c>
      <c r="Y8166" s="13">
        <f t="shared" si="1268"/>
        <v>0</v>
      </c>
      <c r="Z8166" s="106">
        <v>0</v>
      </c>
      <c r="AA8166" s="26">
        <v>0</v>
      </c>
      <c r="AB8166" s="4">
        <f t="shared" si="1269"/>
        <v>14506.110000000015</v>
      </c>
      <c r="AC8166" s="26"/>
      <c r="AD8166" s="26">
        <f t="shared" si="1277"/>
        <v>14506.110000000015</v>
      </c>
      <c r="AE8166" s="105">
        <v>0</v>
      </c>
      <c r="AF8166" s="28"/>
      <c r="AG8166" s="105">
        <v>0</v>
      </c>
      <c r="AH8166" s="29"/>
      <c r="AI8166" s="88" t="s">
        <v>4187</v>
      </c>
      <c r="AJ8166" s="126" t="e">
        <v>#N/A</v>
      </c>
      <c r="AK8166" s="80">
        <f t="shared" si="1270"/>
        <v>0</v>
      </c>
      <c r="AL8166" s="85"/>
      <c r="AM8166" s="85"/>
    </row>
    <row r="8167" spans="1:39" s="86" customFormat="1" hidden="1" x14ac:dyDescent="0.3">
      <c r="A8167" s="89" t="s">
        <v>3978</v>
      </c>
      <c r="B8167" s="88" t="s">
        <v>35</v>
      </c>
      <c r="C8167" s="88" t="s">
        <v>184</v>
      </c>
      <c r="D8167" s="88" t="s">
        <v>54</v>
      </c>
      <c r="E8167" s="88" t="s">
        <v>3983</v>
      </c>
      <c r="F8167" s="88" t="s">
        <v>3984</v>
      </c>
      <c r="G8167" s="88" t="s">
        <v>3983</v>
      </c>
      <c r="H8167" s="156">
        <v>84</v>
      </c>
      <c r="I8167" s="88" t="s">
        <v>3252</v>
      </c>
      <c r="J8167" s="1" t="s">
        <v>3323</v>
      </c>
      <c r="K8167" s="1" t="s">
        <v>701</v>
      </c>
      <c r="L8167" s="1" t="s">
        <v>35</v>
      </c>
      <c r="M8167" s="88" t="s">
        <v>2832</v>
      </c>
      <c r="N8167" s="88"/>
      <c r="O8167" s="28" t="s">
        <v>410</v>
      </c>
      <c r="P8167" s="28" t="s">
        <v>41</v>
      </c>
      <c r="Q8167" s="105">
        <v>0</v>
      </c>
      <c r="R8167" s="142">
        <v>7265</v>
      </c>
      <c r="S8167" s="28"/>
      <c r="T8167" s="26"/>
      <c r="U8167" s="26"/>
      <c r="V8167" s="26">
        <f t="shared" si="1276"/>
        <v>6018.359999999986</v>
      </c>
      <c r="W8167" s="26"/>
      <c r="X8167" s="26">
        <v>6018.359999999986</v>
      </c>
      <c r="Y8167" s="13">
        <f t="shared" si="1268"/>
        <v>0</v>
      </c>
      <c r="Z8167" s="106">
        <v>0</v>
      </c>
      <c r="AA8167" s="26">
        <v>0</v>
      </c>
      <c r="AB8167" s="4">
        <f t="shared" si="1269"/>
        <v>6018.359999999986</v>
      </c>
      <c r="AC8167" s="26"/>
      <c r="AD8167" s="26">
        <f t="shared" si="1277"/>
        <v>6018.359999999986</v>
      </c>
      <c r="AE8167" s="105">
        <v>0</v>
      </c>
      <c r="AF8167" s="28"/>
      <c r="AG8167" s="105">
        <v>0</v>
      </c>
      <c r="AH8167" s="29"/>
      <c r="AI8167" s="88" t="s">
        <v>4188</v>
      </c>
      <c r="AJ8167" s="126" t="e">
        <v>#N/A</v>
      </c>
      <c r="AK8167" s="80">
        <f t="shared" si="1270"/>
        <v>0</v>
      </c>
      <c r="AL8167" s="85"/>
      <c r="AM8167" s="85"/>
    </row>
    <row r="8168" spans="1:39" s="86" customFormat="1" hidden="1" x14ac:dyDescent="0.3">
      <c r="A8168" s="89" t="s">
        <v>3792</v>
      </c>
      <c r="B8168" s="88" t="s">
        <v>35</v>
      </c>
      <c r="C8168" s="88" t="s">
        <v>184</v>
      </c>
      <c r="D8168" s="88" t="s">
        <v>37</v>
      </c>
      <c r="E8168" s="88" t="s">
        <v>127</v>
      </c>
      <c r="F8168" s="88" t="s">
        <v>4190</v>
      </c>
      <c r="G8168" s="88" t="s">
        <v>127</v>
      </c>
      <c r="H8168" s="156">
        <v>84</v>
      </c>
      <c r="I8168" s="88" t="s">
        <v>3252</v>
      </c>
      <c r="J8168" s="1" t="s">
        <v>3323</v>
      </c>
      <c r="K8168" s="1" t="s">
        <v>701</v>
      </c>
      <c r="L8168" s="1" t="s">
        <v>35</v>
      </c>
      <c r="M8168" s="88" t="s">
        <v>127</v>
      </c>
      <c r="N8168" s="88"/>
      <c r="O8168" s="28" t="s">
        <v>410</v>
      </c>
      <c r="P8168" s="28" t="s">
        <v>41</v>
      </c>
      <c r="Q8168" s="105">
        <v>0</v>
      </c>
      <c r="R8168" s="142">
        <v>7545</v>
      </c>
      <c r="S8168" s="28"/>
      <c r="T8168" s="26"/>
      <c r="U8168" s="26"/>
      <c r="V8168" s="26">
        <f t="shared" si="1276"/>
        <v>2856.2000000000044</v>
      </c>
      <c r="W8168" s="26"/>
      <c r="X8168" s="26">
        <v>2856.2000000000044</v>
      </c>
      <c r="Y8168" s="13">
        <f t="shared" si="1268"/>
        <v>0</v>
      </c>
      <c r="Z8168" s="106">
        <v>0</v>
      </c>
      <c r="AA8168" s="26">
        <v>0</v>
      </c>
      <c r="AB8168" s="4">
        <f t="shared" si="1269"/>
        <v>2856.2000000000044</v>
      </c>
      <c r="AC8168" s="26"/>
      <c r="AD8168" s="26">
        <f t="shared" si="1277"/>
        <v>2856.2000000000044</v>
      </c>
      <c r="AE8168" s="105">
        <v>0</v>
      </c>
      <c r="AF8168" s="28"/>
      <c r="AG8168" s="105">
        <v>0</v>
      </c>
      <c r="AH8168" s="29"/>
      <c r="AI8168" s="88" t="s">
        <v>4188</v>
      </c>
      <c r="AJ8168" s="126" t="e">
        <v>#N/A</v>
      </c>
      <c r="AK8168" s="80">
        <f t="shared" si="1270"/>
        <v>0</v>
      </c>
      <c r="AL8168" s="85"/>
      <c r="AM8168" s="85"/>
    </row>
    <row r="8169" spans="1:39" s="86" customFormat="1" hidden="1" x14ac:dyDescent="0.3">
      <c r="A8169" s="89" t="s">
        <v>3978</v>
      </c>
      <c r="B8169" s="88" t="s">
        <v>35</v>
      </c>
      <c r="C8169" s="88" t="s">
        <v>184</v>
      </c>
      <c r="D8169" s="88" t="s">
        <v>3849</v>
      </c>
      <c r="E8169" s="88" t="s">
        <v>521</v>
      </c>
      <c r="F8169" s="88" t="s">
        <v>521</v>
      </c>
      <c r="G8169" s="88" t="s">
        <v>521</v>
      </c>
      <c r="H8169" s="156">
        <v>84</v>
      </c>
      <c r="I8169" s="88" t="s">
        <v>3252</v>
      </c>
      <c r="J8169" s="1" t="s">
        <v>3323</v>
      </c>
      <c r="K8169" s="1" t="s">
        <v>701</v>
      </c>
      <c r="L8169" s="1" t="s">
        <v>35</v>
      </c>
      <c r="M8169" s="88" t="s">
        <v>2704</v>
      </c>
      <c r="N8169" s="88"/>
      <c r="O8169" s="28" t="s">
        <v>410</v>
      </c>
      <c r="P8169" s="28" t="s">
        <v>41</v>
      </c>
      <c r="Q8169" s="105">
        <v>0</v>
      </c>
      <c r="R8169" s="142">
        <v>7101</v>
      </c>
      <c r="S8169" s="28"/>
      <c r="T8169" s="26"/>
      <c r="U8169" s="26"/>
      <c r="V8169" s="26">
        <f t="shared" si="1276"/>
        <v>21106.01</v>
      </c>
      <c r="W8169" s="26"/>
      <c r="X8169" s="26">
        <v>21106.01</v>
      </c>
      <c r="Y8169" s="13">
        <f t="shared" si="1268"/>
        <v>0</v>
      </c>
      <c r="Z8169" s="106">
        <v>0</v>
      </c>
      <c r="AA8169" s="26">
        <v>0</v>
      </c>
      <c r="AB8169" s="4">
        <f t="shared" si="1269"/>
        <v>21106.01</v>
      </c>
      <c r="AC8169" s="26"/>
      <c r="AD8169" s="26">
        <f t="shared" si="1277"/>
        <v>21106.01</v>
      </c>
      <c r="AE8169" s="105">
        <v>0</v>
      </c>
      <c r="AF8169" s="28"/>
      <c r="AG8169" s="105">
        <v>0</v>
      </c>
      <c r="AH8169" s="29"/>
      <c r="AI8169" s="88" t="s">
        <v>4187</v>
      </c>
      <c r="AJ8169" s="126" t="e">
        <v>#N/A</v>
      </c>
      <c r="AK8169" s="80">
        <f t="shared" si="1270"/>
        <v>0</v>
      </c>
      <c r="AL8169" s="85"/>
      <c r="AM8169" s="85"/>
    </row>
    <row r="8170" spans="1:39" s="86" customFormat="1" hidden="1" x14ac:dyDescent="0.3">
      <c r="A8170" s="89" t="s">
        <v>3978</v>
      </c>
      <c r="B8170" s="88" t="s">
        <v>35</v>
      </c>
      <c r="C8170" s="88" t="s">
        <v>184</v>
      </c>
      <c r="D8170" s="88" t="s">
        <v>3849</v>
      </c>
      <c r="E8170" s="88" t="s">
        <v>542</v>
      </c>
      <c r="F8170" s="88" t="s">
        <v>542</v>
      </c>
      <c r="G8170" s="88" t="s">
        <v>542</v>
      </c>
      <c r="H8170" s="156">
        <v>84</v>
      </c>
      <c r="I8170" s="88" t="s">
        <v>3252</v>
      </c>
      <c r="J8170" s="1" t="s">
        <v>3323</v>
      </c>
      <c r="K8170" s="1" t="s">
        <v>701</v>
      </c>
      <c r="L8170" s="1" t="s">
        <v>35</v>
      </c>
      <c r="M8170" s="88" t="s">
        <v>2708</v>
      </c>
      <c r="N8170" s="88"/>
      <c r="O8170" s="28" t="s">
        <v>410</v>
      </c>
      <c r="P8170" s="28" t="s">
        <v>41</v>
      </c>
      <c r="Q8170" s="105">
        <v>0</v>
      </c>
      <c r="R8170" s="142">
        <v>7148</v>
      </c>
      <c r="S8170" s="28"/>
      <c r="T8170" s="26"/>
      <c r="U8170" s="26"/>
      <c r="V8170" s="26">
        <f t="shared" si="1276"/>
        <v>28982.607843137255</v>
      </c>
      <c r="W8170" s="26"/>
      <c r="X8170" s="26">
        <v>28982.607843137255</v>
      </c>
      <c r="Y8170" s="13">
        <f t="shared" si="1268"/>
        <v>0</v>
      </c>
      <c r="Z8170" s="105">
        <v>0</v>
      </c>
      <c r="AA8170" s="26">
        <v>0</v>
      </c>
      <c r="AB8170" s="4">
        <f t="shared" si="1269"/>
        <v>28982.607843137255</v>
      </c>
      <c r="AC8170" s="26"/>
      <c r="AD8170" s="26">
        <f t="shared" si="1277"/>
        <v>28982.607843137255</v>
      </c>
      <c r="AE8170" s="105">
        <v>0</v>
      </c>
      <c r="AF8170" s="28"/>
      <c r="AG8170" s="105">
        <v>0</v>
      </c>
      <c r="AH8170" s="29"/>
      <c r="AI8170" s="88" t="s">
        <v>4189</v>
      </c>
      <c r="AJ8170" s="126" t="e">
        <v>#N/A</v>
      </c>
      <c r="AK8170" s="80">
        <f t="shared" si="1270"/>
        <v>0</v>
      </c>
      <c r="AL8170" s="85"/>
      <c r="AM8170" s="85"/>
    </row>
    <row r="8171" spans="1:39" s="86" customFormat="1" hidden="1" x14ac:dyDescent="0.3">
      <c r="A8171" s="89" t="s">
        <v>3792</v>
      </c>
      <c r="B8171" s="88" t="s">
        <v>35</v>
      </c>
      <c r="C8171" s="88" t="s">
        <v>144</v>
      </c>
      <c r="D8171" s="88" t="s">
        <v>145</v>
      </c>
      <c r="E8171" s="88" t="s">
        <v>146</v>
      </c>
      <c r="F8171" s="88" t="s">
        <v>146</v>
      </c>
      <c r="G8171" s="88" t="s">
        <v>146</v>
      </c>
      <c r="H8171" s="156">
        <v>84</v>
      </c>
      <c r="I8171" s="88" t="s">
        <v>3252</v>
      </c>
      <c r="J8171" s="1" t="s">
        <v>3323</v>
      </c>
      <c r="K8171" s="1" t="s">
        <v>701</v>
      </c>
      <c r="L8171" s="1" t="s">
        <v>35</v>
      </c>
      <c r="M8171" s="88" t="s">
        <v>146</v>
      </c>
      <c r="N8171" s="88"/>
      <c r="O8171" s="28" t="s">
        <v>410</v>
      </c>
      <c r="P8171" s="28" t="s">
        <v>41</v>
      </c>
      <c r="Q8171" s="105">
        <v>0</v>
      </c>
      <c r="R8171" s="142">
        <v>7607</v>
      </c>
      <c r="S8171" s="28"/>
      <c r="T8171" s="26"/>
      <c r="U8171" s="26"/>
      <c r="V8171" s="26">
        <f t="shared" si="1276"/>
        <v>4435.2699999999895</v>
      </c>
      <c r="W8171" s="26"/>
      <c r="X8171" s="26">
        <v>4435.2699999999895</v>
      </c>
      <c r="Y8171" s="13">
        <f t="shared" si="1268"/>
        <v>0</v>
      </c>
      <c r="Z8171" s="105">
        <v>0</v>
      </c>
      <c r="AA8171" s="26">
        <v>0</v>
      </c>
      <c r="AB8171" s="4">
        <f t="shared" si="1269"/>
        <v>4435.2699999999895</v>
      </c>
      <c r="AC8171" s="26"/>
      <c r="AD8171" s="26">
        <f t="shared" si="1277"/>
        <v>4435.2699999999895</v>
      </c>
      <c r="AE8171" s="105">
        <v>0</v>
      </c>
      <c r="AF8171" s="28"/>
      <c r="AG8171" s="105">
        <v>0</v>
      </c>
      <c r="AH8171" s="29"/>
      <c r="AI8171" s="88" t="s">
        <v>4188</v>
      </c>
      <c r="AJ8171" s="126" t="e">
        <v>#N/A</v>
      </c>
      <c r="AK8171" s="80">
        <f t="shared" si="1270"/>
        <v>0</v>
      </c>
      <c r="AL8171" s="85"/>
      <c r="AM8171" s="85"/>
    </row>
    <row r="8172" spans="1:39" s="86" customFormat="1" hidden="1" x14ac:dyDescent="0.3">
      <c r="A8172" s="89" t="s">
        <v>3978</v>
      </c>
      <c r="B8172" s="88" t="s">
        <v>35</v>
      </c>
      <c r="C8172" s="88" t="s">
        <v>184</v>
      </c>
      <c r="D8172" s="88" t="s">
        <v>37</v>
      </c>
      <c r="E8172" s="88" t="s">
        <v>285</v>
      </c>
      <c r="F8172" s="88" t="s">
        <v>460</v>
      </c>
      <c r="G8172" s="88" t="s">
        <v>285</v>
      </c>
      <c r="H8172" s="156">
        <v>84</v>
      </c>
      <c r="I8172" s="88" t="s">
        <v>3252</v>
      </c>
      <c r="J8172" s="1" t="s">
        <v>3323</v>
      </c>
      <c r="K8172" s="1" t="s">
        <v>701</v>
      </c>
      <c r="L8172" s="1" t="s">
        <v>35</v>
      </c>
      <c r="M8172" s="88" t="s">
        <v>285</v>
      </c>
      <c r="N8172" s="88"/>
      <c r="O8172" s="28" t="s">
        <v>410</v>
      </c>
      <c r="P8172" s="28" t="s">
        <v>41</v>
      </c>
      <c r="Q8172" s="105">
        <v>0</v>
      </c>
      <c r="R8172" s="142">
        <v>7654</v>
      </c>
      <c r="S8172" s="28"/>
      <c r="T8172" s="26"/>
      <c r="U8172" s="26"/>
      <c r="V8172" s="26">
        <f t="shared" si="1276"/>
        <v>246.16</v>
      </c>
      <c r="W8172" s="26"/>
      <c r="X8172" s="26">
        <v>246.16</v>
      </c>
      <c r="Y8172" s="13">
        <f t="shared" si="1268"/>
        <v>0</v>
      </c>
      <c r="Z8172" s="105">
        <v>0</v>
      </c>
      <c r="AA8172" s="26">
        <v>0</v>
      </c>
      <c r="AB8172" s="4">
        <f t="shared" si="1269"/>
        <v>246.16</v>
      </c>
      <c r="AC8172" s="26"/>
      <c r="AD8172" s="26">
        <f t="shared" si="1277"/>
        <v>246.16</v>
      </c>
      <c r="AE8172" s="105">
        <v>0</v>
      </c>
      <c r="AF8172" s="28"/>
      <c r="AG8172" s="105">
        <v>0</v>
      </c>
      <c r="AH8172" s="29"/>
      <c r="AI8172" s="88" t="s">
        <v>4187</v>
      </c>
      <c r="AJ8172" s="126" t="e">
        <v>#N/A</v>
      </c>
      <c r="AK8172" s="80">
        <f t="shared" si="1270"/>
        <v>0</v>
      </c>
      <c r="AL8172" s="85"/>
      <c r="AM8172" s="85"/>
    </row>
    <row r="8173" spans="1:39" s="86" customFormat="1" hidden="1" x14ac:dyDescent="0.3">
      <c r="A8173" s="89" t="s">
        <v>3792</v>
      </c>
      <c r="B8173" s="88" t="s">
        <v>35</v>
      </c>
      <c r="C8173" s="88" t="s">
        <v>184</v>
      </c>
      <c r="D8173" s="88" t="s">
        <v>37</v>
      </c>
      <c r="E8173" s="88" t="s">
        <v>285</v>
      </c>
      <c r="F8173" s="88" t="s">
        <v>460</v>
      </c>
      <c r="G8173" s="88" t="s">
        <v>285</v>
      </c>
      <c r="H8173" s="156">
        <v>84</v>
      </c>
      <c r="I8173" s="88" t="s">
        <v>3252</v>
      </c>
      <c r="J8173" s="1" t="s">
        <v>3323</v>
      </c>
      <c r="K8173" s="1" t="s">
        <v>701</v>
      </c>
      <c r="L8173" s="1" t="s">
        <v>35</v>
      </c>
      <c r="M8173" s="88" t="s">
        <v>2699</v>
      </c>
      <c r="N8173" s="88"/>
      <c r="O8173" s="28" t="s">
        <v>410</v>
      </c>
      <c r="P8173" s="28" t="s">
        <v>41</v>
      </c>
      <c r="Q8173" s="105">
        <v>0</v>
      </c>
      <c r="R8173" s="142">
        <v>7174</v>
      </c>
      <c r="S8173" s="28"/>
      <c r="T8173" s="26"/>
      <c r="U8173" s="26"/>
      <c r="V8173" s="26">
        <f t="shared" si="1276"/>
        <v>3012.19</v>
      </c>
      <c r="W8173" s="26"/>
      <c r="X8173" s="26">
        <v>3012.19</v>
      </c>
      <c r="Y8173" s="13">
        <f t="shared" si="1268"/>
        <v>0</v>
      </c>
      <c r="Z8173" s="105">
        <v>0</v>
      </c>
      <c r="AA8173" s="26">
        <v>0</v>
      </c>
      <c r="AB8173" s="4">
        <f t="shared" si="1269"/>
        <v>3012.19</v>
      </c>
      <c r="AC8173" s="26"/>
      <c r="AD8173" s="26">
        <f t="shared" si="1277"/>
        <v>3012.19</v>
      </c>
      <c r="AE8173" s="105">
        <v>0</v>
      </c>
      <c r="AF8173" s="28"/>
      <c r="AG8173" s="105">
        <v>0</v>
      </c>
      <c r="AH8173" s="29"/>
      <c r="AI8173" s="88" t="s">
        <v>4188</v>
      </c>
      <c r="AJ8173" s="126" t="e">
        <v>#N/A</v>
      </c>
      <c r="AK8173" s="80">
        <f t="shared" si="1270"/>
        <v>0</v>
      </c>
      <c r="AL8173" s="85"/>
      <c r="AM8173" s="85"/>
    </row>
    <row r="8174" spans="1:39" s="86" customFormat="1" hidden="1" x14ac:dyDescent="0.3">
      <c r="A8174" s="89" t="s">
        <v>3792</v>
      </c>
      <c r="B8174" s="88" t="s">
        <v>35</v>
      </c>
      <c r="C8174" s="88" t="s">
        <v>184</v>
      </c>
      <c r="D8174" s="88" t="s">
        <v>37</v>
      </c>
      <c r="E8174" s="88" t="s">
        <v>127</v>
      </c>
      <c r="F8174" s="88" t="s">
        <v>127</v>
      </c>
      <c r="G8174" s="88" t="s">
        <v>127</v>
      </c>
      <c r="H8174" s="156">
        <v>84</v>
      </c>
      <c r="I8174" s="88" t="s">
        <v>3252</v>
      </c>
      <c r="J8174" s="1" t="s">
        <v>3323</v>
      </c>
      <c r="K8174" s="1" t="s">
        <v>701</v>
      </c>
      <c r="L8174" s="1" t="s">
        <v>35</v>
      </c>
      <c r="M8174" s="88" t="s">
        <v>127</v>
      </c>
      <c r="N8174" s="88"/>
      <c r="O8174" s="28" t="s">
        <v>410</v>
      </c>
      <c r="P8174" s="28" t="s">
        <v>41</v>
      </c>
      <c r="Q8174" s="105">
        <v>0</v>
      </c>
      <c r="R8174" s="142">
        <v>7545</v>
      </c>
      <c r="S8174" s="28"/>
      <c r="T8174" s="26"/>
      <c r="U8174" s="26"/>
      <c r="V8174" s="26">
        <f t="shared" si="1276"/>
        <v>14996.689999999995</v>
      </c>
      <c r="W8174" s="26"/>
      <c r="X8174" s="26">
        <v>14996.689999999995</v>
      </c>
      <c r="Y8174" s="13">
        <f t="shared" si="1268"/>
        <v>0</v>
      </c>
      <c r="Z8174" s="105">
        <v>0</v>
      </c>
      <c r="AA8174" s="26">
        <v>0</v>
      </c>
      <c r="AB8174" s="4">
        <f t="shared" si="1269"/>
        <v>14996.689999999995</v>
      </c>
      <c r="AC8174" s="26"/>
      <c r="AD8174" s="26">
        <f t="shared" si="1277"/>
        <v>14996.689999999995</v>
      </c>
      <c r="AE8174" s="105">
        <v>0</v>
      </c>
      <c r="AF8174" s="28"/>
      <c r="AG8174" s="105">
        <v>0</v>
      </c>
      <c r="AH8174" s="29"/>
      <c r="AI8174" s="88" t="s">
        <v>4187</v>
      </c>
      <c r="AJ8174" s="126" t="e">
        <v>#N/A</v>
      </c>
      <c r="AK8174" s="80">
        <f t="shared" si="1270"/>
        <v>0</v>
      </c>
      <c r="AL8174" s="85"/>
      <c r="AM8174" s="85"/>
    </row>
    <row r="8175" spans="1:39" s="86" customFormat="1" hidden="1" x14ac:dyDescent="0.3">
      <c r="A8175" s="89" t="s">
        <v>3978</v>
      </c>
      <c r="B8175" s="88" t="s">
        <v>35</v>
      </c>
      <c r="C8175" s="88" t="s">
        <v>65</v>
      </c>
      <c r="D8175" s="88" t="s">
        <v>66</v>
      </c>
      <c r="E8175" s="88" t="s">
        <v>2354</v>
      </c>
      <c r="F8175" s="88" t="s">
        <v>2354</v>
      </c>
      <c r="G8175" s="88" t="s">
        <v>2354</v>
      </c>
      <c r="H8175" s="156">
        <v>84</v>
      </c>
      <c r="I8175" s="88" t="s">
        <v>3252</v>
      </c>
      <c r="J8175" s="1" t="s">
        <v>3323</v>
      </c>
      <c r="K8175" s="1" t="s">
        <v>701</v>
      </c>
      <c r="L8175" s="1" t="s">
        <v>35</v>
      </c>
      <c r="M8175" s="88" t="s">
        <v>2354</v>
      </c>
      <c r="N8175" s="88"/>
      <c r="O8175" s="28" t="s">
        <v>941</v>
      </c>
      <c r="P8175" s="28" t="s">
        <v>41</v>
      </c>
      <c r="Q8175" s="105">
        <v>0</v>
      </c>
      <c r="R8175" s="142">
        <v>7109</v>
      </c>
      <c r="S8175" s="28"/>
      <c r="T8175" s="26"/>
      <c r="U8175" s="26"/>
      <c r="V8175" s="26">
        <f t="shared" si="1276"/>
        <v>4962</v>
      </c>
      <c r="W8175" s="26"/>
      <c r="X8175" s="26">
        <v>4962</v>
      </c>
      <c r="Y8175" s="13">
        <f t="shared" si="1268"/>
        <v>0</v>
      </c>
      <c r="Z8175" s="105">
        <v>0</v>
      </c>
      <c r="AA8175" s="26">
        <v>0</v>
      </c>
      <c r="AB8175" s="4">
        <f t="shared" si="1269"/>
        <v>4962</v>
      </c>
      <c r="AC8175" s="26"/>
      <c r="AD8175" s="26">
        <f t="shared" si="1277"/>
        <v>4962</v>
      </c>
      <c r="AE8175" s="105">
        <v>0</v>
      </c>
      <c r="AF8175" s="28"/>
      <c r="AG8175" s="105">
        <v>0</v>
      </c>
      <c r="AH8175" s="29"/>
      <c r="AI8175" s="88" t="s">
        <v>4188</v>
      </c>
      <c r="AJ8175" s="126" t="e">
        <v>#N/A</v>
      </c>
      <c r="AK8175" s="80">
        <f t="shared" si="1270"/>
        <v>0</v>
      </c>
      <c r="AL8175" s="85"/>
      <c r="AM8175" s="85"/>
    </row>
    <row r="8176" spans="1:39" s="86" customFormat="1" hidden="1" x14ac:dyDescent="0.3">
      <c r="A8176" s="89" t="s">
        <v>3978</v>
      </c>
      <c r="B8176" s="88" t="s">
        <v>35</v>
      </c>
      <c r="C8176" s="88" t="s">
        <v>65</v>
      </c>
      <c r="D8176" s="88" t="s">
        <v>66</v>
      </c>
      <c r="E8176" s="88" t="s">
        <v>2678</v>
      </c>
      <c r="F8176" s="88" t="s">
        <v>2679</v>
      </c>
      <c r="G8176" s="88" t="s">
        <v>2678</v>
      </c>
      <c r="H8176" s="156">
        <v>84</v>
      </c>
      <c r="I8176" s="88" t="s">
        <v>3252</v>
      </c>
      <c r="J8176" s="1" t="s">
        <v>3323</v>
      </c>
      <c r="K8176" s="1" t="s">
        <v>701</v>
      </c>
      <c r="L8176" s="1" t="s">
        <v>35</v>
      </c>
      <c r="M8176" s="88" t="s">
        <v>2702</v>
      </c>
      <c r="N8176" s="88"/>
      <c r="O8176" s="28" t="s">
        <v>941</v>
      </c>
      <c r="P8176" s="28" t="s">
        <v>41</v>
      </c>
      <c r="Q8176" s="105">
        <v>0</v>
      </c>
      <c r="R8176" s="142">
        <v>7152</v>
      </c>
      <c r="S8176" s="28"/>
      <c r="T8176" s="26"/>
      <c r="U8176" s="26"/>
      <c r="V8176" s="26">
        <f t="shared" si="1276"/>
        <v>53418.2</v>
      </c>
      <c r="W8176" s="26"/>
      <c r="X8176" s="26">
        <v>53418.2</v>
      </c>
      <c r="Y8176" s="13">
        <f t="shared" si="1268"/>
        <v>0</v>
      </c>
      <c r="Z8176" s="105">
        <v>0</v>
      </c>
      <c r="AA8176" s="26">
        <v>0</v>
      </c>
      <c r="AB8176" s="4">
        <f t="shared" si="1269"/>
        <v>53418.2</v>
      </c>
      <c r="AC8176" s="26"/>
      <c r="AD8176" s="26">
        <f t="shared" si="1277"/>
        <v>53418.2</v>
      </c>
      <c r="AE8176" s="105">
        <v>0</v>
      </c>
      <c r="AF8176" s="28"/>
      <c r="AG8176" s="105">
        <v>0</v>
      </c>
      <c r="AH8176" s="29"/>
      <c r="AI8176" s="88" t="s">
        <v>4188</v>
      </c>
      <c r="AJ8176" s="126" t="e">
        <v>#N/A</v>
      </c>
      <c r="AK8176" s="80">
        <f t="shared" si="1270"/>
        <v>0</v>
      </c>
      <c r="AL8176" s="85"/>
      <c r="AM8176" s="85"/>
    </row>
    <row r="8177" spans="1:39" s="86" customFormat="1" hidden="1" x14ac:dyDescent="0.3">
      <c r="A8177" s="89" t="s">
        <v>3792</v>
      </c>
      <c r="B8177" s="88" t="s">
        <v>35</v>
      </c>
      <c r="C8177" s="88" t="s">
        <v>184</v>
      </c>
      <c r="D8177" s="88" t="s">
        <v>54</v>
      </c>
      <c r="E8177" s="88" t="s">
        <v>55</v>
      </c>
      <c r="F8177" s="88" t="s">
        <v>55</v>
      </c>
      <c r="G8177" s="88" t="s">
        <v>55</v>
      </c>
      <c r="H8177" s="156">
        <v>84</v>
      </c>
      <c r="I8177" s="88" t="s">
        <v>3252</v>
      </c>
      <c r="J8177" s="1" t="s">
        <v>3323</v>
      </c>
      <c r="K8177" s="1" t="s">
        <v>701</v>
      </c>
      <c r="L8177" s="1" t="s">
        <v>35</v>
      </c>
      <c r="M8177" s="88" t="s">
        <v>2832</v>
      </c>
      <c r="N8177" s="88"/>
      <c r="O8177" s="28" t="s">
        <v>941</v>
      </c>
      <c r="P8177" s="28" t="s">
        <v>41</v>
      </c>
      <c r="Q8177" s="105">
        <v>0</v>
      </c>
      <c r="R8177" s="142">
        <v>7265</v>
      </c>
      <c r="S8177" s="28"/>
      <c r="T8177" s="26"/>
      <c r="U8177" s="26"/>
      <c r="V8177" s="26">
        <f t="shared" si="1276"/>
        <v>6200</v>
      </c>
      <c r="W8177" s="26"/>
      <c r="X8177" s="26">
        <v>6200</v>
      </c>
      <c r="Y8177" s="13">
        <f t="shared" si="1268"/>
        <v>0</v>
      </c>
      <c r="Z8177" s="105">
        <v>0</v>
      </c>
      <c r="AA8177" s="26">
        <v>0</v>
      </c>
      <c r="AB8177" s="4">
        <f t="shared" si="1269"/>
        <v>6200</v>
      </c>
      <c r="AC8177" s="26"/>
      <c r="AD8177" s="26">
        <f t="shared" si="1277"/>
        <v>6200</v>
      </c>
      <c r="AE8177" s="105">
        <v>0</v>
      </c>
      <c r="AF8177" s="28"/>
      <c r="AG8177" s="105">
        <v>0</v>
      </c>
      <c r="AH8177" s="29"/>
      <c r="AI8177" s="88" t="s">
        <v>4188</v>
      </c>
      <c r="AJ8177" s="126" t="e">
        <v>#N/A</v>
      </c>
      <c r="AK8177" s="80">
        <f t="shared" si="1270"/>
        <v>0</v>
      </c>
      <c r="AL8177" s="85"/>
      <c r="AM8177" s="85"/>
    </row>
    <row r="8178" spans="1:39" s="86" customFormat="1" hidden="1" x14ac:dyDescent="0.3">
      <c r="A8178" s="89" t="s">
        <v>3978</v>
      </c>
      <c r="B8178" s="88" t="s">
        <v>35</v>
      </c>
      <c r="C8178" s="88" t="s">
        <v>36</v>
      </c>
      <c r="D8178" s="88" t="s">
        <v>185</v>
      </c>
      <c r="E8178" s="88" t="s">
        <v>2695</v>
      </c>
      <c r="F8178" s="88" t="s">
        <v>2695</v>
      </c>
      <c r="G8178" s="88" t="s">
        <v>2695</v>
      </c>
      <c r="H8178" s="156">
        <v>84</v>
      </c>
      <c r="I8178" s="88" t="s">
        <v>3252</v>
      </c>
      <c r="J8178" s="1" t="s">
        <v>3323</v>
      </c>
      <c r="K8178" s="1" t="s">
        <v>701</v>
      </c>
      <c r="L8178" s="1" t="s">
        <v>35</v>
      </c>
      <c r="M8178" s="88" t="s">
        <v>2697</v>
      </c>
      <c r="N8178" s="88"/>
      <c r="O8178" s="28" t="s">
        <v>410</v>
      </c>
      <c r="P8178" s="28" t="s">
        <v>41</v>
      </c>
      <c r="Q8178" s="105">
        <v>0</v>
      </c>
      <c r="R8178" s="142">
        <v>7170</v>
      </c>
      <c r="S8178" s="28"/>
      <c r="T8178" s="26"/>
      <c r="U8178" s="26"/>
      <c r="V8178" s="26">
        <f t="shared" si="1276"/>
        <v>39451.524271844697</v>
      </c>
      <c r="W8178" s="26"/>
      <c r="X8178" s="26">
        <v>39451.524271844697</v>
      </c>
      <c r="Y8178" s="13">
        <f t="shared" si="1268"/>
        <v>0</v>
      </c>
      <c r="Z8178" s="105">
        <v>0</v>
      </c>
      <c r="AA8178" s="26">
        <v>0</v>
      </c>
      <c r="AB8178" s="4">
        <f t="shared" si="1269"/>
        <v>39451.524271844697</v>
      </c>
      <c r="AC8178" s="26"/>
      <c r="AD8178" s="26">
        <f t="shared" si="1277"/>
        <v>39451.524271844697</v>
      </c>
      <c r="AE8178" s="105">
        <v>0</v>
      </c>
      <c r="AF8178" s="28"/>
      <c r="AG8178" s="105">
        <v>0</v>
      </c>
      <c r="AH8178" s="29"/>
      <c r="AI8178" s="88" t="s">
        <v>4187</v>
      </c>
      <c r="AJ8178" s="126" t="e">
        <v>#N/A</v>
      </c>
      <c r="AK8178" s="80">
        <f t="shared" si="1270"/>
        <v>0</v>
      </c>
      <c r="AL8178" s="85"/>
      <c r="AM8178" s="85"/>
    </row>
    <row r="8179" spans="1:39" s="86" customFormat="1" hidden="1" x14ac:dyDescent="0.3">
      <c r="A8179" s="89" t="s">
        <v>3792</v>
      </c>
      <c r="B8179" s="88" t="s">
        <v>35</v>
      </c>
      <c r="C8179" s="88" t="s">
        <v>36</v>
      </c>
      <c r="D8179" s="88" t="s">
        <v>185</v>
      </c>
      <c r="E8179" s="88" t="s">
        <v>2695</v>
      </c>
      <c r="F8179" s="88" t="s">
        <v>3253</v>
      </c>
      <c r="G8179" s="88" t="s">
        <v>2695</v>
      </c>
      <c r="H8179" s="156">
        <v>84</v>
      </c>
      <c r="I8179" s="88" t="s">
        <v>3252</v>
      </c>
      <c r="J8179" s="1" t="s">
        <v>3323</v>
      </c>
      <c r="K8179" s="1" t="s">
        <v>701</v>
      </c>
      <c r="L8179" s="1" t="s">
        <v>35</v>
      </c>
      <c r="M8179" s="88" t="s">
        <v>2719</v>
      </c>
      <c r="N8179" s="88"/>
      <c r="O8179" s="28" t="s">
        <v>4007</v>
      </c>
      <c r="P8179" s="28" t="s">
        <v>41</v>
      </c>
      <c r="Q8179" s="105">
        <v>0</v>
      </c>
      <c r="R8179" s="142">
        <v>7103</v>
      </c>
      <c r="S8179" s="28"/>
      <c r="T8179" s="26"/>
      <c r="U8179" s="26"/>
      <c r="V8179" s="26">
        <f t="shared" si="1276"/>
        <v>501</v>
      </c>
      <c r="W8179" s="26"/>
      <c r="X8179" s="26">
        <v>501</v>
      </c>
      <c r="Y8179" s="13">
        <f t="shared" si="1268"/>
        <v>0</v>
      </c>
      <c r="Z8179" s="106">
        <v>0</v>
      </c>
      <c r="AA8179" s="26">
        <v>0</v>
      </c>
      <c r="AB8179" s="4">
        <f t="shared" si="1269"/>
        <v>501</v>
      </c>
      <c r="AC8179" s="26"/>
      <c r="AD8179" s="26">
        <f t="shared" si="1277"/>
        <v>501</v>
      </c>
      <c r="AE8179" s="105">
        <v>0</v>
      </c>
      <c r="AF8179" s="28"/>
      <c r="AG8179" s="105">
        <v>0</v>
      </c>
      <c r="AH8179" s="29"/>
      <c r="AI8179" s="88" t="s">
        <v>4187</v>
      </c>
      <c r="AJ8179" s="126" t="e">
        <v>#N/A</v>
      </c>
      <c r="AK8179" s="80">
        <f t="shared" si="1270"/>
        <v>0</v>
      </c>
      <c r="AL8179" s="85"/>
      <c r="AM8179" s="85"/>
    </row>
    <row r="8180" spans="1:39" s="86" customFormat="1" hidden="1" x14ac:dyDescent="0.3">
      <c r="A8180" s="89" t="s">
        <v>3792</v>
      </c>
      <c r="B8180" s="88" t="s">
        <v>35</v>
      </c>
      <c r="C8180" s="88" t="s">
        <v>65</v>
      </c>
      <c r="D8180" s="88" t="s">
        <v>66</v>
      </c>
      <c r="E8180" s="88" t="s">
        <v>2709</v>
      </c>
      <c r="F8180" s="88" t="s">
        <v>2709</v>
      </c>
      <c r="G8180" s="88" t="s">
        <v>2709</v>
      </c>
      <c r="H8180" s="156">
        <v>84</v>
      </c>
      <c r="I8180" s="88" t="s">
        <v>3252</v>
      </c>
      <c r="J8180" s="1" t="s">
        <v>3323</v>
      </c>
      <c r="K8180" s="1" t="s">
        <v>701</v>
      </c>
      <c r="L8180" s="1" t="s">
        <v>35</v>
      </c>
      <c r="M8180" s="88" t="s">
        <v>2709</v>
      </c>
      <c r="N8180" s="88"/>
      <c r="O8180" s="28" t="s">
        <v>4007</v>
      </c>
      <c r="P8180" s="28" t="s">
        <v>41</v>
      </c>
      <c r="Q8180" s="105">
        <v>0</v>
      </c>
      <c r="R8180" s="142">
        <v>7576</v>
      </c>
      <c r="S8180" s="28"/>
      <c r="T8180" s="26"/>
      <c r="U8180" s="26"/>
      <c r="V8180" s="26">
        <f t="shared" si="1276"/>
        <v>1090.1960784313726</v>
      </c>
      <c r="W8180" s="26"/>
      <c r="X8180" s="26">
        <v>1090.1960784313726</v>
      </c>
      <c r="Y8180" s="13">
        <f t="shared" si="1268"/>
        <v>0</v>
      </c>
      <c r="Z8180" s="106">
        <v>0</v>
      </c>
      <c r="AA8180" s="26">
        <v>0</v>
      </c>
      <c r="AB8180" s="4">
        <f t="shared" si="1269"/>
        <v>1090.1960784313726</v>
      </c>
      <c r="AC8180" s="26"/>
      <c r="AD8180" s="26">
        <f t="shared" si="1277"/>
        <v>1090.1960784313726</v>
      </c>
      <c r="AE8180" s="105">
        <v>0</v>
      </c>
      <c r="AF8180" s="28"/>
      <c r="AG8180" s="105">
        <v>0</v>
      </c>
      <c r="AH8180" s="29"/>
      <c r="AI8180" s="88" t="s">
        <v>4187</v>
      </c>
      <c r="AJ8180" s="126" t="e">
        <v>#N/A</v>
      </c>
      <c r="AK8180" s="80">
        <f t="shared" si="1270"/>
        <v>0</v>
      </c>
      <c r="AL8180" s="85"/>
      <c r="AM8180" s="85"/>
    </row>
    <row r="8181" spans="1:39" s="86" customFormat="1" hidden="1" x14ac:dyDescent="0.3">
      <c r="A8181" s="89" t="s">
        <v>3978</v>
      </c>
      <c r="B8181" s="88" t="s">
        <v>35</v>
      </c>
      <c r="C8181" s="88" t="s">
        <v>36</v>
      </c>
      <c r="D8181" s="88" t="s">
        <v>185</v>
      </c>
      <c r="E8181" s="88" t="s">
        <v>4191</v>
      </c>
      <c r="F8181" s="88" t="s">
        <v>2142</v>
      </c>
      <c r="G8181" s="88" t="s">
        <v>2142</v>
      </c>
      <c r="H8181" s="156">
        <v>84</v>
      </c>
      <c r="I8181" s="88" t="s">
        <v>3252</v>
      </c>
      <c r="J8181" s="1" t="s">
        <v>3323</v>
      </c>
      <c r="K8181" s="1" t="s">
        <v>701</v>
      </c>
      <c r="L8181" s="1" t="s">
        <v>35</v>
      </c>
      <c r="M8181" s="88"/>
      <c r="N8181" s="88"/>
      <c r="O8181" s="28" t="s">
        <v>410</v>
      </c>
      <c r="P8181" s="28" t="s">
        <v>41</v>
      </c>
      <c r="Q8181" s="105">
        <v>0</v>
      </c>
      <c r="R8181" s="148"/>
      <c r="S8181" s="28" t="s">
        <v>4116</v>
      </c>
      <c r="T8181" s="133"/>
      <c r="U8181" s="133"/>
      <c r="V8181" s="26">
        <f t="shared" si="1276"/>
        <v>9</v>
      </c>
      <c r="W8181" s="133"/>
      <c r="X8181" s="26">
        <v>9</v>
      </c>
      <c r="Y8181" s="13">
        <f t="shared" si="1268"/>
        <v>0</v>
      </c>
      <c r="Z8181" s="105">
        <v>0</v>
      </c>
      <c r="AA8181" s="107">
        <v>0</v>
      </c>
      <c r="AB8181" s="4">
        <f t="shared" si="1269"/>
        <v>9</v>
      </c>
      <c r="AC8181" s="26"/>
      <c r="AD8181" s="26">
        <f t="shared" si="1277"/>
        <v>9</v>
      </c>
      <c r="AE8181" s="105">
        <v>0</v>
      </c>
      <c r="AF8181" s="88"/>
      <c r="AG8181" s="105">
        <v>0</v>
      </c>
      <c r="AH8181" s="107"/>
      <c r="AI8181" s="88" t="s">
        <v>4188</v>
      </c>
      <c r="AJ8181" s="126" t="e">
        <v>#N/A</v>
      </c>
      <c r="AK8181" s="80">
        <f t="shared" si="1270"/>
        <v>0</v>
      </c>
      <c r="AL8181" s="85"/>
      <c r="AM8181" s="85"/>
    </row>
    <row r="8182" spans="1:39" s="86" customFormat="1" hidden="1" x14ac:dyDescent="0.3">
      <c r="A8182" s="89" t="s">
        <v>3792</v>
      </c>
      <c r="B8182" s="86" t="s">
        <v>35</v>
      </c>
      <c r="C8182" s="86" t="s">
        <v>164</v>
      </c>
      <c r="D8182" s="86" t="s">
        <v>169</v>
      </c>
      <c r="E8182" s="86" t="s">
        <v>2436</v>
      </c>
      <c r="F8182" s="86" t="s">
        <v>4192</v>
      </c>
      <c r="G8182" s="86" t="s">
        <v>2436</v>
      </c>
      <c r="H8182" s="144">
        <v>123</v>
      </c>
      <c r="I8182" s="86" t="s">
        <v>3255</v>
      </c>
      <c r="J8182" s="1" t="s">
        <v>3323</v>
      </c>
      <c r="K8182" s="1" t="s">
        <v>3382</v>
      </c>
      <c r="L8182" s="1" t="s">
        <v>35</v>
      </c>
      <c r="M8182" s="86" t="s">
        <v>2436</v>
      </c>
      <c r="O8182" s="47" t="s">
        <v>40</v>
      </c>
      <c r="P8182" s="47" t="s">
        <v>41</v>
      </c>
      <c r="Q8182" s="14">
        <v>0</v>
      </c>
      <c r="R8182" s="143"/>
      <c r="S8182" s="47"/>
      <c r="T8182" s="6"/>
      <c r="U8182" s="6"/>
      <c r="V8182" s="6">
        <f t="shared" si="1276"/>
        <v>1906.8932038834951</v>
      </c>
      <c r="W8182" s="6"/>
      <c r="X8182" s="6">
        <v>1906.8932038834951</v>
      </c>
      <c r="Y8182" s="13">
        <f t="shared" si="1268"/>
        <v>0</v>
      </c>
      <c r="Z8182" s="66">
        <v>0</v>
      </c>
      <c r="AA8182" s="6"/>
      <c r="AB8182" s="4">
        <f t="shared" si="1269"/>
        <v>1906.8932038834951</v>
      </c>
      <c r="AC8182" s="6"/>
      <c r="AD8182" s="6">
        <f t="shared" si="1277"/>
        <v>1906.8932038834951</v>
      </c>
      <c r="AE8182" s="14">
        <v>0</v>
      </c>
      <c r="AF8182" s="64"/>
      <c r="AG8182" s="14">
        <v>0</v>
      </c>
      <c r="AH8182" s="6"/>
      <c r="AI8182" s="86" t="s">
        <v>4188</v>
      </c>
      <c r="AJ8182" s="126" t="e">
        <v>#N/A</v>
      </c>
      <c r="AK8182" s="80">
        <f t="shared" si="1270"/>
        <v>0</v>
      </c>
      <c r="AL8182" s="85"/>
      <c r="AM8182" s="85"/>
    </row>
    <row r="8183" spans="1:39" s="86" customFormat="1" hidden="1" x14ac:dyDescent="0.3">
      <c r="A8183" s="89" t="s">
        <v>3978</v>
      </c>
      <c r="B8183" s="86" t="s">
        <v>35</v>
      </c>
      <c r="C8183" s="86" t="s">
        <v>164</v>
      </c>
      <c r="D8183" s="86" t="s">
        <v>169</v>
      </c>
      <c r="E8183" s="86" t="s">
        <v>2518</v>
      </c>
      <c r="F8183" s="86" t="s">
        <v>4193</v>
      </c>
      <c r="G8183" s="86" t="s">
        <v>2518</v>
      </c>
      <c r="H8183" s="144">
        <v>123</v>
      </c>
      <c r="I8183" s="86" t="s">
        <v>3255</v>
      </c>
      <c r="J8183" s="1" t="s">
        <v>3323</v>
      </c>
      <c r="K8183" s="1" t="s">
        <v>3382</v>
      </c>
      <c r="L8183" s="1" t="s">
        <v>35</v>
      </c>
      <c r="M8183" s="86" t="s">
        <v>2519</v>
      </c>
      <c r="O8183" s="47" t="s">
        <v>45</v>
      </c>
      <c r="P8183" s="47" t="s">
        <v>41</v>
      </c>
      <c r="Q8183" s="14">
        <v>0</v>
      </c>
      <c r="R8183" s="143"/>
      <c r="S8183" s="47"/>
      <c r="T8183" s="6"/>
      <c r="U8183" s="6"/>
      <c r="V8183" s="6">
        <f t="shared" si="1276"/>
        <v>451877.28124999983</v>
      </c>
      <c r="W8183" s="6"/>
      <c r="X8183" s="6">
        <v>451877.28124999983</v>
      </c>
      <c r="Y8183" s="13">
        <f t="shared" si="1268"/>
        <v>0</v>
      </c>
      <c r="Z8183" s="14">
        <v>0</v>
      </c>
      <c r="AA8183" s="6"/>
      <c r="AB8183" s="4">
        <f t="shared" si="1269"/>
        <v>451877.28124999983</v>
      </c>
      <c r="AC8183" s="6"/>
      <c r="AD8183" s="6">
        <f t="shared" si="1277"/>
        <v>451877.28124999983</v>
      </c>
      <c r="AE8183" s="14">
        <v>0</v>
      </c>
      <c r="AF8183" s="6"/>
      <c r="AG8183" s="14">
        <v>0.28000000000000003</v>
      </c>
      <c r="AH8183" s="6"/>
      <c r="AI8183" s="86" t="s">
        <v>4188</v>
      </c>
      <c r="AJ8183" s="126" t="e">
        <v>#N/A</v>
      </c>
      <c r="AK8183" s="80">
        <f t="shared" si="1270"/>
        <v>0</v>
      </c>
      <c r="AL8183" s="85"/>
      <c r="AM8183" s="85"/>
    </row>
    <row r="8184" spans="1:39" s="86" customFormat="1" hidden="1" x14ac:dyDescent="0.3">
      <c r="A8184" s="89" t="s">
        <v>3792</v>
      </c>
      <c r="B8184" s="86" t="s">
        <v>35</v>
      </c>
      <c r="C8184" s="86" t="s">
        <v>164</v>
      </c>
      <c r="D8184" s="86" t="s">
        <v>169</v>
      </c>
      <c r="E8184" s="86" t="s">
        <v>2518</v>
      </c>
      <c r="F8184" s="86" t="s">
        <v>4194</v>
      </c>
      <c r="G8184" s="86" t="s">
        <v>2518</v>
      </c>
      <c r="H8184" s="144">
        <v>123</v>
      </c>
      <c r="I8184" s="86" t="s">
        <v>3255</v>
      </c>
      <c r="J8184" s="1" t="s">
        <v>3323</v>
      </c>
      <c r="K8184" s="1" t="s">
        <v>3382</v>
      </c>
      <c r="L8184" s="1" t="s">
        <v>35</v>
      </c>
      <c r="M8184" s="86" t="s">
        <v>2519</v>
      </c>
      <c r="O8184" s="47" t="s">
        <v>40</v>
      </c>
      <c r="P8184" s="47" t="s">
        <v>41</v>
      </c>
      <c r="Q8184" s="14">
        <v>0</v>
      </c>
      <c r="R8184" s="143"/>
      <c r="S8184" s="47"/>
      <c r="T8184" s="6"/>
      <c r="U8184" s="6"/>
      <c r="V8184" s="6">
        <f t="shared" si="1276"/>
        <v>219131.10144927545</v>
      </c>
      <c r="W8184" s="6"/>
      <c r="X8184" s="6">
        <v>219131.10144927545</v>
      </c>
      <c r="Y8184" s="13">
        <f t="shared" si="1268"/>
        <v>0</v>
      </c>
      <c r="Z8184" s="14">
        <v>0</v>
      </c>
      <c r="AA8184" s="6"/>
      <c r="AB8184" s="4">
        <f t="shared" si="1269"/>
        <v>219131.10144927545</v>
      </c>
      <c r="AC8184" s="6"/>
      <c r="AD8184" s="6">
        <f t="shared" si="1277"/>
        <v>219131.10144927545</v>
      </c>
      <c r="AE8184" s="14">
        <v>0</v>
      </c>
      <c r="AF8184" s="64"/>
      <c r="AG8184" s="14">
        <v>0.38</v>
      </c>
      <c r="AH8184" s="6"/>
      <c r="AI8184" s="86" t="s">
        <v>4187</v>
      </c>
      <c r="AJ8184" s="126" t="e">
        <v>#N/A</v>
      </c>
      <c r="AK8184" s="80">
        <f t="shared" si="1270"/>
        <v>0</v>
      </c>
      <c r="AL8184" s="85"/>
      <c r="AM8184" s="85"/>
    </row>
    <row r="8185" spans="1:39" s="86" customFormat="1" hidden="1" x14ac:dyDescent="0.3">
      <c r="A8185" s="89" t="s">
        <v>3978</v>
      </c>
      <c r="B8185" s="86" t="s">
        <v>35</v>
      </c>
      <c r="C8185" s="86" t="s">
        <v>65</v>
      </c>
      <c r="D8185" s="86" t="s">
        <v>66</v>
      </c>
      <c r="E8185" s="86" t="s">
        <v>3261</v>
      </c>
      <c r="F8185" s="86" t="s">
        <v>4195</v>
      </c>
      <c r="G8185" s="86" t="s">
        <v>3261</v>
      </c>
      <c r="H8185" s="144">
        <v>123</v>
      </c>
      <c r="I8185" s="86" t="s">
        <v>3255</v>
      </c>
      <c r="J8185" s="1" t="s">
        <v>3323</v>
      </c>
      <c r="K8185" s="1" t="s">
        <v>3382</v>
      </c>
      <c r="L8185" s="1" t="s">
        <v>35</v>
      </c>
      <c r="M8185" s="86" t="s">
        <v>3261</v>
      </c>
      <c r="O8185" s="47" t="s">
        <v>45</v>
      </c>
      <c r="P8185" s="47" t="s">
        <v>41</v>
      </c>
      <c r="Q8185" s="14">
        <v>0</v>
      </c>
      <c r="R8185" s="143"/>
      <c r="S8185" s="47"/>
      <c r="T8185" s="6"/>
      <c r="U8185" s="6"/>
      <c r="V8185" s="6">
        <f t="shared" si="1276"/>
        <v>0.94</v>
      </c>
      <c r="W8185" s="6"/>
      <c r="X8185" s="6">
        <v>0.94</v>
      </c>
      <c r="Y8185" s="13">
        <f t="shared" si="1268"/>
        <v>0</v>
      </c>
      <c r="Z8185" s="14">
        <v>0</v>
      </c>
      <c r="AA8185" s="6"/>
      <c r="AB8185" s="4">
        <f t="shared" si="1269"/>
        <v>0.94</v>
      </c>
      <c r="AC8185" s="6"/>
      <c r="AD8185" s="6">
        <f t="shared" si="1277"/>
        <v>0.94</v>
      </c>
      <c r="AE8185" s="14">
        <v>0</v>
      </c>
      <c r="AF8185" s="6"/>
      <c r="AG8185" s="14">
        <v>0</v>
      </c>
      <c r="AH8185" s="6"/>
      <c r="AI8185" s="86" t="s">
        <v>4188</v>
      </c>
      <c r="AJ8185" s="126" t="e">
        <v>#N/A</v>
      </c>
      <c r="AK8185" s="80">
        <f t="shared" si="1270"/>
        <v>0</v>
      </c>
      <c r="AL8185" s="85"/>
      <c r="AM8185" s="85"/>
    </row>
    <row r="8188" spans="1:39" x14ac:dyDescent="0.3">
      <c r="AB8188" s="36"/>
    </row>
  </sheetData>
  <autoFilter ref="A1:AN8185">
    <filterColumn colId="0">
      <filters>
        <filter val="2021年3月"/>
      </filters>
    </filterColumn>
    <filterColumn colId="5">
      <filters>
        <filter val="北京优捷信息科技有限公司"/>
        <filter val="北京优捷信息科技有限公司-多彩运营"/>
      </filters>
    </filterColumn>
    <filterColumn colId="8">
      <filters>
        <filter val="百度时代网络技术（北京）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0"/>
  <sheetViews>
    <sheetView topLeftCell="B1" zoomScale="70" zoomScaleNormal="70" workbookViewId="0">
      <pane ySplit="1" topLeftCell="A2" activePane="bottomLeft" state="frozen"/>
      <selection pane="bottomLeft" activeCell="E13" sqref="E13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4234</v>
      </c>
      <c r="T1" s="42" t="s">
        <v>3328</v>
      </c>
      <c r="U1" s="43" t="s">
        <v>3329</v>
      </c>
      <c r="V1" s="43" t="s">
        <v>3330</v>
      </c>
      <c r="W1" s="129">
        <f>SUBTOTAL(9,R:R)</f>
        <v>2006724074.7385039</v>
      </c>
    </row>
    <row r="2" spans="1:23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66630638.256919168</v>
      </c>
      <c r="S2" s="35">
        <v>46242.660200000304</v>
      </c>
      <c r="T2" s="34">
        <f>(R2-I2+L2)/1.06</f>
        <v>2500318.0885086344</v>
      </c>
      <c r="U2" s="34">
        <f>T2-(S2/1.06)</f>
        <v>2456692.9373765588</v>
      </c>
      <c r="V2" s="37">
        <f>IFERROR(IF(AND(U2&lt;0,R2&lt;0),-U2/(R2/1.06),U2/(R2/1.06)),IF(U2&lt;0,-1,"-"))</f>
        <v>3.9082538930185526E-2</v>
      </c>
      <c r="W2" s="80"/>
    </row>
    <row r="3" spans="1:23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34093514.862275854</v>
      </c>
      <c r="S4" s="35">
        <v>4443.8694000000005</v>
      </c>
      <c r="T4" s="34">
        <f>(R4-I4+L4)/1.06</f>
        <v>1910684.1506376045</v>
      </c>
      <c r="U4" s="34">
        <f>T4-(S4/1.06)</f>
        <v>1906491.8210149631</v>
      </c>
      <c r="V4" s="37">
        <f t="shared" si="3"/>
        <v>5.9274654972929962E-2</v>
      </c>
      <c r="W4" s="80"/>
    </row>
    <row r="5" spans="1:23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x14ac:dyDescent="0.35">
      <c r="A26" s="49" t="s">
        <v>3356</v>
      </c>
      <c r="B26" s="49" t="s">
        <v>3730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x14ac:dyDescent="0.35">
      <c r="A27" s="49" t="s">
        <v>3356</v>
      </c>
      <c r="B27" s="49" t="s">
        <v>3730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x14ac:dyDescent="0.35">
      <c r="A28" s="49" t="s">
        <v>3356</v>
      </c>
      <c r="B28" s="49" t="s">
        <v>3731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72298050.973694682</v>
      </c>
      <c r="S28" s="35">
        <v>776169.07739999972</v>
      </c>
      <c r="T28" s="34">
        <f t="shared" si="11"/>
        <v>2642530.9395232806</v>
      </c>
      <c r="U28" s="34">
        <f t="shared" si="2"/>
        <v>1910295.9608440357</v>
      </c>
      <c r="V28" s="37">
        <f t="shared" si="3"/>
        <v>2.8007860394901014E-2</v>
      </c>
      <c r="W28" s="80"/>
    </row>
    <row r="29" spans="1:23" x14ac:dyDescent="0.35">
      <c r="A29" s="49" t="s">
        <v>3356</v>
      </c>
      <c r="B29" s="49" t="s">
        <v>3731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x14ac:dyDescent="0.35">
      <c r="A30" s="49" t="s">
        <v>3356</v>
      </c>
      <c r="B30" s="49" t="s">
        <v>3717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x14ac:dyDescent="0.35">
      <c r="A31" s="49" t="s">
        <v>3356</v>
      </c>
      <c r="B31" s="49" t="s">
        <v>3717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4213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37065830.333194047</v>
      </c>
      <c r="S65" s="35">
        <v>4409.6567999999997</v>
      </c>
      <c r="T65" s="34">
        <f>(R65-I65+L65)/1.06</f>
        <v>1582893.6320698401</v>
      </c>
      <c r="U65" s="34">
        <f>T65-(S65/1.06)</f>
        <v>1578733.5784849345</v>
      </c>
      <c r="V65" s="37">
        <f t="shared" si="3"/>
        <v>4.514825590445163E-2</v>
      </c>
      <c r="W65" s="80"/>
    </row>
    <row r="66" spans="1:23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54798200.738755643</v>
      </c>
      <c r="S66" s="35">
        <v>134.01839999999996</v>
      </c>
      <c r="T66" s="34">
        <f>(R66-I66+L66)/1.06</f>
        <v>2138834.8313732292</v>
      </c>
      <c r="U66" s="34">
        <f t="shared" si="28"/>
        <v>2138708.3989203991</v>
      </c>
      <c r="V66" s="37">
        <f t="shared" si="3"/>
        <v>4.1370535387894251E-2</v>
      </c>
      <c r="W66" s="80"/>
    </row>
    <row r="67" spans="1:23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4210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x14ac:dyDescent="0.35">
      <c r="A86" s="49" t="s">
        <v>3356</v>
      </c>
      <c r="B86" s="49" t="s">
        <v>3742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63156204.458965704</v>
      </c>
      <c r="S86" s="35">
        <v>1723935.3539999991</v>
      </c>
      <c r="T86" s="34">
        <f t="shared" si="35"/>
        <v>3113472.6309110424</v>
      </c>
      <c r="U86" s="34">
        <f t="shared" si="32"/>
        <v>1487118.5233638736</v>
      </c>
      <c r="V86" s="37">
        <f t="shared" si="33"/>
        <v>2.4959473867526356E-2</v>
      </c>
      <c r="W86" s="80"/>
    </row>
    <row r="87" spans="1:23" x14ac:dyDescent="0.35">
      <c r="A87" s="49" t="s">
        <v>3356</v>
      </c>
      <c r="B87" s="49" t="s">
        <v>3742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x14ac:dyDescent="0.35">
      <c r="A90" s="49" t="s">
        <v>3356</v>
      </c>
      <c r="B90" s="49" t="s">
        <v>3743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x14ac:dyDescent="0.35">
      <c r="A91" s="49" t="s">
        <v>3356</v>
      </c>
      <c r="B91" s="49" t="s">
        <v>3743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x14ac:dyDescent="0.35">
      <c r="A92" s="49" t="s">
        <v>3356</v>
      </c>
      <c r="B92" s="49" t="s">
        <v>3735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x14ac:dyDescent="0.35">
      <c r="A93" s="49" t="s">
        <v>3356</v>
      </c>
      <c r="B93" s="49" t="s">
        <v>3735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35">
        <v>0</v>
      </c>
      <c r="T110" s="34">
        <f t="shared" si="42"/>
        <v>853.7735849056603</v>
      </c>
      <c r="U110" s="34">
        <f t="shared" si="43"/>
        <v>853.7735849056603</v>
      </c>
      <c r="V110" s="37">
        <f t="shared" si="33"/>
        <v>9.0499999999999997E-2</v>
      </c>
      <c r="W110" s="80"/>
    </row>
    <row r="111" spans="1:23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x14ac:dyDescent="0.35">
      <c r="A117" s="7" t="s">
        <v>3690</v>
      </c>
      <c r="B117" s="49" t="s">
        <v>3694</v>
      </c>
      <c r="C117" s="49" t="s">
        <v>4203</v>
      </c>
      <c r="D117" s="49" t="s">
        <v>3761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x14ac:dyDescent="0.35">
      <c r="A118" s="49" t="s">
        <v>3356</v>
      </c>
      <c r="B118" s="49" t="s">
        <v>3719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x14ac:dyDescent="0.35">
      <c r="A119" s="49" t="s">
        <v>3356</v>
      </c>
      <c r="B119" s="49" t="s">
        <v>3719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x14ac:dyDescent="0.35">
      <c r="A120" s="49" t="s">
        <v>3356</v>
      </c>
      <c r="B120" s="49" t="s">
        <v>3731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3732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x14ac:dyDescent="0.35">
      <c r="A121" s="49" t="s">
        <v>3356</v>
      </c>
      <c r="B121" s="49" t="s">
        <v>3719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3744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x14ac:dyDescent="0.35">
      <c r="A122" s="49" t="s">
        <v>3356</v>
      </c>
      <c r="B122" s="49" t="s">
        <v>3719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3745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x14ac:dyDescent="0.35">
      <c r="A123" s="49" t="s">
        <v>3356</v>
      </c>
      <c r="B123" s="49" t="s">
        <v>3710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3791</v>
      </c>
      <c r="H123" s="31" t="s">
        <v>3776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32904744.63728017</v>
      </c>
      <c r="S123" s="35">
        <v>789897.26469999994</v>
      </c>
      <c r="T123" s="34">
        <f t="shared" si="42"/>
        <v>1662705.2515850672</v>
      </c>
      <c r="U123" s="34">
        <f t="shared" si="43"/>
        <v>917519.15281148243</v>
      </c>
      <c r="V123" s="37">
        <f t="shared" si="33"/>
        <v>2.9557144803922169E-2</v>
      </c>
      <c r="W123" s="80"/>
    </row>
    <row r="124" spans="1:23" x14ac:dyDescent="0.35">
      <c r="A124" s="49" t="s">
        <v>3356</v>
      </c>
      <c r="B124" s="49" t="s">
        <v>3710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3791</v>
      </c>
      <c r="H124" s="31" t="s">
        <v>3777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723837.10639072454</v>
      </c>
      <c r="S124" s="35">
        <v>7786.9469999999983</v>
      </c>
      <c r="T124" s="34">
        <f t="shared" si="42"/>
        <v>32757.718481815664</v>
      </c>
      <c r="U124" s="34">
        <f t="shared" si="43"/>
        <v>25411.542066721326</v>
      </c>
      <c r="V124" s="37">
        <f t="shared" si="33"/>
        <v>3.7213116532581476E-2</v>
      </c>
      <c r="W124" s="80"/>
    </row>
    <row r="125" spans="1:23" x14ac:dyDescent="0.35">
      <c r="A125" s="49" t="s">
        <v>3356</v>
      </c>
      <c r="B125" s="49" t="s">
        <v>3712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3791</v>
      </c>
      <c r="H125" s="31" t="s">
        <v>3776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59266102.113872424</v>
      </c>
      <c r="S125" s="35">
        <v>179115.97140000001</v>
      </c>
      <c r="T125" s="34">
        <f t="shared" si="42"/>
        <v>3495388.0685588927</v>
      </c>
      <c r="U125" s="34">
        <f t="shared" si="43"/>
        <v>3326410.7370494585</v>
      </c>
      <c r="V125" s="37">
        <f t="shared" si="33"/>
        <v>5.949430206322099E-2</v>
      </c>
      <c r="W125" s="80"/>
    </row>
    <row r="126" spans="1:23" x14ac:dyDescent="0.35">
      <c r="A126" s="49" t="s">
        <v>3356</v>
      </c>
      <c r="B126" s="49" t="s">
        <v>3712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3791</v>
      </c>
      <c r="H126" s="31" t="s">
        <v>3777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x14ac:dyDescent="0.35">
      <c r="A127" s="49" t="s">
        <v>3356</v>
      </c>
      <c r="B127" s="49" t="s">
        <v>3707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3791</v>
      </c>
      <c r="H127" s="31" t="s">
        <v>3776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92738878.024499685</v>
      </c>
      <c r="S127" s="35">
        <v>3161337.1692000004</v>
      </c>
      <c r="T127" s="34">
        <f t="shared" si="42"/>
        <v>8467367.9480185807</v>
      </c>
      <c r="U127" s="34">
        <f t="shared" si="43"/>
        <v>5484974.392169524</v>
      </c>
      <c r="V127" s="37">
        <f t="shared" si="33"/>
        <v>6.2692939353479554E-2</v>
      </c>
      <c r="W127" s="80"/>
    </row>
    <row r="128" spans="1:23" x14ac:dyDescent="0.35">
      <c r="A128" s="49" t="s">
        <v>3356</v>
      </c>
      <c r="B128" s="49" t="s">
        <v>3707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3791</v>
      </c>
      <c r="H128" s="31" t="s">
        <v>3777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1246246.7402855728</v>
      </c>
      <c r="S128" s="35">
        <v>47104.854000000014</v>
      </c>
      <c r="T128" s="34">
        <f t="shared" si="42"/>
        <v>59948.220269408135</v>
      </c>
      <c r="U128" s="34">
        <f t="shared" si="43"/>
        <v>15509.678759974166</v>
      </c>
      <c r="V128" s="37">
        <f t="shared" si="33"/>
        <v>1.3191817442030292E-2</v>
      </c>
      <c r="W128" s="80"/>
    </row>
    <row r="129" spans="1:23" x14ac:dyDescent="0.35">
      <c r="A129" s="49" t="s">
        <v>3356</v>
      </c>
      <c r="B129" s="49" t="s">
        <v>3718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3791</v>
      </c>
      <c r="H129" s="31" t="s">
        <v>3776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x14ac:dyDescent="0.35">
      <c r="A130" s="49" t="s">
        <v>3356</v>
      </c>
      <c r="B130" s="49" t="s">
        <v>3718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3791</v>
      </c>
      <c r="H130" s="31" t="s">
        <v>3777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3791</v>
      </c>
      <c r="H131" s="31" t="s">
        <v>3776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3791</v>
      </c>
      <c r="H132" s="31" t="s">
        <v>3777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3791</v>
      </c>
      <c r="H133" s="31" t="s">
        <v>3776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60975517.689344868</v>
      </c>
      <c r="S133" s="35">
        <v>0</v>
      </c>
      <c r="T133" s="34">
        <f t="shared" si="42"/>
        <v>2217358.5838159123</v>
      </c>
      <c r="U133" s="34">
        <f t="shared" si="43"/>
        <v>2217358.5838159123</v>
      </c>
      <c r="V133" s="37">
        <f t="shared" si="48"/>
        <v>3.8546619822394497E-2</v>
      </c>
      <c r="W133" s="80"/>
    </row>
    <row r="134" spans="1:23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3791</v>
      </c>
      <c r="H134" s="31" t="s">
        <v>3778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37324860.246740267</v>
      </c>
      <c r="S134" s="35">
        <v>1873.9938</v>
      </c>
      <c r="T134" s="34">
        <f t="shared" si="42"/>
        <v>1870114.1133398756</v>
      </c>
      <c r="U134" s="34">
        <f t="shared" si="43"/>
        <v>1868346.1946606303</v>
      </c>
      <c r="V134" s="37">
        <f t="shared" si="48"/>
        <v>5.3059728911194752E-2</v>
      </c>
      <c r="W134" s="80"/>
    </row>
    <row r="135" spans="1:23" x14ac:dyDescent="0.35">
      <c r="A135" s="49" t="s">
        <v>3126</v>
      </c>
      <c r="B135" s="49" t="s">
        <v>3272</v>
      </c>
      <c r="C135" s="49" t="s">
        <v>4202</v>
      </c>
      <c r="D135" s="49" t="s">
        <v>3126</v>
      </c>
      <c r="E135" s="49" t="s">
        <v>220</v>
      </c>
      <c r="F135" s="49" t="s">
        <v>3317</v>
      </c>
      <c r="G135" s="56" t="s">
        <v>3791</v>
      </c>
      <c r="H135" s="31" t="s">
        <v>3776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x14ac:dyDescent="0.35">
      <c r="A136" s="49" t="s">
        <v>3121</v>
      </c>
      <c r="B136" s="49" t="s">
        <v>3274</v>
      </c>
      <c r="C136" s="49" t="s">
        <v>4202</v>
      </c>
      <c r="D136" s="49" t="s">
        <v>3121</v>
      </c>
      <c r="E136" s="49" t="s">
        <v>220</v>
      </c>
      <c r="F136" s="49" t="s">
        <v>3317</v>
      </c>
      <c r="G136" s="56" t="s">
        <v>3791</v>
      </c>
      <c r="H136" s="31" t="s">
        <v>3776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x14ac:dyDescent="0.35">
      <c r="A137" s="49" t="s">
        <v>610</v>
      </c>
      <c r="B137" s="49" t="s">
        <v>3275</v>
      </c>
      <c r="C137" s="49" t="s">
        <v>4202</v>
      </c>
      <c r="D137" s="49" t="s">
        <v>610</v>
      </c>
      <c r="E137" s="49" t="s">
        <v>610</v>
      </c>
      <c r="F137" s="49" t="s">
        <v>3317</v>
      </c>
      <c r="G137" s="56" t="s">
        <v>3791</v>
      </c>
      <c r="H137" s="31" t="s">
        <v>3776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x14ac:dyDescent="0.35">
      <c r="A138" s="49" t="s">
        <v>610</v>
      </c>
      <c r="B138" s="49" t="s">
        <v>3275</v>
      </c>
      <c r="C138" s="49" t="s">
        <v>4202</v>
      </c>
      <c r="D138" s="49" t="s">
        <v>610</v>
      </c>
      <c r="E138" s="49" t="s">
        <v>610</v>
      </c>
      <c r="F138" s="49" t="s">
        <v>3317</v>
      </c>
      <c r="G138" s="56" t="s">
        <v>3791</v>
      </c>
      <c r="H138" s="31" t="s">
        <v>3779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x14ac:dyDescent="0.35">
      <c r="A139" s="49" t="s">
        <v>610</v>
      </c>
      <c r="B139" s="49" t="s">
        <v>3275</v>
      </c>
      <c r="C139" s="49" t="s">
        <v>4202</v>
      </c>
      <c r="D139" s="49" t="s">
        <v>610</v>
      </c>
      <c r="E139" s="49" t="s">
        <v>610</v>
      </c>
      <c r="F139" s="49" t="s">
        <v>3317</v>
      </c>
      <c r="G139" s="56" t="s">
        <v>3791</v>
      </c>
      <c r="H139" s="31" t="s">
        <v>3780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x14ac:dyDescent="0.35">
      <c r="A140" s="49" t="s">
        <v>610</v>
      </c>
      <c r="B140" s="49" t="s">
        <v>3275</v>
      </c>
      <c r="C140" s="49" t="s">
        <v>4202</v>
      </c>
      <c r="D140" s="49" t="s">
        <v>610</v>
      </c>
      <c r="E140" s="49" t="s">
        <v>610</v>
      </c>
      <c r="F140" s="49" t="s">
        <v>3317</v>
      </c>
      <c r="G140" s="56" t="s">
        <v>3791</v>
      </c>
      <c r="H140" s="31" t="s">
        <v>3781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x14ac:dyDescent="0.35">
      <c r="A141" s="49" t="s">
        <v>78</v>
      </c>
      <c r="B141" s="49" t="s">
        <v>3763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3791</v>
      </c>
      <c r="H141" s="31" t="s">
        <v>3779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8867453.1969125047</v>
      </c>
      <c r="S141" s="35">
        <v>98290.62000000001</v>
      </c>
      <c r="T141" s="34">
        <f>(R141-I141+L141)/1.06</f>
        <v>843623.7355203497</v>
      </c>
      <c r="U141" s="34">
        <f>T141-(S141/1.06)</f>
        <v>750896.7355203497</v>
      </c>
      <c r="V141" s="37">
        <f t="shared" si="48"/>
        <v>8.9760895487861952E-2</v>
      </c>
      <c r="W141" s="80"/>
    </row>
    <row r="142" spans="1:23" x14ac:dyDescent="0.35">
      <c r="A142" s="49" t="s">
        <v>78</v>
      </c>
      <c r="B142" s="49" t="s">
        <v>3763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3791</v>
      </c>
      <c r="H142" s="31" t="s">
        <v>3780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x14ac:dyDescent="0.35">
      <c r="A143" s="49" t="s">
        <v>3765</v>
      </c>
      <c r="B143" s="49" t="s">
        <v>3764</v>
      </c>
      <c r="C143" s="49" t="s">
        <v>3303</v>
      </c>
      <c r="D143" s="108" t="s">
        <v>3765</v>
      </c>
      <c r="E143" s="108" t="s">
        <v>78</v>
      </c>
      <c r="F143" s="49" t="s">
        <v>701</v>
      </c>
      <c r="G143" s="56" t="s">
        <v>3791</v>
      </c>
      <c r="H143" s="109" t="s">
        <v>3779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x14ac:dyDescent="0.35">
      <c r="A144" s="49" t="s">
        <v>887</v>
      </c>
      <c r="B144" s="49" t="s">
        <v>3277</v>
      </c>
      <c r="C144" s="49" t="s">
        <v>4202</v>
      </c>
      <c r="D144" s="49" t="s">
        <v>887</v>
      </c>
      <c r="E144" s="49" t="s">
        <v>887</v>
      </c>
      <c r="F144" s="49" t="s">
        <v>3317</v>
      </c>
      <c r="G144" s="56" t="s">
        <v>3791</v>
      </c>
      <c r="H144" s="31" t="s">
        <v>3776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x14ac:dyDescent="0.35">
      <c r="A145" s="49" t="s">
        <v>887</v>
      </c>
      <c r="B145" s="49" t="s">
        <v>3277</v>
      </c>
      <c r="C145" s="49" t="s">
        <v>4202</v>
      </c>
      <c r="D145" s="49" t="s">
        <v>887</v>
      </c>
      <c r="E145" s="49" t="s">
        <v>887</v>
      </c>
      <c r="F145" s="49" t="s">
        <v>3317</v>
      </c>
      <c r="G145" s="56" t="s">
        <v>3791</v>
      </c>
      <c r="H145" s="31" t="s">
        <v>3779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x14ac:dyDescent="0.35">
      <c r="A146" s="49" t="s">
        <v>887</v>
      </c>
      <c r="B146" s="49" t="s">
        <v>3277</v>
      </c>
      <c r="C146" s="49" t="s">
        <v>4202</v>
      </c>
      <c r="D146" s="49" t="s">
        <v>887</v>
      </c>
      <c r="E146" s="49" t="s">
        <v>887</v>
      </c>
      <c r="F146" s="49" t="s">
        <v>3317</v>
      </c>
      <c r="G146" s="56" t="s">
        <v>3791</v>
      </c>
      <c r="H146" s="31" t="s">
        <v>3780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x14ac:dyDescent="0.35">
      <c r="A147" s="49" t="s">
        <v>887</v>
      </c>
      <c r="B147" s="49" t="s">
        <v>3277</v>
      </c>
      <c r="C147" s="49" t="s">
        <v>4202</v>
      </c>
      <c r="D147" s="49" t="s">
        <v>887</v>
      </c>
      <c r="E147" s="49" t="s">
        <v>887</v>
      </c>
      <c r="F147" s="49" t="s">
        <v>3317</v>
      </c>
      <c r="G147" s="56" t="s">
        <v>3791</v>
      </c>
      <c r="H147" s="31" t="s">
        <v>3768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x14ac:dyDescent="0.35">
      <c r="A148" s="49" t="s">
        <v>39</v>
      </c>
      <c r="B148" s="49" t="s">
        <v>3766</v>
      </c>
      <c r="C148" s="49" t="s">
        <v>4202</v>
      </c>
      <c r="D148" s="108" t="s">
        <v>39</v>
      </c>
      <c r="E148" s="108" t="s">
        <v>39</v>
      </c>
      <c r="F148" s="49" t="s">
        <v>3317</v>
      </c>
      <c r="G148" s="56" t="s">
        <v>3791</v>
      </c>
      <c r="H148" s="109" t="s">
        <v>3778</v>
      </c>
      <c r="I148" s="78">
        <v>347382.16</v>
      </c>
      <c r="J148" s="78">
        <v>347382.16</v>
      </c>
      <c r="K148" s="60">
        <v>0.06</v>
      </c>
      <c r="L148" s="51">
        <f t="shared" si="45"/>
        <v>20842.929599999999</v>
      </c>
      <c r="M148" s="51">
        <v>0</v>
      </c>
      <c r="N148" s="78"/>
      <c r="O148" s="51">
        <f t="shared" si="46"/>
        <v>20842.929599999999</v>
      </c>
      <c r="P148" s="109" t="s">
        <v>4211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357803.62479999999</v>
      </c>
      <c r="S148" s="35">
        <v>0</v>
      </c>
      <c r="T148" s="34">
        <f t="shared" si="55"/>
        <v>29494.71169811322</v>
      </c>
      <c r="U148" s="34">
        <f t="shared" si="56"/>
        <v>29494.71169811322</v>
      </c>
      <c r="V148" s="37">
        <f t="shared" si="48"/>
        <v>8.7378640776699074E-2</v>
      </c>
      <c r="W148" s="80"/>
    </row>
    <row r="149" spans="1:23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3791</v>
      </c>
      <c r="H149" s="31" t="s">
        <v>3776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3791</v>
      </c>
      <c r="H150" s="31" t="s">
        <v>3779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3791</v>
      </c>
      <c r="H151" s="31" t="s">
        <v>3782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3791</v>
      </c>
      <c r="H152" s="31" t="s">
        <v>3780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x14ac:dyDescent="0.35">
      <c r="A153" s="49" t="s">
        <v>1060</v>
      </c>
      <c r="B153" s="49" t="s">
        <v>3767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3791</v>
      </c>
      <c r="H153" s="31" t="s">
        <v>3776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x14ac:dyDescent="0.35">
      <c r="A154" s="49" t="s">
        <v>1060</v>
      </c>
      <c r="B154" s="49" t="s">
        <v>3767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3791</v>
      </c>
      <c r="H154" s="31" t="s">
        <v>3779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x14ac:dyDescent="0.35">
      <c r="A155" s="49" t="s">
        <v>1060</v>
      </c>
      <c r="B155" s="49" t="s">
        <v>3767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3791</v>
      </c>
      <c r="H155" s="31" t="s">
        <v>3780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x14ac:dyDescent="0.35">
      <c r="A156" s="49" t="s">
        <v>1060</v>
      </c>
      <c r="B156" s="49" t="s">
        <v>3767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3791</v>
      </c>
      <c r="H156" s="31" t="s">
        <v>3781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3791</v>
      </c>
      <c r="H157" s="31" t="s">
        <v>3776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9977325.1942970455</v>
      </c>
      <c r="S157" s="35">
        <v>0</v>
      </c>
      <c r="T157" s="34">
        <f t="shared" ref="T157:T158" si="57">(R157-I157+L157)/1.06</f>
        <v>1725242.3157802268</v>
      </c>
      <c r="U157" s="34">
        <f t="shared" si="56"/>
        <v>1725242.3157802268</v>
      </c>
      <c r="V157" s="37">
        <f t="shared" si="48"/>
        <v>0.18329129492264545</v>
      </c>
      <c r="W157" s="80"/>
    </row>
    <row r="158" spans="1:23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3791</v>
      </c>
      <c r="H158" s="31" t="s">
        <v>3779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38422188.933270216</v>
      </c>
      <c r="S158" s="35">
        <v>0</v>
      </c>
      <c r="T158" s="34">
        <f t="shared" si="57"/>
        <v>3083124.8896794426</v>
      </c>
      <c r="U158" s="34">
        <f t="shared" si="56"/>
        <v>3083124.8896794426</v>
      </c>
      <c r="V158" s="37">
        <f t="shared" si="48"/>
        <v>8.5057943698525554E-2</v>
      </c>
      <c r="W158" s="80"/>
    </row>
    <row r="159" spans="1:23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3791</v>
      </c>
      <c r="H159" s="31" t="s">
        <v>3779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x14ac:dyDescent="0.35">
      <c r="A160" s="49" t="s">
        <v>2680</v>
      </c>
      <c r="B160" s="49" t="s">
        <v>3285</v>
      </c>
      <c r="C160" s="49" t="s">
        <v>4202</v>
      </c>
      <c r="D160" s="49" t="s">
        <v>2680</v>
      </c>
      <c r="E160" s="49" t="s">
        <v>2680</v>
      </c>
      <c r="F160" s="49" t="s">
        <v>3317</v>
      </c>
      <c r="G160" s="56" t="s">
        <v>3791</v>
      </c>
      <c r="H160" s="31" t="s">
        <v>3776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x14ac:dyDescent="0.35">
      <c r="A161" s="49" t="s">
        <v>1557</v>
      </c>
      <c r="B161" s="49" t="s">
        <v>3286</v>
      </c>
      <c r="C161" s="49" t="s">
        <v>4202</v>
      </c>
      <c r="D161" s="49" t="s">
        <v>1557</v>
      </c>
      <c r="E161" s="49" t="s">
        <v>4212</v>
      </c>
      <c r="F161" s="49" t="s">
        <v>3317</v>
      </c>
      <c r="G161" s="56" t="s">
        <v>3791</v>
      </c>
      <c r="H161" s="31" t="s">
        <v>3762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3791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x14ac:dyDescent="0.35">
      <c r="A163" s="49" t="s">
        <v>2680</v>
      </c>
      <c r="B163" s="49" t="s">
        <v>3285</v>
      </c>
      <c r="C163" s="49" t="s">
        <v>4202</v>
      </c>
      <c r="D163" s="49" t="s">
        <v>2680</v>
      </c>
      <c r="E163" s="49" t="s">
        <v>2680</v>
      </c>
      <c r="F163" s="49" t="s">
        <v>3317</v>
      </c>
      <c r="G163" s="56" t="s">
        <v>3791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3769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3791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x14ac:dyDescent="0.35">
      <c r="A165" s="49" t="s">
        <v>421</v>
      </c>
      <c r="B165" s="49" t="s">
        <v>3308</v>
      </c>
      <c r="C165" s="49" t="s">
        <v>4202</v>
      </c>
      <c r="D165" s="49" t="s">
        <v>421</v>
      </c>
      <c r="E165" s="49" t="s">
        <v>421</v>
      </c>
      <c r="F165" s="49" t="s">
        <v>3317</v>
      </c>
      <c r="G165" s="56" t="s">
        <v>3791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3770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x14ac:dyDescent="0.35">
      <c r="A166" s="49" t="s">
        <v>421</v>
      </c>
      <c r="B166" s="49" t="s">
        <v>3308</v>
      </c>
      <c r="C166" s="49" t="s">
        <v>4202</v>
      </c>
      <c r="D166" s="49" t="s">
        <v>421</v>
      </c>
      <c r="E166" s="49" t="s">
        <v>421</v>
      </c>
      <c r="F166" s="49" t="s">
        <v>3317</v>
      </c>
      <c r="G166" s="56" t="s">
        <v>3791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3771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2420</v>
      </c>
      <c r="B167" s="49" t="s">
        <v>3288</v>
      </c>
      <c r="C167" s="49" t="s">
        <v>4202</v>
      </c>
      <c r="D167" s="49" t="s">
        <v>2420</v>
      </c>
      <c r="E167" s="49" t="s">
        <v>2420</v>
      </c>
      <c r="F167" s="49" t="s">
        <v>3317</v>
      </c>
      <c r="G167" s="56" t="s">
        <v>3791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x14ac:dyDescent="0.35">
      <c r="A168" s="49" t="s">
        <v>3182</v>
      </c>
      <c r="B168" s="49" t="s">
        <v>3772</v>
      </c>
      <c r="C168" s="49" t="s">
        <v>4202</v>
      </c>
      <c r="D168" s="49" t="s">
        <v>3182</v>
      </c>
      <c r="E168" s="49" t="s">
        <v>3182</v>
      </c>
      <c r="F168" s="49" t="s">
        <v>3317</v>
      </c>
      <c r="G168" s="56" t="s">
        <v>3791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x14ac:dyDescent="0.35">
      <c r="A169" s="49" t="s">
        <v>4155</v>
      </c>
      <c r="B169" s="49" t="s">
        <v>3773</v>
      </c>
      <c r="C169" s="49" t="s">
        <v>4202</v>
      </c>
      <c r="D169" s="49" t="s">
        <v>3774</v>
      </c>
      <c r="E169" s="49" t="s">
        <v>4155</v>
      </c>
      <c r="F169" s="49" t="s">
        <v>3317</v>
      </c>
      <c r="G169" s="56" t="s">
        <v>3791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x14ac:dyDescent="0.35">
      <c r="A170" s="49" t="s">
        <v>4156</v>
      </c>
      <c r="B170" s="49" t="s">
        <v>3783</v>
      </c>
      <c r="C170" s="49" t="s">
        <v>4202</v>
      </c>
      <c r="D170" s="49" t="s">
        <v>3775</v>
      </c>
      <c r="E170" s="49" t="s">
        <v>4156</v>
      </c>
      <c r="F170" s="49" t="s">
        <v>3317</v>
      </c>
      <c r="G170" s="56" t="s">
        <v>3791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x14ac:dyDescent="0.35">
      <c r="A171" s="49" t="s">
        <v>3296</v>
      </c>
      <c r="B171" s="49" t="s">
        <v>3295</v>
      </c>
      <c r="C171" s="49" t="s">
        <v>4202</v>
      </c>
      <c r="D171" s="49" t="s">
        <v>3296</v>
      </c>
      <c r="E171" s="49" t="s">
        <v>3296</v>
      </c>
      <c r="F171" s="49" t="s">
        <v>3317</v>
      </c>
      <c r="G171" s="56" t="s">
        <v>3791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3784</v>
      </c>
      <c r="Q171" s="30" t="s">
        <v>3785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x14ac:dyDescent="0.35">
      <c r="A172" s="49" t="s">
        <v>3298</v>
      </c>
      <c r="B172" s="49" t="s">
        <v>3297</v>
      </c>
      <c r="C172" s="49" t="s">
        <v>4202</v>
      </c>
      <c r="D172" s="49" t="s">
        <v>3298</v>
      </c>
      <c r="E172" s="49" t="s">
        <v>3298</v>
      </c>
      <c r="F172" s="49" t="s">
        <v>3317</v>
      </c>
      <c r="G172" s="56" t="s">
        <v>3791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3786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x14ac:dyDescent="0.35">
      <c r="A173" s="49" t="s">
        <v>3298</v>
      </c>
      <c r="B173" s="49" t="s">
        <v>3297</v>
      </c>
      <c r="C173" s="49" t="s">
        <v>4202</v>
      </c>
      <c r="D173" s="49" t="s">
        <v>3298</v>
      </c>
      <c r="E173" s="49" t="s">
        <v>3298</v>
      </c>
      <c r="F173" s="49" t="s">
        <v>3317</v>
      </c>
      <c r="G173" s="56" t="s">
        <v>3791</v>
      </c>
      <c r="H173" s="31" t="s">
        <v>3787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3791</v>
      </c>
      <c r="H174" s="31" t="s">
        <v>3787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3788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3791</v>
      </c>
      <c r="H175" s="31" t="s">
        <v>3789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5">
      <c r="A176" s="49" t="s">
        <v>3210</v>
      </c>
      <c r="B176" s="121">
        <v>360</v>
      </c>
      <c r="C176" s="49" t="s">
        <v>4202</v>
      </c>
      <c r="D176" s="49" t="s">
        <v>3210</v>
      </c>
      <c r="E176" s="49" t="s">
        <v>3210</v>
      </c>
      <c r="F176" s="49" t="s">
        <v>3317</v>
      </c>
      <c r="G176" s="56" t="s">
        <v>3791</v>
      </c>
      <c r="H176" s="31" t="s">
        <v>3776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1650722.5965597159</v>
      </c>
      <c r="S176" s="35">
        <v>0</v>
      </c>
      <c r="T176" s="34">
        <f>(R176-I176+L176)/1.06</f>
        <v>-509943.36835073988</v>
      </c>
      <c r="U176" s="34">
        <f>T176-(S176/1.06)</f>
        <v>-509943.36835073988</v>
      </c>
      <c r="V176" s="37">
        <f t="shared" si="48"/>
        <v>-0.32745657664002903</v>
      </c>
      <c r="W176" s="80"/>
    </row>
    <row r="177" spans="1:23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3791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3791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3790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x14ac:dyDescent="0.35">
      <c r="A179" s="49" t="s">
        <v>3255</v>
      </c>
      <c r="B179" s="49" t="s">
        <v>3382</v>
      </c>
      <c r="C179" s="49" t="s">
        <v>4202</v>
      </c>
      <c r="D179" s="49" t="s">
        <v>3255</v>
      </c>
      <c r="E179" s="49" t="s">
        <v>323</v>
      </c>
      <c r="F179" s="49" t="s">
        <v>3317</v>
      </c>
      <c r="G179" s="56" t="s">
        <v>3791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x14ac:dyDescent="0.35">
      <c r="A180" s="49" t="s">
        <v>3255</v>
      </c>
      <c r="B180" s="49" t="s">
        <v>3382</v>
      </c>
      <c r="C180" s="49" t="s">
        <v>4202</v>
      </c>
      <c r="D180" s="49" t="s">
        <v>3255</v>
      </c>
      <c r="E180" s="49" t="s">
        <v>323</v>
      </c>
      <c r="F180" s="49" t="s">
        <v>3317</v>
      </c>
      <c r="G180" s="56" t="s">
        <v>3791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4200</v>
      </c>
      <c r="C181" s="49" t="s">
        <v>4202</v>
      </c>
      <c r="D181" s="113" t="s">
        <v>4199</v>
      </c>
      <c r="E181" s="113" t="s">
        <v>704</v>
      </c>
      <c r="F181" s="49" t="s">
        <v>3317</v>
      </c>
      <c r="G181" s="56" t="s">
        <v>3791</v>
      </c>
      <c r="H181" s="117" t="s">
        <v>410</v>
      </c>
      <c r="I181" s="115">
        <v>1290502.7694082162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1290502.769408216</v>
      </c>
      <c r="S181" s="35">
        <v>0</v>
      </c>
      <c r="T181" s="34">
        <f t="shared" si="69"/>
        <v>-2.1965155061685812E-10</v>
      </c>
      <c r="U181" s="34">
        <f t="shared" si="70"/>
        <v>-2.1965155061685812E-10</v>
      </c>
      <c r="V181" s="37">
        <f t="shared" si="48"/>
        <v>-1.8041855404978203E-16</v>
      </c>
      <c r="W181" s="80"/>
    </row>
    <row r="182" spans="1:23" x14ac:dyDescent="0.35">
      <c r="A182" s="49" t="s">
        <v>3252</v>
      </c>
      <c r="B182" s="113" t="s">
        <v>4201</v>
      </c>
      <c r="C182" s="49" t="s">
        <v>4202</v>
      </c>
      <c r="D182" s="113" t="s">
        <v>3252</v>
      </c>
      <c r="E182" s="113" t="s">
        <v>704</v>
      </c>
      <c r="F182" s="49" t="s">
        <v>3317</v>
      </c>
      <c r="G182" s="56" t="s">
        <v>3791</v>
      </c>
      <c r="H182" s="117" t="s">
        <v>3780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3791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3791</v>
      </c>
      <c r="H184" s="31" t="s">
        <v>4209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x14ac:dyDescent="0.35">
      <c r="A185" s="49" t="s">
        <v>2374</v>
      </c>
      <c r="B185" s="49" t="s">
        <v>4150</v>
      </c>
      <c r="C185" s="49" t="s">
        <v>4202</v>
      </c>
      <c r="D185" s="49" t="s">
        <v>4150</v>
      </c>
      <c r="E185" s="49" t="s">
        <v>4150</v>
      </c>
      <c r="F185" s="49" t="s">
        <v>3317</v>
      </c>
      <c r="G185" s="56" t="s">
        <v>3791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x14ac:dyDescent="0.35">
      <c r="A186" s="49" t="s">
        <v>891</v>
      </c>
      <c r="B186" s="49" t="s">
        <v>4228</v>
      </c>
      <c r="C186" s="49" t="s">
        <v>3323</v>
      </c>
      <c r="D186" s="49" t="s">
        <v>4227</v>
      </c>
      <c r="E186" s="49" t="s">
        <v>891</v>
      </c>
      <c r="F186" s="49" t="s">
        <v>3317</v>
      </c>
      <c r="G186" s="56" t="s">
        <v>3791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x14ac:dyDescent="0.35">
      <c r="A187" s="49" t="s">
        <v>765</v>
      </c>
      <c r="B187" s="49" t="s">
        <v>4229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3791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x14ac:dyDescent="0.35">
      <c r="A188" s="49" t="s">
        <v>1080</v>
      </c>
      <c r="B188" s="49" t="s">
        <v>4230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3791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x14ac:dyDescent="0.35">
      <c r="A189" s="49" t="s">
        <v>4231</v>
      </c>
      <c r="B189" s="49" t="s">
        <v>4232</v>
      </c>
      <c r="C189" s="49" t="s">
        <v>3323</v>
      </c>
      <c r="D189" s="49" t="s">
        <v>4231</v>
      </c>
      <c r="E189" s="49" t="s">
        <v>4231</v>
      </c>
      <c r="F189" s="49" t="s">
        <v>35</v>
      </c>
      <c r="G189" s="56" t="s">
        <v>3791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x14ac:dyDescent="0.35">
      <c r="A190" s="49"/>
      <c r="B190" s="49" t="s">
        <v>4233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3791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" si="82">T190-(S190/1.06)</f>
        <v>0</v>
      </c>
      <c r="V190" s="37" t="str">
        <f t="shared" ref="V190" si="83">IFERROR(IF(AND(U190&lt;0,R190&lt;0),-U190/(R190/1.06),U190/(R190/1.06)),IF(U190&lt;0,-1,"-"))</f>
        <v>-</v>
      </c>
    </row>
  </sheetData>
  <autoFilter ref="A1:W190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2021-04-07T07:21:05Z</dcterms:modified>
</cp:coreProperties>
</file>